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styles.xml" ContentType="application/vnd.openxmlformats-officedocument.spreadsheetml.styles+xml"/>
  <Override PartName="/xl/worksheets/_rels/sheet22.xml.rels" ContentType="application/vnd.openxmlformats-package.relationships+xml"/>
  <Override PartName="/xl/worksheets/_rels/sheet4.xml.rels" ContentType="application/vnd.openxmlformats-package.relationship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12.xml.rels" ContentType="application/vnd.openxmlformats-package.relationships+xml"/>
  <Override PartName="/xl/worksheets/_rels/sheet7.xml.rels" ContentType="application/vnd.openxmlformats-package.relationships+xml"/>
  <Override PartName="/xl/worksheets/_rels/sheet14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10.xml" ContentType="application/vnd.ms-excel.controlproperties+xml"/>
  <Override PartName="/xl/ctrlProps/ctrlProps13.xml" ContentType="application/vnd.ms-excel.controlpropertie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_rels/pivotCacheDefinition3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drawings/vmlDrawing2.vml" ContentType="application/vnd.openxmlformats-officedocument.vmlDrawing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vmlDrawing4.vml" ContentType="application/vnd.openxmlformats-officedocument.vmlDrawing"/>
  <Override PartName="/xl/drawings/drawing9.xml" ContentType="application/vnd.openxmlformats-officedocument.drawing+xml"/>
  <Override PartName="/xl/drawings/vmlDrawing5.vml" ContentType="application/vnd.openxmlformats-officedocument.vmlDrawing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Extendible Collars" sheetId="2" state="visible" r:id="rId4"/>
    <sheet name="Basket Options" sheetId="3" state="visible" r:id="rId5"/>
    <sheet name="Pivot" sheetId="4" state="visible" r:id="rId6"/>
    <sheet name="BASIS GREEKS" sheetId="5" state="visible" r:id="rId7"/>
    <sheet name="Option Gamma" sheetId="6" state="visible" r:id="rId8"/>
    <sheet name="CrvSh Location" sheetId="7" state="visible" r:id="rId9"/>
    <sheet name="Basis Options" sheetId="8" state="visible" r:id="rId10"/>
    <sheet name="CHANGE" sheetId="9" state="visible" r:id="rId11"/>
    <sheet name="GD Spread Options" sheetId="10" state="visible" r:id="rId12"/>
    <sheet name="Digital" sheetId="11" state="visible" r:id="rId13"/>
    <sheet name="CashFlows" sheetId="12" state="visible" r:id="rId14"/>
    <sheet name="Correllations" sheetId="13" state="visible" r:id="rId15"/>
    <sheet name="POSITION" sheetId="14" state="visible" r:id="rId16"/>
    <sheet name="Curves" sheetId="15" state="visible" r:id="rId17"/>
    <sheet name="GD Curves" sheetId="16" state="visible" r:id="rId18"/>
    <sheet name="PREVCURVES" sheetId="17" state="visible" r:id="rId19"/>
    <sheet name="pipe_opt" sheetId="18" state="visible" r:id="rId20"/>
    <sheet name="DATA3" sheetId="19" state="visible" r:id="rId21"/>
    <sheet name="DATA2" sheetId="20" state="visible" r:id="rId22"/>
    <sheet name="TXT File-D" sheetId="21" state="visible" r:id="rId23"/>
    <sheet name="TXT File-P" sheetId="22" state="visible" r:id="rId24"/>
    <sheet name="Module1" sheetId="23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function="false" hidden="false" localSheetId="1" name="_xlnm.Print_Titles" vbProcedure="false">'Extendible Collars'!$5:$6</definedName>
    <definedName function="false" hidden="false" name="Adjustments" vbProcedure="false">[3]CurveFetch!$A$16:$B$33</definedName>
    <definedName function="false" hidden="false" name="basisoptcount" vbProcedure="false">POSITION!$AA$7</definedName>
    <definedName function="false" hidden="false" name="basisoptmonths" vbProcedure="false">POSITION!$B$36:$B$79</definedName>
    <definedName function="false" hidden="false" name="basisoptpos" vbProcedure="false">POSITION!$B$36:$P$79</definedName>
    <definedName function="false" hidden="false" name="BASISPLBREAKDOWN" vbProcedure="false">#REF!</definedName>
    <definedName function="false" hidden="false" name="BASISPRINT" vbProcedure="false">'Basis Options'!$CR$1:$CX$48</definedName>
    <definedName function="false" hidden="false" name="BASISPRINT2" vbProcedure="false">'Basis Options'!$CZ$1:$DF$48</definedName>
    <definedName function="false" hidden="false" name="basketoptcount" vbProcedure="false">POSITION!$AA$8</definedName>
    <definedName function="false" hidden="false" name="basketoptmonths" vbProcedure="false">POSITION!$B$83:$B$109</definedName>
    <definedName function="false" hidden="false" name="basketoptpos" vbProcedure="false">POSITION!$B$83:$C$109</definedName>
    <definedName function="false" hidden="false" name="BasOptPos" vbProcedure="false">'Basis Options'!$BB$7:$BC$167</definedName>
    <definedName function="false" hidden="false" name="BENCH" vbProcedure="false">POSITION!$B$117:$C$156</definedName>
    <definedName function="false" hidden="false" name="BLAHBLAH" vbProcedure="false">Curves!$C$11:$L$26</definedName>
    <definedName function="false" hidden="false" name="BookType" vbProcedure="false">#REF!</definedName>
    <definedName function="false" hidden="false" name="BsktOptPos" vbProcedure="false">'Basket Options'!$S$6:$T$166</definedName>
    <definedName function="false" hidden="false" name="cella2" vbProcedure="false">#REF!</definedName>
    <definedName function="false" hidden="false" name="CHANGE" vbProcedure="false">CHANGE!$A$2:$N$40</definedName>
    <definedName function="false" hidden="false" name="COLLARPRINT" vbProcedure="false">'Extendible Collars'!$BH$1:$BM$26</definedName>
    <definedName function="false" hidden="false" name="Copy" vbProcedure="false">#REF!</definedName>
    <definedName function="false" hidden="false" name="CorMove" vbProcedure="false">Correllations!$P$4:$Q$229</definedName>
    <definedName function="false" hidden="false" name="Correllate" vbProcedure="false">Correllations!$B$3:$N$229</definedName>
    <definedName function="false" hidden="false" name="Count" vbProcedure="false">#REF!</definedName>
    <definedName function="false" hidden="false" name="counttable" vbProcedure="false">#REF!</definedName>
    <definedName function="false" hidden="false" name="CurveCode" vbProcedure="false">#REF!</definedName>
    <definedName function="false" hidden="false" name="CurveEffDt" vbProcedure="false">#REF!</definedName>
    <definedName function="false" hidden="false" name="CurveRange" vbProcedure="false">Curves!$C$11</definedName>
    <definedName function="false" hidden="false" name="Curves" vbProcedure="false">#REF!</definedName>
    <definedName function="false" hidden="false" name="CURVES8" vbProcedure="false">[4]CURVES!$D$14:$S$1094</definedName>
    <definedName function="false" hidden="false" name="CurvesMonth" vbProcedure="false">Curves!$B$11:$B$311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Date1" vbProcedure="false">Summary!$P$1</definedName>
    <definedName function="false" hidden="false" name="Dates" vbProcedure="false">Curves!$B$16:$B$147</definedName>
    <definedName function="false" hidden="false" name="DBase" vbProcedure="false">Curves!$B$3</definedName>
    <definedName function="false" hidden="false" name="digitaloptcount" vbProcedure="false">POSITION!$AA$10</definedName>
    <definedName function="false" hidden="false" name="digitaloptmonths" vbProcedure="false">POSITION!$E$83:$E$109</definedName>
    <definedName function="false" hidden="false" name="digitaloptpos" vbProcedure="false">POSITION!$E$83:$I$109</definedName>
    <definedName function="false" hidden="false" name="discount" vbProcedure="false">Curves!$BB$16:$BD$272</definedName>
    <definedName function="false" hidden="false" name="discountmonths" vbProcedure="false">Curves!$BB$16:$BB$272</definedName>
    <definedName function="false" hidden="false" name="Dump" vbProcedure="false">#REF!</definedName>
    <definedName function="false" hidden="false" name="EffDt" vbProcedure="false">Curves!$B$5</definedName>
    <definedName function="false" hidden="false" name="EffDt1" vbProcedure="false">'GD Curves'!$B$5</definedName>
    <definedName function="false" hidden="false" name="EffectiveDate" vbProcedure="false">[3]CurveFetch!$B$2</definedName>
    <definedName function="false" hidden="false" name="EndDate" vbProcedure="false">#REF!</definedName>
    <definedName function="false" hidden="false" name="ExoticBenchPosition" vbProcedure="false">POSITION!$B$117:$C$272</definedName>
    <definedName function="false" hidden="false" name="ExoticBenchPositionMonth" vbProcedure="false">POSITION!$B$117:$B$272</definedName>
    <definedName function="false" hidden="false" name="ExtColPos" vbProcedure="false">'Extendible Collars'!$AI$7:$AJ$169</definedName>
    <definedName function="false" hidden="false" name="extdcollarcount" vbProcedure="false">POSITION!$AA$6</definedName>
    <definedName function="false" hidden="false" name="extendiblecollarmonths" vbProcedure="false">POSITION!$B$5:$B$30</definedName>
    <definedName function="false" hidden="false" name="extendiblecollarpos" vbProcedure="false">POSITION!$B$5:$J$30</definedName>
    <definedName function="false" hidden="false" name="F" vbProcedure="false">{"BookBal",#N/A,FALSE,"Roll-1";"DailyChange",#N/A,FALSE,"Roll-1";"Schedules",#N/A,FALSE,"Roll-1"}</definedName>
    <definedName function="false" hidden="false" name="FetchCurves" vbProcedure="false">[1]!FetchCurves</definedName>
    <definedName function="false" hidden="false" name="GDCorMove" vbProcedure="false">'GD Spread Options'!$BJ$6:$BK$307</definedName>
    <definedName function="false" hidden="false" name="GDcorr" vbProcedure="false">'GD Spread Options'!$BG$4:$BH$307</definedName>
    <definedName function="false" hidden="false" name="GDmove_down" vbProcedure="false">'GD Curves'!$I$16:$J$272</definedName>
    <definedName function="false" hidden="false" name="GDmove_down2" vbProcedure="false">'GD Curves'!$R$16:$S$272</definedName>
    <definedName function="false" hidden="false" name="GDPrev" vbProcedure="false">'GD Curves'!$N$13:$O$45</definedName>
    <definedName function="false" hidden="false" name="GDPrevVols" vbProcedure="false">'GD Curves'!$P$13:$P$45</definedName>
    <definedName function="false" hidden="false" name="GDPRICES" vbProcedure="false">'GD Curves'!$C$13:$G$168</definedName>
    <definedName function="false" hidden="false" name="gdspreadoptcount" vbProcedure="false">POSITION!$AA$9</definedName>
    <definedName function="false" hidden="false" name="gdspreadoptmonths" vbProcedure="false">POSITION!$K$83:$K$109</definedName>
    <definedName function="false" hidden="false" name="gdspreadoptpos" vbProcedure="false">POSITION!$K$83:$L$109</definedName>
    <definedName function="false" hidden="false" name="GDVol" vbProcedure="false">'GD Curves'!$E$13:$E$346</definedName>
    <definedName function="false" hidden="false" name="GetDown" vbProcedure="false">#REF!</definedName>
    <definedName function="false" hidden="false" name="INDEXPR" vbProcedure="false">Curves!$B$16:$AD$157</definedName>
    <definedName function="false" hidden="false" name="move_down" vbProcedure="false">Curves!$BF$16:$BG$235</definedName>
    <definedName function="false" hidden="false" name="move_down1" vbProcedure="false">#REF!</definedName>
    <definedName function="false" hidden="false" name="MOVE_DOWN2" vbProcedure="false">PREVCURVES!$HZ$14:$IA$248</definedName>
    <definedName function="false" hidden="false" name="Multiplier" vbProcedure="false">Summary!$G$2</definedName>
    <definedName function="false" hidden="false" name="NetPositions" vbProcedure="false">'Basis Options'!$AN$4:$BC$53</definedName>
    <definedName function="false" hidden="false" name="NGPREVPRICES" vbProcedure="false">PREVCURVES!$B$16:$E$307</definedName>
    <definedName function="false" hidden="false" name="NGPrices" vbProcedure="false">Curves!$B$16:$E$157</definedName>
    <definedName function="false" hidden="false" name="NymEq" vbProcedure="false">'Basis Options'!$BS$7:$BT$167</definedName>
    <definedName function="false" hidden="false" name="NYMEXPrices" vbProcedure="false">Curves!$B$11:$C$142</definedName>
    <definedName function="false" hidden="false" name="OptionGamma" vbProcedure="false">#REF!</definedName>
    <definedName function="false" hidden="false" name="Password" vbProcedure="false">Curves!$B$2</definedName>
    <definedName function="false" hidden="false" name="PREVCURVES" vbProcedure="false">PREVCURVES!$F$13:$AD$306</definedName>
    <definedName function="false" hidden="false" name="PREVVOLS" vbProcedure="false">PREVCURVES!$AE$13:$AV$230</definedName>
    <definedName function="false" hidden="false" name="PriceCurve" vbProcedure="false">[2]Curves!$D$14:$G$318</definedName>
    <definedName function="false" hidden="false" name="Prices" vbProcedure="false">Curves!$F$13:$AD$367</definedName>
    <definedName function="false" hidden="false" name="Prices1" vbProcedure="false">#REF!</definedName>
    <definedName function="false" hidden="false" name="PRINT_AREA1" vbProcedure="false">POSITION!$B$1:$P$115</definedName>
    <definedName function="false" hidden="false" name="PRINT_AREA2" vbProcedure="false">POSITION!$R$3:$S$42</definedName>
    <definedName function="false" hidden="false" name="PromptMonth" vbProcedure="false">#REF!</definedName>
    <definedName function="false" hidden="false" name="RockyOptGamma" vbProcedure="false">#REF!</definedName>
    <definedName function="false" hidden="false" name="StartDate" vbProcedure="false">#REF!</definedName>
    <definedName function="false" hidden="false" name="Today" vbProcedure="false">[6]Front!$B$2</definedName>
    <definedName function="false" hidden="false" name="TOTALBASISPL" vbProcedure="false">#REF!</definedName>
    <definedName function="false" hidden="false" name="TotalPos" vbProcedure="false">Summary!$A$14:$I$60</definedName>
    <definedName function="false" hidden="false" name="TrueCor" vbProcedure="false">Correllations!$AB$3:$AG$229</definedName>
    <definedName function="false" hidden="false" name="UpperLeftOfCurveTable" vbProcedure="false">Curves!$B$11</definedName>
    <definedName function="false" hidden="false" name="UserName" vbProcedure="false">Curves!$B$1</definedName>
    <definedName function="false" hidden="false" name="VOLS" vbProcedure="false">Curves!$AE$13:$BE$235</definedName>
    <definedName function="false" hidden="false" name="volsim" vbProcedure="false">'Basis Options'!$AB$3</definedName>
    <definedName function="false" hidden="false" name="wrn_RollDetail_" vbProcedure="false">{"BookBal",#N/A,FALSE,"Roll-1";"DailyChange",#N/A,FALSE,"Roll-1";"Schedules",#N/A,FALSE,"Roll-1"}</definedName>
    <definedName function="false" hidden="false" name="Z6OptionGamma" vbProcedure="false">#REF!</definedName>
    <definedName function="false" hidden="false" localSheetId="5" name="Excel_BuiltIn__FilterDatabase" vbProcedure="false">#REF!</definedName>
    <definedName function="false" hidden="false" localSheetId="7" name="Excel_BuiltIn__FilterDatabase" vbProcedure="false">'Basis Options'!$A$6:$DF$654</definedName>
    <definedName function="false" hidden="false" localSheetId="9" name="BASISPLBREAKDOWN" vbProcedure="false">#REF!</definedName>
    <definedName function="false" hidden="false" localSheetId="9" name="BASISPRINT" vbProcedure="false">'GD Spread Options'!$AQ$1:$AW$48</definedName>
    <definedName function="false" hidden="false" localSheetId="9" name="BasOptPos" vbProcedure="false">#REF!</definedName>
    <definedName function="false" hidden="false" localSheetId="9" name="Excel_BuiltIn__FilterDatabase" vbProcedure="false">'GD Spread Options'!$A$6:$BK$216</definedName>
    <definedName function="false" hidden="false" localSheetId="9" name="F" vbProcedure="false">{"BookBal",#N/A,FALSE,"Roll-1";"DailyChange",#N/A,FALSE,"Roll-1";"Schedules",#N/A,FALSE,"Roll-1"}</definedName>
    <definedName function="false" hidden="false" localSheetId="9" name="NymEq" vbProcedure="false">#REF!</definedName>
    <definedName function="false" hidden="false" localSheetId="9" name="TOTALBASISPL" vbProcedure="false">#REF!</definedName>
    <definedName function="false" hidden="false" localSheetId="9" name="wrn_RollDetail_" vbProcedure="false">{"BookBal",#N/A,FALSE,"Roll-1";"DailyChange",#N/A,FALSE,"Roll-1";"Schedules",#N/A,FALSE,"Roll-1"}</definedName>
    <definedName function="false" hidden="false" localSheetId="14" name="Curves" vbProcedure="false">Curves!$B$11:$AW$311</definedName>
    <definedName function="false" hidden="false" localSheetId="15" name="BLAHBLAH" vbProcedure="false">#REF!</definedName>
    <definedName function="false" hidden="false" localSheetId="15" name="CurveRange" vbProcedure="false">'GD Curves'!$C$11</definedName>
    <definedName function="false" hidden="false" localSheetId="15" name="Curves" vbProcedure="false">Curves!$B$11:$AW$311</definedName>
    <definedName function="false" hidden="false" localSheetId="15" name="Dates" vbProcedure="false">'GD Curves'!$B$16:$B$147</definedName>
    <definedName function="false" hidden="false" localSheetId="15" name="DBase" vbProcedure="false">'GD Curves'!$B$3</definedName>
    <definedName function="false" hidden="false" localSheetId="15" name="discount" vbProcedure="false">'GD Curves'!$K$16:$M$272</definedName>
    <definedName function="false" hidden="false" localSheetId="15" name="discountmonths" vbProcedure="false">'GD Curves'!$K$16:$K$272</definedName>
    <definedName function="false" hidden="false" localSheetId="15" name="EffDt" vbProcedure="false">#REF!</definedName>
    <definedName function="false" hidden="false" localSheetId="15" name="EndDate" vbProcedure="false">#REF!</definedName>
    <definedName function="false" hidden="false" localSheetId="15" name="F" vbProcedure="false">{"BookBal",#N/A,FALSE,"Roll-1";"DailyChange",#N/A,FALSE,"Roll-1";"Schedules",#N/A,FALSE,"Roll-1"}</definedName>
    <definedName function="false" hidden="false" localSheetId="15" name="INDEXPR" vbProcedure="false">'GD Curves'!$B$16:$B$157</definedName>
    <definedName function="false" hidden="false" localSheetId="15" name="move_down" vbProcedure="false">'GD Curves'!$O$16:$P$235</definedName>
    <definedName function="false" hidden="false" localSheetId="15" name="NGPrices" vbProcedure="false">'GD Curves'!$B$16:$B$157</definedName>
    <definedName function="false" hidden="false" localSheetId="15" name="NYMEXPrices" vbProcedure="false">'GD Curves'!$B$11:$B$142</definedName>
    <definedName function="false" hidden="false" localSheetId="15" name="Password" vbProcedure="false">'GD Curves'!$B$2</definedName>
    <definedName function="false" hidden="false" localSheetId="15" name="Prices" vbProcedure="false">'GD Curves'!$H$304:$AC$367</definedName>
    <definedName function="false" hidden="false" localSheetId="15" name="StartDate" vbProcedure="false">#REF!</definedName>
    <definedName function="false" hidden="false" localSheetId="15" name="UpperLeftOfCurveTable" vbProcedure="false">'GD Curves'!$B$11</definedName>
    <definedName function="false" hidden="false" localSheetId="15" name="UserName" vbProcedure="false">'GD Curves'!$B$1</definedName>
    <definedName function="false" hidden="false" localSheetId="15" name="VOLS" vbProcedure="false">'GD Curves'!$C$13:$N$235</definedName>
    <definedName function="false" hidden="false" localSheetId="15" name="wrn_RollDetail_" vbProcedure="false">{"BookBal",#N/A,FALSE,"Roll-1";"DailyChange",#N/A,FALSE,"Roll-1";"Schedules",#N/A,FALSE,"Roll-1"}</definedName>
    <definedName function="false" hidden="false" localSheetId="16" name="Count" vbProcedure="false">[5]Curves!$A$10</definedName>
    <definedName function="false" hidden="false" localSheetId="16" name="CurveTable" vbProcedure="false">[5]Curves!$E$7:$AG$13</definedName>
    <definedName function="false" hidden="false" localSheetId="16" name="Prices1" vbProcedure="false">[5]Curves!$K$14:$P$400</definedName>
    <definedName function="false" hidden="false" localSheetId="17" name="Excel_BuiltIn__FilterDatabase" vbProcedure="false">pipe_opt!$A$1:$AM$746</definedName>
    <definedName function="false" hidden="false" localSheetId="18" name="wrn_RollDetail_" vbProcedure="false">{"BookBal",#N/A,FALSE,"Roll-1";"DailyChange",#N/A,FALSE,"Roll-1";"Schedules",#N/A,FALSE,"Roll-1"}</definedName>
    <definedName function="false" hidden="false" localSheetId="19" name="wrn_RollDetail_" vbProcedure="false">{"BookBal",#N/A,FALSE,"Roll-1";"DailyChange",#N/A,FALSE,"Roll-1";"Schedules",#N/A,FALSE,"Roll-1"}</definedName>
    <definedName function="true" hidden="false" name="xXCOL2" vbProcedure="true"/>
    <definedName function="true" hidden="false" name="xEURO" vbProcedure="true"/>
    <definedName function="true" hidden="false" name="xSPRDOPT" vbProcedure="true"/>
  </definedNames>
  <calcPr iterateCount="100" refMode="A1" iterate="false" iterateDelta="0.001"/>
  <pivotCaches>
    <pivotCache cacheId="1" r:id="rId33"/>
    <pivotCache cacheId="2" r:id="rId34"/>
    <pivotCache cacheId="3" r:id="rId35"/>
  </pivotCaches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kziegen:
</t>
        </r>
        <r>
          <rPr>
            <sz val="8"/>
            <color rgb="FF000000"/>
            <rFont val="Tahoma"/>
            <family val="0"/>
          </rPr>
          <t xml:space="preserve">If you ever add a new option TYPE or change the range of dates, be sure to update the Benchmark Positions worksheet.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2</xdr:rowOff>
              </xdr:from>
              <xdr:to>
                <xdr:col>2</xdr:col>
                <xdr:colOff>131</xdr:colOff>
                <xdr:row>3</xdr:row>
                <xdr:rowOff>11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kziegen:
</t>
        </r>
        <r>
          <rPr>
            <sz val="8"/>
            <color rgb="FF000000"/>
            <rFont val="Tahoma"/>
            <family val="0"/>
          </rPr>
          <t xml:space="preserve">This is a modification of deal R5647.  See Tickets for Options 5/28/98 for details.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3</xdr:row>
                <xdr:rowOff>12</xdr:rowOff>
              </xdr:from>
              <xdr:to>
                <xdr:col>3</xdr:col>
                <xdr:colOff>18</xdr:colOff>
                <xdr:row>7</xdr:row>
                <xdr:rowOff>4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<sst xmlns="http://schemas.openxmlformats.org/spreadsheetml/2006/main" count="59355" uniqueCount="636">
  <si>
    <t xml:space="preserve">SUMMARY OF ALL EXOTIC OPTIONS</t>
  </si>
  <si>
    <t xml:space="preserve">Totals:</t>
  </si>
  <si>
    <t xml:space="preserve">Option Type</t>
  </si>
  <si>
    <t xml:space="preserve">Change</t>
  </si>
  <si>
    <t xml:space="preserve">Current Value</t>
  </si>
  <si>
    <t xml:space="preserve">Previous Value</t>
  </si>
  <si>
    <t xml:space="preserve">Basis Options</t>
  </si>
  <si>
    <t xml:space="preserve">Net Position</t>
  </si>
  <si>
    <t xml:space="preserve">MTM Value</t>
  </si>
  <si>
    <t xml:space="preserve">Extendible Collars</t>
  </si>
  <si>
    <t xml:space="preserve">Reserve</t>
  </si>
  <si>
    <t xml:space="preserve">Basket Options</t>
  </si>
  <si>
    <t xml:space="preserve">GD Spread Options</t>
  </si>
  <si>
    <t xml:space="preserve">Total Reported Value</t>
  </si>
  <si>
    <t xml:space="preserve">Digital</t>
  </si>
  <si>
    <t xml:space="preserve">Total</t>
  </si>
  <si>
    <t xml:space="preserve">Position by Month:</t>
  </si>
  <si>
    <t xml:space="preserve">NOTE: THIS COLUMN OF POSITIONS IS NOT INCLUDED IN THE TOTAL NYMEX BECAUSE IT IS IN THE SYSTEM</t>
  </si>
  <si>
    <t xml:space="preserve">Period</t>
  </si>
  <si>
    <t xml:space="preserve">Basis Opt. Equiv</t>
  </si>
  <si>
    <t xml:space="preserve">Total Nymex Equiv</t>
  </si>
  <si>
    <t xml:space="preserve">EXTENDIBLE COLLARS</t>
  </si>
  <si>
    <t xml:space="preserve">MANUAL VOL INPUTS GO TO:</t>
  </si>
  <si>
    <t xml:space="preserve">CURRENT EXTENDABLE COLLAR TOTAL VALUE</t>
  </si>
  <si>
    <t xml:space="preserve">TOTALS:</t>
  </si>
  <si>
    <t xml:space="preserve">Potition</t>
  </si>
  <si>
    <t xml:space="preserve">Vol Inputs</t>
  </si>
  <si>
    <t xml:space="preserve">PREVIOUS EXTENDABLE COLLAR TOTAL VALUE</t>
  </si>
  <si>
    <t xml:space="preserve">Effective Date:</t>
  </si>
  <si>
    <t xml:space="preserve">Index</t>
  </si>
  <si>
    <t xml:space="preserve">Swap Vol</t>
  </si>
  <si>
    <t xml:space="preserve">=SUM(BA7:BA25)</t>
  </si>
  <si>
    <t xml:space="preserve">CHANGE</t>
  </si>
  <si>
    <t xml:space="preserve">Manual Inputs (Key in on THIS Page)</t>
  </si>
  <si>
    <t xml:space="preserve">Formulas (Do NOT Alter These Cells)</t>
  </si>
  <si>
    <t xml:space="preserve">Net Position By Region</t>
  </si>
  <si>
    <t xml:space="preserve">Total Position</t>
  </si>
  <si>
    <t xml:space="preserve">Expiry of</t>
  </si>
  <si>
    <t xml:space="preserve">Monthly</t>
  </si>
  <si>
    <t xml:space="preserve">Floor</t>
  </si>
  <si>
    <t xml:space="preserve">Cap</t>
  </si>
  <si>
    <t xml:space="preserve">NYMEX</t>
  </si>
  <si>
    <t xml:space="preserve">Interest</t>
  </si>
  <si>
    <t xml:space="preserve">Days Until</t>
  </si>
  <si>
    <t xml:space="preserve">Interest Rate</t>
  </si>
  <si>
    <t xml:space="preserve">INDEX</t>
  </si>
  <si>
    <t xml:space="preserve">Volatility</t>
  </si>
  <si>
    <t xml:space="preserve">Expiry of </t>
  </si>
  <si>
    <t xml:space="preserve">Position</t>
  </si>
  <si>
    <t xml:space="preserve">PREVIOUS DAYS CURVE INFO</t>
  </si>
  <si>
    <t xml:space="preserve">Curve Shift</t>
  </si>
  <si>
    <t xml:space="preserve">PRIOR</t>
  </si>
  <si>
    <t xml:space="preserve">BREAKDOWN OF EXTENDABLE COLLAR P/L CHANGE</t>
  </si>
  <si>
    <t xml:space="preserve">Counterparty</t>
  </si>
  <si>
    <t xml:space="preserve">Deal Num</t>
  </si>
  <si>
    <t xml:space="preserve">Pub Code</t>
  </si>
  <si>
    <t xml:space="preserve">Overlying</t>
  </si>
  <si>
    <t xml:space="preserve">Option Qty</t>
  </si>
  <si>
    <t xml:space="preserve">Price</t>
  </si>
  <si>
    <t xml:space="preserve">Basis</t>
  </si>
  <si>
    <t xml:space="preserve">Rate</t>
  </si>
  <si>
    <t xml:space="preserve">Expiry</t>
  </si>
  <si>
    <t xml:space="preserve">(Overlying)</t>
  </si>
  <si>
    <t xml:space="preserve">Vol</t>
  </si>
  <si>
    <t xml:space="preserve">Spread</t>
  </si>
  <si>
    <t xml:space="preserve">Collarlets</t>
  </si>
  <si>
    <t xml:space="preserve">PREMIUM</t>
  </si>
  <si>
    <t xml:space="preserve">DELTA</t>
  </si>
  <si>
    <t xml:space="preserve">IF-PAN/TX/OK</t>
  </si>
  <si>
    <t xml:space="preserve">IF-SONAT/LA</t>
  </si>
  <si>
    <t xml:space="preserve">IF-COLGULF/LA</t>
  </si>
  <si>
    <t xml:space="preserve">IF-TRANSCO/Z1</t>
  </si>
  <si>
    <t xml:space="preserve">IF-TRANSCO/Z2</t>
  </si>
  <si>
    <t xml:space="preserve">IF-TRANSCO/Z3</t>
  </si>
  <si>
    <t xml:space="preserve">IF-HPL/SHPCHAN</t>
  </si>
  <si>
    <t xml:space="preserve">Forward Pr</t>
  </si>
  <si>
    <t xml:space="preserve">Int Rates</t>
  </si>
  <si>
    <t xml:space="preserve">Vols</t>
  </si>
  <si>
    <t xml:space="preserve">Exp Days</t>
  </si>
  <si>
    <t xml:space="preserve">PERIOD</t>
  </si>
  <si>
    <t xml:space="preserve">PUBCODE</t>
  </si>
  <si>
    <t xml:space="preserve">Gamma</t>
  </si>
  <si>
    <t xml:space="preserve">Rho</t>
  </si>
  <si>
    <t xml:space="preserve">Drift</t>
  </si>
  <si>
    <t xml:space="preserve">Vega</t>
  </si>
  <si>
    <t xml:space="preserve">Theta</t>
  </si>
  <si>
    <t xml:space="preserve">DAY</t>
  </si>
  <si>
    <t xml:space="preserve">MICHAELPET</t>
  </si>
  <si>
    <t xml:space="preserve">R5647</t>
  </si>
  <si>
    <t xml:space="preserve">MAY00-OCT00</t>
  </si>
  <si>
    <t xml:space="preserve">=xXCOL2(K7:K12,AQ7:AQ12,AR7:AR12,AS7:AS12,P7,Q7,E7-$AP$2,H7,G7,N7,45,0)*(SUM(F7:F12))-BA7</t>
  </si>
  <si>
    <t xml:space="preserve">=xXCOL2(AP7:AP12,L7:L12,AR7:AR12,AS7:AS12,P7,Q7,E7-$AP$2,H7,G7,N7,45,0)*(SUM(F7:F12))-BA7</t>
  </si>
  <si>
    <t xml:space="preserve">=(BA7/VLOOKUP(D7,discount,3,FALSE))-(BA7/VLOOKUP(D7,discount,2,FALSE))</t>
  </si>
  <si>
    <t xml:space="preserve">=xXCOL2(AP7:AP12,AQ7:AQ12,AR7:AR12,AS7:AS12,P7,Q7,E7-$AP$2,H7,G7,N7,45,0)*(SUM(F7:F12))-BA7</t>
  </si>
  <si>
    <t xml:space="preserve">=xXCOL2(AP7:AP12,AQ7:AQ12,AR7:AR12,M7:M12,P7,Q7,E7-$B$3,H7,G7,N7,45,0)*(SUM(F7:F12))-BA7</t>
  </si>
  <si>
    <t xml:space="preserve">=xXCOL2(AP7:AP12,AQ7:AQ12,AR7:AR12,AS7:AS12,P7,Q7,E7-$AP$2,H7,G7,N7,45,0)*(SUM(F7:F12))</t>
  </si>
  <si>
    <t xml:space="preserve">=V7-BA7</t>
  </si>
  <si>
    <t xml:space="preserve">Data</t>
  </si>
  <si>
    <t xml:space="preserve">(blank)</t>
  </si>
  <si>
    <t xml:space="preserve">Grand Total</t>
  </si>
  <si>
    <t xml:space="preserve">Sum of Gamma</t>
  </si>
  <si>
    <t xml:space="preserve">Sum of Rho</t>
  </si>
  <si>
    <t xml:space="preserve">Sum of Drift</t>
  </si>
  <si>
    <t xml:space="preserve">Sum of Vega</t>
  </si>
  <si>
    <t xml:space="preserve">Sum of Theta</t>
  </si>
  <si>
    <t xml:space="preserve">X6175</t>
  </si>
  <si>
    <t xml:space="preserve">Total Sum of Gamma</t>
  </si>
  <si>
    <t xml:space="preserve">Total Sum of Rho</t>
  </si>
  <si>
    <t xml:space="preserve">Total Sum of Drift</t>
  </si>
  <si>
    <t xml:space="preserve">Total Sum of Vega</t>
  </si>
  <si>
    <t xml:space="preserve">Total Sum of Theta</t>
  </si>
  <si>
    <t xml:space="preserve">Total P/L</t>
  </si>
  <si>
    <t xml:space="preserve">MTM</t>
  </si>
  <si>
    <t xml:space="preserve">Manual inputs (Key in on THIS page)</t>
  </si>
  <si>
    <t xml:space="preserve">Formulas (DO NOT alter these cells)</t>
  </si>
  <si>
    <t xml:space="preserve">Phy/</t>
  </si>
  <si>
    <t xml:space="preserve">Call/</t>
  </si>
  <si>
    <t xml:space="preserve">Stike</t>
  </si>
  <si>
    <t xml:space="preserve">Basket</t>
  </si>
  <si>
    <t xml:space="preserve">Opt</t>
  </si>
  <si>
    <t xml:space="preserve">Option</t>
  </si>
  <si>
    <t xml:space="preserve">NX1</t>
  </si>
  <si>
    <t xml:space="preserve">Pub Codes</t>
  </si>
  <si>
    <t xml:space="preserve">Fin</t>
  </si>
  <si>
    <t xml:space="preserve">Put</t>
  </si>
  <si>
    <t xml:space="preserve">Type</t>
  </si>
  <si>
    <t xml:space="preserve">Premium</t>
  </si>
  <si>
    <t xml:space="preserve">Delta</t>
  </si>
  <si>
    <t xml:space="preserve">HIGHLANDENECOM</t>
  </si>
  <si>
    <t xml:space="preserve">X5783</t>
  </si>
  <si>
    <t xml:space="preserve">IF-NGPL/LA</t>
  </si>
  <si>
    <t xml:space="preserve">F</t>
  </si>
  <si>
    <t xml:space="preserve">P</t>
  </si>
  <si>
    <t xml:space="preserve">IF-FGT/Z3</t>
  </si>
  <si>
    <t xml:space="preserve">IF-TENN/TX</t>
  </si>
  <si>
    <t xml:space="preserve">IF-ELPO/PERMIAN</t>
  </si>
  <si>
    <t xml:space="preserve">C</t>
  </si>
  <si>
    <t xml:space="preserve">NGI-SOCAL</t>
  </si>
  <si>
    <t xml:space="preserve">Sum of Contracts</t>
  </si>
  <si>
    <t xml:space="preserve">NYMEX EQUIV.</t>
  </si>
  <si>
    <t xml:space="preserve">CORE. VEGA</t>
  </si>
  <si>
    <t xml:space="preserve">NYMEX VEGA</t>
  </si>
  <si>
    <t xml:space="preserve">THETA</t>
  </si>
  <si>
    <t xml:space="preserve">GAMMA</t>
  </si>
  <si>
    <t xml:space="preserve">NYMEX GAMMA</t>
  </si>
  <si>
    <t xml:space="preserve">MKT MOVE</t>
  </si>
  <si>
    <t xml:space="preserve">SIM DATE</t>
  </si>
  <si>
    <t xml:space="preserve">VEGA</t>
  </si>
  <si>
    <t xml:space="preserve">THEATA</t>
  </si>
  <si>
    <t xml:space="preserve">IF-TRANSCO/Z6</t>
  </si>
  <si>
    <t xml:space="preserve">IF-CGT/APPALAC</t>
  </si>
  <si>
    <t xml:space="preserve">IF-NWPL_ROCKY_M</t>
  </si>
  <si>
    <t xml:space="preserve">NGI/CHI. GATE</t>
  </si>
  <si>
    <t xml:space="preserve">IF-NNG/VENT</t>
  </si>
  <si>
    <t xml:space="preserve">IF-HEHUB</t>
  </si>
  <si>
    <t xml:space="preserve">IF-TETCO/M3</t>
  </si>
  <si>
    <t xml:space="preserve">MICH_CG-GD</t>
  </si>
  <si>
    <t xml:space="preserve">IF-CNG/APPALACH</t>
  </si>
  <si>
    <t xml:space="preserve">IF-NTHWST/CANBR</t>
  </si>
  <si>
    <t xml:space="preserve">Sum of Curve Shift/Gamma</t>
  </si>
  <si>
    <t xml:space="preserve">BASIS OPTIONS</t>
  </si>
  <si>
    <t xml:space="preserve">Totals</t>
  </si>
  <si>
    <t xml:space="preserve">Total Change</t>
  </si>
  <si>
    <t xml:space="preserve">Current Total Basis Option Value</t>
  </si>
  <si>
    <t xml:space="preserve">Previous Basis Option Value</t>
  </si>
  <si>
    <t xml:space="preserve">vol</t>
  </si>
  <si>
    <t xml:space="preserve">Change in Total Value</t>
  </si>
  <si>
    <t xml:space="preserve">sim date</t>
  </si>
  <si>
    <t xml:space="preserve">NYMEX Equivalent Delta Position By Pipe</t>
  </si>
  <si>
    <t xml:space="preserve">BREAKDOWN OF DAILY P/L CHANGE</t>
  </si>
  <si>
    <t xml:space="preserve">Internal</t>
  </si>
  <si>
    <t xml:space="preserve">Basis Delta</t>
  </si>
  <si>
    <t xml:space="preserve">NYMEX Eq.</t>
  </si>
  <si>
    <t xml:space="preserve">mkt move</t>
  </si>
  <si>
    <t xml:space="preserve">External</t>
  </si>
  <si>
    <t xml:space="preserve">Correlation</t>
  </si>
  <si>
    <t xml:space="preserve">Offset</t>
  </si>
  <si>
    <t xml:space="preserve">blank</t>
  </si>
  <si>
    <t xml:space="preserve">Contracts</t>
  </si>
  <si>
    <t xml:space="preserve">delta</t>
  </si>
  <si>
    <t xml:space="preserve">gamma</t>
  </si>
  <si>
    <t xml:space="preserve">core vega</t>
  </si>
  <si>
    <t xml:space="preserve">theta</t>
  </si>
  <si>
    <t xml:space="preserve">NYMEX VOL</t>
  </si>
  <si>
    <t xml:space="preserve">vol b</t>
  </si>
  <si>
    <t xml:space="preserve">vol a</t>
  </si>
  <si>
    <t xml:space="preserve">nymex gamma</t>
  </si>
  <si>
    <t xml:space="preserve">DATE</t>
  </si>
  <si>
    <t xml:space="preserve">Curve Shift/Gamma</t>
  </si>
  <si>
    <t xml:space="preserve">Prior Day</t>
  </si>
  <si>
    <t xml:space="preserve">Prior Strike</t>
  </si>
  <si>
    <t xml:space="preserve">TXUENETRA</t>
  </si>
  <si>
    <t xml:space="preserve">E</t>
  </si>
  <si>
    <t xml:space="preserve">EM1452.2</t>
  </si>
  <si>
    <t xml:space="preserve">STATOILENETRA</t>
  </si>
  <si>
    <t xml:space="preserve">EW1882</t>
  </si>
  <si>
    <t xml:space="preserve">RELIANTENESER</t>
  </si>
  <si>
    <t xml:space="preserve">EW2420</t>
  </si>
  <si>
    <t xml:space="preserve">ELPASMER</t>
  </si>
  <si>
    <t xml:space="preserve">EY1230</t>
  </si>
  <si>
    <t xml:space="preserve">N33626.2</t>
  </si>
  <si>
    <t xml:space="preserve">LT-TRANS-EA</t>
  </si>
  <si>
    <t xml:space="preserve">I</t>
  </si>
  <si>
    <t xml:space="preserve">NA9501.1</t>
  </si>
  <si>
    <t xml:space="preserve">UPRENESER</t>
  </si>
  <si>
    <t xml:space="preserve">NB4804</t>
  </si>
  <si>
    <t xml:space="preserve">SOUTHERCOMENEMA</t>
  </si>
  <si>
    <t xml:space="preserve">NE3899</t>
  </si>
  <si>
    <t xml:space="preserve">TRACTEBEENEMAR</t>
  </si>
  <si>
    <t xml:space="preserve">NE3901</t>
  </si>
  <si>
    <t xml:space="preserve">DUKEENETRA</t>
  </si>
  <si>
    <t xml:space="preserve">NE3903</t>
  </si>
  <si>
    <t xml:space="preserve">DYNEGYMARAND</t>
  </si>
  <si>
    <t xml:space="preserve">NE3906</t>
  </si>
  <si>
    <t xml:space="preserve">NE5062.1</t>
  </si>
  <si>
    <t xml:space="preserve">c</t>
  </si>
  <si>
    <t xml:space="preserve">OMICRON</t>
  </si>
  <si>
    <t xml:space="preserve">NE5062.2</t>
  </si>
  <si>
    <t xml:space="preserve">JARON</t>
  </si>
  <si>
    <t xml:space="preserve">NE6161.1</t>
  </si>
  <si>
    <t xml:space="preserve">NE6161.2</t>
  </si>
  <si>
    <t xml:space="preserve">NE6195</t>
  </si>
  <si>
    <t xml:space="preserve">NE6212</t>
  </si>
  <si>
    <t xml:space="preserve">NE7612</t>
  </si>
  <si>
    <t xml:space="preserve">NE8609</t>
  </si>
  <si>
    <t xml:space="preserve">NE8644</t>
  </si>
  <si>
    <t xml:space="preserve">NE9017</t>
  </si>
  <si>
    <t xml:space="preserve">NF0077.1</t>
  </si>
  <si>
    <t xml:space="preserve">NF0077.2</t>
  </si>
  <si>
    <t xml:space="preserve">NF0106.1</t>
  </si>
  <si>
    <t xml:space="preserve">NF0106.2</t>
  </si>
  <si>
    <t xml:space="preserve">NF1092.1</t>
  </si>
  <si>
    <t xml:space="preserve">NF1092.2</t>
  </si>
  <si>
    <t xml:space="preserve">NF1105.1</t>
  </si>
  <si>
    <t xml:space="preserve">NF1105.2</t>
  </si>
  <si>
    <t xml:space="preserve">NF1114.1</t>
  </si>
  <si>
    <t xml:space="preserve">NF1114.2</t>
  </si>
  <si>
    <t xml:space="preserve">NF2908.1</t>
  </si>
  <si>
    <t xml:space="preserve">NF2908.2</t>
  </si>
  <si>
    <t xml:space="preserve">NF2912.1</t>
  </si>
  <si>
    <t xml:space="preserve">NF2912.2</t>
  </si>
  <si>
    <t xml:space="preserve">NF3896.1</t>
  </si>
  <si>
    <t xml:space="preserve">NF3896.2</t>
  </si>
  <si>
    <t xml:space="preserve">NF4362</t>
  </si>
  <si>
    <t xml:space="preserve">AEPENESER</t>
  </si>
  <si>
    <t xml:space="preserve">NF4364.1</t>
  </si>
  <si>
    <t xml:space="preserve">NF4364.2</t>
  </si>
  <si>
    <t xml:space="preserve">NF4364.3</t>
  </si>
  <si>
    <t xml:space="preserve">NF5550.1</t>
  </si>
  <si>
    <t xml:space="preserve">NF5550.2</t>
  </si>
  <si>
    <t xml:space="preserve">NF5563</t>
  </si>
  <si>
    <t xml:space="preserve">NF5578.1</t>
  </si>
  <si>
    <t xml:space="preserve">NF5578.2</t>
  </si>
  <si>
    <t xml:space="preserve">NF6503.1</t>
  </si>
  <si>
    <t xml:space="preserve">NG1241.1</t>
  </si>
  <si>
    <t xml:space="preserve">WILLIAMSENEMAR</t>
  </si>
  <si>
    <t xml:space="preserve">NG4285.1</t>
  </si>
  <si>
    <t xml:space="preserve">NG4285.2</t>
  </si>
  <si>
    <t xml:space="preserve">AVISTAENE</t>
  </si>
  <si>
    <t xml:space="preserve">NG4457.1</t>
  </si>
  <si>
    <t xml:space="preserve">NG8049.1</t>
  </si>
  <si>
    <t xml:space="preserve">NG8063.1</t>
  </si>
  <si>
    <t xml:space="preserve">NH2932</t>
  </si>
  <si>
    <t xml:space="preserve">NH4419</t>
  </si>
  <si>
    <t xml:space="preserve">PHIBRO</t>
  </si>
  <si>
    <t xml:space="preserve">NH6374</t>
  </si>
  <si>
    <t xml:space="preserve">NH8899.1</t>
  </si>
  <si>
    <t xml:space="preserve">NI0591.1</t>
  </si>
  <si>
    <t xml:space="preserve">NI3439.1</t>
  </si>
  <si>
    <t xml:space="preserve">NI3439.2</t>
  </si>
  <si>
    <t xml:space="preserve">NI3451.1</t>
  </si>
  <si>
    <t xml:space="preserve">NI6123.1</t>
  </si>
  <si>
    <t xml:space="preserve">NI6136.1</t>
  </si>
  <si>
    <t xml:space="preserve">NI6136.2</t>
  </si>
  <si>
    <t xml:space="preserve">NJ0119.1</t>
  </si>
  <si>
    <t xml:space="preserve">CMSMARSERTRA</t>
  </si>
  <si>
    <t xml:space="preserve">NJ0240.1</t>
  </si>
  <si>
    <t xml:space="preserve">NJ0240.2</t>
  </si>
  <si>
    <t xml:space="preserve">PGEENETRAGAS</t>
  </si>
  <si>
    <t xml:space="preserve">NJ4328</t>
  </si>
  <si>
    <t xml:space="preserve">NJ4410</t>
  </si>
  <si>
    <t xml:space="preserve">OCCIDENTENEMAR</t>
  </si>
  <si>
    <t xml:space="preserve">NJ7455</t>
  </si>
  <si>
    <t xml:space="preserve">NK0151</t>
  </si>
  <si>
    <t xml:space="preserve">NK4321</t>
  </si>
  <si>
    <t xml:space="preserve">NK4353</t>
  </si>
  <si>
    <t xml:space="preserve">NK4369</t>
  </si>
  <si>
    <t xml:space="preserve">NK7690</t>
  </si>
  <si>
    <t xml:space="preserve">NK7692</t>
  </si>
  <si>
    <t xml:space="preserve">NK7700</t>
  </si>
  <si>
    <t xml:space="preserve">NL2540.1</t>
  </si>
  <si>
    <t xml:space="preserve">NL2540.2</t>
  </si>
  <si>
    <t xml:space="preserve">NL4381.1</t>
  </si>
  <si>
    <t xml:space="preserve">NL4381.2</t>
  </si>
  <si>
    <t xml:space="preserve">NL6881</t>
  </si>
  <si>
    <t xml:space="preserve">NL6887</t>
  </si>
  <si>
    <t xml:space="preserve">NL6890.1</t>
  </si>
  <si>
    <t xml:space="preserve">NL6890.2</t>
  </si>
  <si>
    <t xml:space="preserve">NL8209.1</t>
  </si>
  <si>
    <t xml:space="preserve">NL8209.2</t>
  </si>
  <si>
    <t xml:space="preserve">NL8217</t>
  </si>
  <si>
    <t xml:space="preserve">KOCHENETRA</t>
  </si>
  <si>
    <t xml:space="preserve">NL8222</t>
  </si>
  <si>
    <t xml:space="preserve">NL8409</t>
  </si>
  <si>
    <t xml:space="preserve">NL8413.1</t>
  </si>
  <si>
    <t xml:space="preserve">NL8413.2</t>
  </si>
  <si>
    <t xml:space="preserve">NL8413.3</t>
  </si>
  <si>
    <t xml:space="preserve">NL8419.1</t>
  </si>
  <si>
    <t xml:space="preserve">NL8419.2</t>
  </si>
  <si>
    <t xml:space="preserve">SMALLVENUSA</t>
  </si>
  <si>
    <t xml:space="preserve">NL9178</t>
  </si>
  <si>
    <t xml:space="preserve">NM2053.1</t>
  </si>
  <si>
    <t xml:space="preserve">NM2053.2</t>
  </si>
  <si>
    <t xml:space="preserve">NM2063.1</t>
  </si>
  <si>
    <t xml:space="preserve">NM2063.2</t>
  </si>
  <si>
    <t xml:space="preserve">NM2077.1</t>
  </si>
  <si>
    <t xml:space="preserve">NM2077.2</t>
  </si>
  <si>
    <t xml:space="preserve">NM2100</t>
  </si>
  <si>
    <t xml:space="preserve">NM2109</t>
  </si>
  <si>
    <t xml:space="preserve">NM2145</t>
  </si>
  <si>
    <t xml:space="preserve">NM2238</t>
  </si>
  <si>
    <t xml:space="preserve">NM4160.1</t>
  </si>
  <si>
    <t xml:space="preserve">NM4160.2</t>
  </si>
  <si>
    <t xml:space="preserve">NM4160.3</t>
  </si>
  <si>
    <t xml:space="preserve">NM6058.1</t>
  </si>
  <si>
    <t xml:space="preserve">NM6058.2</t>
  </si>
  <si>
    <t xml:space="preserve">NM6058.3</t>
  </si>
  <si>
    <t xml:space="preserve">NM6058.4</t>
  </si>
  <si>
    <t xml:space="preserve">NM6058.5</t>
  </si>
  <si>
    <t xml:space="preserve">NM6058.6</t>
  </si>
  <si>
    <t xml:space="preserve">NM6102.1</t>
  </si>
  <si>
    <t xml:space="preserve">NM6107</t>
  </si>
  <si>
    <t xml:space="preserve">NM6136</t>
  </si>
  <si>
    <t xml:space="preserve">NM7673.1</t>
  </si>
  <si>
    <t xml:space="preserve">NM7673.2</t>
  </si>
  <si>
    <t xml:space="preserve">NM7673.3</t>
  </si>
  <si>
    <t xml:space="preserve">NM7733</t>
  </si>
  <si>
    <t xml:space="preserve">NN0150.1</t>
  </si>
  <si>
    <t xml:space="preserve">NN0150.2</t>
  </si>
  <si>
    <t xml:space="preserve">NN2121</t>
  </si>
  <si>
    <t xml:space="preserve">NN2173</t>
  </si>
  <si>
    <t xml:space="preserve">NN3942</t>
  </si>
  <si>
    <t xml:space="preserve">NN3958</t>
  </si>
  <si>
    <t xml:space="preserve">NN9640.1</t>
  </si>
  <si>
    <t xml:space="preserve">NN9640.2</t>
  </si>
  <si>
    <t xml:space="preserve">UTILICORP</t>
  </si>
  <si>
    <t xml:space="preserve">NO1679.1</t>
  </si>
  <si>
    <t xml:space="preserve">NO1679.2</t>
  </si>
  <si>
    <t xml:space="preserve">NO1684</t>
  </si>
  <si>
    <t xml:space="preserve">NO2879</t>
  </si>
  <si>
    <t xml:space="preserve">NO2888</t>
  </si>
  <si>
    <t xml:space="preserve">NO2893</t>
  </si>
  <si>
    <t xml:space="preserve">NO2894</t>
  </si>
  <si>
    <t xml:space="preserve">NO4881</t>
  </si>
  <si>
    <t xml:space="preserve">NO7688.1</t>
  </si>
  <si>
    <t xml:space="preserve">NO7688.2</t>
  </si>
  <si>
    <t xml:space="preserve">NP3241</t>
  </si>
  <si>
    <t xml:space="preserve">NP6690</t>
  </si>
  <si>
    <t xml:space="preserve">NP8939.1</t>
  </si>
  <si>
    <t xml:space="preserve">NP8966.1</t>
  </si>
  <si>
    <t xml:space="preserve">NP8966.2</t>
  </si>
  <si>
    <t xml:space="preserve">NR1864</t>
  </si>
  <si>
    <t xml:space="preserve">NR1866</t>
  </si>
  <si>
    <t xml:space="preserve">CONAGRAENESER</t>
  </si>
  <si>
    <t xml:space="preserve">NR1867</t>
  </si>
  <si>
    <t xml:space="preserve">NR3983</t>
  </si>
  <si>
    <t xml:space="preserve">NR3997</t>
  </si>
  <si>
    <t xml:space="preserve">NR3998</t>
  </si>
  <si>
    <t xml:space="preserve">NR5974</t>
  </si>
  <si>
    <t xml:space="preserve">NR5976</t>
  </si>
  <si>
    <t xml:space="preserve">NR5978</t>
  </si>
  <si>
    <t xml:space="preserve">NR5979</t>
  </si>
  <si>
    <t xml:space="preserve">NR5983</t>
  </si>
  <si>
    <t xml:space="preserve">NR7762</t>
  </si>
  <si>
    <t xml:space="preserve">NR7764</t>
  </si>
  <si>
    <t xml:space="preserve">NR7765</t>
  </si>
  <si>
    <t xml:space="preserve">NR7766</t>
  </si>
  <si>
    <t xml:space="preserve">NR7767.1</t>
  </si>
  <si>
    <t xml:space="preserve">NR7767.2</t>
  </si>
  <si>
    <t xml:space="preserve">NS0945</t>
  </si>
  <si>
    <t xml:space="preserve">NS0946</t>
  </si>
  <si>
    <t xml:space="preserve">NS0947</t>
  </si>
  <si>
    <t xml:space="preserve">NS2705</t>
  </si>
  <si>
    <t xml:space="preserve">NS2749</t>
  </si>
  <si>
    <t xml:space="preserve">NS2782</t>
  </si>
  <si>
    <t xml:space="preserve">NS3031.1</t>
  </si>
  <si>
    <t xml:space="preserve">NS3031.2</t>
  </si>
  <si>
    <t xml:space="preserve">NS5125</t>
  </si>
  <si>
    <t xml:space="preserve">NS5170</t>
  </si>
  <si>
    <t xml:space="preserve">NS5173</t>
  </si>
  <si>
    <t xml:space="preserve">NS7549</t>
  </si>
  <si>
    <t xml:space="preserve">NS9621</t>
  </si>
  <si>
    <t xml:space="preserve">NT3509</t>
  </si>
  <si>
    <t xml:space="preserve">NT6024</t>
  </si>
  <si>
    <t xml:space="preserve">NT8124.1</t>
  </si>
  <si>
    <t xml:space="preserve">NT8124.3</t>
  </si>
  <si>
    <t xml:space="preserve">NT8124.4</t>
  </si>
  <si>
    <t xml:space="preserve">NT8124.5</t>
  </si>
  <si>
    <t xml:space="preserve">NT9909.1</t>
  </si>
  <si>
    <t xml:space="preserve">NT9909.2</t>
  </si>
  <si>
    <t xml:space="preserve">NT9931</t>
  </si>
  <si>
    <t xml:space="preserve">NU0070.1</t>
  </si>
  <si>
    <t xml:space="preserve">NU0070.2</t>
  </si>
  <si>
    <t xml:space="preserve">NU0073</t>
  </si>
  <si>
    <t xml:space="preserve">NU0077</t>
  </si>
  <si>
    <t xml:space="preserve">NU3268</t>
  </si>
  <si>
    <t xml:space="preserve">NU3291</t>
  </si>
  <si>
    <t xml:space="preserve">NU5426</t>
  </si>
  <si>
    <t xml:space="preserve">NU5429</t>
  </si>
  <si>
    <t xml:space="preserve">NU5433.1</t>
  </si>
  <si>
    <t xml:space="preserve">NU5433.2</t>
  </si>
  <si>
    <t xml:space="preserve">NU5442</t>
  </si>
  <si>
    <t xml:space="preserve">NU5447</t>
  </si>
  <si>
    <t xml:space="preserve">NU5454</t>
  </si>
  <si>
    <t xml:space="preserve">NU5468</t>
  </si>
  <si>
    <t xml:space="preserve">TRANSCANENEFIN</t>
  </si>
  <si>
    <t xml:space="preserve">NU7573</t>
  </si>
  <si>
    <t xml:space="preserve">NU9007</t>
  </si>
  <si>
    <t xml:space="preserve">NU9019</t>
  </si>
  <si>
    <t xml:space="preserve">NU9027</t>
  </si>
  <si>
    <t xml:space="preserve">NV0431</t>
  </si>
  <si>
    <t xml:space="preserve">NV0442</t>
  </si>
  <si>
    <t xml:space="preserve">NV0444.1</t>
  </si>
  <si>
    <t xml:space="preserve">NV0444.2</t>
  </si>
  <si>
    <t xml:space="preserve">NV0444.3</t>
  </si>
  <si>
    <t xml:space="preserve">NV0444.4</t>
  </si>
  <si>
    <t xml:space="preserve">NV0535</t>
  </si>
  <si>
    <t xml:space="preserve">NV2737.1</t>
  </si>
  <si>
    <t xml:space="preserve">NV2737.2</t>
  </si>
  <si>
    <t xml:space="preserve">NV2771</t>
  </si>
  <si>
    <t xml:space="preserve">NV5364.1</t>
  </si>
  <si>
    <t xml:space="preserve">NV5364.2</t>
  </si>
  <si>
    <t xml:space="preserve">NV5380.1</t>
  </si>
  <si>
    <t xml:space="preserve">NV5380.2</t>
  </si>
  <si>
    <t xml:space="preserve">NV5394.1</t>
  </si>
  <si>
    <t xml:space="preserve">NV5394.2</t>
  </si>
  <si>
    <t xml:space="preserve">NV5416.1</t>
  </si>
  <si>
    <t xml:space="preserve">NV5416.2</t>
  </si>
  <si>
    <t xml:space="preserve">NV6667.1</t>
  </si>
  <si>
    <t xml:space="preserve">NV6667.2</t>
  </si>
  <si>
    <t xml:space="preserve">NV6677</t>
  </si>
  <si>
    <t xml:space="preserve">NV6691</t>
  </si>
  <si>
    <t xml:space="preserve">NV7017</t>
  </si>
  <si>
    <t xml:space="preserve">NV8440</t>
  </si>
  <si>
    <t xml:space="preserve">NW0631</t>
  </si>
  <si>
    <t xml:space="preserve">NW0635</t>
  </si>
  <si>
    <t xml:space="preserve">NW0645</t>
  </si>
  <si>
    <t xml:space="preserve">NW0648</t>
  </si>
  <si>
    <t xml:space="preserve">NW3286.1</t>
  </si>
  <si>
    <t xml:space="preserve">NW3286.2</t>
  </si>
  <si>
    <t xml:space="preserve">NW3289</t>
  </si>
  <si>
    <t xml:space="preserve">NW5608</t>
  </si>
  <si>
    <t xml:space="preserve">NW5620</t>
  </si>
  <si>
    <t xml:space="preserve">NW5627.1</t>
  </si>
  <si>
    <t xml:space="preserve">NW5630.1</t>
  </si>
  <si>
    <t xml:space="preserve">NW5630.2</t>
  </si>
  <si>
    <t xml:space="preserve">NW5635</t>
  </si>
  <si>
    <t xml:space="preserve">NW8030.1</t>
  </si>
  <si>
    <t xml:space="preserve">NW8030.2</t>
  </si>
  <si>
    <t xml:space="preserve">NW9582</t>
  </si>
  <si>
    <t xml:space="preserve">NW9726</t>
  </si>
  <si>
    <t xml:space="preserve">VIRGINIAPOWENE</t>
  </si>
  <si>
    <t xml:space="preserve">NW9731</t>
  </si>
  <si>
    <t xml:space="preserve">NW9732</t>
  </si>
  <si>
    <t xml:space="preserve">NW9733</t>
  </si>
  <si>
    <t xml:space="preserve">FT-US/CAND-ERMS</t>
  </si>
  <si>
    <t xml:space="preserve">NW9477.2</t>
  </si>
  <si>
    <t xml:space="preserve">NX1655.1</t>
  </si>
  <si>
    <t xml:space="preserve">NX1655.2</t>
  </si>
  <si>
    <t xml:space="preserve">NX1655.3</t>
  </si>
  <si>
    <t xml:space="preserve">NX1655.4</t>
  </si>
  <si>
    <t xml:space="preserve">NX1690</t>
  </si>
  <si>
    <t xml:space="preserve">NX1706</t>
  </si>
  <si>
    <t xml:space="preserve">NX1727.2</t>
  </si>
  <si>
    <t xml:space="preserve">Gas Daily Spread OPTIONS</t>
  </si>
  <si>
    <t xml:space="preserve">GDP-CAL BORDER</t>
  </si>
  <si>
    <t xml:space="preserve">GDP-ELPO/SANJUA</t>
  </si>
  <si>
    <t xml:space="preserve">NG_OMICRON_4</t>
  </si>
  <si>
    <t xml:space="preserve"> GD Index</t>
  </si>
  <si>
    <t xml:space="preserve">GD Index</t>
  </si>
  <si>
    <t xml:space="preserve">INDEX 1</t>
  </si>
  <si>
    <t xml:space="preserve">INDEX 2</t>
  </si>
  <si>
    <t xml:space="preserve">Net</t>
  </si>
  <si>
    <t xml:space="preserve">IF-ELPO/SJ</t>
  </si>
  <si>
    <t xml:space="preserve">Pub Code 1</t>
  </si>
  <si>
    <t xml:space="preserve">Pub Code 2</t>
  </si>
  <si>
    <t xml:space="preserve">Price 1</t>
  </si>
  <si>
    <t xml:space="preserve">Price 2</t>
  </si>
  <si>
    <t xml:space="preserve">NG1460</t>
  </si>
  <si>
    <t xml:space="preserve">NG9888</t>
  </si>
  <si>
    <t xml:space="preserve">NH4414</t>
  </si>
  <si>
    <t xml:space="preserve">NI6159</t>
  </si>
  <si>
    <t xml:space="preserve">NJ2434.1</t>
  </si>
  <si>
    <t xml:space="preserve">NJ2434.2</t>
  </si>
  <si>
    <t xml:space="preserve">NJ4429</t>
  </si>
  <si>
    <t xml:space="preserve">NT7394</t>
  </si>
  <si>
    <t xml:space="preserve">GDP-TRCOZ6/NY</t>
  </si>
  <si>
    <t xml:space="preserve">GDP-HEHUB</t>
  </si>
  <si>
    <t xml:space="preserve">DIGITAL OPTIONS</t>
  </si>
  <si>
    <t xml:space="preserve">Total MTM:</t>
  </si>
  <si>
    <t xml:space="preserve">Payoff</t>
  </si>
  <si>
    <t xml:space="preserve">Srike</t>
  </si>
  <si>
    <t xml:space="preserve">Put/</t>
  </si>
  <si>
    <t xml:space="preserve">Contract</t>
  </si>
  <si>
    <t xml:space="preserve">Payment</t>
  </si>
  <si>
    <t xml:space="preserve">Call</t>
  </si>
  <si>
    <t xml:space="preserve">IF-ANR/OK</t>
  </si>
  <si>
    <t xml:space="preserve">TOTAL</t>
  </si>
  <si>
    <t xml:space="preserve">HELMERICHPAYNE</t>
  </si>
  <si>
    <t xml:space="preserve">N29863</t>
  </si>
  <si>
    <t xml:space="preserve">p</t>
  </si>
  <si>
    <t xml:space="preserve">=VLOOKUP(E7,NGPrices,2,FALSE)</t>
  </si>
  <si>
    <t xml:space="preserve">=HLOOKUP(C7,Prices,VLOOKUP(E7,move_down,2,FALSE),FALSE)</t>
  </si>
  <si>
    <t xml:space="preserve">=K7+J7</t>
  </si>
  <si>
    <t xml:space="preserve">=VLOOKUP(E7,NGPrices,4,FALSE)</t>
  </si>
  <si>
    <t xml:space="preserve">=HLOOKUP(C7,VOLS,VLOOKUP(E7,move_down,2,FALSE),FALSE)</t>
  </si>
  <si>
    <t xml:space="preserve">=xDIGITAL(H8,L8,I8,M8,M8,O8,N8,P8,0)</t>
  </si>
  <si>
    <t xml:space="preserve">=xDIGITAL(H8,L8,I8,M8,M8,O8,N8,P8,1)</t>
  </si>
  <si>
    <t xml:space="preserve">=Q8*F8</t>
  </si>
  <si>
    <t xml:space="preserve">Digital Options</t>
  </si>
  <si>
    <t xml:space="preserve">Total Cash Flows</t>
  </si>
  <si>
    <t xml:space="preserve">PV Factor</t>
  </si>
  <si>
    <t xml:space="preserve">Undiscounted Cash Flows</t>
  </si>
  <si>
    <t xml:space="preserve">Correlations</t>
  </si>
  <si>
    <t xml:space="preserve">Location</t>
  </si>
  <si>
    <t xml:space="preserve">Ave Winter</t>
  </si>
  <si>
    <t xml:space="preserve">Ave Summer</t>
  </si>
  <si>
    <t xml:space="preserve">Date</t>
  </si>
  <si>
    <t xml:space="preserve">Do not alter these Cells</t>
  </si>
  <si>
    <t xml:space="preserve">NG - TCO</t>
  </si>
  <si>
    <t xml:space="preserve">NG - Z6</t>
  </si>
  <si>
    <t xml:space="preserve">NG - Rockies</t>
  </si>
  <si>
    <t xml:space="preserve">NG - Panhandle</t>
  </si>
  <si>
    <t xml:space="preserve">NG - Chicago</t>
  </si>
  <si>
    <t xml:space="preserve">NG - HSC</t>
  </si>
  <si>
    <t xml:space="preserve">NG - Perm</t>
  </si>
  <si>
    <t xml:space="preserve">.</t>
  </si>
  <si>
    <t xml:space="preserve">EXTENDABLE COLLARS</t>
  </si>
  <si>
    <t xml:space="preserve">REGION</t>
  </si>
  <si>
    <t xml:space="preserve">TOTAL EXOTIC POSITIONS</t>
  </si>
  <si>
    <t xml:space="preserve">CONTRACTS</t>
  </si>
  <si>
    <t xml:space="preserve">CONTRACT</t>
  </si>
  <si>
    <t xml:space="preserve">POSITION</t>
  </si>
  <si>
    <t xml:space="preserve">DO NOT DELETE OR MOVE!!</t>
  </si>
  <si>
    <t xml:space="preserve">extendable collars</t>
  </si>
  <si>
    <t xml:space="preserve">basis option</t>
  </si>
  <si>
    <t xml:space="preserve">basket options</t>
  </si>
  <si>
    <t xml:space="preserve">gd spread options</t>
  </si>
  <si>
    <t xml:space="preserve">digital options</t>
  </si>
  <si>
    <t xml:space="preserve">NYMEX Equivalent Delta Contract Position By Pipe</t>
  </si>
  <si>
    <t xml:space="preserve">IF-NNG-VENT</t>
  </si>
  <si>
    <t xml:space="preserve">BASKET OPTIONS</t>
  </si>
  <si>
    <t xml:space="preserve">User ID:</t>
  </si>
  <si>
    <t xml:space="preserve">mbennet_pc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</si>
  <si>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</si>
  <si>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</si>
  <si>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</si>
  <si>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</si>
  <si>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</si>
  <si>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</si>
  <si>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Effective Dt:</t>
  </si>
  <si>
    <t xml:space="preserve">Enter today's Effective Dt</t>
  </si>
  <si>
    <t xml:space="preserve">1 + 21</t>
  </si>
  <si>
    <t xml:space="preserve">1 + 22</t>
  </si>
  <si>
    <t xml:space="preserve">Effective Date</t>
  </si>
  <si>
    <t xml:space="preserve">TRANSCO/Z6</t>
  </si>
  <si>
    <t xml:space="preserve">HEHUB</t>
  </si>
  <si>
    <t xml:space="preserve">Prompt Month</t>
  </si>
  <si>
    <t xml:space="preserve">Curve Code</t>
  </si>
  <si>
    <t xml:space="preserve">NG</t>
  </si>
  <si>
    <t xml:space="preserve">INTNS</t>
  </si>
  <si>
    <t xml:space="preserve">IF-TGT/ZSL</t>
  </si>
  <si>
    <t xml:space="preserve">Prior Day Disc. Factor</t>
  </si>
  <si>
    <t xml:space="preserve">Today Disc. Factor</t>
  </si>
  <si>
    <t xml:space="preserve">Curve Type</t>
  </si>
  <si>
    <t xml:space="preserve">PR</t>
  </si>
  <si>
    <t xml:space="preserve">VO</t>
  </si>
  <si>
    <t xml:space="preserve">AA</t>
  </si>
  <si>
    <t xml:space="preserve">Book Code 1</t>
  </si>
  <si>
    <t xml:space="preserve">R</t>
  </si>
  <si>
    <t xml:space="preserve">D</t>
  </si>
  <si>
    <t xml:space="preserve">M</t>
  </si>
  <si>
    <t xml:space="preserve">book_id</t>
  </si>
  <si>
    <t xml:space="preserve">master_deal_id</t>
  </si>
  <si>
    <t xml:space="preserve">instrument_type_cd</t>
  </si>
  <si>
    <t xml:space="preserve">otc_exchange_cd</t>
  </si>
  <si>
    <t xml:space="preserve">deal_nature_cd</t>
  </si>
  <si>
    <t xml:space="preserve">external_cp_cd</t>
  </si>
  <si>
    <t xml:space="preserve">internal_cp_cd</t>
  </si>
  <si>
    <t xml:space="preserve">region_cd</t>
  </si>
  <si>
    <t xml:space="preserve">opt_class_cd</t>
  </si>
  <si>
    <t xml:space="preserve">premium_currency_cd</t>
  </si>
  <si>
    <t xml:space="preserve">reference_dt</t>
  </si>
  <si>
    <t xml:space="preserve">mtm_value_amt</t>
  </si>
  <si>
    <t xml:space="preserve">expiry_dt</t>
  </si>
  <si>
    <t xml:space="preserve">call_put_cd</t>
  </si>
  <si>
    <t xml:space="preserve">strike_price_amt</t>
  </si>
  <si>
    <t xml:space="preserve">energy_conversion_factor</t>
  </si>
  <si>
    <t xml:space="preserve">curve_cd_correlation_num</t>
  </si>
  <si>
    <t xml:space="preserve">cross_gamma_qty</t>
  </si>
  <si>
    <t xml:space="preserve">option_premium_amt</t>
  </si>
  <si>
    <t xml:space="preserve">premium_due_dt</t>
  </si>
  <si>
    <t xml:space="preserve">price_curve_cd</t>
  </si>
  <si>
    <t xml:space="preserve">sprd_2nd_curve_cd</t>
  </si>
  <si>
    <t xml:space="preserve">commodity_cd</t>
  </si>
  <si>
    <t xml:space="preserve">sprd_2nd_cmdty</t>
  </si>
  <si>
    <t xml:space="preserve">currency_cd</t>
  </si>
  <si>
    <t xml:space="preserve">uom_cd</t>
  </si>
  <si>
    <t xml:space="preserve">sprd_2nd_uomd</t>
  </si>
  <si>
    <t xml:space="preserve">risk_type_cd</t>
  </si>
  <si>
    <t xml:space="preserve">gross_position_qty</t>
  </si>
  <si>
    <t xml:space="preserve">delta_position_qty</t>
  </si>
  <si>
    <t xml:space="preserve">sprd_2nd_delta</t>
  </si>
  <si>
    <t xml:space="preserve">gamma_num</t>
  </si>
  <si>
    <t xml:space="preserve">sprd_2nd_gamma</t>
  </si>
  <si>
    <t xml:space="preserve">curve_shift_amt</t>
  </si>
  <si>
    <t xml:space="preserve">sprd_2nd_curve_shift</t>
  </si>
  <si>
    <t xml:space="preserve">peakness_cd</t>
  </si>
  <si>
    <t xml:space="preserve">vega_num</t>
  </si>
  <si>
    <t xml:space="preserve">sprd_2nd_vega</t>
  </si>
  <si>
    <t xml:space="preserve">fixed_price_amt</t>
  </si>
  <si>
    <t xml:space="preserve">NG-OPT-XL-PRC</t>
  </si>
  <si>
    <t xml:space="preserve">OPTION</t>
  </si>
  <si>
    <t xml:space="preserve">O</t>
  </si>
  <si>
    <t xml:space="preserve">N/A</t>
  </si>
  <si>
    <t xml:space="preserve">DESK</t>
  </si>
  <si>
    <t xml:space="preserve">EUR</t>
  </si>
  <si>
    <t xml:space="preserve">USD</t>
  </si>
  <si>
    <t xml:space="preserve">ENA</t>
  </si>
  <si>
    <t xml:space="preserve">MMBTU</t>
  </si>
  <si>
    <t xml:space="preserve">N</t>
  </si>
  <si>
    <t xml:space="preserve">NG-OPT-XL-BAS</t>
  </si>
  <si>
    <t xml:space="preserve">"NGI/CHI. GATE"</t>
  </si>
  <si>
    <t xml:space="preserve">NL6887.1</t>
  </si>
  <si>
    <t xml:space="preserve">NL6887.2</t>
  </si>
  <si>
    <t xml:space="preserve">NS7540</t>
  </si>
</sst>
</file>

<file path=xl/styles.xml><?xml version="1.0" encoding="utf-8"?>
<styleSheet xmlns="http://schemas.openxmlformats.org/spreadsheetml/2006/main">
  <numFmts count="44">
    <numFmt numFmtId="164" formatCode="General"/>
    <numFmt numFmtId="165" formatCode="_(* #,##0_);_(* \(#,##0\);_(* \-_);_(@_)"/>
    <numFmt numFmtId="166" formatCode="[$-409]#,##0_);[RED]\(#,##0\)"/>
    <numFmt numFmtId="167" formatCode="_-* #,##0_-;\-* #,##0_-;_-* \-_-;_-@_-"/>
    <numFmt numFmtId="168" formatCode="_(* #,##0.00_);_(* \(#,##0.00\);_(* \-??_);_(@_)"/>
    <numFmt numFmtId="169" formatCode="[$-409]#,##0.00_);[RED]\(#,##0.00\)"/>
    <numFmt numFmtId="170" formatCode="_-* #,##0.00_-;\-* #,##0.00_-;_-* \-??_-;_-@_-"/>
    <numFmt numFmtId="171" formatCode="_(\$* #,##0_);_(\$* \(#,##0\);_(\$* \-_);_(@_)"/>
    <numFmt numFmtId="172" formatCode="\$#,##0_);[RED]&quot;($&quot;#,##0\)"/>
    <numFmt numFmtId="173" formatCode="_-\£* #,##0_-;&quot;-£&quot;* #,##0_-;_-\£* \-_-;_-@_-"/>
    <numFmt numFmtId="174" formatCode="_(\$* #,##0.00_);_(\$* \(#,##0.00\);_(\$* \-??_);_(@_)"/>
    <numFmt numFmtId="175" formatCode="\$#,##0.00_);[RED]&quot;($&quot;#,##0.00\)"/>
    <numFmt numFmtId="176" formatCode="_-\£* #,##0.00_-;&quot;-£&quot;* #,##0.00_-;_-\£* \-??_-;_-@_-"/>
    <numFmt numFmtId="177" formatCode="General_)"/>
    <numFmt numFmtId="178" formatCode="[$-409]m/d/yyyy"/>
    <numFmt numFmtId="179" formatCode="_(* #,##0_);_(* \(#,##0\);_(* \-??_);_(@_)"/>
    <numFmt numFmtId="180" formatCode="_(\$* #,##0_);_(\$* \(#,##0\);_(\$* \-??_);_(@_)"/>
    <numFmt numFmtId="181" formatCode="mmmm\-yy"/>
    <numFmt numFmtId="182" formatCode="[$-409]mmm\-yy"/>
    <numFmt numFmtId="183" formatCode="[$-409]d\-mmm\-yy"/>
    <numFmt numFmtId="184" formatCode="0.00"/>
    <numFmt numFmtId="185" formatCode="0.0%"/>
    <numFmt numFmtId="186" formatCode="#,##0"/>
    <numFmt numFmtId="187" formatCode="0.000"/>
    <numFmt numFmtId="188" formatCode="0%"/>
    <numFmt numFmtId="189" formatCode="0.000%"/>
    <numFmt numFmtId="190" formatCode="0"/>
    <numFmt numFmtId="191" formatCode="0.00%"/>
    <numFmt numFmtId="192" formatCode="_(\$* #,##0.0000_);_(\$* \(#,##0.0000\);_(\$* \-??_);_(@_)"/>
    <numFmt numFmtId="193" formatCode="[$-409]#,##0_);\(#,##0\)"/>
    <numFmt numFmtId="194" formatCode="0_);\(0\)"/>
    <numFmt numFmtId="195" formatCode="0_);[RED]\(0\)"/>
    <numFmt numFmtId="196" formatCode="0.000_);[RED]\(0.000\)"/>
    <numFmt numFmtId="197" formatCode="mm/dd/yy"/>
    <numFmt numFmtId="198" formatCode="#,##0.0_);[RED]\(#,##0.0\)"/>
    <numFmt numFmtId="199" formatCode="mm\-dd\-yyyy"/>
    <numFmt numFmtId="200" formatCode="dd\-mmm\-yy"/>
    <numFmt numFmtId="201" formatCode="0.00E+00"/>
    <numFmt numFmtId="202" formatCode="_(* #,##0.000_);_(* \(#,##0.000\);_(* \-??_);_(@_)"/>
    <numFmt numFmtId="203" formatCode="0.0000_);\(0.0000\)"/>
    <numFmt numFmtId="204" formatCode="_(* #,##0.00000_);_(* \(#,##0.00000\);_(* \-??_);_(@_)"/>
    <numFmt numFmtId="205" formatCode="_(* #,##0.000000_);_(* \(#,##0.000000\);_(* \-??_);_(@_)"/>
    <numFmt numFmtId="206" formatCode="mmm\-dd\-yy"/>
    <numFmt numFmtId="207" formatCode="d\-mmm\-yyyy"/>
  </numFmts>
  <fonts count="3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sz val="10"/>
      <name val="Courier New"/>
      <family val="0"/>
    </font>
    <font>
      <b val="true"/>
      <sz val="16"/>
      <name val="Times New Roman"/>
      <family val="1"/>
    </font>
    <font>
      <sz val="10"/>
      <name val="Times New Roman"/>
      <family val="1"/>
    </font>
    <font>
      <b val="true"/>
      <sz val="14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sz val="14"/>
      <name val="Times New Roman"/>
      <family val="1"/>
    </font>
    <font>
      <b val="true"/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color rgb="FFFF0000"/>
      <name val="Arial"/>
      <family val="2"/>
    </font>
    <font>
      <b val="true"/>
      <sz val="10"/>
      <name val="Arial"/>
      <family val="2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sz val="12"/>
      <name val="Arial"/>
      <family val="2"/>
    </font>
    <font>
      <b val="true"/>
      <sz val="12"/>
      <name val="Arial"/>
      <family val="2"/>
    </font>
    <font>
      <b val="true"/>
      <sz val="11"/>
      <name val="Arial"/>
      <family val="2"/>
    </font>
    <font>
      <sz val="10"/>
      <color rgb="FFFF0000"/>
      <name val="Arial"/>
      <family val="2"/>
    </font>
    <font>
      <b val="true"/>
      <sz val="14"/>
      <name val="Arial"/>
      <family val="2"/>
    </font>
    <font>
      <b val="true"/>
      <sz val="8"/>
      <name val="Arial"/>
      <family val="2"/>
    </font>
    <font>
      <sz val="8"/>
      <name val="Arial"/>
      <family val="2"/>
    </font>
    <font>
      <b val="true"/>
      <sz val="10"/>
      <name val="Arial"/>
      <family val="0"/>
    </font>
    <font>
      <sz val="10"/>
      <name val="Arial"/>
      <family val="2"/>
    </font>
    <font>
      <sz val="10"/>
      <color rgb="FF000000"/>
      <name val="Arial"/>
      <family val="2"/>
    </font>
    <font>
      <sz val="9"/>
      <name val="Arial"/>
      <family val="0"/>
    </font>
    <font>
      <sz val="11"/>
      <name val="Arial"/>
      <family val="2"/>
    </font>
    <font>
      <sz val="9"/>
      <name val="Times New Roman"/>
      <family val="1"/>
    </font>
    <font>
      <b val="true"/>
      <sz val="9"/>
      <name val="Times New Roman"/>
      <family val="1"/>
    </font>
    <font>
      <sz val="8"/>
      <name val="Times New Roman"/>
      <family val="1"/>
    </font>
    <font>
      <b val="true"/>
      <sz val="10"/>
      <color rgb="FF800000"/>
      <name val="Times New Roman"/>
      <family val="1"/>
    </font>
    <font>
      <sz val="10"/>
      <color rgb="FF000080"/>
      <name val="Times New Roman"/>
      <family val="1"/>
    </font>
    <font>
      <sz val="1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FFFF"/>
        <bgColor rgb="FF00FFFF"/>
      </patternFill>
    </fill>
    <fill>
      <patternFill patternType="solid">
        <fgColor rgb="FF339933"/>
        <bgColor rgb="FF008000"/>
      </patternFill>
    </fill>
    <fill>
      <patternFill patternType="solid">
        <fgColor rgb="FF00FF00"/>
        <bgColor rgb="FF00FFFF"/>
      </patternFill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0C0C0"/>
        <bgColor rgb="FFA6CAF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A6CAF0"/>
        <bgColor rgb="FFC0C0C0"/>
      </patternFill>
    </fill>
    <fill>
      <patternFill patternType="solid">
        <fgColor rgb="FFCC9CCC"/>
        <bgColor rgb="FFCC99FF"/>
      </patternFill>
    </fill>
    <fill>
      <patternFill patternType="solid">
        <fgColor rgb="FFE3E3E3"/>
        <bgColor rgb="FFCCFFCC"/>
      </patternFill>
    </fill>
    <fill>
      <patternFill patternType="solid">
        <fgColor rgb="FF69FFFF"/>
        <bgColor rgb="FFA6CAF0"/>
      </patternFill>
    </fill>
    <fill>
      <patternFill patternType="solid">
        <fgColor rgb="FFCC99FF"/>
        <bgColor rgb="FFCC9CCC"/>
      </patternFill>
    </fill>
  </fills>
  <borders count="54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</borders>
  <cellStyleXfs count="20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8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7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1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1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4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5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7" fillId="7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7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5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7" fillId="7" borderId="1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7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5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7" fillId="7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7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0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7" fillId="6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7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7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7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" fillId="6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" fillId="6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7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7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9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9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8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9" fillId="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9" fillId="9" borderId="2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9" fillId="9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9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9" fillId="9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8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5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1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8" fillId="11" borderId="3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84" fontId="18" fillId="11" borderId="3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85" fontId="18" fillId="11" borderId="3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6" fontId="18" fillId="11" borderId="34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10" fillId="12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1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8" fillId="11" borderId="30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6" fontId="18" fillId="11" borderId="30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1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12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8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2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7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0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2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8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9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9" fillId="13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6" fillId="8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6" fillId="8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9" fillId="13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9" fillId="1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4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9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9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3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9" fillId="9" borderId="3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9" fillId="9" borderId="3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5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8" fillId="11" borderId="27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84" fontId="18" fillId="11" borderId="27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85" fontId="18" fillId="11" borderId="27" xfId="17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9" fillId="12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1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12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0" fillId="12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0" fillId="12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12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8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9" fillId="8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9" fillId="13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9" fillId="1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6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9" fillId="9" borderId="4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1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8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8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9" fillId="9" borderId="3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8" borderId="3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5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8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8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9" fillId="8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2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2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7" fillId="0" borderId="3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2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9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7" fillId="9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7" fillId="9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2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2" borderId="5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2" borderId="5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2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5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4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0" fillId="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2" borderId="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2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2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4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4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1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0" fillId="3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6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6" borderId="3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6" borderId="2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8" fillId="1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3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3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6" borderId="2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8" fillId="1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15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3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6" borderId="4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6" borderId="4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8" fillId="1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6" fillId="2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8" borderId="5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2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8" borderId="5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1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8" borderId="5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8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8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5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8" borderId="2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8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6" fillId="2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16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8" fontId="1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16" fillId="8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16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8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16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16" fillId="8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2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7" fillId="0" borderId="0" xfId="198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198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0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1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3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7" fillId="0" borderId="33" xfId="198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1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1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3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3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7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5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9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7" fillId="0" borderId="0" xfId="198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4" fillId="2" borderId="0" xfId="198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19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7" fillId="2" borderId="0" xfId="19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35" fillId="2" borderId="0" xfId="19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7" fillId="2" borderId="0" xfId="198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0" fillId="2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7" fillId="2" borderId="0" xfId="198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2" borderId="0" xfId="198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6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6" fillId="2" borderId="0" xfId="198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2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8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0731" xfId="20"/>
    <cellStyle name="Comma [0]_0894PlantBks" xfId="21"/>
    <cellStyle name="Comma [0]_conrep" xfId="22"/>
    <cellStyle name="Comma [0]_conversion" xfId="23"/>
    <cellStyle name="Comma [0]_Crude Origination" xfId="24"/>
    <cellStyle name="Comma [0]_Crude Prod Report" xfId="25"/>
    <cellStyle name="Comma [0]_Crude Prod Roll" xfId="26"/>
    <cellStyle name="Comma [0]_DAILY POSITION REPORT" xfId="27"/>
    <cellStyle name="Comma [0]_DAILY POSITION REPORT_1" xfId="28"/>
    <cellStyle name="Comma [0]_EXPLAIN" xfId="29"/>
    <cellStyle name="Comma [0]_G" xfId="30"/>
    <cellStyle name="Comma [0]_H" xfId="31"/>
    <cellStyle name="Comma [0]_HEAT DAILY POSITION" xfId="32"/>
    <cellStyle name="Comma [0]_HEAT ROLL" xfId="33"/>
    <cellStyle name="Comma [0]_JET DAILY POSITION" xfId="34"/>
    <cellStyle name="Comma [0]_JET ROLL" xfId="35"/>
    <cellStyle name="Comma [0]_L" xfId="36"/>
    <cellStyle name="Comma [0]_N" xfId="37"/>
    <cellStyle name="Comma [0]_New and Improved Rollforward" xfId="38"/>
    <cellStyle name="Comma [0]_NewDPR" xfId="39"/>
    <cellStyle name="Comma [0]_NewDPR_1" xfId="40"/>
    <cellStyle name="Comma [0]_NewRoll" xfId="41"/>
    <cellStyle name="Comma [0]_NewRoll (2)" xfId="42"/>
    <cellStyle name="Comma [0]_NewRoll (2)_0894PlantBks" xfId="43"/>
    <cellStyle name="Comma [0]_NewRoll (2)_NewDPR" xfId="44"/>
    <cellStyle name="Comma [0]_Omic0799" xfId="45"/>
    <cellStyle name="Comma [0]_Post_ID" xfId="46"/>
    <cellStyle name="Comma [0]_Post_ID (2)" xfId="47"/>
    <cellStyle name="Comma [0]_Products" xfId="48"/>
    <cellStyle name="Comma [0]_RESID DAILY POSITION" xfId="49"/>
    <cellStyle name="Comma [0]_RESID ORIGINATION" xfId="50"/>
    <cellStyle name="Comma [0]_RESID ROLL" xfId="51"/>
    <cellStyle name="Comma [0]_ROLL" xfId="52"/>
    <cellStyle name="Comma [0]_Sheet1" xfId="53"/>
    <cellStyle name="Comma [0]_Spread" xfId="54"/>
    <cellStyle name="Comma [0]_WPRD DAILY POSITION" xfId="55"/>
    <cellStyle name="Comma [0]_WPRD ROLL" xfId="56"/>
    <cellStyle name="Comma [0]_WTI DAILY POSITION" xfId="57"/>
    <cellStyle name="Comma [0]_WTI DAILY POSITION (2)" xfId="58"/>
    <cellStyle name="Comma [0]_WTI Origination" xfId="59"/>
    <cellStyle name="Comma [0]_WTI ROLL" xfId="60"/>
    <cellStyle name="Comma [0]_WTI ROLL (2)" xfId="61"/>
    <cellStyle name="Comma_0731" xfId="62"/>
    <cellStyle name="Comma_0894PlantBks" xfId="63"/>
    <cellStyle name="Comma_conrep" xfId="64"/>
    <cellStyle name="Comma_conversion" xfId="65"/>
    <cellStyle name="Comma_Crude Origination" xfId="66"/>
    <cellStyle name="Comma_Crude Prod Report" xfId="67"/>
    <cellStyle name="Comma_Crude Prod Roll" xfId="68"/>
    <cellStyle name="Comma_DAILY POSITION REPORT" xfId="69"/>
    <cellStyle name="Comma_DAILY POSITION REPORT_1" xfId="70"/>
    <cellStyle name="Comma_EXPLAIN" xfId="71"/>
    <cellStyle name="Comma_G" xfId="72"/>
    <cellStyle name="Comma_H" xfId="73"/>
    <cellStyle name="Comma_HEAT DAILY POSITION" xfId="74"/>
    <cellStyle name="Comma_HEAT ROLL" xfId="75"/>
    <cellStyle name="Comma_JET DAILY POSITION" xfId="76"/>
    <cellStyle name="Comma_JET ROLL" xfId="77"/>
    <cellStyle name="Comma_L" xfId="78"/>
    <cellStyle name="Comma_N" xfId="79"/>
    <cellStyle name="Comma_New and Improved Rollforward" xfId="80"/>
    <cellStyle name="Comma_NewDPR" xfId="81"/>
    <cellStyle name="Comma_NewDPR_1" xfId="82"/>
    <cellStyle name="Comma_NewRoll" xfId="83"/>
    <cellStyle name="Comma_NewRoll (2)" xfId="84"/>
    <cellStyle name="Comma_NewRoll (2)_0894PlantBks" xfId="85"/>
    <cellStyle name="Comma_NewRoll (2)_NewDPR" xfId="86"/>
    <cellStyle name="Comma_Omic0799" xfId="87"/>
    <cellStyle name="Comma_Post_ID" xfId="88"/>
    <cellStyle name="Comma_Post_ID (2)" xfId="89"/>
    <cellStyle name="Comma_Products" xfId="90"/>
    <cellStyle name="Comma_Report" xfId="91"/>
    <cellStyle name="Comma_RESID DAILY POSITION" xfId="92"/>
    <cellStyle name="Comma_RESID ORIGINATION" xfId="93"/>
    <cellStyle name="Comma_RESID ROLL" xfId="94"/>
    <cellStyle name="Comma_ROLL" xfId="95"/>
    <cellStyle name="Comma_Sheet1" xfId="96"/>
    <cellStyle name="Comma_Spread" xfId="97"/>
    <cellStyle name="Comma_WPRD DAILY POSITION" xfId="98"/>
    <cellStyle name="Comma_WPRD ROLL" xfId="99"/>
    <cellStyle name="Comma_WTI DAILY POSITION" xfId="100"/>
    <cellStyle name="Comma_WTI DAILY POSITION (2)" xfId="101"/>
    <cellStyle name="Comma_WTI Origination" xfId="102"/>
    <cellStyle name="Comma_WTI ROLL" xfId="103"/>
    <cellStyle name="Comma_WTI ROLL (2)" xfId="104"/>
    <cellStyle name="Currency [0]_0731" xfId="105"/>
    <cellStyle name="Currency [0]_0894PlantBks" xfId="106"/>
    <cellStyle name="Currency [0]_conrep" xfId="107"/>
    <cellStyle name="Currency [0]_conversion" xfId="108"/>
    <cellStyle name="Currency [0]_Crude Origination" xfId="109"/>
    <cellStyle name="Currency [0]_Crude Prod Report" xfId="110"/>
    <cellStyle name="Currency [0]_Crude Prod Roll" xfId="111"/>
    <cellStyle name="Currency [0]_DAILY POSITION REPORT" xfId="112"/>
    <cellStyle name="Currency [0]_DAILY POSITION REPORT_1" xfId="113"/>
    <cellStyle name="Currency [0]_EXPLAIN" xfId="114"/>
    <cellStyle name="Currency [0]_G" xfId="115"/>
    <cellStyle name="Currency [0]_H" xfId="116"/>
    <cellStyle name="Currency [0]_HEAT DAILY POSITION" xfId="117"/>
    <cellStyle name="Currency [0]_HEAT ROLL" xfId="118"/>
    <cellStyle name="Currency [0]_JET DAILY POSITION" xfId="119"/>
    <cellStyle name="Currency [0]_JET ROLL" xfId="120"/>
    <cellStyle name="Currency [0]_L" xfId="121"/>
    <cellStyle name="Currency [0]_N" xfId="122"/>
    <cellStyle name="Currency [0]_New and Improved Rollforward" xfId="123"/>
    <cellStyle name="Currency [0]_NewDPR" xfId="124"/>
    <cellStyle name="Currency [0]_NewDPR_1" xfId="125"/>
    <cellStyle name="Currency [0]_NewRoll" xfId="126"/>
    <cellStyle name="Currency [0]_NewRoll (2)" xfId="127"/>
    <cellStyle name="Currency [0]_NewRoll (2)_0894PlantBks" xfId="128"/>
    <cellStyle name="Currency [0]_NewRoll (2)_NewDPR" xfId="129"/>
    <cellStyle name="Currency [0]_Omic0799" xfId="130"/>
    <cellStyle name="Currency [0]_Post_ID" xfId="131"/>
    <cellStyle name="Currency [0]_Post_ID (2)" xfId="132"/>
    <cellStyle name="Currency [0]_Products" xfId="133"/>
    <cellStyle name="Currency [0]_RESID DAILY POSITION" xfId="134"/>
    <cellStyle name="Currency [0]_RESID ORIGINATION" xfId="135"/>
    <cellStyle name="Currency [0]_RESID ROLL" xfId="136"/>
    <cellStyle name="Currency [0]_ROLL" xfId="137"/>
    <cellStyle name="Currency [0]_Sheet1" xfId="138"/>
    <cellStyle name="Currency [0]_Spread" xfId="139"/>
    <cellStyle name="Currency [0]_WPRD DAILY POSITION" xfId="140"/>
    <cellStyle name="Currency [0]_WPRD ROLL" xfId="141"/>
    <cellStyle name="Currency [0]_WTI DAILY POSITION" xfId="142"/>
    <cellStyle name="Currency [0]_WTI DAILY POSITION (2)" xfId="143"/>
    <cellStyle name="Currency [0]_WTI Origination" xfId="144"/>
    <cellStyle name="Currency [0]_WTI ROLL" xfId="145"/>
    <cellStyle name="Currency [0]_WTI ROLL (2)" xfId="146"/>
    <cellStyle name="Currency_0731" xfId="147"/>
    <cellStyle name="Currency_0894PlantBks" xfId="148"/>
    <cellStyle name="Currency_conrep" xfId="149"/>
    <cellStyle name="Currency_conversion" xfId="150"/>
    <cellStyle name="Currency_Crude Origination" xfId="151"/>
    <cellStyle name="Currency_Crude Prod Report" xfId="152"/>
    <cellStyle name="Currency_Crude Prod Roll" xfId="153"/>
    <cellStyle name="Currency_DAILY POSITION REPORT" xfId="154"/>
    <cellStyle name="Currency_DAILY POSITION REPORT_1" xfId="155"/>
    <cellStyle name="Currency_EXPLAIN" xfId="156"/>
    <cellStyle name="Currency_G" xfId="157"/>
    <cellStyle name="Currency_H" xfId="158"/>
    <cellStyle name="Currency_HEAT DAILY POSITION" xfId="159"/>
    <cellStyle name="Currency_HEAT ROLL" xfId="160"/>
    <cellStyle name="Currency_JET DAILY POSITION" xfId="161"/>
    <cellStyle name="Currency_JET ROLL" xfId="162"/>
    <cellStyle name="Currency_L" xfId="163"/>
    <cellStyle name="Currency_N" xfId="164"/>
    <cellStyle name="Currency_New and Improved Rollforward" xfId="165"/>
    <cellStyle name="Currency_NewDPR" xfId="166"/>
    <cellStyle name="Currency_NewDPR_1" xfId="167"/>
    <cellStyle name="Currency_NewRoll" xfId="168"/>
    <cellStyle name="Currency_NewRoll (2)" xfId="169"/>
    <cellStyle name="Currency_NewRoll (2)_0894PlantBks" xfId="170"/>
    <cellStyle name="Currency_NewRoll (2)_NewDPR" xfId="171"/>
    <cellStyle name="Currency_Omic0799" xfId="172"/>
    <cellStyle name="Currency_Post_ID" xfId="173"/>
    <cellStyle name="Currency_Post_ID (2)" xfId="174"/>
    <cellStyle name="Currency_Products" xfId="175"/>
    <cellStyle name="Currency_RESID DAILY POSITION" xfId="176"/>
    <cellStyle name="Currency_RESID ORIGINATION" xfId="177"/>
    <cellStyle name="Currency_RESID ROLL" xfId="178"/>
    <cellStyle name="Currency_ROLL" xfId="179"/>
    <cellStyle name="Currency_Sheet1" xfId="180"/>
    <cellStyle name="Currency_Spread" xfId="181"/>
    <cellStyle name="Currency_TopPage multi Post ID" xfId="182"/>
    <cellStyle name="Currency_WPRD DAILY POSITION" xfId="183"/>
    <cellStyle name="Currency_WPRD ROLL" xfId="184"/>
    <cellStyle name="Currency_WTI DAILY POSITION" xfId="185"/>
    <cellStyle name="Currency_WTI DAILY POSITION (2)" xfId="186"/>
    <cellStyle name="Currency_WTI Origination" xfId="187"/>
    <cellStyle name="Currency_WTI ROLL" xfId="188"/>
    <cellStyle name="Currency_WTI ROLL (2)" xfId="189"/>
    <cellStyle name="Normal_0294ORG.XLS" xfId="190"/>
    <cellStyle name="Normal_0594ORG" xfId="191"/>
    <cellStyle name="Normal_0694ORG" xfId="192"/>
    <cellStyle name="Normal_0731" xfId="193"/>
    <cellStyle name="Normal_B" xfId="194"/>
    <cellStyle name="Normal_Curves" xfId="195"/>
    <cellStyle name="Normal_G" xfId="196"/>
    <cellStyle name="Normal_H" xfId="197"/>
    <cellStyle name="Normal_June Options 97" xfId="198"/>
    <cellStyle name="Normal_L" xfId="199"/>
    <cellStyle name="Normal_Liquids Book Origination" xfId="200"/>
    <cellStyle name="Normal_N" xfId="201"/>
    <cellStyle name="Normal_WTI Origination" xfId="20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CC9CCC"/>
      <rgbColor rgb="FFCC99FF"/>
      <rgbColor rgb="FFFFCC99"/>
      <rgbColor rgb="FF3366FF"/>
      <rgbColor rgb="FF69FFFF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externalLink" Target="externalLinks/externalLink1.xml"/><Relationship Id="rId27" Type="http://schemas.openxmlformats.org/officeDocument/2006/relationships/externalLink" Target="externalLinks/externalLink2.xml"/><Relationship Id="rId28" Type="http://schemas.openxmlformats.org/officeDocument/2006/relationships/externalLink" Target="externalLinks/externalLink3.xml"/><Relationship Id="rId29" Type="http://schemas.openxmlformats.org/officeDocument/2006/relationships/externalLink" Target="externalLinks/externalLink4.xml"/><Relationship Id="rId3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6.xml"/><Relationship Id="rId32" Type="http://schemas.openxmlformats.org/officeDocument/2006/relationships/sharedStrings" Target="sharedStrings.xml"/><Relationship Id="rId33" Type="http://schemas.openxmlformats.org/officeDocument/2006/relationships/pivotCacheDefinition" Target="pivotCache/pivotCacheDefinition1.xml"/><Relationship Id="rId34" Type="http://schemas.openxmlformats.org/officeDocument/2006/relationships/pivotCacheDefinition" Target="pivotCache/pivotCacheDefinition2.xml"/><Relationship Id="rId35" Type="http://schemas.openxmlformats.org/officeDocument/2006/relationships/pivotCacheDefinition" Target="pivotCache/pivotCacheDefinition3.xml"/>
</Relationships>
</file>

<file path=xl/ctrlProps/ctrlProps10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50400</xdr:colOff>
          <xdr:row>7</xdr:row>
          <xdr:rowOff>57240</xdr:rowOff>
        </xdr:from>
        <xdr:to>
          <xdr:col>17</xdr:col>
          <xdr:colOff>309600</xdr:colOff>
          <xdr:row>9</xdr:row>
          <xdr:rowOff>162000</xdr:rowOff>
        </xdr:to>
        <xdr:sp>
          <xdr:nvSpPr>
            <xdr:cNvPr id="1001" name="Button 3" descr="NEW 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NEW 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20160</xdr:colOff>
          <xdr:row>1</xdr:row>
          <xdr:rowOff>153000</xdr:rowOff>
        </xdr:from>
        <xdr:to>
          <xdr:col>18</xdr:col>
          <xdr:colOff>303120</xdr:colOff>
          <xdr:row>6</xdr:row>
          <xdr:rowOff>29160</xdr:rowOff>
        </xdr:to>
        <xdr:sp>
          <xdr:nvSpPr>
            <xdr:cNvPr id="1002" name="Button 4" descr="REFRESH AND PRINT AL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AND PRINT ALL</a:t>
              </a:r>
            </a:p>
          </xdr:txBody>
        </xdr:sp>
        <xdr:clientData/>
      </xdr:twoCellAnchor>
    </mc:Choice>
  </mc:AlternateContent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259200</xdr:colOff>
          <xdr:row>2</xdr:row>
          <xdr:rowOff>37800</xdr:rowOff>
        </xdr:from>
        <xdr:to>
          <xdr:col>3</xdr:col>
          <xdr:colOff>170280</xdr:colOff>
          <xdr:row>8</xdr:row>
          <xdr:rowOff>47520</xdr:rowOff>
        </xdr:to>
        <xdr:sp>
          <xdr:nvSpPr>
            <xdr:cNvPr id="1001" name="Button 1" descr="Save File&#10;Refresh Pivot&#10;Save as Basis Pipe Options&#10;Sent TXT fi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File
Refresh Pivot
Save as Basis Pipe Options
Sent TXT file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452160</xdr:colOff>
      <xdr:row>0</xdr:row>
      <xdr:rowOff>114480</xdr:rowOff>
    </xdr:from>
    <xdr:to>
      <xdr:col>37</xdr:col>
      <xdr:colOff>70560</xdr:colOff>
      <xdr:row>0</xdr:row>
      <xdr:rowOff>114480</xdr:rowOff>
    </xdr:to>
    <xdr:sp>
      <xdr:nvSpPr>
        <xdr:cNvPr id="0" name="Line 6"/>
        <xdr:cNvSpPr/>
      </xdr:nvSpPr>
      <xdr:spPr>
        <a:xfrm>
          <a:off x="5563440" y="114480"/>
          <a:ext cx="23968440" cy="0"/>
        </a:xfrm>
        <a:prstGeom prst="line">
          <a:avLst/>
        </a:prstGeom>
        <a:ln w="9360">
          <a:solidFill>
            <a:srgbClr val="000000"/>
          </a:solidFill>
          <a:miter/>
          <a:tailEnd len="med" type="triangle" w="med"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5.xml><?xml version="1.0" encoding="UTF-8" standalone="yes"?>
<xdr:wsDr xmlns:xdr="http://schemas.openxmlformats.org/drawingml/2006/spreadsheetDrawing" xmlns:a="http://schemas.openxmlformats.org/drawingml/2006/main" xmlns:r="http://schemas.openxmlformats.org/officeDocument/2006/relationships"><mc:AlternateContent xmlns:mc="http://schemas.openxmlformats.org/markup-compatibility/2006"><mc:Choice xmlns:a14="http://schemas.microsoft.com/office/drawing/2010/main" Requires="a14"><xdr:twoCellAnchor editAs="oneCell"><xdr:from><xdr:col>13</xdr:col><xdr:colOff>573840</xdr:colOff><xdr:row>0</xdr:row><xdr:rowOff>37800</xdr:rowOff></xdr:from><xdr:to><xdr:col>15</xdr:col><xdr:colOff>628560</xdr:colOff><xdr:row>1</xdr:row><xdr:rowOff>95040</xdr:rowOff></xdr:to><xdr:sp><xdr:nvSpPr><xdr:cNvPr id="1001" name="Button 1" descr="Rho &amp; Drift" hidden="0"/><xdr:cNvSpPr/></xdr:nvSpPr><xdr:spPr><a:xfrm><a:off x="0" y="0"/><a:ext cx="0" cy="0"/></a:xfrm><a:prstGeom prst="rect"><a:avLst/></a:prstGeom></xdr:spPr><xdr:txBody><a:bodyPr anchor="ctr"><a:noAutofit/></a:bodyPr><a:p><a:r><a:t>Rho & Drift</a:t></a:r></a:p></xdr:txBody></xdr:sp><xdr:clientData/></xdr:twoCellAnchor></mc:Choice></mc:AlternateContent>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189360</xdr:colOff>
          <xdr:row>2</xdr:row>
          <xdr:rowOff>85680</xdr:rowOff>
        </xdr:from>
        <xdr:to>
          <xdr:col>22</xdr:col>
          <xdr:colOff>200160</xdr:colOff>
          <xdr:row>5</xdr:row>
          <xdr:rowOff>152280</xdr:rowOff>
        </xdr:to>
        <xdr:sp>
          <xdr:nvSpPr>
            <xdr:cNvPr id="1001" name="Button 5" descr="PRINT EXOTI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PRINT EXOTIC</a:t>
              </a:r>
            </a:p>
          </xdr:txBody>
        </xdr:sp>
        <xdr:clientData/>
      </xdr:twoCellAnchor>
    </mc:Choice>
  </mc:AlternateContent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271800</xdr:colOff>
          <xdr:row>7</xdr:row>
          <xdr:rowOff>47520</xdr:rowOff>
        </xdr:from>
        <xdr:to>
          <xdr:col>2</xdr:col>
          <xdr:colOff>41760</xdr:colOff>
          <xdr:row>9</xdr:row>
          <xdr:rowOff>9360</xdr:rowOff>
        </xdr:to>
        <xdr:sp>
          <xdr:nvSpPr>
            <xdr:cNvPr id="1001" name="Button 4" descr="Load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Curves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_Dropbox/fred/PIPE%20OPTIONS%2099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FIRMTRAD/1999/0799/Rgns/Omic0799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ERMS/erms_adm/curvefetch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_Dropbox/fred/Extend2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Global_Trading/Gasdaily/PIPEFLDR/Studies/Transport/Intra_Trans_Model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NT/Profiles/jbuss/Exotic%20Pipe%20OptionsTEST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rveFetch"/>
      <sheetName val="Value &amp; Positions"/>
      <sheetName val="Daily P&amp;L"/>
      <sheetName val="Update Instructions"/>
      <sheetName val="Benchmark Position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Input"/>
      <sheetName val="TopPages"/>
      <sheetName val="Roll-1"/>
      <sheetName val="Roll-2"/>
      <sheetName val="Roll-3"/>
      <sheetName val="Roll-5"/>
      <sheetName val="Roll-6"/>
      <sheetName val="Roll-7"/>
      <sheetName val="Roll-8"/>
      <sheetName val="Roll-9"/>
      <sheetName val="Roll-10"/>
      <sheetName val="Roll-11"/>
      <sheetName val="Roll-12"/>
      <sheetName val="Peoples Unwind"/>
      <sheetName val="Orig Sched"/>
      <sheetName val="Roll-4"/>
      <sheetName val="Exotics"/>
      <sheetName val="CURVES"/>
      <sheetName val="Daily Macro"/>
      <sheetName val="Monthly Macr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urves"/>
      <sheetName val="Module1"/>
    </sheetNames>
    <definedNames>
      <definedName name="FetchCurves"/>
    </defined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urves"/>
      <sheetName val="FetchCurve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ront"/>
      <sheetName val="Curves"/>
      <sheetName val="Correlation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Extendible Collars"/>
      <sheetName val="Basket Options"/>
      <sheetName val="Basis Options"/>
      <sheetName val="Correllations"/>
      <sheetName val="Benchmark Positions"/>
      <sheetName val="Curves"/>
      <sheetName val="POSI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9" createdVersion="3">
  <cacheSource type="worksheet">
    <worksheetSource ref="AT6:BA25" sheet="Extendible Collars"/>
  </cacheSource>
  <cacheFields count="8">
    <cacheField name="PERIOD" numFmtId="0">
      <sharedItems containsBlank="1" count="2">
        <s v="MAY00-OCT00"/>
        <m/>
      </sharedItems>
    </cacheField>
    <cacheField name="PUBCODE" numFmtId="0">
      <sharedItems containsBlank="1" count="2">
        <s v="IF-HPL/SHPCHAN"/>
        <m/>
      </sharedItems>
    </cacheField>
    <cacheField name="Gamma" numFmtId="0">
      <sharedItems containsBlank="1" count="2">
        <s v="=xXCOL2(K7:K12,AQ7:AQ12,AR7:AR12,AS7:AS12,P7,Q7,E7-$AP$2,H7,G7,N7,45,0)*(SUM(F7:F12))-BA7"/>
        <m/>
      </sharedItems>
    </cacheField>
    <cacheField name="Rho" numFmtId="0">
      <sharedItems containsBlank="1" count="2">
        <s v="=xXCOL2(AP7:AP12,L7:L12,AR7:AR12,AS7:AS12,P7,Q7,E7-$AP$2,H7,G7,N7,45,0)*(SUM(F7:F12))-BA7"/>
        <m/>
      </sharedItems>
    </cacheField>
    <cacheField name="Drift" numFmtId="0">
      <sharedItems containsBlank="1" count="2">
        <s v="=(BA7/VLOOKUP(D7,discount,3,FALSE))-(BA7/VLOOKUP(D7,discount,2,FALSE))"/>
        <m/>
      </sharedItems>
    </cacheField>
    <cacheField name="Vega" numFmtId="0">
      <sharedItems containsBlank="1" count="2">
        <s v="=xXCOL2(AP7:AP12,AQ7:AQ12,AR7:AR12,AS7:AS12,P7,Q7,E7-$AP$2,H7,G7,N7,45,0)*(SUM(F7:F12))-BA7"/>
        <m/>
      </sharedItems>
    </cacheField>
    <cacheField name="Theta" numFmtId="0">
      <sharedItems containsBlank="1" count="2">
        <s v="=xXCOL2(AP7:AP12,AQ7:AQ12,AR7:AR12,M7:M12,P7,Q7,E7-$B$3,H7,G7,N7,45,0)*(SUM(F7:F12))-BA7"/>
        <m/>
      </sharedItems>
    </cacheField>
    <cacheField name="DAY" numFmtId="0">
      <sharedItems containsBlank="1" count="2">
        <s v="=xXCOL2(AP7:AP12,AQ7:AQ12,AR7:AR12,AS7:AS12,P7,Q7,E7-$AP$2,H7,G7,N7,45,0)*(SUM(F7:F12))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862" createdVersion="3">
  <cacheSource type="worksheet">
    <worksheetSource ref="A6:Y5006" sheet="Basis Options"/>
  </cacheSource>
  <cacheFields count="25">
    <cacheField name="Counterparty" numFmtId="0">
      <sharedItems containsBlank="1" count="27">
        <s v="AEPENESER"/>
        <s v="AVISTAENE"/>
        <s v="CMSMARSERTRA"/>
        <s v="CONAGRAENESER"/>
        <s v="DUKEENETRA"/>
        <s v="DYNEGYMARAND"/>
        <s v="ELPASMER"/>
        <s v="FT-US/CAND-ERMS"/>
        <s v="JARON"/>
        <s v="KOCHENETRA"/>
        <s v="LT-TRANS-EA"/>
        <s v="OCCIDENTENEMAR"/>
        <s v="OMICRON"/>
        <s v="PGEENETRAGAS"/>
        <s v="PHIBRO"/>
        <s v="RELIANTENESER"/>
        <s v="SMALLVENUSA"/>
        <s v="SOUTHERCOMENEMA"/>
        <s v="STATOILENETRA"/>
        <s v="TRACTEBEENEMAR"/>
        <s v="TRANSCANENEFIN"/>
        <s v="TXUENETRA"/>
        <s v="UPRENESER"/>
        <s v="UTILICORP"/>
        <s v="VIRGINIAPOWENE"/>
        <s v="WILLIAMSENEMAR"/>
        <m/>
      </sharedItems>
    </cacheField>
    <cacheField name="External" numFmtId="0">
      <sharedItems containsBlank="1" count="3">
        <s v="E"/>
        <s v="I"/>
        <m/>
      </sharedItems>
    </cacheField>
    <cacheField name="Deal Num" numFmtId="0">
      <sharedItems containsBlank="1" count="255">
        <s v="EM1452.2"/>
        <s v="EW1882"/>
        <s v="EW2420"/>
        <s v="EY1230"/>
        <s v="N33626.2"/>
        <s v="NA9501.1"/>
        <s v="NB4804"/>
        <s v="NE3899"/>
        <s v="NE3901"/>
        <s v="NE3903"/>
        <s v="NE3906"/>
        <s v="NE5062.1"/>
        <s v="NE5062.2"/>
        <s v="NE6161.1"/>
        <s v="NE6161.2"/>
        <s v="NE6195"/>
        <s v="NE6212"/>
        <s v="NE7612"/>
        <s v="NE8609"/>
        <s v="NE8644"/>
        <s v="NE9017"/>
        <s v="NF0077.1"/>
        <s v="NF0077.2"/>
        <s v="NF0106.1"/>
        <s v="NF0106.2"/>
        <s v="NF1092.1"/>
        <s v="NF1092.2"/>
        <s v="NF1105.1"/>
        <s v="NF1105.2"/>
        <s v="NF1114.1"/>
        <s v="NF1114.2"/>
        <s v="NF2908.1"/>
        <s v="NF2908.2"/>
        <s v="NF2912.1"/>
        <s v="NF2912.2"/>
        <s v="NF3896.1"/>
        <s v="NF3896.2"/>
        <s v="NF4362"/>
        <s v="NF4364.1"/>
        <s v="NF4364.2"/>
        <s v="NF4364.3"/>
        <s v="NF5550.1"/>
        <s v="NF5550.2"/>
        <s v="NF5563"/>
        <s v="NF5578.1"/>
        <s v="NF5578.2"/>
        <s v="NF6503.1"/>
        <s v="NG1241.1"/>
        <s v="NG4285.1"/>
        <s v="NG4285.2"/>
        <s v="NG4457.1"/>
        <s v="NG8049.1"/>
        <s v="NG8063.1"/>
        <s v="NH2932"/>
        <s v="NH4419"/>
        <s v="NH6374"/>
        <s v="NH8899.1"/>
        <s v="NI0591.1"/>
        <s v="NI3439.1"/>
        <s v="NI3439.2"/>
        <s v="NI3451.1"/>
        <s v="NI6123.1"/>
        <s v="NI6136.1"/>
        <s v="NI6136.2"/>
        <s v="NJ0119.1"/>
        <s v="NJ0240.1"/>
        <s v="NJ0240.2"/>
        <s v="NJ4328"/>
        <s v="NJ4410"/>
        <s v="NJ7455"/>
        <s v="NK0151"/>
        <s v="NK4321"/>
        <s v="NK4353"/>
        <s v="NK4369"/>
        <s v="NK7690"/>
        <s v="NK7692"/>
        <s v="NK7700"/>
        <s v="NL2540.1"/>
        <s v="NL2540.2"/>
        <s v="NL4381.1"/>
        <s v="NL4381.2"/>
        <s v="NL6881"/>
        <s v="NL6887"/>
        <s v="NL6890.1"/>
        <s v="NL6890.2"/>
        <s v="NL8209.1"/>
        <s v="NL8209.2"/>
        <s v="NL8217"/>
        <s v="NL8222"/>
        <s v="NL8409"/>
        <s v="NL8413.1"/>
        <s v="NL8413.2"/>
        <s v="NL8413.3"/>
        <s v="NL8419.1"/>
        <s v="NL8419.2"/>
        <s v="NL9178"/>
        <s v="NM2053.1"/>
        <s v="NM2053.2"/>
        <s v="NM2063.1"/>
        <s v="NM2063.2"/>
        <s v="NM2077.1"/>
        <s v="NM2077.2"/>
        <s v="NM2100"/>
        <s v="NM2109"/>
        <s v="NM2145"/>
        <s v="NM2238"/>
        <s v="NM4160.1"/>
        <s v="NM4160.2"/>
        <s v="NM4160.3"/>
        <s v="NM6058.1"/>
        <s v="NM6058.2"/>
        <s v="NM6058.3"/>
        <s v="NM6058.4"/>
        <s v="NM6058.5"/>
        <s v="NM6058.6"/>
        <s v="NM6102.1"/>
        <s v="NM6107"/>
        <s v="NM6136"/>
        <s v="NM7673.1"/>
        <s v="NM7673.2"/>
        <s v="NM7673.3"/>
        <s v="NM7733"/>
        <s v="NN0150.1"/>
        <s v="NN0150.2"/>
        <s v="NN2121"/>
        <s v="NN2173"/>
        <s v="NN3942"/>
        <s v="NN3958"/>
        <s v="NN9640.1"/>
        <s v="NN9640.2"/>
        <s v="NO1679.1"/>
        <s v="NO1679.2"/>
        <s v="NO1684"/>
        <s v="NO2879"/>
        <s v="NO2888"/>
        <s v="NO2893"/>
        <s v="NO2894"/>
        <s v="NO4881"/>
        <s v="NO7688.1"/>
        <s v="NO7688.2"/>
        <s v="NP3241"/>
        <s v="NP6690"/>
        <s v="NP8939.1"/>
        <s v="NP8966.1"/>
        <s v="NP8966.2"/>
        <s v="NR1864"/>
        <s v="NR1866"/>
        <s v="NR1867"/>
        <s v="NR3983"/>
        <s v="NR3997"/>
        <s v="NR3998"/>
        <s v="NR5974"/>
        <s v="NR5976"/>
        <s v="NR5978"/>
        <s v="NR5979"/>
        <s v="NR5983"/>
        <s v="NR7762"/>
        <s v="NR7764"/>
        <s v="NR7765"/>
        <s v="NR7766"/>
        <s v="NR7767.1"/>
        <s v="NR7767.2"/>
        <s v="NS0945"/>
        <s v="NS0946"/>
        <s v="NS0947"/>
        <s v="NS2705"/>
        <s v="NS2749"/>
        <s v="NS2782"/>
        <s v="NS3031.1"/>
        <s v="NS3031.2"/>
        <s v="NS5125"/>
        <s v="NS5170"/>
        <s v="NS5173"/>
        <s v="NS7549"/>
        <s v="NS9621"/>
        <s v="NT3509"/>
        <s v="NT6024"/>
        <s v="NT8124.1"/>
        <s v="NT8124.3"/>
        <s v="NT8124.4"/>
        <s v="NT8124.5"/>
        <s v="NT9909.1"/>
        <s v="NT9909.2"/>
        <s v="NT9931"/>
        <s v="NU0070.1"/>
        <s v="NU0070.2"/>
        <s v="NU0073"/>
        <s v="NU0077"/>
        <s v="NU3268"/>
        <s v="NU3291"/>
        <s v="NU5426"/>
        <s v="NU5429"/>
        <s v="NU5433.1"/>
        <s v="NU5433.2"/>
        <s v="NU5442"/>
        <s v="NU5447"/>
        <s v="NU5454"/>
        <s v="NU5468"/>
        <s v="NU7573"/>
        <s v="NU9007"/>
        <s v="NU9019"/>
        <s v="NU9027"/>
        <s v="NV0431"/>
        <s v="NV0442"/>
        <s v="NV0444.1"/>
        <s v="NV0444.2"/>
        <s v="NV0444.3"/>
        <s v="NV0444.4"/>
        <s v="NV0535"/>
        <s v="NV2737.1"/>
        <s v="NV2737.2"/>
        <s v="NV2771"/>
        <s v="NV5364.1"/>
        <s v="NV5364.2"/>
        <s v="NV5380.1"/>
        <s v="NV5380.2"/>
        <s v="NV5394.1"/>
        <s v="NV5394.2"/>
        <s v="NV5416.1"/>
        <s v="NV5416.2"/>
        <s v="NV6667.1"/>
        <s v="NV6667.2"/>
        <s v="NV6677"/>
        <s v="NV6691"/>
        <s v="NV7017"/>
        <s v="NV8440"/>
        <s v="NW0631"/>
        <s v="NW0635"/>
        <s v="NW0645"/>
        <s v="NW0648"/>
        <s v="NW3286.1"/>
        <s v="NW3286.2"/>
        <s v="NW3289"/>
        <s v="NW5608"/>
        <s v="NW5620"/>
        <s v="NW5627.1"/>
        <s v="NW5630.1"/>
        <s v="NW5630.2"/>
        <s v="NW5635"/>
        <s v="NW8030.1"/>
        <s v="NW8030.2"/>
        <s v="NW9477.2"/>
        <s v="NW9582"/>
        <s v="NW9726"/>
        <s v="NW9731"/>
        <s v="NW9732"/>
        <s v="NW9733"/>
        <s v="NX1655.1"/>
        <s v="NX1655.2"/>
        <s v="NX1655.3"/>
        <s v="NX1655.4"/>
        <s v="NX1690"/>
        <s v="NX1706"/>
        <s v="NX1727.2"/>
        <m/>
      </sharedItems>
    </cacheField>
    <cacheField name="Pub Code" numFmtId="0">
      <sharedItems containsBlank="1" count="12">
        <s v="IF-CGT/APPALAC"/>
        <s v="IF-CNG/APPALACH"/>
        <s v="IF-NNG/VENT"/>
        <s v="IF-NTHWST/CANBR"/>
        <s v="IF-NWPL_ROCKY_M"/>
        <s v="IF-PAN/TX/OK"/>
        <s v="IF-TETCO/M3"/>
        <s v="IF-TRANSCO/Z6"/>
        <s v="MICH_CG-GD"/>
        <s v="NGI-SOCAL"/>
        <s v="NGI/CHI. GATE"/>
        <m/>
      </sharedItems>
    </cacheField>
    <cacheField name="Fin" numFmtId="0">
      <sharedItems containsBlank="1" count="2">
        <s v="F"/>
        <m/>
      </sharedItems>
    </cacheField>
    <cacheField name="Put" numFmtId="0">
      <sharedItems containsBlank="1" count="3">
        <s v="C"/>
        <s v="P"/>
        <m/>
      </sharedItems>
    </cacheField>
    <cacheField name="Period" numFmtId="0">
      <sharedItems containsNonDate="0" containsDate="1" containsString="0" containsBlank="1" minDate="2000-09-01T00:00:00" maxDate="2003-03-01T00:00:00" count="25"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11-01T00:00:00"/>
        <d v="2002-12-01T00:00:00"/>
        <d v="2003-01-01T00:00:00"/>
        <d v="2003-02-01T00:00:00"/>
        <d v="2003-03-01T00:00:00"/>
        <m/>
      </sharedItems>
    </cacheField>
    <cacheField name="Option Qty" numFmtId="0">
      <sharedItems containsString="0" containsBlank="1" containsNumber="1" containsInteger="1" minValue="-2500000" maxValue="3100000" count="46">
        <n v="-2500000"/>
        <n v="-2170000"/>
        <n v="-2100000"/>
        <n v="-2000000"/>
        <n v="-1550000"/>
        <n v="-1500000"/>
        <n v="-1400000"/>
        <n v="-1240000"/>
        <n v="-1200000"/>
        <n v="-1120000"/>
        <n v="-1000000"/>
        <n v="-930000"/>
        <n v="-620000"/>
        <n v="-600000"/>
        <n v="-560000"/>
        <n v="-500000"/>
        <n v="-310000"/>
        <n v="-300000"/>
        <n v="-280000"/>
        <n v="-250000"/>
        <n v="-155000"/>
        <n v="-150000"/>
        <n v="-140000"/>
        <n v="140000"/>
        <n v="150000"/>
        <n v="155000"/>
        <n v="280000"/>
        <n v="300000"/>
        <n v="310000"/>
        <n v="450000"/>
        <n v="465000"/>
        <n v="500000"/>
        <n v="560000"/>
        <n v="600000"/>
        <n v="620000"/>
        <n v="840000"/>
        <n v="900000"/>
        <n v="930000"/>
        <n v="1000000"/>
        <n v="1240000"/>
        <n v="1500000"/>
        <n v="1550000"/>
        <n v="2000000"/>
        <n v="2500000"/>
        <n v="3100000"/>
        <m/>
      </sharedItems>
    </cacheField>
    <cacheField name="Price" numFmtId="0">
      <sharedItems containsString="0" containsBlank="1" containsNumber="1" minValue="-1.17" maxValue="5" count="69">
        <n v="-1.17"/>
        <n v="-0.7"/>
        <n v="-0.65"/>
        <n v="-0.6"/>
        <n v="-0.5"/>
        <n v="-0.4"/>
        <n v="-0.375"/>
        <n v="-0.32"/>
        <n v="-0.3"/>
        <n v="-0.27"/>
        <n v="-0.25"/>
        <n v="-0.2"/>
        <n v="-0.15"/>
        <n v="-0.1"/>
        <n v="0"/>
        <n v="0.045"/>
        <n v="0.1"/>
        <n v="0.11"/>
        <n v="0.12"/>
        <n v="0.15"/>
        <n v="0.16"/>
        <n v="0.1675"/>
        <n v="0.2"/>
        <n v="0.25"/>
        <n v="0.26"/>
        <n v="0.28"/>
        <n v="0.3"/>
        <n v="0.3025"/>
        <n v="0.32"/>
        <n v="0.33"/>
        <n v="0.3375"/>
        <n v="0.34"/>
        <n v="0.35"/>
        <n v="0.4"/>
        <n v="0.42"/>
        <n v="0.45"/>
        <n v="0.5"/>
        <n v="0.55"/>
        <n v="0.6"/>
        <n v="0.65"/>
        <n v="0.7"/>
        <n v="0.75"/>
        <n v="0.8"/>
        <n v="0.85"/>
        <n v="0.9"/>
        <n v="0.95"/>
        <n v="1"/>
        <n v="1.15"/>
        <n v="1.25"/>
        <n v="1.3"/>
        <n v="1.33"/>
        <n v="1.4"/>
        <n v="1.45"/>
        <n v="1.5"/>
        <n v="1.52"/>
        <n v="1.57"/>
        <n v="1.6"/>
        <n v="1.7"/>
        <n v="1.75"/>
        <n v="2"/>
        <n v="2.1"/>
        <n v="2.2"/>
        <n v="2.3"/>
        <n v="2.5"/>
        <n v="3"/>
        <n v="3.5"/>
        <n v="4"/>
        <n v="5"/>
        <m/>
      </sharedItems>
    </cacheField>
    <cacheField name="Price2" numFmtId="0">
      <sharedItems containsString="0" containsBlank="1" containsNumber="1" minValue="3.185" maxValue="4.8" count="25">
        <n v="3.185"/>
        <n v="3.355"/>
        <n v="3.418"/>
        <n v="3.497"/>
        <n v="3.504"/>
        <n v="3.605"/>
        <n v="3.77"/>
        <n v="3.773"/>
        <n v="3.788"/>
        <n v="3.803"/>
        <n v="3.808"/>
        <n v="3.818"/>
        <n v="3.838"/>
        <n v="3.878"/>
        <n v="3.938"/>
        <n v="3.94"/>
        <n v="3.968"/>
        <n v="4.213"/>
        <n v="4.48"/>
        <n v="4.685"/>
        <n v="4.692"/>
        <n v="4.736"/>
        <n v="4.744"/>
        <n v="4.8"/>
        <m/>
      </sharedItems>
    </cacheField>
    <cacheField name="Basis" numFmtId="0">
      <sharedItems containsString="0" containsBlank="1" containsNumber="1" minValue="-1.24" maxValue="2.5" count="82">
        <n v="-1.24"/>
        <n v="-0.805"/>
        <n v="-0.4675"/>
        <n v="-0.3975"/>
        <n v="-0.3875"/>
        <n v="-0.3675"/>
        <n v="-0.3575"/>
        <n v="-0.175"/>
        <n v="-0.16"/>
        <n v="-0.1525"/>
        <n v="-0.145"/>
        <n v="-0.1425"/>
        <n v="-0.1375"/>
        <n v="-0.11"/>
        <n v="-0.09"/>
        <n v="-0.03"/>
        <n v="-0.0025"/>
        <n v="0.0175"/>
        <n v="0.03"/>
        <n v="0.0325"/>
        <n v="0.035"/>
        <n v="0.0875"/>
        <n v="0.0925"/>
        <n v="0.1"/>
        <n v="0.12"/>
        <n v="0.1225"/>
        <n v="0.1275"/>
        <n v="0.1325"/>
        <n v="0.1375"/>
        <n v="0.145"/>
        <n v="0.17"/>
        <n v="0.185"/>
        <n v="0.1925"/>
        <n v="0.22"/>
        <n v="0.2275"/>
        <n v="0.24"/>
        <n v="0.265"/>
        <n v="0.27"/>
        <n v="0.295"/>
        <n v="0.3"/>
        <n v="0.305"/>
        <n v="0.315"/>
        <n v="0.3175"/>
        <n v="0.3215"/>
        <n v="0.3275"/>
        <n v="0.33"/>
        <n v="0.345"/>
        <n v="0.36"/>
        <n v="0.375"/>
        <n v="0.3775"/>
        <n v="0.395"/>
        <n v="0.405"/>
        <n v="0.415"/>
        <n v="0.455"/>
        <n v="0.46"/>
        <n v="0.461"/>
        <n v="0.52"/>
        <n v="0.53"/>
        <n v="0.59"/>
        <n v="0.5975"/>
        <n v="0.6"/>
        <n v="0.6175"/>
        <n v="0.62"/>
        <n v="0.7475"/>
        <n v="0.7675"/>
        <n v="0.77"/>
        <n v="0.89"/>
        <n v="0.99"/>
        <n v="1.005"/>
        <n v="1.075"/>
        <n v="1.225"/>
        <n v="1.2525"/>
        <n v="1.275"/>
        <n v="1.31"/>
        <n v="1.545"/>
        <n v="1.56"/>
        <n v="1.645"/>
        <n v="1.99"/>
        <n v="2.09"/>
        <n v="2.17"/>
        <n v="2.5"/>
        <m/>
      </sharedItems>
    </cacheField>
    <cacheField name="Price3" numFmtId="0">
      <sharedItems containsString="0" containsBlank="1" containsNumber="1" minValue="3.305" maxValue="7.185" count="91">
        <n v="3.305"/>
        <n v="3.445"/>
        <n v="3.4775"/>
        <n v="3.5105"/>
        <n v="3.6365"/>
        <n v="3.642"/>
        <n v="3.8155"/>
        <n v="3.887"/>
        <n v="4.0755"/>
        <n v="4.0925"/>
        <n v="4.103"/>
        <n v="4.1055"/>
        <n v="4.1305"/>
        <n v="4.133"/>
        <n v="4.1355"/>
        <n v="4.153"/>
        <n v="4.183"/>
        <n v="4.213"/>
        <n v="4.234"/>
        <n v="4.243"/>
        <n v="4.2455"/>
        <n v="4.263"/>
        <n v="4.268"/>
        <n v="4.2685"/>
        <n v="4.3155"/>
        <n v="4.335"/>
        <n v="4.3355"/>
        <n v="4.3765"/>
        <n v="4.438"/>
        <n v="4.4405"/>
        <n v="4.4425"/>
        <n v="4.458"/>
        <n v="4.483"/>
        <n v="4.515"/>
        <n v="4.5205"/>
        <n v="4.528"/>
        <n v="4.561"/>
        <n v="4.573"/>
        <n v="4.575"/>
        <n v="4.584"/>
        <n v="4.5935"/>
        <n v="4.595"/>
        <n v="4.602"/>
        <n v="4.6175"/>
        <n v="4.6475"/>
        <n v="4.72"/>
        <n v="4.7335"/>
        <n v="4.768"/>
        <n v="4.774"/>
        <n v="4.775"/>
        <n v="4.8105"/>
        <n v="4.8175"/>
        <n v="4.8235"/>
        <n v="4.825"/>
        <n v="4.855"/>
        <n v="4.8715"/>
        <n v="4.877"/>
        <n v="4.895"/>
        <n v="4.9"/>
        <n v="4.906"/>
        <n v="4.964"/>
        <n v="4.99"/>
        <n v="4.9925"/>
        <n v="5"/>
        <n v="5.001"/>
        <n v="5.028"/>
        <n v="5.0405"/>
        <n v="5.044"/>
        <n v="5.052"/>
        <n v="5.0575"/>
        <n v="5.083"/>
        <n v="5.095"/>
        <n v="5.0975"/>
        <n v="5.107"/>
        <n v="5.175"/>
        <n v="5.199"/>
        <n v="5.274"/>
        <n v="5.278"/>
        <n v="5.288"/>
        <n v="5.33"/>
        <n v="5.5"/>
        <n v="5.506"/>
        <n v="5.5115"/>
        <n v="5.805"/>
        <n v="6.281"/>
        <n v="6.445"/>
        <n v="6.57"/>
        <n v="6.682"/>
        <n v="6.914"/>
        <n v="7.185"/>
        <m/>
      </sharedItems>
    </cacheField>
    <cacheField name="Rate" numFmtId="0">
      <sharedItems containsString="0" containsBlank="1" containsNumber="1" minValue="0.067216196212185" maxValue="0.069518538831175" count="25">
        <n v="0.067216196212185"/>
        <n v="0.068050789414654"/>
        <n v="0.06810675983792"/>
        <n v="0.068314027999354"/>
        <n v="0.068374831148491"/>
        <n v="0.068640161611372"/>
        <n v="0.068879814952707"/>
        <n v="0.069061726541121"/>
        <n v="0.069101151219"/>
        <n v="0.069141890053328"/>
        <n v="0.069181571268568"/>
        <n v="0.069223060737755"/>
        <n v="0.069264550207512"/>
        <n v="0.069300944538364"/>
        <n v="0.069332408860559"/>
        <n v="0.069362858204931"/>
        <n v="0.069402566234751"/>
        <n v="0.069453688628792"/>
        <n v="0.069499863695119"/>
        <n v="0.069501922465244"/>
        <n v="0.069502480385871"/>
        <n v="0.069510422951367"/>
        <n v="0.06951065309818"/>
        <n v="0.069518538831175"/>
        <m/>
      </sharedItems>
    </cacheField>
    <cacheField name="Vol" numFmtId="0">
      <sharedItems containsString="0" containsBlank="1" containsNumber="1" minValue="0.2725" maxValue="0.605" count="19">
        <n v="0.2725"/>
        <n v="0.2825"/>
        <n v="0.2925"/>
        <n v="0.295"/>
        <n v="0.365"/>
        <n v="0.395"/>
        <n v="0.4"/>
        <n v="0.4025"/>
        <n v="0.405"/>
        <n v="0.4075"/>
        <n v="0.4125"/>
        <n v="0.4425"/>
        <n v="0.5325"/>
        <n v="0.575"/>
        <n v="0.5925"/>
        <n v="0.595"/>
        <n v="0.6"/>
        <n v="0.605"/>
        <m/>
      </sharedItems>
    </cacheField>
    <cacheField name="Vol2" numFmtId="0">
      <sharedItems containsString="0" containsBlank="1" containsNumber="1" minValue="0.273" maxValue="0.696" count="50">
        <n v="0.273"/>
        <n v="0.283"/>
        <n v="0.293"/>
        <n v="0.295"/>
        <n v="0.376"/>
        <n v="0.384"/>
        <n v="0.392"/>
        <n v="0.394"/>
        <n v="0.397"/>
        <n v="0.4"/>
        <n v="0.402"/>
        <n v="0.403"/>
        <n v="0.405"/>
        <n v="0.434"/>
        <n v="0.435"/>
        <n v="0.443"/>
        <n v="0.448"/>
        <n v="0.454"/>
        <n v="0.511"/>
        <n v="0.517"/>
        <n v="0.533"/>
        <n v="0.541"/>
        <n v="0.543"/>
        <n v="0.552"/>
        <n v="0.559"/>
        <n v="0.564"/>
        <n v="0.569"/>
        <n v="0.571"/>
        <n v="0.575"/>
        <n v="0.576"/>
        <n v="0.577"/>
        <n v="0.581"/>
        <n v="0.582"/>
        <n v="0.587"/>
        <n v="0.593"/>
        <n v="0.595"/>
        <n v="0.6"/>
        <n v="0.604"/>
        <n v="0.605"/>
        <n v="0.607"/>
        <n v="0.612"/>
        <n v="0.617"/>
        <n v="0.622"/>
        <n v="0.625"/>
        <n v="0.63"/>
        <n v="0.635"/>
        <n v="0.681"/>
        <n v="0.69"/>
        <n v="0.696"/>
        <m/>
      </sharedItems>
    </cacheField>
    <cacheField name="Correlation" numFmtId="0">
      <sharedItems containsString="0" containsBlank="1" containsNumber="1" minValue="0.83" maxValue="0.9975" count="15">
        <n v="0.83"/>
        <n v="0.84"/>
        <n v="0.85"/>
        <n v="0.88"/>
        <n v="0.89"/>
        <n v="0.93"/>
        <n v="0.95"/>
        <n v="0.9738"/>
        <n v="0.984107647518451"/>
        <n v="0.99"/>
        <n v="0.9925"/>
        <n v="0.995"/>
        <n v="0.997"/>
        <n v="0.9975"/>
        <m/>
      </sharedItems>
    </cacheField>
    <cacheField name="Expiry" numFmtId="0">
      <sharedItems containsNonDate="0" containsDate="1" containsString="0" containsBlank="1" minDate="2000-08-30T00:00:00" maxDate="2003-02-27T00:00:00" count="25">
        <d v="2000-08-30T00:00:00"/>
        <d v="2000-09-28T00:00:00"/>
        <d v="2000-10-30T00:00:00"/>
        <d v="2000-11-29T00:00:00"/>
        <d v="2000-12-28T00:00:00"/>
        <d v="2001-01-30T00:00:00"/>
        <d v="2001-02-27T00:00:00"/>
        <d v="2001-03-29T00:00:00"/>
        <d v="2001-04-27T00:00:00"/>
        <d v="2001-05-30T00:00:00"/>
        <d v="2001-06-28T00:00:00"/>
        <d v="2001-07-30T00:00:00"/>
        <d v="2001-08-30T00:00:00"/>
        <d v="2001-09-27T00:00:00"/>
        <d v="2001-10-30T00:00:00"/>
        <d v="2001-11-29T00:00:00"/>
        <d v="2001-12-28T00:00:00"/>
        <d v="2002-01-30T00:00:00"/>
        <d v="2002-02-27T00:00:00"/>
        <d v="2002-10-30T00:00:00"/>
        <d v="2002-11-28T00:00:00"/>
        <d v="2002-12-30T00:00:00"/>
        <d v="2003-01-30T00:00:00"/>
        <d v="2003-02-27T00:00:00"/>
        <m/>
      </sharedItems>
    </cacheField>
    <cacheField name="Type" numFmtId="0">
      <sharedItems containsString="0" containsBlank="1" containsNumber="1" containsInteger="1" minValue="0" maxValue="1" count="3">
        <n v="0"/>
        <n v="1"/>
        <m/>
      </sharedItems>
    </cacheField>
    <cacheField name="PREMIUM" numFmtId="0">
      <sharedItems containsBlank="1" count="2">
        <e v="#ADDIN?"/>
        <m/>
      </sharedItems>
    </cacheField>
    <cacheField name="DELTA" numFmtId="0">
      <sharedItems containsBlank="1" count="2">
        <e v="#ADDIN?"/>
        <m/>
      </sharedItems>
    </cacheField>
    <cacheField name="MTM Value" numFmtId="0">
      <sharedItems containsBlank="1" count="2">
        <e v="#ADDIN?"/>
        <m/>
      </sharedItems>
    </cacheField>
    <cacheField name="Offset" numFmtId="0">
      <sharedItems containsBlank="1" count="2">
        <e v="#ADDIN?"/>
        <m/>
      </sharedItems>
    </cacheField>
    <cacheField name="Delta2" numFmtId="0">
      <sharedItems containsBlank="1" count="2">
        <e v="#ADDIN?"/>
        <m/>
      </sharedItems>
    </cacheField>
    <cacheField name="blank" numFmtId="0">
      <sharedItems containsBlank="1" count="94">
        <s v="36770IF-CGT/APPALAC"/>
        <s v="36770IF-NNG/VENT"/>
        <s v="36770IF-NWPL_ROCKY_M"/>
        <s v="36770IF-TETCO/M3"/>
        <s v="36770IF-TRANSCO/Z6"/>
        <s v="36770NGI-SOCAL"/>
        <s v="36800IF-CGT/APPALAC"/>
        <s v="36800IF-NNG/VENT"/>
        <s v="36800IF-NWPL_ROCKY_M"/>
        <s v="36800IF-TETCO/M3"/>
        <s v="36800IF-TRANSCO/Z6"/>
        <s v="36800NGI-SOCAL"/>
        <s v="36831IF-CGT/APPALAC"/>
        <s v="36831IF-CNG/APPALACH"/>
        <s v="36831IF-NNG/VENT"/>
        <s v="36831IF-NTHWST/CANBR"/>
        <s v="36831IF-NWPL_ROCKY_M"/>
        <s v="36831IF-PAN/TX/OK"/>
        <s v="36831IF-TRANSCO/Z6"/>
        <s v="36831MICH_CG-GD"/>
        <s v="36831NGI-SOCAL"/>
        <s v="36831NGI/CHI. GATE"/>
        <s v="36861IF-CGT/APPALAC"/>
        <s v="36861IF-CNG/APPALACH"/>
        <s v="36861IF-NNG/VENT"/>
        <s v="36861IF-NTHWST/CANBR"/>
        <s v="36861IF-NWPL_ROCKY_M"/>
        <s v="36861IF-PAN/TX/OK"/>
        <s v="36861IF-TRANSCO/Z6"/>
        <s v="36861MICH_CG-GD"/>
        <s v="36861NGI-SOCAL"/>
        <s v="36861NGI/CHI. GATE"/>
        <s v="36892IF-CGT/APPALAC"/>
        <s v="36892IF-CNG/APPALACH"/>
        <s v="36892IF-NNG/VENT"/>
        <s v="36892IF-NTHWST/CANBR"/>
        <s v="36892IF-NWPL_ROCKY_M"/>
        <s v="36892IF-PAN/TX/OK"/>
        <s v="36892IF-TRANSCO/Z6"/>
        <s v="36892MICH_CG-GD"/>
        <s v="36892NGI-SOCAL"/>
        <s v="36892NGI/CHI. GATE"/>
        <s v="36923IF-CGT/APPALAC"/>
        <s v="36923IF-CNG/APPALACH"/>
        <s v="36923IF-NNG/VENT"/>
        <s v="36923IF-NTHWST/CANBR"/>
        <s v="36923IF-NWPL_ROCKY_M"/>
        <s v="36923IF-PAN/TX/OK"/>
        <s v="36923IF-TRANSCO/Z6"/>
        <s v="36923MICH_CG-GD"/>
        <s v="36923NGI-SOCAL"/>
        <s v="36923NGI/CHI. GATE"/>
        <s v="36951IF-CGT/APPALAC"/>
        <s v="36951IF-CNG/APPALACH"/>
        <s v="36951IF-NNG/VENT"/>
        <s v="36951IF-NTHWST/CANBR"/>
        <s v="36951IF-NWPL_ROCKY_M"/>
        <s v="36951IF-PAN/TX/OK"/>
        <s v="36951IF-TRANSCO/Z6"/>
        <s v="36951MICH_CG-GD"/>
        <s v="36951NGI-SOCAL"/>
        <s v="36951NGI/CHI. GATE"/>
        <s v="36982IF-TETCO/M3"/>
        <s v="36982IF-TRANSCO/Z6"/>
        <s v="36982NGI-SOCAL"/>
        <s v="37012IF-TETCO/M3"/>
        <s v="37012IF-TRANSCO/Z6"/>
        <s v="37012NGI-SOCAL"/>
        <s v="37043IF-TETCO/M3"/>
        <s v="37043IF-TRANSCO/Z6"/>
        <s v="37043NGI-SOCAL"/>
        <s v="37073IF-TETCO/M3"/>
        <s v="37073IF-TRANSCO/Z6"/>
        <s v="37073NGI-SOCAL"/>
        <s v="37104IF-TETCO/M3"/>
        <s v="37104IF-TRANSCO/Z6"/>
        <s v="37104NGI-SOCAL"/>
        <s v="37135IF-TETCO/M3"/>
        <s v="37135IF-TRANSCO/Z6"/>
        <s v="37135NGI-SOCAL"/>
        <s v="37165IF-TETCO/M3"/>
        <s v="37165IF-TRANSCO/Z6"/>
        <s v="37165NGI-SOCAL"/>
        <s v="37196IF-TRANSCO/Z6"/>
        <s v="37226IF-TRANSCO/Z6"/>
        <s v="37257IF-TRANSCO/Z6"/>
        <s v="37288IF-TRANSCO/Z6"/>
        <s v="37316IF-TRANSCO/Z6"/>
        <s v="37561NGI/CHI. GATE"/>
        <s v="37591NGI/CHI. GATE"/>
        <s v="37622NGI/CHI. GATE"/>
        <s v="37653NGI/CHI. GATE"/>
        <s v="37681NGI/CHI. GATE"/>
        <m/>
      </sharedItems>
    </cacheField>
    <cacheField name="Contracts" numFmtId="0">
      <sharedItems containsString="0" containsBlank="1" containsNumber="1" minValue="-250" maxValue="310" count="46">
        <n v="-250"/>
        <n v="-217"/>
        <n v="-210"/>
        <n v="-200"/>
        <n v="-155"/>
        <n v="-150"/>
        <n v="-140"/>
        <n v="-124"/>
        <n v="-120"/>
        <n v="-112"/>
        <n v="-100"/>
        <n v="-93"/>
        <n v="-62"/>
        <n v="-60"/>
        <n v="-56"/>
        <n v="-50"/>
        <n v="-31"/>
        <n v="-30"/>
        <n v="-28"/>
        <n v="-25"/>
        <n v="-15.5"/>
        <n v="-15"/>
        <n v="-14"/>
        <n v="14"/>
        <n v="15"/>
        <n v="15.5"/>
        <n v="28"/>
        <n v="30"/>
        <n v="31"/>
        <n v="45"/>
        <n v="46.5"/>
        <n v="50"/>
        <n v="56"/>
        <n v="60"/>
        <n v="62"/>
        <n v="84"/>
        <n v="90"/>
        <n v="93"/>
        <n v="100"/>
        <n v="124"/>
        <n v="150"/>
        <n v="155"/>
        <n v="200"/>
        <n v="250"/>
        <n v="310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825" createdVersion="3">
  <cacheSource type="worksheet">
    <worksheetSource ref="A6:AE831" sheet="Basis Options"/>
  </cacheSource>
  <cacheFields count="31">
    <cacheField name="Counterparty" numFmtId="0">
      <sharedItems count="26">
        <s v="AEPENESER"/>
        <s v="AVISTAENE"/>
        <s v="CMSMARSERTRA"/>
        <s v="CONAGRAENESER"/>
        <s v="DUKEENETRA"/>
        <s v="DYNEGYMARAND"/>
        <s v="ELPASMER"/>
        <s v="FT-US/CAND-ERMS"/>
        <s v="JARON"/>
        <s v="KOCHENETRA"/>
        <s v="LT-TRANS-EA"/>
        <s v="OCCIDENTENEMAR"/>
        <s v="OMICRON"/>
        <s v="PGEENETRAGAS"/>
        <s v="PHIBRO"/>
        <s v="RELIANTENESER"/>
        <s v="SMALLVENUSA"/>
        <s v="SOUTHERCOMENEMA"/>
        <s v="STATOILENETRA"/>
        <s v="TRACTEBEENEMAR"/>
        <s v="TRANSCANENEFIN"/>
        <s v="TXUENETRA"/>
        <s v="UPRENESER"/>
        <s v="UTILICORP"/>
        <s v="VIRGINIAPOWENE"/>
        <s v="WILLIAMSENEMAR"/>
      </sharedItems>
    </cacheField>
    <cacheField name="External" numFmtId="0">
      <sharedItems count="2">
        <s v="E"/>
        <s v="I"/>
      </sharedItems>
    </cacheField>
    <cacheField name="Deal Num" numFmtId="0">
      <sharedItems count="247">
        <s v="EM1452.2"/>
        <s v="EW1882"/>
        <s v="EW2420"/>
        <s v="EY1230"/>
        <s v="N33626.2"/>
        <s v="NA9501.1"/>
        <s v="NB4804"/>
        <s v="NE3899"/>
        <s v="NE3901"/>
        <s v="NE3903"/>
        <s v="NE3906"/>
        <s v="NE5062.1"/>
        <s v="NE5062.2"/>
        <s v="NE6161.1"/>
        <s v="NE6161.2"/>
        <s v="NE6195"/>
        <s v="NE6212"/>
        <s v="NE7612"/>
        <s v="NE8609"/>
        <s v="NE8644"/>
        <s v="NE9017"/>
        <s v="NF0077.1"/>
        <s v="NF0077.2"/>
        <s v="NF0106.1"/>
        <s v="NF0106.2"/>
        <s v="NF1092.1"/>
        <s v="NF1092.2"/>
        <s v="NF1105.1"/>
        <s v="NF1105.2"/>
        <s v="NF1114.1"/>
        <s v="NF1114.2"/>
        <s v="NF2908.1"/>
        <s v="NF2908.2"/>
        <s v="NF2912.1"/>
        <s v="NF2912.2"/>
        <s v="NF3896.1"/>
        <s v="NF3896.2"/>
        <s v="NF4362"/>
        <s v="NF4364.1"/>
        <s v="NF4364.2"/>
        <s v="NF4364.3"/>
        <s v="NF5550.1"/>
        <s v="NF5550.2"/>
        <s v="NF5563"/>
        <s v="NF5578.1"/>
        <s v="NF5578.2"/>
        <s v="NF6503.1"/>
        <s v="NG1241.1"/>
        <s v="NG4285.1"/>
        <s v="NG4285.2"/>
        <s v="NG4457.1"/>
        <s v="NG8049.1"/>
        <s v="NG8063.1"/>
        <s v="NH2932"/>
        <s v="NH4419"/>
        <s v="NH6374"/>
        <s v="NH8899.1"/>
        <s v="NI0591.1"/>
        <s v="NI3439.1"/>
        <s v="NI3439.2"/>
        <s v="NI3451.1"/>
        <s v="NI6123.1"/>
        <s v="NI6136.1"/>
        <s v="NI6136.2"/>
        <s v="NJ0119.1"/>
        <s v="NJ0240.1"/>
        <s v="NJ0240.2"/>
        <s v="NJ4328"/>
        <s v="NJ4410"/>
        <s v="NJ7455"/>
        <s v="NK0151"/>
        <s v="NK4321"/>
        <s v="NK4353"/>
        <s v="NK4369"/>
        <s v="NK7690"/>
        <s v="NK7692"/>
        <s v="NK7700"/>
        <s v="NL2540.1"/>
        <s v="NL2540.2"/>
        <s v="NL4381.1"/>
        <s v="NL4381.2"/>
        <s v="NL6881"/>
        <s v="NL6887"/>
        <s v="NL6890.1"/>
        <s v="NL6890.2"/>
        <s v="NL8209.1"/>
        <s v="NL8209.2"/>
        <s v="NL8217"/>
        <s v="NL8222"/>
        <s v="NL8409"/>
        <s v="NL8413.1"/>
        <s v="NL8413.2"/>
        <s v="NL8413.3"/>
        <s v="NL8419.1"/>
        <s v="NL8419.2"/>
        <s v="NL9178"/>
        <s v="NM2053.1"/>
        <s v="NM2053.2"/>
        <s v="NM2063.1"/>
        <s v="NM2063.2"/>
        <s v="NM2077.1"/>
        <s v="NM2077.2"/>
        <s v="NM2100"/>
        <s v="NM2109"/>
        <s v="NM2145"/>
        <s v="NM2238"/>
        <s v="NM4160.1"/>
        <s v="NM4160.2"/>
        <s v="NM4160.3"/>
        <s v="NM6058.1"/>
        <s v="NM6058.2"/>
        <s v="NM6058.3"/>
        <s v="NM6058.4"/>
        <s v="NM6058.5"/>
        <s v="NM6058.6"/>
        <s v="NM6102.1"/>
        <s v="NM6107"/>
        <s v="NM6136"/>
        <s v="NM7673.1"/>
        <s v="NM7673.2"/>
        <s v="NM7673.3"/>
        <s v="NM7733"/>
        <s v="NN0150.1"/>
        <s v="NN0150.2"/>
        <s v="NN2121"/>
        <s v="NN2173"/>
        <s v="NN3942"/>
        <s v="NN3958"/>
        <s v="NN9640.1"/>
        <s v="NN9640.2"/>
        <s v="NO1679.1"/>
        <s v="NO1679.2"/>
        <s v="NO1684"/>
        <s v="NO2879"/>
        <s v="NO2888"/>
        <s v="NO2893"/>
        <s v="NO2894"/>
        <s v="NO4881"/>
        <s v="NO7688.1"/>
        <s v="NO7688.2"/>
        <s v="NP3241"/>
        <s v="NP6690"/>
        <s v="NP8939.1"/>
        <s v="NP8966.1"/>
        <s v="NP8966.2"/>
        <s v="NR1864"/>
        <s v="NR1866"/>
        <s v="NR1867"/>
        <s v="NR3983"/>
        <s v="NR3997"/>
        <s v="NR3998"/>
        <s v="NR5974"/>
        <s v="NR5976"/>
        <s v="NR5978"/>
        <s v="NR5979"/>
        <s v="NR5983"/>
        <s v="NR7762"/>
        <s v="NR7764"/>
        <s v="NR7765"/>
        <s v="NR7766"/>
        <s v="NR7767.1"/>
        <s v="NR7767.2"/>
        <s v="NS0945"/>
        <s v="NS0946"/>
        <s v="NS0947"/>
        <s v="NS2705"/>
        <s v="NS2749"/>
        <s v="NS2782"/>
        <s v="NS3031.1"/>
        <s v="NS3031.2"/>
        <s v="NS5125"/>
        <s v="NS5170"/>
        <s v="NS5173"/>
        <s v="NS7549"/>
        <s v="NS9621"/>
        <s v="NT3509"/>
        <s v="NT6024"/>
        <s v="NT8124.1"/>
        <s v="NT8124.3"/>
        <s v="NT8124.4"/>
        <s v="NT8124.5"/>
        <s v="NT9909.1"/>
        <s v="NT9909.2"/>
        <s v="NT9931"/>
        <s v="NU0070.1"/>
        <s v="NU0070.2"/>
        <s v="NU0073"/>
        <s v="NU0077"/>
        <s v="NU3268"/>
        <s v="NU3291"/>
        <s v="NU5426"/>
        <s v="NU5429"/>
        <s v="NU5433.1"/>
        <s v="NU5433.2"/>
        <s v="NU5442"/>
        <s v="NU5447"/>
        <s v="NU5454"/>
        <s v="NU5468"/>
        <s v="NU7573"/>
        <s v="NU9007"/>
        <s v="NU9019"/>
        <s v="NU9027"/>
        <s v="NV0431"/>
        <s v="NV0442"/>
        <s v="NV0444.1"/>
        <s v="NV0444.2"/>
        <s v="NV0444.3"/>
        <s v="NV0444.4"/>
        <s v="NV0535"/>
        <s v="NV2737.1"/>
        <s v="NV2737.2"/>
        <s v="NV2771"/>
        <s v="NV5364.1"/>
        <s v="NV5364.2"/>
        <s v="NV5380.1"/>
        <s v="NV5380.2"/>
        <s v="NV5394.1"/>
        <s v="NV5394.2"/>
        <s v="NV5416.1"/>
        <s v="NV5416.2"/>
        <s v="NV6667.1"/>
        <s v="NV6667.2"/>
        <s v="NV6677"/>
        <s v="NV6691"/>
        <s v="NV7017"/>
        <s v="NV8440"/>
        <s v="NW0631"/>
        <s v="NW0635"/>
        <s v="NW0645"/>
        <s v="NW0648"/>
        <s v="NW3286.1"/>
        <s v="NW3286.2"/>
        <s v="NW3289"/>
        <s v="NW5608"/>
        <s v="NW5620"/>
        <s v="NW5627.1"/>
        <s v="NW5630.1"/>
        <s v="NW5630.2"/>
        <s v="NW5635"/>
        <s v="NW8030.1"/>
        <s v="NW8030.2"/>
        <s v="NW9477.2"/>
        <s v="NW9582"/>
        <s v="NW9726"/>
        <s v="NW9731"/>
        <s v="NW9732"/>
        <s v="NW9733"/>
      </sharedItems>
    </cacheField>
    <cacheField name="Pub Code" numFmtId="0">
      <sharedItems count="11">
        <s v="IF-CGT/APPALAC"/>
        <s v="IF-CNG/APPALACH"/>
        <s v="IF-NNG/VENT"/>
        <s v="IF-NTHWST/CANBR"/>
        <s v="IF-NWPL_ROCKY_M"/>
        <s v="IF-PAN/TX/OK"/>
        <s v="IF-TETCO/M3"/>
        <s v="IF-TRANSCO/Z6"/>
        <s v="MICH_CG-GD"/>
        <s v="NGI-SOCAL"/>
        <s v="NGI/CHI. GATE"/>
      </sharedItems>
    </cacheField>
    <cacheField name="Fin" numFmtId="0">
      <sharedItems count="1">
        <s v="F"/>
      </sharedItems>
    </cacheField>
    <cacheField name="Put" numFmtId="0">
      <sharedItems count="2">
        <s v="C"/>
        <s v="P"/>
      </sharedItems>
    </cacheField>
    <cacheField name="Period" numFmtId="0">
      <sharedItems containsSemiMixedTypes="0" containsNonDate="0" containsDate="1" containsString="0" minDate="2000-09-01T00:00:00" maxDate="2003-03-01T00:00:00" count="24"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11-01T00:00:00"/>
        <d v="2002-12-01T00:00:00"/>
        <d v="2003-01-01T00:00:00"/>
        <d v="2003-02-01T00:00:00"/>
        <d v="2003-03-01T00:00:00"/>
      </sharedItems>
    </cacheField>
    <cacheField name="Option Qty" numFmtId="0">
      <sharedItems containsSemiMixedTypes="0" containsString="0" containsNumber="1" containsInteger="1" minValue="-2170000" maxValue="3100000" count="44">
        <n v="-2170000"/>
        <n v="-2100000"/>
        <n v="-2000000"/>
        <n v="-1550000"/>
        <n v="-1500000"/>
        <n v="-1400000"/>
        <n v="-1240000"/>
        <n v="-1200000"/>
        <n v="-1120000"/>
        <n v="-1000000"/>
        <n v="-930000"/>
        <n v="-620000"/>
        <n v="-600000"/>
        <n v="-560000"/>
        <n v="-500000"/>
        <n v="-310000"/>
        <n v="-300000"/>
        <n v="-280000"/>
        <n v="-250000"/>
        <n v="-155000"/>
        <n v="-150000"/>
        <n v="-140000"/>
        <n v="140000"/>
        <n v="150000"/>
        <n v="155000"/>
        <n v="280000"/>
        <n v="300000"/>
        <n v="310000"/>
        <n v="450000"/>
        <n v="465000"/>
        <n v="500000"/>
        <n v="560000"/>
        <n v="600000"/>
        <n v="620000"/>
        <n v="840000"/>
        <n v="900000"/>
        <n v="930000"/>
        <n v="1000000"/>
        <n v="1240000"/>
        <n v="1500000"/>
        <n v="1550000"/>
        <n v="2000000"/>
        <n v="2500000"/>
        <n v="3100000"/>
      </sharedItems>
    </cacheField>
    <cacheField name="Price" numFmtId="0">
      <sharedItems containsSemiMixedTypes="0" containsString="0" containsNumber="1" minValue="-1.17" maxValue="5" count="68">
        <n v="-1.17"/>
        <n v="-0.7"/>
        <n v="-0.65"/>
        <n v="-0.6"/>
        <n v="-0.5"/>
        <n v="-0.4"/>
        <n v="-0.375"/>
        <n v="-0.32"/>
        <n v="-0.3"/>
        <n v="-0.27"/>
        <n v="-0.25"/>
        <n v="-0.2"/>
        <n v="-0.15"/>
        <n v="-0.1"/>
        <n v="0"/>
        <n v="0.045"/>
        <n v="0.1"/>
        <n v="0.11"/>
        <n v="0.12"/>
        <n v="0.15"/>
        <n v="0.16"/>
        <n v="0.1675"/>
        <n v="0.2"/>
        <n v="0.25"/>
        <n v="0.26"/>
        <n v="0.28"/>
        <n v="0.3"/>
        <n v="0.3025"/>
        <n v="0.32"/>
        <n v="0.33"/>
        <n v="0.3375"/>
        <n v="0.34"/>
        <n v="0.35"/>
        <n v="0.4"/>
        <n v="0.42"/>
        <n v="0.45"/>
        <n v="0.5"/>
        <n v="0.55"/>
        <n v="0.6"/>
        <n v="0.65"/>
        <n v="0.7"/>
        <n v="0.75"/>
        <n v="0.8"/>
        <n v="0.85"/>
        <n v="0.9"/>
        <n v="0.95"/>
        <n v="1"/>
        <n v="1.15"/>
        <n v="1.25"/>
        <n v="1.3"/>
        <n v="1.33"/>
        <n v="1.4"/>
        <n v="1.45"/>
        <n v="1.5"/>
        <n v="1.52"/>
        <n v="1.57"/>
        <n v="1.6"/>
        <n v="1.7"/>
        <n v="1.75"/>
        <n v="2"/>
        <n v="2.1"/>
        <n v="2.2"/>
        <n v="2.3"/>
        <n v="2.5"/>
        <n v="3"/>
        <n v="3.5"/>
        <n v="4"/>
        <n v="5"/>
      </sharedItems>
    </cacheField>
    <cacheField name="Price2" numFmtId="0">
      <sharedItems containsSemiMixedTypes="0" containsString="0" containsNumber="1" minValue="3.185" maxValue="4.8" count="24">
        <n v="3.185"/>
        <n v="3.355"/>
        <n v="3.418"/>
        <n v="3.497"/>
        <n v="3.504"/>
        <n v="3.605"/>
        <n v="3.77"/>
        <n v="3.773"/>
        <n v="3.788"/>
        <n v="3.803"/>
        <n v="3.808"/>
        <n v="3.818"/>
        <n v="3.838"/>
        <n v="3.878"/>
        <n v="3.938"/>
        <n v="3.94"/>
        <n v="3.968"/>
        <n v="4.213"/>
        <n v="4.48"/>
        <n v="4.685"/>
        <n v="4.692"/>
        <n v="4.736"/>
        <n v="4.744"/>
        <n v="4.8"/>
      </sharedItems>
    </cacheField>
    <cacheField name="Basis" numFmtId="0">
      <sharedItems containsSemiMixedTypes="0" containsString="0" containsNumber="1" minValue="-1.24" maxValue="2.5" count="74">
        <n v="-1.24"/>
        <n v="-0.805"/>
        <n v="-0.4675"/>
        <n v="-0.3975"/>
        <n v="-0.3875"/>
        <n v="-0.3675"/>
        <n v="-0.3575"/>
        <n v="-0.175"/>
        <n v="-0.16"/>
        <n v="-0.1525"/>
        <n v="-0.145"/>
        <n v="-0.1425"/>
        <n v="-0.1375"/>
        <n v="-0.11"/>
        <n v="-0.09"/>
        <n v="-0.03"/>
        <n v="-0.0025"/>
        <n v="0.0175"/>
        <n v="0.03"/>
        <n v="0.0325"/>
        <n v="0.035"/>
        <n v="0.0875"/>
        <n v="0.0925"/>
        <n v="0.1"/>
        <n v="0.12"/>
        <n v="0.1225"/>
        <n v="0.1275"/>
        <n v="0.1325"/>
        <n v="0.1375"/>
        <n v="0.145"/>
        <n v="0.17"/>
        <n v="0.185"/>
        <n v="0.1925"/>
        <n v="0.22"/>
        <n v="0.2275"/>
        <n v="0.24"/>
        <n v="0.265"/>
        <n v="0.27"/>
        <n v="0.295"/>
        <n v="0.3"/>
        <n v="0.305"/>
        <n v="0.315"/>
        <n v="0.3175"/>
        <n v="0.3215"/>
        <n v="0.3275"/>
        <n v="0.33"/>
        <n v="0.345"/>
        <n v="0.36"/>
        <n v="0.375"/>
        <n v="0.3775"/>
        <n v="0.395"/>
        <n v="0.405"/>
        <n v="0.415"/>
        <n v="0.455"/>
        <n v="0.46"/>
        <n v="0.461"/>
        <n v="0.52"/>
        <n v="0.53"/>
        <n v="0.5975"/>
        <n v="0.6175"/>
        <n v="0.7675"/>
        <n v="0.77"/>
        <n v="0.89"/>
        <n v="0.99"/>
        <n v="1.005"/>
        <n v="1.075"/>
        <n v="1.31"/>
        <n v="1.545"/>
        <n v="1.56"/>
        <n v="1.645"/>
        <n v="1.99"/>
        <n v="2.09"/>
        <n v="2.17"/>
        <n v="2.5"/>
      </sharedItems>
    </cacheField>
    <cacheField name="Price3" numFmtId="0">
      <sharedItems containsSemiMixedTypes="0" containsString="0" containsNumber="1" minValue="3.305" maxValue="7.185" count="84">
        <n v="3.305"/>
        <n v="3.445"/>
        <n v="3.4775"/>
        <n v="3.5105"/>
        <n v="3.6365"/>
        <n v="3.642"/>
        <n v="3.8155"/>
        <n v="3.887"/>
        <n v="4.0755"/>
        <n v="4.0925"/>
        <n v="4.103"/>
        <n v="4.1055"/>
        <n v="4.1305"/>
        <n v="4.133"/>
        <n v="4.1355"/>
        <n v="4.153"/>
        <n v="4.183"/>
        <n v="4.213"/>
        <n v="4.234"/>
        <n v="4.243"/>
        <n v="4.2455"/>
        <n v="4.263"/>
        <n v="4.268"/>
        <n v="4.2685"/>
        <n v="4.3155"/>
        <n v="4.335"/>
        <n v="4.3355"/>
        <n v="4.3765"/>
        <n v="4.4405"/>
        <n v="4.4425"/>
        <n v="4.458"/>
        <n v="4.483"/>
        <n v="4.515"/>
        <n v="4.561"/>
        <n v="4.573"/>
        <n v="4.575"/>
        <n v="4.584"/>
        <n v="4.5935"/>
        <n v="4.595"/>
        <n v="4.602"/>
        <n v="4.6175"/>
        <n v="4.6475"/>
        <n v="4.72"/>
        <n v="4.7335"/>
        <n v="4.768"/>
        <n v="4.774"/>
        <n v="4.775"/>
        <n v="4.8105"/>
        <n v="4.8175"/>
        <n v="4.8235"/>
        <n v="4.825"/>
        <n v="4.855"/>
        <n v="4.8715"/>
        <n v="4.877"/>
        <n v="4.895"/>
        <n v="4.9"/>
        <n v="4.906"/>
        <n v="4.964"/>
        <n v="4.99"/>
        <n v="4.9925"/>
        <n v="5"/>
        <n v="5.001"/>
        <n v="5.044"/>
        <n v="5.052"/>
        <n v="5.0575"/>
        <n v="5.095"/>
        <n v="5.0975"/>
        <n v="5.107"/>
        <n v="5.175"/>
        <n v="5.199"/>
        <n v="5.274"/>
        <n v="5.278"/>
        <n v="5.288"/>
        <n v="5.33"/>
        <n v="5.5"/>
        <n v="5.506"/>
        <n v="5.5115"/>
        <n v="5.805"/>
        <n v="6.281"/>
        <n v="6.445"/>
        <n v="6.57"/>
        <n v="6.682"/>
        <n v="6.914"/>
        <n v="7.185"/>
      </sharedItems>
    </cacheField>
    <cacheField name="Rate" numFmtId="0">
      <sharedItems containsSemiMixedTypes="0" containsString="0" containsNumber="1" minValue="0.067216196212185" maxValue="0.069518538831175" count="24">
        <n v="0.067216196212185"/>
        <n v="0.068050789414654"/>
        <n v="0.06810675983792"/>
        <n v="0.068314027999354"/>
        <n v="0.068374831148491"/>
        <n v="0.068640161611372"/>
        <n v="0.068879814952707"/>
        <n v="0.069061726541121"/>
        <n v="0.069101151219"/>
        <n v="0.069141890053328"/>
        <n v="0.069181571268568"/>
        <n v="0.069223060737755"/>
        <n v="0.069264550207512"/>
        <n v="0.069300944538364"/>
        <n v="0.069332408860559"/>
        <n v="0.069362858204931"/>
        <n v="0.069402566234751"/>
        <n v="0.069453688628792"/>
        <n v="0.069499863695119"/>
        <n v="0.069501922465244"/>
        <n v="0.069502480385871"/>
        <n v="0.069510422951367"/>
        <n v="0.06951065309818"/>
        <n v="0.069518538831175"/>
      </sharedItems>
    </cacheField>
    <cacheField name="Vol" numFmtId="0">
      <sharedItems containsSemiMixedTypes="0" containsString="0" containsNumber="1" minValue="0.2725" maxValue="0.605" count="18">
        <n v="0.2725"/>
        <n v="0.2825"/>
        <n v="0.2925"/>
        <n v="0.295"/>
        <n v="0.365"/>
        <n v="0.395"/>
        <n v="0.4"/>
        <n v="0.4025"/>
        <n v="0.405"/>
        <n v="0.4075"/>
        <n v="0.4125"/>
        <n v="0.4425"/>
        <n v="0.5325"/>
        <n v="0.575"/>
        <n v="0.5925"/>
        <n v="0.595"/>
        <n v="0.6"/>
        <n v="0.605"/>
      </sharedItems>
    </cacheField>
    <cacheField name="Vol2" numFmtId="0">
      <sharedItems containsSemiMixedTypes="0" containsString="0" containsNumber="1" minValue="0.273" maxValue="0.696" count="47">
        <n v="0.273"/>
        <n v="0.283"/>
        <n v="0.293"/>
        <n v="0.295"/>
        <n v="0.376"/>
        <n v="0.384"/>
        <n v="0.392"/>
        <n v="0.394"/>
        <n v="0.397"/>
        <n v="0.4"/>
        <n v="0.402"/>
        <n v="0.434"/>
        <n v="0.435"/>
        <n v="0.443"/>
        <n v="0.448"/>
        <n v="0.454"/>
        <n v="0.511"/>
        <n v="0.517"/>
        <n v="0.533"/>
        <n v="0.541"/>
        <n v="0.543"/>
        <n v="0.552"/>
        <n v="0.559"/>
        <n v="0.564"/>
        <n v="0.569"/>
        <n v="0.571"/>
        <n v="0.575"/>
        <n v="0.576"/>
        <n v="0.577"/>
        <n v="0.581"/>
        <n v="0.582"/>
        <n v="0.587"/>
        <n v="0.593"/>
        <n v="0.595"/>
        <n v="0.6"/>
        <n v="0.604"/>
        <n v="0.605"/>
        <n v="0.607"/>
        <n v="0.612"/>
        <n v="0.617"/>
        <n v="0.622"/>
        <n v="0.625"/>
        <n v="0.63"/>
        <n v="0.635"/>
        <n v="0.681"/>
        <n v="0.69"/>
        <n v="0.696"/>
      </sharedItems>
    </cacheField>
    <cacheField name="Correlation" numFmtId="0">
      <sharedItems containsSemiMixedTypes="0" containsString="0" containsNumber="1" minValue="0.83" maxValue="0.9975" count="13">
        <n v="0.83"/>
        <n v="0.84"/>
        <n v="0.85"/>
        <n v="0.89"/>
        <n v="0.93"/>
        <n v="0.95"/>
        <n v="0.9738"/>
        <n v="0.984107647518451"/>
        <n v="0.99"/>
        <n v="0.9925"/>
        <n v="0.995"/>
        <n v="0.997"/>
        <n v="0.9975"/>
      </sharedItems>
    </cacheField>
    <cacheField name="Expiry" numFmtId="0">
      <sharedItems containsSemiMixedTypes="0" containsNonDate="0" containsDate="1" containsString="0" minDate="2000-08-30T00:00:00" maxDate="2003-02-27T00:00:00" count="24">
        <d v="2000-08-30T00:00:00"/>
        <d v="2000-09-28T00:00:00"/>
        <d v="2000-10-30T00:00:00"/>
        <d v="2000-11-29T00:00:00"/>
        <d v="2000-12-28T00:00:00"/>
        <d v="2001-01-30T00:00:00"/>
        <d v="2001-02-27T00:00:00"/>
        <d v="2001-03-29T00:00:00"/>
        <d v="2001-04-27T00:00:00"/>
        <d v="2001-05-30T00:00:00"/>
        <d v="2001-06-28T00:00:00"/>
        <d v="2001-07-30T00:00:00"/>
        <d v="2001-08-30T00:00:00"/>
        <d v="2001-09-27T00:00:00"/>
        <d v="2001-10-30T00:00:00"/>
        <d v="2001-11-29T00:00:00"/>
        <d v="2001-12-28T00:00:00"/>
        <d v="2002-01-30T00:00:00"/>
        <d v="2002-02-27T00:00:00"/>
        <d v="2002-10-30T00:00:00"/>
        <d v="2002-11-28T00:00:00"/>
        <d v="2002-12-30T00:00:00"/>
        <d v="2003-01-30T00:00:00"/>
        <d v="2003-02-27T00:00:00"/>
      </sharedItems>
    </cacheField>
    <cacheField name="Type" numFmtId="0">
      <sharedItems containsSemiMixedTypes="0" containsString="0" containsNumber="1" containsInteger="1" minValue="0" maxValue="1" count="2">
        <n v="0"/>
        <n v="1"/>
      </sharedItems>
    </cacheField>
    <cacheField name="PREMIUM" numFmtId="0">
      <sharedItems count="1">
        <e v="#ADDIN?"/>
      </sharedItems>
    </cacheField>
    <cacheField name="DELTA" numFmtId="0">
      <sharedItems count="1">
        <e v="#ADDIN?"/>
      </sharedItems>
    </cacheField>
    <cacheField name="MTM Value" numFmtId="0">
      <sharedItems count="1">
        <e v="#ADDIN?"/>
      </sharedItems>
    </cacheField>
    <cacheField name="Offset" numFmtId="0">
      <sharedItems count="1">
        <e v="#ADDIN?"/>
      </sharedItems>
    </cacheField>
    <cacheField name="Delta2" numFmtId="0">
      <sharedItems count="1">
        <e v="#ADDIN?"/>
      </sharedItems>
    </cacheField>
    <cacheField name="blank" numFmtId="0">
      <sharedItems count="86">
        <s v="36770IF-CGT/APPALAC"/>
        <s v="36770IF-NNG/VENT"/>
        <s v="36770IF-NWPL_ROCKY_M"/>
        <s v="36770IF-TETCO/M3"/>
        <s v="36770IF-TRANSCO/Z6"/>
        <s v="36770NGI-SOCAL"/>
        <s v="36800IF-CGT/APPALAC"/>
        <s v="36800IF-NNG/VENT"/>
        <s v="36800IF-NWPL_ROCKY_M"/>
        <s v="36800IF-TETCO/M3"/>
        <s v="36800IF-TRANSCO/Z6"/>
        <s v="36800NGI-SOCAL"/>
        <s v="36831IF-CGT/APPALAC"/>
        <s v="36831IF-CNG/APPALACH"/>
        <s v="36831IF-NNG/VENT"/>
        <s v="36831IF-NTHWST/CANBR"/>
        <s v="36831IF-NWPL_ROCKY_M"/>
        <s v="36831IF-PAN/TX/OK"/>
        <s v="36831IF-TRANSCO/Z6"/>
        <s v="36831MICH_CG-GD"/>
        <s v="36831NGI-SOCAL"/>
        <s v="36831NGI/CHI. GATE"/>
        <s v="36861IF-CGT/APPALAC"/>
        <s v="36861IF-CNG/APPALACH"/>
        <s v="36861IF-NNG/VENT"/>
        <s v="36861IF-NTHWST/CANBR"/>
        <s v="36861IF-NWPL_ROCKY_M"/>
        <s v="36861IF-PAN/TX/OK"/>
        <s v="36861IF-TRANSCO/Z6"/>
        <s v="36861MICH_CG-GD"/>
        <s v="36861NGI-SOCAL"/>
        <s v="36861NGI/CHI. GATE"/>
        <s v="36892IF-CGT/APPALAC"/>
        <s v="36892IF-CNG/APPALACH"/>
        <s v="36892IF-NNG/VENT"/>
        <s v="36892IF-NTHWST/CANBR"/>
        <s v="36892IF-NWPL_ROCKY_M"/>
        <s v="36892IF-PAN/TX/OK"/>
        <s v="36892IF-TRANSCO/Z6"/>
        <s v="36892MICH_CG-GD"/>
        <s v="36892NGI-SOCAL"/>
        <s v="36892NGI/CHI. GATE"/>
        <s v="36923IF-CGT/APPALAC"/>
        <s v="36923IF-CNG/APPALACH"/>
        <s v="36923IF-NNG/VENT"/>
        <s v="36923IF-NTHWST/CANBR"/>
        <s v="36923IF-NWPL_ROCKY_M"/>
        <s v="36923IF-PAN/TX/OK"/>
        <s v="36923IF-TRANSCO/Z6"/>
        <s v="36923MICH_CG-GD"/>
        <s v="36923NGI-SOCAL"/>
        <s v="36923NGI/CHI. GATE"/>
        <s v="36951IF-CGT/APPALAC"/>
        <s v="36951IF-CNG/APPALACH"/>
        <s v="36951IF-NNG/VENT"/>
        <s v="36951IF-NTHWST/CANBR"/>
        <s v="36951IF-NWPL_ROCKY_M"/>
        <s v="36951IF-PAN/TX/OK"/>
        <s v="36951IF-TRANSCO/Z6"/>
        <s v="36951MICH_CG-GD"/>
        <s v="36951NGI-SOCAL"/>
        <s v="36951NGI/CHI. GATE"/>
        <s v="36982IF-TETCO/M3"/>
        <s v="36982IF-TRANSCO/Z6"/>
        <s v="37012IF-TETCO/M3"/>
        <s v="37012IF-TRANSCO/Z6"/>
        <s v="37043IF-TETCO/M3"/>
        <s v="37043IF-TRANSCO/Z6"/>
        <s v="37073IF-TETCO/M3"/>
        <s v="37073IF-TRANSCO/Z6"/>
        <s v="37104IF-TETCO/M3"/>
        <s v="37104IF-TRANSCO/Z6"/>
        <s v="37135IF-TETCO/M3"/>
        <s v="37135IF-TRANSCO/Z6"/>
        <s v="37165IF-TETCO/M3"/>
        <s v="37165IF-TRANSCO/Z6"/>
        <s v="37196IF-TRANSCO/Z6"/>
        <s v="37226IF-TRANSCO/Z6"/>
        <s v="37257IF-TRANSCO/Z6"/>
        <s v="37288IF-TRANSCO/Z6"/>
        <s v="37316IF-TRANSCO/Z6"/>
        <s v="37561NGI/CHI. GATE"/>
        <s v="37591NGI/CHI. GATE"/>
        <s v="37622NGI/CHI. GATE"/>
        <s v="37653NGI/CHI. GATE"/>
        <s v="37681NGI/CHI. GATE"/>
      </sharedItems>
    </cacheField>
    <cacheField name="Contracts" numFmtId="0">
      <sharedItems containsSemiMixedTypes="0" containsString="0" containsNumber="1" minValue="-217" maxValue="310" count="44">
        <n v="-217"/>
        <n v="-210"/>
        <n v="-200"/>
        <n v="-155"/>
        <n v="-150"/>
        <n v="-140"/>
        <n v="-124"/>
        <n v="-120"/>
        <n v="-112"/>
        <n v="-100"/>
        <n v="-93"/>
        <n v="-62"/>
        <n v="-60"/>
        <n v="-56"/>
        <n v="-50"/>
        <n v="-31"/>
        <n v="-30"/>
        <n v="-28"/>
        <n v="-25"/>
        <n v="-15.5"/>
        <n v="-15"/>
        <n v="-14"/>
        <n v="14"/>
        <n v="15"/>
        <n v="15.5"/>
        <n v="28"/>
        <n v="30"/>
        <n v="31"/>
        <n v="45"/>
        <n v="46.5"/>
        <n v="50"/>
        <n v="56"/>
        <n v="60"/>
        <n v="62"/>
        <n v="84"/>
        <n v="90"/>
        <n v="93"/>
        <n v="100"/>
        <n v="124"/>
        <n v="150"/>
        <n v="155"/>
        <n v="200"/>
        <n v="250"/>
        <n v="310"/>
      </sharedItems>
    </cacheField>
    <cacheField name="delta3" numFmtId="0">
      <sharedItems count="1">
        <e v="#ADDIN?"/>
      </sharedItems>
    </cacheField>
    <cacheField name="gamma" numFmtId="0">
      <sharedItems count="1">
        <e v="#ADDIN?"/>
      </sharedItems>
    </cacheField>
    <cacheField name="gamma2" numFmtId="0">
      <sharedItems count="1">
        <e v="#ADDIN?"/>
      </sharedItems>
    </cacheField>
    <cacheField name="core vega" numFmtId="0">
      <sharedItems count="1">
        <e v="#ADDIN?"/>
      </sharedItems>
    </cacheField>
    <cacheField name="theta" numFmtId="0">
      <sharedItems count="1">
        <e v="#ADDIN?"/>
      </sharedItems>
    </cacheField>
    <cacheField name="Curve Shift/Gamma" numFmtId="0">
      <sharedItems count="1">
        <e v="#ADDIN?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x v="0"/>
    <x v="0"/>
    <x v="0"/>
    <x v="0"/>
    <x v="0"/>
    <x v="0"/>
    <x v="0"/>
    <x v="0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0"/>
    <x v="0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0"/>
    <x v="0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1"/>
    <x v="1"/>
    <x v="1"/>
    <x v="1"/>
    <x v="1"/>
    <x v="1"/>
    <x v="1"/>
    <x v="1"/>
  </r>
  <r>
    <x v="0"/>
    <x v="0"/>
    <x v="1"/>
    <x v="1"/>
    <x v="1"/>
    <x v="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62">
  <r>
    <x v="21"/>
    <x v="0"/>
    <x v="0"/>
    <x v="7"/>
    <x v="0"/>
    <x v="0"/>
    <x v="18"/>
    <x v="10"/>
    <x v="45"/>
    <x v="5"/>
    <x v="67"/>
    <x v="41"/>
    <x v="18"/>
    <x v="4"/>
    <x v="10"/>
    <x v="6"/>
    <x v="18"/>
    <x v="1"/>
    <x v="0"/>
    <x v="0"/>
    <x v="0"/>
    <x v="0"/>
    <x v="0"/>
    <x v="87"/>
    <x v="10"/>
  </r>
  <r>
    <x v="21"/>
    <x v="0"/>
    <x v="0"/>
    <x v="7"/>
    <x v="0"/>
    <x v="0"/>
    <x v="17"/>
    <x v="10"/>
    <x v="45"/>
    <x v="6"/>
    <x v="75"/>
    <x v="79"/>
    <x v="17"/>
    <x v="5"/>
    <x v="14"/>
    <x v="6"/>
    <x v="17"/>
    <x v="1"/>
    <x v="0"/>
    <x v="0"/>
    <x v="0"/>
    <x v="0"/>
    <x v="0"/>
    <x v="86"/>
    <x v="10"/>
  </r>
  <r>
    <x v="21"/>
    <x v="0"/>
    <x v="0"/>
    <x v="7"/>
    <x v="0"/>
    <x v="0"/>
    <x v="16"/>
    <x v="10"/>
    <x v="45"/>
    <x v="15"/>
    <x v="75"/>
    <x v="80"/>
    <x v="16"/>
    <x v="10"/>
    <x v="17"/>
    <x v="6"/>
    <x v="16"/>
    <x v="1"/>
    <x v="0"/>
    <x v="0"/>
    <x v="0"/>
    <x v="0"/>
    <x v="0"/>
    <x v="85"/>
    <x v="10"/>
  </r>
  <r>
    <x v="21"/>
    <x v="0"/>
    <x v="0"/>
    <x v="7"/>
    <x v="0"/>
    <x v="0"/>
    <x v="15"/>
    <x v="10"/>
    <x v="45"/>
    <x v="16"/>
    <x v="73"/>
    <x v="77"/>
    <x v="15"/>
    <x v="9"/>
    <x v="16"/>
    <x v="6"/>
    <x v="15"/>
    <x v="1"/>
    <x v="0"/>
    <x v="0"/>
    <x v="0"/>
    <x v="0"/>
    <x v="0"/>
    <x v="84"/>
    <x v="10"/>
  </r>
  <r>
    <x v="21"/>
    <x v="0"/>
    <x v="0"/>
    <x v="7"/>
    <x v="0"/>
    <x v="0"/>
    <x v="14"/>
    <x v="10"/>
    <x v="45"/>
    <x v="13"/>
    <x v="66"/>
    <x v="47"/>
    <x v="14"/>
    <x v="7"/>
    <x v="15"/>
    <x v="6"/>
    <x v="14"/>
    <x v="1"/>
    <x v="0"/>
    <x v="0"/>
    <x v="0"/>
    <x v="0"/>
    <x v="0"/>
    <x v="83"/>
    <x v="10"/>
  </r>
  <r>
    <x v="18"/>
    <x v="0"/>
    <x v="1"/>
    <x v="7"/>
    <x v="0"/>
    <x v="0"/>
    <x v="13"/>
    <x v="31"/>
    <x v="26"/>
    <x v="7"/>
    <x v="55"/>
    <x v="18"/>
    <x v="13"/>
    <x v="7"/>
    <x v="7"/>
    <x v="7"/>
    <x v="13"/>
    <x v="1"/>
    <x v="0"/>
    <x v="0"/>
    <x v="0"/>
    <x v="0"/>
    <x v="0"/>
    <x v="81"/>
    <x v="31"/>
  </r>
  <r>
    <x v="18"/>
    <x v="0"/>
    <x v="1"/>
    <x v="7"/>
    <x v="0"/>
    <x v="0"/>
    <x v="12"/>
    <x v="31"/>
    <x v="26"/>
    <x v="8"/>
    <x v="50"/>
    <x v="16"/>
    <x v="12"/>
    <x v="6"/>
    <x v="6"/>
    <x v="7"/>
    <x v="12"/>
    <x v="1"/>
    <x v="0"/>
    <x v="0"/>
    <x v="0"/>
    <x v="0"/>
    <x v="0"/>
    <x v="78"/>
    <x v="31"/>
  </r>
  <r>
    <x v="18"/>
    <x v="0"/>
    <x v="1"/>
    <x v="7"/>
    <x v="0"/>
    <x v="0"/>
    <x v="11"/>
    <x v="31"/>
    <x v="26"/>
    <x v="10"/>
    <x v="54"/>
    <x v="22"/>
    <x v="11"/>
    <x v="6"/>
    <x v="6"/>
    <x v="7"/>
    <x v="11"/>
    <x v="1"/>
    <x v="0"/>
    <x v="0"/>
    <x v="0"/>
    <x v="0"/>
    <x v="0"/>
    <x v="75"/>
    <x v="31"/>
  </r>
  <r>
    <x v="18"/>
    <x v="0"/>
    <x v="1"/>
    <x v="7"/>
    <x v="0"/>
    <x v="0"/>
    <x v="10"/>
    <x v="31"/>
    <x v="26"/>
    <x v="9"/>
    <x v="54"/>
    <x v="21"/>
    <x v="10"/>
    <x v="6"/>
    <x v="6"/>
    <x v="7"/>
    <x v="10"/>
    <x v="1"/>
    <x v="0"/>
    <x v="0"/>
    <x v="0"/>
    <x v="0"/>
    <x v="0"/>
    <x v="72"/>
    <x v="31"/>
  </r>
  <r>
    <x v="18"/>
    <x v="0"/>
    <x v="1"/>
    <x v="7"/>
    <x v="0"/>
    <x v="0"/>
    <x v="9"/>
    <x v="31"/>
    <x v="26"/>
    <x v="11"/>
    <x v="50"/>
    <x v="17"/>
    <x v="9"/>
    <x v="6"/>
    <x v="6"/>
    <x v="7"/>
    <x v="9"/>
    <x v="1"/>
    <x v="0"/>
    <x v="0"/>
    <x v="0"/>
    <x v="0"/>
    <x v="0"/>
    <x v="69"/>
    <x v="31"/>
  </r>
  <r>
    <x v="18"/>
    <x v="0"/>
    <x v="1"/>
    <x v="7"/>
    <x v="0"/>
    <x v="0"/>
    <x v="8"/>
    <x v="31"/>
    <x v="26"/>
    <x v="12"/>
    <x v="51"/>
    <x v="19"/>
    <x v="8"/>
    <x v="8"/>
    <x v="8"/>
    <x v="7"/>
    <x v="8"/>
    <x v="1"/>
    <x v="0"/>
    <x v="0"/>
    <x v="0"/>
    <x v="0"/>
    <x v="0"/>
    <x v="66"/>
    <x v="31"/>
  </r>
  <r>
    <x v="18"/>
    <x v="0"/>
    <x v="1"/>
    <x v="7"/>
    <x v="0"/>
    <x v="0"/>
    <x v="7"/>
    <x v="31"/>
    <x v="26"/>
    <x v="14"/>
    <x v="56"/>
    <x v="31"/>
    <x v="7"/>
    <x v="11"/>
    <x v="13"/>
    <x v="7"/>
    <x v="7"/>
    <x v="1"/>
    <x v="0"/>
    <x v="0"/>
    <x v="0"/>
    <x v="0"/>
    <x v="0"/>
    <x v="63"/>
    <x v="31"/>
  </r>
  <r>
    <x v="18"/>
    <x v="0"/>
    <x v="1"/>
    <x v="7"/>
    <x v="0"/>
    <x v="0"/>
    <x v="1"/>
    <x v="31"/>
    <x v="26"/>
    <x v="20"/>
    <x v="52"/>
    <x v="73"/>
    <x v="1"/>
    <x v="13"/>
    <x v="25"/>
    <x v="10"/>
    <x v="1"/>
    <x v="1"/>
    <x v="0"/>
    <x v="0"/>
    <x v="0"/>
    <x v="0"/>
    <x v="0"/>
    <x v="10"/>
    <x v="31"/>
  </r>
  <r>
    <x v="18"/>
    <x v="0"/>
    <x v="1"/>
    <x v="7"/>
    <x v="0"/>
    <x v="0"/>
    <x v="0"/>
    <x v="31"/>
    <x v="26"/>
    <x v="19"/>
    <x v="41"/>
    <x v="63"/>
    <x v="0"/>
    <x v="6"/>
    <x v="6"/>
    <x v="10"/>
    <x v="0"/>
    <x v="1"/>
    <x v="0"/>
    <x v="0"/>
    <x v="0"/>
    <x v="0"/>
    <x v="0"/>
    <x v="4"/>
    <x v="31"/>
  </r>
  <r>
    <x v="15"/>
    <x v="0"/>
    <x v="2"/>
    <x v="4"/>
    <x v="0"/>
    <x v="1"/>
    <x v="1"/>
    <x v="28"/>
    <x v="5"/>
    <x v="20"/>
    <x v="1"/>
    <x v="7"/>
    <x v="1"/>
    <x v="13"/>
    <x v="23"/>
    <x v="1"/>
    <x v="1"/>
    <x v="0"/>
    <x v="0"/>
    <x v="0"/>
    <x v="0"/>
    <x v="0"/>
    <x v="0"/>
    <x v="8"/>
    <x v="28"/>
  </r>
  <r>
    <x v="15"/>
    <x v="0"/>
    <x v="2"/>
    <x v="4"/>
    <x v="0"/>
    <x v="1"/>
    <x v="0"/>
    <x v="27"/>
    <x v="5"/>
    <x v="19"/>
    <x v="0"/>
    <x v="1"/>
    <x v="0"/>
    <x v="6"/>
    <x v="5"/>
    <x v="1"/>
    <x v="0"/>
    <x v="0"/>
    <x v="0"/>
    <x v="0"/>
    <x v="0"/>
    <x v="0"/>
    <x v="0"/>
    <x v="2"/>
    <x v="27"/>
  </r>
  <r>
    <x v="6"/>
    <x v="0"/>
    <x v="3"/>
    <x v="7"/>
    <x v="0"/>
    <x v="0"/>
    <x v="1"/>
    <x v="28"/>
    <x v="23"/>
    <x v="20"/>
    <x v="52"/>
    <x v="73"/>
    <x v="1"/>
    <x v="13"/>
    <x v="25"/>
    <x v="10"/>
    <x v="1"/>
    <x v="1"/>
    <x v="0"/>
    <x v="0"/>
    <x v="0"/>
    <x v="0"/>
    <x v="0"/>
    <x v="10"/>
    <x v="28"/>
  </r>
  <r>
    <x v="6"/>
    <x v="0"/>
    <x v="3"/>
    <x v="7"/>
    <x v="0"/>
    <x v="0"/>
    <x v="0"/>
    <x v="27"/>
    <x v="23"/>
    <x v="19"/>
    <x v="41"/>
    <x v="63"/>
    <x v="0"/>
    <x v="6"/>
    <x v="6"/>
    <x v="10"/>
    <x v="0"/>
    <x v="1"/>
    <x v="0"/>
    <x v="0"/>
    <x v="0"/>
    <x v="0"/>
    <x v="0"/>
    <x v="4"/>
    <x v="27"/>
  </r>
  <r>
    <x v="18"/>
    <x v="0"/>
    <x v="4"/>
    <x v="0"/>
    <x v="0"/>
    <x v="0"/>
    <x v="1"/>
    <x v="34"/>
    <x v="20"/>
    <x v="20"/>
    <x v="31"/>
    <x v="56"/>
    <x v="1"/>
    <x v="13"/>
    <x v="25"/>
    <x v="11"/>
    <x v="1"/>
    <x v="1"/>
    <x v="0"/>
    <x v="0"/>
    <x v="0"/>
    <x v="0"/>
    <x v="0"/>
    <x v="6"/>
    <x v="34"/>
  </r>
  <r>
    <x v="18"/>
    <x v="0"/>
    <x v="4"/>
    <x v="0"/>
    <x v="0"/>
    <x v="0"/>
    <x v="0"/>
    <x v="33"/>
    <x v="20"/>
    <x v="19"/>
    <x v="30"/>
    <x v="54"/>
    <x v="0"/>
    <x v="6"/>
    <x v="6"/>
    <x v="11"/>
    <x v="0"/>
    <x v="1"/>
    <x v="0"/>
    <x v="0"/>
    <x v="0"/>
    <x v="0"/>
    <x v="0"/>
    <x v="0"/>
    <x v="33"/>
  </r>
  <r>
    <x v="10"/>
    <x v="1"/>
    <x v="5"/>
    <x v="0"/>
    <x v="0"/>
    <x v="0"/>
    <x v="1"/>
    <x v="28"/>
    <x v="20"/>
    <x v="20"/>
    <x v="31"/>
    <x v="56"/>
    <x v="1"/>
    <x v="13"/>
    <x v="25"/>
    <x v="11"/>
    <x v="1"/>
    <x v="1"/>
    <x v="0"/>
    <x v="0"/>
    <x v="0"/>
    <x v="0"/>
    <x v="0"/>
    <x v="6"/>
    <x v="28"/>
  </r>
  <r>
    <x v="10"/>
    <x v="1"/>
    <x v="5"/>
    <x v="0"/>
    <x v="0"/>
    <x v="0"/>
    <x v="0"/>
    <x v="27"/>
    <x v="20"/>
    <x v="19"/>
    <x v="30"/>
    <x v="54"/>
    <x v="0"/>
    <x v="6"/>
    <x v="6"/>
    <x v="11"/>
    <x v="0"/>
    <x v="1"/>
    <x v="0"/>
    <x v="0"/>
    <x v="0"/>
    <x v="0"/>
    <x v="0"/>
    <x v="0"/>
    <x v="27"/>
  </r>
  <r>
    <x v="22"/>
    <x v="0"/>
    <x v="6"/>
    <x v="0"/>
    <x v="0"/>
    <x v="0"/>
    <x v="6"/>
    <x v="28"/>
    <x v="29"/>
    <x v="17"/>
    <x v="37"/>
    <x v="32"/>
    <x v="6"/>
    <x v="12"/>
    <x v="20"/>
    <x v="9"/>
    <x v="6"/>
    <x v="1"/>
    <x v="0"/>
    <x v="0"/>
    <x v="0"/>
    <x v="0"/>
    <x v="0"/>
    <x v="52"/>
    <x v="28"/>
  </r>
  <r>
    <x v="22"/>
    <x v="0"/>
    <x v="6"/>
    <x v="0"/>
    <x v="0"/>
    <x v="0"/>
    <x v="5"/>
    <x v="26"/>
    <x v="29"/>
    <x v="18"/>
    <x v="38"/>
    <x v="49"/>
    <x v="5"/>
    <x v="14"/>
    <x v="34"/>
    <x v="9"/>
    <x v="5"/>
    <x v="1"/>
    <x v="0"/>
    <x v="0"/>
    <x v="0"/>
    <x v="0"/>
    <x v="0"/>
    <x v="42"/>
    <x v="26"/>
  </r>
  <r>
    <x v="22"/>
    <x v="0"/>
    <x v="6"/>
    <x v="0"/>
    <x v="0"/>
    <x v="0"/>
    <x v="4"/>
    <x v="28"/>
    <x v="29"/>
    <x v="22"/>
    <x v="39"/>
    <x v="67"/>
    <x v="4"/>
    <x v="17"/>
    <x v="38"/>
    <x v="9"/>
    <x v="4"/>
    <x v="1"/>
    <x v="0"/>
    <x v="0"/>
    <x v="0"/>
    <x v="0"/>
    <x v="0"/>
    <x v="32"/>
    <x v="28"/>
  </r>
  <r>
    <x v="22"/>
    <x v="0"/>
    <x v="6"/>
    <x v="0"/>
    <x v="0"/>
    <x v="0"/>
    <x v="3"/>
    <x v="28"/>
    <x v="29"/>
    <x v="23"/>
    <x v="38"/>
    <x v="71"/>
    <x v="3"/>
    <x v="16"/>
    <x v="36"/>
    <x v="9"/>
    <x v="3"/>
    <x v="1"/>
    <x v="0"/>
    <x v="0"/>
    <x v="0"/>
    <x v="0"/>
    <x v="0"/>
    <x v="22"/>
    <x v="28"/>
  </r>
  <r>
    <x v="22"/>
    <x v="0"/>
    <x v="6"/>
    <x v="0"/>
    <x v="0"/>
    <x v="0"/>
    <x v="2"/>
    <x v="27"/>
    <x v="29"/>
    <x v="21"/>
    <x v="36"/>
    <x v="64"/>
    <x v="2"/>
    <x v="15"/>
    <x v="35"/>
    <x v="9"/>
    <x v="2"/>
    <x v="1"/>
    <x v="0"/>
    <x v="0"/>
    <x v="0"/>
    <x v="0"/>
    <x v="0"/>
    <x v="12"/>
    <x v="27"/>
  </r>
  <r>
    <x v="17"/>
    <x v="0"/>
    <x v="7"/>
    <x v="7"/>
    <x v="0"/>
    <x v="0"/>
    <x v="2"/>
    <x v="36"/>
    <x v="46"/>
    <x v="21"/>
    <x v="65"/>
    <x v="81"/>
    <x v="2"/>
    <x v="15"/>
    <x v="43"/>
    <x v="4"/>
    <x v="2"/>
    <x v="1"/>
    <x v="0"/>
    <x v="0"/>
    <x v="0"/>
    <x v="0"/>
    <x v="0"/>
    <x v="18"/>
    <x v="36"/>
  </r>
  <r>
    <x v="19"/>
    <x v="0"/>
    <x v="8"/>
    <x v="7"/>
    <x v="0"/>
    <x v="1"/>
    <x v="2"/>
    <x v="27"/>
    <x v="35"/>
    <x v="21"/>
    <x v="65"/>
    <x v="81"/>
    <x v="2"/>
    <x v="15"/>
    <x v="43"/>
    <x v="4"/>
    <x v="2"/>
    <x v="0"/>
    <x v="0"/>
    <x v="0"/>
    <x v="0"/>
    <x v="0"/>
    <x v="0"/>
    <x v="18"/>
    <x v="27"/>
  </r>
  <r>
    <x v="4"/>
    <x v="0"/>
    <x v="9"/>
    <x v="7"/>
    <x v="0"/>
    <x v="1"/>
    <x v="2"/>
    <x v="36"/>
    <x v="35"/>
    <x v="21"/>
    <x v="65"/>
    <x v="81"/>
    <x v="2"/>
    <x v="15"/>
    <x v="43"/>
    <x v="4"/>
    <x v="2"/>
    <x v="0"/>
    <x v="0"/>
    <x v="0"/>
    <x v="0"/>
    <x v="0"/>
    <x v="0"/>
    <x v="18"/>
    <x v="36"/>
  </r>
  <r>
    <x v="5"/>
    <x v="0"/>
    <x v="10"/>
    <x v="7"/>
    <x v="0"/>
    <x v="1"/>
    <x v="2"/>
    <x v="40"/>
    <x v="35"/>
    <x v="21"/>
    <x v="65"/>
    <x v="81"/>
    <x v="2"/>
    <x v="15"/>
    <x v="43"/>
    <x v="4"/>
    <x v="2"/>
    <x v="0"/>
    <x v="0"/>
    <x v="0"/>
    <x v="0"/>
    <x v="0"/>
    <x v="0"/>
    <x v="18"/>
    <x v="40"/>
  </r>
  <r>
    <x v="17"/>
    <x v="0"/>
    <x v="11"/>
    <x v="7"/>
    <x v="0"/>
    <x v="0"/>
    <x v="6"/>
    <x v="39"/>
    <x v="48"/>
    <x v="17"/>
    <x v="69"/>
    <x v="78"/>
    <x v="6"/>
    <x v="12"/>
    <x v="40"/>
    <x v="0"/>
    <x v="6"/>
    <x v="1"/>
    <x v="0"/>
    <x v="0"/>
    <x v="0"/>
    <x v="0"/>
    <x v="0"/>
    <x v="58"/>
    <x v="39"/>
  </r>
  <r>
    <x v="12"/>
    <x v="1"/>
    <x v="12"/>
    <x v="7"/>
    <x v="0"/>
    <x v="0"/>
    <x v="6"/>
    <x v="16"/>
    <x v="48"/>
    <x v="17"/>
    <x v="69"/>
    <x v="78"/>
    <x v="6"/>
    <x v="12"/>
    <x v="40"/>
    <x v="0"/>
    <x v="6"/>
    <x v="1"/>
    <x v="0"/>
    <x v="0"/>
    <x v="0"/>
    <x v="0"/>
    <x v="0"/>
    <x v="58"/>
    <x v="16"/>
  </r>
  <r>
    <x v="8"/>
    <x v="0"/>
    <x v="13"/>
    <x v="4"/>
    <x v="0"/>
    <x v="0"/>
    <x v="1"/>
    <x v="28"/>
    <x v="7"/>
    <x v="20"/>
    <x v="1"/>
    <x v="7"/>
    <x v="1"/>
    <x v="13"/>
    <x v="23"/>
    <x v="1"/>
    <x v="1"/>
    <x v="1"/>
    <x v="0"/>
    <x v="0"/>
    <x v="0"/>
    <x v="0"/>
    <x v="0"/>
    <x v="8"/>
    <x v="28"/>
  </r>
  <r>
    <x v="8"/>
    <x v="0"/>
    <x v="13"/>
    <x v="4"/>
    <x v="0"/>
    <x v="0"/>
    <x v="0"/>
    <x v="27"/>
    <x v="7"/>
    <x v="19"/>
    <x v="0"/>
    <x v="1"/>
    <x v="0"/>
    <x v="6"/>
    <x v="5"/>
    <x v="1"/>
    <x v="0"/>
    <x v="1"/>
    <x v="0"/>
    <x v="0"/>
    <x v="0"/>
    <x v="0"/>
    <x v="0"/>
    <x v="2"/>
    <x v="27"/>
  </r>
  <r>
    <x v="8"/>
    <x v="0"/>
    <x v="14"/>
    <x v="4"/>
    <x v="0"/>
    <x v="1"/>
    <x v="1"/>
    <x v="28"/>
    <x v="7"/>
    <x v="20"/>
    <x v="1"/>
    <x v="7"/>
    <x v="1"/>
    <x v="13"/>
    <x v="23"/>
    <x v="1"/>
    <x v="1"/>
    <x v="0"/>
    <x v="0"/>
    <x v="0"/>
    <x v="0"/>
    <x v="0"/>
    <x v="0"/>
    <x v="8"/>
    <x v="28"/>
  </r>
  <r>
    <x v="8"/>
    <x v="0"/>
    <x v="14"/>
    <x v="4"/>
    <x v="0"/>
    <x v="1"/>
    <x v="0"/>
    <x v="27"/>
    <x v="7"/>
    <x v="19"/>
    <x v="0"/>
    <x v="1"/>
    <x v="0"/>
    <x v="6"/>
    <x v="5"/>
    <x v="1"/>
    <x v="0"/>
    <x v="0"/>
    <x v="0"/>
    <x v="0"/>
    <x v="0"/>
    <x v="0"/>
    <x v="0"/>
    <x v="2"/>
    <x v="27"/>
  </r>
  <r>
    <x v="8"/>
    <x v="0"/>
    <x v="15"/>
    <x v="4"/>
    <x v="0"/>
    <x v="1"/>
    <x v="1"/>
    <x v="34"/>
    <x v="5"/>
    <x v="20"/>
    <x v="1"/>
    <x v="7"/>
    <x v="1"/>
    <x v="13"/>
    <x v="23"/>
    <x v="1"/>
    <x v="1"/>
    <x v="0"/>
    <x v="0"/>
    <x v="0"/>
    <x v="0"/>
    <x v="0"/>
    <x v="0"/>
    <x v="8"/>
    <x v="34"/>
  </r>
  <r>
    <x v="8"/>
    <x v="0"/>
    <x v="15"/>
    <x v="4"/>
    <x v="0"/>
    <x v="1"/>
    <x v="0"/>
    <x v="33"/>
    <x v="5"/>
    <x v="19"/>
    <x v="0"/>
    <x v="1"/>
    <x v="0"/>
    <x v="6"/>
    <x v="5"/>
    <x v="1"/>
    <x v="0"/>
    <x v="0"/>
    <x v="0"/>
    <x v="0"/>
    <x v="0"/>
    <x v="0"/>
    <x v="0"/>
    <x v="2"/>
    <x v="33"/>
  </r>
  <r>
    <x v="15"/>
    <x v="0"/>
    <x v="16"/>
    <x v="4"/>
    <x v="0"/>
    <x v="0"/>
    <x v="1"/>
    <x v="28"/>
    <x v="10"/>
    <x v="20"/>
    <x v="1"/>
    <x v="7"/>
    <x v="1"/>
    <x v="13"/>
    <x v="23"/>
    <x v="1"/>
    <x v="1"/>
    <x v="1"/>
    <x v="0"/>
    <x v="0"/>
    <x v="0"/>
    <x v="0"/>
    <x v="0"/>
    <x v="8"/>
    <x v="28"/>
  </r>
  <r>
    <x v="15"/>
    <x v="0"/>
    <x v="16"/>
    <x v="4"/>
    <x v="0"/>
    <x v="0"/>
    <x v="0"/>
    <x v="27"/>
    <x v="10"/>
    <x v="19"/>
    <x v="0"/>
    <x v="1"/>
    <x v="0"/>
    <x v="6"/>
    <x v="5"/>
    <x v="1"/>
    <x v="0"/>
    <x v="1"/>
    <x v="0"/>
    <x v="0"/>
    <x v="0"/>
    <x v="0"/>
    <x v="0"/>
    <x v="2"/>
    <x v="27"/>
  </r>
  <r>
    <x v="5"/>
    <x v="0"/>
    <x v="17"/>
    <x v="4"/>
    <x v="0"/>
    <x v="0"/>
    <x v="1"/>
    <x v="28"/>
    <x v="8"/>
    <x v="20"/>
    <x v="1"/>
    <x v="7"/>
    <x v="1"/>
    <x v="13"/>
    <x v="23"/>
    <x v="1"/>
    <x v="1"/>
    <x v="1"/>
    <x v="0"/>
    <x v="0"/>
    <x v="0"/>
    <x v="0"/>
    <x v="0"/>
    <x v="8"/>
    <x v="28"/>
  </r>
  <r>
    <x v="5"/>
    <x v="0"/>
    <x v="17"/>
    <x v="4"/>
    <x v="0"/>
    <x v="1"/>
    <x v="1"/>
    <x v="28"/>
    <x v="8"/>
    <x v="20"/>
    <x v="1"/>
    <x v="7"/>
    <x v="1"/>
    <x v="13"/>
    <x v="23"/>
    <x v="1"/>
    <x v="1"/>
    <x v="0"/>
    <x v="0"/>
    <x v="0"/>
    <x v="0"/>
    <x v="0"/>
    <x v="0"/>
    <x v="8"/>
    <x v="28"/>
  </r>
  <r>
    <x v="5"/>
    <x v="0"/>
    <x v="17"/>
    <x v="4"/>
    <x v="0"/>
    <x v="0"/>
    <x v="0"/>
    <x v="27"/>
    <x v="8"/>
    <x v="19"/>
    <x v="0"/>
    <x v="1"/>
    <x v="0"/>
    <x v="6"/>
    <x v="5"/>
    <x v="1"/>
    <x v="0"/>
    <x v="1"/>
    <x v="0"/>
    <x v="0"/>
    <x v="0"/>
    <x v="0"/>
    <x v="0"/>
    <x v="2"/>
    <x v="27"/>
  </r>
  <r>
    <x v="5"/>
    <x v="0"/>
    <x v="17"/>
    <x v="4"/>
    <x v="0"/>
    <x v="1"/>
    <x v="0"/>
    <x v="27"/>
    <x v="8"/>
    <x v="19"/>
    <x v="0"/>
    <x v="1"/>
    <x v="0"/>
    <x v="6"/>
    <x v="5"/>
    <x v="1"/>
    <x v="0"/>
    <x v="0"/>
    <x v="0"/>
    <x v="0"/>
    <x v="0"/>
    <x v="0"/>
    <x v="0"/>
    <x v="2"/>
    <x v="27"/>
  </r>
  <r>
    <x v="6"/>
    <x v="0"/>
    <x v="18"/>
    <x v="7"/>
    <x v="0"/>
    <x v="1"/>
    <x v="5"/>
    <x v="31"/>
    <x v="46"/>
    <x v="18"/>
    <x v="78"/>
    <x v="86"/>
    <x v="5"/>
    <x v="14"/>
    <x v="46"/>
    <x v="0"/>
    <x v="5"/>
    <x v="0"/>
    <x v="0"/>
    <x v="0"/>
    <x v="0"/>
    <x v="0"/>
    <x v="0"/>
    <x v="48"/>
    <x v="31"/>
  </r>
  <r>
    <x v="6"/>
    <x v="0"/>
    <x v="18"/>
    <x v="7"/>
    <x v="0"/>
    <x v="1"/>
    <x v="4"/>
    <x v="31"/>
    <x v="46"/>
    <x v="22"/>
    <x v="79"/>
    <x v="88"/>
    <x v="4"/>
    <x v="17"/>
    <x v="48"/>
    <x v="0"/>
    <x v="4"/>
    <x v="0"/>
    <x v="0"/>
    <x v="0"/>
    <x v="0"/>
    <x v="0"/>
    <x v="0"/>
    <x v="38"/>
    <x v="31"/>
  </r>
  <r>
    <x v="6"/>
    <x v="0"/>
    <x v="18"/>
    <x v="7"/>
    <x v="0"/>
    <x v="1"/>
    <x v="3"/>
    <x v="31"/>
    <x v="46"/>
    <x v="23"/>
    <x v="76"/>
    <x v="85"/>
    <x v="3"/>
    <x v="16"/>
    <x v="47"/>
    <x v="0"/>
    <x v="3"/>
    <x v="0"/>
    <x v="0"/>
    <x v="0"/>
    <x v="0"/>
    <x v="0"/>
    <x v="0"/>
    <x v="28"/>
    <x v="31"/>
  </r>
  <r>
    <x v="8"/>
    <x v="0"/>
    <x v="19"/>
    <x v="7"/>
    <x v="0"/>
    <x v="1"/>
    <x v="6"/>
    <x v="31"/>
    <x v="41"/>
    <x v="17"/>
    <x v="69"/>
    <x v="78"/>
    <x v="6"/>
    <x v="12"/>
    <x v="40"/>
    <x v="0"/>
    <x v="6"/>
    <x v="0"/>
    <x v="0"/>
    <x v="0"/>
    <x v="0"/>
    <x v="0"/>
    <x v="0"/>
    <x v="58"/>
    <x v="31"/>
  </r>
  <r>
    <x v="8"/>
    <x v="0"/>
    <x v="19"/>
    <x v="7"/>
    <x v="0"/>
    <x v="1"/>
    <x v="5"/>
    <x v="31"/>
    <x v="41"/>
    <x v="18"/>
    <x v="78"/>
    <x v="86"/>
    <x v="5"/>
    <x v="14"/>
    <x v="46"/>
    <x v="0"/>
    <x v="5"/>
    <x v="0"/>
    <x v="0"/>
    <x v="0"/>
    <x v="0"/>
    <x v="0"/>
    <x v="0"/>
    <x v="48"/>
    <x v="31"/>
  </r>
  <r>
    <x v="8"/>
    <x v="0"/>
    <x v="19"/>
    <x v="7"/>
    <x v="0"/>
    <x v="1"/>
    <x v="4"/>
    <x v="31"/>
    <x v="41"/>
    <x v="22"/>
    <x v="79"/>
    <x v="88"/>
    <x v="4"/>
    <x v="17"/>
    <x v="48"/>
    <x v="0"/>
    <x v="4"/>
    <x v="0"/>
    <x v="0"/>
    <x v="0"/>
    <x v="0"/>
    <x v="0"/>
    <x v="0"/>
    <x v="38"/>
    <x v="31"/>
  </r>
  <r>
    <x v="8"/>
    <x v="0"/>
    <x v="19"/>
    <x v="7"/>
    <x v="0"/>
    <x v="1"/>
    <x v="3"/>
    <x v="31"/>
    <x v="41"/>
    <x v="23"/>
    <x v="76"/>
    <x v="85"/>
    <x v="3"/>
    <x v="16"/>
    <x v="47"/>
    <x v="0"/>
    <x v="3"/>
    <x v="0"/>
    <x v="0"/>
    <x v="0"/>
    <x v="0"/>
    <x v="0"/>
    <x v="0"/>
    <x v="28"/>
    <x v="31"/>
  </r>
  <r>
    <x v="8"/>
    <x v="0"/>
    <x v="19"/>
    <x v="7"/>
    <x v="0"/>
    <x v="1"/>
    <x v="2"/>
    <x v="31"/>
    <x v="41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20"/>
    <x v="7"/>
    <x v="0"/>
    <x v="0"/>
    <x v="6"/>
    <x v="15"/>
    <x v="47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20"/>
    <x v="7"/>
    <x v="0"/>
    <x v="0"/>
    <x v="5"/>
    <x v="15"/>
    <x v="47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20"/>
    <x v="7"/>
    <x v="0"/>
    <x v="0"/>
    <x v="4"/>
    <x v="15"/>
    <x v="47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20"/>
    <x v="7"/>
    <x v="0"/>
    <x v="0"/>
    <x v="3"/>
    <x v="15"/>
    <x v="47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20"/>
    <x v="7"/>
    <x v="0"/>
    <x v="0"/>
    <x v="2"/>
    <x v="15"/>
    <x v="47"/>
    <x v="21"/>
    <x v="65"/>
    <x v="81"/>
    <x v="2"/>
    <x v="15"/>
    <x v="43"/>
    <x v="4"/>
    <x v="2"/>
    <x v="1"/>
    <x v="0"/>
    <x v="0"/>
    <x v="0"/>
    <x v="0"/>
    <x v="0"/>
    <x v="18"/>
    <x v="15"/>
  </r>
  <r>
    <x v="8"/>
    <x v="0"/>
    <x v="21"/>
    <x v="7"/>
    <x v="0"/>
    <x v="0"/>
    <x v="1"/>
    <x v="19"/>
    <x v="26"/>
    <x v="20"/>
    <x v="52"/>
    <x v="73"/>
    <x v="1"/>
    <x v="13"/>
    <x v="25"/>
    <x v="10"/>
    <x v="1"/>
    <x v="1"/>
    <x v="0"/>
    <x v="0"/>
    <x v="0"/>
    <x v="0"/>
    <x v="0"/>
    <x v="10"/>
    <x v="19"/>
  </r>
  <r>
    <x v="8"/>
    <x v="0"/>
    <x v="21"/>
    <x v="7"/>
    <x v="0"/>
    <x v="0"/>
    <x v="0"/>
    <x v="19"/>
    <x v="26"/>
    <x v="19"/>
    <x v="41"/>
    <x v="63"/>
    <x v="0"/>
    <x v="6"/>
    <x v="6"/>
    <x v="10"/>
    <x v="0"/>
    <x v="1"/>
    <x v="0"/>
    <x v="0"/>
    <x v="0"/>
    <x v="0"/>
    <x v="0"/>
    <x v="4"/>
    <x v="19"/>
  </r>
  <r>
    <x v="8"/>
    <x v="0"/>
    <x v="22"/>
    <x v="7"/>
    <x v="0"/>
    <x v="1"/>
    <x v="1"/>
    <x v="19"/>
    <x v="26"/>
    <x v="20"/>
    <x v="52"/>
    <x v="73"/>
    <x v="1"/>
    <x v="13"/>
    <x v="25"/>
    <x v="10"/>
    <x v="1"/>
    <x v="0"/>
    <x v="0"/>
    <x v="0"/>
    <x v="0"/>
    <x v="0"/>
    <x v="0"/>
    <x v="10"/>
    <x v="19"/>
  </r>
  <r>
    <x v="8"/>
    <x v="0"/>
    <x v="22"/>
    <x v="7"/>
    <x v="0"/>
    <x v="1"/>
    <x v="0"/>
    <x v="19"/>
    <x v="26"/>
    <x v="19"/>
    <x v="41"/>
    <x v="63"/>
    <x v="0"/>
    <x v="6"/>
    <x v="6"/>
    <x v="10"/>
    <x v="0"/>
    <x v="0"/>
    <x v="0"/>
    <x v="0"/>
    <x v="0"/>
    <x v="0"/>
    <x v="0"/>
    <x v="4"/>
    <x v="19"/>
  </r>
  <r>
    <x v="6"/>
    <x v="0"/>
    <x v="23"/>
    <x v="7"/>
    <x v="0"/>
    <x v="0"/>
    <x v="1"/>
    <x v="19"/>
    <x v="26"/>
    <x v="20"/>
    <x v="52"/>
    <x v="73"/>
    <x v="1"/>
    <x v="13"/>
    <x v="25"/>
    <x v="10"/>
    <x v="1"/>
    <x v="1"/>
    <x v="0"/>
    <x v="0"/>
    <x v="0"/>
    <x v="0"/>
    <x v="0"/>
    <x v="10"/>
    <x v="19"/>
  </r>
  <r>
    <x v="6"/>
    <x v="0"/>
    <x v="23"/>
    <x v="7"/>
    <x v="0"/>
    <x v="0"/>
    <x v="1"/>
    <x v="15"/>
    <x v="26"/>
    <x v="20"/>
    <x v="52"/>
    <x v="73"/>
    <x v="1"/>
    <x v="13"/>
    <x v="25"/>
    <x v="10"/>
    <x v="1"/>
    <x v="1"/>
    <x v="0"/>
    <x v="0"/>
    <x v="0"/>
    <x v="0"/>
    <x v="0"/>
    <x v="10"/>
    <x v="15"/>
  </r>
  <r>
    <x v="6"/>
    <x v="0"/>
    <x v="23"/>
    <x v="7"/>
    <x v="0"/>
    <x v="0"/>
    <x v="0"/>
    <x v="19"/>
    <x v="26"/>
    <x v="19"/>
    <x v="41"/>
    <x v="63"/>
    <x v="0"/>
    <x v="6"/>
    <x v="6"/>
    <x v="10"/>
    <x v="0"/>
    <x v="1"/>
    <x v="0"/>
    <x v="0"/>
    <x v="0"/>
    <x v="0"/>
    <x v="0"/>
    <x v="4"/>
    <x v="19"/>
  </r>
  <r>
    <x v="6"/>
    <x v="0"/>
    <x v="23"/>
    <x v="7"/>
    <x v="0"/>
    <x v="0"/>
    <x v="0"/>
    <x v="15"/>
    <x v="26"/>
    <x v="19"/>
    <x v="41"/>
    <x v="63"/>
    <x v="0"/>
    <x v="6"/>
    <x v="6"/>
    <x v="10"/>
    <x v="0"/>
    <x v="1"/>
    <x v="0"/>
    <x v="0"/>
    <x v="0"/>
    <x v="0"/>
    <x v="0"/>
    <x v="4"/>
    <x v="15"/>
  </r>
  <r>
    <x v="6"/>
    <x v="0"/>
    <x v="24"/>
    <x v="7"/>
    <x v="0"/>
    <x v="1"/>
    <x v="1"/>
    <x v="19"/>
    <x v="26"/>
    <x v="20"/>
    <x v="52"/>
    <x v="73"/>
    <x v="1"/>
    <x v="13"/>
    <x v="25"/>
    <x v="10"/>
    <x v="1"/>
    <x v="0"/>
    <x v="0"/>
    <x v="0"/>
    <x v="0"/>
    <x v="0"/>
    <x v="0"/>
    <x v="10"/>
    <x v="19"/>
  </r>
  <r>
    <x v="6"/>
    <x v="0"/>
    <x v="24"/>
    <x v="7"/>
    <x v="0"/>
    <x v="1"/>
    <x v="1"/>
    <x v="15"/>
    <x v="26"/>
    <x v="20"/>
    <x v="52"/>
    <x v="73"/>
    <x v="1"/>
    <x v="13"/>
    <x v="25"/>
    <x v="10"/>
    <x v="1"/>
    <x v="0"/>
    <x v="0"/>
    <x v="0"/>
    <x v="0"/>
    <x v="0"/>
    <x v="0"/>
    <x v="10"/>
    <x v="15"/>
  </r>
  <r>
    <x v="6"/>
    <x v="0"/>
    <x v="24"/>
    <x v="7"/>
    <x v="0"/>
    <x v="1"/>
    <x v="0"/>
    <x v="19"/>
    <x v="26"/>
    <x v="19"/>
    <x v="41"/>
    <x v="63"/>
    <x v="0"/>
    <x v="6"/>
    <x v="6"/>
    <x v="10"/>
    <x v="0"/>
    <x v="0"/>
    <x v="0"/>
    <x v="0"/>
    <x v="0"/>
    <x v="0"/>
    <x v="0"/>
    <x v="4"/>
    <x v="19"/>
  </r>
  <r>
    <x v="6"/>
    <x v="0"/>
    <x v="24"/>
    <x v="7"/>
    <x v="0"/>
    <x v="1"/>
    <x v="0"/>
    <x v="15"/>
    <x v="26"/>
    <x v="19"/>
    <x v="41"/>
    <x v="63"/>
    <x v="0"/>
    <x v="6"/>
    <x v="6"/>
    <x v="10"/>
    <x v="0"/>
    <x v="0"/>
    <x v="0"/>
    <x v="0"/>
    <x v="0"/>
    <x v="0"/>
    <x v="0"/>
    <x v="4"/>
    <x v="15"/>
  </r>
  <r>
    <x v="6"/>
    <x v="0"/>
    <x v="25"/>
    <x v="4"/>
    <x v="0"/>
    <x v="0"/>
    <x v="1"/>
    <x v="10"/>
    <x v="10"/>
    <x v="20"/>
    <x v="1"/>
    <x v="7"/>
    <x v="1"/>
    <x v="13"/>
    <x v="23"/>
    <x v="1"/>
    <x v="1"/>
    <x v="1"/>
    <x v="0"/>
    <x v="0"/>
    <x v="0"/>
    <x v="0"/>
    <x v="0"/>
    <x v="8"/>
    <x v="10"/>
  </r>
  <r>
    <x v="6"/>
    <x v="0"/>
    <x v="25"/>
    <x v="4"/>
    <x v="0"/>
    <x v="0"/>
    <x v="0"/>
    <x v="10"/>
    <x v="10"/>
    <x v="19"/>
    <x v="0"/>
    <x v="1"/>
    <x v="0"/>
    <x v="6"/>
    <x v="5"/>
    <x v="1"/>
    <x v="0"/>
    <x v="1"/>
    <x v="0"/>
    <x v="0"/>
    <x v="0"/>
    <x v="0"/>
    <x v="0"/>
    <x v="2"/>
    <x v="10"/>
  </r>
  <r>
    <x v="6"/>
    <x v="0"/>
    <x v="26"/>
    <x v="4"/>
    <x v="0"/>
    <x v="1"/>
    <x v="1"/>
    <x v="38"/>
    <x v="5"/>
    <x v="20"/>
    <x v="1"/>
    <x v="7"/>
    <x v="1"/>
    <x v="13"/>
    <x v="23"/>
    <x v="1"/>
    <x v="1"/>
    <x v="0"/>
    <x v="0"/>
    <x v="0"/>
    <x v="0"/>
    <x v="0"/>
    <x v="0"/>
    <x v="8"/>
    <x v="38"/>
  </r>
  <r>
    <x v="6"/>
    <x v="0"/>
    <x v="26"/>
    <x v="4"/>
    <x v="0"/>
    <x v="1"/>
    <x v="0"/>
    <x v="38"/>
    <x v="5"/>
    <x v="19"/>
    <x v="0"/>
    <x v="1"/>
    <x v="0"/>
    <x v="6"/>
    <x v="5"/>
    <x v="1"/>
    <x v="0"/>
    <x v="0"/>
    <x v="0"/>
    <x v="0"/>
    <x v="0"/>
    <x v="0"/>
    <x v="0"/>
    <x v="2"/>
    <x v="38"/>
  </r>
  <r>
    <x v="6"/>
    <x v="0"/>
    <x v="27"/>
    <x v="7"/>
    <x v="0"/>
    <x v="0"/>
    <x v="6"/>
    <x v="19"/>
    <x v="47"/>
    <x v="17"/>
    <x v="69"/>
    <x v="78"/>
    <x v="6"/>
    <x v="12"/>
    <x v="40"/>
    <x v="0"/>
    <x v="6"/>
    <x v="1"/>
    <x v="0"/>
    <x v="0"/>
    <x v="0"/>
    <x v="0"/>
    <x v="0"/>
    <x v="58"/>
    <x v="19"/>
  </r>
  <r>
    <x v="6"/>
    <x v="0"/>
    <x v="27"/>
    <x v="7"/>
    <x v="0"/>
    <x v="0"/>
    <x v="5"/>
    <x v="19"/>
    <x v="47"/>
    <x v="18"/>
    <x v="78"/>
    <x v="86"/>
    <x v="5"/>
    <x v="14"/>
    <x v="46"/>
    <x v="0"/>
    <x v="5"/>
    <x v="1"/>
    <x v="0"/>
    <x v="0"/>
    <x v="0"/>
    <x v="0"/>
    <x v="0"/>
    <x v="48"/>
    <x v="19"/>
  </r>
  <r>
    <x v="6"/>
    <x v="0"/>
    <x v="27"/>
    <x v="7"/>
    <x v="0"/>
    <x v="0"/>
    <x v="4"/>
    <x v="19"/>
    <x v="47"/>
    <x v="22"/>
    <x v="79"/>
    <x v="88"/>
    <x v="4"/>
    <x v="17"/>
    <x v="48"/>
    <x v="0"/>
    <x v="4"/>
    <x v="1"/>
    <x v="0"/>
    <x v="0"/>
    <x v="0"/>
    <x v="0"/>
    <x v="0"/>
    <x v="38"/>
    <x v="19"/>
  </r>
  <r>
    <x v="6"/>
    <x v="0"/>
    <x v="27"/>
    <x v="7"/>
    <x v="0"/>
    <x v="0"/>
    <x v="3"/>
    <x v="19"/>
    <x v="47"/>
    <x v="23"/>
    <x v="76"/>
    <x v="85"/>
    <x v="3"/>
    <x v="16"/>
    <x v="47"/>
    <x v="0"/>
    <x v="3"/>
    <x v="1"/>
    <x v="0"/>
    <x v="0"/>
    <x v="0"/>
    <x v="0"/>
    <x v="0"/>
    <x v="28"/>
    <x v="19"/>
  </r>
  <r>
    <x v="6"/>
    <x v="0"/>
    <x v="27"/>
    <x v="7"/>
    <x v="0"/>
    <x v="0"/>
    <x v="2"/>
    <x v="19"/>
    <x v="47"/>
    <x v="21"/>
    <x v="65"/>
    <x v="81"/>
    <x v="2"/>
    <x v="15"/>
    <x v="43"/>
    <x v="4"/>
    <x v="2"/>
    <x v="1"/>
    <x v="0"/>
    <x v="0"/>
    <x v="0"/>
    <x v="0"/>
    <x v="0"/>
    <x v="18"/>
    <x v="19"/>
  </r>
  <r>
    <x v="6"/>
    <x v="0"/>
    <x v="28"/>
    <x v="7"/>
    <x v="0"/>
    <x v="1"/>
    <x v="6"/>
    <x v="19"/>
    <x v="47"/>
    <x v="17"/>
    <x v="69"/>
    <x v="78"/>
    <x v="6"/>
    <x v="12"/>
    <x v="40"/>
    <x v="0"/>
    <x v="6"/>
    <x v="0"/>
    <x v="0"/>
    <x v="0"/>
    <x v="0"/>
    <x v="0"/>
    <x v="0"/>
    <x v="58"/>
    <x v="19"/>
  </r>
  <r>
    <x v="6"/>
    <x v="0"/>
    <x v="28"/>
    <x v="7"/>
    <x v="0"/>
    <x v="1"/>
    <x v="5"/>
    <x v="19"/>
    <x v="47"/>
    <x v="18"/>
    <x v="78"/>
    <x v="86"/>
    <x v="5"/>
    <x v="14"/>
    <x v="46"/>
    <x v="0"/>
    <x v="5"/>
    <x v="0"/>
    <x v="0"/>
    <x v="0"/>
    <x v="0"/>
    <x v="0"/>
    <x v="0"/>
    <x v="48"/>
    <x v="19"/>
  </r>
  <r>
    <x v="6"/>
    <x v="0"/>
    <x v="28"/>
    <x v="7"/>
    <x v="0"/>
    <x v="1"/>
    <x v="4"/>
    <x v="19"/>
    <x v="47"/>
    <x v="22"/>
    <x v="79"/>
    <x v="88"/>
    <x v="4"/>
    <x v="17"/>
    <x v="48"/>
    <x v="0"/>
    <x v="4"/>
    <x v="0"/>
    <x v="0"/>
    <x v="0"/>
    <x v="0"/>
    <x v="0"/>
    <x v="0"/>
    <x v="38"/>
    <x v="19"/>
  </r>
  <r>
    <x v="6"/>
    <x v="0"/>
    <x v="28"/>
    <x v="7"/>
    <x v="0"/>
    <x v="1"/>
    <x v="3"/>
    <x v="19"/>
    <x v="47"/>
    <x v="23"/>
    <x v="76"/>
    <x v="85"/>
    <x v="3"/>
    <x v="16"/>
    <x v="47"/>
    <x v="0"/>
    <x v="3"/>
    <x v="0"/>
    <x v="0"/>
    <x v="0"/>
    <x v="0"/>
    <x v="0"/>
    <x v="0"/>
    <x v="28"/>
    <x v="19"/>
  </r>
  <r>
    <x v="6"/>
    <x v="0"/>
    <x v="28"/>
    <x v="7"/>
    <x v="0"/>
    <x v="1"/>
    <x v="2"/>
    <x v="19"/>
    <x v="47"/>
    <x v="21"/>
    <x v="65"/>
    <x v="81"/>
    <x v="2"/>
    <x v="15"/>
    <x v="43"/>
    <x v="4"/>
    <x v="2"/>
    <x v="0"/>
    <x v="0"/>
    <x v="0"/>
    <x v="0"/>
    <x v="0"/>
    <x v="0"/>
    <x v="18"/>
    <x v="19"/>
  </r>
  <r>
    <x v="6"/>
    <x v="0"/>
    <x v="29"/>
    <x v="4"/>
    <x v="0"/>
    <x v="0"/>
    <x v="1"/>
    <x v="15"/>
    <x v="7"/>
    <x v="20"/>
    <x v="1"/>
    <x v="7"/>
    <x v="1"/>
    <x v="13"/>
    <x v="23"/>
    <x v="1"/>
    <x v="1"/>
    <x v="1"/>
    <x v="0"/>
    <x v="0"/>
    <x v="0"/>
    <x v="0"/>
    <x v="0"/>
    <x v="8"/>
    <x v="15"/>
  </r>
  <r>
    <x v="6"/>
    <x v="0"/>
    <x v="29"/>
    <x v="4"/>
    <x v="0"/>
    <x v="0"/>
    <x v="0"/>
    <x v="15"/>
    <x v="7"/>
    <x v="19"/>
    <x v="0"/>
    <x v="1"/>
    <x v="0"/>
    <x v="6"/>
    <x v="5"/>
    <x v="1"/>
    <x v="0"/>
    <x v="1"/>
    <x v="0"/>
    <x v="0"/>
    <x v="0"/>
    <x v="0"/>
    <x v="0"/>
    <x v="2"/>
    <x v="15"/>
  </r>
  <r>
    <x v="6"/>
    <x v="0"/>
    <x v="30"/>
    <x v="4"/>
    <x v="0"/>
    <x v="1"/>
    <x v="1"/>
    <x v="15"/>
    <x v="7"/>
    <x v="20"/>
    <x v="1"/>
    <x v="7"/>
    <x v="1"/>
    <x v="13"/>
    <x v="23"/>
    <x v="1"/>
    <x v="1"/>
    <x v="0"/>
    <x v="0"/>
    <x v="0"/>
    <x v="0"/>
    <x v="0"/>
    <x v="0"/>
    <x v="8"/>
    <x v="15"/>
  </r>
  <r>
    <x v="6"/>
    <x v="0"/>
    <x v="30"/>
    <x v="4"/>
    <x v="0"/>
    <x v="1"/>
    <x v="0"/>
    <x v="15"/>
    <x v="7"/>
    <x v="19"/>
    <x v="0"/>
    <x v="1"/>
    <x v="0"/>
    <x v="6"/>
    <x v="5"/>
    <x v="1"/>
    <x v="0"/>
    <x v="0"/>
    <x v="0"/>
    <x v="0"/>
    <x v="0"/>
    <x v="0"/>
    <x v="0"/>
    <x v="2"/>
    <x v="15"/>
  </r>
  <r>
    <x v="6"/>
    <x v="0"/>
    <x v="31"/>
    <x v="7"/>
    <x v="0"/>
    <x v="0"/>
    <x v="1"/>
    <x v="15"/>
    <x v="28"/>
    <x v="20"/>
    <x v="52"/>
    <x v="73"/>
    <x v="1"/>
    <x v="13"/>
    <x v="25"/>
    <x v="10"/>
    <x v="1"/>
    <x v="1"/>
    <x v="0"/>
    <x v="0"/>
    <x v="0"/>
    <x v="0"/>
    <x v="0"/>
    <x v="10"/>
    <x v="15"/>
  </r>
  <r>
    <x v="6"/>
    <x v="0"/>
    <x v="31"/>
    <x v="7"/>
    <x v="0"/>
    <x v="0"/>
    <x v="0"/>
    <x v="15"/>
    <x v="28"/>
    <x v="19"/>
    <x v="41"/>
    <x v="63"/>
    <x v="0"/>
    <x v="6"/>
    <x v="6"/>
    <x v="10"/>
    <x v="0"/>
    <x v="1"/>
    <x v="0"/>
    <x v="0"/>
    <x v="0"/>
    <x v="0"/>
    <x v="0"/>
    <x v="4"/>
    <x v="15"/>
  </r>
  <r>
    <x v="6"/>
    <x v="0"/>
    <x v="32"/>
    <x v="7"/>
    <x v="0"/>
    <x v="1"/>
    <x v="1"/>
    <x v="15"/>
    <x v="28"/>
    <x v="20"/>
    <x v="52"/>
    <x v="73"/>
    <x v="1"/>
    <x v="13"/>
    <x v="25"/>
    <x v="10"/>
    <x v="1"/>
    <x v="0"/>
    <x v="0"/>
    <x v="0"/>
    <x v="0"/>
    <x v="0"/>
    <x v="0"/>
    <x v="10"/>
    <x v="15"/>
  </r>
  <r>
    <x v="6"/>
    <x v="0"/>
    <x v="32"/>
    <x v="7"/>
    <x v="0"/>
    <x v="1"/>
    <x v="0"/>
    <x v="15"/>
    <x v="28"/>
    <x v="19"/>
    <x v="41"/>
    <x v="63"/>
    <x v="0"/>
    <x v="6"/>
    <x v="6"/>
    <x v="10"/>
    <x v="0"/>
    <x v="0"/>
    <x v="0"/>
    <x v="0"/>
    <x v="0"/>
    <x v="0"/>
    <x v="0"/>
    <x v="4"/>
    <x v="15"/>
  </r>
  <r>
    <x v="6"/>
    <x v="0"/>
    <x v="33"/>
    <x v="7"/>
    <x v="0"/>
    <x v="0"/>
    <x v="1"/>
    <x v="15"/>
    <x v="28"/>
    <x v="20"/>
    <x v="52"/>
    <x v="73"/>
    <x v="1"/>
    <x v="13"/>
    <x v="25"/>
    <x v="10"/>
    <x v="1"/>
    <x v="1"/>
    <x v="0"/>
    <x v="0"/>
    <x v="0"/>
    <x v="0"/>
    <x v="0"/>
    <x v="10"/>
    <x v="15"/>
  </r>
  <r>
    <x v="6"/>
    <x v="0"/>
    <x v="33"/>
    <x v="7"/>
    <x v="0"/>
    <x v="0"/>
    <x v="0"/>
    <x v="15"/>
    <x v="28"/>
    <x v="19"/>
    <x v="41"/>
    <x v="63"/>
    <x v="0"/>
    <x v="6"/>
    <x v="6"/>
    <x v="10"/>
    <x v="0"/>
    <x v="1"/>
    <x v="0"/>
    <x v="0"/>
    <x v="0"/>
    <x v="0"/>
    <x v="0"/>
    <x v="4"/>
    <x v="15"/>
  </r>
  <r>
    <x v="6"/>
    <x v="0"/>
    <x v="34"/>
    <x v="7"/>
    <x v="0"/>
    <x v="1"/>
    <x v="1"/>
    <x v="15"/>
    <x v="28"/>
    <x v="20"/>
    <x v="52"/>
    <x v="73"/>
    <x v="1"/>
    <x v="13"/>
    <x v="25"/>
    <x v="10"/>
    <x v="1"/>
    <x v="0"/>
    <x v="0"/>
    <x v="0"/>
    <x v="0"/>
    <x v="0"/>
    <x v="0"/>
    <x v="10"/>
    <x v="15"/>
  </r>
  <r>
    <x v="6"/>
    <x v="0"/>
    <x v="34"/>
    <x v="7"/>
    <x v="0"/>
    <x v="1"/>
    <x v="0"/>
    <x v="15"/>
    <x v="28"/>
    <x v="19"/>
    <x v="41"/>
    <x v="63"/>
    <x v="0"/>
    <x v="6"/>
    <x v="6"/>
    <x v="10"/>
    <x v="0"/>
    <x v="0"/>
    <x v="0"/>
    <x v="0"/>
    <x v="0"/>
    <x v="0"/>
    <x v="0"/>
    <x v="4"/>
    <x v="15"/>
  </r>
  <r>
    <x v="6"/>
    <x v="0"/>
    <x v="35"/>
    <x v="7"/>
    <x v="0"/>
    <x v="1"/>
    <x v="1"/>
    <x v="19"/>
    <x v="28"/>
    <x v="20"/>
    <x v="52"/>
    <x v="73"/>
    <x v="1"/>
    <x v="13"/>
    <x v="25"/>
    <x v="10"/>
    <x v="1"/>
    <x v="0"/>
    <x v="0"/>
    <x v="0"/>
    <x v="0"/>
    <x v="0"/>
    <x v="0"/>
    <x v="10"/>
    <x v="19"/>
  </r>
  <r>
    <x v="6"/>
    <x v="0"/>
    <x v="35"/>
    <x v="7"/>
    <x v="0"/>
    <x v="1"/>
    <x v="0"/>
    <x v="19"/>
    <x v="28"/>
    <x v="19"/>
    <x v="41"/>
    <x v="63"/>
    <x v="0"/>
    <x v="6"/>
    <x v="6"/>
    <x v="10"/>
    <x v="0"/>
    <x v="0"/>
    <x v="0"/>
    <x v="0"/>
    <x v="0"/>
    <x v="0"/>
    <x v="0"/>
    <x v="4"/>
    <x v="19"/>
  </r>
  <r>
    <x v="6"/>
    <x v="0"/>
    <x v="36"/>
    <x v="7"/>
    <x v="0"/>
    <x v="1"/>
    <x v="1"/>
    <x v="19"/>
    <x v="24"/>
    <x v="20"/>
    <x v="52"/>
    <x v="73"/>
    <x v="1"/>
    <x v="13"/>
    <x v="25"/>
    <x v="10"/>
    <x v="1"/>
    <x v="0"/>
    <x v="0"/>
    <x v="0"/>
    <x v="0"/>
    <x v="0"/>
    <x v="0"/>
    <x v="10"/>
    <x v="19"/>
  </r>
  <r>
    <x v="6"/>
    <x v="0"/>
    <x v="36"/>
    <x v="7"/>
    <x v="0"/>
    <x v="1"/>
    <x v="0"/>
    <x v="19"/>
    <x v="24"/>
    <x v="19"/>
    <x v="41"/>
    <x v="63"/>
    <x v="0"/>
    <x v="6"/>
    <x v="6"/>
    <x v="10"/>
    <x v="0"/>
    <x v="0"/>
    <x v="0"/>
    <x v="0"/>
    <x v="0"/>
    <x v="0"/>
    <x v="0"/>
    <x v="4"/>
    <x v="19"/>
  </r>
  <r>
    <x v="4"/>
    <x v="0"/>
    <x v="37"/>
    <x v="7"/>
    <x v="0"/>
    <x v="0"/>
    <x v="6"/>
    <x v="34"/>
    <x v="61"/>
    <x v="17"/>
    <x v="69"/>
    <x v="78"/>
    <x v="6"/>
    <x v="12"/>
    <x v="40"/>
    <x v="0"/>
    <x v="6"/>
    <x v="1"/>
    <x v="0"/>
    <x v="0"/>
    <x v="0"/>
    <x v="0"/>
    <x v="0"/>
    <x v="58"/>
    <x v="34"/>
  </r>
  <r>
    <x v="4"/>
    <x v="0"/>
    <x v="37"/>
    <x v="7"/>
    <x v="0"/>
    <x v="0"/>
    <x v="5"/>
    <x v="32"/>
    <x v="61"/>
    <x v="18"/>
    <x v="78"/>
    <x v="86"/>
    <x v="5"/>
    <x v="14"/>
    <x v="46"/>
    <x v="0"/>
    <x v="5"/>
    <x v="1"/>
    <x v="0"/>
    <x v="0"/>
    <x v="0"/>
    <x v="0"/>
    <x v="0"/>
    <x v="48"/>
    <x v="32"/>
  </r>
  <r>
    <x v="4"/>
    <x v="0"/>
    <x v="37"/>
    <x v="7"/>
    <x v="0"/>
    <x v="0"/>
    <x v="4"/>
    <x v="34"/>
    <x v="61"/>
    <x v="22"/>
    <x v="79"/>
    <x v="88"/>
    <x v="4"/>
    <x v="17"/>
    <x v="48"/>
    <x v="0"/>
    <x v="4"/>
    <x v="1"/>
    <x v="0"/>
    <x v="0"/>
    <x v="0"/>
    <x v="0"/>
    <x v="0"/>
    <x v="38"/>
    <x v="34"/>
  </r>
  <r>
    <x v="4"/>
    <x v="0"/>
    <x v="37"/>
    <x v="7"/>
    <x v="0"/>
    <x v="0"/>
    <x v="3"/>
    <x v="34"/>
    <x v="61"/>
    <x v="23"/>
    <x v="76"/>
    <x v="85"/>
    <x v="3"/>
    <x v="16"/>
    <x v="47"/>
    <x v="0"/>
    <x v="3"/>
    <x v="1"/>
    <x v="0"/>
    <x v="0"/>
    <x v="0"/>
    <x v="0"/>
    <x v="0"/>
    <x v="28"/>
    <x v="34"/>
  </r>
  <r>
    <x v="4"/>
    <x v="0"/>
    <x v="37"/>
    <x v="7"/>
    <x v="0"/>
    <x v="0"/>
    <x v="2"/>
    <x v="33"/>
    <x v="61"/>
    <x v="21"/>
    <x v="65"/>
    <x v="81"/>
    <x v="2"/>
    <x v="15"/>
    <x v="43"/>
    <x v="4"/>
    <x v="2"/>
    <x v="1"/>
    <x v="0"/>
    <x v="0"/>
    <x v="0"/>
    <x v="0"/>
    <x v="0"/>
    <x v="18"/>
    <x v="33"/>
  </r>
  <r>
    <x v="0"/>
    <x v="0"/>
    <x v="38"/>
    <x v="7"/>
    <x v="0"/>
    <x v="1"/>
    <x v="6"/>
    <x v="31"/>
    <x v="40"/>
    <x v="17"/>
    <x v="69"/>
    <x v="78"/>
    <x v="6"/>
    <x v="12"/>
    <x v="40"/>
    <x v="0"/>
    <x v="6"/>
    <x v="0"/>
    <x v="0"/>
    <x v="0"/>
    <x v="0"/>
    <x v="0"/>
    <x v="0"/>
    <x v="58"/>
    <x v="31"/>
  </r>
  <r>
    <x v="0"/>
    <x v="0"/>
    <x v="38"/>
    <x v="7"/>
    <x v="0"/>
    <x v="1"/>
    <x v="5"/>
    <x v="31"/>
    <x v="40"/>
    <x v="18"/>
    <x v="78"/>
    <x v="86"/>
    <x v="5"/>
    <x v="14"/>
    <x v="46"/>
    <x v="0"/>
    <x v="5"/>
    <x v="0"/>
    <x v="0"/>
    <x v="0"/>
    <x v="0"/>
    <x v="0"/>
    <x v="0"/>
    <x v="48"/>
    <x v="31"/>
  </r>
  <r>
    <x v="0"/>
    <x v="0"/>
    <x v="38"/>
    <x v="7"/>
    <x v="0"/>
    <x v="1"/>
    <x v="4"/>
    <x v="31"/>
    <x v="40"/>
    <x v="22"/>
    <x v="79"/>
    <x v="88"/>
    <x v="4"/>
    <x v="17"/>
    <x v="48"/>
    <x v="0"/>
    <x v="4"/>
    <x v="0"/>
    <x v="0"/>
    <x v="0"/>
    <x v="0"/>
    <x v="0"/>
    <x v="0"/>
    <x v="38"/>
    <x v="31"/>
  </r>
  <r>
    <x v="0"/>
    <x v="0"/>
    <x v="38"/>
    <x v="7"/>
    <x v="0"/>
    <x v="1"/>
    <x v="3"/>
    <x v="31"/>
    <x v="40"/>
    <x v="23"/>
    <x v="76"/>
    <x v="85"/>
    <x v="3"/>
    <x v="16"/>
    <x v="47"/>
    <x v="0"/>
    <x v="3"/>
    <x v="0"/>
    <x v="0"/>
    <x v="0"/>
    <x v="0"/>
    <x v="0"/>
    <x v="0"/>
    <x v="28"/>
    <x v="31"/>
  </r>
  <r>
    <x v="0"/>
    <x v="0"/>
    <x v="38"/>
    <x v="7"/>
    <x v="0"/>
    <x v="1"/>
    <x v="2"/>
    <x v="31"/>
    <x v="40"/>
    <x v="21"/>
    <x v="65"/>
    <x v="81"/>
    <x v="2"/>
    <x v="15"/>
    <x v="43"/>
    <x v="4"/>
    <x v="2"/>
    <x v="0"/>
    <x v="0"/>
    <x v="0"/>
    <x v="0"/>
    <x v="0"/>
    <x v="0"/>
    <x v="18"/>
    <x v="31"/>
  </r>
  <r>
    <x v="0"/>
    <x v="0"/>
    <x v="39"/>
    <x v="7"/>
    <x v="0"/>
    <x v="0"/>
    <x v="5"/>
    <x v="15"/>
    <x v="51"/>
    <x v="18"/>
    <x v="78"/>
    <x v="86"/>
    <x v="5"/>
    <x v="14"/>
    <x v="46"/>
    <x v="0"/>
    <x v="5"/>
    <x v="1"/>
    <x v="0"/>
    <x v="0"/>
    <x v="0"/>
    <x v="0"/>
    <x v="0"/>
    <x v="48"/>
    <x v="15"/>
  </r>
  <r>
    <x v="0"/>
    <x v="0"/>
    <x v="39"/>
    <x v="7"/>
    <x v="0"/>
    <x v="0"/>
    <x v="4"/>
    <x v="15"/>
    <x v="51"/>
    <x v="22"/>
    <x v="79"/>
    <x v="88"/>
    <x v="4"/>
    <x v="17"/>
    <x v="48"/>
    <x v="0"/>
    <x v="4"/>
    <x v="1"/>
    <x v="0"/>
    <x v="0"/>
    <x v="0"/>
    <x v="0"/>
    <x v="0"/>
    <x v="38"/>
    <x v="15"/>
  </r>
  <r>
    <x v="0"/>
    <x v="0"/>
    <x v="39"/>
    <x v="7"/>
    <x v="0"/>
    <x v="0"/>
    <x v="3"/>
    <x v="15"/>
    <x v="51"/>
    <x v="23"/>
    <x v="76"/>
    <x v="85"/>
    <x v="3"/>
    <x v="16"/>
    <x v="47"/>
    <x v="0"/>
    <x v="3"/>
    <x v="1"/>
    <x v="0"/>
    <x v="0"/>
    <x v="0"/>
    <x v="0"/>
    <x v="0"/>
    <x v="28"/>
    <x v="15"/>
  </r>
  <r>
    <x v="0"/>
    <x v="0"/>
    <x v="40"/>
    <x v="7"/>
    <x v="0"/>
    <x v="1"/>
    <x v="5"/>
    <x v="15"/>
    <x v="51"/>
    <x v="18"/>
    <x v="78"/>
    <x v="86"/>
    <x v="5"/>
    <x v="14"/>
    <x v="46"/>
    <x v="0"/>
    <x v="5"/>
    <x v="0"/>
    <x v="0"/>
    <x v="0"/>
    <x v="0"/>
    <x v="0"/>
    <x v="0"/>
    <x v="48"/>
    <x v="15"/>
  </r>
  <r>
    <x v="0"/>
    <x v="0"/>
    <x v="40"/>
    <x v="7"/>
    <x v="0"/>
    <x v="1"/>
    <x v="4"/>
    <x v="15"/>
    <x v="51"/>
    <x v="22"/>
    <x v="79"/>
    <x v="88"/>
    <x v="4"/>
    <x v="17"/>
    <x v="48"/>
    <x v="0"/>
    <x v="4"/>
    <x v="0"/>
    <x v="0"/>
    <x v="0"/>
    <x v="0"/>
    <x v="0"/>
    <x v="0"/>
    <x v="38"/>
    <x v="15"/>
  </r>
  <r>
    <x v="0"/>
    <x v="0"/>
    <x v="40"/>
    <x v="7"/>
    <x v="0"/>
    <x v="1"/>
    <x v="3"/>
    <x v="15"/>
    <x v="51"/>
    <x v="23"/>
    <x v="76"/>
    <x v="85"/>
    <x v="3"/>
    <x v="16"/>
    <x v="47"/>
    <x v="0"/>
    <x v="3"/>
    <x v="0"/>
    <x v="0"/>
    <x v="0"/>
    <x v="0"/>
    <x v="0"/>
    <x v="0"/>
    <x v="28"/>
    <x v="15"/>
  </r>
  <r>
    <x v="6"/>
    <x v="0"/>
    <x v="41"/>
    <x v="2"/>
    <x v="0"/>
    <x v="0"/>
    <x v="6"/>
    <x v="10"/>
    <x v="14"/>
    <x v="17"/>
    <x v="19"/>
    <x v="20"/>
    <x v="6"/>
    <x v="12"/>
    <x v="24"/>
    <x v="13"/>
    <x v="6"/>
    <x v="1"/>
    <x v="0"/>
    <x v="0"/>
    <x v="0"/>
    <x v="0"/>
    <x v="0"/>
    <x v="54"/>
    <x v="10"/>
  </r>
  <r>
    <x v="6"/>
    <x v="0"/>
    <x v="41"/>
    <x v="2"/>
    <x v="0"/>
    <x v="0"/>
    <x v="5"/>
    <x v="10"/>
    <x v="14"/>
    <x v="18"/>
    <x v="20"/>
    <x v="33"/>
    <x v="5"/>
    <x v="14"/>
    <x v="42"/>
    <x v="13"/>
    <x v="5"/>
    <x v="1"/>
    <x v="0"/>
    <x v="0"/>
    <x v="0"/>
    <x v="0"/>
    <x v="0"/>
    <x v="44"/>
    <x v="10"/>
  </r>
  <r>
    <x v="6"/>
    <x v="0"/>
    <x v="41"/>
    <x v="2"/>
    <x v="0"/>
    <x v="0"/>
    <x v="4"/>
    <x v="10"/>
    <x v="14"/>
    <x v="22"/>
    <x v="18"/>
    <x v="48"/>
    <x v="4"/>
    <x v="17"/>
    <x v="45"/>
    <x v="13"/>
    <x v="4"/>
    <x v="1"/>
    <x v="0"/>
    <x v="0"/>
    <x v="0"/>
    <x v="0"/>
    <x v="0"/>
    <x v="34"/>
    <x v="10"/>
  </r>
  <r>
    <x v="6"/>
    <x v="0"/>
    <x v="41"/>
    <x v="2"/>
    <x v="0"/>
    <x v="0"/>
    <x v="3"/>
    <x v="10"/>
    <x v="14"/>
    <x v="23"/>
    <x v="17"/>
    <x v="51"/>
    <x v="3"/>
    <x v="16"/>
    <x v="44"/>
    <x v="13"/>
    <x v="3"/>
    <x v="1"/>
    <x v="0"/>
    <x v="0"/>
    <x v="0"/>
    <x v="0"/>
    <x v="0"/>
    <x v="24"/>
    <x v="10"/>
  </r>
  <r>
    <x v="6"/>
    <x v="0"/>
    <x v="41"/>
    <x v="2"/>
    <x v="0"/>
    <x v="0"/>
    <x v="2"/>
    <x v="10"/>
    <x v="14"/>
    <x v="21"/>
    <x v="16"/>
    <x v="46"/>
    <x v="2"/>
    <x v="15"/>
    <x v="43"/>
    <x v="13"/>
    <x v="2"/>
    <x v="1"/>
    <x v="0"/>
    <x v="0"/>
    <x v="0"/>
    <x v="0"/>
    <x v="0"/>
    <x v="14"/>
    <x v="10"/>
  </r>
  <r>
    <x v="6"/>
    <x v="0"/>
    <x v="41"/>
    <x v="2"/>
    <x v="0"/>
    <x v="0"/>
    <x v="1"/>
    <x v="10"/>
    <x v="14"/>
    <x v="20"/>
    <x v="14"/>
    <x v="42"/>
    <x v="1"/>
    <x v="13"/>
    <x v="28"/>
    <x v="13"/>
    <x v="1"/>
    <x v="1"/>
    <x v="0"/>
    <x v="0"/>
    <x v="0"/>
    <x v="0"/>
    <x v="0"/>
    <x v="7"/>
    <x v="10"/>
  </r>
  <r>
    <x v="6"/>
    <x v="0"/>
    <x v="41"/>
    <x v="2"/>
    <x v="0"/>
    <x v="0"/>
    <x v="0"/>
    <x v="10"/>
    <x v="14"/>
    <x v="19"/>
    <x v="13"/>
    <x v="38"/>
    <x v="0"/>
    <x v="6"/>
    <x v="9"/>
    <x v="13"/>
    <x v="0"/>
    <x v="1"/>
    <x v="0"/>
    <x v="0"/>
    <x v="0"/>
    <x v="0"/>
    <x v="0"/>
    <x v="1"/>
    <x v="10"/>
  </r>
  <r>
    <x v="6"/>
    <x v="0"/>
    <x v="42"/>
    <x v="2"/>
    <x v="0"/>
    <x v="1"/>
    <x v="6"/>
    <x v="10"/>
    <x v="14"/>
    <x v="17"/>
    <x v="19"/>
    <x v="20"/>
    <x v="6"/>
    <x v="12"/>
    <x v="24"/>
    <x v="13"/>
    <x v="6"/>
    <x v="0"/>
    <x v="0"/>
    <x v="0"/>
    <x v="0"/>
    <x v="0"/>
    <x v="0"/>
    <x v="54"/>
    <x v="10"/>
  </r>
  <r>
    <x v="6"/>
    <x v="0"/>
    <x v="42"/>
    <x v="2"/>
    <x v="0"/>
    <x v="1"/>
    <x v="5"/>
    <x v="10"/>
    <x v="14"/>
    <x v="18"/>
    <x v="20"/>
    <x v="33"/>
    <x v="5"/>
    <x v="14"/>
    <x v="42"/>
    <x v="13"/>
    <x v="5"/>
    <x v="0"/>
    <x v="0"/>
    <x v="0"/>
    <x v="0"/>
    <x v="0"/>
    <x v="0"/>
    <x v="44"/>
    <x v="10"/>
  </r>
  <r>
    <x v="6"/>
    <x v="0"/>
    <x v="42"/>
    <x v="2"/>
    <x v="0"/>
    <x v="1"/>
    <x v="4"/>
    <x v="10"/>
    <x v="14"/>
    <x v="22"/>
    <x v="18"/>
    <x v="48"/>
    <x v="4"/>
    <x v="17"/>
    <x v="45"/>
    <x v="13"/>
    <x v="4"/>
    <x v="0"/>
    <x v="0"/>
    <x v="0"/>
    <x v="0"/>
    <x v="0"/>
    <x v="0"/>
    <x v="34"/>
    <x v="10"/>
  </r>
  <r>
    <x v="6"/>
    <x v="0"/>
    <x v="42"/>
    <x v="2"/>
    <x v="0"/>
    <x v="1"/>
    <x v="3"/>
    <x v="10"/>
    <x v="14"/>
    <x v="23"/>
    <x v="17"/>
    <x v="51"/>
    <x v="3"/>
    <x v="16"/>
    <x v="44"/>
    <x v="13"/>
    <x v="3"/>
    <x v="0"/>
    <x v="0"/>
    <x v="0"/>
    <x v="0"/>
    <x v="0"/>
    <x v="0"/>
    <x v="24"/>
    <x v="10"/>
  </r>
  <r>
    <x v="6"/>
    <x v="0"/>
    <x v="42"/>
    <x v="2"/>
    <x v="0"/>
    <x v="1"/>
    <x v="2"/>
    <x v="10"/>
    <x v="14"/>
    <x v="21"/>
    <x v="16"/>
    <x v="46"/>
    <x v="2"/>
    <x v="15"/>
    <x v="43"/>
    <x v="13"/>
    <x v="2"/>
    <x v="0"/>
    <x v="0"/>
    <x v="0"/>
    <x v="0"/>
    <x v="0"/>
    <x v="0"/>
    <x v="14"/>
    <x v="10"/>
  </r>
  <r>
    <x v="6"/>
    <x v="0"/>
    <x v="42"/>
    <x v="2"/>
    <x v="0"/>
    <x v="1"/>
    <x v="1"/>
    <x v="10"/>
    <x v="14"/>
    <x v="20"/>
    <x v="14"/>
    <x v="42"/>
    <x v="1"/>
    <x v="13"/>
    <x v="28"/>
    <x v="13"/>
    <x v="1"/>
    <x v="0"/>
    <x v="0"/>
    <x v="0"/>
    <x v="0"/>
    <x v="0"/>
    <x v="0"/>
    <x v="7"/>
    <x v="10"/>
  </r>
  <r>
    <x v="6"/>
    <x v="0"/>
    <x v="42"/>
    <x v="2"/>
    <x v="0"/>
    <x v="1"/>
    <x v="0"/>
    <x v="10"/>
    <x v="14"/>
    <x v="19"/>
    <x v="13"/>
    <x v="38"/>
    <x v="0"/>
    <x v="6"/>
    <x v="9"/>
    <x v="13"/>
    <x v="0"/>
    <x v="0"/>
    <x v="0"/>
    <x v="0"/>
    <x v="0"/>
    <x v="0"/>
    <x v="0"/>
    <x v="1"/>
    <x v="10"/>
  </r>
  <r>
    <x v="4"/>
    <x v="0"/>
    <x v="43"/>
    <x v="7"/>
    <x v="0"/>
    <x v="0"/>
    <x v="6"/>
    <x v="28"/>
    <x v="61"/>
    <x v="17"/>
    <x v="69"/>
    <x v="78"/>
    <x v="6"/>
    <x v="12"/>
    <x v="40"/>
    <x v="0"/>
    <x v="6"/>
    <x v="1"/>
    <x v="0"/>
    <x v="0"/>
    <x v="0"/>
    <x v="0"/>
    <x v="0"/>
    <x v="58"/>
    <x v="28"/>
  </r>
  <r>
    <x v="4"/>
    <x v="0"/>
    <x v="43"/>
    <x v="7"/>
    <x v="0"/>
    <x v="0"/>
    <x v="5"/>
    <x v="26"/>
    <x v="61"/>
    <x v="18"/>
    <x v="78"/>
    <x v="86"/>
    <x v="5"/>
    <x v="14"/>
    <x v="46"/>
    <x v="0"/>
    <x v="5"/>
    <x v="1"/>
    <x v="0"/>
    <x v="0"/>
    <x v="0"/>
    <x v="0"/>
    <x v="0"/>
    <x v="48"/>
    <x v="26"/>
  </r>
  <r>
    <x v="4"/>
    <x v="0"/>
    <x v="43"/>
    <x v="7"/>
    <x v="0"/>
    <x v="0"/>
    <x v="4"/>
    <x v="28"/>
    <x v="61"/>
    <x v="22"/>
    <x v="79"/>
    <x v="88"/>
    <x v="4"/>
    <x v="17"/>
    <x v="48"/>
    <x v="0"/>
    <x v="4"/>
    <x v="1"/>
    <x v="0"/>
    <x v="0"/>
    <x v="0"/>
    <x v="0"/>
    <x v="0"/>
    <x v="38"/>
    <x v="28"/>
  </r>
  <r>
    <x v="4"/>
    <x v="0"/>
    <x v="43"/>
    <x v="7"/>
    <x v="0"/>
    <x v="0"/>
    <x v="3"/>
    <x v="28"/>
    <x v="61"/>
    <x v="23"/>
    <x v="76"/>
    <x v="85"/>
    <x v="3"/>
    <x v="16"/>
    <x v="47"/>
    <x v="0"/>
    <x v="3"/>
    <x v="1"/>
    <x v="0"/>
    <x v="0"/>
    <x v="0"/>
    <x v="0"/>
    <x v="0"/>
    <x v="28"/>
    <x v="28"/>
  </r>
  <r>
    <x v="4"/>
    <x v="0"/>
    <x v="43"/>
    <x v="7"/>
    <x v="0"/>
    <x v="0"/>
    <x v="2"/>
    <x v="27"/>
    <x v="61"/>
    <x v="21"/>
    <x v="65"/>
    <x v="81"/>
    <x v="2"/>
    <x v="15"/>
    <x v="43"/>
    <x v="4"/>
    <x v="2"/>
    <x v="1"/>
    <x v="0"/>
    <x v="0"/>
    <x v="0"/>
    <x v="0"/>
    <x v="0"/>
    <x v="18"/>
    <x v="27"/>
  </r>
  <r>
    <x v="6"/>
    <x v="0"/>
    <x v="44"/>
    <x v="2"/>
    <x v="0"/>
    <x v="0"/>
    <x v="6"/>
    <x v="10"/>
    <x v="14"/>
    <x v="17"/>
    <x v="19"/>
    <x v="20"/>
    <x v="6"/>
    <x v="12"/>
    <x v="24"/>
    <x v="13"/>
    <x v="6"/>
    <x v="1"/>
    <x v="0"/>
    <x v="0"/>
    <x v="0"/>
    <x v="0"/>
    <x v="0"/>
    <x v="54"/>
    <x v="10"/>
  </r>
  <r>
    <x v="6"/>
    <x v="0"/>
    <x v="44"/>
    <x v="2"/>
    <x v="0"/>
    <x v="0"/>
    <x v="5"/>
    <x v="10"/>
    <x v="14"/>
    <x v="18"/>
    <x v="20"/>
    <x v="33"/>
    <x v="5"/>
    <x v="14"/>
    <x v="42"/>
    <x v="13"/>
    <x v="5"/>
    <x v="1"/>
    <x v="0"/>
    <x v="0"/>
    <x v="0"/>
    <x v="0"/>
    <x v="0"/>
    <x v="44"/>
    <x v="10"/>
  </r>
  <r>
    <x v="6"/>
    <x v="0"/>
    <x v="44"/>
    <x v="2"/>
    <x v="0"/>
    <x v="0"/>
    <x v="4"/>
    <x v="10"/>
    <x v="14"/>
    <x v="22"/>
    <x v="18"/>
    <x v="48"/>
    <x v="4"/>
    <x v="17"/>
    <x v="45"/>
    <x v="13"/>
    <x v="4"/>
    <x v="1"/>
    <x v="0"/>
    <x v="0"/>
    <x v="0"/>
    <x v="0"/>
    <x v="0"/>
    <x v="34"/>
    <x v="10"/>
  </r>
  <r>
    <x v="6"/>
    <x v="0"/>
    <x v="44"/>
    <x v="2"/>
    <x v="0"/>
    <x v="0"/>
    <x v="3"/>
    <x v="10"/>
    <x v="14"/>
    <x v="23"/>
    <x v="17"/>
    <x v="51"/>
    <x v="3"/>
    <x v="16"/>
    <x v="44"/>
    <x v="13"/>
    <x v="3"/>
    <x v="1"/>
    <x v="0"/>
    <x v="0"/>
    <x v="0"/>
    <x v="0"/>
    <x v="0"/>
    <x v="24"/>
    <x v="10"/>
  </r>
  <r>
    <x v="6"/>
    <x v="0"/>
    <x v="44"/>
    <x v="2"/>
    <x v="0"/>
    <x v="0"/>
    <x v="2"/>
    <x v="10"/>
    <x v="14"/>
    <x v="21"/>
    <x v="16"/>
    <x v="46"/>
    <x v="2"/>
    <x v="15"/>
    <x v="43"/>
    <x v="13"/>
    <x v="2"/>
    <x v="1"/>
    <x v="0"/>
    <x v="0"/>
    <x v="0"/>
    <x v="0"/>
    <x v="0"/>
    <x v="14"/>
    <x v="10"/>
  </r>
  <r>
    <x v="6"/>
    <x v="0"/>
    <x v="44"/>
    <x v="2"/>
    <x v="0"/>
    <x v="0"/>
    <x v="1"/>
    <x v="10"/>
    <x v="14"/>
    <x v="20"/>
    <x v="14"/>
    <x v="42"/>
    <x v="1"/>
    <x v="13"/>
    <x v="28"/>
    <x v="13"/>
    <x v="1"/>
    <x v="1"/>
    <x v="0"/>
    <x v="0"/>
    <x v="0"/>
    <x v="0"/>
    <x v="0"/>
    <x v="7"/>
    <x v="10"/>
  </r>
  <r>
    <x v="6"/>
    <x v="0"/>
    <x v="44"/>
    <x v="2"/>
    <x v="0"/>
    <x v="0"/>
    <x v="0"/>
    <x v="10"/>
    <x v="14"/>
    <x v="19"/>
    <x v="13"/>
    <x v="38"/>
    <x v="0"/>
    <x v="6"/>
    <x v="9"/>
    <x v="13"/>
    <x v="0"/>
    <x v="1"/>
    <x v="0"/>
    <x v="0"/>
    <x v="0"/>
    <x v="0"/>
    <x v="0"/>
    <x v="1"/>
    <x v="10"/>
  </r>
  <r>
    <x v="6"/>
    <x v="0"/>
    <x v="45"/>
    <x v="2"/>
    <x v="0"/>
    <x v="1"/>
    <x v="6"/>
    <x v="10"/>
    <x v="14"/>
    <x v="17"/>
    <x v="19"/>
    <x v="20"/>
    <x v="6"/>
    <x v="12"/>
    <x v="24"/>
    <x v="13"/>
    <x v="6"/>
    <x v="0"/>
    <x v="0"/>
    <x v="0"/>
    <x v="0"/>
    <x v="0"/>
    <x v="0"/>
    <x v="54"/>
    <x v="10"/>
  </r>
  <r>
    <x v="6"/>
    <x v="0"/>
    <x v="45"/>
    <x v="2"/>
    <x v="0"/>
    <x v="1"/>
    <x v="5"/>
    <x v="10"/>
    <x v="14"/>
    <x v="18"/>
    <x v="20"/>
    <x v="33"/>
    <x v="5"/>
    <x v="14"/>
    <x v="42"/>
    <x v="13"/>
    <x v="5"/>
    <x v="0"/>
    <x v="0"/>
    <x v="0"/>
    <x v="0"/>
    <x v="0"/>
    <x v="0"/>
    <x v="44"/>
    <x v="10"/>
  </r>
  <r>
    <x v="6"/>
    <x v="0"/>
    <x v="45"/>
    <x v="2"/>
    <x v="0"/>
    <x v="1"/>
    <x v="4"/>
    <x v="10"/>
    <x v="14"/>
    <x v="22"/>
    <x v="18"/>
    <x v="48"/>
    <x v="4"/>
    <x v="17"/>
    <x v="45"/>
    <x v="13"/>
    <x v="4"/>
    <x v="0"/>
    <x v="0"/>
    <x v="0"/>
    <x v="0"/>
    <x v="0"/>
    <x v="0"/>
    <x v="34"/>
    <x v="10"/>
  </r>
  <r>
    <x v="6"/>
    <x v="0"/>
    <x v="45"/>
    <x v="2"/>
    <x v="0"/>
    <x v="1"/>
    <x v="3"/>
    <x v="10"/>
    <x v="14"/>
    <x v="23"/>
    <x v="17"/>
    <x v="51"/>
    <x v="3"/>
    <x v="16"/>
    <x v="44"/>
    <x v="13"/>
    <x v="3"/>
    <x v="0"/>
    <x v="0"/>
    <x v="0"/>
    <x v="0"/>
    <x v="0"/>
    <x v="0"/>
    <x v="24"/>
    <x v="10"/>
  </r>
  <r>
    <x v="6"/>
    <x v="0"/>
    <x v="45"/>
    <x v="2"/>
    <x v="0"/>
    <x v="1"/>
    <x v="2"/>
    <x v="10"/>
    <x v="14"/>
    <x v="21"/>
    <x v="16"/>
    <x v="46"/>
    <x v="2"/>
    <x v="15"/>
    <x v="43"/>
    <x v="13"/>
    <x v="2"/>
    <x v="0"/>
    <x v="0"/>
    <x v="0"/>
    <x v="0"/>
    <x v="0"/>
    <x v="0"/>
    <x v="14"/>
    <x v="10"/>
  </r>
  <r>
    <x v="6"/>
    <x v="0"/>
    <x v="45"/>
    <x v="2"/>
    <x v="0"/>
    <x v="1"/>
    <x v="1"/>
    <x v="10"/>
    <x v="14"/>
    <x v="20"/>
    <x v="14"/>
    <x v="42"/>
    <x v="1"/>
    <x v="13"/>
    <x v="28"/>
    <x v="13"/>
    <x v="1"/>
    <x v="0"/>
    <x v="0"/>
    <x v="0"/>
    <x v="0"/>
    <x v="0"/>
    <x v="0"/>
    <x v="7"/>
    <x v="10"/>
  </r>
  <r>
    <x v="6"/>
    <x v="0"/>
    <x v="45"/>
    <x v="2"/>
    <x v="0"/>
    <x v="1"/>
    <x v="0"/>
    <x v="10"/>
    <x v="14"/>
    <x v="19"/>
    <x v="13"/>
    <x v="38"/>
    <x v="0"/>
    <x v="6"/>
    <x v="9"/>
    <x v="13"/>
    <x v="0"/>
    <x v="0"/>
    <x v="0"/>
    <x v="0"/>
    <x v="0"/>
    <x v="0"/>
    <x v="0"/>
    <x v="1"/>
    <x v="10"/>
  </r>
  <r>
    <x v="8"/>
    <x v="0"/>
    <x v="46"/>
    <x v="4"/>
    <x v="0"/>
    <x v="0"/>
    <x v="6"/>
    <x v="28"/>
    <x v="9"/>
    <x v="17"/>
    <x v="3"/>
    <x v="6"/>
    <x v="6"/>
    <x v="12"/>
    <x v="18"/>
    <x v="5"/>
    <x v="6"/>
    <x v="1"/>
    <x v="0"/>
    <x v="0"/>
    <x v="0"/>
    <x v="0"/>
    <x v="0"/>
    <x v="56"/>
    <x v="28"/>
  </r>
  <r>
    <x v="8"/>
    <x v="0"/>
    <x v="46"/>
    <x v="4"/>
    <x v="0"/>
    <x v="0"/>
    <x v="5"/>
    <x v="26"/>
    <x v="9"/>
    <x v="18"/>
    <x v="4"/>
    <x v="9"/>
    <x v="5"/>
    <x v="14"/>
    <x v="26"/>
    <x v="5"/>
    <x v="5"/>
    <x v="1"/>
    <x v="0"/>
    <x v="0"/>
    <x v="0"/>
    <x v="0"/>
    <x v="0"/>
    <x v="46"/>
    <x v="26"/>
  </r>
  <r>
    <x v="8"/>
    <x v="0"/>
    <x v="46"/>
    <x v="4"/>
    <x v="0"/>
    <x v="0"/>
    <x v="4"/>
    <x v="28"/>
    <x v="9"/>
    <x v="22"/>
    <x v="5"/>
    <x v="27"/>
    <x v="4"/>
    <x v="17"/>
    <x v="31"/>
    <x v="5"/>
    <x v="4"/>
    <x v="1"/>
    <x v="0"/>
    <x v="0"/>
    <x v="0"/>
    <x v="0"/>
    <x v="0"/>
    <x v="36"/>
    <x v="28"/>
  </r>
  <r>
    <x v="8"/>
    <x v="0"/>
    <x v="46"/>
    <x v="4"/>
    <x v="0"/>
    <x v="0"/>
    <x v="3"/>
    <x v="28"/>
    <x v="9"/>
    <x v="23"/>
    <x v="6"/>
    <x v="30"/>
    <x v="3"/>
    <x v="16"/>
    <x v="29"/>
    <x v="5"/>
    <x v="3"/>
    <x v="1"/>
    <x v="0"/>
    <x v="0"/>
    <x v="0"/>
    <x v="0"/>
    <x v="0"/>
    <x v="26"/>
    <x v="28"/>
  </r>
  <r>
    <x v="8"/>
    <x v="0"/>
    <x v="46"/>
    <x v="4"/>
    <x v="0"/>
    <x v="0"/>
    <x v="2"/>
    <x v="27"/>
    <x v="9"/>
    <x v="21"/>
    <x v="2"/>
    <x v="23"/>
    <x v="2"/>
    <x v="15"/>
    <x v="27"/>
    <x v="5"/>
    <x v="2"/>
    <x v="1"/>
    <x v="0"/>
    <x v="0"/>
    <x v="0"/>
    <x v="0"/>
    <x v="0"/>
    <x v="16"/>
    <x v="27"/>
  </r>
  <r>
    <x v="8"/>
    <x v="0"/>
    <x v="46"/>
    <x v="4"/>
    <x v="0"/>
    <x v="0"/>
    <x v="1"/>
    <x v="28"/>
    <x v="9"/>
    <x v="20"/>
    <x v="1"/>
    <x v="7"/>
    <x v="1"/>
    <x v="13"/>
    <x v="23"/>
    <x v="1"/>
    <x v="1"/>
    <x v="1"/>
    <x v="0"/>
    <x v="0"/>
    <x v="0"/>
    <x v="0"/>
    <x v="0"/>
    <x v="8"/>
    <x v="28"/>
  </r>
  <r>
    <x v="8"/>
    <x v="0"/>
    <x v="46"/>
    <x v="4"/>
    <x v="0"/>
    <x v="0"/>
    <x v="0"/>
    <x v="27"/>
    <x v="9"/>
    <x v="19"/>
    <x v="0"/>
    <x v="1"/>
    <x v="0"/>
    <x v="6"/>
    <x v="5"/>
    <x v="1"/>
    <x v="0"/>
    <x v="1"/>
    <x v="0"/>
    <x v="0"/>
    <x v="0"/>
    <x v="0"/>
    <x v="0"/>
    <x v="2"/>
    <x v="27"/>
  </r>
  <r>
    <x v="6"/>
    <x v="0"/>
    <x v="47"/>
    <x v="7"/>
    <x v="0"/>
    <x v="0"/>
    <x v="6"/>
    <x v="10"/>
    <x v="47"/>
    <x v="17"/>
    <x v="69"/>
    <x v="78"/>
    <x v="6"/>
    <x v="12"/>
    <x v="40"/>
    <x v="0"/>
    <x v="6"/>
    <x v="1"/>
    <x v="0"/>
    <x v="0"/>
    <x v="0"/>
    <x v="0"/>
    <x v="0"/>
    <x v="58"/>
    <x v="10"/>
  </r>
  <r>
    <x v="6"/>
    <x v="0"/>
    <x v="47"/>
    <x v="7"/>
    <x v="0"/>
    <x v="0"/>
    <x v="5"/>
    <x v="10"/>
    <x v="47"/>
    <x v="18"/>
    <x v="78"/>
    <x v="86"/>
    <x v="5"/>
    <x v="14"/>
    <x v="46"/>
    <x v="0"/>
    <x v="5"/>
    <x v="1"/>
    <x v="0"/>
    <x v="0"/>
    <x v="0"/>
    <x v="0"/>
    <x v="0"/>
    <x v="48"/>
    <x v="10"/>
  </r>
  <r>
    <x v="6"/>
    <x v="0"/>
    <x v="47"/>
    <x v="7"/>
    <x v="0"/>
    <x v="0"/>
    <x v="4"/>
    <x v="10"/>
    <x v="47"/>
    <x v="22"/>
    <x v="79"/>
    <x v="88"/>
    <x v="4"/>
    <x v="17"/>
    <x v="48"/>
    <x v="0"/>
    <x v="4"/>
    <x v="1"/>
    <x v="0"/>
    <x v="0"/>
    <x v="0"/>
    <x v="0"/>
    <x v="0"/>
    <x v="38"/>
    <x v="10"/>
  </r>
  <r>
    <x v="6"/>
    <x v="0"/>
    <x v="47"/>
    <x v="7"/>
    <x v="0"/>
    <x v="0"/>
    <x v="3"/>
    <x v="10"/>
    <x v="47"/>
    <x v="23"/>
    <x v="76"/>
    <x v="85"/>
    <x v="3"/>
    <x v="16"/>
    <x v="47"/>
    <x v="0"/>
    <x v="3"/>
    <x v="1"/>
    <x v="0"/>
    <x v="0"/>
    <x v="0"/>
    <x v="0"/>
    <x v="0"/>
    <x v="28"/>
    <x v="10"/>
  </r>
  <r>
    <x v="6"/>
    <x v="0"/>
    <x v="47"/>
    <x v="7"/>
    <x v="0"/>
    <x v="0"/>
    <x v="2"/>
    <x v="10"/>
    <x v="47"/>
    <x v="21"/>
    <x v="65"/>
    <x v="81"/>
    <x v="2"/>
    <x v="15"/>
    <x v="43"/>
    <x v="4"/>
    <x v="2"/>
    <x v="1"/>
    <x v="0"/>
    <x v="0"/>
    <x v="0"/>
    <x v="0"/>
    <x v="0"/>
    <x v="18"/>
    <x v="10"/>
  </r>
  <r>
    <x v="25"/>
    <x v="0"/>
    <x v="48"/>
    <x v="7"/>
    <x v="0"/>
    <x v="0"/>
    <x v="1"/>
    <x v="10"/>
    <x v="28"/>
    <x v="20"/>
    <x v="52"/>
    <x v="73"/>
    <x v="1"/>
    <x v="13"/>
    <x v="25"/>
    <x v="10"/>
    <x v="1"/>
    <x v="1"/>
    <x v="0"/>
    <x v="0"/>
    <x v="0"/>
    <x v="0"/>
    <x v="0"/>
    <x v="10"/>
    <x v="10"/>
  </r>
  <r>
    <x v="25"/>
    <x v="0"/>
    <x v="48"/>
    <x v="7"/>
    <x v="0"/>
    <x v="0"/>
    <x v="0"/>
    <x v="10"/>
    <x v="28"/>
    <x v="19"/>
    <x v="41"/>
    <x v="63"/>
    <x v="0"/>
    <x v="6"/>
    <x v="6"/>
    <x v="10"/>
    <x v="0"/>
    <x v="1"/>
    <x v="0"/>
    <x v="0"/>
    <x v="0"/>
    <x v="0"/>
    <x v="0"/>
    <x v="4"/>
    <x v="10"/>
  </r>
  <r>
    <x v="25"/>
    <x v="0"/>
    <x v="49"/>
    <x v="7"/>
    <x v="0"/>
    <x v="1"/>
    <x v="1"/>
    <x v="10"/>
    <x v="28"/>
    <x v="20"/>
    <x v="52"/>
    <x v="73"/>
    <x v="1"/>
    <x v="13"/>
    <x v="25"/>
    <x v="10"/>
    <x v="1"/>
    <x v="0"/>
    <x v="0"/>
    <x v="0"/>
    <x v="0"/>
    <x v="0"/>
    <x v="0"/>
    <x v="10"/>
    <x v="10"/>
  </r>
  <r>
    <x v="25"/>
    <x v="0"/>
    <x v="49"/>
    <x v="7"/>
    <x v="0"/>
    <x v="1"/>
    <x v="0"/>
    <x v="10"/>
    <x v="28"/>
    <x v="19"/>
    <x v="41"/>
    <x v="63"/>
    <x v="0"/>
    <x v="6"/>
    <x v="6"/>
    <x v="10"/>
    <x v="0"/>
    <x v="0"/>
    <x v="0"/>
    <x v="0"/>
    <x v="0"/>
    <x v="0"/>
    <x v="0"/>
    <x v="4"/>
    <x v="10"/>
  </r>
  <r>
    <x v="1"/>
    <x v="0"/>
    <x v="50"/>
    <x v="4"/>
    <x v="0"/>
    <x v="1"/>
    <x v="1"/>
    <x v="31"/>
    <x v="5"/>
    <x v="20"/>
    <x v="1"/>
    <x v="7"/>
    <x v="1"/>
    <x v="13"/>
    <x v="23"/>
    <x v="1"/>
    <x v="1"/>
    <x v="0"/>
    <x v="0"/>
    <x v="0"/>
    <x v="0"/>
    <x v="0"/>
    <x v="0"/>
    <x v="8"/>
    <x v="31"/>
  </r>
  <r>
    <x v="1"/>
    <x v="0"/>
    <x v="50"/>
    <x v="4"/>
    <x v="0"/>
    <x v="1"/>
    <x v="0"/>
    <x v="31"/>
    <x v="5"/>
    <x v="19"/>
    <x v="0"/>
    <x v="1"/>
    <x v="0"/>
    <x v="6"/>
    <x v="5"/>
    <x v="1"/>
    <x v="0"/>
    <x v="0"/>
    <x v="0"/>
    <x v="0"/>
    <x v="0"/>
    <x v="0"/>
    <x v="0"/>
    <x v="2"/>
    <x v="31"/>
  </r>
  <r>
    <x v="25"/>
    <x v="0"/>
    <x v="51"/>
    <x v="9"/>
    <x v="0"/>
    <x v="0"/>
    <x v="1"/>
    <x v="15"/>
    <x v="16"/>
    <x v="20"/>
    <x v="77"/>
    <x v="87"/>
    <x v="1"/>
    <x v="13"/>
    <x v="21"/>
    <x v="0"/>
    <x v="1"/>
    <x v="1"/>
    <x v="0"/>
    <x v="0"/>
    <x v="0"/>
    <x v="0"/>
    <x v="0"/>
    <x v="11"/>
    <x v="15"/>
  </r>
  <r>
    <x v="25"/>
    <x v="0"/>
    <x v="51"/>
    <x v="9"/>
    <x v="0"/>
    <x v="0"/>
    <x v="0"/>
    <x v="15"/>
    <x v="16"/>
    <x v="19"/>
    <x v="80"/>
    <x v="89"/>
    <x v="0"/>
    <x v="6"/>
    <x v="4"/>
    <x v="0"/>
    <x v="0"/>
    <x v="1"/>
    <x v="0"/>
    <x v="0"/>
    <x v="0"/>
    <x v="0"/>
    <x v="0"/>
    <x v="5"/>
    <x v="15"/>
  </r>
  <r>
    <x v="0"/>
    <x v="0"/>
    <x v="52"/>
    <x v="7"/>
    <x v="0"/>
    <x v="0"/>
    <x v="6"/>
    <x v="28"/>
    <x v="47"/>
    <x v="17"/>
    <x v="69"/>
    <x v="78"/>
    <x v="6"/>
    <x v="12"/>
    <x v="40"/>
    <x v="0"/>
    <x v="6"/>
    <x v="1"/>
    <x v="0"/>
    <x v="0"/>
    <x v="0"/>
    <x v="0"/>
    <x v="0"/>
    <x v="58"/>
    <x v="28"/>
  </r>
  <r>
    <x v="0"/>
    <x v="0"/>
    <x v="52"/>
    <x v="7"/>
    <x v="0"/>
    <x v="0"/>
    <x v="5"/>
    <x v="26"/>
    <x v="47"/>
    <x v="18"/>
    <x v="78"/>
    <x v="86"/>
    <x v="5"/>
    <x v="14"/>
    <x v="46"/>
    <x v="0"/>
    <x v="5"/>
    <x v="1"/>
    <x v="0"/>
    <x v="0"/>
    <x v="0"/>
    <x v="0"/>
    <x v="0"/>
    <x v="48"/>
    <x v="26"/>
  </r>
  <r>
    <x v="0"/>
    <x v="0"/>
    <x v="52"/>
    <x v="7"/>
    <x v="0"/>
    <x v="0"/>
    <x v="4"/>
    <x v="28"/>
    <x v="47"/>
    <x v="22"/>
    <x v="79"/>
    <x v="88"/>
    <x v="4"/>
    <x v="17"/>
    <x v="48"/>
    <x v="0"/>
    <x v="4"/>
    <x v="1"/>
    <x v="0"/>
    <x v="0"/>
    <x v="0"/>
    <x v="0"/>
    <x v="0"/>
    <x v="38"/>
    <x v="28"/>
  </r>
  <r>
    <x v="0"/>
    <x v="0"/>
    <x v="52"/>
    <x v="7"/>
    <x v="0"/>
    <x v="0"/>
    <x v="3"/>
    <x v="28"/>
    <x v="47"/>
    <x v="23"/>
    <x v="76"/>
    <x v="85"/>
    <x v="3"/>
    <x v="16"/>
    <x v="47"/>
    <x v="0"/>
    <x v="3"/>
    <x v="1"/>
    <x v="0"/>
    <x v="0"/>
    <x v="0"/>
    <x v="0"/>
    <x v="0"/>
    <x v="28"/>
    <x v="28"/>
  </r>
  <r>
    <x v="0"/>
    <x v="0"/>
    <x v="52"/>
    <x v="7"/>
    <x v="0"/>
    <x v="0"/>
    <x v="2"/>
    <x v="27"/>
    <x v="47"/>
    <x v="21"/>
    <x v="65"/>
    <x v="81"/>
    <x v="2"/>
    <x v="15"/>
    <x v="43"/>
    <x v="4"/>
    <x v="2"/>
    <x v="1"/>
    <x v="0"/>
    <x v="0"/>
    <x v="0"/>
    <x v="0"/>
    <x v="0"/>
    <x v="18"/>
    <x v="27"/>
  </r>
  <r>
    <x v="21"/>
    <x v="0"/>
    <x v="53"/>
    <x v="7"/>
    <x v="0"/>
    <x v="0"/>
    <x v="1"/>
    <x v="28"/>
    <x v="30"/>
    <x v="20"/>
    <x v="52"/>
    <x v="73"/>
    <x v="1"/>
    <x v="13"/>
    <x v="25"/>
    <x v="10"/>
    <x v="1"/>
    <x v="1"/>
    <x v="0"/>
    <x v="0"/>
    <x v="0"/>
    <x v="0"/>
    <x v="0"/>
    <x v="10"/>
    <x v="28"/>
  </r>
  <r>
    <x v="21"/>
    <x v="0"/>
    <x v="53"/>
    <x v="7"/>
    <x v="0"/>
    <x v="0"/>
    <x v="0"/>
    <x v="27"/>
    <x v="30"/>
    <x v="19"/>
    <x v="41"/>
    <x v="63"/>
    <x v="0"/>
    <x v="6"/>
    <x v="6"/>
    <x v="10"/>
    <x v="0"/>
    <x v="1"/>
    <x v="0"/>
    <x v="0"/>
    <x v="0"/>
    <x v="0"/>
    <x v="0"/>
    <x v="4"/>
    <x v="27"/>
  </r>
  <r>
    <x v="25"/>
    <x v="0"/>
    <x v="54"/>
    <x v="9"/>
    <x v="0"/>
    <x v="0"/>
    <x v="1"/>
    <x v="15"/>
    <x v="16"/>
    <x v="20"/>
    <x v="77"/>
    <x v="87"/>
    <x v="1"/>
    <x v="13"/>
    <x v="21"/>
    <x v="0"/>
    <x v="1"/>
    <x v="1"/>
    <x v="0"/>
    <x v="0"/>
    <x v="0"/>
    <x v="0"/>
    <x v="0"/>
    <x v="11"/>
    <x v="15"/>
  </r>
  <r>
    <x v="25"/>
    <x v="0"/>
    <x v="54"/>
    <x v="9"/>
    <x v="0"/>
    <x v="0"/>
    <x v="0"/>
    <x v="15"/>
    <x v="16"/>
    <x v="19"/>
    <x v="80"/>
    <x v="89"/>
    <x v="0"/>
    <x v="6"/>
    <x v="4"/>
    <x v="0"/>
    <x v="0"/>
    <x v="1"/>
    <x v="0"/>
    <x v="0"/>
    <x v="0"/>
    <x v="0"/>
    <x v="0"/>
    <x v="5"/>
    <x v="15"/>
  </r>
  <r>
    <x v="14"/>
    <x v="0"/>
    <x v="55"/>
    <x v="9"/>
    <x v="0"/>
    <x v="0"/>
    <x v="1"/>
    <x v="16"/>
    <x v="15"/>
    <x v="20"/>
    <x v="77"/>
    <x v="87"/>
    <x v="1"/>
    <x v="13"/>
    <x v="21"/>
    <x v="0"/>
    <x v="1"/>
    <x v="1"/>
    <x v="0"/>
    <x v="0"/>
    <x v="0"/>
    <x v="0"/>
    <x v="0"/>
    <x v="11"/>
    <x v="16"/>
  </r>
  <r>
    <x v="14"/>
    <x v="0"/>
    <x v="55"/>
    <x v="9"/>
    <x v="0"/>
    <x v="1"/>
    <x v="1"/>
    <x v="16"/>
    <x v="15"/>
    <x v="20"/>
    <x v="77"/>
    <x v="87"/>
    <x v="1"/>
    <x v="13"/>
    <x v="21"/>
    <x v="0"/>
    <x v="1"/>
    <x v="0"/>
    <x v="0"/>
    <x v="0"/>
    <x v="0"/>
    <x v="0"/>
    <x v="0"/>
    <x v="11"/>
    <x v="16"/>
  </r>
  <r>
    <x v="14"/>
    <x v="0"/>
    <x v="55"/>
    <x v="9"/>
    <x v="0"/>
    <x v="0"/>
    <x v="0"/>
    <x v="17"/>
    <x v="15"/>
    <x v="19"/>
    <x v="80"/>
    <x v="89"/>
    <x v="0"/>
    <x v="6"/>
    <x v="4"/>
    <x v="0"/>
    <x v="0"/>
    <x v="1"/>
    <x v="0"/>
    <x v="0"/>
    <x v="0"/>
    <x v="0"/>
    <x v="0"/>
    <x v="5"/>
    <x v="17"/>
  </r>
  <r>
    <x v="14"/>
    <x v="0"/>
    <x v="55"/>
    <x v="9"/>
    <x v="0"/>
    <x v="1"/>
    <x v="0"/>
    <x v="17"/>
    <x v="15"/>
    <x v="19"/>
    <x v="80"/>
    <x v="89"/>
    <x v="0"/>
    <x v="6"/>
    <x v="4"/>
    <x v="0"/>
    <x v="0"/>
    <x v="0"/>
    <x v="0"/>
    <x v="0"/>
    <x v="0"/>
    <x v="0"/>
    <x v="0"/>
    <x v="5"/>
    <x v="17"/>
  </r>
  <r>
    <x v="4"/>
    <x v="0"/>
    <x v="56"/>
    <x v="7"/>
    <x v="0"/>
    <x v="0"/>
    <x v="6"/>
    <x v="38"/>
    <x v="59"/>
    <x v="17"/>
    <x v="69"/>
    <x v="78"/>
    <x v="6"/>
    <x v="12"/>
    <x v="40"/>
    <x v="0"/>
    <x v="6"/>
    <x v="1"/>
    <x v="0"/>
    <x v="0"/>
    <x v="0"/>
    <x v="0"/>
    <x v="0"/>
    <x v="58"/>
    <x v="38"/>
  </r>
  <r>
    <x v="4"/>
    <x v="0"/>
    <x v="56"/>
    <x v="7"/>
    <x v="0"/>
    <x v="0"/>
    <x v="5"/>
    <x v="38"/>
    <x v="59"/>
    <x v="18"/>
    <x v="78"/>
    <x v="86"/>
    <x v="5"/>
    <x v="14"/>
    <x v="46"/>
    <x v="0"/>
    <x v="5"/>
    <x v="1"/>
    <x v="0"/>
    <x v="0"/>
    <x v="0"/>
    <x v="0"/>
    <x v="0"/>
    <x v="48"/>
    <x v="38"/>
  </r>
  <r>
    <x v="4"/>
    <x v="0"/>
    <x v="56"/>
    <x v="7"/>
    <x v="0"/>
    <x v="0"/>
    <x v="4"/>
    <x v="38"/>
    <x v="59"/>
    <x v="22"/>
    <x v="79"/>
    <x v="88"/>
    <x v="4"/>
    <x v="17"/>
    <x v="48"/>
    <x v="0"/>
    <x v="4"/>
    <x v="1"/>
    <x v="0"/>
    <x v="0"/>
    <x v="0"/>
    <x v="0"/>
    <x v="0"/>
    <x v="38"/>
    <x v="38"/>
  </r>
  <r>
    <x v="4"/>
    <x v="0"/>
    <x v="56"/>
    <x v="7"/>
    <x v="0"/>
    <x v="0"/>
    <x v="3"/>
    <x v="38"/>
    <x v="59"/>
    <x v="23"/>
    <x v="76"/>
    <x v="85"/>
    <x v="3"/>
    <x v="16"/>
    <x v="47"/>
    <x v="0"/>
    <x v="3"/>
    <x v="1"/>
    <x v="0"/>
    <x v="0"/>
    <x v="0"/>
    <x v="0"/>
    <x v="0"/>
    <x v="28"/>
    <x v="38"/>
  </r>
  <r>
    <x v="4"/>
    <x v="0"/>
    <x v="56"/>
    <x v="7"/>
    <x v="0"/>
    <x v="0"/>
    <x v="2"/>
    <x v="38"/>
    <x v="59"/>
    <x v="21"/>
    <x v="65"/>
    <x v="81"/>
    <x v="2"/>
    <x v="15"/>
    <x v="43"/>
    <x v="4"/>
    <x v="2"/>
    <x v="1"/>
    <x v="0"/>
    <x v="0"/>
    <x v="0"/>
    <x v="0"/>
    <x v="0"/>
    <x v="18"/>
    <x v="38"/>
  </r>
  <r>
    <x v="0"/>
    <x v="0"/>
    <x v="57"/>
    <x v="7"/>
    <x v="0"/>
    <x v="0"/>
    <x v="1"/>
    <x v="28"/>
    <x v="31"/>
    <x v="20"/>
    <x v="52"/>
    <x v="73"/>
    <x v="1"/>
    <x v="13"/>
    <x v="25"/>
    <x v="10"/>
    <x v="1"/>
    <x v="1"/>
    <x v="0"/>
    <x v="0"/>
    <x v="0"/>
    <x v="0"/>
    <x v="0"/>
    <x v="10"/>
    <x v="28"/>
  </r>
  <r>
    <x v="0"/>
    <x v="0"/>
    <x v="57"/>
    <x v="7"/>
    <x v="0"/>
    <x v="0"/>
    <x v="0"/>
    <x v="27"/>
    <x v="31"/>
    <x v="19"/>
    <x v="41"/>
    <x v="63"/>
    <x v="0"/>
    <x v="6"/>
    <x v="6"/>
    <x v="10"/>
    <x v="0"/>
    <x v="1"/>
    <x v="0"/>
    <x v="0"/>
    <x v="0"/>
    <x v="0"/>
    <x v="0"/>
    <x v="4"/>
    <x v="27"/>
  </r>
  <r>
    <x v="22"/>
    <x v="0"/>
    <x v="58"/>
    <x v="6"/>
    <x v="0"/>
    <x v="0"/>
    <x v="1"/>
    <x v="28"/>
    <x v="27"/>
    <x v="20"/>
    <x v="47"/>
    <x v="68"/>
    <x v="1"/>
    <x v="13"/>
    <x v="25"/>
    <x v="10"/>
    <x v="1"/>
    <x v="1"/>
    <x v="0"/>
    <x v="0"/>
    <x v="0"/>
    <x v="0"/>
    <x v="0"/>
    <x v="9"/>
    <x v="28"/>
  </r>
  <r>
    <x v="22"/>
    <x v="0"/>
    <x v="58"/>
    <x v="6"/>
    <x v="0"/>
    <x v="0"/>
    <x v="0"/>
    <x v="27"/>
    <x v="27"/>
    <x v="19"/>
    <x v="40"/>
    <x v="61"/>
    <x v="0"/>
    <x v="6"/>
    <x v="6"/>
    <x v="10"/>
    <x v="0"/>
    <x v="1"/>
    <x v="0"/>
    <x v="0"/>
    <x v="0"/>
    <x v="0"/>
    <x v="0"/>
    <x v="3"/>
    <x v="27"/>
  </r>
  <r>
    <x v="22"/>
    <x v="0"/>
    <x v="59"/>
    <x v="0"/>
    <x v="0"/>
    <x v="1"/>
    <x v="1"/>
    <x v="28"/>
    <x v="21"/>
    <x v="20"/>
    <x v="31"/>
    <x v="56"/>
    <x v="1"/>
    <x v="13"/>
    <x v="25"/>
    <x v="11"/>
    <x v="1"/>
    <x v="0"/>
    <x v="0"/>
    <x v="0"/>
    <x v="0"/>
    <x v="0"/>
    <x v="0"/>
    <x v="6"/>
    <x v="28"/>
  </r>
  <r>
    <x v="22"/>
    <x v="0"/>
    <x v="59"/>
    <x v="0"/>
    <x v="0"/>
    <x v="1"/>
    <x v="0"/>
    <x v="27"/>
    <x v="21"/>
    <x v="19"/>
    <x v="30"/>
    <x v="54"/>
    <x v="0"/>
    <x v="6"/>
    <x v="6"/>
    <x v="11"/>
    <x v="0"/>
    <x v="0"/>
    <x v="0"/>
    <x v="0"/>
    <x v="0"/>
    <x v="0"/>
    <x v="0"/>
    <x v="0"/>
    <x v="27"/>
  </r>
  <r>
    <x v="15"/>
    <x v="0"/>
    <x v="60"/>
    <x v="9"/>
    <x v="0"/>
    <x v="0"/>
    <x v="1"/>
    <x v="25"/>
    <x v="16"/>
    <x v="20"/>
    <x v="77"/>
    <x v="87"/>
    <x v="1"/>
    <x v="13"/>
    <x v="21"/>
    <x v="0"/>
    <x v="1"/>
    <x v="1"/>
    <x v="0"/>
    <x v="0"/>
    <x v="0"/>
    <x v="0"/>
    <x v="0"/>
    <x v="11"/>
    <x v="25"/>
  </r>
  <r>
    <x v="15"/>
    <x v="0"/>
    <x v="60"/>
    <x v="9"/>
    <x v="0"/>
    <x v="0"/>
    <x v="0"/>
    <x v="24"/>
    <x v="16"/>
    <x v="19"/>
    <x v="80"/>
    <x v="89"/>
    <x v="0"/>
    <x v="6"/>
    <x v="4"/>
    <x v="0"/>
    <x v="0"/>
    <x v="1"/>
    <x v="0"/>
    <x v="0"/>
    <x v="0"/>
    <x v="0"/>
    <x v="0"/>
    <x v="5"/>
    <x v="24"/>
  </r>
  <r>
    <x v="0"/>
    <x v="0"/>
    <x v="61"/>
    <x v="7"/>
    <x v="0"/>
    <x v="0"/>
    <x v="6"/>
    <x v="16"/>
    <x v="61"/>
    <x v="17"/>
    <x v="69"/>
    <x v="78"/>
    <x v="6"/>
    <x v="12"/>
    <x v="40"/>
    <x v="0"/>
    <x v="6"/>
    <x v="1"/>
    <x v="0"/>
    <x v="0"/>
    <x v="0"/>
    <x v="0"/>
    <x v="0"/>
    <x v="58"/>
    <x v="16"/>
  </r>
  <r>
    <x v="0"/>
    <x v="0"/>
    <x v="61"/>
    <x v="7"/>
    <x v="0"/>
    <x v="0"/>
    <x v="5"/>
    <x v="18"/>
    <x v="61"/>
    <x v="18"/>
    <x v="78"/>
    <x v="86"/>
    <x v="5"/>
    <x v="14"/>
    <x v="46"/>
    <x v="0"/>
    <x v="5"/>
    <x v="1"/>
    <x v="0"/>
    <x v="0"/>
    <x v="0"/>
    <x v="0"/>
    <x v="0"/>
    <x v="48"/>
    <x v="18"/>
  </r>
  <r>
    <x v="0"/>
    <x v="0"/>
    <x v="61"/>
    <x v="7"/>
    <x v="0"/>
    <x v="0"/>
    <x v="4"/>
    <x v="16"/>
    <x v="61"/>
    <x v="22"/>
    <x v="79"/>
    <x v="88"/>
    <x v="4"/>
    <x v="17"/>
    <x v="48"/>
    <x v="0"/>
    <x v="4"/>
    <x v="1"/>
    <x v="0"/>
    <x v="0"/>
    <x v="0"/>
    <x v="0"/>
    <x v="0"/>
    <x v="38"/>
    <x v="16"/>
  </r>
  <r>
    <x v="0"/>
    <x v="0"/>
    <x v="61"/>
    <x v="7"/>
    <x v="0"/>
    <x v="0"/>
    <x v="3"/>
    <x v="16"/>
    <x v="61"/>
    <x v="23"/>
    <x v="76"/>
    <x v="85"/>
    <x v="3"/>
    <x v="16"/>
    <x v="47"/>
    <x v="0"/>
    <x v="3"/>
    <x v="1"/>
    <x v="0"/>
    <x v="0"/>
    <x v="0"/>
    <x v="0"/>
    <x v="0"/>
    <x v="28"/>
    <x v="16"/>
  </r>
  <r>
    <x v="0"/>
    <x v="0"/>
    <x v="61"/>
    <x v="7"/>
    <x v="0"/>
    <x v="0"/>
    <x v="2"/>
    <x v="17"/>
    <x v="61"/>
    <x v="21"/>
    <x v="65"/>
    <x v="81"/>
    <x v="2"/>
    <x v="15"/>
    <x v="43"/>
    <x v="4"/>
    <x v="2"/>
    <x v="1"/>
    <x v="0"/>
    <x v="0"/>
    <x v="0"/>
    <x v="0"/>
    <x v="0"/>
    <x v="18"/>
    <x v="17"/>
  </r>
  <r>
    <x v="17"/>
    <x v="0"/>
    <x v="62"/>
    <x v="7"/>
    <x v="0"/>
    <x v="0"/>
    <x v="6"/>
    <x v="15"/>
    <x v="56"/>
    <x v="17"/>
    <x v="69"/>
    <x v="78"/>
    <x v="6"/>
    <x v="12"/>
    <x v="40"/>
    <x v="0"/>
    <x v="6"/>
    <x v="1"/>
    <x v="0"/>
    <x v="0"/>
    <x v="0"/>
    <x v="0"/>
    <x v="0"/>
    <x v="58"/>
    <x v="15"/>
  </r>
  <r>
    <x v="17"/>
    <x v="0"/>
    <x v="62"/>
    <x v="7"/>
    <x v="0"/>
    <x v="0"/>
    <x v="5"/>
    <x v="15"/>
    <x v="56"/>
    <x v="18"/>
    <x v="78"/>
    <x v="86"/>
    <x v="5"/>
    <x v="14"/>
    <x v="46"/>
    <x v="0"/>
    <x v="5"/>
    <x v="1"/>
    <x v="0"/>
    <x v="0"/>
    <x v="0"/>
    <x v="0"/>
    <x v="0"/>
    <x v="48"/>
    <x v="15"/>
  </r>
  <r>
    <x v="17"/>
    <x v="0"/>
    <x v="62"/>
    <x v="7"/>
    <x v="0"/>
    <x v="0"/>
    <x v="4"/>
    <x v="15"/>
    <x v="56"/>
    <x v="22"/>
    <x v="79"/>
    <x v="88"/>
    <x v="4"/>
    <x v="17"/>
    <x v="48"/>
    <x v="0"/>
    <x v="4"/>
    <x v="1"/>
    <x v="0"/>
    <x v="0"/>
    <x v="0"/>
    <x v="0"/>
    <x v="0"/>
    <x v="38"/>
    <x v="15"/>
  </r>
  <r>
    <x v="17"/>
    <x v="0"/>
    <x v="62"/>
    <x v="7"/>
    <x v="0"/>
    <x v="0"/>
    <x v="3"/>
    <x v="15"/>
    <x v="56"/>
    <x v="23"/>
    <x v="76"/>
    <x v="85"/>
    <x v="3"/>
    <x v="16"/>
    <x v="47"/>
    <x v="0"/>
    <x v="3"/>
    <x v="1"/>
    <x v="0"/>
    <x v="0"/>
    <x v="0"/>
    <x v="0"/>
    <x v="0"/>
    <x v="28"/>
    <x v="15"/>
  </r>
  <r>
    <x v="17"/>
    <x v="0"/>
    <x v="62"/>
    <x v="7"/>
    <x v="0"/>
    <x v="0"/>
    <x v="2"/>
    <x v="15"/>
    <x v="56"/>
    <x v="21"/>
    <x v="65"/>
    <x v="81"/>
    <x v="2"/>
    <x v="15"/>
    <x v="43"/>
    <x v="4"/>
    <x v="2"/>
    <x v="1"/>
    <x v="0"/>
    <x v="0"/>
    <x v="0"/>
    <x v="0"/>
    <x v="0"/>
    <x v="18"/>
    <x v="15"/>
  </r>
  <r>
    <x v="17"/>
    <x v="0"/>
    <x v="63"/>
    <x v="7"/>
    <x v="0"/>
    <x v="0"/>
    <x v="6"/>
    <x v="31"/>
    <x v="60"/>
    <x v="17"/>
    <x v="69"/>
    <x v="78"/>
    <x v="6"/>
    <x v="12"/>
    <x v="40"/>
    <x v="0"/>
    <x v="6"/>
    <x v="1"/>
    <x v="0"/>
    <x v="0"/>
    <x v="0"/>
    <x v="0"/>
    <x v="0"/>
    <x v="58"/>
    <x v="31"/>
  </r>
  <r>
    <x v="17"/>
    <x v="0"/>
    <x v="63"/>
    <x v="7"/>
    <x v="0"/>
    <x v="0"/>
    <x v="5"/>
    <x v="31"/>
    <x v="60"/>
    <x v="18"/>
    <x v="78"/>
    <x v="86"/>
    <x v="5"/>
    <x v="14"/>
    <x v="46"/>
    <x v="0"/>
    <x v="5"/>
    <x v="1"/>
    <x v="0"/>
    <x v="0"/>
    <x v="0"/>
    <x v="0"/>
    <x v="0"/>
    <x v="48"/>
    <x v="31"/>
  </r>
  <r>
    <x v="17"/>
    <x v="0"/>
    <x v="63"/>
    <x v="7"/>
    <x v="0"/>
    <x v="0"/>
    <x v="4"/>
    <x v="31"/>
    <x v="60"/>
    <x v="22"/>
    <x v="79"/>
    <x v="88"/>
    <x v="4"/>
    <x v="17"/>
    <x v="48"/>
    <x v="0"/>
    <x v="4"/>
    <x v="1"/>
    <x v="0"/>
    <x v="0"/>
    <x v="0"/>
    <x v="0"/>
    <x v="0"/>
    <x v="38"/>
    <x v="31"/>
  </r>
  <r>
    <x v="17"/>
    <x v="0"/>
    <x v="63"/>
    <x v="7"/>
    <x v="0"/>
    <x v="0"/>
    <x v="3"/>
    <x v="31"/>
    <x v="60"/>
    <x v="23"/>
    <x v="76"/>
    <x v="85"/>
    <x v="3"/>
    <x v="16"/>
    <x v="47"/>
    <x v="0"/>
    <x v="3"/>
    <x v="1"/>
    <x v="0"/>
    <x v="0"/>
    <x v="0"/>
    <x v="0"/>
    <x v="0"/>
    <x v="28"/>
    <x v="31"/>
  </r>
  <r>
    <x v="17"/>
    <x v="0"/>
    <x v="63"/>
    <x v="7"/>
    <x v="0"/>
    <x v="0"/>
    <x v="2"/>
    <x v="31"/>
    <x v="60"/>
    <x v="21"/>
    <x v="65"/>
    <x v="81"/>
    <x v="2"/>
    <x v="15"/>
    <x v="43"/>
    <x v="4"/>
    <x v="2"/>
    <x v="1"/>
    <x v="0"/>
    <x v="0"/>
    <x v="0"/>
    <x v="0"/>
    <x v="0"/>
    <x v="18"/>
    <x v="31"/>
  </r>
  <r>
    <x v="5"/>
    <x v="0"/>
    <x v="64"/>
    <x v="7"/>
    <x v="0"/>
    <x v="0"/>
    <x v="2"/>
    <x v="38"/>
    <x v="46"/>
    <x v="21"/>
    <x v="65"/>
    <x v="81"/>
    <x v="2"/>
    <x v="15"/>
    <x v="43"/>
    <x v="4"/>
    <x v="2"/>
    <x v="1"/>
    <x v="0"/>
    <x v="0"/>
    <x v="0"/>
    <x v="0"/>
    <x v="0"/>
    <x v="18"/>
    <x v="38"/>
  </r>
  <r>
    <x v="2"/>
    <x v="0"/>
    <x v="65"/>
    <x v="7"/>
    <x v="0"/>
    <x v="0"/>
    <x v="6"/>
    <x v="16"/>
    <x v="56"/>
    <x v="17"/>
    <x v="69"/>
    <x v="78"/>
    <x v="6"/>
    <x v="12"/>
    <x v="40"/>
    <x v="0"/>
    <x v="6"/>
    <x v="1"/>
    <x v="0"/>
    <x v="0"/>
    <x v="0"/>
    <x v="0"/>
    <x v="0"/>
    <x v="58"/>
    <x v="16"/>
  </r>
  <r>
    <x v="2"/>
    <x v="0"/>
    <x v="65"/>
    <x v="7"/>
    <x v="0"/>
    <x v="0"/>
    <x v="5"/>
    <x v="18"/>
    <x v="56"/>
    <x v="18"/>
    <x v="78"/>
    <x v="86"/>
    <x v="5"/>
    <x v="14"/>
    <x v="46"/>
    <x v="0"/>
    <x v="5"/>
    <x v="1"/>
    <x v="0"/>
    <x v="0"/>
    <x v="0"/>
    <x v="0"/>
    <x v="0"/>
    <x v="48"/>
    <x v="18"/>
  </r>
  <r>
    <x v="2"/>
    <x v="0"/>
    <x v="65"/>
    <x v="7"/>
    <x v="0"/>
    <x v="0"/>
    <x v="4"/>
    <x v="16"/>
    <x v="56"/>
    <x v="22"/>
    <x v="79"/>
    <x v="88"/>
    <x v="4"/>
    <x v="17"/>
    <x v="48"/>
    <x v="0"/>
    <x v="4"/>
    <x v="1"/>
    <x v="0"/>
    <x v="0"/>
    <x v="0"/>
    <x v="0"/>
    <x v="0"/>
    <x v="38"/>
    <x v="16"/>
  </r>
  <r>
    <x v="2"/>
    <x v="0"/>
    <x v="65"/>
    <x v="7"/>
    <x v="0"/>
    <x v="0"/>
    <x v="3"/>
    <x v="16"/>
    <x v="56"/>
    <x v="23"/>
    <x v="76"/>
    <x v="85"/>
    <x v="3"/>
    <x v="16"/>
    <x v="47"/>
    <x v="0"/>
    <x v="3"/>
    <x v="1"/>
    <x v="0"/>
    <x v="0"/>
    <x v="0"/>
    <x v="0"/>
    <x v="0"/>
    <x v="28"/>
    <x v="16"/>
  </r>
  <r>
    <x v="2"/>
    <x v="0"/>
    <x v="65"/>
    <x v="7"/>
    <x v="0"/>
    <x v="0"/>
    <x v="2"/>
    <x v="17"/>
    <x v="56"/>
    <x v="21"/>
    <x v="65"/>
    <x v="81"/>
    <x v="2"/>
    <x v="15"/>
    <x v="43"/>
    <x v="4"/>
    <x v="2"/>
    <x v="1"/>
    <x v="0"/>
    <x v="0"/>
    <x v="0"/>
    <x v="0"/>
    <x v="0"/>
    <x v="18"/>
    <x v="17"/>
  </r>
  <r>
    <x v="2"/>
    <x v="0"/>
    <x v="66"/>
    <x v="7"/>
    <x v="0"/>
    <x v="0"/>
    <x v="6"/>
    <x v="28"/>
    <x v="60"/>
    <x v="17"/>
    <x v="69"/>
    <x v="78"/>
    <x v="6"/>
    <x v="12"/>
    <x v="40"/>
    <x v="0"/>
    <x v="6"/>
    <x v="1"/>
    <x v="0"/>
    <x v="0"/>
    <x v="0"/>
    <x v="0"/>
    <x v="0"/>
    <x v="58"/>
    <x v="28"/>
  </r>
  <r>
    <x v="2"/>
    <x v="0"/>
    <x v="66"/>
    <x v="7"/>
    <x v="0"/>
    <x v="0"/>
    <x v="5"/>
    <x v="26"/>
    <x v="60"/>
    <x v="18"/>
    <x v="78"/>
    <x v="86"/>
    <x v="5"/>
    <x v="14"/>
    <x v="46"/>
    <x v="0"/>
    <x v="5"/>
    <x v="1"/>
    <x v="0"/>
    <x v="0"/>
    <x v="0"/>
    <x v="0"/>
    <x v="0"/>
    <x v="48"/>
    <x v="26"/>
  </r>
  <r>
    <x v="2"/>
    <x v="0"/>
    <x v="66"/>
    <x v="7"/>
    <x v="0"/>
    <x v="0"/>
    <x v="4"/>
    <x v="28"/>
    <x v="60"/>
    <x v="22"/>
    <x v="79"/>
    <x v="88"/>
    <x v="4"/>
    <x v="17"/>
    <x v="48"/>
    <x v="0"/>
    <x v="4"/>
    <x v="1"/>
    <x v="0"/>
    <x v="0"/>
    <x v="0"/>
    <x v="0"/>
    <x v="0"/>
    <x v="38"/>
    <x v="28"/>
  </r>
  <r>
    <x v="2"/>
    <x v="0"/>
    <x v="66"/>
    <x v="7"/>
    <x v="0"/>
    <x v="0"/>
    <x v="3"/>
    <x v="28"/>
    <x v="60"/>
    <x v="23"/>
    <x v="76"/>
    <x v="85"/>
    <x v="3"/>
    <x v="16"/>
    <x v="47"/>
    <x v="0"/>
    <x v="3"/>
    <x v="1"/>
    <x v="0"/>
    <x v="0"/>
    <x v="0"/>
    <x v="0"/>
    <x v="0"/>
    <x v="28"/>
    <x v="28"/>
  </r>
  <r>
    <x v="2"/>
    <x v="0"/>
    <x v="66"/>
    <x v="7"/>
    <x v="0"/>
    <x v="0"/>
    <x v="2"/>
    <x v="27"/>
    <x v="60"/>
    <x v="21"/>
    <x v="65"/>
    <x v="81"/>
    <x v="2"/>
    <x v="15"/>
    <x v="43"/>
    <x v="4"/>
    <x v="2"/>
    <x v="1"/>
    <x v="0"/>
    <x v="0"/>
    <x v="0"/>
    <x v="0"/>
    <x v="0"/>
    <x v="18"/>
    <x v="27"/>
  </r>
  <r>
    <x v="13"/>
    <x v="0"/>
    <x v="67"/>
    <x v="10"/>
    <x v="0"/>
    <x v="0"/>
    <x v="4"/>
    <x v="30"/>
    <x v="19"/>
    <x v="22"/>
    <x v="26"/>
    <x v="55"/>
    <x v="4"/>
    <x v="17"/>
    <x v="38"/>
    <x v="12"/>
    <x v="4"/>
    <x v="1"/>
    <x v="0"/>
    <x v="0"/>
    <x v="0"/>
    <x v="0"/>
    <x v="0"/>
    <x v="41"/>
    <x v="30"/>
  </r>
  <r>
    <x v="13"/>
    <x v="0"/>
    <x v="67"/>
    <x v="10"/>
    <x v="0"/>
    <x v="0"/>
    <x v="3"/>
    <x v="30"/>
    <x v="19"/>
    <x v="23"/>
    <x v="23"/>
    <x v="58"/>
    <x v="3"/>
    <x v="16"/>
    <x v="36"/>
    <x v="12"/>
    <x v="3"/>
    <x v="1"/>
    <x v="0"/>
    <x v="0"/>
    <x v="0"/>
    <x v="0"/>
    <x v="0"/>
    <x v="31"/>
    <x v="30"/>
  </r>
  <r>
    <x v="4"/>
    <x v="0"/>
    <x v="68"/>
    <x v="7"/>
    <x v="0"/>
    <x v="1"/>
    <x v="1"/>
    <x v="41"/>
    <x v="26"/>
    <x v="20"/>
    <x v="52"/>
    <x v="73"/>
    <x v="1"/>
    <x v="13"/>
    <x v="25"/>
    <x v="10"/>
    <x v="1"/>
    <x v="0"/>
    <x v="0"/>
    <x v="0"/>
    <x v="0"/>
    <x v="0"/>
    <x v="0"/>
    <x v="10"/>
    <x v="41"/>
  </r>
  <r>
    <x v="4"/>
    <x v="0"/>
    <x v="68"/>
    <x v="7"/>
    <x v="0"/>
    <x v="1"/>
    <x v="0"/>
    <x v="40"/>
    <x v="26"/>
    <x v="19"/>
    <x v="41"/>
    <x v="63"/>
    <x v="0"/>
    <x v="6"/>
    <x v="6"/>
    <x v="10"/>
    <x v="0"/>
    <x v="0"/>
    <x v="0"/>
    <x v="0"/>
    <x v="0"/>
    <x v="0"/>
    <x v="0"/>
    <x v="4"/>
    <x v="40"/>
  </r>
  <r>
    <x v="11"/>
    <x v="0"/>
    <x v="69"/>
    <x v="10"/>
    <x v="0"/>
    <x v="0"/>
    <x v="6"/>
    <x v="28"/>
    <x v="19"/>
    <x v="17"/>
    <x v="25"/>
    <x v="26"/>
    <x v="6"/>
    <x v="12"/>
    <x v="20"/>
    <x v="12"/>
    <x v="6"/>
    <x v="1"/>
    <x v="0"/>
    <x v="0"/>
    <x v="0"/>
    <x v="0"/>
    <x v="0"/>
    <x v="61"/>
    <x v="28"/>
  </r>
  <r>
    <x v="11"/>
    <x v="0"/>
    <x v="69"/>
    <x v="10"/>
    <x v="0"/>
    <x v="0"/>
    <x v="5"/>
    <x v="26"/>
    <x v="19"/>
    <x v="18"/>
    <x v="28"/>
    <x v="43"/>
    <x v="5"/>
    <x v="14"/>
    <x v="34"/>
    <x v="12"/>
    <x v="5"/>
    <x v="1"/>
    <x v="0"/>
    <x v="0"/>
    <x v="0"/>
    <x v="0"/>
    <x v="0"/>
    <x v="51"/>
    <x v="26"/>
  </r>
  <r>
    <x v="11"/>
    <x v="0"/>
    <x v="69"/>
    <x v="10"/>
    <x v="0"/>
    <x v="0"/>
    <x v="4"/>
    <x v="28"/>
    <x v="19"/>
    <x v="22"/>
    <x v="26"/>
    <x v="55"/>
    <x v="4"/>
    <x v="17"/>
    <x v="38"/>
    <x v="12"/>
    <x v="4"/>
    <x v="1"/>
    <x v="0"/>
    <x v="0"/>
    <x v="0"/>
    <x v="0"/>
    <x v="0"/>
    <x v="41"/>
    <x v="28"/>
  </r>
  <r>
    <x v="11"/>
    <x v="0"/>
    <x v="69"/>
    <x v="10"/>
    <x v="0"/>
    <x v="0"/>
    <x v="3"/>
    <x v="28"/>
    <x v="19"/>
    <x v="23"/>
    <x v="23"/>
    <x v="58"/>
    <x v="3"/>
    <x v="16"/>
    <x v="36"/>
    <x v="12"/>
    <x v="3"/>
    <x v="1"/>
    <x v="0"/>
    <x v="0"/>
    <x v="0"/>
    <x v="0"/>
    <x v="0"/>
    <x v="31"/>
    <x v="28"/>
  </r>
  <r>
    <x v="11"/>
    <x v="0"/>
    <x v="69"/>
    <x v="10"/>
    <x v="0"/>
    <x v="0"/>
    <x v="2"/>
    <x v="27"/>
    <x v="19"/>
    <x v="21"/>
    <x v="21"/>
    <x v="52"/>
    <x v="2"/>
    <x v="15"/>
    <x v="35"/>
    <x v="12"/>
    <x v="2"/>
    <x v="1"/>
    <x v="0"/>
    <x v="0"/>
    <x v="0"/>
    <x v="0"/>
    <x v="0"/>
    <x v="21"/>
    <x v="27"/>
  </r>
  <r>
    <x v="19"/>
    <x v="0"/>
    <x v="70"/>
    <x v="10"/>
    <x v="0"/>
    <x v="0"/>
    <x v="6"/>
    <x v="28"/>
    <x v="19"/>
    <x v="17"/>
    <x v="25"/>
    <x v="26"/>
    <x v="6"/>
    <x v="12"/>
    <x v="20"/>
    <x v="12"/>
    <x v="6"/>
    <x v="1"/>
    <x v="0"/>
    <x v="0"/>
    <x v="0"/>
    <x v="0"/>
    <x v="0"/>
    <x v="61"/>
    <x v="28"/>
  </r>
  <r>
    <x v="19"/>
    <x v="0"/>
    <x v="70"/>
    <x v="10"/>
    <x v="0"/>
    <x v="0"/>
    <x v="5"/>
    <x v="26"/>
    <x v="19"/>
    <x v="18"/>
    <x v="28"/>
    <x v="43"/>
    <x v="5"/>
    <x v="14"/>
    <x v="34"/>
    <x v="12"/>
    <x v="5"/>
    <x v="1"/>
    <x v="0"/>
    <x v="0"/>
    <x v="0"/>
    <x v="0"/>
    <x v="0"/>
    <x v="51"/>
    <x v="26"/>
  </r>
  <r>
    <x v="19"/>
    <x v="0"/>
    <x v="70"/>
    <x v="10"/>
    <x v="0"/>
    <x v="0"/>
    <x v="4"/>
    <x v="28"/>
    <x v="19"/>
    <x v="22"/>
    <x v="26"/>
    <x v="55"/>
    <x v="4"/>
    <x v="17"/>
    <x v="38"/>
    <x v="12"/>
    <x v="4"/>
    <x v="1"/>
    <x v="0"/>
    <x v="0"/>
    <x v="0"/>
    <x v="0"/>
    <x v="0"/>
    <x v="41"/>
    <x v="28"/>
  </r>
  <r>
    <x v="19"/>
    <x v="0"/>
    <x v="70"/>
    <x v="10"/>
    <x v="0"/>
    <x v="0"/>
    <x v="3"/>
    <x v="28"/>
    <x v="19"/>
    <x v="23"/>
    <x v="23"/>
    <x v="58"/>
    <x v="3"/>
    <x v="16"/>
    <x v="36"/>
    <x v="12"/>
    <x v="3"/>
    <x v="1"/>
    <x v="0"/>
    <x v="0"/>
    <x v="0"/>
    <x v="0"/>
    <x v="0"/>
    <x v="31"/>
    <x v="28"/>
  </r>
  <r>
    <x v="19"/>
    <x v="0"/>
    <x v="70"/>
    <x v="10"/>
    <x v="0"/>
    <x v="0"/>
    <x v="2"/>
    <x v="27"/>
    <x v="19"/>
    <x v="21"/>
    <x v="21"/>
    <x v="52"/>
    <x v="2"/>
    <x v="15"/>
    <x v="35"/>
    <x v="12"/>
    <x v="2"/>
    <x v="1"/>
    <x v="0"/>
    <x v="0"/>
    <x v="0"/>
    <x v="0"/>
    <x v="0"/>
    <x v="21"/>
    <x v="27"/>
  </r>
  <r>
    <x v="0"/>
    <x v="0"/>
    <x v="71"/>
    <x v="7"/>
    <x v="0"/>
    <x v="1"/>
    <x v="6"/>
    <x v="38"/>
    <x v="41"/>
    <x v="17"/>
    <x v="69"/>
    <x v="78"/>
    <x v="6"/>
    <x v="12"/>
    <x v="40"/>
    <x v="0"/>
    <x v="6"/>
    <x v="0"/>
    <x v="0"/>
    <x v="0"/>
    <x v="0"/>
    <x v="0"/>
    <x v="0"/>
    <x v="58"/>
    <x v="38"/>
  </r>
  <r>
    <x v="0"/>
    <x v="0"/>
    <x v="71"/>
    <x v="7"/>
    <x v="0"/>
    <x v="1"/>
    <x v="5"/>
    <x v="38"/>
    <x v="41"/>
    <x v="18"/>
    <x v="78"/>
    <x v="86"/>
    <x v="5"/>
    <x v="14"/>
    <x v="46"/>
    <x v="0"/>
    <x v="5"/>
    <x v="0"/>
    <x v="0"/>
    <x v="0"/>
    <x v="0"/>
    <x v="0"/>
    <x v="0"/>
    <x v="48"/>
    <x v="38"/>
  </r>
  <r>
    <x v="0"/>
    <x v="0"/>
    <x v="71"/>
    <x v="7"/>
    <x v="0"/>
    <x v="1"/>
    <x v="4"/>
    <x v="38"/>
    <x v="41"/>
    <x v="22"/>
    <x v="79"/>
    <x v="88"/>
    <x v="4"/>
    <x v="17"/>
    <x v="48"/>
    <x v="0"/>
    <x v="4"/>
    <x v="0"/>
    <x v="0"/>
    <x v="0"/>
    <x v="0"/>
    <x v="0"/>
    <x v="0"/>
    <x v="38"/>
    <x v="38"/>
  </r>
  <r>
    <x v="0"/>
    <x v="0"/>
    <x v="71"/>
    <x v="7"/>
    <x v="0"/>
    <x v="1"/>
    <x v="3"/>
    <x v="38"/>
    <x v="41"/>
    <x v="23"/>
    <x v="76"/>
    <x v="85"/>
    <x v="3"/>
    <x v="16"/>
    <x v="47"/>
    <x v="0"/>
    <x v="3"/>
    <x v="0"/>
    <x v="0"/>
    <x v="0"/>
    <x v="0"/>
    <x v="0"/>
    <x v="0"/>
    <x v="28"/>
    <x v="38"/>
  </r>
  <r>
    <x v="0"/>
    <x v="0"/>
    <x v="71"/>
    <x v="7"/>
    <x v="0"/>
    <x v="1"/>
    <x v="2"/>
    <x v="38"/>
    <x v="41"/>
    <x v="21"/>
    <x v="65"/>
    <x v="81"/>
    <x v="2"/>
    <x v="15"/>
    <x v="43"/>
    <x v="4"/>
    <x v="2"/>
    <x v="0"/>
    <x v="0"/>
    <x v="0"/>
    <x v="0"/>
    <x v="0"/>
    <x v="0"/>
    <x v="18"/>
    <x v="38"/>
  </r>
  <r>
    <x v="6"/>
    <x v="0"/>
    <x v="72"/>
    <x v="7"/>
    <x v="0"/>
    <x v="1"/>
    <x v="6"/>
    <x v="12"/>
    <x v="47"/>
    <x v="17"/>
    <x v="69"/>
    <x v="78"/>
    <x v="6"/>
    <x v="12"/>
    <x v="40"/>
    <x v="0"/>
    <x v="6"/>
    <x v="0"/>
    <x v="0"/>
    <x v="0"/>
    <x v="0"/>
    <x v="0"/>
    <x v="0"/>
    <x v="58"/>
    <x v="12"/>
  </r>
  <r>
    <x v="6"/>
    <x v="0"/>
    <x v="72"/>
    <x v="7"/>
    <x v="0"/>
    <x v="1"/>
    <x v="5"/>
    <x v="14"/>
    <x v="47"/>
    <x v="18"/>
    <x v="78"/>
    <x v="86"/>
    <x v="5"/>
    <x v="14"/>
    <x v="46"/>
    <x v="0"/>
    <x v="5"/>
    <x v="0"/>
    <x v="0"/>
    <x v="0"/>
    <x v="0"/>
    <x v="0"/>
    <x v="0"/>
    <x v="48"/>
    <x v="14"/>
  </r>
  <r>
    <x v="6"/>
    <x v="0"/>
    <x v="72"/>
    <x v="7"/>
    <x v="0"/>
    <x v="1"/>
    <x v="4"/>
    <x v="12"/>
    <x v="47"/>
    <x v="22"/>
    <x v="79"/>
    <x v="88"/>
    <x v="4"/>
    <x v="17"/>
    <x v="48"/>
    <x v="0"/>
    <x v="4"/>
    <x v="0"/>
    <x v="0"/>
    <x v="0"/>
    <x v="0"/>
    <x v="0"/>
    <x v="0"/>
    <x v="38"/>
    <x v="12"/>
  </r>
  <r>
    <x v="6"/>
    <x v="0"/>
    <x v="72"/>
    <x v="7"/>
    <x v="0"/>
    <x v="1"/>
    <x v="3"/>
    <x v="12"/>
    <x v="47"/>
    <x v="23"/>
    <x v="76"/>
    <x v="85"/>
    <x v="3"/>
    <x v="16"/>
    <x v="47"/>
    <x v="0"/>
    <x v="3"/>
    <x v="0"/>
    <x v="0"/>
    <x v="0"/>
    <x v="0"/>
    <x v="0"/>
    <x v="0"/>
    <x v="28"/>
    <x v="12"/>
  </r>
  <r>
    <x v="6"/>
    <x v="0"/>
    <x v="72"/>
    <x v="7"/>
    <x v="0"/>
    <x v="1"/>
    <x v="2"/>
    <x v="13"/>
    <x v="47"/>
    <x v="21"/>
    <x v="65"/>
    <x v="81"/>
    <x v="2"/>
    <x v="15"/>
    <x v="43"/>
    <x v="4"/>
    <x v="2"/>
    <x v="0"/>
    <x v="0"/>
    <x v="0"/>
    <x v="0"/>
    <x v="0"/>
    <x v="0"/>
    <x v="18"/>
    <x v="13"/>
  </r>
  <r>
    <x v="6"/>
    <x v="0"/>
    <x v="73"/>
    <x v="7"/>
    <x v="0"/>
    <x v="1"/>
    <x v="6"/>
    <x v="10"/>
    <x v="46"/>
    <x v="17"/>
    <x v="69"/>
    <x v="78"/>
    <x v="6"/>
    <x v="12"/>
    <x v="40"/>
    <x v="0"/>
    <x v="6"/>
    <x v="0"/>
    <x v="0"/>
    <x v="0"/>
    <x v="0"/>
    <x v="0"/>
    <x v="0"/>
    <x v="58"/>
    <x v="10"/>
  </r>
  <r>
    <x v="6"/>
    <x v="0"/>
    <x v="74"/>
    <x v="7"/>
    <x v="0"/>
    <x v="1"/>
    <x v="6"/>
    <x v="38"/>
    <x v="41"/>
    <x v="17"/>
    <x v="69"/>
    <x v="78"/>
    <x v="6"/>
    <x v="12"/>
    <x v="40"/>
    <x v="0"/>
    <x v="6"/>
    <x v="0"/>
    <x v="0"/>
    <x v="0"/>
    <x v="0"/>
    <x v="0"/>
    <x v="0"/>
    <x v="58"/>
    <x v="38"/>
  </r>
  <r>
    <x v="6"/>
    <x v="0"/>
    <x v="74"/>
    <x v="7"/>
    <x v="0"/>
    <x v="1"/>
    <x v="5"/>
    <x v="38"/>
    <x v="41"/>
    <x v="18"/>
    <x v="78"/>
    <x v="86"/>
    <x v="5"/>
    <x v="14"/>
    <x v="46"/>
    <x v="0"/>
    <x v="5"/>
    <x v="0"/>
    <x v="0"/>
    <x v="0"/>
    <x v="0"/>
    <x v="0"/>
    <x v="0"/>
    <x v="48"/>
    <x v="38"/>
  </r>
  <r>
    <x v="6"/>
    <x v="0"/>
    <x v="74"/>
    <x v="7"/>
    <x v="0"/>
    <x v="1"/>
    <x v="4"/>
    <x v="38"/>
    <x v="41"/>
    <x v="22"/>
    <x v="79"/>
    <x v="88"/>
    <x v="4"/>
    <x v="17"/>
    <x v="48"/>
    <x v="0"/>
    <x v="4"/>
    <x v="0"/>
    <x v="0"/>
    <x v="0"/>
    <x v="0"/>
    <x v="0"/>
    <x v="0"/>
    <x v="38"/>
    <x v="38"/>
  </r>
  <r>
    <x v="6"/>
    <x v="0"/>
    <x v="74"/>
    <x v="7"/>
    <x v="0"/>
    <x v="1"/>
    <x v="3"/>
    <x v="38"/>
    <x v="41"/>
    <x v="23"/>
    <x v="76"/>
    <x v="85"/>
    <x v="3"/>
    <x v="16"/>
    <x v="47"/>
    <x v="0"/>
    <x v="3"/>
    <x v="0"/>
    <x v="0"/>
    <x v="0"/>
    <x v="0"/>
    <x v="0"/>
    <x v="0"/>
    <x v="28"/>
    <x v="38"/>
  </r>
  <r>
    <x v="6"/>
    <x v="0"/>
    <x v="74"/>
    <x v="7"/>
    <x v="0"/>
    <x v="1"/>
    <x v="2"/>
    <x v="38"/>
    <x v="41"/>
    <x v="21"/>
    <x v="65"/>
    <x v="81"/>
    <x v="2"/>
    <x v="15"/>
    <x v="43"/>
    <x v="4"/>
    <x v="2"/>
    <x v="0"/>
    <x v="0"/>
    <x v="0"/>
    <x v="0"/>
    <x v="0"/>
    <x v="0"/>
    <x v="18"/>
    <x v="38"/>
  </r>
  <r>
    <x v="6"/>
    <x v="0"/>
    <x v="75"/>
    <x v="7"/>
    <x v="0"/>
    <x v="0"/>
    <x v="6"/>
    <x v="16"/>
    <x v="64"/>
    <x v="17"/>
    <x v="69"/>
    <x v="78"/>
    <x v="6"/>
    <x v="12"/>
    <x v="40"/>
    <x v="0"/>
    <x v="6"/>
    <x v="1"/>
    <x v="0"/>
    <x v="0"/>
    <x v="0"/>
    <x v="0"/>
    <x v="0"/>
    <x v="58"/>
    <x v="16"/>
  </r>
  <r>
    <x v="6"/>
    <x v="0"/>
    <x v="75"/>
    <x v="7"/>
    <x v="0"/>
    <x v="0"/>
    <x v="5"/>
    <x v="18"/>
    <x v="64"/>
    <x v="18"/>
    <x v="78"/>
    <x v="86"/>
    <x v="5"/>
    <x v="14"/>
    <x v="46"/>
    <x v="0"/>
    <x v="5"/>
    <x v="1"/>
    <x v="0"/>
    <x v="0"/>
    <x v="0"/>
    <x v="0"/>
    <x v="0"/>
    <x v="48"/>
    <x v="18"/>
  </r>
  <r>
    <x v="6"/>
    <x v="0"/>
    <x v="75"/>
    <x v="7"/>
    <x v="0"/>
    <x v="0"/>
    <x v="4"/>
    <x v="16"/>
    <x v="64"/>
    <x v="22"/>
    <x v="79"/>
    <x v="88"/>
    <x v="4"/>
    <x v="17"/>
    <x v="48"/>
    <x v="0"/>
    <x v="4"/>
    <x v="1"/>
    <x v="0"/>
    <x v="0"/>
    <x v="0"/>
    <x v="0"/>
    <x v="0"/>
    <x v="38"/>
    <x v="16"/>
  </r>
  <r>
    <x v="6"/>
    <x v="0"/>
    <x v="75"/>
    <x v="7"/>
    <x v="0"/>
    <x v="0"/>
    <x v="3"/>
    <x v="16"/>
    <x v="64"/>
    <x v="23"/>
    <x v="76"/>
    <x v="85"/>
    <x v="3"/>
    <x v="16"/>
    <x v="47"/>
    <x v="0"/>
    <x v="3"/>
    <x v="1"/>
    <x v="0"/>
    <x v="0"/>
    <x v="0"/>
    <x v="0"/>
    <x v="0"/>
    <x v="28"/>
    <x v="16"/>
  </r>
  <r>
    <x v="6"/>
    <x v="0"/>
    <x v="75"/>
    <x v="7"/>
    <x v="0"/>
    <x v="0"/>
    <x v="2"/>
    <x v="17"/>
    <x v="64"/>
    <x v="21"/>
    <x v="65"/>
    <x v="81"/>
    <x v="2"/>
    <x v="15"/>
    <x v="43"/>
    <x v="4"/>
    <x v="2"/>
    <x v="1"/>
    <x v="0"/>
    <x v="0"/>
    <x v="0"/>
    <x v="0"/>
    <x v="0"/>
    <x v="18"/>
    <x v="17"/>
  </r>
  <r>
    <x v="6"/>
    <x v="0"/>
    <x v="76"/>
    <x v="7"/>
    <x v="0"/>
    <x v="1"/>
    <x v="6"/>
    <x v="31"/>
    <x v="41"/>
    <x v="17"/>
    <x v="69"/>
    <x v="78"/>
    <x v="6"/>
    <x v="12"/>
    <x v="40"/>
    <x v="0"/>
    <x v="6"/>
    <x v="0"/>
    <x v="0"/>
    <x v="0"/>
    <x v="0"/>
    <x v="0"/>
    <x v="0"/>
    <x v="58"/>
    <x v="31"/>
  </r>
  <r>
    <x v="6"/>
    <x v="0"/>
    <x v="77"/>
    <x v="7"/>
    <x v="0"/>
    <x v="0"/>
    <x v="6"/>
    <x v="10"/>
    <x v="58"/>
    <x v="17"/>
    <x v="69"/>
    <x v="78"/>
    <x v="6"/>
    <x v="12"/>
    <x v="40"/>
    <x v="0"/>
    <x v="6"/>
    <x v="1"/>
    <x v="0"/>
    <x v="0"/>
    <x v="0"/>
    <x v="0"/>
    <x v="0"/>
    <x v="58"/>
    <x v="10"/>
  </r>
  <r>
    <x v="6"/>
    <x v="0"/>
    <x v="77"/>
    <x v="7"/>
    <x v="0"/>
    <x v="0"/>
    <x v="5"/>
    <x v="10"/>
    <x v="58"/>
    <x v="18"/>
    <x v="78"/>
    <x v="86"/>
    <x v="5"/>
    <x v="14"/>
    <x v="46"/>
    <x v="0"/>
    <x v="5"/>
    <x v="1"/>
    <x v="0"/>
    <x v="0"/>
    <x v="0"/>
    <x v="0"/>
    <x v="0"/>
    <x v="48"/>
    <x v="10"/>
  </r>
  <r>
    <x v="6"/>
    <x v="0"/>
    <x v="77"/>
    <x v="7"/>
    <x v="0"/>
    <x v="0"/>
    <x v="4"/>
    <x v="10"/>
    <x v="58"/>
    <x v="22"/>
    <x v="79"/>
    <x v="88"/>
    <x v="4"/>
    <x v="17"/>
    <x v="48"/>
    <x v="0"/>
    <x v="4"/>
    <x v="1"/>
    <x v="0"/>
    <x v="0"/>
    <x v="0"/>
    <x v="0"/>
    <x v="0"/>
    <x v="38"/>
    <x v="10"/>
  </r>
  <r>
    <x v="6"/>
    <x v="0"/>
    <x v="77"/>
    <x v="7"/>
    <x v="0"/>
    <x v="0"/>
    <x v="3"/>
    <x v="10"/>
    <x v="58"/>
    <x v="23"/>
    <x v="76"/>
    <x v="85"/>
    <x v="3"/>
    <x v="16"/>
    <x v="47"/>
    <x v="0"/>
    <x v="3"/>
    <x v="1"/>
    <x v="0"/>
    <x v="0"/>
    <x v="0"/>
    <x v="0"/>
    <x v="0"/>
    <x v="28"/>
    <x v="10"/>
  </r>
  <r>
    <x v="6"/>
    <x v="0"/>
    <x v="77"/>
    <x v="7"/>
    <x v="0"/>
    <x v="0"/>
    <x v="2"/>
    <x v="10"/>
    <x v="58"/>
    <x v="21"/>
    <x v="65"/>
    <x v="81"/>
    <x v="2"/>
    <x v="15"/>
    <x v="43"/>
    <x v="4"/>
    <x v="2"/>
    <x v="1"/>
    <x v="0"/>
    <x v="0"/>
    <x v="0"/>
    <x v="0"/>
    <x v="0"/>
    <x v="18"/>
    <x v="10"/>
  </r>
  <r>
    <x v="6"/>
    <x v="0"/>
    <x v="78"/>
    <x v="7"/>
    <x v="0"/>
    <x v="0"/>
    <x v="6"/>
    <x v="38"/>
    <x v="63"/>
    <x v="17"/>
    <x v="69"/>
    <x v="78"/>
    <x v="6"/>
    <x v="12"/>
    <x v="40"/>
    <x v="0"/>
    <x v="6"/>
    <x v="1"/>
    <x v="0"/>
    <x v="0"/>
    <x v="0"/>
    <x v="0"/>
    <x v="0"/>
    <x v="58"/>
    <x v="38"/>
  </r>
  <r>
    <x v="6"/>
    <x v="0"/>
    <x v="78"/>
    <x v="7"/>
    <x v="0"/>
    <x v="0"/>
    <x v="5"/>
    <x v="38"/>
    <x v="63"/>
    <x v="18"/>
    <x v="78"/>
    <x v="86"/>
    <x v="5"/>
    <x v="14"/>
    <x v="46"/>
    <x v="0"/>
    <x v="5"/>
    <x v="1"/>
    <x v="0"/>
    <x v="0"/>
    <x v="0"/>
    <x v="0"/>
    <x v="0"/>
    <x v="48"/>
    <x v="38"/>
  </r>
  <r>
    <x v="6"/>
    <x v="0"/>
    <x v="78"/>
    <x v="7"/>
    <x v="0"/>
    <x v="0"/>
    <x v="4"/>
    <x v="38"/>
    <x v="63"/>
    <x v="22"/>
    <x v="79"/>
    <x v="88"/>
    <x v="4"/>
    <x v="17"/>
    <x v="48"/>
    <x v="0"/>
    <x v="4"/>
    <x v="1"/>
    <x v="0"/>
    <x v="0"/>
    <x v="0"/>
    <x v="0"/>
    <x v="0"/>
    <x v="38"/>
    <x v="38"/>
  </r>
  <r>
    <x v="6"/>
    <x v="0"/>
    <x v="78"/>
    <x v="7"/>
    <x v="0"/>
    <x v="0"/>
    <x v="3"/>
    <x v="38"/>
    <x v="63"/>
    <x v="23"/>
    <x v="76"/>
    <x v="85"/>
    <x v="3"/>
    <x v="16"/>
    <x v="47"/>
    <x v="0"/>
    <x v="3"/>
    <x v="1"/>
    <x v="0"/>
    <x v="0"/>
    <x v="0"/>
    <x v="0"/>
    <x v="0"/>
    <x v="28"/>
    <x v="38"/>
  </r>
  <r>
    <x v="6"/>
    <x v="0"/>
    <x v="78"/>
    <x v="7"/>
    <x v="0"/>
    <x v="0"/>
    <x v="2"/>
    <x v="38"/>
    <x v="63"/>
    <x v="21"/>
    <x v="65"/>
    <x v="81"/>
    <x v="2"/>
    <x v="15"/>
    <x v="43"/>
    <x v="4"/>
    <x v="2"/>
    <x v="1"/>
    <x v="0"/>
    <x v="0"/>
    <x v="0"/>
    <x v="0"/>
    <x v="0"/>
    <x v="18"/>
    <x v="38"/>
  </r>
  <r>
    <x v="6"/>
    <x v="0"/>
    <x v="79"/>
    <x v="7"/>
    <x v="0"/>
    <x v="1"/>
    <x v="1"/>
    <x v="10"/>
    <x v="36"/>
    <x v="20"/>
    <x v="52"/>
    <x v="73"/>
    <x v="1"/>
    <x v="13"/>
    <x v="25"/>
    <x v="10"/>
    <x v="1"/>
    <x v="0"/>
    <x v="0"/>
    <x v="0"/>
    <x v="0"/>
    <x v="0"/>
    <x v="0"/>
    <x v="10"/>
    <x v="10"/>
  </r>
  <r>
    <x v="6"/>
    <x v="0"/>
    <x v="79"/>
    <x v="7"/>
    <x v="0"/>
    <x v="1"/>
    <x v="0"/>
    <x v="10"/>
    <x v="36"/>
    <x v="19"/>
    <x v="41"/>
    <x v="63"/>
    <x v="0"/>
    <x v="6"/>
    <x v="6"/>
    <x v="10"/>
    <x v="0"/>
    <x v="0"/>
    <x v="0"/>
    <x v="0"/>
    <x v="0"/>
    <x v="0"/>
    <x v="0"/>
    <x v="4"/>
    <x v="10"/>
  </r>
  <r>
    <x v="6"/>
    <x v="0"/>
    <x v="80"/>
    <x v="7"/>
    <x v="0"/>
    <x v="1"/>
    <x v="1"/>
    <x v="38"/>
    <x v="26"/>
    <x v="20"/>
    <x v="52"/>
    <x v="73"/>
    <x v="1"/>
    <x v="13"/>
    <x v="25"/>
    <x v="10"/>
    <x v="1"/>
    <x v="0"/>
    <x v="0"/>
    <x v="0"/>
    <x v="0"/>
    <x v="0"/>
    <x v="0"/>
    <x v="10"/>
    <x v="38"/>
  </r>
  <r>
    <x v="6"/>
    <x v="0"/>
    <x v="80"/>
    <x v="7"/>
    <x v="0"/>
    <x v="1"/>
    <x v="0"/>
    <x v="38"/>
    <x v="26"/>
    <x v="19"/>
    <x v="41"/>
    <x v="63"/>
    <x v="0"/>
    <x v="6"/>
    <x v="6"/>
    <x v="10"/>
    <x v="0"/>
    <x v="0"/>
    <x v="0"/>
    <x v="0"/>
    <x v="0"/>
    <x v="0"/>
    <x v="0"/>
    <x v="4"/>
    <x v="38"/>
  </r>
  <r>
    <x v="6"/>
    <x v="0"/>
    <x v="81"/>
    <x v="7"/>
    <x v="0"/>
    <x v="0"/>
    <x v="6"/>
    <x v="10"/>
    <x v="64"/>
    <x v="17"/>
    <x v="69"/>
    <x v="78"/>
    <x v="6"/>
    <x v="12"/>
    <x v="40"/>
    <x v="0"/>
    <x v="6"/>
    <x v="1"/>
    <x v="0"/>
    <x v="0"/>
    <x v="0"/>
    <x v="0"/>
    <x v="0"/>
    <x v="58"/>
    <x v="10"/>
  </r>
  <r>
    <x v="6"/>
    <x v="0"/>
    <x v="81"/>
    <x v="7"/>
    <x v="0"/>
    <x v="0"/>
    <x v="5"/>
    <x v="10"/>
    <x v="64"/>
    <x v="18"/>
    <x v="78"/>
    <x v="86"/>
    <x v="5"/>
    <x v="14"/>
    <x v="46"/>
    <x v="0"/>
    <x v="5"/>
    <x v="1"/>
    <x v="0"/>
    <x v="0"/>
    <x v="0"/>
    <x v="0"/>
    <x v="0"/>
    <x v="48"/>
    <x v="10"/>
  </r>
  <r>
    <x v="6"/>
    <x v="0"/>
    <x v="81"/>
    <x v="7"/>
    <x v="0"/>
    <x v="0"/>
    <x v="4"/>
    <x v="10"/>
    <x v="64"/>
    <x v="22"/>
    <x v="79"/>
    <x v="88"/>
    <x v="4"/>
    <x v="17"/>
    <x v="48"/>
    <x v="0"/>
    <x v="4"/>
    <x v="1"/>
    <x v="0"/>
    <x v="0"/>
    <x v="0"/>
    <x v="0"/>
    <x v="0"/>
    <x v="38"/>
    <x v="10"/>
  </r>
  <r>
    <x v="6"/>
    <x v="0"/>
    <x v="81"/>
    <x v="7"/>
    <x v="0"/>
    <x v="0"/>
    <x v="3"/>
    <x v="10"/>
    <x v="64"/>
    <x v="23"/>
    <x v="76"/>
    <x v="85"/>
    <x v="3"/>
    <x v="16"/>
    <x v="47"/>
    <x v="0"/>
    <x v="3"/>
    <x v="1"/>
    <x v="0"/>
    <x v="0"/>
    <x v="0"/>
    <x v="0"/>
    <x v="0"/>
    <x v="28"/>
    <x v="10"/>
  </r>
  <r>
    <x v="6"/>
    <x v="0"/>
    <x v="81"/>
    <x v="7"/>
    <x v="0"/>
    <x v="0"/>
    <x v="2"/>
    <x v="10"/>
    <x v="64"/>
    <x v="21"/>
    <x v="65"/>
    <x v="81"/>
    <x v="2"/>
    <x v="15"/>
    <x v="43"/>
    <x v="4"/>
    <x v="2"/>
    <x v="1"/>
    <x v="0"/>
    <x v="0"/>
    <x v="0"/>
    <x v="0"/>
    <x v="0"/>
    <x v="18"/>
    <x v="10"/>
  </r>
  <r>
    <x v="17"/>
    <x v="0"/>
    <x v="82"/>
    <x v="7"/>
    <x v="0"/>
    <x v="1"/>
    <x v="6"/>
    <x v="31"/>
    <x v="36"/>
    <x v="17"/>
    <x v="69"/>
    <x v="78"/>
    <x v="6"/>
    <x v="12"/>
    <x v="40"/>
    <x v="0"/>
    <x v="6"/>
    <x v="0"/>
    <x v="0"/>
    <x v="0"/>
    <x v="0"/>
    <x v="0"/>
    <x v="0"/>
    <x v="58"/>
    <x v="31"/>
  </r>
  <r>
    <x v="17"/>
    <x v="0"/>
    <x v="83"/>
    <x v="7"/>
    <x v="0"/>
    <x v="0"/>
    <x v="6"/>
    <x v="31"/>
    <x v="55"/>
    <x v="17"/>
    <x v="69"/>
    <x v="78"/>
    <x v="6"/>
    <x v="12"/>
    <x v="40"/>
    <x v="0"/>
    <x v="6"/>
    <x v="1"/>
    <x v="0"/>
    <x v="0"/>
    <x v="0"/>
    <x v="0"/>
    <x v="0"/>
    <x v="58"/>
    <x v="31"/>
  </r>
  <r>
    <x v="17"/>
    <x v="0"/>
    <x v="83"/>
    <x v="7"/>
    <x v="0"/>
    <x v="0"/>
    <x v="5"/>
    <x v="31"/>
    <x v="55"/>
    <x v="18"/>
    <x v="78"/>
    <x v="86"/>
    <x v="5"/>
    <x v="14"/>
    <x v="46"/>
    <x v="0"/>
    <x v="5"/>
    <x v="1"/>
    <x v="0"/>
    <x v="0"/>
    <x v="0"/>
    <x v="0"/>
    <x v="0"/>
    <x v="48"/>
    <x v="31"/>
  </r>
  <r>
    <x v="17"/>
    <x v="0"/>
    <x v="83"/>
    <x v="7"/>
    <x v="0"/>
    <x v="0"/>
    <x v="4"/>
    <x v="31"/>
    <x v="55"/>
    <x v="22"/>
    <x v="79"/>
    <x v="88"/>
    <x v="4"/>
    <x v="17"/>
    <x v="48"/>
    <x v="0"/>
    <x v="4"/>
    <x v="1"/>
    <x v="0"/>
    <x v="0"/>
    <x v="0"/>
    <x v="0"/>
    <x v="0"/>
    <x v="38"/>
    <x v="31"/>
  </r>
  <r>
    <x v="17"/>
    <x v="0"/>
    <x v="83"/>
    <x v="7"/>
    <x v="0"/>
    <x v="0"/>
    <x v="3"/>
    <x v="31"/>
    <x v="55"/>
    <x v="23"/>
    <x v="76"/>
    <x v="85"/>
    <x v="3"/>
    <x v="16"/>
    <x v="47"/>
    <x v="0"/>
    <x v="3"/>
    <x v="1"/>
    <x v="0"/>
    <x v="0"/>
    <x v="0"/>
    <x v="0"/>
    <x v="0"/>
    <x v="28"/>
    <x v="31"/>
  </r>
  <r>
    <x v="17"/>
    <x v="0"/>
    <x v="83"/>
    <x v="7"/>
    <x v="0"/>
    <x v="0"/>
    <x v="2"/>
    <x v="31"/>
    <x v="55"/>
    <x v="21"/>
    <x v="65"/>
    <x v="81"/>
    <x v="2"/>
    <x v="15"/>
    <x v="43"/>
    <x v="4"/>
    <x v="2"/>
    <x v="1"/>
    <x v="0"/>
    <x v="0"/>
    <x v="0"/>
    <x v="0"/>
    <x v="0"/>
    <x v="18"/>
    <x v="31"/>
  </r>
  <r>
    <x v="17"/>
    <x v="0"/>
    <x v="84"/>
    <x v="7"/>
    <x v="0"/>
    <x v="1"/>
    <x v="6"/>
    <x v="31"/>
    <x v="55"/>
    <x v="17"/>
    <x v="69"/>
    <x v="78"/>
    <x v="6"/>
    <x v="12"/>
    <x v="40"/>
    <x v="0"/>
    <x v="6"/>
    <x v="0"/>
    <x v="0"/>
    <x v="0"/>
    <x v="0"/>
    <x v="0"/>
    <x v="0"/>
    <x v="58"/>
    <x v="31"/>
  </r>
  <r>
    <x v="17"/>
    <x v="0"/>
    <x v="84"/>
    <x v="7"/>
    <x v="0"/>
    <x v="1"/>
    <x v="5"/>
    <x v="31"/>
    <x v="55"/>
    <x v="18"/>
    <x v="78"/>
    <x v="86"/>
    <x v="5"/>
    <x v="14"/>
    <x v="46"/>
    <x v="0"/>
    <x v="5"/>
    <x v="0"/>
    <x v="0"/>
    <x v="0"/>
    <x v="0"/>
    <x v="0"/>
    <x v="0"/>
    <x v="48"/>
    <x v="31"/>
  </r>
  <r>
    <x v="17"/>
    <x v="0"/>
    <x v="84"/>
    <x v="7"/>
    <x v="0"/>
    <x v="1"/>
    <x v="4"/>
    <x v="31"/>
    <x v="55"/>
    <x v="22"/>
    <x v="79"/>
    <x v="88"/>
    <x v="4"/>
    <x v="17"/>
    <x v="48"/>
    <x v="0"/>
    <x v="4"/>
    <x v="0"/>
    <x v="0"/>
    <x v="0"/>
    <x v="0"/>
    <x v="0"/>
    <x v="0"/>
    <x v="38"/>
    <x v="31"/>
  </r>
  <r>
    <x v="17"/>
    <x v="0"/>
    <x v="84"/>
    <x v="7"/>
    <x v="0"/>
    <x v="1"/>
    <x v="3"/>
    <x v="31"/>
    <x v="55"/>
    <x v="23"/>
    <x v="76"/>
    <x v="85"/>
    <x v="3"/>
    <x v="16"/>
    <x v="47"/>
    <x v="0"/>
    <x v="3"/>
    <x v="0"/>
    <x v="0"/>
    <x v="0"/>
    <x v="0"/>
    <x v="0"/>
    <x v="0"/>
    <x v="28"/>
    <x v="31"/>
  </r>
  <r>
    <x v="17"/>
    <x v="0"/>
    <x v="84"/>
    <x v="7"/>
    <x v="0"/>
    <x v="1"/>
    <x v="2"/>
    <x v="31"/>
    <x v="55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85"/>
    <x v="7"/>
    <x v="0"/>
    <x v="0"/>
    <x v="2"/>
    <x v="3"/>
    <x v="53"/>
    <x v="21"/>
    <x v="65"/>
    <x v="81"/>
    <x v="2"/>
    <x v="15"/>
    <x v="43"/>
    <x v="4"/>
    <x v="2"/>
    <x v="1"/>
    <x v="0"/>
    <x v="0"/>
    <x v="0"/>
    <x v="0"/>
    <x v="0"/>
    <x v="18"/>
    <x v="3"/>
  </r>
  <r>
    <x v="12"/>
    <x v="1"/>
    <x v="86"/>
    <x v="7"/>
    <x v="0"/>
    <x v="0"/>
    <x v="2"/>
    <x v="38"/>
    <x v="53"/>
    <x v="21"/>
    <x v="65"/>
    <x v="81"/>
    <x v="2"/>
    <x v="15"/>
    <x v="43"/>
    <x v="4"/>
    <x v="2"/>
    <x v="1"/>
    <x v="0"/>
    <x v="0"/>
    <x v="0"/>
    <x v="0"/>
    <x v="0"/>
    <x v="18"/>
    <x v="38"/>
  </r>
  <r>
    <x v="6"/>
    <x v="0"/>
    <x v="87"/>
    <x v="7"/>
    <x v="0"/>
    <x v="0"/>
    <x v="7"/>
    <x v="10"/>
    <x v="40"/>
    <x v="14"/>
    <x v="56"/>
    <x v="31"/>
    <x v="7"/>
    <x v="11"/>
    <x v="13"/>
    <x v="7"/>
    <x v="7"/>
    <x v="1"/>
    <x v="0"/>
    <x v="0"/>
    <x v="0"/>
    <x v="0"/>
    <x v="0"/>
    <x v="63"/>
    <x v="10"/>
  </r>
  <r>
    <x v="9"/>
    <x v="0"/>
    <x v="88"/>
    <x v="7"/>
    <x v="0"/>
    <x v="0"/>
    <x v="7"/>
    <x v="2"/>
    <x v="40"/>
    <x v="14"/>
    <x v="56"/>
    <x v="31"/>
    <x v="7"/>
    <x v="11"/>
    <x v="13"/>
    <x v="7"/>
    <x v="7"/>
    <x v="1"/>
    <x v="0"/>
    <x v="0"/>
    <x v="0"/>
    <x v="0"/>
    <x v="0"/>
    <x v="63"/>
    <x v="2"/>
  </r>
  <r>
    <x v="4"/>
    <x v="0"/>
    <x v="89"/>
    <x v="7"/>
    <x v="0"/>
    <x v="1"/>
    <x v="6"/>
    <x v="37"/>
    <x v="41"/>
    <x v="17"/>
    <x v="69"/>
    <x v="78"/>
    <x v="6"/>
    <x v="12"/>
    <x v="40"/>
    <x v="0"/>
    <x v="6"/>
    <x v="0"/>
    <x v="0"/>
    <x v="0"/>
    <x v="0"/>
    <x v="0"/>
    <x v="0"/>
    <x v="58"/>
    <x v="37"/>
  </r>
  <r>
    <x v="4"/>
    <x v="0"/>
    <x v="89"/>
    <x v="7"/>
    <x v="0"/>
    <x v="1"/>
    <x v="5"/>
    <x v="35"/>
    <x v="41"/>
    <x v="18"/>
    <x v="78"/>
    <x v="86"/>
    <x v="5"/>
    <x v="14"/>
    <x v="46"/>
    <x v="0"/>
    <x v="5"/>
    <x v="0"/>
    <x v="0"/>
    <x v="0"/>
    <x v="0"/>
    <x v="0"/>
    <x v="0"/>
    <x v="48"/>
    <x v="35"/>
  </r>
  <r>
    <x v="4"/>
    <x v="0"/>
    <x v="89"/>
    <x v="7"/>
    <x v="0"/>
    <x v="1"/>
    <x v="4"/>
    <x v="37"/>
    <x v="41"/>
    <x v="22"/>
    <x v="79"/>
    <x v="88"/>
    <x v="4"/>
    <x v="17"/>
    <x v="48"/>
    <x v="0"/>
    <x v="4"/>
    <x v="0"/>
    <x v="0"/>
    <x v="0"/>
    <x v="0"/>
    <x v="0"/>
    <x v="0"/>
    <x v="38"/>
    <x v="37"/>
  </r>
  <r>
    <x v="4"/>
    <x v="0"/>
    <x v="89"/>
    <x v="7"/>
    <x v="0"/>
    <x v="1"/>
    <x v="3"/>
    <x v="37"/>
    <x v="41"/>
    <x v="23"/>
    <x v="76"/>
    <x v="85"/>
    <x v="3"/>
    <x v="16"/>
    <x v="47"/>
    <x v="0"/>
    <x v="3"/>
    <x v="0"/>
    <x v="0"/>
    <x v="0"/>
    <x v="0"/>
    <x v="0"/>
    <x v="0"/>
    <x v="28"/>
    <x v="37"/>
  </r>
  <r>
    <x v="4"/>
    <x v="0"/>
    <x v="89"/>
    <x v="7"/>
    <x v="0"/>
    <x v="1"/>
    <x v="2"/>
    <x v="36"/>
    <x v="41"/>
    <x v="21"/>
    <x v="65"/>
    <x v="81"/>
    <x v="2"/>
    <x v="15"/>
    <x v="43"/>
    <x v="4"/>
    <x v="2"/>
    <x v="0"/>
    <x v="0"/>
    <x v="0"/>
    <x v="0"/>
    <x v="0"/>
    <x v="0"/>
    <x v="18"/>
    <x v="36"/>
  </r>
  <r>
    <x v="6"/>
    <x v="0"/>
    <x v="90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6"/>
    <x v="0"/>
    <x v="91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6"/>
    <x v="0"/>
    <x v="92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5"/>
    <x v="0"/>
    <x v="93"/>
    <x v="7"/>
    <x v="0"/>
    <x v="0"/>
    <x v="6"/>
    <x v="16"/>
    <x v="58"/>
    <x v="17"/>
    <x v="69"/>
    <x v="78"/>
    <x v="6"/>
    <x v="12"/>
    <x v="40"/>
    <x v="0"/>
    <x v="6"/>
    <x v="1"/>
    <x v="0"/>
    <x v="0"/>
    <x v="0"/>
    <x v="0"/>
    <x v="0"/>
    <x v="58"/>
    <x v="16"/>
  </r>
  <r>
    <x v="5"/>
    <x v="0"/>
    <x v="93"/>
    <x v="7"/>
    <x v="0"/>
    <x v="0"/>
    <x v="5"/>
    <x v="18"/>
    <x v="58"/>
    <x v="18"/>
    <x v="78"/>
    <x v="86"/>
    <x v="5"/>
    <x v="14"/>
    <x v="46"/>
    <x v="0"/>
    <x v="5"/>
    <x v="1"/>
    <x v="0"/>
    <x v="0"/>
    <x v="0"/>
    <x v="0"/>
    <x v="0"/>
    <x v="48"/>
    <x v="18"/>
  </r>
  <r>
    <x v="5"/>
    <x v="0"/>
    <x v="93"/>
    <x v="7"/>
    <x v="0"/>
    <x v="0"/>
    <x v="4"/>
    <x v="16"/>
    <x v="58"/>
    <x v="22"/>
    <x v="79"/>
    <x v="88"/>
    <x v="4"/>
    <x v="17"/>
    <x v="48"/>
    <x v="0"/>
    <x v="4"/>
    <x v="1"/>
    <x v="0"/>
    <x v="0"/>
    <x v="0"/>
    <x v="0"/>
    <x v="0"/>
    <x v="38"/>
    <x v="16"/>
  </r>
  <r>
    <x v="5"/>
    <x v="0"/>
    <x v="93"/>
    <x v="7"/>
    <x v="0"/>
    <x v="0"/>
    <x v="3"/>
    <x v="16"/>
    <x v="58"/>
    <x v="23"/>
    <x v="76"/>
    <x v="85"/>
    <x v="3"/>
    <x v="16"/>
    <x v="47"/>
    <x v="0"/>
    <x v="3"/>
    <x v="1"/>
    <x v="0"/>
    <x v="0"/>
    <x v="0"/>
    <x v="0"/>
    <x v="0"/>
    <x v="28"/>
    <x v="16"/>
  </r>
  <r>
    <x v="5"/>
    <x v="0"/>
    <x v="93"/>
    <x v="7"/>
    <x v="0"/>
    <x v="0"/>
    <x v="2"/>
    <x v="17"/>
    <x v="58"/>
    <x v="21"/>
    <x v="65"/>
    <x v="81"/>
    <x v="2"/>
    <x v="15"/>
    <x v="43"/>
    <x v="4"/>
    <x v="2"/>
    <x v="1"/>
    <x v="0"/>
    <x v="0"/>
    <x v="0"/>
    <x v="0"/>
    <x v="0"/>
    <x v="18"/>
    <x v="17"/>
  </r>
  <r>
    <x v="5"/>
    <x v="0"/>
    <x v="94"/>
    <x v="7"/>
    <x v="0"/>
    <x v="0"/>
    <x v="6"/>
    <x v="28"/>
    <x v="63"/>
    <x v="17"/>
    <x v="69"/>
    <x v="78"/>
    <x v="6"/>
    <x v="12"/>
    <x v="40"/>
    <x v="0"/>
    <x v="6"/>
    <x v="1"/>
    <x v="0"/>
    <x v="0"/>
    <x v="0"/>
    <x v="0"/>
    <x v="0"/>
    <x v="58"/>
    <x v="28"/>
  </r>
  <r>
    <x v="5"/>
    <x v="0"/>
    <x v="94"/>
    <x v="7"/>
    <x v="0"/>
    <x v="0"/>
    <x v="5"/>
    <x v="26"/>
    <x v="63"/>
    <x v="18"/>
    <x v="78"/>
    <x v="86"/>
    <x v="5"/>
    <x v="14"/>
    <x v="46"/>
    <x v="0"/>
    <x v="5"/>
    <x v="1"/>
    <x v="0"/>
    <x v="0"/>
    <x v="0"/>
    <x v="0"/>
    <x v="0"/>
    <x v="48"/>
    <x v="26"/>
  </r>
  <r>
    <x v="5"/>
    <x v="0"/>
    <x v="94"/>
    <x v="7"/>
    <x v="0"/>
    <x v="0"/>
    <x v="4"/>
    <x v="28"/>
    <x v="63"/>
    <x v="22"/>
    <x v="79"/>
    <x v="88"/>
    <x v="4"/>
    <x v="17"/>
    <x v="48"/>
    <x v="0"/>
    <x v="4"/>
    <x v="1"/>
    <x v="0"/>
    <x v="0"/>
    <x v="0"/>
    <x v="0"/>
    <x v="0"/>
    <x v="38"/>
    <x v="28"/>
  </r>
  <r>
    <x v="5"/>
    <x v="0"/>
    <x v="94"/>
    <x v="7"/>
    <x v="0"/>
    <x v="0"/>
    <x v="3"/>
    <x v="28"/>
    <x v="63"/>
    <x v="23"/>
    <x v="76"/>
    <x v="85"/>
    <x v="3"/>
    <x v="16"/>
    <x v="47"/>
    <x v="0"/>
    <x v="3"/>
    <x v="1"/>
    <x v="0"/>
    <x v="0"/>
    <x v="0"/>
    <x v="0"/>
    <x v="0"/>
    <x v="28"/>
    <x v="28"/>
  </r>
  <r>
    <x v="5"/>
    <x v="0"/>
    <x v="94"/>
    <x v="7"/>
    <x v="0"/>
    <x v="0"/>
    <x v="2"/>
    <x v="27"/>
    <x v="63"/>
    <x v="21"/>
    <x v="65"/>
    <x v="81"/>
    <x v="2"/>
    <x v="15"/>
    <x v="43"/>
    <x v="4"/>
    <x v="2"/>
    <x v="1"/>
    <x v="0"/>
    <x v="0"/>
    <x v="0"/>
    <x v="0"/>
    <x v="0"/>
    <x v="18"/>
    <x v="27"/>
  </r>
  <r>
    <x v="16"/>
    <x v="0"/>
    <x v="95"/>
    <x v="7"/>
    <x v="0"/>
    <x v="1"/>
    <x v="6"/>
    <x v="31"/>
    <x v="33"/>
    <x v="17"/>
    <x v="69"/>
    <x v="78"/>
    <x v="6"/>
    <x v="12"/>
    <x v="40"/>
    <x v="0"/>
    <x v="6"/>
    <x v="0"/>
    <x v="0"/>
    <x v="0"/>
    <x v="0"/>
    <x v="0"/>
    <x v="0"/>
    <x v="58"/>
    <x v="31"/>
  </r>
  <r>
    <x v="16"/>
    <x v="0"/>
    <x v="95"/>
    <x v="7"/>
    <x v="0"/>
    <x v="1"/>
    <x v="5"/>
    <x v="31"/>
    <x v="33"/>
    <x v="18"/>
    <x v="78"/>
    <x v="86"/>
    <x v="5"/>
    <x v="14"/>
    <x v="46"/>
    <x v="0"/>
    <x v="5"/>
    <x v="0"/>
    <x v="0"/>
    <x v="0"/>
    <x v="0"/>
    <x v="0"/>
    <x v="0"/>
    <x v="48"/>
    <x v="31"/>
  </r>
  <r>
    <x v="16"/>
    <x v="0"/>
    <x v="95"/>
    <x v="7"/>
    <x v="0"/>
    <x v="1"/>
    <x v="4"/>
    <x v="31"/>
    <x v="33"/>
    <x v="22"/>
    <x v="79"/>
    <x v="88"/>
    <x v="4"/>
    <x v="17"/>
    <x v="48"/>
    <x v="0"/>
    <x v="4"/>
    <x v="0"/>
    <x v="0"/>
    <x v="0"/>
    <x v="0"/>
    <x v="0"/>
    <x v="0"/>
    <x v="38"/>
    <x v="31"/>
  </r>
  <r>
    <x v="16"/>
    <x v="0"/>
    <x v="95"/>
    <x v="7"/>
    <x v="0"/>
    <x v="1"/>
    <x v="3"/>
    <x v="31"/>
    <x v="33"/>
    <x v="23"/>
    <x v="76"/>
    <x v="85"/>
    <x v="3"/>
    <x v="16"/>
    <x v="47"/>
    <x v="0"/>
    <x v="3"/>
    <x v="0"/>
    <x v="0"/>
    <x v="0"/>
    <x v="0"/>
    <x v="0"/>
    <x v="0"/>
    <x v="28"/>
    <x v="31"/>
  </r>
  <r>
    <x v="16"/>
    <x v="0"/>
    <x v="95"/>
    <x v="7"/>
    <x v="0"/>
    <x v="1"/>
    <x v="2"/>
    <x v="31"/>
    <x v="33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96"/>
    <x v="7"/>
    <x v="0"/>
    <x v="0"/>
    <x v="6"/>
    <x v="15"/>
    <x v="57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97"/>
    <x v="7"/>
    <x v="0"/>
    <x v="0"/>
    <x v="6"/>
    <x v="38"/>
    <x v="63"/>
    <x v="17"/>
    <x v="69"/>
    <x v="78"/>
    <x v="6"/>
    <x v="12"/>
    <x v="40"/>
    <x v="0"/>
    <x v="6"/>
    <x v="1"/>
    <x v="0"/>
    <x v="0"/>
    <x v="0"/>
    <x v="0"/>
    <x v="0"/>
    <x v="58"/>
    <x v="38"/>
  </r>
  <r>
    <x v="6"/>
    <x v="0"/>
    <x v="98"/>
    <x v="7"/>
    <x v="0"/>
    <x v="1"/>
    <x v="6"/>
    <x v="10"/>
    <x v="57"/>
    <x v="17"/>
    <x v="69"/>
    <x v="78"/>
    <x v="6"/>
    <x v="12"/>
    <x v="40"/>
    <x v="0"/>
    <x v="6"/>
    <x v="0"/>
    <x v="0"/>
    <x v="0"/>
    <x v="0"/>
    <x v="0"/>
    <x v="0"/>
    <x v="58"/>
    <x v="10"/>
  </r>
  <r>
    <x v="6"/>
    <x v="0"/>
    <x v="98"/>
    <x v="7"/>
    <x v="0"/>
    <x v="1"/>
    <x v="5"/>
    <x v="10"/>
    <x v="57"/>
    <x v="18"/>
    <x v="78"/>
    <x v="86"/>
    <x v="5"/>
    <x v="14"/>
    <x v="46"/>
    <x v="0"/>
    <x v="5"/>
    <x v="0"/>
    <x v="0"/>
    <x v="0"/>
    <x v="0"/>
    <x v="0"/>
    <x v="0"/>
    <x v="48"/>
    <x v="10"/>
  </r>
  <r>
    <x v="6"/>
    <x v="0"/>
    <x v="98"/>
    <x v="7"/>
    <x v="0"/>
    <x v="1"/>
    <x v="4"/>
    <x v="10"/>
    <x v="57"/>
    <x v="22"/>
    <x v="79"/>
    <x v="88"/>
    <x v="4"/>
    <x v="17"/>
    <x v="48"/>
    <x v="0"/>
    <x v="4"/>
    <x v="0"/>
    <x v="0"/>
    <x v="0"/>
    <x v="0"/>
    <x v="0"/>
    <x v="0"/>
    <x v="38"/>
    <x v="10"/>
  </r>
  <r>
    <x v="6"/>
    <x v="0"/>
    <x v="99"/>
    <x v="7"/>
    <x v="0"/>
    <x v="1"/>
    <x v="6"/>
    <x v="38"/>
    <x v="46"/>
    <x v="17"/>
    <x v="69"/>
    <x v="78"/>
    <x v="6"/>
    <x v="12"/>
    <x v="40"/>
    <x v="0"/>
    <x v="6"/>
    <x v="0"/>
    <x v="0"/>
    <x v="0"/>
    <x v="0"/>
    <x v="0"/>
    <x v="0"/>
    <x v="58"/>
    <x v="38"/>
  </r>
  <r>
    <x v="6"/>
    <x v="0"/>
    <x v="99"/>
    <x v="7"/>
    <x v="0"/>
    <x v="1"/>
    <x v="5"/>
    <x v="38"/>
    <x v="46"/>
    <x v="18"/>
    <x v="78"/>
    <x v="86"/>
    <x v="5"/>
    <x v="14"/>
    <x v="46"/>
    <x v="0"/>
    <x v="5"/>
    <x v="0"/>
    <x v="0"/>
    <x v="0"/>
    <x v="0"/>
    <x v="0"/>
    <x v="0"/>
    <x v="48"/>
    <x v="38"/>
  </r>
  <r>
    <x v="6"/>
    <x v="0"/>
    <x v="99"/>
    <x v="7"/>
    <x v="0"/>
    <x v="1"/>
    <x v="4"/>
    <x v="38"/>
    <x v="46"/>
    <x v="22"/>
    <x v="79"/>
    <x v="88"/>
    <x v="4"/>
    <x v="17"/>
    <x v="48"/>
    <x v="0"/>
    <x v="4"/>
    <x v="0"/>
    <x v="0"/>
    <x v="0"/>
    <x v="0"/>
    <x v="0"/>
    <x v="0"/>
    <x v="38"/>
    <x v="38"/>
  </r>
  <r>
    <x v="6"/>
    <x v="0"/>
    <x v="100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6"/>
    <x v="0"/>
    <x v="101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4"/>
    <x v="0"/>
    <x v="102"/>
    <x v="7"/>
    <x v="0"/>
    <x v="1"/>
    <x v="1"/>
    <x v="44"/>
    <x v="33"/>
    <x v="20"/>
    <x v="52"/>
    <x v="73"/>
    <x v="1"/>
    <x v="13"/>
    <x v="25"/>
    <x v="10"/>
    <x v="1"/>
    <x v="0"/>
    <x v="0"/>
    <x v="0"/>
    <x v="0"/>
    <x v="0"/>
    <x v="0"/>
    <x v="10"/>
    <x v="44"/>
  </r>
  <r>
    <x v="6"/>
    <x v="0"/>
    <x v="103"/>
    <x v="7"/>
    <x v="0"/>
    <x v="1"/>
    <x v="2"/>
    <x v="15"/>
    <x v="33"/>
    <x v="21"/>
    <x v="65"/>
    <x v="81"/>
    <x v="2"/>
    <x v="15"/>
    <x v="43"/>
    <x v="4"/>
    <x v="2"/>
    <x v="0"/>
    <x v="0"/>
    <x v="0"/>
    <x v="0"/>
    <x v="0"/>
    <x v="0"/>
    <x v="18"/>
    <x v="15"/>
  </r>
  <r>
    <x v="16"/>
    <x v="0"/>
    <x v="104"/>
    <x v="7"/>
    <x v="0"/>
    <x v="1"/>
    <x v="2"/>
    <x v="31"/>
    <x v="33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105"/>
    <x v="7"/>
    <x v="0"/>
    <x v="0"/>
    <x v="1"/>
    <x v="12"/>
    <x v="40"/>
    <x v="20"/>
    <x v="52"/>
    <x v="73"/>
    <x v="1"/>
    <x v="13"/>
    <x v="25"/>
    <x v="10"/>
    <x v="1"/>
    <x v="1"/>
    <x v="0"/>
    <x v="0"/>
    <x v="0"/>
    <x v="0"/>
    <x v="0"/>
    <x v="10"/>
    <x v="12"/>
  </r>
  <r>
    <x v="6"/>
    <x v="0"/>
    <x v="106"/>
    <x v="7"/>
    <x v="0"/>
    <x v="0"/>
    <x v="6"/>
    <x v="15"/>
    <x v="67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106"/>
    <x v="7"/>
    <x v="0"/>
    <x v="0"/>
    <x v="5"/>
    <x v="15"/>
    <x v="67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06"/>
    <x v="7"/>
    <x v="0"/>
    <x v="0"/>
    <x v="4"/>
    <x v="15"/>
    <x v="67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06"/>
    <x v="7"/>
    <x v="0"/>
    <x v="0"/>
    <x v="3"/>
    <x v="15"/>
    <x v="67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06"/>
    <x v="7"/>
    <x v="0"/>
    <x v="0"/>
    <x v="2"/>
    <x v="15"/>
    <x v="67"/>
    <x v="21"/>
    <x v="65"/>
    <x v="81"/>
    <x v="2"/>
    <x v="15"/>
    <x v="43"/>
    <x v="4"/>
    <x v="2"/>
    <x v="1"/>
    <x v="0"/>
    <x v="0"/>
    <x v="0"/>
    <x v="0"/>
    <x v="0"/>
    <x v="18"/>
    <x v="15"/>
  </r>
  <r>
    <x v="6"/>
    <x v="0"/>
    <x v="107"/>
    <x v="7"/>
    <x v="0"/>
    <x v="1"/>
    <x v="7"/>
    <x v="10"/>
    <x v="33"/>
    <x v="14"/>
    <x v="56"/>
    <x v="31"/>
    <x v="7"/>
    <x v="11"/>
    <x v="13"/>
    <x v="7"/>
    <x v="7"/>
    <x v="0"/>
    <x v="0"/>
    <x v="0"/>
    <x v="0"/>
    <x v="0"/>
    <x v="0"/>
    <x v="63"/>
    <x v="10"/>
  </r>
  <r>
    <x v="6"/>
    <x v="0"/>
    <x v="108"/>
    <x v="7"/>
    <x v="0"/>
    <x v="0"/>
    <x v="7"/>
    <x v="10"/>
    <x v="40"/>
    <x v="14"/>
    <x v="56"/>
    <x v="31"/>
    <x v="7"/>
    <x v="11"/>
    <x v="13"/>
    <x v="7"/>
    <x v="7"/>
    <x v="1"/>
    <x v="0"/>
    <x v="0"/>
    <x v="0"/>
    <x v="0"/>
    <x v="0"/>
    <x v="63"/>
    <x v="10"/>
  </r>
  <r>
    <x v="6"/>
    <x v="0"/>
    <x v="109"/>
    <x v="7"/>
    <x v="0"/>
    <x v="0"/>
    <x v="6"/>
    <x v="15"/>
    <x v="56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109"/>
    <x v="7"/>
    <x v="0"/>
    <x v="0"/>
    <x v="5"/>
    <x v="15"/>
    <x v="56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09"/>
    <x v="7"/>
    <x v="0"/>
    <x v="0"/>
    <x v="4"/>
    <x v="15"/>
    <x v="56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09"/>
    <x v="7"/>
    <x v="0"/>
    <x v="0"/>
    <x v="3"/>
    <x v="15"/>
    <x v="56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09"/>
    <x v="7"/>
    <x v="0"/>
    <x v="0"/>
    <x v="2"/>
    <x v="15"/>
    <x v="56"/>
    <x v="21"/>
    <x v="65"/>
    <x v="81"/>
    <x v="2"/>
    <x v="15"/>
    <x v="43"/>
    <x v="4"/>
    <x v="2"/>
    <x v="1"/>
    <x v="0"/>
    <x v="0"/>
    <x v="0"/>
    <x v="0"/>
    <x v="0"/>
    <x v="18"/>
    <x v="15"/>
  </r>
  <r>
    <x v="6"/>
    <x v="0"/>
    <x v="110"/>
    <x v="7"/>
    <x v="0"/>
    <x v="1"/>
    <x v="6"/>
    <x v="15"/>
    <x v="56"/>
    <x v="17"/>
    <x v="69"/>
    <x v="78"/>
    <x v="6"/>
    <x v="12"/>
    <x v="40"/>
    <x v="0"/>
    <x v="6"/>
    <x v="0"/>
    <x v="0"/>
    <x v="0"/>
    <x v="0"/>
    <x v="0"/>
    <x v="0"/>
    <x v="58"/>
    <x v="15"/>
  </r>
  <r>
    <x v="6"/>
    <x v="0"/>
    <x v="110"/>
    <x v="7"/>
    <x v="0"/>
    <x v="1"/>
    <x v="5"/>
    <x v="15"/>
    <x v="56"/>
    <x v="18"/>
    <x v="78"/>
    <x v="86"/>
    <x v="5"/>
    <x v="14"/>
    <x v="46"/>
    <x v="0"/>
    <x v="5"/>
    <x v="0"/>
    <x v="0"/>
    <x v="0"/>
    <x v="0"/>
    <x v="0"/>
    <x v="0"/>
    <x v="48"/>
    <x v="15"/>
  </r>
  <r>
    <x v="6"/>
    <x v="0"/>
    <x v="110"/>
    <x v="7"/>
    <x v="0"/>
    <x v="1"/>
    <x v="4"/>
    <x v="15"/>
    <x v="56"/>
    <x v="22"/>
    <x v="79"/>
    <x v="88"/>
    <x v="4"/>
    <x v="17"/>
    <x v="48"/>
    <x v="0"/>
    <x v="4"/>
    <x v="0"/>
    <x v="0"/>
    <x v="0"/>
    <x v="0"/>
    <x v="0"/>
    <x v="0"/>
    <x v="38"/>
    <x v="15"/>
  </r>
  <r>
    <x v="6"/>
    <x v="0"/>
    <x v="110"/>
    <x v="7"/>
    <x v="0"/>
    <x v="1"/>
    <x v="3"/>
    <x v="15"/>
    <x v="56"/>
    <x v="23"/>
    <x v="76"/>
    <x v="85"/>
    <x v="3"/>
    <x v="16"/>
    <x v="47"/>
    <x v="0"/>
    <x v="3"/>
    <x v="0"/>
    <x v="0"/>
    <x v="0"/>
    <x v="0"/>
    <x v="0"/>
    <x v="0"/>
    <x v="28"/>
    <x v="15"/>
  </r>
  <r>
    <x v="6"/>
    <x v="0"/>
    <x v="110"/>
    <x v="7"/>
    <x v="0"/>
    <x v="1"/>
    <x v="2"/>
    <x v="15"/>
    <x v="56"/>
    <x v="21"/>
    <x v="65"/>
    <x v="81"/>
    <x v="2"/>
    <x v="15"/>
    <x v="43"/>
    <x v="4"/>
    <x v="2"/>
    <x v="0"/>
    <x v="0"/>
    <x v="0"/>
    <x v="0"/>
    <x v="0"/>
    <x v="0"/>
    <x v="18"/>
    <x v="15"/>
  </r>
  <r>
    <x v="6"/>
    <x v="0"/>
    <x v="111"/>
    <x v="7"/>
    <x v="0"/>
    <x v="0"/>
    <x v="5"/>
    <x v="15"/>
    <x v="63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11"/>
    <x v="7"/>
    <x v="0"/>
    <x v="0"/>
    <x v="4"/>
    <x v="15"/>
    <x v="63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11"/>
    <x v="7"/>
    <x v="0"/>
    <x v="0"/>
    <x v="3"/>
    <x v="15"/>
    <x v="63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12"/>
    <x v="7"/>
    <x v="0"/>
    <x v="1"/>
    <x v="6"/>
    <x v="31"/>
    <x v="41"/>
    <x v="17"/>
    <x v="69"/>
    <x v="78"/>
    <x v="6"/>
    <x v="12"/>
    <x v="40"/>
    <x v="0"/>
    <x v="6"/>
    <x v="0"/>
    <x v="0"/>
    <x v="0"/>
    <x v="0"/>
    <x v="0"/>
    <x v="0"/>
    <x v="58"/>
    <x v="31"/>
  </r>
  <r>
    <x v="6"/>
    <x v="0"/>
    <x v="112"/>
    <x v="7"/>
    <x v="0"/>
    <x v="1"/>
    <x v="5"/>
    <x v="31"/>
    <x v="41"/>
    <x v="18"/>
    <x v="78"/>
    <x v="86"/>
    <x v="5"/>
    <x v="14"/>
    <x v="46"/>
    <x v="0"/>
    <x v="5"/>
    <x v="0"/>
    <x v="0"/>
    <x v="0"/>
    <x v="0"/>
    <x v="0"/>
    <x v="0"/>
    <x v="48"/>
    <x v="31"/>
  </r>
  <r>
    <x v="6"/>
    <x v="0"/>
    <x v="112"/>
    <x v="7"/>
    <x v="0"/>
    <x v="1"/>
    <x v="4"/>
    <x v="31"/>
    <x v="41"/>
    <x v="22"/>
    <x v="79"/>
    <x v="88"/>
    <x v="4"/>
    <x v="17"/>
    <x v="48"/>
    <x v="0"/>
    <x v="4"/>
    <x v="0"/>
    <x v="0"/>
    <x v="0"/>
    <x v="0"/>
    <x v="0"/>
    <x v="0"/>
    <x v="38"/>
    <x v="31"/>
  </r>
  <r>
    <x v="6"/>
    <x v="0"/>
    <x v="112"/>
    <x v="7"/>
    <x v="0"/>
    <x v="1"/>
    <x v="3"/>
    <x v="31"/>
    <x v="41"/>
    <x v="23"/>
    <x v="76"/>
    <x v="85"/>
    <x v="3"/>
    <x v="16"/>
    <x v="47"/>
    <x v="0"/>
    <x v="3"/>
    <x v="0"/>
    <x v="0"/>
    <x v="0"/>
    <x v="0"/>
    <x v="0"/>
    <x v="0"/>
    <x v="28"/>
    <x v="31"/>
  </r>
  <r>
    <x v="6"/>
    <x v="0"/>
    <x v="112"/>
    <x v="7"/>
    <x v="0"/>
    <x v="1"/>
    <x v="2"/>
    <x v="31"/>
    <x v="41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113"/>
    <x v="7"/>
    <x v="0"/>
    <x v="0"/>
    <x v="18"/>
    <x v="31"/>
    <x v="50"/>
    <x v="5"/>
    <x v="67"/>
    <x v="41"/>
    <x v="18"/>
    <x v="4"/>
    <x v="10"/>
    <x v="6"/>
    <x v="18"/>
    <x v="1"/>
    <x v="0"/>
    <x v="0"/>
    <x v="0"/>
    <x v="0"/>
    <x v="0"/>
    <x v="87"/>
    <x v="31"/>
  </r>
  <r>
    <x v="6"/>
    <x v="0"/>
    <x v="113"/>
    <x v="7"/>
    <x v="0"/>
    <x v="0"/>
    <x v="17"/>
    <x v="31"/>
    <x v="50"/>
    <x v="6"/>
    <x v="75"/>
    <x v="79"/>
    <x v="17"/>
    <x v="5"/>
    <x v="14"/>
    <x v="6"/>
    <x v="17"/>
    <x v="1"/>
    <x v="0"/>
    <x v="0"/>
    <x v="0"/>
    <x v="0"/>
    <x v="0"/>
    <x v="86"/>
    <x v="31"/>
  </r>
  <r>
    <x v="6"/>
    <x v="0"/>
    <x v="113"/>
    <x v="7"/>
    <x v="0"/>
    <x v="0"/>
    <x v="16"/>
    <x v="31"/>
    <x v="50"/>
    <x v="15"/>
    <x v="75"/>
    <x v="80"/>
    <x v="16"/>
    <x v="10"/>
    <x v="17"/>
    <x v="6"/>
    <x v="16"/>
    <x v="1"/>
    <x v="0"/>
    <x v="0"/>
    <x v="0"/>
    <x v="0"/>
    <x v="0"/>
    <x v="85"/>
    <x v="31"/>
  </r>
  <r>
    <x v="6"/>
    <x v="0"/>
    <x v="113"/>
    <x v="7"/>
    <x v="0"/>
    <x v="0"/>
    <x v="15"/>
    <x v="31"/>
    <x v="50"/>
    <x v="16"/>
    <x v="73"/>
    <x v="77"/>
    <x v="15"/>
    <x v="9"/>
    <x v="16"/>
    <x v="6"/>
    <x v="15"/>
    <x v="1"/>
    <x v="0"/>
    <x v="0"/>
    <x v="0"/>
    <x v="0"/>
    <x v="0"/>
    <x v="84"/>
    <x v="31"/>
  </r>
  <r>
    <x v="6"/>
    <x v="0"/>
    <x v="113"/>
    <x v="7"/>
    <x v="0"/>
    <x v="0"/>
    <x v="14"/>
    <x v="31"/>
    <x v="50"/>
    <x v="13"/>
    <x v="66"/>
    <x v="47"/>
    <x v="14"/>
    <x v="7"/>
    <x v="15"/>
    <x v="6"/>
    <x v="14"/>
    <x v="1"/>
    <x v="0"/>
    <x v="0"/>
    <x v="0"/>
    <x v="0"/>
    <x v="0"/>
    <x v="83"/>
    <x v="31"/>
  </r>
  <r>
    <x v="6"/>
    <x v="0"/>
    <x v="114"/>
    <x v="7"/>
    <x v="0"/>
    <x v="1"/>
    <x v="18"/>
    <x v="31"/>
    <x v="50"/>
    <x v="5"/>
    <x v="67"/>
    <x v="41"/>
    <x v="18"/>
    <x v="4"/>
    <x v="10"/>
    <x v="6"/>
    <x v="18"/>
    <x v="0"/>
    <x v="0"/>
    <x v="0"/>
    <x v="0"/>
    <x v="0"/>
    <x v="0"/>
    <x v="87"/>
    <x v="31"/>
  </r>
  <r>
    <x v="6"/>
    <x v="0"/>
    <x v="114"/>
    <x v="7"/>
    <x v="0"/>
    <x v="1"/>
    <x v="17"/>
    <x v="31"/>
    <x v="50"/>
    <x v="6"/>
    <x v="75"/>
    <x v="79"/>
    <x v="17"/>
    <x v="5"/>
    <x v="14"/>
    <x v="6"/>
    <x v="17"/>
    <x v="0"/>
    <x v="0"/>
    <x v="0"/>
    <x v="0"/>
    <x v="0"/>
    <x v="0"/>
    <x v="86"/>
    <x v="31"/>
  </r>
  <r>
    <x v="6"/>
    <x v="0"/>
    <x v="114"/>
    <x v="7"/>
    <x v="0"/>
    <x v="1"/>
    <x v="16"/>
    <x v="31"/>
    <x v="50"/>
    <x v="15"/>
    <x v="75"/>
    <x v="80"/>
    <x v="16"/>
    <x v="10"/>
    <x v="17"/>
    <x v="6"/>
    <x v="16"/>
    <x v="0"/>
    <x v="0"/>
    <x v="0"/>
    <x v="0"/>
    <x v="0"/>
    <x v="0"/>
    <x v="85"/>
    <x v="31"/>
  </r>
  <r>
    <x v="6"/>
    <x v="0"/>
    <x v="114"/>
    <x v="7"/>
    <x v="0"/>
    <x v="1"/>
    <x v="15"/>
    <x v="31"/>
    <x v="50"/>
    <x v="16"/>
    <x v="73"/>
    <x v="77"/>
    <x v="15"/>
    <x v="9"/>
    <x v="16"/>
    <x v="6"/>
    <x v="15"/>
    <x v="0"/>
    <x v="0"/>
    <x v="0"/>
    <x v="0"/>
    <x v="0"/>
    <x v="0"/>
    <x v="84"/>
    <x v="31"/>
  </r>
  <r>
    <x v="6"/>
    <x v="0"/>
    <x v="114"/>
    <x v="7"/>
    <x v="0"/>
    <x v="1"/>
    <x v="14"/>
    <x v="31"/>
    <x v="50"/>
    <x v="13"/>
    <x v="66"/>
    <x v="47"/>
    <x v="14"/>
    <x v="7"/>
    <x v="15"/>
    <x v="6"/>
    <x v="14"/>
    <x v="0"/>
    <x v="0"/>
    <x v="0"/>
    <x v="0"/>
    <x v="0"/>
    <x v="0"/>
    <x v="83"/>
    <x v="31"/>
  </r>
  <r>
    <x v="6"/>
    <x v="0"/>
    <x v="115"/>
    <x v="7"/>
    <x v="0"/>
    <x v="0"/>
    <x v="6"/>
    <x v="15"/>
    <x v="63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115"/>
    <x v="7"/>
    <x v="0"/>
    <x v="0"/>
    <x v="5"/>
    <x v="15"/>
    <x v="63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15"/>
    <x v="7"/>
    <x v="0"/>
    <x v="0"/>
    <x v="4"/>
    <x v="15"/>
    <x v="63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15"/>
    <x v="7"/>
    <x v="0"/>
    <x v="0"/>
    <x v="3"/>
    <x v="15"/>
    <x v="63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15"/>
    <x v="7"/>
    <x v="0"/>
    <x v="0"/>
    <x v="2"/>
    <x v="15"/>
    <x v="63"/>
    <x v="21"/>
    <x v="65"/>
    <x v="81"/>
    <x v="2"/>
    <x v="15"/>
    <x v="43"/>
    <x v="4"/>
    <x v="2"/>
    <x v="1"/>
    <x v="0"/>
    <x v="0"/>
    <x v="0"/>
    <x v="0"/>
    <x v="0"/>
    <x v="18"/>
    <x v="15"/>
  </r>
  <r>
    <x v="8"/>
    <x v="0"/>
    <x v="116"/>
    <x v="7"/>
    <x v="0"/>
    <x v="1"/>
    <x v="6"/>
    <x v="31"/>
    <x v="40"/>
    <x v="17"/>
    <x v="69"/>
    <x v="78"/>
    <x v="6"/>
    <x v="12"/>
    <x v="40"/>
    <x v="0"/>
    <x v="6"/>
    <x v="0"/>
    <x v="0"/>
    <x v="0"/>
    <x v="0"/>
    <x v="0"/>
    <x v="0"/>
    <x v="58"/>
    <x v="31"/>
  </r>
  <r>
    <x v="8"/>
    <x v="0"/>
    <x v="116"/>
    <x v="7"/>
    <x v="0"/>
    <x v="1"/>
    <x v="5"/>
    <x v="31"/>
    <x v="40"/>
    <x v="18"/>
    <x v="78"/>
    <x v="86"/>
    <x v="5"/>
    <x v="14"/>
    <x v="46"/>
    <x v="0"/>
    <x v="5"/>
    <x v="0"/>
    <x v="0"/>
    <x v="0"/>
    <x v="0"/>
    <x v="0"/>
    <x v="0"/>
    <x v="48"/>
    <x v="31"/>
  </r>
  <r>
    <x v="8"/>
    <x v="0"/>
    <x v="116"/>
    <x v="7"/>
    <x v="0"/>
    <x v="1"/>
    <x v="4"/>
    <x v="31"/>
    <x v="40"/>
    <x v="22"/>
    <x v="79"/>
    <x v="88"/>
    <x v="4"/>
    <x v="17"/>
    <x v="48"/>
    <x v="0"/>
    <x v="4"/>
    <x v="0"/>
    <x v="0"/>
    <x v="0"/>
    <x v="0"/>
    <x v="0"/>
    <x v="0"/>
    <x v="38"/>
    <x v="31"/>
  </r>
  <r>
    <x v="8"/>
    <x v="0"/>
    <x v="116"/>
    <x v="7"/>
    <x v="0"/>
    <x v="1"/>
    <x v="3"/>
    <x v="31"/>
    <x v="40"/>
    <x v="23"/>
    <x v="76"/>
    <x v="85"/>
    <x v="3"/>
    <x v="16"/>
    <x v="47"/>
    <x v="0"/>
    <x v="3"/>
    <x v="0"/>
    <x v="0"/>
    <x v="0"/>
    <x v="0"/>
    <x v="0"/>
    <x v="0"/>
    <x v="28"/>
    <x v="31"/>
  </r>
  <r>
    <x v="8"/>
    <x v="0"/>
    <x v="116"/>
    <x v="7"/>
    <x v="0"/>
    <x v="1"/>
    <x v="2"/>
    <x v="31"/>
    <x v="40"/>
    <x v="21"/>
    <x v="65"/>
    <x v="81"/>
    <x v="2"/>
    <x v="15"/>
    <x v="43"/>
    <x v="4"/>
    <x v="2"/>
    <x v="0"/>
    <x v="0"/>
    <x v="0"/>
    <x v="0"/>
    <x v="0"/>
    <x v="0"/>
    <x v="18"/>
    <x v="31"/>
  </r>
  <r>
    <x v="4"/>
    <x v="0"/>
    <x v="117"/>
    <x v="7"/>
    <x v="0"/>
    <x v="1"/>
    <x v="6"/>
    <x v="40"/>
    <x v="41"/>
    <x v="17"/>
    <x v="69"/>
    <x v="78"/>
    <x v="6"/>
    <x v="12"/>
    <x v="40"/>
    <x v="0"/>
    <x v="6"/>
    <x v="0"/>
    <x v="0"/>
    <x v="0"/>
    <x v="0"/>
    <x v="0"/>
    <x v="0"/>
    <x v="58"/>
    <x v="40"/>
  </r>
  <r>
    <x v="4"/>
    <x v="0"/>
    <x v="117"/>
    <x v="7"/>
    <x v="0"/>
    <x v="1"/>
    <x v="5"/>
    <x v="40"/>
    <x v="41"/>
    <x v="18"/>
    <x v="78"/>
    <x v="86"/>
    <x v="5"/>
    <x v="14"/>
    <x v="46"/>
    <x v="0"/>
    <x v="5"/>
    <x v="0"/>
    <x v="0"/>
    <x v="0"/>
    <x v="0"/>
    <x v="0"/>
    <x v="0"/>
    <x v="48"/>
    <x v="40"/>
  </r>
  <r>
    <x v="4"/>
    <x v="0"/>
    <x v="117"/>
    <x v="7"/>
    <x v="0"/>
    <x v="1"/>
    <x v="4"/>
    <x v="40"/>
    <x v="41"/>
    <x v="22"/>
    <x v="79"/>
    <x v="88"/>
    <x v="4"/>
    <x v="17"/>
    <x v="48"/>
    <x v="0"/>
    <x v="4"/>
    <x v="0"/>
    <x v="0"/>
    <x v="0"/>
    <x v="0"/>
    <x v="0"/>
    <x v="0"/>
    <x v="38"/>
    <x v="40"/>
  </r>
  <r>
    <x v="4"/>
    <x v="0"/>
    <x v="117"/>
    <x v="7"/>
    <x v="0"/>
    <x v="1"/>
    <x v="3"/>
    <x v="40"/>
    <x v="41"/>
    <x v="23"/>
    <x v="76"/>
    <x v="85"/>
    <x v="3"/>
    <x v="16"/>
    <x v="47"/>
    <x v="0"/>
    <x v="3"/>
    <x v="0"/>
    <x v="0"/>
    <x v="0"/>
    <x v="0"/>
    <x v="0"/>
    <x v="0"/>
    <x v="28"/>
    <x v="40"/>
  </r>
  <r>
    <x v="4"/>
    <x v="0"/>
    <x v="117"/>
    <x v="7"/>
    <x v="0"/>
    <x v="1"/>
    <x v="2"/>
    <x v="40"/>
    <x v="41"/>
    <x v="21"/>
    <x v="65"/>
    <x v="81"/>
    <x v="2"/>
    <x v="15"/>
    <x v="43"/>
    <x v="4"/>
    <x v="2"/>
    <x v="0"/>
    <x v="0"/>
    <x v="0"/>
    <x v="0"/>
    <x v="0"/>
    <x v="0"/>
    <x v="18"/>
    <x v="40"/>
  </r>
  <r>
    <x v="6"/>
    <x v="0"/>
    <x v="118"/>
    <x v="7"/>
    <x v="0"/>
    <x v="1"/>
    <x v="1"/>
    <x v="15"/>
    <x v="39"/>
    <x v="20"/>
    <x v="52"/>
    <x v="73"/>
    <x v="1"/>
    <x v="13"/>
    <x v="25"/>
    <x v="10"/>
    <x v="1"/>
    <x v="0"/>
    <x v="0"/>
    <x v="0"/>
    <x v="0"/>
    <x v="0"/>
    <x v="0"/>
    <x v="10"/>
    <x v="15"/>
  </r>
  <r>
    <x v="6"/>
    <x v="0"/>
    <x v="119"/>
    <x v="7"/>
    <x v="0"/>
    <x v="1"/>
    <x v="1"/>
    <x v="31"/>
    <x v="32"/>
    <x v="20"/>
    <x v="52"/>
    <x v="73"/>
    <x v="1"/>
    <x v="13"/>
    <x v="25"/>
    <x v="10"/>
    <x v="1"/>
    <x v="0"/>
    <x v="0"/>
    <x v="0"/>
    <x v="0"/>
    <x v="0"/>
    <x v="0"/>
    <x v="10"/>
    <x v="31"/>
  </r>
  <r>
    <x v="6"/>
    <x v="0"/>
    <x v="120"/>
    <x v="7"/>
    <x v="0"/>
    <x v="1"/>
    <x v="6"/>
    <x v="38"/>
    <x v="46"/>
    <x v="17"/>
    <x v="69"/>
    <x v="78"/>
    <x v="6"/>
    <x v="12"/>
    <x v="40"/>
    <x v="0"/>
    <x v="6"/>
    <x v="0"/>
    <x v="0"/>
    <x v="0"/>
    <x v="0"/>
    <x v="0"/>
    <x v="0"/>
    <x v="58"/>
    <x v="38"/>
  </r>
  <r>
    <x v="6"/>
    <x v="0"/>
    <x v="121"/>
    <x v="7"/>
    <x v="0"/>
    <x v="1"/>
    <x v="6"/>
    <x v="38"/>
    <x v="47"/>
    <x v="17"/>
    <x v="69"/>
    <x v="78"/>
    <x v="6"/>
    <x v="12"/>
    <x v="40"/>
    <x v="0"/>
    <x v="6"/>
    <x v="0"/>
    <x v="0"/>
    <x v="0"/>
    <x v="0"/>
    <x v="0"/>
    <x v="0"/>
    <x v="58"/>
    <x v="38"/>
  </r>
  <r>
    <x v="6"/>
    <x v="0"/>
    <x v="122"/>
    <x v="7"/>
    <x v="0"/>
    <x v="0"/>
    <x v="1"/>
    <x v="10"/>
    <x v="40"/>
    <x v="20"/>
    <x v="52"/>
    <x v="73"/>
    <x v="1"/>
    <x v="13"/>
    <x v="25"/>
    <x v="10"/>
    <x v="1"/>
    <x v="1"/>
    <x v="0"/>
    <x v="0"/>
    <x v="0"/>
    <x v="0"/>
    <x v="0"/>
    <x v="10"/>
    <x v="10"/>
  </r>
  <r>
    <x v="6"/>
    <x v="0"/>
    <x v="123"/>
    <x v="7"/>
    <x v="0"/>
    <x v="0"/>
    <x v="2"/>
    <x v="10"/>
    <x v="46"/>
    <x v="21"/>
    <x v="65"/>
    <x v="81"/>
    <x v="2"/>
    <x v="15"/>
    <x v="43"/>
    <x v="4"/>
    <x v="2"/>
    <x v="1"/>
    <x v="0"/>
    <x v="0"/>
    <x v="0"/>
    <x v="0"/>
    <x v="0"/>
    <x v="18"/>
    <x v="10"/>
  </r>
  <r>
    <x v="6"/>
    <x v="0"/>
    <x v="124"/>
    <x v="10"/>
    <x v="0"/>
    <x v="0"/>
    <x v="6"/>
    <x v="5"/>
    <x v="26"/>
    <x v="17"/>
    <x v="25"/>
    <x v="26"/>
    <x v="6"/>
    <x v="12"/>
    <x v="20"/>
    <x v="12"/>
    <x v="6"/>
    <x v="1"/>
    <x v="0"/>
    <x v="0"/>
    <x v="0"/>
    <x v="0"/>
    <x v="0"/>
    <x v="61"/>
    <x v="5"/>
  </r>
  <r>
    <x v="6"/>
    <x v="0"/>
    <x v="124"/>
    <x v="10"/>
    <x v="0"/>
    <x v="0"/>
    <x v="5"/>
    <x v="5"/>
    <x v="26"/>
    <x v="18"/>
    <x v="28"/>
    <x v="43"/>
    <x v="5"/>
    <x v="14"/>
    <x v="34"/>
    <x v="12"/>
    <x v="5"/>
    <x v="1"/>
    <x v="0"/>
    <x v="0"/>
    <x v="0"/>
    <x v="0"/>
    <x v="0"/>
    <x v="51"/>
    <x v="5"/>
  </r>
  <r>
    <x v="6"/>
    <x v="0"/>
    <x v="124"/>
    <x v="10"/>
    <x v="0"/>
    <x v="0"/>
    <x v="4"/>
    <x v="5"/>
    <x v="26"/>
    <x v="22"/>
    <x v="26"/>
    <x v="55"/>
    <x v="4"/>
    <x v="17"/>
    <x v="38"/>
    <x v="12"/>
    <x v="4"/>
    <x v="1"/>
    <x v="0"/>
    <x v="0"/>
    <x v="0"/>
    <x v="0"/>
    <x v="0"/>
    <x v="41"/>
    <x v="5"/>
  </r>
  <r>
    <x v="6"/>
    <x v="0"/>
    <x v="124"/>
    <x v="10"/>
    <x v="0"/>
    <x v="0"/>
    <x v="3"/>
    <x v="5"/>
    <x v="26"/>
    <x v="23"/>
    <x v="23"/>
    <x v="58"/>
    <x v="3"/>
    <x v="16"/>
    <x v="36"/>
    <x v="12"/>
    <x v="3"/>
    <x v="1"/>
    <x v="0"/>
    <x v="0"/>
    <x v="0"/>
    <x v="0"/>
    <x v="0"/>
    <x v="31"/>
    <x v="5"/>
  </r>
  <r>
    <x v="6"/>
    <x v="0"/>
    <x v="124"/>
    <x v="10"/>
    <x v="0"/>
    <x v="0"/>
    <x v="2"/>
    <x v="5"/>
    <x v="26"/>
    <x v="21"/>
    <x v="21"/>
    <x v="52"/>
    <x v="2"/>
    <x v="15"/>
    <x v="35"/>
    <x v="12"/>
    <x v="2"/>
    <x v="1"/>
    <x v="0"/>
    <x v="0"/>
    <x v="0"/>
    <x v="0"/>
    <x v="0"/>
    <x v="21"/>
    <x v="5"/>
  </r>
  <r>
    <x v="4"/>
    <x v="0"/>
    <x v="125"/>
    <x v="7"/>
    <x v="0"/>
    <x v="1"/>
    <x v="1"/>
    <x v="30"/>
    <x v="37"/>
    <x v="20"/>
    <x v="52"/>
    <x v="73"/>
    <x v="1"/>
    <x v="13"/>
    <x v="25"/>
    <x v="10"/>
    <x v="1"/>
    <x v="0"/>
    <x v="0"/>
    <x v="0"/>
    <x v="0"/>
    <x v="0"/>
    <x v="0"/>
    <x v="10"/>
    <x v="30"/>
  </r>
  <r>
    <x v="6"/>
    <x v="0"/>
    <x v="126"/>
    <x v="7"/>
    <x v="0"/>
    <x v="0"/>
    <x v="2"/>
    <x v="15"/>
    <x v="46"/>
    <x v="21"/>
    <x v="65"/>
    <x v="81"/>
    <x v="2"/>
    <x v="15"/>
    <x v="43"/>
    <x v="4"/>
    <x v="2"/>
    <x v="1"/>
    <x v="0"/>
    <x v="0"/>
    <x v="0"/>
    <x v="0"/>
    <x v="0"/>
    <x v="18"/>
    <x v="15"/>
  </r>
  <r>
    <x v="4"/>
    <x v="0"/>
    <x v="127"/>
    <x v="7"/>
    <x v="0"/>
    <x v="1"/>
    <x v="5"/>
    <x v="35"/>
    <x v="41"/>
    <x v="18"/>
    <x v="78"/>
    <x v="86"/>
    <x v="5"/>
    <x v="14"/>
    <x v="46"/>
    <x v="0"/>
    <x v="5"/>
    <x v="0"/>
    <x v="0"/>
    <x v="0"/>
    <x v="0"/>
    <x v="0"/>
    <x v="0"/>
    <x v="48"/>
    <x v="35"/>
  </r>
  <r>
    <x v="4"/>
    <x v="0"/>
    <x v="127"/>
    <x v="7"/>
    <x v="0"/>
    <x v="1"/>
    <x v="4"/>
    <x v="37"/>
    <x v="41"/>
    <x v="22"/>
    <x v="79"/>
    <x v="88"/>
    <x v="4"/>
    <x v="17"/>
    <x v="48"/>
    <x v="0"/>
    <x v="4"/>
    <x v="0"/>
    <x v="0"/>
    <x v="0"/>
    <x v="0"/>
    <x v="0"/>
    <x v="0"/>
    <x v="38"/>
    <x v="37"/>
  </r>
  <r>
    <x v="4"/>
    <x v="0"/>
    <x v="127"/>
    <x v="7"/>
    <x v="0"/>
    <x v="1"/>
    <x v="3"/>
    <x v="37"/>
    <x v="41"/>
    <x v="23"/>
    <x v="76"/>
    <x v="85"/>
    <x v="3"/>
    <x v="16"/>
    <x v="47"/>
    <x v="0"/>
    <x v="3"/>
    <x v="0"/>
    <x v="0"/>
    <x v="0"/>
    <x v="0"/>
    <x v="0"/>
    <x v="0"/>
    <x v="28"/>
    <x v="37"/>
  </r>
  <r>
    <x v="6"/>
    <x v="0"/>
    <x v="128"/>
    <x v="7"/>
    <x v="0"/>
    <x v="0"/>
    <x v="6"/>
    <x v="15"/>
    <x v="56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128"/>
    <x v="7"/>
    <x v="0"/>
    <x v="0"/>
    <x v="5"/>
    <x v="15"/>
    <x v="56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28"/>
    <x v="7"/>
    <x v="0"/>
    <x v="0"/>
    <x v="4"/>
    <x v="15"/>
    <x v="56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28"/>
    <x v="7"/>
    <x v="0"/>
    <x v="0"/>
    <x v="3"/>
    <x v="15"/>
    <x v="56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28"/>
    <x v="7"/>
    <x v="0"/>
    <x v="0"/>
    <x v="2"/>
    <x v="15"/>
    <x v="56"/>
    <x v="21"/>
    <x v="65"/>
    <x v="81"/>
    <x v="2"/>
    <x v="15"/>
    <x v="43"/>
    <x v="4"/>
    <x v="2"/>
    <x v="1"/>
    <x v="0"/>
    <x v="0"/>
    <x v="0"/>
    <x v="0"/>
    <x v="0"/>
    <x v="18"/>
    <x v="15"/>
  </r>
  <r>
    <x v="6"/>
    <x v="0"/>
    <x v="129"/>
    <x v="7"/>
    <x v="0"/>
    <x v="1"/>
    <x v="6"/>
    <x v="15"/>
    <x v="56"/>
    <x v="17"/>
    <x v="69"/>
    <x v="78"/>
    <x v="6"/>
    <x v="12"/>
    <x v="40"/>
    <x v="0"/>
    <x v="6"/>
    <x v="0"/>
    <x v="0"/>
    <x v="0"/>
    <x v="0"/>
    <x v="0"/>
    <x v="0"/>
    <x v="58"/>
    <x v="15"/>
  </r>
  <r>
    <x v="6"/>
    <x v="0"/>
    <x v="129"/>
    <x v="7"/>
    <x v="0"/>
    <x v="1"/>
    <x v="5"/>
    <x v="15"/>
    <x v="56"/>
    <x v="18"/>
    <x v="78"/>
    <x v="86"/>
    <x v="5"/>
    <x v="14"/>
    <x v="46"/>
    <x v="0"/>
    <x v="5"/>
    <x v="0"/>
    <x v="0"/>
    <x v="0"/>
    <x v="0"/>
    <x v="0"/>
    <x v="0"/>
    <x v="48"/>
    <x v="15"/>
  </r>
  <r>
    <x v="6"/>
    <x v="0"/>
    <x v="129"/>
    <x v="7"/>
    <x v="0"/>
    <x v="1"/>
    <x v="4"/>
    <x v="15"/>
    <x v="56"/>
    <x v="22"/>
    <x v="79"/>
    <x v="88"/>
    <x v="4"/>
    <x v="17"/>
    <x v="48"/>
    <x v="0"/>
    <x v="4"/>
    <x v="0"/>
    <x v="0"/>
    <x v="0"/>
    <x v="0"/>
    <x v="0"/>
    <x v="0"/>
    <x v="38"/>
    <x v="15"/>
  </r>
  <r>
    <x v="6"/>
    <x v="0"/>
    <x v="129"/>
    <x v="7"/>
    <x v="0"/>
    <x v="1"/>
    <x v="3"/>
    <x v="15"/>
    <x v="56"/>
    <x v="23"/>
    <x v="76"/>
    <x v="85"/>
    <x v="3"/>
    <x v="16"/>
    <x v="47"/>
    <x v="0"/>
    <x v="3"/>
    <x v="0"/>
    <x v="0"/>
    <x v="0"/>
    <x v="0"/>
    <x v="0"/>
    <x v="0"/>
    <x v="28"/>
    <x v="15"/>
  </r>
  <r>
    <x v="6"/>
    <x v="0"/>
    <x v="129"/>
    <x v="7"/>
    <x v="0"/>
    <x v="1"/>
    <x v="2"/>
    <x v="15"/>
    <x v="56"/>
    <x v="21"/>
    <x v="65"/>
    <x v="81"/>
    <x v="2"/>
    <x v="15"/>
    <x v="43"/>
    <x v="4"/>
    <x v="2"/>
    <x v="0"/>
    <x v="0"/>
    <x v="0"/>
    <x v="0"/>
    <x v="0"/>
    <x v="0"/>
    <x v="18"/>
    <x v="15"/>
  </r>
  <r>
    <x v="23"/>
    <x v="0"/>
    <x v="130"/>
    <x v="7"/>
    <x v="0"/>
    <x v="1"/>
    <x v="1"/>
    <x v="1"/>
    <x v="37"/>
    <x v="20"/>
    <x v="52"/>
    <x v="73"/>
    <x v="1"/>
    <x v="13"/>
    <x v="25"/>
    <x v="10"/>
    <x v="1"/>
    <x v="0"/>
    <x v="0"/>
    <x v="0"/>
    <x v="0"/>
    <x v="0"/>
    <x v="0"/>
    <x v="10"/>
    <x v="1"/>
  </r>
  <r>
    <x v="23"/>
    <x v="0"/>
    <x v="131"/>
    <x v="7"/>
    <x v="0"/>
    <x v="1"/>
    <x v="1"/>
    <x v="11"/>
    <x v="37"/>
    <x v="20"/>
    <x v="52"/>
    <x v="73"/>
    <x v="1"/>
    <x v="13"/>
    <x v="25"/>
    <x v="10"/>
    <x v="1"/>
    <x v="0"/>
    <x v="0"/>
    <x v="0"/>
    <x v="0"/>
    <x v="0"/>
    <x v="0"/>
    <x v="10"/>
    <x v="11"/>
  </r>
  <r>
    <x v="4"/>
    <x v="0"/>
    <x v="132"/>
    <x v="5"/>
    <x v="0"/>
    <x v="1"/>
    <x v="6"/>
    <x v="12"/>
    <x v="8"/>
    <x v="17"/>
    <x v="12"/>
    <x v="8"/>
    <x v="6"/>
    <x v="12"/>
    <x v="20"/>
    <x v="11"/>
    <x v="6"/>
    <x v="0"/>
    <x v="0"/>
    <x v="0"/>
    <x v="0"/>
    <x v="0"/>
    <x v="0"/>
    <x v="57"/>
    <x v="12"/>
  </r>
  <r>
    <x v="4"/>
    <x v="0"/>
    <x v="132"/>
    <x v="5"/>
    <x v="0"/>
    <x v="1"/>
    <x v="5"/>
    <x v="14"/>
    <x v="8"/>
    <x v="18"/>
    <x v="10"/>
    <x v="25"/>
    <x v="5"/>
    <x v="14"/>
    <x v="34"/>
    <x v="11"/>
    <x v="5"/>
    <x v="0"/>
    <x v="0"/>
    <x v="0"/>
    <x v="0"/>
    <x v="0"/>
    <x v="0"/>
    <x v="47"/>
    <x v="14"/>
  </r>
  <r>
    <x v="4"/>
    <x v="0"/>
    <x v="132"/>
    <x v="5"/>
    <x v="0"/>
    <x v="1"/>
    <x v="4"/>
    <x v="12"/>
    <x v="8"/>
    <x v="22"/>
    <x v="8"/>
    <x v="39"/>
    <x v="4"/>
    <x v="17"/>
    <x v="38"/>
    <x v="11"/>
    <x v="4"/>
    <x v="0"/>
    <x v="0"/>
    <x v="0"/>
    <x v="0"/>
    <x v="0"/>
    <x v="0"/>
    <x v="37"/>
    <x v="12"/>
  </r>
  <r>
    <x v="4"/>
    <x v="0"/>
    <x v="132"/>
    <x v="5"/>
    <x v="0"/>
    <x v="1"/>
    <x v="3"/>
    <x v="12"/>
    <x v="8"/>
    <x v="23"/>
    <x v="9"/>
    <x v="44"/>
    <x v="3"/>
    <x v="16"/>
    <x v="36"/>
    <x v="11"/>
    <x v="3"/>
    <x v="0"/>
    <x v="0"/>
    <x v="0"/>
    <x v="0"/>
    <x v="0"/>
    <x v="0"/>
    <x v="27"/>
    <x v="12"/>
  </r>
  <r>
    <x v="4"/>
    <x v="0"/>
    <x v="132"/>
    <x v="5"/>
    <x v="0"/>
    <x v="1"/>
    <x v="2"/>
    <x v="13"/>
    <x v="8"/>
    <x v="21"/>
    <x v="11"/>
    <x v="40"/>
    <x v="2"/>
    <x v="15"/>
    <x v="35"/>
    <x v="11"/>
    <x v="2"/>
    <x v="0"/>
    <x v="0"/>
    <x v="0"/>
    <x v="0"/>
    <x v="0"/>
    <x v="0"/>
    <x v="17"/>
    <x v="13"/>
  </r>
  <r>
    <x v="15"/>
    <x v="0"/>
    <x v="133"/>
    <x v="5"/>
    <x v="0"/>
    <x v="1"/>
    <x v="6"/>
    <x v="16"/>
    <x v="8"/>
    <x v="17"/>
    <x v="12"/>
    <x v="8"/>
    <x v="6"/>
    <x v="12"/>
    <x v="20"/>
    <x v="11"/>
    <x v="6"/>
    <x v="0"/>
    <x v="0"/>
    <x v="0"/>
    <x v="0"/>
    <x v="0"/>
    <x v="0"/>
    <x v="57"/>
    <x v="16"/>
  </r>
  <r>
    <x v="15"/>
    <x v="0"/>
    <x v="133"/>
    <x v="5"/>
    <x v="0"/>
    <x v="1"/>
    <x v="5"/>
    <x v="18"/>
    <x v="8"/>
    <x v="18"/>
    <x v="10"/>
    <x v="25"/>
    <x v="5"/>
    <x v="14"/>
    <x v="34"/>
    <x v="11"/>
    <x v="5"/>
    <x v="0"/>
    <x v="0"/>
    <x v="0"/>
    <x v="0"/>
    <x v="0"/>
    <x v="0"/>
    <x v="47"/>
    <x v="18"/>
  </r>
  <r>
    <x v="15"/>
    <x v="0"/>
    <x v="133"/>
    <x v="5"/>
    <x v="0"/>
    <x v="1"/>
    <x v="4"/>
    <x v="16"/>
    <x v="8"/>
    <x v="22"/>
    <x v="8"/>
    <x v="39"/>
    <x v="4"/>
    <x v="17"/>
    <x v="38"/>
    <x v="11"/>
    <x v="4"/>
    <x v="0"/>
    <x v="0"/>
    <x v="0"/>
    <x v="0"/>
    <x v="0"/>
    <x v="0"/>
    <x v="37"/>
    <x v="16"/>
  </r>
  <r>
    <x v="15"/>
    <x v="0"/>
    <x v="133"/>
    <x v="5"/>
    <x v="0"/>
    <x v="1"/>
    <x v="3"/>
    <x v="16"/>
    <x v="8"/>
    <x v="23"/>
    <x v="9"/>
    <x v="44"/>
    <x v="3"/>
    <x v="16"/>
    <x v="36"/>
    <x v="11"/>
    <x v="3"/>
    <x v="0"/>
    <x v="0"/>
    <x v="0"/>
    <x v="0"/>
    <x v="0"/>
    <x v="0"/>
    <x v="27"/>
    <x v="16"/>
  </r>
  <r>
    <x v="15"/>
    <x v="0"/>
    <x v="133"/>
    <x v="5"/>
    <x v="0"/>
    <x v="1"/>
    <x v="2"/>
    <x v="17"/>
    <x v="8"/>
    <x v="21"/>
    <x v="11"/>
    <x v="40"/>
    <x v="2"/>
    <x v="15"/>
    <x v="35"/>
    <x v="11"/>
    <x v="2"/>
    <x v="0"/>
    <x v="0"/>
    <x v="0"/>
    <x v="0"/>
    <x v="0"/>
    <x v="0"/>
    <x v="17"/>
    <x v="17"/>
  </r>
  <r>
    <x v="23"/>
    <x v="0"/>
    <x v="134"/>
    <x v="7"/>
    <x v="0"/>
    <x v="1"/>
    <x v="1"/>
    <x v="4"/>
    <x v="37"/>
    <x v="20"/>
    <x v="52"/>
    <x v="73"/>
    <x v="1"/>
    <x v="13"/>
    <x v="25"/>
    <x v="10"/>
    <x v="1"/>
    <x v="0"/>
    <x v="0"/>
    <x v="0"/>
    <x v="0"/>
    <x v="0"/>
    <x v="0"/>
    <x v="10"/>
    <x v="4"/>
  </r>
  <r>
    <x v="6"/>
    <x v="0"/>
    <x v="135"/>
    <x v="7"/>
    <x v="0"/>
    <x v="0"/>
    <x v="6"/>
    <x v="31"/>
    <x v="62"/>
    <x v="17"/>
    <x v="69"/>
    <x v="78"/>
    <x v="6"/>
    <x v="12"/>
    <x v="40"/>
    <x v="0"/>
    <x v="6"/>
    <x v="1"/>
    <x v="0"/>
    <x v="0"/>
    <x v="0"/>
    <x v="0"/>
    <x v="0"/>
    <x v="58"/>
    <x v="31"/>
  </r>
  <r>
    <x v="6"/>
    <x v="0"/>
    <x v="135"/>
    <x v="7"/>
    <x v="0"/>
    <x v="0"/>
    <x v="5"/>
    <x v="31"/>
    <x v="62"/>
    <x v="18"/>
    <x v="78"/>
    <x v="86"/>
    <x v="5"/>
    <x v="14"/>
    <x v="46"/>
    <x v="0"/>
    <x v="5"/>
    <x v="1"/>
    <x v="0"/>
    <x v="0"/>
    <x v="0"/>
    <x v="0"/>
    <x v="0"/>
    <x v="48"/>
    <x v="31"/>
  </r>
  <r>
    <x v="6"/>
    <x v="0"/>
    <x v="135"/>
    <x v="7"/>
    <x v="0"/>
    <x v="0"/>
    <x v="4"/>
    <x v="31"/>
    <x v="62"/>
    <x v="22"/>
    <x v="79"/>
    <x v="88"/>
    <x v="4"/>
    <x v="17"/>
    <x v="48"/>
    <x v="0"/>
    <x v="4"/>
    <x v="1"/>
    <x v="0"/>
    <x v="0"/>
    <x v="0"/>
    <x v="0"/>
    <x v="0"/>
    <x v="38"/>
    <x v="31"/>
  </r>
  <r>
    <x v="6"/>
    <x v="0"/>
    <x v="135"/>
    <x v="7"/>
    <x v="0"/>
    <x v="0"/>
    <x v="3"/>
    <x v="31"/>
    <x v="62"/>
    <x v="23"/>
    <x v="76"/>
    <x v="85"/>
    <x v="3"/>
    <x v="16"/>
    <x v="47"/>
    <x v="0"/>
    <x v="3"/>
    <x v="1"/>
    <x v="0"/>
    <x v="0"/>
    <x v="0"/>
    <x v="0"/>
    <x v="0"/>
    <x v="28"/>
    <x v="31"/>
  </r>
  <r>
    <x v="6"/>
    <x v="0"/>
    <x v="135"/>
    <x v="7"/>
    <x v="0"/>
    <x v="0"/>
    <x v="2"/>
    <x v="31"/>
    <x v="62"/>
    <x v="21"/>
    <x v="65"/>
    <x v="81"/>
    <x v="2"/>
    <x v="15"/>
    <x v="43"/>
    <x v="4"/>
    <x v="2"/>
    <x v="1"/>
    <x v="0"/>
    <x v="0"/>
    <x v="0"/>
    <x v="0"/>
    <x v="0"/>
    <x v="18"/>
    <x v="31"/>
  </r>
  <r>
    <x v="0"/>
    <x v="0"/>
    <x v="136"/>
    <x v="7"/>
    <x v="0"/>
    <x v="1"/>
    <x v="6"/>
    <x v="38"/>
    <x v="45"/>
    <x v="17"/>
    <x v="69"/>
    <x v="78"/>
    <x v="6"/>
    <x v="12"/>
    <x v="40"/>
    <x v="0"/>
    <x v="6"/>
    <x v="0"/>
    <x v="0"/>
    <x v="0"/>
    <x v="0"/>
    <x v="0"/>
    <x v="0"/>
    <x v="58"/>
    <x v="38"/>
  </r>
  <r>
    <x v="0"/>
    <x v="0"/>
    <x v="136"/>
    <x v="7"/>
    <x v="0"/>
    <x v="1"/>
    <x v="5"/>
    <x v="38"/>
    <x v="45"/>
    <x v="18"/>
    <x v="78"/>
    <x v="86"/>
    <x v="5"/>
    <x v="14"/>
    <x v="46"/>
    <x v="0"/>
    <x v="5"/>
    <x v="0"/>
    <x v="0"/>
    <x v="0"/>
    <x v="0"/>
    <x v="0"/>
    <x v="0"/>
    <x v="48"/>
    <x v="38"/>
  </r>
  <r>
    <x v="0"/>
    <x v="0"/>
    <x v="136"/>
    <x v="7"/>
    <x v="0"/>
    <x v="1"/>
    <x v="4"/>
    <x v="38"/>
    <x v="45"/>
    <x v="22"/>
    <x v="79"/>
    <x v="88"/>
    <x v="4"/>
    <x v="17"/>
    <x v="48"/>
    <x v="0"/>
    <x v="4"/>
    <x v="0"/>
    <x v="0"/>
    <x v="0"/>
    <x v="0"/>
    <x v="0"/>
    <x v="0"/>
    <x v="38"/>
    <x v="38"/>
  </r>
  <r>
    <x v="0"/>
    <x v="0"/>
    <x v="136"/>
    <x v="7"/>
    <x v="0"/>
    <x v="1"/>
    <x v="3"/>
    <x v="38"/>
    <x v="45"/>
    <x v="23"/>
    <x v="76"/>
    <x v="85"/>
    <x v="3"/>
    <x v="16"/>
    <x v="47"/>
    <x v="0"/>
    <x v="3"/>
    <x v="0"/>
    <x v="0"/>
    <x v="0"/>
    <x v="0"/>
    <x v="0"/>
    <x v="0"/>
    <x v="28"/>
    <x v="38"/>
  </r>
  <r>
    <x v="0"/>
    <x v="0"/>
    <x v="136"/>
    <x v="7"/>
    <x v="0"/>
    <x v="1"/>
    <x v="2"/>
    <x v="38"/>
    <x v="45"/>
    <x v="21"/>
    <x v="65"/>
    <x v="81"/>
    <x v="2"/>
    <x v="15"/>
    <x v="43"/>
    <x v="4"/>
    <x v="2"/>
    <x v="0"/>
    <x v="0"/>
    <x v="0"/>
    <x v="0"/>
    <x v="0"/>
    <x v="0"/>
    <x v="18"/>
    <x v="38"/>
  </r>
  <r>
    <x v="19"/>
    <x v="0"/>
    <x v="137"/>
    <x v="8"/>
    <x v="0"/>
    <x v="0"/>
    <x v="6"/>
    <x v="15"/>
    <x v="32"/>
    <x v="17"/>
    <x v="34"/>
    <x v="29"/>
    <x v="6"/>
    <x v="12"/>
    <x v="20"/>
    <x v="11"/>
    <x v="6"/>
    <x v="1"/>
    <x v="0"/>
    <x v="0"/>
    <x v="0"/>
    <x v="0"/>
    <x v="0"/>
    <x v="59"/>
    <x v="15"/>
  </r>
  <r>
    <x v="19"/>
    <x v="0"/>
    <x v="137"/>
    <x v="8"/>
    <x v="0"/>
    <x v="0"/>
    <x v="5"/>
    <x v="15"/>
    <x v="32"/>
    <x v="18"/>
    <x v="35"/>
    <x v="45"/>
    <x v="5"/>
    <x v="14"/>
    <x v="34"/>
    <x v="11"/>
    <x v="5"/>
    <x v="1"/>
    <x v="0"/>
    <x v="0"/>
    <x v="0"/>
    <x v="0"/>
    <x v="0"/>
    <x v="49"/>
    <x v="15"/>
  </r>
  <r>
    <x v="19"/>
    <x v="0"/>
    <x v="137"/>
    <x v="8"/>
    <x v="0"/>
    <x v="0"/>
    <x v="4"/>
    <x v="15"/>
    <x v="32"/>
    <x v="22"/>
    <x v="33"/>
    <x v="60"/>
    <x v="4"/>
    <x v="17"/>
    <x v="38"/>
    <x v="11"/>
    <x v="4"/>
    <x v="1"/>
    <x v="0"/>
    <x v="0"/>
    <x v="0"/>
    <x v="0"/>
    <x v="0"/>
    <x v="39"/>
    <x v="15"/>
  </r>
  <r>
    <x v="19"/>
    <x v="0"/>
    <x v="137"/>
    <x v="8"/>
    <x v="0"/>
    <x v="0"/>
    <x v="3"/>
    <x v="15"/>
    <x v="32"/>
    <x v="23"/>
    <x v="32"/>
    <x v="62"/>
    <x v="3"/>
    <x v="16"/>
    <x v="36"/>
    <x v="11"/>
    <x v="3"/>
    <x v="1"/>
    <x v="0"/>
    <x v="0"/>
    <x v="0"/>
    <x v="0"/>
    <x v="0"/>
    <x v="29"/>
    <x v="15"/>
  </r>
  <r>
    <x v="19"/>
    <x v="0"/>
    <x v="137"/>
    <x v="8"/>
    <x v="0"/>
    <x v="0"/>
    <x v="2"/>
    <x v="15"/>
    <x v="32"/>
    <x v="21"/>
    <x v="30"/>
    <x v="59"/>
    <x v="2"/>
    <x v="15"/>
    <x v="35"/>
    <x v="11"/>
    <x v="2"/>
    <x v="1"/>
    <x v="0"/>
    <x v="0"/>
    <x v="0"/>
    <x v="0"/>
    <x v="0"/>
    <x v="19"/>
    <x v="15"/>
  </r>
  <r>
    <x v="15"/>
    <x v="0"/>
    <x v="138"/>
    <x v="4"/>
    <x v="0"/>
    <x v="1"/>
    <x v="6"/>
    <x v="16"/>
    <x v="5"/>
    <x v="17"/>
    <x v="3"/>
    <x v="6"/>
    <x v="6"/>
    <x v="12"/>
    <x v="18"/>
    <x v="5"/>
    <x v="6"/>
    <x v="0"/>
    <x v="0"/>
    <x v="0"/>
    <x v="0"/>
    <x v="0"/>
    <x v="0"/>
    <x v="56"/>
    <x v="16"/>
  </r>
  <r>
    <x v="15"/>
    <x v="0"/>
    <x v="138"/>
    <x v="4"/>
    <x v="0"/>
    <x v="1"/>
    <x v="5"/>
    <x v="18"/>
    <x v="5"/>
    <x v="18"/>
    <x v="4"/>
    <x v="9"/>
    <x v="5"/>
    <x v="14"/>
    <x v="26"/>
    <x v="5"/>
    <x v="5"/>
    <x v="0"/>
    <x v="0"/>
    <x v="0"/>
    <x v="0"/>
    <x v="0"/>
    <x v="0"/>
    <x v="46"/>
    <x v="18"/>
  </r>
  <r>
    <x v="15"/>
    <x v="0"/>
    <x v="138"/>
    <x v="4"/>
    <x v="0"/>
    <x v="1"/>
    <x v="4"/>
    <x v="16"/>
    <x v="5"/>
    <x v="22"/>
    <x v="5"/>
    <x v="27"/>
    <x v="4"/>
    <x v="17"/>
    <x v="31"/>
    <x v="5"/>
    <x v="4"/>
    <x v="0"/>
    <x v="0"/>
    <x v="0"/>
    <x v="0"/>
    <x v="0"/>
    <x v="0"/>
    <x v="36"/>
    <x v="16"/>
  </r>
  <r>
    <x v="15"/>
    <x v="0"/>
    <x v="138"/>
    <x v="4"/>
    <x v="0"/>
    <x v="1"/>
    <x v="3"/>
    <x v="16"/>
    <x v="5"/>
    <x v="23"/>
    <x v="6"/>
    <x v="30"/>
    <x v="3"/>
    <x v="16"/>
    <x v="29"/>
    <x v="5"/>
    <x v="3"/>
    <x v="0"/>
    <x v="0"/>
    <x v="0"/>
    <x v="0"/>
    <x v="0"/>
    <x v="0"/>
    <x v="26"/>
    <x v="16"/>
  </r>
  <r>
    <x v="15"/>
    <x v="0"/>
    <x v="138"/>
    <x v="4"/>
    <x v="0"/>
    <x v="1"/>
    <x v="2"/>
    <x v="17"/>
    <x v="5"/>
    <x v="21"/>
    <x v="2"/>
    <x v="23"/>
    <x v="2"/>
    <x v="15"/>
    <x v="27"/>
    <x v="5"/>
    <x v="2"/>
    <x v="0"/>
    <x v="0"/>
    <x v="0"/>
    <x v="0"/>
    <x v="0"/>
    <x v="0"/>
    <x v="16"/>
    <x v="17"/>
  </r>
  <r>
    <x v="15"/>
    <x v="0"/>
    <x v="139"/>
    <x v="4"/>
    <x v="0"/>
    <x v="0"/>
    <x v="6"/>
    <x v="28"/>
    <x v="13"/>
    <x v="17"/>
    <x v="3"/>
    <x v="6"/>
    <x v="6"/>
    <x v="12"/>
    <x v="18"/>
    <x v="5"/>
    <x v="6"/>
    <x v="1"/>
    <x v="0"/>
    <x v="0"/>
    <x v="0"/>
    <x v="0"/>
    <x v="0"/>
    <x v="56"/>
    <x v="28"/>
  </r>
  <r>
    <x v="15"/>
    <x v="0"/>
    <x v="139"/>
    <x v="4"/>
    <x v="0"/>
    <x v="0"/>
    <x v="5"/>
    <x v="26"/>
    <x v="13"/>
    <x v="18"/>
    <x v="4"/>
    <x v="9"/>
    <x v="5"/>
    <x v="14"/>
    <x v="26"/>
    <x v="5"/>
    <x v="5"/>
    <x v="1"/>
    <x v="0"/>
    <x v="0"/>
    <x v="0"/>
    <x v="0"/>
    <x v="0"/>
    <x v="46"/>
    <x v="26"/>
  </r>
  <r>
    <x v="15"/>
    <x v="0"/>
    <x v="139"/>
    <x v="4"/>
    <x v="0"/>
    <x v="0"/>
    <x v="4"/>
    <x v="28"/>
    <x v="13"/>
    <x v="22"/>
    <x v="5"/>
    <x v="27"/>
    <x v="4"/>
    <x v="17"/>
    <x v="31"/>
    <x v="5"/>
    <x v="4"/>
    <x v="1"/>
    <x v="0"/>
    <x v="0"/>
    <x v="0"/>
    <x v="0"/>
    <x v="0"/>
    <x v="36"/>
    <x v="28"/>
  </r>
  <r>
    <x v="15"/>
    <x v="0"/>
    <x v="139"/>
    <x v="4"/>
    <x v="0"/>
    <x v="0"/>
    <x v="3"/>
    <x v="28"/>
    <x v="13"/>
    <x v="23"/>
    <x v="6"/>
    <x v="30"/>
    <x v="3"/>
    <x v="16"/>
    <x v="29"/>
    <x v="5"/>
    <x v="3"/>
    <x v="1"/>
    <x v="0"/>
    <x v="0"/>
    <x v="0"/>
    <x v="0"/>
    <x v="0"/>
    <x v="26"/>
    <x v="28"/>
  </r>
  <r>
    <x v="15"/>
    <x v="0"/>
    <x v="139"/>
    <x v="4"/>
    <x v="0"/>
    <x v="0"/>
    <x v="2"/>
    <x v="27"/>
    <x v="13"/>
    <x v="21"/>
    <x v="2"/>
    <x v="23"/>
    <x v="2"/>
    <x v="15"/>
    <x v="27"/>
    <x v="5"/>
    <x v="2"/>
    <x v="1"/>
    <x v="0"/>
    <x v="0"/>
    <x v="0"/>
    <x v="0"/>
    <x v="0"/>
    <x v="16"/>
    <x v="27"/>
  </r>
  <r>
    <x v="4"/>
    <x v="0"/>
    <x v="140"/>
    <x v="9"/>
    <x v="0"/>
    <x v="0"/>
    <x v="6"/>
    <x v="25"/>
    <x v="22"/>
    <x v="17"/>
    <x v="59"/>
    <x v="50"/>
    <x v="6"/>
    <x v="12"/>
    <x v="19"/>
    <x v="2"/>
    <x v="6"/>
    <x v="1"/>
    <x v="0"/>
    <x v="0"/>
    <x v="0"/>
    <x v="0"/>
    <x v="0"/>
    <x v="60"/>
    <x v="25"/>
  </r>
  <r>
    <x v="4"/>
    <x v="0"/>
    <x v="140"/>
    <x v="9"/>
    <x v="0"/>
    <x v="0"/>
    <x v="5"/>
    <x v="23"/>
    <x v="22"/>
    <x v="18"/>
    <x v="61"/>
    <x v="72"/>
    <x v="5"/>
    <x v="14"/>
    <x v="28"/>
    <x v="2"/>
    <x v="5"/>
    <x v="1"/>
    <x v="0"/>
    <x v="0"/>
    <x v="0"/>
    <x v="0"/>
    <x v="0"/>
    <x v="50"/>
    <x v="23"/>
  </r>
  <r>
    <x v="4"/>
    <x v="0"/>
    <x v="140"/>
    <x v="9"/>
    <x v="0"/>
    <x v="0"/>
    <x v="4"/>
    <x v="25"/>
    <x v="22"/>
    <x v="22"/>
    <x v="64"/>
    <x v="82"/>
    <x v="4"/>
    <x v="17"/>
    <x v="33"/>
    <x v="2"/>
    <x v="4"/>
    <x v="1"/>
    <x v="0"/>
    <x v="0"/>
    <x v="0"/>
    <x v="0"/>
    <x v="0"/>
    <x v="40"/>
    <x v="25"/>
  </r>
  <r>
    <x v="4"/>
    <x v="0"/>
    <x v="140"/>
    <x v="9"/>
    <x v="0"/>
    <x v="0"/>
    <x v="3"/>
    <x v="25"/>
    <x v="22"/>
    <x v="23"/>
    <x v="68"/>
    <x v="83"/>
    <x v="3"/>
    <x v="16"/>
    <x v="32"/>
    <x v="2"/>
    <x v="3"/>
    <x v="1"/>
    <x v="0"/>
    <x v="0"/>
    <x v="0"/>
    <x v="0"/>
    <x v="0"/>
    <x v="30"/>
    <x v="25"/>
  </r>
  <r>
    <x v="4"/>
    <x v="0"/>
    <x v="140"/>
    <x v="9"/>
    <x v="0"/>
    <x v="0"/>
    <x v="2"/>
    <x v="24"/>
    <x v="22"/>
    <x v="21"/>
    <x v="74"/>
    <x v="84"/>
    <x v="2"/>
    <x v="15"/>
    <x v="30"/>
    <x v="2"/>
    <x v="2"/>
    <x v="1"/>
    <x v="0"/>
    <x v="0"/>
    <x v="0"/>
    <x v="0"/>
    <x v="0"/>
    <x v="20"/>
    <x v="24"/>
  </r>
  <r>
    <x v="0"/>
    <x v="0"/>
    <x v="141"/>
    <x v="7"/>
    <x v="0"/>
    <x v="1"/>
    <x v="6"/>
    <x v="31"/>
    <x v="45"/>
    <x v="17"/>
    <x v="69"/>
    <x v="78"/>
    <x v="6"/>
    <x v="12"/>
    <x v="40"/>
    <x v="0"/>
    <x v="6"/>
    <x v="0"/>
    <x v="0"/>
    <x v="0"/>
    <x v="0"/>
    <x v="0"/>
    <x v="0"/>
    <x v="58"/>
    <x v="31"/>
  </r>
  <r>
    <x v="0"/>
    <x v="0"/>
    <x v="141"/>
    <x v="7"/>
    <x v="0"/>
    <x v="1"/>
    <x v="5"/>
    <x v="31"/>
    <x v="45"/>
    <x v="18"/>
    <x v="78"/>
    <x v="86"/>
    <x v="5"/>
    <x v="14"/>
    <x v="46"/>
    <x v="0"/>
    <x v="5"/>
    <x v="0"/>
    <x v="0"/>
    <x v="0"/>
    <x v="0"/>
    <x v="0"/>
    <x v="0"/>
    <x v="48"/>
    <x v="31"/>
  </r>
  <r>
    <x v="0"/>
    <x v="0"/>
    <x v="141"/>
    <x v="7"/>
    <x v="0"/>
    <x v="1"/>
    <x v="4"/>
    <x v="31"/>
    <x v="45"/>
    <x v="22"/>
    <x v="79"/>
    <x v="88"/>
    <x v="4"/>
    <x v="17"/>
    <x v="48"/>
    <x v="0"/>
    <x v="4"/>
    <x v="0"/>
    <x v="0"/>
    <x v="0"/>
    <x v="0"/>
    <x v="0"/>
    <x v="0"/>
    <x v="38"/>
    <x v="31"/>
  </r>
  <r>
    <x v="0"/>
    <x v="0"/>
    <x v="141"/>
    <x v="7"/>
    <x v="0"/>
    <x v="1"/>
    <x v="3"/>
    <x v="31"/>
    <x v="45"/>
    <x v="23"/>
    <x v="76"/>
    <x v="85"/>
    <x v="3"/>
    <x v="16"/>
    <x v="47"/>
    <x v="0"/>
    <x v="3"/>
    <x v="0"/>
    <x v="0"/>
    <x v="0"/>
    <x v="0"/>
    <x v="0"/>
    <x v="0"/>
    <x v="28"/>
    <x v="31"/>
  </r>
  <r>
    <x v="0"/>
    <x v="0"/>
    <x v="141"/>
    <x v="7"/>
    <x v="0"/>
    <x v="1"/>
    <x v="2"/>
    <x v="31"/>
    <x v="45"/>
    <x v="21"/>
    <x v="65"/>
    <x v="81"/>
    <x v="2"/>
    <x v="15"/>
    <x v="43"/>
    <x v="4"/>
    <x v="2"/>
    <x v="0"/>
    <x v="0"/>
    <x v="0"/>
    <x v="0"/>
    <x v="0"/>
    <x v="0"/>
    <x v="18"/>
    <x v="31"/>
  </r>
  <r>
    <x v="25"/>
    <x v="0"/>
    <x v="142"/>
    <x v="7"/>
    <x v="0"/>
    <x v="1"/>
    <x v="18"/>
    <x v="10"/>
    <x v="45"/>
    <x v="5"/>
    <x v="67"/>
    <x v="41"/>
    <x v="18"/>
    <x v="4"/>
    <x v="10"/>
    <x v="6"/>
    <x v="18"/>
    <x v="0"/>
    <x v="0"/>
    <x v="0"/>
    <x v="0"/>
    <x v="0"/>
    <x v="0"/>
    <x v="87"/>
    <x v="10"/>
  </r>
  <r>
    <x v="25"/>
    <x v="0"/>
    <x v="142"/>
    <x v="7"/>
    <x v="0"/>
    <x v="1"/>
    <x v="17"/>
    <x v="10"/>
    <x v="45"/>
    <x v="6"/>
    <x v="75"/>
    <x v="79"/>
    <x v="17"/>
    <x v="5"/>
    <x v="14"/>
    <x v="6"/>
    <x v="17"/>
    <x v="0"/>
    <x v="0"/>
    <x v="0"/>
    <x v="0"/>
    <x v="0"/>
    <x v="0"/>
    <x v="86"/>
    <x v="10"/>
  </r>
  <r>
    <x v="25"/>
    <x v="0"/>
    <x v="142"/>
    <x v="7"/>
    <x v="0"/>
    <x v="1"/>
    <x v="16"/>
    <x v="10"/>
    <x v="45"/>
    <x v="15"/>
    <x v="75"/>
    <x v="80"/>
    <x v="16"/>
    <x v="10"/>
    <x v="17"/>
    <x v="6"/>
    <x v="16"/>
    <x v="0"/>
    <x v="0"/>
    <x v="0"/>
    <x v="0"/>
    <x v="0"/>
    <x v="0"/>
    <x v="85"/>
    <x v="10"/>
  </r>
  <r>
    <x v="25"/>
    <x v="0"/>
    <x v="142"/>
    <x v="7"/>
    <x v="0"/>
    <x v="1"/>
    <x v="15"/>
    <x v="10"/>
    <x v="45"/>
    <x v="16"/>
    <x v="73"/>
    <x v="77"/>
    <x v="15"/>
    <x v="9"/>
    <x v="16"/>
    <x v="6"/>
    <x v="15"/>
    <x v="0"/>
    <x v="0"/>
    <x v="0"/>
    <x v="0"/>
    <x v="0"/>
    <x v="0"/>
    <x v="84"/>
    <x v="10"/>
  </r>
  <r>
    <x v="25"/>
    <x v="0"/>
    <x v="142"/>
    <x v="7"/>
    <x v="0"/>
    <x v="1"/>
    <x v="14"/>
    <x v="10"/>
    <x v="45"/>
    <x v="13"/>
    <x v="66"/>
    <x v="47"/>
    <x v="14"/>
    <x v="7"/>
    <x v="15"/>
    <x v="6"/>
    <x v="14"/>
    <x v="0"/>
    <x v="0"/>
    <x v="0"/>
    <x v="0"/>
    <x v="0"/>
    <x v="0"/>
    <x v="83"/>
    <x v="10"/>
  </r>
  <r>
    <x v="6"/>
    <x v="0"/>
    <x v="143"/>
    <x v="7"/>
    <x v="0"/>
    <x v="0"/>
    <x v="6"/>
    <x v="10"/>
    <x v="57"/>
    <x v="17"/>
    <x v="69"/>
    <x v="78"/>
    <x v="6"/>
    <x v="12"/>
    <x v="40"/>
    <x v="0"/>
    <x v="6"/>
    <x v="1"/>
    <x v="0"/>
    <x v="0"/>
    <x v="0"/>
    <x v="0"/>
    <x v="0"/>
    <x v="58"/>
    <x v="10"/>
  </r>
  <r>
    <x v="6"/>
    <x v="0"/>
    <x v="143"/>
    <x v="7"/>
    <x v="0"/>
    <x v="0"/>
    <x v="5"/>
    <x v="10"/>
    <x v="57"/>
    <x v="18"/>
    <x v="78"/>
    <x v="86"/>
    <x v="5"/>
    <x v="14"/>
    <x v="46"/>
    <x v="0"/>
    <x v="5"/>
    <x v="1"/>
    <x v="0"/>
    <x v="0"/>
    <x v="0"/>
    <x v="0"/>
    <x v="0"/>
    <x v="48"/>
    <x v="10"/>
  </r>
  <r>
    <x v="6"/>
    <x v="0"/>
    <x v="143"/>
    <x v="7"/>
    <x v="0"/>
    <x v="0"/>
    <x v="4"/>
    <x v="10"/>
    <x v="57"/>
    <x v="22"/>
    <x v="79"/>
    <x v="88"/>
    <x v="4"/>
    <x v="17"/>
    <x v="48"/>
    <x v="0"/>
    <x v="4"/>
    <x v="1"/>
    <x v="0"/>
    <x v="0"/>
    <x v="0"/>
    <x v="0"/>
    <x v="0"/>
    <x v="38"/>
    <x v="10"/>
  </r>
  <r>
    <x v="6"/>
    <x v="0"/>
    <x v="143"/>
    <x v="7"/>
    <x v="0"/>
    <x v="0"/>
    <x v="3"/>
    <x v="10"/>
    <x v="57"/>
    <x v="23"/>
    <x v="76"/>
    <x v="85"/>
    <x v="3"/>
    <x v="16"/>
    <x v="47"/>
    <x v="0"/>
    <x v="3"/>
    <x v="1"/>
    <x v="0"/>
    <x v="0"/>
    <x v="0"/>
    <x v="0"/>
    <x v="0"/>
    <x v="28"/>
    <x v="10"/>
  </r>
  <r>
    <x v="6"/>
    <x v="0"/>
    <x v="143"/>
    <x v="7"/>
    <x v="0"/>
    <x v="0"/>
    <x v="2"/>
    <x v="10"/>
    <x v="57"/>
    <x v="21"/>
    <x v="65"/>
    <x v="81"/>
    <x v="2"/>
    <x v="15"/>
    <x v="43"/>
    <x v="4"/>
    <x v="2"/>
    <x v="1"/>
    <x v="0"/>
    <x v="0"/>
    <x v="0"/>
    <x v="0"/>
    <x v="0"/>
    <x v="18"/>
    <x v="10"/>
  </r>
  <r>
    <x v="6"/>
    <x v="0"/>
    <x v="144"/>
    <x v="7"/>
    <x v="0"/>
    <x v="1"/>
    <x v="6"/>
    <x v="10"/>
    <x v="57"/>
    <x v="17"/>
    <x v="69"/>
    <x v="78"/>
    <x v="6"/>
    <x v="12"/>
    <x v="40"/>
    <x v="0"/>
    <x v="6"/>
    <x v="0"/>
    <x v="0"/>
    <x v="0"/>
    <x v="0"/>
    <x v="0"/>
    <x v="0"/>
    <x v="58"/>
    <x v="10"/>
  </r>
  <r>
    <x v="6"/>
    <x v="0"/>
    <x v="144"/>
    <x v="7"/>
    <x v="0"/>
    <x v="1"/>
    <x v="5"/>
    <x v="10"/>
    <x v="57"/>
    <x v="18"/>
    <x v="78"/>
    <x v="86"/>
    <x v="5"/>
    <x v="14"/>
    <x v="46"/>
    <x v="0"/>
    <x v="5"/>
    <x v="0"/>
    <x v="0"/>
    <x v="0"/>
    <x v="0"/>
    <x v="0"/>
    <x v="0"/>
    <x v="48"/>
    <x v="10"/>
  </r>
  <r>
    <x v="6"/>
    <x v="0"/>
    <x v="144"/>
    <x v="7"/>
    <x v="0"/>
    <x v="1"/>
    <x v="4"/>
    <x v="10"/>
    <x v="57"/>
    <x v="22"/>
    <x v="79"/>
    <x v="88"/>
    <x v="4"/>
    <x v="17"/>
    <x v="48"/>
    <x v="0"/>
    <x v="4"/>
    <x v="0"/>
    <x v="0"/>
    <x v="0"/>
    <x v="0"/>
    <x v="0"/>
    <x v="0"/>
    <x v="38"/>
    <x v="10"/>
  </r>
  <r>
    <x v="6"/>
    <x v="0"/>
    <x v="144"/>
    <x v="7"/>
    <x v="0"/>
    <x v="1"/>
    <x v="3"/>
    <x v="10"/>
    <x v="57"/>
    <x v="23"/>
    <x v="76"/>
    <x v="85"/>
    <x v="3"/>
    <x v="16"/>
    <x v="47"/>
    <x v="0"/>
    <x v="3"/>
    <x v="0"/>
    <x v="0"/>
    <x v="0"/>
    <x v="0"/>
    <x v="0"/>
    <x v="0"/>
    <x v="28"/>
    <x v="10"/>
  </r>
  <r>
    <x v="6"/>
    <x v="0"/>
    <x v="144"/>
    <x v="7"/>
    <x v="0"/>
    <x v="1"/>
    <x v="2"/>
    <x v="10"/>
    <x v="57"/>
    <x v="21"/>
    <x v="65"/>
    <x v="81"/>
    <x v="2"/>
    <x v="15"/>
    <x v="43"/>
    <x v="4"/>
    <x v="2"/>
    <x v="0"/>
    <x v="0"/>
    <x v="0"/>
    <x v="0"/>
    <x v="0"/>
    <x v="0"/>
    <x v="18"/>
    <x v="10"/>
  </r>
  <r>
    <x v="23"/>
    <x v="0"/>
    <x v="145"/>
    <x v="10"/>
    <x v="0"/>
    <x v="0"/>
    <x v="6"/>
    <x v="20"/>
    <x v="19"/>
    <x v="17"/>
    <x v="25"/>
    <x v="26"/>
    <x v="6"/>
    <x v="12"/>
    <x v="20"/>
    <x v="12"/>
    <x v="6"/>
    <x v="1"/>
    <x v="0"/>
    <x v="0"/>
    <x v="0"/>
    <x v="0"/>
    <x v="0"/>
    <x v="61"/>
    <x v="20"/>
  </r>
  <r>
    <x v="23"/>
    <x v="0"/>
    <x v="145"/>
    <x v="10"/>
    <x v="0"/>
    <x v="0"/>
    <x v="5"/>
    <x v="22"/>
    <x v="19"/>
    <x v="18"/>
    <x v="28"/>
    <x v="43"/>
    <x v="5"/>
    <x v="14"/>
    <x v="34"/>
    <x v="12"/>
    <x v="5"/>
    <x v="1"/>
    <x v="0"/>
    <x v="0"/>
    <x v="0"/>
    <x v="0"/>
    <x v="0"/>
    <x v="51"/>
    <x v="22"/>
  </r>
  <r>
    <x v="23"/>
    <x v="0"/>
    <x v="145"/>
    <x v="10"/>
    <x v="0"/>
    <x v="0"/>
    <x v="4"/>
    <x v="20"/>
    <x v="19"/>
    <x v="22"/>
    <x v="26"/>
    <x v="55"/>
    <x v="4"/>
    <x v="17"/>
    <x v="38"/>
    <x v="12"/>
    <x v="4"/>
    <x v="1"/>
    <x v="0"/>
    <x v="0"/>
    <x v="0"/>
    <x v="0"/>
    <x v="0"/>
    <x v="41"/>
    <x v="20"/>
  </r>
  <r>
    <x v="23"/>
    <x v="0"/>
    <x v="145"/>
    <x v="10"/>
    <x v="0"/>
    <x v="0"/>
    <x v="3"/>
    <x v="20"/>
    <x v="19"/>
    <x v="23"/>
    <x v="23"/>
    <x v="58"/>
    <x v="3"/>
    <x v="16"/>
    <x v="36"/>
    <x v="12"/>
    <x v="3"/>
    <x v="1"/>
    <x v="0"/>
    <x v="0"/>
    <x v="0"/>
    <x v="0"/>
    <x v="0"/>
    <x v="31"/>
    <x v="20"/>
  </r>
  <r>
    <x v="23"/>
    <x v="0"/>
    <x v="145"/>
    <x v="10"/>
    <x v="0"/>
    <x v="0"/>
    <x v="2"/>
    <x v="21"/>
    <x v="19"/>
    <x v="21"/>
    <x v="21"/>
    <x v="52"/>
    <x v="2"/>
    <x v="15"/>
    <x v="35"/>
    <x v="12"/>
    <x v="2"/>
    <x v="1"/>
    <x v="0"/>
    <x v="0"/>
    <x v="0"/>
    <x v="0"/>
    <x v="0"/>
    <x v="21"/>
    <x v="21"/>
  </r>
  <r>
    <x v="6"/>
    <x v="0"/>
    <x v="146"/>
    <x v="9"/>
    <x v="0"/>
    <x v="0"/>
    <x v="6"/>
    <x v="38"/>
    <x v="26"/>
    <x v="17"/>
    <x v="59"/>
    <x v="50"/>
    <x v="6"/>
    <x v="12"/>
    <x v="19"/>
    <x v="2"/>
    <x v="6"/>
    <x v="1"/>
    <x v="0"/>
    <x v="0"/>
    <x v="0"/>
    <x v="0"/>
    <x v="0"/>
    <x v="60"/>
    <x v="38"/>
  </r>
  <r>
    <x v="6"/>
    <x v="0"/>
    <x v="146"/>
    <x v="9"/>
    <x v="0"/>
    <x v="0"/>
    <x v="5"/>
    <x v="38"/>
    <x v="26"/>
    <x v="18"/>
    <x v="61"/>
    <x v="72"/>
    <x v="5"/>
    <x v="14"/>
    <x v="28"/>
    <x v="2"/>
    <x v="5"/>
    <x v="1"/>
    <x v="0"/>
    <x v="0"/>
    <x v="0"/>
    <x v="0"/>
    <x v="0"/>
    <x v="50"/>
    <x v="38"/>
  </r>
  <r>
    <x v="6"/>
    <x v="0"/>
    <x v="146"/>
    <x v="9"/>
    <x v="0"/>
    <x v="0"/>
    <x v="4"/>
    <x v="38"/>
    <x v="26"/>
    <x v="22"/>
    <x v="64"/>
    <x v="82"/>
    <x v="4"/>
    <x v="17"/>
    <x v="33"/>
    <x v="2"/>
    <x v="4"/>
    <x v="1"/>
    <x v="0"/>
    <x v="0"/>
    <x v="0"/>
    <x v="0"/>
    <x v="0"/>
    <x v="40"/>
    <x v="38"/>
  </r>
  <r>
    <x v="6"/>
    <x v="0"/>
    <x v="146"/>
    <x v="9"/>
    <x v="0"/>
    <x v="0"/>
    <x v="3"/>
    <x v="38"/>
    <x v="26"/>
    <x v="23"/>
    <x v="68"/>
    <x v="83"/>
    <x v="3"/>
    <x v="16"/>
    <x v="32"/>
    <x v="2"/>
    <x v="3"/>
    <x v="1"/>
    <x v="0"/>
    <x v="0"/>
    <x v="0"/>
    <x v="0"/>
    <x v="0"/>
    <x v="30"/>
    <x v="38"/>
  </r>
  <r>
    <x v="6"/>
    <x v="0"/>
    <x v="146"/>
    <x v="9"/>
    <x v="0"/>
    <x v="0"/>
    <x v="2"/>
    <x v="38"/>
    <x v="26"/>
    <x v="21"/>
    <x v="74"/>
    <x v="84"/>
    <x v="2"/>
    <x v="15"/>
    <x v="30"/>
    <x v="2"/>
    <x v="2"/>
    <x v="1"/>
    <x v="0"/>
    <x v="0"/>
    <x v="0"/>
    <x v="0"/>
    <x v="0"/>
    <x v="20"/>
    <x v="38"/>
  </r>
  <r>
    <x v="3"/>
    <x v="0"/>
    <x v="147"/>
    <x v="9"/>
    <x v="0"/>
    <x v="0"/>
    <x v="6"/>
    <x v="31"/>
    <x v="26"/>
    <x v="17"/>
    <x v="59"/>
    <x v="50"/>
    <x v="6"/>
    <x v="12"/>
    <x v="19"/>
    <x v="2"/>
    <x v="6"/>
    <x v="1"/>
    <x v="0"/>
    <x v="0"/>
    <x v="0"/>
    <x v="0"/>
    <x v="0"/>
    <x v="60"/>
    <x v="31"/>
  </r>
  <r>
    <x v="3"/>
    <x v="0"/>
    <x v="147"/>
    <x v="9"/>
    <x v="0"/>
    <x v="0"/>
    <x v="5"/>
    <x v="31"/>
    <x v="26"/>
    <x v="18"/>
    <x v="61"/>
    <x v="72"/>
    <x v="5"/>
    <x v="14"/>
    <x v="28"/>
    <x v="2"/>
    <x v="5"/>
    <x v="1"/>
    <x v="0"/>
    <x v="0"/>
    <x v="0"/>
    <x v="0"/>
    <x v="0"/>
    <x v="50"/>
    <x v="31"/>
  </r>
  <r>
    <x v="3"/>
    <x v="0"/>
    <x v="147"/>
    <x v="9"/>
    <x v="0"/>
    <x v="0"/>
    <x v="4"/>
    <x v="31"/>
    <x v="26"/>
    <x v="22"/>
    <x v="64"/>
    <x v="82"/>
    <x v="4"/>
    <x v="17"/>
    <x v="33"/>
    <x v="2"/>
    <x v="4"/>
    <x v="1"/>
    <x v="0"/>
    <x v="0"/>
    <x v="0"/>
    <x v="0"/>
    <x v="0"/>
    <x v="40"/>
    <x v="31"/>
  </r>
  <r>
    <x v="3"/>
    <x v="0"/>
    <x v="147"/>
    <x v="9"/>
    <x v="0"/>
    <x v="0"/>
    <x v="3"/>
    <x v="31"/>
    <x v="26"/>
    <x v="23"/>
    <x v="68"/>
    <x v="83"/>
    <x v="3"/>
    <x v="16"/>
    <x v="32"/>
    <x v="2"/>
    <x v="3"/>
    <x v="1"/>
    <x v="0"/>
    <x v="0"/>
    <x v="0"/>
    <x v="0"/>
    <x v="0"/>
    <x v="30"/>
    <x v="31"/>
  </r>
  <r>
    <x v="3"/>
    <x v="0"/>
    <x v="147"/>
    <x v="9"/>
    <x v="0"/>
    <x v="0"/>
    <x v="2"/>
    <x v="31"/>
    <x v="26"/>
    <x v="21"/>
    <x v="74"/>
    <x v="84"/>
    <x v="2"/>
    <x v="15"/>
    <x v="30"/>
    <x v="2"/>
    <x v="2"/>
    <x v="1"/>
    <x v="0"/>
    <x v="0"/>
    <x v="0"/>
    <x v="0"/>
    <x v="0"/>
    <x v="20"/>
    <x v="31"/>
  </r>
  <r>
    <x v="17"/>
    <x v="0"/>
    <x v="148"/>
    <x v="7"/>
    <x v="0"/>
    <x v="0"/>
    <x v="13"/>
    <x v="28"/>
    <x v="36"/>
    <x v="7"/>
    <x v="55"/>
    <x v="18"/>
    <x v="13"/>
    <x v="7"/>
    <x v="7"/>
    <x v="7"/>
    <x v="13"/>
    <x v="1"/>
    <x v="0"/>
    <x v="0"/>
    <x v="0"/>
    <x v="0"/>
    <x v="0"/>
    <x v="81"/>
    <x v="28"/>
  </r>
  <r>
    <x v="17"/>
    <x v="0"/>
    <x v="148"/>
    <x v="7"/>
    <x v="0"/>
    <x v="0"/>
    <x v="12"/>
    <x v="27"/>
    <x v="36"/>
    <x v="8"/>
    <x v="50"/>
    <x v="16"/>
    <x v="12"/>
    <x v="6"/>
    <x v="6"/>
    <x v="7"/>
    <x v="12"/>
    <x v="1"/>
    <x v="0"/>
    <x v="0"/>
    <x v="0"/>
    <x v="0"/>
    <x v="0"/>
    <x v="78"/>
    <x v="27"/>
  </r>
  <r>
    <x v="17"/>
    <x v="0"/>
    <x v="148"/>
    <x v="7"/>
    <x v="0"/>
    <x v="0"/>
    <x v="11"/>
    <x v="28"/>
    <x v="36"/>
    <x v="10"/>
    <x v="54"/>
    <x v="22"/>
    <x v="11"/>
    <x v="6"/>
    <x v="6"/>
    <x v="7"/>
    <x v="11"/>
    <x v="1"/>
    <x v="0"/>
    <x v="0"/>
    <x v="0"/>
    <x v="0"/>
    <x v="0"/>
    <x v="75"/>
    <x v="28"/>
  </r>
  <r>
    <x v="17"/>
    <x v="0"/>
    <x v="148"/>
    <x v="7"/>
    <x v="0"/>
    <x v="0"/>
    <x v="10"/>
    <x v="28"/>
    <x v="36"/>
    <x v="9"/>
    <x v="54"/>
    <x v="21"/>
    <x v="10"/>
    <x v="6"/>
    <x v="6"/>
    <x v="7"/>
    <x v="10"/>
    <x v="1"/>
    <x v="0"/>
    <x v="0"/>
    <x v="0"/>
    <x v="0"/>
    <x v="0"/>
    <x v="72"/>
    <x v="28"/>
  </r>
  <r>
    <x v="17"/>
    <x v="0"/>
    <x v="148"/>
    <x v="7"/>
    <x v="0"/>
    <x v="0"/>
    <x v="9"/>
    <x v="27"/>
    <x v="36"/>
    <x v="11"/>
    <x v="50"/>
    <x v="17"/>
    <x v="9"/>
    <x v="6"/>
    <x v="6"/>
    <x v="7"/>
    <x v="9"/>
    <x v="1"/>
    <x v="0"/>
    <x v="0"/>
    <x v="0"/>
    <x v="0"/>
    <x v="0"/>
    <x v="69"/>
    <x v="27"/>
  </r>
  <r>
    <x v="17"/>
    <x v="0"/>
    <x v="148"/>
    <x v="7"/>
    <x v="0"/>
    <x v="0"/>
    <x v="8"/>
    <x v="28"/>
    <x v="36"/>
    <x v="12"/>
    <x v="51"/>
    <x v="19"/>
    <x v="8"/>
    <x v="8"/>
    <x v="8"/>
    <x v="7"/>
    <x v="8"/>
    <x v="1"/>
    <x v="0"/>
    <x v="0"/>
    <x v="0"/>
    <x v="0"/>
    <x v="0"/>
    <x v="66"/>
    <x v="28"/>
  </r>
  <r>
    <x v="17"/>
    <x v="0"/>
    <x v="148"/>
    <x v="7"/>
    <x v="0"/>
    <x v="0"/>
    <x v="7"/>
    <x v="27"/>
    <x v="36"/>
    <x v="14"/>
    <x v="56"/>
    <x v="31"/>
    <x v="7"/>
    <x v="11"/>
    <x v="13"/>
    <x v="7"/>
    <x v="7"/>
    <x v="1"/>
    <x v="0"/>
    <x v="0"/>
    <x v="0"/>
    <x v="0"/>
    <x v="0"/>
    <x v="63"/>
    <x v="27"/>
  </r>
  <r>
    <x v="6"/>
    <x v="0"/>
    <x v="149"/>
    <x v="9"/>
    <x v="0"/>
    <x v="0"/>
    <x v="6"/>
    <x v="31"/>
    <x v="26"/>
    <x v="17"/>
    <x v="59"/>
    <x v="50"/>
    <x v="6"/>
    <x v="12"/>
    <x v="19"/>
    <x v="2"/>
    <x v="6"/>
    <x v="1"/>
    <x v="0"/>
    <x v="0"/>
    <x v="0"/>
    <x v="0"/>
    <x v="0"/>
    <x v="60"/>
    <x v="31"/>
  </r>
  <r>
    <x v="6"/>
    <x v="0"/>
    <x v="149"/>
    <x v="9"/>
    <x v="0"/>
    <x v="0"/>
    <x v="5"/>
    <x v="31"/>
    <x v="26"/>
    <x v="18"/>
    <x v="61"/>
    <x v="72"/>
    <x v="5"/>
    <x v="14"/>
    <x v="28"/>
    <x v="2"/>
    <x v="5"/>
    <x v="1"/>
    <x v="0"/>
    <x v="0"/>
    <x v="0"/>
    <x v="0"/>
    <x v="0"/>
    <x v="50"/>
    <x v="31"/>
  </r>
  <r>
    <x v="6"/>
    <x v="0"/>
    <x v="149"/>
    <x v="9"/>
    <x v="0"/>
    <x v="0"/>
    <x v="4"/>
    <x v="31"/>
    <x v="26"/>
    <x v="22"/>
    <x v="64"/>
    <x v="82"/>
    <x v="4"/>
    <x v="17"/>
    <x v="33"/>
    <x v="2"/>
    <x v="4"/>
    <x v="1"/>
    <x v="0"/>
    <x v="0"/>
    <x v="0"/>
    <x v="0"/>
    <x v="0"/>
    <x v="40"/>
    <x v="31"/>
  </r>
  <r>
    <x v="6"/>
    <x v="0"/>
    <x v="149"/>
    <x v="9"/>
    <x v="0"/>
    <x v="0"/>
    <x v="3"/>
    <x v="31"/>
    <x v="26"/>
    <x v="23"/>
    <x v="68"/>
    <x v="83"/>
    <x v="3"/>
    <x v="16"/>
    <x v="32"/>
    <x v="2"/>
    <x v="3"/>
    <x v="1"/>
    <x v="0"/>
    <x v="0"/>
    <x v="0"/>
    <x v="0"/>
    <x v="0"/>
    <x v="30"/>
    <x v="31"/>
  </r>
  <r>
    <x v="6"/>
    <x v="0"/>
    <x v="149"/>
    <x v="9"/>
    <x v="0"/>
    <x v="0"/>
    <x v="2"/>
    <x v="31"/>
    <x v="26"/>
    <x v="21"/>
    <x v="74"/>
    <x v="84"/>
    <x v="2"/>
    <x v="15"/>
    <x v="30"/>
    <x v="2"/>
    <x v="2"/>
    <x v="1"/>
    <x v="0"/>
    <x v="0"/>
    <x v="0"/>
    <x v="0"/>
    <x v="0"/>
    <x v="20"/>
    <x v="31"/>
  </r>
  <r>
    <x v="3"/>
    <x v="0"/>
    <x v="150"/>
    <x v="7"/>
    <x v="0"/>
    <x v="0"/>
    <x v="2"/>
    <x v="38"/>
    <x v="42"/>
    <x v="21"/>
    <x v="65"/>
    <x v="81"/>
    <x v="2"/>
    <x v="15"/>
    <x v="43"/>
    <x v="4"/>
    <x v="2"/>
    <x v="1"/>
    <x v="0"/>
    <x v="0"/>
    <x v="0"/>
    <x v="0"/>
    <x v="0"/>
    <x v="18"/>
    <x v="38"/>
  </r>
  <r>
    <x v="3"/>
    <x v="0"/>
    <x v="151"/>
    <x v="7"/>
    <x v="0"/>
    <x v="0"/>
    <x v="1"/>
    <x v="28"/>
    <x v="40"/>
    <x v="20"/>
    <x v="52"/>
    <x v="73"/>
    <x v="1"/>
    <x v="13"/>
    <x v="25"/>
    <x v="10"/>
    <x v="1"/>
    <x v="1"/>
    <x v="0"/>
    <x v="0"/>
    <x v="0"/>
    <x v="0"/>
    <x v="0"/>
    <x v="10"/>
    <x v="28"/>
  </r>
  <r>
    <x v="19"/>
    <x v="0"/>
    <x v="152"/>
    <x v="7"/>
    <x v="0"/>
    <x v="0"/>
    <x v="6"/>
    <x v="28"/>
    <x v="63"/>
    <x v="17"/>
    <x v="69"/>
    <x v="78"/>
    <x v="6"/>
    <x v="12"/>
    <x v="40"/>
    <x v="0"/>
    <x v="6"/>
    <x v="1"/>
    <x v="0"/>
    <x v="0"/>
    <x v="0"/>
    <x v="0"/>
    <x v="0"/>
    <x v="58"/>
    <x v="28"/>
  </r>
  <r>
    <x v="19"/>
    <x v="0"/>
    <x v="152"/>
    <x v="7"/>
    <x v="0"/>
    <x v="0"/>
    <x v="5"/>
    <x v="26"/>
    <x v="63"/>
    <x v="18"/>
    <x v="78"/>
    <x v="86"/>
    <x v="5"/>
    <x v="14"/>
    <x v="46"/>
    <x v="0"/>
    <x v="5"/>
    <x v="1"/>
    <x v="0"/>
    <x v="0"/>
    <x v="0"/>
    <x v="0"/>
    <x v="0"/>
    <x v="48"/>
    <x v="26"/>
  </r>
  <r>
    <x v="19"/>
    <x v="0"/>
    <x v="152"/>
    <x v="7"/>
    <x v="0"/>
    <x v="0"/>
    <x v="4"/>
    <x v="28"/>
    <x v="63"/>
    <x v="22"/>
    <x v="79"/>
    <x v="88"/>
    <x v="4"/>
    <x v="17"/>
    <x v="48"/>
    <x v="0"/>
    <x v="4"/>
    <x v="1"/>
    <x v="0"/>
    <x v="0"/>
    <x v="0"/>
    <x v="0"/>
    <x v="0"/>
    <x v="38"/>
    <x v="28"/>
  </r>
  <r>
    <x v="19"/>
    <x v="0"/>
    <x v="152"/>
    <x v="7"/>
    <x v="0"/>
    <x v="0"/>
    <x v="3"/>
    <x v="28"/>
    <x v="63"/>
    <x v="23"/>
    <x v="76"/>
    <x v="85"/>
    <x v="3"/>
    <x v="16"/>
    <x v="47"/>
    <x v="0"/>
    <x v="3"/>
    <x v="1"/>
    <x v="0"/>
    <x v="0"/>
    <x v="0"/>
    <x v="0"/>
    <x v="0"/>
    <x v="28"/>
    <x v="28"/>
  </r>
  <r>
    <x v="19"/>
    <x v="0"/>
    <x v="152"/>
    <x v="7"/>
    <x v="0"/>
    <x v="0"/>
    <x v="2"/>
    <x v="27"/>
    <x v="63"/>
    <x v="21"/>
    <x v="65"/>
    <x v="81"/>
    <x v="2"/>
    <x v="15"/>
    <x v="43"/>
    <x v="4"/>
    <x v="2"/>
    <x v="1"/>
    <x v="0"/>
    <x v="0"/>
    <x v="0"/>
    <x v="0"/>
    <x v="0"/>
    <x v="18"/>
    <x v="27"/>
  </r>
  <r>
    <x v="19"/>
    <x v="0"/>
    <x v="153"/>
    <x v="7"/>
    <x v="0"/>
    <x v="0"/>
    <x v="1"/>
    <x v="12"/>
    <x v="33"/>
    <x v="20"/>
    <x v="52"/>
    <x v="73"/>
    <x v="1"/>
    <x v="13"/>
    <x v="25"/>
    <x v="10"/>
    <x v="1"/>
    <x v="1"/>
    <x v="0"/>
    <x v="0"/>
    <x v="0"/>
    <x v="0"/>
    <x v="0"/>
    <x v="10"/>
    <x v="12"/>
  </r>
  <r>
    <x v="19"/>
    <x v="0"/>
    <x v="154"/>
    <x v="10"/>
    <x v="0"/>
    <x v="0"/>
    <x v="6"/>
    <x v="16"/>
    <x v="19"/>
    <x v="17"/>
    <x v="25"/>
    <x v="26"/>
    <x v="6"/>
    <x v="12"/>
    <x v="20"/>
    <x v="12"/>
    <x v="6"/>
    <x v="1"/>
    <x v="0"/>
    <x v="0"/>
    <x v="0"/>
    <x v="0"/>
    <x v="0"/>
    <x v="61"/>
    <x v="16"/>
  </r>
  <r>
    <x v="19"/>
    <x v="0"/>
    <x v="154"/>
    <x v="10"/>
    <x v="0"/>
    <x v="0"/>
    <x v="5"/>
    <x v="18"/>
    <x v="19"/>
    <x v="18"/>
    <x v="28"/>
    <x v="43"/>
    <x v="5"/>
    <x v="14"/>
    <x v="34"/>
    <x v="12"/>
    <x v="5"/>
    <x v="1"/>
    <x v="0"/>
    <x v="0"/>
    <x v="0"/>
    <x v="0"/>
    <x v="0"/>
    <x v="51"/>
    <x v="18"/>
  </r>
  <r>
    <x v="19"/>
    <x v="0"/>
    <x v="154"/>
    <x v="10"/>
    <x v="0"/>
    <x v="0"/>
    <x v="4"/>
    <x v="16"/>
    <x v="19"/>
    <x v="22"/>
    <x v="26"/>
    <x v="55"/>
    <x v="4"/>
    <x v="17"/>
    <x v="38"/>
    <x v="12"/>
    <x v="4"/>
    <x v="1"/>
    <x v="0"/>
    <x v="0"/>
    <x v="0"/>
    <x v="0"/>
    <x v="0"/>
    <x v="41"/>
    <x v="16"/>
  </r>
  <r>
    <x v="19"/>
    <x v="0"/>
    <x v="154"/>
    <x v="10"/>
    <x v="0"/>
    <x v="0"/>
    <x v="3"/>
    <x v="16"/>
    <x v="19"/>
    <x v="23"/>
    <x v="23"/>
    <x v="58"/>
    <x v="3"/>
    <x v="16"/>
    <x v="36"/>
    <x v="12"/>
    <x v="3"/>
    <x v="1"/>
    <x v="0"/>
    <x v="0"/>
    <x v="0"/>
    <x v="0"/>
    <x v="0"/>
    <x v="31"/>
    <x v="16"/>
  </r>
  <r>
    <x v="19"/>
    <x v="0"/>
    <x v="154"/>
    <x v="10"/>
    <x v="0"/>
    <x v="0"/>
    <x v="2"/>
    <x v="17"/>
    <x v="19"/>
    <x v="21"/>
    <x v="21"/>
    <x v="52"/>
    <x v="2"/>
    <x v="15"/>
    <x v="35"/>
    <x v="12"/>
    <x v="2"/>
    <x v="1"/>
    <x v="0"/>
    <x v="0"/>
    <x v="0"/>
    <x v="0"/>
    <x v="0"/>
    <x v="21"/>
    <x v="17"/>
  </r>
  <r>
    <x v="23"/>
    <x v="0"/>
    <x v="155"/>
    <x v="7"/>
    <x v="0"/>
    <x v="1"/>
    <x v="1"/>
    <x v="28"/>
    <x v="33"/>
    <x v="20"/>
    <x v="52"/>
    <x v="73"/>
    <x v="1"/>
    <x v="13"/>
    <x v="25"/>
    <x v="10"/>
    <x v="1"/>
    <x v="0"/>
    <x v="0"/>
    <x v="0"/>
    <x v="0"/>
    <x v="0"/>
    <x v="0"/>
    <x v="10"/>
    <x v="28"/>
  </r>
  <r>
    <x v="3"/>
    <x v="0"/>
    <x v="156"/>
    <x v="9"/>
    <x v="0"/>
    <x v="1"/>
    <x v="1"/>
    <x v="31"/>
    <x v="26"/>
    <x v="20"/>
    <x v="77"/>
    <x v="87"/>
    <x v="1"/>
    <x v="13"/>
    <x v="21"/>
    <x v="0"/>
    <x v="1"/>
    <x v="0"/>
    <x v="0"/>
    <x v="0"/>
    <x v="0"/>
    <x v="0"/>
    <x v="0"/>
    <x v="11"/>
    <x v="31"/>
  </r>
  <r>
    <x v="6"/>
    <x v="0"/>
    <x v="157"/>
    <x v="9"/>
    <x v="0"/>
    <x v="0"/>
    <x v="6"/>
    <x v="31"/>
    <x v="26"/>
    <x v="17"/>
    <x v="59"/>
    <x v="50"/>
    <x v="6"/>
    <x v="12"/>
    <x v="19"/>
    <x v="2"/>
    <x v="6"/>
    <x v="1"/>
    <x v="0"/>
    <x v="0"/>
    <x v="0"/>
    <x v="0"/>
    <x v="0"/>
    <x v="60"/>
    <x v="31"/>
  </r>
  <r>
    <x v="6"/>
    <x v="0"/>
    <x v="157"/>
    <x v="9"/>
    <x v="0"/>
    <x v="0"/>
    <x v="5"/>
    <x v="31"/>
    <x v="26"/>
    <x v="18"/>
    <x v="61"/>
    <x v="72"/>
    <x v="5"/>
    <x v="14"/>
    <x v="28"/>
    <x v="2"/>
    <x v="5"/>
    <x v="1"/>
    <x v="0"/>
    <x v="0"/>
    <x v="0"/>
    <x v="0"/>
    <x v="0"/>
    <x v="50"/>
    <x v="31"/>
  </r>
  <r>
    <x v="6"/>
    <x v="0"/>
    <x v="157"/>
    <x v="9"/>
    <x v="0"/>
    <x v="0"/>
    <x v="4"/>
    <x v="31"/>
    <x v="26"/>
    <x v="22"/>
    <x v="64"/>
    <x v="82"/>
    <x v="4"/>
    <x v="17"/>
    <x v="33"/>
    <x v="2"/>
    <x v="4"/>
    <x v="1"/>
    <x v="0"/>
    <x v="0"/>
    <x v="0"/>
    <x v="0"/>
    <x v="0"/>
    <x v="40"/>
    <x v="31"/>
  </r>
  <r>
    <x v="6"/>
    <x v="0"/>
    <x v="157"/>
    <x v="9"/>
    <x v="0"/>
    <x v="0"/>
    <x v="3"/>
    <x v="31"/>
    <x v="26"/>
    <x v="23"/>
    <x v="68"/>
    <x v="83"/>
    <x v="3"/>
    <x v="16"/>
    <x v="32"/>
    <x v="2"/>
    <x v="3"/>
    <x v="1"/>
    <x v="0"/>
    <x v="0"/>
    <x v="0"/>
    <x v="0"/>
    <x v="0"/>
    <x v="30"/>
    <x v="31"/>
  </r>
  <r>
    <x v="6"/>
    <x v="0"/>
    <x v="157"/>
    <x v="9"/>
    <x v="0"/>
    <x v="0"/>
    <x v="2"/>
    <x v="31"/>
    <x v="26"/>
    <x v="21"/>
    <x v="74"/>
    <x v="84"/>
    <x v="2"/>
    <x v="15"/>
    <x v="30"/>
    <x v="2"/>
    <x v="2"/>
    <x v="1"/>
    <x v="0"/>
    <x v="0"/>
    <x v="0"/>
    <x v="0"/>
    <x v="0"/>
    <x v="20"/>
    <x v="31"/>
  </r>
  <r>
    <x v="6"/>
    <x v="0"/>
    <x v="158"/>
    <x v="7"/>
    <x v="0"/>
    <x v="1"/>
    <x v="6"/>
    <x v="10"/>
    <x v="49"/>
    <x v="17"/>
    <x v="69"/>
    <x v="78"/>
    <x v="6"/>
    <x v="12"/>
    <x v="40"/>
    <x v="0"/>
    <x v="6"/>
    <x v="0"/>
    <x v="0"/>
    <x v="0"/>
    <x v="0"/>
    <x v="0"/>
    <x v="0"/>
    <x v="58"/>
    <x v="10"/>
  </r>
  <r>
    <x v="6"/>
    <x v="0"/>
    <x v="158"/>
    <x v="7"/>
    <x v="0"/>
    <x v="1"/>
    <x v="5"/>
    <x v="10"/>
    <x v="49"/>
    <x v="18"/>
    <x v="78"/>
    <x v="86"/>
    <x v="5"/>
    <x v="14"/>
    <x v="46"/>
    <x v="0"/>
    <x v="5"/>
    <x v="0"/>
    <x v="0"/>
    <x v="0"/>
    <x v="0"/>
    <x v="0"/>
    <x v="0"/>
    <x v="48"/>
    <x v="10"/>
  </r>
  <r>
    <x v="6"/>
    <x v="0"/>
    <x v="158"/>
    <x v="7"/>
    <x v="0"/>
    <x v="1"/>
    <x v="4"/>
    <x v="10"/>
    <x v="49"/>
    <x v="22"/>
    <x v="79"/>
    <x v="88"/>
    <x v="4"/>
    <x v="17"/>
    <x v="48"/>
    <x v="0"/>
    <x v="4"/>
    <x v="0"/>
    <x v="0"/>
    <x v="0"/>
    <x v="0"/>
    <x v="0"/>
    <x v="0"/>
    <x v="38"/>
    <x v="10"/>
  </r>
  <r>
    <x v="6"/>
    <x v="0"/>
    <x v="158"/>
    <x v="7"/>
    <x v="0"/>
    <x v="1"/>
    <x v="3"/>
    <x v="10"/>
    <x v="49"/>
    <x v="23"/>
    <x v="76"/>
    <x v="85"/>
    <x v="3"/>
    <x v="16"/>
    <x v="47"/>
    <x v="0"/>
    <x v="3"/>
    <x v="0"/>
    <x v="0"/>
    <x v="0"/>
    <x v="0"/>
    <x v="0"/>
    <x v="0"/>
    <x v="28"/>
    <x v="10"/>
  </r>
  <r>
    <x v="6"/>
    <x v="0"/>
    <x v="158"/>
    <x v="7"/>
    <x v="0"/>
    <x v="1"/>
    <x v="2"/>
    <x v="10"/>
    <x v="49"/>
    <x v="21"/>
    <x v="65"/>
    <x v="81"/>
    <x v="2"/>
    <x v="15"/>
    <x v="43"/>
    <x v="4"/>
    <x v="2"/>
    <x v="0"/>
    <x v="0"/>
    <x v="0"/>
    <x v="0"/>
    <x v="0"/>
    <x v="0"/>
    <x v="18"/>
    <x v="10"/>
  </r>
  <r>
    <x v="0"/>
    <x v="0"/>
    <x v="159"/>
    <x v="7"/>
    <x v="0"/>
    <x v="0"/>
    <x v="2"/>
    <x v="31"/>
    <x v="42"/>
    <x v="21"/>
    <x v="65"/>
    <x v="81"/>
    <x v="2"/>
    <x v="15"/>
    <x v="43"/>
    <x v="4"/>
    <x v="2"/>
    <x v="1"/>
    <x v="0"/>
    <x v="0"/>
    <x v="0"/>
    <x v="0"/>
    <x v="0"/>
    <x v="18"/>
    <x v="31"/>
  </r>
  <r>
    <x v="17"/>
    <x v="0"/>
    <x v="160"/>
    <x v="7"/>
    <x v="0"/>
    <x v="0"/>
    <x v="6"/>
    <x v="25"/>
    <x v="49"/>
    <x v="17"/>
    <x v="69"/>
    <x v="78"/>
    <x v="6"/>
    <x v="12"/>
    <x v="40"/>
    <x v="0"/>
    <x v="6"/>
    <x v="1"/>
    <x v="0"/>
    <x v="0"/>
    <x v="0"/>
    <x v="0"/>
    <x v="0"/>
    <x v="58"/>
    <x v="25"/>
  </r>
  <r>
    <x v="17"/>
    <x v="0"/>
    <x v="160"/>
    <x v="7"/>
    <x v="0"/>
    <x v="0"/>
    <x v="5"/>
    <x v="23"/>
    <x v="49"/>
    <x v="18"/>
    <x v="78"/>
    <x v="86"/>
    <x v="5"/>
    <x v="14"/>
    <x v="46"/>
    <x v="0"/>
    <x v="5"/>
    <x v="1"/>
    <x v="0"/>
    <x v="0"/>
    <x v="0"/>
    <x v="0"/>
    <x v="0"/>
    <x v="48"/>
    <x v="23"/>
  </r>
  <r>
    <x v="17"/>
    <x v="0"/>
    <x v="160"/>
    <x v="7"/>
    <x v="0"/>
    <x v="0"/>
    <x v="4"/>
    <x v="25"/>
    <x v="49"/>
    <x v="22"/>
    <x v="79"/>
    <x v="88"/>
    <x v="4"/>
    <x v="17"/>
    <x v="48"/>
    <x v="0"/>
    <x v="4"/>
    <x v="1"/>
    <x v="0"/>
    <x v="0"/>
    <x v="0"/>
    <x v="0"/>
    <x v="0"/>
    <x v="38"/>
    <x v="25"/>
  </r>
  <r>
    <x v="17"/>
    <x v="0"/>
    <x v="160"/>
    <x v="7"/>
    <x v="0"/>
    <x v="0"/>
    <x v="3"/>
    <x v="25"/>
    <x v="49"/>
    <x v="23"/>
    <x v="76"/>
    <x v="85"/>
    <x v="3"/>
    <x v="16"/>
    <x v="47"/>
    <x v="0"/>
    <x v="3"/>
    <x v="1"/>
    <x v="0"/>
    <x v="0"/>
    <x v="0"/>
    <x v="0"/>
    <x v="0"/>
    <x v="28"/>
    <x v="25"/>
  </r>
  <r>
    <x v="17"/>
    <x v="0"/>
    <x v="160"/>
    <x v="7"/>
    <x v="0"/>
    <x v="0"/>
    <x v="2"/>
    <x v="24"/>
    <x v="49"/>
    <x v="21"/>
    <x v="65"/>
    <x v="81"/>
    <x v="2"/>
    <x v="15"/>
    <x v="43"/>
    <x v="4"/>
    <x v="2"/>
    <x v="1"/>
    <x v="0"/>
    <x v="0"/>
    <x v="0"/>
    <x v="0"/>
    <x v="0"/>
    <x v="18"/>
    <x v="24"/>
  </r>
  <r>
    <x v="17"/>
    <x v="0"/>
    <x v="161"/>
    <x v="7"/>
    <x v="0"/>
    <x v="1"/>
    <x v="6"/>
    <x v="25"/>
    <x v="49"/>
    <x v="17"/>
    <x v="69"/>
    <x v="78"/>
    <x v="6"/>
    <x v="12"/>
    <x v="40"/>
    <x v="0"/>
    <x v="6"/>
    <x v="0"/>
    <x v="0"/>
    <x v="0"/>
    <x v="0"/>
    <x v="0"/>
    <x v="0"/>
    <x v="58"/>
    <x v="25"/>
  </r>
  <r>
    <x v="17"/>
    <x v="0"/>
    <x v="161"/>
    <x v="7"/>
    <x v="0"/>
    <x v="1"/>
    <x v="5"/>
    <x v="23"/>
    <x v="49"/>
    <x v="18"/>
    <x v="78"/>
    <x v="86"/>
    <x v="5"/>
    <x v="14"/>
    <x v="46"/>
    <x v="0"/>
    <x v="5"/>
    <x v="0"/>
    <x v="0"/>
    <x v="0"/>
    <x v="0"/>
    <x v="0"/>
    <x v="0"/>
    <x v="48"/>
    <x v="23"/>
  </r>
  <r>
    <x v="17"/>
    <x v="0"/>
    <x v="161"/>
    <x v="7"/>
    <x v="0"/>
    <x v="1"/>
    <x v="4"/>
    <x v="25"/>
    <x v="49"/>
    <x v="22"/>
    <x v="79"/>
    <x v="88"/>
    <x v="4"/>
    <x v="17"/>
    <x v="48"/>
    <x v="0"/>
    <x v="4"/>
    <x v="0"/>
    <x v="0"/>
    <x v="0"/>
    <x v="0"/>
    <x v="0"/>
    <x v="0"/>
    <x v="38"/>
    <x v="25"/>
  </r>
  <r>
    <x v="17"/>
    <x v="0"/>
    <x v="161"/>
    <x v="7"/>
    <x v="0"/>
    <x v="1"/>
    <x v="3"/>
    <x v="25"/>
    <x v="49"/>
    <x v="23"/>
    <x v="76"/>
    <x v="85"/>
    <x v="3"/>
    <x v="16"/>
    <x v="47"/>
    <x v="0"/>
    <x v="3"/>
    <x v="0"/>
    <x v="0"/>
    <x v="0"/>
    <x v="0"/>
    <x v="0"/>
    <x v="0"/>
    <x v="28"/>
    <x v="25"/>
  </r>
  <r>
    <x v="17"/>
    <x v="0"/>
    <x v="161"/>
    <x v="7"/>
    <x v="0"/>
    <x v="1"/>
    <x v="2"/>
    <x v="24"/>
    <x v="49"/>
    <x v="21"/>
    <x v="65"/>
    <x v="81"/>
    <x v="2"/>
    <x v="15"/>
    <x v="43"/>
    <x v="4"/>
    <x v="2"/>
    <x v="0"/>
    <x v="0"/>
    <x v="0"/>
    <x v="0"/>
    <x v="0"/>
    <x v="0"/>
    <x v="18"/>
    <x v="24"/>
  </r>
  <r>
    <x v="23"/>
    <x v="0"/>
    <x v="162"/>
    <x v="7"/>
    <x v="0"/>
    <x v="1"/>
    <x v="1"/>
    <x v="7"/>
    <x v="33"/>
    <x v="20"/>
    <x v="52"/>
    <x v="73"/>
    <x v="1"/>
    <x v="13"/>
    <x v="25"/>
    <x v="10"/>
    <x v="1"/>
    <x v="0"/>
    <x v="0"/>
    <x v="0"/>
    <x v="0"/>
    <x v="0"/>
    <x v="0"/>
    <x v="10"/>
    <x v="7"/>
  </r>
  <r>
    <x v="23"/>
    <x v="0"/>
    <x v="163"/>
    <x v="0"/>
    <x v="0"/>
    <x v="0"/>
    <x v="6"/>
    <x v="16"/>
    <x v="33"/>
    <x v="17"/>
    <x v="37"/>
    <x v="32"/>
    <x v="6"/>
    <x v="12"/>
    <x v="20"/>
    <x v="9"/>
    <x v="6"/>
    <x v="1"/>
    <x v="0"/>
    <x v="0"/>
    <x v="0"/>
    <x v="0"/>
    <x v="0"/>
    <x v="52"/>
    <x v="16"/>
  </r>
  <r>
    <x v="23"/>
    <x v="0"/>
    <x v="163"/>
    <x v="0"/>
    <x v="0"/>
    <x v="0"/>
    <x v="5"/>
    <x v="18"/>
    <x v="33"/>
    <x v="18"/>
    <x v="38"/>
    <x v="49"/>
    <x v="5"/>
    <x v="14"/>
    <x v="34"/>
    <x v="9"/>
    <x v="5"/>
    <x v="1"/>
    <x v="0"/>
    <x v="0"/>
    <x v="0"/>
    <x v="0"/>
    <x v="0"/>
    <x v="42"/>
    <x v="18"/>
  </r>
  <r>
    <x v="23"/>
    <x v="0"/>
    <x v="163"/>
    <x v="0"/>
    <x v="0"/>
    <x v="0"/>
    <x v="4"/>
    <x v="16"/>
    <x v="33"/>
    <x v="22"/>
    <x v="39"/>
    <x v="67"/>
    <x v="4"/>
    <x v="17"/>
    <x v="38"/>
    <x v="9"/>
    <x v="4"/>
    <x v="1"/>
    <x v="0"/>
    <x v="0"/>
    <x v="0"/>
    <x v="0"/>
    <x v="0"/>
    <x v="32"/>
    <x v="16"/>
  </r>
  <r>
    <x v="23"/>
    <x v="0"/>
    <x v="163"/>
    <x v="0"/>
    <x v="0"/>
    <x v="0"/>
    <x v="3"/>
    <x v="16"/>
    <x v="33"/>
    <x v="23"/>
    <x v="38"/>
    <x v="71"/>
    <x v="3"/>
    <x v="16"/>
    <x v="36"/>
    <x v="9"/>
    <x v="3"/>
    <x v="1"/>
    <x v="0"/>
    <x v="0"/>
    <x v="0"/>
    <x v="0"/>
    <x v="0"/>
    <x v="22"/>
    <x v="16"/>
  </r>
  <r>
    <x v="23"/>
    <x v="0"/>
    <x v="163"/>
    <x v="0"/>
    <x v="0"/>
    <x v="0"/>
    <x v="2"/>
    <x v="17"/>
    <x v="33"/>
    <x v="21"/>
    <x v="36"/>
    <x v="64"/>
    <x v="2"/>
    <x v="15"/>
    <x v="35"/>
    <x v="9"/>
    <x v="2"/>
    <x v="1"/>
    <x v="0"/>
    <x v="0"/>
    <x v="0"/>
    <x v="0"/>
    <x v="0"/>
    <x v="12"/>
    <x v="17"/>
  </r>
  <r>
    <x v="23"/>
    <x v="0"/>
    <x v="164"/>
    <x v="1"/>
    <x v="0"/>
    <x v="0"/>
    <x v="6"/>
    <x v="16"/>
    <x v="36"/>
    <x v="17"/>
    <x v="47"/>
    <x v="37"/>
    <x v="6"/>
    <x v="12"/>
    <x v="20"/>
    <x v="11"/>
    <x v="6"/>
    <x v="1"/>
    <x v="0"/>
    <x v="0"/>
    <x v="0"/>
    <x v="0"/>
    <x v="0"/>
    <x v="53"/>
    <x v="16"/>
  </r>
  <r>
    <x v="23"/>
    <x v="0"/>
    <x v="164"/>
    <x v="1"/>
    <x v="0"/>
    <x v="0"/>
    <x v="5"/>
    <x v="18"/>
    <x v="36"/>
    <x v="18"/>
    <x v="52"/>
    <x v="57"/>
    <x v="5"/>
    <x v="14"/>
    <x v="34"/>
    <x v="11"/>
    <x v="5"/>
    <x v="1"/>
    <x v="0"/>
    <x v="0"/>
    <x v="0"/>
    <x v="0"/>
    <x v="0"/>
    <x v="43"/>
    <x v="18"/>
  </r>
  <r>
    <x v="23"/>
    <x v="0"/>
    <x v="164"/>
    <x v="1"/>
    <x v="0"/>
    <x v="0"/>
    <x v="4"/>
    <x v="16"/>
    <x v="36"/>
    <x v="22"/>
    <x v="53"/>
    <x v="75"/>
    <x v="4"/>
    <x v="17"/>
    <x v="38"/>
    <x v="11"/>
    <x v="4"/>
    <x v="1"/>
    <x v="0"/>
    <x v="0"/>
    <x v="0"/>
    <x v="0"/>
    <x v="0"/>
    <x v="33"/>
    <x v="16"/>
  </r>
  <r>
    <x v="23"/>
    <x v="0"/>
    <x v="164"/>
    <x v="1"/>
    <x v="0"/>
    <x v="0"/>
    <x v="3"/>
    <x v="16"/>
    <x v="36"/>
    <x v="23"/>
    <x v="48"/>
    <x v="74"/>
    <x v="3"/>
    <x v="16"/>
    <x v="36"/>
    <x v="11"/>
    <x v="3"/>
    <x v="1"/>
    <x v="0"/>
    <x v="0"/>
    <x v="0"/>
    <x v="0"/>
    <x v="0"/>
    <x v="23"/>
    <x v="16"/>
  </r>
  <r>
    <x v="23"/>
    <x v="0"/>
    <x v="164"/>
    <x v="1"/>
    <x v="0"/>
    <x v="0"/>
    <x v="2"/>
    <x v="17"/>
    <x v="36"/>
    <x v="21"/>
    <x v="43"/>
    <x v="69"/>
    <x v="2"/>
    <x v="15"/>
    <x v="35"/>
    <x v="11"/>
    <x v="2"/>
    <x v="1"/>
    <x v="0"/>
    <x v="0"/>
    <x v="0"/>
    <x v="0"/>
    <x v="0"/>
    <x v="13"/>
    <x v="17"/>
  </r>
  <r>
    <x v="15"/>
    <x v="0"/>
    <x v="165"/>
    <x v="5"/>
    <x v="0"/>
    <x v="1"/>
    <x v="6"/>
    <x v="16"/>
    <x v="10"/>
    <x v="17"/>
    <x v="12"/>
    <x v="8"/>
    <x v="6"/>
    <x v="12"/>
    <x v="20"/>
    <x v="11"/>
    <x v="6"/>
    <x v="0"/>
    <x v="0"/>
    <x v="0"/>
    <x v="0"/>
    <x v="0"/>
    <x v="0"/>
    <x v="57"/>
    <x v="16"/>
  </r>
  <r>
    <x v="15"/>
    <x v="0"/>
    <x v="165"/>
    <x v="5"/>
    <x v="0"/>
    <x v="1"/>
    <x v="5"/>
    <x v="18"/>
    <x v="10"/>
    <x v="18"/>
    <x v="10"/>
    <x v="25"/>
    <x v="5"/>
    <x v="14"/>
    <x v="34"/>
    <x v="11"/>
    <x v="5"/>
    <x v="0"/>
    <x v="0"/>
    <x v="0"/>
    <x v="0"/>
    <x v="0"/>
    <x v="0"/>
    <x v="47"/>
    <x v="18"/>
  </r>
  <r>
    <x v="15"/>
    <x v="0"/>
    <x v="165"/>
    <x v="5"/>
    <x v="0"/>
    <x v="1"/>
    <x v="4"/>
    <x v="16"/>
    <x v="10"/>
    <x v="22"/>
    <x v="8"/>
    <x v="39"/>
    <x v="4"/>
    <x v="17"/>
    <x v="38"/>
    <x v="11"/>
    <x v="4"/>
    <x v="0"/>
    <x v="0"/>
    <x v="0"/>
    <x v="0"/>
    <x v="0"/>
    <x v="0"/>
    <x v="37"/>
    <x v="16"/>
  </r>
  <r>
    <x v="15"/>
    <x v="0"/>
    <x v="165"/>
    <x v="5"/>
    <x v="0"/>
    <x v="1"/>
    <x v="3"/>
    <x v="16"/>
    <x v="10"/>
    <x v="23"/>
    <x v="9"/>
    <x v="44"/>
    <x v="3"/>
    <x v="16"/>
    <x v="36"/>
    <x v="11"/>
    <x v="3"/>
    <x v="0"/>
    <x v="0"/>
    <x v="0"/>
    <x v="0"/>
    <x v="0"/>
    <x v="0"/>
    <x v="27"/>
    <x v="16"/>
  </r>
  <r>
    <x v="15"/>
    <x v="0"/>
    <x v="165"/>
    <x v="5"/>
    <x v="0"/>
    <x v="1"/>
    <x v="2"/>
    <x v="17"/>
    <x v="10"/>
    <x v="21"/>
    <x v="11"/>
    <x v="40"/>
    <x v="2"/>
    <x v="15"/>
    <x v="35"/>
    <x v="11"/>
    <x v="2"/>
    <x v="0"/>
    <x v="0"/>
    <x v="0"/>
    <x v="0"/>
    <x v="0"/>
    <x v="0"/>
    <x v="17"/>
    <x v="17"/>
  </r>
  <r>
    <x v="4"/>
    <x v="0"/>
    <x v="166"/>
    <x v="10"/>
    <x v="0"/>
    <x v="0"/>
    <x v="23"/>
    <x v="28"/>
    <x v="22"/>
    <x v="0"/>
    <x v="24"/>
    <x v="0"/>
    <x v="23"/>
    <x v="0"/>
    <x v="0"/>
    <x v="8"/>
    <x v="23"/>
    <x v="1"/>
    <x v="0"/>
    <x v="0"/>
    <x v="0"/>
    <x v="0"/>
    <x v="0"/>
    <x v="92"/>
    <x v="28"/>
  </r>
  <r>
    <x v="4"/>
    <x v="0"/>
    <x v="166"/>
    <x v="10"/>
    <x v="0"/>
    <x v="0"/>
    <x v="22"/>
    <x v="26"/>
    <x v="22"/>
    <x v="1"/>
    <x v="25"/>
    <x v="2"/>
    <x v="22"/>
    <x v="1"/>
    <x v="1"/>
    <x v="8"/>
    <x v="22"/>
    <x v="1"/>
    <x v="0"/>
    <x v="0"/>
    <x v="0"/>
    <x v="0"/>
    <x v="0"/>
    <x v="91"/>
    <x v="26"/>
  </r>
  <r>
    <x v="4"/>
    <x v="0"/>
    <x v="166"/>
    <x v="10"/>
    <x v="0"/>
    <x v="0"/>
    <x v="21"/>
    <x v="28"/>
    <x v="22"/>
    <x v="3"/>
    <x v="29"/>
    <x v="5"/>
    <x v="19"/>
    <x v="1"/>
    <x v="1"/>
    <x v="8"/>
    <x v="21"/>
    <x v="1"/>
    <x v="0"/>
    <x v="0"/>
    <x v="0"/>
    <x v="0"/>
    <x v="0"/>
    <x v="90"/>
    <x v="28"/>
  </r>
  <r>
    <x v="4"/>
    <x v="0"/>
    <x v="166"/>
    <x v="10"/>
    <x v="0"/>
    <x v="0"/>
    <x v="20"/>
    <x v="28"/>
    <x v="22"/>
    <x v="4"/>
    <x v="27"/>
    <x v="4"/>
    <x v="20"/>
    <x v="3"/>
    <x v="3"/>
    <x v="8"/>
    <x v="20"/>
    <x v="1"/>
    <x v="0"/>
    <x v="0"/>
    <x v="0"/>
    <x v="0"/>
    <x v="0"/>
    <x v="89"/>
    <x v="28"/>
  </r>
  <r>
    <x v="4"/>
    <x v="0"/>
    <x v="166"/>
    <x v="10"/>
    <x v="0"/>
    <x v="0"/>
    <x v="19"/>
    <x v="27"/>
    <x v="22"/>
    <x v="2"/>
    <x v="22"/>
    <x v="3"/>
    <x v="21"/>
    <x v="2"/>
    <x v="2"/>
    <x v="8"/>
    <x v="19"/>
    <x v="1"/>
    <x v="0"/>
    <x v="0"/>
    <x v="0"/>
    <x v="0"/>
    <x v="0"/>
    <x v="88"/>
    <x v="27"/>
  </r>
  <r>
    <x v="6"/>
    <x v="0"/>
    <x v="167"/>
    <x v="9"/>
    <x v="0"/>
    <x v="0"/>
    <x v="6"/>
    <x v="25"/>
    <x v="26"/>
    <x v="17"/>
    <x v="59"/>
    <x v="50"/>
    <x v="6"/>
    <x v="12"/>
    <x v="19"/>
    <x v="2"/>
    <x v="6"/>
    <x v="1"/>
    <x v="0"/>
    <x v="0"/>
    <x v="0"/>
    <x v="0"/>
    <x v="0"/>
    <x v="60"/>
    <x v="25"/>
  </r>
  <r>
    <x v="6"/>
    <x v="0"/>
    <x v="167"/>
    <x v="9"/>
    <x v="0"/>
    <x v="0"/>
    <x v="5"/>
    <x v="23"/>
    <x v="26"/>
    <x v="18"/>
    <x v="61"/>
    <x v="72"/>
    <x v="5"/>
    <x v="14"/>
    <x v="28"/>
    <x v="2"/>
    <x v="5"/>
    <x v="1"/>
    <x v="0"/>
    <x v="0"/>
    <x v="0"/>
    <x v="0"/>
    <x v="0"/>
    <x v="50"/>
    <x v="23"/>
  </r>
  <r>
    <x v="6"/>
    <x v="0"/>
    <x v="167"/>
    <x v="9"/>
    <x v="0"/>
    <x v="0"/>
    <x v="4"/>
    <x v="25"/>
    <x v="26"/>
    <x v="22"/>
    <x v="64"/>
    <x v="82"/>
    <x v="4"/>
    <x v="17"/>
    <x v="33"/>
    <x v="2"/>
    <x v="4"/>
    <x v="1"/>
    <x v="0"/>
    <x v="0"/>
    <x v="0"/>
    <x v="0"/>
    <x v="0"/>
    <x v="40"/>
    <x v="25"/>
  </r>
  <r>
    <x v="6"/>
    <x v="0"/>
    <x v="167"/>
    <x v="9"/>
    <x v="0"/>
    <x v="0"/>
    <x v="3"/>
    <x v="25"/>
    <x v="26"/>
    <x v="23"/>
    <x v="68"/>
    <x v="83"/>
    <x v="3"/>
    <x v="16"/>
    <x v="32"/>
    <x v="2"/>
    <x v="3"/>
    <x v="1"/>
    <x v="0"/>
    <x v="0"/>
    <x v="0"/>
    <x v="0"/>
    <x v="0"/>
    <x v="30"/>
    <x v="25"/>
  </r>
  <r>
    <x v="6"/>
    <x v="0"/>
    <x v="167"/>
    <x v="9"/>
    <x v="0"/>
    <x v="0"/>
    <x v="2"/>
    <x v="24"/>
    <x v="26"/>
    <x v="21"/>
    <x v="74"/>
    <x v="84"/>
    <x v="2"/>
    <x v="15"/>
    <x v="30"/>
    <x v="2"/>
    <x v="2"/>
    <x v="1"/>
    <x v="0"/>
    <x v="0"/>
    <x v="0"/>
    <x v="0"/>
    <x v="0"/>
    <x v="20"/>
    <x v="24"/>
  </r>
  <r>
    <x v="2"/>
    <x v="0"/>
    <x v="168"/>
    <x v="9"/>
    <x v="0"/>
    <x v="0"/>
    <x v="1"/>
    <x v="34"/>
    <x v="43"/>
    <x v="20"/>
    <x v="77"/>
    <x v="87"/>
    <x v="1"/>
    <x v="13"/>
    <x v="21"/>
    <x v="0"/>
    <x v="1"/>
    <x v="1"/>
    <x v="0"/>
    <x v="0"/>
    <x v="0"/>
    <x v="0"/>
    <x v="0"/>
    <x v="11"/>
    <x v="34"/>
  </r>
  <r>
    <x v="2"/>
    <x v="0"/>
    <x v="168"/>
    <x v="9"/>
    <x v="0"/>
    <x v="0"/>
    <x v="0"/>
    <x v="33"/>
    <x v="43"/>
    <x v="19"/>
    <x v="80"/>
    <x v="89"/>
    <x v="0"/>
    <x v="6"/>
    <x v="4"/>
    <x v="0"/>
    <x v="0"/>
    <x v="1"/>
    <x v="0"/>
    <x v="0"/>
    <x v="0"/>
    <x v="0"/>
    <x v="0"/>
    <x v="5"/>
    <x v="33"/>
  </r>
  <r>
    <x v="2"/>
    <x v="0"/>
    <x v="169"/>
    <x v="9"/>
    <x v="0"/>
    <x v="1"/>
    <x v="1"/>
    <x v="12"/>
    <x v="36"/>
    <x v="20"/>
    <x v="77"/>
    <x v="87"/>
    <x v="1"/>
    <x v="13"/>
    <x v="21"/>
    <x v="0"/>
    <x v="1"/>
    <x v="0"/>
    <x v="0"/>
    <x v="0"/>
    <x v="0"/>
    <x v="0"/>
    <x v="0"/>
    <x v="11"/>
    <x v="12"/>
  </r>
  <r>
    <x v="2"/>
    <x v="0"/>
    <x v="169"/>
    <x v="9"/>
    <x v="0"/>
    <x v="1"/>
    <x v="0"/>
    <x v="13"/>
    <x v="36"/>
    <x v="19"/>
    <x v="80"/>
    <x v="89"/>
    <x v="0"/>
    <x v="6"/>
    <x v="4"/>
    <x v="0"/>
    <x v="0"/>
    <x v="0"/>
    <x v="0"/>
    <x v="0"/>
    <x v="0"/>
    <x v="0"/>
    <x v="0"/>
    <x v="5"/>
    <x v="13"/>
  </r>
  <r>
    <x v="2"/>
    <x v="0"/>
    <x v="170"/>
    <x v="9"/>
    <x v="0"/>
    <x v="1"/>
    <x v="1"/>
    <x v="20"/>
    <x v="36"/>
    <x v="20"/>
    <x v="77"/>
    <x v="87"/>
    <x v="1"/>
    <x v="13"/>
    <x v="21"/>
    <x v="0"/>
    <x v="1"/>
    <x v="0"/>
    <x v="0"/>
    <x v="0"/>
    <x v="0"/>
    <x v="0"/>
    <x v="0"/>
    <x v="11"/>
    <x v="20"/>
  </r>
  <r>
    <x v="2"/>
    <x v="0"/>
    <x v="170"/>
    <x v="9"/>
    <x v="0"/>
    <x v="1"/>
    <x v="0"/>
    <x v="21"/>
    <x v="36"/>
    <x v="19"/>
    <x v="80"/>
    <x v="89"/>
    <x v="0"/>
    <x v="6"/>
    <x v="4"/>
    <x v="0"/>
    <x v="0"/>
    <x v="0"/>
    <x v="0"/>
    <x v="0"/>
    <x v="0"/>
    <x v="0"/>
    <x v="0"/>
    <x v="5"/>
    <x v="21"/>
  </r>
  <r>
    <x v="5"/>
    <x v="0"/>
    <x v="171"/>
    <x v="9"/>
    <x v="0"/>
    <x v="1"/>
    <x v="1"/>
    <x v="25"/>
    <x v="36"/>
    <x v="20"/>
    <x v="77"/>
    <x v="87"/>
    <x v="1"/>
    <x v="13"/>
    <x v="21"/>
    <x v="0"/>
    <x v="1"/>
    <x v="0"/>
    <x v="0"/>
    <x v="0"/>
    <x v="0"/>
    <x v="0"/>
    <x v="0"/>
    <x v="11"/>
    <x v="25"/>
  </r>
  <r>
    <x v="5"/>
    <x v="0"/>
    <x v="171"/>
    <x v="9"/>
    <x v="0"/>
    <x v="1"/>
    <x v="0"/>
    <x v="24"/>
    <x v="36"/>
    <x v="19"/>
    <x v="80"/>
    <x v="89"/>
    <x v="0"/>
    <x v="6"/>
    <x v="4"/>
    <x v="0"/>
    <x v="0"/>
    <x v="0"/>
    <x v="0"/>
    <x v="0"/>
    <x v="0"/>
    <x v="0"/>
    <x v="0"/>
    <x v="5"/>
    <x v="24"/>
  </r>
  <r>
    <x v="6"/>
    <x v="0"/>
    <x v="172"/>
    <x v="9"/>
    <x v="0"/>
    <x v="0"/>
    <x v="6"/>
    <x v="25"/>
    <x v="26"/>
    <x v="17"/>
    <x v="59"/>
    <x v="50"/>
    <x v="6"/>
    <x v="12"/>
    <x v="19"/>
    <x v="2"/>
    <x v="6"/>
    <x v="1"/>
    <x v="0"/>
    <x v="0"/>
    <x v="0"/>
    <x v="0"/>
    <x v="0"/>
    <x v="60"/>
    <x v="25"/>
  </r>
  <r>
    <x v="6"/>
    <x v="0"/>
    <x v="172"/>
    <x v="9"/>
    <x v="0"/>
    <x v="0"/>
    <x v="5"/>
    <x v="23"/>
    <x v="26"/>
    <x v="18"/>
    <x v="61"/>
    <x v="72"/>
    <x v="5"/>
    <x v="14"/>
    <x v="28"/>
    <x v="2"/>
    <x v="5"/>
    <x v="1"/>
    <x v="0"/>
    <x v="0"/>
    <x v="0"/>
    <x v="0"/>
    <x v="0"/>
    <x v="50"/>
    <x v="23"/>
  </r>
  <r>
    <x v="6"/>
    <x v="0"/>
    <x v="172"/>
    <x v="9"/>
    <x v="0"/>
    <x v="0"/>
    <x v="4"/>
    <x v="25"/>
    <x v="26"/>
    <x v="22"/>
    <x v="64"/>
    <x v="82"/>
    <x v="4"/>
    <x v="17"/>
    <x v="33"/>
    <x v="2"/>
    <x v="4"/>
    <x v="1"/>
    <x v="0"/>
    <x v="0"/>
    <x v="0"/>
    <x v="0"/>
    <x v="0"/>
    <x v="40"/>
    <x v="25"/>
  </r>
  <r>
    <x v="6"/>
    <x v="0"/>
    <x v="172"/>
    <x v="9"/>
    <x v="0"/>
    <x v="0"/>
    <x v="3"/>
    <x v="25"/>
    <x v="26"/>
    <x v="23"/>
    <x v="68"/>
    <x v="83"/>
    <x v="3"/>
    <x v="16"/>
    <x v="32"/>
    <x v="2"/>
    <x v="3"/>
    <x v="1"/>
    <x v="0"/>
    <x v="0"/>
    <x v="0"/>
    <x v="0"/>
    <x v="0"/>
    <x v="30"/>
    <x v="25"/>
  </r>
  <r>
    <x v="6"/>
    <x v="0"/>
    <x v="172"/>
    <x v="9"/>
    <x v="0"/>
    <x v="0"/>
    <x v="2"/>
    <x v="24"/>
    <x v="26"/>
    <x v="21"/>
    <x v="74"/>
    <x v="84"/>
    <x v="2"/>
    <x v="15"/>
    <x v="30"/>
    <x v="2"/>
    <x v="2"/>
    <x v="1"/>
    <x v="0"/>
    <x v="0"/>
    <x v="0"/>
    <x v="0"/>
    <x v="0"/>
    <x v="20"/>
    <x v="24"/>
  </r>
  <r>
    <x v="6"/>
    <x v="0"/>
    <x v="173"/>
    <x v="9"/>
    <x v="0"/>
    <x v="0"/>
    <x v="1"/>
    <x v="38"/>
    <x v="40"/>
    <x v="20"/>
    <x v="77"/>
    <x v="87"/>
    <x v="1"/>
    <x v="13"/>
    <x v="21"/>
    <x v="0"/>
    <x v="1"/>
    <x v="1"/>
    <x v="0"/>
    <x v="0"/>
    <x v="0"/>
    <x v="0"/>
    <x v="0"/>
    <x v="11"/>
    <x v="38"/>
  </r>
  <r>
    <x v="6"/>
    <x v="0"/>
    <x v="173"/>
    <x v="9"/>
    <x v="0"/>
    <x v="0"/>
    <x v="0"/>
    <x v="38"/>
    <x v="40"/>
    <x v="19"/>
    <x v="80"/>
    <x v="89"/>
    <x v="0"/>
    <x v="6"/>
    <x v="4"/>
    <x v="0"/>
    <x v="0"/>
    <x v="1"/>
    <x v="0"/>
    <x v="0"/>
    <x v="0"/>
    <x v="0"/>
    <x v="0"/>
    <x v="5"/>
    <x v="38"/>
  </r>
  <r>
    <x v="5"/>
    <x v="0"/>
    <x v="174"/>
    <x v="9"/>
    <x v="0"/>
    <x v="1"/>
    <x v="1"/>
    <x v="20"/>
    <x v="36"/>
    <x v="20"/>
    <x v="77"/>
    <x v="87"/>
    <x v="1"/>
    <x v="13"/>
    <x v="21"/>
    <x v="0"/>
    <x v="1"/>
    <x v="0"/>
    <x v="0"/>
    <x v="0"/>
    <x v="0"/>
    <x v="0"/>
    <x v="0"/>
    <x v="11"/>
    <x v="20"/>
  </r>
  <r>
    <x v="5"/>
    <x v="0"/>
    <x v="174"/>
    <x v="9"/>
    <x v="0"/>
    <x v="1"/>
    <x v="0"/>
    <x v="21"/>
    <x v="36"/>
    <x v="19"/>
    <x v="80"/>
    <x v="89"/>
    <x v="0"/>
    <x v="6"/>
    <x v="4"/>
    <x v="0"/>
    <x v="0"/>
    <x v="0"/>
    <x v="0"/>
    <x v="0"/>
    <x v="0"/>
    <x v="0"/>
    <x v="0"/>
    <x v="5"/>
    <x v="21"/>
  </r>
  <r>
    <x v="23"/>
    <x v="0"/>
    <x v="175"/>
    <x v="10"/>
    <x v="0"/>
    <x v="0"/>
    <x v="2"/>
    <x v="21"/>
    <x v="19"/>
    <x v="21"/>
    <x v="21"/>
    <x v="52"/>
    <x v="2"/>
    <x v="15"/>
    <x v="35"/>
    <x v="12"/>
    <x v="2"/>
    <x v="1"/>
    <x v="0"/>
    <x v="0"/>
    <x v="0"/>
    <x v="0"/>
    <x v="0"/>
    <x v="21"/>
    <x v="21"/>
  </r>
  <r>
    <x v="23"/>
    <x v="0"/>
    <x v="175"/>
    <x v="10"/>
    <x v="0"/>
    <x v="0"/>
    <x v="3"/>
    <x v="20"/>
    <x v="19"/>
    <x v="23"/>
    <x v="23"/>
    <x v="58"/>
    <x v="3"/>
    <x v="16"/>
    <x v="36"/>
    <x v="12"/>
    <x v="3"/>
    <x v="1"/>
    <x v="0"/>
    <x v="0"/>
    <x v="0"/>
    <x v="0"/>
    <x v="0"/>
    <x v="31"/>
    <x v="20"/>
  </r>
  <r>
    <x v="23"/>
    <x v="0"/>
    <x v="175"/>
    <x v="10"/>
    <x v="0"/>
    <x v="0"/>
    <x v="4"/>
    <x v="20"/>
    <x v="19"/>
    <x v="22"/>
    <x v="26"/>
    <x v="55"/>
    <x v="4"/>
    <x v="17"/>
    <x v="38"/>
    <x v="12"/>
    <x v="4"/>
    <x v="1"/>
    <x v="0"/>
    <x v="0"/>
    <x v="0"/>
    <x v="0"/>
    <x v="0"/>
    <x v="41"/>
    <x v="20"/>
  </r>
  <r>
    <x v="23"/>
    <x v="0"/>
    <x v="175"/>
    <x v="10"/>
    <x v="0"/>
    <x v="0"/>
    <x v="5"/>
    <x v="22"/>
    <x v="19"/>
    <x v="18"/>
    <x v="28"/>
    <x v="43"/>
    <x v="5"/>
    <x v="14"/>
    <x v="34"/>
    <x v="12"/>
    <x v="5"/>
    <x v="1"/>
    <x v="0"/>
    <x v="0"/>
    <x v="0"/>
    <x v="0"/>
    <x v="0"/>
    <x v="51"/>
    <x v="22"/>
  </r>
  <r>
    <x v="23"/>
    <x v="0"/>
    <x v="175"/>
    <x v="10"/>
    <x v="0"/>
    <x v="0"/>
    <x v="6"/>
    <x v="20"/>
    <x v="19"/>
    <x v="17"/>
    <x v="25"/>
    <x v="26"/>
    <x v="6"/>
    <x v="12"/>
    <x v="20"/>
    <x v="12"/>
    <x v="6"/>
    <x v="1"/>
    <x v="0"/>
    <x v="0"/>
    <x v="0"/>
    <x v="0"/>
    <x v="0"/>
    <x v="61"/>
    <x v="20"/>
  </r>
  <r>
    <x v="15"/>
    <x v="0"/>
    <x v="176"/>
    <x v="5"/>
    <x v="0"/>
    <x v="0"/>
    <x v="2"/>
    <x v="17"/>
    <x v="12"/>
    <x v="21"/>
    <x v="11"/>
    <x v="40"/>
    <x v="2"/>
    <x v="15"/>
    <x v="35"/>
    <x v="11"/>
    <x v="2"/>
    <x v="1"/>
    <x v="0"/>
    <x v="0"/>
    <x v="0"/>
    <x v="0"/>
    <x v="0"/>
    <x v="17"/>
    <x v="17"/>
  </r>
  <r>
    <x v="15"/>
    <x v="0"/>
    <x v="176"/>
    <x v="5"/>
    <x v="0"/>
    <x v="0"/>
    <x v="3"/>
    <x v="16"/>
    <x v="12"/>
    <x v="23"/>
    <x v="9"/>
    <x v="44"/>
    <x v="3"/>
    <x v="16"/>
    <x v="36"/>
    <x v="11"/>
    <x v="3"/>
    <x v="1"/>
    <x v="0"/>
    <x v="0"/>
    <x v="0"/>
    <x v="0"/>
    <x v="0"/>
    <x v="27"/>
    <x v="16"/>
  </r>
  <r>
    <x v="15"/>
    <x v="0"/>
    <x v="176"/>
    <x v="5"/>
    <x v="0"/>
    <x v="0"/>
    <x v="4"/>
    <x v="16"/>
    <x v="12"/>
    <x v="22"/>
    <x v="8"/>
    <x v="39"/>
    <x v="4"/>
    <x v="17"/>
    <x v="38"/>
    <x v="11"/>
    <x v="4"/>
    <x v="1"/>
    <x v="0"/>
    <x v="0"/>
    <x v="0"/>
    <x v="0"/>
    <x v="0"/>
    <x v="37"/>
    <x v="16"/>
  </r>
  <r>
    <x v="15"/>
    <x v="0"/>
    <x v="176"/>
    <x v="5"/>
    <x v="0"/>
    <x v="0"/>
    <x v="5"/>
    <x v="18"/>
    <x v="12"/>
    <x v="18"/>
    <x v="10"/>
    <x v="25"/>
    <x v="5"/>
    <x v="14"/>
    <x v="34"/>
    <x v="11"/>
    <x v="5"/>
    <x v="1"/>
    <x v="0"/>
    <x v="0"/>
    <x v="0"/>
    <x v="0"/>
    <x v="0"/>
    <x v="47"/>
    <x v="18"/>
  </r>
  <r>
    <x v="15"/>
    <x v="0"/>
    <x v="176"/>
    <x v="5"/>
    <x v="0"/>
    <x v="0"/>
    <x v="6"/>
    <x v="16"/>
    <x v="12"/>
    <x v="17"/>
    <x v="12"/>
    <x v="8"/>
    <x v="6"/>
    <x v="12"/>
    <x v="20"/>
    <x v="11"/>
    <x v="6"/>
    <x v="1"/>
    <x v="0"/>
    <x v="0"/>
    <x v="0"/>
    <x v="0"/>
    <x v="0"/>
    <x v="57"/>
    <x v="16"/>
  </r>
  <r>
    <x v="6"/>
    <x v="0"/>
    <x v="177"/>
    <x v="7"/>
    <x v="0"/>
    <x v="1"/>
    <x v="2"/>
    <x v="31"/>
    <x v="46"/>
    <x v="21"/>
    <x v="65"/>
    <x v="81"/>
    <x v="2"/>
    <x v="15"/>
    <x v="43"/>
    <x v="4"/>
    <x v="2"/>
    <x v="0"/>
    <x v="0"/>
    <x v="0"/>
    <x v="0"/>
    <x v="0"/>
    <x v="0"/>
    <x v="18"/>
    <x v="31"/>
  </r>
  <r>
    <x v="6"/>
    <x v="0"/>
    <x v="177"/>
    <x v="7"/>
    <x v="0"/>
    <x v="1"/>
    <x v="3"/>
    <x v="31"/>
    <x v="46"/>
    <x v="23"/>
    <x v="76"/>
    <x v="85"/>
    <x v="3"/>
    <x v="16"/>
    <x v="47"/>
    <x v="0"/>
    <x v="3"/>
    <x v="0"/>
    <x v="0"/>
    <x v="0"/>
    <x v="0"/>
    <x v="0"/>
    <x v="0"/>
    <x v="28"/>
    <x v="31"/>
  </r>
  <r>
    <x v="6"/>
    <x v="0"/>
    <x v="177"/>
    <x v="7"/>
    <x v="0"/>
    <x v="1"/>
    <x v="4"/>
    <x v="31"/>
    <x v="46"/>
    <x v="22"/>
    <x v="79"/>
    <x v="88"/>
    <x v="4"/>
    <x v="17"/>
    <x v="48"/>
    <x v="0"/>
    <x v="4"/>
    <x v="0"/>
    <x v="0"/>
    <x v="0"/>
    <x v="0"/>
    <x v="0"/>
    <x v="0"/>
    <x v="38"/>
    <x v="31"/>
  </r>
  <r>
    <x v="6"/>
    <x v="0"/>
    <x v="177"/>
    <x v="7"/>
    <x v="0"/>
    <x v="1"/>
    <x v="5"/>
    <x v="31"/>
    <x v="46"/>
    <x v="18"/>
    <x v="78"/>
    <x v="86"/>
    <x v="5"/>
    <x v="14"/>
    <x v="46"/>
    <x v="0"/>
    <x v="5"/>
    <x v="0"/>
    <x v="0"/>
    <x v="0"/>
    <x v="0"/>
    <x v="0"/>
    <x v="0"/>
    <x v="48"/>
    <x v="31"/>
  </r>
  <r>
    <x v="6"/>
    <x v="0"/>
    <x v="177"/>
    <x v="7"/>
    <x v="0"/>
    <x v="1"/>
    <x v="6"/>
    <x v="31"/>
    <x v="46"/>
    <x v="17"/>
    <x v="69"/>
    <x v="78"/>
    <x v="6"/>
    <x v="12"/>
    <x v="40"/>
    <x v="0"/>
    <x v="6"/>
    <x v="0"/>
    <x v="0"/>
    <x v="0"/>
    <x v="0"/>
    <x v="0"/>
    <x v="0"/>
    <x v="58"/>
    <x v="31"/>
  </r>
  <r>
    <x v="6"/>
    <x v="0"/>
    <x v="178"/>
    <x v="7"/>
    <x v="0"/>
    <x v="0"/>
    <x v="2"/>
    <x v="17"/>
    <x v="63"/>
    <x v="21"/>
    <x v="65"/>
    <x v="81"/>
    <x v="2"/>
    <x v="15"/>
    <x v="43"/>
    <x v="4"/>
    <x v="2"/>
    <x v="1"/>
    <x v="0"/>
    <x v="0"/>
    <x v="0"/>
    <x v="0"/>
    <x v="0"/>
    <x v="18"/>
    <x v="17"/>
  </r>
  <r>
    <x v="6"/>
    <x v="0"/>
    <x v="178"/>
    <x v="7"/>
    <x v="0"/>
    <x v="0"/>
    <x v="3"/>
    <x v="16"/>
    <x v="63"/>
    <x v="23"/>
    <x v="76"/>
    <x v="85"/>
    <x v="3"/>
    <x v="16"/>
    <x v="47"/>
    <x v="0"/>
    <x v="3"/>
    <x v="1"/>
    <x v="0"/>
    <x v="0"/>
    <x v="0"/>
    <x v="0"/>
    <x v="0"/>
    <x v="28"/>
    <x v="16"/>
  </r>
  <r>
    <x v="6"/>
    <x v="0"/>
    <x v="178"/>
    <x v="7"/>
    <x v="0"/>
    <x v="0"/>
    <x v="4"/>
    <x v="16"/>
    <x v="63"/>
    <x v="22"/>
    <x v="79"/>
    <x v="88"/>
    <x v="4"/>
    <x v="17"/>
    <x v="48"/>
    <x v="0"/>
    <x v="4"/>
    <x v="1"/>
    <x v="0"/>
    <x v="0"/>
    <x v="0"/>
    <x v="0"/>
    <x v="0"/>
    <x v="38"/>
    <x v="16"/>
  </r>
  <r>
    <x v="6"/>
    <x v="0"/>
    <x v="178"/>
    <x v="7"/>
    <x v="0"/>
    <x v="0"/>
    <x v="5"/>
    <x v="18"/>
    <x v="63"/>
    <x v="18"/>
    <x v="78"/>
    <x v="86"/>
    <x v="5"/>
    <x v="14"/>
    <x v="46"/>
    <x v="0"/>
    <x v="5"/>
    <x v="1"/>
    <x v="0"/>
    <x v="0"/>
    <x v="0"/>
    <x v="0"/>
    <x v="0"/>
    <x v="48"/>
    <x v="18"/>
  </r>
  <r>
    <x v="6"/>
    <x v="0"/>
    <x v="178"/>
    <x v="7"/>
    <x v="0"/>
    <x v="0"/>
    <x v="6"/>
    <x v="16"/>
    <x v="63"/>
    <x v="17"/>
    <x v="69"/>
    <x v="78"/>
    <x v="6"/>
    <x v="12"/>
    <x v="40"/>
    <x v="0"/>
    <x v="6"/>
    <x v="1"/>
    <x v="0"/>
    <x v="0"/>
    <x v="0"/>
    <x v="0"/>
    <x v="0"/>
    <x v="58"/>
    <x v="16"/>
  </r>
  <r>
    <x v="6"/>
    <x v="0"/>
    <x v="179"/>
    <x v="7"/>
    <x v="0"/>
    <x v="0"/>
    <x v="2"/>
    <x v="15"/>
    <x v="54"/>
    <x v="21"/>
    <x v="65"/>
    <x v="81"/>
    <x v="2"/>
    <x v="15"/>
    <x v="43"/>
    <x v="4"/>
    <x v="2"/>
    <x v="1"/>
    <x v="0"/>
    <x v="0"/>
    <x v="0"/>
    <x v="0"/>
    <x v="0"/>
    <x v="18"/>
    <x v="15"/>
  </r>
  <r>
    <x v="6"/>
    <x v="0"/>
    <x v="179"/>
    <x v="7"/>
    <x v="0"/>
    <x v="0"/>
    <x v="3"/>
    <x v="15"/>
    <x v="54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79"/>
    <x v="7"/>
    <x v="0"/>
    <x v="0"/>
    <x v="4"/>
    <x v="15"/>
    <x v="54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79"/>
    <x v="7"/>
    <x v="0"/>
    <x v="0"/>
    <x v="5"/>
    <x v="15"/>
    <x v="54"/>
    <x v="18"/>
    <x v="78"/>
    <x v="86"/>
    <x v="5"/>
    <x v="14"/>
    <x v="46"/>
    <x v="0"/>
    <x v="5"/>
    <x v="1"/>
    <x v="0"/>
    <x v="0"/>
    <x v="0"/>
    <x v="0"/>
    <x v="0"/>
    <x v="48"/>
    <x v="15"/>
  </r>
  <r>
    <x v="6"/>
    <x v="0"/>
    <x v="179"/>
    <x v="7"/>
    <x v="0"/>
    <x v="0"/>
    <x v="6"/>
    <x v="15"/>
    <x v="54"/>
    <x v="17"/>
    <x v="69"/>
    <x v="78"/>
    <x v="6"/>
    <x v="12"/>
    <x v="40"/>
    <x v="0"/>
    <x v="6"/>
    <x v="1"/>
    <x v="0"/>
    <x v="0"/>
    <x v="0"/>
    <x v="0"/>
    <x v="0"/>
    <x v="58"/>
    <x v="15"/>
  </r>
  <r>
    <x v="6"/>
    <x v="0"/>
    <x v="180"/>
    <x v="7"/>
    <x v="0"/>
    <x v="1"/>
    <x v="2"/>
    <x v="15"/>
    <x v="54"/>
    <x v="21"/>
    <x v="65"/>
    <x v="81"/>
    <x v="2"/>
    <x v="15"/>
    <x v="43"/>
    <x v="4"/>
    <x v="2"/>
    <x v="0"/>
    <x v="0"/>
    <x v="0"/>
    <x v="0"/>
    <x v="0"/>
    <x v="0"/>
    <x v="18"/>
    <x v="15"/>
  </r>
  <r>
    <x v="6"/>
    <x v="0"/>
    <x v="180"/>
    <x v="7"/>
    <x v="0"/>
    <x v="1"/>
    <x v="3"/>
    <x v="15"/>
    <x v="54"/>
    <x v="23"/>
    <x v="76"/>
    <x v="85"/>
    <x v="3"/>
    <x v="16"/>
    <x v="47"/>
    <x v="0"/>
    <x v="3"/>
    <x v="0"/>
    <x v="0"/>
    <x v="0"/>
    <x v="0"/>
    <x v="0"/>
    <x v="0"/>
    <x v="28"/>
    <x v="15"/>
  </r>
  <r>
    <x v="6"/>
    <x v="0"/>
    <x v="180"/>
    <x v="7"/>
    <x v="0"/>
    <x v="1"/>
    <x v="4"/>
    <x v="15"/>
    <x v="54"/>
    <x v="22"/>
    <x v="79"/>
    <x v="88"/>
    <x v="4"/>
    <x v="17"/>
    <x v="48"/>
    <x v="0"/>
    <x v="4"/>
    <x v="0"/>
    <x v="0"/>
    <x v="0"/>
    <x v="0"/>
    <x v="0"/>
    <x v="0"/>
    <x v="38"/>
    <x v="15"/>
  </r>
  <r>
    <x v="6"/>
    <x v="0"/>
    <x v="180"/>
    <x v="7"/>
    <x v="0"/>
    <x v="1"/>
    <x v="5"/>
    <x v="15"/>
    <x v="54"/>
    <x v="18"/>
    <x v="78"/>
    <x v="86"/>
    <x v="5"/>
    <x v="14"/>
    <x v="46"/>
    <x v="0"/>
    <x v="5"/>
    <x v="0"/>
    <x v="0"/>
    <x v="0"/>
    <x v="0"/>
    <x v="0"/>
    <x v="0"/>
    <x v="48"/>
    <x v="15"/>
  </r>
  <r>
    <x v="6"/>
    <x v="0"/>
    <x v="180"/>
    <x v="7"/>
    <x v="0"/>
    <x v="1"/>
    <x v="6"/>
    <x v="15"/>
    <x v="54"/>
    <x v="17"/>
    <x v="69"/>
    <x v="78"/>
    <x v="6"/>
    <x v="12"/>
    <x v="40"/>
    <x v="0"/>
    <x v="6"/>
    <x v="0"/>
    <x v="0"/>
    <x v="0"/>
    <x v="0"/>
    <x v="0"/>
    <x v="0"/>
    <x v="58"/>
    <x v="15"/>
  </r>
  <r>
    <x v="0"/>
    <x v="0"/>
    <x v="181"/>
    <x v="7"/>
    <x v="0"/>
    <x v="0"/>
    <x v="2"/>
    <x v="31"/>
    <x v="46"/>
    <x v="21"/>
    <x v="65"/>
    <x v="81"/>
    <x v="2"/>
    <x v="15"/>
    <x v="43"/>
    <x v="4"/>
    <x v="2"/>
    <x v="1"/>
    <x v="0"/>
    <x v="0"/>
    <x v="0"/>
    <x v="0"/>
    <x v="0"/>
    <x v="18"/>
    <x v="31"/>
  </r>
  <r>
    <x v="0"/>
    <x v="0"/>
    <x v="182"/>
    <x v="7"/>
    <x v="0"/>
    <x v="0"/>
    <x v="2"/>
    <x v="15"/>
    <x v="53"/>
    <x v="21"/>
    <x v="65"/>
    <x v="81"/>
    <x v="2"/>
    <x v="15"/>
    <x v="43"/>
    <x v="4"/>
    <x v="2"/>
    <x v="1"/>
    <x v="0"/>
    <x v="0"/>
    <x v="0"/>
    <x v="0"/>
    <x v="0"/>
    <x v="18"/>
    <x v="15"/>
  </r>
  <r>
    <x v="3"/>
    <x v="0"/>
    <x v="183"/>
    <x v="7"/>
    <x v="0"/>
    <x v="0"/>
    <x v="2"/>
    <x v="38"/>
    <x v="46"/>
    <x v="21"/>
    <x v="65"/>
    <x v="81"/>
    <x v="2"/>
    <x v="15"/>
    <x v="43"/>
    <x v="4"/>
    <x v="2"/>
    <x v="1"/>
    <x v="0"/>
    <x v="0"/>
    <x v="0"/>
    <x v="0"/>
    <x v="0"/>
    <x v="18"/>
    <x v="38"/>
  </r>
  <r>
    <x v="2"/>
    <x v="0"/>
    <x v="184"/>
    <x v="7"/>
    <x v="0"/>
    <x v="0"/>
    <x v="2"/>
    <x v="33"/>
    <x v="64"/>
    <x v="21"/>
    <x v="65"/>
    <x v="81"/>
    <x v="2"/>
    <x v="15"/>
    <x v="43"/>
    <x v="4"/>
    <x v="2"/>
    <x v="1"/>
    <x v="0"/>
    <x v="0"/>
    <x v="0"/>
    <x v="0"/>
    <x v="0"/>
    <x v="18"/>
    <x v="33"/>
  </r>
  <r>
    <x v="2"/>
    <x v="0"/>
    <x v="184"/>
    <x v="7"/>
    <x v="0"/>
    <x v="0"/>
    <x v="3"/>
    <x v="34"/>
    <x v="64"/>
    <x v="23"/>
    <x v="76"/>
    <x v="85"/>
    <x v="3"/>
    <x v="16"/>
    <x v="47"/>
    <x v="0"/>
    <x v="3"/>
    <x v="1"/>
    <x v="0"/>
    <x v="0"/>
    <x v="0"/>
    <x v="0"/>
    <x v="0"/>
    <x v="28"/>
    <x v="34"/>
  </r>
  <r>
    <x v="2"/>
    <x v="0"/>
    <x v="184"/>
    <x v="7"/>
    <x v="0"/>
    <x v="0"/>
    <x v="4"/>
    <x v="34"/>
    <x v="64"/>
    <x v="22"/>
    <x v="79"/>
    <x v="88"/>
    <x v="4"/>
    <x v="17"/>
    <x v="48"/>
    <x v="0"/>
    <x v="4"/>
    <x v="1"/>
    <x v="0"/>
    <x v="0"/>
    <x v="0"/>
    <x v="0"/>
    <x v="0"/>
    <x v="38"/>
    <x v="34"/>
  </r>
  <r>
    <x v="2"/>
    <x v="0"/>
    <x v="184"/>
    <x v="7"/>
    <x v="0"/>
    <x v="0"/>
    <x v="5"/>
    <x v="32"/>
    <x v="64"/>
    <x v="18"/>
    <x v="78"/>
    <x v="86"/>
    <x v="5"/>
    <x v="14"/>
    <x v="46"/>
    <x v="0"/>
    <x v="5"/>
    <x v="1"/>
    <x v="0"/>
    <x v="0"/>
    <x v="0"/>
    <x v="0"/>
    <x v="0"/>
    <x v="48"/>
    <x v="32"/>
  </r>
  <r>
    <x v="2"/>
    <x v="0"/>
    <x v="184"/>
    <x v="7"/>
    <x v="0"/>
    <x v="0"/>
    <x v="6"/>
    <x v="34"/>
    <x v="64"/>
    <x v="17"/>
    <x v="69"/>
    <x v="78"/>
    <x v="6"/>
    <x v="12"/>
    <x v="40"/>
    <x v="0"/>
    <x v="6"/>
    <x v="1"/>
    <x v="0"/>
    <x v="0"/>
    <x v="0"/>
    <x v="0"/>
    <x v="0"/>
    <x v="58"/>
    <x v="34"/>
  </r>
  <r>
    <x v="2"/>
    <x v="0"/>
    <x v="185"/>
    <x v="7"/>
    <x v="0"/>
    <x v="0"/>
    <x v="2"/>
    <x v="13"/>
    <x v="65"/>
    <x v="21"/>
    <x v="65"/>
    <x v="81"/>
    <x v="2"/>
    <x v="15"/>
    <x v="43"/>
    <x v="4"/>
    <x v="2"/>
    <x v="1"/>
    <x v="0"/>
    <x v="0"/>
    <x v="0"/>
    <x v="0"/>
    <x v="0"/>
    <x v="18"/>
    <x v="13"/>
  </r>
  <r>
    <x v="2"/>
    <x v="0"/>
    <x v="185"/>
    <x v="7"/>
    <x v="0"/>
    <x v="0"/>
    <x v="3"/>
    <x v="12"/>
    <x v="65"/>
    <x v="23"/>
    <x v="76"/>
    <x v="85"/>
    <x v="3"/>
    <x v="16"/>
    <x v="47"/>
    <x v="0"/>
    <x v="3"/>
    <x v="1"/>
    <x v="0"/>
    <x v="0"/>
    <x v="0"/>
    <x v="0"/>
    <x v="0"/>
    <x v="28"/>
    <x v="12"/>
  </r>
  <r>
    <x v="2"/>
    <x v="0"/>
    <x v="185"/>
    <x v="7"/>
    <x v="0"/>
    <x v="0"/>
    <x v="4"/>
    <x v="12"/>
    <x v="65"/>
    <x v="22"/>
    <x v="79"/>
    <x v="88"/>
    <x v="4"/>
    <x v="17"/>
    <x v="48"/>
    <x v="0"/>
    <x v="4"/>
    <x v="1"/>
    <x v="0"/>
    <x v="0"/>
    <x v="0"/>
    <x v="0"/>
    <x v="0"/>
    <x v="38"/>
    <x v="12"/>
  </r>
  <r>
    <x v="2"/>
    <x v="0"/>
    <x v="185"/>
    <x v="7"/>
    <x v="0"/>
    <x v="0"/>
    <x v="5"/>
    <x v="14"/>
    <x v="65"/>
    <x v="18"/>
    <x v="78"/>
    <x v="86"/>
    <x v="5"/>
    <x v="14"/>
    <x v="46"/>
    <x v="0"/>
    <x v="5"/>
    <x v="1"/>
    <x v="0"/>
    <x v="0"/>
    <x v="0"/>
    <x v="0"/>
    <x v="0"/>
    <x v="48"/>
    <x v="14"/>
  </r>
  <r>
    <x v="2"/>
    <x v="0"/>
    <x v="185"/>
    <x v="7"/>
    <x v="0"/>
    <x v="0"/>
    <x v="6"/>
    <x v="12"/>
    <x v="65"/>
    <x v="17"/>
    <x v="69"/>
    <x v="78"/>
    <x v="6"/>
    <x v="12"/>
    <x v="40"/>
    <x v="0"/>
    <x v="6"/>
    <x v="1"/>
    <x v="0"/>
    <x v="0"/>
    <x v="0"/>
    <x v="0"/>
    <x v="0"/>
    <x v="58"/>
    <x v="12"/>
  </r>
  <r>
    <x v="6"/>
    <x v="0"/>
    <x v="186"/>
    <x v="7"/>
    <x v="0"/>
    <x v="0"/>
    <x v="3"/>
    <x v="15"/>
    <x v="64"/>
    <x v="23"/>
    <x v="76"/>
    <x v="85"/>
    <x v="3"/>
    <x v="16"/>
    <x v="47"/>
    <x v="0"/>
    <x v="3"/>
    <x v="1"/>
    <x v="0"/>
    <x v="0"/>
    <x v="0"/>
    <x v="0"/>
    <x v="0"/>
    <x v="28"/>
    <x v="15"/>
  </r>
  <r>
    <x v="6"/>
    <x v="0"/>
    <x v="186"/>
    <x v="7"/>
    <x v="0"/>
    <x v="0"/>
    <x v="4"/>
    <x v="15"/>
    <x v="64"/>
    <x v="22"/>
    <x v="79"/>
    <x v="88"/>
    <x v="4"/>
    <x v="17"/>
    <x v="48"/>
    <x v="0"/>
    <x v="4"/>
    <x v="1"/>
    <x v="0"/>
    <x v="0"/>
    <x v="0"/>
    <x v="0"/>
    <x v="0"/>
    <x v="38"/>
    <x v="15"/>
  </r>
  <r>
    <x v="6"/>
    <x v="0"/>
    <x v="186"/>
    <x v="7"/>
    <x v="0"/>
    <x v="0"/>
    <x v="5"/>
    <x v="15"/>
    <x v="64"/>
    <x v="18"/>
    <x v="78"/>
    <x v="86"/>
    <x v="5"/>
    <x v="14"/>
    <x v="46"/>
    <x v="0"/>
    <x v="5"/>
    <x v="1"/>
    <x v="0"/>
    <x v="0"/>
    <x v="0"/>
    <x v="0"/>
    <x v="0"/>
    <x v="48"/>
    <x v="15"/>
  </r>
  <r>
    <x v="23"/>
    <x v="0"/>
    <x v="187"/>
    <x v="7"/>
    <x v="0"/>
    <x v="1"/>
    <x v="1"/>
    <x v="4"/>
    <x v="33"/>
    <x v="20"/>
    <x v="52"/>
    <x v="73"/>
    <x v="1"/>
    <x v="13"/>
    <x v="25"/>
    <x v="10"/>
    <x v="1"/>
    <x v="0"/>
    <x v="0"/>
    <x v="0"/>
    <x v="0"/>
    <x v="0"/>
    <x v="0"/>
    <x v="10"/>
    <x v="4"/>
  </r>
  <r>
    <x v="0"/>
    <x v="0"/>
    <x v="188"/>
    <x v="9"/>
    <x v="0"/>
    <x v="0"/>
    <x v="0"/>
    <x v="27"/>
    <x v="36"/>
    <x v="19"/>
    <x v="80"/>
    <x v="89"/>
    <x v="0"/>
    <x v="6"/>
    <x v="4"/>
    <x v="0"/>
    <x v="0"/>
    <x v="1"/>
    <x v="0"/>
    <x v="0"/>
    <x v="0"/>
    <x v="0"/>
    <x v="0"/>
    <x v="5"/>
    <x v="27"/>
  </r>
  <r>
    <x v="9"/>
    <x v="0"/>
    <x v="189"/>
    <x v="7"/>
    <x v="0"/>
    <x v="0"/>
    <x v="7"/>
    <x v="8"/>
    <x v="40"/>
    <x v="14"/>
    <x v="56"/>
    <x v="31"/>
    <x v="7"/>
    <x v="11"/>
    <x v="13"/>
    <x v="7"/>
    <x v="7"/>
    <x v="1"/>
    <x v="0"/>
    <x v="0"/>
    <x v="0"/>
    <x v="0"/>
    <x v="0"/>
    <x v="63"/>
    <x v="8"/>
  </r>
  <r>
    <x v="21"/>
    <x v="0"/>
    <x v="190"/>
    <x v="7"/>
    <x v="0"/>
    <x v="1"/>
    <x v="2"/>
    <x v="38"/>
    <x v="45"/>
    <x v="21"/>
    <x v="65"/>
    <x v="81"/>
    <x v="2"/>
    <x v="15"/>
    <x v="43"/>
    <x v="4"/>
    <x v="2"/>
    <x v="0"/>
    <x v="0"/>
    <x v="0"/>
    <x v="0"/>
    <x v="0"/>
    <x v="0"/>
    <x v="18"/>
    <x v="38"/>
  </r>
  <r>
    <x v="21"/>
    <x v="0"/>
    <x v="190"/>
    <x v="7"/>
    <x v="0"/>
    <x v="1"/>
    <x v="3"/>
    <x v="38"/>
    <x v="45"/>
    <x v="23"/>
    <x v="76"/>
    <x v="85"/>
    <x v="3"/>
    <x v="16"/>
    <x v="47"/>
    <x v="0"/>
    <x v="3"/>
    <x v="0"/>
    <x v="0"/>
    <x v="0"/>
    <x v="0"/>
    <x v="0"/>
    <x v="0"/>
    <x v="28"/>
    <x v="38"/>
  </r>
  <r>
    <x v="21"/>
    <x v="0"/>
    <x v="190"/>
    <x v="7"/>
    <x v="0"/>
    <x v="1"/>
    <x v="4"/>
    <x v="38"/>
    <x v="45"/>
    <x v="22"/>
    <x v="79"/>
    <x v="88"/>
    <x v="4"/>
    <x v="17"/>
    <x v="48"/>
    <x v="0"/>
    <x v="4"/>
    <x v="0"/>
    <x v="0"/>
    <x v="0"/>
    <x v="0"/>
    <x v="0"/>
    <x v="0"/>
    <x v="38"/>
    <x v="38"/>
  </r>
  <r>
    <x v="21"/>
    <x v="0"/>
    <x v="190"/>
    <x v="7"/>
    <x v="0"/>
    <x v="1"/>
    <x v="5"/>
    <x v="38"/>
    <x v="45"/>
    <x v="18"/>
    <x v="78"/>
    <x v="86"/>
    <x v="5"/>
    <x v="14"/>
    <x v="46"/>
    <x v="0"/>
    <x v="5"/>
    <x v="0"/>
    <x v="0"/>
    <x v="0"/>
    <x v="0"/>
    <x v="0"/>
    <x v="0"/>
    <x v="48"/>
    <x v="38"/>
  </r>
  <r>
    <x v="21"/>
    <x v="0"/>
    <x v="190"/>
    <x v="7"/>
    <x v="0"/>
    <x v="1"/>
    <x v="6"/>
    <x v="38"/>
    <x v="45"/>
    <x v="17"/>
    <x v="69"/>
    <x v="78"/>
    <x v="6"/>
    <x v="12"/>
    <x v="40"/>
    <x v="0"/>
    <x v="6"/>
    <x v="0"/>
    <x v="0"/>
    <x v="0"/>
    <x v="0"/>
    <x v="0"/>
    <x v="0"/>
    <x v="58"/>
    <x v="38"/>
  </r>
  <r>
    <x v="0"/>
    <x v="0"/>
    <x v="191"/>
    <x v="7"/>
    <x v="0"/>
    <x v="0"/>
    <x v="2"/>
    <x v="17"/>
    <x v="66"/>
    <x v="21"/>
    <x v="65"/>
    <x v="81"/>
    <x v="2"/>
    <x v="15"/>
    <x v="43"/>
    <x v="4"/>
    <x v="2"/>
    <x v="1"/>
    <x v="0"/>
    <x v="0"/>
    <x v="0"/>
    <x v="0"/>
    <x v="0"/>
    <x v="18"/>
    <x v="17"/>
  </r>
  <r>
    <x v="0"/>
    <x v="0"/>
    <x v="191"/>
    <x v="7"/>
    <x v="0"/>
    <x v="0"/>
    <x v="3"/>
    <x v="16"/>
    <x v="66"/>
    <x v="23"/>
    <x v="76"/>
    <x v="85"/>
    <x v="3"/>
    <x v="16"/>
    <x v="47"/>
    <x v="0"/>
    <x v="3"/>
    <x v="1"/>
    <x v="0"/>
    <x v="0"/>
    <x v="0"/>
    <x v="0"/>
    <x v="0"/>
    <x v="28"/>
    <x v="16"/>
  </r>
  <r>
    <x v="0"/>
    <x v="0"/>
    <x v="191"/>
    <x v="7"/>
    <x v="0"/>
    <x v="0"/>
    <x v="4"/>
    <x v="16"/>
    <x v="66"/>
    <x v="22"/>
    <x v="79"/>
    <x v="88"/>
    <x v="4"/>
    <x v="17"/>
    <x v="48"/>
    <x v="0"/>
    <x v="4"/>
    <x v="1"/>
    <x v="0"/>
    <x v="0"/>
    <x v="0"/>
    <x v="0"/>
    <x v="0"/>
    <x v="38"/>
    <x v="16"/>
  </r>
  <r>
    <x v="0"/>
    <x v="0"/>
    <x v="191"/>
    <x v="7"/>
    <x v="0"/>
    <x v="0"/>
    <x v="5"/>
    <x v="18"/>
    <x v="66"/>
    <x v="18"/>
    <x v="78"/>
    <x v="86"/>
    <x v="5"/>
    <x v="14"/>
    <x v="46"/>
    <x v="0"/>
    <x v="5"/>
    <x v="1"/>
    <x v="0"/>
    <x v="0"/>
    <x v="0"/>
    <x v="0"/>
    <x v="0"/>
    <x v="48"/>
    <x v="18"/>
  </r>
  <r>
    <x v="0"/>
    <x v="0"/>
    <x v="191"/>
    <x v="7"/>
    <x v="0"/>
    <x v="0"/>
    <x v="6"/>
    <x v="16"/>
    <x v="66"/>
    <x v="17"/>
    <x v="69"/>
    <x v="78"/>
    <x v="6"/>
    <x v="12"/>
    <x v="40"/>
    <x v="0"/>
    <x v="6"/>
    <x v="1"/>
    <x v="0"/>
    <x v="0"/>
    <x v="0"/>
    <x v="0"/>
    <x v="0"/>
    <x v="58"/>
    <x v="16"/>
  </r>
  <r>
    <x v="6"/>
    <x v="0"/>
    <x v="192"/>
    <x v="4"/>
    <x v="0"/>
    <x v="0"/>
    <x v="0"/>
    <x v="27"/>
    <x v="3"/>
    <x v="19"/>
    <x v="0"/>
    <x v="1"/>
    <x v="0"/>
    <x v="6"/>
    <x v="5"/>
    <x v="1"/>
    <x v="0"/>
    <x v="1"/>
    <x v="0"/>
    <x v="0"/>
    <x v="0"/>
    <x v="0"/>
    <x v="0"/>
    <x v="2"/>
    <x v="27"/>
  </r>
  <r>
    <x v="6"/>
    <x v="0"/>
    <x v="192"/>
    <x v="4"/>
    <x v="0"/>
    <x v="0"/>
    <x v="1"/>
    <x v="28"/>
    <x v="3"/>
    <x v="20"/>
    <x v="1"/>
    <x v="7"/>
    <x v="1"/>
    <x v="13"/>
    <x v="23"/>
    <x v="1"/>
    <x v="1"/>
    <x v="1"/>
    <x v="0"/>
    <x v="0"/>
    <x v="0"/>
    <x v="0"/>
    <x v="0"/>
    <x v="8"/>
    <x v="28"/>
  </r>
  <r>
    <x v="6"/>
    <x v="0"/>
    <x v="193"/>
    <x v="4"/>
    <x v="0"/>
    <x v="0"/>
    <x v="0"/>
    <x v="17"/>
    <x v="1"/>
    <x v="19"/>
    <x v="0"/>
    <x v="1"/>
    <x v="0"/>
    <x v="6"/>
    <x v="5"/>
    <x v="1"/>
    <x v="0"/>
    <x v="1"/>
    <x v="0"/>
    <x v="0"/>
    <x v="0"/>
    <x v="0"/>
    <x v="0"/>
    <x v="2"/>
    <x v="17"/>
  </r>
  <r>
    <x v="6"/>
    <x v="0"/>
    <x v="193"/>
    <x v="4"/>
    <x v="0"/>
    <x v="0"/>
    <x v="1"/>
    <x v="16"/>
    <x v="1"/>
    <x v="20"/>
    <x v="1"/>
    <x v="7"/>
    <x v="1"/>
    <x v="13"/>
    <x v="23"/>
    <x v="1"/>
    <x v="1"/>
    <x v="1"/>
    <x v="0"/>
    <x v="0"/>
    <x v="0"/>
    <x v="0"/>
    <x v="0"/>
    <x v="8"/>
    <x v="16"/>
  </r>
  <r>
    <x v="6"/>
    <x v="0"/>
    <x v="194"/>
    <x v="7"/>
    <x v="0"/>
    <x v="0"/>
    <x v="6"/>
    <x v="42"/>
    <x v="59"/>
    <x v="17"/>
    <x v="69"/>
    <x v="78"/>
    <x v="6"/>
    <x v="12"/>
    <x v="40"/>
    <x v="0"/>
    <x v="6"/>
    <x v="1"/>
    <x v="0"/>
    <x v="0"/>
    <x v="0"/>
    <x v="0"/>
    <x v="0"/>
    <x v="58"/>
    <x v="42"/>
  </r>
  <r>
    <x v="2"/>
    <x v="0"/>
    <x v="195"/>
    <x v="9"/>
    <x v="0"/>
    <x v="0"/>
    <x v="0"/>
    <x v="29"/>
    <x v="36"/>
    <x v="19"/>
    <x v="80"/>
    <x v="89"/>
    <x v="0"/>
    <x v="6"/>
    <x v="4"/>
    <x v="0"/>
    <x v="0"/>
    <x v="1"/>
    <x v="0"/>
    <x v="0"/>
    <x v="0"/>
    <x v="0"/>
    <x v="0"/>
    <x v="5"/>
    <x v="29"/>
  </r>
  <r>
    <x v="2"/>
    <x v="0"/>
    <x v="195"/>
    <x v="9"/>
    <x v="0"/>
    <x v="0"/>
    <x v="1"/>
    <x v="30"/>
    <x v="36"/>
    <x v="20"/>
    <x v="77"/>
    <x v="87"/>
    <x v="1"/>
    <x v="13"/>
    <x v="21"/>
    <x v="0"/>
    <x v="1"/>
    <x v="1"/>
    <x v="0"/>
    <x v="0"/>
    <x v="0"/>
    <x v="0"/>
    <x v="0"/>
    <x v="11"/>
    <x v="30"/>
  </r>
  <r>
    <x v="4"/>
    <x v="0"/>
    <x v="196"/>
    <x v="7"/>
    <x v="0"/>
    <x v="1"/>
    <x v="7"/>
    <x v="27"/>
    <x v="26"/>
    <x v="14"/>
    <x v="56"/>
    <x v="31"/>
    <x v="7"/>
    <x v="11"/>
    <x v="13"/>
    <x v="7"/>
    <x v="7"/>
    <x v="0"/>
    <x v="0"/>
    <x v="0"/>
    <x v="0"/>
    <x v="0"/>
    <x v="0"/>
    <x v="63"/>
    <x v="27"/>
  </r>
  <r>
    <x v="4"/>
    <x v="0"/>
    <x v="196"/>
    <x v="7"/>
    <x v="0"/>
    <x v="1"/>
    <x v="8"/>
    <x v="28"/>
    <x v="26"/>
    <x v="12"/>
    <x v="51"/>
    <x v="19"/>
    <x v="8"/>
    <x v="8"/>
    <x v="8"/>
    <x v="7"/>
    <x v="8"/>
    <x v="0"/>
    <x v="0"/>
    <x v="0"/>
    <x v="0"/>
    <x v="0"/>
    <x v="0"/>
    <x v="66"/>
    <x v="28"/>
  </r>
  <r>
    <x v="4"/>
    <x v="0"/>
    <x v="196"/>
    <x v="7"/>
    <x v="0"/>
    <x v="1"/>
    <x v="9"/>
    <x v="27"/>
    <x v="26"/>
    <x v="11"/>
    <x v="50"/>
    <x v="17"/>
    <x v="9"/>
    <x v="6"/>
    <x v="6"/>
    <x v="7"/>
    <x v="9"/>
    <x v="0"/>
    <x v="0"/>
    <x v="0"/>
    <x v="0"/>
    <x v="0"/>
    <x v="0"/>
    <x v="69"/>
    <x v="27"/>
  </r>
  <r>
    <x v="4"/>
    <x v="0"/>
    <x v="196"/>
    <x v="7"/>
    <x v="0"/>
    <x v="1"/>
    <x v="10"/>
    <x v="28"/>
    <x v="26"/>
    <x v="9"/>
    <x v="54"/>
    <x v="21"/>
    <x v="10"/>
    <x v="6"/>
    <x v="6"/>
    <x v="7"/>
    <x v="10"/>
    <x v="0"/>
    <x v="0"/>
    <x v="0"/>
    <x v="0"/>
    <x v="0"/>
    <x v="0"/>
    <x v="72"/>
    <x v="28"/>
  </r>
  <r>
    <x v="4"/>
    <x v="0"/>
    <x v="196"/>
    <x v="7"/>
    <x v="0"/>
    <x v="1"/>
    <x v="11"/>
    <x v="28"/>
    <x v="26"/>
    <x v="10"/>
    <x v="54"/>
    <x v="22"/>
    <x v="11"/>
    <x v="6"/>
    <x v="6"/>
    <x v="7"/>
    <x v="11"/>
    <x v="0"/>
    <x v="0"/>
    <x v="0"/>
    <x v="0"/>
    <x v="0"/>
    <x v="0"/>
    <x v="75"/>
    <x v="28"/>
  </r>
  <r>
    <x v="4"/>
    <x v="0"/>
    <x v="196"/>
    <x v="7"/>
    <x v="0"/>
    <x v="1"/>
    <x v="12"/>
    <x v="27"/>
    <x v="26"/>
    <x v="8"/>
    <x v="50"/>
    <x v="16"/>
    <x v="12"/>
    <x v="6"/>
    <x v="6"/>
    <x v="7"/>
    <x v="12"/>
    <x v="0"/>
    <x v="0"/>
    <x v="0"/>
    <x v="0"/>
    <x v="0"/>
    <x v="0"/>
    <x v="78"/>
    <x v="27"/>
  </r>
  <r>
    <x v="4"/>
    <x v="0"/>
    <x v="196"/>
    <x v="7"/>
    <x v="0"/>
    <x v="1"/>
    <x v="13"/>
    <x v="28"/>
    <x v="26"/>
    <x v="7"/>
    <x v="55"/>
    <x v="18"/>
    <x v="13"/>
    <x v="7"/>
    <x v="7"/>
    <x v="7"/>
    <x v="13"/>
    <x v="0"/>
    <x v="0"/>
    <x v="0"/>
    <x v="0"/>
    <x v="0"/>
    <x v="0"/>
    <x v="81"/>
    <x v="28"/>
  </r>
  <r>
    <x v="17"/>
    <x v="0"/>
    <x v="197"/>
    <x v="7"/>
    <x v="0"/>
    <x v="0"/>
    <x v="7"/>
    <x v="31"/>
    <x v="40"/>
    <x v="14"/>
    <x v="56"/>
    <x v="31"/>
    <x v="7"/>
    <x v="11"/>
    <x v="13"/>
    <x v="7"/>
    <x v="7"/>
    <x v="1"/>
    <x v="0"/>
    <x v="0"/>
    <x v="0"/>
    <x v="0"/>
    <x v="0"/>
    <x v="63"/>
    <x v="31"/>
  </r>
  <r>
    <x v="20"/>
    <x v="0"/>
    <x v="198"/>
    <x v="10"/>
    <x v="0"/>
    <x v="0"/>
    <x v="2"/>
    <x v="5"/>
    <x v="18"/>
    <x v="21"/>
    <x v="21"/>
    <x v="52"/>
    <x v="2"/>
    <x v="15"/>
    <x v="35"/>
    <x v="12"/>
    <x v="2"/>
    <x v="1"/>
    <x v="0"/>
    <x v="0"/>
    <x v="0"/>
    <x v="0"/>
    <x v="0"/>
    <x v="21"/>
    <x v="5"/>
  </r>
  <r>
    <x v="20"/>
    <x v="0"/>
    <x v="198"/>
    <x v="10"/>
    <x v="0"/>
    <x v="0"/>
    <x v="3"/>
    <x v="4"/>
    <x v="18"/>
    <x v="23"/>
    <x v="23"/>
    <x v="58"/>
    <x v="3"/>
    <x v="16"/>
    <x v="36"/>
    <x v="12"/>
    <x v="3"/>
    <x v="1"/>
    <x v="0"/>
    <x v="0"/>
    <x v="0"/>
    <x v="0"/>
    <x v="0"/>
    <x v="31"/>
    <x v="4"/>
  </r>
  <r>
    <x v="20"/>
    <x v="0"/>
    <x v="198"/>
    <x v="10"/>
    <x v="0"/>
    <x v="0"/>
    <x v="4"/>
    <x v="4"/>
    <x v="18"/>
    <x v="22"/>
    <x v="26"/>
    <x v="55"/>
    <x v="4"/>
    <x v="17"/>
    <x v="38"/>
    <x v="12"/>
    <x v="4"/>
    <x v="1"/>
    <x v="0"/>
    <x v="0"/>
    <x v="0"/>
    <x v="0"/>
    <x v="0"/>
    <x v="41"/>
    <x v="4"/>
  </r>
  <r>
    <x v="20"/>
    <x v="0"/>
    <x v="198"/>
    <x v="10"/>
    <x v="0"/>
    <x v="0"/>
    <x v="5"/>
    <x v="6"/>
    <x v="18"/>
    <x v="18"/>
    <x v="28"/>
    <x v="43"/>
    <x v="5"/>
    <x v="14"/>
    <x v="34"/>
    <x v="12"/>
    <x v="5"/>
    <x v="1"/>
    <x v="0"/>
    <x v="0"/>
    <x v="0"/>
    <x v="0"/>
    <x v="0"/>
    <x v="51"/>
    <x v="6"/>
  </r>
  <r>
    <x v="20"/>
    <x v="0"/>
    <x v="198"/>
    <x v="10"/>
    <x v="0"/>
    <x v="0"/>
    <x v="6"/>
    <x v="4"/>
    <x v="18"/>
    <x v="17"/>
    <x v="25"/>
    <x v="26"/>
    <x v="6"/>
    <x v="12"/>
    <x v="20"/>
    <x v="12"/>
    <x v="6"/>
    <x v="1"/>
    <x v="0"/>
    <x v="0"/>
    <x v="0"/>
    <x v="0"/>
    <x v="0"/>
    <x v="61"/>
    <x v="4"/>
  </r>
  <r>
    <x v="11"/>
    <x v="0"/>
    <x v="199"/>
    <x v="10"/>
    <x v="0"/>
    <x v="0"/>
    <x v="2"/>
    <x v="17"/>
    <x v="18"/>
    <x v="21"/>
    <x v="21"/>
    <x v="52"/>
    <x v="2"/>
    <x v="15"/>
    <x v="35"/>
    <x v="12"/>
    <x v="2"/>
    <x v="1"/>
    <x v="0"/>
    <x v="0"/>
    <x v="0"/>
    <x v="0"/>
    <x v="0"/>
    <x v="21"/>
    <x v="17"/>
  </r>
  <r>
    <x v="11"/>
    <x v="0"/>
    <x v="199"/>
    <x v="10"/>
    <x v="0"/>
    <x v="0"/>
    <x v="3"/>
    <x v="16"/>
    <x v="18"/>
    <x v="23"/>
    <x v="23"/>
    <x v="58"/>
    <x v="3"/>
    <x v="16"/>
    <x v="36"/>
    <x v="12"/>
    <x v="3"/>
    <x v="1"/>
    <x v="0"/>
    <x v="0"/>
    <x v="0"/>
    <x v="0"/>
    <x v="0"/>
    <x v="31"/>
    <x v="16"/>
  </r>
  <r>
    <x v="11"/>
    <x v="0"/>
    <x v="199"/>
    <x v="10"/>
    <x v="0"/>
    <x v="0"/>
    <x v="4"/>
    <x v="16"/>
    <x v="18"/>
    <x v="22"/>
    <x v="26"/>
    <x v="55"/>
    <x v="4"/>
    <x v="17"/>
    <x v="38"/>
    <x v="12"/>
    <x v="4"/>
    <x v="1"/>
    <x v="0"/>
    <x v="0"/>
    <x v="0"/>
    <x v="0"/>
    <x v="0"/>
    <x v="41"/>
    <x v="16"/>
  </r>
  <r>
    <x v="11"/>
    <x v="0"/>
    <x v="199"/>
    <x v="10"/>
    <x v="0"/>
    <x v="0"/>
    <x v="5"/>
    <x v="18"/>
    <x v="18"/>
    <x v="18"/>
    <x v="28"/>
    <x v="43"/>
    <x v="5"/>
    <x v="14"/>
    <x v="34"/>
    <x v="12"/>
    <x v="5"/>
    <x v="1"/>
    <x v="0"/>
    <x v="0"/>
    <x v="0"/>
    <x v="0"/>
    <x v="0"/>
    <x v="51"/>
    <x v="18"/>
  </r>
  <r>
    <x v="11"/>
    <x v="0"/>
    <x v="199"/>
    <x v="10"/>
    <x v="0"/>
    <x v="0"/>
    <x v="6"/>
    <x v="16"/>
    <x v="18"/>
    <x v="17"/>
    <x v="25"/>
    <x v="26"/>
    <x v="6"/>
    <x v="12"/>
    <x v="20"/>
    <x v="12"/>
    <x v="6"/>
    <x v="1"/>
    <x v="0"/>
    <x v="0"/>
    <x v="0"/>
    <x v="0"/>
    <x v="0"/>
    <x v="61"/>
    <x v="16"/>
  </r>
  <r>
    <x v="3"/>
    <x v="0"/>
    <x v="200"/>
    <x v="7"/>
    <x v="0"/>
    <x v="0"/>
    <x v="1"/>
    <x v="41"/>
    <x v="36"/>
    <x v="20"/>
    <x v="52"/>
    <x v="73"/>
    <x v="1"/>
    <x v="13"/>
    <x v="25"/>
    <x v="10"/>
    <x v="1"/>
    <x v="1"/>
    <x v="0"/>
    <x v="0"/>
    <x v="0"/>
    <x v="0"/>
    <x v="0"/>
    <x v="10"/>
    <x v="41"/>
  </r>
  <r>
    <x v="15"/>
    <x v="0"/>
    <x v="201"/>
    <x v="7"/>
    <x v="0"/>
    <x v="0"/>
    <x v="2"/>
    <x v="27"/>
    <x v="63"/>
    <x v="21"/>
    <x v="65"/>
    <x v="81"/>
    <x v="2"/>
    <x v="15"/>
    <x v="43"/>
    <x v="4"/>
    <x v="2"/>
    <x v="1"/>
    <x v="0"/>
    <x v="0"/>
    <x v="0"/>
    <x v="0"/>
    <x v="0"/>
    <x v="18"/>
    <x v="27"/>
  </r>
  <r>
    <x v="15"/>
    <x v="0"/>
    <x v="201"/>
    <x v="7"/>
    <x v="0"/>
    <x v="0"/>
    <x v="3"/>
    <x v="28"/>
    <x v="63"/>
    <x v="23"/>
    <x v="76"/>
    <x v="85"/>
    <x v="3"/>
    <x v="16"/>
    <x v="47"/>
    <x v="0"/>
    <x v="3"/>
    <x v="1"/>
    <x v="0"/>
    <x v="0"/>
    <x v="0"/>
    <x v="0"/>
    <x v="0"/>
    <x v="28"/>
    <x v="28"/>
  </r>
  <r>
    <x v="15"/>
    <x v="0"/>
    <x v="201"/>
    <x v="7"/>
    <x v="0"/>
    <x v="0"/>
    <x v="4"/>
    <x v="28"/>
    <x v="63"/>
    <x v="22"/>
    <x v="79"/>
    <x v="88"/>
    <x v="4"/>
    <x v="17"/>
    <x v="48"/>
    <x v="0"/>
    <x v="4"/>
    <x v="1"/>
    <x v="0"/>
    <x v="0"/>
    <x v="0"/>
    <x v="0"/>
    <x v="0"/>
    <x v="38"/>
    <x v="28"/>
  </r>
  <r>
    <x v="15"/>
    <x v="0"/>
    <x v="201"/>
    <x v="7"/>
    <x v="0"/>
    <x v="0"/>
    <x v="5"/>
    <x v="26"/>
    <x v="63"/>
    <x v="18"/>
    <x v="78"/>
    <x v="86"/>
    <x v="5"/>
    <x v="14"/>
    <x v="46"/>
    <x v="0"/>
    <x v="5"/>
    <x v="1"/>
    <x v="0"/>
    <x v="0"/>
    <x v="0"/>
    <x v="0"/>
    <x v="0"/>
    <x v="48"/>
    <x v="26"/>
  </r>
  <r>
    <x v="15"/>
    <x v="0"/>
    <x v="201"/>
    <x v="7"/>
    <x v="0"/>
    <x v="0"/>
    <x v="6"/>
    <x v="28"/>
    <x v="63"/>
    <x v="17"/>
    <x v="69"/>
    <x v="78"/>
    <x v="6"/>
    <x v="12"/>
    <x v="40"/>
    <x v="0"/>
    <x v="6"/>
    <x v="1"/>
    <x v="0"/>
    <x v="0"/>
    <x v="0"/>
    <x v="0"/>
    <x v="0"/>
    <x v="58"/>
    <x v="28"/>
  </r>
  <r>
    <x v="5"/>
    <x v="0"/>
    <x v="202"/>
    <x v="7"/>
    <x v="0"/>
    <x v="0"/>
    <x v="7"/>
    <x v="31"/>
    <x v="36"/>
    <x v="14"/>
    <x v="56"/>
    <x v="31"/>
    <x v="7"/>
    <x v="11"/>
    <x v="13"/>
    <x v="7"/>
    <x v="7"/>
    <x v="1"/>
    <x v="0"/>
    <x v="0"/>
    <x v="0"/>
    <x v="0"/>
    <x v="0"/>
    <x v="63"/>
    <x v="31"/>
  </r>
  <r>
    <x v="5"/>
    <x v="0"/>
    <x v="202"/>
    <x v="7"/>
    <x v="0"/>
    <x v="0"/>
    <x v="8"/>
    <x v="31"/>
    <x v="36"/>
    <x v="12"/>
    <x v="51"/>
    <x v="19"/>
    <x v="8"/>
    <x v="8"/>
    <x v="8"/>
    <x v="7"/>
    <x v="8"/>
    <x v="1"/>
    <x v="0"/>
    <x v="0"/>
    <x v="0"/>
    <x v="0"/>
    <x v="0"/>
    <x v="66"/>
    <x v="31"/>
  </r>
  <r>
    <x v="5"/>
    <x v="0"/>
    <x v="202"/>
    <x v="7"/>
    <x v="0"/>
    <x v="0"/>
    <x v="9"/>
    <x v="31"/>
    <x v="36"/>
    <x v="11"/>
    <x v="50"/>
    <x v="17"/>
    <x v="9"/>
    <x v="6"/>
    <x v="6"/>
    <x v="7"/>
    <x v="9"/>
    <x v="1"/>
    <x v="0"/>
    <x v="0"/>
    <x v="0"/>
    <x v="0"/>
    <x v="0"/>
    <x v="69"/>
    <x v="31"/>
  </r>
  <r>
    <x v="5"/>
    <x v="0"/>
    <x v="202"/>
    <x v="7"/>
    <x v="0"/>
    <x v="0"/>
    <x v="10"/>
    <x v="31"/>
    <x v="36"/>
    <x v="9"/>
    <x v="54"/>
    <x v="21"/>
    <x v="10"/>
    <x v="6"/>
    <x v="6"/>
    <x v="7"/>
    <x v="10"/>
    <x v="1"/>
    <x v="0"/>
    <x v="0"/>
    <x v="0"/>
    <x v="0"/>
    <x v="0"/>
    <x v="72"/>
    <x v="31"/>
  </r>
  <r>
    <x v="5"/>
    <x v="0"/>
    <x v="202"/>
    <x v="7"/>
    <x v="0"/>
    <x v="0"/>
    <x v="11"/>
    <x v="31"/>
    <x v="36"/>
    <x v="10"/>
    <x v="54"/>
    <x v="22"/>
    <x v="11"/>
    <x v="6"/>
    <x v="6"/>
    <x v="7"/>
    <x v="11"/>
    <x v="1"/>
    <x v="0"/>
    <x v="0"/>
    <x v="0"/>
    <x v="0"/>
    <x v="0"/>
    <x v="75"/>
    <x v="31"/>
  </r>
  <r>
    <x v="5"/>
    <x v="0"/>
    <x v="202"/>
    <x v="7"/>
    <x v="0"/>
    <x v="0"/>
    <x v="12"/>
    <x v="31"/>
    <x v="36"/>
    <x v="8"/>
    <x v="50"/>
    <x v="16"/>
    <x v="12"/>
    <x v="6"/>
    <x v="6"/>
    <x v="7"/>
    <x v="12"/>
    <x v="1"/>
    <x v="0"/>
    <x v="0"/>
    <x v="0"/>
    <x v="0"/>
    <x v="0"/>
    <x v="78"/>
    <x v="31"/>
  </r>
  <r>
    <x v="5"/>
    <x v="0"/>
    <x v="202"/>
    <x v="7"/>
    <x v="0"/>
    <x v="0"/>
    <x v="13"/>
    <x v="31"/>
    <x v="36"/>
    <x v="7"/>
    <x v="55"/>
    <x v="18"/>
    <x v="13"/>
    <x v="7"/>
    <x v="7"/>
    <x v="7"/>
    <x v="13"/>
    <x v="1"/>
    <x v="0"/>
    <x v="0"/>
    <x v="0"/>
    <x v="0"/>
    <x v="0"/>
    <x v="81"/>
    <x v="31"/>
  </r>
  <r>
    <x v="5"/>
    <x v="0"/>
    <x v="203"/>
    <x v="7"/>
    <x v="0"/>
    <x v="1"/>
    <x v="7"/>
    <x v="38"/>
    <x v="26"/>
    <x v="14"/>
    <x v="56"/>
    <x v="31"/>
    <x v="7"/>
    <x v="11"/>
    <x v="13"/>
    <x v="7"/>
    <x v="7"/>
    <x v="0"/>
    <x v="0"/>
    <x v="0"/>
    <x v="0"/>
    <x v="0"/>
    <x v="0"/>
    <x v="63"/>
    <x v="38"/>
  </r>
  <r>
    <x v="5"/>
    <x v="0"/>
    <x v="203"/>
    <x v="7"/>
    <x v="0"/>
    <x v="1"/>
    <x v="8"/>
    <x v="38"/>
    <x v="26"/>
    <x v="12"/>
    <x v="51"/>
    <x v="19"/>
    <x v="8"/>
    <x v="8"/>
    <x v="8"/>
    <x v="7"/>
    <x v="8"/>
    <x v="0"/>
    <x v="0"/>
    <x v="0"/>
    <x v="0"/>
    <x v="0"/>
    <x v="0"/>
    <x v="66"/>
    <x v="38"/>
  </r>
  <r>
    <x v="5"/>
    <x v="0"/>
    <x v="203"/>
    <x v="7"/>
    <x v="0"/>
    <x v="1"/>
    <x v="9"/>
    <x v="38"/>
    <x v="26"/>
    <x v="11"/>
    <x v="50"/>
    <x v="17"/>
    <x v="9"/>
    <x v="6"/>
    <x v="6"/>
    <x v="7"/>
    <x v="9"/>
    <x v="0"/>
    <x v="0"/>
    <x v="0"/>
    <x v="0"/>
    <x v="0"/>
    <x v="0"/>
    <x v="69"/>
    <x v="38"/>
  </r>
  <r>
    <x v="5"/>
    <x v="0"/>
    <x v="203"/>
    <x v="7"/>
    <x v="0"/>
    <x v="1"/>
    <x v="10"/>
    <x v="38"/>
    <x v="26"/>
    <x v="9"/>
    <x v="54"/>
    <x v="21"/>
    <x v="10"/>
    <x v="6"/>
    <x v="6"/>
    <x v="7"/>
    <x v="10"/>
    <x v="0"/>
    <x v="0"/>
    <x v="0"/>
    <x v="0"/>
    <x v="0"/>
    <x v="0"/>
    <x v="72"/>
    <x v="38"/>
  </r>
  <r>
    <x v="5"/>
    <x v="0"/>
    <x v="203"/>
    <x v="7"/>
    <x v="0"/>
    <x v="1"/>
    <x v="11"/>
    <x v="38"/>
    <x v="26"/>
    <x v="10"/>
    <x v="54"/>
    <x v="22"/>
    <x v="11"/>
    <x v="6"/>
    <x v="6"/>
    <x v="7"/>
    <x v="11"/>
    <x v="0"/>
    <x v="0"/>
    <x v="0"/>
    <x v="0"/>
    <x v="0"/>
    <x v="0"/>
    <x v="75"/>
    <x v="38"/>
  </r>
  <r>
    <x v="5"/>
    <x v="0"/>
    <x v="203"/>
    <x v="7"/>
    <x v="0"/>
    <x v="1"/>
    <x v="12"/>
    <x v="38"/>
    <x v="26"/>
    <x v="8"/>
    <x v="50"/>
    <x v="16"/>
    <x v="12"/>
    <x v="6"/>
    <x v="6"/>
    <x v="7"/>
    <x v="12"/>
    <x v="0"/>
    <x v="0"/>
    <x v="0"/>
    <x v="0"/>
    <x v="0"/>
    <x v="0"/>
    <x v="78"/>
    <x v="38"/>
  </r>
  <r>
    <x v="5"/>
    <x v="0"/>
    <x v="203"/>
    <x v="7"/>
    <x v="0"/>
    <x v="1"/>
    <x v="13"/>
    <x v="38"/>
    <x v="26"/>
    <x v="7"/>
    <x v="55"/>
    <x v="18"/>
    <x v="13"/>
    <x v="7"/>
    <x v="7"/>
    <x v="7"/>
    <x v="13"/>
    <x v="0"/>
    <x v="0"/>
    <x v="0"/>
    <x v="0"/>
    <x v="0"/>
    <x v="0"/>
    <x v="81"/>
    <x v="38"/>
  </r>
  <r>
    <x v="6"/>
    <x v="0"/>
    <x v="204"/>
    <x v="4"/>
    <x v="0"/>
    <x v="0"/>
    <x v="0"/>
    <x v="10"/>
    <x v="0"/>
    <x v="19"/>
    <x v="0"/>
    <x v="1"/>
    <x v="0"/>
    <x v="6"/>
    <x v="5"/>
    <x v="1"/>
    <x v="0"/>
    <x v="1"/>
    <x v="0"/>
    <x v="0"/>
    <x v="0"/>
    <x v="0"/>
    <x v="0"/>
    <x v="2"/>
    <x v="10"/>
  </r>
  <r>
    <x v="6"/>
    <x v="0"/>
    <x v="205"/>
    <x v="4"/>
    <x v="0"/>
    <x v="1"/>
    <x v="0"/>
    <x v="10"/>
    <x v="0"/>
    <x v="19"/>
    <x v="0"/>
    <x v="1"/>
    <x v="0"/>
    <x v="6"/>
    <x v="5"/>
    <x v="1"/>
    <x v="0"/>
    <x v="0"/>
    <x v="0"/>
    <x v="0"/>
    <x v="0"/>
    <x v="0"/>
    <x v="0"/>
    <x v="2"/>
    <x v="10"/>
  </r>
  <r>
    <x v="6"/>
    <x v="0"/>
    <x v="206"/>
    <x v="4"/>
    <x v="0"/>
    <x v="0"/>
    <x v="0"/>
    <x v="15"/>
    <x v="0"/>
    <x v="19"/>
    <x v="0"/>
    <x v="1"/>
    <x v="0"/>
    <x v="6"/>
    <x v="5"/>
    <x v="1"/>
    <x v="0"/>
    <x v="1"/>
    <x v="0"/>
    <x v="0"/>
    <x v="0"/>
    <x v="0"/>
    <x v="0"/>
    <x v="2"/>
    <x v="15"/>
  </r>
  <r>
    <x v="6"/>
    <x v="0"/>
    <x v="207"/>
    <x v="4"/>
    <x v="0"/>
    <x v="1"/>
    <x v="0"/>
    <x v="15"/>
    <x v="0"/>
    <x v="19"/>
    <x v="0"/>
    <x v="1"/>
    <x v="0"/>
    <x v="6"/>
    <x v="5"/>
    <x v="1"/>
    <x v="0"/>
    <x v="0"/>
    <x v="0"/>
    <x v="0"/>
    <x v="0"/>
    <x v="0"/>
    <x v="0"/>
    <x v="2"/>
    <x v="15"/>
  </r>
  <r>
    <x v="4"/>
    <x v="0"/>
    <x v="208"/>
    <x v="5"/>
    <x v="0"/>
    <x v="0"/>
    <x v="2"/>
    <x v="27"/>
    <x v="12"/>
    <x v="21"/>
    <x v="11"/>
    <x v="40"/>
    <x v="2"/>
    <x v="15"/>
    <x v="35"/>
    <x v="11"/>
    <x v="2"/>
    <x v="1"/>
    <x v="0"/>
    <x v="0"/>
    <x v="0"/>
    <x v="0"/>
    <x v="0"/>
    <x v="17"/>
    <x v="27"/>
  </r>
  <r>
    <x v="4"/>
    <x v="0"/>
    <x v="208"/>
    <x v="5"/>
    <x v="0"/>
    <x v="0"/>
    <x v="3"/>
    <x v="28"/>
    <x v="12"/>
    <x v="23"/>
    <x v="9"/>
    <x v="44"/>
    <x v="3"/>
    <x v="16"/>
    <x v="36"/>
    <x v="11"/>
    <x v="3"/>
    <x v="1"/>
    <x v="0"/>
    <x v="0"/>
    <x v="0"/>
    <x v="0"/>
    <x v="0"/>
    <x v="27"/>
    <x v="28"/>
  </r>
  <r>
    <x v="4"/>
    <x v="0"/>
    <x v="208"/>
    <x v="5"/>
    <x v="0"/>
    <x v="0"/>
    <x v="4"/>
    <x v="28"/>
    <x v="12"/>
    <x v="22"/>
    <x v="8"/>
    <x v="39"/>
    <x v="4"/>
    <x v="17"/>
    <x v="38"/>
    <x v="11"/>
    <x v="4"/>
    <x v="1"/>
    <x v="0"/>
    <x v="0"/>
    <x v="0"/>
    <x v="0"/>
    <x v="0"/>
    <x v="37"/>
    <x v="28"/>
  </r>
  <r>
    <x v="4"/>
    <x v="0"/>
    <x v="208"/>
    <x v="5"/>
    <x v="0"/>
    <x v="0"/>
    <x v="5"/>
    <x v="26"/>
    <x v="12"/>
    <x v="18"/>
    <x v="10"/>
    <x v="25"/>
    <x v="5"/>
    <x v="14"/>
    <x v="34"/>
    <x v="11"/>
    <x v="5"/>
    <x v="1"/>
    <x v="0"/>
    <x v="0"/>
    <x v="0"/>
    <x v="0"/>
    <x v="0"/>
    <x v="47"/>
    <x v="26"/>
  </r>
  <r>
    <x v="4"/>
    <x v="0"/>
    <x v="208"/>
    <x v="5"/>
    <x v="0"/>
    <x v="0"/>
    <x v="6"/>
    <x v="28"/>
    <x v="12"/>
    <x v="17"/>
    <x v="12"/>
    <x v="8"/>
    <x v="6"/>
    <x v="12"/>
    <x v="20"/>
    <x v="11"/>
    <x v="6"/>
    <x v="1"/>
    <x v="0"/>
    <x v="0"/>
    <x v="0"/>
    <x v="0"/>
    <x v="0"/>
    <x v="57"/>
    <x v="28"/>
  </r>
  <r>
    <x v="0"/>
    <x v="0"/>
    <x v="209"/>
    <x v="7"/>
    <x v="0"/>
    <x v="0"/>
    <x v="2"/>
    <x v="15"/>
    <x v="52"/>
    <x v="21"/>
    <x v="65"/>
    <x v="81"/>
    <x v="2"/>
    <x v="15"/>
    <x v="43"/>
    <x v="4"/>
    <x v="2"/>
    <x v="1"/>
    <x v="0"/>
    <x v="0"/>
    <x v="0"/>
    <x v="0"/>
    <x v="0"/>
    <x v="18"/>
    <x v="15"/>
  </r>
  <r>
    <x v="0"/>
    <x v="0"/>
    <x v="209"/>
    <x v="7"/>
    <x v="0"/>
    <x v="0"/>
    <x v="3"/>
    <x v="15"/>
    <x v="52"/>
    <x v="23"/>
    <x v="76"/>
    <x v="85"/>
    <x v="3"/>
    <x v="16"/>
    <x v="47"/>
    <x v="0"/>
    <x v="3"/>
    <x v="1"/>
    <x v="0"/>
    <x v="0"/>
    <x v="0"/>
    <x v="0"/>
    <x v="0"/>
    <x v="28"/>
    <x v="15"/>
  </r>
  <r>
    <x v="0"/>
    <x v="0"/>
    <x v="209"/>
    <x v="7"/>
    <x v="0"/>
    <x v="0"/>
    <x v="4"/>
    <x v="15"/>
    <x v="52"/>
    <x v="22"/>
    <x v="79"/>
    <x v="88"/>
    <x v="4"/>
    <x v="17"/>
    <x v="48"/>
    <x v="0"/>
    <x v="4"/>
    <x v="1"/>
    <x v="0"/>
    <x v="0"/>
    <x v="0"/>
    <x v="0"/>
    <x v="0"/>
    <x v="38"/>
    <x v="15"/>
  </r>
  <r>
    <x v="0"/>
    <x v="0"/>
    <x v="209"/>
    <x v="7"/>
    <x v="0"/>
    <x v="0"/>
    <x v="5"/>
    <x v="15"/>
    <x v="52"/>
    <x v="18"/>
    <x v="78"/>
    <x v="86"/>
    <x v="5"/>
    <x v="14"/>
    <x v="46"/>
    <x v="0"/>
    <x v="5"/>
    <x v="1"/>
    <x v="0"/>
    <x v="0"/>
    <x v="0"/>
    <x v="0"/>
    <x v="0"/>
    <x v="48"/>
    <x v="15"/>
  </r>
  <r>
    <x v="0"/>
    <x v="0"/>
    <x v="209"/>
    <x v="7"/>
    <x v="0"/>
    <x v="0"/>
    <x v="6"/>
    <x v="15"/>
    <x v="52"/>
    <x v="17"/>
    <x v="69"/>
    <x v="78"/>
    <x v="6"/>
    <x v="12"/>
    <x v="40"/>
    <x v="0"/>
    <x v="6"/>
    <x v="1"/>
    <x v="0"/>
    <x v="0"/>
    <x v="0"/>
    <x v="0"/>
    <x v="0"/>
    <x v="58"/>
    <x v="15"/>
  </r>
  <r>
    <x v="0"/>
    <x v="0"/>
    <x v="210"/>
    <x v="7"/>
    <x v="0"/>
    <x v="1"/>
    <x v="2"/>
    <x v="15"/>
    <x v="52"/>
    <x v="21"/>
    <x v="65"/>
    <x v="81"/>
    <x v="2"/>
    <x v="15"/>
    <x v="43"/>
    <x v="4"/>
    <x v="2"/>
    <x v="0"/>
    <x v="0"/>
    <x v="0"/>
    <x v="0"/>
    <x v="0"/>
    <x v="0"/>
    <x v="18"/>
    <x v="15"/>
  </r>
  <r>
    <x v="0"/>
    <x v="0"/>
    <x v="210"/>
    <x v="7"/>
    <x v="0"/>
    <x v="1"/>
    <x v="3"/>
    <x v="15"/>
    <x v="52"/>
    <x v="23"/>
    <x v="76"/>
    <x v="85"/>
    <x v="3"/>
    <x v="16"/>
    <x v="47"/>
    <x v="0"/>
    <x v="3"/>
    <x v="0"/>
    <x v="0"/>
    <x v="0"/>
    <x v="0"/>
    <x v="0"/>
    <x v="0"/>
    <x v="28"/>
    <x v="15"/>
  </r>
  <r>
    <x v="0"/>
    <x v="0"/>
    <x v="210"/>
    <x v="7"/>
    <x v="0"/>
    <x v="1"/>
    <x v="4"/>
    <x v="15"/>
    <x v="52"/>
    <x v="22"/>
    <x v="79"/>
    <x v="88"/>
    <x v="4"/>
    <x v="17"/>
    <x v="48"/>
    <x v="0"/>
    <x v="4"/>
    <x v="0"/>
    <x v="0"/>
    <x v="0"/>
    <x v="0"/>
    <x v="0"/>
    <x v="0"/>
    <x v="38"/>
    <x v="15"/>
  </r>
  <r>
    <x v="0"/>
    <x v="0"/>
    <x v="210"/>
    <x v="7"/>
    <x v="0"/>
    <x v="1"/>
    <x v="5"/>
    <x v="15"/>
    <x v="52"/>
    <x v="18"/>
    <x v="78"/>
    <x v="86"/>
    <x v="5"/>
    <x v="14"/>
    <x v="46"/>
    <x v="0"/>
    <x v="5"/>
    <x v="0"/>
    <x v="0"/>
    <x v="0"/>
    <x v="0"/>
    <x v="0"/>
    <x v="0"/>
    <x v="48"/>
    <x v="15"/>
  </r>
  <r>
    <x v="0"/>
    <x v="0"/>
    <x v="210"/>
    <x v="7"/>
    <x v="0"/>
    <x v="1"/>
    <x v="6"/>
    <x v="15"/>
    <x v="52"/>
    <x v="17"/>
    <x v="69"/>
    <x v="78"/>
    <x v="6"/>
    <x v="12"/>
    <x v="40"/>
    <x v="0"/>
    <x v="6"/>
    <x v="0"/>
    <x v="0"/>
    <x v="0"/>
    <x v="0"/>
    <x v="0"/>
    <x v="0"/>
    <x v="58"/>
    <x v="15"/>
  </r>
  <r>
    <x v="0"/>
    <x v="0"/>
    <x v="211"/>
    <x v="7"/>
    <x v="0"/>
    <x v="1"/>
    <x v="2"/>
    <x v="38"/>
    <x v="45"/>
    <x v="21"/>
    <x v="65"/>
    <x v="81"/>
    <x v="2"/>
    <x v="15"/>
    <x v="43"/>
    <x v="4"/>
    <x v="2"/>
    <x v="0"/>
    <x v="0"/>
    <x v="0"/>
    <x v="0"/>
    <x v="0"/>
    <x v="0"/>
    <x v="18"/>
    <x v="38"/>
  </r>
  <r>
    <x v="0"/>
    <x v="0"/>
    <x v="211"/>
    <x v="7"/>
    <x v="0"/>
    <x v="1"/>
    <x v="3"/>
    <x v="38"/>
    <x v="45"/>
    <x v="23"/>
    <x v="76"/>
    <x v="85"/>
    <x v="3"/>
    <x v="16"/>
    <x v="47"/>
    <x v="0"/>
    <x v="3"/>
    <x v="0"/>
    <x v="0"/>
    <x v="0"/>
    <x v="0"/>
    <x v="0"/>
    <x v="0"/>
    <x v="28"/>
    <x v="38"/>
  </r>
  <r>
    <x v="0"/>
    <x v="0"/>
    <x v="211"/>
    <x v="7"/>
    <x v="0"/>
    <x v="1"/>
    <x v="4"/>
    <x v="38"/>
    <x v="45"/>
    <x v="22"/>
    <x v="79"/>
    <x v="88"/>
    <x v="4"/>
    <x v="17"/>
    <x v="48"/>
    <x v="0"/>
    <x v="4"/>
    <x v="0"/>
    <x v="0"/>
    <x v="0"/>
    <x v="0"/>
    <x v="0"/>
    <x v="0"/>
    <x v="38"/>
    <x v="38"/>
  </r>
  <r>
    <x v="0"/>
    <x v="0"/>
    <x v="211"/>
    <x v="7"/>
    <x v="0"/>
    <x v="1"/>
    <x v="5"/>
    <x v="38"/>
    <x v="45"/>
    <x v="18"/>
    <x v="78"/>
    <x v="86"/>
    <x v="5"/>
    <x v="14"/>
    <x v="46"/>
    <x v="0"/>
    <x v="5"/>
    <x v="0"/>
    <x v="0"/>
    <x v="0"/>
    <x v="0"/>
    <x v="0"/>
    <x v="0"/>
    <x v="48"/>
    <x v="38"/>
  </r>
  <r>
    <x v="0"/>
    <x v="0"/>
    <x v="211"/>
    <x v="7"/>
    <x v="0"/>
    <x v="1"/>
    <x v="6"/>
    <x v="38"/>
    <x v="45"/>
    <x v="17"/>
    <x v="69"/>
    <x v="78"/>
    <x v="6"/>
    <x v="12"/>
    <x v="40"/>
    <x v="0"/>
    <x v="6"/>
    <x v="0"/>
    <x v="0"/>
    <x v="0"/>
    <x v="0"/>
    <x v="0"/>
    <x v="0"/>
    <x v="58"/>
    <x v="38"/>
  </r>
  <r>
    <x v="6"/>
    <x v="0"/>
    <x v="212"/>
    <x v="4"/>
    <x v="0"/>
    <x v="1"/>
    <x v="1"/>
    <x v="42"/>
    <x v="2"/>
    <x v="20"/>
    <x v="1"/>
    <x v="7"/>
    <x v="1"/>
    <x v="13"/>
    <x v="23"/>
    <x v="1"/>
    <x v="1"/>
    <x v="0"/>
    <x v="0"/>
    <x v="0"/>
    <x v="0"/>
    <x v="0"/>
    <x v="0"/>
    <x v="8"/>
    <x v="42"/>
  </r>
  <r>
    <x v="6"/>
    <x v="0"/>
    <x v="213"/>
    <x v="4"/>
    <x v="0"/>
    <x v="1"/>
    <x v="1"/>
    <x v="42"/>
    <x v="2"/>
    <x v="20"/>
    <x v="1"/>
    <x v="7"/>
    <x v="1"/>
    <x v="13"/>
    <x v="23"/>
    <x v="1"/>
    <x v="1"/>
    <x v="0"/>
    <x v="0"/>
    <x v="0"/>
    <x v="0"/>
    <x v="0"/>
    <x v="0"/>
    <x v="8"/>
    <x v="42"/>
  </r>
  <r>
    <x v="17"/>
    <x v="0"/>
    <x v="214"/>
    <x v="7"/>
    <x v="0"/>
    <x v="0"/>
    <x v="7"/>
    <x v="31"/>
    <x v="34"/>
    <x v="14"/>
    <x v="56"/>
    <x v="31"/>
    <x v="7"/>
    <x v="11"/>
    <x v="13"/>
    <x v="7"/>
    <x v="7"/>
    <x v="1"/>
    <x v="0"/>
    <x v="0"/>
    <x v="0"/>
    <x v="0"/>
    <x v="0"/>
    <x v="63"/>
    <x v="31"/>
  </r>
  <r>
    <x v="17"/>
    <x v="0"/>
    <x v="214"/>
    <x v="7"/>
    <x v="0"/>
    <x v="0"/>
    <x v="8"/>
    <x v="31"/>
    <x v="34"/>
    <x v="12"/>
    <x v="51"/>
    <x v="19"/>
    <x v="8"/>
    <x v="8"/>
    <x v="8"/>
    <x v="7"/>
    <x v="8"/>
    <x v="1"/>
    <x v="0"/>
    <x v="0"/>
    <x v="0"/>
    <x v="0"/>
    <x v="0"/>
    <x v="66"/>
    <x v="31"/>
  </r>
  <r>
    <x v="17"/>
    <x v="0"/>
    <x v="214"/>
    <x v="7"/>
    <x v="0"/>
    <x v="0"/>
    <x v="9"/>
    <x v="31"/>
    <x v="34"/>
    <x v="11"/>
    <x v="50"/>
    <x v="17"/>
    <x v="9"/>
    <x v="6"/>
    <x v="6"/>
    <x v="7"/>
    <x v="9"/>
    <x v="1"/>
    <x v="0"/>
    <x v="0"/>
    <x v="0"/>
    <x v="0"/>
    <x v="0"/>
    <x v="69"/>
    <x v="31"/>
  </r>
  <r>
    <x v="17"/>
    <x v="0"/>
    <x v="214"/>
    <x v="7"/>
    <x v="0"/>
    <x v="0"/>
    <x v="10"/>
    <x v="31"/>
    <x v="34"/>
    <x v="9"/>
    <x v="54"/>
    <x v="21"/>
    <x v="10"/>
    <x v="6"/>
    <x v="6"/>
    <x v="7"/>
    <x v="10"/>
    <x v="1"/>
    <x v="0"/>
    <x v="0"/>
    <x v="0"/>
    <x v="0"/>
    <x v="0"/>
    <x v="72"/>
    <x v="31"/>
  </r>
  <r>
    <x v="17"/>
    <x v="0"/>
    <x v="214"/>
    <x v="7"/>
    <x v="0"/>
    <x v="0"/>
    <x v="11"/>
    <x v="31"/>
    <x v="34"/>
    <x v="10"/>
    <x v="54"/>
    <x v="22"/>
    <x v="11"/>
    <x v="6"/>
    <x v="6"/>
    <x v="7"/>
    <x v="11"/>
    <x v="1"/>
    <x v="0"/>
    <x v="0"/>
    <x v="0"/>
    <x v="0"/>
    <x v="0"/>
    <x v="75"/>
    <x v="31"/>
  </r>
  <r>
    <x v="17"/>
    <x v="0"/>
    <x v="214"/>
    <x v="7"/>
    <x v="0"/>
    <x v="0"/>
    <x v="12"/>
    <x v="31"/>
    <x v="34"/>
    <x v="8"/>
    <x v="50"/>
    <x v="16"/>
    <x v="12"/>
    <x v="6"/>
    <x v="6"/>
    <x v="7"/>
    <x v="12"/>
    <x v="1"/>
    <x v="0"/>
    <x v="0"/>
    <x v="0"/>
    <x v="0"/>
    <x v="0"/>
    <x v="78"/>
    <x v="31"/>
  </r>
  <r>
    <x v="17"/>
    <x v="0"/>
    <x v="214"/>
    <x v="7"/>
    <x v="0"/>
    <x v="0"/>
    <x v="13"/>
    <x v="31"/>
    <x v="34"/>
    <x v="7"/>
    <x v="55"/>
    <x v="18"/>
    <x v="13"/>
    <x v="7"/>
    <x v="7"/>
    <x v="7"/>
    <x v="13"/>
    <x v="1"/>
    <x v="0"/>
    <x v="0"/>
    <x v="0"/>
    <x v="0"/>
    <x v="0"/>
    <x v="81"/>
    <x v="31"/>
  </r>
  <r>
    <x v="17"/>
    <x v="0"/>
    <x v="215"/>
    <x v="7"/>
    <x v="0"/>
    <x v="1"/>
    <x v="7"/>
    <x v="31"/>
    <x v="34"/>
    <x v="14"/>
    <x v="56"/>
    <x v="31"/>
    <x v="7"/>
    <x v="11"/>
    <x v="13"/>
    <x v="7"/>
    <x v="7"/>
    <x v="0"/>
    <x v="0"/>
    <x v="0"/>
    <x v="0"/>
    <x v="0"/>
    <x v="0"/>
    <x v="63"/>
    <x v="31"/>
  </r>
  <r>
    <x v="17"/>
    <x v="0"/>
    <x v="215"/>
    <x v="7"/>
    <x v="0"/>
    <x v="1"/>
    <x v="8"/>
    <x v="31"/>
    <x v="34"/>
    <x v="12"/>
    <x v="51"/>
    <x v="19"/>
    <x v="8"/>
    <x v="8"/>
    <x v="8"/>
    <x v="7"/>
    <x v="8"/>
    <x v="0"/>
    <x v="0"/>
    <x v="0"/>
    <x v="0"/>
    <x v="0"/>
    <x v="0"/>
    <x v="66"/>
    <x v="31"/>
  </r>
  <r>
    <x v="17"/>
    <x v="0"/>
    <x v="215"/>
    <x v="7"/>
    <x v="0"/>
    <x v="1"/>
    <x v="9"/>
    <x v="31"/>
    <x v="34"/>
    <x v="11"/>
    <x v="50"/>
    <x v="17"/>
    <x v="9"/>
    <x v="6"/>
    <x v="6"/>
    <x v="7"/>
    <x v="9"/>
    <x v="0"/>
    <x v="0"/>
    <x v="0"/>
    <x v="0"/>
    <x v="0"/>
    <x v="0"/>
    <x v="69"/>
    <x v="31"/>
  </r>
  <r>
    <x v="17"/>
    <x v="0"/>
    <x v="215"/>
    <x v="7"/>
    <x v="0"/>
    <x v="1"/>
    <x v="10"/>
    <x v="31"/>
    <x v="34"/>
    <x v="9"/>
    <x v="54"/>
    <x v="21"/>
    <x v="10"/>
    <x v="6"/>
    <x v="6"/>
    <x v="7"/>
    <x v="10"/>
    <x v="0"/>
    <x v="0"/>
    <x v="0"/>
    <x v="0"/>
    <x v="0"/>
    <x v="0"/>
    <x v="72"/>
    <x v="31"/>
  </r>
  <r>
    <x v="17"/>
    <x v="0"/>
    <x v="215"/>
    <x v="7"/>
    <x v="0"/>
    <x v="1"/>
    <x v="11"/>
    <x v="31"/>
    <x v="34"/>
    <x v="10"/>
    <x v="54"/>
    <x v="22"/>
    <x v="11"/>
    <x v="6"/>
    <x v="6"/>
    <x v="7"/>
    <x v="11"/>
    <x v="0"/>
    <x v="0"/>
    <x v="0"/>
    <x v="0"/>
    <x v="0"/>
    <x v="0"/>
    <x v="75"/>
    <x v="31"/>
  </r>
  <r>
    <x v="17"/>
    <x v="0"/>
    <x v="215"/>
    <x v="7"/>
    <x v="0"/>
    <x v="1"/>
    <x v="12"/>
    <x v="31"/>
    <x v="34"/>
    <x v="8"/>
    <x v="50"/>
    <x v="16"/>
    <x v="12"/>
    <x v="6"/>
    <x v="6"/>
    <x v="7"/>
    <x v="12"/>
    <x v="0"/>
    <x v="0"/>
    <x v="0"/>
    <x v="0"/>
    <x v="0"/>
    <x v="0"/>
    <x v="78"/>
    <x v="31"/>
  </r>
  <r>
    <x v="17"/>
    <x v="0"/>
    <x v="215"/>
    <x v="7"/>
    <x v="0"/>
    <x v="1"/>
    <x v="13"/>
    <x v="31"/>
    <x v="34"/>
    <x v="7"/>
    <x v="55"/>
    <x v="18"/>
    <x v="13"/>
    <x v="7"/>
    <x v="7"/>
    <x v="7"/>
    <x v="13"/>
    <x v="0"/>
    <x v="0"/>
    <x v="0"/>
    <x v="0"/>
    <x v="0"/>
    <x v="0"/>
    <x v="81"/>
    <x v="31"/>
  </r>
  <r>
    <x v="0"/>
    <x v="0"/>
    <x v="216"/>
    <x v="9"/>
    <x v="0"/>
    <x v="0"/>
    <x v="1"/>
    <x v="34"/>
    <x v="41"/>
    <x v="20"/>
    <x v="77"/>
    <x v="87"/>
    <x v="1"/>
    <x v="13"/>
    <x v="21"/>
    <x v="0"/>
    <x v="1"/>
    <x v="1"/>
    <x v="0"/>
    <x v="0"/>
    <x v="0"/>
    <x v="0"/>
    <x v="0"/>
    <x v="11"/>
    <x v="34"/>
  </r>
  <r>
    <x v="0"/>
    <x v="0"/>
    <x v="217"/>
    <x v="9"/>
    <x v="0"/>
    <x v="1"/>
    <x v="1"/>
    <x v="12"/>
    <x v="33"/>
    <x v="20"/>
    <x v="77"/>
    <x v="87"/>
    <x v="1"/>
    <x v="13"/>
    <x v="21"/>
    <x v="0"/>
    <x v="1"/>
    <x v="0"/>
    <x v="0"/>
    <x v="0"/>
    <x v="0"/>
    <x v="0"/>
    <x v="0"/>
    <x v="11"/>
    <x v="12"/>
  </r>
  <r>
    <x v="2"/>
    <x v="0"/>
    <x v="218"/>
    <x v="9"/>
    <x v="0"/>
    <x v="0"/>
    <x v="1"/>
    <x v="34"/>
    <x v="41"/>
    <x v="20"/>
    <x v="77"/>
    <x v="87"/>
    <x v="1"/>
    <x v="13"/>
    <x v="21"/>
    <x v="0"/>
    <x v="1"/>
    <x v="1"/>
    <x v="0"/>
    <x v="0"/>
    <x v="0"/>
    <x v="0"/>
    <x v="0"/>
    <x v="11"/>
    <x v="34"/>
  </r>
  <r>
    <x v="2"/>
    <x v="0"/>
    <x v="219"/>
    <x v="9"/>
    <x v="0"/>
    <x v="1"/>
    <x v="1"/>
    <x v="12"/>
    <x v="33"/>
    <x v="20"/>
    <x v="77"/>
    <x v="87"/>
    <x v="1"/>
    <x v="13"/>
    <x v="21"/>
    <x v="0"/>
    <x v="1"/>
    <x v="0"/>
    <x v="0"/>
    <x v="0"/>
    <x v="0"/>
    <x v="0"/>
    <x v="0"/>
    <x v="11"/>
    <x v="12"/>
  </r>
  <r>
    <x v="2"/>
    <x v="0"/>
    <x v="220"/>
    <x v="4"/>
    <x v="0"/>
    <x v="0"/>
    <x v="2"/>
    <x v="33"/>
    <x v="6"/>
    <x v="21"/>
    <x v="2"/>
    <x v="23"/>
    <x v="2"/>
    <x v="15"/>
    <x v="27"/>
    <x v="5"/>
    <x v="2"/>
    <x v="1"/>
    <x v="0"/>
    <x v="0"/>
    <x v="0"/>
    <x v="0"/>
    <x v="0"/>
    <x v="16"/>
    <x v="33"/>
  </r>
  <r>
    <x v="2"/>
    <x v="0"/>
    <x v="220"/>
    <x v="4"/>
    <x v="0"/>
    <x v="0"/>
    <x v="3"/>
    <x v="34"/>
    <x v="6"/>
    <x v="23"/>
    <x v="6"/>
    <x v="30"/>
    <x v="3"/>
    <x v="16"/>
    <x v="29"/>
    <x v="5"/>
    <x v="3"/>
    <x v="1"/>
    <x v="0"/>
    <x v="0"/>
    <x v="0"/>
    <x v="0"/>
    <x v="0"/>
    <x v="26"/>
    <x v="34"/>
  </r>
  <r>
    <x v="2"/>
    <x v="0"/>
    <x v="220"/>
    <x v="4"/>
    <x v="0"/>
    <x v="0"/>
    <x v="4"/>
    <x v="34"/>
    <x v="6"/>
    <x v="22"/>
    <x v="5"/>
    <x v="27"/>
    <x v="4"/>
    <x v="17"/>
    <x v="31"/>
    <x v="5"/>
    <x v="4"/>
    <x v="1"/>
    <x v="0"/>
    <x v="0"/>
    <x v="0"/>
    <x v="0"/>
    <x v="0"/>
    <x v="36"/>
    <x v="34"/>
  </r>
  <r>
    <x v="2"/>
    <x v="0"/>
    <x v="220"/>
    <x v="4"/>
    <x v="0"/>
    <x v="0"/>
    <x v="5"/>
    <x v="32"/>
    <x v="6"/>
    <x v="18"/>
    <x v="4"/>
    <x v="9"/>
    <x v="5"/>
    <x v="14"/>
    <x v="26"/>
    <x v="5"/>
    <x v="5"/>
    <x v="1"/>
    <x v="0"/>
    <x v="0"/>
    <x v="0"/>
    <x v="0"/>
    <x v="0"/>
    <x v="46"/>
    <x v="32"/>
  </r>
  <r>
    <x v="2"/>
    <x v="0"/>
    <x v="220"/>
    <x v="4"/>
    <x v="0"/>
    <x v="0"/>
    <x v="6"/>
    <x v="34"/>
    <x v="6"/>
    <x v="17"/>
    <x v="3"/>
    <x v="6"/>
    <x v="6"/>
    <x v="12"/>
    <x v="18"/>
    <x v="5"/>
    <x v="6"/>
    <x v="1"/>
    <x v="0"/>
    <x v="0"/>
    <x v="0"/>
    <x v="0"/>
    <x v="0"/>
    <x v="56"/>
    <x v="34"/>
  </r>
  <r>
    <x v="2"/>
    <x v="0"/>
    <x v="221"/>
    <x v="4"/>
    <x v="0"/>
    <x v="1"/>
    <x v="2"/>
    <x v="33"/>
    <x v="6"/>
    <x v="21"/>
    <x v="2"/>
    <x v="23"/>
    <x v="2"/>
    <x v="15"/>
    <x v="27"/>
    <x v="5"/>
    <x v="2"/>
    <x v="0"/>
    <x v="0"/>
    <x v="0"/>
    <x v="0"/>
    <x v="0"/>
    <x v="0"/>
    <x v="16"/>
    <x v="33"/>
  </r>
  <r>
    <x v="2"/>
    <x v="0"/>
    <x v="221"/>
    <x v="4"/>
    <x v="0"/>
    <x v="1"/>
    <x v="3"/>
    <x v="34"/>
    <x v="6"/>
    <x v="23"/>
    <x v="6"/>
    <x v="30"/>
    <x v="3"/>
    <x v="16"/>
    <x v="29"/>
    <x v="5"/>
    <x v="3"/>
    <x v="0"/>
    <x v="0"/>
    <x v="0"/>
    <x v="0"/>
    <x v="0"/>
    <x v="0"/>
    <x v="26"/>
    <x v="34"/>
  </r>
  <r>
    <x v="2"/>
    <x v="0"/>
    <x v="221"/>
    <x v="4"/>
    <x v="0"/>
    <x v="1"/>
    <x v="4"/>
    <x v="34"/>
    <x v="6"/>
    <x v="22"/>
    <x v="5"/>
    <x v="27"/>
    <x v="4"/>
    <x v="17"/>
    <x v="31"/>
    <x v="5"/>
    <x v="4"/>
    <x v="0"/>
    <x v="0"/>
    <x v="0"/>
    <x v="0"/>
    <x v="0"/>
    <x v="0"/>
    <x v="36"/>
    <x v="34"/>
  </r>
  <r>
    <x v="2"/>
    <x v="0"/>
    <x v="221"/>
    <x v="4"/>
    <x v="0"/>
    <x v="1"/>
    <x v="5"/>
    <x v="32"/>
    <x v="6"/>
    <x v="18"/>
    <x v="4"/>
    <x v="9"/>
    <x v="5"/>
    <x v="14"/>
    <x v="26"/>
    <x v="5"/>
    <x v="5"/>
    <x v="0"/>
    <x v="0"/>
    <x v="0"/>
    <x v="0"/>
    <x v="0"/>
    <x v="0"/>
    <x v="46"/>
    <x v="32"/>
  </r>
  <r>
    <x v="2"/>
    <x v="0"/>
    <x v="221"/>
    <x v="4"/>
    <x v="0"/>
    <x v="1"/>
    <x v="6"/>
    <x v="34"/>
    <x v="6"/>
    <x v="17"/>
    <x v="3"/>
    <x v="6"/>
    <x v="6"/>
    <x v="12"/>
    <x v="18"/>
    <x v="5"/>
    <x v="6"/>
    <x v="0"/>
    <x v="0"/>
    <x v="0"/>
    <x v="0"/>
    <x v="0"/>
    <x v="0"/>
    <x v="56"/>
    <x v="34"/>
  </r>
  <r>
    <x v="25"/>
    <x v="0"/>
    <x v="222"/>
    <x v="10"/>
    <x v="0"/>
    <x v="0"/>
    <x v="4"/>
    <x v="10"/>
    <x v="22"/>
    <x v="22"/>
    <x v="26"/>
    <x v="55"/>
    <x v="4"/>
    <x v="17"/>
    <x v="38"/>
    <x v="12"/>
    <x v="4"/>
    <x v="1"/>
    <x v="0"/>
    <x v="0"/>
    <x v="0"/>
    <x v="0"/>
    <x v="0"/>
    <x v="41"/>
    <x v="10"/>
  </r>
  <r>
    <x v="25"/>
    <x v="0"/>
    <x v="222"/>
    <x v="10"/>
    <x v="0"/>
    <x v="0"/>
    <x v="5"/>
    <x v="10"/>
    <x v="22"/>
    <x v="18"/>
    <x v="28"/>
    <x v="43"/>
    <x v="5"/>
    <x v="14"/>
    <x v="34"/>
    <x v="12"/>
    <x v="5"/>
    <x v="1"/>
    <x v="0"/>
    <x v="0"/>
    <x v="0"/>
    <x v="0"/>
    <x v="0"/>
    <x v="51"/>
    <x v="10"/>
  </r>
  <r>
    <x v="25"/>
    <x v="0"/>
    <x v="222"/>
    <x v="10"/>
    <x v="0"/>
    <x v="0"/>
    <x v="6"/>
    <x v="10"/>
    <x v="22"/>
    <x v="17"/>
    <x v="25"/>
    <x v="26"/>
    <x v="6"/>
    <x v="12"/>
    <x v="20"/>
    <x v="12"/>
    <x v="6"/>
    <x v="1"/>
    <x v="0"/>
    <x v="0"/>
    <x v="0"/>
    <x v="0"/>
    <x v="0"/>
    <x v="61"/>
    <x v="10"/>
  </r>
  <r>
    <x v="4"/>
    <x v="0"/>
    <x v="223"/>
    <x v="6"/>
    <x v="0"/>
    <x v="1"/>
    <x v="7"/>
    <x v="38"/>
    <x v="25"/>
    <x v="14"/>
    <x v="49"/>
    <x v="24"/>
    <x v="7"/>
    <x v="11"/>
    <x v="13"/>
    <x v="9"/>
    <x v="7"/>
    <x v="0"/>
    <x v="0"/>
    <x v="0"/>
    <x v="0"/>
    <x v="0"/>
    <x v="0"/>
    <x v="62"/>
    <x v="38"/>
  </r>
  <r>
    <x v="4"/>
    <x v="0"/>
    <x v="223"/>
    <x v="6"/>
    <x v="0"/>
    <x v="1"/>
    <x v="8"/>
    <x v="38"/>
    <x v="25"/>
    <x v="12"/>
    <x v="41"/>
    <x v="15"/>
    <x v="8"/>
    <x v="8"/>
    <x v="8"/>
    <x v="9"/>
    <x v="8"/>
    <x v="0"/>
    <x v="0"/>
    <x v="0"/>
    <x v="0"/>
    <x v="0"/>
    <x v="0"/>
    <x v="65"/>
    <x v="38"/>
  </r>
  <r>
    <x v="4"/>
    <x v="0"/>
    <x v="223"/>
    <x v="6"/>
    <x v="0"/>
    <x v="1"/>
    <x v="9"/>
    <x v="38"/>
    <x v="25"/>
    <x v="11"/>
    <x v="41"/>
    <x v="13"/>
    <x v="9"/>
    <x v="6"/>
    <x v="6"/>
    <x v="9"/>
    <x v="9"/>
    <x v="0"/>
    <x v="0"/>
    <x v="0"/>
    <x v="0"/>
    <x v="0"/>
    <x v="0"/>
    <x v="68"/>
    <x v="38"/>
  </r>
  <r>
    <x v="4"/>
    <x v="0"/>
    <x v="223"/>
    <x v="6"/>
    <x v="0"/>
    <x v="1"/>
    <x v="10"/>
    <x v="38"/>
    <x v="25"/>
    <x v="9"/>
    <x v="44"/>
    <x v="12"/>
    <x v="10"/>
    <x v="6"/>
    <x v="6"/>
    <x v="9"/>
    <x v="10"/>
    <x v="0"/>
    <x v="0"/>
    <x v="0"/>
    <x v="0"/>
    <x v="0"/>
    <x v="0"/>
    <x v="71"/>
    <x v="38"/>
  </r>
  <r>
    <x v="4"/>
    <x v="0"/>
    <x v="223"/>
    <x v="6"/>
    <x v="0"/>
    <x v="1"/>
    <x v="11"/>
    <x v="38"/>
    <x v="25"/>
    <x v="10"/>
    <x v="44"/>
    <x v="14"/>
    <x v="11"/>
    <x v="6"/>
    <x v="6"/>
    <x v="9"/>
    <x v="11"/>
    <x v="0"/>
    <x v="0"/>
    <x v="0"/>
    <x v="0"/>
    <x v="0"/>
    <x v="0"/>
    <x v="74"/>
    <x v="38"/>
  </r>
  <r>
    <x v="4"/>
    <x v="0"/>
    <x v="223"/>
    <x v="6"/>
    <x v="0"/>
    <x v="1"/>
    <x v="12"/>
    <x v="38"/>
    <x v="25"/>
    <x v="8"/>
    <x v="42"/>
    <x v="11"/>
    <x v="12"/>
    <x v="6"/>
    <x v="6"/>
    <x v="9"/>
    <x v="12"/>
    <x v="0"/>
    <x v="0"/>
    <x v="0"/>
    <x v="0"/>
    <x v="0"/>
    <x v="0"/>
    <x v="77"/>
    <x v="38"/>
  </r>
  <r>
    <x v="4"/>
    <x v="0"/>
    <x v="223"/>
    <x v="6"/>
    <x v="0"/>
    <x v="1"/>
    <x v="13"/>
    <x v="38"/>
    <x v="25"/>
    <x v="7"/>
    <x v="45"/>
    <x v="10"/>
    <x v="13"/>
    <x v="7"/>
    <x v="7"/>
    <x v="9"/>
    <x v="13"/>
    <x v="0"/>
    <x v="0"/>
    <x v="0"/>
    <x v="0"/>
    <x v="0"/>
    <x v="0"/>
    <x v="80"/>
    <x v="38"/>
  </r>
  <r>
    <x v="9"/>
    <x v="0"/>
    <x v="224"/>
    <x v="0"/>
    <x v="0"/>
    <x v="0"/>
    <x v="5"/>
    <x v="9"/>
    <x v="33"/>
    <x v="18"/>
    <x v="38"/>
    <x v="49"/>
    <x v="5"/>
    <x v="14"/>
    <x v="34"/>
    <x v="9"/>
    <x v="5"/>
    <x v="1"/>
    <x v="0"/>
    <x v="0"/>
    <x v="0"/>
    <x v="0"/>
    <x v="0"/>
    <x v="42"/>
    <x v="9"/>
  </r>
  <r>
    <x v="5"/>
    <x v="0"/>
    <x v="225"/>
    <x v="7"/>
    <x v="0"/>
    <x v="1"/>
    <x v="2"/>
    <x v="42"/>
    <x v="36"/>
    <x v="21"/>
    <x v="65"/>
    <x v="81"/>
    <x v="2"/>
    <x v="15"/>
    <x v="43"/>
    <x v="4"/>
    <x v="2"/>
    <x v="0"/>
    <x v="0"/>
    <x v="0"/>
    <x v="0"/>
    <x v="0"/>
    <x v="0"/>
    <x v="18"/>
    <x v="42"/>
  </r>
  <r>
    <x v="23"/>
    <x v="0"/>
    <x v="226"/>
    <x v="10"/>
    <x v="0"/>
    <x v="0"/>
    <x v="4"/>
    <x v="10"/>
    <x v="22"/>
    <x v="22"/>
    <x v="26"/>
    <x v="55"/>
    <x v="4"/>
    <x v="17"/>
    <x v="38"/>
    <x v="12"/>
    <x v="4"/>
    <x v="1"/>
    <x v="0"/>
    <x v="0"/>
    <x v="0"/>
    <x v="0"/>
    <x v="0"/>
    <x v="41"/>
    <x v="10"/>
  </r>
  <r>
    <x v="23"/>
    <x v="0"/>
    <x v="226"/>
    <x v="10"/>
    <x v="0"/>
    <x v="0"/>
    <x v="5"/>
    <x v="10"/>
    <x v="22"/>
    <x v="18"/>
    <x v="28"/>
    <x v="43"/>
    <x v="5"/>
    <x v="14"/>
    <x v="34"/>
    <x v="12"/>
    <x v="5"/>
    <x v="1"/>
    <x v="0"/>
    <x v="0"/>
    <x v="0"/>
    <x v="0"/>
    <x v="0"/>
    <x v="51"/>
    <x v="10"/>
  </r>
  <r>
    <x v="23"/>
    <x v="0"/>
    <x v="226"/>
    <x v="10"/>
    <x v="0"/>
    <x v="0"/>
    <x v="6"/>
    <x v="10"/>
    <x v="22"/>
    <x v="17"/>
    <x v="25"/>
    <x v="26"/>
    <x v="6"/>
    <x v="12"/>
    <x v="20"/>
    <x v="12"/>
    <x v="6"/>
    <x v="1"/>
    <x v="0"/>
    <x v="0"/>
    <x v="0"/>
    <x v="0"/>
    <x v="0"/>
    <x v="61"/>
    <x v="10"/>
  </r>
  <r>
    <x v="6"/>
    <x v="0"/>
    <x v="227"/>
    <x v="9"/>
    <x v="0"/>
    <x v="0"/>
    <x v="2"/>
    <x v="17"/>
    <x v="33"/>
    <x v="21"/>
    <x v="74"/>
    <x v="84"/>
    <x v="2"/>
    <x v="15"/>
    <x v="30"/>
    <x v="2"/>
    <x v="2"/>
    <x v="1"/>
    <x v="0"/>
    <x v="0"/>
    <x v="0"/>
    <x v="0"/>
    <x v="0"/>
    <x v="20"/>
    <x v="17"/>
  </r>
  <r>
    <x v="6"/>
    <x v="0"/>
    <x v="227"/>
    <x v="9"/>
    <x v="0"/>
    <x v="0"/>
    <x v="3"/>
    <x v="16"/>
    <x v="33"/>
    <x v="23"/>
    <x v="68"/>
    <x v="83"/>
    <x v="3"/>
    <x v="16"/>
    <x v="32"/>
    <x v="2"/>
    <x v="3"/>
    <x v="1"/>
    <x v="0"/>
    <x v="0"/>
    <x v="0"/>
    <x v="0"/>
    <x v="0"/>
    <x v="30"/>
    <x v="16"/>
  </r>
  <r>
    <x v="6"/>
    <x v="0"/>
    <x v="227"/>
    <x v="9"/>
    <x v="0"/>
    <x v="0"/>
    <x v="4"/>
    <x v="16"/>
    <x v="33"/>
    <x v="22"/>
    <x v="64"/>
    <x v="82"/>
    <x v="4"/>
    <x v="17"/>
    <x v="33"/>
    <x v="2"/>
    <x v="4"/>
    <x v="1"/>
    <x v="0"/>
    <x v="0"/>
    <x v="0"/>
    <x v="0"/>
    <x v="0"/>
    <x v="40"/>
    <x v="16"/>
  </r>
  <r>
    <x v="6"/>
    <x v="0"/>
    <x v="227"/>
    <x v="9"/>
    <x v="0"/>
    <x v="0"/>
    <x v="5"/>
    <x v="18"/>
    <x v="33"/>
    <x v="18"/>
    <x v="61"/>
    <x v="72"/>
    <x v="5"/>
    <x v="14"/>
    <x v="28"/>
    <x v="2"/>
    <x v="5"/>
    <x v="1"/>
    <x v="0"/>
    <x v="0"/>
    <x v="0"/>
    <x v="0"/>
    <x v="0"/>
    <x v="50"/>
    <x v="18"/>
  </r>
  <r>
    <x v="6"/>
    <x v="0"/>
    <x v="227"/>
    <x v="9"/>
    <x v="0"/>
    <x v="0"/>
    <x v="6"/>
    <x v="16"/>
    <x v="33"/>
    <x v="17"/>
    <x v="59"/>
    <x v="50"/>
    <x v="6"/>
    <x v="12"/>
    <x v="19"/>
    <x v="2"/>
    <x v="6"/>
    <x v="1"/>
    <x v="0"/>
    <x v="0"/>
    <x v="0"/>
    <x v="0"/>
    <x v="0"/>
    <x v="60"/>
    <x v="16"/>
  </r>
  <r>
    <x v="6"/>
    <x v="0"/>
    <x v="228"/>
    <x v="9"/>
    <x v="0"/>
    <x v="0"/>
    <x v="0"/>
    <x v="13"/>
    <x v="44"/>
    <x v="19"/>
    <x v="80"/>
    <x v="89"/>
    <x v="0"/>
    <x v="6"/>
    <x v="4"/>
    <x v="0"/>
    <x v="0"/>
    <x v="1"/>
    <x v="0"/>
    <x v="0"/>
    <x v="0"/>
    <x v="0"/>
    <x v="0"/>
    <x v="5"/>
    <x v="13"/>
  </r>
  <r>
    <x v="11"/>
    <x v="0"/>
    <x v="229"/>
    <x v="9"/>
    <x v="0"/>
    <x v="0"/>
    <x v="1"/>
    <x v="28"/>
    <x v="42"/>
    <x v="20"/>
    <x v="77"/>
    <x v="87"/>
    <x v="1"/>
    <x v="13"/>
    <x v="21"/>
    <x v="0"/>
    <x v="1"/>
    <x v="1"/>
    <x v="0"/>
    <x v="0"/>
    <x v="0"/>
    <x v="0"/>
    <x v="0"/>
    <x v="11"/>
    <x v="28"/>
  </r>
  <r>
    <x v="6"/>
    <x v="0"/>
    <x v="230"/>
    <x v="9"/>
    <x v="0"/>
    <x v="1"/>
    <x v="2"/>
    <x v="27"/>
    <x v="26"/>
    <x v="21"/>
    <x v="74"/>
    <x v="84"/>
    <x v="2"/>
    <x v="15"/>
    <x v="30"/>
    <x v="2"/>
    <x v="2"/>
    <x v="0"/>
    <x v="0"/>
    <x v="0"/>
    <x v="0"/>
    <x v="0"/>
    <x v="0"/>
    <x v="20"/>
    <x v="27"/>
  </r>
  <r>
    <x v="6"/>
    <x v="0"/>
    <x v="230"/>
    <x v="9"/>
    <x v="0"/>
    <x v="1"/>
    <x v="3"/>
    <x v="28"/>
    <x v="26"/>
    <x v="23"/>
    <x v="68"/>
    <x v="83"/>
    <x v="3"/>
    <x v="16"/>
    <x v="32"/>
    <x v="2"/>
    <x v="3"/>
    <x v="0"/>
    <x v="0"/>
    <x v="0"/>
    <x v="0"/>
    <x v="0"/>
    <x v="0"/>
    <x v="30"/>
    <x v="28"/>
  </r>
  <r>
    <x v="6"/>
    <x v="0"/>
    <x v="230"/>
    <x v="9"/>
    <x v="0"/>
    <x v="1"/>
    <x v="4"/>
    <x v="28"/>
    <x v="26"/>
    <x v="22"/>
    <x v="64"/>
    <x v="82"/>
    <x v="4"/>
    <x v="17"/>
    <x v="33"/>
    <x v="2"/>
    <x v="4"/>
    <x v="0"/>
    <x v="0"/>
    <x v="0"/>
    <x v="0"/>
    <x v="0"/>
    <x v="0"/>
    <x v="40"/>
    <x v="28"/>
  </r>
  <r>
    <x v="6"/>
    <x v="0"/>
    <x v="230"/>
    <x v="9"/>
    <x v="0"/>
    <x v="1"/>
    <x v="5"/>
    <x v="26"/>
    <x v="26"/>
    <x v="18"/>
    <x v="61"/>
    <x v="72"/>
    <x v="5"/>
    <x v="14"/>
    <x v="28"/>
    <x v="2"/>
    <x v="5"/>
    <x v="0"/>
    <x v="0"/>
    <x v="0"/>
    <x v="0"/>
    <x v="0"/>
    <x v="0"/>
    <x v="50"/>
    <x v="26"/>
  </r>
  <r>
    <x v="6"/>
    <x v="0"/>
    <x v="230"/>
    <x v="9"/>
    <x v="0"/>
    <x v="1"/>
    <x v="6"/>
    <x v="28"/>
    <x v="26"/>
    <x v="17"/>
    <x v="59"/>
    <x v="50"/>
    <x v="6"/>
    <x v="12"/>
    <x v="19"/>
    <x v="2"/>
    <x v="6"/>
    <x v="0"/>
    <x v="0"/>
    <x v="0"/>
    <x v="0"/>
    <x v="0"/>
    <x v="0"/>
    <x v="60"/>
    <x v="28"/>
  </r>
  <r>
    <x v="6"/>
    <x v="0"/>
    <x v="231"/>
    <x v="9"/>
    <x v="0"/>
    <x v="0"/>
    <x v="2"/>
    <x v="27"/>
    <x v="38"/>
    <x v="21"/>
    <x v="74"/>
    <x v="84"/>
    <x v="2"/>
    <x v="15"/>
    <x v="30"/>
    <x v="2"/>
    <x v="2"/>
    <x v="1"/>
    <x v="0"/>
    <x v="0"/>
    <x v="0"/>
    <x v="0"/>
    <x v="0"/>
    <x v="20"/>
    <x v="27"/>
  </r>
  <r>
    <x v="6"/>
    <x v="0"/>
    <x v="231"/>
    <x v="9"/>
    <x v="0"/>
    <x v="0"/>
    <x v="3"/>
    <x v="28"/>
    <x v="38"/>
    <x v="23"/>
    <x v="68"/>
    <x v="83"/>
    <x v="3"/>
    <x v="16"/>
    <x v="32"/>
    <x v="2"/>
    <x v="3"/>
    <x v="1"/>
    <x v="0"/>
    <x v="0"/>
    <x v="0"/>
    <x v="0"/>
    <x v="0"/>
    <x v="30"/>
    <x v="28"/>
  </r>
  <r>
    <x v="6"/>
    <x v="0"/>
    <x v="231"/>
    <x v="9"/>
    <x v="0"/>
    <x v="0"/>
    <x v="4"/>
    <x v="28"/>
    <x v="38"/>
    <x v="22"/>
    <x v="64"/>
    <x v="82"/>
    <x v="4"/>
    <x v="17"/>
    <x v="33"/>
    <x v="2"/>
    <x v="4"/>
    <x v="1"/>
    <x v="0"/>
    <x v="0"/>
    <x v="0"/>
    <x v="0"/>
    <x v="0"/>
    <x v="40"/>
    <x v="28"/>
  </r>
  <r>
    <x v="6"/>
    <x v="0"/>
    <x v="231"/>
    <x v="9"/>
    <x v="0"/>
    <x v="0"/>
    <x v="5"/>
    <x v="26"/>
    <x v="38"/>
    <x v="18"/>
    <x v="61"/>
    <x v="72"/>
    <x v="5"/>
    <x v="14"/>
    <x v="28"/>
    <x v="2"/>
    <x v="5"/>
    <x v="1"/>
    <x v="0"/>
    <x v="0"/>
    <x v="0"/>
    <x v="0"/>
    <x v="0"/>
    <x v="50"/>
    <x v="26"/>
  </r>
  <r>
    <x v="6"/>
    <x v="0"/>
    <x v="231"/>
    <x v="9"/>
    <x v="0"/>
    <x v="0"/>
    <x v="6"/>
    <x v="28"/>
    <x v="38"/>
    <x v="17"/>
    <x v="59"/>
    <x v="50"/>
    <x v="6"/>
    <x v="12"/>
    <x v="19"/>
    <x v="2"/>
    <x v="6"/>
    <x v="1"/>
    <x v="0"/>
    <x v="0"/>
    <x v="0"/>
    <x v="0"/>
    <x v="0"/>
    <x v="60"/>
    <x v="28"/>
  </r>
  <r>
    <x v="2"/>
    <x v="0"/>
    <x v="232"/>
    <x v="10"/>
    <x v="0"/>
    <x v="0"/>
    <x v="2"/>
    <x v="17"/>
    <x v="19"/>
    <x v="21"/>
    <x v="21"/>
    <x v="52"/>
    <x v="2"/>
    <x v="15"/>
    <x v="35"/>
    <x v="12"/>
    <x v="2"/>
    <x v="1"/>
    <x v="0"/>
    <x v="0"/>
    <x v="0"/>
    <x v="0"/>
    <x v="0"/>
    <x v="21"/>
    <x v="17"/>
  </r>
  <r>
    <x v="2"/>
    <x v="0"/>
    <x v="232"/>
    <x v="10"/>
    <x v="0"/>
    <x v="0"/>
    <x v="3"/>
    <x v="16"/>
    <x v="19"/>
    <x v="23"/>
    <x v="23"/>
    <x v="58"/>
    <x v="3"/>
    <x v="16"/>
    <x v="36"/>
    <x v="12"/>
    <x v="3"/>
    <x v="1"/>
    <x v="0"/>
    <x v="0"/>
    <x v="0"/>
    <x v="0"/>
    <x v="0"/>
    <x v="31"/>
    <x v="16"/>
  </r>
  <r>
    <x v="2"/>
    <x v="0"/>
    <x v="232"/>
    <x v="10"/>
    <x v="0"/>
    <x v="0"/>
    <x v="4"/>
    <x v="16"/>
    <x v="19"/>
    <x v="22"/>
    <x v="26"/>
    <x v="55"/>
    <x v="4"/>
    <x v="17"/>
    <x v="38"/>
    <x v="12"/>
    <x v="4"/>
    <x v="1"/>
    <x v="0"/>
    <x v="0"/>
    <x v="0"/>
    <x v="0"/>
    <x v="0"/>
    <x v="41"/>
    <x v="16"/>
  </r>
  <r>
    <x v="2"/>
    <x v="0"/>
    <x v="232"/>
    <x v="10"/>
    <x v="0"/>
    <x v="0"/>
    <x v="5"/>
    <x v="18"/>
    <x v="19"/>
    <x v="18"/>
    <x v="28"/>
    <x v="43"/>
    <x v="5"/>
    <x v="14"/>
    <x v="34"/>
    <x v="12"/>
    <x v="5"/>
    <x v="1"/>
    <x v="0"/>
    <x v="0"/>
    <x v="0"/>
    <x v="0"/>
    <x v="0"/>
    <x v="51"/>
    <x v="18"/>
  </r>
  <r>
    <x v="2"/>
    <x v="0"/>
    <x v="232"/>
    <x v="10"/>
    <x v="0"/>
    <x v="0"/>
    <x v="6"/>
    <x v="16"/>
    <x v="19"/>
    <x v="17"/>
    <x v="25"/>
    <x v="26"/>
    <x v="6"/>
    <x v="12"/>
    <x v="20"/>
    <x v="12"/>
    <x v="6"/>
    <x v="1"/>
    <x v="0"/>
    <x v="0"/>
    <x v="0"/>
    <x v="0"/>
    <x v="0"/>
    <x v="61"/>
    <x v="16"/>
  </r>
  <r>
    <x v="25"/>
    <x v="0"/>
    <x v="233"/>
    <x v="10"/>
    <x v="0"/>
    <x v="0"/>
    <x v="2"/>
    <x v="17"/>
    <x v="19"/>
    <x v="21"/>
    <x v="21"/>
    <x v="52"/>
    <x v="2"/>
    <x v="15"/>
    <x v="35"/>
    <x v="12"/>
    <x v="2"/>
    <x v="1"/>
    <x v="0"/>
    <x v="0"/>
    <x v="0"/>
    <x v="0"/>
    <x v="0"/>
    <x v="21"/>
    <x v="17"/>
  </r>
  <r>
    <x v="25"/>
    <x v="0"/>
    <x v="233"/>
    <x v="10"/>
    <x v="0"/>
    <x v="0"/>
    <x v="3"/>
    <x v="16"/>
    <x v="19"/>
    <x v="23"/>
    <x v="23"/>
    <x v="58"/>
    <x v="3"/>
    <x v="16"/>
    <x v="36"/>
    <x v="12"/>
    <x v="3"/>
    <x v="1"/>
    <x v="0"/>
    <x v="0"/>
    <x v="0"/>
    <x v="0"/>
    <x v="0"/>
    <x v="31"/>
    <x v="16"/>
  </r>
  <r>
    <x v="25"/>
    <x v="0"/>
    <x v="233"/>
    <x v="10"/>
    <x v="0"/>
    <x v="0"/>
    <x v="4"/>
    <x v="16"/>
    <x v="19"/>
    <x v="22"/>
    <x v="26"/>
    <x v="55"/>
    <x v="4"/>
    <x v="17"/>
    <x v="38"/>
    <x v="12"/>
    <x v="4"/>
    <x v="1"/>
    <x v="0"/>
    <x v="0"/>
    <x v="0"/>
    <x v="0"/>
    <x v="0"/>
    <x v="41"/>
    <x v="16"/>
  </r>
  <r>
    <x v="25"/>
    <x v="0"/>
    <x v="233"/>
    <x v="10"/>
    <x v="0"/>
    <x v="0"/>
    <x v="5"/>
    <x v="18"/>
    <x v="19"/>
    <x v="18"/>
    <x v="28"/>
    <x v="43"/>
    <x v="5"/>
    <x v="14"/>
    <x v="34"/>
    <x v="12"/>
    <x v="5"/>
    <x v="1"/>
    <x v="0"/>
    <x v="0"/>
    <x v="0"/>
    <x v="0"/>
    <x v="0"/>
    <x v="51"/>
    <x v="18"/>
  </r>
  <r>
    <x v="25"/>
    <x v="0"/>
    <x v="233"/>
    <x v="10"/>
    <x v="0"/>
    <x v="0"/>
    <x v="6"/>
    <x v="16"/>
    <x v="19"/>
    <x v="17"/>
    <x v="25"/>
    <x v="26"/>
    <x v="6"/>
    <x v="12"/>
    <x v="20"/>
    <x v="12"/>
    <x v="6"/>
    <x v="1"/>
    <x v="0"/>
    <x v="0"/>
    <x v="0"/>
    <x v="0"/>
    <x v="0"/>
    <x v="61"/>
    <x v="16"/>
  </r>
  <r>
    <x v="9"/>
    <x v="0"/>
    <x v="234"/>
    <x v="10"/>
    <x v="0"/>
    <x v="0"/>
    <x v="2"/>
    <x v="17"/>
    <x v="19"/>
    <x v="21"/>
    <x v="21"/>
    <x v="52"/>
    <x v="2"/>
    <x v="15"/>
    <x v="35"/>
    <x v="12"/>
    <x v="2"/>
    <x v="1"/>
    <x v="0"/>
    <x v="0"/>
    <x v="0"/>
    <x v="0"/>
    <x v="0"/>
    <x v="21"/>
    <x v="17"/>
  </r>
  <r>
    <x v="9"/>
    <x v="0"/>
    <x v="234"/>
    <x v="10"/>
    <x v="0"/>
    <x v="0"/>
    <x v="3"/>
    <x v="16"/>
    <x v="19"/>
    <x v="23"/>
    <x v="23"/>
    <x v="58"/>
    <x v="3"/>
    <x v="16"/>
    <x v="36"/>
    <x v="12"/>
    <x v="3"/>
    <x v="1"/>
    <x v="0"/>
    <x v="0"/>
    <x v="0"/>
    <x v="0"/>
    <x v="0"/>
    <x v="31"/>
    <x v="16"/>
  </r>
  <r>
    <x v="9"/>
    <x v="0"/>
    <x v="234"/>
    <x v="10"/>
    <x v="0"/>
    <x v="0"/>
    <x v="4"/>
    <x v="16"/>
    <x v="19"/>
    <x v="22"/>
    <x v="26"/>
    <x v="55"/>
    <x v="4"/>
    <x v="17"/>
    <x v="38"/>
    <x v="12"/>
    <x v="4"/>
    <x v="1"/>
    <x v="0"/>
    <x v="0"/>
    <x v="0"/>
    <x v="0"/>
    <x v="0"/>
    <x v="41"/>
    <x v="16"/>
  </r>
  <r>
    <x v="9"/>
    <x v="0"/>
    <x v="234"/>
    <x v="10"/>
    <x v="0"/>
    <x v="0"/>
    <x v="5"/>
    <x v="18"/>
    <x v="19"/>
    <x v="18"/>
    <x v="28"/>
    <x v="43"/>
    <x v="5"/>
    <x v="14"/>
    <x v="34"/>
    <x v="12"/>
    <x v="5"/>
    <x v="1"/>
    <x v="0"/>
    <x v="0"/>
    <x v="0"/>
    <x v="0"/>
    <x v="0"/>
    <x v="51"/>
    <x v="18"/>
  </r>
  <r>
    <x v="9"/>
    <x v="0"/>
    <x v="234"/>
    <x v="10"/>
    <x v="0"/>
    <x v="0"/>
    <x v="6"/>
    <x v="16"/>
    <x v="19"/>
    <x v="17"/>
    <x v="25"/>
    <x v="26"/>
    <x v="6"/>
    <x v="12"/>
    <x v="20"/>
    <x v="12"/>
    <x v="6"/>
    <x v="1"/>
    <x v="0"/>
    <x v="0"/>
    <x v="0"/>
    <x v="0"/>
    <x v="0"/>
    <x v="61"/>
    <x v="16"/>
  </r>
  <r>
    <x v="6"/>
    <x v="0"/>
    <x v="235"/>
    <x v="9"/>
    <x v="0"/>
    <x v="0"/>
    <x v="2"/>
    <x v="10"/>
    <x v="46"/>
    <x v="21"/>
    <x v="74"/>
    <x v="84"/>
    <x v="2"/>
    <x v="15"/>
    <x v="30"/>
    <x v="2"/>
    <x v="2"/>
    <x v="1"/>
    <x v="0"/>
    <x v="0"/>
    <x v="0"/>
    <x v="0"/>
    <x v="0"/>
    <x v="20"/>
    <x v="10"/>
  </r>
  <r>
    <x v="6"/>
    <x v="0"/>
    <x v="235"/>
    <x v="9"/>
    <x v="0"/>
    <x v="0"/>
    <x v="3"/>
    <x v="10"/>
    <x v="46"/>
    <x v="23"/>
    <x v="68"/>
    <x v="83"/>
    <x v="3"/>
    <x v="16"/>
    <x v="32"/>
    <x v="2"/>
    <x v="3"/>
    <x v="1"/>
    <x v="0"/>
    <x v="0"/>
    <x v="0"/>
    <x v="0"/>
    <x v="0"/>
    <x v="30"/>
    <x v="10"/>
  </r>
  <r>
    <x v="6"/>
    <x v="0"/>
    <x v="235"/>
    <x v="9"/>
    <x v="0"/>
    <x v="0"/>
    <x v="4"/>
    <x v="10"/>
    <x v="46"/>
    <x v="22"/>
    <x v="64"/>
    <x v="82"/>
    <x v="4"/>
    <x v="17"/>
    <x v="33"/>
    <x v="2"/>
    <x v="4"/>
    <x v="1"/>
    <x v="0"/>
    <x v="0"/>
    <x v="0"/>
    <x v="0"/>
    <x v="0"/>
    <x v="40"/>
    <x v="10"/>
  </r>
  <r>
    <x v="6"/>
    <x v="0"/>
    <x v="235"/>
    <x v="9"/>
    <x v="0"/>
    <x v="0"/>
    <x v="5"/>
    <x v="10"/>
    <x v="46"/>
    <x v="18"/>
    <x v="61"/>
    <x v="72"/>
    <x v="5"/>
    <x v="14"/>
    <x v="28"/>
    <x v="2"/>
    <x v="5"/>
    <x v="1"/>
    <x v="0"/>
    <x v="0"/>
    <x v="0"/>
    <x v="0"/>
    <x v="0"/>
    <x v="50"/>
    <x v="10"/>
  </r>
  <r>
    <x v="6"/>
    <x v="0"/>
    <x v="235"/>
    <x v="9"/>
    <x v="0"/>
    <x v="0"/>
    <x v="6"/>
    <x v="10"/>
    <x v="46"/>
    <x v="17"/>
    <x v="59"/>
    <x v="50"/>
    <x v="6"/>
    <x v="12"/>
    <x v="19"/>
    <x v="2"/>
    <x v="6"/>
    <x v="1"/>
    <x v="0"/>
    <x v="0"/>
    <x v="0"/>
    <x v="0"/>
    <x v="0"/>
    <x v="60"/>
    <x v="10"/>
  </r>
  <r>
    <x v="2"/>
    <x v="0"/>
    <x v="236"/>
    <x v="4"/>
    <x v="0"/>
    <x v="0"/>
    <x v="2"/>
    <x v="13"/>
    <x v="11"/>
    <x v="21"/>
    <x v="2"/>
    <x v="23"/>
    <x v="2"/>
    <x v="15"/>
    <x v="27"/>
    <x v="5"/>
    <x v="2"/>
    <x v="1"/>
    <x v="0"/>
    <x v="0"/>
    <x v="0"/>
    <x v="0"/>
    <x v="0"/>
    <x v="16"/>
    <x v="13"/>
  </r>
  <r>
    <x v="2"/>
    <x v="0"/>
    <x v="236"/>
    <x v="4"/>
    <x v="0"/>
    <x v="0"/>
    <x v="3"/>
    <x v="12"/>
    <x v="11"/>
    <x v="23"/>
    <x v="6"/>
    <x v="30"/>
    <x v="3"/>
    <x v="16"/>
    <x v="29"/>
    <x v="5"/>
    <x v="3"/>
    <x v="1"/>
    <x v="0"/>
    <x v="0"/>
    <x v="0"/>
    <x v="0"/>
    <x v="0"/>
    <x v="26"/>
    <x v="12"/>
  </r>
  <r>
    <x v="2"/>
    <x v="0"/>
    <x v="236"/>
    <x v="4"/>
    <x v="0"/>
    <x v="0"/>
    <x v="4"/>
    <x v="12"/>
    <x v="11"/>
    <x v="22"/>
    <x v="5"/>
    <x v="27"/>
    <x v="4"/>
    <x v="17"/>
    <x v="31"/>
    <x v="5"/>
    <x v="4"/>
    <x v="1"/>
    <x v="0"/>
    <x v="0"/>
    <x v="0"/>
    <x v="0"/>
    <x v="0"/>
    <x v="36"/>
    <x v="12"/>
  </r>
  <r>
    <x v="2"/>
    <x v="0"/>
    <x v="236"/>
    <x v="4"/>
    <x v="0"/>
    <x v="0"/>
    <x v="5"/>
    <x v="14"/>
    <x v="11"/>
    <x v="18"/>
    <x v="4"/>
    <x v="9"/>
    <x v="5"/>
    <x v="14"/>
    <x v="26"/>
    <x v="5"/>
    <x v="5"/>
    <x v="1"/>
    <x v="0"/>
    <x v="0"/>
    <x v="0"/>
    <x v="0"/>
    <x v="0"/>
    <x v="46"/>
    <x v="14"/>
  </r>
  <r>
    <x v="2"/>
    <x v="0"/>
    <x v="236"/>
    <x v="4"/>
    <x v="0"/>
    <x v="0"/>
    <x v="6"/>
    <x v="12"/>
    <x v="11"/>
    <x v="17"/>
    <x v="3"/>
    <x v="6"/>
    <x v="6"/>
    <x v="12"/>
    <x v="18"/>
    <x v="5"/>
    <x v="6"/>
    <x v="1"/>
    <x v="0"/>
    <x v="0"/>
    <x v="0"/>
    <x v="0"/>
    <x v="0"/>
    <x v="56"/>
    <x v="12"/>
  </r>
  <r>
    <x v="2"/>
    <x v="0"/>
    <x v="237"/>
    <x v="4"/>
    <x v="0"/>
    <x v="1"/>
    <x v="2"/>
    <x v="13"/>
    <x v="4"/>
    <x v="21"/>
    <x v="2"/>
    <x v="23"/>
    <x v="2"/>
    <x v="15"/>
    <x v="27"/>
    <x v="5"/>
    <x v="2"/>
    <x v="0"/>
    <x v="0"/>
    <x v="0"/>
    <x v="0"/>
    <x v="0"/>
    <x v="0"/>
    <x v="16"/>
    <x v="13"/>
  </r>
  <r>
    <x v="2"/>
    <x v="0"/>
    <x v="237"/>
    <x v="4"/>
    <x v="0"/>
    <x v="1"/>
    <x v="3"/>
    <x v="12"/>
    <x v="4"/>
    <x v="23"/>
    <x v="6"/>
    <x v="30"/>
    <x v="3"/>
    <x v="16"/>
    <x v="29"/>
    <x v="5"/>
    <x v="3"/>
    <x v="0"/>
    <x v="0"/>
    <x v="0"/>
    <x v="0"/>
    <x v="0"/>
    <x v="0"/>
    <x v="26"/>
    <x v="12"/>
  </r>
  <r>
    <x v="2"/>
    <x v="0"/>
    <x v="237"/>
    <x v="4"/>
    <x v="0"/>
    <x v="1"/>
    <x v="4"/>
    <x v="12"/>
    <x v="4"/>
    <x v="22"/>
    <x v="5"/>
    <x v="27"/>
    <x v="4"/>
    <x v="17"/>
    <x v="31"/>
    <x v="5"/>
    <x v="4"/>
    <x v="0"/>
    <x v="0"/>
    <x v="0"/>
    <x v="0"/>
    <x v="0"/>
    <x v="0"/>
    <x v="36"/>
    <x v="12"/>
  </r>
  <r>
    <x v="2"/>
    <x v="0"/>
    <x v="237"/>
    <x v="4"/>
    <x v="0"/>
    <x v="1"/>
    <x v="5"/>
    <x v="14"/>
    <x v="4"/>
    <x v="18"/>
    <x v="4"/>
    <x v="9"/>
    <x v="5"/>
    <x v="14"/>
    <x v="26"/>
    <x v="5"/>
    <x v="5"/>
    <x v="0"/>
    <x v="0"/>
    <x v="0"/>
    <x v="0"/>
    <x v="0"/>
    <x v="0"/>
    <x v="46"/>
    <x v="14"/>
  </r>
  <r>
    <x v="2"/>
    <x v="0"/>
    <x v="237"/>
    <x v="4"/>
    <x v="0"/>
    <x v="1"/>
    <x v="6"/>
    <x v="12"/>
    <x v="4"/>
    <x v="17"/>
    <x v="3"/>
    <x v="6"/>
    <x v="6"/>
    <x v="12"/>
    <x v="18"/>
    <x v="5"/>
    <x v="6"/>
    <x v="0"/>
    <x v="0"/>
    <x v="0"/>
    <x v="0"/>
    <x v="0"/>
    <x v="0"/>
    <x v="56"/>
    <x v="12"/>
  </r>
  <r>
    <x v="25"/>
    <x v="0"/>
    <x v="238"/>
    <x v="10"/>
    <x v="0"/>
    <x v="0"/>
    <x v="2"/>
    <x v="10"/>
    <x v="22"/>
    <x v="21"/>
    <x v="21"/>
    <x v="52"/>
    <x v="2"/>
    <x v="15"/>
    <x v="35"/>
    <x v="12"/>
    <x v="2"/>
    <x v="1"/>
    <x v="0"/>
    <x v="0"/>
    <x v="0"/>
    <x v="0"/>
    <x v="0"/>
    <x v="21"/>
    <x v="10"/>
  </r>
  <r>
    <x v="25"/>
    <x v="0"/>
    <x v="238"/>
    <x v="10"/>
    <x v="0"/>
    <x v="0"/>
    <x v="3"/>
    <x v="10"/>
    <x v="22"/>
    <x v="23"/>
    <x v="23"/>
    <x v="58"/>
    <x v="3"/>
    <x v="16"/>
    <x v="36"/>
    <x v="12"/>
    <x v="3"/>
    <x v="1"/>
    <x v="0"/>
    <x v="0"/>
    <x v="0"/>
    <x v="0"/>
    <x v="0"/>
    <x v="31"/>
    <x v="10"/>
  </r>
  <r>
    <x v="25"/>
    <x v="0"/>
    <x v="238"/>
    <x v="10"/>
    <x v="0"/>
    <x v="0"/>
    <x v="4"/>
    <x v="10"/>
    <x v="22"/>
    <x v="22"/>
    <x v="26"/>
    <x v="55"/>
    <x v="4"/>
    <x v="17"/>
    <x v="38"/>
    <x v="12"/>
    <x v="4"/>
    <x v="1"/>
    <x v="0"/>
    <x v="0"/>
    <x v="0"/>
    <x v="0"/>
    <x v="0"/>
    <x v="41"/>
    <x v="10"/>
  </r>
  <r>
    <x v="25"/>
    <x v="0"/>
    <x v="238"/>
    <x v="10"/>
    <x v="0"/>
    <x v="0"/>
    <x v="5"/>
    <x v="10"/>
    <x v="22"/>
    <x v="18"/>
    <x v="28"/>
    <x v="43"/>
    <x v="5"/>
    <x v="14"/>
    <x v="34"/>
    <x v="12"/>
    <x v="5"/>
    <x v="1"/>
    <x v="0"/>
    <x v="0"/>
    <x v="0"/>
    <x v="0"/>
    <x v="0"/>
    <x v="51"/>
    <x v="10"/>
  </r>
  <r>
    <x v="25"/>
    <x v="0"/>
    <x v="238"/>
    <x v="10"/>
    <x v="0"/>
    <x v="0"/>
    <x v="6"/>
    <x v="10"/>
    <x v="22"/>
    <x v="17"/>
    <x v="25"/>
    <x v="26"/>
    <x v="6"/>
    <x v="12"/>
    <x v="20"/>
    <x v="12"/>
    <x v="6"/>
    <x v="1"/>
    <x v="0"/>
    <x v="0"/>
    <x v="0"/>
    <x v="0"/>
    <x v="0"/>
    <x v="61"/>
    <x v="10"/>
  </r>
  <r>
    <x v="11"/>
    <x v="0"/>
    <x v="239"/>
    <x v="10"/>
    <x v="0"/>
    <x v="1"/>
    <x v="2"/>
    <x v="27"/>
    <x v="17"/>
    <x v="21"/>
    <x v="21"/>
    <x v="52"/>
    <x v="2"/>
    <x v="15"/>
    <x v="35"/>
    <x v="12"/>
    <x v="2"/>
    <x v="0"/>
    <x v="0"/>
    <x v="0"/>
    <x v="0"/>
    <x v="0"/>
    <x v="0"/>
    <x v="21"/>
    <x v="27"/>
  </r>
  <r>
    <x v="11"/>
    <x v="0"/>
    <x v="239"/>
    <x v="10"/>
    <x v="0"/>
    <x v="1"/>
    <x v="3"/>
    <x v="28"/>
    <x v="17"/>
    <x v="23"/>
    <x v="23"/>
    <x v="58"/>
    <x v="3"/>
    <x v="16"/>
    <x v="36"/>
    <x v="12"/>
    <x v="3"/>
    <x v="0"/>
    <x v="0"/>
    <x v="0"/>
    <x v="0"/>
    <x v="0"/>
    <x v="0"/>
    <x v="31"/>
    <x v="28"/>
  </r>
  <r>
    <x v="11"/>
    <x v="0"/>
    <x v="239"/>
    <x v="10"/>
    <x v="0"/>
    <x v="1"/>
    <x v="4"/>
    <x v="28"/>
    <x v="17"/>
    <x v="22"/>
    <x v="26"/>
    <x v="55"/>
    <x v="4"/>
    <x v="17"/>
    <x v="38"/>
    <x v="12"/>
    <x v="4"/>
    <x v="0"/>
    <x v="0"/>
    <x v="0"/>
    <x v="0"/>
    <x v="0"/>
    <x v="0"/>
    <x v="41"/>
    <x v="28"/>
  </r>
  <r>
    <x v="11"/>
    <x v="0"/>
    <x v="239"/>
    <x v="10"/>
    <x v="0"/>
    <x v="1"/>
    <x v="5"/>
    <x v="26"/>
    <x v="17"/>
    <x v="18"/>
    <x v="28"/>
    <x v="43"/>
    <x v="5"/>
    <x v="14"/>
    <x v="34"/>
    <x v="12"/>
    <x v="5"/>
    <x v="0"/>
    <x v="0"/>
    <x v="0"/>
    <x v="0"/>
    <x v="0"/>
    <x v="0"/>
    <x v="51"/>
    <x v="26"/>
  </r>
  <r>
    <x v="11"/>
    <x v="0"/>
    <x v="239"/>
    <x v="10"/>
    <x v="0"/>
    <x v="1"/>
    <x v="6"/>
    <x v="28"/>
    <x v="17"/>
    <x v="17"/>
    <x v="25"/>
    <x v="26"/>
    <x v="6"/>
    <x v="12"/>
    <x v="20"/>
    <x v="12"/>
    <x v="6"/>
    <x v="0"/>
    <x v="0"/>
    <x v="0"/>
    <x v="0"/>
    <x v="0"/>
    <x v="0"/>
    <x v="61"/>
    <x v="28"/>
  </r>
  <r>
    <x v="11"/>
    <x v="0"/>
    <x v="240"/>
    <x v="10"/>
    <x v="0"/>
    <x v="1"/>
    <x v="2"/>
    <x v="27"/>
    <x v="17"/>
    <x v="21"/>
    <x v="21"/>
    <x v="52"/>
    <x v="2"/>
    <x v="15"/>
    <x v="35"/>
    <x v="12"/>
    <x v="2"/>
    <x v="0"/>
    <x v="0"/>
    <x v="0"/>
    <x v="0"/>
    <x v="0"/>
    <x v="0"/>
    <x v="21"/>
    <x v="27"/>
  </r>
  <r>
    <x v="11"/>
    <x v="0"/>
    <x v="240"/>
    <x v="10"/>
    <x v="0"/>
    <x v="1"/>
    <x v="3"/>
    <x v="28"/>
    <x v="17"/>
    <x v="23"/>
    <x v="23"/>
    <x v="58"/>
    <x v="3"/>
    <x v="16"/>
    <x v="36"/>
    <x v="12"/>
    <x v="3"/>
    <x v="0"/>
    <x v="0"/>
    <x v="0"/>
    <x v="0"/>
    <x v="0"/>
    <x v="0"/>
    <x v="31"/>
    <x v="28"/>
  </r>
  <r>
    <x v="11"/>
    <x v="0"/>
    <x v="240"/>
    <x v="10"/>
    <x v="0"/>
    <x v="1"/>
    <x v="4"/>
    <x v="28"/>
    <x v="17"/>
    <x v="22"/>
    <x v="26"/>
    <x v="55"/>
    <x v="4"/>
    <x v="17"/>
    <x v="38"/>
    <x v="12"/>
    <x v="4"/>
    <x v="0"/>
    <x v="0"/>
    <x v="0"/>
    <x v="0"/>
    <x v="0"/>
    <x v="0"/>
    <x v="41"/>
    <x v="28"/>
  </r>
  <r>
    <x v="11"/>
    <x v="0"/>
    <x v="240"/>
    <x v="10"/>
    <x v="0"/>
    <x v="1"/>
    <x v="5"/>
    <x v="26"/>
    <x v="17"/>
    <x v="18"/>
    <x v="28"/>
    <x v="43"/>
    <x v="5"/>
    <x v="14"/>
    <x v="34"/>
    <x v="12"/>
    <x v="5"/>
    <x v="0"/>
    <x v="0"/>
    <x v="0"/>
    <x v="0"/>
    <x v="0"/>
    <x v="0"/>
    <x v="51"/>
    <x v="26"/>
  </r>
  <r>
    <x v="0"/>
    <x v="0"/>
    <x v="242"/>
    <x v="7"/>
    <x v="0"/>
    <x v="0"/>
    <x v="2"/>
    <x v="31"/>
    <x v="46"/>
    <x v="21"/>
    <x v="65"/>
    <x v="81"/>
    <x v="2"/>
    <x v="15"/>
    <x v="43"/>
    <x v="4"/>
    <x v="2"/>
    <x v="1"/>
    <x v="0"/>
    <x v="0"/>
    <x v="0"/>
    <x v="0"/>
    <x v="0"/>
    <x v="18"/>
    <x v="31"/>
  </r>
  <r>
    <x v="3"/>
    <x v="0"/>
    <x v="243"/>
    <x v="7"/>
    <x v="0"/>
    <x v="1"/>
    <x v="2"/>
    <x v="38"/>
    <x v="36"/>
    <x v="21"/>
    <x v="65"/>
    <x v="81"/>
    <x v="2"/>
    <x v="15"/>
    <x v="43"/>
    <x v="4"/>
    <x v="2"/>
    <x v="0"/>
    <x v="0"/>
    <x v="0"/>
    <x v="0"/>
    <x v="0"/>
    <x v="0"/>
    <x v="18"/>
    <x v="38"/>
  </r>
  <r>
    <x v="24"/>
    <x v="0"/>
    <x v="244"/>
    <x v="7"/>
    <x v="0"/>
    <x v="0"/>
    <x v="2"/>
    <x v="27"/>
    <x v="46"/>
    <x v="21"/>
    <x v="65"/>
    <x v="81"/>
    <x v="2"/>
    <x v="15"/>
    <x v="43"/>
    <x v="4"/>
    <x v="2"/>
    <x v="1"/>
    <x v="0"/>
    <x v="0"/>
    <x v="0"/>
    <x v="0"/>
    <x v="0"/>
    <x v="18"/>
    <x v="27"/>
  </r>
  <r>
    <x v="15"/>
    <x v="0"/>
    <x v="245"/>
    <x v="9"/>
    <x v="0"/>
    <x v="1"/>
    <x v="2"/>
    <x v="21"/>
    <x v="36"/>
    <x v="21"/>
    <x v="74"/>
    <x v="84"/>
    <x v="2"/>
    <x v="15"/>
    <x v="30"/>
    <x v="2"/>
    <x v="2"/>
    <x v="0"/>
    <x v="0"/>
    <x v="0"/>
    <x v="0"/>
    <x v="0"/>
    <x v="0"/>
    <x v="20"/>
    <x v="21"/>
  </r>
  <r>
    <x v="15"/>
    <x v="0"/>
    <x v="245"/>
    <x v="9"/>
    <x v="0"/>
    <x v="1"/>
    <x v="3"/>
    <x v="20"/>
    <x v="36"/>
    <x v="23"/>
    <x v="68"/>
    <x v="83"/>
    <x v="3"/>
    <x v="16"/>
    <x v="32"/>
    <x v="2"/>
    <x v="3"/>
    <x v="0"/>
    <x v="0"/>
    <x v="0"/>
    <x v="0"/>
    <x v="0"/>
    <x v="0"/>
    <x v="30"/>
    <x v="20"/>
  </r>
  <r>
    <x v="15"/>
    <x v="0"/>
    <x v="245"/>
    <x v="9"/>
    <x v="0"/>
    <x v="1"/>
    <x v="4"/>
    <x v="20"/>
    <x v="36"/>
    <x v="22"/>
    <x v="64"/>
    <x v="82"/>
    <x v="4"/>
    <x v="17"/>
    <x v="33"/>
    <x v="2"/>
    <x v="4"/>
    <x v="0"/>
    <x v="0"/>
    <x v="0"/>
    <x v="0"/>
    <x v="0"/>
    <x v="0"/>
    <x v="40"/>
    <x v="20"/>
  </r>
  <r>
    <x v="15"/>
    <x v="0"/>
    <x v="245"/>
    <x v="9"/>
    <x v="0"/>
    <x v="1"/>
    <x v="5"/>
    <x v="22"/>
    <x v="36"/>
    <x v="18"/>
    <x v="61"/>
    <x v="72"/>
    <x v="5"/>
    <x v="14"/>
    <x v="28"/>
    <x v="2"/>
    <x v="5"/>
    <x v="0"/>
    <x v="0"/>
    <x v="0"/>
    <x v="0"/>
    <x v="0"/>
    <x v="0"/>
    <x v="50"/>
    <x v="22"/>
  </r>
  <r>
    <x v="15"/>
    <x v="0"/>
    <x v="245"/>
    <x v="9"/>
    <x v="0"/>
    <x v="1"/>
    <x v="6"/>
    <x v="20"/>
    <x v="36"/>
    <x v="17"/>
    <x v="59"/>
    <x v="50"/>
    <x v="6"/>
    <x v="12"/>
    <x v="19"/>
    <x v="2"/>
    <x v="6"/>
    <x v="0"/>
    <x v="0"/>
    <x v="0"/>
    <x v="0"/>
    <x v="0"/>
    <x v="0"/>
    <x v="60"/>
    <x v="20"/>
  </r>
  <r>
    <x v="0"/>
    <x v="0"/>
    <x v="246"/>
    <x v="9"/>
    <x v="0"/>
    <x v="1"/>
    <x v="2"/>
    <x v="10"/>
    <x v="36"/>
    <x v="21"/>
    <x v="74"/>
    <x v="84"/>
    <x v="2"/>
    <x v="15"/>
    <x v="30"/>
    <x v="2"/>
    <x v="2"/>
    <x v="0"/>
    <x v="0"/>
    <x v="0"/>
    <x v="0"/>
    <x v="0"/>
    <x v="0"/>
    <x v="20"/>
    <x v="10"/>
  </r>
  <r>
    <x v="0"/>
    <x v="0"/>
    <x v="246"/>
    <x v="9"/>
    <x v="0"/>
    <x v="1"/>
    <x v="3"/>
    <x v="10"/>
    <x v="36"/>
    <x v="23"/>
    <x v="68"/>
    <x v="83"/>
    <x v="3"/>
    <x v="16"/>
    <x v="32"/>
    <x v="2"/>
    <x v="3"/>
    <x v="0"/>
    <x v="0"/>
    <x v="0"/>
    <x v="0"/>
    <x v="0"/>
    <x v="0"/>
    <x v="30"/>
    <x v="10"/>
  </r>
  <r>
    <x v="0"/>
    <x v="0"/>
    <x v="246"/>
    <x v="9"/>
    <x v="0"/>
    <x v="1"/>
    <x v="4"/>
    <x v="10"/>
    <x v="36"/>
    <x v="22"/>
    <x v="64"/>
    <x v="82"/>
    <x v="4"/>
    <x v="17"/>
    <x v="33"/>
    <x v="2"/>
    <x v="4"/>
    <x v="0"/>
    <x v="0"/>
    <x v="0"/>
    <x v="0"/>
    <x v="0"/>
    <x v="0"/>
    <x v="40"/>
    <x v="10"/>
  </r>
  <r>
    <x v="0"/>
    <x v="0"/>
    <x v="246"/>
    <x v="9"/>
    <x v="0"/>
    <x v="1"/>
    <x v="5"/>
    <x v="10"/>
    <x v="36"/>
    <x v="18"/>
    <x v="61"/>
    <x v="72"/>
    <x v="5"/>
    <x v="14"/>
    <x v="28"/>
    <x v="2"/>
    <x v="5"/>
    <x v="0"/>
    <x v="0"/>
    <x v="0"/>
    <x v="0"/>
    <x v="0"/>
    <x v="0"/>
    <x v="50"/>
    <x v="10"/>
  </r>
  <r>
    <x v="0"/>
    <x v="0"/>
    <x v="246"/>
    <x v="9"/>
    <x v="0"/>
    <x v="1"/>
    <x v="6"/>
    <x v="10"/>
    <x v="36"/>
    <x v="17"/>
    <x v="59"/>
    <x v="50"/>
    <x v="6"/>
    <x v="12"/>
    <x v="19"/>
    <x v="2"/>
    <x v="6"/>
    <x v="0"/>
    <x v="0"/>
    <x v="0"/>
    <x v="0"/>
    <x v="0"/>
    <x v="0"/>
    <x v="60"/>
    <x v="10"/>
  </r>
  <r>
    <x v="7"/>
    <x v="0"/>
    <x v="241"/>
    <x v="3"/>
    <x v="0"/>
    <x v="0"/>
    <x v="2"/>
    <x v="43"/>
    <x v="19"/>
    <x v="21"/>
    <x v="7"/>
    <x v="36"/>
    <x v="2"/>
    <x v="15"/>
    <x v="39"/>
    <x v="5"/>
    <x v="2"/>
    <x v="1"/>
    <x v="0"/>
    <x v="0"/>
    <x v="0"/>
    <x v="0"/>
    <x v="0"/>
    <x v="15"/>
    <x v="43"/>
  </r>
  <r>
    <x v="7"/>
    <x v="0"/>
    <x v="241"/>
    <x v="3"/>
    <x v="0"/>
    <x v="0"/>
    <x v="3"/>
    <x v="43"/>
    <x v="19"/>
    <x v="23"/>
    <x v="57"/>
    <x v="79"/>
    <x v="3"/>
    <x v="16"/>
    <x v="40"/>
    <x v="5"/>
    <x v="3"/>
    <x v="1"/>
    <x v="0"/>
    <x v="0"/>
    <x v="0"/>
    <x v="0"/>
    <x v="0"/>
    <x v="25"/>
    <x v="43"/>
  </r>
  <r>
    <x v="7"/>
    <x v="0"/>
    <x v="241"/>
    <x v="3"/>
    <x v="0"/>
    <x v="0"/>
    <x v="4"/>
    <x v="43"/>
    <x v="19"/>
    <x v="22"/>
    <x v="57"/>
    <x v="76"/>
    <x v="4"/>
    <x v="17"/>
    <x v="41"/>
    <x v="5"/>
    <x v="4"/>
    <x v="1"/>
    <x v="0"/>
    <x v="0"/>
    <x v="0"/>
    <x v="0"/>
    <x v="0"/>
    <x v="35"/>
    <x v="43"/>
  </r>
  <r>
    <x v="7"/>
    <x v="0"/>
    <x v="241"/>
    <x v="3"/>
    <x v="0"/>
    <x v="0"/>
    <x v="5"/>
    <x v="43"/>
    <x v="19"/>
    <x v="18"/>
    <x v="46"/>
    <x v="53"/>
    <x v="5"/>
    <x v="14"/>
    <x v="37"/>
    <x v="5"/>
    <x v="5"/>
    <x v="1"/>
    <x v="0"/>
    <x v="0"/>
    <x v="0"/>
    <x v="0"/>
    <x v="0"/>
    <x v="45"/>
    <x v="43"/>
  </r>
  <r>
    <x v="7"/>
    <x v="0"/>
    <x v="241"/>
    <x v="3"/>
    <x v="0"/>
    <x v="0"/>
    <x v="6"/>
    <x v="43"/>
    <x v="19"/>
    <x v="17"/>
    <x v="15"/>
    <x v="16"/>
    <x v="6"/>
    <x v="12"/>
    <x v="22"/>
    <x v="5"/>
    <x v="6"/>
    <x v="1"/>
    <x v="0"/>
    <x v="0"/>
    <x v="0"/>
    <x v="0"/>
    <x v="0"/>
    <x v="55"/>
    <x v="43"/>
  </r>
  <r>
    <x v="6"/>
    <x v="0"/>
    <x v="247"/>
    <x v="9"/>
    <x v="0"/>
    <x v="0"/>
    <x v="2"/>
    <x v="17"/>
    <x v="53"/>
    <x v="21"/>
    <x v="74"/>
    <x v="84"/>
    <x v="2"/>
    <x v="15"/>
    <x v="30"/>
    <x v="2"/>
    <x v="2"/>
    <x v="1"/>
    <x v="0"/>
    <x v="0"/>
    <x v="0"/>
    <x v="0"/>
    <x v="0"/>
    <x v="20"/>
    <x v="17"/>
  </r>
  <r>
    <x v="6"/>
    <x v="0"/>
    <x v="247"/>
    <x v="9"/>
    <x v="0"/>
    <x v="0"/>
    <x v="3"/>
    <x v="16"/>
    <x v="53"/>
    <x v="23"/>
    <x v="68"/>
    <x v="83"/>
    <x v="3"/>
    <x v="16"/>
    <x v="32"/>
    <x v="2"/>
    <x v="3"/>
    <x v="1"/>
    <x v="0"/>
    <x v="0"/>
    <x v="0"/>
    <x v="0"/>
    <x v="0"/>
    <x v="30"/>
    <x v="16"/>
  </r>
  <r>
    <x v="6"/>
    <x v="0"/>
    <x v="247"/>
    <x v="9"/>
    <x v="0"/>
    <x v="0"/>
    <x v="4"/>
    <x v="16"/>
    <x v="53"/>
    <x v="22"/>
    <x v="64"/>
    <x v="82"/>
    <x v="4"/>
    <x v="17"/>
    <x v="33"/>
    <x v="2"/>
    <x v="4"/>
    <x v="1"/>
    <x v="0"/>
    <x v="0"/>
    <x v="0"/>
    <x v="0"/>
    <x v="0"/>
    <x v="40"/>
    <x v="16"/>
  </r>
  <r>
    <x v="6"/>
    <x v="0"/>
    <x v="247"/>
    <x v="9"/>
    <x v="0"/>
    <x v="0"/>
    <x v="5"/>
    <x v="18"/>
    <x v="53"/>
    <x v="18"/>
    <x v="61"/>
    <x v="72"/>
    <x v="5"/>
    <x v="14"/>
    <x v="28"/>
    <x v="2"/>
    <x v="5"/>
    <x v="1"/>
    <x v="0"/>
    <x v="0"/>
    <x v="0"/>
    <x v="0"/>
    <x v="0"/>
    <x v="50"/>
    <x v="18"/>
  </r>
  <r>
    <x v="6"/>
    <x v="0"/>
    <x v="247"/>
    <x v="9"/>
    <x v="0"/>
    <x v="0"/>
    <x v="6"/>
    <x v="16"/>
    <x v="53"/>
    <x v="17"/>
    <x v="59"/>
    <x v="50"/>
    <x v="6"/>
    <x v="12"/>
    <x v="19"/>
    <x v="2"/>
    <x v="6"/>
    <x v="1"/>
    <x v="0"/>
    <x v="0"/>
    <x v="0"/>
    <x v="0"/>
    <x v="0"/>
    <x v="60"/>
    <x v="16"/>
  </r>
  <r>
    <x v="6"/>
    <x v="0"/>
    <x v="248"/>
    <x v="9"/>
    <x v="0"/>
    <x v="0"/>
    <x v="2"/>
    <x v="38"/>
    <x v="53"/>
    <x v="21"/>
    <x v="74"/>
    <x v="84"/>
    <x v="2"/>
    <x v="15"/>
    <x v="30"/>
    <x v="2"/>
    <x v="2"/>
    <x v="1"/>
    <x v="0"/>
    <x v="0"/>
    <x v="0"/>
    <x v="0"/>
    <x v="0"/>
    <x v="20"/>
    <x v="38"/>
  </r>
  <r>
    <x v="6"/>
    <x v="0"/>
    <x v="248"/>
    <x v="9"/>
    <x v="0"/>
    <x v="0"/>
    <x v="3"/>
    <x v="38"/>
    <x v="53"/>
    <x v="23"/>
    <x v="68"/>
    <x v="83"/>
    <x v="3"/>
    <x v="16"/>
    <x v="32"/>
    <x v="2"/>
    <x v="3"/>
    <x v="1"/>
    <x v="0"/>
    <x v="0"/>
    <x v="0"/>
    <x v="0"/>
    <x v="0"/>
    <x v="30"/>
    <x v="38"/>
  </r>
  <r>
    <x v="6"/>
    <x v="0"/>
    <x v="248"/>
    <x v="9"/>
    <x v="0"/>
    <x v="0"/>
    <x v="4"/>
    <x v="38"/>
    <x v="53"/>
    <x v="22"/>
    <x v="64"/>
    <x v="82"/>
    <x v="4"/>
    <x v="17"/>
    <x v="33"/>
    <x v="2"/>
    <x v="4"/>
    <x v="1"/>
    <x v="0"/>
    <x v="0"/>
    <x v="0"/>
    <x v="0"/>
    <x v="0"/>
    <x v="40"/>
    <x v="38"/>
  </r>
  <r>
    <x v="6"/>
    <x v="0"/>
    <x v="248"/>
    <x v="9"/>
    <x v="0"/>
    <x v="0"/>
    <x v="5"/>
    <x v="38"/>
    <x v="53"/>
    <x v="18"/>
    <x v="61"/>
    <x v="72"/>
    <x v="5"/>
    <x v="14"/>
    <x v="28"/>
    <x v="2"/>
    <x v="5"/>
    <x v="1"/>
    <x v="0"/>
    <x v="0"/>
    <x v="0"/>
    <x v="0"/>
    <x v="0"/>
    <x v="50"/>
    <x v="38"/>
  </r>
  <r>
    <x v="6"/>
    <x v="0"/>
    <x v="248"/>
    <x v="9"/>
    <x v="0"/>
    <x v="0"/>
    <x v="6"/>
    <x v="38"/>
    <x v="53"/>
    <x v="17"/>
    <x v="59"/>
    <x v="50"/>
    <x v="6"/>
    <x v="12"/>
    <x v="19"/>
    <x v="2"/>
    <x v="6"/>
    <x v="1"/>
    <x v="0"/>
    <x v="0"/>
    <x v="0"/>
    <x v="0"/>
    <x v="0"/>
    <x v="60"/>
    <x v="38"/>
  </r>
  <r>
    <x v="6"/>
    <x v="0"/>
    <x v="249"/>
    <x v="9"/>
    <x v="0"/>
    <x v="0"/>
    <x v="7"/>
    <x v="15"/>
    <x v="53"/>
    <x v="14"/>
    <x v="58"/>
    <x v="35"/>
    <x v="7"/>
    <x v="11"/>
    <x v="15"/>
    <x v="3"/>
    <x v="7"/>
    <x v="1"/>
    <x v="0"/>
    <x v="0"/>
    <x v="0"/>
    <x v="0"/>
    <x v="0"/>
    <x v="64"/>
    <x v="15"/>
  </r>
  <r>
    <x v="6"/>
    <x v="0"/>
    <x v="249"/>
    <x v="9"/>
    <x v="0"/>
    <x v="0"/>
    <x v="8"/>
    <x v="15"/>
    <x v="53"/>
    <x v="12"/>
    <x v="60"/>
    <x v="28"/>
    <x v="8"/>
    <x v="8"/>
    <x v="12"/>
    <x v="3"/>
    <x v="8"/>
    <x v="1"/>
    <x v="0"/>
    <x v="0"/>
    <x v="0"/>
    <x v="0"/>
    <x v="0"/>
    <x v="67"/>
    <x v="15"/>
  </r>
  <r>
    <x v="6"/>
    <x v="0"/>
    <x v="249"/>
    <x v="9"/>
    <x v="0"/>
    <x v="0"/>
    <x v="9"/>
    <x v="15"/>
    <x v="53"/>
    <x v="11"/>
    <x v="62"/>
    <x v="28"/>
    <x v="9"/>
    <x v="6"/>
    <x v="9"/>
    <x v="3"/>
    <x v="9"/>
    <x v="1"/>
    <x v="0"/>
    <x v="0"/>
    <x v="0"/>
    <x v="0"/>
    <x v="0"/>
    <x v="70"/>
    <x v="15"/>
  </r>
  <r>
    <x v="6"/>
    <x v="0"/>
    <x v="249"/>
    <x v="9"/>
    <x v="0"/>
    <x v="0"/>
    <x v="10"/>
    <x v="15"/>
    <x v="53"/>
    <x v="9"/>
    <x v="70"/>
    <x v="65"/>
    <x v="10"/>
    <x v="6"/>
    <x v="9"/>
    <x v="3"/>
    <x v="10"/>
    <x v="1"/>
    <x v="0"/>
    <x v="0"/>
    <x v="0"/>
    <x v="0"/>
    <x v="0"/>
    <x v="73"/>
    <x v="15"/>
  </r>
  <r>
    <x v="6"/>
    <x v="0"/>
    <x v="249"/>
    <x v="9"/>
    <x v="0"/>
    <x v="0"/>
    <x v="11"/>
    <x v="15"/>
    <x v="53"/>
    <x v="10"/>
    <x v="72"/>
    <x v="70"/>
    <x v="11"/>
    <x v="6"/>
    <x v="9"/>
    <x v="3"/>
    <x v="11"/>
    <x v="1"/>
    <x v="0"/>
    <x v="0"/>
    <x v="0"/>
    <x v="0"/>
    <x v="0"/>
    <x v="76"/>
    <x v="15"/>
  </r>
  <r>
    <x v="6"/>
    <x v="0"/>
    <x v="249"/>
    <x v="9"/>
    <x v="0"/>
    <x v="0"/>
    <x v="12"/>
    <x v="15"/>
    <x v="53"/>
    <x v="8"/>
    <x v="71"/>
    <x v="66"/>
    <x v="12"/>
    <x v="6"/>
    <x v="9"/>
    <x v="3"/>
    <x v="12"/>
    <x v="1"/>
    <x v="0"/>
    <x v="0"/>
    <x v="0"/>
    <x v="0"/>
    <x v="0"/>
    <x v="79"/>
    <x v="15"/>
  </r>
  <r>
    <x v="6"/>
    <x v="0"/>
    <x v="249"/>
    <x v="9"/>
    <x v="0"/>
    <x v="0"/>
    <x v="13"/>
    <x v="15"/>
    <x v="53"/>
    <x v="7"/>
    <x v="63"/>
    <x v="34"/>
    <x v="13"/>
    <x v="7"/>
    <x v="11"/>
    <x v="3"/>
    <x v="13"/>
    <x v="1"/>
    <x v="0"/>
    <x v="0"/>
    <x v="0"/>
    <x v="0"/>
    <x v="0"/>
    <x v="82"/>
    <x v="15"/>
  </r>
  <r>
    <x v="6"/>
    <x v="0"/>
    <x v="250"/>
    <x v="9"/>
    <x v="0"/>
    <x v="0"/>
    <x v="7"/>
    <x v="15"/>
    <x v="53"/>
    <x v="14"/>
    <x v="58"/>
    <x v="35"/>
    <x v="7"/>
    <x v="11"/>
    <x v="15"/>
    <x v="3"/>
    <x v="7"/>
    <x v="1"/>
    <x v="0"/>
    <x v="0"/>
    <x v="0"/>
    <x v="0"/>
    <x v="0"/>
    <x v="64"/>
    <x v="15"/>
  </r>
  <r>
    <x v="6"/>
    <x v="0"/>
    <x v="250"/>
    <x v="9"/>
    <x v="0"/>
    <x v="0"/>
    <x v="8"/>
    <x v="15"/>
    <x v="53"/>
    <x v="12"/>
    <x v="60"/>
    <x v="28"/>
    <x v="8"/>
    <x v="8"/>
    <x v="12"/>
    <x v="3"/>
    <x v="8"/>
    <x v="1"/>
    <x v="0"/>
    <x v="0"/>
    <x v="0"/>
    <x v="0"/>
    <x v="0"/>
    <x v="67"/>
    <x v="15"/>
  </r>
  <r>
    <x v="6"/>
    <x v="0"/>
    <x v="250"/>
    <x v="9"/>
    <x v="0"/>
    <x v="0"/>
    <x v="9"/>
    <x v="15"/>
    <x v="53"/>
    <x v="11"/>
    <x v="62"/>
    <x v="28"/>
    <x v="9"/>
    <x v="6"/>
    <x v="9"/>
    <x v="3"/>
    <x v="9"/>
    <x v="1"/>
    <x v="0"/>
    <x v="0"/>
    <x v="0"/>
    <x v="0"/>
    <x v="0"/>
    <x v="70"/>
    <x v="15"/>
  </r>
  <r>
    <x v="6"/>
    <x v="0"/>
    <x v="250"/>
    <x v="9"/>
    <x v="0"/>
    <x v="0"/>
    <x v="10"/>
    <x v="15"/>
    <x v="53"/>
    <x v="9"/>
    <x v="70"/>
    <x v="65"/>
    <x v="10"/>
    <x v="6"/>
    <x v="9"/>
    <x v="3"/>
    <x v="10"/>
    <x v="1"/>
    <x v="0"/>
    <x v="0"/>
    <x v="0"/>
    <x v="0"/>
    <x v="0"/>
    <x v="73"/>
    <x v="15"/>
  </r>
  <r>
    <x v="6"/>
    <x v="0"/>
    <x v="250"/>
    <x v="9"/>
    <x v="0"/>
    <x v="0"/>
    <x v="11"/>
    <x v="15"/>
    <x v="53"/>
    <x v="10"/>
    <x v="72"/>
    <x v="70"/>
    <x v="11"/>
    <x v="6"/>
    <x v="9"/>
    <x v="3"/>
    <x v="11"/>
    <x v="1"/>
    <x v="0"/>
    <x v="0"/>
    <x v="0"/>
    <x v="0"/>
    <x v="0"/>
    <x v="76"/>
    <x v="15"/>
  </r>
  <r>
    <x v="6"/>
    <x v="0"/>
    <x v="250"/>
    <x v="9"/>
    <x v="0"/>
    <x v="0"/>
    <x v="12"/>
    <x v="15"/>
    <x v="53"/>
    <x v="8"/>
    <x v="71"/>
    <x v="66"/>
    <x v="12"/>
    <x v="6"/>
    <x v="9"/>
    <x v="3"/>
    <x v="12"/>
    <x v="1"/>
    <x v="0"/>
    <x v="0"/>
    <x v="0"/>
    <x v="0"/>
    <x v="0"/>
    <x v="79"/>
    <x v="15"/>
  </r>
  <r>
    <x v="6"/>
    <x v="0"/>
    <x v="250"/>
    <x v="9"/>
    <x v="0"/>
    <x v="0"/>
    <x v="13"/>
    <x v="15"/>
    <x v="53"/>
    <x v="7"/>
    <x v="63"/>
    <x v="34"/>
    <x v="13"/>
    <x v="7"/>
    <x v="11"/>
    <x v="3"/>
    <x v="13"/>
    <x v="1"/>
    <x v="0"/>
    <x v="0"/>
    <x v="0"/>
    <x v="0"/>
    <x v="0"/>
    <x v="82"/>
    <x v="15"/>
  </r>
  <r>
    <x v="6"/>
    <x v="0"/>
    <x v="251"/>
    <x v="9"/>
    <x v="0"/>
    <x v="0"/>
    <x v="7"/>
    <x v="15"/>
    <x v="53"/>
    <x v="14"/>
    <x v="58"/>
    <x v="35"/>
    <x v="7"/>
    <x v="11"/>
    <x v="15"/>
    <x v="3"/>
    <x v="7"/>
    <x v="1"/>
    <x v="0"/>
    <x v="0"/>
    <x v="0"/>
    <x v="0"/>
    <x v="0"/>
    <x v="64"/>
    <x v="15"/>
  </r>
  <r>
    <x v="6"/>
    <x v="0"/>
    <x v="251"/>
    <x v="9"/>
    <x v="0"/>
    <x v="0"/>
    <x v="8"/>
    <x v="15"/>
    <x v="53"/>
    <x v="12"/>
    <x v="60"/>
    <x v="28"/>
    <x v="8"/>
    <x v="8"/>
    <x v="12"/>
    <x v="3"/>
    <x v="8"/>
    <x v="1"/>
    <x v="0"/>
    <x v="0"/>
    <x v="0"/>
    <x v="0"/>
    <x v="0"/>
    <x v="67"/>
    <x v="15"/>
  </r>
  <r>
    <x v="6"/>
    <x v="0"/>
    <x v="251"/>
    <x v="9"/>
    <x v="0"/>
    <x v="0"/>
    <x v="9"/>
    <x v="15"/>
    <x v="53"/>
    <x v="11"/>
    <x v="62"/>
    <x v="28"/>
    <x v="9"/>
    <x v="6"/>
    <x v="9"/>
    <x v="3"/>
    <x v="9"/>
    <x v="1"/>
    <x v="0"/>
    <x v="0"/>
    <x v="0"/>
    <x v="0"/>
    <x v="0"/>
    <x v="70"/>
    <x v="15"/>
  </r>
  <r>
    <x v="6"/>
    <x v="0"/>
    <x v="251"/>
    <x v="9"/>
    <x v="0"/>
    <x v="0"/>
    <x v="10"/>
    <x v="15"/>
    <x v="53"/>
    <x v="9"/>
    <x v="70"/>
    <x v="65"/>
    <x v="10"/>
    <x v="6"/>
    <x v="9"/>
    <x v="3"/>
    <x v="10"/>
    <x v="1"/>
    <x v="0"/>
    <x v="0"/>
    <x v="0"/>
    <x v="0"/>
    <x v="0"/>
    <x v="73"/>
    <x v="15"/>
  </r>
  <r>
    <x v="6"/>
    <x v="0"/>
    <x v="251"/>
    <x v="9"/>
    <x v="0"/>
    <x v="0"/>
    <x v="11"/>
    <x v="15"/>
    <x v="53"/>
    <x v="10"/>
    <x v="72"/>
    <x v="70"/>
    <x v="11"/>
    <x v="6"/>
    <x v="9"/>
    <x v="3"/>
    <x v="11"/>
    <x v="1"/>
    <x v="0"/>
    <x v="0"/>
    <x v="0"/>
    <x v="0"/>
    <x v="0"/>
    <x v="76"/>
    <x v="15"/>
  </r>
  <r>
    <x v="6"/>
    <x v="0"/>
    <x v="251"/>
    <x v="9"/>
    <x v="0"/>
    <x v="0"/>
    <x v="12"/>
    <x v="15"/>
    <x v="53"/>
    <x v="8"/>
    <x v="71"/>
    <x v="66"/>
    <x v="12"/>
    <x v="6"/>
    <x v="9"/>
    <x v="3"/>
    <x v="12"/>
    <x v="1"/>
    <x v="0"/>
    <x v="0"/>
    <x v="0"/>
    <x v="0"/>
    <x v="0"/>
    <x v="79"/>
    <x v="15"/>
  </r>
  <r>
    <x v="6"/>
    <x v="0"/>
    <x v="251"/>
    <x v="9"/>
    <x v="0"/>
    <x v="0"/>
    <x v="13"/>
    <x v="15"/>
    <x v="53"/>
    <x v="7"/>
    <x v="63"/>
    <x v="34"/>
    <x v="13"/>
    <x v="7"/>
    <x v="11"/>
    <x v="3"/>
    <x v="13"/>
    <x v="1"/>
    <x v="0"/>
    <x v="0"/>
    <x v="0"/>
    <x v="0"/>
    <x v="0"/>
    <x v="82"/>
    <x v="15"/>
  </r>
  <r>
    <x v="17"/>
    <x v="0"/>
    <x v="252"/>
    <x v="7"/>
    <x v="0"/>
    <x v="1"/>
    <x v="0"/>
    <x v="0"/>
    <x v="26"/>
    <x v="19"/>
    <x v="41"/>
    <x v="63"/>
    <x v="0"/>
    <x v="6"/>
    <x v="6"/>
    <x v="10"/>
    <x v="0"/>
    <x v="0"/>
    <x v="0"/>
    <x v="0"/>
    <x v="0"/>
    <x v="0"/>
    <x v="0"/>
    <x v="4"/>
    <x v="0"/>
  </r>
  <r>
    <x v="7"/>
    <x v="0"/>
    <x v="253"/>
    <x v="3"/>
    <x v="0"/>
    <x v="1"/>
    <x v="2"/>
    <x v="31"/>
    <x v="19"/>
    <x v="21"/>
    <x v="7"/>
    <x v="36"/>
    <x v="2"/>
    <x v="15"/>
    <x v="39"/>
    <x v="5"/>
    <x v="2"/>
    <x v="0"/>
    <x v="0"/>
    <x v="0"/>
    <x v="0"/>
    <x v="0"/>
    <x v="0"/>
    <x v="15"/>
    <x v="31"/>
  </r>
  <r>
    <x v="7"/>
    <x v="0"/>
    <x v="253"/>
    <x v="3"/>
    <x v="0"/>
    <x v="1"/>
    <x v="3"/>
    <x v="31"/>
    <x v="19"/>
    <x v="23"/>
    <x v="57"/>
    <x v="79"/>
    <x v="3"/>
    <x v="16"/>
    <x v="40"/>
    <x v="5"/>
    <x v="3"/>
    <x v="0"/>
    <x v="0"/>
    <x v="0"/>
    <x v="0"/>
    <x v="0"/>
    <x v="0"/>
    <x v="25"/>
    <x v="31"/>
  </r>
  <r>
    <x v="7"/>
    <x v="0"/>
    <x v="253"/>
    <x v="3"/>
    <x v="0"/>
    <x v="1"/>
    <x v="4"/>
    <x v="31"/>
    <x v="19"/>
    <x v="22"/>
    <x v="57"/>
    <x v="76"/>
    <x v="4"/>
    <x v="17"/>
    <x v="41"/>
    <x v="5"/>
    <x v="4"/>
    <x v="0"/>
    <x v="0"/>
    <x v="0"/>
    <x v="0"/>
    <x v="0"/>
    <x v="0"/>
    <x v="35"/>
    <x v="31"/>
  </r>
  <r>
    <x v="7"/>
    <x v="0"/>
    <x v="253"/>
    <x v="3"/>
    <x v="0"/>
    <x v="1"/>
    <x v="5"/>
    <x v="31"/>
    <x v="19"/>
    <x v="18"/>
    <x v="46"/>
    <x v="53"/>
    <x v="5"/>
    <x v="14"/>
    <x v="37"/>
    <x v="5"/>
    <x v="5"/>
    <x v="0"/>
    <x v="0"/>
    <x v="0"/>
    <x v="0"/>
    <x v="0"/>
    <x v="0"/>
    <x v="45"/>
    <x v="31"/>
  </r>
  <r>
    <x v="7"/>
    <x v="0"/>
    <x v="253"/>
    <x v="3"/>
    <x v="0"/>
    <x v="1"/>
    <x v="6"/>
    <x v="31"/>
    <x v="19"/>
    <x v="17"/>
    <x v="15"/>
    <x v="16"/>
    <x v="6"/>
    <x v="12"/>
    <x v="22"/>
    <x v="5"/>
    <x v="6"/>
    <x v="0"/>
    <x v="0"/>
    <x v="0"/>
    <x v="0"/>
    <x v="0"/>
    <x v="0"/>
    <x v="55"/>
    <x v="3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25">
  <r>
    <x v="21"/>
    <x v="0"/>
    <x v="0"/>
    <x v="7"/>
    <x v="0"/>
    <x v="0"/>
    <x v="18"/>
    <x v="9"/>
    <x v="45"/>
    <x v="5"/>
    <x v="63"/>
    <x v="38"/>
    <x v="18"/>
    <x v="4"/>
    <x v="10"/>
    <x v="5"/>
    <x v="18"/>
    <x v="1"/>
    <x v="0"/>
    <x v="0"/>
    <x v="0"/>
    <x v="0"/>
    <x v="0"/>
    <x v="80"/>
    <x v="9"/>
    <x v="0"/>
    <x v="0"/>
    <x v="0"/>
    <x v="0"/>
    <x v="0"/>
    <x v="0"/>
  </r>
  <r>
    <x v="21"/>
    <x v="0"/>
    <x v="0"/>
    <x v="7"/>
    <x v="0"/>
    <x v="0"/>
    <x v="17"/>
    <x v="9"/>
    <x v="45"/>
    <x v="6"/>
    <x v="68"/>
    <x v="73"/>
    <x v="17"/>
    <x v="5"/>
    <x v="12"/>
    <x v="5"/>
    <x v="17"/>
    <x v="1"/>
    <x v="0"/>
    <x v="0"/>
    <x v="0"/>
    <x v="0"/>
    <x v="0"/>
    <x v="79"/>
    <x v="9"/>
    <x v="0"/>
    <x v="0"/>
    <x v="0"/>
    <x v="0"/>
    <x v="0"/>
    <x v="0"/>
  </r>
  <r>
    <x v="21"/>
    <x v="0"/>
    <x v="0"/>
    <x v="7"/>
    <x v="0"/>
    <x v="0"/>
    <x v="16"/>
    <x v="9"/>
    <x v="45"/>
    <x v="15"/>
    <x v="68"/>
    <x v="74"/>
    <x v="16"/>
    <x v="10"/>
    <x v="15"/>
    <x v="5"/>
    <x v="16"/>
    <x v="1"/>
    <x v="0"/>
    <x v="0"/>
    <x v="0"/>
    <x v="0"/>
    <x v="0"/>
    <x v="78"/>
    <x v="9"/>
    <x v="0"/>
    <x v="0"/>
    <x v="0"/>
    <x v="0"/>
    <x v="0"/>
    <x v="0"/>
  </r>
  <r>
    <x v="21"/>
    <x v="0"/>
    <x v="0"/>
    <x v="7"/>
    <x v="0"/>
    <x v="0"/>
    <x v="15"/>
    <x v="9"/>
    <x v="45"/>
    <x v="16"/>
    <x v="66"/>
    <x v="71"/>
    <x v="15"/>
    <x v="9"/>
    <x v="14"/>
    <x v="5"/>
    <x v="15"/>
    <x v="1"/>
    <x v="0"/>
    <x v="0"/>
    <x v="0"/>
    <x v="0"/>
    <x v="0"/>
    <x v="77"/>
    <x v="9"/>
    <x v="0"/>
    <x v="0"/>
    <x v="0"/>
    <x v="0"/>
    <x v="0"/>
    <x v="0"/>
  </r>
  <r>
    <x v="21"/>
    <x v="0"/>
    <x v="0"/>
    <x v="7"/>
    <x v="0"/>
    <x v="0"/>
    <x v="14"/>
    <x v="9"/>
    <x v="45"/>
    <x v="13"/>
    <x v="62"/>
    <x v="44"/>
    <x v="14"/>
    <x v="7"/>
    <x v="13"/>
    <x v="5"/>
    <x v="14"/>
    <x v="1"/>
    <x v="0"/>
    <x v="0"/>
    <x v="0"/>
    <x v="0"/>
    <x v="0"/>
    <x v="76"/>
    <x v="9"/>
    <x v="0"/>
    <x v="0"/>
    <x v="0"/>
    <x v="0"/>
    <x v="0"/>
    <x v="0"/>
  </r>
  <r>
    <x v="18"/>
    <x v="0"/>
    <x v="1"/>
    <x v="7"/>
    <x v="0"/>
    <x v="0"/>
    <x v="13"/>
    <x v="30"/>
    <x v="26"/>
    <x v="7"/>
    <x v="55"/>
    <x v="18"/>
    <x v="13"/>
    <x v="7"/>
    <x v="7"/>
    <x v="6"/>
    <x v="13"/>
    <x v="1"/>
    <x v="0"/>
    <x v="0"/>
    <x v="0"/>
    <x v="0"/>
    <x v="0"/>
    <x v="75"/>
    <x v="30"/>
    <x v="0"/>
    <x v="0"/>
    <x v="0"/>
    <x v="0"/>
    <x v="0"/>
    <x v="0"/>
  </r>
  <r>
    <x v="18"/>
    <x v="0"/>
    <x v="1"/>
    <x v="7"/>
    <x v="0"/>
    <x v="0"/>
    <x v="12"/>
    <x v="30"/>
    <x v="26"/>
    <x v="8"/>
    <x v="50"/>
    <x v="16"/>
    <x v="12"/>
    <x v="6"/>
    <x v="6"/>
    <x v="6"/>
    <x v="12"/>
    <x v="1"/>
    <x v="0"/>
    <x v="0"/>
    <x v="0"/>
    <x v="0"/>
    <x v="0"/>
    <x v="73"/>
    <x v="30"/>
    <x v="0"/>
    <x v="0"/>
    <x v="0"/>
    <x v="0"/>
    <x v="0"/>
    <x v="0"/>
  </r>
  <r>
    <x v="18"/>
    <x v="0"/>
    <x v="1"/>
    <x v="7"/>
    <x v="0"/>
    <x v="0"/>
    <x v="11"/>
    <x v="30"/>
    <x v="26"/>
    <x v="10"/>
    <x v="54"/>
    <x v="22"/>
    <x v="11"/>
    <x v="6"/>
    <x v="6"/>
    <x v="6"/>
    <x v="11"/>
    <x v="1"/>
    <x v="0"/>
    <x v="0"/>
    <x v="0"/>
    <x v="0"/>
    <x v="0"/>
    <x v="71"/>
    <x v="30"/>
    <x v="0"/>
    <x v="0"/>
    <x v="0"/>
    <x v="0"/>
    <x v="0"/>
    <x v="0"/>
  </r>
  <r>
    <x v="18"/>
    <x v="0"/>
    <x v="1"/>
    <x v="7"/>
    <x v="0"/>
    <x v="0"/>
    <x v="10"/>
    <x v="30"/>
    <x v="26"/>
    <x v="9"/>
    <x v="54"/>
    <x v="21"/>
    <x v="10"/>
    <x v="6"/>
    <x v="6"/>
    <x v="6"/>
    <x v="10"/>
    <x v="1"/>
    <x v="0"/>
    <x v="0"/>
    <x v="0"/>
    <x v="0"/>
    <x v="0"/>
    <x v="69"/>
    <x v="30"/>
    <x v="0"/>
    <x v="0"/>
    <x v="0"/>
    <x v="0"/>
    <x v="0"/>
    <x v="0"/>
  </r>
  <r>
    <x v="18"/>
    <x v="0"/>
    <x v="1"/>
    <x v="7"/>
    <x v="0"/>
    <x v="0"/>
    <x v="9"/>
    <x v="30"/>
    <x v="26"/>
    <x v="11"/>
    <x v="50"/>
    <x v="17"/>
    <x v="9"/>
    <x v="6"/>
    <x v="6"/>
    <x v="6"/>
    <x v="9"/>
    <x v="1"/>
    <x v="0"/>
    <x v="0"/>
    <x v="0"/>
    <x v="0"/>
    <x v="0"/>
    <x v="67"/>
    <x v="30"/>
    <x v="0"/>
    <x v="0"/>
    <x v="0"/>
    <x v="0"/>
    <x v="0"/>
    <x v="0"/>
  </r>
  <r>
    <x v="18"/>
    <x v="0"/>
    <x v="1"/>
    <x v="7"/>
    <x v="0"/>
    <x v="0"/>
    <x v="8"/>
    <x v="30"/>
    <x v="26"/>
    <x v="12"/>
    <x v="51"/>
    <x v="19"/>
    <x v="8"/>
    <x v="8"/>
    <x v="8"/>
    <x v="6"/>
    <x v="8"/>
    <x v="1"/>
    <x v="0"/>
    <x v="0"/>
    <x v="0"/>
    <x v="0"/>
    <x v="0"/>
    <x v="65"/>
    <x v="30"/>
    <x v="0"/>
    <x v="0"/>
    <x v="0"/>
    <x v="0"/>
    <x v="0"/>
    <x v="0"/>
  </r>
  <r>
    <x v="18"/>
    <x v="0"/>
    <x v="1"/>
    <x v="7"/>
    <x v="0"/>
    <x v="0"/>
    <x v="7"/>
    <x v="30"/>
    <x v="26"/>
    <x v="14"/>
    <x v="56"/>
    <x v="30"/>
    <x v="7"/>
    <x v="11"/>
    <x v="11"/>
    <x v="6"/>
    <x v="7"/>
    <x v="1"/>
    <x v="0"/>
    <x v="0"/>
    <x v="0"/>
    <x v="0"/>
    <x v="0"/>
    <x v="63"/>
    <x v="30"/>
    <x v="0"/>
    <x v="0"/>
    <x v="0"/>
    <x v="0"/>
    <x v="0"/>
    <x v="0"/>
  </r>
  <r>
    <x v="18"/>
    <x v="0"/>
    <x v="1"/>
    <x v="7"/>
    <x v="0"/>
    <x v="0"/>
    <x v="1"/>
    <x v="30"/>
    <x v="26"/>
    <x v="20"/>
    <x v="52"/>
    <x v="67"/>
    <x v="1"/>
    <x v="13"/>
    <x v="23"/>
    <x v="9"/>
    <x v="1"/>
    <x v="1"/>
    <x v="0"/>
    <x v="0"/>
    <x v="0"/>
    <x v="0"/>
    <x v="0"/>
    <x v="10"/>
    <x v="30"/>
    <x v="0"/>
    <x v="0"/>
    <x v="0"/>
    <x v="0"/>
    <x v="0"/>
    <x v="0"/>
  </r>
  <r>
    <x v="18"/>
    <x v="0"/>
    <x v="1"/>
    <x v="7"/>
    <x v="0"/>
    <x v="0"/>
    <x v="0"/>
    <x v="30"/>
    <x v="26"/>
    <x v="19"/>
    <x v="41"/>
    <x v="60"/>
    <x v="0"/>
    <x v="6"/>
    <x v="6"/>
    <x v="9"/>
    <x v="0"/>
    <x v="1"/>
    <x v="0"/>
    <x v="0"/>
    <x v="0"/>
    <x v="0"/>
    <x v="0"/>
    <x v="4"/>
    <x v="30"/>
    <x v="0"/>
    <x v="0"/>
    <x v="0"/>
    <x v="0"/>
    <x v="0"/>
    <x v="0"/>
  </r>
  <r>
    <x v="15"/>
    <x v="0"/>
    <x v="2"/>
    <x v="4"/>
    <x v="0"/>
    <x v="1"/>
    <x v="1"/>
    <x v="27"/>
    <x v="5"/>
    <x v="20"/>
    <x v="1"/>
    <x v="7"/>
    <x v="1"/>
    <x v="13"/>
    <x v="21"/>
    <x v="1"/>
    <x v="1"/>
    <x v="0"/>
    <x v="0"/>
    <x v="0"/>
    <x v="0"/>
    <x v="0"/>
    <x v="0"/>
    <x v="8"/>
    <x v="27"/>
    <x v="0"/>
    <x v="0"/>
    <x v="0"/>
    <x v="0"/>
    <x v="0"/>
    <x v="0"/>
  </r>
  <r>
    <x v="15"/>
    <x v="0"/>
    <x v="2"/>
    <x v="4"/>
    <x v="0"/>
    <x v="1"/>
    <x v="0"/>
    <x v="26"/>
    <x v="5"/>
    <x v="19"/>
    <x v="0"/>
    <x v="1"/>
    <x v="0"/>
    <x v="6"/>
    <x v="5"/>
    <x v="1"/>
    <x v="0"/>
    <x v="0"/>
    <x v="0"/>
    <x v="0"/>
    <x v="0"/>
    <x v="0"/>
    <x v="0"/>
    <x v="2"/>
    <x v="26"/>
    <x v="0"/>
    <x v="0"/>
    <x v="0"/>
    <x v="0"/>
    <x v="0"/>
    <x v="0"/>
  </r>
  <r>
    <x v="6"/>
    <x v="0"/>
    <x v="3"/>
    <x v="7"/>
    <x v="0"/>
    <x v="0"/>
    <x v="1"/>
    <x v="27"/>
    <x v="23"/>
    <x v="20"/>
    <x v="52"/>
    <x v="67"/>
    <x v="1"/>
    <x v="13"/>
    <x v="23"/>
    <x v="9"/>
    <x v="1"/>
    <x v="1"/>
    <x v="0"/>
    <x v="0"/>
    <x v="0"/>
    <x v="0"/>
    <x v="0"/>
    <x v="10"/>
    <x v="27"/>
    <x v="0"/>
    <x v="0"/>
    <x v="0"/>
    <x v="0"/>
    <x v="0"/>
    <x v="0"/>
  </r>
  <r>
    <x v="6"/>
    <x v="0"/>
    <x v="3"/>
    <x v="7"/>
    <x v="0"/>
    <x v="0"/>
    <x v="0"/>
    <x v="26"/>
    <x v="23"/>
    <x v="19"/>
    <x v="41"/>
    <x v="60"/>
    <x v="0"/>
    <x v="6"/>
    <x v="6"/>
    <x v="9"/>
    <x v="0"/>
    <x v="1"/>
    <x v="0"/>
    <x v="0"/>
    <x v="0"/>
    <x v="0"/>
    <x v="0"/>
    <x v="4"/>
    <x v="26"/>
    <x v="0"/>
    <x v="0"/>
    <x v="0"/>
    <x v="0"/>
    <x v="0"/>
    <x v="0"/>
  </r>
  <r>
    <x v="18"/>
    <x v="0"/>
    <x v="4"/>
    <x v="0"/>
    <x v="0"/>
    <x v="0"/>
    <x v="1"/>
    <x v="33"/>
    <x v="20"/>
    <x v="20"/>
    <x v="31"/>
    <x v="53"/>
    <x v="1"/>
    <x v="13"/>
    <x v="23"/>
    <x v="10"/>
    <x v="1"/>
    <x v="1"/>
    <x v="0"/>
    <x v="0"/>
    <x v="0"/>
    <x v="0"/>
    <x v="0"/>
    <x v="6"/>
    <x v="33"/>
    <x v="0"/>
    <x v="0"/>
    <x v="0"/>
    <x v="0"/>
    <x v="0"/>
    <x v="0"/>
  </r>
  <r>
    <x v="18"/>
    <x v="0"/>
    <x v="4"/>
    <x v="0"/>
    <x v="0"/>
    <x v="0"/>
    <x v="0"/>
    <x v="32"/>
    <x v="20"/>
    <x v="19"/>
    <x v="30"/>
    <x v="51"/>
    <x v="0"/>
    <x v="6"/>
    <x v="6"/>
    <x v="10"/>
    <x v="0"/>
    <x v="1"/>
    <x v="0"/>
    <x v="0"/>
    <x v="0"/>
    <x v="0"/>
    <x v="0"/>
    <x v="0"/>
    <x v="32"/>
    <x v="0"/>
    <x v="0"/>
    <x v="0"/>
    <x v="0"/>
    <x v="0"/>
    <x v="0"/>
  </r>
  <r>
    <x v="10"/>
    <x v="1"/>
    <x v="5"/>
    <x v="0"/>
    <x v="0"/>
    <x v="0"/>
    <x v="1"/>
    <x v="27"/>
    <x v="20"/>
    <x v="20"/>
    <x v="31"/>
    <x v="53"/>
    <x v="1"/>
    <x v="13"/>
    <x v="23"/>
    <x v="10"/>
    <x v="1"/>
    <x v="1"/>
    <x v="0"/>
    <x v="0"/>
    <x v="0"/>
    <x v="0"/>
    <x v="0"/>
    <x v="6"/>
    <x v="27"/>
    <x v="0"/>
    <x v="0"/>
    <x v="0"/>
    <x v="0"/>
    <x v="0"/>
    <x v="0"/>
  </r>
  <r>
    <x v="10"/>
    <x v="1"/>
    <x v="5"/>
    <x v="0"/>
    <x v="0"/>
    <x v="0"/>
    <x v="0"/>
    <x v="26"/>
    <x v="20"/>
    <x v="19"/>
    <x v="30"/>
    <x v="51"/>
    <x v="0"/>
    <x v="6"/>
    <x v="6"/>
    <x v="10"/>
    <x v="0"/>
    <x v="1"/>
    <x v="0"/>
    <x v="0"/>
    <x v="0"/>
    <x v="0"/>
    <x v="0"/>
    <x v="0"/>
    <x v="26"/>
    <x v="0"/>
    <x v="0"/>
    <x v="0"/>
    <x v="0"/>
    <x v="0"/>
    <x v="0"/>
  </r>
  <r>
    <x v="22"/>
    <x v="0"/>
    <x v="6"/>
    <x v="0"/>
    <x v="0"/>
    <x v="0"/>
    <x v="6"/>
    <x v="27"/>
    <x v="29"/>
    <x v="17"/>
    <x v="37"/>
    <x v="31"/>
    <x v="6"/>
    <x v="12"/>
    <x v="18"/>
    <x v="8"/>
    <x v="6"/>
    <x v="1"/>
    <x v="0"/>
    <x v="0"/>
    <x v="0"/>
    <x v="0"/>
    <x v="0"/>
    <x v="52"/>
    <x v="27"/>
    <x v="0"/>
    <x v="0"/>
    <x v="0"/>
    <x v="0"/>
    <x v="0"/>
    <x v="0"/>
  </r>
  <r>
    <x v="22"/>
    <x v="0"/>
    <x v="6"/>
    <x v="0"/>
    <x v="0"/>
    <x v="0"/>
    <x v="5"/>
    <x v="25"/>
    <x v="29"/>
    <x v="18"/>
    <x v="38"/>
    <x v="46"/>
    <x v="5"/>
    <x v="14"/>
    <x v="32"/>
    <x v="8"/>
    <x v="5"/>
    <x v="1"/>
    <x v="0"/>
    <x v="0"/>
    <x v="0"/>
    <x v="0"/>
    <x v="0"/>
    <x v="42"/>
    <x v="25"/>
    <x v="0"/>
    <x v="0"/>
    <x v="0"/>
    <x v="0"/>
    <x v="0"/>
    <x v="0"/>
  </r>
  <r>
    <x v="22"/>
    <x v="0"/>
    <x v="6"/>
    <x v="0"/>
    <x v="0"/>
    <x v="0"/>
    <x v="4"/>
    <x v="27"/>
    <x v="29"/>
    <x v="22"/>
    <x v="39"/>
    <x v="62"/>
    <x v="4"/>
    <x v="17"/>
    <x v="36"/>
    <x v="8"/>
    <x v="4"/>
    <x v="1"/>
    <x v="0"/>
    <x v="0"/>
    <x v="0"/>
    <x v="0"/>
    <x v="0"/>
    <x v="32"/>
    <x v="27"/>
    <x v="0"/>
    <x v="0"/>
    <x v="0"/>
    <x v="0"/>
    <x v="0"/>
    <x v="0"/>
  </r>
  <r>
    <x v="22"/>
    <x v="0"/>
    <x v="6"/>
    <x v="0"/>
    <x v="0"/>
    <x v="0"/>
    <x v="3"/>
    <x v="27"/>
    <x v="29"/>
    <x v="23"/>
    <x v="38"/>
    <x v="65"/>
    <x v="3"/>
    <x v="16"/>
    <x v="34"/>
    <x v="8"/>
    <x v="3"/>
    <x v="1"/>
    <x v="0"/>
    <x v="0"/>
    <x v="0"/>
    <x v="0"/>
    <x v="0"/>
    <x v="22"/>
    <x v="27"/>
    <x v="0"/>
    <x v="0"/>
    <x v="0"/>
    <x v="0"/>
    <x v="0"/>
    <x v="0"/>
  </r>
  <r>
    <x v="22"/>
    <x v="0"/>
    <x v="6"/>
    <x v="0"/>
    <x v="0"/>
    <x v="0"/>
    <x v="2"/>
    <x v="26"/>
    <x v="29"/>
    <x v="21"/>
    <x v="36"/>
    <x v="61"/>
    <x v="2"/>
    <x v="15"/>
    <x v="33"/>
    <x v="8"/>
    <x v="2"/>
    <x v="1"/>
    <x v="0"/>
    <x v="0"/>
    <x v="0"/>
    <x v="0"/>
    <x v="0"/>
    <x v="12"/>
    <x v="26"/>
    <x v="0"/>
    <x v="0"/>
    <x v="0"/>
    <x v="0"/>
    <x v="0"/>
    <x v="0"/>
  </r>
  <r>
    <x v="17"/>
    <x v="0"/>
    <x v="7"/>
    <x v="7"/>
    <x v="0"/>
    <x v="0"/>
    <x v="2"/>
    <x v="35"/>
    <x v="46"/>
    <x v="21"/>
    <x v="61"/>
    <x v="75"/>
    <x v="2"/>
    <x v="15"/>
    <x v="41"/>
    <x v="3"/>
    <x v="2"/>
    <x v="1"/>
    <x v="0"/>
    <x v="0"/>
    <x v="0"/>
    <x v="0"/>
    <x v="0"/>
    <x v="18"/>
    <x v="35"/>
    <x v="0"/>
    <x v="0"/>
    <x v="0"/>
    <x v="0"/>
    <x v="0"/>
    <x v="0"/>
  </r>
  <r>
    <x v="19"/>
    <x v="0"/>
    <x v="8"/>
    <x v="7"/>
    <x v="0"/>
    <x v="1"/>
    <x v="2"/>
    <x v="26"/>
    <x v="35"/>
    <x v="21"/>
    <x v="61"/>
    <x v="75"/>
    <x v="2"/>
    <x v="15"/>
    <x v="41"/>
    <x v="3"/>
    <x v="2"/>
    <x v="0"/>
    <x v="0"/>
    <x v="0"/>
    <x v="0"/>
    <x v="0"/>
    <x v="0"/>
    <x v="18"/>
    <x v="26"/>
    <x v="0"/>
    <x v="0"/>
    <x v="0"/>
    <x v="0"/>
    <x v="0"/>
    <x v="0"/>
  </r>
  <r>
    <x v="4"/>
    <x v="0"/>
    <x v="9"/>
    <x v="7"/>
    <x v="0"/>
    <x v="1"/>
    <x v="2"/>
    <x v="35"/>
    <x v="35"/>
    <x v="21"/>
    <x v="61"/>
    <x v="75"/>
    <x v="2"/>
    <x v="15"/>
    <x v="41"/>
    <x v="3"/>
    <x v="2"/>
    <x v="0"/>
    <x v="0"/>
    <x v="0"/>
    <x v="0"/>
    <x v="0"/>
    <x v="0"/>
    <x v="18"/>
    <x v="35"/>
    <x v="0"/>
    <x v="0"/>
    <x v="0"/>
    <x v="0"/>
    <x v="0"/>
    <x v="0"/>
  </r>
  <r>
    <x v="5"/>
    <x v="0"/>
    <x v="10"/>
    <x v="7"/>
    <x v="0"/>
    <x v="1"/>
    <x v="2"/>
    <x v="39"/>
    <x v="35"/>
    <x v="21"/>
    <x v="61"/>
    <x v="75"/>
    <x v="2"/>
    <x v="15"/>
    <x v="41"/>
    <x v="3"/>
    <x v="2"/>
    <x v="0"/>
    <x v="0"/>
    <x v="0"/>
    <x v="0"/>
    <x v="0"/>
    <x v="0"/>
    <x v="18"/>
    <x v="39"/>
    <x v="0"/>
    <x v="0"/>
    <x v="0"/>
    <x v="0"/>
    <x v="0"/>
    <x v="0"/>
  </r>
  <r>
    <x v="17"/>
    <x v="0"/>
    <x v="11"/>
    <x v="7"/>
    <x v="0"/>
    <x v="0"/>
    <x v="6"/>
    <x v="38"/>
    <x v="48"/>
    <x v="17"/>
    <x v="65"/>
    <x v="72"/>
    <x v="6"/>
    <x v="12"/>
    <x v="38"/>
    <x v="0"/>
    <x v="6"/>
    <x v="1"/>
    <x v="0"/>
    <x v="0"/>
    <x v="0"/>
    <x v="0"/>
    <x v="0"/>
    <x v="58"/>
    <x v="38"/>
    <x v="0"/>
    <x v="0"/>
    <x v="0"/>
    <x v="0"/>
    <x v="0"/>
    <x v="0"/>
  </r>
  <r>
    <x v="12"/>
    <x v="1"/>
    <x v="12"/>
    <x v="7"/>
    <x v="0"/>
    <x v="0"/>
    <x v="6"/>
    <x v="15"/>
    <x v="48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8"/>
    <x v="0"/>
    <x v="13"/>
    <x v="4"/>
    <x v="0"/>
    <x v="0"/>
    <x v="1"/>
    <x v="27"/>
    <x v="7"/>
    <x v="20"/>
    <x v="1"/>
    <x v="7"/>
    <x v="1"/>
    <x v="13"/>
    <x v="21"/>
    <x v="1"/>
    <x v="1"/>
    <x v="1"/>
    <x v="0"/>
    <x v="0"/>
    <x v="0"/>
    <x v="0"/>
    <x v="0"/>
    <x v="8"/>
    <x v="27"/>
    <x v="0"/>
    <x v="0"/>
    <x v="0"/>
    <x v="0"/>
    <x v="0"/>
    <x v="0"/>
  </r>
  <r>
    <x v="8"/>
    <x v="0"/>
    <x v="13"/>
    <x v="4"/>
    <x v="0"/>
    <x v="0"/>
    <x v="0"/>
    <x v="26"/>
    <x v="7"/>
    <x v="19"/>
    <x v="0"/>
    <x v="1"/>
    <x v="0"/>
    <x v="6"/>
    <x v="5"/>
    <x v="1"/>
    <x v="0"/>
    <x v="1"/>
    <x v="0"/>
    <x v="0"/>
    <x v="0"/>
    <x v="0"/>
    <x v="0"/>
    <x v="2"/>
    <x v="26"/>
    <x v="0"/>
    <x v="0"/>
    <x v="0"/>
    <x v="0"/>
    <x v="0"/>
    <x v="0"/>
  </r>
  <r>
    <x v="8"/>
    <x v="0"/>
    <x v="14"/>
    <x v="4"/>
    <x v="0"/>
    <x v="1"/>
    <x v="1"/>
    <x v="27"/>
    <x v="7"/>
    <x v="20"/>
    <x v="1"/>
    <x v="7"/>
    <x v="1"/>
    <x v="13"/>
    <x v="21"/>
    <x v="1"/>
    <x v="1"/>
    <x v="0"/>
    <x v="0"/>
    <x v="0"/>
    <x v="0"/>
    <x v="0"/>
    <x v="0"/>
    <x v="8"/>
    <x v="27"/>
    <x v="0"/>
    <x v="0"/>
    <x v="0"/>
    <x v="0"/>
    <x v="0"/>
    <x v="0"/>
  </r>
  <r>
    <x v="8"/>
    <x v="0"/>
    <x v="14"/>
    <x v="4"/>
    <x v="0"/>
    <x v="1"/>
    <x v="0"/>
    <x v="26"/>
    <x v="7"/>
    <x v="19"/>
    <x v="0"/>
    <x v="1"/>
    <x v="0"/>
    <x v="6"/>
    <x v="5"/>
    <x v="1"/>
    <x v="0"/>
    <x v="0"/>
    <x v="0"/>
    <x v="0"/>
    <x v="0"/>
    <x v="0"/>
    <x v="0"/>
    <x v="2"/>
    <x v="26"/>
    <x v="0"/>
    <x v="0"/>
    <x v="0"/>
    <x v="0"/>
    <x v="0"/>
    <x v="0"/>
  </r>
  <r>
    <x v="8"/>
    <x v="0"/>
    <x v="15"/>
    <x v="4"/>
    <x v="0"/>
    <x v="1"/>
    <x v="1"/>
    <x v="33"/>
    <x v="5"/>
    <x v="20"/>
    <x v="1"/>
    <x v="7"/>
    <x v="1"/>
    <x v="13"/>
    <x v="21"/>
    <x v="1"/>
    <x v="1"/>
    <x v="0"/>
    <x v="0"/>
    <x v="0"/>
    <x v="0"/>
    <x v="0"/>
    <x v="0"/>
    <x v="8"/>
    <x v="33"/>
    <x v="0"/>
    <x v="0"/>
    <x v="0"/>
    <x v="0"/>
    <x v="0"/>
    <x v="0"/>
  </r>
  <r>
    <x v="8"/>
    <x v="0"/>
    <x v="15"/>
    <x v="4"/>
    <x v="0"/>
    <x v="1"/>
    <x v="0"/>
    <x v="32"/>
    <x v="5"/>
    <x v="19"/>
    <x v="0"/>
    <x v="1"/>
    <x v="0"/>
    <x v="6"/>
    <x v="5"/>
    <x v="1"/>
    <x v="0"/>
    <x v="0"/>
    <x v="0"/>
    <x v="0"/>
    <x v="0"/>
    <x v="0"/>
    <x v="0"/>
    <x v="2"/>
    <x v="32"/>
    <x v="0"/>
    <x v="0"/>
    <x v="0"/>
    <x v="0"/>
    <x v="0"/>
    <x v="0"/>
  </r>
  <r>
    <x v="15"/>
    <x v="0"/>
    <x v="16"/>
    <x v="4"/>
    <x v="0"/>
    <x v="0"/>
    <x v="1"/>
    <x v="27"/>
    <x v="10"/>
    <x v="20"/>
    <x v="1"/>
    <x v="7"/>
    <x v="1"/>
    <x v="13"/>
    <x v="21"/>
    <x v="1"/>
    <x v="1"/>
    <x v="1"/>
    <x v="0"/>
    <x v="0"/>
    <x v="0"/>
    <x v="0"/>
    <x v="0"/>
    <x v="8"/>
    <x v="27"/>
    <x v="0"/>
    <x v="0"/>
    <x v="0"/>
    <x v="0"/>
    <x v="0"/>
    <x v="0"/>
  </r>
  <r>
    <x v="15"/>
    <x v="0"/>
    <x v="16"/>
    <x v="4"/>
    <x v="0"/>
    <x v="0"/>
    <x v="0"/>
    <x v="26"/>
    <x v="10"/>
    <x v="19"/>
    <x v="0"/>
    <x v="1"/>
    <x v="0"/>
    <x v="6"/>
    <x v="5"/>
    <x v="1"/>
    <x v="0"/>
    <x v="1"/>
    <x v="0"/>
    <x v="0"/>
    <x v="0"/>
    <x v="0"/>
    <x v="0"/>
    <x v="2"/>
    <x v="26"/>
    <x v="0"/>
    <x v="0"/>
    <x v="0"/>
    <x v="0"/>
    <x v="0"/>
    <x v="0"/>
  </r>
  <r>
    <x v="5"/>
    <x v="0"/>
    <x v="17"/>
    <x v="4"/>
    <x v="0"/>
    <x v="0"/>
    <x v="1"/>
    <x v="27"/>
    <x v="8"/>
    <x v="20"/>
    <x v="1"/>
    <x v="7"/>
    <x v="1"/>
    <x v="13"/>
    <x v="21"/>
    <x v="1"/>
    <x v="1"/>
    <x v="1"/>
    <x v="0"/>
    <x v="0"/>
    <x v="0"/>
    <x v="0"/>
    <x v="0"/>
    <x v="8"/>
    <x v="27"/>
    <x v="0"/>
    <x v="0"/>
    <x v="0"/>
    <x v="0"/>
    <x v="0"/>
    <x v="0"/>
  </r>
  <r>
    <x v="5"/>
    <x v="0"/>
    <x v="17"/>
    <x v="4"/>
    <x v="0"/>
    <x v="1"/>
    <x v="1"/>
    <x v="27"/>
    <x v="8"/>
    <x v="20"/>
    <x v="1"/>
    <x v="7"/>
    <x v="1"/>
    <x v="13"/>
    <x v="21"/>
    <x v="1"/>
    <x v="1"/>
    <x v="0"/>
    <x v="0"/>
    <x v="0"/>
    <x v="0"/>
    <x v="0"/>
    <x v="0"/>
    <x v="8"/>
    <x v="27"/>
    <x v="0"/>
    <x v="0"/>
    <x v="0"/>
    <x v="0"/>
    <x v="0"/>
    <x v="0"/>
  </r>
  <r>
    <x v="5"/>
    <x v="0"/>
    <x v="17"/>
    <x v="4"/>
    <x v="0"/>
    <x v="0"/>
    <x v="0"/>
    <x v="26"/>
    <x v="8"/>
    <x v="19"/>
    <x v="0"/>
    <x v="1"/>
    <x v="0"/>
    <x v="6"/>
    <x v="5"/>
    <x v="1"/>
    <x v="0"/>
    <x v="1"/>
    <x v="0"/>
    <x v="0"/>
    <x v="0"/>
    <x v="0"/>
    <x v="0"/>
    <x v="2"/>
    <x v="26"/>
    <x v="0"/>
    <x v="0"/>
    <x v="0"/>
    <x v="0"/>
    <x v="0"/>
    <x v="0"/>
  </r>
  <r>
    <x v="5"/>
    <x v="0"/>
    <x v="17"/>
    <x v="4"/>
    <x v="0"/>
    <x v="1"/>
    <x v="0"/>
    <x v="26"/>
    <x v="8"/>
    <x v="19"/>
    <x v="0"/>
    <x v="1"/>
    <x v="0"/>
    <x v="6"/>
    <x v="5"/>
    <x v="1"/>
    <x v="0"/>
    <x v="0"/>
    <x v="0"/>
    <x v="0"/>
    <x v="0"/>
    <x v="0"/>
    <x v="0"/>
    <x v="2"/>
    <x v="26"/>
    <x v="0"/>
    <x v="0"/>
    <x v="0"/>
    <x v="0"/>
    <x v="0"/>
    <x v="0"/>
  </r>
  <r>
    <x v="6"/>
    <x v="0"/>
    <x v="18"/>
    <x v="7"/>
    <x v="0"/>
    <x v="1"/>
    <x v="5"/>
    <x v="30"/>
    <x v="46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6"/>
    <x v="0"/>
    <x v="18"/>
    <x v="7"/>
    <x v="0"/>
    <x v="1"/>
    <x v="4"/>
    <x v="30"/>
    <x v="46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6"/>
    <x v="0"/>
    <x v="18"/>
    <x v="7"/>
    <x v="0"/>
    <x v="1"/>
    <x v="3"/>
    <x v="30"/>
    <x v="46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8"/>
    <x v="0"/>
    <x v="19"/>
    <x v="7"/>
    <x v="0"/>
    <x v="1"/>
    <x v="6"/>
    <x v="30"/>
    <x v="41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8"/>
    <x v="0"/>
    <x v="19"/>
    <x v="7"/>
    <x v="0"/>
    <x v="1"/>
    <x v="5"/>
    <x v="30"/>
    <x v="41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8"/>
    <x v="0"/>
    <x v="19"/>
    <x v="7"/>
    <x v="0"/>
    <x v="1"/>
    <x v="4"/>
    <x v="30"/>
    <x v="41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8"/>
    <x v="0"/>
    <x v="19"/>
    <x v="7"/>
    <x v="0"/>
    <x v="1"/>
    <x v="3"/>
    <x v="30"/>
    <x v="41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8"/>
    <x v="0"/>
    <x v="19"/>
    <x v="7"/>
    <x v="0"/>
    <x v="1"/>
    <x v="2"/>
    <x v="30"/>
    <x v="41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20"/>
    <x v="7"/>
    <x v="0"/>
    <x v="0"/>
    <x v="6"/>
    <x v="14"/>
    <x v="47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20"/>
    <x v="7"/>
    <x v="0"/>
    <x v="0"/>
    <x v="5"/>
    <x v="14"/>
    <x v="47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20"/>
    <x v="7"/>
    <x v="0"/>
    <x v="0"/>
    <x v="4"/>
    <x v="14"/>
    <x v="47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20"/>
    <x v="7"/>
    <x v="0"/>
    <x v="0"/>
    <x v="3"/>
    <x v="14"/>
    <x v="47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20"/>
    <x v="7"/>
    <x v="0"/>
    <x v="0"/>
    <x v="2"/>
    <x v="14"/>
    <x v="47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8"/>
    <x v="0"/>
    <x v="21"/>
    <x v="7"/>
    <x v="0"/>
    <x v="0"/>
    <x v="1"/>
    <x v="18"/>
    <x v="26"/>
    <x v="20"/>
    <x v="52"/>
    <x v="67"/>
    <x v="1"/>
    <x v="13"/>
    <x v="23"/>
    <x v="9"/>
    <x v="1"/>
    <x v="1"/>
    <x v="0"/>
    <x v="0"/>
    <x v="0"/>
    <x v="0"/>
    <x v="0"/>
    <x v="10"/>
    <x v="18"/>
    <x v="0"/>
    <x v="0"/>
    <x v="0"/>
    <x v="0"/>
    <x v="0"/>
    <x v="0"/>
  </r>
  <r>
    <x v="8"/>
    <x v="0"/>
    <x v="21"/>
    <x v="7"/>
    <x v="0"/>
    <x v="0"/>
    <x v="0"/>
    <x v="18"/>
    <x v="26"/>
    <x v="19"/>
    <x v="41"/>
    <x v="60"/>
    <x v="0"/>
    <x v="6"/>
    <x v="6"/>
    <x v="9"/>
    <x v="0"/>
    <x v="1"/>
    <x v="0"/>
    <x v="0"/>
    <x v="0"/>
    <x v="0"/>
    <x v="0"/>
    <x v="4"/>
    <x v="18"/>
    <x v="0"/>
    <x v="0"/>
    <x v="0"/>
    <x v="0"/>
    <x v="0"/>
    <x v="0"/>
  </r>
  <r>
    <x v="8"/>
    <x v="0"/>
    <x v="22"/>
    <x v="7"/>
    <x v="0"/>
    <x v="1"/>
    <x v="1"/>
    <x v="18"/>
    <x v="26"/>
    <x v="20"/>
    <x v="52"/>
    <x v="67"/>
    <x v="1"/>
    <x v="13"/>
    <x v="23"/>
    <x v="9"/>
    <x v="1"/>
    <x v="0"/>
    <x v="0"/>
    <x v="0"/>
    <x v="0"/>
    <x v="0"/>
    <x v="0"/>
    <x v="10"/>
    <x v="18"/>
    <x v="0"/>
    <x v="0"/>
    <x v="0"/>
    <x v="0"/>
    <x v="0"/>
    <x v="0"/>
  </r>
  <r>
    <x v="8"/>
    <x v="0"/>
    <x v="22"/>
    <x v="7"/>
    <x v="0"/>
    <x v="1"/>
    <x v="0"/>
    <x v="18"/>
    <x v="26"/>
    <x v="19"/>
    <x v="41"/>
    <x v="60"/>
    <x v="0"/>
    <x v="6"/>
    <x v="6"/>
    <x v="9"/>
    <x v="0"/>
    <x v="0"/>
    <x v="0"/>
    <x v="0"/>
    <x v="0"/>
    <x v="0"/>
    <x v="0"/>
    <x v="4"/>
    <x v="18"/>
    <x v="0"/>
    <x v="0"/>
    <x v="0"/>
    <x v="0"/>
    <x v="0"/>
    <x v="0"/>
  </r>
  <r>
    <x v="6"/>
    <x v="0"/>
    <x v="23"/>
    <x v="7"/>
    <x v="0"/>
    <x v="0"/>
    <x v="1"/>
    <x v="18"/>
    <x v="26"/>
    <x v="20"/>
    <x v="52"/>
    <x v="67"/>
    <x v="1"/>
    <x v="13"/>
    <x v="23"/>
    <x v="9"/>
    <x v="1"/>
    <x v="1"/>
    <x v="0"/>
    <x v="0"/>
    <x v="0"/>
    <x v="0"/>
    <x v="0"/>
    <x v="10"/>
    <x v="18"/>
    <x v="0"/>
    <x v="0"/>
    <x v="0"/>
    <x v="0"/>
    <x v="0"/>
    <x v="0"/>
  </r>
  <r>
    <x v="6"/>
    <x v="0"/>
    <x v="23"/>
    <x v="7"/>
    <x v="0"/>
    <x v="0"/>
    <x v="1"/>
    <x v="14"/>
    <x v="26"/>
    <x v="20"/>
    <x v="52"/>
    <x v="67"/>
    <x v="1"/>
    <x v="13"/>
    <x v="23"/>
    <x v="9"/>
    <x v="1"/>
    <x v="1"/>
    <x v="0"/>
    <x v="0"/>
    <x v="0"/>
    <x v="0"/>
    <x v="0"/>
    <x v="10"/>
    <x v="14"/>
    <x v="0"/>
    <x v="0"/>
    <x v="0"/>
    <x v="0"/>
    <x v="0"/>
    <x v="0"/>
  </r>
  <r>
    <x v="6"/>
    <x v="0"/>
    <x v="23"/>
    <x v="7"/>
    <x v="0"/>
    <x v="0"/>
    <x v="0"/>
    <x v="18"/>
    <x v="26"/>
    <x v="19"/>
    <x v="41"/>
    <x v="60"/>
    <x v="0"/>
    <x v="6"/>
    <x v="6"/>
    <x v="9"/>
    <x v="0"/>
    <x v="1"/>
    <x v="0"/>
    <x v="0"/>
    <x v="0"/>
    <x v="0"/>
    <x v="0"/>
    <x v="4"/>
    <x v="18"/>
    <x v="0"/>
    <x v="0"/>
    <x v="0"/>
    <x v="0"/>
    <x v="0"/>
    <x v="0"/>
  </r>
  <r>
    <x v="6"/>
    <x v="0"/>
    <x v="23"/>
    <x v="7"/>
    <x v="0"/>
    <x v="0"/>
    <x v="0"/>
    <x v="14"/>
    <x v="26"/>
    <x v="19"/>
    <x v="41"/>
    <x v="60"/>
    <x v="0"/>
    <x v="6"/>
    <x v="6"/>
    <x v="9"/>
    <x v="0"/>
    <x v="1"/>
    <x v="0"/>
    <x v="0"/>
    <x v="0"/>
    <x v="0"/>
    <x v="0"/>
    <x v="4"/>
    <x v="14"/>
    <x v="0"/>
    <x v="0"/>
    <x v="0"/>
    <x v="0"/>
    <x v="0"/>
    <x v="0"/>
  </r>
  <r>
    <x v="6"/>
    <x v="0"/>
    <x v="24"/>
    <x v="7"/>
    <x v="0"/>
    <x v="1"/>
    <x v="1"/>
    <x v="18"/>
    <x v="26"/>
    <x v="20"/>
    <x v="52"/>
    <x v="67"/>
    <x v="1"/>
    <x v="13"/>
    <x v="23"/>
    <x v="9"/>
    <x v="1"/>
    <x v="0"/>
    <x v="0"/>
    <x v="0"/>
    <x v="0"/>
    <x v="0"/>
    <x v="0"/>
    <x v="10"/>
    <x v="18"/>
    <x v="0"/>
    <x v="0"/>
    <x v="0"/>
    <x v="0"/>
    <x v="0"/>
    <x v="0"/>
  </r>
  <r>
    <x v="6"/>
    <x v="0"/>
    <x v="24"/>
    <x v="7"/>
    <x v="0"/>
    <x v="1"/>
    <x v="1"/>
    <x v="14"/>
    <x v="26"/>
    <x v="20"/>
    <x v="52"/>
    <x v="67"/>
    <x v="1"/>
    <x v="13"/>
    <x v="23"/>
    <x v="9"/>
    <x v="1"/>
    <x v="0"/>
    <x v="0"/>
    <x v="0"/>
    <x v="0"/>
    <x v="0"/>
    <x v="0"/>
    <x v="10"/>
    <x v="14"/>
    <x v="0"/>
    <x v="0"/>
    <x v="0"/>
    <x v="0"/>
    <x v="0"/>
    <x v="0"/>
  </r>
  <r>
    <x v="6"/>
    <x v="0"/>
    <x v="24"/>
    <x v="7"/>
    <x v="0"/>
    <x v="1"/>
    <x v="0"/>
    <x v="18"/>
    <x v="26"/>
    <x v="19"/>
    <x v="41"/>
    <x v="60"/>
    <x v="0"/>
    <x v="6"/>
    <x v="6"/>
    <x v="9"/>
    <x v="0"/>
    <x v="0"/>
    <x v="0"/>
    <x v="0"/>
    <x v="0"/>
    <x v="0"/>
    <x v="0"/>
    <x v="4"/>
    <x v="18"/>
    <x v="0"/>
    <x v="0"/>
    <x v="0"/>
    <x v="0"/>
    <x v="0"/>
    <x v="0"/>
  </r>
  <r>
    <x v="6"/>
    <x v="0"/>
    <x v="24"/>
    <x v="7"/>
    <x v="0"/>
    <x v="1"/>
    <x v="0"/>
    <x v="14"/>
    <x v="26"/>
    <x v="19"/>
    <x v="41"/>
    <x v="60"/>
    <x v="0"/>
    <x v="6"/>
    <x v="6"/>
    <x v="9"/>
    <x v="0"/>
    <x v="0"/>
    <x v="0"/>
    <x v="0"/>
    <x v="0"/>
    <x v="0"/>
    <x v="0"/>
    <x v="4"/>
    <x v="14"/>
    <x v="0"/>
    <x v="0"/>
    <x v="0"/>
    <x v="0"/>
    <x v="0"/>
    <x v="0"/>
  </r>
  <r>
    <x v="6"/>
    <x v="0"/>
    <x v="25"/>
    <x v="4"/>
    <x v="0"/>
    <x v="0"/>
    <x v="1"/>
    <x v="9"/>
    <x v="10"/>
    <x v="20"/>
    <x v="1"/>
    <x v="7"/>
    <x v="1"/>
    <x v="13"/>
    <x v="21"/>
    <x v="1"/>
    <x v="1"/>
    <x v="1"/>
    <x v="0"/>
    <x v="0"/>
    <x v="0"/>
    <x v="0"/>
    <x v="0"/>
    <x v="8"/>
    <x v="9"/>
    <x v="0"/>
    <x v="0"/>
    <x v="0"/>
    <x v="0"/>
    <x v="0"/>
    <x v="0"/>
  </r>
  <r>
    <x v="6"/>
    <x v="0"/>
    <x v="25"/>
    <x v="4"/>
    <x v="0"/>
    <x v="0"/>
    <x v="0"/>
    <x v="9"/>
    <x v="10"/>
    <x v="19"/>
    <x v="0"/>
    <x v="1"/>
    <x v="0"/>
    <x v="6"/>
    <x v="5"/>
    <x v="1"/>
    <x v="0"/>
    <x v="1"/>
    <x v="0"/>
    <x v="0"/>
    <x v="0"/>
    <x v="0"/>
    <x v="0"/>
    <x v="2"/>
    <x v="9"/>
    <x v="0"/>
    <x v="0"/>
    <x v="0"/>
    <x v="0"/>
    <x v="0"/>
    <x v="0"/>
  </r>
  <r>
    <x v="6"/>
    <x v="0"/>
    <x v="26"/>
    <x v="4"/>
    <x v="0"/>
    <x v="1"/>
    <x v="1"/>
    <x v="37"/>
    <x v="5"/>
    <x v="20"/>
    <x v="1"/>
    <x v="7"/>
    <x v="1"/>
    <x v="13"/>
    <x v="21"/>
    <x v="1"/>
    <x v="1"/>
    <x v="0"/>
    <x v="0"/>
    <x v="0"/>
    <x v="0"/>
    <x v="0"/>
    <x v="0"/>
    <x v="8"/>
    <x v="37"/>
    <x v="0"/>
    <x v="0"/>
    <x v="0"/>
    <x v="0"/>
    <x v="0"/>
    <x v="0"/>
  </r>
  <r>
    <x v="6"/>
    <x v="0"/>
    <x v="26"/>
    <x v="4"/>
    <x v="0"/>
    <x v="1"/>
    <x v="0"/>
    <x v="37"/>
    <x v="5"/>
    <x v="19"/>
    <x v="0"/>
    <x v="1"/>
    <x v="0"/>
    <x v="6"/>
    <x v="5"/>
    <x v="1"/>
    <x v="0"/>
    <x v="0"/>
    <x v="0"/>
    <x v="0"/>
    <x v="0"/>
    <x v="0"/>
    <x v="0"/>
    <x v="2"/>
    <x v="37"/>
    <x v="0"/>
    <x v="0"/>
    <x v="0"/>
    <x v="0"/>
    <x v="0"/>
    <x v="0"/>
  </r>
  <r>
    <x v="6"/>
    <x v="0"/>
    <x v="27"/>
    <x v="7"/>
    <x v="0"/>
    <x v="0"/>
    <x v="6"/>
    <x v="18"/>
    <x v="47"/>
    <x v="17"/>
    <x v="65"/>
    <x v="72"/>
    <x v="6"/>
    <x v="12"/>
    <x v="38"/>
    <x v="0"/>
    <x v="6"/>
    <x v="1"/>
    <x v="0"/>
    <x v="0"/>
    <x v="0"/>
    <x v="0"/>
    <x v="0"/>
    <x v="58"/>
    <x v="18"/>
    <x v="0"/>
    <x v="0"/>
    <x v="0"/>
    <x v="0"/>
    <x v="0"/>
    <x v="0"/>
  </r>
  <r>
    <x v="6"/>
    <x v="0"/>
    <x v="27"/>
    <x v="7"/>
    <x v="0"/>
    <x v="0"/>
    <x v="5"/>
    <x v="18"/>
    <x v="47"/>
    <x v="18"/>
    <x v="71"/>
    <x v="80"/>
    <x v="5"/>
    <x v="14"/>
    <x v="44"/>
    <x v="0"/>
    <x v="5"/>
    <x v="1"/>
    <x v="0"/>
    <x v="0"/>
    <x v="0"/>
    <x v="0"/>
    <x v="0"/>
    <x v="48"/>
    <x v="18"/>
    <x v="0"/>
    <x v="0"/>
    <x v="0"/>
    <x v="0"/>
    <x v="0"/>
    <x v="0"/>
  </r>
  <r>
    <x v="6"/>
    <x v="0"/>
    <x v="27"/>
    <x v="7"/>
    <x v="0"/>
    <x v="0"/>
    <x v="4"/>
    <x v="18"/>
    <x v="47"/>
    <x v="22"/>
    <x v="72"/>
    <x v="82"/>
    <x v="4"/>
    <x v="17"/>
    <x v="46"/>
    <x v="0"/>
    <x v="4"/>
    <x v="1"/>
    <x v="0"/>
    <x v="0"/>
    <x v="0"/>
    <x v="0"/>
    <x v="0"/>
    <x v="38"/>
    <x v="18"/>
    <x v="0"/>
    <x v="0"/>
    <x v="0"/>
    <x v="0"/>
    <x v="0"/>
    <x v="0"/>
  </r>
  <r>
    <x v="6"/>
    <x v="0"/>
    <x v="27"/>
    <x v="7"/>
    <x v="0"/>
    <x v="0"/>
    <x v="3"/>
    <x v="18"/>
    <x v="47"/>
    <x v="23"/>
    <x v="69"/>
    <x v="79"/>
    <x v="3"/>
    <x v="16"/>
    <x v="45"/>
    <x v="0"/>
    <x v="3"/>
    <x v="1"/>
    <x v="0"/>
    <x v="0"/>
    <x v="0"/>
    <x v="0"/>
    <x v="0"/>
    <x v="28"/>
    <x v="18"/>
    <x v="0"/>
    <x v="0"/>
    <x v="0"/>
    <x v="0"/>
    <x v="0"/>
    <x v="0"/>
  </r>
  <r>
    <x v="6"/>
    <x v="0"/>
    <x v="27"/>
    <x v="7"/>
    <x v="0"/>
    <x v="0"/>
    <x v="2"/>
    <x v="18"/>
    <x v="47"/>
    <x v="21"/>
    <x v="61"/>
    <x v="75"/>
    <x v="2"/>
    <x v="15"/>
    <x v="41"/>
    <x v="3"/>
    <x v="2"/>
    <x v="1"/>
    <x v="0"/>
    <x v="0"/>
    <x v="0"/>
    <x v="0"/>
    <x v="0"/>
    <x v="18"/>
    <x v="18"/>
    <x v="0"/>
    <x v="0"/>
    <x v="0"/>
    <x v="0"/>
    <x v="0"/>
    <x v="0"/>
  </r>
  <r>
    <x v="6"/>
    <x v="0"/>
    <x v="28"/>
    <x v="7"/>
    <x v="0"/>
    <x v="1"/>
    <x v="6"/>
    <x v="18"/>
    <x v="47"/>
    <x v="17"/>
    <x v="65"/>
    <x v="72"/>
    <x v="6"/>
    <x v="12"/>
    <x v="38"/>
    <x v="0"/>
    <x v="6"/>
    <x v="0"/>
    <x v="0"/>
    <x v="0"/>
    <x v="0"/>
    <x v="0"/>
    <x v="0"/>
    <x v="58"/>
    <x v="18"/>
    <x v="0"/>
    <x v="0"/>
    <x v="0"/>
    <x v="0"/>
    <x v="0"/>
    <x v="0"/>
  </r>
  <r>
    <x v="6"/>
    <x v="0"/>
    <x v="28"/>
    <x v="7"/>
    <x v="0"/>
    <x v="1"/>
    <x v="5"/>
    <x v="18"/>
    <x v="47"/>
    <x v="18"/>
    <x v="71"/>
    <x v="80"/>
    <x v="5"/>
    <x v="14"/>
    <x v="44"/>
    <x v="0"/>
    <x v="5"/>
    <x v="0"/>
    <x v="0"/>
    <x v="0"/>
    <x v="0"/>
    <x v="0"/>
    <x v="0"/>
    <x v="48"/>
    <x v="18"/>
    <x v="0"/>
    <x v="0"/>
    <x v="0"/>
    <x v="0"/>
    <x v="0"/>
    <x v="0"/>
  </r>
  <r>
    <x v="6"/>
    <x v="0"/>
    <x v="28"/>
    <x v="7"/>
    <x v="0"/>
    <x v="1"/>
    <x v="4"/>
    <x v="18"/>
    <x v="47"/>
    <x v="22"/>
    <x v="72"/>
    <x v="82"/>
    <x v="4"/>
    <x v="17"/>
    <x v="46"/>
    <x v="0"/>
    <x v="4"/>
    <x v="0"/>
    <x v="0"/>
    <x v="0"/>
    <x v="0"/>
    <x v="0"/>
    <x v="0"/>
    <x v="38"/>
    <x v="18"/>
    <x v="0"/>
    <x v="0"/>
    <x v="0"/>
    <x v="0"/>
    <x v="0"/>
    <x v="0"/>
  </r>
  <r>
    <x v="6"/>
    <x v="0"/>
    <x v="28"/>
    <x v="7"/>
    <x v="0"/>
    <x v="1"/>
    <x v="3"/>
    <x v="18"/>
    <x v="47"/>
    <x v="23"/>
    <x v="69"/>
    <x v="79"/>
    <x v="3"/>
    <x v="16"/>
    <x v="45"/>
    <x v="0"/>
    <x v="3"/>
    <x v="0"/>
    <x v="0"/>
    <x v="0"/>
    <x v="0"/>
    <x v="0"/>
    <x v="0"/>
    <x v="28"/>
    <x v="18"/>
    <x v="0"/>
    <x v="0"/>
    <x v="0"/>
    <x v="0"/>
    <x v="0"/>
    <x v="0"/>
  </r>
  <r>
    <x v="6"/>
    <x v="0"/>
    <x v="28"/>
    <x v="7"/>
    <x v="0"/>
    <x v="1"/>
    <x v="2"/>
    <x v="18"/>
    <x v="47"/>
    <x v="21"/>
    <x v="61"/>
    <x v="75"/>
    <x v="2"/>
    <x v="15"/>
    <x v="41"/>
    <x v="3"/>
    <x v="2"/>
    <x v="0"/>
    <x v="0"/>
    <x v="0"/>
    <x v="0"/>
    <x v="0"/>
    <x v="0"/>
    <x v="18"/>
    <x v="18"/>
    <x v="0"/>
    <x v="0"/>
    <x v="0"/>
    <x v="0"/>
    <x v="0"/>
    <x v="0"/>
  </r>
  <r>
    <x v="6"/>
    <x v="0"/>
    <x v="29"/>
    <x v="4"/>
    <x v="0"/>
    <x v="0"/>
    <x v="1"/>
    <x v="14"/>
    <x v="7"/>
    <x v="20"/>
    <x v="1"/>
    <x v="7"/>
    <x v="1"/>
    <x v="13"/>
    <x v="21"/>
    <x v="1"/>
    <x v="1"/>
    <x v="1"/>
    <x v="0"/>
    <x v="0"/>
    <x v="0"/>
    <x v="0"/>
    <x v="0"/>
    <x v="8"/>
    <x v="14"/>
    <x v="0"/>
    <x v="0"/>
    <x v="0"/>
    <x v="0"/>
    <x v="0"/>
    <x v="0"/>
  </r>
  <r>
    <x v="6"/>
    <x v="0"/>
    <x v="29"/>
    <x v="4"/>
    <x v="0"/>
    <x v="0"/>
    <x v="0"/>
    <x v="14"/>
    <x v="7"/>
    <x v="19"/>
    <x v="0"/>
    <x v="1"/>
    <x v="0"/>
    <x v="6"/>
    <x v="5"/>
    <x v="1"/>
    <x v="0"/>
    <x v="1"/>
    <x v="0"/>
    <x v="0"/>
    <x v="0"/>
    <x v="0"/>
    <x v="0"/>
    <x v="2"/>
    <x v="14"/>
    <x v="0"/>
    <x v="0"/>
    <x v="0"/>
    <x v="0"/>
    <x v="0"/>
    <x v="0"/>
  </r>
  <r>
    <x v="6"/>
    <x v="0"/>
    <x v="30"/>
    <x v="4"/>
    <x v="0"/>
    <x v="1"/>
    <x v="1"/>
    <x v="14"/>
    <x v="7"/>
    <x v="20"/>
    <x v="1"/>
    <x v="7"/>
    <x v="1"/>
    <x v="13"/>
    <x v="21"/>
    <x v="1"/>
    <x v="1"/>
    <x v="0"/>
    <x v="0"/>
    <x v="0"/>
    <x v="0"/>
    <x v="0"/>
    <x v="0"/>
    <x v="8"/>
    <x v="14"/>
    <x v="0"/>
    <x v="0"/>
    <x v="0"/>
    <x v="0"/>
    <x v="0"/>
    <x v="0"/>
  </r>
  <r>
    <x v="6"/>
    <x v="0"/>
    <x v="30"/>
    <x v="4"/>
    <x v="0"/>
    <x v="1"/>
    <x v="0"/>
    <x v="14"/>
    <x v="7"/>
    <x v="19"/>
    <x v="0"/>
    <x v="1"/>
    <x v="0"/>
    <x v="6"/>
    <x v="5"/>
    <x v="1"/>
    <x v="0"/>
    <x v="0"/>
    <x v="0"/>
    <x v="0"/>
    <x v="0"/>
    <x v="0"/>
    <x v="0"/>
    <x v="2"/>
    <x v="14"/>
    <x v="0"/>
    <x v="0"/>
    <x v="0"/>
    <x v="0"/>
    <x v="0"/>
    <x v="0"/>
  </r>
  <r>
    <x v="6"/>
    <x v="0"/>
    <x v="31"/>
    <x v="7"/>
    <x v="0"/>
    <x v="0"/>
    <x v="1"/>
    <x v="14"/>
    <x v="28"/>
    <x v="20"/>
    <x v="52"/>
    <x v="67"/>
    <x v="1"/>
    <x v="13"/>
    <x v="23"/>
    <x v="9"/>
    <x v="1"/>
    <x v="1"/>
    <x v="0"/>
    <x v="0"/>
    <x v="0"/>
    <x v="0"/>
    <x v="0"/>
    <x v="10"/>
    <x v="14"/>
    <x v="0"/>
    <x v="0"/>
    <x v="0"/>
    <x v="0"/>
    <x v="0"/>
    <x v="0"/>
  </r>
  <r>
    <x v="6"/>
    <x v="0"/>
    <x v="31"/>
    <x v="7"/>
    <x v="0"/>
    <x v="0"/>
    <x v="0"/>
    <x v="14"/>
    <x v="28"/>
    <x v="19"/>
    <x v="41"/>
    <x v="60"/>
    <x v="0"/>
    <x v="6"/>
    <x v="6"/>
    <x v="9"/>
    <x v="0"/>
    <x v="1"/>
    <x v="0"/>
    <x v="0"/>
    <x v="0"/>
    <x v="0"/>
    <x v="0"/>
    <x v="4"/>
    <x v="14"/>
    <x v="0"/>
    <x v="0"/>
    <x v="0"/>
    <x v="0"/>
    <x v="0"/>
    <x v="0"/>
  </r>
  <r>
    <x v="6"/>
    <x v="0"/>
    <x v="32"/>
    <x v="7"/>
    <x v="0"/>
    <x v="1"/>
    <x v="1"/>
    <x v="14"/>
    <x v="28"/>
    <x v="20"/>
    <x v="52"/>
    <x v="67"/>
    <x v="1"/>
    <x v="13"/>
    <x v="23"/>
    <x v="9"/>
    <x v="1"/>
    <x v="0"/>
    <x v="0"/>
    <x v="0"/>
    <x v="0"/>
    <x v="0"/>
    <x v="0"/>
    <x v="10"/>
    <x v="14"/>
    <x v="0"/>
    <x v="0"/>
    <x v="0"/>
    <x v="0"/>
    <x v="0"/>
    <x v="0"/>
  </r>
  <r>
    <x v="6"/>
    <x v="0"/>
    <x v="32"/>
    <x v="7"/>
    <x v="0"/>
    <x v="1"/>
    <x v="0"/>
    <x v="14"/>
    <x v="28"/>
    <x v="19"/>
    <x v="41"/>
    <x v="60"/>
    <x v="0"/>
    <x v="6"/>
    <x v="6"/>
    <x v="9"/>
    <x v="0"/>
    <x v="0"/>
    <x v="0"/>
    <x v="0"/>
    <x v="0"/>
    <x v="0"/>
    <x v="0"/>
    <x v="4"/>
    <x v="14"/>
    <x v="0"/>
    <x v="0"/>
    <x v="0"/>
    <x v="0"/>
    <x v="0"/>
    <x v="0"/>
  </r>
  <r>
    <x v="6"/>
    <x v="0"/>
    <x v="33"/>
    <x v="7"/>
    <x v="0"/>
    <x v="0"/>
    <x v="1"/>
    <x v="14"/>
    <x v="28"/>
    <x v="20"/>
    <x v="52"/>
    <x v="67"/>
    <x v="1"/>
    <x v="13"/>
    <x v="23"/>
    <x v="9"/>
    <x v="1"/>
    <x v="1"/>
    <x v="0"/>
    <x v="0"/>
    <x v="0"/>
    <x v="0"/>
    <x v="0"/>
    <x v="10"/>
    <x v="14"/>
    <x v="0"/>
    <x v="0"/>
    <x v="0"/>
    <x v="0"/>
    <x v="0"/>
    <x v="0"/>
  </r>
  <r>
    <x v="6"/>
    <x v="0"/>
    <x v="33"/>
    <x v="7"/>
    <x v="0"/>
    <x v="0"/>
    <x v="0"/>
    <x v="14"/>
    <x v="28"/>
    <x v="19"/>
    <x v="41"/>
    <x v="60"/>
    <x v="0"/>
    <x v="6"/>
    <x v="6"/>
    <x v="9"/>
    <x v="0"/>
    <x v="1"/>
    <x v="0"/>
    <x v="0"/>
    <x v="0"/>
    <x v="0"/>
    <x v="0"/>
    <x v="4"/>
    <x v="14"/>
    <x v="0"/>
    <x v="0"/>
    <x v="0"/>
    <x v="0"/>
    <x v="0"/>
    <x v="0"/>
  </r>
  <r>
    <x v="6"/>
    <x v="0"/>
    <x v="34"/>
    <x v="7"/>
    <x v="0"/>
    <x v="1"/>
    <x v="1"/>
    <x v="14"/>
    <x v="28"/>
    <x v="20"/>
    <x v="52"/>
    <x v="67"/>
    <x v="1"/>
    <x v="13"/>
    <x v="23"/>
    <x v="9"/>
    <x v="1"/>
    <x v="0"/>
    <x v="0"/>
    <x v="0"/>
    <x v="0"/>
    <x v="0"/>
    <x v="0"/>
    <x v="10"/>
    <x v="14"/>
    <x v="0"/>
    <x v="0"/>
    <x v="0"/>
    <x v="0"/>
    <x v="0"/>
    <x v="0"/>
  </r>
  <r>
    <x v="6"/>
    <x v="0"/>
    <x v="34"/>
    <x v="7"/>
    <x v="0"/>
    <x v="1"/>
    <x v="0"/>
    <x v="14"/>
    <x v="28"/>
    <x v="19"/>
    <x v="41"/>
    <x v="60"/>
    <x v="0"/>
    <x v="6"/>
    <x v="6"/>
    <x v="9"/>
    <x v="0"/>
    <x v="0"/>
    <x v="0"/>
    <x v="0"/>
    <x v="0"/>
    <x v="0"/>
    <x v="0"/>
    <x v="4"/>
    <x v="14"/>
    <x v="0"/>
    <x v="0"/>
    <x v="0"/>
    <x v="0"/>
    <x v="0"/>
    <x v="0"/>
  </r>
  <r>
    <x v="6"/>
    <x v="0"/>
    <x v="35"/>
    <x v="7"/>
    <x v="0"/>
    <x v="1"/>
    <x v="1"/>
    <x v="18"/>
    <x v="28"/>
    <x v="20"/>
    <x v="52"/>
    <x v="67"/>
    <x v="1"/>
    <x v="13"/>
    <x v="23"/>
    <x v="9"/>
    <x v="1"/>
    <x v="0"/>
    <x v="0"/>
    <x v="0"/>
    <x v="0"/>
    <x v="0"/>
    <x v="0"/>
    <x v="10"/>
    <x v="18"/>
    <x v="0"/>
    <x v="0"/>
    <x v="0"/>
    <x v="0"/>
    <x v="0"/>
    <x v="0"/>
  </r>
  <r>
    <x v="6"/>
    <x v="0"/>
    <x v="35"/>
    <x v="7"/>
    <x v="0"/>
    <x v="1"/>
    <x v="0"/>
    <x v="18"/>
    <x v="28"/>
    <x v="19"/>
    <x v="41"/>
    <x v="60"/>
    <x v="0"/>
    <x v="6"/>
    <x v="6"/>
    <x v="9"/>
    <x v="0"/>
    <x v="0"/>
    <x v="0"/>
    <x v="0"/>
    <x v="0"/>
    <x v="0"/>
    <x v="0"/>
    <x v="4"/>
    <x v="18"/>
    <x v="0"/>
    <x v="0"/>
    <x v="0"/>
    <x v="0"/>
    <x v="0"/>
    <x v="0"/>
  </r>
  <r>
    <x v="6"/>
    <x v="0"/>
    <x v="36"/>
    <x v="7"/>
    <x v="0"/>
    <x v="1"/>
    <x v="1"/>
    <x v="18"/>
    <x v="24"/>
    <x v="20"/>
    <x v="52"/>
    <x v="67"/>
    <x v="1"/>
    <x v="13"/>
    <x v="23"/>
    <x v="9"/>
    <x v="1"/>
    <x v="0"/>
    <x v="0"/>
    <x v="0"/>
    <x v="0"/>
    <x v="0"/>
    <x v="0"/>
    <x v="10"/>
    <x v="18"/>
    <x v="0"/>
    <x v="0"/>
    <x v="0"/>
    <x v="0"/>
    <x v="0"/>
    <x v="0"/>
  </r>
  <r>
    <x v="6"/>
    <x v="0"/>
    <x v="36"/>
    <x v="7"/>
    <x v="0"/>
    <x v="1"/>
    <x v="0"/>
    <x v="18"/>
    <x v="24"/>
    <x v="19"/>
    <x v="41"/>
    <x v="60"/>
    <x v="0"/>
    <x v="6"/>
    <x v="6"/>
    <x v="9"/>
    <x v="0"/>
    <x v="0"/>
    <x v="0"/>
    <x v="0"/>
    <x v="0"/>
    <x v="0"/>
    <x v="0"/>
    <x v="4"/>
    <x v="18"/>
    <x v="0"/>
    <x v="0"/>
    <x v="0"/>
    <x v="0"/>
    <x v="0"/>
    <x v="0"/>
  </r>
  <r>
    <x v="4"/>
    <x v="0"/>
    <x v="37"/>
    <x v="7"/>
    <x v="0"/>
    <x v="0"/>
    <x v="6"/>
    <x v="33"/>
    <x v="61"/>
    <x v="17"/>
    <x v="65"/>
    <x v="72"/>
    <x v="6"/>
    <x v="12"/>
    <x v="38"/>
    <x v="0"/>
    <x v="6"/>
    <x v="1"/>
    <x v="0"/>
    <x v="0"/>
    <x v="0"/>
    <x v="0"/>
    <x v="0"/>
    <x v="58"/>
    <x v="33"/>
    <x v="0"/>
    <x v="0"/>
    <x v="0"/>
    <x v="0"/>
    <x v="0"/>
    <x v="0"/>
  </r>
  <r>
    <x v="4"/>
    <x v="0"/>
    <x v="37"/>
    <x v="7"/>
    <x v="0"/>
    <x v="0"/>
    <x v="5"/>
    <x v="31"/>
    <x v="61"/>
    <x v="18"/>
    <x v="71"/>
    <x v="80"/>
    <x v="5"/>
    <x v="14"/>
    <x v="44"/>
    <x v="0"/>
    <x v="5"/>
    <x v="1"/>
    <x v="0"/>
    <x v="0"/>
    <x v="0"/>
    <x v="0"/>
    <x v="0"/>
    <x v="48"/>
    <x v="31"/>
    <x v="0"/>
    <x v="0"/>
    <x v="0"/>
    <x v="0"/>
    <x v="0"/>
    <x v="0"/>
  </r>
  <r>
    <x v="4"/>
    <x v="0"/>
    <x v="37"/>
    <x v="7"/>
    <x v="0"/>
    <x v="0"/>
    <x v="4"/>
    <x v="33"/>
    <x v="61"/>
    <x v="22"/>
    <x v="72"/>
    <x v="82"/>
    <x v="4"/>
    <x v="17"/>
    <x v="46"/>
    <x v="0"/>
    <x v="4"/>
    <x v="1"/>
    <x v="0"/>
    <x v="0"/>
    <x v="0"/>
    <x v="0"/>
    <x v="0"/>
    <x v="38"/>
    <x v="33"/>
    <x v="0"/>
    <x v="0"/>
    <x v="0"/>
    <x v="0"/>
    <x v="0"/>
    <x v="0"/>
  </r>
  <r>
    <x v="4"/>
    <x v="0"/>
    <x v="37"/>
    <x v="7"/>
    <x v="0"/>
    <x v="0"/>
    <x v="3"/>
    <x v="33"/>
    <x v="61"/>
    <x v="23"/>
    <x v="69"/>
    <x v="79"/>
    <x v="3"/>
    <x v="16"/>
    <x v="45"/>
    <x v="0"/>
    <x v="3"/>
    <x v="1"/>
    <x v="0"/>
    <x v="0"/>
    <x v="0"/>
    <x v="0"/>
    <x v="0"/>
    <x v="28"/>
    <x v="33"/>
    <x v="0"/>
    <x v="0"/>
    <x v="0"/>
    <x v="0"/>
    <x v="0"/>
    <x v="0"/>
  </r>
  <r>
    <x v="4"/>
    <x v="0"/>
    <x v="37"/>
    <x v="7"/>
    <x v="0"/>
    <x v="0"/>
    <x v="2"/>
    <x v="32"/>
    <x v="61"/>
    <x v="21"/>
    <x v="61"/>
    <x v="75"/>
    <x v="2"/>
    <x v="15"/>
    <x v="41"/>
    <x v="3"/>
    <x v="2"/>
    <x v="1"/>
    <x v="0"/>
    <x v="0"/>
    <x v="0"/>
    <x v="0"/>
    <x v="0"/>
    <x v="18"/>
    <x v="32"/>
    <x v="0"/>
    <x v="0"/>
    <x v="0"/>
    <x v="0"/>
    <x v="0"/>
    <x v="0"/>
  </r>
  <r>
    <x v="0"/>
    <x v="0"/>
    <x v="38"/>
    <x v="7"/>
    <x v="0"/>
    <x v="1"/>
    <x v="6"/>
    <x v="30"/>
    <x v="40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0"/>
    <x v="0"/>
    <x v="38"/>
    <x v="7"/>
    <x v="0"/>
    <x v="1"/>
    <x v="5"/>
    <x v="30"/>
    <x v="40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0"/>
    <x v="0"/>
    <x v="38"/>
    <x v="7"/>
    <x v="0"/>
    <x v="1"/>
    <x v="4"/>
    <x v="30"/>
    <x v="40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0"/>
    <x v="0"/>
    <x v="38"/>
    <x v="7"/>
    <x v="0"/>
    <x v="1"/>
    <x v="3"/>
    <x v="30"/>
    <x v="40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0"/>
    <x v="0"/>
    <x v="38"/>
    <x v="7"/>
    <x v="0"/>
    <x v="1"/>
    <x v="2"/>
    <x v="30"/>
    <x v="40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0"/>
    <x v="0"/>
    <x v="39"/>
    <x v="7"/>
    <x v="0"/>
    <x v="0"/>
    <x v="5"/>
    <x v="14"/>
    <x v="51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0"/>
    <x v="0"/>
    <x v="39"/>
    <x v="7"/>
    <x v="0"/>
    <x v="0"/>
    <x v="4"/>
    <x v="14"/>
    <x v="51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0"/>
    <x v="0"/>
    <x v="39"/>
    <x v="7"/>
    <x v="0"/>
    <x v="0"/>
    <x v="3"/>
    <x v="14"/>
    <x v="51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0"/>
    <x v="0"/>
    <x v="40"/>
    <x v="7"/>
    <x v="0"/>
    <x v="1"/>
    <x v="5"/>
    <x v="14"/>
    <x v="51"/>
    <x v="18"/>
    <x v="71"/>
    <x v="80"/>
    <x v="5"/>
    <x v="14"/>
    <x v="44"/>
    <x v="0"/>
    <x v="5"/>
    <x v="0"/>
    <x v="0"/>
    <x v="0"/>
    <x v="0"/>
    <x v="0"/>
    <x v="0"/>
    <x v="48"/>
    <x v="14"/>
    <x v="0"/>
    <x v="0"/>
    <x v="0"/>
    <x v="0"/>
    <x v="0"/>
    <x v="0"/>
  </r>
  <r>
    <x v="0"/>
    <x v="0"/>
    <x v="40"/>
    <x v="7"/>
    <x v="0"/>
    <x v="1"/>
    <x v="4"/>
    <x v="14"/>
    <x v="51"/>
    <x v="22"/>
    <x v="72"/>
    <x v="82"/>
    <x v="4"/>
    <x v="17"/>
    <x v="46"/>
    <x v="0"/>
    <x v="4"/>
    <x v="0"/>
    <x v="0"/>
    <x v="0"/>
    <x v="0"/>
    <x v="0"/>
    <x v="0"/>
    <x v="38"/>
    <x v="14"/>
    <x v="0"/>
    <x v="0"/>
    <x v="0"/>
    <x v="0"/>
    <x v="0"/>
    <x v="0"/>
  </r>
  <r>
    <x v="0"/>
    <x v="0"/>
    <x v="40"/>
    <x v="7"/>
    <x v="0"/>
    <x v="1"/>
    <x v="3"/>
    <x v="14"/>
    <x v="51"/>
    <x v="23"/>
    <x v="69"/>
    <x v="79"/>
    <x v="3"/>
    <x v="16"/>
    <x v="45"/>
    <x v="0"/>
    <x v="3"/>
    <x v="0"/>
    <x v="0"/>
    <x v="0"/>
    <x v="0"/>
    <x v="0"/>
    <x v="0"/>
    <x v="28"/>
    <x v="14"/>
    <x v="0"/>
    <x v="0"/>
    <x v="0"/>
    <x v="0"/>
    <x v="0"/>
    <x v="0"/>
  </r>
  <r>
    <x v="6"/>
    <x v="0"/>
    <x v="41"/>
    <x v="2"/>
    <x v="0"/>
    <x v="0"/>
    <x v="6"/>
    <x v="9"/>
    <x v="14"/>
    <x v="17"/>
    <x v="19"/>
    <x v="20"/>
    <x v="6"/>
    <x v="12"/>
    <x v="22"/>
    <x v="12"/>
    <x v="6"/>
    <x v="1"/>
    <x v="0"/>
    <x v="0"/>
    <x v="0"/>
    <x v="0"/>
    <x v="0"/>
    <x v="54"/>
    <x v="9"/>
    <x v="0"/>
    <x v="0"/>
    <x v="0"/>
    <x v="0"/>
    <x v="0"/>
    <x v="0"/>
  </r>
  <r>
    <x v="6"/>
    <x v="0"/>
    <x v="41"/>
    <x v="2"/>
    <x v="0"/>
    <x v="0"/>
    <x v="5"/>
    <x v="9"/>
    <x v="14"/>
    <x v="18"/>
    <x v="20"/>
    <x v="32"/>
    <x v="5"/>
    <x v="14"/>
    <x v="40"/>
    <x v="12"/>
    <x v="5"/>
    <x v="1"/>
    <x v="0"/>
    <x v="0"/>
    <x v="0"/>
    <x v="0"/>
    <x v="0"/>
    <x v="44"/>
    <x v="9"/>
    <x v="0"/>
    <x v="0"/>
    <x v="0"/>
    <x v="0"/>
    <x v="0"/>
    <x v="0"/>
  </r>
  <r>
    <x v="6"/>
    <x v="0"/>
    <x v="41"/>
    <x v="2"/>
    <x v="0"/>
    <x v="0"/>
    <x v="4"/>
    <x v="9"/>
    <x v="14"/>
    <x v="22"/>
    <x v="18"/>
    <x v="45"/>
    <x v="4"/>
    <x v="17"/>
    <x v="43"/>
    <x v="12"/>
    <x v="4"/>
    <x v="1"/>
    <x v="0"/>
    <x v="0"/>
    <x v="0"/>
    <x v="0"/>
    <x v="0"/>
    <x v="34"/>
    <x v="9"/>
    <x v="0"/>
    <x v="0"/>
    <x v="0"/>
    <x v="0"/>
    <x v="0"/>
    <x v="0"/>
  </r>
  <r>
    <x v="6"/>
    <x v="0"/>
    <x v="41"/>
    <x v="2"/>
    <x v="0"/>
    <x v="0"/>
    <x v="3"/>
    <x v="9"/>
    <x v="14"/>
    <x v="23"/>
    <x v="17"/>
    <x v="48"/>
    <x v="3"/>
    <x v="16"/>
    <x v="42"/>
    <x v="12"/>
    <x v="3"/>
    <x v="1"/>
    <x v="0"/>
    <x v="0"/>
    <x v="0"/>
    <x v="0"/>
    <x v="0"/>
    <x v="24"/>
    <x v="9"/>
    <x v="0"/>
    <x v="0"/>
    <x v="0"/>
    <x v="0"/>
    <x v="0"/>
    <x v="0"/>
  </r>
  <r>
    <x v="6"/>
    <x v="0"/>
    <x v="41"/>
    <x v="2"/>
    <x v="0"/>
    <x v="0"/>
    <x v="2"/>
    <x v="9"/>
    <x v="14"/>
    <x v="21"/>
    <x v="16"/>
    <x v="43"/>
    <x v="2"/>
    <x v="15"/>
    <x v="41"/>
    <x v="12"/>
    <x v="2"/>
    <x v="1"/>
    <x v="0"/>
    <x v="0"/>
    <x v="0"/>
    <x v="0"/>
    <x v="0"/>
    <x v="14"/>
    <x v="9"/>
    <x v="0"/>
    <x v="0"/>
    <x v="0"/>
    <x v="0"/>
    <x v="0"/>
    <x v="0"/>
  </r>
  <r>
    <x v="6"/>
    <x v="0"/>
    <x v="41"/>
    <x v="2"/>
    <x v="0"/>
    <x v="0"/>
    <x v="1"/>
    <x v="9"/>
    <x v="14"/>
    <x v="20"/>
    <x v="14"/>
    <x v="39"/>
    <x v="1"/>
    <x v="13"/>
    <x v="26"/>
    <x v="12"/>
    <x v="1"/>
    <x v="1"/>
    <x v="0"/>
    <x v="0"/>
    <x v="0"/>
    <x v="0"/>
    <x v="0"/>
    <x v="7"/>
    <x v="9"/>
    <x v="0"/>
    <x v="0"/>
    <x v="0"/>
    <x v="0"/>
    <x v="0"/>
    <x v="0"/>
  </r>
  <r>
    <x v="6"/>
    <x v="0"/>
    <x v="41"/>
    <x v="2"/>
    <x v="0"/>
    <x v="0"/>
    <x v="0"/>
    <x v="9"/>
    <x v="14"/>
    <x v="19"/>
    <x v="13"/>
    <x v="35"/>
    <x v="0"/>
    <x v="6"/>
    <x v="9"/>
    <x v="12"/>
    <x v="0"/>
    <x v="1"/>
    <x v="0"/>
    <x v="0"/>
    <x v="0"/>
    <x v="0"/>
    <x v="0"/>
    <x v="1"/>
    <x v="9"/>
    <x v="0"/>
    <x v="0"/>
    <x v="0"/>
    <x v="0"/>
    <x v="0"/>
    <x v="0"/>
  </r>
  <r>
    <x v="6"/>
    <x v="0"/>
    <x v="42"/>
    <x v="2"/>
    <x v="0"/>
    <x v="1"/>
    <x v="6"/>
    <x v="9"/>
    <x v="14"/>
    <x v="17"/>
    <x v="19"/>
    <x v="20"/>
    <x v="6"/>
    <x v="12"/>
    <x v="22"/>
    <x v="12"/>
    <x v="6"/>
    <x v="0"/>
    <x v="0"/>
    <x v="0"/>
    <x v="0"/>
    <x v="0"/>
    <x v="0"/>
    <x v="54"/>
    <x v="9"/>
    <x v="0"/>
    <x v="0"/>
    <x v="0"/>
    <x v="0"/>
    <x v="0"/>
    <x v="0"/>
  </r>
  <r>
    <x v="6"/>
    <x v="0"/>
    <x v="42"/>
    <x v="2"/>
    <x v="0"/>
    <x v="1"/>
    <x v="5"/>
    <x v="9"/>
    <x v="14"/>
    <x v="18"/>
    <x v="20"/>
    <x v="32"/>
    <x v="5"/>
    <x v="14"/>
    <x v="40"/>
    <x v="12"/>
    <x v="5"/>
    <x v="0"/>
    <x v="0"/>
    <x v="0"/>
    <x v="0"/>
    <x v="0"/>
    <x v="0"/>
    <x v="44"/>
    <x v="9"/>
    <x v="0"/>
    <x v="0"/>
    <x v="0"/>
    <x v="0"/>
    <x v="0"/>
    <x v="0"/>
  </r>
  <r>
    <x v="6"/>
    <x v="0"/>
    <x v="42"/>
    <x v="2"/>
    <x v="0"/>
    <x v="1"/>
    <x v="4"/>
    <x v="9"/>
    <x v="14"/>
    <x v="22"/>
    <x v="18"/>
    <x v="45"/>
    <x v="4"/>
    <x v="17"/>
    <x v="43"/>
    <x v="12"/>
    <x v="4"/>
    <x v="0"/>
    <x v="0"/>
    <x v="0"/>
    <x v="0"/>
    <x v="0"/>
    <x v="0"/>
    <x v="34"/>
    <x v="9"/>
    <x v="0"/>
    <x v="0"/>
    <x v="0"/>
    <x v="0"/>
    <x v="0"/>
    <x v="0"/>
  </r>
  <r>
    <x v="6"/>
    <x v="0"/>
    <x v="42"/>
    <x v="2"/>
    <x v="0"/>
    <x v="1"/>
    <x v="3"/>
    <x v="9"/>
    <x v="14"/>
    <x v="23"/>
    <x v="17"/>
    <x v="48"/>
    <x v="3"/>
    <x v="16"/>
    <x v="42"/>
    <x v="12"/>
    <x v="3"/>
    <x v="0"/>
    <x v="0"/>
    <x v="0"/>
    <x v="0"/>
    <x v="0"/>
    <x v="0"/>
    <x v="24"/>
    <x v="9"/>
    <x v="0"/>
    <x v="0"/>
    <x v="0"/>
    <x v="0"/>
    <x v="0"/>
    <x v="0"/>
  </r>
  <r>
    <x v="6"/>
    <x v="0"/>
    <x v="42"/>
    <x v="2"/>
    <x v="0"/>
    <x v="1"/>
    <x v="2"/>
    <x v="9"/>
    <x v="14"/>
    <x v="21"/>
    <x v="16"/>
    <x v="43"/>
    <x v="2"/>
    <x v="15"/>
    <x v="41"/>
    <x v="12"/>
    <x v="2"/>
    <x v="0"/>
    <x v="0"/>
    <x v="0"/>
    <x v="0"/>
    <x v="0"/>
    <x v="0"/>
    <x v="14"/>
    <x v="9"/>
    <x v="0"/>
    <x v="0"/>
    <x v="0"/>
    <x v="0"/>
    <x v="0"/>
    <x v="0"/>
  </r>
  <r>
    <x v="6"/>
    <x v="0"/>
    <x v="42"/>
    <x v="2"/>
    <x v="0"/>
    <x v="1"/>
    <x v="1"/>
    <x v="9"/>
    <x v="14"/>
    <x v="20"/>
    <x v="14"/>
    <x v="39"/>
    <x v="1"/>
    <x v="13"/>
    <x v="26"/>
    <x v="12"/>
    <x v="1"/>
    <x v="0"/>
    <x v="0"/>
    <x v="0"/>
    <x v="0"/>
    <x v="0"/>
    <x v="0"/>
    <x v="7"/>
    <x v="9"/>
    <x v="0"/>
    <x v="0"/>
    <x v="0"/>
    <x v="0"/>
    <x v="0"/>
    <x v="0"/>
  </r>
  <r>
    <x v="6"/>
    <x v="0"/>
    <x v="42"/>
    <x v="2"/>
    <x v="0"/>
    <x v="1"/>
    <x v="0"/>
    <x v="9"/>
    <x v="14"/>
    <x v="19"/>
    <x v="13"/>
    <x v="35"/>
    <x v="0"/>
    <x v="6"/>
    <x v="9"/>
    <x v="12"/>
    <x v="0"/>
    <x v="0"/>
    <x v="0"/>
    <x v="0"/>
    <x v="0"/>
    <x v="0"/>
    <x v="0"/>
    <x v="1"/>
    <x v="9"/>
    <x v="0"/>
    <x v="0"/>
    <x v="0"/>
    <x v="0"/>
    <x v="0"/>
    <x v="0"/>
  </r>
  <r>
    <x v="4"/>
    <x v="0"/>
    <x v="43"/>
    <x v="7"/>
    <x v="0"/>
    <x v="0"/>
    <x v="6"/>
    <x v="27"/>
    <x v="61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4"/>
    <x v="0"/>
    <x v="43"/>
    <x v="7"/>
    <x v="0"/>
    <x v="0"/>
    <x v="5"/>
    <x v="25"/>
    <x v="61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4"/>
    <x v="0"/>
    <x v="43"/>
    <x v="7"/>
    <x v="0"/>
    <x v="0"/>
    <x v="4"/>
    <x v="27"/>
    <x v="61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4"/>
    <x v="0"/>
    <x v="43"/>
    <x v="7"/>
    <x v="0"/>
    <x v="0"/>
    <x v="3"/>
    <x v="27"/>
    <x v="61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4"/>
    <x v="0"/>
    <x v="43"/>
    <x v="7"/>
    <x v="0"/>
    <x v="0"/>
    <x v="2"/>
    <x v="26"/>
    <x v="61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6"/>
    <x v="0"/>
    <x v="44"/>
    <x v="2"/>
    <x v="0"/>
    <x v="0"/>
    <x v="6"/>
    <x v="9"/>
    <x v="14"/>
    <x v="17"/>
    <x v="19"/>
    <x v="20"/>
    <x v="6"/>
    <x v="12"/>
    <x v="22"/>
    <x v="12"/>
    <x v="6"/>
    <x v="1"/>
    <x v="0"/>
    <x v="0"/>
    <x v="0"/>
    <x v="0"/>
    <x v="0"/>
    <x v="54"/>
    <x v="9"/>
    <x v="0"/>
    <x v="0"/>
    <x v="0"/>
    <x v="0"/>
    <x v="0"/>
    <x v="0"/>
  </r>
  <r>
    <x v="6"/>
    <x v="0"/>
    <x v="44"/>
    <x v="2"/>
    <x v="0"/>
    <x v="0"/>
    <x v="5"/>
    <x v="9"/>
    <x v="14"/>
    <x v="18"/>
    <x v="20"/>
    <x v="32"/>
    <x v="5"/>
    <x v="14"/>
    <x v="40"/>
    <x v="12"/>
    <x v="5"/>
    <x v="1"/>
    <x v="0"/>
    <x v="0"/>
    <x v="0"/>
    <x v="0"/>
    <x v="0"/>
    <x v="44"/>
    <x v="9"/>
    <x v="0"/>
    <x v="0"/>
    <x v="0"/>
    <x v="0"/>
    <x v="0"/>
    <x v="0"/>
  </r>
  <r>
    <x v="6"/>
    <x v="0"/>
    <x v="44"/>
    <x v="2"/>
    <x v="0"/>
    <x v="0"/>
    <x v="4"/>
    <x v="9"/>
    <x v="14"/>
    <x v="22"/>
    <x v="18"/>
    <x v="45"/>
    <x v="4"/>
    <x v="17"/>
    <x v="43"/>
    <x v="12"/>
    <x v="4"/>
    <x v="1"/>
    <x v="0"/>
    <x v="0"/>
    <x v="0"/>
    <x v="0"/>
    <x v="0"/>
    <x v="34"/>
    <x v="9"/>
    <x v="0"/>
    <x v="0"/>
    <x v="0"/>
    <x v="0"/>
    <x v="0"/>
    <x v="0"/>
  </r>
  <r>
    <x v="6"/>
    <x v="0"/>
    <x v="44"/>
    <x v="2"/>
    <x v="0"/>
    <x v="0"/>
    <x v="3"/>
    <x v="9"/>
    <x v="14"/>
    <x v="23"/>
    <x v="17"/>
    <x v="48"/>
    <x v="3"/>
    <x v="16"/>
    <x v="42"/>
    <x v="12"/>
    <x v="3"/>
    <x v="1"/>
    <x v="0"/>
    <x v="0"/>
    <x v="0"/>
    <x v="0"/>
    <x v="0"/>
    <x v="24"/>
    <x v="9"/>
    <x v="0"/>
    <x v="0"/>
    <x v="0"/>
    <x v="0"/>
    <x v="0"/>
    <x v="0"/>
  </r>
  <r>
    <x v="6"/>
    <x v="0"/>
    <x v="44"/>
    <x v="2"/>
    <x v="0"/>
    <x v="0"/>
    <x v="2"/>
    <x v="9"/>
    <x v="14"/>
    <x v="21"/>
    <x v="16"/>
    <x v="43"/>
    <x v="2"/>
    <x v="15"/>
    <x v="41"/>
    <x v="12"/>
    <x v="2"/>
    <x v="1"/>
    <x v="0"/>
    <x v="0"/>
    <x v="0"/>
    <x v="0"/>
    <x v="0"/>
    <x v="14"/>
    <x v="9"/>
    <x v="0"/>
    <x v="0"/>
    <x v="0"/>
    <x v="0"/>
    <x v="0"/>
    <x v="0"/>
  </r>
  <r>
    <x v="6"/>
    <x v="0"/>
    <x v="44"/>
    <x v="2"/>
    <x v="0"/>
    <x v="0"/>
    <x v="1"/>
    <x v="9"/>
    <x v="14"/>
    <x v="20"/>
    <x v="14"/>
    <x v="39"/>
    <x v="1"/>
    <x v="13"/>
    <x v="26"/>
    <x v="12"/>
    <x v="1"/>
    <x v="1"/>
    <x v="0"/>
    <x v="0"/>
    <x v="0"/>
    <x v="0"/>
    <x v="0"/>
    <x v="7"/>
    <x v="9"/>
    <x v="0"/>
    <x v="0"/>
    <x v="0"/>
    <x v="0"/>
    <x v="0"/>
    <x v="0"/>
  </r>
  <r>
    <x v="6"/>
    <x v="0"/>
    <x v="44"/>
    <x v="2"/>
    <x v="0"/>
    <x v="0"/>
    <x v="0"/>
    <x v="9"/>
    <x v="14"/>
    <x v="19"/>
    <x v="13"/>
    <x v="35"/>
    <x v="0"/>
    <x v="6"/>
    <x v="9"/>
    <x v="12"/>
    <x v="0"/>
    <x v="1"/>
    <x v="0"/>
    <x v="0"/>
    <x v="0"/>
    <x v="0"/>
    <x v="0"/>
    <x v="1"/>
    <x v="9"/>
    <x v="0"/>
    <x v="0"/>
    <x v="0"/>
    <x v="0"/>
    <x v="0"/>
    <x v="0"/>
  </r>
  <r>
    <x v="6"/>
    <x v="0"/>
    <x v="45"/>
    <x v="2"/>
    <x v="0"/>
    <x v="1"/>
    <x v="6"/>
    <x v="9"/>
    <x v="14"/>
    <x v="17"/>
    <x v="19"/>
    <x v="20"/>
    <x v="6"/>
    <x v="12"/>
    <x v="22"/>
    <x v="12"/>
    <x v="6"/>
    <x v="0"/>
    <x v="0"/>
    <x v="0"/>
    <x v="0"/>
    <x v="0"/>
    <x v="0"/>
    <x v="54"/>
    <x v="9"/>
    <x v="0"/>
    <x v="0"/>
    <x v="0"/>
    <x v="0"/>
    <x v="0"/>
    <x v="0"/>
  </r>
  <r>
    <x v="6"/>
    <x v="0"/>
    <x v="45"/>
    <x v="2"/>
    <x v="0"/>
    <x v="1"/>
    <x v="5"/>
    <x v="9"/>
    <x v="14"/>
    <x v="18"/>
    <x v="20"/>
    <x v="32"/>
    <x v="5"/>
    <x v="14"/>
    <x v="40"/>
    <x v="12"/>
    <x v="5"/>
    <x v="0"/>
    <x v="0"/>
    <x v="0"/>
    <x v="0"/>
    <x v="0"/>
    <x v="0"/>
    <x v="44"/>
    <x v="9"/>
    <x v="0"/>
    <x v="0"/>
    <x v="0"/>
    <x v="0"/>
    <x v="0"/>
    <x v="0"/>
  </r>
  <r>
    <x v="6"/>
    <x v="0"/>
    <x v="45"/>
    <x v="2"/>
    <x v="0"/>
    <x v="1"/>
    <x v="4"/>
    <x v="9"/>
    <x v="14"/>
    <x v="22"/>
    <x v="18"/>
    <x v="45"/>
    <x v="4"/>
    <x v="17"/>
    <x v="43"/>
    <x v="12"/>
    <x v="4"/>
    <x v="0"/>
    <x v="0"/>
    <x v="0"/>
    <x v="0"/>
    <x v="0"/>
    <x v="0"/>
    <x v="34"/>
    <x v="9"/>
    <x v="0"/>
    <x v="0"/>
    <x v="0"/>
    <x v="0"/>
    <x v="0"/>
    <x v="0"/>
  </r>
  <r>
    <x v="6"/>
    <x v="0"/>
    <x v="45"/>
    <x v="2"/>
    <x v="0"/>
    <x v="1"/>
    <x v="3"/>
    <x v="9"/>
    <x v="14"/>
    <x v="23"/>
    <x v="17"/>
    <x v="48"/>
    <x v="3"/>
    <x v="16"/>
    <x v="42"/>
    <x v="12"/>
    <x v="3"/>
    <x v="0"/>
    <x v="0"/>
    <x v="0"/>
    <x v="0"/>
    <x v="0"/>
    <x v="0"/>
    <x v="24"/>
    <x v="9"/>
    <x v="0"/>
    <x v="0"/>
    <x v="0"/>
    <x v="0"/>
    <x v="0"/>
    <x v="0"/>
  </r>
  <r>
    <x v="6"/>
    <x v="0"/>
    <x v="45"/>
    <x v="2"/>
    <x v="0"/>
    <x v="1"/>
    <x v="2"/>
    <x v="9"/>
    <x v="14"/>
    <x v="21"/>
    <x v="16"/>
    <x v="43"/>
    <x v="2"/>
    <x v="15"/>
    <x v="41"/>
    <x v="12"/>
    <x v="2"/>
    <x v="0"/>
    <x v="0"/>
    <x v="0"/>
    <x v="0"/>
    <x v="0"/>
    <x v="0"/>
    <x v="14"/>
    <x v="9"/>
    <x v="0"/>
    <x v="0"/>
    <x v="0"/>
    <x v="0"/>
    <x v="0"/>
    <x v="0"/>
  </r>
  <r>
    <x v="6"/>
    <x v="0"/>
    <x v="45"/>
    <x v="2"/>
    <x v="0"/>
    <x v="1"/>
    <x v="1"/>
    <x v="9"/>
    <x v="14"/>
    <x v="20"/>
    <x v="14"/>
    <x v="39"/>
    <x v="1"/>
    <x v="13"/>
    <x v="26"/>
    <x v="12"/>
    <x v="1"/>
    <x v="0"/>
    <x v="0"/>
    <x v="0"/>
    <x v="0"/>
    <x v="0"/>
    <x v="0"/>
    <x v="7"/>
    <x v="9"/>
    <x v="0"/>
    <x v="0"/>
    <x v="0"/>
    <x v="0"/>
    <x v="0"/>
    <x v="0"/>
  </r>
  <r>
    <x v="6"/>
    <x v="0"/>
    <x v="45"/>
    <x v="2"/>
    <x v="0"/>
    <x v="1"/>
    <x v="0"/>
    <x v="9"/>
    <x v="14"/>
    <x v="19"/>
    <x v="13"/>
    <x v="35"/>
    <x v="0"/>
    <x v="6"/>
    <x v="9"/>
    <x v="12"/>
    <x v="0"/>
    <x v="0"/>
    <x v="0"/>
    <x v="0"/>
    <x v="0"/>
    <x v="0"/>
    <x v="0"/>
    <x v="1"/>
    <x v="9"/>
    <x v="0"/>
    <x v="0"/>
    <x v="0"/>
    <x v="0"/>
    <x v="0"/>
    <x v="0"/>
  </r>
  <r>
    <x v="8"/>
    <x v="0"/>
    <x v="46"/>
    <x v="4"/>
    <x v="0"/>
    <x v="0"/>
    <x v="6"/>
    <x v="27"/>
    <x v="9"/>
    <x v="17"/>
    <x v="3"/>
    <x v="6"/>
    <x v="6"/>
    <x v="12"/>
    <x v="16"/>
    <x v="4"/>
    <x v="6"/>
    <x v="1"/>
    <x v="0"/>
    <x v="0"/>
    <x v="0"/>
    <x v="0"/>
    <x v="0"/>
    <x v="56"/>
    <x v="27"/>
    <x v="0"/>
    <x v="0"/>
    <x v="0"/>
    <x v="0"/>
    <x v="0"/>
    <x v="0"/>
  </r>
  <r>
    <x v="8"/>
    <x v="0"/>
    <x v="46"/>
    <x v="4"/>
    <x v="0"/>
    <x v="0"/>
    <x v="5"/>
    <x v="25"/>
    <x v="9"/>
    <x v="18"/>
    <x v="4"/>
    <x v="9"/>
    <x v="5"/>
    <x v="14"/>
    <x v="24"/>
    <x v="4"/>
    <x v="5"/>
    <x v="1"/>
    <x v="0"/>
    <x v="0"/>
    <x v="0"/>
    <x v="0"/>
    <x v="0"/>
    <x v="46"/>
    <x v="25"/>
    <x v="0"/>
    <x v="0"/>
    <x v="0"/>
    <x v="0"/>
    <x v="0"/>
    <x v="0"/>
  </r>
  <r>
    <x v="8"/>
    <x v="0"/>
    <x v="46"/>
    <x v="4"/>
    <x v="0"/>
    <x v="0"/>
    <x v="4"/>
    <x v="27"/>
    <x v="9"/>
    <x v="22"/>
    <x v="5"/>
    <x v="27"/>
    <x v="4"/>
    <x v="17"/>
    <x v="29"/>
    <x v="4"/>
    <x v="4"/>
    <x v="1"/>
    <x v="0"/>
    <x v="0"/>
    <x v="0"/>
    <x v="0"/>
    <x v="0"/>
    <x v="36"/>
    <x v="27"/>
    <x v="0"/>
    <x v="0"/>
    <x v="0"/>
    <x v="0"/>
    <x v="0"/>
    <x v="0"/>
  </r>
  <r>
    <x v="8"/>
    <x v="0"/>
    <x v="46"/>
    <x v="4"/>
    <x v="0"/>
    <x v="0"/>
    <x v="3"/>
    <x v="27"/>
    <x v="9"/>
    <x v="23"/>
    <x v="6"/>
    <x v="29"/>
    <x v="3"/>
    <x v="16"/>
    <x v="27"/>
    <x v="4"/>
    <x v="3"/>
    <x v="1"/>
    <x v="0"/>
    <x v="0"/>
    <x v="0"/>
    <x v="0"/>
    <x v="0"/>
    <x v="26"/>
    <x v="27"/>
    <x v="0"/>
    <x v="0"/>
    <x v="0"/>
    <x v="0"/>
    <x v="0"/>
    <x v="0"/>
  </r>
  <r>
    <x v="8"/>
    <x v="0"/>
    <x v="46"/>
    <x v="4"/>
    <x v="0"/>
    <x v="0"/>
    <x v="2"/>
    <x v="26"/>
    <x v="9"/>
    <x v="21"/>
    <x v="2"/>
    <x v="23"/>
    <x v="2"/>
    <x v="15"/>
    <x v="25"/>
    <x v="4"/>
    <x v="2"/>
    <x v="1"/>
    <x v="0"/>
    <x v="0"/>
    <x v="0"/>
    <x v="0"/>
    <x v="0"/>
    <x v="16"/>
    <x v="26"/>
    <x v="0"/>
    <x v="0"/>
    <x v="0"/>
    <x v="0"/>
    <x v="0"/>
    <x v="0"/>
  </r>
  <r>
    <x v="8"/>
    <x v="0"/>
    <x v="46"/>
    <x v="4"/>
    <x v="0"/>
    <x v="0"/>
    <x v="1"/>
    <x v="27"/>
    <x v="9"/>
    <x v="20"/>
    <x v="1"/>
    <x v="7"/>
    <x v="1"/>
    <x v="13"/>
    <x v="21"/>
    <x v="1"/>
    <x v="1"/>
    <x v="1"/>
    <x v="0"/>
    <x v="0"/>
    <x v="0"/>
    <x v="0"/>
    <x v="0"/>
    <x v="8"/>
    <x v="27"/>
    <x v="0"/>
    <x v="0"/>
    <x v="0"/>
    <x v="0"/>
    <x v="0"/>
    <x v="0"/>
  </r>
  <r>
    <x v="8"/>
    <x v="0"/>
    <x v="46"/>
    <x v="4"/>
    <x v="0"/>
    <x v="0"/>
    <x v="0"/>
    <x v="26"/>
    <x v="9"/>
    <x v="19"/>
    <x v="0"/>
    <x v="1"/>
    <x v="0"/>
    <x v="6"/>
    <x v="5"/>
    <x v="1"/>
    <x v="0"/>
    <x v="1"/>
    <x v="0"/>
    <x v="0"/>
    <x v="0"/>
    <x v="0"/>
    <x v="0"/>
    <x v="2"/>
    <x v="26"/>
    <x v="0"/>
    <x v="0"/>
    <x v="0"/>
    <x v="0"/>
    <x v="0"/>
    <x v="0"/>
  </r>
  <r>
    <x v="6"/>
    <x v="0"/>
    <x v="47"/>
    <x v="7"/>
    <x v="0"/>
    <x v="0"/>
    <x v="6"/>
    <x v="9"/>
    <x v="47"/>
    <x v="17"/>
    <x v="65"/>
    <x v="72"/>
    <x v="6"/>
    <x v="12"/>
    <x v="38"/>
    <x v="0"/>
    <x v="6"/>
    <x v="1"/>
    <x v="0"/>
    <x v="0"/>
    <x v="0"/>
    <x v="0"/>
    <x v="0"/>
    <x v="58"/>
    <x v="9"/>
    <x v="0"/>
    <x v="0"/>
    <x v="0"/>
    <x v="0"/>
    <x v="0"/>
    <x v="0"/>
  </r>
  <r>
    <x v="6"/>
    <x v="0"/>
    <x v="47"/>
    <x v="7"/>
    <x v="0"/>
    <x v="0"/>
    <x v="5"/>
    <x v="9"/>
    <x v="47"/>
    <x v="18"/>
    <x v="71"/>
    <x v="80"/>
    <x v="5"/>
    <x v="14"/>
    <x v="44"/>
    <x v="0"/>
    <x v="5"/>
    <x v="1"/>
    <x v="0"/>
    <x v="0"/>
    <x v="0"/>
    <x v="0"/>
    <x v="0"/>
    <x v="48"/>
    <x v="9"/>
    <x v="0"/>
    <x v="0"/>
    <x v="0"/>
    <x v="0"/>
    <x v="0"/>
    <x v="0"/>
  </r>
  <r>
    <x v="6"/>
    <x v="0"/>
    <x v="47"/>
    <x v="7"/>
    <x v="0"/>
    <x v="0"/>
    <x v="4"/>
    <x v="9"/>
    <x v="47"/>
    <x v="22"/>
    <x v="72"/>
    <x v="82"/>
    <x v="4"/>
    <x v="17"/>
    <x v="46"/>
    <x v="0"/>
    <x v="4"/>
    <x v="1"/>
    <x v="0"/>
    <x v="0"/>
    <x v="0"/>
    <x v="0"/>
    <x v="0"/>
    <x v="38"/>
    <x v="9"/>
    <x v="0"/>
    <x v="0"/>
    <x v="0"/>
    <x v="0"/>
    <x v="0"/>
    <x v="0"/>
  </r>
  <r>
    <x v="6"/>
    <x v="0"/>
    <x v="47"/>
    <x v="7"/>
    <x v="0"/>
    <x v="0"/>
    <x v="3"/>
    <x v="9"/>
    <x v="47"/>
    <x v="23"/>
    <x v="69"/>
    <x v="79"/>
    <x v="3"/>
    <x v="16"/>
    <x v="45"/>
    <x v="0"/>
    <x v="3"/>
    <x v="1"/>
    <x v="0"/>
    <x v="0"/>
    <x v="0"/>
    <x v="0"/>
    <x v="0"/>
    <x v="28"/>
    <x v="9"/>
    <x v="0"/>
    <x v="0"/>
    <x v="0"/>
    <x v="0"/>
    <x v="0"/>
    <x v="0"/>
  </r>
  <r>
    <x v="6"/>
    <x v="0"/>
    <x v="47"/>
    <x v="7"/>
    <x v="0"/>
    <x v="0"/>
    <x v="2"/>
    <x v="9"/>
    <x v="47"/>
    <x v="21"/>
    <x v="61"/>
    <x v="75"/>
    <x v="2"/>
    <x v="15"/>
    <x v="41"/>
    <x v="3"/>
    <x v="2"/>
    <x v="1"/>
    <x v="0"/>
    <x v="0"/>
    <x v="0"/>
    <x v="0"/>
    <x v="0"/>
    <x v="18"/>
    <x v="9"/>
    <x v="0"/>
    <x v="0"/>
    <x v="0"/>
    <x v="0"/>
    <x v="0"/>
    <x v="0"/>
  </r>
  <r>
    <x v="25"/>
    <x v="0"/>
    <x v="48"/>
    <x v="7"/>
    <x v="0"/>
    <x v="0"/>
    <x v="1"/>
    <x v="9"/>
    <x v="28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25"/>
    <x v="0"/>
    <x v="48"/>
    <x v="7"/>
    <x v="0"/>
    <x v="0"/>
    <x v="0"/>
    <x v="9"/>
    <x v="28"/>
    <x v="19"/>
    <x v="41"/>
    <x v="60"/>
    <x v="0"/>
    <x v="6"/>
    <x v="6"/>
    <x v="9"/>
    <x v="0"/>
    <x v="1"/>
    <x v="0"/>
    <x v="0"/>
    <x v="0"/>
    <x v="0"/>
    <x v="0"/>
    <x v="4"/>
    <x v="9"/>
    <x v="0"/>
    <x v="0"/>
    <x v="0"/>
    <x v="0"/>
    <x v="0"/>
    <x v="0"/>
  </r>
  <r>
    <x v="25"/>
    <x v="0"/>
    <x v="49"/>
    <x v="7"/>
    <x v="0"/>
    <x v="1"/>
    <x v="1"/>
    <x v="9"/>
    <x v="28"/>
    <x v="20"/>
    <x v="52"/>
    <x v="67"/>
    <x v="1"/>
    <x v="13"/>
    <x v="23"/>
    <x v="9"/>
    <x v="1"/>
    <x v="0"/>
    <x v="0"/>
    <x v="0"/>
    <x v="0"/>
    <x v="0"/>
    <x v="0"/>
    <x v="10"/>
    <x v="9"/>
    <x v="0"/>
    <x v="0"/>
    <x v="0"/>
    <x v="0"/>
    <x v="0"/>
    <x v="0"/>
  </r>
  <r>
    <x v="25"/>
    <x v="0"/>
    <x v="49"/>
    <x v="7"/>
    <x v="0"/>
    <x v="1"/>
    <x v="0"/>
    <x v="9"/>
    <x v="28"/>
    <x v="19"/>
    <x v="41"/>
    <x v="60"/>
    <x v="0"/>
    <x v="6"/>
    <x v="6"/>
    <x v="9"/>
    <x v="0"/>
    <x v="0"/>
    <x v="0"/>
    <x v="0"/>
    <x v="0"/>
    <x v="0"/>
    <x v="0"/>
    <x v="4"/>
    <x v="9"/>
    <x v="0"/>
    <x v="0"/>
    <x v="0"/>
    <x v="0"/>
    <x v="0"/>
    <x v="0"/>
  </r>
  <r>
    <x v="1"/>
    <x v="0"/>
    <x v="50"/>
    <x v="4"/>
    <x v="0"/>
    <x v="1"/>
    <x v="1"/>
    <x v="30"/>
    <x v="5"/>
    <x v="20"/>
    <x v="1"/>
    <x v="7"/>
    <x v="1"/>
    <x v="13"/>
    <x v="21"/>
    <x v="1"/>
    <x v="1"/>
    <x v="0"/>
    <x v="0"/>
    <x v="0"/>
    <x v="0"/>
    <x v="0"/>
    <x v="0"/>
    <x v="8"/>
    <x v="30"/>
    <x v="0"/>
    <x v="0"/>
    <x v="0"/>
    <x v="0"/>
    <x v="0"/>
    <x v="0"/>
  </r>
  <r>
    <x v="1"/>
    <x v="0"/>
    <x v="50"/>
    <x v="4"/>
    <x v="0"/>
    <x v="1"/>
    <x v="0"/>
    <x v="30"/>
    <x v="5"/>
    <x v="19"/>
    <x v="0"/>
    <x v="1"/>
    <x v="0"/>
    <x v="6"/>
    <x v="5"/>
    <x v="1"/>
    <x v="0"/>
    <x v="0"/>
    <x v="0"/>
    <x v="0"/>
    <x v="0"/>
    <x v="0"/>
    <x v="0"/>
    <x v="2"/>
    <x v="30"/>
    <x v="0"/>
    <x v="0"/>
    <x v="0"/>
    <x v="0"/>
    <x v="0"/>
    <x v="0"/>
  </r>
  <r>
    <x v="25"/>
    <x v="0"/>
    <x v="51"/>
    <x v="9"/>
    <x v="0"/>
    <x v="0"/>
    <x v="1"/>
    <x v="14"/>
    <x v="16"/>
    <x v="20"/>
    <x v="70"/>
    <x v="81"/>
    <x v="1"/>
    <x v="13"/>
    <x v="19"/>
    <x v="0"/>
    <x v="1"/>
    <x v="1"/>
    <x v="0"/>
    <x v="0"/>
    <x v="0"/>
    <x v="0"/>
    <x v="0"/>
    <x v="11"/>
    <x v="14"/>
    <x v="0"/>
    <x v="0"/>
    <x v="0"/>
    <x v="0"/>
    <x v="0"/>
    <x v="0"/>
  </r>
  <r>
    <x v="25"/>
    <x v="0"/>
    <x v="51"/>
    <x v="9"/>
    <x v="0"/>
    <x v="0"/>
    <x v="0"/>
    <x v="14"/>
    <x v="16"/>
    <x v="19"/>
    <x v="73"/>
    <x v="83"/>
    <x v="0"/>
    <x v="6"/>
    <x v="4"/>
    <x v="0"/>
    <x v="0"/>
    <x v="1"/>
    <x v="0"/>
    <x v="0"/>
    <x v="0"/>
    <x v="0"/>
    <x v="0"/>
    <x v="5"/>
    <x v="14"/>
    <x v="0"/>
    <x v="0"/>
    <x v="0"/>
    <x v="0"/>
    <x v="0"/>
    <x v="0"/>
  </r>
  <r>
    <x v="0"/>
    <x v="0"/>
    <x v="52"/>
    <x v="7"/>
    <x v="0"/>
    <x v="0"/>
    <x v="6"/>
    <x v="27"/>
    <x v="47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0"/>
    <x v="0"/>
    <x v="52"/>
    <x v="7"/>
    <x v="0"/>
    <x v="0"/>
    <x v="5"/>
    <x v="25"/>
    <x v="47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0"/>
    <x v="0"/>
    <x v="52"/>
    <x v="7"/>
    <x v="0"/>
    <x v="0"/>
    <x v="4"/>
    <x v="27"/>
    <x v="47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0"/>
    <x v="0"/>
    <x v="52"/>
    <x v="7"/>
    <x v="0"/>
    <x v="0"/>
    <x v="3"/>
    <x v="27"/>
    <x v="47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0"/>
    <x v="0"/>
    <x v="52"/>
    <x v="7"/>
    <x v="0"/>
    <x v="0"/>
    <x v="2"/>
    <x v="26"/>
    <x v="47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21"/>
    <x v="0"/>
    <x v="53"/>
    <x v="7"/>
    <x v="0"/>
    <x v="0"/>
    <x v="1"/>
    <x v="27"/>
    <x v="30"/>
    <x v="20"/>
    <x v="52"/>
    <x v="67"/>
    <x v="1"/>
    <x v="13"/>
    <x v="23"/>
    <x v="9"/>
    <x v="1"/>
    <x v="1"/>
    <x v="0"/>
    <x v="0"/>
    <x v="0"/>
    <x v="0"/>
    <x v="0"/>
    <x v="10"/>
    <x v="27"/>
    <x v="0"/>
    <x v="0"/>
    <x v="0"/>
    <x v="0"/>
    <x v="0"/>
    <x v="0"/>
  </r>
  <r>
    <x v="21"/>
    <x v="0"/>
    <x v="53"/>
    <x v="7"/>
    <x v="0"/>
    <x v="0"/>
    <x v="0"/>
    <x v="26"/>
    <x v="30"/>
    <x v="19"/>
    <x v="41"/>
    <x v="60"/>
    <x v="0"/>
    <x v="6"/>
    <x v="6"/>
    <x v="9"/>
    <x v="0"/>
    <x v="1"/>
    <x v="0"/>
    <x v="0"/>
    <x v="0"/>
    <x v="0"/>
    <x v="0"/>
    <x v="4"/>
    <x v="26"/>
    <x v="0"/>
    <x v="0"/>
    <x v="0"/>
    <x v="0"/>
    <x v="0"/>
    <x v="0"/>
  </r>
  <r>
    <x v="25"/>
    <x v="0"/>
    <x v="54"/>
    <x v="9"/>
    <x v="0"/>
    <x v="0"/>
    <x v="1"/>
    <x v="14"/>
    <x v="16"/>
    <x v="20"/>
    <x v="70"/>
    <x v="81"/>
    <x v="1"/>
    <x v="13"/>
    <x v="19"/>
    <x v="0"/>
    <x v="1"/>
    <x v="1"/>
    <x v="0"/>
    <x v="0"/>
    <x v="0"/>
    <x v="0"/>
    <x v="0"/>
    <x v="11"/>
    <x v="14"/>
    <x v="0"/>
    <x v="0"/>
    <x v="0"/>
    <x v="0"/>
    <x v="0"/>
    <x v="0"/>
  </r>
  <r>
    <x v="25"/>
    <x v="0"/>
    <x v="54"/>
    <x v="9"/>
    <x v="0"/>
    <x v="0"/>
    <x v="0"/>
    <x v="14"/>
    <x v="16"/>
    <x v="19"/>
    <x v="73"/>
    <x v="83"/>
    <x v="0"/>
    <x v="6"/>
    <x v="4"/>
    <x v="0"/>
    <x v="0"/>
    <x v="1"/>
    <x v="0"/>
    <x v="0"/>
    <x v="0"/>
    <x v="0"/>
    <x v="0"/>
    <x v="5"/>
    <x v="14"/>
    <x v="0"/>
    <x v="0"/>
    <x v="0"/>
    <x v="0"/>
    <x v="0"/>
    <x v="0"/>
  </r>
  <r>
    <x v="14"/>
    <x v="0"/>
    <x v="55"/>
    <x v="9"/>
    <x v="0"/>
    <x v="0"/>
    <x v="1"/>
    <x v="15"/>
    <x v="15"/>
    <x v="20"/>
    <x v="70"/>
    <x v="81"/>
    <x v="1"/>
    <x v="13"/>
    <x v="19"/>
    <x v="0"/>
    <x v="1"/>
    <x v="1"/>
    <x v="0"/>
    <x v="0"/>
    <x v="0"/>
    <x v="0"/>
    <x v="0"/>
    <x v="11"/>
    <x v="15"/>
    <x v="0"/>
    <x v="0"/>
    <x v="0"/>
    <x v="0"/>
    <x v="0"/>
    <x v="0"/>
  </r>
  <r>
    <x v="14"/>
    <x v="0"/>
    <x v="55"/>
    <x v="9"/>
    <x v="0"/>
    <x v="1"/>
    <x v="1"/>
    <x v="15"/>
    <x v="15"/>
    <x v="20"/>
    <x v="70"/>
    <x v="81"/>
    <x v="1"/>
    <x v="13"/>
    <x v="19"/>
    <x v="0"/>
    <x v="1"/>
    <x v="0"/>
    <x v="0"/>
    <x v="0"/>
    <x v="0"/>
    <x v="0"/>
    <x v="0"/>
    <x v="11"/>
    <x v="15"/>
    <x v="0"/>
    <x v="0"/>
    <x v="0"/>
    <x v="0"/>
    <x v="0"/>
    <x v="0"/>
  </r>
  <r>
    <x v="14"/>
    <x v="0"/>
    <x v="55"/>
    <x v="9"/>
    <x v="0"/>
    <x v="0"/>
    <x v="0"/>
    <x v="16"/>
    <x v="15"/>
    <x v="19"/>
    <x v="73"/>
    <x v="83"/>
    <x v="0"/>
    <x v="6"/>
    <x v="4"/>
    <x v="0"/>
    <x v="0"/>
    <x v="1"/>
    <x v="0"/>
    <x v="0"/>
    <x v="0"/>
    <x v="0"/>
    <x v="0"/>
    <x v="5"/>
    <x v="16"/>
    <x v="0"/>
    <x v="0"/>
    <x v="0"/>
    <x v="0"/>
    <x v="0"/>
    <x v="0"/>
  </r>
  <r>
    <x v="14"/>
    <x v="0"/>
    <x v="55"/>
    <x v="9"/>
    <x v="0"/>
    <x v="1"/>
    <x v="0"/>
    <x v="16"/>
    <x v="15"/>
    <x v="19"/>
    <x v="73"/>
    <x v="83"/>
    <x v="0"/>
    <x v="6"/>
    <x v="4"/>
    <x v="0"/>
    <x v="0"/>
    <x v="0"/>
    <x v="0"/>
    <x v="0"/>
    <x v="0"/>
    <x v="0"/>
    <x v="0"/>
    <x v="5"/>
    <x v="16"/>
    <x v="0"/>
    <x v="0"/>
    <x v="0"/>
    <x v="0"/>
    <x v="0"/>
    <x v="0"/>
  </r>
  <r>
    <x v="4"/>
    <x v="0"/>
    <x v="56"/>
    <x v="7"/>
    <x v="0"/>
    <x v="0"/>
    <x v="6"/>
    <x v="37"/>
    <x v="59"/>
    <x v="17"/>
    <x v="65"/>
    <x v="72"/>
    <x v="6"/>
    <x v="12"/>
    <x v="38"/>
    <x v="0"/>
    <x v="6"/>
    <x v="1"/>
    <x v="0"/>
    <x v="0"/>
    <x v="0"/>
    <x v="0"/>
    <x v="0"/>
    <x v="58"/>
    <x v="37"/>
    <x v="0"/>
    <x v="0"/>
    <x v="0"/>
    <x v="0"/>
    <x v="0"/>
    <x v="0"/>
  </r>
  <r>
    <x v="4"/>
    <x v="0"/>
    <x v="56"/>
    <x v="7"/>
    <x v="0"/>
    <x v="0"/>
    <x v="5"/>
    <x v="37"/>
    <x v="59"/>
    <x v="18"/>
    <x v="71"/>
    <x v="80"/>
    <x v="5"/>
    <x v="14"/>
    <x v="44"/>
    <x v="0"/>
    <x v="5"/>
    <x v="1"/>
    <x v="0"/>
    <x v="0"/>
    <x v="0"/>
    <x v="0"/>
    <x v="0"/>
    <x v="48"/>
    <x v="37"/>
    <x v="0"/>
    <x v="0"/>
    <x v="0"/>
    <x v="0"/>
    <x v="0"/>
    <x v="0"/>
  </r>
  <r>
    <x v="4"/>
    <x v="0"/>
    <x v="56"/>
    <x v="7"/>
    <x v="0"/>
    <x v="0"/>
    <x v="4"/>
    <x v="37"/>
    <x v="59"/>
    <x v="22"/>
    <x v="72"/>
    <x v="82"/>
    <x v="4"/>
    <x v="17"/>
    <x v="46"/>
    <x v="0"/>
    <x v="4"/>
    <x v="1"/>
    <x v="0"/>
    <x v="0"/>
    <x v="0"/>
    <x v="0"/>
    <x v="0"/>
    <x v="38"/>
    <x v="37"/>
    <x v="0"/>
    <x v="0"/>
    <x v="0"/>
    <x v="0"/>
    <x v="0"/>
    <x v="0"/>
  </r>
  <r>
    <x v="4"/>
    <x v="0"/>
    <x v="56"/>
    <x v="7"/>
    <x v="0"/>
    <x v="0"/>
    <x v="3"/>
    <x v="37"/>
    <x v="59"/>
    <x v="23"/>
    <x v="69"/>
    <x v="79"/>
    <x v="3"/>
    <x v="16"/>
    <x v="45"/>
    <x v="0"/>
    <x v="3"/>
    <x v="1"/>
    <x v="0"/>
    <x v="0"/>
    <x v="0"/>
    <x v="0"/>
    <x v="0"/>
    <x v="28"/>
    <x v="37"/>
    <x v="0"/>
    <x v="0"/>
    <x v="0"/>
    <x v="0"/>
    <x v="0"/>
    <x v="0"/>
  </r>
  <r>
    <x v="4"/>
    <x v="0"/>
    <x v="56"/>
    <x v="7"/>
    <x v="0"/>
    <x v="0"/>
    <x v="2"/>
    <x v="37"/>
    <x v="59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0"/>
    <x v="0"/>
    <x v="57"/>
    <x v="7"/>
    <x v="0"/>
    <x v="0"/>
    <x v="1"/>
    <x v="27"/>
    <x v="31"/>
    <x v="20"/>
    <x v="52"/>
    <x v="67"/>
    <x v="1"/>
    <x v="13"/>
    <x v="23"/>
    <x v="9"/>
    <x v="1"/>
    <x v="1"/>
    <x v="0"/>
    <x v="0"/>
    <x v="0"/>
    <x v="0"/>
    <x v="0"/>
    <x v="10"/>
    <x v="27"/>
    <x v="0"/>
    <x v="0"/>
    <x v="0"/>
    <x v="0"/>
    <x v="0"/>
    <x v="0"/>
  </r>
  <r>
    <x v="0"/>
    <x v="0"/>
    <x v="57"/>
    <x v="7"/>
    <x v="0"/>
    <x v="0"/>
    <x v="0"/>
    <x v="26"/>
    <x v="31"/>
    <x v="19"/>
    <x v="41"/>
    <x v="60"/>
    <x v="0"/>
    <x v="6"/>
    <x v="6"/>
    <x v="9"/>
    <x v="0"/>
    <x v="1"/>
    <x v="0"/>
    <x v="0"/>
    <x v="0"/>
    <x v="0"/>
    <x v="0"/>
    <x v="4"/>
    <x v="26"/>
    <x v="0"/>
    <x v="0"/>
    <x v="0"/>
    <x v="0"/>
    <x v="0"/>
    <x v="0"/>
  </r>
  <r>
    <x v="22"/>
    <x v="0"/>
    <x v="58"/>
    <x v="6"/>
    <x v="0"/>
    <x v="0"/>
    <x v="1"/>
    <x v="27"/>
    <x v="27"/>
    <x v="20"/>
    <x v="47"/>
    <x v="63"/>
    <x v="1"/>
    <x v="13"/>
    <x v="23"/>
    <x v="9"/>
    <x v="1"/>
    <x v="1"/>
    <x v="0"/>
    <x v="0"/>
    <x v="0"/>
    <x v="0"/>
    <x v="0"/>
    <x v="9"/>
    <x v="27"/>
    <x v="0"/>
    <x v="0"/>
    <x v="0"/>
    <x v="0"/>
    <x v="0"/>
    <x v="0"/>
  </r>
  <r>
    <x v="22"/>
    <x v="0"/>
    <x v="58"/>
    <x v="6"/>
    <x v="0"/>
    <x v="0"/>
    <x v="0"/>
    <x v="26"/>
    <x v="27"/>
    <x v="19"/>
    <x v="40"/>
    <x v="58"/>
    <x v="0"/>
    <x v="6"/>
    <x v="6"/>
    <x v="9"/>
    <x v="0"/>
    <x v="1"/>
    <x v="0"/>
    <x v="0"/>
    <x v="0"/>
    <x v="0"/>
    <x v="0"/>
    <x v="3"/>
    <x v="26"/>
    <x v="0"/>
    <x v="0"/>
    <x v="0"/>
    <x v="0"/>
    <x v="0"/>
    <x v="0"/>
  </r>
  <r>
    <x v="22"/>
    <x v="0"/>
    <x v="59"/>
    <x v="0"/>
    <x v="0"/>
    <x v="1"/>
    <x v="1"/>
    <x v="27"/>
    <x v="21"/>
    <x v="20"/>
    <x v="31"/>
    <x v="53"/>
    <x v="1"/>
    <x v="13"/>
    <x v="23"/>
    <x v="10"/>
    <x v="1"/>
    <x v="0"/>
    <x v="0"/>
    <x v="0"/>
    <x v="0"/>
    <x v="0"/>
    <x v="0"/>
    <x v="6"/>
    <x v="27"/>
    <x v="0"/>
    <x v="0"/>
    <x v="0"/>
    <x v="0"/>
    <x v="0"/>
    <x v="0"/>
  </r>
  <r>
    <x v="22"/>
    <x v="0"/>
    <x v="59"/>
    <x v="0"/>
    <x v="0"/>
    <x v="1"/>
    <x v="0"/>
    <x v="26"/>
    <x v="21"/>
    <x v="19"/>
    <x v="30"/>
    <x v="51"/>
    <x v="0"/>
    <x v="6"/>
    <x v="6"/>
    <x v="10"/>
    <x v="0"/>
    <x v="0"/>
    <x v="0"/>
    <x v="0"/>
    <x v="0"/>
    <x v="0"/>
    <x v="0"/>
    <x v="0"/>
    <x v="26"/>
    <x v="0"/>
    <x v="0"/>
    <x v="0"/>
    <x v="0"/>
    <x v="0"/>
    <x v="0"/>
  </r>
  <r>
    <x v="15"/>
    <x v="0"/>
    <x v="60"/>
    <x v="9"/>
    <x v="0"/>
    <x v="0"/>
    <x v="1"/>
    <x v="24"/>
    <x v="16"/>
    <x v="20"/>
    <x v="70"/>
    <x v="81"/>
    <x v="1"/>
    <x v="13"/>
    <x v="19"/>
    <x v="0"/>
    <x v="1"/>
    <x v="1"/>
    <x v="0"/>
    <x v="0"/>
    <x v="0"/>
    <x v="0"/>
    <x v="0"/>
    <x v="11"/>
    <x v="24"/>
    <x v="0"/>
    <x v="0"/>
    <x v="0"/>
    <x v="0"/>
    <x v="0"/>
    <x v="0"/>
  </r>
  <r>
    <x v="15"/>
    <x v="0"/>
    <x v="60"/>
    <x v="9"/>
    <x v="0"/>
    <x v="0"/>
    <x v="0"/>
    <x v="23"/>
    <x v="16"/>
    <x v="19"/>
    <x v="73"/>
    <x v="83"/>
    <x v="0"/>
    <x v="6"/>
    <x v="4"/>
    <x v="0"/>
    <x v="0"/>
    <x v="1"/>
    <x v="0"/>
    <x v="0"/>
    <x v="0"/>
    <x v="0"/>
    <x v="0"/>
    <x v="5"/>
    <x v="23"/>
    <x v="0"/>
    <x v="0"/>
    <x v="0"/>
    <x v="0"/>
    <x v="0"/>
    <x v="0"/>
  </r>
  <r>
    <x v="0"/>
    <x v="0"/>
    <x v="61"/>
    <x v="7"/>
    <x v="0"/>
    <x v="0"/>
    <x v="6"/>
    <x v="15"/>
    <x v="61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0"/>
    <x v="0"/>
    <x v="61"/>
    <x v="7"/>
    <x v="0"/>
    <x v="0"/>
    <x v="5"/>
    <x v="17"/>
    <x v="61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0"/>
    <x v="0"/>
    <x v="61"/>
    <x v="7"/>
    <x v="0"/>
    <x v="0"/>
    <x v="4"/>
    <x v="15"/>
    <x v="61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0"/>
    <x v="0"/>
    <x v="61"/>
    <x v="7"/>
    <x v="0"/>
    <x v="0"/>
    <x v="3"/>
    <x v="15"/>
    <x v="61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0"/>
    <x v="0"/>
    <x v="61"/>
    <x v="7"/>
    <x v="0"/>
    <x v="0"/>
    <x v="2"/>
    <x v="16"/>
    <x v="61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17"/>
    <x v="0"/>
    <x v="62"/>
    <x v="7"/>
    <x v="0"/>
    <x v="0"/>
    <x v="6"/>
    <x v="14"/>
    <x v="56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17"/>
    <x v="0"/>
    <x v="62"/>
    <x v="7"/>
    <x v="0"/>
    <x v="0"/>
    <x v="5"/>
    <x v="14"/>
    <x v="56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17"/>
    <x v="0"/>
    <x v="62"/>
    <x v="7"/>
    <x v="0"/>
    <x v="0"/>
    <x v="4"/>
    <x v="14"/>
    <x v="56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17"/>
    <x v="0"/>
    <x v="62"/>
    <x v="7"/>
    <x v="0"/>
    <x v="0"/>
    <x v="3"/>
    <x v="14"/>
    <x v="56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17"/>
    <x v="0"/>
    <x v="62"/>
    <x v="7"/>
    <x v="0"/>
    <x v="0"/>
    <x v="2"/>
    <x v="14"/>
    <x v="56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17"/>
    <x v="0"/>
    <x v="63"/>
    <x v="7"/>
    <x v="0"/>
    <x v="0"/>
    <x v="6"/>
    <x v="30"/>
    <x v="60"/>
    <x v="17"/>
    <x v="65"/>
    <x v="72"/>
    <x v="6"/>
    <x v="12"/>
    <x v="38"/>
    <x v="0"/>
    <x v="6"/>
    <x v="1"/>
    <x v="0"/>
    <x v="0"/>
    <x v="0"/>
    <x v="0"/>
    <x v="0"/>
    <x v="58"/>
    <x v="30"/>
    <x v="0"/>
    <x v="0"/>
    <x v="0"/>
    <x v="0"/>
    <x v="0"/>
    <x v="0"/>
  </r>
  <r>
    <x v="17"/>
    <x v="0"/>
    <x v="63"/>
    <x v="7"/>
    <x v="0"/>
    <x v="0"/>
    <x v="5"/>
    <x v="30"/>
    <x v="60"/>
    <x v="18"/>
    <x v="71"/>
    <x v="80"/>
    <x v="5"/>
    <x v="14"/>
    <x v="44"/>
    <x v="0"/>
    <x v="5"/>
    <x v="1"/>
    <x v="0"/>
    <x v="0"/>
    <x v="0"/>
    <x v="0"/>
    <x v="0"/>
    <x v="48"/>
    <x v="30"/>
    <x v="0"/>
    <x v="0"/>
    <x v="0"/>
    <x v="0"/>
    <x v="0"/>
    <x v="0"/>
  </r>
  <r>
    <x v="17"/>
    <x v="0"/>
    <x v="63"/>
    <x v="7"/>
    <x v="0"/>
    <x v="0"/>
    <x v="4"/>
    <x v="30"/>
    <x v="60"/>
    <x v="22"/>
    <x v="72"/>
    <x v="82"/>
    <x v="4"/>
    <x v="17"/>
    <x v="46"/>
    <x v="0"/>
    <x v="4"/>
    <x v="1"/>
    <x v="0"/>
    <x v="0"/>
    <x v="0"/>
    <x v="0"/>
    <x v="0"/>
    <x v="38"/>
    <x v="30"/>
    <x v="0"/>
    <x v="0"/>
    <x v="0"/>
    <x v="0"/>
    <x v="0"/>
    <x v="0"/>
  </r>
  <r>
    <x v="17"/>
    <x v="0"/>
    <x v="63"/>
    <x v="7"/>
    <x v="0"/>
    <x v="0"/>
    <x v="3"/>
    <x v="30"/>
    <x v="60"/>
    <x v="23"/>
    <x v="69"/>
    <x v="79"/>
    <x v="3"/>
    <x v="16"/>
    <x v="45"/>
    <x v="0"/>
    <x v="3"/>
    <x v="1"/>
    <x v="0"/>
    <x v="0"/>
    <x v="0"/>
    <x v="0"/>
    <x v="0"/>
    <x v="28"/>
    <x v="30"/>
    <x v="0"/>
    <x v="0"/>
    <x v="0"/>
    <x v="0"/>
    <x v="0"/>
    <x v="0"/>
  </r>
  <r>
    <x v="17"/>
    <x v="0"/>
    <x v="63"/>
    <x v="7"/>
    <x v="0"/>
    <x v="0"/>
    <x v="2"/>
    <x v="30"/>
    <x v="60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5"/>
    <x v="0"/>
    <x v="64"/>
    <x v="7"/>
    <x v="0"/>
    <x v="0"/>
    <x v="2"/>
    <x v="37"/>
    <x v="46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2"/>
    <x v="0"/>
    <x v="65"/>
    <x v="7"/>
    <x v="0"/>
    <x v="0"/>
    <x v="6"/>
    <x v="15"/>
    <x v="56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2"/>
    <x v="0"/>
    <x v="65"/>
    <x v="7"/>
    <x v="0"/>
    <x v="0"/>
    <x v="5"/>
    <x v="17"/>
    <x v="56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2"/>
    <x v="0"/>
    <x v="65"/>
    <x v="7"/>
    <x v="0"/>
    <x v="0"/>
    <x v="4"/>
    <x v="15"/>
    <x v="56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2"/>
    <x v="0"/>
    <x v="65"/>
    <x v="7"/>
    <x v="0"/>
    <x v="0"/>
    <x v="3"/>
    <x v="15"/>
    <x v="56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2"/>
    <x v="0"/>
    <x v="65"/>
    <x v="7"/>
    <x v="0"/>
    <x v="0"/>
    <x v="2"/>
    <x v="16"/>
    <x v="56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2"/>
    <x v="0"/>
    <x v="66"/>
    <x v="7"/>
    <x v="0"/>
    <x v="0"/>
    <x v="6"/>
    <x v="27"/>
    <x v="60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2"/>
    <x v="0"/>
    <x v="66"/>
    <x v="7"/>
    <x v="0"/>
    <x v="0"/>
    <x v="5"/>
    <x v="25"/>
    <x v="60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2"/>
    <x v="0"/>
    <x v="66"/>
    <x v="7"/>
    <x v="0"/>
    <x v="0"/>
    <x v="4"/>
    <x v="27"/>
    <x v="60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2"/>
    <x v="0"/>
    <x v="66"/>
    <x v="7"/>
    <x v="0"/>
    <x v="0"/>
    <x v="3"/>
    <x v="27"/>
    <x v="60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2"/>
    <x v="0"/>
    <x v="66"/>
    <x v="7"/>
    <x v="0"/>
    <x v="0"/>
    <x v="2"/>
    <x v="26"/>
    <x v="60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13"/>
    <x v="0"/>
    <x v="67"/>
    <x v="10"/>
    <x v="0"/>
    <x v="0"/>
    <x v="4"/>
    <x v="29"/>
    <x v="19"/>
    <x v="22"/>
    <x v="26"/>
    <x v="52"/>
    <x v="4"/>
    <x v="17"/>
    <x v="36"/>
    <x v="11"/>
    <x v="4"/>
    <x v="1"/>
    <x v="0"/>
    <x v="0"/>
    <x v="0"/>
    <x v="0"/>
    <x v="0"/>
    <x v="41"/>
    <x v="29"/>
    <x v="0"/>
    <x v="0"/>
    <x v="0"/>
    <x v="0"/>
    <x v="0"/>
    <x v="0"/>
  </r>
  <r>
    <x v="13"/>
    <x v="0"/>
    <x v="67"/>
    <x v="10"/>
    <x v="0"/>
    <x v="0"/>
    <x v="3"/>
    <x v="29"/>
    <x v="19"/>
    <x v="23"/>
    <x v="23"/>
    <x v="55"/>
    <x v="3"/>
    <x v="16"/>
    <x v="34"/>
    <x v="11"/>
    <x v="3"/>
    <x v="1"/>
    <x v="0"/>
    <x v="0"/>
    <x v="0"/>
    <x v="0"/>
    <x v="0"/>
    <x v="31"/>
    <x v="29"/>
    <x v="0"/>
    <x v="0"/>
    <x v="0"/>
    <x v="0"/>
    <x v="0"/>
    <x v="0"/>
  </r>
  <r>
    <x v="4"/>
    <x v="0"/>
    <x v="68"/>
    <x v="7"/>
    <x v="0"/>
    <x v="1"/>
    <x v="1"/>
    <x v="40"/>
    <x v="26"/>
    <x v="20"/>
    <x v="52"/>
    <x v="67"/>
    <x v="1"/>
    <x v="13"/>
    <x v="23"/>
    <x v="9"/>
    <x v="1"/>
    <x v="0"/>
    <x v="0"/>
    <x v="0"/>
    <x v="0"/>
    <x v="0"/>
    <x v="0"/>
    <x v="10"/>
    <x v="40"/>
    <x v="0"/>
    <x v="0"/>
    <x v="0"/>
    <x v="0"/>
    <x v="0"/>
    <x v="0"/>
  </r>
  <r>
    <x v="4"/>
    <x v="0"/>
    <x v="68"/>
    <x v="7"/>
    <x v="0"/>
    <x v="1"/>
    <x v="0"/>
    <x v="39"/>
    <x v="26"/>
    <x v="19"/>
    <x v="41"/>
    <x v="60"/>
    <x v="0"/>
    <x v="6"/>
    <x v="6"/>
    <x v="9"/>
    <x v="0"/>
    <x v="0"/>
    <x v="0"/>
    <x v="0"/>
    <x v="0"/>
    <x v="0"/>
    <x v="0"/>
    <x v="4"/>
    <x v="39"/>
    <x v="0"/>
    <x v="0"/>
    <x v="0"/>
    <x v="0"/>
    <x v="0"/>
    <x v="0"/>
  </r>
  <r>
    <x v="11"/>
    <x v="0"/>
    <x v="69"/>
    <x v="10"/>
    <x v="0"/>
    <x v="0"/>
    <x v="6"/>
    <x v="27"/>
    <x v="19"/>
    <x v="17"/>
    <x v="25"/>
    <x v="26"/>
    <x v="6"/>
    <x v="12"/>
    <x v="18"/>
    <x v="11"/>
    <x v="6"/>
    <x v="1"/>
    <x v="0"/>
    <x v="0"/>
    <x v="0"/>
    <x v="0"/>
    <x v="0"/>
    <x v="61"/>
    <x v="27"/>
    <x v="0"/>
    <x v="0"/>
    <x v="0"/>
    <x v="0"/>
    <x v="0"/>
    <x v="0"/>
  </r>
  <r>
    <x v="11"/>
    <x v="0"/>
    <x v="69"/>
    <x v="10"/>
    <x v="0"/>
    <x v="0"/>
    <x v="5"/>
    <x v="25"/>
    <x v="19"/>
    <x v="18"/>
    <x v="28"/>
    <x v="40"/>
    <x v="5"/>
    <x v="14"/>
    <x v="32"/>
    <x v="11"/>
    <x v="5"/>
    <x v="1"/>
    <x v="0"/>
    <x v="0"/>
    <x v="0"/>
    <x v="0"/>
    <x v="0"/>
    <x v="51"/>
    <x v="25"/>
    <x v="0"/>
    <x v="0"/>
    <x v="0"/>
    <x v="0"/>
    <x v="0"/>
    <x v="0"/>
  </r>
  <r>
    <x v="11"/>
    <x v="0"/>
    <x v="69"/>
    <x v="10"/>
    <x v="0"/>
    <x v="0"/>
    <x v="4"/>
    <x v="27"/>
    <x v="19"/>
    <x v="22"/>
    <x v="26"/>
    <x v="52"/>
    <x v="4"/>
    <x v="17"/>
    <x v="36"/>
    <x v="11"/>
    <x v="4"/>
    <x v="1"/>
    <x v="0"/>
    <x v="0"/>
    <x v="0"/>
    <x v="0"/>
    <x v="0"/>
    <x v="41"/>
    <x v="27"/>
    <x v="0"/>
    <x v="0"/>
    <x v="0"/>
    <x v="0"/>
    <x v="0"/>
    <x v="0"/>
  </r>
  <r>
    <x v="11"/>
    <x v="0"/>
    <x v="69"/>
    <x v="10"/>
    <x v="0"/>
    <x v="0"/>
    <x v="3"/>
    <x v="27"/>
    <x v="19"/>
    <x v="23"/>
    <x v="23"/>
    <x v="55"/>
    <x v="3"/>
    <x v="16"/>
    <x v="34"/>
    <x v="11"/>
    <x v="3"/>
    <x v="1"/>
    <x v="0"/>
    <x v="0"/>
    <x v="0"/>
    <x v="0"/>
    <x v="0"/>
    <x v="31"/>
    <x v="27"/>
    <x v="0"/>
    <x v="0"/>
    <x v="0"/>
    <x v="0"/>
    <x v="0"/>
    <x v="0"/>
  </r>
  <r>
    <x v="11"/>
    <x v="0"/>
    <x v="69"/>
    <x v="10"/>
    <x v="0"/>
    <x v="0"/>
    <x v="2"/>
    <x v="26"/>
    <x v="19"/>
    <x v="21"/>
    <x v="21"/>
    <x v="49"/>
    <x v="2"/>
    <x v="15"/>
    <x v="33"/>
    <x v="11"/>
    <x v="2"/>
    <x v="1"/>
    <x v="0"/>
    <x v="0"/>
    <x v="0"/>
    <x v="0"/>
    <x v="0"/>
    <x v="21"/>
    <x v="26"/>
    <x v="0"/>
    <x v="0"/>
    <x v="0"/>
    <x v="0"/>
    <x v="0"/>
    <x v="0"/>
  </r>
  <r>
    <x v="19"/>
    <x v="0"/>
    <x v="70"/>
    <x v="10"/>
    <x v="0"/>
    <x v="0"/>
    <x v="6"/>
    <x v="27"/>
    <x v="19"/>
    <x v="17"/>
    <x v="25"/>
    <x v="26"/>
    <x v="6"/>
    <x v="12"/>
    <x v="18"/>
    <x v="11"/>
    <x v="6"/>
    <x v="1"/>
    <x v="0"/>
    <x v="0"/>
    <x v="0"/>
    <x v="0"/>
    <x v="0"/>
    <x v="61"/>
    <x v="27"/>
    <x v="0"/>
    <x v="0"/>
    <x v="0"/>
    <x v="0"/>
    <x v="0"/>
    <x v="0"/>
  </r>
  <r>
    <x v="19"/>
    <x v="0"/>
    <x v="70"/>
    <x v="10"/>
    <x v="0"/>
    <x v="0"/>
    <x v="5"/>
    <x v="25"/>
    <x v="19"/>
    <x v="18"/>
    <x v="28"/>
    <x v="40"/>
    <x v="5"/>
    <x v="14"/>
    <x v="32"/>
    <x v="11"/>
    <x v="5"/>
    <x v="1"/>
    <x v="0"/>
    <x v="0"/>
    <x v="0"/>
    <x v="0"/>
    <x v="0"/>
    <x v="51"/>
    <x v="25"/>
    <x v="0"/>
    <x v="0"/>
    <x v="0"/>
    <x v="0"/>
    <x v="0"/>
    <x v="0"/>
  </r>
  <r>
    <x v="19"/>
    <x v="0"/>
    <x v="70"/>
    <x v="10"/>
    <x v="0"/>
    <x v="0"/>
    <x v="4"/>
    <x v="27"/>
    <x v="19"/>
    <x v="22"/>
    <x v="26"/>
    <x v="52"/>
    <x v="4"/>
    <x v="17"/>
    <x v="36"/>
    <x v="11"/>
    <x v="4"/>
    <x v="1"/>
    <x v="0"/>
    <x v="0"/>
    <x v="0"/>
    <x v="0"/>
    <x v="0"/>
    <x v="41"/>
    <x v="27"/>
    <x v="0"/>
    <x v="0"/>
    <x v="0"/>
    <x v="0"/>
    <x v="0"/>
    <x v="0"/>
  </r>
  <r>
    <x v="19"/>
    <x v="0"/>
    <x v="70"/>
    <x v="10"/>
    <x v="0"/>
    <x v="0"/>
    <x v="3"/>
    <x v="27"/>
    <x v="19"/>
    <x v="23"/>
    <x v="23"/>
    <x v="55"/>
    <x v="3"/>
    <x v="16"/>
    <x v="34"/>
    <x v="11"/>
    <x v="3"/>
    <x v="1"/>
    <x v="0"/>
    <x v="0"/>
    <x v="0"/>
    <x v="0"/>
    <x v="0"/>
    <x v="31"/>
    <x v="27"/>
    <x v="0"/>
    <x v="0"/>
    <x v="0"/>
    <x v="0"/>
    <x v="0"/>
    <x v="0"/>
  </r>
  <r>
    <x v="19"/>
    <x v="0"/>
    <x v="70"/>
    <x v="10"/>
    <x v="0"/>
    <x v="0"/>
    <x v="2"/>
    <x v="26"/>
    <x v="19"/>
    <x v="21"/>
    <x v="21"/>
    <x v="49"/>
    <x v="2"/>
    <x v="15"/>
    <x v="33"/>
    <x v="11"/>
    <x v="2"/>
    <x v="1"/>
    <x v="0"/>
    <x v="0"/>
    <x v="0"/>
    <x v="0"/>
    <x v="0"/>
    <x v="21"/>
    <x v="26"/>
    <x v="0"/>
    <x v="0"/>
    <x v="0"/>
    <x v="0"/>
    <x v="0"/>
    <x v="0"/>
  </r>
  <r>
    <x v="0"/>
    <x v="0"/>
    <x v="71"/>
    <x v="7"/>
    <x v="0"/>
    <x v="1"/>
    <x v="6"/>
    <x v="37"/>
    <x v="41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0"/>
    <x v="0"/>
    <x v="71"/>
    <x v="7"/>
    <x v="0"/>
    <x v="1"/>
    <x v="5"/>
    <x v="37"/>
    <x v="41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0"/>
    <x v="0"/>
    <x v="71"/>
    <x v="7"/>
    <x v="0"/>
    <x v="1"/>
    <x v="4"/>
    <x v="37"/>
    <x v="41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0"/>
    <x v="0"/>
    <x v="71"/>
    <x v="7"/>
    <x v="0"/>
    <x v="1"/>
    <x v="3"/>
    <x v="37"/>
    <x v="41"/>
    <x v="23"/>
    <x v="69"/>
    <x v="79"/>
    <x v="3"/>
    <x v="16"/>
    <x v="45"/>
    <x v="0"/>
    <x v="3"/>
    <x v="0"/>
    <x v="0"/>
    <x v="0"/>
    <x v="0"/>
    <x v="0"/>
    <x v="0"/>
    <x v="28"/>
    <x v="37"/>
    <x v="0"/>
    <x v="0"/>
    <x v="0"/>
    <x v="0"/>
    <x v="0"/>
    <x v="0"/>
  </r>
  <r>
    <x v="0"/>
    <x v="0"/>
    <x v="71"/>
    <x v="7"/>
    <x v="0"/>
    <x v="1"/>
    <x v="2"/>
    <x v="37"/>
    <x v="41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6"/>
    <x v="0"/>
    <x v="72"/>
    <x v="7"/>
    <x v="0"/>
    <x v="1"/>
    <x v="6"/>
    <x v="11"/>
    <x v="47"/>
    <x v="17"/>
    <x v="65"/>
    <x v="72"/>
    <x v="6"/>
    <x v="12"/>
    <x v="38"/>
    <x v="0"/>
    <x v="6"/>
    <x v="0"/>
    <x v="0"/>
    <x v="0"/>
    <x v="0"/>
    <x v="0"/>
    <x v="0"/>
    <x v="58"/>
    <x v="11"/>
    <x v="0"/>
    <x v="0"/>
    <x v="0"/>
    <x v="0"/>
    <x v="0"/>
    <x v="0"/>
  </r>
  <r>
    <x v="6"/>
    <x v="0"/>
    <x v="72"/>
    <x v="7"/>
    <x v="0"/>
    <x v="1"/>
    <x v="5"/>
    <x v="13"/>
    <x v="47"/>
    <x v="18"/>
    <x v="71"/>
    <x v="80"/>
    <x v="5"/>
    <x v="14"/>
    <x v="44"/>
    <x v="0"/>
    <x v="5"/>
    <x v="0"/>
    <x v="0"/>
    <x v="0"/>
    <x v="0"/>
    <x v="0"/>
    <x v="0"/>
    <x v="48"/>
    <x v="13"/>
    <x v="0"/>
    <x v="0"/>
    <x v="0"/>
    <x v="0"/>
    <x v="0"/>
    <x v="0"/>
  </r>
  <r>
    <x v="6"/>
    <x v="0"/>
    <x v="72"/>
    <x v="7"/>
    <x v="0"/>
    <x v="1"/>
    <x v="4"/>
    <x v="11"/>
    <x v="47"/>
    <x v="22"/>
    <x v="72"/>
    <x v="82"/>
    <x v="4"/>
    <x v="17"/>
    <x v="46"/>
    <x v="0"/>
    <x v="4"/>
    <x v="0"/>
    <x v="0"/>
    <x v="0"/>
    <x v="0"/>
    <x v="0"/>
    <x v="0"/>
    <x v="38"/>
    <x v="11"/>
    <x v="0"/>
    <x v="0"/>
    <x v="0"/>
    <x v="0"/>
    <x v="0"/>
    <x v="0"/>
  </r>
  <r>
    <x v="6"/>
    <x v="0"/>
    <x v="72"/>
    <x v="7"/>
    <x v="0"/>
    <x v="1"/>
    <x v="3"/>
    <x v="11"/>
    <x v="47"/>
    <x v="23"/>
    <x v="69"/>
    <x v="79"/>
    <x v="3"/>
    <x v="16"/>
    <x v="45"/>
    <x v="0"/>
    <x v="3"/>
    <x v="0"/>
    <x v="0"/>
    <x v="0"/>
    <x v="0"/>
    <x v="0"/>
    <x v="0"/>
    <x v="28"/>
    <x v="11"/>
    <x v="0"/>
    <x v="0"/>
    <x v="0"/>
    <x v="0"/>
    <x v="0"/>
    <x v="0"/>
  </r>
  <r>
    <x v="6"/>
    <x v="0"/>
    <x v="72"/>
    <x v="7"/>
    <x v="0"/>
    <x v="1"/>
    <x v="2"/>
    <x v="12"/>
    <x v="47"/>
    <x v="21"/>
    <x v="61"/>
    <x v="75"/>
    <x v="2"/>
    <x v="15"/>
    <x v="41"/>
    <x v="3"/>
    <x v="2"/>
    <x v="0"/>
    <x v="0"/>
    <x v="0"/>
    <x v="0"/>
    <x v="0"/>
    <x v="0"/>
    <x v="18"/>
    <x v="12"/>
    <x v="0"/>
    <x v="0"/>
    <x v="0"/>
    <x v="0"/>
    <x v="0"/>
    <x v="0"/>
  </r>
  <r>
    <x v="6"/>
    <x v="0"/>
    <x v="73"/>
    <x v="7"/>
    <x v="0"/>
    <x v="1"/>
    <x v="6"/>
    <x v="9"/>
    <x v="46"/>
    <x v="17"/>
    <x v="65"/>
    <x v="72"/>
    <x v="6"/>
    <x v="12"/>
    <x v="38"/>
    <x v="0"/>
    <x v="6"/>
    <x v="0"/>
    <x v="0"/>
    <x v="0"/>
    <x v="0"/>
    <x v="0"/>
    <x v="0"/>
    <x v="58"/>
    <x v="9"/>
    <x v="0"/>
    <x v="0"/>
    <x v="0"/>
    <x v="0"/>
    <x v="0"/>
    <x v="0"/>
  </r>
  <r>
    <x v="6"/>
    <x v="0"/>
    <x v="74"/>
    <x v="7"/>
    <x v="0"/>
    <x v="1"/>
    <x v="6"/>
    <x v="37"/>
    <x v="41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6"/>
    <x v="0"/>
    <x v="74"/>
    <x v="7"/>
    <x v="0"/>
    <x v="1"/>
    <x v="5"/>
    <x v="37"/>
    <x v="41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6"/>
    <x v="0"/>
    <x v="74"/>
    <x v="7"/>
    <x v="0"/>
    <x v="1"/>
    <x v="4"/>
    <x v="37"/>
    <x v="41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6"/>
    <x v="0"/>
    <x v="74"/>
    <x v="7"/>
    <x v="0"/>
    <x v="1"/>
    <x v="3"/>
    <x v="37"/>
    <x v="41"/>
    <x v="23"/>
    <x v="69"/>
    <x v="79"/>
    <x v="3"/>
    <x v="16"/>
    <x v="45"/>
    <x v="0"/>
    <x v="3"/>
    <x v="0"/>
    <x v="0"/>
    <x v="0"/>
    <x v="0"/>
    <x v="0"/>
    <x v="0"/>
    <x v="28"/>
    <x v="37"/>
    <x v="0"/>
    <x v="0"/>
    <x v="0"/>
    <x v="0"/>
    <x v="0"/>
    <x v="0"/>
  </r>
  <r>
    <x v="6"/>
    <x v="0"/>
    <x v="74"/>
    <x v="7"/>
    <x v="0"/>
    <x v="1"/>
    <x v="2"/>
    <x v="37"/>
    <x v="41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6"/>
    <x v="0"/>
    <x v="75"/>
    <x v="7"/>
    <x v="0"/>
    <x v="0"/>
    <x v="6"/>
    <x v="15"/>
    <x v="64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6"/>
    <x v="0"/>
    <x v="75"/>
    <x v="7"/>
    <x v="0"/>
    <x v="0"/>
    <x v="5"/>
    <x v="17"/>
    <x v="64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6"/>
    <x v="0"/>
    <x v="75"/>
    <x v="7"/>
    <x v="0"/>
    <x v="0"/>
    <x v="4"/>
    <x v="15"/>
    <x v="64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6"/>
    <x v="0"/>
    <x v="75"/>
    <x v="7"/>
    <x v="0"/>
    <x v="0"/>
    <x v="3"/>
    <x v="15"/>
    <x v="64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6"/>
    <x v="0"/>
    <x v="75"/>
    <x v="7"/>
    <x v="0"/>
    <x v="0"/>
    <x v="2"/>
    <x v="16"/>
    <x v="64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6"/>
    <x v="0"/>
    <x v="76"/>
    <x v="7"/>
    <x v="0"/>
    <x v="1"/>
    <x v="6"/>
    <x v="30"/>
    <x v="41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6"/>
    <x v="0"/>
    <x v="77"/>
    <x v="7"/>
    <x v="0"/>
    <x v="0"/>
    <x v="6"/>
    <x v="9"/>
    <x v="58"/>
    <x v="17"/>
    <x v="65"/>
    <x v="72"/>
    <x v="6"/>
    <x v="12"/>
    <x v="38"/>
    <x v="0"/>
    <x v="6"/>
    <x v="1"/>
    <x v="0"/>
    <x v="0"/>
    <x v="0"/>
    <x v="0"/>
    <x v="0"/>
    <x v="58"/>
    <x v="9"/>
    <x v="0"/>
    <x v="0"/>
    <x v="0"/>
    <x v="0"/>
    <x v="0"/>
    <x v="0"/>
  </r>
  <r>
    <x v="6"/>
    <x v="0"/>
    <x v="77"/>
    <x v="7"/>
    <x v="0"/>
    <x v="0"/>
    <x v="5"/>
    <x v="9"/>
    <x v="58"/>
    <x v="18"/>
    <x v="71"/>
    <x v="80"/>
    <x v="5"/>
    <x v="14"/>
    <x v="44"/>
    <x v="0"/>
    <x v="5"/>
    <x v="1"/>
    <x v="0"/>
    <x v="0"/>
    <x v="0"/>
    <x v="0"/>
    <x v="0"/>
    <x v="48"/>
    <x v="9"/>
    <x v="0"/>
    <x v="0"/>
    <x v="0"/>
    <x v="0"/>
    <x v="0"/>
    <x v="0"/>
  </r>
  <r>
    <x v="6"/>
    <x v="0"/>
    <x v="77"/>
    <x v="7"/>
    <x v="0"/>
    <x v="0"/>
    <x v="4"/>
    <x v="9"/>
    <x v="58"/>
    <x v="22"/>
    <x v="72"/>
    <x v="82"/>
    <x v="4"/>
    <x v="17"/>
    <x v="46"/>
    <x v="0"/>
    <x v="4"/>
    <x v="1"/>
    <x v="0"/>
    <x v="0"/>
    <x v="0"/>
    <x v="0"/>
    <x v="0"/>
    <x v="38"/>
    <x v="9"/>
    <x v="0"/>
    <x v="0"/>
    <x v="0"/>
    <x v="0"/>
    <x v="0"/>
    <x v="0"/>
  </r>
  <r>
    <x v="6"/>
    <x v="0"/>
    <x v="77"/>
    <x v="7"/>
    <x v="0"/>
    <x v="0"/>
    <x v="3"/>
    <x v="9"/>
    <x v="58"/>
    <x v="23"/>
    <x v="69"/>
    <x v="79"/>
    <x v="3"/>
    <x v="16"/>
    <x v="45"/>
    <x v="0"/>
    <x v="3"/>
    <x v="1"/>
    <x v="0"/>
    <x v="0"/>
    <x v="0"/>
    <x v="0"/>
    <x v="0"/>
    <x v="28"/>
    <x v="9"/>
    <x v="0"/>
    <x v="0"/>
    <x v="0"/>
    <x v="0"/>
    <x v="0"/>
    <x v="0"/>
  </r>
  <r>
    <x v="6"/>
    <x v="0"/>
    <x v="77"/>
    <x v="7"/>
    <x v="0"/>
    <x v="0"/>
    <x v="2"/>
    <x v="9"/>
    <x v="58"/>
    <x v="21"/>
    <x v="61"/>
    <x v="75"/>
    <x v="2"/>
    <x v="15"/>
    <x v="41"/>
    <x v="3"/>
    <x v="2"/>
    <x v="1"/>
    <x v="0"/>
    <x v="0"/>
    <x v="0"/>
    <x v="0"/>
    <x v="0"/>
    <x v="18"/>
    <x v="9"/>
    <x v="0"/>
    <x v="0"/>
    <x v="0"/>
    <x v="0"/>
    <x v="0"/>
    <x v="0"/>
  </r>
  <r>
    <x v="6"/>
    <x v="0"/>
    <x v="78"/>
    <x v="7"/>
    <x v="0"/>
    <x v="0"/>
    <x v="6"/>
    <x v="37"/>
    <x v="63"/>
    <x v="17"/>
    <x v="65"/>
    <x v="72"/>
    <x v="6"/>
    <x v="12"/>
    <x v="38"/>
    <x v="0"/>
    <x v="6"/>
    <x v="1"/>
    <x v="0"/>
    <x v="0"/>
    <x v="0"/>
    <x v="0"/>
    <x v="0"/>
    <x v="58"/>
    <x v="37"/>
    <x v="0"/>
    <x v="0"/>
    <x v="0"/>
    <x v="0"/>
    <x v="0"/>
    <x v="0"/>
  </r>
  <r>
    <x v="6"/>
    <x v="0"/>
    <x v="78"/>
    <x v="7"/>
    <x v="0"/>
    <x v="0"/>
    <x v="5"/>
    <x v="37"/>
    <x v="63"/>
    <x v="18"/>
    <x v="71"/>
    <x v="80"/>
    <x v="5"/>
    <x v="14"/>
    <x v="44"/>
    <x v="0"/>
    <x v="5"/>
    <x v="1"/>
    <x v="0"/>
    <x v="0"/>
    <x v="0"/>
    <x v="0"/>
    <x v="0"/>
    <x v="48"/>
    <x v="37"/>
    <x v="0"/>
    <x v="0"/>
    <x v="0"/>
    <x v="0"/>
    <x v="0"/>
    <x v="0"/>
  </r>
  <r>
    <x v="6"/>
    <x v="0"/>
    <x v="78"/>
    <x v="7"/>
    <x v="0"/>
    <x v="0"/>
    <x v="4"/>
    <x v="37"/>
    <x v="63"/>
    <x v="22"/>
    <x v="72"/>
    <x v="82"/>
    <x v="4"/>
    <x v="17"/>
    <x v="46"/>
    <x v="0"/>
    <x v="4"/>
    <x v="1"/>
    <x v="0"/>
    <x v="0"/>
    <x v="0"/>
    <x v="0"/>
    <x v="0"/>
    <x v="38"/>
    <x v="37"/>
    <x v="0"/>
    <x v="0"/>
    <x v="0"/>
    <x v="0"/>
    <x v="0"/>
    <x v="0"/>
  </r>
  <r>
    <x v="6"/>
    <x v="0"/>
    <x v="78"/>
    <x v="7"/>
    <x v="0"/>
    <x v="0"/>
    <x v="3"/>
    <x v="37"/>
    <x v="63"/>
    <x v="23"/>
    <x v="69"/>
    <x v="79"/>
    <x v="3"/>
    <x v="16"/>
    <x v="45"/>
    <x v="0"/>
    <x v="3"/>
    <x v="1"/>
    <x v="0"/>
    <x v="0"/>
    <x v="0"/>
    <x v="0"/>
    <x v="0"/>
    <x v="28"/>
    <x v="37"/>
    <x v="0"/>
    <x v="0"/>
    <x v="0"/>
    <x v="0"/>
    <x v="0"/>
    <x v="0"/>
  </r>
  <r>
    <x v="6"/>
    <x v="0"/>
    <x v="78"/>
    <x v="7"/>
    <x v="0"/>
    <x v="0"/>
    <x v="2"/>
    <x v="37"/>
    <x v="63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6"/>
    <x v="0"/>
    <x v="79"/>
    <x v="7"/>
    <x v="0"/>
    <x v="1"/>
    <x v="1"/>
    <x v="9"/>
    <x v="36"/>
    <x v="20"/>
    <x v="52"/>
    <x v="67"/>
    <x v="1"/>
    <x v="13"/>
    <x v="23"/>
    <x v="9"/>
    <x v="1"/>
    <x v="0"/>
    <x v="0"/>
    <x v="0"/>
    <x v="0"/>
    <x v="0"/>
    <x v="0"/>
    <x v="10"/>
    <x v="9"/>
    <x v="0"/>
    <x v="0"/>
    <x v="0"/>
    <x v="0"/>
    <x v="0"/>
    <x v="0"/>
  </r>
  <r>
    <x v="6"/>
    <x v="0"/>
    <x v="79"/>
    <x v="7"/>
    <x v="0"/>
    <x v="1"/>
    <x v="0"/>
    <x v="9"/>
    <x v="36"/>
    <x v="19"/>
    <x v="41"/>
    <x v="60"/>
    <x v="0"/>
    <x v="6"/>
    <x v="6"/>
    <x v="9"/>
    <x v="0"/>
    <x v="0"/>
    <x v="0"/>
    <x v="0"/>
    <x v="0"/>
    <x v="0"/>
    <x v="0"/>
    <x v="4"/>
    <x v="9"/>
    <x v="0"/>
    <x v="0"/>
    <x v="0"/>
    <x v="0"/>
    <x v="0"/>
    <x v="0"/>
  </r>
  <r>
    <x v="6"/>
    <x v="0"/>
    <x v="80"/>
    <x v="7"/>
    <x v="0"/>
    <x v="1"/>
    <x v="1"/>
    <x v="37"/>
    <x v="26"/>
    <x v="20"/>
    <x v="52"/>
    <x v="67"/>
    <x v="1"/>
    <x v="13"/>
    <x v="23"/>
    <x v="9"/>
    <x v="1"/>
    <x v="0"/>
    <x v="0"/>
    <x v="0"/>
    <x v="0"/>
    <x v="0"/>
    <x v="0"/>
    <x v="10"/>
    <x v="37"/>
    <x v="0"/>
    <x v="0"/>
    <x v="0"/>
    <x v="0"/>
    <x v="0"/>
    <x v="0"/>
  </r>
  <r>
    <x v="6"/>
    <x v="0"/>
    <x v="80"/>
    <x v="7"/>
    <x v="0"/>
    <x v="1"/>
    <x v="0"/>
    <x v="37"/>
    <x v="26"/>
    <x v="19"/>
    <x v="41"/>
    <x v="60"/>
    <x v="0"/>
    <x v="6"/>
    <x v="6"/>
    <x v="9"/>
    <x v="0"/>
    <x v="0"/>
    <x v="0"/>
    <x v="0"/>
    <x v="0"/>
    <x v="0"/>
    <x v="0"/>
    <x v="4"/>
    <x v="37"/>
    <x v="0"/>
    <x v="0"/>
    <x v="0"/>
    <x v="0"/>
    <x v="0"/>
    <x v="0"/>
  </r>
  <r>
    <x v="6"/>
    <x v="0"/>
    <x v="81"/>
    <x v="7"/>
    <x v="0"/>
    <x v="0"/>
    <x v="6"/>
    <x v="9"/>
    <x v="64"/>
    <x v="17"/>
    <x v="65"/>
    <x v="72"/>
    <x v="6"/>
    <x v="12"/>
    <x v="38"/>
    <x v="0"/>
    <x v="6"/>
    <x v="1"/>
    <x v="0"/>
    <x v="0"/>
    <x v="0"/>
    <x v="0"/>
    <x v="0"/>
    <x v="58"/>
    <x v="9"/>
    <x v="0"/>
    <x v="0"/>
    <x v="0"/>
    <x v="0"/>
    <x v="0"/>
    <x v="0"/>
  </r>
  <r>
    <x v="6"/>
    <x v="0"/>
    <x v="81"/>
    <x v="7"/>
    <x v="0"/>
    <x v="0"/>
    <x v="5"/>
    <x v="9"/>
    <x v="64"/>
    <x v="18"/>
    <x v="71"/>
    <x v="80"/>
    <x v="5"/>
    <x v="14"/>
    <x v="44"/>
    <x v="0"/>
    <x v="5"/>
    <x v="1"/>
    <x v="0"/>
    <x v="0"/>
    <x v="0"/>
    <x v="0"/>
    <x v="0"/>
    <x v="48"/>
    <x v="9"/>
    <x v="0"/>
    <x v="0"/>
    <x v="0"/>
    <x v="0"/>
    <x v="0"/>
    <x v="0"/>
  </r>
  <r>
    <x v="6"/>
    <x v="0"/>
    <x v="81"/>
    <x v="7"/>
    <x v="0"/>
    <x v="0"/>
    <x v="4"/>
    <x v="9"/>
    <x v="64"/>
    <x v="22"/>
    <x v="72"/>
    <x v="82"/>
    <x v="4"/>
    <x v="17"/>
    <x v="46"/>
    <x v="0"/>
    <x v="4"/>
    <x v="1"/>
    <x v="0"/>
    <x v="0"/>
    <x v="0"/>
    <x v="0"/>
    <x v="0"/>
    <x v="38"/>
    <x v="9"/>
    <x v="0"/>
    <x v="0"/>
    <x v="0"/>
    <x v="0"/>
    <x v="0"/>
    <x v="0"/>
  </r>
  <r>
    <x v="6"/>
    <x v="0"/>
    <x v="81"/>
    <x v="7"/>
    <x v="0"/>
    <x v="0"/>
    <x v="3"/>
    <x v="9"/>
    <x v="64"/>
    <x v="23"/>
    <x v="69"/>
    <x v="79"/>
    <x v="3"/>
    <x v="16"/>
    <x v="45"/>
    <x v="0"/>
    <x v="3"/>
    <x v="1"/>
    <x v="0"/>
    <x v="0"/>
    <x v="0"/>
    <x v="0"/>
    <x v="0"/>
    <x v="28"/>
    <x v="9"/>
    <x v="0"/>
    <x v="0"/>
    <x v="0"/>
    <x v="0"/>
    <x v="0"/>
    <x v="0"/>
  </r>
  <r>
    <x v="6"/>
    <x v="0"/>
    <x v="81"/>
    <x v="7"/>
    <x v="0"/>
    <x v="0"/>
    <x v="2"/>
    <x v="9"/>
    <x v="64"/>
    <x v="21"/>
    <x v="61"/>
    <x v="75"/>
    <x v="2"/>
    <x v="15"/>
    <x v="41"/>
    <x v="3"/>
    <x v="2"/>
    <x v="1"/>
    <x v="0"/>
    <x v="0"/>
    <x v="0"/>
    <x v="0"/>
    <x v="0"/>
    <x v="18"/>
    <x v="9"/>
    <x v="0"/>
    <x v="0"/>
    <x v="0"/>
    <x v="0"/>
    <x v="0"/>
    <x v="0"/>
  </r>
  <r>
    <x v="17"/>
    <x v="0"/>
    <x v="82"/>
    <x v="7"/>
    <x v="0"/>
    <x v="1"/>
    <x v="6"/>
    <x v="30"/>
    <x v="36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17"/>
    <x v="0"/>
    <x v="83"/>
    <x v="7"/>
    <x v="0"/>
    <x v="0"/>
    <x v="6"/>
    <x v="30"/>
    <x v="55"/>
    <x v="17"/>
    <x v="65"/>
    <x v="72"/>
    <x v="6"/>
    <x v="12"/>
    <x v="38"/>
    <x v="0"/>
    <x v="6"/>
    <x v="1"/>
    <x v="0"/>
    <x v="0"/>
    <x v="0"/>
    <x v="0"/>
    <x v="0"/>
    <x v="58"/>
    <x v="30"/>
    <x v="0"/>
    <x v="0"/>
    <x v="0"/>
    <x v="0"/>
    <x v="0"/>
    <x v="0"/>
  </r>
  <r>
    <x v="17"/>
    <x v="0"/>
    <x v="83"/>
    <x v="7"/>
    <x v="0"/>
    <x v="0"/>
    <x v="5"/>
    <x v="30"/>
    <x v="55"/>
    <x v="18"/>
    <x v="71"/>
    <x v="80"/>
    <x v="5"/>
    <x v="14"/>
    <x v="44"/>
    <x v="0"/>
    <x v="5"/>
    <x v="1"/>
    <x v="0"/>
    <x v="0"/>
    <x v="0"/>
    <x v="0"/>
    <x v="0"/>
    <x v="48"/>
    <x v="30"/>
    <x v="0"/>
    <x v="0"/>
    <x v="0"/>
    <x v="0"/>
    <x v="0"/>
    <x v="0"/>
  </r>
  <r>
    <x v="17"/>
    <x v="0"/>
    <x v="83"/>
    <x v="7"/>
    <x v="0"/>
    <x v="0"/>
    <x v="4"/>
    <x v="30"/>
    <x v="55"/>
    <x v="22"/>
    <x v="72"/>
    <x v="82"/>
    <x v="4"/>
    <x v="17"/>
    <x v="46"/>
    <x v="0"/>
    <x v="4"/>
    <x v="1"/>
    <x v="0"/>
    <x v="0"/>
    <x v="0"/>
    <x v="0"/>
    <x v="0"/>
    <x v="38"/>
    <x v="30"/>
    <x v="0"/>
    <x v="0"/>
    <x v="0"/>
    <x v="0"/>
    <x v="0"/>
    <x v="0"/>
  </r>
  <r>
    <x v="17"/>
    <x v="0"/>
    <x v="83"/>
    <x v="7"/>
    <x v="0"/>
    <x v="0"/>
    <x v="3"/>
    <x v="30"/>
    <x v="55"/>
    <x v="23"/>
    <x v="69"/>
    <x v="79"/>
    <x v="3"/>
    <x v="16"/>
    <x v="45"/>
    <x v="0"/>
    <x v="3"/>
    <x v="1"/>
    <x v="0"/>
    <x v="0"/>
    <x v="0"/>
    <x v="0"/>
    <x v="0"/>
    <x v="28"/>
    <x v="30"/>
    <x v="0"/>
    <x v="0"/>
    <x v="0"/>
    <x v="0"/>
    <x v="0"/>
    <x v="0"/>
  </r>
  <r>
    <x v="17"/>
    <x v="0"/>
    <x v="83"/>
    <x v="7"/>
    <x v="0"/>
    <x v="0"/>
    <x v="2"/>
    <x v="30"/>
    <x v="55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17"/>
    <x v="0"/>
    <x v="84"/>
    <x v="7"/>
    <x v="0"/>
    <x v="1"/>
    <x v="6"/>
    <x v="30"/>
    <x v="55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17"/>
    <x v="0"/>
    <x v="84"/>
    <x v="7"/>
    <x v="0"/>
    <x v="1"/>
    <x v="5"/>
    <x v="30"/>
    <x v="55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17"/>
    <x v="0"/>
    <x v="84"/>
    <x v="7"/>
    <x v="0"/>
    <x v="1"/>
    <x v="4"/>
    <x v="30"/>
    <x v="55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17"/>
    <x v="0"/>
    <x v="84"/>
    <x v="7"/>
    <x v="0"/>
    <x v="1"/>
    <x v="3"/>
    <x v="30"/>
    <x v="55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17"/>
    <x v="0"/>
    <x v="84"/>
    <x v="7"/>
    <x v="0"/>
    <x v="1"/>
    <x v="2"/>
    <x v="30"/>
    <x v="55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85"/>
    <x v="7"/>
    <x v="0"/>
    <x v="0"/>
    <x v="2"/>
    <x v="2"/>
    <x v="53"/>
    <x v="21"/>
    <x v="61"/>
    <x v="75"/>
    <x v="2"/>
    <x v="15"/>
    <x v="41"/>
    <x v="3"/>
    <x v="2"/>
    <x v="1"/>
    <x v="0"/>
    <x v="0"/>
    <x v="0"/>
    <x v="0"/>
    <x v="0"/>
    <x v="18"/>
    <x v="2"/>
    <x v="0"/>
    <x v="0"/>
    <x v="0"/>
    <x v="0"/>
    <x v="0"/>
    <x v="0"/>
  </r>
  <r>
    <x v="12"/>
    <x v="1"/>
    <x v="86"/>
    <x v="7"/>
    <x v="0"/>
    <x v="0"/>
    <x v="2"/>
    <x v="37"/>
    <x v="53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6"/>
    <x v="0"/>
    <x v="87"/>
    <x v="7"/>
    <x v="0"/>
    <x v="0"/>
    <x v="7"/>
    <x v="9"/>
    <x v="40"/>
    <x v="14"/>
    <x v="56"/>
    <x v="30"/>
    <x v="7"/>
    <x v="11"/>
    <x v="11"/>
    <x v="6"/>
    <x v="7"/>
    <x v="1"/>
    <x v="0"/>
    <x v="0"/>
    <x v="0"/>
    <x v="0"/>
    <x v="0"/>
    <x v="63"/>
    <x v="9"/>
    <x v="0"/>
    <x v="0"/>
    <x v="0"/>
    <x v="0"/>
    <x v="0"/>
    <x v="0"/>
  </r>
  <r>
    <x v="9"/>
    <x v="0"/>
    <x v="88"/>
    <x v="7"/>
    <x v="0"/>
    <x v="0"/>
    <x v="7"/>
    <x v="1"/>
    <x v="40"/>
    <x v="14"/>
    <x v="56"/>
    <x v="30"/>
    <x v="7"/>
    <x v="11"/>
    <x v="11"/>
    <x v="6"/>
    <x v="7"/>
    <x v="1"/>
    <x v="0"/>
    <x v="0"/>
    <x v="0"/>
    <x v="0"/>
    <x v="0"/>
    <x v="63"/>
    <x v="1"/>
    <x v="0"/>
    <x v="0"/>
    <x v="0"/>
    <x v="0"/>
    <x v="0"/>
    <x v="0"/>
  </r>
  <r>
    <x v="4"/>
    <x v="0"/>
    <x v="89"/>
    <x v="7"/>
    <x v="0"/>
    <x v="1"/>
    <x v="6"/>
    <x v="36"/>
    <x v="41"/>
    <x v="17"/>
    <x v="65"/>
    <x v="72"/>
    <x v="6"/>
    <x v="12"/>
    <x v="38"/>
    <x v="0"/>
    <x v="6"/>
    <x v="0"/>
    <x v="0"/>
    <x v="0"/>
    <x v="0"/>
    <x v="0"/>
    <x v="0"/>
    <x v="58"/>
    <x v="36"/>
    <x v="0"/>
    <x v="0"/>
    <x v="0"/>
    <x v="0"/>
    <x v="0"/>
    <x v="0"/>
  </r>
  <r>
    <x v="4"/>
    <x v="0"/>
    <x v="89"/>
    <x v="7"/>
    <x v="0"/>
    <x v="1"/>
    <x v="5"/>
    <x v="34"/>
    <x v="41"/>
    <x v="18"/>
    <x v="71"/>
    <x v="80"/>
    <x v="5"/>
    <x v="14"/>
    <x v="44"/>
    <x v="0"/>
    <x v="5"/>
    <x v="0"/>
    <x v="0"/>
    <x v="0"/>
    <x v="0"/>
    <x v="0"/>
    <x v="0"/>
    <x v="48"/>
    <x v="34"/>
    <x v="0"/>
    <x v="0"/>
    <x v="0"/>
    <x v="0"/>
    <x v="0"/>
    <x v="0"/>
  </r>
  <r>
    <x v="4"/>
    <x v="0"/>
    <x v="89"/>
    <x v="7"/>
    <x v="0"/>
    <x v="1"/>
    <x v="4"/>
    <x v="36"/>
    <x v="41"/>
    <x v="22"/>
    <x v="72"/>
    <x v="82"/>
    <x v="4"/>
    <x v="17"/>
    <x v="46"/>
    <x v="0"/>
    <x v="4"/>
    <x v="0"/>
    <x v="0"/>
    <x v="0"/>
    <x v="0"/>
    <x v="0"/>
    <x v="0"/>
    <x v="38"/>
    <x v="36"/>
    <x v="0"/>
    <x v="0"/>
    <x v="0"/>
    <x v="0"/>
    <x v="0"/>
    <x v="0"/>
  </r>
  <r>
    <x v="4"/>
    <x v="0"/>
    <x v="89"/>
    <x v="7"/>
    <x v="0"/>
    <x v="1"/>
    <x v="3"/>
    <x v="36"/>
    <x v="41"/>
    <x v="23"/>
    <x v="69"/>
    <x v="79"/>
    <x v="3"/>
    <x v="16"/>
    <x v="45"/>
    <x v="0"/>
    <x v="3"/>
    <x v="0"/>
    <x v="0"/>
    <x v="0"/>
    <x v="0"/>
    <x v="0"/>
    <x v="0"/>
    <x v="28"/>
    <x v="36"/>
    <x v="0"/>
    <x v="0"/>
    <x v="0"/>
    <x v="0"/>
    <x v="0"/>
    <x v="0"/>
  </r>
  <r>
    <x v="4"/>
    <x v="0"/>
    <x v="89"/>
    <x v="7"/>
    <x v="0"/>
    <x v="1"/>
    <x v="2"/>
    <x v="35"/>
    <x v="41"/>
    <x v="21"/>
    <x v="61"/>
    <x v="75"/>
    <x v="2"/>
    <x v="15"/>
    <x v="41"/>
    <x v="3"/>
    <x v="2"/>
    <x v="0"/>
    <x v="0"/>
    <x v="0"/>
    <x v="0"/>
    <x v="0"/>
    <x v="0"/>
    <x v="18"/>
    <x v="35"/>
    <x v="0"/>
    <x v="0"/>
    <x v="0"/>
    <x v="0"/>
    <x v="0"/>
    <x v="0"/>
  </r>
  <r>
    <x v="6"/>
    <x v="0"/>
    <x v="90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6"/>
    <x v="0"/>
    <x v="91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6"/>
    <x v="0"/>
    <x v="92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5"/>
    <x v="0"/>
    <x v="93"/>
    <x v="7"/>
    <x v="0"/>
    <x v="0"/>
    <x v="6"/>
    <x v="15"/>
    <x v="58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5"/>
    <x v="0"/>
    <x v="93"/>
    <x v="7"/>
    <x v="0"/>
    <x v="0"/>
    <x v="5"/>
    <x v="17"/>
    <x v="58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5"/>
    <x v="0"/>
    <x v="93"/>
    <x v="7"/>
    <x v="0"/>
    <x v="0"/>
    <x v="4"/>
    <x v="15"/>
    <x v="58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5"/>
    <x v="0"/>
    <x v="93"/>
    <x v="7"/>
    <x v="0"/>
    <x v="0"/>
    <x v="3"/>
    <x v="15"/>
    <x v="58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5"/>
    <x v="0"/>
    <x v="93"/>
    <x v="7"/>
    <x v="0"/>
    <x v="0"/>
    <x v="2"/>
    <x v="16"/>
    <x v="58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5"/>
    <x v="0"/>
    <x v="94"/>
    <x v="7"/>
    <x v="0"/>
    <x v="0"/>
    <x v="6"/>
    <x v="27"/>
    <x v="63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5"/>
    <x v="0"/>
    <x v="94"/>
    <x v="7"/>
    <x v="0"/>
    <x v="0"/>
    <x v="5"/>
    <x v="25"/>
    <x v="63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5"/>
    <x v="0"/>
    <x v="94"/>
    <x v="7"/>
    <x v="0"/>
    <x v="0"/>
    <x v="4"/>
    <x v="27"/>
    <x v="63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5"/>
    <x v="0"/>
    <x v="94"/>
    <x v="7"/>
    <x v="0"/>
    <x v="0"/>
    <x v="3"/>
    <x v="27"/>
    <x v="63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5"/>
    <x v="0"/>
    <x v="94"/>
    <x v="7"/>
    <x v="0"/>
    <x v="0"/>
    <x v="2"/>
    <x v="26"/>
    <x v="63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16"/>
    <x v="0"/>
    <x v="95"/>
    <x v="7"/>
    <x v="0"/>
    <x v="1"/>
    <x v="6"/>
    <x v="30"/>
    <x v="33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16"/>
    <x v="0"/>
    <x v="95"/>
    <x v="7"/>
    <x v="0"/>
    <x v="1"/>
    <x v="5"/>
    <x v="30"/>
    <x v="33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16"/>
    <x v="0"/>
    <x v="95"/>
    <x v="7"/>
    <x v="0"/>
    <x v="1"/>
    <x v="4"/>
    <x v="30"/>
    <x v="33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16"/>
    <x v="0"/>
    <x v="95"/>
    <x v="7"/>
    <x v="0"/>
    <x v="1"/>
    <x v="3"/>
    <x v="30"/>
    <x v="33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16"/>
    <x v="0"/>
    <x v="95"/>
    <x v="7"/>
    <x v="0"/>
    <x v="1"/>
    <x v="2"/>
    <x v="30"/>
    <x v="33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96"/>
    <x v="7"/>
    <x v="0"/>
    <x v="0"/>
    <x v="6"/>
    <x v="14"/>
    <x v="57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97"/>
    <x v="7"/>
    <x v="0"/>
    <x v="0"/>
    <x v="6"/>
    <x v="37"/>
    <x v="63"/>
    <x v="17"/>
    <x v="65"/>
    <x v="72"/>
    <x v="6"/>
    <x v="12"/>
    <x v="38"/>
    <x v="0"/>
    <x v="6"/>
    <x v="1"/>
    <x v="0"/>
    <x v="0"/>
    <x v="0"/>
    <x v="0"/>
    <x v="0"/>
    <x v="58"/>
    <x v="37"/>
    <x v="0"/>
    <x v="0"/>
    <x v="0"/>
    <x v="0"/>
    <x v="0"/>
    <x v="0"/>
  </r>
  <r>
    <x v="6"/>
    <x v="0"/>
    <x v="98"/>
    <x v="7"/>
    <x v="0"/>
    <x v="1"/>
    <x v="6"/>
    <x v="9"/>
    <x v="57"/>
    <x v="17"/>
    <x v="65"/>
    <x v="72"/>
    <x v="6"/>
    <x v="12"/>
    <x v="38"/>
    <x v="0"/>
    <x v="6"/>
    <x v="0"/>
    <x v="0"/>
    <x v="0"/>
    <x v="0"/>
    <x v="0"/>
    <x v="0"/>
    <x v="58"/>
    <x v="9"/>
    <x v="0"/>
    <x v="0"/>
    <x v="0"/>
    <x v="0"/>
    <x v="0"/>
    <x v="0"/>
  </r>
  <r>
    <x v="6"/>
    <x v="0"/>
    <x v="98"/>
    <x v="7"/>
    <x v="0"/>
    <x v="1"/>
    <x v="5"/>
    <x v="9"/>
    <x v="57"/>
    <x v="18"/>
    <x v="71"/>
    <x v="80"/>
    <x v="5"/>
    <x v="14"/>
    <x v="44"/>
    <x v="0"/>
    <x v="5"/>
    <x v="0"/>
    <x v="0"/>
    <x v="0"/>
    <x v="0"/>
    <x v="0"/>
    <x v="0"/>
    <x v="48"/>
    <x v="9"/>
    <x v="0"/>
    <x v="0"/>
    <x v="0"/>
    <x v="0"/>
    <x v="0"/>
    <x v="0"/>
  </r>
  <r>
    <x v="6"/>
    <x v="0"/>
    <x v="98"/>
    <x v="7"/>
    <x v="0"/>
    <x v="1"/>
    <x v="4"/>
    <x v="9"/>
    <x v="57"/>
    <x v="22"/>
    <x v="72"/>
    <x v="82"/>
    <x v="4"/>
    <x v="17"/>
    <x v="46"/>
    <x v="0"/>
    <x v="4"/>
    <x v="0"/>
    <x v="0"/>
    <x v="0"/>
    <x v="0"/>
    <x v="0"/>
    <x v="0"/>
    <x v="38"/>
    <x v="9"/>
    <x v="0"/>
    <x v="0"/>
    <x v="0"/>
    <x v="0"/>
    <x v="0"/>
    <x v="0"/>
  </r>
  <r>
    <x v="6"/>
    <x v="0"/>
    <x v="99"/>
    <x v="7"/>
    <x v="0"/>
    <x v="1"/>
    <x v="6"/>
    <x v="37"/>
    <x v="46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6"/>
    <x v="0"/>
    <x v="99"/>
    <x v="7"/>
    <x v="0"/>
    <x v="1"/>
    <x v="5"/>
    <x v="37"/>
    <x v="46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6"/>
    <x v="0"/>
    <x v="99"/>
    <x v="7"/>
    <x v="0"/>
    <x v="1"/>
    <x v="4"/>
    <x v="37"/>
    <x v="46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6"/>
    <x v="0"/>
    <x v="100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6"/>
    <x v="0"/>
    <x v="101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4"/>
    <x v="0"/>
    <x v="102"/>
    <x v="7"/>
    <x v="0"/>
    <x v="1"/>
    <x v="1"/>
    <x v="43"/>
    <x v="33"/>
    <x v="20"/>
    <x v="52"/>
    <x v="67"/>
    <x v="1"/>
    <x v="13"/>
    <x v="23"/>
    <x v="9"/>
    <x v="1"/>
    <x v="0"/>
    <x v="0"/>
    <x v="0"/>
    <x v="0"/>
    <x v="0"/>
    <x v="0"/>
    <x v="10"/>
    <x v="43"/>
    <x v="0"/>
    <x v="0"/>
    <x v="0"/>
    <x v="0"/>
    <x v="0"/>
    <x v="0"/>
  </r>
  <r>
    <x v="6"/>
    <x v="0"/>
    <x v="103"/>
    <x v="7"/>
    <x v="0"/>
    <x v="1"/>
    <x v="2"/>
    <x v="14"/>
    <x v="33"/>
    <x v="21"/>
    <x v="61"/>
    <x v="75"/>
    <x v="2"/>
    <x v="15"/>
    <x v="41"/>
    <x v="3"/>
    <x v="2"/>
    <x v="0"/>
    <x v="0"/>
    <x v="0"/>
    <x v="0"/>
    <x v="0"/>
    <x v="0"/>
    <x v="18"/>
    <x v="14"/>
    <x v="0"/>
    <x v="0"/>
    <x v="0"/>
    <x v="0"/>
    <x v="0"/>
    <x v="0"/>
  </r>
  <r>
    <x v="16"/>
    <x v="0"/>
    <x v="104"/>
    <x v="7"/>
    <x v="0"/>
    <x v="1"/>
    <x v="2"/>
    <x v="30"/>
    <x v="33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105"/>
    <x v="7"/>
    <x v="0"/>
    <x v="0"/>
    <x v="1"/>
    <x v="11"/>
    <x v="40"/>
    <x v="20"/>
    <x v="52"/>
    <x v="67"/>
    <x v="1"/>
    <x v="13"/>
    <x v="23"/>
    <x v="9"/>
    <x v="1"/>
    <x v="1"/>
    <x v="0"/>
    <x v="0"/>
    <x v="0"/>
    <x v="0"/>
    <x v="0"/>
    <x v="10"/>
    <x v="11"/>
    <x v="0"/>
    <x v="0"/>
    <x v="0"/>
    <x v="0"/>
    <x v="0"/>
    <x v="0"/>
  </r>
  <r>
    <x v="6"/>
    <x v="0"/>
    <x v="106"/>
    <x v="7"/>
    <x v="0"/>
    <x v="0"/>
    <x v="6"/>
    <x v="14"/>
    <x v="67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106"/>
    <x v="7"/>
    <x v="0"/>
    <x v="0"/>
    <x v="5"/>
    <x v="14"/>
    <x v="67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06"/>
    <x v="7"/>
    <x v="0"/>
    <x v="0"/>
    <x v="4"/>
    <x v="14"/>
    <x v="67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06"/>
    <x v="7"/>
    <x v="0"/>
    <x v="0"/>
    <x v="3"/>
    <x v="14"/>
    <x v="67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06"/>
    <x v="7"/>
    <x v="0"/>
    <x v="0"/>
    <x v="2"/>
    <x v="14"/>
    <x v="67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6"/>
    <x v="0"/>
    <x v="107"/>
    <x v="7"/>
    <x v="0"/>
    <x v="1"/>
    <x v="7"/>
    <x v="9"/>
    <x v="33"/>
    <x v="14"/>
    <x v="56"/>
    <x v="30"/>
    <x v="7"/>
    <x v="11"/>
    <x v="11"/>
    <x v="6"/>
    <x v="7"/>
    <x v="0"/>
    <x v="0"/>
    <x v="0"/>
    <x v="0"/>
    <x v="0"/>
    <x v="0"/>
    <x v="63"/>
    <x v="9"/>
    <x v="0"/>
    <x v="0"/>
    <x v="0"/>
    <x v="0"/>
    <x v="0"/>
    <x v="0"/>
  </r>
  <r>
    <x v="6"/>
    <x v="0"/>
    <x v="108"/>
    <x v="7"/>
    <x v="0"/>
    <x v="0"/>
    <x v="7"/>
    <x v="9"/>
    <x v="40"/>
    <x v="14"/>
    <x v="56"/>
    <x v="30"/>
    <x v="7"/>
    <x v="11"/>
    <x v="11"/>
    <x v="6"/>
    <x v="7"/>
    <x v="1"/>
    <x v="0"/>
    <x v="0"/>
    <x v="0"/>
    <x v="0"/>
    <x v="0"/>
    <x v="63"/>
    <x v="9"/>
    <x v="0"/>
    <x v="0"/>
    <x v="0"/>
    <x v="0"/>
    <x v="0"/>
    <x v="0"/>
  </r>
  <r>
    <x v="6"/>
    <x v="0"/>
    <x v="109"/>
    <x v="7"/>
    <x v="0"/>
    <x v="0"/>
    <x v="6"/>
    <x v="14"/>
    <x v="56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109"/>
    <x v="7"/>
    <x v="0"/>
    <x v="0"/>
    <x v="5"/>
    <x v="14"/>
    <x v="56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09"/>
    <x v="7"/>
    <x v="0"/>
    <x v="0"/>
    <x v="4"/>
    <x v="14"/>
    <x v="56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09"/>
    <x v="7"/>
    <x v="0"/>
    <x v="0"/>
    <x v="3"/>
    <x v="14"/>
    <x v="56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09"/>
    <x v="7"/>
    <x v="0"/>
    <x v="0"/>
    <x v="2"/>
    <x v="14"/>
    <x v="56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6"/>
    <x v="0"/>
    <x v="110"/>
    <x v="7"/>
    <x v="0"/>
    <x v="1"/>
    <x v="6"/>
    <x v="14"/>
    <x v="56"/>
    <x v="17"/>
    <x v="65"/>
    <x v="72"/>
    <x v="6"/>
    <x v="12"/>
    <x v="38"/>
    <x v="0"/>
    <x v="6"/>
    <x v="0"/>
    <x v="0"/>
    <x v="0"/>
    <x v="0"/>
    <x v="0"/>
    <x v="0"/>
    <x v="58"/>
    <x v="14"/>
    <x v="0"/>
    <x v="0"/>
    <x v="0"/>
    <x v="0"/>
    <x v="0"/>
    <x v="0"/>
  </r>
  <r>
    <x v="6"/>
    <x v="0"/>
    <x v="110"/>
    <x v="7"/>
    <x v="0"/>
    <x v="1"/>
    <x v="5"/>
    <x v="14"/>
    <x v="56"/>
    <x v="18"/>
    <x v="71"/>
    <x v="80"/>
    <x v="5"/>
    <x v="14"/>
    <x v="44"/>
    <x v="0"/>
    <x v="5"/>
    <x v="0"/>
    <x v="0"/>
    <x v="0"/>
    <x v="0"/>
    <x v="0"/>
    <x v="0"/>
    <x v="48"/>
    <x v="14"/>
    <x v="0"/>
    <x v="0"/>
    <x v="0"/>
    <x v="0"/>
    <x v="0"/>
    <x v="0"/>
  </r>
  <r>
    <x v="6"/>
    <x v="0"/>
    <x v="110"/>
    <x v="7"/>
    <x v="0"/>
    <x v="1"/>
    <x v="4"/>
    <x v="14"/>
    <x v="56"/>
    <x v="22"/>
    <x v="72"/>
    <x v="82"/>
    <x v="4"/>
    <x v="17"/>
    <x v="46"/>
    <x v="0"/>
    <x v="4"/>
    <x v="0"/>
    <x v="0"/>
    <x v="0"/>
    <x v="0"/>
    <x v="0"/>
    <x v="0"/>
    <x v="38"/>
    <x v="14"/>
    <x v="0"/>
    <x v="0"/>
    <x v="0"/>
    <x v="0"/>
    <x v="0"/>
    <x v="0"/>
  </r>
  <r>
    <x v="6"/>
    <x v="0"/>
    <x v="110"/>
    <x v="7"/>
    <x v="0"/>
    <x v="1"/>
    <x v="3"/>
    <x v="14"/>
    <x v="56"/>
    <x v="23"/>
    <x v="69"/>
    <x v="79"/>
    <x v="3"/>
    <x v="16"/>
    <x v="45"/>
    <x v="0"/>
    <x v="3"/>
    <x v="0"/>
    <x v="0"/>
    <x v="0"/>
    <x v="0"/>
    <x v="0"/>
    <x v="0"/>
    <x v="28"/>
    <x v="14"/>
    <x v="0"/>
    <x v="0"/>
    <x v="0"/>
    <x v="0"/>
    <x v="0"/>
    <x v="0"/>
  </r>
  <r>
    <x v="6"/>
    <x v="0"/>
    <x v="110"/>
    <x v="7"/>
    <x v="0"/>
    <x v="1"/>
    <x v="2"/>
    <x v="14"/>
    <x v="56"/>
    <x v="21"/>
    <x v="61"/>
    <x v="75"/>
    <x v="2"/>
    <x v="15"/>
    <x v="41"/>
    <x v="3"/>
    <x v="2"/>
    <x v="0"/>
    <x v="0"/>
    <x v="0"/>
    <x v="0"/>
    <x v="0"/>
    <x v="0"/>
    <x v="18"/>
    <x v="14"/>
    <x v="0"/>
    <x v="0"/>
    <x v="0"/>
    <x v="0"/>
    <x v="0"/>
    <x v="0"/>
  </r>
  <r>
    <x v="6"/>
    <x v="0"/>
    <x v="111"/>
    <x v="7"/>
    <x v="0"/>
    <x v="0"/>
    <x v="5"/>
    <x v="14"/>
    <x v="63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11"/>
    <x v="7"/>
    <x v="0"/>
    <x v="0"/>
    <x v="4"/>
    <x v="14"/>
    <x v="63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11"/>
    <x v="7"/>
    <x v="0"/>
    <x v="0"/>
    <x v="3"/>
    <x v="14"/>
    <x v="63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12"/>
    <x v="7"/>
    <x v="0"/>
    <x v="1"/>
    <x v="6"/>
    <x v="30"/>
    <x v="41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6"/>
    <x v="0"/>
    <x v="112"/>
    <x v="7"/>
    <x v="0"/>
    <x v="1"/>
    <x v="5"/>
    <x v="30"/>
    <x v="41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6"/>
    <x v="0"/>
    <x v="112"/>
    <x v="7"/>
    <x v="0"/>
    <x v="1"/>
    <x v="4"/>
    <x v="30"/>
    <x v="41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6"/>
    <x v="0"/>
    <x v="112"/>
    <x v="7"/>
    <x v="0"/>
    <x v="1"/>
    <x v="3"/>
    <x v="30"/>
    <x v="41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6"/>
    <x v="0"/>
    <x v="112"/>
    <x v="7"/>
    <x v="0"/>
    <x v="1"/>
    <x v="2"/>
    <x v="30"/>
    <x v="41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113"/>
    <x v="7"/>
    <x v="0"/>
    <x v="0"/>
    <x v="18"/>
    <x v="30"/>
    <x v="50"/>
    <x v="5"/>
    <x v="63"/>
    <x v="38"/>
    <x v="18"/>
    <x v="4"/>
    <x v="10"/>
    <x v="5"/>
    <x v="18"/>
    <x v="1"/>
    <x v="0"/>
    <x v="0"/>
    <x v="0"/>
    <x v="0"/>
    <x v="0"/>
    <x v="80"/>
    <x v="30"/>
    <x v="0"/>
    <x v="0"/>
    <x v="0"/>
    <x v="0"/>
    <x v="0"/>
    <x v="0"/>
  </r>
  <r>
    <x v="6"/>
    <x v="0"/>
    <x v="113"/>
    <x v="7"/>
    <x v="0"/>
    <x v="0"/>
    <x v="17"/>
    <x v="30"/>
    <x v="50"/>
    <x v="6"/>
    <x v="68"/>
    <x v="73"/>
    <x v="17"/>
    <x v="5"/>
    <x v="12"/>
    <x v="5"/>
    <x v="17"/>
    <x v="1"/>
    <x v="0"/>
    <x v="0"/>
    <x v="0"/>
    <x v="0"/>
    <x v="0"/>
    <x v="79"/>
    <x v="30"/>
    <x v="0"/>
    <x v="0"/>
    <x v="0"/>
    <x v="0"/>
    <x v="0"/>
    <x v="0"/>
  </r>
  <r>
    <x v="6"/>
    <x v="0"/>
    <x v="113"/>
    <x v="7"/>
    <x v="0"/>
    <x v="0"/>
    <x v="16"/>
    <x v="30"/>
    <x v="50"/>
    <x v="15"/>
    <x v="68"/>
    <x v="74"/>
    <x v="16"/>
    <x v="10"/>
    <x v="15"/>
    <x v="5"/>
    <x v="16"/>
    <x v="1"/>
    <x v="0"/>
    <x v="0"/>
    <x v="0"/>
    <x v="0"/>
    <x v="0"/>
    <x v="78"/>
    <x v="30"/>
    <x v="0"/>
    <x v="0"/>
    <x v="0"/>
    <x v="0"/>
    <x v="0"/>
    <x v="0"/>
  </r>
  <r>
    <x v="6"/>
    <x v="0"/>
    <x v="113"/>
    <x v="7"/>
    <x v="0"/>
    <x v="0"/>
    <x v="15"/>
    <x v="30"/>
    <x v="50"/>
    <x v="16"/>
    <x v="66"/>
    <x v="71"/>
    <x v="15"/>
    <x v="9"/>
    <x v="14"/>
    <x v="5"/>
    <x v="15"/>
    <x v="1"/>
    <x v="0"/>
    <x v="0"/>
    <x v="0"/>
    <x v="0"/>
    <x v="0"/>
    <x v="77"/>
    <x v="30"/>
    <x v="0"/>
    <x v="0"/>
    <x v="0"/>
    <x v="0"/>
    <x v="0"/>
    <x v="0"/>
  </r>
  <r>
    <x v="6"/>
    <x v="0"/>
    <x v="113"/>
    <x v="7"/>
    <x v="0"/>
    <x v="0"/>
    <x v="14"/>
    <x v="30"/>
    <x v="50"/>
    <x v="13"/>
    <x v="62"/>
    <x v="44"/>
    <x v="14"/>
    <x v="7"/>
    <x v="13"/>
    <x v="5"/>
    <x v="14"/>
    <x v="1"/>
    <x v="0"/>
    <x v="0"/>
    <x v="0"/>
    <x v="0"/>
    <x v="0"/>
    <x v="76"/>
    <x v="30"/>
    <x v="0"/>
    <x v="0"/>
    <x v="0"/>
    <x v="0"/>
    <x v="0"/>
    <x v="0"/>
  </r>
  <r>
    <x v="6"/>
    <x v="0"/>
    <x v="114"/>
    <x v="7"/>
    <x v="0"/>
    <x v="1"/>
    <x v="18"/>
    <x v="30"/>
    <x v="50"/>
    <x v="5"/>
    <x v="63"/>
    <x v="38"/>
    <x v="18"/>
    <x v="4"/>
    <x v="10"/>
    <x v="5"/>
    <x v="18"/>
    <x v="0"/>
    <x v="0"/>
    <x v="0"/>
    <x v="0"/>
    <x v="0"/>
    <x v="0"/>
    <x v="80"/>
    <x v="30"/>
    <x v="0"/>
    <x v="0"/>
    <x v="0"/>
    <x v="0"/>
    <x v="0"/>
    <x v="0"/>
  </r>
  <r>
    <x v="6"/>
    <x v="0"/>
    <x v="114"/>
    <x v="7"/>
    <x v="0"/>
    <x v="1"/>
    <x v="17"/>
    <x v="30"/>
    <x v="50"/>
    <x v="6"/>
    <x v="68"/>
    <x v="73"/>
    <x v="17"/>
    <x v="5"/>
    <x v="12"/>
    <x v="5"/>
    <x v="17"/>
    <x v="0"/>
    <x v="0"/>
    <x v="0"/>
    <x v="0"/>
    <x v="0"/>
    <x v="0"/>
    <x v="79"/>
    <x v="30"/>
    <x v="0"/>
    <x v="0"/>
    <x v="0"/>
    <x v="0"/>
    <x v="0"/>
    <x v="0"/>
  </r>
  <r>
    <x v="6"/>
    <x v="0"/>
    <x v="114"/>
    <x v="7"/>
    <x v="0"/>
    <x v="1"/>
    <x v="16"/>
    <x v="30"/>
    <x v="50"/>
    <x v="15"/>
    <x v="68"/>
    <x v="74"/>
    <x v="16"/>
    <x v="10"/>
    <x v="15"/>
    <x v="5"/>
    <x v="16"/>
    <x v="0"/>
    <x v="0"/>
    <x v="0"/>
    <x v="0"/>
    <x v="0"/>
    <x v="0"/>
    <x v="78"/>
    <x v="30"/>
    <x v="0"/>
    <x v="0"/>
    <x v="0"/>
    <x v="0"/>
    <x v="0"/>
    <x v="0"/>
  </r>
  <r>
    <x v="6"/>
    <x v="0"/>
    <x v="114"/>
    <x v="7"/>
    <x v="0"/>
    <x v="1"/>
    <x v="15"/>
    <x v="30"/>
    <x v="50"/>
    <x v="16"/>
    <x v="66"/>
    <x v="71"/>
    <x v="15"/>
    <x v="9"/>
    <x v="14"/>
    <x v="5"/>
    <x v="15"/>
    <x v="0"/>
    <x v="0"/>
    <x v="0"/>
    <x v="0"/>
    <x v="0"/>
    <x v="0"/>
    <x v="77"/>
    <x v="30"/>
    <x v="0"/>
    <x v="0"/>
    <x v="0"/>
    <x v="0"/>
    <x v="0"/>
    <x v="0"/>
  </r>
  <r>
    <x v="6"/>
    <x v="0"/>
    <x v="114"/>
    <x v="7"/>
    <x v="0"/>
    <x v="1"/>
    <x v="14"/>
    <x v="30"/>
    <x v="50"/>
    <x v="13"/>
    <x v="62"/>
    <x v="44"/>
    <x v="14"/>
    <x v="7"/>
    <x v="13"/>
    <x v="5"/>
    <x v="14"/>
    <x v="0"/>
    <x v="0"/>
    <x v="0"/>
    <x v="0"/>
    <x v="0"/>
    <x v="0"/>
    <x v="76"/>
    <x v="30"/>
    <x v="0"/>
    <x v="0"/>
    <x v="0"/>
    <x v="0"/>
    <x v="0"/>
    <x v="0"/>
  </r>
  <r>
    <x v="6"/>
    <x v="0"/>
    <x v="115"/>
    <x v="7"/>
    <x v="0"/>
    <x v="0"/>
    <x v="6"/>
    <x v="14"/>
    <x v="63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115"/>
    <x v="7"/>
    <x v="0"/>
    <x v="0"/>
    <x v="5"/>
    <x v="14"/>
    <x v="63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15"/>
    <x v="7"/>
    <x v="0"/>
    <x v="0"/>
    <x v="4"/>
    <x v="14"/>
    <x v="63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15"/>
    <x v="7"/>
    <x v="0"/>
    <x v="0"/>
    <x v="3"/>
    <x v="14"/>
    <x v="63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15"/>
    <x v="7"/>
    <x v="0"/>
    <x v="0"/>
    <x v="2"/>
    <x v="14"/>
    <x v="63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8"/>
    <x v="0"/>
    <x v="116"/>
    <x v="7"/>
    <x v="0"/>
    <x v="1"/>
    <x v="6"/>
    <x v="30"/>
    <x v="40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8"/>
    <x v="0"/>
    <x v="116"/>
    <x v="7"/>
    <x v="0"/>
    <x v="1"/>
    <x v="5"/>
    <x v="30"/>
    <x v="40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8"/>
    <x v="0"/>
    <x v="116"/>
    <x v="7"/>
    <x v="0"/>
    <x v="1"/>
    <x v="4"/>
    <x v="30"/>
    <x v="40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8"/>
    <x v="0"/>
    <x v="116"/>
    <x v="7"/>
    <x v="0"/>
    <x v="1"/>
    <x v="3"/>
    <x v="30"/>
    <x v="40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8"/>
    <x v="0"/>
    <x v="116"/>
    <x v="7"/>
    <x v="0"/>
    <x v="1"/>
    <x v="2"/>
    <x v="30"/>
    <x v="40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4"/>
    <x v="0"/>
    <x v="117"/>
    <x v="7"/>
    <x v="0"/>
    <x v="1"/>
    <x v="6"/>
    <x v="39"/>
    <x v="41"/>
    <x v="17"/>
    <x v="65"/>
    <x v="72"/>
    <x v="6"/>
    <x v="12"/>
    <x v="38"/>
    <x v="0"/>
    <x v="6"/>
    <x v="0"/>
    <x v="0"/>
    <x v="0"/>
    <x v="0"/>
    <x v="0"/>
    <x v="0"/>
    <x v="58"/>
    <x v="39"/>
    <x v="0"/>
    <x v="0"/>
    <x v="0"/>
    <x v="0"/>
    <x v="0"/>
    <x v="0"/>
  </r>
  <r>
    <x v="4"/>
    <x v="0"/>
    <x v="117"/>
    <x v="7"/>
    <x v="0"/>
    <x v="1"/>
    <x v="5"/>
    <x v="39"/>
    <x v="41"/>
    <x v="18"/>
    <x v="71"/>
    <x v="80"/>
    <x v="5"/>
    <x v="14"/>
    <x v="44"/>
    <x v="0"/>
    <x v="5"/>
    <x v="0"/>
    <x v="0"/>
    <x v="0"/>
    <x v="0"/>
    <x v="0"/>
    <x v="0"/>
    <x v="48"/>
    <x v="39"/>
    <x v="0"/>
    <x v="0"/>
    <x v="0"/>
    <x v="0"/>
    <x v="0"/>
    <x v="0"/>
  </r>
  <r>
    <x v="4"/>
    <x v="0"/>
    <x v="117"/>
    <x v="7"/>
    <x v="0"/>
    <x v="1"/>
    <x v="4"/>
    <x v="39"/>
    <x v="41"/>
    <x v="22"/>
    <x v="72"/>
    <x v="82"/>
    <x v="4"/>
    <x v="17"/>
    <x v="46"/>
    <x v="0"/>
    <x v="4"/>
    <x v="0"/>
    <x v="0"/>
    <x v="0"/>
    <x v="0"/>
    <x v="0"/>
    <x v="0"/>
    <x v="38"/>
    <x v="39"/>
    <x v="0"/>
    <x v="0"/>
    <x v="0"/>
    <x v="0"/>
    <x v="0"/>
    <x v="0"/>
  </r>
  <r>
    <x v="4"/>
    <x v="0"/>
    <x v="117"/>
    <x v="7"/>
    <x v="0"/>
    <x v="1"/>
    <x v="3"/>
    <x v="39"/>
    <x v="41"/>
    <x v="23"/>
    <x v="69"/>
    <x v="79"/>
    <x v="3"/>
    <x v="16"/>
    <x v="45"/>
    <x v="0"/>
    <x v="3"/>
    <x v="0"/>
    <x v="0"/>
    <x v="0"/>
    <x v="0"/>
    <x v="0"/>
    <x v="0"/>
    <x v="28"/>
    <x v="39"/>
    <x v="0"/>
    <x v="0"/>
    <x v="0"/>
    <x v="0"/>
    <x v="0"/>
    <x v="0"/>
  </r>
  <r>
    <x v="4"/>
    <x v="0"/>
    <x v="117"/>
    <x v="7"/>
    <x v="0"/>
    <x v="1"/>
    <x v="2"/>
    <x v="39"/>
    <x v="41"/>
    <x v="21"/>
    <x v="61"/>
    <x v="75"/>
    <x v="2"/>
    <x v="15"/>
    <x v="41"/>
    <x v="3"/>
    <x v="2"/>
    <x v="0"/>
    <x v="0"/>
    <x v="0"/>
    <x v="0"/>
    <x v="0"/>
    <x v="0"/>
    <x v="18"/>
    <x v="39"/>
    <x v="0"/>
    <x v="0"/>
    <x v="0"/>
    <x v="0"/>
    <x v="0"/>
    <x v="0"/>
  </r>
  <r>
    <x v="6"/>
    <x v="0"/>
    <x v="118"/>
    <x v="7"/>
    <x v="0"/>
    <x v="1"/>
    <x v="1"/>
    <x v="14"/>
    <x v="39"/>
    <x v="20"/>
    <x v="52"/>
    <x v="67"/>
    <x v="1"/>
    <x v="13"/>
    <x v="23"/>
    <x v="9"/>
    <x v="1"/>
    <x v="0"/>
    <x v="0"/>
    <x v="0"/>
    <x v="0"/>
    <x v="0"/>
    <x v="0"/>
    <x v="10"/>
    <x v="14"/>
    <x v="0"/>
    <x v="0"/>
    <x v="0"/>
    <x v="0"/>
    <x v="0"/>
    <x v="0"/>
  </r>
  <r>
    <x v="6"/>
    <x v="0"/>
    <x v="119"/>
    <x v="7"/>
    <x v="0"/>
    <x v="1"/>
    <x v="1"/>
    <x v="30"/>
    <x v="32"/>
    <x v="20"/>
    <x v="52"/>
    <x v="67"/>
    <x v="1"/>
    <x v="13"/>
    <x v="23"/>
    <x v="9"/>
    <x v="1"/>
    <x v="0"/>
    <x v="0"/>
    <x v="0"/>
    <x v="0"/>
    <x v="0"/>
    <x v="0"/>
    <x v="10"/>
    <x v="30"/>
    <x v="0"/>
    <x v="0"/>
    <x v="0"/>
    <x v="0"/>
    <x v="0"/>
    <x v="0"/>
  </r>
  <r>
    <x v="6"/>
    <x v="0"/>
    <x v="120"/>
    <x v="7"/>
    <x v="0"/>
    <x v="1"/>
    <x v="6"/>
    <x v="37"/>
    <x v="46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6"/>
    <x v="0"/>
    <x v="121"/>
    <x v="7"/>
    <x v="0"/>
    <x v="1"/>
    <x v="6"/>
    <x v="37"/>
    <x v="47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6"/>
    <x v="0"/>
    <x v="122"/>
    <x v="7"/>
    <x v="0"/>
    <x v="0"/>
    <x v="1"/>
    <x v="9"/>
    <x v="40"/>
    <x v="20"/>
    <x v="52"/>
    <x v="67"/>
    <x v="1"/>
    <x v="13"/>
    <x v="23"/>
    <x v="9"/>
    <x v="1"/>
    <x v="1"/>
    <x v="0"/>
    <x v="0"/>
    <x v="0"/>
    <x v="0"/>
    <x v="0"/>
    <x v="10"/>
    <x v="9"/>
    <x v="0"/>
    <x v="0"/>
    <x v="0"/>
    <x v="0"/>
    <x v="0"/>
    <x v="0"/>
  </r>
  <r>
    <x v="6"/>
    <x v="0"/>
    <x v="123"/>
    <x v="7"/>
    <x v="0"/>
    <x v="0"/>
    <x v="2"/>
    <x v="9"/>
    <x v="46"/>
    <x v="21"/>
    <x v="61"/>
    <x v="75"/>
    <x v="2"/>
    <x v="15"/>
    <x v="41"/>
    <x v="3"/>
    <x v="2"/>
    <x v="1"/>
    <x v="0"/>
    <x v="0"/>
    <x v="0"/>
    <x v="0"/>
    <x v="0"/>
    <x v="18"/>
    <x v="9"/>
    <x v="0"/>
    <x v="0"/>
    <x v="0"/>
    <x v="0"/>
    <x v="0"/>
    <x v="0"/>
  </r>
  <r>
    <x v="6"/>
    <x v="0"/>
    <x v="124"/>
    <x v="10"/>
    <x v="0"/>
    <x v="0"/>
    <x v="6"/>
    <x v="4"/>
    <x v="26"/>
    <x v="17"/>
    <x v="25"/>
    <x v="26"/>
    <x v="6"/>
    <x v="12"/>
    <x v="18"/>
    <x v="11"/>
    <x v="6"/>
    <x v="1"/>
    <x v="0"/>
    <x v="0"/>
    <x v="0"/>
    <x v="0"/>
    <x v="0"/>
    <x v="61"/>
    <x v="4"/>
    <x v="0"/>
    <x v="0"/>
    <x v="0"/>
    <x v="0"/>
    <x v="0"/>
    <x v="0"/>
  </r>
  <r>
    <x v="6"/>
    <x v="0"/>
    <x v="124"/>
    <x v="10"/>
    <x v="0"/>
    <x v="0"/>
    <x v="5"/>
    <x v="4"/>
    <x v="26"/>
    <x v="18"/>
    <x v="28"/>
    <x v="40"/>
    <x v="5"/>
    <x v="14"/>
    <x v="32"/>
    <x v="11"/>
    <x v="5"/>
    <x v="1"/>
    <x v="0"/>
    <x v="0"/>
    <x v="0"/>
    <x v="0"/>
    <x v="0"/>
    <x v="51"/>
    <x v="4"/>
    <x v="0"/>
    <x v="0"/>
    <x v="0"/>
    <x v="0"/>
    <x v="0"/>
    <x v="0"/>
  </r>
  <r>
    <x v="6"/>
    <x v="0"/>
    <x v="124"/>
    <x v="10"/>
    <x v="0"/>
    <x v="0"/>
    <x v="4"/>
    <x v="4"/>
    <x v="26"/>
    <x v="22"/>
    <x v="26"/>
    <x v="52"/>
    <x v="4"/>
    <x v="17"/>
    <x v="36"/>
    <x v="11"/>
    <x v="4"/>
    <x v="1"/>
    <x v="0"/>
    <x v="0"/>
    <x v="0"/>
    <x v="0"/>
    <x v="0"/>
    <x v="41"/>
    <x v="4"/>
    <x v="0"/>
    <x v="0"/>
    <x v="0"/>
    <x v="0"/>
    <x v="0"/>
    <x v="0"/>
  </r>
  <r>
    <x v="6"/>
    <x v="0"/>
    <x v="124"/>
    <x v="10"/>
    <x v="0"/>
    <x v="0"/>
    <x v="3"/>
    <x v="4"/>
    <x v="26"/>
    <x v="23"/>
    <x v="23"/>
    <x v="55"/>
    <x v="3"/>
    <x v="16"/>
    <x v="34"/>
    <x v="11"/>
    <x v="3"/>
    <x v="1"/>
    <x v="0"/>
    <x v="0"/>
    <x v="0"/>
    <x v="0"/>
    <x v="0"/>
    <x v="31"/>
    <x v="4"/>
    <x v="0"/>
    <x v="0"/>
    <x v="0"/>
    <x v="0"/>
    <x v="0"/>
    <x v="0"/>
  </r>
  <r>
    <x v="6"/>
    <x v="0"/>
    <x v="124"/>
    <x v="10"/>
    <x v="0"/>
    <x v="0"/>
    <x v="2"/>
    <x v="4"/>
    <x v="26"/>
    <x v="21"/>
    <x v="21"/>
    <x v="49"/>
    <x v="2"/>
    <x v="15"/>
    <x v="33"/>
    <x v="11"/>
    <x v="2"/>
    <x v="1"/>
    <x v="0"/>
    <x v="0"/>
    <x v="0"/>
    <x v="0"/>
    <x v="0"/>
    <x v="21"/>
    <x v="4"/>
    <x v="0"/>
    <x v="0"/>
    <x v="0"/>
    <x v="0"/>
    <x v="0"/>
    <x v="0"/>
  </r>
  <r>
    <x v="4"/>
    <x v="0"/>
    <x v="125"/>
    <x v="7"/>
    <x v="0"/>
    <x v="1"/>
    <x v="1"/>
    <x v="29"/>
    <x v="37"/>
    <x v="20"/>
    <x v="52"/>
    <x v="67"/>
    <x v="1"/>
    <x v="13"/>
    <x v="23"/>
    <x v="9"/>
    <x v="1"/>
    <x v="0"/>
    <x v="0"/>
    <x v="0"/>
    <x v="0"/>
    <x v="0"/>
    <x v="0"/>
    <x v="10"/>
    <x v="29"/>
    <x v="0"/>
    <x v="0"/>
    <x v="0"/>
    <x v="0"/>
    <x v="0"/>
    <x v="0"/>
  </r>
  <r>
    <x v="6"/>
    <x v="0"/>
    <x v="126"/>
    <x v="7"/>
    <x v="0"/>
    <x v="0"/>
    <x v="2"/>
    <x v="14"/>
    <x v="46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4"/>
    <x v="0"/>
    <x v="127"/>
    <x v="7"/>
    <x v="0"/>
    <x v="1"/>
    <x v="5"/>
    <x v="34"/>
    <x v="41"/>
    <x v="18"/>
    <x v="71"/>
    <x v="80"/>
    <x v="5"/>
    <x v="14"/>
    <x v="44"/>
    <x v="0"/>
    <x v="5"/>
    <x v="0"/>
    <x v="0"/>
    <x v="0"/>
    <x v="0"/>
    <x v="0"/>
    <x v="0"/>
    <x v="48"/>
    <x v="34"/>
    <x v="0"/>
    <x v="0"/>
    <x v="0"/>
    <x v="0"/>
    <x v="0"/>
    <x v="0"/>
  </r>
  <r>
    <x v="4"/>
    <x v="0"/>
    <x v="127"/>
    <x v="7"/>
    <x v="0"/>
    <x v="1"/>
    <x v="4"/>
    <x v="36"/>
    <x v="41"/>
    <x v="22"/>
    <x v="72"/>
    <x v="82"/>
    <x v="4"/>
    <x v="17"/>
    <x v="46"/>
    <x v="0"/>
    <x v="4"/>
    <x v="0"/>
    <x v="0"/>
    <x v="0"/>
    <x v="0"/>
    <x v="0"/>
    <x v="0"/>
    <x v="38"/>
    <x v="36"/>
    <x v="0"/>
    <x v="0"/>
    <x v="0"/>
    <x v="0"/>
    <x v="0"/>
    <x v="0"/>
  </r>
  <r>
    <x v="4"/>
    <x v="0"/>
    <x v="127"/>
    <x v="7"/>
    <x v="0"/>
    <x v="1"/>
    <x v="3"/>
    <x v="36"/>
    <x v="41"/>
    <x v="23"/>
    <x v="69"/>
    <x v="79"/>
    <x v="3"/>
    <x v="16"/>
    <x v="45"/>
    <x v="0"/>
    <x v="3"/>
    <x v="0"/>
    <x v="0"/>
    <x v="0"/>
    <x v="0"/>
    <x v="0"/>
    <x v="0"/>
    <x v="28"/>
    <x v="36"/>
    <x v="0"/>
    <x v="0"/>
    <x v="0"/>
    <x v="0"/>
    <x v="0"/>
    <x v="0"/>
  </r>
  <r>
    <x v="6"/>
    <x v="0"/>
    <x v="128"/>
    <x v="7"/>
    <x v="0"/>
    <x v="0"/>
    <x v="6"/>
    <x v="14"/>
    <x v="56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128"/>
    <x v="7"/>
    <x v="0"/>
    <x v="0"/>
    <x v="5"/>
    <x v="14"/>
    <x v="56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28"/>
    <x v="7"/>
    <x v="0"/>
    <x v="0"/>
    <x v="4"/>
    <x v="14"/>
    <x v="56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28"/>
    <x v="7"/>
    <x v="0"/>
    <x v="0"/>
    <x v="3"/>
    <x v="14"/>
    <x v="56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28"/>
    <x v="7"/>
    <x v="0"/>
    <x v="0"/>
    <x v="2"/>
    <x v="14"/>
    <x v="56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6"/>
    <x v="0"/>
    <x v="129"/>
    <x v="7"/>
    <x v="0"/>
    <x v="1"/>
    <x v="6"/>
    <x v="14"/>
    <x v="56"/>
    <x v="17"/>
    <x v="65"/>
    <x v="72"/>
    <x v="6"/>
    <x v="12"/>
    <x v="38"/>
    <x v="0"/>
    <x v="6"/>
    <x v="0"/>
    <x v="0"/>
    <x v="0"/>
    <x v="0"/>
    <x v="0"/>
    <x v="0"/>
    <x v="58"/>
    <x v="14"/>
    <x v="0"/>
    <x v="0"/>
    <x v="0"/>
    <x v="0"/>
    <x v="0"/>
    <x v="0"/>
  </r>
  <r>
    <x v="6"/>
    <x v="0"/>
    <x v="129"/>
    <x v="7"/>
    <x v="0"/>
    <x v="1"/>
    <x v="5"/>
    <x v="14"/>
    <x v="56"/>
    <x v="18"/>
    <x v="71"/>
    <x v="80"/>
    <x v="5"/>
    <x v="14"/>
    <x v="44"/>
    <x v="0"/>
    <x v="5"/>
    <x v="0"/>
    <x v="0"/>
    <x v="0"/>
    <x v="0"/>
    <x v="0"/>
    <x v="0"/>
    <x v="48"/>
    <x v="14"/>
    <x v="0"/>
    <x v="0"/>
    <x v="0"/>
    <x v="0"/>
    <x v="0"/>
    <x v="0"/>
  </r>
  <r>
    <x v="6"/>
    <x v="0"/>
    <x v="129"/>
    <x v="7"/>
    <x v="0"/>
    <x v="1"/>
    <x v="4"/>
    <x v="14"/>
    <x v="56"/>
    <x v="22"/>
    <x v="72"/>
    <x v="82"/>
    <x v="4"/>
    <x v="17"/>
    <x v="46"/>
    <x v="0"/>
    <x v="4"/>
    <x v="0"/>
    <x v="0"/>
    <x v="0"/>
    <x v="0"/>
    <x v="0"/>
    <x v="0"/>
    <x v="38"/>
    <x v="14"/>
    <x v="0"/>
    <x v="0"/>
    <x v="0"/>
    <x v="0"/>
    <x v="0"/>
    <x v="0"/>
  </r>
  <r>
    <x v="6"/>
    <x v="0"/>
    <x v="129"/>
    <x v="7"/>
    <x v="0"/>
    <x v="1"/>
    <x v="3"/>
    <x v="14"/>
    <x v="56"/>
    <x v="23"/>
    <x v="69"/>
    <x v="79"/>
    <x v="3"/>
    <x v="16"/>
    <x v="45"/>
    <x v="0"/>
    <x v="3"/>
    <x v="0"/>
    <x v="0"/>
    <x v="0"/>
    <x v="0"/>
    <x v="0"/>
    <x v="0"/>
    <x v="28"/>
    <x v="14"/>
    <x v="0"/>
    <x v="0"/>
    <x v="0"/>
    <x v="0"/>
    <x v="0"/>
    <x v="0"/>
  </r>
  <r>
    <x v="6"/>
    <x v="0"/>
    <x v="129"/>
    <x v="7"/>
    <x v="0"/>
    <x v="1"/>
    <x v="2"/>
    <x v="14"/>
    <x v="56"/>
    <x v="21"/>
    <x v="61"/>
    <x v="75"/>
    <x v="2"/>
    <x v="15"/>
    <x v="41"/>
    <x v="3"/>
    <x v="2"/>
    <x v="0"/>
    <x v="0"/>
    <x v="0"/>
    <x v="0"/>
    <x v="0"/>
    <x v="0"/>
    <x v="18"/>
    <x v="14"/>
    <x v="0"/>
    <x v="0"/>
    <x v="0"/>
    <x v="0"/>
    <x v="0"/>
    <x v="0"/>
  </r>
  <r>
    <x v="23"/>
    <x v="0"/>
    <x v="130"/>
    <x v="7"/>
    <x v="0"/>
    <x v="1"/>
    <x v="1"/>
    <x v="0"/>
    <x v="37"/>
    <x v="20"/>
    <x v="52"/>
    <x v="67"/>
    <x v="1"/>
    <x v="13"/>
    <x v="23"/>
    <x v="9"/>
    <x v="1"/>
    <x v="0"/>
    <x v="0"/>
    <x v="0"/>
    <x v="0"/>
    <x v="0"/>
    <x v="0"/>
    <x v="10"/>
    <x v="0"/>
    <x v="0"/>
    <x v="0"/>
    <x v="0"/>
    <x v="0"/>
    <x v="0"/>
    <x v="0"/>
  </r>
  <r>
    <x v="23"/>
    <x v="0"/>
    <x v="131"/>
    <x v="7"/>
    <x v="0"/>
    <x v="1"/>
    <x v="1"/>
    <x v="10"/>
    <x v="37"/>
    <x v="20"/>
    <x v="52"/>
    <x v="67"/>
    <x v="1"/>
    <x v="13"/>
    <x v="23"/>
    <x v="9"/>
    <x v="1"/>
    <x v="0"/>
    <x v="0"/>
    <x v="0"/>
    <x v="0"/>
    <x v="0"/>
    <x v="0"/>
    <x v="10"/>
    <x v="10"/>
    <x v="0"/>
    <x v="0"/>
    <x v="0"/>
    <x v="0"/>
    <x v="0"/>
    <x v="0"/>
  </r>
  <r>
    <x v="4"/>
    <x v="0"/>
    <x v="132"/>
    <x v="5"/>
    <x v="0"/>
    <x v="1"/>
    <x v="6"/>
    <x v="11"/>
    <x v="8"/>
    <x v="17"/>
    <x v="12"/>
    <x v="8"/>
    <x v="6"/>
    <x v="12"/>
    <x v="18"/>
    <x v="10"/>
    <x v="6"/>
    <x v="0"/>
    <x v="0"/>
    <x v="0"/>
    <x v="0"/>
    <x v="0"/>
    <x v="0"/>
    <x v="57"/>
    <x v="11"/>
    <x v="0"/>
    <x v="0"/>
    <x v="0"/>
    <x v="0"/>
    <x v="0"/>
    <x v="0"/>
  </r>
  <r>
    <x v="4"/>
    <x v="0"/>
    <x v="132"/>
    <x v="5"/>
    <x v="0"/>
    <x v="1"/>
    <x v="5"/>
    <x v="13"/>
    <x v="8"/>
    <x v="18"/>
    <x v="10"/>
    <x v="25"/>
    <x v="5"/>
    <x v="14"/>
    <x v="32"/>
    <x v="10"/>
    <x v="5"/>
    <x v="0"/>
    <x v="0"/>
    <x v="0"/>
    <x v="0"/>
    <x v="0"/>
    <x v="0"/>
    <x v="47"/>
    <x v="13"/>
    <x v="0"/>
    <x v="0"/>
    <x v="0"/>
    <x v="0"/>
    <x v="0"/>
    <x v="0"/>
  </r>
  <r>
    <x v="4"/>
    <x v="0"/>
    <x v="132"/>
    <x v="5"/>
    <x v="0"/>
    <x v="1"/>
    <x v="4"/>
    <x v="11"/>
    <x v="8"/>
    <x v="22"/>
    <x v="8"/>
    <x v="36"/>
    <x v="4"/>
    <x v="17"/>
    <x v="36"/>
    <x v="10"/>
    <x v="4"/>
    <x v="0"/>
    <x v="0"/>
    <x v="0"/>
    <x v="0"/>
    <x v="0"/>
    <x v="0"/>
    <x v="37"/>
    <x v="11"/>
    <x v="0"/>
    <x v="0"/>
    <x v="0"/>
    <x v="0"/>
    <x v="0"/>
    <x v="0"/>
  </r>
  <r>
    <x v="4"/>
    <x v="0"/>
    <x v="132"/>
    <x v="5"/>
    <x v="0"/>
    <x v="1"/>
    <x v="3"/>
    <x v="11"/>
    <x v="8"/>
    <x v="23"/>
    <x v="9"/>
    <x v="41"/>
    <x v="3"/>
    <x v="16"/>
    <x v="34"/>
    <x v="10"/>
    <x v="3"/>
    <x v="0"/>
    <x v="0"/>
    <x v="0"/>
    <x v="0"/>
    <x v="0"/>
    <x v="0"/>
    <x v="27"/>
    <x v="11"/>
    <x v="0"/>
    <x v="0"/>
    <x v="0"/>
    <x v="0"/>
    <x v="0"/>
    <x v="0"/>
  </r>
  <r>
    <x v="4"/>
    <x v="0"/>
    <x v="132"/>
    <x v="5"/>
    <x v="0"/>
    <x v="1"/>
    <x v="2"/>
    <x v="12"/>
    <x v="8"/>
    <x v="21"/>
    <x v="11"/>
    <x v="37"/>
    <x v="2"/>
    <x v="15"/>
    <x v="33"/>
    <x v="10"/>
    <x v="2"/>
    <x v="0"/>
    <x v="0"/>
    <x v="0"/>
    <x v="0"/>
    <x v="0"/>
    <x v="0"/>
    <x v="17"/>
    <x v="12"/>
    <x v="0"/>
    <x v="0"/>
    <x v="0"/>
    <x v="0"/>
    <x v="0"/>
    <x v="0"/>
  </r>
  <r>
    <x v="15"/>
    <x v="0"/>
    <x v="133"/>
    <x v="5"/>
    <x v="0"/>
    <x v="1"/>
    <x v="6"/>
    <x v="15"/>
    <x v="8"/>
    <x v="17"/>
    <x v="12"/>
    <x v="8"/>
    <x v="6"/>
    <x v="12"/>
    <x v="18"/>
    <x v="10"/>
    <x v="6"/>
    <x v="0"/>
    <x v="0"/>
    <x v="0"/>
    <x v="0"/>
    <x v="0"/>
    <x v="0"/>
    <x v="57"/>
    <x v="15"/>
    <x v="0"/>
    <x v="0"/>
    <x v="0"/>
    <x v="0"/>
    <x v="0"/>
    <x v="0"/>
  </r>
  <r>
    <x v="15"/>
    <x v="0"/>
    <x v="133"/>
    <x v="5"/>
    <x v="0"/>
    <x v="1"/>
    <x v="5"/>
    <x v="17"/>
    <x v="8"/>
    <x v="18"/>
    <x v="10"/>
    <x v="25"/>
    <x v="5"/>
    <x v="14"/>
    <x v="32"/>
    <x v="10"/>
    <x v="5"/>
    <x v="0"/>
    <x v="0"/>
    <x v="0"/>
    <x v="0"/>
    <x v="0"/>
    <x v="0"/>
    <x v="47"/>
    <x v="17"/>
    <x v="0"/>
    <x v="0"/>
    <x v="0"/>
    <x v="0"/>
    <x v="0"/>
    <x v="0"/>
  </r>
  <r>
    <x v="15"/>
    <x v="0"/>
    <x v="133"/>
    <x v="5"/>
    <x v="0"/>
    <x v="1"/>
    <x v="4"/>
    <x v="15"/>
    <x v="8"/>
    <x v="22"/>
    <x v="8"/>
    <x v="36"/>
    <x v="4"/>
    <x v="17"/>
    <x v="36"/>
    <x v="10"/>
    <x v="4"/>
    <x v="0"/>
    <x v="0"/>
    <x v="0"/>
    <x v="0"/>
    <x v="0"/>
    <x v="0"/>
    <x v="37"/>
    <x v="15"/>
    <x v="0"/>
    <x v="0"/>
    <x v="0"/>
    <x v="0"/>
    <x v="0"/>
    <x v="0"/>
  </r>
  <r>
    <x v="15"/>
    <x v="0"/>
    <x v="133"/>
    <x v="5"/>
    <x v="0"/>
    <x v="1"/>
    <x v="3"/>
    <x v="15"/>
    <x v="8"/>
    <x v="23"/>
    <x v="9"/>
    <x v="41"/>
    <x v="3"/>
    <x v="16"/>
    <x v="34"/>
    <x v="10"/>
    <x v="3"/>
    <x v="0"/>
    <x v="0"/>
    <x v="0"/>
    <x v="0"/>
    <x v="0"/>
    <x v="0"/>
    <x v="27"/>
    <x v="15"/>
    <x v="0"/>
    <x v="0"/>
    <x v="0"/>
    <x v="0"/>
    <x v="0"/>
    <x v="0"/>
  </r>
  <r>
    <x v="15"/>
    <x v="0"/>
    <x v="133"/>
    <x v="5"/>
    <x v="0"/>
    <x v="1"/>
    <x v="2"/>
    <x v="16"/>
    <x v="8"/>
    <x v="21"/>
    <x v="11"/>
    <x v="37"/>
    <x v="2"/>
    <x v="15"/>
    <x v="33"/>
    <x v="10"/>
    <x v="2"/>
    <x v="0"/>
    <x v="0"/>
    <x v="0"/>
    <x v="0"/>
    <x v="0"/>
    <x v="0"/>
    <x v="17"/>
    <x v="16"/>
    <x v="0"/>
    <x v="0"/>
    <x v="0"/>
    <x v="0"/>
    <x v="0"/>
    <x v="0"/>
  </r>
  <r>
    <x v="23"/>
    <x v="0"/>
    <x v="134"/>
    <x v="7"/>
    <x v="0"/>
    <x v="1"/>
    <x v="1"/>
    <x v="3"/>
    <x v="37"/>
    <x v="20"/>
    <x v="52"/>
    <x v="67"/>
    <x v="1"/>
    <x v="13"/>
    <x v="23"/>
    <x v="9"/>
    <x v="1"/>
    <x v="0"/>
    <x v="0"/>
    <x v="0"/>
    <x v="0"/>
    <x v="0"/>
    <x v="0"/>
    <x v="10"/>
    <x v="3"/>
    <x v="0"/>
    <x v="0"/>
    <x v="0"/>
    <x v="0"/>
    <x v="0"/>
    <x v="0"/>
  </r>
  <r>
    <x v="6"/>
    <x v="0"/>
    <x v="135"/>
    <x v="7"/>
    <x v="0"/>
    <x v="0"/>
    <x v="6"/>
    <x v="30"/>
    <x v="62"/>
    <x v="17"/>
    <x v="65"/>
    <x v="72"/>
    <x v="6"/>
    <x v="12"/>
    <x v="38"/>
    <x v="0"/>
    <x v="6"/>
    <x v="1"/>
    <x v="0"/>
    <x v="0"/>
    <x v="0"/>
    <x v="0"/>
    <x v="0"/>
    <x v="58"/>
    <x v="30"/>
    <x v="0"/>
    <x v="0"/>
    <x v="0"/>
    <x v="0"/>
    <x v="0"/>
    <x v="0"/>
  </r>
  <r>
    <x v="6"/>
    <x v="0"/>
    <x v="135"/>
    <x v="7"/>
    <x v="0"/>
    <x v="0"/>
    <x v="5"/>
    <x v="30"/>
    <x v="62"/>
    <x v="18"/>
    <x v="71"/>
    <x v="80"/>
    <x v="5"/>
    <x v="14"/>
    <x v="44"/>
    <x v="0"/>
    <x v="5"/>
    <x v="1"/>
    <x v="0"/>
    <x v="0"/>
    <x v="0"/>
    <x v="0"/>
    <x v="0"/>
    <x v="48"/>
    <x v="30"/>
    <x v="0"/>
    <x v="0"/>
    <x v="0"/>
    <x v="0"/>
    <x v="0"/>
    <x v="0"/>
  </r>
  <r>
    <x v="6"/>
    <x v="0"/>
    <x v="135"/>
    <x v="7"/>
    <x v="0"/>
    <x v="0"/>
    <x v="4"/>
    <x v="30"/>
    <x v="62"/>
    <x v="22"/>
    <x v="72"/>
    <x v="82"/>
    <x v="4"/>
    <x v="17"/>
    <x v="46"/>
    <x v="0"/>
    <x v="4"/>
    <x v="1"/>
    <x v="0"/>
    <x v="0"/>
    <x v="0"/>
    <x v="0"/>
    <x v="0"/>
    <x v="38"/>
    <x v="30"/>
    <x v="0"/>
    <x v="0"/>
    <x v="0"/>
    <x v="0"/>
    <x v="0"/>
    <x v="0"/>
  </r>
  <r>
    <x v="6"/>
    <x v="0"/>
    <x v="135"/>
    <x v="7"/>
    <x v="0"/>
    <x v="0"/>
    <x v="3"/>
    <x v="30"/>
    <x v="62"/>
    <x v="23"/>
    <x v="69"/>
    <x v="79"/>
    <x v="3"/>
    <x v="16"/>
    <x v="45"/>
    <x v="0"/>
    <x v="3"/>
    <x v="1"/>
    <x v="0"/>
    <x v="0"/>
    <x v="0"/>
    <x v="0"/>
    <x v="0"/>
    <x v="28"/>
    <x v="30"/>
    <x v="0"/>
    <x v="0"/>
    <x v="0"/>
    <x v="0"/>
    <x v="0"/>
    <x v="0"/>
  </r>
  <r>
    <x v="6"/>
    <x v="0"/>
    <x v="135"/>
    <x v="7"/>
    <x v="0"/>
    <x v="0"/>
    <x v="2"/>
    <x v="30"/>
    <x v="62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0"/>
    <x v="0"/>
    <x v="136"/>
    <x v="7"/>
    <x v="0"/>
    <x v="1"/>
    <x v="6"/>
    <x v="37"/>
    <x v="45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0"/>
    <x v="0"/>
    <x v="136"/>
    <x v="7"/>
    <x v="0"/>
    <x v="1"/>
    <x v="5"/>
    <x v="37"/>
    <x v="45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0"/>
    <x v="0"/>
    <x v="136"/>
    <x v="7"/>
    <x v="0"/>
    <x v="1"/>
    <x v="4"/>
    <x v="37"/>
    <x v="45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0"/>
    <x v="0"/>
    <x v="136"/>
    <x v="7"/>
    <x v="0"/>
    <x v="1"/>
    <x v="3"/>
    <x v="37"/>
    <x v="45"/>
    <x v="23"/>
    <x v="69"/>
    <x v="79"/>
    <x v="3"/>
    <x v="16"/>
    <x v="45"/>
    <x v="0"/>
    <x v="3"/>
    <x v="0"/>
    <x v="0"/>
    <x v="0"/>
    <x v="0"/>
    <x v="0"/>
    <x v="0"/>
    <x v="28"/>
    <x v="37"/>
    <x v="0"/>
    <x v="0"/>
    <x v="0"/>
    <x v="0"/>
    <x v="0"/>
    <x v="0"/>
  </r>
  <r>
    <x v="0"/>
    <x v="0"/>
    <x v="136"/>
    <x v="7"/>
    <x v="0"/>
    <x v="1"/>
    <x v="2"/>
    <x v="37"/>
    <x v="45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19"/>
    <x v="0"/>
    <x v="137"/>
    <x v="8"/>
    <x v="0"/>
    <x v="0"/>
    <x v="6"/>
    <x v="14"/>
    <x v="32"/>
    <x v="17"/>
    <x v="34"/>
    <x v="28"/>
    <x v="6"/>
    <x v="12"/>
    <x v="18"/>
    <x v="10"/>
    <x v="6"/>
    <x v="1"/>
    <x v="0"/>
    <x v="0"/>
    <x v="0"/>
    <x v="0"/>
    <x v="0"/>
    <x v="59"/>
    <x v="14"/>
    <x v="0"/>
    <x v="0"/>
    <x v="0"/>
    <x v="0"/>
    <x v="0"/>
    <x v="0"/>
  </r>
  <r>
    <x v="19"/>
    <x v="0"/>
    <x v="137"/>
    <x v="8"/>
    <x v="0"/>
    <x v="0"/>
    <x v="5"/>
    <x v="14"/>
    <x v="32"/>
    <x v="18"/>
    <x v="35"/>
    <x v="42"/>
    <x v="5"/>
    <x v="14"/>
    <x v="32"/>
    <x v="10"/>
    <x v="5"/>
    <x v="1"/>
    <x v="0"/>
    <x v="0"/>
    <x v="0"/>
    <x v="0"/>
    <x v="0"/>
    <x v="49"/>
    <x v="14"/>
    <x v="0"/>
    <x v="0"/>
    <x v="0"/>
    <x v="0"/>
    <x v="0"/>
    <x v="0"/>
  </r>
  <r>
    <x v="19"/>
    <x v="0"/>
    <x v="137"/>
    <x v="8"/>
    <x v="0"/>
    <x v="0"/>
    <x v="4"/>
    <x v="14"/>
    <x v="32"/>
    <x v="22"/>
    <x v="33"/>
    <x v="57"/>
    <x v="4"/>
    <x v="17"/>
    <x v="36"/>
    <x v="10"/>
    <x v="4"/>
    <x v="1"/>
    <x v="0"/>
    <x v="0"/>
    <x v="0"/>
    <x v="0"/>
    <x v="0"/>
    <x v="39"/>
    <x v="14"/>
    <x v="0"/>
    <x v="0"/>
    <x v="0"/>
    <x v="0"/>
    <x v="0"/>
    <x v="0"/>
  </r>
  <r>
    <x v="19"/>
    <x v="0"/>
    <x v="137"/>
    <x v="8"/>
    <x v="0"/>
    <x v="0"/>
    <x v="3"/>
    <x v="14"/>
    <x v="32"/>
    <x v="23"/>
    <x v="32"/>
    <x v="59"/>
    <x v="3"/>
    <x v="16"/>
    <x v="34"/>
    <x v="10"/>
    <x v="3"/>
    <x v="1"/>
    <x v="0"/>
    <x v="0"/>
    <x v="0"/>
    <x v="0"/>
    <x v="0"/>
    <x v="29"/>
    <x v="14"/>
    <x v="0"/>
    <x v="0"/>
    <x v="0"/>
    <x v="0"/>
    <x v="0"/>
    <x v="0"/>
  </r>
  <r>
    <x v="19"/>
    <x v="0"/>
    <x v="137"/>
    <x v="8"/>
    <x v="0"/>
    <x v="0"/>
    <x v="2"/>
    <x v="14"/>
    <x v="32"/>
    <x v="21"/>
    <x v="30"/>
    <x v="56"/>
    <x v="2"/>
    <x v="15"/>
    <x v="33"/>
    <x v="10"/>
    <x v="2"/>
    <x v="1"/>
    <x v="0"/>
    <x v="0"/>
    <x v="0"/>
    <x v="0"/>
    <x v="0"/>
    <x v="19"/>
    <x v="14"/>
    <x v="0"/>
    <x v="0"/>
    <x v="0"/>
    <x v="0"/>
    <x v="0"/>
    <x v="0"/>
  </r>
  <r>
    <x v="15"/>
    <x v="0"/>
    <x v="138"/>
    <x v="4"/>
    <x v="0"/>
    <x v="1"/>
    <x v="6"/>
    <x v="15"/>
    <x v="5"/>
    <x v="17"/>
    <x v="3"/>
    <x v="6"/>
    <x v="6"/>
    <x v="12"/>
    <x v="16"/>
    <x v="4"/>
    <x v="6"/>
    <x v="0"/>
    <x v="0"/>
    <x v="0"/>
    <x v="0"/>
    <x v="0"/>
    <x v="0"/>
    <x v="56"/>
    <x v="15"/>
    <x v="0"/>
    <x v="0"/>
    <x v="0"/>
    <x v="0"/>
    <x v="0"/>
    <x v="0"/>
  </r>
  <r>
    <x v="15"/>
    <x v="0"/>
    <x v="138"/>
    <x v="4"/>
    <x v="0"/>
    <x v="1"/>
    <x v="5"/>
    <x v="17"/>
    <x v="5"/>
    <x v="18"/>
    <x v="4"/>
    <x v="9"/>
    <x v="5"/>
    <x v="14"/>
    <x v="24"/>
    <x v="4"/>
    <x v="5"/>
    <x v="0"/>
    <x v="0"/>
    <x v="0"/>
    <x v="0"/>
    <x v="0"/>
    <x v="0"/>
    <x v="46"/>
    <x v="17"/>
    <x v="0"/>
    <x v="0"/>
    <x v="0"/>
    <x v="0"/>
    <x v="0"/>
    <x v="0"/>
  </r>
  <r>
    <x v="15"/>
    <x v="0"/>
    <x v="138"/>
    <x v="4"/>
    <x v="0"/>
    <x v="1"/>
    <x v="4"/>
    <x v="15"/>
    <x v="5"/>
    <x v="22"/>
    <x v="5"/>
    <x v="27"/>
    <x v="4"/>
    <x v="17"/>
    <x v="29"/>
    <x v="4"/>
    <x v="4"/>
    <x v="0"/>
    <x v="0"/>
    <x v="0"/>
    <x v="0"/>
    <x v="0"/>
    <x v="0"/>
    <x v="36"/>
    <x v="15"/>
    <x v="0"/>
    <x v="0"/>
    <x v="0"/>
    <x v="0"/>
    <x v="0"/>
    <x v="0"/>
  </r>
  <r>
    <x v="15"/>
    <x v="0"/>
    <x v="138"/>
    <x v="4"/>
    <x v="0"/>
    <x v="1"/>
    <x v="3"/>
    <x v="15"/>
    <x v="5"/>
    <x v="23"/>
    <x v="6"/>
    <x v="29"/>
    <x v="3"/>
    <x v="16"/>
    <x v="27"/>
    <x v="4"/>
    <x v="3"/>
    <x v="0"/>
    <x v="0"/>
    <x v="0"/>
    <x v="0"/>
    <x v="0"/>
    <x v="0"/>
    <x v="26"/>
    <x v="15"/>
    <x v="0"/>
    <x v="0"/>
    <x v="0"/>
    <x v="0"/>
    <x v="0"/>
    <x v="0"/>
  </r>
  <r>
    <x v="15"/>
    <x v="0"/>
    <x v="138"/>
    <x v="4"/>
    <x v="0"/>
    <x v="1"/>
    <x v="2"/>
    <x v="16"/>
    <x v="5"/>
    <x v="21"/>
    <x v="2"/>
    <x v="23"/>
    <x v="2"/>
    <x v="15"/>
    <x v="25"/>
    <x v="4"/>
    <x v="2"/>
    <x v="0"/>
    <x v="0"/>
    <x v="0"/>
    <x v="0"/>
    <x v="0"/>
    <x v="0"/>
    <x v="16"/>
    <x v="16"/>
    <x v="0"/>
    <x v="0"/>
    <x v="0"/>
    <x v="0"/>
    <x v="0"/>
    <x v="0"/>
  </r>
  <r>
    <x v="15"/>
    <x v="0"/>
    <x v="139"/>
    <x v="4"/>
    <x v="0"/>
    <x v="0"/>
    <x v="6"/>
    <x v="27"/>
    <x v="13"/>
    <x v="17"/>
    <x v="3"/>
    <x v="6"/>
    <x v="6"/>
    <x v="12"/>
    <x v="16"/>
    <x v="4"/>
    <x v="6"/>
    <x v="1"/>
    <x v="0"/>
    <x v="0"/>
    <x v="0"/>
    <x v="0"/>
    <x v="0"/>
    <x v="56"/>
    <x v="27"/>
    <x v="0"/>
    <x v="0"/>
    <x v="0"/>
    <x v="0"/>
    <x v="0"/>
    <x v="0"/>
  </r>
  <r>
    <x v="15"/>
    <x v="0"/>
    <x v="139"/>
    <x v="4"/>
    <x v="0"/>
    <x v="0"/>
    <x v="5"/>
    <x v="25"/>
    <x v="13"/>
    <x v="18"/>
    <x v="4"/>
    <x v="9"/>
    <x v="5"/>
    <x v="14"/>
    <x v="24"/>
    <x v="4"/>
    <x v="5"/>
    <x v="1"/>
    <x v="0"/>
    <x v="0"/>
    <x v="0"/>
    <x v="0"/>
    <x v="0"/>
    <x v="46"/>
    <x v="25"/>
    <x v="0"/>
    <x v="0"/>
    <x v="0"/>
    <x v="0"/>
    <x v="0"/>
    <x v="0"/>
  </r>
  <r>
    <x v="15"/>
    <x v="0"/>
    <x v="139"/>
    <x v="4"/>
    <x v="0"/>
    <x v="0"/>
    <x v="4"/>
    <x v="27"/>
    <x v="13"/>
    <x v="22"/>
    <x v="5"/>
    <x v="27"/>
    <x v="4"/>
    <x v="17"/>
    <x v="29"/>
    <x v="4"/>
    <x v="4"/>
    <x v="1"/>
    <x v="0"/>
    <x v="0"/>
    <x v="0"/>
    <x v="0"/>
    <x v="0"/>
    <x v="36"/>
    <x v="27"/>
    <x v="0"/>
    <x v="0"/>
    <x v="0"/>
    <x v="0"/>
    <x v="0"/>
    <x v="0"/>
  </r>
  <r>
    <x v="15"/>
    <x v="0"/>
    <x v="139"/>
    <x v="4"/>
    <x v="0"/>
    <x v="0"/>
    <x v="3"/>
    <x v="27"/>
    <x v="13"/>
    <x v="23"/>
    <x v="6"/>
    <x v="29"/>
    <x v="3"/>
    <x v="16"/>
    <x v="27"/>
    <x v="4"/>
    <x v="3"/>
    <x v="1"/>
    <x v="0"/>
    <x v="0"/>
    <x v="0"/>
    <x v="0"/>
    <x v="0"/>
    <x v="26"/>
    <x v="27"/>
    <x v="0"/>
    <x v="0"/>
    <x v="0"/>
    <x v="0"/>
    <x v="0"/>
    <x v="0"/>
  </r>
  <r>
    <x v="15"/>
    <x v="0"/>
    <x v="139"/>
    <x v="4"/>
    <x v="0"/>
    <x v="0"/>
    <x v="2"/>
    <x v="26"/>
    <x v="13"/>
    <x v="21"/>
    <x v="2"/>
    <x v="23"/>
    <x v="2"/>
    <x v="15"/>
    <x v="25"/>
    <x v="4"/>
    <x v="2"/>
    <x v="1"/>
    <x v="0"/>
    <x v="0"/>
    <x v="0"/>
    <x v="0"/>
    <x v="0"/>
    <x v="16"/>
    <x v="26"/>
    <x v="0"/>
    <x v="0"/>
    <x v="0"/>
    <x v="0"/>
    <x v="0"/>
    <x v="0"/>
  </r>
  <r>
    <x v="4"/>
    <x v="0"/>
    <x v="140"/>
    <x v="9"/>
    <x v="0"/>
    <x v="0"/>
    <x v="6"/>
    <x v="24"/>
    <x v="22"/>
    <x v="17"/>
    <x v="58"/>
    <x v="47"/>
    <x v="6"/>
    <x v="12"/>
    <x v="17"/>
    <x v="2"/>
    <x v="6"/>
    <x v="1"/>
    <x v="0"/>
    <x v="0"/>
    <x v="0"/>
    <x v="0"/>
    <x v="0"/>
    <x v="60"/>
    <x v="24"/>
    <x v="0"/>
    <x v="0"/>
    <x v="0"/>
    <x v="0"/>
    <x v="0"/>
    <x v="0"/>
  </r>
  <r>
    <x v="4"/>
    <x v="0"/>
    <x v="140"/>
    <x v="9"/>
    <x v="0"/>
    <x v="0"/>
    <x v="5"/>
    <x v="22"/>
    <x v="22"/>
    <x v="18"/>
    <x v="59"/>
    <x v="66"/>
    <x v="5"/>
    <x v="14"/>
    <x v="26"/>
    <x v="2"/>
    <x v="5"/>
    <x v="1"/>
    <x v="0"/>
    <x v="0"/>
    <x v="0"/>
    <x v="0"/>
    <x v="0"/>
    <x v="50"/>
    <x v="22"/>
    <x v="0"/>
    <x v="0"/>
    <x v="0"/>
    <x v="0"/>
    <x v="0"/>
    <x v="0"/>
  </r>
  <r>
    <x v="4"/>
    <x v="0"/>
    <x v="140"/>
    <x v="9"/>
    <x v="0"/>
    <x v="0"/>
    <x v="4"/>
    <x v="24"/>
    <x v="22"/>
    <x v="22"/>
    <x v="60"/>
    <x v="76"/>
    <x v="4"/>
    <x v="17"/>
    <x v="31"/>
    <x v="2"/>
    <x v="4"/>
    <x v="1"/>
    <x v="0"/>
    <x v="0"/>
    <x v="0"/>
    <x v="0"/>
    <x v="0"/>
    <x v="40"/>
    <x v="24"/>
    <x v="0"/>
    <x v="0"/>
    <x v="0"/>
    <x v="0"/>
    <x v="0"/>
    <x v="0"/>
  </r>
  <r>
    <x v="4"/>
    <x v="0"/>
    <x v="140"/>
    <x v="9"/>
    <x v="0"/>
    <x v="0"/>
    <x v="3"/>
    <x v="24"/>
    <x v="22"/>
    <x v="23"/>
    <x v="64"/>
    <x v="77"/>
    <x v="3"/>
    <x v="16"/>
    <x v="30"/>
    <x v="2"/>
    <x v="3"/>
    <x v="1"/>
    <x v="0"/>
    <x v="0"/>
    <x v="0"/>
    <x v="0"/>
    <x v="0"/>
    <x v="30"/>
    <x v="24"/>
    <x v="0"/>
    <x v="0"/>
    <x v="0"/>
    <x v="0"/>
    <x v="0"/>
    <x v="0"/>
  </r>
  <r>
    <x v="4"/>
    <x v="0"/>
    <x v="140"/>
    <x v="9"/>
    <x v="0"/>
    <x v="0"/>
    <x v="2"/>
    <x v="23"/>
    <x v="22"/>
    <x v="21"/>
    <x v="67"/>
    <x v="78"/>
    <x v="2"/>
    <x v="15"/>
    <x v="28"/>
    <x v="2"/>
    <x v="2"/>
    <x v="1"/>
    <x v="0"/>
    <x v="0"/>
    <x v="0"/>
    <x v="0"/>
    <x v="0"/>
    <x v="20"/>
    <x v="23"/>
    <x v="0"/>
    <x v="0"/>
    <x v="0"/>
    <x v="0"/>
    <x v="0"/>
    <x v="0"/>
  </r>
  <r>
    <x v="0"/>
    <x v="0"/>
    <x v="141"/>
    <x v="7"/>
    <x v="0"/>
    <x v="1"/>
    <x v="6"/>
    <x v="30"/>
    <x v="45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0"/>
    <x v="0"/>
    <x v="141"/>
    <x v="7"/>
    <x v="0"/>
    <x v="1"/>
    <x v="5"/>
    <x v="30"/>
    <x v="45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0"/>
    <x v="0"/>
    <x v="141"/>
    <x v="7"/>
    <x v="0"/>
    <x v="1"/>
    <x v="4"/>
    <x v="30"/>
    <x v="45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0"/>
    <x v="0"/>
    <x v="141"/>
    <x v="7"/>
    <x v="0"/>
    <x v="1"/>
    <x v="3"/>
    <x v="30"/>
    <x v="45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0"/>
    <x v="0"/>
    <x v="141"/>
    <x v="7"/>
    <x v="0"/>
    <x v="1"/>
    <x v="2"/>
    <x v="30"/>
    <x v="45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25"/>
    <x v="0"/>
    <x v="142"/>
    <x v="7"/>
    <x v="0"/>
    <x v="1"/>
    <x v="18"/>
    <x v="9"/>
    <x v="45"/>
    <x v="5"/>
    <x v="63"/>
    <x v="38"/>
    <x v="18"/>
    <x v="4"/>
    <x v="10"/>
    <x v="5"/>
    <x v="18"/>
    <x v="0"/>
    <x v="0"/>
    <x v="0"/>
    <x v="0"/>
    <x v="0"/>
    <x v="0"/>
    <x v="80"/>
    <x v="9"/>
    <x v="0"/>
    <x v="0"/>
    <x v="0"/>
    <x v="0"/>
    <x v="0"/>
    <x v="0"/>
  </r>
  <r>
    <x v="25"/>
    <x v="0"/>
    <x v="142"/>
    <x v="7"/>
    <x v="0"/>
    <x v="1"/>
    <x v="17"/>
    <x v="9"/>
    <x v="45"/>
    <x v="6"/>
    <x v="68"/>
    <x v="73"/>
    <x v="17"/>
    <x v="5"/>
    <x v="12"/>
    <x v="5"/>
    <x v="17"/>
    <x v="0"/>
    <x v="0"/>
    <x v="0"/>
    <x v="0"/>
    <x v="0"/>
    <x v="0"/>
    <x v="79"/>
    <x v="9"/>
    <x v="0"/>
    <x v="0"/>
    <x v="0"/>
    <x v="0"/>
    <x v="0"/>
    <x v="0"/>
  </r>
  <r>
    <x v="25"/>
    <x v="0"/>
    <x v="142"/>
    <x v="7"/>
    <x v="0"/>
    <x v="1"/>
    <x v="16"/>
    <x v="9"/>
    <x v="45"/>
    <x v="15"/>
    <x v="68"/>
    <x v="74"/>
    <x v="16"/>
    <x v="10"/>
    <x v="15"/>
    <x v="5"/>
    <x v="16"/>
    <x v="0"/>
    <x v="0"/>
    <x v="0"/>
    <x v="0"/>
    <x v="0"/>
    <x v="0"/>
    <x v="78"/>
    <x v="9"/>
    <x v="0"/>
    <x v="0"/>
    <x v="0"/>
    <x v="0"/>
    <x v="0"/>
    <x v="0"/>
  </r>
  <r>
    <x v="25"/>
    <x v="0"/>
    <x v="142"/>
    <x v="7"/>
    <x v="0"/>
    <x v="1"/>
    <x v="15"/>
    <x v="9"/>
    <x v="45"/>
    <x v="16"/>
    <x v="66"/>
    <x v="71"/>
    <x v="15"/>
    <x v="9"/>
    <x v="14"/>
    <x v="5"/>
    <x v="15"/>
    <x v="0"/>
    <x v="0"/>
    <x v="0"/>
    <x v="0"/>
    <x v="0"/>
    <x v="0"/>
    <x v="77"/>
    <x v="9"/>
    <x v="0"/>
    <x v="0"/>
    <x v="0"/>
    <x v="0"/>
    <x v="0"/>
    <x v="0"/>
  </r>
  <r>
    <x v="25"/>
    <x v="0"/>
    <x v="142"/>
    <x v="7"/>
    <x v="0"/>
    <x v="1"/>
    <x v="14"/>
    <x v="9"/>
    <x v="45"/>
    <x v="13"/>
    <x v="62"/>
    <x v="44"/>
    <x v="14"/>
    <x v="7"/>
    <x v="13"/>
    <x v="5"/>
    <x v="14"/>
    <x v="0"/>
    <x v="0"/>
    <x v="0"/>
    <x v="0"/>
    <x v="0"/>
    <x v="0"/>
    <x v="76"/>
    <x v="9"/>
    <x v="0"/>
    <x v="0"/>
    <x v="0"/>
    <x v="0"/>
    <x v="0"/>
    <x v="0"/>
  </r>
  <r>
    <x v="6"/>
    <x v="0"/>
    <x v="143"/>
    <x v="7"/>
    <x v="0"/>
    <x v="0"/>
    <x v="6"/>
    <x v="9"/>
    <x v="57"/>
    <x v="17"/>
    <x v="65"/>
    <x v="72"/>
    <x v="6"/>
    <x v="12"/>
    <x v="38"/>
    <x v="0"/>
    <x v="6"/>
    <x v="1"/>
    <x v="0"/>
    <x v="0"/>
    <x v="0"/>
    <x v="0"/>
    <x v="0"/>
    <x v="58"/>
    <x v="9"/>
    <x v="0"/>
    <x v="0"/>
    <x v="0"/>
    <x v="0"/>
    <x v="0"/>
    <x v="0"/>
  </r>
  <r>
    <x v="6"/>
    <x v="0"/>
    <x v="143"/>
    <x v="7"/>
    <x v="0"/>
    <x v="0"/>
    <x v="5"/>
    <x v="9"/>
    <x v="57"/>
    <x v="18"/>
    <x v="71"/>
    <x v="80"/>
    <x v="5"/>
    <x v="14"/>
    <x v="44"/>
    <x v="0"/>
    <x v="5"/>
    <x v="1"/>
    <x v="0"/>
    <x v="0"/>
    <x v="0"/>
    <x v="0"/>
    <x v="0"/>
    <x v="48"/>
    <x v="9"/>
    <x v="0"/>
    <x v="0"/>
    <x v="0"/>
    <x v="0"/>
    <x v="0"/>
    <x v="0"/>
  </r>
  <r>
    <x v="6"/>
    <x v="0"/>
    <x v="143"/>
    <x v="7"/>
    <x v="0"/>
    <x v="0"/>
    <x v="4"/>
    <x v="9"/>
    <x v="57"/>
    <x v="22"/>
    <x v="72"/>
    <x v="82"/>
    <x v="4"/>
    <x v="17"/>
    <x v="46"/>
    <x v="0"/>
    <x v="4"/>
    <x v="1"/>
    <x v="0"/>
    <x v="0"/>
    <x v="0"/>
    <x v="0"/>
    <x v="0"/>
    <x v="38"/>
    <x v="9"/>
    <x v="0"/>
    <x v="0"/>
    <x v="0"/>
    <x v="0"/>
    <x v="0"/>
    <x v="0"/>
  </r>
  <r>
    <x v="6"/>
    <x v="0"/>
    <x v="143"/>
    <x v="7"/>
    <x v="0"/>
    <x v="0"/>
    <x v="3"/>
    <x v="9"/>
    <x v="57"/>
    <x v="23"/>
    <x v="69"/>
    <x v="79"/>
    <x v="3"/>
    <x v="16"/>
    <x v="45"/>
    <x v="0"/>
    <x v="3"/>
    <x v="1"/>
    <x v="0"/>
    <x v="0"/>
    <x v="0"/>
    <x v="0"/>
    <x v="0"/>
    <x v="28"/>
    <x v="9"/>
    <x v="0"/>
    <x v="0"/>
    <x v="0"/>
    <x v="0"/>
    <x v="0"/>
    <x v="0"/>
  </r>
  <r>
    <x v="6"/>
    <x v="0"/>
    <x v="143"/>
    <x v="7"/>
    <x v="0"/>
    <x v="0"/>
    <x v="2"/>
    <x v="9"/>
    <x v="57"/>
    <x v="21"/>
    <x v="61"/>
    <x v="75"/>
    <x v="2"/>
    <x v="15"/>
    <x v="41"/>
    <x v="3"/>
    <x v="2"/>
    <x v="1"/>
    <x v="0"/>
    <x v="0"/>
    <x v="0"/>
    <x v="0"/>
    <x v="0"/>
    <x v="18"/>
    <x v="9"/>
    <x v="0"/>
    <x v="0"/>
    <x v="0"/>
    <x v="0"/>
    <x v="0"/>
    <x v="0"/>
  </r>
  <r>
    <x v="6"/>
    <x v="0"/>
    <x v="144"/>
    <x v="7"/>
    <x v="0"/>
    <x v="1"/>
    <x v="6"/>
    <x v="9"/>
    <x v="57"/>
    <x v="17"/>
    <x v="65"/>
    <x v="72"/>
    <x v="6"/>
    <x v="12"/>
    <x v="38"/>
    <x v="0"/>
    <x v="6"/>
    <x v="0"/>
    <x v="0"/>
    <x v="0"/>
    <x v="0"/>
    <x v="0"/>
    <x v="0"/>
    <x v="58"/>
    <x v="9"/>
    <x v="0"/>
    <x v="0"/>
    <x v="0"/>
    <x v="0"/>
    <x v="0"/>
    <x v="0"/>
  </r>
  <r>
    <x v="6"/>
    <x v="0"/>
    <x v="144"/>
    <x v="7"/>
    <x v="0"/>
    <x v="1"/>
    <x v="5"/>
    <x v="9"/>
    <x v="57"/>
    <x v="18"/>
    <x v="71"/>
    <x v="80"/>
    <x v="5"/>
    <x v="14"/>
    <x v="44"/>
    <x v="0"/>
    <x v="5"/>
    <x v="0"/>
    <x v="0"/>
    <x v="0"/>
    <x v="0"/>
    <x v="0"/>
    <x v="0"/>
    <x v="48"/>
    <x v="9"/>
    <x v="0"/>
    <x v="0"/>
    <x v="0"/>
    <x v="0"/>
    <x v="0"/>
    <x v="0"/>
  </r>
  <r>
    <x v="6"/>
    <x v="0"/>
    <x v="144"/>
    <x v="7"/>
    <x v="0"/>
    <x v="1"/>
    <x v="4"/>
    <x v="9"/>
    <x v="57"/>
    <x v="22"/>
    <x v="72"/>
    <x v="82"/>
    <x v="4"/>
    <x v="17"/>
    <x v="46"/>
    <x v="0"/>
    <x v="4"/>
    <x v="0"/>
    <x v="0"/>
    <x v="0"/>
    <x v="0"/>
    <x v="0"/>
    <x v="0"/>
    <x v="38"/>
    <x v="9"/>
    <x v="0"/>
    <x v="0"/>
    <x v="0"/>
    <x v="0"/>
    <x v="0"/>
    <x v="0"/>
  </r>
  <r>
    <x v="6"/>
    <x v="0"/>
    <x v="144"/>
    <x v="7"/>
    <x v="0"/>
    <x v="1"/>
    <x v="3"/>
    <x v="9"/>
    <x v="57"/>
    <x v="23"/>
    <x v="69"/>
    <x v="79"/>
    <x v="3"/>
    <x v="16"/>
    <x v="45"/>
    <x v="0"/>
    <x v="3"/>
    <x v="0"/>
    <x v="0"/>
    <x v="0"/>
    <x v="0"/>
    <x v="0"/>
    <x v="0"/>
    <x v="28"/>
    <x v="9"/>
    <x v="0"/>
    <x v="0"/>
    <x v="0"/>
    <x v="0"/>
    <x v="0"/>
    <x v="0"/>
  </r>
  <r>
    <x v="6"/>
    <x v="0"/>
    <x v="144"/>
    <x v="7"/>
    <x v="0"/>
    <x v="1"/>
    <x v="2"/>
    <x v="9"/>
    <x v="57"/>
    <x v="21"/>
    <x v="61"/>
    <x v="75"/>
    <x v="2"/>
    <x v="15"/>
    <x v="41"/>
    <x v="3"/>
    <x v="2"/>
    <x v="0"/>
    <x v="0"/>
    <x v="0"/>
    <x v="0"/>
    <x v="0"/>
    <x v="0"/>
    <x v="18"/>
    <x v="9"/>
    <x v="0"/>
    <x v="0"/>
    <x v="0"/>
    <x v="0"/>
    <x v="0"/>
    <x v="0"/>
  </r>
  <r>
    <x v="23"/>
    <x v="0"/>
    <x v="145"/>
    <x v="10"/>
    <x v="0"/>
    <x v="0"/>
    <x v="6"/>
    <x v="19"/>
    <x v="19"/>
    <x v="17"/>
    <x v="25"/>
    <x v="26"/>
    <x v="6"/>
    <x v="12"/>
    <x v="18"/>
    <x v="11"/>
    <x v="6"/>
    <x v="1"/>
    <x v="0"/>
    <x v="0"/>
    <x v="0"/>
    <x v="0"/>
    <x v="0"/>
    <x v="61"/>
    <x v="19"/>
    <x v="0"/>
    <x v="0"/>
    <x v="0"/>
    <x v="0"/>
    <x v="0"/>
    <x v="0"/>
  </r>
  <r>
    <x v="23"/>
    <x v="0"/>
    <x v="145"/>
    <x v="10"/>
    <x v="0"/>
    <x v="0"/>
    <x v="5"/>
    <x v="21"/>
    <x v="19"/>
    <x v="18"/>
    <x v="28"/>
    <x v="40"/>
    <x v="5"/>
    <x v="14"/>
    <x v="32"/>
    <x v="11"/>
    <x v="5"/>
    <x v="1"/>
    <x v="0"/>
    <x v="0"/>
    <x v="0"/>
    <x v="0"/>
    <x v="0"/>
    <x v="51"/>
    <x v="21"/>
    <x v="0"/>
    <x v="0"/>
    <x v="0"/>
    <x v="0"/>
    <x v="0"/>
    <x v="0"/>
  </r>
  <r>
    <x v="23"/>
    <x v="0"/>
    <x v="145"/>
    <x v="10"/>
    <x v="0"/>
    <x v="0"/>
    <x v="4"/>
    <x v="19"/>
    <x v="19"/>
    <x v="22"/>
    <x v="26"/>
    <x v="52"/>
    <x v="4"/>
    <x v="17"/>
    <x v="36"/>
    <x v="11"/>
    <x v="4"/>
    <x v="1"/>
    <x v="0"/>
    <x v="0"/>
    <x v="0"/>
    <x v="0"/>
    <x v="0"/>
    <x v="41"/>
    <x v="19"/>
    <x v="0"/>
    <x v="0"/>
    <x v="0"/>
    <x v="0"/>
    <x v="0"/>
    <x v="0"/>
  </r>
  <r>
    <x v="23"/>
    <x v="0"/>
    <x v="145"/>
    <x v="10"/>
    <x v="0"/>
    <x v="0"/>
    <x v="3"/>
    <x v="19"/>
    <x v="19"/>
    <x v="23"/>
    <x v="23"/>
    <x v="55"/>
    <x v="3"/>
    <x v="16"/>
    <x v="34"/>
    <x v="11"/>
    <x v="3"/>
    <x v="1"/>
    <x v="0"/>
    <x v="0"/>
    <x v="0"/>
    <x v="0"/>
    <x v="0"/>
    <x v="31"/>
    <x v="19"/>
    <x v="0"/>
    <x v="0"/>
    <x v="0"/>
    <x v="0"/>
    <x v="0"/>
    <x v="0"/>
  </r>
  <r>
    <x v="23"/>
    <x v="0"/>
    <x v="145"/>
    <x v="10"/>
    <x v="0"/>
    <x v="0"/>
    <x v="2"/>
    <x v="20"/>
    <x v="19"/>
    <x v="21"/>
    <x v="21"/>
    <x v="49"/>
    <x v="2"/>
    <x v="15"/>
    <x v="33"/>
    <x v="11"/>
    <x v="2"/>
    <x v="1"/>
    <x v="0"/>
    <x v="0"/>
    <x v="0"/>
    <x v="0"/>
    <x v="0"/>
    <x v="21"/>
    <x v="20"/>
    <x v="0"/>
    <x v="0"/>
    <x v="0"/>
    <x v="0"/>
    <x v="0"/>
    <x v="0"/>
  </r>
  <r>
    <x v="6"/>
    <x v="0"/>
    <x v="146"/>
    <x v="9"/>
    <x v="0"/>
    <x v="0"/>
    <x v="6"/>
    <x v="37"/>
    <x v="26"/>
    <x v="17"/>
    <x v="58"/>
    <x v="47"/>
    <x v="6"/>
    <x v="12"/>
    <x v="17"/>
    <x v="2"/>
    <x v="6"/>
    <x v="1"/>
    <x v="0"/>
    <x v="0"/>
    <x v="0"/>
    <x v="0"/>
    <x v="0"/>
    <x v="60"/>
    <x v="37"/>
    <x v="0"/>
    <x v="0"/>
    <x v="0"/>
    <x v="0"/>
    <x v="0"/>
    <x v="0"/>
  </r>
  <r>
    <x v="6"/>
    <x v="0"/>
    <x v="146"/>
    <x v="9"/>
    <x v="0"/>
    <x v="0"/>
    <x v="5"/>
    <x v="37"/>
    <x v="26"/>
    <x v="18"/>
    <x v="59"/>
    <x v="66"/>
    <x v="5"/>
    <x v="14"/>
    <x v="26"/>
    <x v="2"/>
    <x v="5"/>
    <x v="1"/>
    <x v="0"/>
    <x v="0"/>
    <x v="0"/>
    <x v="0"/>
    <x v="0"/>
    <x v="50"/>
    <x v="37"/>
    <x v="0"/>
    <x v="0"/>
    <x v="0"/>
    <x v="0"/>
    <x v="0"/>
    <x v="0"/>
  </r>
  <r>
    <x v="6"/>
    <x v="0"/>
    <x v="146"/>
    <x v="9"/>
    <x v="0"/>
    <x v="0"/>
    <x v="4"/>
    <x v="37"/>
    <x v="26"/>
    <x v="22"/>
    <x v="60"/>
    <x v="76"/>
    <x v="4"/>
    <x v="17"/>
    <x v="31"/>
    <x v="2"/>
    <x v="4"/>
    <x v="1"/>
    <x v="0"/>
    <x v="0"/>
    <x v="0"/>
    <x v="0"/>
    <x v="0"/>
    <x v="40"/>
    <x v="37"/>
    <x v="0"/>
    <x v="0"/>
    <x v="0"/>
    <x v="0"/>
    <x v="0"/>
    <x v="0"/>
  </r>
  <r>
    <x v="6"/>
    <x v="0"/>
    <x v="146"/>
    <x v="9"/>
    <x v="0"/>
    <x v="0"/>
    <x v="3"/>
    <x v="37"/>
    <x v="26"/>
    <x v="23"/>
    <x v="64"/>
    <x v="77"/>
    <x v="3"/>
    <x v="16"/>
    <x v="30"/>
    <x v="2"/>
    <x v="3"/>
    <x v="1"/>
    <x v="0"/>
    <x v="0"/>
    <x v="0"/>
    <x v="0"/>
    <x v="0"/>
    <x v="30"/>
    <x v="37"/>
    <x v="0"/>
    <x v="0"/>
    <x v="0"/>
    <x v="0"/>
    <x v="0"/>
    <x v="0"/>
  </r>
  <r>
    <x v="6"/>
    <x v="0"/>
    <x v="146"/>
    <x v="9"/>
    <x v="0"/>
    <x v="0"/>
    <x v="2"/>
    <x v="37"/>
    <x v="26"/>
    <x v="21"/>
    <x v="67"/>
    <x v="78"/>
    <x v="2"/>
    <x v="15"/>
    <x v="28"/>
    <x v="2"/>
    <x v="2"/>
    <x v="1"/>
    <x v="0"/>
    <x v="0"/>
    <x v="0"/>
    <x v="0"/>
    <x v="0"/>
    <x v="20"/>
    <x v="37"/>
    <x v="0"/>
    <x v="0"/>
    <x v="0"/>
    <x v="0"/>
    <x v="0"/>
    <x v="0"/>
  </r>
  <r>
    <x v="3"/>
    <x v="0"/>
    <x v="147"/>
    <x v="9"/>
    <x v="0"/>
    <x v="0"/>
    <x v="6"/>
    <x v="30"/>
    <x v="26"/>
    <x v="17"/>
    <x v="58"/>
    <x v="47"/>
    <x v="6"/>
    <x v="12"/>
    <x v="17"/>
    <x v="2"/>
    <x v="6"/>
    <x v="1"/>
    <x v="0"/>
    <x v="0"/>
    <x v="0"/>
    <x v="0"/>
    <x v="0"/>
    <x v="60"/>
    <x v="30"/>
    <x v="0"/>
    <x v="0"/>
    <x v="0"/>
    <x v="0"/>
    <x v="0"/>
    <x v="0"/>
  </r>
  <r>
    <x v="3"/>
    <x v="0"/>
    <x v="147"/>
    <x v="9"/>
    <x v="0"/>
    <x v="0"/>
    <x v="5"/>
    <x v="30"/>
    <x v="26"/>
    <x v="18"/>
    <x v="59"/>
    <x v="66"/>
    <x v="5"/>
    <x v="14"/>
    <x v="26"/>
    <x v="2"/>
    <x v="5"/>
    <x v="1"/>
    <x v="0"/>
    <x v="0"/>
    <x v="0"/>
    <x v="0"/>
    <x v="0"/>
    <x v="50"/>
    <x v="30"/>
    <x v="0"/>
    <x v="0"/>
    <x v="0"/>
    <x v="0"/>
    <x v="0"/>
    <x v="0"/>
  </r>
  <r>
    <x v="3"/>
    <x v="0"/>
    <x v="147"/>
    <x v="9"/>
    <x v="0"/>
    <x v="0"/>
    <x v="4"/>
    <x v="30"/>
    <x v="26"/>
    <x v="22"/>
    <x v="60"/>
    <x v="76"/>
    <x v="4"/>
    <x v="17"/>
    <x v="31"/>
    <x v="2"/>
    <x v="4"/>
    <x v="1"/>
    <x v="0"/>
    <x v="0"/>
    <x v="0"/>
    <x v="0"/>
    <x v="0"/>
    <x v="40"/>
    <x v="30"/>
    <x v="0"/>
    <x v="0"/>
    <x v="0"/>
    <x v="0"/>
    <x v="0"/>
    <x v="0"/>
  </r>
  <r>
    <x v="3"/>
    <x v="0"/>
    <x v="147"/>
    <x v="9"/>
    <x v="0"/>
    <x v="0"/>
    <x v="3"/>
    <x v="30"/>
    <x v="26"/>
    <x v="23"/>
    <x v="64"/>
    <x v="77"/>
    <x v="3"/>
    <x v="16"/>
    <x v="30"/>
    <x v="2"/>
    <x v="3"/>
    <x v="1"/>
    <x v="0"/>
    <x v="0"/>
    <x v="0"/>
    <x v="0"/>
    <x v="0"/>
    <x v="30"/>
    <x v="30"/>
    <x v="0"/>
    <x v="0"/>
    <x v="0"/>
    <x v="0"/>
    <x v="0"/>
    <x v="0"/>
  </r>
  <r>
    <x v="3"/>
    <x v="0"/>
    <x v="147"/>
    <x v="9"/>
    <x v="0"/>
    <x v="0"/>
    <x v="2"/>
    <x v="30"/>
    <x v="26"/>
    <x v="21"/>
    <x v="67"/>
    <x v="78"/>
    <x v="2"/>
    <x v="15"/>
    <x v="28"/>
    <x v="2"/>
    <x v="2"/>
    <x v="1"/>
    <x v="0"/>
    <x v="0"/>
    <x v="0"/>
    <x v="0"/>
    <x v="0"/>
    <x v="20"/>
    <x v="30"/>
    <x v="0"/>
    <x v="0"/>
    <x v="0"/>
    <x v="0"/>
    <x v="0"/>
    <x v="0"/>
  </r>
  <r>
    <x v="17"/>
    <x v="0"/>
    <x v="148"/>
    <x v="7"/>
    <x v="0"/>
    <x v="0"/>
    <x v="13"/>
    <x v="27"/>
    <x v="36"/>
    <x v="7"/>
    <x v="55"/>
    <x v="18"/>
    <x v="13"/>
    <x v="7"/>
    <x v="7"/>
    <x v="6"/>
    <x v="13"/>
    <x v="1"/>
    <x v="0"/>
    <x v="0"/>
    <x v="0"/>
    <x v="0"/>
    <x v="0"/>
    <x v="75"/>
    <x v="27"/>
    <x v="0"/>
    <x v="0"/>
    <x v="0"/>
    <x v="0"/>
    <x v="0"/>
    <x v="0"/>
  </r>
  <r>
    <x v="17"/>
    <x v="0"/>
    <x v="148"/>
    <x v="7"/>
    <x v="0"/>
    <x v="0"/>
    <x v="12"/>
    <x v="26"/>
    <x v="36"/>
    <x v="8"/>
    <x v="50"/>
    <x v="16"/>
    <x v="12"/>
    <x v="6"/>
    <x v="6"/>
    <x v="6"/>
    <x v="12"/>
    <x v="1"/>
    <x v="0"/>
    <x v="0"/>
    <x v="0"/>
    <x v="0"/>
    <x v="0"/>
    <x v="73"/>
    <x v="26"/>
    <x v="0"/>
    <x v="0"/>
    <x v="0"/>
    <x v="0"/>
    <x v="0"/>
    <x v="0"/>
  </r>
  <r>
    <x v="17"/>
    <x v="0"/>
    <x v="148"/>
    <x v="7"/>
    <x v="0"/>
    <x v="0"/>
    <x v="11"/>
    <x v="27"/>
    <x v="36"/>
    <x v="10"/>
    <x v="54"/>
    <x v="22"/>
    <x v="11"/>
    <x v="6"/>
    <x v="6"/>
    <x v="6"/>
    <x v="11"/>
    <x v="1"/>
    <x v="0"/>
    <x v="0"/>
    <x v="0"/>
    <x v="0"/>
    <x v="0"/>
    <x v="71"/>
    <x v="27"/>
    <x v="0"/>
    <x v="0"/>
    <x v="0"/>
    <x v="0"/>
    <x v="0"/>
    <x v="0"/>
  </r>
  <r>
    <x v="17"/>
    <x v="0"/>
    <x v="148"/>
    <x v="7"/>
    <x v="0"/>
    <x v="0"/>
    <x v="10"/>
    <x v="27"/>
    <x v="36"/>
    <x v="9"/>
    <x v="54"/>
    <x v="21"/>
    <x v="10"/>
    <x v="6"/>
    <x v="6"/>
    <x v="6"/>
    <x v="10"/>
    <x v="1"/>
    <x v="0"/>
    <x v="0"/>
    <x v="0"/>
    <x v="0"/>
    <x v="0"/>
    <x v="69"/>
    <x v="27"/>
    <x v="0"/>
    <x v="0"/>
    <x v="0"/>
    <x v="0"/>
    <x v="0"/>
    <x v="0"/>
  </r>
  <r>
    <x v="17"/>
    <x v="0"/>
    <x v="148"/>
    <x v="7"/>
    <x v="0"/>
    <x v="0"/>
    <x v="9"/>
    <x v="26"/>
    <x v="36"/>
    <x v="11"/>
    <x v="50"/>
    <x v="17"/>
    <x v="9"/>
    <x v="6"/>
    <x v="6"/>
    <x v="6"/>
    <x v="9"/>
    <x v="1"/>
    <x v="0"/>
    <x v="0"/>
    <x v="0"/>
    <x v="0"/>
    <x v="0"/>
    <x v="67"/>
    <x v="26"/>
    <x v="0"/>
    <x v="0"/>
    <x v="0"/>
    <x v="0"/>
    <x v="0"/>
    <x v="0"/>
  </r>
  <r>
    <x v="17"/>
    <x v="0"/>
    <x v="148"/>
    <x v="7"/>
    <x v="0"/>
    <x v="0"/>
    <x v="8"/>
    <x v="27"/>
    <x v="36"/>
    <x v="12"/>
    <x v="51"/>
    <x v="19"/>
    <x v="8"/>
    <x v="8"/>
    <x v="8"/>
    <x v="6"/>
    <x v="8"/>
    <x v="1"/>
    <x v="0"/>
    <x v="0"/>
    <x v="0"/>
    <x v="0"/>
    <x v="0"/>
    <x v="65"/>
    <x v="27"/>
    <x v="0"/>
    <x v="0"/>
    <x v="0"/>
    <x v="0"/>
    <x v="0"/>
    <x v="0"/>
  </r>
  <r>
    <x v="17"/>
    <x v="0"/>
    <x v="148"/>
    <x v="7"/>
    <x v="0"/>
    <x v="0"/>
    <x v="7"/>
    <x v="26"/>
    <x v="36"/>
    <x v="14"/>
    <x v="56"/>
    <x v="30"/>
    <x v="7"/>
    <x v="11"/>
    <x v="11"/>
    <x v="6"/>
    <x v="7"/>
    <x v="1"/>
    <x v="0"/>
    <x v="0"/>
    <x v="0"/>
    <x v="0"/>
    <x v="0"/>
    <x v="63"/>
    <x v="26"/>
    <x v="0"/>
    <x v="0"/>
    <x v="0"/>
    <x v="0"/>
    <x v="0"/>
    <x v="0"/>
  </r>
  <r>
    <x v="6"/>
    <x v="0"/>
    <x v="149"/>
    <x v="9"/>
    <x v="0"/>
    <x v="0"/>
    <x v="6"/>
    <x v="30"/>
    <x v="26"/>
    <x v="17"/>
    <x v="58"/>
    <x v="47"/>
    <x v="6"/>
    <x v="12"/>
    <x v="17"/>
    <x v="2"/>
    <x v="6"/>
    <x v="1"/>
    <x v="0"/>
    <x v="0"/>
    <x v="0"/>
    <x v="0"/>
    <x v="0"/>
    <x v="60"/>
    <x v="30"/>
    <x v="0"/>
    <x v="0"/>
    <x v="0"/>
    <x v="0"/>
    <x v="0"/>
    <x v="0"/>
  </r>
  <r>
    <x v="6"/>
    <x v="0"/>
    <x v="149"/>
    <x v="9"/>
    <x v="0"/>
    <x v="0"/>
    <x v="5"/>
    <x v="30"/>
    <x v="26"/>
    <x v="18"/>
    <x v="59"/>
    <x v="66"/>
    <x v="5"/>
    <x v="14"/>
    <x v="26"/>
    <x v="2"/>
    <x v="5"/>
    <x v="1"/>
    <x v="0"/>
    <x v="0"/>
    <x v="0"/>
    <x v="0"/>
    <x v="0"/>
    <x v="50"/>
    <x v="30"/>
    <x v="0"/>
    <x v="0"/>
    <x v="0"/>
    <x v="0"/>
    <x v="0"/>
    <x v="0"/>
  </r>
  <r>
    <x v="6"/>
    <x v="0"/>
    <x v="149"/>
    <x v="9"/>
    <x v="0"/>
    <x v="0"/>
    <x v="4"/>
    <x v="30"/>
    <x v="26"/>
    <x v="22"/>
    <x v="60"/>
    <x v="76"/>
    <x v="4"/>
    <x v="17"/>
    <x v="31"/>
    <x v="2"/>
    <x v="4"/>
    <x v="1"/>
    <x v="0"/>
    <x v="0"/>
    <x v="0"/>
    <x v="0"/>
    <x v="0"/>
    <x v="40"/>
    <x v="30"/>
    <x v="0"/>
    <x v="0"/>
    <x v="0"/>
    <x v="0"/>
    <x v="0"/>
    <x v="0"/>
  </r>
  <r>
    <x v="6"/>
    <x v="0"/>
    <x v="149"/>
    <x v="9"/>
    <x v="0"/>
    <x v="0"/>
    <x v="3"/>
    <x v="30"/>
    <x v="26"/>
    <x v="23"/>
    <x v="64"/>
    <x v="77"/>
    <x v="3"/>
    <x v="16"/>
    <x v="30"/>
    <x v="2"/>
    <x v="3"/>
    <x v="1"/>
    <x v="0"/>
    <x v="0"/>
    <x v="0"/>
    <x v="0"/>
    <x v="0"/>
    <x v="30"/>
    <x v="30"/>
    <x v="0"/>
    <x v="0"/>
    <x v="0"/>
    <x v="0"/>
    <x v="0"/>
    <x v="0"/>
  </r>
  <r>
    <x v="6"/>
    <x v="0"/>
    <x v="149"/>
    <x v="9"/>
    <x v="0"/>
    <x v="0"/>
    <x v="2"/>
    <x v="30"/>
    <x v="26"/>
    <x v="21"/>
    <x v="67"/>
    <x v="78"/>
    <x v="2"/>
    <x v="15"/>
    <x v="28"/>
    <x v="2"/>
    <x v="2"/>
    <x v="1"/>
    <x v="0"/>
    <x v="0"/>
    <x v="0"/>
    <x v="0"/>
    <x v="0"/>
    <x v="20"/>
    <x v="30"/>
    <x v="0"/>
    <x v="0"/>
    <x v="0"/>
    <x v="0"/>
    <x v="0"/>
    <x v="0"/>
  </r>
  <r>
    <x v="3"/>
    <x v="0"/>
    <x v="150"/>
    <x v="7"/>
    <x v="0"/>
    <x v="0"/>
    <x v="2"/>
    <x v="37"/>
    <x v="42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3"/>
    <x v="0"/>
    <x v="151"/>
    <x v="7"/>
    <x v="0"/>
    <x v="0"/>
    <x v="1"/>
    <x v="27"/>
    <x v="40"/>
    <x v="20"/>
    <x v="52"/>
    <x v="67"/>
    <x v="1"/>
    <x v="13"/>
    <x v="23"/>
    <x v="9"/>
    <x v="1"/>
    <x v="1"/>
    <x v="0"/>
    <x v="0"/>
    <x v="0"/>
    <x v="0"/>
    <x v="0"/>
    <x v="10"/>
    <x v="27"/>
    <x v="0"/>
    <x v="0"/>
    <x v="0"/>
    <x v="0"/>
    <x v="0"/>
    <x v="0"/>
  </r>
  <r>
    <x v="19"/>
    <x v="0"/>
    <x v="152"/>
    <x v="7"/>
    <x v="0"/>
    <x v="0"/>
    <x v="6"/>
    <x v="27"/>
    <x v="63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19"/>
    <x v="0"/>
    <x v="152"/>
    <x v="7"/>
    <x v="0"/>
    <x v="0"/>
    <x v="5"/>
    <x v="25"/>
    <x v="63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19"/>
    <x v="0"/>
    <x v="152"/>
    <x v="7"/>
    <x v="0"/>
    <x v="0"/>
    <x v="4"/>
    <x v="27"/>
    <x v="63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19"/>
    <x v="0"/>
    <x v="152"/>
    <x v="7"/>
    <x v="0"/>
    <x v="0"/>
    <x v="3"/>
    <x v="27"/>
    <x v="63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19"/>
    <x v="0"/>
    <x v="152"/>
    <x v="7"/>
    <x v="0"/>
    <x v="0"/>
    <x v="2"/>
    <x v="26"/>
    <x v="63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19"/>
    <x v="0"/>
    <x v="153"/>
    <x v="7"/>
    <x v="0"/>
    <x v="0"/>
    <x v="1"/>
    <x v="11"/>
    <x v="33"/>
    <x v="20"/>
    <x v="52"/>
    <x v="67"/>
    <x v="1"/>
    <x v="13"/>
    <x v="23"/>
    <x v="9"/>
    <x v="1"/>
    <x v="1"/>
    <x v="0"/>
    <x v="0"/>
    <x v="0"/>
    <x v="0"/>
    <x v="0"/>
    <x v="10"/>
    <x v="11"/>
    <x v="0"/>
    <x v="0"/>
    <x v="0"/>
    <x v="0"/>
    <x v="0"/>
    <x v="0"/>
  </r>
  <r>
    <x v="19"/>
    <x v="0"/>
    <x v="154"/>
    <x v="10"/>
    <x v="0"/>
    <x v="0"/>
    <x v="6"/>
    <x v="15"/>
    <x v="19"/>
    <x v="17"/>
    <x v="25"/>
    <x v="26"/>
    <x v="6"/>
    <x v="12"/>
    <x v="18"/>
    <x v="11"/>
    <x v="6"/>
    <x v="1"/>
    <x v="0"/>
    <x v="0"/>
    <x v="0"/>
    <x v="0"/>
    <x v="0"/>
    <x v="61"/>
    <x v="15"/>
    <x v="0"/>
    <x v="0"/>
    <x v="0"/>
    <x v="0"/>
    <x v="0"/>
    <x v="0"/>
  </r>
  <r>
    <x v="19"/>
    <x v="0"/>
    <x v="154"/>
    <x v="10"/>
    <x v="0"/>
    <x v="0"/>
    <x v="5"/>
    <x v="17"/>
    <x v="19"/>
    <x v="18"/>
    <x v="28"/>
    <x v="40"/>
    <x v="5"/>
    <x v="14"/>
    <x v="32"/>
    <x v="11"/>
    <x v="5"/>
    <x v="1"/>
    <x v="0"/>
    <x v="0"/>
    <x v="0"/>
    <x v="0"/>
    <x v="0"/>
    <x v="51"/>
    <x v="17"/>
    <x v="0"/>
    <x v="0"/>
    <x v="0"/>
    <x v="0"/>
    <x v="0"/>
    <x v="0"/>
  </r>
  <r>
    <x v="19"/>
    <x v="0"/>
    <x v="154"/>
    <x v="10"/>
    <x v="0"/>
    <x v="0"/>
    <x v="4"/>
    <x v="15"/>
    <x v="19"/>
    <x v="22"/>
    <x v="26"/>
    <x v="52"/>
    <x v="4"/>
    <x v="17"/>
    <x v="36"/>
    <x v="11"/>
    <x v="4"/>
    <x v="1"/>
    <x v="0"/>
    <x v="0"/>
    <x v="0"/>
    <x v="0"/>
    <x v="0"/>
    <x v="41"/>
    <x v="15"/>
    <x v="0"/>
    <x v="0"/>
    <x v="0"/>
    <x v="0"/>
    <x v="0"/>
    <x v="0"/>
  </r>
  <r>
    <x v="19"/>
    <x v="0"/>
    <x v="154"/>
    <x v="10"/>
    <x v="0"/>
    <x v="0"/>
    <x v="3"/>
    <x v="15"/>
    <x v="19"/>
    <x v="23"/>
    <x v="23"/>
    <x v="55"/>
    <x v="3"/>
    <x v="16"/>
    <x v="34"/>
    <x v="11"/>
    <x v="3"/>
    <x v="1"/>
    <x v="0"/>
    <x v="0"/>
    <x v="0"/>
    <x v="0"/>
    <x v="0"/>
    <x v="31"/>
    <x v="15"/>
    <x v="0"/>
    <x v="0"/>
    <x v="0"/>
    <x v="0"/>
    <x v="0"/>
    <x v="0"/>
  </r>
  <r>
    <x v="19"/>
    <x v="0"/>
    <x v="154"/>
    <x v="10"/>
    <x v="0"/>
    <x v="0"/>
    <x v="2"/>
    <x v="16"/>
    <x v="19"/>
    <x v="21"/>
    <x v="21"/>
    <x v="49"/>
    <x v="2"/>
    <x v="15"/>
    <x v="33"/>
    <x v="11"/>
    <x v="2"/>
    <x v="1"/>
    <x v="0"/>
    <x v="0"/>
    <x v="0"/>
    <x v="0"/>
    <x v="0"/>
    <x v="21"/>
    <x v="16"/>
    <x v="0"/>
    <x v="0"/>
    <x v="0"/>
    <x v="0"/>
    <x v="0"/>
    <x v="0"/>
  </r>
  <r>
    <x v="23"/>
    <x v="0"/>
    <x v="155"/>
    <x v="7"/>
    <x v="0"/>
    <x v="1"/>
    <x v="1"/>
    <x v="27"/>
    <x v="33"/>
    <x v="20"/>
    <x v="52"/>
    <x v="67"/>
    <x v="1"/>
    <x v="13"/>
    <x v="23"/>
    <x v="9"/>
    <x v="1"/>
    <x v="0"/>
    <x v="0"/>
    <x v="0"/>
    <x v="0"/>
    <x v="0"/>
    <x v="0"/>
    <x v="10"/>
    <x v="27"/>
    <x v="0"/>
    <x v="0"/>
    <x v="0"/>
    <x v="0"/>
    <x v="0"/>
    <x v="0"/>
  </r>
  <r>
    <x v="3"/>
    <x v="0"/>
    <x v="156"/>
    <x v="9"/>
    <x v="0"/>
    <x v="1"/>
    <x v="1"/>
    <x v="30"/>
    <x v="26"/>
    <x v="20"/>
    <x v="70"/>
    <x v="81"/>
    <x v="1"/>
    <x v="13"/>
    <x v="19"/>
    <x v="0"/>
    <x v="1"/>
    <x v="0"/>
    <x v="0"/>
    <x v="0"/>
    <x v="0"/>
    <x v="0"/>
    <x v="0"/>
    <x v="11"/>
    <x v="30"/>
    <x v="0"/>
    <x v="0"/>
    <x v="0"/>
    <x v="0"/>
    <x v="0"/>
    <x v="0"/>
  </r>
  <r>
    <x v="6"/>
    <x v="0"/>
    <x v="157"/>
    <x v="9"/>
    <x v="0"/>
    <x v="0"/>
    <x v="6"/>
    <x v="30"/>
    <x v="26"/>
    <x v="17"/>
    <x v="58"/>
    <x v="47"/>
    <x v="6"/>
    <x v="12"/>
    <x v="17"/>
    <x v="2"/>
    <x v="6"/>
    <x v="1"/>
    <x v="0"/>
    <x v="0"/>
    <x v="0"/>
    <x v="0"/>
    <x v="0"/>
    <x v="60"/>
    <x v="30"/>
    <x v="0"/>
    <x v="0"/>
    <x v="0"/>
    <x v="0"/>
    <x v="0"/>
    <x v="0"/>
  </r>
  <r>
    <x v="6"/>
    <x v="0"/>
    <x v="157"/>
    <x v="9"/>
    <x v="0"/>
    <x v="0"/>
    <x v="5"/>
    <x v="30"/>
    <x v="26"/>
    <x v="18"/>
    <x v="59"/>
    <x v="66"/>
    <x v="5"/>
    <x v="14"/>
    <x v="26"/>
    <x v="2"/>
    <x v="5"/>
    <x v="1"/>
    <x v="0"/>
    <x v="0"/>
    <x v="0"/>
    <x v="0"/>
    <x v="0"/>
    <x v="50"/>
    <x v="30"/>
    <x v="0"/>
    <x v="0"/>
    <x v="0"/>
    <x v="0"/>
    <x v="0"/>
    <x v="0"/>
  </r>
  <r>
    <x v="6"/>
    <x v="0"/>
    <x v="157"/>
    <x v="9"/>
    <x v="0"/>
    <x v="0"/>
    <x v="4"/>
    <x v="30"/>
    <x v="26"/>
    <x v="22"/>
    <x v="60"/>
    <x v="76"/>
    <x v="4"/>
    <x v="17"/>
    <x v="31"/>
    <x v="2"/>
    <x v="4"/>
    <x v="1"/>
    <x v="0"/>
    <x v="0"/>
    <x v="0"/>
    <x v="0"/>
    <x v="0"/>
    <x v="40"/>
    <x v="30"/>
    <x v="0"/>
    <x v="0"/>
    <x v="0"/>
    <x v="0"/>
    <x v="0"/>
    <x v="0"/>
  </r>
  <r>
    <x v="6"/>
    <x v="0"/>
    <x v="157"/>
    <x v="9"/>
    <x v="0"/>
    <x v="0"/>
    <x v="3"/>
    <x v="30"/>
    <x v="26"/>
    <x v="23"/>
    <x v="64"/>
    <x v="77"/>
    <x v="3"/>
    <x v="16"/>
    <x v="30"/>
    <x v="2"/>
    <x v="3"/>
    <x v="1"/>
    <x v="0"/>
    <x v="0"/>
    <x v="0"/>
    <x v="0"/>
    <x v="0"/>
    <x v="30"/>
    <x v="30"/>
    <x v="0"/>
    <x v="0"/>
    <x v="0"/>
    <x v="0"/>
    <x v="0"/>
    <x v="0"/>
  </r>
  <r>
    <x v="6"/>
    <x v="0"/>
    <x v="157"/>
    <x v="9"/>
    <x v="0"/>
    <x v="0"/>
    <x v="2"/>
    <x v="30"/>
    <x v="26"/>
    <x v="21"/>
    <x v="67"/>
    <x v="78"/>
    <x v="2"/>
    <x v="15"/>
    <x v="28"/>
    <x v="2"/>
    <x v="2"/>
    <x v="1"/>
    <x v="0"/>
    <x v="0"/>
    <x v="0"/>
    <x v="0"/>
    <x v="0"/>
    <x v="20"/>
    <x v="30"/>
    <x v="0"/>
    <x v="0"/>
    <x v="0"/>
    <x v="0"/>
    <x v="0"/>
    <x v="0"/>
  </r>
  <r>
    <x v="6"/>
    <x v="0"/>
    <x v="158"/>
    <x v="7"/>
    <x v="0"/>
    <x v="1"/>
    <x v="6"/>
    <x v="9"/>
    <x v="49"/>
    <x v="17"/>
    <x v="65"/>
    <x v="72"/>
    <x v="6"/>
    <x v="12"/>
    <x v="38"/>
    <x v="0"/>
    <x v="6"/>
    <x v="0"/>
    <x v="0"/>
    <x v="0"/>
    <x v="0"/>
    <x v="0"/>
    <x v="0"/>
    <x v="58"/>
    <x v="9"/>
    <x v="0"/>
    <x v="0"/>
    <x v="0"/>
    <x v="0"/>
    <x v="0"/>
    <x v="0"/>
  </r>
  <r>
    <x v="6"/>
    <x v="0"/>
    <x v="158"/>
    <x v="7"/>
    <x v="0"/>
    <x v="1"/>
    <x v="5"/>
    <x v="9"/>
    <x v="49"/>
    <x v="18"/>
    <x v="71"/>
    <x v="80"/>
    <x v="5"/>
    <x v="14"/>
    <x v="44"/>
    <x v="0"/>
    <x v="5"/>
    <x v="0"/>
    <x v="0"/>
    <x v="0"/>
    <x v="0"/>
    <x v="0"/>
    <x v="0"/>
    <x v="48"/>
    <x v="9"/>
    <x v="0"/>
    <x v="0"/>
    <x v="0"/>
    <x v="0"/>
    <x v="0"/>
    <x v="0"/>
  </r>
  <r>
    <x v="6"/>
    <x v="0"/>
    <x v="158"/>
    <x v="7"/>
    <x v="0"/>
    <x v="1"/>
    <x v="4"/>
    <x v="9"/>
    <x v="49"/>
    <x v="22"/>
    <x v="72"/>
    <x v="82"/>
    <x v="4"/>
    <x v="17"/>
    <x v="46"/>
    <x v="0"/>
    <x v="4"/>
    <x v="0"/>
    <x v="0"/>
    <x v="0"/>
    <x v="0"/>
    <x v="0"/>
    <x v="0"/>
    <x v="38"/>
    <x v="9"/>
    <x v="0"/>
    <x v="0"/>
    <x v="0"/>
    <x v="0"/>
    <x v="0"/>
    <x v="0"/>
  </r>
  <r>
    <x v="6"/>
    <x v="0"/>
    <x v="158"/>
    <x v="7"/>
    <x v="0"/>
    <x v="1"/>
    <x v="3"/>
    <x v="9"/>
    <x v="49"/>
    <x v="23"/>
    <x v="69"/>
    <x v="79"/>
    <x v="3"/>
    <x v="16"/>
    <x v="45"/>
    <x v="0"/>
    <x v="3"/>
    <x v="0"/>
    <x v="0"/>
    <x v="0"/>
    <x v="0"/>
    <x v="0"/>
    <x v="0"/>
    <x v="28"/>
    <x v="9"/>
    <x v="0"/>
    <x v="0"/>
    <x v="0"/>
    <x v="0"/>
    <x v="0"/>
    <x v="0"/>
  </r>
  <r>
    <x v="6"/>
    <x v="0"/>
    <x v="158"/>
    <x v="7"/>
    <x v="0"/>
    <x v="1"/>
    <x v="2"/>
    <x v="9"/>
    <x v="49"/>
    <x v="21"/>
    <x v="61"/>
    <x v="75"/>
    <x v="2"/>
    <x v="15"/>
    <x v="41"/>
    <x v="3"/>
    <x v="2"/>
    <x v="0"/>
    <x v="0"/>
    <x v="0"/>
    <x v="0"/>
    <x v="0"/>
    <x v="0"/>
    <x v="18"/>
    <x v="9"/>
    <x v="0"/>
    <x v="0"/>
    <x v="0"/>
    <x v="0"/>
    <x v="0"/>
    <x v="0"/>
  </r>
  <r>
    <x v="0"/>
    <x v="0"/>
    <x v="159"/>
    <x v="7"/>
    <x v="0"/>
    <x v="0"/>
    <x v="2"/>
    <x v="30"/>
    <x v="42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17"/>
    <x v="0"/>
    <x v="160"/>
    <x v="7"/>
    <x v="0"/>
    <x v="0"/>
    <x v="6"/>
    <x v="24"/>
    <x v="49"/>
    <x v="17"/>
    <x v="65"/>
    <x v="72"/>
    <x v="6"/>
    <x v="12"/>
    <x v="38"/>
    <x v="0"/>
    <x v="6"/>
    <x v="1"/>
    <x v="0"/>
    <x v="0"/>
    <x v="0"/>
    <x v="0"/>
    <x v="0"/>
    <x v="58"/>
    <x v="24"/>
    <x v="0"/>
    <x v="0"/>
    <x v="0"/>
    <x v="0"/>
    <x v="0"/>
    <x v="0"/>
  </r>
  <r>
    <x v="17"/>
    <x v="0"/>
    <x v="160"/>
    <x v="7"/>
    <x v="0"/>
    <x v="0"/>
    <x v="5"/>
    <x v="22"/>
    <x v="49"/>
    <x v="18"/>
    <x v="71"/>
    <x v="80"/>
    <x v="5"/>
    <x v="14"/>
    <x v="44"/>
    <x v="0"/>
    <x v="5"/>
    <x v="1"/>
    <x v="0"/>
    <x v="0"/>
    <x v="0"/>
    <x v="0"/>
    <x v="0"/>
    <x v="48"/>
    <x v="22"/>
    <x v="0"/>
    <x v="0"/>
    <x v="0"/>
    <x v="0"/>
    <x v="0"/>
    <x v="0"/>
  </r>
  <r>
    <x v="17"/>
    <x v="0"/>
    <x v="160"/>
    <x v="7"/>
    <x v="0"/>
    <x v="0"/>
    <x v="4"/>
    <x v="24"/>
    <x v="49"/>
    <x v="22"/>
    <x v="72"/>
    <x v="82"/>
    <x v="4"/>
    <x v="17"/>
    <x v="46"/>
    <x v="0"/>
    <x v="4"/>
    <x v="1"/>
    <x v="0"/>
    <x v="0"/>
    <x v="0"/>
    <x v="0"/>
    <x v="0"/>
    <x v="38"/>
    <x v="24"/>
    <x v="0"/>
    <x v="0"/>
    <x v="0"/>
    <x v="0"/>
    <x v="0"/>
    <x v="0"/>
  </r>
  <r>
    <x v="17"/>
    <x v="0"/>
    <x v="160"/>
    <x v="7"/>
    <x v="0"/>
    <x v="0"/>
    <x v="3"/>
    <x v="24"/>
    <x v="49"/>
    <x v="23"/>
    <x v="69"/>
    <x v="79"/>
    <x v="3"/>
    <x v="16"/>
    <x v="45"/>
    <x v="0"/>
    <x v="3"/>
    <x v="1"/>
    <x v="0"/>
    <x v="0"/>
    <x v="0"/>
    <x v="0"/>
    <x v="0"/>
    <x v="28"/>
    <x v="24"/>
    <x v="0"/>
    <x v="0"/>
    <x v="0"/>
    <x v="0"/>
    <x v="0"/>
    <x v="0"/>
  </r>
  <r>
    <x v="17"/>
    <x v="0"/>
    <x v="160"/>
    <x v="7"/>
    <x v="0"/>
    <x v="0"/>
    <x v="2"/>
    <x v="23"/>
    <x v="49"/>
    <x v="21"/>
    <x v="61"/>
    <x v="75"/>
    <x v="2"/>
    <x v="15"/>
    <x v="41"/>
    <x v="3"/>
    <x v="2"/>
    <x v="1"/>
    <x v="0"/>
    <x v="0"/>
    <x v="0"/>
    <x v="0"/>
    <x v="0"/>
    <x v="18"/>
    <x v="23"/>
    <x v="0"/>
    <x v="0"/>
    <x v="0"/>
    <x v="0"/>
    <x v="0"/>
    <x v="0"/>
  </r>
  <r>
    <x v="17"/>
    <x v="0"/>
    <x v="161"/>
    <x v="7"/>
    <x v="0"/>
    <x v="1"/>
    <x v="6"/>
    <x v="24"/>
    <x v="49"/>
    <x v="17"/>
    <x v="65"/>
    <x v="72"/>
    <x v="6"/>
    <x v="12"/>
    <x v="38"/>
    <x v="0"/>
    <x v="6"/>
    <x v="0"/>
    <x v="0"/>
    <x v="0"/>
    <x v="0"/>
    <x v="0"/>
    <x v="0"/>
    <x v="58"/>
    <x v="24"/>
    <x v="0"/>
    <x v="0"/>
    <x v="0"/>
    <x v="0"/>
    <x v="0"/>
    <x v="0"/>
  </r>
  <r>
    <x v="17"/>
    <x v="0"/>
    <x v="161"/>
    <x v="7"/>
    <x v="0"/>
    <x v="1"/>
    <x v="5"/>
    <x v="22"/>
    <x v="49"/>
    <x v="18"/>
    <x v="71"/>
    <x v="80"/>
    <x v="5"/>
    <x v="14"/>
    <x v="44"/>
    <x v="0"/>
    <x v="5"/>
    <x v="0"/>
    <x v="0"/>
    <x v="0"/>
    <x v="0"/>
    <x v="0"/>
    <x v="0"/>
    <x v="48"/>
    <x v="22"/>
    <x v="0"/>
    <x v="0"/>
    <x v="0"/>
    <x v="0"/>
    <x v="0"/>
    <x v="0"/>
  </r>
  <r>
    <x v="17"/>
    <x v="0"/>
    <x v="161"/>
    <x v="7"/>
    <x v="0"/>
    <x v="1"/>
    <x v="4"/>
    <x v="24"/>
    <x v="49"/>
    <x v="22"/>
    <x v="72"/>
    <x v="82"/>
    <x v="4"/>
    <x v="17"/>
    <x v="46"/>
    <x v="0"/>
    <x v="4"/>
    <x v="0"/>
    <x v="0"/>
    <x v="0"/>
    <x v="0"/>
    <x v="0"/>
    <x v="0"/>
    <x v="38"/>
    <x v="24"/>
    <x v="0"/>
    <x v="0"/>
    <x v="0"/>
    <x v="0"/>
    <x v="0"/>
    <x v="0"/>
  </r>
  <r>
    <x v="17"/>
    <x v="0"/>
    <x v="161"/>
    <x v="7"/>
    <x v="0"/>
    <x v="1"/>
    <x v="3"/>
    <x v="24"/>
    <x v="49"/>
    <x v="23"/>
    <x v="69"/>
    <x v="79"/>
    <x v="3"/>
    <x v="16"/>
    <x v="45"/>
    <x v="0"/>
    <x v="3"/>
    <x v="0"/>
    <x v="0"/>
    <x v="0"/>
    <x v="0"/>
    <x v="0"/>
    <x v="0"/>
    <x v="28"/>
    <x v="24"/>
    <x v="0"/>
    <x v="0"/>
    <x v="0"/>
    <x v="0"/>
    <x v="0"/>
    <x v="0"/>
  </r>
  <r>
    <x v="17"/>
    <x v="0"/>
    <x v="161"/>
    <x v="7"/>
    <x v="0"/>
    <x v="1"/>
    <x v="2"/>
    <x v="23"/>
    <x v="49"/>
    <x v="21"/>
    <x v="61"/>
    <x v="75"/>
    <x v="2"/>
    <x v="15"/>
    <x v="41"/>
    <x v="3"/>
    <x v="2"/>
    <x v="0"/>
    <x v="0"/>
    <x v="0"/>
    <x v="0"/>
    <x v="0"/>
    <x v="0"/>
    <x v="18"/>
    <x v="23"/>
    <x v="0"/>
    <x v="0"/>
    <x v="0"/>
    <x v="0"/>
    <x v="0"/>
    <x v="0"/>
  </r>
  <r>
    <x v="23"/>
    <x v="0"/>
    <x v="162"/>
    <x v="7"/>
    <x v="0"/>
    <x v="1"/>
    <x v="1"/>
    <x v="6"/>
    <x v="33"/>
    <x v="20"/>
    <x v="52"/>
    <x v="67"/>
    <x v="1"/>
    <x v="13"/>
    <x v="23"/>
    <x v="9"/>
    <x v="1"/>
    <x v="0"/>
    <x v="0"/>
    <x v="0"/>
    <x v="0"/>
    <x v="0"/>
    <x v="0"/>
    <x v="10"/>
    <x v="6"/>
    <x v="0"/>
    <x v="0"/>
    <x v="0"/>
    <x v="0"/>
    <x v="0"/>
    <x v="0"/>
  </r>
  <r>
    <x v="23"/>
    <x v="0"/>
    <x v="163"/>
    <x v="0"/>
    <x v="0"/>
    <x v="0"/>
    <x v="6"/>
    <x v="15"/>
    <x v="33"/>
    <x v="17"/>
    <x v="37"/>
    <x v="31"/>
    <x v="6"/>
    <x v="12"/>
    <x v="18"/>
    <x v="8"/>
    <x v="6"/>
    <x v="1"/>
    <x v="0"/>
    <x v="0"/>
    <x v="0"/>
    <x v="0"/>
    <x v="0"/>
    <x v="52"/>
    <x v="15"/>
    <x v="0"/>
    <x v="0"/>
    <x v="0"/>
    <x v="0"/>
    <x v="0"/>
    <x v="0"/>
  </r>
  <r>
    <x v="23"/>
    <x v="0"/>
    <x v="163"/>
    <x v="0"/>
    <x v="0"/>
    <x v="0"/>
    <x v="5"/>
    <x v="17"/>
    <x v="33"/>
    <x v="18"/>
    <x v="38"/>
    <x v="46"/>
    <x v="5"/>
    <x v="14"/>
    <x v="32"/>
    <x v="8"/>
    <x v="5"/>
    <x v="1"/>
    <x v="0"/>
    <x v="0"/>
    <x v="0"/>
    <x v="0"/>
    <x v="0"/>
    <x v="42"/>
    <x v="17"/>
    <x v="0"/>
    <x v="0"/>
    <x v="0"/>
    <x v="0"/>
    <x v="0"/>
    <x v="0"/>
  </r>
  <r>
    <x v="23"/>
    <x v="0"/>
    <x v="163"/>
    <x v="0"/>
    <x v="0"/>
    <x v="0"/>
    <x v="4"/>
    <x v="15"/>
    <x v="33"/>
    <x v="22"/>
    <x v="39"/>
    <x v="62"/>
    <x v="4"/>
    <x v="17"/>
    <x v="36"/>
    <x v="8"/>
    <x v="4"/>
    <x v="1"/>
    <x v="0"/>
    <x v="0"/>
    <x v="0"/>
    <x v="0"/>
    <x v="0"/>
    <x v="32"/>
    <x v="15"/>
    <x v="0"/>
    <x v="0"/>
    <x v="0"/>
    <x v="0"/>
    <x v="0"/>
    <x v="0"/>
  </r>
  <r>
    <x v="23"/>
    <x v="0"/>
    <x v="163"/>
    <x v="0"/>
    <x v="0"/>
    <x v="0"/>
    <x v="3"/>
    <x v="15"/>
    <x v="33"/>
    <x v="23"/>
    <x v="38"/>
    <x v="65"/>
    <x v="3"/>
    <x v="16"/>
    <x v="34"/>
    <x v="8"/>
    <x v="3"/>
    <x v="1"/>
    <x v="0"/>
    <x v="0"/>
    <x v="0"/>
    <x v="0"/>
    <x v="0"/>
    <x v="22"/>
    <x v="15"/>
    <x v="0"/>
    <x v="0"/>
    <x v="0"/>
    <x v="0"/>
    <x v="0"/>
    <x v="0"/>
  </r>
  <r>
    <x v="23"/>
    <x v="0"/>
    <x v="163"/>
    <x v="0"/>
    <x v="0"/>
    <x v="0"/>
    <x v="2"/>
    <x v="16"/>
    <x v="33"/>
    <x v="21"/>
    <x v="36"/>
    <x v="61"/>
    <x v="2"/>
    <x v="15"/>
    <x v="33"/>
    <x v="8"/>
    <x v="2"/>
    <x v="1"/>
    <x v="0"/>
    <x v="0"/>
    <x v="0"/>
    <x v="0"/>
    <x v="0"/>
    <x v="12"/>
    <x v="16"/>
    <x v="0"/>
    <x v="0"/>
    <x v="0"/>
    <x v="0"/>
    <x v="0"/>
    <x v="0"/>
  </r>
  <r>
    <x v="23"/>
    <x v="0"/>
    <x v="164"/>
    <x v="1"/>
    <x v="0"/>
    <x v="0"/>
    <x v="6"/>
    <x v="15"/>
    <x v="36"/>
    <x v="17"/>
    <x v="47"/>
    <x v="34"/>
    <x v="6"/>
    <x v="12"/>
    <x v="18"/>
    <x v="10"/>
    <x v="6"/>
    <x v="1"/>
    <x v="0"/>
    <x v="0"/>
    <x v="0"/>
    <x v="0"/>
    <x v="0"/>
    <x v="53"/>
    <x v="15"/>
    <x v="0"/>
    <x v="0"/>
    <x v="0"/>
    <x v="0"/>
    <x v="0"/>
    <x v="0"/>
  </r>
  <r>
    <x v="23"/>
    <x v="0"/>
    <x v="164"/>
    <x v="1"/>
    <x v="0"/>
    <x v="0"/>
    <x v="5"/>
    <x v="17"/>
    <x v="36"/>
    <x v="18"/>
    <x v="52"/>
    <x v="54"/>
    <x v="5"/>
    <x v="14"/>
    <x v="32"/>
    <x v="10"/>
    <x v="5"/>
    <x v="1"/>
    <x v="0"/>
    <x v="0"/>
    <x v="0"/>
    <x v="0"/>
    <x v="0"/>
    <x v="43"/>
    <x v="17"/>
    <x v="0"/>
    <x v="0"/>
    <x v="0"/>
    <x v="0"/>
    <x v="0"/>
    <x v="0"/>
  </r>
  <r>
    <x v="23"/>
    <x v="0"/>
    <x v="164"/>
    <x v="1"/>
    <x v="0"/>
    <x v="0"/>
    <x v="4"/>
    <x v="15"/>
    <x v="36"/>
    <x v="22"/>
    <x v="53"/>
    <x v="69"/>
    <x v="4"/>
    <x v="17"/>
    <x v="36"/>
    <x v="10"/>
    <x v="4"/>
    <x v="1"/>
    <x v="0"/>
    <x v="0"/>
    <x v="0"/>
    <x v="0"/>
    <x v="0"/>
    <x v="33"/>
    <x v="15"/>
    <x v="0"/>
    <x v="0"/>
    <x v="0"/>
    <x v="0"/>
    <x v="0"/>
    <x v="0"/>
  </r>
  <r>
    <x v="23"/>
    <x v="0"/>
    <x v="164"/>
    <x v="1"/>
    <x v="0"/>
    <x v="0"/>
    <x v="3"/>
    <x v="15"/>
    <x v="36"/>
    <x v="23"/>
    <x v="48"/>
    <x v="68"/>
    <x v="3"/>
    <x v="16"/>
    <x v="34"/>
    <x v="10"/>
    <x v="3"/>
    <x v="1"/>
    <x v="0"/>
    <x v="0"/>
    <x v="0"/>
    <x v="0"/>
    <x v="0"/>
    <x v="23"/>
    <x v="15"/>
    <x v="0"/>
    <x v="0"/>
    <x v="0"/>
    <x v="0"/>
    <x v="0"/>
    <x v="0"/>
  </r>
  <r>
    <x v="23"/>
    <x v="0"/>
    <x v="164"/>
    <x v="1"/>
    <x v="0"/>
    <x v="0"/>
    <x v="2"/>
    <x v="16"/>
    <x v="36"/>
    <x v="21"/>
    <x v="43"/>
    <x v="64"/>
    <x v="2"/>
    <x v="15"/>
    <x v="33"/>
    <x v="10"/>
    <x v="2"/>
    <x v="1"/>
    <x v="0"/>
    <x v="0"/>
    <x v="0"/>
    <x v="0"/>
    <x v="0"/>
    <x v="13"/>
    <x v="16"/>
    <x v="0"/>
    <x v="0"/>
    <x v="0"/>
    <x v="0"/>
    <x v="0"/>
    <x v="0"/>
  </r>
  <r>
    <x v="15"/>
    <x v="0"/>
    <x v="165"/>
    <x v="5"/>
    <x v="0"/>
    <x v="1"/>
    <x v="6"/>
    <x v="15"/>
    <x v="10"/>
    <x v="17"/>
    <x v="12"/>
    <x v="8"/>
    <x v="6"/>
    <x v="12"/>
    <x v="18"/>
    <x v="10"/>
    <x v="6"/>
    <x v="0"/>
    <x v="0"/>
    <x v="0"/>
    <x v="0"/>
    <x v="0"/>
    <x v="0"/>
    <x v="57"/>
    <x v="15"/>
    <x v="0"/>
    <x v="0"/>
    <x v="0"/>
    <x v="0"/>
    <x v="0"/>
    <x v="0"/>
  </r>
  <r>
    <x v="15"/>
    <x v="0"/>
    <x v="165"/>
    <x v="5"/>
    <x v="0"/>
    <x v="1"/>
    <x v="5"/>
    <x v="17"/>
    <x v="10"/>
    <x v="18"/>
    <x v="10"/>
    <x v="25"/>
    <x v="5"/>
    <x v="14"/>
    <x v="32"/>
    <x v="10"/>
    <x v="5"/>
    <x v="0"/>
    <x v="0"/>
    <x v="0"/>
    <x v="0"/>
    <x v="0"/>
    <x v="0"/>
    <x v="47"/>
    <x v="17"/>
    <x v="0"/>
    <x v="0"/>
    <x v="0"/>
    <x v="0"/>
    <x v="0"/>
    <x v="0"/>
  </r>
  <r>
    <x v="15"/>
    <x v="0"/>
    <x v="165"/>
    <x v="5"/>
    <x v="0"/>
    <x v="1"/>
    <x v="4"/>
    <x v="15"/>
    <x v="10"/>
    <x v="22"/>
    <x v="8"/>
    <x v="36"/>
    <x v="4"/>
    <x v="17"/>
    <x v="36"/>
    <x v="10"/>
    <x v="4"/>
    <x v="0"/>
    <x v="0"/>
    <x v="0"/>
    <x v="0"/>
    <x v="0"/>
    <x v="0"/>
    <x v="37"/>
    <x v="15"/>
    <x v="0"/>
    <x v="0"/>
    <x v="0"/>
    <x v="0"/>
    <x v="0"/>
    <x v="0"/>
  </r>
  <r>
    <x v="15"/>
    <x v="0"/>
    <x v="165"/>
    <x v="5"/>
    <x v="0"/>
    <x v="1"/>
    <x v="3"/>
    <x v="15"/>
    <x v="10"/>
    <x v="23"/>
    <x v="9"/>
    <x v="41"/>
    <x v="3"/>
    <x v="16"/>
    <x v="34"/>
    <x v="10"/>
    <x v="3"/>
    <x v="0"/>
    <x v="0"/>
    <x v="0"/>
    <x v="0"/>
    <x v="0"/>
    <x v="0"/>
    <x v="27"/>
    <x v="15"/>
    <x v="0"/>
    <x v="0"/>
    <x v="0"/>
    <x v="0"/>
    <x v="0"/>
    <x v="0"/>
  </r>
  <r>
    <x v="15"/>
    <x v="0"/>
    <x v="165"/>
    <x v="5"/>
    <x v="0"/>
    <x v="1"/>
    <x v="2"/>
    <x v="16"/>
    <x v="10"/>
    <x v="21"/>
    <x v="11"/>
    <x v="37"/>
    <x v="2"/>
    <x v="15"/>
    <x v="33"/>
    <x v="10"/>
    <x v="2"/>
    <x v="0"/>
    <x v="0"/>
    <x v="0"/>
    <x v="0"/>
    <x v="0"/>
    <x v="0"/>
    <x v="17"/>
    <x v="16"/>
    <x v="0"/>
    <x v="0"/>
    <x v="0"/>
    <x v="0"/>
    <x v="0"/>
    <x v="0"/>
  </r>
  <r>
    <x v="4"/>
    <x v="0"/>
    <x v="166"/>
    <x v="10"/>
    <x v="0"/>
    <x v="0"/>
    <x v="23"/>
    <x v="27"/>
    <x v="22"/>
    <x v="0"/>
    <x v="24"/>
    <x v="0"/>
    <x v="23"/>
    <x v="0"/>
    <x v="0"/>
    <x v="7"/>
    <x v="23"/>
    <x v="1"/>
    <x v="0"/>
    <x v="0"/>
    <x v="0"/>
    <x v="0"/>
    <x v="0"/>
    <x v="85"/>
    <x v="27"/>
    <x v="0"/>
    <x v="0"/>
    <x v="0"/>
    <x v="0"/>
    <x v="0"/>
    <x v="0"/>
  </r>
  <r>
    <x v="4"/>
    <x v="0"/>
    <x v="166"/>
    <x v="10"/>
    <x v="0"/>
    <x v="0"/>
    <x v="22"/>
    <x v="25"/>
    <x v="22"/>
    <x v="1"/>
    <x v="25"/>
    <x v="2"/>
    <x v="22"/>
    <x v="1"/>
    <x v="1"/>
    <x v="7"/>
    <x v="22"/>
    <x v="1"/>
    <x v="0"/>
    <x v="0"/>
    <x v="0"/>
    <x v="0"/>
    <x v="0"/>
    <x v="84"/>
    <x v="25"/>
    <x v="0"/>
    <x v="0"/>
    <x v="0"/>
    <x v="0"/>
    <x v="0"/>
    <x v="0"/>
  </r>
  <r>
    <x v="4"/>
    <x v="0"/>
    <x v="166"/>
    <x v="10"/>
    <x v="0"/>
    <x v="0"/>
    <x v="21"/>
    <x v="27"/>
    <x v="22"/>
    <x v="3"/>
    <x v="29"/>
    <x v="5"/>
    <x v="19"/>
    <x v="1"/>
    <x v="1"/>
    <x v="7"/>
    <x v="21"/>
    <x v="1"/>
    <x v="0"/>
    <x v="0"/>
    <x v="0"/>
    <x v="0"/>
    <x v="0"/>
    <x v="83"/>
    <x v="27"/>
    <x v="0"/>
    <x v="0"/>
    <x v="0"/>
    <x v="0"/>
    <x v="0"/>
    <x v="0"/>
  </r>
  <r>
    <x v="4"/>
    <x v="0"/>
    <x v="166"/>
    <x v="10"/>
    <x v="0"/>
    <x v="0"/>
    <x v="20"/>
    <x v="27"/>
    <x v="22"/>
    <x v="4"/>
    <x v="27"/>
    <x v="4"/>
    <x v="20"/>
    <x v="3"/>
    <x v="3"/>
    <x v="7"/>
    <x v="20"/>
    <x v="1"/>
    <x v="0"/>
    <x v="0"/>
    <x v="0"/>
    <x v="0"/>
    <x v="0"/>
    <x v="82"/>
    <x v="27"/>
    <x v="0"/>
    <x v="0"/>
    <x v="0"/>
    <x v="0"/>
    <x v="0"/>
    <x v="0"/>
  </r>
  <r>
    <x v="4"/>
    <x v="0"/>
    <x v="166"/>
    <x v="10"/>
    <x v="0"/>
    <x v="0"/>
    <x v="19"/>
    <x v="26"/>
    <x v="22"/>
    <x v="2"/>
    <x v="22"/>
    <x v="3"/>
    <x v="21"/>
    <x v="2"/>
    <x v="2"/>
    <x v="7"/>
    <x v="19"/>
    <x v="1"/>
    <x v="0"/>
    <x v="0"/>
    <x v="0"/>
    <x v="0"/>
    <x v="0"/>
    <x v="81"/>
    <x v="26"/>
    <x v="0"/>
    <x v="0"/>
    <x v="0"/>
    <x v="0"/>
    <x v="0"/>
    <x v="0"/>
  </r>
  <r>
    <x v="6"/>
    <x v="0"/>
    <x v="167"/>
    <x v="9"/>
    <x v="0"/>
    <x v="0"/>
    <x v="6"/>
    <x v="24"/>
    <x v="26"/>
    <x v="17"/>
    <x v="58"/>
    <x v="47"/>
    <x v="6"/>
    <x v="12"/>
    <x v="17"/>
    <x v="2"/>
    <x v="6"/>
    <x v="1"/>
    <x v="0"/>
    <x v="0"/>
    <x v="0"/>
    <x v="0"/>
    <x v="0"/>
    <x v="60"/>
    <x v="24"/>
    <x v="0"/>
    <x v="0"/>
    <x v="0"/>
    <x v="0"/>
    <x v="0"/>
    <x v="0"/>
  </r>
  <r>
    <x v="6"/>
    <x v="0"/>
    <x v="167"/>
    <x v="9"/>
    <x v="0"/>
    <x v="0"/>
    <x v="5"/>
    <x v="22"/>
    <x v="26"/>
    <x v="18"/>
    <x v="59"/>
    <x v="66"/>
    <x v="5"/>
    <x v="14"/>
    <x v="26"/>
    <x v="2"/>
    <x v="5"/>
    <x v="1"/>
    <x v="0"/>
    <x v="0"/>
    <x v="0"/>
    <x v="0"/>
    <x v="0"/>
    <x v="50"/>
    <x v="22"/>
    <x v="0"/>
    <x v="0"/>
    <x v="0"/>
    <x v="0"/>
    <x v="0"/>
    <x v="0"/>
  </r>
  <r>
    <x v="6"/>
    <x v="0"/>
    <x v="167"/>
    <x v="9"/>
    <x v="0"/>
    <x v="0"/>
    <x v="4"/>
    <x v="24"/>
    <x v="26"/>
    <x v="22"/>
    <x v="60"/>
    <x v="76"/>
    <x v="4"/>
    <x v="17"/>
    <x v="31"/>
    <x v="2"/>
    <x v="4"/>
    <x v="1"/>
    <x v="0"/>
    <x v="0"/>
    <x v="0"/>
    <x v="0"/>
    <x v="0"/>
    <x v="40"/>
    <x v="24"/>
    <x v="0"/>
    <x v="0"/>
    <x v="0"/>
    <x v="0"/>
    <x v="0"/>
    <x v="0"/>
  </r>
  <r>
    <x v="6"/>
    <x v="0"/>
    <x v="167"/>
    <x v="9"/>
    <x v="0"/>
    <x v="0"/>
    <x v="3"/>
    <x v="24"/>
    <x v="26"/>
    <x v="23"/>
    <x v="64"/>
    <x v="77"/>
    <x v="3"/>
    <x v="16"/>
    <x v="30"/>
    <x v="2"/>
    <x v="3"/>
    <x v="1"/>
    <x v="0"/>
    <x v="0"/>
    <x v="0"/>
    <x v="0"/>
    <x v="0"/>
    <x v="30"/>
    <x v="24"/>
    <x v="0"/>
    <x v="0"/>
    <x v="0"/>
    <x v="0"/>
    <x v="0"/>
    <x v="0"/>
  </r>
  <r>
    <x v="6"/>
    <x v="0"/>
    <x v="167"/>
    <x v="9"/>
    <x v="0"/>
    <x v="0"/>
    <x v="2"/>
    <x v="23"/>
    <x v="26"/>
    <x v="21"/>
    <x v="67"/>
    <x v="78"/>
    <x v="2"/>
    <x v="15"/>
    <x v="28"/>
    <x v="2"/>
    <x v="2"/>
    <x v="1"/>
    <x v="0"/>
    <x v="0"/>
    <x v="0"/>
    <x v="0"/>
    <x v="0"/>
    <x v="20"/>
    <x v="23"/>
    <x v="0"/>
    <x v="0"/>
    <x v="0"/>
    <x v="0"/>
    <x v="0"/>
    <x v="0"/>
  </r>
  <r>
    <x v="2"/>
    <x v="0"/>
    <x v="168"/>
    <x v="9"/>
    <x v="0"/>
    <x v="0"/>
    <x v="1"/>
    <x v="33"/>
    <x v="43"/>
    <x v="20"/>
    <x v="70"/>
    <x v="81"/>
    <x v="1"/>
    <x v="13"/>
    <x v="19"/>
    <x v="0"/>
    <x v="1"/>
    <x v="1"/>
    <x v="0"/>
    <x v="0"/>
    <x v="0"/>
    <x v="0"/>
    <x v="0"/>
    <x v="11"/>
    <x v="33"/>
    <x v="0"/>
    <x v="0"/>
    <x v="0"/>
    <x v="0"/>
    <x v="0"/>
    <x v="0"/>
  </r>
  <r>
    <x v="2"/>
    <x v="0"/>
    <x v="168"/>
    <x v="9"/>
    <x v="0"/>
    <x v="0"/>
    <x v="0"/>
    <x v="32"/>
    <x v="43"/>
    <x v="19"/>
    <x v="73"/>
    <x v="83"/>
    <x v="0"/>
    <x v="6"/>
    <x v="4"/>
    <x v="0"/>
    <x v="0"/>
    <x v="1"/>
    <x v="0"/>
    <x v="0"/>
    <x v="0"/>
    <x v="0"/>
    <x v="0"/>
    <x v="5"/>
    <x v="32"/>
    <x v="0"/>
    <x v="0"/>
    <x v="0"/>
    <x v="0"/>
    <x v="0"/>
    <x v="0"/>
  </r>
  <r>
    <x v="2"/>
    <x v="0"/>
    <x v="169"/>
    <x v="9"/>
    <x v="0"/>
    <x v="1"/>
    <x v="1"/>
    <x v="11"/>
    <x v="36"/>
    <x v="20"/>
    <x v="70"/>
    <x v="81"/>
    <x v="1"/>
    <x v="13"/>
    <x v="19"/>
    <x v="0"/>
    <x v="1"/>
    <x v="0"/>
    <x v="0"/>
    <x v="0"/>
    <x v="0"/>
    <x v="0"/>
    <x v="0"/>
    <x v="11"/>
    <x v="11"/>
    <x v="0"/>
    <x v="0"/>
    <x v="0"/>
    <x v="0"/>
    <x v="0"/>
    <x v="0"/>
  </r>
  <r>
    <x v="2"/>
    <x v="0"/>
    <x v="169"/>
    <x v="9"/>
    <x v="0"/>
    <x v="1"/>
    <x v="0"/>
    <x v="12"/>
    <x v="36"/>
    <x v="19"/>
    <x v="73"/>
    <x v="83"/>
    <x v="0"/>
    <x v="6"/>
    <x v="4"/>
    <x v="0"/>
    <x v="0"/>
    <x v="0"/>
    <x v="0"/>
    <x v="0"/>
    <x v="0"/>
    <x v="0"/>
    <x v="0"/>
    <x v="5"/>
    <x v="12"/>
    <x v="0"/>
    <x v="0"/>
    <x v="0"/>
    <x v="0"/>
    <x v="0"/>
    <x v="0"/>
  </r>
  <r>
    <x v="2"/>
    <x v="0"/>
    <x v="170"/>
    <x v="9"/>
    <x v="0"/>
    <x v="1"/>
    <x v="1"/>
    <x v="19"/>
    <x v="36"/>
    <x v="20"/>
    <x v="70"/>
    <x v="81"/>
    <x v="1"/>
    <x v="13"/>
    <x v="19"/>
    <x v="0"/>
    <x v="1"/>
    <x v="0"/>
    <x v="0"/>
    <x v="0"/>
    <x v="0"/>
    <x v="0"/>
    <x v="0"/>
    <x v="11"/>
    <x v="19"/>
    <x v="0"/>
    <x v="0"/>
    <x v="0"/>
    <x v="0"/>
    <x v="0"/>
    <x v="0"/>
  </r>
  <r>
    <x v="2"/>
    <x v="0"/>
    <x v="170"/>
    <x v="9"/>
    <x v="0"/>
    <x v="1"/>
    <x v="0"/>
    <x v="20"/>
    <x v="36"/>
    <x v="19"/>
    <x v="73"/>
    <x v="83"/>
    <x v="0"/>
    <x v="6"/>
    <x v="4"/>
    <x v="0"/>
    <x v="0"/>
    <x v="0"/>
    <x v="0"/>
    <x v="0"/>
    <x v="0"/>
    <x v="0"/>
    <x v="0"/>
    <x v="5"/>
    <x v="20"/>
    <x v="0"/>
    <x v="0"/>
    <x v="0"/>
    <x v="0"/>
    <x v="0"/>
    <x v="0"/>
  </r>
  <r>
    <x v="5"/>
    <x v="0"/>
    <x v="171"/>
    <x v="9"/>
    <x v="0"/>
    <x v="1"/>
    <x v="1"/>
    <x v="24"/>
    <x v="36"/>
    <x v="20"/>
    <x v="70"/>
    <x v="81"/>
    <x v="1"/>
    <x v="13"/>
    <x v="19"/>
    <x v="0"/>
    <x v="1"/>
    <x v="0"/>
    <x v="0"/>
    <x v="0"/>
    <x v="0"/>
    <x v="0"/>
    <x v="0"/>
    <x v="11"/>
    <x v="24"/>
    <x v="0"/>
    <x v="0"/>
    <x v="0"/>
    <x v="0"/>
    <x v="0"/>
    <x v="0"/>
  </r>
  <r>
    <x v="5"/>
    <x v="0"/>
    <x v="171"/>
    <x v="9"/>
    <x v="0"/>
    <x v="1"/>
    <x v="0"/>
    <x v="23"/>
    <x v="36"/>
    <x v="19"/>
    <x v="73"/>
    <x v="83"/>
    <x v="0"/>
    <x v="6"/>
    <x v="4"/>
    <x v="0"/>
    <x v="0"/>
    <x v="0"/>
    <x v="0"/>
    <x v="0"/>
    <x v="0"/>
    <x v="0"/>
    <x v="0"/>
    <x v="5"/>
    <x v="23"/>
    <x v="0"/>
    <x v="0"/>
    <x v="0"/>
    <x v="0"/>
    <x v="0"/>
    <x v="0"/>
  </r>
  <r>
    <x v="6"/>
    <x v="0"/>
    <x v="172"/>
    <x v="9"/>
    <x v="0"/>
    <x v="0"/>
    <x v="6"/>
    <x v="24"/>
    <x v="26"/>
    <x v="17"/>
    <x v="58"/>
    <x v="47"/>
    <x v="6"/>
    <x v="12"/>
    <x v="17"/>
    <x v="2"/>
    <x v="6"/>
    <x v="1"/>
    <x v="0"/>
    <x v="0"/>
    <x v="0"/>
    <x v="0"/>
    <x v="0"/>
    <x v="60"/>
    <x v="24"/>
    <x v="0"/>
    <x v="0"/>
    <x v="0"/>
    <x v="0"/>
    <x v="0"/>
    <x v="0"/>
  </r>
  <r>
    <x v="6"/>
    <x v="0"/>
    <x v="172"/>
    <x v="9"/>
    <x v="0"/>
    <x v="0"/>
    <x v="5"/>
    <x v="22"/>
    <x v="26"/>
    <x v="18"/>
    <x v="59"/>
    <x v="66"/>
    <x v="5"/>
    <x v="14"/>
    <x v="26"/>
    <x v="2"/>
    <x v="5"/>
    <x v="1"/>
    <x v="0"/>
    <x v="0"/>
    <x v="0"/>
    <x v="0"/>
    <x v="0"/>
    <x v="50"/>
    <x v="22"/>
    <x v="0"/>
    <x v="0"/>
    <x v="0"/>
    <x v="0"/>
    <x v="0"/>
    <x v="0"/>
  </r>
  <r>
    <x v="6"/>
    <x v="0"/>
    <x v="172"/>
    <x v="9"/>
    <x v="0"/>
    <x v="0"/>
    <x v="4"/>
    <x v="24"/>
    <x v="26"/>
    <x v="22"/>
    <x v="60"/>
    <x v="76"/>
    <x v="4"/>
    <x v="17"/>
    <x v="31"/>
    <x v="2"/>
    <x v="4"/>
    <x v="1"/>
    <x v="0"/>
    <x v="0"/>
    <x v="0"/>
    <x v="0"/>
    <x v="0"/>
    <x v="40"/>
    <x v="24"/>
    <x v="0"/>
    <x v="0"/>
    <x v="0"/>
    <x v="0"/>
    <x v="0"/>
    <x v="0"/>
  </r>
  <r>
    <x v="6"/>
    <x v="0"/>
    <x v="172"/>
    <x v="9"/>
    <x v="0"/>
    <x v="0"/>
    <x v="3"/>
    <x v="24"/>
    <x v="26"/>
    <x v="23"/>
    <x v="64"/>
    <x v="77"/>
    <x v="3"/>
    <x v="16"/>
    <x v="30"/>
    <x v="2"/>
    <x v="3"/>
    <x v="1"/>
    <x v="0"/>
    <x v="0"/>
    <x v="0"/>
    <x v="0"/>
    <x v="0"/>
    <x v="30"/>
    <x v="24"/>
    <x v="0"/>
    <x v="0"/>
    <x v="0"/>
    <x v="0"/>
    <x v="0"/>
    <x v="0"/>
  </r>
  <r>
    <x v="6"/>
    <x v="0"/>
    <x v="172"/>
    <x v="9"/>
    <x v="0"/>
    <x v="0"/>
    <x v="2"/>
    <x v="23"/>
    <x v="26"/>
    <x v="21"/>
    <x v="67"/>
    <x v="78"/>
    <x v="2"/>
    <x v="15"/>
    <x v="28"/>
    <x v="2"/>
    <x v="2"/>
    <x v="1"/>
    <x v="0"/>
    <x v="0"/>
    <x v="0"/>
    <x v="0"/>
    <x v="0"/>
    <x v="20"/>
    <x v="23"/>
    <x v="0"/>
    <x v="0"/>
    <x v="0"/>
    <x v="0"/>
    <x v="0"/>
    <x v="0"/>
  </r>
  <r>
    <x v="6"/>
    <x v="0"/>
    <x v="173"/>
    <x v="9"/>
    <x v="0"/>
    <x v="0"/>
    <x v="1"/>
    <x v="37"/>
    <x v="40"/>
    <x v="20"/>
    <x v="70"/>
    <x v="81"/>
    <x v="1"/>
    <x v="13"/>
    <x v="19"/>
    <x v="0"/>
    <x v="1"/>
    <x v="1"/>
    <x v="0"/>
    <x v="0"/>
    <x v="0"/>
    <x v="0"/>
    <x v="0"/>
    <x v="11"/>
    <x v="37"/>
    <x v="0"/>
    <x v="0"/>
    <x v="0"/>
    <x v="0"/>
    <x v="0"/>
    <x v="0"/>
  </r>
  <r>
    <x v="6"/>
    <x v="0"/>
    <x v="173"/>
    <x v="9"/>
    <x v="0"/>
    <x v="0"/>
    <x v="0"/>
    <x v="37"/>
    <x v="40"/>
    <x v="19"/>
    <x v="73"/>
    <x v="83"/>
    <x v="0"/>
    <x v="6"/>
    <x v="4"/>
    <x v="0"/>
    <x v="0"/>
    <x v="1"/>
    <x v="0"/>
    <x v="0"/>
    <x v="0"/>
    <x v="0"/>
    <x v="0"/>
    <x v="5"/>
    <x v="37"/>
    <x v="0"/>
    <x v="0"/>
    <x v="0"/>
    <x v="0"/>
    <x v="0"/>
    <x v="0"/>
  </r>
  <r>
    <x v="5"/>
    <x v="0"/>
    <x v="174"/>
    <x v="9"/>
    <x v="0"/>
    <x v="1"/>
    <x v="1"/>
    <x v="19"/>
    <x v="36"/>
    <x v="20"/>
    <x v="70"/>
    <x v="81"/>
    <x v="1"/>
    <x v="13"/>
    <x v="19"/>
    <x v="0"/>
    <x v="1"/>
    <x v="0"/>
    <x v="0"/>
    <x v="0"/>
    <x v="0"/>
    <x v="0"/>
    <x v="0"/>
    <x v="11"/>
    <x v="19"/>
    <x v="0"/>
    <x v="0"/>
    <x v="0"/>
    <x v="0"/>
    <x v="0"/>
    <x v="0"/>
  </r>
  <r>
    <x v="5"/>
    <x v="0"/>
    <x v="174"/>
    <x v="9"/>
    <x v="0"/>
    <x v="1"/>
    <x v="0"/>
    <x v="20"/>
    <x v="36"/>
    <x v="19"/>
    <x v="73"/>
    <x v="83"/>
    <x v="0"/>
    <x v="6"/>
    <x v="4"/>
    <x v="0"/>
    <x v="0"/>
    <x v="0"/>
    <x v="0"/>
    <x v="0"/>
    <x v="0"/>
    <x v="0"/>
    <x v="0"/>
    <x v="5"/>
    <x v="20"/>
    <x v="0"/>
    <x v="0"/>
    <x v="0"/>
    <x v="0"/>
    <x v="0"/>
    <x v="0"/>
  </r>
  <r>
    <x v="23"/>
    <x v="0"/>
    <x v="175"/>
    <x v="10"/>
    <x v="0"/>
    <x v="0"/>
    <x v="2"/>
    <x v="20"/>
    <x v="19"/>
    <x v="21"/>
    <x v="21"/>
    <x v="49"/>
    <x v="2"/>
    <x v="15"/>
    <x v="33"/>
    <x v="11"/>
    <x v="2"/>
    <x v="1"/>
    <x v="0"/>
    <x v="0"/>
    <x v="0"/>
    <x v="0"/>
    <x v="0"/>
    <x v="21"/>
    <x v="20"/>
    <x v="0"/>
    <x v="0"/>
    <x v="0"/>
    <x v="0"/>
    <x v="0"/>
    <x v="0"/>
  </r>
  <r>
    <x v="23"/>
    <x v="0"/>
    <x v="175"/>
    <x v="10"/>
    <x v="0"/>
    <x v="0"/>
    <x v="3"/>
    <x v="19"/>
    <x v="19"/>
    <x v="23"/>
    <x v="23"/>
    <x v="55"/>
    <x v="3"/>
    <x v="16"/>
    <x v="34"/>
    <x v="11"/>
    <x v="3"/>
    <x v="1"/>
    <x v="0"/>
    <x v="0"/>
    <x v="0"/>
    <x v="0"/>
    <x v="0"/>
    <x v="31"/>
    <x v="19"/>
    <x v="0"/>
    <x v="0"/>
    <x v="0"/>
    <x v="0"/>
    <x v="0"/>
    <x v="0"/>
  </r>
  <r>
    <x v="23"/>
    <x v="0"/>
    <x v="175"/>
    <x v="10"/>
    <x v="0"/>
    <x v="0"/>
    <x v="4"/>
    <x v="19"/>
    <x v="19"/>
    <x v="22"/>
    <x v="26"/>
    <x v="52"/>
    <x v="4"/>
    <x v="17"/>
    <x v="36"/>
    <x v="11"/>
    <x v="4"/>
    <x v="1"/>
    <x v="0"/>
    <x v="0"/>
    <x v="0"/>
    <x v="0"/>
    <x v="0"/>
    <x v="41"/>
    <x v="19"/>
    <x v="0"/>
    <x v="0"/>
    <x v="0"/>
    <x v="0"/>
    <x v="0"/>
    <x v="0"/>
  </r>
  <r>
    <x v="23"/>
    <x v="0"/>
    <x v="175"/>
    <x v="10"/>
    <x v="0"/>
    <x v="0"/>
    <x v="5"/>
    <x v="21"/>
    <x v="19"/>
    <x v="18"/>
    <x v="28"/>
    <x v="40"/>
    <x v="5"/>
    <x v="14"/>
    <x v="32"/>
    <x v="11"/>
    <x v="5"/>
    <x v="1"/>
    <x v="0"/>
    <x v="0"/>
    <x v="0"/>
    <x v="0"/>
    <x v="0"/>
    <x v="51"/>
    <x v="21"/>
    <x v="0"/>
    <x v="0"/>
    <x v="0"/>
    <x v="0"/>
    <x v="0"/>
    <x v="0"/>
  </r>
  <r>
    <x v="23"/>
    <x v="0"/>
    <x v="175"/>
    <x v="10"/>
    <x v="0"/>
    <x v="0"/>
    <x v="6"/>
    <x v="19"/>
    <x v="19"/>
    <x v="17"/>
    <x v="25"/>
    <x v="26"/>
    <x v="6"/>
    <x v="12"/>
    <x v="18"/>
    <x v="11"/>
    <x v="6"/>
    <x v="1"/>
    <x v="0"/>
    <x v="0"/>
    <x v="0"/>
    <x v="0"/>
    <x v="0"/>
    <x v="61"/>
    <x v="19"/>
    <x v="0"/>
    <x v="0"/>
    <x v="0"/>
    <x v="0"/>
    <x v="0"/>
    <x v="0"/>
  </r>
  <r>
    <x v="15"/>
    <x v="0"/>
    <x v="176"/>
    <x v="5"/>
    <x v="0"/>
    <x v="0"/>
    <x v="2"/>
    <x v="16"/>
    <x v="12"/>
    <x v="21"/>
    <x v="11"/>
    <x v="37"/>
    <x v="2"/>
    <x v="15"/>
    <x v="33"/>
    <x v="10"/>
    <x v="2"/>
    <x v="1"/>
    <x v="0"/>
    <x v="0"/>
    <x v="0"/>
    <x v="0"/>
    <x v="0"/>
    <x v="17"/>
    <x v="16"/>
    <x v="0"/>
    <x v="0"/>
    <x v="0"/>
    <x v="0"/>
    <x v="0"/>
    <x v="0"/>
  </r>
  <r>
    <x v="15"/>
    <x v="0"/>
    <x v="176"/>
    <x v="5"/>
    <x v="0"/>
    <x v="0"/>
    <x v="3"/>
    <x v="15"/>
    <x v="12"/>
    <x v="23"/>
    <x v="9"/>
    <x v="41"/>
    <x v="3"/>
    <x v="16"/>
    <x v="34"/>
    <x v="10"/>
    <x v="3"/>
    <x v="1"/>
    <x v="0"/>
    <x v="0"/>
    <x v="0"/>
    <x v="0"/>
    <x v="0"/>
    <x v="27"/>
    <x v="15"/>
    <x v="0"/>
    <x v="0"/>
    <x v="0"/>
    <x v="0"/>
    <x v="0"/>
    <x v="0"/>
  </r>
  <r>
    <x v="15"/>
    <x v="0"/>
    <x v="176"/>
    <x v="5"/>
    <x v="0"/>
    <x v="0"/>
    <x v="4"/>
    <x v="15"/>
    <x v="12"/>
    <x v="22"/>
    <x v="8"/>
    <x v="36"/>
    <x v="4"/>
    <x v="17"/>
    <x v="36"/>
    <x v="10"/>
    <x v="4"/>
    <x v="1"/>
    <x v="0"/>
    <x v="0"/>
    <x v="0"/>
    <x v="0"/>
    <x v="0"/>
    <x v="37"/>
    <x v="15"/>
    <x v="0"/>
    <x v="0"/>
    <x v="0"/>
    <x v="0"/>
    <x v="0"/>
    <x v="0"/>
  </r>
  <r>
    <x v="15"/>
    <x v="0"/>
    <x v="176"/>
    <x v="5"/>
    <x v="0"/>
    <x v="0"/>
    <x v="5"/>
    <x v="17"/>
    <x v="12"/>
    <x v="18"/>
    <x v="10"/>
    <x v="25"/>
    <x v="5"/>
    <x v="14"/>
    <x v="32"/>
    <x v="10"/>
    <x v="5"/>
    <x v="1"/>
    <x v="0"/>
    <x v="0"/>
    <x v="0"/>
    <x v="0"/>
    <x v="0"/>
    <x v="47"/>
    <x v="17"/>
    <x v="0"/>
    <x v="0"/>
    <x v="0"/>
    <x v="0"/>
    <x v="0"/>
    <x v="0"/>
  </r>
  <r>
    <x v="15"/>
    <x v="0"/>
    <x v="176"/>
    <x v="5"/>
    <x v="0"/>
    <x v="0"/>
    <x v="6"/>
    <x v="15"/>
    <x v="12"/>
    <x v="17"/>
    <x v="12"/>
    <x v="8"/>
    <x v="6"/>
    <x v="12"/>
    <x v="18"/>
    <x v="10"/>
    <x v="6"/>
    <x v="1"/>
    <x v="0"/>
    <x v="0"/>
    <x v="0"/>
    <x v="0"/>
    <x v="0"/>
    <x v="57"/>
    <x v="15"/>
    <x v="0"/>
    <x v="0"/>
    <x v="0"/>
    <x v="0"/>
    <x v="0"/>
    <x v="0"/>
  </r>
  <r>
    <x v="6"/>
    <x v="0"/>
    <x v="177"/>
    <x v="7"/>
    <x v="0"/>
    <x v="1"/>
    <x v="2"/>
    <x v="30"/>
    <x v="46"/>
    <x v="21"/>
    <x v="61"/>
    <x v="75"/>
    <x v="2"/>
    <x v="15"/>
    <x v="41"/>
    <x v="3"/>
    <x v="2"/>
    <x v="0"/>
    <x v="0"/>
    <x v="0"/>
    <x v="0"/>
    <x v="0"/>
    <x v="0"/>
    <x v="18"/>
    <x v="30"/>
    <x v="0"/>
    <x v="0"/>
    <x v="0"/>
    <x v="0"/>
    <x v="0"/>
    <x v="0"/>
  </r>
  <r>
    <x v="6"/>
    <x v="0"/>
    <x v="177"/>
    <x v="7"/>
    <x v="0"/>
    <x v="1"/>
    <x v="3"/>
    <x v="30"/>
    <x v="46"/>
    <x v="23"/>
    <x v="69"/>
    <x v="79"/>
    <x v="3"/>
    <x v="16"/>
    <x v="45"/>
    <x v="0"/>
    <x v="3"/>
    <x v="0"/>
    <x v="0"/>
    <x v="0"/>
    <x v="0"/>
    <x v="0"/>
    <x v="0"/>
    <x v="28"/>
    <x v="30"/>
    <x v="0"/>
    <x v="0"/>
    <x v="0"/>
    <x v="0"/>
    <x v="0"/>
    <x v="0"/>
  </r>
  <r>
    <x v="6"/>
    <x v="0"/>
    <x v="177"/>
    <x v="7"/>
    <x v="0"/>
    <x v="1"/>
    <x v="4"/>
    <x v="30"/>
    <x v="46"/>
    <x v="22"/>
    <x v="72"/>
    <x v="82"/>
    <x v="4"/>
    <x v="17"/>
    <x v="46"/>
    <x v="0"/>
    <x v="4"/>
    <x v="0"/>
    <x v="0"/>
    <x v="0"/>
    <x v="0"/>
    <x v="0"/>
    <x v="0"/>
    <x v="38"/>
    <x v="30"/>
    <x v="0"/>
    <x v="0"/>
    <x v="0"/>
    <x v="0"/>
    <x v="0"/>
    <x v="0"/>
  </r>
  <r>
    <x v="6"/>
    <x v="0"/>
    <x v="177"/>
    <x v="7"/>
    <x v="0"/>
    <x v="1"/>
    <x v="5"/>
    <x v="30"/>
    <x v="46"/>
    <x v="18"/>
    <x v="71"/>
    <x v="80"/>
    <x v="5"/>
    <x v="14"/>
    <x v="44"/>
    <x v="0"/>
    <x v="5"/>
    <x v="0"/>
    <x v="0"/>
    <x v="0"/>
    <x v="0"/>
    <x v="0"/>
    <x v="0"/>
    <x v="48"/>
    <x v="30"/>
    <x v="0"/>
    <x v="0"/>
    <x v="0"/>
    <x v="0"/>
    <x v="0"/>
    <x v="0"/>
  </r>
  <r>
    <x v="6"/>
    <x v="0"/>
    <x v="177"/>
    <x v="7"/>
    <x v="0"/>
    <x v="1"/>
    <x v="6"/>
    <x v="30"/>
    <x v="46"/>
    <x v="17"/>
    <x v="65"/>
    <x v="72"/>
    <x v="6"/>
    <x v="12"/>
    <x v="38"/>
    <x v="0"/>
    <x v="6"/>
    <x v="0"/>
    <x v="0"/>
    <x v="0"/>
    <x v="0"/>
    <x v="0"/>
    <x v="0"/>
    <x v="58"/>
    <x v="30"/>
    <x v="0"/>
    <x v="0"/>
    <x v="0"/>
    <x v="0"/>
    <x v="0"/>
    <x v="0"/>
  </r>
  <r>
    <x v="6"/>
    <x v="0"/>
    <x v="178"/>
    <x v="7"/>
    <x v="0"/>
    <x v="0"/>
    <x v="2"/>
    <x v="16"/>
    <x v="63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6"/>
    <x v="0"/>
    <x v="178"/>
    <x v="7"/>
    <x v="0"/>
    <x v="0"/>
    <x v="3"/>
    <x v="15"/>
    <x v="63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6"/>
    <x v="0"/>
    <x v="178"/>
    <x v="7"/>
    <x v="0"/>
    <x v="0"/>
    <x v="4"/>
    <x v="15"/>
    <x v="63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6"/>
    <x v="0"/>
    <x v="178"/>
    <x v="7"/>
    <x v="0"/>
    <x v="0"/>
    <x v="5"/>
    <x v="17"/>
    <x v="63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6"/>
    <x v="0"/>
    <x v="178"/>
    <x v="7"/>
    <x v="0"/>
    <x v="0"/>
    <x v="6"/>
    <x v="15"/>
    <x v="63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6"/>
    <x v="0"/>
    <x v="179"/>
    <x v="7"/>
    <x v="0"/>
    <x v="0"/>
    <x v="2"/>
    <x v="14"/>
    <x v="54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6"/>
    <x v="0"/>
    <x v="179"/>
    <x v="7"/>
    <x v="0"/>
    <x v="0"/>
    <x v="3"/>
    <x v="14"/>
    <x v="54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79"/>
    <x v="7"/>
    <x v="0"/>
    <x v="0"/>
    <x v="4"/>
    <x v="14"/>
    <x v="54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79"/>
    <x v="7"/>
    <x v="0"/>
    <x v="0"/>
    <x v="5"/>
    <x v="14"/>
    <x v="54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6"/>
    <x v="0"/>
    <x v="179"/>
    <x v="7"/>
    <x v="0"/>
    <x v="0"/>
    <x v="6"/>
    <x v="14"/>
    <x v="54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6"/>
    <x v="0"/>
    <x v="180"/>
    <x v="7"/>
    <x v="0"/>
    <x v="1"/>
    <x v="2"/>
    <x v="14"/>
    <x v="54"/>
    <x v="21"/>
    <x v="61"/>
    <x v="75"/>
    <x v="2"/>
    <x v="15"/>
    <x v="41"/>
    <x v="3"/>
    <x v="2"/>
    <x v="0"/>
    <x v="0"/>
    <x v="0"/>
    <x v="0"/>
    <x v="0"/>
    <x v="0"/>
    <x v="18"/>
    <x v="14"/>
    <x v="0"/>
    <x v="0"/>
    <x v="0"/>
    <x v="0"/>
    <x v="0"/>
    <x v="0"/>
  </r>
  <r>
    <x v="6"/>
    <x v="0"/>
    <x v="180"/>
    <x v="7"/>
    <x v="0"/>
    <x v="1"/>
    <x v="3"/>
    <x v="14"/>
    <x v="54"/>
    <x v="23"/>
    <x v="69"/>
    <x v="79"/>
    <x v="3"/>
    <x v="16"/>
    <x v="45"/>
    <x v="0"/>
    <x v="3"/>
    <x v="0"/>
    <x v="0"/>
    <x v="0"/>
    <x v="0"/>
    <x v="0"/>
    <x v="0"/>
    <x v="28"/>
    <x v="14"/>
    <x v="0"/>
    <x v="0"/>
    <x v="0"/>
    <x v="0"/>
    <x v="0"/>
    <x v="0"/>
  </r>
  <r>
    <x v="6"/>
    <x v="0"/>
    <x v="180"/>
    <x v="7"/>
    <x v="0"/>
    <x v="1"/>
    <x v="4"/>
    <x v="14"/>
    <x v="54"/>
    <x v="22"/>
    <x v="72"/>
    <x v="82"/>
    <x v="4"/>
    <x v="17"/>
    <x v="46"/>
    <x v="0"/>
    <x v="4"/>
    <x v="0"/>
    <x v="0"/>
    <x v="0"/>
    <x v="0"/>
    <x v="0"/>
    <x v="0"/>
    <x v="38"/>
    <x v="14"/>
    <x v="0"/>
    <x v="0"/>
    <x v="0"/>
    <x v="0"/>
    <x v="0"/>
    <x v="0"/>
  </r>
  <r>
    <x v="6"/>
    <x v="0"/>
    <x v="180"/>
    <x v="7"/>
    <x v="0"/>
    <x v="1"/>
    <x v="5"/>
    <x v="14"/>
    <x v="54"/>
    <x v="18"/>
    <x v="71"/>
    <x v="80"/>
    <x v="5"/>
    <x v="14"/>
    <x v="44"/>
    <x v="0"/>
    <x v="5"/>
    <x v="0"/>
    <x v="0"/>
    <x v="0"/>
    <x v="0"/>
    <x v="0"/>
    <x v="0"/>
    <x v="48"/>
    <x v="14"/>
    <x v="0"/>
    <x v="0"/>
    <x v="0"/>
    <x v="0"/>
    <x v="0"/>
    <x v="0"/>
  </r>
  <r>
    <x v="6"/>
    <x v="0"/>
    <x v="180"/>
    <x v="7"/>
    <x v="0"/>
    <x v="1"/>
    <x v="6"/>
    <x v="14"/>
    <x v="54"/>
    <x v="17"/>
    <x v="65"/>
    <x v="72"/>
    <x v="6"/>
    <x v="12"/>
    <x v="38"/>
    <x v="0"/>
    <x v="6"/>
    <x v="0"/>
    <x v="0"/>
    <x v="0"/>
    <x v="0"/>
    <x v="0"/>
    <x v="0"/>
    <x v="58"/>
    <x v="14"/>
    <x v="0"/>
    <x v="0"/>
    <x v="0"/>
    <x v="0"/>
    <x v="0"/>
    <x v="0"/>
  </r>
  <r>
    <x v="0"/>
    <x v="0"/>
    <x v="181"/>
    <x v="7"/>
    <x v="0"/>
    <x v="0"/>
    <x v="2"/>
    <x v="30"/>
    <x v="46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0"/>
    <x v="0"/>
    <x v="182"/>
    <x v="7"/>
    <x v="0"/>
    <x v="0"/>
    <x v="2"/>
    <x v="14"/>
    <x v="53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3"/>
    <x v="0"/>
    <x v="183"/>
    <x v="7"/>
    <x v="0"/>
    <x v="0"/>
    <x v="2"/>
    <x v="37"/>
    <x v="46"/>
    <x v="21"/>
    <x v="61"/>
    <x v="75"/>
    <x v="2"/>
    <x v="15"/>
    <x v="41"/>
    <x v="3"/>
    <x v="2"/>
    <x v="1"/>
    <x v="0"/>
    <x v="0"/>
    <x v="0"/>
    <x v="0"/>
    <x v="0"/>
    <x v="18"/>
    <x v="37"/>
    <x v="0"/>
    <x v="0"/>
    <x v="0"/>
    <x v="0"/>
    <x v="0"/>
    <x v="0"/>
  </r>
  <r>
    <x v="2"/>
    <x v="0"/>
    <x v="184"/>
    <x v="7"/>
    <x v="0"/>
    <x v="0"/>
    <x v="2"/>
    <x v="32"/>
    <x v="64"/>
    <x v="21"/>
    <x v="61"/>
    <x v="75"/>
    <x v="2"/>
    <x v="15"/>
    <x v="41"/>
    <x v="3"/>
    <x v="2"/>
    <x v="1"/>
    <x v="0"/>
    <x v="0"/>
    <x v="0"/>
    <x v="0"/>
    <x v="0"/>
    <x v="18"/>
    <x v="32"/>
    <x v="0"/>
    <x v="0"/>
    <x v="0"/>
    <x v="0"/>
    <x v="0"/>
    <x v="0"/>
  </r>
  <r>
    <x v="2"/>
    <x v="0"/>
    <x v="184"/>
    <x v="7"/>
    <x v="0"/>
    <x v="0"/>
    <x v="3"/>
    <x v="33"/>
    <x v="64"/>
    <x v="23"/>
    <x v="69"/>
    <x v="79"/>
    <x v="3"/>
    <x v="16"/>
    <x v="45"/>
    <x v="0"/>
    <x v="3"/>
    <x v="1"/>
    <x v="0"/>
    <x v="0"/>
    <x v="0"/>
    <x v="0"/>
    <x v="0"/>
    <x v="28"/>
    <x v="33"/>
    <x v="0"/>
    <x v="0"/>
    <x v="0"/>
    <x v="0"/>
    <x v="0"/>
    <x v="0"/>
  </r>
  <r>
    <x v="2"/>
    <x v="0"/>
    <x v="184"/>
    <x v="7"/>
    <x v="0"/>
    <x v="0"/>
    <x v="4"/>
    <x v="33"/>
    <x v="64"/>
    <x v="22"/>
    <x v="72"/>
    <x v="82"/>
    <x v="4"/>
    <x v="17"/>
    <x v="46"/>
    <x v="0"/>
    <x v="4"/>
    <x v="1"/>
    <x v="0"/>
    <x v="0"/>
    <x v="0"/>
    <x v="0"/>
    <x v="0"/>
    <x v="38"/>
    <x v="33"/>
    <x v="0"/>
    <x v="0"/>
    <x v="0"/>
    <x v="0"/>
    <x v="0"/>
    <x v="0"/>
  </r>
  <r>
    <x v="2"/>
    <x v="0"/>
    <x v="184"/>
    <x v="7"/>
    <x v="0"/>
    <x v="0"/>
    <x v="5"/>
    <x v="31"/>
    <x v="64"/>
    <x v="18"/>
    <x v="71"/>
    <x v="80"/>
    <x v="5"/>
    <x v="14"/>
    <x v="44"/>
    <x v="0"/>
    <x v="5"/>
    <x v="1"/>
    <x v="0"/>
    <x v="0"/>
    <x v="0"/>
    <x v="0"/>
    <x v="0"/>
    <x v="48"/>
    <x v="31"/>
    <x v="0"/>
    <x v="0"/>
    <x v="0"/>
    <x v="0"/>
    <x v="0"/>
    <x v="0"/>
  </r>
  <r>
    <x v="2"/>
    <x v="0"/>
    <x v="184"/>
    <x v="7"/>
    <x v="0"/>
    <x v="0"/>
    <x v="6"/>
    <x v="33"/>
    <x v="64"/>
    <x v="17"/>
    <x v="65"/>
    <x v="72"/>
    <x v="6"/>
    <x v="12"/>
    <x v="38"/>
    <x v="0"/>
    <x v="6"/>
    <x v="1"/>
    <x v="0"/>
    <x v="0"/>
    <x v="0"/>
    <x v="0"/>
    <x v="0"/>
    <x v="58"/>
    <x v="33"/>
    <x v="0"/>
    <x v="0"/>
    <x v="0"/>
    <x v="0"/>
    <x v="0"/>
    <x v="0"/>
  </r>
  <r>
    <x v="2"/>
    <x v="0"/>
    <x v="185"/>
    <x v="7"/>
    <x v="0"/>
    <x v="0"/>
    <x v="2"/>
    <x v="12"/>
    <x v="65"/>
    <x v="21"/>
    <x v="61"/>
    <x v="75"/>
    <x v="2"/>
    <x v="15"/>
    <x v="41"/>
    <x v="3"/>
    <x v="2"/>
    <x v="1"/>
    <x v="0"/>
    <x v="0"/>
    <x v="0"/>
    <x v="0"/>
    <x v="0"/>
    <x v="18"/>
    <x v="12"/>
    <x v="0"/>
    <x v="0"/>
    <x v="0"/>
    <x v="0"/>
    <x v="0"/>
    <x v="0"/>
  </r>
  <r>
    <x v="2"/>
    <x v="0"/>
    <x v="185"/>
    <x v="7"/>
    <x v="0"/>
    <x v="0"/>
    <x v="3"/>
    <x v="11"/>
    <x v="65"/>
    <x v="23"/>
    <x v="69"/>
    <x v="79"/>
    <x v="3"/>
    <x v="16"/>
    <x v="45"/>
    <x v="0"/>
    <x v="3"/>
    <x v="1"/>
    <x v="0"/>
    <x v="0"/>
    <x v="0"/>
    <x v="0"/>
    <x v="0"/>
    <x v="28"/>
    <x v="11"/>
    <x v="0"/>
    <x v="0"/>
    <x v="0"/>
    <x v="0"/>
    <x v="0"/>
    <x v="0"/>
  </r>
  <r>
    <x v="2"/>
    <x v="0"/>
    <x v="185"/>
    <x v="7"/>
    <x v="0"/>
    <x v="0"/>
    <x v="4"/>
    <x v="11"/>
    <x v="65"/>
    <x v="22"/>
    <x v="72"/>
    <x v="82"/>
    <x v="4"/>
    <x v="17"/>
    <x v="46"/>
    <x v="0"/>
    <x v="4"/>
    <x v="1"/>
    <x v="0"/>
    <x v="0"/>
    <x v="0"/>
    <x v="0"/>
    <x v="0"/>
    <x v="38"/>
    <x v="11"/>
    <x v="0"/>
    <x v="0"/>
    <x v="0"/>
    <x v="0"/>
    <x v="0"/>
    <x v="0"/>
  </r>
  <r>
    <x v="2"/>
    <x v="0"/>
    <x v="185"/>
    <x v="7"/>
    <x v="0"/>
    <x v="0"/>
    <x v="5"/>
    <x v="13"/>
    <x v="65"/>
    <x v="18"/>
    <x v="71"/>
    <x v="80"/>
    <x v="5"/>
    <x v="14"/>
    <x v="44"/>
    <x v="0"/>
    <x v="5"/>
    <x v="1"/>
    <x v="0"/>
    <x v="0"/>
    <x v="0"/>
    <x v="0"/>
    <x v="0"/>
    <x v="48"/>
    <x v="13"/>
    <x v="0"/>
    <x v="0"/>
    <x v="0"/>
    <x v="0"/>
    <x v="0"/>
    <x v="0"/>
  </r>
  <r>
    <x v="2"/>
    <x v="0"/>
    <x v="185"/>
    <x v="7"/>
    <x v="0"/>
    <x v="0"/>
    <x v="6"/>
    <x v="11"/>
    <x v="65"/>
    <x v="17"/>
    <x v="65"/>
    <x v="72"/>
    <x v="6"/>
    <x v="12"/>
    <x v="38"/>
    <x v="0"/>
    <x v="6"/>
    <x v="1"/>
    <x v="0"/>
    <x v="0"/>
    <x v="0"/>
    <x v="0"/>
    <x v="0"/>
    <x v="58"/>
    <x v="11"/>
    <x v="0"/>
    <x v="0"/>
    <x v="0"/>
    <x v="0"/>
    <x v="0"/>
    <x v="0"/>
  </r>
  <r>
    <x v="6"/>
    <x v="0"/>
    <x v="186"/>
    <x v="7"/>
    <x v="0"/>
    <x v="0"/>
    <x v="3"/>
    <x v="14"/>
    <x v="64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6"/>
    <x v="0"/>
    <x v="186"/>
    <x v="7"/>
    <x v="0"/>
    <x v="0"/>
    <x v="4"/>
    <x v="14"/>
    <x v="64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6"/>
    <x v="0"/>
    <x v="186"/>
    <x v="7"/>
    <x v="0"/>
    <x v="0"/>
    <x v="5"/>
    <x v="14"/>
    <x v="64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23"/>
    <x v="0"/>
    <x v="187"/>
    <x v="7"/>
    <x v="0"/>
    <x v="1"/>
    <x v="1"/>
    <x v="3"/>
    <x v="33"/>
    <x v="20"/>
    <x v="52"/>
    <x v="67"/>
    <x v="1"/>
    <x v="13"/>
    <x v="23"/>
    <x v="9"/>
    <x v="1"/>
    <x v="0"/>
    <x v="0"/>
    <x v="0"/>
    <x v="0"/>
    <x v="0"/>
    <x v="0"/>
    <x v="10"/>
    <x v="3"/>
    <x v="0"/>
    <x v="0"/>
    <x v="0"/>
    <x v="0"/>
    <x v="0"/>
    <x v="0"/>
  </r>
  <r>
    <x v="0"/>
    <x v="0"/>
    <x v="188"/>
    <x v="9"/>
    <x v="0"/>
    <x v="0"/>
    <x v="0"/>
    <x v="26"/>
    <x v="36"/>
    <x v="19"/>
    <x v="73"/>
    <x v="83"/>
    <x v="0"/>
    <x v="6"/>
    <x v="4"/>
    <x v="0"/>
    <x v="0"/>
    <x v="1"/>
    <x v="0"/>
    <x v="0"/>
    <x v="0"/>
    <x v="0"/>
    <x v="0"/>
    <x v="5"/>
    <x v="26"/>
    <x v="0"/>
    <x v="0"/>
    <x v="0"/>
    <x v="0"/>
    <x v="0"/>
    <x v="0"/>
  </r>
  <r>
    <x v="9"/>
    <x v="0"/>
    <x v="189"/>
    <x v="7"/>
    <x v="0"/>
    <x v="0"/>
    <x v="7"/>
    <x v="7"/>
    <x v="40"/>
    <x v="14"/>
    <x v="56"/>
    <x v="30"/>
    <x v="7"/>
    <x v="11"/>
    <x v="11"/>
    <x v="6"/>
    <x v="7"/>
    <x v="1"/>
    <x v="0"/>
    <x v="0"/>
    <x v="0"/>
    <x v="0"/>
    <x v="0"/>
    <x v="63"/>
    <x v="7"/>
    <x v="0"/>
    <x v="0"/>
    <x v="0"/>
    <x v="0"/>
    <x v="0"/>
    <x v="0"/>
  </r>
  <r>
    <x v="21"/>
    <x v="0"/>
    <x v="190"/>
    <x v="7"/>
    <x v="0"/>
    <x v="1"/>
    <x v="2"/>
    <x v="37"/>
    <x v="45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21"/>
    <x v="0"/>
    <x v="190"/>
    <x v="7"/>
    <x v="0"/>
    <x v="1"/>
    <x v="3"/>
    <x v="37"/>
    <x v="45"/>
    <x v="23"/>
    <x v="69"/>
    <x v="79"/>
    <x v="3"/>
    <x v="16"/>
    <x v="45"/>
    <x v="0"/>
    <x v="3"/>
    <x v="0"/>
    <x v="0"/>
    <x v="0"/>
    <x v="0"/>
    <x v="0"/>
    <x v="0"/>
    <x v="28"/>
    <x v="37"/>
    <x v="0"/>
    <x v="0"/>
    <x v="0"/>
    <x v="0"/>
    <x v="0"/>
    <x v="0"/>
  </r>
  <r>
    <x v="21"/>
    <x v="0"/>
    <x v="190"/>
    <x v="7"/>
    <x v="0"/>
    <x v="1"/>
    <x v="4"/>
    <x v="37"/>
    <x v="45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21"/>
    <x v="0"/>
    <x v="190"/>
    <x v="7"/>
    <x v="0"/>
    <x v="1"/>
    <x v="5"/>
    <x v="37"/>
    <x v="45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21"/>
    <x v="0"/>
    <x v="190"/>
    <x v="7"/>
    <x v="0"/>
    <x v="1"/>
    <x v="6"/>
    <x v="37"/>
    <x v="45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0"/>
    <x v="0"/>
    <x v="191"/>
    <x v="7"/>
    <x v="0"/>
    <x v="0"/>
    <x v="2"/>
    <x v="16"/>
    <x v="66"/>
    <x v="21"/>
    <x v="61"/>
    <x v="75"/>
    <x v="2"/>
    <x v="15"/>
    <x v="41"/>
    <x v="3"/>
    <x v="2"/>
    <x v="1"/>
    <x v="0"/>
    <x v="0"/>
    <x v="0"/>
    <x v="0"/>
    <x v="0"/>
    <x v="18"/>
    <x v="16"/>
    <x v="0"/>
    <x v="0"/>
    <x v="0"/>
    <x v="0"/>
    <x v="0"/>
    <x v="0"/>
  </r>
  <r>
    <x v="0"/>
    <x v="0"/>
    <x v="191"/>
    <x v="7"/>
    <x v="0"/>
    <x v="0"/>
    <x v="3"/>
    <x v="15"/>
    <x v="66"/>
    <x v="23"/>
    <x v="69"/>
    <x v="79"/>
    <x v="3"/>
    <x v="16"/>
    <x v="45"/>
    <x v="0"/>
    <x v="3"/>
    <x v="1"/>
    <x v="0"/>
    <x v="0"/>
    <x v="0"/>
    <x v="0"/>
    <x v="0"/>
    <x v="28"/>
    <x v="15"/>
    <x v="0"/>
    <x v="0"/>
    <x v="0"/>
    <x v="0"/>
    <x v="0"/>
    <x v="0"/>
  </r>
  <r>
    <x v="0"/>
    <x v="0"/>
    <x v="191"/>
    <x v="7"/>
    <x v="0"/>
    <x v="0"/>
    <x v="4"/>
    <x v="15"/>
    <x v="66"/>
    <x v="22"/>
    <x v="72"/>
    <x v="82"/>
    <x v="4"/>
    <x v="17"/>
    <x v="46"/>
    <x v="0"/>
    <x v="4"/>
    <x v="1"/>
    <x v="0"/>
    <x v="0"/>
    <x v="0"/>
    <x v="0"/>
    <x v="0"/>
    <x v="38"/>
    <x v="15"/>
    <x v="0"/>
    <x v="0"/>
    <x v="0"/>
    <x v="0"/>
    <x v="0"/>
    <x v="0"/>
  </r>
  <r>
    <x v="0"/>
    <x v="0"/>
    <x v="191"/>
    <x v="7"/>
    <x v="0"/>
    <x v="0"/>
    <x v="5"/>
    <x v="17"/>
    <x v="66"/>
    <x v="18"/>
    <x v="71"/>
    <x v="80"/>
    <x v="5"/>
    <x v="14"/>
    <x v="44"/>
    <x v="0"/>
    <x v="5"/>
    <x v="1"/>
    <x v="0"/>
    <x v="0"/>
    <x v="0"/>
    <x v="0"/>
    <x v="0"/>
    <x v="48"/>
    <x v="17"/>
    <x v="0"/>
    <x v="0"/>
    <x v="0"/>
    <x v="0"/>
    <x v="0"/>
    <x v="0"/>
  </r>
  <r>
    <x v="0"/>
    <x v="0"/>
    <x v="191"/>
    <x v="7"/>
    <x v="0"/>
    <x v="0"/>
    <x v="6"/>
    <x v="15"/>
    <x v="66"/>
    <x v="17"/>
    <x v="65"/>
    <x v="72"/>
    <x v="6"/>
    <x v="12"/>
    <x v="38"/>
    <x v="0"/>
    <x v="6"/>
    <x v="1"/>
    <x v="0"/>
    <x v="0"/>
    <x v="0"/>
    <x v="0"/>
    <x v="0"/>
    <x v="58"/>
    <x v="15"/>
    <x v="0"/>
    <x v="0"/>
    <x v="0"/>
    <x v="0"/>
    <x v="0"/>
    <x v="0"/>
  </r>
  <r>
    <x v="6"/>
    <x v="0"/>
    <x v="192"/>
    <x v="4"/>
    <x v="0"/>
    <x v="0"/>
    <x v="0"/>
    <x v="26"/>
    <x v="3"/>
    <x v="19"/>
    <x v="0"/>
    <x v="1"/>
    <x v="0"/>
    <x v="6"/>
    <x v="5"/>
    <x v="1"/>
    <x v="0"/>
    <x v="1"/>
    <x v="0"/>
    <x v="0"/>
    <x v="0"/>
    <x v="0"/>
    <x v="0"/>
    <x v="2"/>
    <x v="26"/>
    <x v="0"/>
    <x v="0"/>
    <x v="0"/>
    <x v="0"/>
    <x v="0"/>
    <x v="0"/>
  </r>
  <r>
    <x v="6"/>
    <x v="0"/>
    <x v="192"/>
    <x v="4"/>
    <x v="0"/>
    <x v="0"/>
    <x v="1"/>
    <x v="27"/>
    <x v="3"/>
    <x v="20"/>
    <x v="1"/>
    <x v="7"/>
    <x v="1"/>
    <x v="13"/>
    <x v="21"/>
    <x v="1"/>
    <x v="1"/>
    <x v="1"/>
    <x v="0"/>
    <x v="0"/>
    <x v="0"/>
    <x v="0"/>
    <x v="0"/>
    <x v="8"/>
    <x v="27"/>
    <x v="0"/>
    <x v="0"/>
    <x v="0"/>
    <x v="0"/>
    <x v="0"/>
    <x v="0"/>
  </r>
  <r>
    <x v="6"/>
    <x v="0"/>
    <x v="193"/>
    <x v="4"/>
    <x v="0"/>
    <x v="0"/>
    <x v="0"/>
    <x v="16"/>
    <x v="1"/>
    <x v="19"/>
    <x v="0"/>
    <x v="1"/>
    <x v="0"/>
    <x v="6"/>
    <x v="5"/>
    <x v="1"/>
    <x v="0"/>
    <x v="1"/>
    <x v="0"/>
    <x v="0"/>
    <x v="0"/>
    <x v="0"/>
    <x v="0"/>
    <x v="2"/>
    <x v="16"/>
    <x v="0"/>
    <x v="0"/>
    <x v="0"/>
    <x v="0"/>
    <x v="0"/>
    <x v="0"/>
  </r>
  <r>
    <x v="6"/>
    <x v="0"/>
    <x v="193"/>
    <x v="4"/>
    <x v="0"/>
    <x v="0"/>
    <x v="1"/>
    <x v="15"/>
    <x v="1"/>
    <x v="20"/>
    <x v="1"/>
    <x v="7"/>
    <x v="1"/>
    <x v="13"/>
    <x v="21"/>
    <x v="1"/>
    <x v="1"/>
    <x v="1"/>
    <x v="0"/>
    <x v="0"/>
    <x v="0"/>
    <x v="0"/>
    <x v="0"/>
    <x v="8"/>
    <x v="15"/>
    <x v="0"/>
    <x v="0"/>
    <x v="0"/>
    <x v="0"/>
    <x v="0"/>
    <x v="0"/>
  </r>
  <r>
    <x v="6"/>
    <x v="0"/>
    <x v="194"/>
    <x v="7"/>
    <x v="0"/>
    <x v="0"/>
    <x v="6"/>
    <x v="41"/>
    <x v="59"/>
    <x v="17"/>
    <x v="65"/>
    <x v="72"/>
    <x v="6"/>
    <x v="12"/>
    <x v="38"/>
    <x v="0"/>
    <x v="6"/>
    <x v="1"/>
    <x v="0"/>
    <x v="0"/>
    <x v="0"/>
    <x v="0"/>
    <x v="0"/>
    <x v="58"/>
    <x v="41"/>
    <x v="0"/>
    <x v="0"/>
    <x v="0"/>
    <x v="0"/>
    <x v="0"/>
    <x v="0"/>
  </r>
  <r>
    <x v="2"/>
    <x v="0"/>
    <x v="195"/>
    <x v="9"/>
    <x v="0"/>
    <x v="0"/>
    <x v="0"/>
    <x v="28"/>
    <x v="36"/>
    <x v="19"/>
    <x v="73"/>
    <x v="83"/>
    <x v="0"/>
    <x v="6"/>
    <x v="4"/>
    <x v="0"/>
    <x v="0"/>
    <x v="1"/>
    <x v="0"/>
    <x v="0"/>
    <x v="0"/>
    <x v="0"/>
    <x v="0"/>
    <x v="5"/>
    <x v="28"/>
    <x v="0"/>
    <x v="0"/>
    <x v="0"/>
    <x v="0"/>
    <x v="0"/>
    <x v="0"/>
  </r>
  <r>
    <x v="2"/>
    <x v="0"/>
    <x v="195"/>
    <x v="9"/>
    <x v="0"/>
    <x v="0"/>
    <x v="1"/>
    <x v="29"/>
    <x v="36"/>
    <x v="20"/>
    <x v="70"/>
    <x v="81"/>
    <x v="1"/>
    <x v="13"/>
    <x v="19"/>
    <x v="0"/>
    <x v="1"/>
    <x v="1"/>
    <x v="0"/>
    <x v="0"/>
    <x v="0"/>
    <x v="0"/>
    <x v="0"/>
    <x v="11"/>
    <x v="29"/>
    <x v="0"/>
    <x v="0"/>
    <x v="0"/>
    <x v="0"/>
    <x v="0"/>
    <x v="0"/>
  </r>
  <r>
    <x v="4"/>
    <x v="0"/>
    <x v="196"/>
    <x v="7"/>
    <x v="0"/>
    <x v="1"/>
    <x v="7"/>
    <x v="26"/>
    <x v="26"/>
    <x v="14"/>
    <x v="56"/>
    <x v="30"/>
    <x v="7"/>
    <x v="11"/>
    <x v="11"/>
    <x v="6"/>
    <x v="7"/>
    <x v="0"/>
    <x v="0"/>
    <x v="0"/>
    <x v="0"/>
    <x v="0"/>
    <x v="0"/>
    <x v="63"/>
    <x v="26"/>
    <x v="0"/>
    <x v="0"/>
    <x v="0"/>
    <x v="0"/>
    <x v="0"/>
    <x v="0"/>
  </r>
  <r>
    <x v="4"/>
    <x v="0"/>
    <x v="196"/>
    <x v="7"/>
    <x v="0"/>
    <x v="1"/>
    <x v="8"/>
    <x v="27"/>
    <x v="26"/>
    <x v="12"/>
    <x v="51"/>
    <x v="19"/>
    <x v="8"/>
    <x v="8"/>
    <x v="8"/>
    <x v="6"/>
    <x v="8"/>
    <x v="0"/>
    <x v="0"/>
    <x v="0"/>
    <x v="0"/>
    <x v="0"/>
    <x v="0"/>
    <x v="65"/>
    <x v="27"/>
    <x v="0"/>
    <x v="0"/>
    <x v="0"/>
    <x v="0"/>
    <x v="0"/>
    <x v="0"/>
  </r>
  <r>
    <x v="4"/>
    <x v="0"/>
    <x v="196"/>
    <x v="7"/>
    <x v="0"/>
    <x v="1"/>
    <x v="9"/>
    <x v="26"/>
    <x v="26"/>
    <x v="11"/>
    <x v="50"/>
    <x v="17"/>
    <x v="9"/>
    <x v="6"/>
    <x v="6"/>
    <x v="6"/>
    <x v="9"/>
    <x v="0"/>
    <x v="0"/>
    <x v="0"/>
    <x v="0"/>
    <x v="0"/>
    <x v="0"/>
    <x v="67"/>
    <x v="26"/>
    <x v="0"/>
    <x v="0"/>
    <x v="0"/>
    <x v="0"/>
    <x v="0"/>
    <x v="0"/>
  </r>
  <r>
    <x v="4"/>
    <x v="0"/>
    <x v="196"/>
    <x v="7"/>
    <x v="0"/>
    <x v="1"/>
    <x v="10"/>
    <x v="27"/>
    <x v="26"/>
    <x v="9"/>
    <x v="54"/>
    <x v="21"/>
    <x v="10"/>
    <x v="6"/>
    <x v="6"/>
    <x v="6"/>
    <x v="10"/>
    <x v="0"/>
    <x v="0"/>
    <x v="0"/>
    <x v="0"/>
    <x v="0"/>
    <x v="0"/>
    <x v="69"/>
    <x v="27"/>
    <x v="0"/>
    <x v="0"/>
    <x v="0"/>
    <x v="0"/>
    <x v="0"/>
    <x v="0"/>
  </r>
  <r>
    <x v="4"/>
    <x v="0"/>
    <x v="196"/>
    <x v="7"/>
    <x v="0"/>
    <x v="1"/>
    <x v="11"/>
    <x v="27"/>
    <x v="26"/>
    <x v="10"/>
    <x v="54"/>
    <x v="22"/>
    <x v="11"/>
    <x v="6"/>
    <x v="6"/>
    <x v="6"/>
    <x v="11"/>
    <x v="0"/>
    <x v="0"/>
    <x v="0"/>
    <x v="0"/>
    <x v="0"/>
    <x v="0"/>
    <x v="71"/>
    <x v="27"/>
    <x v="0"/>
    <x v="0"/>
    <x v="0"/>
    <x v="0"/>
    <x v="0"/>
    <x v="0"/>
  </r>
  <r>
    <x v="4"/>
    <x v="0"/>
    <x v="196"/>
    <x v="7"/>
    <x v="0"/>
    <x v="1"/>
    <x v="12"/>
    <x v="26"/>
    <x v="26"/>
    <x v="8"/>
    <x v="50"/>
    <x v="16"/>
    <x v="12"/>
    <x v="6"/>
    <x v="6"/>
    <x v="6"/>
    <x v="12"/>
    <x v="0"/>
    <x v="0"/>
    <x v="0"/>
    <x v="0"/>
    <x v="0"/>
    <x v="0"/>
    <x v="73"/>
    <x v="26"/>
    <x v="0"/>
    <x v="0"/>
    <x v="0"/>
    <x v="0"/>
    <x v="0"/>
    <x v="0"/>
  </r>
  <r>
    <x v="4"/>
    <x v="0"/>
    <x v="196"/>
    <x v="7"/>
    <x v="0"/>
    <x v="1"/>
    <x v="13"/>
    <x v="27"/>
    <x v="26"/>
    <x v="7"/>
    <x v="55"/>
    <x v="18"/>
    <x v="13"/>
    <x v="7"/>
    <x v="7"/>
    <x v="6"/>
    <x v="13"/>
    <x v="0"/>
    <x v="0"/>
    <x v="0"/>
    <x v="0"/>
    <x v="0"/>
    <x v="0"/>
    <x v="75"/>
    <x v="27"/>
    <x v="0"/>
    <x v="0"/>
    <x v="0"/>
    <x v="0"/>
    <x v="0"/>
    <x v="0"/>
  </r>
  <r>
    <x v="17"/>
    <x v="0"/>
    <x v="197"/>
    <x v="7"/>
    <x v="0"/>
    <x v="0"/>
    <x v="7"/>
    <x v="30"/>
    <x v="40"/>
    <x v="14"/>
    <x v="56"/>
    <x v="30"/>
    <x v="7"/>
    <x v="11"/>
    <x v="11"/>
    <x v="6"/>
    <x v="7"/>
    <x v="1"/>
    <x v="0"/>
    <x v="0"/>
    <x v="0"/>
    <x v="0"/>
    <x v="0"/>
    <x v="63"/>
    <x v="30"/>
    <x v="0"/>
    <x v="0"/>
    <x v="0"/>
    <x v="0"/>
    <x v="0"/>
    <x v="0"/>
  </r>
  <r>
    <x v="20"/>
    <x v="0"/>
    <x v="198"/>
    <x v="10"/>
    <x v="0"/>
    <x v="0"/>
    <x v="2"/>
    <x v="4"/>
    <x v="18"/>
    <x v="21"/>
    <x v="21"/>
    <x v="49"/>
    <x v="2"/>
    <x v="15"/>
    <x v="33"/>
    <x v="11"/>
    <x v="2"/>
    <x v="1"/>
    <x v="0"/>
    <x v="0"/>
    <x v="0"/>
    <x v="0"/>
    <x v="0"/>
    <x v="21"/>
    <x v="4"/>
    <x v="0"/>
    <x v="0"/>
    <x v="0"/>
    <x v="0"/>
    <x v="0"/>
    <x v="0"/>
  </r>
  <r>
    <x v="20"/>
    <x v="0"/>
    <x v="198"/>
    <x v="10"/>
    <x v="0"/>
    <x v="0"/>
    <x v="3"/>
    <x v="3"/>
    <x v="18"/>
    <x v="23"/>
    <x v="23"/>
    <x v="55"/>
    <x v="3"/>
    <x v="16"/>
    <x v="34"/>
    <x v="11"/>
    <x v="3"/>
    <x v="1"/>
    <x v="0"/>
    <x v="0"/>
    <x v="0"/>
    <x v="0"/>
    <x v="0"/>
    <x v="31"/>
    <x v="3"/>
    <x v="0"/>
    <x v="0"/>
    <x v="0"/>
    <x v="0"/>
    <x v="0"/>
    <x v="0"/>
  </r>
  <r>
    <x v="20"/>
    <x v="0"/>
    <x v="198"/>
    <x v="10"/>
    <x v="0"/>
    <x v="0"/>
    <x v="4"/>
    <x v="3"/>
    <x v="18"/>
    <x v="22"/>
    <x v="26"/>
    <x v="52"/>
    <x v="4"/>
    <x v="17"/>
    <x v="36"/>
    <x v="11"/>
    <x v="4"/>
    <x v="1"/>
    <x v="0"/>
    <x v="0"/>
    <x v="0"/>
    <x v="0"/>
    <x v="0"/>
    <x v="41"/>
    <x v="3"/>
    <x v="0"/>
    <x v="0"/>
    <x v="0"/>
    <x v="0"/>
    <x v="0"/>
    <x v="0"/>
  </r>
  <r>
    <x v="20"/>
    <x v="0"/>
    <x v="198"/>
    <x v="10"/>
    <x v="0"/>
    <x v="0"/>
    <x v="5"/>
    <x v="5"/>
    <x v="18"/>
    <x v="18"/>
    <x v="28"/>
    <x v="40"/>
    <x v="5"/>
    <x v="14"/>
    <x v="32"/>
    <x v="11"/>
    <x v="5"/>
    <x v="1"/>
    <x v="0"/>
    <x v="0"/>
    <x v="0"/>
    <x v="0"/>
    <x v="0"/>
    <x v="51"/>
    <x v="5"/>
    <x v="0"/>
    <x v="0"/>
    <x v="0"/>
    <x v="0"/>
    <x v="0"/>
    <x v="0"/>
  </r>
  <r>
    <x v="20"/>
    <x v="0"/>
    <x v="198"/>
    <x v="10"/>
    <x v="0"/>
    <x v="0"/>
    <x v="6"/>
    <x v="3"/>
    <x v="18"/>
    <x v="17"/>
    <x v="25"/>
    <x v="26"/>
    <x v="6"/>
    <x v="12"/>
    <x v="18"/>
    <x v="11"/>
    <x v="6"/>
    <x v="1"/>
    <x v="0"/>
    <x v="0"/>
    <x v="0"/>
    <x v="0"/>
    <x v="0"/>
    <x v="61"/>
    <x v="3"/>
    <x v="0"/>
    <x v="0"/>
    <x v="0"/>
    <x v="0"/>
    <x v="0"/>
    <x v="0"/>
  </r>
  <r>
    <x v="11"/>
    <x v="0"/>
    <x v="199"/>
    <x v="10"/>
    <x v="0"/>
    <x v="0"/>
    <x v="2"/>
    <x v="16"/>
    <x v="18"/>
    <x v="21"/>
    <x v="21"/>
    <x v="49"/>
    <x v="2"/>
    <x v="15"/>
    <x v="33"/>
    <x v="11"/>
    <x v="2"/>
    <x v="1"/>
    <x v="0"/>
    <x v="0"/>
    <x v="0"/>
    <x v="0"/>
    <x v="0"/>
    <x v="21"/>
    <x v="16"/>
    <x v="0"/>
    <x v="0"/>
    <x v="0"/>
    <x v="0"/>
    <x v="0"/>
    <x v="0"/>
  </r>
  <r>
    <x v="11"/>
    <x v="0"/>
    <x v="199"/>
    <x v="10"/>
    <x v="0"/>
    <x v="0"/>
    <x v="3"/>
    <x v="15"/>
    <x v="18"/>
    <x v="23"/>
    <x v="23"/>
    <x v="55"/>
    <x v="3"/>
    <x v="16"/>
    <x v="34"/>
    <x v="11"/>
    <x v="3"/>
    <x v="1"/>
    <x v="0"/>
    <x v="0"/>
    <x v="0"/>
    <x v="0"/>
    <x v="0"/>
    <x v="31"/>
    <x v="15"/>
    <x v="0"/>
    <x v="0"/>
    <x v="0"/>
    <x v="0"/>
    <x v="0"/>
    <x v="0"/>
  </r>
  <r>
    <x v="11"/>
    <x v="0"/>
    <x v="199"/>
    <x v="10"/>
    <x v="0"/>
    <x v="0"/>
    <x v="4"/>
    <x v="15"/>
    <x v="18"/>
    <x v="22"/>
    <x v="26"/>
    <x v="52"/>
    <x v="4"/>
    <x v="17"/>
    <x v="36"/>
    <x v="11"/>
    <x v="4"/>
    <x v="1"/>
    <x v="0"/>
    <x v="0"/>
    <x v="0"/>
    <x v="0"/>
    <x v="0"/>
    <x v="41"/>
    <x v="15"/>
    <x v="0"/>
    <x v="0"/>
    <x v="0"/>
    <x v="0"/>
    <x v="0"/>
    <x v="0"/>
  </r>
  <r>
    <x v="11"/>
    <x v="0"/>
    <x v="199"/>
    <x v="10"/>
    <x v="0"/>
    <x v="0"/>
    <x v="5"/>
    <x v="17"/>
    <x v="18"/>
    <x v="18"/>
    <x v="28"/>
    <x v="40"/>
    <x v="5"/>
    <x v="14"/>
    <x v="32"/>
    <x v="11"/>
    <x v="5"/>
    <x v="1"/>
    <x v="0"/>
    <x v="0"/>
    <x v="0"/>
    <x v="0"/>
    <x v="0"/>
    <x v="51"/>
    <x v="17"/>
    <x v="0"/>
    <x v="0"/>
    <x v="0"/>
    <x v="0"/>
    <x v="0"/>
    <x v="0"/>
  </r>
  <r>
    <x v="11"/>
    <x v="0"/>
    <x v="199"/>
    <x v="10"/>
    <x v="0"/>
    <x v="0"/>
    <x v="6"/>
    <x v="15"/>
    <x v="18"/>
    <x v="17"/>
    <x v="25"/>
    <x v="26"/>
    <x v="6"/>
    <x v="12"/>
    <x v="18"/>
    <x v="11"/>
    <x v="6"/>
    <x v="1"/>
    <x v="0"/>
    <x v="0"/>
    <x v="0"/>
    <x v="0"/>
    <x v="0"/>
    <x v="61"/>
    <x v="15"/>
    <x v="0"/>
    <x v="0"/>
    <x v="0"/>
    <x v="0"/>
    <x v="0"/>
    <x v="0"/>
  </r>
  <r>
    <x v="3"/>
    <x v="0"/>
    <x v="200"/>
    <x v="7"/>
    <x v="0"/>
    <x v="0"/>
    <x v="1"/>
    <x v="40"/>
    <x v="36"/>
    <x v="20"/>
    <x v="52"/>
    <x v="67"/>
    <x v="1"/>
    <x v="13"/>
    <x v="23"/>
    <x v="9"/>
    <x v="1"/>
    <x v="1"/>
    <x v="0"/>
    <x v="0"/>
    <x v="0"/>
    <x v="0"/>
    <x v="0"/>
    <x v="10"/>
    <x v="40"/>
    <x v="0"/>
    <x v="0"/>
    <x v="0"/>
    <x v="0"/>
    <x v="0"/>
    <x v="0"/>
  </r>
  <r>
    <x v="15"/>
    <x v="0"/>
    <x v="201"/>
    <x v="7"/>
    <x v="0"/>
    <x v="0"/>
    <x v="2"/>
    <x v="26"/>
    <x v="63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15"/>
    <x v="0"/>
    <x v="201"/>
    <x v="7"/>
    <x v="0"/>
    <x v="0"/>
    <x v="3"/>
    <x v="27"/>
    <x v="63"/>
    <x v="23"/>
    <x v="69"/>
    <x v="79"/>
    <x v="3"/>
    <x v="16"/>
    <x v="45"/>
    <x v="0"/>
    <x v="3"/>
    <x v="1"/>
    <x v="0"/>
    <x v="0"/>
    <x v="0"/>
    <x v="0"/>
    <x v="0"/>
    <x v="28"/>
    <x v="27"/>
    <x v="0"/>
    <x v="0"/>
    <x v="0"/>
    <x v="0"/>
    <x v="0"/>
    <x v="0"/>
  </r>
  <r>
    <x v="15"/>
    <x v="0"/>
    <x v="201"/>
    <x v="7"/>
    <x v="0"/>
    <x v="0"/>
    <x v="4"/>
    <x v="27"/>
    <x v="63"/>
    <x v="22"/>
    <x v="72"/>
    <x v="82"/>
    <x v="4"/>
    <x v="17"/>
    <x v="46"/>
    <x v="0"/>
    <x v="4"/>
    <x v="1"/>
    <x v="0"/>
    <x v="0"/>
    <x v="0"/>
    <x v="0"/>
    <x v="0"/>
    <x v="38"/>
    <x v="27"/>
    <x v="0"/>
    <x v="0"/>
    <x v="0"/>
    <x v="0"/>
    <x v="0"/>
    <x v="0"/>
  </r>
  <r>
    <x v="15"/>
    <x v="0"/>
    <x v="201"/>
    <x v="7"/>
    <x v="0"/>
    <x v="0"/>
    <x v="5"/>
    <x v="25"/>
    <x v="63"/>
    <x v="18"/>
    <x v="71"/>
    <x v="80"/>
    <x v="5"/>
    <x v="14"/>
    <x v="44"/>
    <x v="0"/>
    <x v="5"/>
    <x v="1"/>
    <x v="0"/>
    <x v="0"/>
    <x v="0"/>
    <x v="0"/>
    <x v="0"/>
    <x v="48"/>
    <x v="25"/>
    <x v="0"/>
    <x v="0"/>
    <x v="0"/>
    <x v="0"/>
    <x v="0"/>
    <x v="0"/>
  </r>
  <r>
    <x v="15"/>
    <x v="0"/>
    <x v="201"/>
    <x v="7"/>
    <x v="0"/>
    <x v="0"/>
    <x v="6"/>
    <x v="27"/>
    <x v="63"/>
    <x v="17"/>
    <x v="65"/>
    <x v="72"/>
    <x v="6"/>
    <x v="12"/>
    <x v="38"/>
    <x v="0"/>
    <x v="6"/>
    <x v="1"/>
    <x v="0"/>
    <x v="0"/>
    <x v="0"/>
    <x v="0"/>
    <x v="0"/>
    <x v="58"/>
    <x v="27"/>
    <x v="0"/>
    <x v="0"/>
    <x v="0"/>
    <x v="0"/>
    <x v="0"/>
    <x v="0"/>
  </r>
  <r>
    <x v="5"/>
    <x v="0"/>
    <x v="202"/>
    <x v="7"/>
    <x v="0"/>
    <x v="0"/>
    <x v="7"/>
    <x v="30"/>
    <x v="36"/>
    <x v="14"/>
    <x v="56"/>
    <x v="30"/>
    <x v="7"/>
    <x v="11"/>
    <x v="11"/>
    <x v="6"/>
    <x v="7"/>
    <x v="1"/>
    <x v="0"/>
    <x v="0"/>
    <x v="0"/>
    <x v="0"/>
    <x v="0"/>
    <x v="63"/>
    <x v="30"/>
    <x v="0"/>
    <x v="0"/>
    <x v="0"/>
    <x v="0"/>
    <x v="0"/>
    <x v="0"/>
  </r>
  <r>
    <x v="5"/>
    <x v="0"/>
    <x v="202"/>
    <x v="7"/>
    <x v="0"/>
    <x v="0"/>
    <x v="8"/>
    <x v="30"/>
    <x v="36"/>
    <x v="12"/>
    <x v="51"/>
    <x v="19"/>
    <x v="8"/>
    <x v="8"/>
    <x v="8"/>
    <x v="6"/>
    <x v="8"/>
    <x v="1"/>
    <x v="0"/>
    <x v="0"/>
    <x v="0"/>
    <x v="0"/>
    <x v="0"/>
    <x v="65"/>
    <x v="30"/>
    <x v="0"/>
    <x v="0"/>
    <x v="0"/>
    <x v="0"/>
    <x v="0"/>
    <x v="0"/>
  </r>
  <r>
    <x v="5"/>
    <x v="0"/>
    <x v="202"/>
    <x v="7"/>
    <x v="0"/>
    <x v="0"/>
    <x v="9"/>
    <x v="30"/>
    <x v="36"/>
    <x v="11"/>
    <x v="50"/>
    <x v="17"/>
    <x v="9"/>
    <x v="6"/>
    <x v="6"/>
    <x v="6"/>
    <x v="9"/>
    <x v="1"/>
    <x v="0"/>
    <x v="0"/>
    <x v="0"/>
    <x v="0"/>
    <x v="0"/>
    <x v="67"/>
    <x v="30"/>
    <x v="0"/>
    <x v="0"/>
    <x v="0"/>
    <x v="0"/>
    <x v="0"/>
    <x v="0"/>
  </r>
  <r>
    <x v="5"/>
    <x v="0"/>
    <x v="202"/>
    <x v="7"/>
    <x v="0"/>
    <x v="0"/>
    <x v="10"/>
    <x v="30"/>
    <x v="36"/>
    <x v="9"/>
    <x v="54"/>
    <x v="21"/>
    <x v="10"/>
    <x v="6"/>
    <x v="6"/>
    <x v="6"/>
    <x v="10"/>
    <x v="1"/>
    <x v="0"/>
    <x v="0"/>
    <x v="0"/>
    <x v="0"/>
    <x v="0"/>
    <x v="69"/>
    <x v="30"/>
    <x v="0"/>
    <x v="0"/>
    <x v="0"/>
    <x v="0"/>
    <x v="0"/>
    <x v="0"/>
  </r>
  <r>
    <x v="5"/>
    <x v="0"/>
    <x v="202"/>
    <x v="7"/>
    <x v="0"/>
    <x v="0"/>
    <x v="11"/>
    <x v="30"/>
    <x v="36"/>
    <x v="10"/>
    <x v="54"/>
    <x v="22"/>
    <x v="11"/>
    <x v="6"/>
    <x v="6"/>
    <x v="6"/>
    <x v="11"/>
    <x v="1"/>
    <x v="0"/>
    <x v="0"/>
    <x v="0"/>
    <x v="0"/>
    <x v="0"/>
    <x v="71"/>
    <x v="30"/>
    <x v="0"/>
    <x v="0"/>
    <x v="0"/>
    <x v="0"/>
    <x v="0"/>
    <x v="0"/>
  </r>
  <r>
    <x v="5"/>
    <x v="0"/>
    <x v="202"/>
    <x v="7"/>
    <x v="0"/>
    <x v="0"/>
    <x v="12"/>
    <x v="30"/>
    <x v="36"/>
    <x v="8"/>
    <x v="50"/>
    <x v="16"/>
    <x v="12"/>
    <x v="6"/>
    <x v="6"/>
    <x v="6"/>
    <x v="12"/>
    <x v="1"/>
    <x v="0"/>
    <x v="0"/>
    <x v="0"/>
    <x v="0"/>
    <x v="0"/>
    <x v="73"/>
    <x v="30"/>
    <x v="0"/>
    <x v="0"/>
    <x v="0"/>
    <x v="0"/>
    <x v="0"/>
    <x v="0"/>
  </r>
  <r>
    <x v="5"/>
    <x v="0"/>
    <x v="202"/>
    <x v="7"/>
    <x v="0"/>
    <x v="0"/>
    <x v="13"/>
    <x v="30"/>
    <x v="36"/>
    <x v="7"/>
    <x v="55"/>
    <x v="18"/>
    <x v="13"/>
    <x v="7"/>
    <x v="7"/>
    <x v="6"/>
    <x v="13"/>
    <x v="1"/>
    <x v="0"/>
    <x v="0"/>
    <x v="0"/>
    <x v="0"/>
    <x v="0"/>
    <x v="75"/>
    <x v="30"/>
    <x v="0"/>
    <x v="0"/>
    <x v="0"/>
    <x v="0"/>
    <x v="0"/>
    <x v="0"/>
  </r>
  <r>
    <x v="5"/>
    <x v="0"/>
    <x v="203"/>
    <x v="7"/>
    <x v="0"/>
    <x v="1"/>
    <x v="7"/>
    <x v="37"/>
    <x v="26"/>
    <x v="14"/>
    <x v="56"/>
    <x v="30"/>
    <x v="7"/>
    <x v="11"/>
    <x v="11"/>
    <x v="6"/>
    <x v="7"/>
    <x v="0"/>
    <x v="0"/>
    <x v="0"/>
    <x v="0"/>
    <x v="0"/>
    <x v="0"/>
    <x v="63"/>
    <x v="37"/>
    <x v="0"/>
    <x v="0"/>
    <x v="0"/>
    <x v="0"/>
    <x v="0"/>
    <x v="0"/>
  </r>
  <r>
    <x v="5"/>
    <x v="0"/>
    <x v="203"/>
    <x v="7"/>
    <x v="0"/>
    <x v="1"/>
    <x v="8"/>
    <x v="37"/>
    <x v="26"/>
    <x v="12"/>
    <x v="51"/>
    <x v="19"/>
    <x v="8"/>
    <x v="8"/>
    <x v="8"/>
    <x v="6"/>
    <x v="8"/>
    <x v="0"/>
    <x v="0"/>
    <x v="0"/>
    <x v="0"/>
    <x v="0"/>
    <x v="0"/>
    <x v="65"/>
    <x v="37"/>
    <x v="0"/>
    <x v="0"/>
    <x v="0"/>
    <x v="0"/>
    <x v="0"/>
    <x v="0"/>
  </r>
  <r>
    <x v="5"/>
    <x v="0"/>
    <x v="203"/>
    <x v="7"/>
    <x v="0"/>
    <x v="1"/>
    <x v="9"/>
    <x v="37"/>
    <x v="26"/>
    <x v="11"/>
    <x v="50"/>
    <x v="17"/>
    <x v="9"/>
    <x v="6"/>
    <x v="6"/>
    <x v="6"/>
    <x v="9"/>
    <x v="0"/>
    <x v="0"/>
    <x v="0"/>
    <x v="0"/>
    <x v="0"/>
    <x v="0"/>
    <x v="67"/>
    <x v="37"/>
    <x v="0"/>
    <x v="0"/>
    <x v="0"/>
    <x v="0"/>
    <x v="0"/>
    <x v="0"/>
  </r>
  <r>
    <x v="5"/>
    <x v="0"/>
    <x v="203"/>
    <x v="7"/>
    <x v="0"/>
    <x v="1"/>
    <x v="10"/>
    <x v="37"/>
    <x v="26"/>
    <x v="9"/>
    <x v="54"/>
    <x v="21"/>
    <x v="10"/>
    <x v="6"/>
    <x v="6"/>
    <x v="6"/>
    <x v="10"/>
    <x v="0"/>
    <x v="0"/>
    <x v="0"/>
    <x v="0"/>
    <x v="0"/>
    <x v="0"/>
    <x v="69"/>
    <x v="37"/>
    <x v="0"/>
    <x v="0"/>
    <x v="0"/>
    <x v="0"/>
    <x v="0"/>
    <x v="0"/>
  </r>
  <r>
    <x v="5"/>
    <x v="0"/>
    <x v="203"/>
    <x v="7"/>
    <x v="0"/>
    <x v="1"/>
    <x v="11"/>
    <x v="37"/>
    <x v="26"/>
    <x v="10"/>
    <x v="54"/>
    <x v="22"/>
    <x v="11"/>
    <x v="6"/>
    <x v="6"/>
    <x v="6"/>
    <x v="11"/>
    <x v="0"/>
    <x v="0"/>
    <x v="0"/>
    <x v="0"/>
    <x v="0"/>
    <x v="0"/>
    <x v="71"/>
    <x v="37"/>
    <x v="0"/>
    <x v="0"/>
    <x v="0"/>
    <x v="0"/>
    <x v="0"/>
    <x v="0"/>
  </r>
  <r>
    <x v="5"/>
    <x v="0"/>
    <x v="203"/>
    <x v="7"/>
    <x v="0"/>
    <x v="1"/>
    <x v="12"/>
    <x v="37"/>
    <x v="26"/>
    <x v="8"/>
    <x v="50"/>
    <x v="16"/>
    <x v="12"/>
    <x v="6"/>
    <x v="6"/>
    <x v="6"/>
    <x v="12"/>
    <x v="0"/>
    <x v="0"/>
    <x v="0"/>
    <x v="0"/>
    <x v="0"/>
    <x v="0"/>
    <x v="73"/>
    <x v="37"/>
    <x v="0"/>
    <x v="0"/>
    <x v="0"/>
    <x v="0"/>
    <x v="0"/>
    <x v="0"/>
  </r>
  <r>
    <x v="5"/>
    <x v="0"/>
    <x v="203"/>
    <x v="7"/>
    <x v="0"/>
    <x v="1"/>
    <x v="13"/>
    <x v="37"/>
    <x v="26"/>
    <x v="7"/>
    <x v="55"/>
    <x v="18"/>
    <x v="13"/>
    <x v="7"/>
    <x v="7"/>
    <x v="6"/>
    <x v="13"/>
    <x v="0"/>
    <x v="0"/>
    <x v="0"/>
    <x v="0"/>
    <x v="0"/>
    <x v="0"/>
    <x v="75"/>
    <x v="37"/>
    <x v="0"/>
    <x v="0"/>
    <x v="0"/>
    <x v="0"/>
    <x v="0"/>
    <x v="0"/>
  </r>
  <r>
    <x v="6"/>
    <x v="0"/>
    <x v="204"/>
    <x v="4"/>
    <x v="0"/>
    <x v="0"/>
    <x v="0"/>
    <x v="9"/>
    <x v="0"/>
    <x v="19"/>
    <x v="0"/>
    <x v="1"/>
    <x v="0"/>
    <x v="6"/>
    <x v="5"/>
    <x v="1"/>
    <x v="0"/>
    <x v="1"/>
    <x v="0"/>
    <x v="0"/>
    <x v="0"/>
    <x v="0"/>
    <x v="0"/>
    <x v="2"/>
    <x v="9"/>
    <x v="0"/>
    <x v="0"/>
    <x v="0"/>
    <x v="0"/>
    <x v="0"/>
    <x v="0"/>
  </r>
  <r>
    <x v="6"/>
    <x v="0"/>
    <x v="205"/>
    <x v="4"/>
    <x v="0"/>
    <x v="1"/>
    <x v="0"/>
    <x v="9"/>
    <x v="0"/>
    <x v="19"/>
    <x v="0"/>
    <x v="1"/>
    <x v="0"/>
    <x v="6"/>
    <x v="5"/>
    <x v="1"/>
    <x v="0"/>
    <x v="0"/>
    <x v="0"/>
    <x v="0"/>
    <x v="0"/>
    <x v="0"/>
    <x v="0"/>
    <x v="2"/>
    <x v="9"/>
    <x v="0"/>
    <x v="0"/>
    <x v="0"/>
    <x v="0"/>
    <x v="0"/>
    <x v="0"/>
  </r>
  <r>
    <x v="6"/>
    <x v="0"/>
    <x v="206"/>
    <x v="4"/>
    <x v="0"/>
    <x v="0"/>
    <x v="0"/>
    <x v="14"/>
    <x v="0"/>
    <x v="19"/>
    <x v="0"/>
    <x v="1"/>
    <x v="0"/>
    <x v="6"/>
    <x v="5"/>
    <x v="1"/>
    <x v="0"/>
    <x v="1"/>
    <x v="0"/>
    <x v="0"/>
    <x v="0"/>
    <x v="0"/>
    <x v="0"/>
    <x v="2"/>
    <x v="14"/>
    <x v="0"/>
    <x v="0"/>
    <x v="0"/>
    <x v="0"/>
    <x v="0"/>
    <x v="0"/>
  </r>
  <r>
    <x v="6"/>
    <x v="0"/>
    <x v="207"/>
    <x v="4"/>
    <x v="0"/>
    <x v="1"/>
    <x v="0"/>
    <x v="14"/>
    <x v="0"/>
    <x v="19"/>
    <x v="0"/>
    <x v="1"/>
    <x v="0"/>
    <x v="6"/>
    <x v="5"/>
    <x v="1"/>
    <x v="0"/>
    <x v="0"/>
    <x v="0"/>
    <x v="0"/>
    <x v="0"/>
    <x v="0"/>
    <x v="0"/>
    <x v="2"/>
    <x v="14"/>
    <x v="0"/>
    <x v="0"/>
    <x v="0"/>
    <x v="0"/>
    <x v="0"/>
    <x v="0"/>
  </r>
  <r>
    <x v="4"/>
    <x v="0"/>
    <x v="208"/>
    <x v="5"/>
    <x v="0"/>
    <x v="0"/>
    <x v="2"/>
    <x v="26"/>
    <x v="12"/>
    <x v="21"/>
    <x v="11"/>
    <x v="37"/>
    <x v="2"/>
    <x v="15"/>
    <x v="33"/>
    <x v="10"/>
    <x v="2"/>
    <x v="1"/>
    <x v="0"/>
    <x v="0"/>
    <x v="0"/>
    <x v="0"/>
    <x v="0"/>
    <x v="17"/>
    <x v="26"/>
    <x v="0"/>
    <x v="0"/>
    <x v="0"/>
    <x v="0"/>
    <x v="0"/>
    <x v="0"/>
  </r>
  <r>
    <x v="4"/>
    <x v="0"/>
    <x v="208"/>
    <x v="5"/>
    <x v="0"/>
    <x v="0"/>
    <x v="3"/>
    <x v="27"/>
    <x v="12"/>
    <x v="23"/>
    <x v="9"/>
    <x v="41"/>
    <x v="3"/>
    <x v="16"/>
    <x v="34"/>
    <x v="10"/>
    <x v="3"/>
    <x v="1"/>
    <x v="0"/>
    <x v="0"/>
    <x v="0"/>
    <x v="0"/>
    <x v="0"/>
    <x v="27"/>
    <x v="27"/>
    <x v="0"/>
    <x v="0"/>
    <x v="0"/>
    <x v="0"/>
    <x v="0"/>
    <x v="0"/>
  </r>
  <r>
    <x v="4"/>
    <x v="0"/>
    <x v="208"/>
    <x v="5"/>
    <x v="0"/>
    <x v="0"/>
    <x v="4"/>
    <x v="27"/>
    <x v="12"/>
    <x v="22"/>
    <x v="8"/>
    <x v="36"/>
    <x v="4"/>
    <x v="17"/>
    <x v="36"/>
    <x v="10"/>
    <x v="4"/>
    <x v="1"/>
    <x v="0"/>
    <x v="0"/>
    <x v="0"/>
    <x v="0"/>
    <x v="0"/>
    <x v="37"/>
    <x v="27"/>
    <x v="0"/>
    <x v="0"/>
    <x v="0"/>
    <x v="0"/>
    <x v="0"/>
    <x v="0"/>
  </r>
  <r>
    <x v="4"/>
    <x v="0"/>
    <x v="208"/>
    <x v="5"/>
    <x v="0"/>
    <x v="0"/>
    <x v="5"/>
    <x v="25"/>
    <x v="12"/>
    <x v="18"/>
    <x v="10"/>
    <x v="25"/>
    <x v="5"/>
    <x v="14"/>
    <x v="32"/>
    <x v="10"/>
    <x v="5"/>
    <x v="1"/>
    <x v="0"/>
    <x v="0"/>
    <x v="0"/>
    <x v="0"/>
    <x v="0"/>
    <x v="47"/>
    <x v="25"/>
    <x v="0"/>
    <x v="0"/>
    <x v="0"/>
    <x v="0"/>
    <x v="0"/>
    <x v="0"/>
  </r>
  <r>
    <x v="4"/>
    <x v="0"/>
    <x v="208"/>
    <x v="5"/>
    <x v="0"/>
    <x v="0"/>
    <x v="6"/>
    <x v="27"/>
    <x v="12"/>
    <x v="17"/>
    <x v="12"/>
    <x v="8"/>
    <x v="6"/>
    <x v="12"/>
    <x v="18"/>
    <x v="10"/>
    <x v="6"/>
    <x v="1"/>
    <x v="0"/>
    <x v="0"/>
    <x v="0"/>
    <x v="0"/>
    <x v="0"/>
    <x v="57"/>
    <x v="27"/>
    <x v="0"/>
    <x v="0"/>
    <x v="0"/>
    <x v="0"/>
    <x v="0"/>
    <x v="0"/>
  </r>
  <r>
    <x v="0"/>
    <x v="0"/>
    <x v="209"/>
    <x v="7"/>
    <x v="0"/>
    <x v="0"/>
    <x v="2"/>
    <x v="14"/>
    <x v="52"/>
    <x v="21"/>
    <x v="61"/>
    <x v="75"/>
    <x v="2"/>
    <x v="15"/>
    <x v="41"/>
    <x v="3"/>
    <x v="2"/>
    <x v="1"/>
    <x v="0"/>
    <x v="0"/>
    <x v="0"/>
    <x v="0"/>
    <x v="0"/>
    <x v="18"/>
    <x v="14"/>
    <x v="0"/>
    <x v="0"/>
    <x v="0"/>
    <x v="0"/>
    <x v="0"/>
    <x v="0"/>
  </r>
  <r>
    <x v="0"/>
    <x v="0"/>
    <x v="209"/>
    <x v="7"/>
    <x v="0"/>
    <x v="0"/>
    <x v="3"/>
    <x v="14"/>
    <x v="52"/>
    <x v="23"/>
    <x v="69"/>
    <x v="79"/>
    <x v="3"/>
    <x v="16"/>
    <x v="45"/>
    <x v="0"/>
    <x v="3"/>
    <x v="1"/>
    <x v="0"/>
    <x v="0"/>
    <x v="0"/>
    <x v="0"/>
    <x v="0"/>
    <x v="28"/>
    <x v="14"/>
    <x v="0"/>
    <x v="0"/>
    <x v="0"/>
    <x v="0"/>
    <x v="0"/>
    <x v="0"/>
  </r>
  <r>
    <x v="0"/>
    <x v="0"/>
    <x v="209"/>
    <x v="7"/>
    <x v="0"/>
    <x v="0"/>
    <x v="4"/>
    <x v="14"/>
    <x v="52"/>
    <x v="22"/>
    <x v="72"/>
    <x v="82"/>
    <x v="4"/>
    <x v="17"/>
    <x v="46"/>
    <x v="0"/>
    <x v="4"/>
    <x v="1"/>
    <x v="0"/>
    <x v="0"/>
    <x v="0"/>
    <x v="0"/>
    <x v="0"/>
    <x v="38"/>
    <x v="14"/>
    <x v="0"/>
    <x v="0"/>
    <x v="0"/>
    <x v="0"/>
    <x v="0"/>
    <x v="0"/>
  </r>
  <r>
    <x v="0"/>
    <x v="0"/>
    <x v="209"/>
    <x v="7"/>
    <x v="0"/>
    <x v="0"/>
    <x v="5"/>
    <x v="14"/>
    <x v="52"/>
    <x v="18"/>
    <x v="71"/>
    <x v="80"/>
    <x v="5"/>
    <x v="14"/>
    <x v="44"/>
    <x v="0"/>
    <x v="5"/>
    <x v="1"/>
    <x v="0"/>
    <x v="0"/>
    <x v="0"/>
    <x v="0"/>
    <x v="0"/>
    <x v="48"/>
    <x v="14"/>
    <x v="0"/>
    <x v="0"/>
    <x v="0"/>
    <x v="0"/>
    <x v="0"/>
    <x v="0"/>
  </r>
  <r>
    <x v="0"/>
    <x v="0"/>
    <x v="209"/>
    <x v="7"/>
    <x v="0"/>
    <x v="0"/>
    <x v="6"/>
    <x v="14"/>
    <x v="52"/>
    <x v="17"/>
    <x v="65"/>
    <x v="72"/>
    <x v="6"/>
    <x v="12"/>
    <x v="38"/>
    <x v="0"/>
    <x v="6"/>
    <x v="1"/>
    <x v="0"/>
    <x v="0"/>
    <x v="0"/>
    <x v="0"/>
    <x v="0"/>
    <x v="58"/>
    <x v="14"/>
    <x v="0"/>
    <x v="0"/>
    <x v="0"/>
    <x v="0"/>
    <x v="0"/>
    <x v="0"/>
  </r>
  <r>
    <x v="0"/>
    <x v="0"/>
    <x v="210"/>
    <x v="7"/>
    <x v="0"/>
    <x v="1"/>
    <x v="2"/>
    <x v="14"/>
    <x v="52"/>
    <x v="21"/>
    <x v="61"/>
    <x v="75"/>
    <x v="2"/>
    <x v="15"/>
    <x v="41"/>
    <x v="3"/>
    <x v="2"/>
    <x v="0"/>
    <x v="0"/>
    <x v="0"/>
    <x v="0"/>
    <x v="0"/>
    <x v="0"/>
    <x v="18"/>
    <x v="14"/>
    <x v="0"/>
    <x v="0"/>
    <x v="0"/>
    <x v="0"/>
    <x v="0"/>
    <x v="0"/>
  </r>
  <r>
    <x v="0"/>
    <x v="0"/>
    <x v="210"/>
    <x v="7"/>
    <x v="0"/>
    <x v="1"/>
    <x v="3"/>
    <x v="14"/>
    <x v="52"/>
    <x v="23"/>
    <x v="69"/>
    <x v="79"/>
    <x v="3"/>
    <x v="16"/>
    <x v="45"/>
    <x v="0"/>
    <x v="3"/>
    <x v="0"/>
    <x v="0"/>
    <x v="0"/>
    <x v="0"/>
    <x v="0"/>
    <x v="0"/>
    <x v="28"/>
    <x v="14"/>
    <x v="0"/>
    <x v="0"/>
    <x v="0"/>
    <x v="0"/>
    <x v="0"/>
    <x v="0"/>
  </r>
  <r>
    <x v="0"/>
    <x v="0"/>
    <x v="210"/>
    <x v="7"/>
    <x v="0"/>
    <x v="1"/>
    <x v="4"/>
    <x v="14"/>
    <x v="52"/>
    <x v="22"/>
    <x v="72"/>
    <x v="82"/>
    <x v="4"/>
    <x v="17"/>
    <x v="46"/>
    <x v="0"/>
    <x v="4"/>
    <x v="0"/>
    <x v="0"/>
    <x v="0"/>
    <x v="0"/>
    <x v="0"/>
    <x v="0"/>
    <x v="38"/>
    <x v="14"/>
    <x v="0"/>
    <x v="0"/>
    <x v="0"/>
    <x v="0"/>
    <x v="0"/>
    <x v="0"/>
  </r>
  <r>
    <x v="0"/>
    <x v="0"/>
    <x v="210"/>
    <x v="7"/>
    <x v="0"/>
    <x v="1"/>
    <x v="5"/>
    <x v="14"/>
    <x v="52"/>
    <x v="18"/>
    <x v="71"/>
    <x v="80"/>
    <x v="5"/>
    <x v="14"/>
    <x v="44"/>
    <x v="0"/>
    <x v="5"/>
    <x v="0"/>
    <x v="0"/>
    <x v="0"/>
    <x v="0"/>
    <x v="0"/>
    <x v="0"/>
    <x v="48"/>
    <x v="14"/>
    <x v="0"/>
    <x v="0"/>
    <x v="0"/>
    <x v="0"/>
    <x v="0"/>
    <x v="0"/>
  </r>
  <r>
    <x v="0"/>
    <x v="0"/>
    <x v="210"/>
    <x v="7"/>
    <x v="0"/>
    <x v="1"/>
    <x v="6"/>
    <x v="14"/>
    <x v="52"/>
    <x v="17"/>
    <x v="65"/>
    <x v="72"/>
    <x v="6"/>
    <x v="12"/>
    <x v="38"/>
    <x v="0"/>
    <x v="6"/>
    <x v="0"/>
    <x v="0"/>
    <x v="0"/>
    <x v="0"/>
    <x v="0"/>
    <x v="0"/>
    <x v="58"/>
    <x v="14"/>
    <x v="0"/>
    <x v="0"/>
    <x v="0"/>
    <x v="0"/>
    <x v="0"/>
    <x v="0"/>
  </r>
  <r>
    <x v="0"/>
    <x v="0"/>
    <x v="211"/>
    <x v="7"/>
    <x v="0"/>
    <x v="1"/>
    <x v="2"/>
    <x v="37"/>
    <x v="45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0"/>
    <x v="0"/>
    <x v="211"/>
    <x v="7"/>
    <x v="0"/>
    <x v="1"/>
    <x v="3"/>
    <x v="37"/>
    <x v="45"/>
    <x v="23"/>
    <x v="69"/>
    <x v="79"/>
    <x v="3"/>
    <x v="16"/>
    <x v="45"/>
    <x v="0"/>
    <x v="3"/>
    <x v="0"/>
    <x v="0"/>
    <x v="0"/>
    <x v="0"/>
    <x v="0"/>
    <x v="0"/>
    <x v="28"/>
    <x v="37"/>
    <x v="0"/>
    <x v="0"/>
    <x v="0"/>
    <x v="0"/>
    <x v="0"/>
    <x v="0"/>
  </r>
  <r>
    <x v="0"/>
    <x v="0"/>
    <x v="211"/>
    <x v="7"/>
    <x v="0"/>
    <x v="1"/>
    <x v="4"/>
    <x v="37"/>
    <x v="45"/>
    <x v="22"/>
    <x v="72"/>
    <x v="82"/>
    <x v="4"/>
    <x v="17"/>
    <x v="46"/>
    <x v="0"/>
    <x v="4"/>
    <x v="0"/>
    <x v="0"/>
    <x v="0"/>
    <x v="0"/>
    <x v="0"/>
    <x v="0"/>
    <x v="38"/>
    <x v="37"/>
    <x v="0"/>
    <x v="0"/>
    <x v="0"/>
    <x v="0"/>
    <x v="0"/>
    <x v="0"/>
  </r>
  <r>
    <x v="0"/>
    <x v="0"/>
    <x v="211"/>
    <x v="7"/>
    <x v="0"/>
    <x v="1"/>
    <x v="5"/>
    <x v="37"/>
    <x v="45"/>
    <x v="18"/>
    <x v="71"/>
    <x v="80"/>
    <x v="5"/>
    <x v="14"/>
    <x v="44"/>
    <x v="0"/>
    <x v="5"/>
    <x v="0"/>
    <x v="0"/>
    <x v="0"/>
    <x v="0"/>
    <x v="0"/>
    <x v="0"/>
    <x v="48"/>
    <x v="37"/>
    <x v="0"/>
    <x v="0"/>
    <x v="0"/>
    <x v="0"/>
    <x v="0"/>
    <x v="0"/>
  </r>
  <r>
    <x v="0"/>
    <x v="0"/>
    <x v="211"/>
    <x v="7"/>
    <x v="0"/>
    <x v="1"/>
    <x v="6"/>
    <x v="37"/>
    <x v="45"/>
    <x v="17"/>
    <x v="65"/>
    <x v="72"/>
    <x v="6"/>
    <x v="12"/>
    <x v="38"/>
    <x v="0"/>
    <x v="6"/>
    <x v="0"/>
    <x v="0"/>
    <x v="0"/>
    <x v="0"/>
    <x v="0"/>
    <x v="0"/>
    <x v="58"/>
    <x v="37"/>
    <x v="0"/>
    <x v="0"/>
    <x v="0"/>
    <x v="0"/>
    <x v="0"/>
    <x v="0"/>
  </r>
  <r>
    <x v="6"/>
    <x v="0"/>
    <x v="212"/>
    <x v="4"/>
    <x v="0"/>
    <x v="1"/>
    <x v="1"/>
    <x v="41"/>
    <x v="2"/>
    <x v="20"/>
    <x v="1"/>
    <x v="7"/>
    <x v="1"/>
    <x v="13"/>
    <x v="21"/>
    <x v="1"/>
    <x v="1"/>
    <x v="0"/>
    <x v="0"/>
    <x v="0"/>
    <x v="0"/>
    <x v="0"/>
    <x v="0"/>
    <x v="8"/>
    <x v="41"/>
    <x v="0"/>
    <x v="0"/>
    <x v="0"/>
    <x v="0"/>
    <x v="0"/>
    <x v="0"/>
  </r>
  <r>
    <x v="6"/>
    <x v="0"/>
    <x v="213"/>
    <x v="4"/>
    <x v="0"/>
    <x v="1"/>
    <x v="1"/>
    <x v="41"/>
    <x v="2"/>
    <x v="20"/>
    <x v="1"/>
    <x v="7"/>
    <x v="1"/>
    <x v="13"/>
    <x v="21"/>
    <x v="1"/>
    <x v="1"/>
    <x v="0"/>
    <x v="0"/>
    <x v="0"/>
    <x v="0"/>
    <x v="0"/>
    <x v="0"/>
    <x v="8"/>
    <x v="41"/>
    <x v="0"/>
    <x v="0"/>
    <x v="0"/>
    <x v="0"/>
    <x v="0"/>
    <x v="0"/>
  </r>
  <r>
    <x v="17"/>
    <x v="0"/>
    <x v="214"/>
    <x v="7"/>
    <x v="0"/>
    <x v="0"/>
    <x v="7"/>
    <x v="30"/>
    <x v="34"/>
    <x v="14"/>
    <x v="56"/>
    <x v="30"/>
    <x v="7"/>
    <x v="11"/>
    <x v="11"/>
    <x v="6"/>
    <x v="7"/>
    <x v="1"/>
    <x v="0"/>
    <x v="0"/>
    <x v="0"/>
    <x v="0"/>
    <x v="0"/>
    <x v="63"/>
    <x v="30"/>
    <x v="0"/>
    <x v="0"/>
    <x v="0"/>
    <x v="0"/>
    <x v="0"/>
    <x v="0"/>
  </r>
  <r>
    <x v="17"/>
    <x v="0"/>
    <x v="214"/>
    <x v="7"/>
    <x v="0"/>
    <x v="0"/>
    <x v="8"/>
    <x v="30"/>
    <x v="34"/>
    <x v="12"/>
    <x v="51"/>
    <x v="19"/>
    <x v="8"/>
    <x v="8"/>
    <x v="8"/>
    <x v="6"/>
    <x v="8"/>
    <x v="1"/>
    <x v="0"/>
    <x v="0"/>
    <x v="0"/>
    <x v="0"/>
    <x v="0"/>
    <x v="65"/>
    <x v="30"/>
    <x v="0"/>
    <x v="0"/>
    <x v="0"/>
    <x v="0"/>
    <x v="0"/>
    <x v="0"/>
  </r>
  <r>
    <x v="17"/>
    <x v="0"/>
    <x v="214"/>
    <x v="7"/>
    <x v="0"/>
    <x v="0"/>
    <x v="9"/>
    <x v="30"/>
    <x v="34"/>
    <x v="11"/>
    <x v="50"/>
    <x v="17"/>
    <x v="9"/>
    <x v="6"/>
    <x v="6"/>
    <x v="6"/>
    <x v="9"/>
    <x v="1"/>
    <x v="0"/>
    <x v="0"/>
    <x v="0"/>
    <x v="0"/>
    <x v="0"/>
    <x v="67"/>
    <x v="30"/>
    <x v="0"/>
    <x v="0"/>
    <x v="0"/>
    <x v="0"/>
    <x v="0"/>
    <x v="0"/>
  </r>
  <r>
    <x v="17"/>
    <x v="0"/>
    <x v="214"/>
    <x v="7"/>
    <x v="0"/>
    <x v="0"/>
    <x v="10"/>
    <x v="30"/>
    <x v="34"/>
    <x v="9"/>
    <x v="54"/>
    <x v="21"/>
    <x v="10"/>
    <x v="6"/>
    <x v="6"/>
    <x v="6"/>
    <x v="10"/>
    <x v="1"/>
    <x v="0"/>
    <x v="0"/>
    <x v="0"/>
    <x v="0"/>
    <x v="0"/>
    <x v="69"/>
    <x v="30"/>
    <x v="0"/>
    <x v="0"/>
    <x v="0"/>
    <x v="0"/>
    <x v="0"/>
    <x v="0"/>
  </r>
  <r>
    <x v="17"/>
    <x v="0"/>
    <x v="214"/>
    <x v="7"/>
    <x v="0"/>
    <x v="0"/>
    <x v="11"/>
    <x v="30"/>
    <x v="34"/>
    <x v="10"/>
    <x v="54"/>
    <x v="22"/>
    <x v="11"/>
    <x v="6"/>
    <x v="6"/>
    <x v="6"/>
    <x v="11"/>
    <x v="1"/>
    <x v="0"/>
    <x v="0"/>
    <x v="0"/>
    <x v="0"/>
    <x v="0"/>
    <x v="71"/>
    <x v="30"/>
    <x v="0"/>
    <x v="0"/>
    <x v="0"/>
    <x v="0"/>
    <x v="0"/>
    <x v="0"/>
  </r>
  <r>
    <x v="17"/>
    <x v="0"/>
    <x v="214"/>
    <x v="7"/>
    <x v="0"/>
    <x v="0"/>
    <x v="12"/>
    <x v="30"/>
    <x v="34"/>
    <x v="8"/>
    <x v="50"/>
    <x v="16"/>
    <x v="12"/>
    <x v="6"/>
    <x v="6"/>
    <x v="6"/>
    <x v="12"/>
    <x v="1"/>
    <x v="0"/>
    <x v="0"/>
    <x v="0"/>
    <x v="0"/>
    <x v="0"/>
    <x v="73"/>
    <x v="30"/>
    <x v="0"/>
    <x v="0"/>
    <x v="0"/>
    <x v="0"/>
    <x v="0"/>
    <x v="0"/>
  </r>
  <r>
    <x v="17"/>
    <x v="0"/>
    <x v="214"/>
    <x v="7"/>
    <x v="0"/>
    <x v="0"/>
    <x v="13"/>
    <x v="30"/>
    <x v="34"/>
    <x v="7"/>
    <x v="55"/>
    <x v="18"/>
    <x v="13"/>
    <x v="7"/>
    <x v="7"/>
    <x v="6"/>
    <x v="13"/>
    <x v="1"/>
    <x v="0"/>
    <x v="0"/>
    <x v="0"/>
    <x v="0"/>
    <x v="0"/>
    <x v="75"/>
    <x v="30"/>
    <x v="0"/>
    <x v="0"/>
    <x v="0"/>
    <x v="0"/>
    <x v="0"/>
    <x v="0"/>
  </r>
  <r>
    <x v="17"/>
    <x v="0"/>
    <x v="215"/>
    <x v="7"/>
    <x v="0"/>
    <x v="1"/>
    <x v="7"/>
    <x v="30"/>
    <x v="34"/>
    <x v="14"/>
    <x v="56"/>
    <x v="30"/>
    <x v="7"/>
    <x v="11"/>
    <x v="11"/>
    <x v="6"/>
    <x v="7"/>
    <x v="0"/>
    <x v="0"/>
    <x v="0"/>
    <x v="0"/>
    <x v="0"/>
    <x v="0"/>
    <x v="63"/>
    <x v="30"/>
    <x v="0"/>
    <x v="0"/>
    <x v="0"/>
    <x v="0"/>
    <x v="0"/>
    <x v="0"/>
  </r>
  <r>
    <x v="17"/>
    <x v="0"/>
    <x v="215"/>
    <x v="7"/>
    <x v="0"/>
    <x v="1"/>
    <x v="8"/>
    <x v="30"/>
    <x v="34"/>
    <x v="12"/>
    <x v="51"/>
    <x v="19"/>
    <x v="8"/>
    <x v="8"/>
    <x v="8"/>
    <x v="6"/>
    <x v="8"/>
    <x v="0"/>
    <x v="0"/>
    <x v="0"/>
    <x v="0"/>
    <x v="0"/>
    <x v="0"/>
    <x v="65"/>
    <x v="30"/>
    <x v="0"/>
    <x v="0"/>
    <x v="0"/>
    <x v="0"/>
    <x v="0"/>
    <x v="0"/>
  </r>
  <r>
    <x v="17"/>
    <x v="0"/>
    <x v="215"/>
    <x v="7"/>
    <x v="0"/>
    <x v="1"/>
    <x v="9"/>
    <x v="30"/>
    <x v="34"/>
    <x v="11"/>
    <x v="50"/>
    <x v="17"/>
    <x v="9"/>
    <x v="6"/>
    <x v="6"/>
    <x v="6"/>
    <x v="9"/>
    <x v="0"/>
    <x v="0"/>
    <x v="0"/>
    <x v="0"/>
    <x v="0"/>
    <x v="0"/>
    <x v="67"/>
    <x v="30"/>
    <x v="0"/>
    <x v="0"/>
    <x v="0"/>
    <x v="0"/>
    <x v="0"/>
    <x v="0"/>
  </r>
  <r>
    <x v="17"/>
    <x v="0"/>
    <x v="215"/>
    <x v="7"/>
    <x v="0"/>
    <x v="1"/>
    <x v="10"/>
    <x v="30"/>
    <x v="34"/>
    <x v="9"/>
    <x v="54"/>
    <x v="21"/>
    <x v="10"/>
    <x v="6"/>
    <x v="6"/>
    <x v="6"/>
    <x v="10"/>
    <x v="0"/>
    <x v="0"/>
    <x v="0"/>
    <x v="0"/>
    <x v="0"/>
    <x v="0"/>
    <x v="69"/>
    <x v="30"/>
    <x v="0"/>
    <x v="0"/>
    <x v="0"/>
    <x v="0"/>
    <x v="0"/>
    <x v="0"/>
  </r>
  <r>
    <x v="17"/>
    <x v="0"/>
    <x v="215"/>
    <x v="7"/>
    <x v="0"/>
    <x v="1"/>
    <x v="11"/>
    <x v="30"/>
    <x v="34"/>
    <x v="10"/>
    <x v="54"/>
    <x v="22"/>
    <x v="11"/>
    <x v="6"/>
    <x v="6"/>
    <x v="6"/>
    <x v="11"/>
    <x v="0"/>
    <x v="0"/>
    <x v="0"/>
    <x v="0"/>
    <x v="0"/>
    <x v="0"/>
    <x v="71"/>
    <x v="30"/>
    <x v="0"/>
    <x v="0"/>
    <x v="0"/>
    <x v="0"/>
    <x v="0"/>
    <x v="0"/>
  </r>
  <r>
    <x v="17"/>
    <x v="0"/>
    <x v="215"/>
    <x v="7"/>
    <x v="0"/>
    <x v="1"/>
    <x v="12"/>
    <x v="30"/>
    <x v="34"/>
    <x v="8"/>
    <x v="50"/>
    <x v="16"/>
    <x v="12"/>
    <x v="6"/>
    <x v="6"/>
    <x v="6"/>
    <x v="12"/>
    <x v="0"/>
    <x v="0"/>
    <x v="0"/>
    <x v="0"/>
    <x v="0"/>
    <x v="0"/>
    <x v="73"/>
    <x v="30"/>
    <x v="0"/>
    <x v="0"/>
    <x v="0"/>
    <x v="0"/>
    <x v="0"/>
    <x v="0"/>
  </r>
  <r>
    <x v="17"/>
    <x v="0"/>
    <x v="215"/>
    <x v="7"/>
    <x v="0"/>
    <x v="1"/>
    <x v="13"/>
    <x v="30"/>
    <x v="34"/>
    <x v="7"/>
    <x v="55"/>
    <x v="18"/>
    <x v="13"/>
    <x v="7"/>
    <x v="7"/>
    <x v="6"/>
    <x v="13"/>
    <x v="0"/>
    <x v="0"/>
    <x v="0"/>
    <x v="0"/>
    <x v="0"/>
    <x v="0"/>
    <x v="75"/>
    <x v="30"/>
    <x v="0"/>
    <x v="0"/>
    <x v="0"/>
    <x v="0"/>
    <x v="0"/>
    <x v="0"/>
  </r>
  <r>
    <x v="0"/>
    <x v="0"/>
    <x v="216"/>
    <x v="9"/>
    <x v="0"/>
    <x v="0"/>
    <x v="1"/>
    <x v="33"/>
    <x v="41"/>
    <x v="20"/>
    <x v="70"/>
    <x v="81"/>
    <x v="1"/>
    <x v="13"/>
    <x v="19"/>
    <x v="0"/>
    <x v="1"/>
    <x v="1"/>
    <x v="0"/>
    <x v="0"/>
    <x v="0"/>
    <x v="0"/>
    <x v="0"/>
    <x v="11"/>
    <x v="33"/>
    <x v="0"/>
    <x v="0"/>
    <x v="0"/>
    <x v="0"/>
    <x v="0"/>
    <x v="0"/>
  </r>
  <r>
    <x v="0"/>
    <x v="0"/>
    <x v="217"/>
    <x v="9"/>
    <x v="0"/>
    <x v="1"/>
    <x v="1"/>
    <x v="11"/>
    <x v="33"/>
    <x v="20"/>
    <x v="70"/>
    <x v="81"/>
    <x v="1"/>
    <x v="13"/>
    <x v="19"/>
    <x v="0"/>
    <x v="1"/>
    <x v="0"/>
    <x v="0"/>
    <x v="0"/>
    <x v="0"/>
    <x v="0"/>
    <x v="0"/>
    <x v="11"/>
    <x v="11"/>
    <x v="0"/>
    <x v="0"/>
    <x v="0"/>
    <x v="0"/>
    <x v="0"/>
    <x v="0"/>
  </r>
  <r>
    <x v="2"/>
    <x v="0"/>
    <x v="218"/>
    <x v="9"/>
    <x v="0"/>
    <x v="0"/>
    <x v="1"/>
    <x v="33"/>
    <x v="41"/>
    <x v="20"/>
    <x v="70"/>
    <x v="81"/>
    <x v="1"/>
    <x v="13"/>
    <x v="19"/>
    <x v="0"/>
    <x v="1"/>
    <x v="1"/>
    <x v="0"/>
    <x v="0"/>
    <x v="0"/>
    <x v="0"/>
    <x v="0"/>
    <x v="11"/>
    <x v="33"/>
    <x v="0"/>
    <x v="0"/>
    <x v="0"/>
    <x v="0"/>
    <x v="0"/>
    <x v="0"/>
  </r>
  <r>
    <x v="2"/>
    <x v="0"/>
    <x v="219"/>
    <x v="9"/>
    <x v="0"/>
    <x v="1"/>
    <x v="1"/>
    <x v="11"/>
    <x v="33"/>
    <x v="20"/>
    <x v="70"/>
    <x v="81"/>
    <x v="1"/>
    <x v="13"/>
    <x v="19"/>
    <x v="0"/>
    <x v="1"/>
    <x v="0"/>
    <x v="0"/>
    <x v="0"/>
    <x v="0"/>
    <x v="0"/>
    <x v="0"/>
    <x v="11"/>
    <x v="11"/>
    <x v="0"/>
    <x v="0"/>
    <x v="0"/>
    <x v="0"/>
    <x v="0"/>
    <x v="0"/>
  </r>
  <r>
    <x v="2"/>
    <x v="0"/>
    <x v="220"/>
    <x v="4"/>
    <x v="0"/>
    <x v="0"/>
    <x v="2"/>
    <x v="32"/>
    <x v="6"/>
    <x v="21"/>
    <x v="2"/>
    <x v="23"/>
    <x v="2"/>
    <x v="15"/>
    <x v="25"/>
    <x v="4"/>
    <x v="2"/>
    <x v="1"/>
    <x v="0"/>
    <x v="0"/>
    <x v="0"/>
    <x v="0"/>
    <x v="0"/>
    <x v="16"/>
    <x v="32"/>
    <x v="0"/>
    <x v="0"/>
    <x v="0"/>
    <x v="0"/>
    <x v="0"/>
    <x v="0"/>
  </r>
  <r>
    <x v="2"/>
    <x v="0"/>
    <x v="220"/>
    <x v="4"/>
    <x v="0"/>
    <x v="0"/>
    <x v="3"/>
    <x v="33"/>
    <x v="6"/>
    <x v="23"/>
    <x v="6"/>
    <x v="29"/>
    <x v="3"/>
    <x v="16"/>
    <x v="27"/>
    <x v="4"/>
    <x v="3"/>
    <x v="1"/>
    <x v="0"/>
    <x v="0"/>
    <x v="0"/>
    <x v="0"/>
    <x v="0"/>
    <x v="26"/>
    <x v="33"/>
    <x v="0"/>
    <x v="0"/>
    <x v="0"/>
    <x v="0"/>
    <x v="0"/>
    <x v="0"/>
  </r>
  <r>
    <x v="2"/>
    <x v="0"/>
    <x v="220"/>
    <x v="4"/>
    <x v="0"/>
    <x v="0"/>
    <x v="4"/>
    <x v="33"/>
    <x v="6"/>
    <x v="22"/>
    <x v="5"/>
    <x v="27"/>
    <x v="4"/>
    <x v="17"/>
    <x v="29"/>
    <x v="4"/>
    <x v="4"/>
    <x v="1"/>
    <x v="0"/>
    <x v="0"/>
    <x v="0"/>
    <x v="0"/>
    <x v="0"/>
    <x v="36"/>
    <x v="33"/>
    <x v="0"/>
    <x v="0"/>
    <x v="0"/>
    <x v="0"/>
    <x v="0"/>
    <x v="0"/>
  </r>
  <r>
    <x v="2"/>
    <x v="0"/>
    <x v="220"/>
    <x v="4"/>
    <x v="0"/>
    <x v="0"/>
    <x v="5"/>
    <x v="31"/>
    <x v="6"/>
    <x v="18"/>
    <x v="4"/>
    <x v="9"/>
    <x v="5"/>
    <x v="14"/>
    <x v="24"/>
    <x v="4"/>
    <x v="5"/>
    <x v="1"/>
    <x v="0"/>
    <x v="0"/>
    <x v="0"/>
    <x v="0"/>
    <x v="0"/>
    <x v="46"/>
    <x v="31"/>
    <x v="0"/>
    <x v="0"/>
    <x v="0"/>
    <x v="0"/>
    <x v="0"/>
    <x v="0"/>
  </r>
  <r>
    <x v="2"/>
    <x v="0"/>
    <x v="220"/>
    <x v="4"/>
    <x v="0"/>
    <x v="0"/>
    <x v="6"/>
    <x v="33"/>
    <x v="6"/>
    <x v="17"/>
    <x v="3"/>
    <x v="6"/>
    <x v="6"/>
    <x v="12"/>
    <x v="16"/>
    <x v="4"/>
    <x v="6"/>
    <x v="1"/>
    <x v="0"/>
    <x v="0"/>
    <x v="0"/>
    <x v="0"/>
    <x v="0"/>
    <x v="56"/>
    <x v="33"/>
    <x v="0"/>
    <x v="0"/>
    <x v="0"/>
    <x v="0"/>
    <x v="0"/>
    <x v="0"/>
  </r>
  <r>
    <x v="2"/>
    <x v="0"/>
    <x v="221"/>
    <x v="4"/>
    <x v="0"/>
    <x v="1"/>
    <x v="2"/>
    <x v="32"/>
    <x v="6"/>
    <x v="21"/>
    <x v="2"/>
    <x v="23"/>
    <x v="2"/>
    <x v="15"/>
    <x v="25"/>
    <x v="4"/>
    <x v="2"/>
    <x v="0"/>
    <x v="0"/>
    <x v="0"/>
    <x v="0"/>
    <x v="0"/>
    <x v="0"/>
    <x v="16"/>
    <x v="32"/>
    <x v="0"/>
    <x v="0"/>
    <x v="0"/>
    <x v="0"/>
    <x v="0"/>
    <x v="0"/>
  </r>
  <r>
    <x v="2"/>
    <x v="0"/>
    <x v="221"/>
    <x v="4"/>
    <x v="0"/>
    <x v="1"/>
    <x v="3"/>
    <x v="33"/>
    <x v="6"/>
    <x v="23"/>
    <x v="6"/>
    <x v="29"/>
    <x v="3"/>
    <x v="16"/>
    <x v="27"/>
    <x v="4"/>
    <x v="3"/>
    <x v="0"/>
    <x v="0"/>
    <x v="0"/>
    <x v="0"/>
    <x v="0"/>
    <x v="0"/>
    <x v="26"/>
    <x v="33"/>
    <x v="0"/>
    <x v="0"/>
    <x v="0"/>
    <x v="0"/>
    <x v="0"/>
    <x v="0"/>
  </r>
  <r>
    <x v="2"/>
    <x v="0"/>
    <x v="221"/>
    <x v="4"/>
    <x v="0"/>
    <x v="1"/>
    <x v="4"/>
    <x v="33"/>
    <x v="6"/>
    <x v="22"/>
    <x v="5"/>
    <x v="27"/>
    <x v="4"/>
    <x v="17"/>
    <x v="29"/>
    <x v="4"/>
    <x v="4"/>
    <x v="0"/>
    <x v="0"/>
    <x v="0"/>
    <x v="0"/>
    <x v="0"/>
    <x v="0"/>
    <x v="36"/>
    <x v="33"/>
    <x v="0"/>
    <x v="0"/>
    <x v="0"/>
    <x v="0"/>
    <x v="0"/>
    <x v="0"/>
  </r>
  <r>
    <x v="2"/>
    <x v="0"/>
    <x v="221"/>
    <x v="4"/>
    <x v="0"/>
    <x v="1"/>
    <x v="5"/>
    <x v="31"/>
    <x v="6"/>
    <x v="18"/>
    <x v="4"/>
    <x v="9"/>
    <x v="5"/>
    <x v="14"/>
    <x v="24"/>
    <x v="4"/>
    <x v="5"/>
    <x v="0"/>
    <x v="0"/>
    <x v="0"/>
    <x v="0"/>
    <x v="0"/>
    <x v="0"/>
    <x v="46"/>
    <x v="31"/>
    <x v="0"/>
    <x v="0"/>
    <x v="0"/>
    <x v="0"/>
    <x v="0"/>
    <x v="0"/>
  </r>
  <r>
    <x v="2"/>
    <x v="0"/>
    <x v="221"/>
    <x v="4"/>
    <x v="0"/>
    <x v="1"/>
    <x v="6"/>
    <x v="33"/>
    <x v="6"/>
    <x v="17"/>
    <x v="3"/>
    <x v="6"/>
    <x v="6"/>
    <x v="12"/>
    <x v="16"/>
    <x v="4"/>
    <x v="6"/>
    <x v="0"/>
    <x v="0"/>
    <x v="0"/>
    <x v="0"/>
    <x v="0"/>
    <x v="0"/>
    <x v="56"/>
    <x v="33"/>
    <x v="0"/>
    <x v="0"/>
    <x v="0"/>
    <x v="0"/>
    <x v="0"/>
    <x v="0"/>
  </r>
  <r>
    <x v="25"/>
    <x v="0"/>
    <x v="222"/>
    <x v="10"/>
    <x v="0"/>
    <x v="0"/>
    <x v="4"/>
    <x v="9"/>
    <x v="22"/>
    <x v="22"/>
    <x v="26"/>
    <x v="52"/>
    <x v="4"/>
    <x v="17"/>
    <x v="36"/>
    <x v="11"/>
    <x v="4"/>
    <x v="1"/>
    <x v="0"/>
    <x v="0"/>
    <x v="0"/>
    <x v="0"/>
    <x v="0"/>
    <x v="41"/>
    <x v="9"/>
    <x v="0"/>
    <x v="0"/>
    <x v="0"/>
    <x v="0"/>
    <x v="0"/>
    <x v="0"/>
  </r>
  <r>
    <x v="25"/>
    <x v="0"/>
    <x v="222"/>
    <x v="10"/>
    <x v="0"/>
    <x v="0"/>
    <x v="5"/>
    <x v="9"/>
    <x v="22"/>
    <x v="18"/>
    <x v="28"/>
    <x v="40"/>
    <x v="5"/>
    <x v="14"/>
    <x v="32"/>
    <x v="11"/>
    <x v="5"/>
    <x v="1"/>
    <x v="0"/>
    <x v="0"/>
    <x v="0"/>
    <x v="0"/>
    <x v="0"/>
    <x v="51"/>
    <x v="9"/>
    <x v="0"/>
    <x v="0"/>
    <x v="0"/>
    <x v="0"/>
    <x v="0"/>
    <x v="0"/>
  </r>
  <r>
    <x v="25"/>
    <x v="0"/>
    <x v="222"/>
    <x v="10"/>
    <x v="0"/>
    <x v="0"/>
    <x v="6"/>
    <x v="9"/>
    <x v="22"/>
    <x v="17"/>
    <x v="25"/>
    <x v="26"/>
    <x v="6"/>
    <x v="12"/>
    <x v="18"/>
    <x v="11"/>
    <x v="6"/>
    <x v="1"/>
    <x v="0"/>
    <x v="0"/>
    <x v="0"/>
    <x v="0"/>
    <x v="0"/>
    <x v="61"/>
    <x v="9"/>
    <x v="0"/>
    <x v="0"/>
    <x v="0"/>
    <x v="0"/>
    <x v="0"/>
    <x v="0"/>
  </r>
  <r>
    <x v="4"/>
    <x v="0"/>
    <x v="223"/>
    <x v="6"/>
    <x v="0"/>
    <x v="1"/>
    <x v="7"/>
    <x v="37"/>
    <x v="25"/>
    <x v="14"/>
    <x v="49"/>
    <x v="24"/>
    <x v="7"/>
    <x v="11"/>
    <x v="11"/>
    <x v="8"/>
    <x v="7"/>
    <x v="0"/>
    <x v="0"/>
    <x v="0"/>
    <x v="0"/>
    <x v="0"/>
    <x v="0"/>
    <x v="62"/>
    <x v="37"/>
    <x v="0"/>
    <x v="0"/>
    <x v="0"/>
    <x v="0"/>
    <x v="0"/>
    <x v="0"/>
  </r>
  <r>
    <x v="4"/>
    <x v="0"/>
    <x v="223"/>
    <x v="6"/>
    <x v="0"/>
    <x v="1"/>
    <x v="8"/>
    <x v="37"/>
    <x v="25"/>
    <x v="12"/>
    <x v="41"/>
    <x v="15"/>
    <x v="8"/>
    <x v="8"/>
    <x v="8"/>
    <x v="8"/>
    <x v="8"/>
    <x v="0"/>
    <x v="0"/>
    <x v="0"/>
    <x v="0"/>
    <x v="0"/>
    <x v="0"/>
    <x v="64"/>
    <x v="37"/>
    <x v="0"/>
    <x v="0"/>
    <x v="0"/>
    <x v="0"/>
    <x v="0"/>
    <x v="0"/>
  </r>
  <r>
    <x v="4"/>
    <x v="0"/>
    <x v="223"/>
    <x v="6"/>
    <x v="0"/>
    <x v="1"/>
    <x v="9"/>
    <x v="37"/>
    <x v="25"/>
    <x v="11"/>
    <x v="41"/>
    <x v="13"/>
    <x v="9"/>
    <x v="6"/>
    <x v="6"/>
    <x v="8"/>
    <x v="9"/>
    <x v="0"/>
    <x v="0"/>
    <x v="0"/>
    <x v="0"/>
    <x v="0"/>
    <x v="0"/>
    <x v="66"/>
    <x v="37"/>
    <x v="0"/>
    <x v="0"/>
    <x v="0"/>
    <x v="0"/>
    <x v="0"/>
    <x v="0"/>
  </r>
  <r>
    <x v="4"/>
    <x v="0"/>
    <x v="223"/>
    <x v="6"/>
    <x v="0"/>
    <x v="1"/>
    <x v="10"/>
    <x v="37"/>
    <x v="25"/>
    <x v="9"/>
    <x v="44"/>
    <x v="12"/>
    <x v="10"/>
    <x v="6"/>
    <x v="6"/>
    <x v="8"/>
    <x v="10"/>
    <x v="0"/>
    <x v="0"/>
    <x v="0"/>
    <x v="0"/>
    <x v="0"/>
    <x v="0"/>
    <x v="68"/>
    <x v="37"/>
    <x v="0"/>
    <x v="0"/>
    <x v="0"/>
    <x v="0"/>
    <x v="0"/>
    <x v="0"/>
  </r>
  <r>
    <x v="4"/>
    <x v="0"/>
    <x v="223"/>
    <x v="6"/>
    <x v="0"/>
    <x v="1"/>
    <x v="11"/>
    <x v="37"/>
    <x v="25"/>
    <x v="10"/>
    <x v="44"/>
    <x v="14"/>
    <x v="11"/>
    <x v="6"/>
    <x v="6"/>
    <x v="8"/>
    <x v="11"/>
    <x v="0"/>
    <x v="0"/>
    <x v="0"/>
    <x v="0"/>
    <x v="0"/>
    <x v="0"/>
    <x v="70"/>
    <x v="37"/>
    <x v="0"/>
    <x v="0"/>
    <x v="0"/>
    <x v="0"/>
    <x v="0"/>
    <x v="0"/>
  </r>
  <r>
    <x v="4"/>
    <x v="0"/>
    <x v="223"/>
    <x v="6"/>
    <x v="0"/>
    <x v="1"/>
    <x v="12"/>
    <x v="37"/>
    <x v="25"/>
    <x v="8"/>
    <x v="42"/>
    <x v="11"/>
    <x v="12"/>
    <x v="6"/>
    <x v="6"/>
    <x v="8"/>
    <x v="12"/>
    <x v="0"/>
    <x v="0"/>
    <x v="0"/>
    <x v="0"/>
    <x v="0"/>
    <x v="0"/>
    <x v="72"/>
    <x v="37"/>
    <x v="0"/>
    <x v="0"/>
    <x v="0"/>
    <x v="0"/>
    <x v="0"/>
    <x v="0"/>
  </r>
  <r>
    <x v="4"/>
    <x v="0"/>
    <x v="223"/>
    <x v="6"/>
    <x v="0"/>
    <x v="1"/>
    <x v="13"/>
    <x v="37"/>
    <x v="25"/>
    <x v="7"/>
    <x v="45"/>
    <x v="10"/>
    <x v="13"/>
    <x v="7"/>
    <x v="7"/>
    <x v="8"/>
    <x v="13"/>
    <x v="0"/>
    <x v="0"/>
    <x v="0"/>
    <x v="0"/>
    <x v="0"/>
    <x v="0"/>
    <x v="74"/>
    <x v="37"/>
    <x v="0"/>
    <x v="0"/>
    <x v="0"/>
    <x v="0"/>
    <x v="0"/>
    <x v="0"/>
  </r>
  <r>
    <x v="9"/>
    <x v="0"/>
    <x v="224"/>
    <x v="0"/>
    <x v="0"/>
    <x v="0"/>
    <x v="5"/>
    <x v="8"/>
    <x v="33"/>
    <x v="18"/>
    <x v="38"/>
    <x v="46"/>
    <x v="5"/>
    <x v="14"/>
    <x v="32"/>
    <x v="8"/>
    <x v="5"/>
    <x v="1"/>
    <x v="0"/>
    <x v="0"/>
    <x v="0"/>
    <x v="0"/>
    <x v="0"/>
    <x v="42"/>
    <x v="8"/>
    <x v="0"/>
    <x v="0"/>
    <x v="0"/>
    <x v="0"/>
    <x v="0"/>
    <x v="0"/>
  </r>
  <r>
    <x v="5"/>
    <x v="0"/>
    <x v="225"/>
    <x v="7"/>
    <x v="0"/>
    <x v="1"/>
    <x v="2"/>
    <x v="41"/>
    <x v="36"/>
    <x v="21"/>
    <x v="61"/>
    <x v="75"/>
    <x v="2"/>
    <x v="15"/>
    <x v="41"/>
    <x v="3"/>
    <x v="2"/>
    <x v="0"/>
    <x v="0"/>
    <x v="0"/>
    <x v="0"/>
    <x v="0"/>
    <x v="0"/>
    <x v="18"/>
    <x v="41"/>
    <x v="0"/>
    <x v="0"/>
    <x v="0"/>
    <x v="0"/>
    <x v="0"/>
    <x v="0"/>
  </r>
  <r>
    <x v="23"/>
    <x v="0"/>
    <x v="226"/>
    <x v="10"/>
    <x v="0"/>
    <x v="0"/>
    <x v="4"/>
    <x v="9"/>
    <x v="22"/>
    <x v="22"/>
    <x v="26"/>
    <x v="52"/>
    <x v="4"/>
    <x v="17"/>
    <x v="36"/>
    <x v="11"/>
    <x v="4"/>
    <x v="1"/>
    <x v="0"/>
    <x v="0"/>
    <x v="0"/>
    <x v="0"/>
    <x v="0"/>
    <x v="41"/>
    <x v="9"/>
    <x v="0"/>
    <x v="0"/>
    <x v="0"/>
    <x v="0"/>
    <x v="0"/>
    <x v="0"/>
  </r>
  <r>
    <x v="23"/>
    <x v="0"/>
    <x v="226"/>
    <x v="10"/>
    <x v="0"/>
    <x v="0"/>
    <x v="5"/>
    <x v="9"/>
    <x v="22"/>
    <x v="18"/>
    <x v="28"/>
    <x v="40"/>
    <x v="5"/>
    <x v="14"/>
    <x v="32"/>
    <x v="11"/>
    <x v="5"/>
    <x v="1"/>
    <x v="0"/>
    <x v="0"/>
    <x v="0"/>
    <x v="0"/>
    <x v="0"/>
    <x v="51"/>
    <x v="9"/>
    <x v="0"/>
    <x v="0"/>
    <x v="0"/>
    <x v="0"/>
    <x v="0"/>
    <x v="0"/>
  </r>
  <r>
    <x v="23"/>
    <x v="0"/>
    <x v="226"/>
    <x v="10"/>
    <x v="0"/>
    <x v="0"/>
    <x v="6"/>
    <x v="9"/>
    <x v="22"/>
    <x v="17"/>
    <x v="25"/>
    <x v="26"/>
    <x v="6"/>
    <x v="12"/>
    <x v="18"/>
    <x v="11"/>
    <x v="6"/>
    <x v="1"/>
    <x v="0"/>
    <x v="0"/>
    <x v="0"/>
    <x v="0"/>
    <x v="0"/>
    <x v="61"/>
    <x v="9"/>
    <x v="0"/>
    <x v="0"/>
    <x v="0"/>
    <x v="0"/>
    <x v="0"/>
    <x v="0"/>
  </r>
  <r>
    <x v="6"/>
    <x v="0"/>
    <x v="227"/>
    <x v="9"/>
    <x v="0"/>
    <x v="0"/>
    <x v="2"/>
    <x v="16"/>
    <x v="33"/>
    <x v="21"/>
    <x v="67"/>
    <x v="78"/>
    <x v="2"/>
    <x v="15"/>
    <x v="28"/>
    <x v="2"/>
    <x v="2"/>
    <x v="1"/>
    <x v="0"/>
    <x v="0"/>
    <x v="0"/>
    <x v="0"/>
    <x v="0"/>
    <x v="20"/>
    <x v="16"/>
    <x v="0"/>
    <x v="0"/>
    <x v="0"/>
    <x v="0"/>
    <x v="0"/>
    <x v="0"/>
  </r>
  <r>
    <x v="6"/>
    <x v="0"/>
    <x v="227"/>
    <x v="9"/>
    <x v="0"/>
    <x v="0"/>
    <x v="3"/>
    <x v="15"/>
    <x v="33"/>
    <x v="23"/>
    <x v="64"/>
    <x v="77"/>
    <x v="3"/>
    <x v="16"/>
    <x v="30"/>
    <x v="2"/>
    <x v="3"/>
    <x v="1"/>
    <x v="0"/>
    <x v="0"/>
    <x v="0"/>
    <x v="0"/>
    <x v="0"/>
    <x v="30"/>
    <x v="15"/>
    <x v="0"/>
    <x v="0"/>
    <x v="0"/>
    <x v="0"/>
    <x v="0"/>
    <x v="0"/>
  </r>
  <r>
    <x v="6"/>
    <x v="0"/>
    <x v="227"/>
    <x v="9"/>
    <x v="0"/>
    <x v="0"/>
    <x v="4"/>
    <x v="15"/>
    <x v="33"/>
    <x v="22"/>
    <x v="60"/>
    <x v="76"/>
    <x v="4"/>
    <x v="17"/>
    <x v="31"/>
    <x v="2"/>
    <x v="4"/>
    <x v="1"/>
    <x v="0"/>
    <x v="0"/>
    <x v="0"/>
    <x v="0"/>
    <x v="0"/>
    <x v="40"/>
    <x v="15"/>
    <x v="0"/>
    <x v="0"/>
    <x v="0"/>
    <x v="0"/>
    <x v="0"/>
    <x v="0"/>
  </r>
  <r>
    <x v="6"/>
    <x v="0"/>
    <x v="227"/>
    <x v="9"/>
    <x v="0"/>
    <x v="0"/>
    <x v="5"/>
    <x v="17"/>
    <x v="33"/>
    <x v="18"/>
    <x v="59"/>
    <x v="66"/>
    <x v="5"/>
    <x v="14"/>
    <x v="26"/>
    <x v="2"/>
    <x v="5"/>
    <x v="1"/>
    <x v="0"/>
    <x v="0"/>
    <x v="0"/>
    <x v="0"/>
    <x v="0"/>
    <x v="50"/>
    <x v="17"/>
    <x v="0"/>
    <x v="0"/>
    <x v="0"/>
    <x v="0"/>
    <x v="0"/>
    <x v="0"/>
  </r>
  <r>
    <x v="6"/>
    <x v="0"/>
    <x v="227"/>
    <x v="9"/>
    <x v="0"/>
    <x v="0"/>
    <x v="6"/>
    <x v="15"/>
    <x v="33"/>
    <x v="17"/>
    <x v="58"/>
    <x v="47"/>
    <x v="6"/>
    <x v="12"/>
    <x v="17"/>
    <x v="2"/>
    <x v="6"/>
    <x v="1"/>
    <x v="0"/>
    <x v="0"/>
    <x v="0"/>
    <x v="0"/>
    <x v="0"/>
    <x v="60"/>
    <x v="15"/>
    <x v="0"/>
    <x v="0"/>
    <x v="0"/>
    <x v="0"/>
    <x v="0"/>
    <x v="0"/>
  </r>
  <r>
    <x v="6"/>
    <x v="0"/>
    <x v="228"/>
    <x v="9"/>
    <x v="0"/>
    <x v="0"/>
    <x v="0"/>
    <x v="12"/>
    <x v="44"/>
    <x v="19"/>
    <x v="73"/>
    <x v="83"/>
    <x v="0"/>
    <x v="6"/>
    <x v="4"/>
    <x v="0"/>
    <x v="0"/>
    <x v="1"/>
    <x v="0"/>
    <x v="0"/>
    <x v="0"/>
    <x v="0"/>
    <x v="0"/>
    <x v="5"/>
    <x v="12"/>
    <x v="0"/>
    <x v="0"/>
    <x v="0"/>
    <x v="0"/>
    <x v="0"/>
    <x v="0"/>
  </r>
  <r>
    <x v="11"/>
    <x v="0"/>
    <x v="229"/>
    <x v="9"/>
    <x v="0"/>
    <x v="0"/>
    <x v="1"/>
    <x v="27"/>
    <x v="42"/>
    <x v="20"/>
    <x v="70"/>
    <x v="81"/>
    <x v="1"/>
    <x v="13"/>
    <x v="19"/>
    <x v="0"/>
    <x v="1"/>
    <x v="1"/>
    <x v="0"/>
    <x v="0"/>
    <x v="0"/>
    <x v="0"/>
    <x v="0"/>
    <x v="11"/>
    <x v="27"/>
    <x v="0"/>
    <x v="0"/>
    <x v="0"/>
    <x v="0"/>
    <x v="0"/>
    <x v="0"/>
  </r>
  <r>
    <x v="6"/>
    <x v="0"/>
    <x v="230"/>
    <x v="9"/>
    <x v="0"/>
    <x v="1"/>
    <x v="2"/>
    <x v="26"/>
    <x v="26"/>
    <x v="21"/>
    <x v="67"/>
    <x v="78"/>
    <x v="2"/>
    <x v="15"/>
    <x v="28"/>
    <x v="2"/>
    <x v="2"/>
    <x v="0"/>
    <x v="0"/>
    <x v="0"/>
    <x v="0"/>
    <x v="0"/>
    <x v="0"/>
    <x v="20"/>
    <x v="26"/>
    <x v="0"/>
    <x v="0"/>
    <x v="0"/>
    <x v="0"/>
    <x v="0"/>
    <x v="0"/>
  </r>
  <r>
    <x v="6"/>
    <x v="0"/>
    <x v="230"/>
    <x v="9"/>
    <x v="0"/>
    <x v="1"/>
    <x v="3"/>
    <x v="27"/>
    <x v="26"/>
    <x v="23"/>
    <x v="64"/>
    <x v="77"/>
    <x v="3"/>
    <x v="16"/>
    <x v="30"/>
    <x v="2"/>
    <x v="3"/>
    <x v="0"/>
    <x v="0"/>
    <x v="0"/>
    <x v="0"/>
    <x v="0"/>
    <x v="0"/>
    <x v="30"/>
    <x v="27"/>
    <x v="0"/>
    <x v="0"/>
    <x v="0"/>
    <x v="0"/>
    <x v="0"/>
    <x v="0"/>
  </r>
  <r>
    <x v="6"/>
    <x v="0"/>
    <x v="230"/>
    <x v="9"/>
    <x v="0"/>
    <x v="1"/>
    <x v="4"/>
    <x v="27"/>
    <x v="26"/>
    <x v="22"/>
    <x v="60"/>
    <x v="76"/>
    <x v="4"/>
    <x v="17"/>
    <x v="31"/>
    <x v="2"/>
    <x v="4"/>
    <x v="0"/>
    <x v="0"/>
    <x v="0"/>
    <x v="0"/>
    <x v="0"/>
    <x v="0"/>
    <x v="40"/>
    <x v="27"/>
    <x v="0"/>
    <x v="0"/>
    <x v="0"/>
    <x v="0"/>
    <x v="0"/>
    <x v="0"/>
  </r>
  <r>
    <x v="6"/>
    <x v="0"/>
    <x v="230"/>
    <x v="9"/>
    <x v="0"/>
    <x v="1"/>
    <x v="5"/>
    <x v="25"/>
    <x v="26"/>
    <x v="18"/>
    <x v="59"/>
    <x v="66"/>
    <x v="5"/>
    <x v="14"/>
    <x v="26"/>
    <x v="2"/>
    <x v="5"/>
    <x v="0"/>
    <x v="0"/>
    <x v="0"/>
    <x v="0"/>
    <x v="0"/>
    <x v="0"/>
    <x v="50"/>
    <x v="25"/>
    <x v="0"/>
    <x v="0"/>
    <x v="0"/>
    <x v="0"/>
    <x v="0"/>
    <x v="0"/>
  </r>
  <r>
    <x v="6"/>
    <x v="0"/>
    <x v="230"/>
    <x v="9"/>
    <x v="0"/>
    <x v="1"/>
    <x v="6"/>
    <x v="27"/>
    <x v="26"/>
    <x v="17"/>
    <x v="58"/>
    <x v="47"/>
    <x v="6"/>
    <x v="12"/>
    <x v="17"/>
    <x v="2"/>
    <x v="6"/>
    <x v="0"/>
    <x v="0"/>
    <x v="0"/>
    <x v="0"/>
    <x v="0"/>
    <x v="0"/>
    <x v="60"/>
    <x v="27"/>
    <x v="0"/>
    <x v="0"/>
    <x v="0"/>
    <x v="0"/>
    <x v="0"/>
    <x v="0"/>
  </r>
  <r>
    <x v="6"/>
    <x v="0"/>
    <x v="231"/>
    <x v="9"/>
    <x v="0"/>
    <x v="0"/>
    <x v="2"/>
    <x v="26"/>
    <x v="38"/>
    <x v="21"/>
    <x v="67"/>
    <x v="78"/>
    <x v="2"/>
    <x v="15"/>
    <x v="28"/>
    <x v="2"/>
    <x v="2"/>
    <x v="1"/>
    <x v="0"/>
    <x v="0"/>
    <x v="0"/>
    <x v="0"/>
    <x v="0"/>
    <x v="20"/>
    <x v="26"/>
    <x v="0"/>
    <x v="0"/>
    <x v="0"/>
    <x v="0"/>
    <x v="0"/>
    <x v="0"/>
  </r>
  <r>
    <x v="6"/>
    <x v="0"/>
    <x v="231"/>
    <x v="9"/>
    <x v="0"/>
    <x v="0"/>
    <x v="3"/>
    <x v="27"/>
    <x v="38"/>
    <x v="23"/>
    <x v="64"/>
    <x v="77"/>
    <x v="3"/>
    <x v="16"/>
    <x v="30"/>
    <x v="2"/>
    <x v="3"/>
    <x v="1"/>
    <x v="0"/>
    <x v="0"/>
    <x v="0"/>
    <x v="0"/>
    <x v="0"/>
    <x v="30"/>
    <x v="27"/>
    <x v="0"/>
    <x v="0"/>
    <x v="0"/>
    <x v="0"/>
    <x v="0"/>
    <x v="0"/>
  </r>
  <r>
    <x v="6"/>
    <x v="0"/>
    <x v="231"/>
    <x v="9"/>
    <x v="0"/>
    <x v="0"/>
    <x v="4"/>
    <x v="27"/>
    <x v="38"/>
    <x v="22"/>
    <x v="60"/>
    <x v="76"/>
    <x v="4"/>
    <x v="17"/>
    <x v="31"/>
    <x v="2"/>
    <x v="4"/>
    <x v="1"/>
    <x v="0"/>
    <x v="0"/>
    <x v="0"/>
    <x v="0"/>
    <x v="0"/>
    <x v="40"/>
    <x v="27"/>
    <x v="0"/>
    <x v="0"/>
    <x v="0"/>
    <x v="0"/>
    <x v="0"/>
    <x v="0"/>
  </r>
  <r>
    <x v="6"/>
    <x v="0"/>
    <x v="231"/>
    <x v="9"/>
    <x v="0"/>
    <x v="0"/>
    <x v="5"/>
    <x v="25"/>
    <x v="38"/>
    <x v="18"/>
    <x v="59"/>
    <x v="66"/>
    <x v="5"/>
    <x v="14"/>
    <x v="26"/>
    <x v="2"/>
    <x v="5"/>
    <x v="1"/>
    <x v="0"/>
    <x v="0"/>
    <x v="0"/>
    <x v="0"/>
    <x v="0"/>
    <x v="50"/>
    <x v="25"/>
    <x v="0"/>
    <x v="0"/>
    <x v="0"/>
    <x v="0"/>
    <x v="0"/>
    <x v="0"/>
  </r>
  <r>
    <x v="6"/>
    <x v="0"/>
    <x v="231"/>
    <x v="9"/>
    <x v="0"/>
    <x v="0"/>
    <x v="6"/>
    <x v="27"/>
    <x v="38"/>
    <x v="17"/>
    <x v="58"/>
    <x v="47"/>
    <x v="6"/>
    <x v="12"/>
    <x v="17"/>
    <x v="2"/>
    <x v="6"/>
    <x v="1"/>
    <x v="0"/>
    <x v="0"/>
    <x v="0"/>
    <x v="0"/>
    <x v="0"/>
    <x v="60"/>
    <x v="27"/>
    <x v="0"/>
    <x v="0"/>
    <x v="0"/>
    <x v="0"/>
    <x v="0"/>
    <x v="0"/>
  </r>
  <r>
    <x v="2"/>
    <x v="0"/>
    <x v="232"/>
    <x v="10"/>
    <x v="0"/>
    <x v="0"/>
    <x v="2"/>
    <x v="16"/>
    <x v="19"/>
    <x v="21"/>
    <x v="21"/>
    <x v="49"/>
    <x v="2"/>
    <x v="15"/>
    <x v="33"/>
    <x v="11"/>
    <x v="2"/>
    <x v="1"/>
    <x v="0"/>
    <x v="0"/>
    <x v="0"/>
    <x v="0"/>
    <x v="0"/>
    <x v="21"/>
    <x v="16"/>
    <x v="0"/>
    <x v="0"/>
    <x v="0"/>
    <x v="0"/>
    <x v="0"/>
    <x v="0"/>
  </r>
  <r>
    <x v="2"/>
    <x v="0"/>
    <x v="232"/>
    <x v="10"/>
    <x v="0"/>
    <x v="0"/>
    <x v="3"/>
    <x v="15"/>
    <x v="19"/>
    <x v="23"/>
    <x v="23"/>
    <x v="55"/>
    <x v="3"/>
    <x v="16"/>
    <x v="34"/>
    <x v="11"/>
    <x v="3"/>
    <x v="1"/>
    <x v="0"/>
    <x v="0"/>
    <x v="0"/>
    <x v="0"/>
    <x v="0"/>
    <x v="31"/>
    <x v="15"/>
    <x v="0"/>
    <x v="0"/>
    <x v="0"/>
    <x v="0"/>
    <x v="0"/>
    <x v="0"/>
  </r>
  <r>
    <x v="2"/>
    <x v="0"/>
    <x v="232"/>
    <x v="10"/>
    <x v="0"/>
    <x v="0"/>
    <x v="4"/>
    <x v="15"/>
    <x v="19"/>
    <x v="22"/>
    <x v="26"/>
    <x v="52"/>
    <x v="4"/>
    <x v="17"/>
    <x v="36"/>
    <x v="11"/>
    <x v="4"/>
    <x v="1"/>
    <x v="0"/>
    <x v="0"/>
    <x v="0"/>
    <x v="0"/>
    <x v="0"/>
    <x v="41"/>
    <x v="15"/>
    <x v="0"/>
    <x v="0"/>
    <x v="0"/>
    <x v="0"/>
    <x v="0"/>
    <x v="0"/>
  </r>
  <r>
    <x v="2"/>
    <x v="0"/>
    <x v="232"/>
    <x v="10"/>
    <x v="0"/>
    <x v="0"/>
    <x v="5"/>
    <x v="17"/>
    <x v="19"/>
    <x v="18"/>
    <x v="28"/>
    <x v="40"/>
    <x v="5"/>
    <x v="14"/>
    <x v="32"/>
    <x v="11"/>
    <x v="5"/>
    <x v="1"/>
    <x v="0"/>
    <x v="0"/>
    <x v="0"/>
    <x v="0"/>
    <x v="0"/>
    <x v="51"/>
    <x v="17"/>
    <x v="0"/>
    <x v="0"/>
    <x v="0"/>
    <x v="0"/>
    <x v="0"/>
    <x v="0"/>
  </r>
  <r>
    <x v="2"/>
    <x v="0"/>
    <x v="232"/>
    <x v="10"/>
    <x v="0"/>
    <x v="0"/>
    <x v="6"/>
    <x v="15"/>
    <x v="19"/>
    <x v="17"/>
    <x v="25"/>
    <x v="26"/>
    <x v="6"/>
    <x v="12"/>
    <x v="18"/>
    <x v="11"/>
    <x v="6"/>
    <x v="1"/>
    <x v="0"/>
    <x v="0"/>
    <x v="0"/>
    <x v="0"/>
    <x v="0"/>
    <x v="61"/>
    <x v="15"/>
    <x v="0"/>
    <x v="0"/>
    <x v="0"/>
    <x v="0"/>
    <x v="0"/>
    <x v="0"/>
  </r>
  <r>
    <x v="25"/>
    <x v="0"/>
    <x v="233"/>
    <x v="10"/>
    <x v="0"/>
    <x v="0"/>
    <x v="2"/>
    <x v="16"/>
    <x v="19"/>
    <x v="21"/>
    <x v="21"/>
    <x v="49"/>
    <x v="2"/>
    <x v="15"/>
    <x v="33"/>
    <x v="11"/>
    <x v="2"/>
    <x v="1"/>
    <x v="0"/>
    <x v="0"/>
    <x v="0"/>
    <x v="0"/>
    <x v="0"/>
    <x v="21"/>
    <x v="16"/>
    <x v="0"/>
    <x v="0"/>
    <x v="0"/>
    <x v="0"/>
    <x v="0"/>
    <x v="0"/>
  </r>
  <r>
    <x v="25"/>
    <x v="0"/>
    <x v="233"/>
    <x v="10"/>
    <x v="0"/>
    <x v="0"/>
    <x v="3"/>
    <x v="15"/>
    <x v="19"/>
    <x v="23"/>
    <x v="23"/>
    <x v="55"/>
    <x v="3"/>
    <x v="16"/>
    <x v="34"/>
    <x v="11"/>
    <x v="3"/>
    <x v="1"/>
    <x v="0"/>
    <x v="0"/>
    <x v="0"/>
    <x v="0"/>
    <x v="0"/>
    <x v="31"/>
    <x v="15"/>
    <x v="0"/>
    <x v="0"/>
    <x v="0"/>
    <x v="0"/>
    <x v="0"/>
    <x v="0"/>
  </r>
  <r>
    <x v="25"/>
    <x v="0"/>
    <x v="233"/>
    <x v="10"/>
    <x v="0"/>
    <x v="0"/>
    <x v="4"/>
    <x v="15"/>
    <x v="19"/>
    <x v="22"/>
    <x v="26"/>
    <x v="52"/>
    <x v="4"/>
    <x v="17"/>
    <x v="36"/>
    <x v="11"/>
    <x v="4"/>
    <x v="1"/>
    <x v="0"/>
    <x v="0"/>
    <x v="0"/>
    <x v="0"/>
    <x v="0"/>
    <x v="41"/>
    <x v="15"/>
    <x v="0"/>
    <x v="0"/>
    <x v="0"/>
    <x v="0"/>
    <x v="0"/>
    <x v="0"/>
  </r>
  <r>
    <x v="25"/>
    <x v="0"/>
    <x v="233"/>
    <x v="10"/>
    <x v="0"/>
    <x v="0"/>
    <x v="5"/>
    <x v="17"/>
    <x v="19"/>
    <x v="18"/>
    <x v="28"/>
    <x v="40"/>
    <x v="5"/>
    <x v="14"/>
    <x v="32"/>
    <x v="11"/>
    <x v="5"/>
    <x v="1"/>
    <x v="0"/>
    <x v="0"/>
    <x v="0"/>
    <x v="0"/>
    <x v="0"/>
    <x v="51"/>
    <x v="17"/>
    <x v="0"/>
    <x v="0"/>
    <x v="0"/>
    <x v="0"/>
    <x v="0"/>
    <x v="0"/>
  </r>
  <r>
    <x v="25"/>
    <x v="0"/>
    <x v="233"/>
    <x v="10"/>
    <x v="0"/>
    <x v="0"/>
    <x v="6"/>
    <x v="15"/>
    <x v="19"/>
    <x v="17"/>
    <x v="25"/>
    <x v="26"/>
    <x v="6"/>
    <x v="12"/>
    <x v="18"/>
    <x v="11"/>
    <x v="6"/>
    <x v="1"/>
    <x v="0"/>
    <x v="0"/>
    <x v="0"/>
    <x v="0"/>
    <x v="0"/>
    <x v="61"/>
    <x v="15"/>
    <x v="0"/>
    <x v="0"/>
    <x v="0"/>
    <x v="0"/>
    <x v="0"/>
    <x v="0"/>
  </r>
  <r>
    <x v="9"/>
    <x v="0"/>
    <x v="234"/>
    <x v="10"/>
    <x v="0"/>
    <x v="0"/>
    <x v="2"/>
    <x v="16"/>
    <x v="19"/>
    <x v="21"/>
    <x v="21"/>
    <x v="49"/>
    <x v="2"/>
    <x v="15"/>
    <x v="33"/>
    <x v="11"/>
    <x v="2"/>
    <x v="1"/>
    <x v="0"/>
    <x v="0"/>
    <x v="0"/>
    <x v="0"/>
    <x v="0"/>
    <x v="21"/>
    <x v="16"/>
    <x v="0"/>
    <x v="0"/>
    <x v="0"/>
    <x v="0"/>
    <x v="0"/>
    <x v="0"/>
  </r>
  <r>
    <x v="9"/>
    <x v="0"/>
    <x v="234"/>
    <x v="10"/>
    <x v="0"/>
    <x v="0"/>
    <x v="3"/>
    <x v="15"/>
    <x v="19"/>
    <x v="23"/>
    <x v="23"/>
    <x v="55"/>
    <x v="3"/>
    <x v="16"/>
    <x v="34"/>
    <x v="11"/>
    <x v="3"/>
    <x v="1"/>
    <x v="0"/>
    <x v="0"/>
    <x v="0"/>
    <x v="0"/>
    <x v="0"/>
    <x v="31"/>
    <x v="15"/>
    <x v="0"/>
    <x v="0"/>
    <x v="0"/>
    <x v="0"/>
    <x v="0"/>
    <x v="0"/>
  </r>
  <r>
    <x v="9"/>
    <x v="0"/>
    <x v="234"/>
    <x v="10"/>
    <x v="0"/>
    <x v="0"/>
    <x v="4"/>
    <x v="15"/>
    <x v="19"/>
    <x v="22"/>
    <x v="26"/>
    <x v="52"/>
    <x v="4"/>
    <x v="17"/>
    <x v="36"/>
    <x v="11"/>
    <x v="4"/>
    <x v="1"/>
    <x v="0"/>
    <x v="0"/>
    <x v="0"/>
    <x v="0"/>
    <x v="0"/>
    <x v="41"/>
    <x v="15"/>
    <x v="0"/>
    <x v="0"/>
    <x v="0"/>
    <x v="0"/>
    <x v="0"/>
    <x v="0"/>
  </r>
  <r>
    <x v="9"/>
    <x v="0"/>
    <x v="234"/>
    <x v="10"/>
    <x v="0"/>
    <x v="0"/>
    <x v="5"/>
    <x v="17"/>
    <x v="19"/>
    <x v="18"/>
    <x v="28"/>
    <x v="40"/>
    <x v="5"/>
    <x v="14"/>
    <x v="32"/>
    <x v="11"/>
    <x v="5"/>
    <x v="1"/>
    <x v="0"/>
    <x v="0"/>
    <x v="0"/>
    <x v="0"/>
    <x v="0"/>
    <x v="51"/>
    <x v="17"/>
    <x v="0"/>
    <x v="0"/>
    <x v="0"/>
    <x v="0"/>
    <x v="0"/>
    <x v="0"/>
  </r>
  <r>
    <x v="9"/>
    <x v="0"/>
    <x v="234"/>
    <x v="10"/>
    <x v="0"/>
    <x v="0"/>
    <x v="6"/>
    <x v="15"/>
    <x v="19"/>
    <x v="17"/>
    <x v="25"/>
    <x v="26"/>
    <x v="6"/>
    <x v="12"/>
    <x v="18"/>
    <x v="11"/>
    <x v="6"/>
    <x v="1"/>
    <x v="0"/>
    <x v="0"/>
    <x v="0"/>
    <x v="0"/>
    <x v="0"/>
    <x v="61"/>
    <x v="15"/>
    <x v="0"/>
    <x v="0"/>
    <x v="0"/>
    <x v="0"/>
    <x v="0"/>
    <x v="0"/>
  </r>
  <r>
    <x v="6"/>
    <x v="0"/>
    <x v="235"/>
    <x v="9"/>
    <x v="0"/>
    <x v="0"/>
    <x v="2"/>
    <x v="9"/>
    <x v="46"/>
    <x v="21"/>
    <x v="67"/>
    <x v="78"/>
    <x v="2"/>
    <x v="15"/>
    <x v="28"/>
    <x v="2"/>
    <x v="2"/>
    <x v="1"/>
    <x v="0"/>
    <x v="0"/>
    <x v="0"/>
    <x v="0"/>
    <x v="0"/>
    <x v="20"/>
    <x v="9"/>
    <x v="0"/>
    <x v="0"/>
    <x v="0"/>
    <x v="0"/>
    <x v="0"/>
    <x v="0"/>
  </r>
  <r>
    <x v="6"/>
    <x v="0"/>
    <x v="235"/>
    <x v="9"/>
    <x v="0"/>
    <x v="0"/>
    <x v="3"/>
    <x v="9"/>
    <x v="46"/>
    <x v="23"/>
    <x v="64"/>
    <x v="77"/>
    <x v="3"/>
    <x v="16"/>
    <x v="30"/>
    <x v="2"/>
    <x v="3"/>
    <x v="1"/>
    <x v="0"/>
    <x v="0"/>
    <x v="0"/>
    <x v="0"/>
    <x v="0"/>
    <x v="30"/>
    <x v="9"/>
    <x v="0"/>
    <x v="0"/>
    <x v="0"/>
    <x v="0"/>
    <x v="0"/>
    <x v="0"/>
  </r>
  <r>
    <x v="6"/>
    <x v="0"/>
    <x v="235"/>
    <x v="9"/>
    <x v="0"/>
    <x v="0"/>
    <x v="4"/>
    <x v="9"/>
    <x v="46"/>
    <x v="22"/>
    <x v="60"/>
    <x v="76"/>
    <x v="4"/>
    <x v="17"/>
    <x v="31"/>
    <x v="2"/>
    <x v="4"/>
    <x v="1"/>
    <x v="0"/>
    <x v="0"/>
    <x v="0"/>
    <x v="0"/>
    <x v="0"/>
    <x v="40"/>
    <x v="9"/>
    <x v="0"/>
    <x v="0"/>
    <x v="0"/>
    <x v="0"/>
    <x v="0"/>
    <x v="0"/>
  </r>
  <r>
    <x v="6"/>
    <x v="0"/>
    <x v="235"/>
    <x v="9"/>
    <x v="0"/>
    <x v="0"/>
    <x v="5"/>
    <x v="9"/>
    <x v="46"/>
    <x v="18"/>
    <x v="59"/>
    <x v="66"/>
    <x v="5"/>
    <x v="14"/>
    <x v="26"/>
    <x v="2"/>
    <x v="5"/>
    <x v="1"/>
    <x v="0"/>
    <x v="0"/>
    <x v="0"/>
    <x v="0"/>
    <x v="0"/>
    <x v="50"/>
    <x v="9"/>
    <x v="0"/>
    <x v="0"/>
    <x v="0"/>
    <x v="0"/>
    <x v="0"/>
    <x v="0"/>
  </r>
  <r>
    <x v="6"/>
    <x v="0"/>
    <x v="235"/>
    <x v="9"/>
    <x v="0"/>
    <x v="0"/>
    <x v="6"/>
    <x v="9"/>
    <x v="46"/>
    <x v="17"/>
    <x v="58"/>
    <x v="47"/>
    <x v="6"/>
    <x v="12"/>
    <x v="17"/>
    <x v="2"/>
    <x v="6"/>
    <x v="1"/>
    <x v="0"/>
    <x v="0"/>
    <x v="0"/>
    <x v="0"/>
    <x v="0"/>
    <x v="60"/>
    <x v="9"/>
    <x v="0"/>
    <x v="0"/>
    <x v="0"/>
    <x v="0"/>
    <x v="0"/>
    <x v="0"/>
  </r>
  <r>
    <x v="2"/>
    <x v="0"/>
    <x v="236"/>
    <x v="4"/>
    <x v="0"/>
    <x v="0"/>
    <x v="2"/>
    <x v="12"/>
    <x v="11"/>
    <x v="21"/>
    <x v="2"/>
    <x v="23"/>
    <x v="2"/>
    <x v="15"/>
    <x v="25"/>
    <x v="4"/>
    <x v="2"/>
    <x v="1"/>
    <x v="0"/>
    <x v="0"/>
    <x v="0"/>
    <x v="0"/>
    <x v="0"/>
    <x v="16"/>
    <x v="12"/>
    <x v="0"/>
    <x v="0"/>
    <x v="0"/>
    <x v="0"/>
    <x v="0"/>
    <x v="0"/>
  </r>
  <r>
    <x v="2"/>
    <x v="0"/>
    <x v="236"/>
    <x v="4"/>
    <x v="0"/>
    <x v="0"/>
    <x v="3"/>
    <x v="11"/>
    <x v="11"/>
    <x v="23"/>
    <x v="6"/>
    <x v="29"/>
    <x v="3"/>
    <x v="16"/>
    <x v="27"/>
    <x v="4"/>
    <x v="3"/>
    <x v="1"/>
    <x v="0"/>
    <x v="0"/>
    <x v="0"/>
    <x v="0"/>
    <x v="0"/>
    <x v="26"/>
    <x v="11"/>
    <x v="0"/>
    <x v="0"/>
    <x v="0"/>
    <x v="0"/>
    <x v="0"/>
    <x v="0"/>
  </r>
  <r>
    <x v="2"/>
    <x v="0"/>
    <x v="236"/>
    <x v="4"/>
    <x v="0"/>
    <x v="0"/>
    <x v="4"/>
    <x v="11"/>
    <x v="11"/>
    <x v="22"/>
    <x v="5"/>
    <x v="27"/>
    <x v="4"/>
    <x v="17"/>
    <x v="29"/>
    <x v="4"/>
    <x v="4"/>
    <x v="1"/>
    <x v="0"/>
    <x v="0"/>
    <x v="0"/>
    <x v="0"/>
    <x v="0"/>
    <x v="36"/>
    <x v="11"/>
    <x v="0"/>
    <x v="0"/>
    <x v="0"/>
    <x v="0"/>
    <x v="0"/>
    <x v="0"/>
  </r>
  <r>
    <x v="2"/>
    <x v="0"/>
    <x v="236"/>
    <x v="4"/>
    <x v="0"/>
    <x v="0"/>
    <x v="5"/>
    <x v="13"/>
    <x v="11"/>
    <x v="18"/>
    <x v="4"/>
    <x v="9"/>
    <x v="5"/>
    <x v="14"/>
    <x v="24"/>
    <x v="4"/>
    <x v="5"/>
    <x v="1"/>
    <x v="0"/>
    <x v="0"/>
    <x v="0"/>
    <x v="0"/>
    <x v="0"/>
    <x v="46"/>
    <x v="13"/>
    <x v="0"/>
    <x v="0"/>
    <x v="0"/>
    <x v="0"/>
    <x v="0"/>
    <x v="0"/>
  </r>
  <r>
    <x v="2"/>
    <x v="0"/>
    <x v="236"/>
    <x v="4"/>
    <x v="0"/>
    <x v="0"/>
    <x v="6"/>
    <x v="11"/>
    <x v="11"/>
    <x v="17"/>
    <x v="3"/>
    <x v="6"/>
    <x v="6"/>
    <x v="12"/>
    <x v="16"/>
    <x v="4"/>
    <x v="6"/>
    <x v="1"/>
    <x v="0"/>
    <x v="0"/>
    <x v="0"/>
    <x v="0"/>
    <x v="0"/>
    <x v="56"/>
    <x v="11"/>
    <x v="0"/>
    <x v="0"/>
    <x v="0"/>
    <x v="0"/>
    <x v="0"/>
    <x v="0"/>
  </r>
  <r>
    <x v="2"/>
    <x v="0"/>
    <x v="237"/>
    <x v="4"/>
    <x v="0"/>
    <x v="1"/>
    <x v="2"/>
    <x v="12"/>
    <x v="4"/>
    <x v="21"/>
    <x v="2"/>
    <x v="23"/>
    <x v="2"/>
    <x v="15"/>
    <x v="25"/>
    <x v="4"/>
    <x v="2"/>
    <x v="0"/>
    <x v="0"/>
    <x v="0"/>
    <x v="0"/>
    <x v="0"/>
    <x v="0"/>
    <x v="16"/>
    <x v="12"/>
    <x v="0"/>
    <x v="0"/>
    <x v="0"/>
    <x v="0"/>
    <x v="0"/>
    <x v="0"/>
  </r>
  <r>
    <x v="2"/>
    <x v="0"/>
    <x v="237"/>
    <x v="4"/>
    <x v="0"/>
    <x v="1"/>
    <x v="3"/>
    <x v="11"/>
    <x v="4"/>
    <x v="23"/>
    <x v="6"/>
    <x v="29"/>
    <x v="3"/>
    <x v="16"/>
    <x v="27"/>
    <x v="4"/>
    <x v="3"/>
    <x v="0"/>
    <x v="0"/>
    <x v="0"/>
    <x v="0"/>
    <x v="0"/>
    <x v="0"/>
    <x v="26"/>
    <x v="11"/>
    <x v="0"/>
    <x v="0"/>
    <x v="0"/>
    <x v="0"/>
    <x v="0"/>
    <x v="0"/>
  </r>
  <r>
    <x v="2"/>
    <x v="0"/>
    <x v="237"/>
    <x v="4"/>
    <x v="0"/>
    <x v="1"/>
    <x v="4"/>
    <x v="11"/>
    <x v="4"/>
    <x v="22"/>
    <x v="5"/>
    <x v="27"/>
    <x v="4"/>
    <x v="17"/>
    <x v="29"/>
    <x v="4"/>
    <x v="4"/>
    <x v="0"/>
    <x v="0"/>
    <x v="0"/>
    <x v="0"/>
    <x v="0"/>
    <x v="0"/>
    <x v="36"/>
    <x v="11"/>
    <x v="0"/>
    <x v="0"/>
    <x v="0"/>
    <x v="0"/>
    <x v="0"/>
    <x v="0"/>
  </r>
  <r>
    <x v="2"/>
    <x v="0"/>
    <x v="237"/>
    <x v="4"/>
    <x v="0"/>
    <x v="1"/>
    <x v="5"/>
    <x v="13"/>
    <x v="4"/>
    <x v="18"/>
    <x v="4"/>
    <x v="9"/>
    <x v="5"/>
    <x v="14"/>
    <x v="24"/>
    <x v="4"/>
    <x v="5"/>
    <x v="0"/>
    <x v="0"/>
    <x v="0"/>
    <x v="0"/>
    <x v="0"/>
    <x v="0"/>
    <x v="46"/>
    <x v="13"/>
    <x v="0"/>
    <x v="0"/>
    <x v="0"/>
    <x v="0"/>
    <x v="0"/>
    <x v="0"/>
  </r>
  <r>
    <x v="2"/>
    <x v="0"/>
    <x v="237"/>
    <x v="4"/>
    <x v="0"/>
    <x v="1"/>
    <x v="6"/>
    <x v="11"/>
    <x v="4"/>
    <x v="17"/>
    <x v="3"/>
    <x v="6"/>
    <x v="6"/>
    <x v="12"/>
    <x v="16"/>
    <x v="4"/>
    <x v="6"/>
    <x v="0"/>
    <x v="0"/>
    <x v="0"/>
    <x v="0"/>
    <x v="0"/>
    <x v="0"/>
    <x v="56"/>
    <x v="11"/>
    <x v="0"/>
    <x v="0"/>
    <x v="0"/>
    <x v="0"/>
    <x v="0"/>
    <x v="0"/>
  </r>
  <r>
    <x v="25"/>
    <x v="0"/>
    <x v="238"/>
    <x v="10"/>
    <x v="0"/>
    <x v="0"/>
    <x v="2"/>
    <x v="9"/>
    <x v="22"/>
    <x v="21"/>
    <x v="21"/>
    <x v="49"/>
    <x v="2"/>
    <x v="15"/>
    <x v="33"/>
    <x v="11"/>
    <x v="2"/>
    <x v="1"/>
    <x v="0"/>
    <x v="0"/>
    <x v="0"/>
    <x v="0"/>
    <x v="0"/>
    <x v="21"/>
    <x v="9"/>
    <x v="0"/>
    <x v="0"/>
    <x v="0"/>
    <x v="0"/>
    <x v="0"/>
    <x v="0"/>
  </r>
  <r>
    <x v="25"/>
    <x v="0"/>
    <x v="238"/>
    <x v="10"/>
    <x v="0"/>
    <x v="0"/>
    <x v="3"/>
    <x v="9"/>
    <x v="22"/>
    <x v="23"/>
    <x v="23"/>
    <x v="55"/>
    <x v="3"/>
    <x v="16"/>
    <x v="34"/>
    <x v="11"/>
    <x v="3"/>
    <x v="1"/>
    <x v="0"/>
    <x v="0"/>
    <x v="0"/>
    <x v="0"/>
    <x v="0"/>
    <x v="31"/>
    <x v="9"/>
    <x v="0"/>
    <x v="0"/>
    <x v="0"/>
    <x v="0"/>
    <x v="0"/>
    <x v="0"/>
  </r>
  <r>
    <x v="25"/>
    <x v="0"/>
    <x v="238"/>
    <x v="10"/>
    <x v="0"/>
    <x v="0"/>
    <x v="4"/>
    <x v="9"/>
    <x v="22"/>
    <x v="22"/>
    <x v="26"/>
    <x v="52"/>
    <x v="4"/>
    <x v="17"/>
    <x v="36"/>
    <x v="11"/>
    <x v="4"/>
    <x v="1"/>
    <x v="0"/>
    <x v="0"/>
    <x v="0"/>
    <x v="0"/>
    <x v="0"/>
    <x v="41"/>
    <x v="9"/>
    <x v="0"/>
    <x v="0"/>
    <x v="0"/>
    <x v="0"/>
    <x v="0"/>
    <x v="0"/>
  </r>
  <r>
    <x v="25"/>
    <x v="0"/>
    <x v="238"/>
    <x v="10"/>
    <x v="0"/>
    <x v="0"/>
    <x v="5"/>
    <x v="9"/>
    <x v="22"/>
    <x v="18"/>
    <x v="28"/>
    <x v="40"/>
    <x v="5"/>
    <x v="14"/>
    <x v="32"/>
    <x v="11"/>
    <x v="5"/>
    <x v="1"/>
    <x v="0"/>
    <x v="0"/>
    <x v="0"/>
    <x v="0"/>
    <x v="0"/>
    <x v="51"/>
    <x v="9"/>
    <x v="0"/>
    <x v="0"/>
    <x v="0"/>
    <x v="0"/>
    <x v="0"/>
    <x v="0"/>
  </r>
  <r>
    <x v="25"/>
    <x v="0"/>
    <x v="238"/>
    <x v="10"/>
    <x v="0"/>
    <x v="0"/>
    <x v="6"/>
    <x v="9"/>
    <x v="22"/>
    <x v="17"/>
    <x v="25"/>
    <x v="26"/>
    <x v="6"/>
    <x v="12"/>
    <x v="18"/>
    <x v="11"/>
    <x v="6"/>
    <x v="1"/>
    <x v="0"/>
    <x v="0"/>
    <x v="0"/>
    <x v="0"/>
    <x v="0"/>
    <x v="61"/>
    <x v="9"/>
    <x v="0"/>
    <x v="0"/>
    <x v="0"/>
    <x v="0"/>
    <x v="0"/>
    <x v="0"/>
  </r>
  <r>
    <x v="11"/>
    <x v="0"/>
    <x v="239"/>
    <x v="10"/>
    <x v="0"/>
    <x v="1"/>
    <x v="2"/>
    <x v="26"/>
    <x v="17"/>
    <x v="21"/>
    <x v="21"/>
    <x v="49"/>
    <x v="2"/>
    <x v="15"/>
    <x v="33"/>
    <x v="11"/>
    <x v="2"/>
    <x v="0"/>
    <x v="0"/>
    <x v="0"/>
    <x v="0"/>
    <x v="0"/>
    <x v="0"/>
    <x v="21"/>
    <x v="26"/>
    <x v="0"/>
    <x v="0"/>
    <x v="0"/>
    <x v="0"/>
    <x v="0"/>
    <x v="0"/>
  </r>
  <r>
    <x v="11"/>
    <x v="0"/>
    <x v="239"/>
    <x v="10"/>
    <x v="0"/>
    <x v="1"/>
    <x v="3"/>
    <x v="27"/>
    <x v="17"/>
    <x v="23"/>
    <x v="23"/>
    <x v="55"/>
    <x v="3"/>
    <x v="16"/>
    <x v="34"/>
    <x v="11"/>
    <x v="3"/>
    <x v="0"/>
    <x v="0"/>
    <x v="0"/>
    <x v="0"/>
    <x v="0"/>
    <x v="0"/>
    <x v="31"/>
    <x v="27"/>
    <x v="0"/>
    <x v="0"/>
    <x v="0"/>
    <x v="0"/>
    <x v="0"/>
    <x v="0"/>
  </r>
  <r>
    <x v="11"/>
    <x v="0"/>
    <x v="239"/>
    <x v="10"/>
    <x v="0"/>
    <x v="1"/>
    <x v="4"/>
    <x v="27"/>
    <x v="17"/>
    <x v="22"/>
    <x v="26"/>
    <x v="52"/>
    <x v="4"/>
    <x v="17"/>
    <x v="36"/>
    <x v="11"/>
    <x v="4"/>
    <x v="0"/>
    <x v="0"/>
    <x v="0"/>
    <x v="0"/>
    <x v="0"/>
    <x v="0"/>
    <x v="41"/>
    <x v="27"/>
    <x v="0"/>
    <x v="0"/>
    <x v="0"/>
    <x v="0"/>
    <x v="0"/>
    <x v="0"/>
  </r>
  <r>
    <x v="11"/>
    <x v="0"/>
    <x v="239"/>
    <x v="10"/>
    <x v="0"/>
    <x v="1"/>
    <x v="5"/>
    <x v="25"/>
    <x v="17"/>
    <x v="18"/>
    <x v="28"/>
    <x v="40"/>
    <x v="5"/>
    <x v="14"/>
    <x v="32"/>
    <x v="11"/>
    <x v="5"/>
    <x v="0"/>
    <x v="0"/>
    <x v="0"/>
    <x v="0"/>
    <x v="0"/>
    <x v="0"/>
    <x v="51"/>
    <x v="25"/>
    <x v="0"/>
    <x v="0"/>
    <x v="0"/>
    <x v="0"/>
    <x v="0"/>
    <x v="0"/>
  </r>
  <r>
    <x v="11"/>
    <x v="0"/>
    <x v="239"/>
    <x v="10"/>
    <x v="0"/>
    <x v="1"/>
    <x v="6"/>
    <x v="27"/>
    <x v="17"/>
    <x v="17"/>
    <x v="25"/>
    <x v="26"/>
    <x v="6"/>
    <x v="12"/>
    <x v="18"/>
    <x v="11"/>
    <x v="6"/>
    <x v="0"/>
    <x v="0"/>
    <x v="0"/>
    <x v="0"/>
    <x v="0"/>
    <x v="0"/>
    <x v="61"/>
    <x v="27"/>
    <x v="0"/>
    <x v="0"/>
    <x v="0"/>
    <x v="0"/>
    <x v="0"/>
    <x v="0"/>
  </r>
  <r>
    <x v="11"/>
    <x v="0"/>
    <x v="240"/>
    <x v="10"/>
    <x v="0"/>
    <x v="1"/>
    <x v="2"/>
    <x v="26"/>
    <x v="17"/>
    <x v="21"/>
    <x v="21"/>
    <x v="49"/>
    <x v="2"/>
    <x v="15"/>
    <x v="33"/>
    <x v="11"/>
    <x v="2"/>
    <x v="0"/>
    <x v="0"/>
    <x v="0"/>
    <x v="0"/>
    <x v="0"/>
    <x v="0"/>
    <x v="21"/>
    <x v="26"/>
    <x v="0"/>
    <x v="0"/>
    <x v="0"/>
    <x v="0"/>
    <x v="0"/>
    <x v="0"/>
  </r>
  <r>
    <x v="11"/>
    <x v="0"/>
    <x v="240"/>
    <x v="10"/>
    <x v="0"/>
    <x v="1"/>
    <x v="3"/>
    <x v="27"/>
    <x v="17"/>
    <x v="23"/>
    <x v="23"/>
    <x v="55"/>
    <x v="3"/>
    <x v="16"/>
    <x v="34"/>
    <x v="11"/>
    <x v="3"/>
    <x v="0"/>
    <x v="0"/>
    <x v="0"/>
    <x v="0"/>
    <x v="0"/>
    <x v="0"/>
    <x v="31"/>
    <x v="27"/>
    <x v="0"/>
    <x v="0"/>
    <x v="0"/>
    <x v="0"/>
    <x v="0"/>
    <x v="0"/>
  </r>
  <r>
    <x v="11"/>
    <x v="0"/>
    <x v="240"/>
    <x v="10"/>
    <x v="0"/>
    <x v="1"/>
    <x v="4"/>
    <x v="27"/>
    <x v="17"/>
    <x v="22"/>
    <x v="26"/>
    <x v="52"/>
    <x v="4"/>
    <x v="17"/>
    <x v="36"/>
    <x v="11"/>
    <x v="4"/>
    <x v="0"/>
    <x v="0"/>
    <x v="0"/>
    <x v="0"/>
    <x v="0"/>
    <x v="0"/>
    <x v="41"/>
    <x v="27"/>
    <x v="0"/>
    <x v="0"/>
    <x v="0"/>
    <x v="0"/>
    <x v="0"/>
    <x v="0"/>
  </r>
  <r>
    <x v="11"/>
    <x v="0"/>
    <x v="240"/>
    <x v="10"/>
    <x v="0"/>
    <x v="1"/>
    <x v="5"/>
    <x v="25"/>
    <x v="17"/>
    <x v="18"/>
    <x v="28"/>
    <x v="40"/>
    <x v="5"/>
    <x v="14"/>
    <x v="32"/>
    <x v="11"/>
    <x v="5"/>
    <x v="0"/>
    <x v="0"/>
    <x v="0"/>
    <x v="0"/>
    <x v="0"/>
    <x v="0"/>
    <x v="51"/>
    <x v="25"/>
    <x v="0"/>
    <x v="0"/>
    <x v="0"/>
    <x v="0"/>
    <x v="0"/>
    <x v="0"/>
  </r>
  <r>
    <x v="0"/>
    <x v="0"/>
    <x v="242"/>
    <x v="7"/>
    <x v="0"/>
    <x v="0"/>
    <x v="2"/>
    <x v="30"/>
    <x v="46"/>
    <x v="21"/>
    <x v="61"/>
    <x v="75"/>
    <x v="2"/>
    <x v="15"/>
    <x v="41"/>
    <x v="3"/>
    <x v="2"/>
    <x v="1"/>
    <x v="0"/>
    <x v="0"/>
    <x v="0"/>
    <x v="0"/>
    <x v="0"/>
    <x v="18"/>
    <x v="30"/>
    <x v="0"/>
    <x v="0"/>
    <x v="0"/>
    <x v="0"/>
    <x v="0"/>
    <x v="0"/>
  </r>
  <r>
    <x v="3"/>
    <x v="0"/>
    <x v="243"/>
    <x v="7"/>
    <x v="0"/>
    <x v="1"/>
    <x v="2"/>
    <x v="37"/>
    <x v="36"/>
    <x v="21"/>
    <x v="61"/>
    <x v="75"/>
    <x v="2"/>
    <x v="15"/>
    <x v="41"/>
    <x v="3"/>
    <x v="2"/>
    <x v="0"/>
    <x v="0"/>
    <x v="0"/>
    <x v="0"/>
    <x v="0"/>
    <x v="0"/>
    <x v="18"/>
    <x v="37"/>
    <x v="0"/>
    <x v="0"/>
    <x v="0"/>
    <x v="0"/>
    <x v="0"/>
    <x v="0"/>
  </r>
  <r>
    <x v="24"/>
    <x v="0"/>
    <x v="244"/>
    <x v="7"/>
    <x v="0"/>
    <x v="0"/>
    <x v="2"/>
    <x v="26"/>
    <x v="46"/>
    <x v="21"/>
    <x v="61"/>
    <x v="75"/>
    <x v="2"/>
    <x v="15"/>
    <x v="41"/>
    <x v="3"/>
    <x v="2"/>
    <x v="1"/>
    <x v="0"/>
    <x v="0"/>
    <x v="0"/>
    <x v="0"/>
    <x v="0"/>
    <x v="18"/>
    <x v="26"/>
    <x v="0"/>
    <x v="0"/>
    <x v="0"/>
    <x v="0"/>
    <x v="0"/>
    <x v="0"/>
  </r>
  <r>
    <x v="15"/>
    <x v="0"/>
    <x v="245"/>
    <x v="9"/>
    <x v="0"/>
    <x v="1"/>
    <x v="2"/>
    <x v="20"/>
    <x v="36"/>
    <x v="21"/>
    <x v="67"/>
    <x v="78"/>
    <x v="2"/>
    <x v="15"/>
    <x v="28"/>
    <x v="2"/>
    <x v="2"/>
    <x v="0"/>
    <x v="0"/>
    <x v="0"/>
    <x v="0"/>
    <x v="0"/>
    <x v="0"/>
    <x v="20"/>
    <x v="20"/>
    <x v="0"/>
    <x v="0"/>
    <x v="0"/>
    <x v="0"/>
    <x v="0"/>
    <x v="0"/>
  </r>
  <r>
    <x v="15"/>
    <x v="0"/>
    <x v="245"/>
    <x v="9"/>
    <x v="0"/>
    <x v="1"/>
    <x v="3"/>
    <x v="19"/>
    <x v="36"/>
    <x v="23"/>
    <x v="64"/>
    <x v="77"/>
    <x v="3"/>
    <x v="16"/>
    <x v="30"/>
    <x v="2"/>
    <x v="3"/>
    <x v="0"/>
    <x v="0"/>
    <x v="0"/>
    <x v="0"/>
    <x v="0"/>
    <x v="0"/>
    <x v="30"/>
    <x v="19"/>
    <x v="0"/>
    <x v="0"/>
    <x v="0"/>
    <x v="0"/>
    <x v="0"/>
    <x v="0"/>
  </r>
  <r>
    <x v="15"/>
    <x v="0"/>
    <x v="245"/>
    <x v="9"/>
    <x v="0"/>
    <x v="1"/>
    <x v="4"/>
    <x v="19"/>
    <x v="36"/>
    <x v="22"/>
    <x v="60"/>
    <x v="76"/>
    <x v="4"/>
    <x v="17"/>
    <x v="31"/>
    <x v="2"/>
    <x v="4"/>
    <x v="0"/>
    <x v="0"/>
    <x v="0"/>
    <x v="0"/>
    <x v="0"/>
    <x v="0"/>
    <x v="40"/>
    <x v="19"/>
    <x v="0"/>
    <x v="0"/>
    <x v="0"/>
    <x v="0"/>
    <x v="0"/>
    <x v="0"/>
  </r>
  <r>
    <x v="15"/>
    <x v="0"/>
    <x v="245"/>
    <x v="9"/>
    <x v="0"/>
    <x v="1"/>
    <x v="5"/>
    <x v="21"/>
    <x v="36"/>
    <x v="18"/>
    <x v="59"/>
    <x v="66"/>
    <x v="5"/>
    <x v="14"/>
    <x v="26"/>
    <x v="2"/>
    <x v="5"/>
    <x v="0"/>
    <x v="0"/>
    <x v="0"/>
    <x v="0"/>
    <x v="0"/>
    <x v="0"/>
    <x v="50"/>
    <x v="21"/>
    <x v="0"/>
    <x v="0"/>
    <x v="0"/>
    <x v="0"/>
    <x v="0"/>
    <x v="0"/>
  </r>
  <r>
    <x v="15"/>
    <x v="0"/>
    <x v="245"/>
    <x v="9"/>
    <x v="0"/>
    <x v="1"/>
    <x v="6"/>
    <x v="19"/>
    <x v="36"/>
    <x v="17"/>
    <x v="58"/>
    <x v="47"/>
    <x v="6"/>
    <x v="12"/>
    <x v="17"/>
    <x v="2"/>
    <x v="6"/>
    <x v="0"/>
    <x v="0"/>
    <x v="0"/>
    <x v="0"/>
    <x v="0"/>
    <x v="0"/>
    <x v="60"/>
    <x v="19"/>
    <x v="0"/>
    <x v="0"/>
    <x v="0"/>
    <x v="0"/>
    <x v="0"/>
    <x v="0"/>
  </r>
  <r>
    <x v="0"/>
    <x v="0"/>
    <x v="246"/>
    <x v="9"/>
    <x v="0"/>
    <x v="1"/>
    <x v="2"/>
    <x v="9"/>
    <x v="36"/>
    <x v="21"/>
    <x v="67"/>
    <x v="78"/>
    <x v="2"/>
    <x v="15"/>
    <x v="28"/>
    <x v="2"/>
    <x v="2"/>
    <x v="0"/>
    <x v="0"/>
    <x v="0"/>
    <x v="0"/>
    <x v="0"/>
    <x v="0"/>
    <x v="20"/>
    <x v="9"/>
    <x v="0"/>
    <x v="0"/>
    <x v="0"/>
    <x v="0"/>
    <x v="0"/>
    <x v="0"/>
  </r>
  <r>
    <x v="0"/>
    <x v="0"/>
    <x v="246"/>
    <x v="9"/>
    <x v="0"/>
    <x v="1"/>
    <x v="3"/>
    <x v="9"/>
    <x v="36"/>
    <x v="23"/>
    <x v="64"/>
    <x v="77"/>
    <x v="3"/>
    <x v="16"/>
    <x v="30"/>
    <x v="2"/>
    <x v="3"/>
    <x v="0"/>
    <x v="0"/>
    <x v="0"/>
    <x v="0"/>
    <x v="0"/>
    <x v="0"/>
    <x v="30"/>
    <x v="9"/>
    <x v="0"/>
    <x v="0"/>
    <x v="0"/>
    <x v="0"/>
    <x v="0"/>
    <x v="0"/>
  </r>
  <r>
    <x v="0"/>
    <x v="0"/>
    <x v="246"/>
    <x v="9"/>
    <x v="0"/>
    <x v="1"/>
    <x v="4"/>
    <x v="9"/>
    <x v="36"/>
    <x v="22"/>
    <x v="60"/>
    <x v="76"/>
    <x v="4"/>
    <x v="17"/>
    <x v="31"/>
    <x v="2"/>
    <x v="4"/>
    <x v="0"/>
    <x v="0"/>
    <x v="0"/>
    <x v="0"/>
    <x v="0"/>
    <x v="0"/>
    <x v="40"/>
    <x v="9"/>
    <x v="0"/>
    <x v="0"/>
    <x v="0"/>
    <x v="0"/>
    <x v="0"/>
    <x v="0"/>
  </r>
  <r>
    <x v="0"/>
    <x v="0"/>
    <x v="246"/>
    <x v="9"/>
    <x v="0"/>
    <x v="1"/>
    <x v="5"/>
    <x v="9"/>
    <x v="36"/>
    <x v="18"/>
    <x v="59"/>
    <x v="66"/>
    <x v="5"/>
    <x v="14"/>
    <x v="26"/>
    <x v="2"/>
    <x v="5"/>
    <x v="0"/>
    <x v="0"/>
    <x v="0"/>
    <x v="0"/>
    <x v="0"/>
    <x v="0"/>
    <x v="50"/>
    <x v="9"/>
    <x v="0"/>
    <x v="0"/>
    <x v="0"/>
    <x v="0"/>
    <x v="0"/>
    <x v="0"/>
  </r>
  <r>
    <x v="0"/>
    <x v="0"/>
    <x v="246"/>
    <x v="9"/>
    <x v="0"/>
    <x v="1"/>
    <x v="6"/>
    <x v="9"/>
    <x v="36"/>
    <x v="17"/>
    <x v="58"/>
    <x v="47"/>
    <x v="6"/>
    <x v="12"/>
    <x v="17"/>
    <x v="2"/>
    <x v="6"/>
    <x v="0"/>
    <x v="0"/>
    <x v="0"/>
    <x v="0"/>
    <x v="0"/>
    <x v="0"/>
    <x v="60"/>
    <x v="9"/>
    <x v="0"/>
    <x v="0"/>
    <x v="0"/>
    <x v="0"/>
    <x v="0"/>
    <x v="0"/>
  </r>
  <r>
    <x v="7"/>
    <x v="0"/>
    <x v="241"/>
    <x v="3"/>
    <x v="0"/>
    <x v="0"/>
    <x v="2"/>
    <x v="42"/>
    <x v="19"/>
    <x v="21"/>
    <x v="7"/>
    <x v="33"/>
    <x v="2"/>
    <x v="15"/>
    <x v="37"/>
    <x v="4"/>
    <x v="2"/>
    <x v="1"/>
    <x v="0"/>
    <x v="0"/>
    <x v="0"/>
    <x v="0"/>
    <x v="0"/>
    <x v="15"/>
    <x v="42"/>
    <x v="0"/>
    <x v="0"/>
    <x v="0"/>
    <x v="0"/>
    <x v="0"/>
    <x v="0"/>
  </r>
  <r>
    <x v="7"/>
    <x v="0"/>
    <x v="241"/>
    <x v="3"/>
    <x v="0"/>
    <x v="0"/>
    <x v="3"/>
    <x v="42"/>
    <x v="19"/>
    <x v="23"/>
    <x v="57"/>
    <x v="73"/>
    <x v="3"/>
    <x v="16"/>
    <x v="38"/>
    <x v="4"/>
    <x v="3"/>
    <x v="1"/>
    <x v="0"/>
    <x v="0"/>
    <x v="0"/>
    <x v="0"/>
    <x v="0"/>
    <x v="25"/>
    <x v="42"/>
    <x v="0"/>
    <x v="0"/>
    <x v="0"/>
    <x v="0"/>
    <x v="0"/>
    <x v="0"/>
  </r>
  <r>
    <x v="7"/>
    <x v="0"/>
    <x v="241"/>
    <x v="3"/>
    <x v="0"/>
    <x v="0"/>
    <x v="4"/>
    <x v="42"/>
    <x v="19"/>
    <x v="22"/>
    <x v="57"/>
    <x v="70"/>
    <x v="4"/>
    <x v="17"/>
    <x v="39"/>
    <x v="4"/>
    <x v="4"/>
    <x v="1"/>
    <x v="0"/>
    <x v="0"/>
    <x v="0"/>
    <x v="0"/>
    <x v="0"/>
    <x v="35"/>
    <x v="42"/>
    <x v="0"/>
    <x v="0"/>
    <x v="0"/>
    <x v="0"/>
    <x v="0"/>
    <x v="0"/>
  </r>
  <r>
    <x v="7"/>
    <x v="0"/>
    <x v="241"/>
    <x v="3"/>
    <x v="0"/>
    <x v="0"/>
    <x v="5"/>
    <x v="42"/>
    <x v="19"/>
    <x v="18"/>
    <x v="46"/>
    <x v="50"/>
    <x v="5"/>
    <x v="14"/>
    <x v="35"/>
    <x v="4"/>
    <x v="5"/>
    <x v="1"/>
    <x v="0"/>
    <x v="0"/>
    <x v="0"/>
    <x v="0"/>
    <x v="0"/>
    <x v="45"/>
    <x v="42"/>
    <x v="0"/>
    <x v="0"/>
    <x v="0"/>
    <x v="0"/>
    <x v="0"/>
    <x v="0"/>
  </r>
  <r>
    <x v="7"/>
    <x v="0"/>
    <x v="241"/>
    <x v="3"/>
    <x v="0"/>
    <x v="0"/>
    <x v="6"/>
    <x v="42"/>
    <x v="19"/>
    <x v="17"/>
    <x v="15"/>
    <x v="16"/>
    <x v="6"/>
    <x v="12"/>
    <x v="20"/>
    <x v="4"/>
    <x v="6"/>
    <x v="1"/>
    <x v="0"/>
    <x v="0"/>
    <x v="0"/>
    <x v="0"/>
    <x v="0"/>
    <x v="55"/>
    <x v="42"/>
    <x v="0"/>
    <x v="0"/>
    <x v="0"/>
    <x v="0"/>
    <x v="0"/>
    <x v="0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BH6:BL22" firstHeaderRow="1" firstDataRow="2" firstDataCol="2"/>
  <pivotFields count="8">
    <pivotField axis="axisRow" compact="0" showAll="0" outline="0">
      <items count="3">
        <item x="0"/>
        <item x="1"/>
        <item t="default"/>
      </items>
    </pivotField>
    <pivotField axis="axisCol" compact="0" showAll="0" outline="0">
      <items count="3">
        <item x="0"/>
        <item x="1"/>
        <item t="default"/>
      </items>
    </pivotField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 outline="0"/>
  </pivotFields>
  <rowFields count="2">
    <field x="0"/>
    <field x="-2"/>
  </rowFields>
  <rowItems count="1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 v="14"/>
    </i>
  </rowItems>
  <colFields count="1">
    <field x="1"/>
  </colFields>
  <colItems count="3">
    <i>
      <x v="0"/>
    </i>
    <i>
      <x v="1"/>
    </i>
    <i t="grand">
      <x v="2"/>
    </i>
  </colItems>
  <dataFields count="5">
    <dataField name="Sum of Gamma" fld="2" subtotal="sum" numFmtId="164"/>
    <dataField name="Sum of Rho" fld="3" subtotal="sum" numFmtId="164"/>
    <dataField name="Sum of Drift" fld="4" subtotal="sum" numFmtId="164"/>
    <dataField name="Sum of Vega" fld="5" subtotal="sum" numFmtId="164"/>
    <dataField name="Sum of Theta" fld="6" subtotal="sum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4:P20" firstHeaderRow="1" firstDataRow="2" firstDataCol="1" rowPageCount="2" colPageCount="1"/>
  <pivotFields count="25">
    <pivotField compact="0" showAll="0" outline="0"/>
    <pivotField compact="0" showAll="0" outline="0"/>
    <pivotField compact="0" showAll="0" outline="0"/>
    <pivotField axis="axisPage" compact="0" showAll="0" outline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t="default"/>
      </items>
    </pivotField>
    <pivotField compact="0" showAll="0" outline="0"/>
    <pivotField axis="axisPage" compact="0" showAll="0" outline="0">
      <items count="4">
        <item x="0"/>
        <item h="1" x="1"/>
        <item h="1" x="2"/>
        <item t="default"/>
      </items>
    </pivotField>
    <pivotField axis="axisCol" compact="0" showAll="0" outline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compact="0" showAll="0" outline="0"/>
    <pivotField axis="axisRow" compact="0" showAll="0" outline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27"/>
        <item h="1" x="3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8"/>
  </rowFields>
  <rowItems count="1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 v="14"/>
    </i>
  </rowItems>
  <colFields count="1">
    <field x="6"/>
  </colFields>
  <colItems count="1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 v="14"/>
    </i>
  </colItems>
  <pageFields count="2">
    <pageField fld="5" hier="-1"/>
    <pageField fld="3" hier="-1"/>
  </pageFields>
  <dataFields count="1">
    <dataField name="Sum of Contracts" fld="24" subtotal="sum" numFmtId="168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1:M27" firstHeaderRow="1" firstDataRow="2" firstDataCol="1"/>
  <pivotFields count="31">
    <pivotField compact="0" showAll="0" outline="0"/>
    <pivotField compact="0" showAll="0" outline="0"/>
    <pivotField compact="0" showAll="0" outline="0"/>
    <pivotField axis="axisCol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 outline="0"/>
    <pivotField compact="0" showAll="0" outline="0"/>
    <pivotField axis="axisRow" compact="0" showAll="0" outline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6"/>
  </rowFields>
  <rowItems count="2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 v="24"/>
    </i>
  </rowItems>
  <colFields count="1">
    <field x="3"/>
  </colFields>
  <colItems count="1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 v="11"/>
    </i>
  </colItems>
  <dataFields count="1">
    <dataField name="Sum of Curve Shift/Gamma" fld="30" subtotal="sum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s2.xml"/><Relationship Id="rId5" Type="http://schemas.openxmlformats.org/officeDocument/2006/relationships/ctrlProp" Target="../ctrlProps/ctrlProps3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8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vmlDrawing" Target="../drawings/vmlDrawing5.vml"/><Relationship Id="rId3" Type="http://schemas.openxmlformats.org/officeDocument/2006/relationships/ctrlProp" Target="../ctrlProps/ctrlProps10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Relationship Id="rId4" Type="http://schemas.openxmlformats.org/officeDocument/2006/relationships/pivotTable" Target="../pivotTables/pivotTable1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vmlDrawing" Target="../drawings/vmlDrawing6.vml"/><Relationship Id="rId3" Type="http://schemas.openxmlformats.org/officeDocument/2006/relationships/ctrlProp" Target="../ctrlProps/ctrlProps1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V99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8.99"/>
    <col collapsed="false" customWidth="true" hidden="false" outlineLevel="0" max="2" min="2" style="0" width="15.28"/>
    <col collapsed="false" customWidth="true" hidden="false" outlineLevel="0" max="3" min="3" style="0" width="19.56"/>
    <col collapsed="false" customWidth="true" hidden="false" outlineLevel="0" max="6" min="4" style="0" width="18.41"/>
    <col collapsed="false" customWidth="true" hidden="false" outlineLevel="0" max="7" min="7" style="0" width="22.7"/>
    <col collapsed="false" customWidth="true" hidden="false" outlineLevel="0" max="9" min="8" style="0" width="18.99"/>
    <col collapsed="false" customWidth="true" hidden="false" outlineLevel="0" max="10" min="10" style="0" width="12.56"/>
    <col collapsed="false" customWidth="true" hidden="false" outlineLevel="0" max="11" min="11" style="0" width="23.99"/>
    <col collapsed="false" customWidth="true" hidden="false" outlineLevel="0" max="12" min="12" style="0" width="15.85"/>
    <col collapsed="false" customWidth="true" hidden="false" outlineLevel="0" max="13" min="13" style="0" width="20.13"/>
    <col collapsed="false" customWidth="true" hidden="false" outlineLevel="0" max="14" min="14" style="0" width="20.99"/>
    <col collapsed="false" customWidth="true" hidden="false" outlineLevel="0" max="16" min="16" style="0" width="11.28"/>
    <col collapsed="false" customWidth="true" hidden="false" outlineLevel="0" max="19" min="19" style="0" width="11.99"/>
  </cols>
  <sheetData>
    <row r="1" customFormat="false" ht="20.25" hidden="false" customHeight="false" outlineLevel="0" collapsed="false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3" t="s">
        <v>1</v>
      </c>
      <c r="L1" s="4"/>
      <c r="M1" s="4"/>
      <c r="N1" s="5"/>
      <c r="O1" s="2"/>
      <c r="P1" s="6" t="n">
        <v>36767</v>
      </c>
      <c r="Q1" s="7"/>
      <c r="R1" s="7"/>
      <c r="S1" s="7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customFormat="false" ht="19.5" hidden="false" customHeight="false" outlineLevel="0" collapsed="false">
      <c r="A2" s="2"/>
      <c r="B2" s="7"/>
      <c r="C2" s="7"/>
      <c r="D2" s="8"/>
      <c r="E2" s="9"/>
      <c r="F2" s="8"/>
      <c r="G2" s="8"/>
      <c r="I2" s="2"/>
      <c r="J2" s="2"/>
      <c r="K2" s="10" t="s">
        <v>2</v>
      </c>
      <c r="L2" s="11" t="s">
        <v>3</v>
      </c>
      <c r="M2" s="11" t="s">
        <v>4</v>
      </c>
      <c r="N2" s="12" t="s">
        <v>5</v>
      </c>
      <c r="O2" s="2"/>
      <c r="P2" s="7"/>
      <c r="Q2" s="7"/>
      <c r="R2" s="7"/>
      <c r="S2" s="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customFormat="false" ht="19.5" hidden="false" customHeight="false" outlineLevel="0" collapsed="false">
      <c r="A3" s="13" t="s">
        <v>1</v>
      </c>
      <c r="B3" s="7"/>
      <c r="C3" s="7"/>
      <c r="D3" s="7"/>
      <c r="E3" s="7"/>
      <c r="F3" s="7"/>
      <c r="G3" s="2"/>
      <c r="H3" s="2"/>
      <c r="I3" s="2"/>
      <c r="J3" s="2"/>
      <c r="K3" s="3" t="s">
        <v>6</v>
      </c>
      <c r="L3" s="14" t="e">
        <f aca="false">M3-N3</f>
        <v>#NAME?</v>
      </c>
      <c r="M3" s="15" t="e">
        <f aca="false">C5</f>
        <v>#NAME?</v>
      </c>
      <c r="N3" s="16" t="n">
        <v>6291784.3514146</v>
      </c>
      <c r="O3" s="2"/>
      <c r="P3" s="17"/>
      <c r="Q3" s="17"/>
      <c r="R3" s="18"/>
      <c r="S3" s="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</row>
    <row r="4" customFormat="false" ht="18.75" hidden="false" customHeight="false" outlineLevel="0" collapsed="false">
      <c r="A4" s="19" t="s">
        <v>2</v>
      </c>
      <c r="B4" s="20" t="s">
        <v>7</v>
      </c>
      <c r="C4" s="21" t="s">
        <v>8</v>
      </c>
      <c r="D4" s="2"/>
      <c r="E4" s="2"/>
      <c r="F4" s="2"/>
      <c r="G4" s="22" t="s">
        <v>8</v>
      </c>
      <c r="H4" s="23" t="e">
        <f aca="false">+C9</f>
        <v>#NAME?</v>
      </c>
      <c r="I4" s="2"/>
      <c r="J4" s="2"/>
      <c r="K4" s="24" t="s">
        <v>9</v>
      </c>
      <c r="L4" s="25" t="n">
        <f aca="false">M4-N4</f>
        <v>0</v>
      </c>
      <c r="M4" s="26" t="n">
        <f aca="false">C7</f>
        <v>0</v>
      </c>
      <c r="N4" s="27" t="n">
        <v>0</v>
      </c>
      <c r="O4" s="2"/>
      <c r="P4" s="18"/>
      <c r="Q4" s="18"/>
      <c r="R4" s="17"/>
      <c r="S4" s="17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</row>
    <row r="5" customFormat="false" ht="18.75" hidden="false" customHeight="false" outlineLevel="0" collapsed="false">
      <c r="A5" s="28" t="s">
        <v>6</v>
      </c>
      <c r="B5" s="29" t="e">
        <f aca="false">'Basis Options'!T3</f>
        <v>#NAME?</v>
      </c>
      <c r="C5" s="30" t="e">
        <f aca="false">'Basis Options'!U3</f>
        <v>#NAME?</v>
      </c>
      <c r="D5" s="2"/>
      <c r="E5" s="2"/>
      <c r="F5" s="2"/>
      <c r="G5" s="31" t="s">
        <v>10</v>
      </c>
      <c r="H5" s="32" t="n">
        <v>0</v>
      </c>
      <c r="I5" s="2"/>
      <c r="J5" s="2"/>
      <c r="K5" s="24" t="s">
        <v>11</v>
      </c>
      <c r="L5" s="25" t="n">
        <f aca="false">M5-N5</f>
        <v>0</v>
      </c>
      <c r="M5" s="26" t="n">
        <f aca="false">C8</f>
        <v>0</v>
      </c>
      <c r="N5" s="27" t="n">
        <v>0</v>
      </c>
      <c r="O5" s="2"/>
      <c r="P5" s="18"/>
      <c r="Q5" s="18"/>
      <c r="R5" s="18"/>
      <c r="S5" s="33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</row>
    <row r="6" customFormat="false" ht="19.5" hidden="false" customHeight="false" outlineLevel="0" collapsed="false">
      <c r="A6" s="28" t="s">
        <v>12</v>
      </c>
      <c r="B6" s="34" t="e">
        <f aca="false">'GD Spread Options'!T3</f>
        <v>#NAME?</v>
      </c>
      <c r="C6" s="35" t="e">
        <f aca="false">'GD Spread Options'!U3</f>
        <v>#NAME?</v>
      </c>
      <c r="D6" s="2"/>
      <c r="E6" s="2"/>
      <c r="F6" s="2"/>
      <c r="G6" s="36" t="s">
        <v>13</v>
      </c>
      <c r="H6" s="37" t="e">
        <f aca="false">+H3-H4</f>
        <v>#NAME?</v>
      </c>
      <c r="I6" s="2"/>
      <c r="J6" s="2"/>
      <c r="K6" s="24" t="s">
        <v>12</v>
      </c>
      <c r="L6" s="25" t="e">
        <f aca="false">M6-N6</f>
        <v>#NAME?</v>
      </c>
      <c r="M6" s="38" t="e">
        <f aca="false">C6</f>
        <v>#NAME?</v>
      </c>
      <c r="N6" s="27" t="n">
        <v>275000</v>
      </c>
      <c r="O6" s="2"/>
      <c r="P6" s="18"/>
      <c r="Q6" s="18"/>
      <c r="R6" s="18"/>
      <c r="S6" s="3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</row>
    <row r="7" customFormat="false" ht="19.5" hidden="false" customHeight="false" outlineLevel="0" collapsed="false">
      <c r="A7" s="28" t="s">
        <v>9</v>
      </c>
      <c r="B7" s="34"/>
      <c r="C7" s="35"/>
      <c r="D7" s="2"/>
      <c r="E7" s="2"/>
      <c r="F7" s="2"/>
      <c r="G7" s="36"/>
      <c r="H7" s="37"/>
      <c r="I7" s="2"/>
      <c r="J7" s="39"/>
      <c r="K7" s="24" t="s">
        <v>14</v>
      </c>
      <c r="L7" s="40" t="n">
        <f aca="false">M7-N7</f>
        <v>0</v>
      </c>
      <c r="M7" s="41" t="n">
        <f aca="false">Digital!S3</f>
        <v>0</v>
      </c>
      <c r="N7" s="42" t="n">
        <v>0</v>
      </c>
      <c r="O7" s="2"/>
      <c r="P7" s="18"/>
      <c r="Q7" s="18"/>
      <c r="R7" s="18"/>
      <c r="S7" s="43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</row>
    <row r="8" customFormat="false" ht="19.5" hidden="false" customHeight="false" outlineLevel="0" collapsed="false">
      <c r="A8" s="28" t="s">
        <v>11</v>
      </c>
      <c r="B8" s="34"/>
      <c r="C8" s="35"/>
      <c r="D8" s="2"/>
      <c r="E8" s="2"/>
      <c r="F8" s="2"/>
      <c r="G8" s="9"/>
      <c r="H8" s="43"/>
      <c r="I8" s="2"/>
      <c r="J8" s="39"/>
      <c r="K8" s="44" t="s">
        <v>15</v>
      </c>
      <c r="L8" s="40" t="e">
        <f aca="false">SUM(L3:L7)</f>
        <v>#NAME?</v>
      </c>
      <c r="M8" s="41" t="e">
        <f aca="false">SUM(M3:M7)</f>
        <v>#NAME?</v>
      </c>
      <c r="N8" s="42" t="n">
        <f aca="false">SUM(N3:N7)</f>
        <v>6566784.3514146</v>
      </c>
      <c r="O8" s="2"/>
      <c r="P8" s="18"/>
      <c r="Q8" s="18"/>
      <c r="R8" s="18"/>
      <c r="S8" s="45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</row>
    <row r="9" customFormat="false" ht="13.5" hidden="false" customHeight="false" outlineLevel="0" collapsed="false">
      <c r="A9" s="46" t="s">
        <v>15</v>
      </c>
      <c r="B9" s="47" t="e">
        <f aca="false">SUM(B5:B8)</f>
        <v>#NAME?</v>
      </c>
      <c r="C9" s="48" t="e">
        <f aca="false">SUM(C5:C8)</f>
        <v>#NAME?</v>
      </c>
      <c r="D9" s="2"/>
      <c r="G9" s="2"/>
      <c r="H9" s="2"/>
      <c r="I9" s="2"/>
      <c r="J9" s="39"/>
      <c r="O9" s="2"/>
      <c r="P9" s="7"/>
      <c r="Q9" s="7"/>
      <c r="R9" s="7"/>
      <c r="S9" s="7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</row>
    <row r="10" customFormat="false" ht="12.75" hidden="false" customHeight="false" outlineLevel="0" collapsed="false">
      <c r="A10" s="2"/>
      <c r="B10" s="2"/>
      <c r="C10" s="2"/>
      <c r="D10" s="2"/>
      <c r="E10" s="2"/>
      <c r="F10" s="2"/>
      <c r="G10" s="2"/>
      <c r="H10" s="2"/>
      <c r="I10" s="2"/>
      <c r="J10" s="2"/>
      <c r="O10" s="2"/>
      <c r="P10" s="7"/>
      <c r="Q10" s="7"/>
      <c r="R10" s="7"/>
      <c r="S10" s="7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</row>
    <row r="11" customFormat="false" ht="13.5" hidden="false" customHeight="false" outlineLevel="0" collapsed="false">
      <c r="A11" s="4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</row>
    <row r="12" customFormat="false" ht="90" hidden="false" customHeight="false" outlineLevel="0" collapsed="false">
      <c r="A12" s="13" t="s">
        <v>16</v>
      </c>
      <c r="B12" s="2"/>
      <c r="C12" s="2"/>
      <c r="D12" s="2"/>
      <c r="E12" s="50" t="s">
        <v>17</v>
      </c>
      <c r="F12" s="5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</row>
    <row r="13" customFormat="false" ht="14.25" hidden="false" customHeight="false" outlineLevel="0" collapsed="false">
      <c r="A13" s="19" t="s">
        <v>18</v>
      </c>
      <c r="B13" s="20" t="s">
        <v>6</v>
      </c>
      <c r="C13" s="20" t="s">
        <v>11</v>
      </c>
      <c r="D13" s="20" t="s">
        <v>9</v>
      </c>
      <c r="E13" s="51" t="s">
        <v>12</v>
      </c>
      <c r="F13" s="51" t="s">
        <v>14</v>
      </c>
      <c r="G13" s="52" t="s">
        <v>15</v>
      </c>
      <c r="H13" s="52" t="s">
        <v>19</v>
      </c>
      <c r="I13" s="52" t="s">
        <v>20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customFormat="false" ht="14.25" hidden="false" customHeight="false" outlineLevel="0" collapsed="false">
      <c r="A14" s="53" t="n">
        <v>36526</v>
      </c>
      <c r="B14" s="54" t="e">
        <f aca="false">VLOOKUP(A14,BasOptPos,2,FALSE())</f>
        <v>#N/A</v>
      </c>
      <c r="C14" s="54" t="n">
        <f aca="false">VLOOKUP(A14,BsktOptPos,2,FALSE())</f>
        <v>0</v>
      </c>
      <c r="D14" s="54" t="n">
        <f aca="false">VLOOKUP(A14,ExtColPos,2,FALSE())</f>
        <v>0</v>
      </c>
      <c r="E14" s="54" t="n">
        <f aca="false">VLOOKUP(A14,gdspreadoptpos,2,FALSE())</f>
        <v>0</v>
      </c>
      <c r="F14" s="55"/>
      <c r="G14" s="56" t="e">
        <f aca="false">SUM(B14:D14)</f>
        <v>#N/A</v>
      </c>
      <c r="H14" s="57" t="e">
        <f aca="false">VLOOKUP(A14,NymEq,2,FALSE())</f>
        <v>#N/A</v>
      </c>
      <c r="I14" s="56" t="e">
        <f aca="false">+H14+D14+C14+F14</f>
        <v>#N/A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customFormat="false" ht="12.75" hidden="false" customHeight="false" outlineLevel="0" collapsed="false">
      <c r="A15" s="58" t="n">
        <f aca="false">EOMONTH(A14,0)+1</f>
        <v>36557</v>
      </c>
      <c r="B15" s="54" t="e">
        <f aca="false">VLOOKUP(A15,BasOptPos,2,FALSE())</f>
        <v>#N/A</v>
      </c>
      <c r="C15" s="54" t="n">
        <f aca="false">VLOOKUP(A15,BsktOptPos,2,FALSE())</f>
        <v>0</v>
      </c>
      <c r="D15" s="54" t="n">
        <f aca="false">VLOOKUP(A15,ExtColPos,2,FALSE())</f>
        <v>0</v>
      </c>
      <c r="E15" s="54" t="n">
        <f aca="false">VLOOKUP(A15,gdspreadoptpos,2,FALSE())</f>
        <v>0</v>
      </c>
      <c r="F15" s="54" t="n">
        <v>0</v>
      </c>
      <c r="G15" s="56" t="e">
        <f aca="false">SUM(B15:D15)</f>
        <v>#N/A</v>
      </c>
      <c r="H15" s="57" t="e">
        <f aca="false">VLOOKUP(A15,NymEq,2,FALSE())</f>
        <v>#N/A</v>
      </c>
      <c r="I15" s="56" t="e">
        <f aca="false">+H15+D15+C15+F15</f>
        <v>#N/A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customFormat="false" ht="12.75" hidden="false" customHeight="false" outlineLevel="0" collapsed="false">
      <c r="A16" s="58" t="n">
        <f aca="false">EOMONTH(A15,0)+1</f>
        <v>36586</v>
      </c>
      <c r="B16" s="54" t="e">
        <f aca="false">VLOOKUP(A16,BasOptPos,2,FALSE())</f>
        <v>#N/A</v>
      </c>
      <c r="C16" s="54" t="n">
        <f aca="false">VLOOKUP(A16,BsktOptPos,2,FALSE())</f>
        <v>0</v>
      </c>
      <c r="D16" s="54" t="n">
        <f aca="false">VLOOKUP(A16,ExtColPos,2,FALSE())</f>
        <v>0</v>
      </c>
      <c r="E16" s="54" t="n">
        <f aca="false">VLOOKUP(A16,gdspreadoptpos,2,FALSE())</f>
        <v>0</v>
      </c>
      <c r="F16" s="54" t="n">
        <v>0</v>
      </c>
      <c r="G16" s="56" t="e">
        <f aca="false">SUM(B16:D16)</f>
        <v>#N/A</v>
      </c>
      <c r="H16" s="57" t="e">
        <f aca="false">VLOOKUP(A16,NymEq,2,FALSE())</f>
        <v>#N/A</v>
      </c>
      <c r="I16" s="56" t="e">
        <f aca="false">+H16+D16+C16+F16</f>
        <v>#N/A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customFormat="false" ht="12.75" hidden="false" customHeight="false" outlineLevel="0" collapsed="false">
      <c r="A17" s="58" t="n">
        <f aca="false">EOMONTH(A16,0)+1</f>
        <v>36617</v>
      </c>
      <c r="B17" s="54" t="e">
        <f aca="false">VLOOKUP(A17,BasOptPos,2,FALSE())</f>
        <v>#N/A</v>
      </c>
      <c r="C17" s="54" t="n">
        <f aca="false">VLOOKUP(A17,BsktOptPos,2,FALSE())</f>
        <v>0</v>
      </c>
      <c r="D17" s="54" t="n">
        <f aca="false">VLOOKUP(A17,ExtColPos,2,FALSE())</f>
        <v>0</v>
      </c>
      <c r="E17" s="54" t="n">
        <f aca="false">VLOOKUP(A17,gdspreadoptpos,2,FALSE())</f>
        <v>0</v>
      </c>
      <c r="F17" s="54" t="n">
        <v>0</v>
      </c>
      <c r="G17" s="56" t="e">
        <f aca="false">SUM(B17:D17)</f>
        <v>#N/A</v>
      </c>
      <c r="H17" s="57" t="e">
        <f aca="false">VLOOKUP(A17,NymEq,2,FALSE())</f>
        <v>#N/A</v>
      </c>
      <c r="I17" s="56" t="e">
        <f aca="false">+H17+D17+C17+F17</f>
        <v>#N/A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customFormat="false" ht="12.75" hidden="false" customHeight="false" outlineLevel="0" collapsed="false">
      <c r="A18" s="58" t="n">
        <f aca="false">EOMONTH(A17,0)+1</f>
        <v>36647</v>
      </c>
      <c r="B18" s="54" t="e">
        <f aca="false">VLOOKUP(A18,BasOptPos,2,FALSE())</f>
        <v>#N/A</v>
      </c>
      <c r="C18" s="54" t="n">
        <f aca="false">VLOOKUP(A18,BsktOptPos,2,FALSE())</f>
        <v>0</v>
      </c>
      <c r="D18" s="54" t="n">
        <f aca="false">VLOOKUP(A18,ExtColPos,2,FALSE())</f>
        <v>0</v>
      </c>
      <c r="E18" s="54" t="n">
        <f aca="false">VLOOKUP(A18,gdspreadoptpos,2,FALSE())</f>
        <v>0</v>
      </c>
      <c r="F18" s="54" t="n">
        <v>0</v>
      </c>
      <c r="G18" s="56" t="e">
        <f aca="false">SUM(B18:D18)</f>
        <v>#N/A</v>
      </c>
      <c r="H18" s="57" t="e">
        <f aca="false">VLOOKUP(A18,NymEq,2,FALSE())</f>
        <v>#N/A</v>
      </c>
      <c r="I18" s="56" t="e">
        <f aca="false">+H18+D18+C18+F18</f>
        <v>#N/A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customFormat="false" ht="12.75" hidden="false" customHeight="false" outlineLevel="0" collapsed="false">
      <c r="A19" s="58" t="n">
        <f aca="false">EOMONTH(A18,0)+1</f>
        <v>36678</v>
      </c>
      <c r="B19" s="54" t="e">
        <f aca="false">VLOOKUP(A19,BasOptPos,2,FALSE())</f>
        <v>#N/A</v>
      </c>
      <c r="C19" s="54" t="e">
        <f aca="false">VLOOKUP(A19,BsktOptPos,2,FALSE())</f>
        <v>#NAME?</v>
      </c>
      <c r="D19" s="54" t="n">
        <f aca="false">VLOOKUP(A19,ExtColPos,2,FALSE())</f>
        <v>0</v>
      </c>
      <c r="E19" s="54" t="e">
        <f aca="false">VLOOKUP(A19,gdspreadoptpos,2,FALSE())</f>
        <v>#NAME?</v>
      </c>
      <c r="F19" s="54" t="n">
        <v>0</v>
      </c>
      <c r="G19" s="56" t="e">
        <f aca="false">SUM(B19:D19)</f>
        <v>#N/A</v>
      </c>
      <c r="H19" s="57" t="e">
        <f aca="false">VLOOKUP(A19,NymEq,2,FALSE())</f>
        <v>#N/A</v>
      </c>
      <c r="I19" s="56" t="n">
        <v>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customFormat="false" ht="12.75" hidden="false" customHeight="false" outlineLevel="0" collapsed="false">
      <c r="A20" s="58" t="n">
        <f aca="false">EOMONTH(A19,0)+1</f>
        <v>36708</v>
      </c>
      <c r="B20" s="54" t="e">
        <f aca="false">VLOOKUP(A20,BasOptPos,2,FALSE())</f>
        <v>#N/A</v>
      </c>
      <c r="C20" s="54" t="n">
        <f aca="false">VLOOKUP(A20,BsktOptPos,2,FALSE())</f>
        <v>0</v>
      </c>
      <c r="D20" s="54" t="n">
        <f aca="false">VLOOKUP(A20,ExtColPos,2,FALSE())</f>
        <v>0</v>
      </c>
      <c r="E20" s="54" t="n">
        <f aca="false">VLOOKUP(A20,gdspreadoptpos,2,FALSE())</f>
        <v>0</v>
      </c>
      <c r="F20" s="54" t="n">
        <v>0</v>
      </c>
      <c r="G20" s="56" t="e">
        <f aca="false">SUM(B20:D20)</f>
        <v>#N/A</v>
      </c>
      <c r="H20" s="57" t="e">
        <f aca="false">VLOOKUP(A20,NymEq,2,FALSE())</f>
        <v>#N/A</v>
      </c>
      <c r="I20" s="56" t="n">
        <v>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customFormat="false" ht="12.75" hidden="false" customHeight="false" outlineLevel="0" collapsed="false">
      <c r="A21" s="58" t="n">
        <f aca="false">EOMONTH(A20,0)+1</f>
        <v>36739</v>
      </c>
      <c r="B21" s="54" t="n">
        <f aca="false">VLOOKUP(A21,BasOptPos,2,FALSE())</f>
        <v>0</v>
      </c>
      <c r="C21" s="54" t="n">
        <f aca="false">VLOOKUP(A21,BsktOptPos,2,FALSE())</f>
        <v>0</v>
      </c>
      <c r="D21" s="54" t="n">
        <f aca="false">VLOOKUP(A21,ExtColPos,2,FALSE())</f>
        <v>0</v>
      </c>
      <c r="E21" s="54" t="n">
        <f aca="false">VLOOKUP(A21,gdspreadoptpos,2,FALSE())</f>
        <v>0</v>
      </c>
      <c r="F21" s="54" t="n">
        <v>0</v>
      </c>
      <c r="G21" s="56" t="n">
        <f aca="false">SUM(B21:D21)</f>
        <v>0</v>
      </c>
      <c r="H21" s="57" t="n">
        <f aca="false">VLOOKUP(A21,NymEq,2,FALSE())</f>
        <v>0</v>
      </c>
      <c r="I21" s="56" t="n">
        <f aca="false">+H21+D21+C21+F21</f>
        <v>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customFormat="false" ht="12.75" hidden="false" customHeight="false" outlineLevel="0" collapsed="false">
      <c r="A22" s="58" t="n">
        <f aca="false">EOMONTH(A21,0)+1</f>
        <v>36770</v>
      </c>
      <c r="B22" s="54" t="e">
        <f aca="false">VLOOKUP(A22,BasOptPos,2,FALSE())</f>
        <v>#NAME?</v>
      </c>
      <c r="C22" s="54" t="n">
        <f aca="false">VLOOKUP(A22,BsktOptPos,2,FALSE())</f>
        <v>0</v>
      </c>
      <c r="D22" s="54" t="n">
        <f aca="false">VLOOKUP(A22,ExtColPos,2,FALSE())</f>
        <v>0</v>
      </c>
      <c r="E22" s="54" t="n">
        <f aca="false">VLOOKUP(A22,gdspreadoptpos,2,FALSE())</f>
        <v>0</v>
      </c>
      <c r="F22" s="54" t="n">
        <f aca="false">VLOOKUP(A22,Digital!$W$7:$AB$20,6)</f>
        <v>0</v>
      </c>
      <c r="G22" s="56" t="e">
        <f aca="false">SUM(B22:D22)</f>
        <v>#NAME?</v>
      </c>
      <c r="H22" s="57" t="e">
        <f aca="false">VLOOKUP(A22,NymEq,2,FALSE())</f>
        <v>#NAME?</v>
      </c>
      <c r="I22" s="56" t="e">
        <f aca="false">+H22+D22+C22+F22</f>
        <v>#NAME?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customFormat="false" ht="12.75" hidden="false" customHeight="false" outlineLevel="0" collapsed="false">
      <c r="A23" s="58" t="n">
        <f aca="false">EOMONTH(A22,0)+1</f>
        <v>36800</v>
      </c>
      <c r="B23" s="54" t="e">
        <f aca="false">VLOOKUP(A23,BasOptPos,2,FALSE())</f>
        <v>#NAME?</v>
      </c>
      <c r="C23" s="54" t="n">
        <f aca="false">VLOOKUP(A23,BsktOptPos,2,FALSE())</f>
        <v>0</v>
      </c>
      <c r="D23" s="54" t="n">
        <f aca="false">VLOOKUP(A23,ExtColPos,2,FALSE())</f>
        <v>0</v>
      </c>
      <c r="E23" s="54" t="n">
        <f aca="false">VLOOKUP(A23,gdspreadoptpos,2,FALSE())</f>
        <v>0</v>
      </c>
      <c r="F23" s="54" t="n">
        <f aca="false">VLOOKUP(A23,Digital!$W$7:$AB$20,6)</f>
        <v>0</v>
      </c>
      <c r="G23" s="56" t="e">
        <f aca="false">SUM(B23:E23)</f>
        <v>#NAME?</v>
      </c>
      <c r="H23" s="57" t="e">
        <f aca="false">VLOOKUP(A23,NymEq,2,FALSE())</f>
        <v>#NAME?</v>
      </c>
      <c r="I23" s="56" t="e">
        <f aca="false">+H23+D23+C23+F23</f>
        <v>#NAME?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customFormat="false" ht="12.75" hidden="false" customHeight="false" outlineLevel="0" collapsed="false">
      <c r="A24" s="58" t="n">
        <f aca="false">EOMONTH(A23,0)+1</f>
        <v>36831</v>
      </c>
      <c r="B24" s="54" t="e">
        <f aca="false">VLOOKUP(A24,BasOptPos,2,FALSE())</f>
        <v>#NAME?</v>
      </c>
      <c r="C24" s="54" t="n">
        <f aca="false">VLOOKUP(A24,BsktOptPos,2,FALSE())</f>
        <v>0</v>
      </c>
      <c r="D24" s="54" t="n">
        <f aca="false">VLOOKUP(A24,ExtColPos,2,FALSE())</f>
        <v>0</v>
      </c>
      <c r="E24" s="54" t="n">
        <f aca="false">VLOOKUP(A24,gdspreadoptpos,2,FALSE())</f>
        <v>0</v>
      </c>
      <c r="F24" s="54" t="n">
        <f aca="false">VLOOKUP(A24,Digital!$W$7:$AB$20,6)</f>
        <v>0</v>
      </c>
      <c r="G24" s="56" t="e">
        <f aca="false">SUM(B24:E24)</f>
        <v>#NAME?</v>
      </c>
      <c r="H24" s="57" t="e">
        <f aca="false">VLOOKUP(A24,NymEq,2,FALSE())</f>
        <v>#NAME?</v>
      </c>
      <c r="I24" s="56" t="e">
        <f aca="false">+H24+D24+C24+F24</f>
        <v>#NAME?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customFormat="false" ht="12.75" hidden="false" customHeight="false" outlineLevel="0" collapsed="false">
      <c r="A25" s="58" t="n">
        <f aca="false">EOMONTH(A24,0)+1</f>
        <v>36861</v>
      </c>
      <c r="B25" s="54" t="e">
        <f aca="false">VLOOKUP(A25,BasOptPos,2,FALSE())</f>
        <v>#NAME?</v>
      </c>
      <c r="C25" s="54" t="n">
        <f aca="false">VLOOKUP(A25,BsktOptPos,2,FALSE())</f>
        <v>0</v>
      </c>
      <c r="D25" s="54" t="n">
        <f aca="false">VLOOKUP(A25,ExtColPos,2,FALSE())</f>
        <v>0</v>
      </c>
      <c r="E25" s="54" t="n">
        <f aca="false">VLOOKUP(A25,gdspreadoptpos,2,FALSE())</f>
        <v>0</v>
      </c>
      <c r="F25" s="54" t="n">
        <f aca="false">VLOOKUP(A25,Digital!$W$7:$AB$20,6)</f>
        <v>0</v>
      </c>
      <c r="G25" s="56" t="e">
        <f aca="false">SUM(B25:E25)</f>
        <v>#NAME?</v>
      </c>
      <c r="H25" s="57" t="e">
        <f aca="false">VLOOKUP(A25,NymEq,2,FALSE())</f>
        <v>#NAME?</v>
      </c>
      <c r="I25" s="56" t="e">
        <f aca="false">+H25+D25+C25+F25</f>
        <v>#NAME?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customFormat="false" ht="12.75" hidden="false" customHeight="false" outlineLevel="0" collapsed="false">
      <c r="A26" s="58" t="n">
        <f aca="false">EOMONTH(A25,0)+1</f>
        <v>36892</v>
      </c>
      <c r="B26" s="54" t="e">
        <f aca="false">VLOOKUP(A26,BasOptPos,2,FALSE())</f>
        <v>#NAME?</v>
      </c>
      <c r="C26" s="54" t="n">
        <f aca="false">VLOOKUP(A26,BsktOptPos,2,FALSE())</f>
        <v>0</v>
      </c>
      <c r="D26" s="54" t="n">
        <f aca="false">VLOOKUP(A26,ExtColPos,2,FALSE())</f>
        <v>0</v>
      </c>
      <c r="E26" s="54" t="n">
        <f aca="false">VLOOKUP(A26,gdspreadoptpos,2,FALSE())</f>
        <v>0</v>
      </c>
      <c r="F26" s="54" t="n">
        <f aca="false">VLOOKUP(A26,Digital!$W$7:$AB$20,6)</f>
        <v>0</v>
      </c>
      <c r="G26" s="56" t="e">
        <f aca="false">SUM(B26:E26)</f>
        <v>#NAME?</v>
      </c>
      <c r="H26" s="57" t="e">
        <f aca="false">VLOOKUP(A26,NymEq,2,FALSE())</f>
        <v>#NAME?</v>
      </c>
      <c r="I26" s="56" t="e">
        <f aca="false">+H26+D26+C26+F26</f>
        <v>#NAME?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customFormat="false" ht="12.75" hidden="false" customHeight="false" outlineLevel="0" collapsed="false">
      <c r="A27" s="58" t="n">
        <f aca="false">EOMONTH(A26,0)+1</f>
        <v>36923</v>
      </c>
      <c r="B27" s="54" t="e">
        <f aca="false">VLOOKUP(A27,BasOptPos,2,FALSE())</f>
        <v>#NAME?</v>
      </c>
      <c r="C27" s="54" t="n">
        <f aca="false">VLOOKUP(A27,BsktOptPos,2,FALSE())</f>
        <v>0</v>
      </c>
      <c r="D27" s="54" t="n">
        <f aca="false">VLOOKUP(A27,ExtColPos,2,FALSE())</f>
        <v>0</v>
      </c>
      <c r="E27" s="54" t="n">
        <f aca="false">VLOOKUP(A27,gdspreadoptpos,2,FALSE())</f>
        <v>0</v>
      </c>
      <c r="F27" s="54" t="n">
        <f aca="false">VLOOKUP(A27,Digital!$W$7:$AB$20,6)</f>
        <v>0</v>
      </c>
      <c r="G27" s="56" t="e">
        <f aca="false">SUM(B27:E27)</f>
        <v>#NAME?</v>
      </c>
      <c r="H27" s="57" t="e">
        <f aca="false">VLOOKUP(A27,NymEq,2,FALSE())</f>
        <v>#NAME?</v>
      </c>
      <c r="I27" s="56" t="e">
        <f aca="false">+H27+D27+C27+F27</f>
        <v>#NAME?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customFormat="false" ht="12.75" hidden="false" customHeight="false" outlineLevel="0" collapsed="false">
      <c r="A28" s="58" t="n">
        <f aca="false">EOMONTH(A27,0)+1</f>
        <v>36951</v>
      </c>
      <c r="B28" s="54" t="e">
        <f aca="false">VLOOKUP(A28,BasOptPos,2,FALSE())</f>
        <v>#NAME?</v>
      </c>
      <c r="C28" s="54" t="n">
        <f aca="false">VLOOKUP(A28,BsktOptPos,2,FALSE())</f>
        <v>0</v>
      </c>
      <c r="D28" s="54" t="n">
        <f aca="false">VLOOKUP(A28,ExtColPos,2,FALSE())</f>
        <v>0</v>
      </c>
      <c r="E28" s="54" t="n">
        <f aca="false">VLOOKUP(A28,gdspreadoptpos,2,FALSE())</f>
        <v>0</v>
      </c>
      <c r="F28" s="54" t="n">
        <f aca="false">VLOOKUP(A28,Digital!$W$7:$AB$20,6)</f>
        <v>0</v>
      </c>
      <c r="G28" s="56" t="e">
        <f aca="false">SUM(B28:E28)</f>
        <v>#NAME?</v>
      </c>
      <c r="H28" s="57" t="e">
        <f aca="false">VLOOKUP(A28,NymEq,2,FALSE())</f>
        <v>#NAME?</v>
      </c>
      <c r="I28" s="56" t="e">
        <f aca="false">+H28+D28+C28+F28</f>
        <v>#NAME?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customFormat="false" ht="12.75" hidden="false" customHeight="false" outlineLevel="0" collapsed="false">
      <c r="A29" s="58" t="n">
        <f aca="false">EOMONTH(A28,0)+1</f>
        <v>36982</v>
      </c>
      <c r="B29" s="54" t="e">
        <f aca="false">VLOOKUP(A29,BasOptPos,2,FALSE())</f>
        <v>#NAME?</v>
      </c>
      <c r="C29" s="54" t="n">
        <f aca="false">VLOOKUP(A29,BsktOptPos,2,FALSE())</f>
        <v>0</v>
      </c>
      <c r="D29" s="54" t="n">
        <f aca="false">VLOOKUP(A29,ExtColPos,2,FALSE())</f>
        <v>0</v>
      </c>
      <c r="E29" s="54" t="n">
        <f aca="false">VLOOKUP(A29,gdspreadoptpos,2,FALSE())</f>
        <v>0</v>
      </c>
      <c r="F29" s="54" t="n">
        <f aca="false">VLOOKUP(A29,Digital!$W$7:$AB$20,6)</f>
        <v>0</v>
      </c>
      <c r="G29" s="56" t="e">
        <f aca="false">SUM(B29:E29)</f>
        <v>#NAME?</v>
      </c>
      <c r="H29" s="57" t="e">
        <f aca="false">VLOOKUP(A29,NymEq,2,FALSE())</f>
        <v>#NAME?</v>
      </c>
      <c r="I29" s="56" t="e">
        <f aca="false">+H29+D29+C29+F29</f>
        <v>#NAME?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customFormat="false" ht="12.75" hidden="false" customHeight="false" outlineLevel="0" collapsed="false">
      <c r="A30" s="58" t="n">
        <f aca="false">EOMONTH(A29,0)+1</f>
        <v>37012</v>
      </c>
      <c r="B30" s="54" t="e">
        <f aca="false">VLOOKUP(A30,BasOptPos,2,FALSE())</f>
        <v>#NAME?</v>
      </c>
      <c r="C30" s="54" t="n">
        <f aca="false">VLOOKUP(A30,BsktOptPos,2,FALSE())</f>
        <v>0</v>
      </c>
      <c r="D30" s="54" t="n">
        <f aca="false">VLOOKUP(A30,ExtColPos,2,FALSE())</f>
        <v>0</v>
      </c>
      <c r="E30" s="54" t="n">
        <f aca="false">VLOOKUP(A30,gdspreadoptpos,2,FALSE())</f>
        <v>0</v>
      </c>
      <c r="F30" s="54" t="n">
        <f aca="false">VLOOKUP(A30,Digital!$W$7:$AB$20,6)</f>
        <v>0</v>
      </c>
      <c r="G30" s="56" t="e">
        <f aca="false">SUM(B30:E30)</f>
        <v>#NAME?</v>
      </c>
      <c r="H30" s="57" t="e">
        <f aca="false">VLOOKUP(A30,NymEq,2,FALSE())</f>
        <v>#NAME?</v>
      </c>
      <c r="I30" s="56" t="e">
        <f aca="false">+H30+D30+C30+F30</f>
        <v>#NAME?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customFormat="false" ht="12.75" hidden="false" customHeight="false" outlineLevel="0" collapsed="false">
      <c r="A31" s="58" t="n">
        <f aca="false">EOMONTH(A30,0)+1</f>
        <v>37043</v>
      </c>
      <c r="B31" s="54" t="e">
        <f aca="false">VLOOKUP(A31,BasOptPos,2,FALSE())</f>
        <v>#NAME?</v>
      </c>
      <c r="C31" s="54" t="n">
        <f aca="false">VLOOKUP(A31,BsktOptPos,2,FALSE())</f>
        <v>0</v>
      </c>
      <c r="D31" s="54" t="n">
        <f aca="false">VLOOKUP(A31,ExtColPos,2,FALSE())</f>
        <v>0</v>
      </c>
      <c r="E31" s="54" t="n">
        <f aca="false">VLOOKUP(A31,gdspreadoptpos,2,FALSE())</f>
        <v>0</v>
      </c>
      <c r="F31" s="54" t="n">
        <f aca="false">VLOOKUP(A31,Digital!$W$7:$AB$20,6)</f>
        <v>0</v>
      </c>
      <c r="G31" s="56" t="e">
        <f aca="false">SUM(B31:E31)</f>
        <v>#NAME?</v>
      </c>
      <c r="H31" s="57" t="e">
        <f aca="false">VLOOKUP(A31,NymEq,2,FALSE())</f>
        <v>#NAME?</v>
      </c>
      <c r="I31" s="56" t="e">
        <f aca="false">+H31+D31+C31+F31</f>
        <v>#NAME?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customFormat="false" ht="12.75" hidden="false" customHeight="false" outlineLevel="0" collapsed="false">
      <c r="A32" s="58" t="n">
        <f aca="false">EOMONTH(A31,0)+1</f>
        <v>37073</v>
      </c>
      <c r="B32" s="54" t="e">
        <f aca="false">VLOOKUP(A32,BasOptPos,2,FALSE())</f>
        <v>#NAME?</v>
      </c>
      <c r="C32" s="54" t="n">
        <f aca="false">VLOOKUP(A32,BsktOptPos,2,FALSE())</f>
        <v>0</v>
      </c>
      <c r="D32" s="54" t="n">
        <f aca="false">VLOOKUP(A32,ExtColPos,2,FALSE())</f>
        <v>0</v>
      </c>
      <c r="E32" s="54" t="n">
        <f aca="false">VLOOKUP(A32,gdspreadoptpos,2,FALSE())</f>
        <v>0</v>
      </c>
      <c r="F32" s="54" t="n">
        <f aca="false">VLOOKUP(A32,Digital!$W$7:$AB$20,6)</f>
        <v>0</v>
      </c>
      <c r="G32" s="56" t="e">
        <f aca="false">SUM(B32:E32)</f>
        <v>#NAME?</v>
      </c>
      <c r="H32" s="57" t="e">
        <f aca="false">VLOOKUP(A32,NymEq,2,FALSE())</f>
        <v>#NAME?</v>
      </c>
      <c r="I32" s="56" t="e">
        <f aca="false">+H32+D32+C32+F32</f>
        <v>#NAME?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customFormat="false" ht="12.75" hidden="false" customHeight="false" outlineLevel="0" collapsed="false">
      <c r="A33" s="58" t="n">
        <f aca="false">EOMONTH(A32,0)+1</f>
        <v>37104</v>
      </c>
      <c r="B33" s="54" t="e">
        <f aca="false">VLOOKUP(A33,BasOptPos,2,FALSE())</f>
        <v>#NAME?</v>
      </c>
      <c r="C33" s="54" t="n">
        <f aca="false">VLOOKUP(A33,BsktOptPos,2,FALSE())</f>
        <v>0</v>
      </c>
      <c r="D33" s="54" t="n">
        <f aca="false">VLOOKUP(A33,ExtColPos,2,FALSE())</f>
        <v>0</v>
      </c>
      <c r="E33" s="54" t="n">
        <f aca="false">VLOOKUP(A33,gdspreadoptpos,2,FALSE())</f>
        <v>0</v>
      </c>
      <c r="F33" s="54" t="n">
        <f aca="false">VLOOKUP(A33,Digital!$W$7:$AB$20,6)</f>
        <v>0</v>
      </c>
      <c r="G33" s="56" t="e">
        <f aca="false">SUM(B33:E33)</f>
        <v>#NAME?</v>
      </c>
      <c r="H33" s="57" t="e">
        <f aca="false">VLOOKUP(A33,NymEq,2,FALSE())</f>
        <v>#NAME?</v>
      </c>
      <c r="I33" s="56" t="e">
        <f aca="false">+H33+D33+C33+F33</f>
        <v>#NAME?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customFormat="false" ht="12.75" hidden="false" customHeight="false" outlineLevel="0" collapsed="false">
      <c r="A34" s="58" t="n">
        <f aca="false">EOMONTH(A33,0)+1</f>
        <v>37135</v>
      </c>
      <c r="B34" s="54" t="e">
        <f aca="false">VLOOKUP(A34,BasOptPos,2,FALSE())</f>
        <v>#NAME?</v>
      </c>
      <c r="C34" s="54" t="n">
        <f aca="false">VLOOKUP(A34,BsktOptPos,2,FALSE())</f>
        <v>0</v>
      </c>
      <c r="D34" s="54" t="n">
        <f aca="false">VLOOKUP(A34,ExtColPos,2,FALSE())</f>
        <v>0</v>
      </c>
      <c r="E34" s="54" t="n">
        <f aca="false">VLOOKUP(A34,gdspreadoptpos,2,FALSE())</f>
        <v>0</v>
      </c>
      <c r="F34" s="54" t="n">
        <f aca="false">VLOOKUP(A34,Digital!$W$7:$AB$20,6)</f>
        <v>0</v>
      </c>
      <c r="G34" s="56" t="e">
        <f aca="false">SUM(B34:E34)</f>
        <v>#NAME?</v>
      </c>
      <c r="H34" s="57" t="e">
        <f aca="false">VLOOKUP(A34,NymEq,2,FALSE())</f>
        <v>#NAME?</v>
      </c>
      <c r="I34" s="56" t="e">
        <f aca="false">+H34+D34+C34+F34</f>
        <v>#NAME?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customFormat="false" ht="12.75" hidden="false" customHeight="false" outlineLevel="0" collapsed="false">
      <c r="A35" s="58" t="n">
        <f aca="false">EOMONTH(A34,0)+1</f>
        <v>37165</v>
      </c>
      <c r="B35" s="54" t="e">
        <f aca="false">VLOOKUP(A35,BasOptPos,2,FALSE())</f>
        <v>#NAME?</v>
      </c>
      <c r="C35" s="54" t="n">
        <f aca="false">VLOOKUP(A35,BsktOptPos,2,FALSE())</f>
        <v>0</v>
      </c>
      <c r="D35" s="54" t="n">
        <f aca="false">VLOOKUP(A35,ExtColPos,2,FALSE())</f>
        <v>0</v>
      </c>
      <c r="E35" s="54" t="n">
        <f aca="false">VLOOKUP(A35,gdspreadoptpos,2,FALSE())</f>
        <v>0</v>
      </c>
      <c r="F35" s="54" t="n">
        <f aca="false">VLOOKUP(A35,Digital!$W$7:$AB$20,6)</f>
        <v>0</v>
      </c>
      <c r="G35" s="56" t="e">
        <f aca="false">SUM(B35:E35)</f>
        <v>#NAME?</v>
      </c>
      <c r="H35" s="57" t="e">
        <f aca="false">VLOOKUP(A35,NymEq,2,FALSE())</f>
        <v>#NAME?</v>
      </c>
      <c r="I35" s="56" t="e">
        <f aca="false">+H35+D35+C35+F35</f>
        <v>#NAME?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customFormat="false" ht="12.75" hidden="false" customHeight="false" outlineLevel="0" collapsed="false">
      <c r="A36" s="58" t="n">
        <f aca="false">EOMONTH(A35,0)+1</f>
        <v>37196</v>
      </c>
      <c r="B36" s="54" t="e">
        <f aca="false">VLOOKUP(A36,BasOptPos,2,FALSE())</f>
        <v>#NAME?</v>
      </c>
      <c r="C36" s="54" t="n">
        <f aca="false">VLOOKUP(A36,BsktOptPos,2,FALSE())</f>
        <v>0</v>
      </c>
      <c r="D36" s="54" t="n">
        <f aca="false">VLOOKUP(A36,ExtColPos,2,FALSE())</f>
        <v>0</v>
      </c>
      <c r="E36" s="54" t="n">
        <f aca="false">VLOOKUP(A36,gdspreadoptpos,2,FALSE())</f>
        <v>0</v>
      </c>
      <c r="F36" s="54" t="n">
        <f aca="false">VLOOKUP(A36,Digital!$W$7:$AB$20,6)</f>
        <v>0</v>
      </c>
      <c r="G36" s="56" t="e">
        <f aca="false">SUM(B36:E36)</f>
        <v>#NAME?</v>
      </c>
      <c r="H36" s="57" t="e">
        <f aca="false">VLOOKUP(A36,NymEq,2,FALSE())</f>
        <v>#NAME?</v>
      </c>
      <c r="I36" s="56" t="e">
        <f aca="false">+H36+D36+C36+F36</f>
        <v>#NAME?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customFormat="false" ht="12.75" hidden="false" customHeight="false" outlineLevel="0" collapsed="false">
      <c r="A37" s="58" t="n">
        <f aca="false">EOMONTH(A36,0)+1</f>
        <v>37226</v>
      </c>
      <c r="B37" s="54" t="e">
        <f aca="false">VLOOKUP(A37,BasOptPos,2,FALSE())</f>
        <v>#NAME?</v>
      </c>
      <c r="C37" s="54" t="n">
        <f aca="false">VLOOKUP(A37,BsktOptPos,2,FALSE())</f>
        <v>0</v>
      </c>
      <c r="D37" s="54" t="n">
        <f aca="false">VLOOKUP(A37,ExtColPos,2,FALSE())</f>
        <v>0</v>
      </c>
      <c r="E37" s="54" t="n">
        <f aca="false">VLOOKUP(A37,gdspreadoptpos,2,FALSE())</f>
        <v>0</v>
      </c>
      <c r="F37" s="54" t="n">
        <f aca="false">VLOOKUP(A37,Digital!$W$7:$AB$20,6)</f>
        <v>0</v>
      </c>
      <c r="G37" s="56" t="e">
        <f aca="false">SUM(B37:E37)</f>
        <v>#NAME?</v>
      </c>
      <c r="H37" s="57" t="e">
        <f aca="false">VLOOKUP(A37,NymEq,2,FALSE())</f>
        <v>#NAME?</v>
      </c>
      <c r="I37" s="56" t="e">
        <f aca="false">+H37+D37+C37+F37</f>
        <v>#NAME?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customFormat="false" ht="12.75" hidden="false" customHeight="false" outlineLevel="0" collapsed="false">
      <c r="A38" s="58" t="n">
        <f aca="false">EOMONTH(A37,0)+1</f>
        <v>37257</v>
      </c>
      <c r="B38" s="54" t="e">
        <f aca="false">VLOOKUP(A38,BasOptPos,2,FALSE())</f>
        <v>#NAME?</v>
      </c>
      <c r="C38" s="54" t="n">
        <f aca="false">VLOOKUP(A38,BsktOptPos,2,FALSE())</f>
        <v>0</v>
      </c>
      <c r="D38" s="54" t="n">
        <f aca="false">VLOOKUP(A38,ExtColPos,2,FALSE())</f>
        <v>0</v>
      </c>
      <c r="E38" s="54" t="n">
        <f aca="false">VLOOKUP(A38,gdspreadoptpos,2,FALSE())</f>
        <v>0</v>
      </c>
      <c r="F38" s="54" t="n">
        <f aca="false">VLOOKUP(A38,Digital!$W$7:$AB$20,6)</f>
        <v>0</v>
      </c>
      <c r="G38" s="56" t="e">
        <f aca="false">SUM(B38:E38)</f>
        <v>#NAME?</v>
      </c>
      <c r="H38" s="57" t="e">
        <f aca="false">VLOOKUP(A38,NymEq,2,FALSE())</f>
        <v>#NAME?</v>
      </c>
      <c r="I38" s="56" t="e">
        <f aca="false">+H38+D38+C38+F38</f>
        <v>#NAME?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customFormat="false" ht="12.75" hidden="false" customHeight="false" outlineLevel="0" collapsed="false">
      <c r="A39" s="58" t="n">
        <f aca="false">EOMONTH(A38,0)+1</f>
        <v>37288</v>
      </c>
      <c r="B39" s="54" t="e">
        <f aca="false">VLOOKUP(A39,BasOptPos,2,FALSE())</f>
        <v>#NAME?</v>
      </c>
      <c r="C39" s="54" t="n">
        <f aca="false">VLOOKUP(A39,BsktOptPos,2,FALSE())</f>
        <v>0</v>
      </c>
      <c r="D39" s="54" t="n">
        <f aca="false">VLOOKUP(A39,ExtColPos,2,FALSE())</f>
        <v>0</v>
      </c>
      <c r="E39" s="54" t="n">
        <f aca="false">VLOOKUP(A39,gdspreadoptpos,2,FALSE())</f>
        <v>0</v>
      </c>
      <c r="F39" s="54" t="n">
        <f aca="false">VLOOKUP(A39,Digital!$W$7:$AB$20,6)</f>
        <v>0</v>
      </c>
      <c r="G39" s="56" t="e">
        <f aca="false">SUM(B39:E39)</f>
        <v>#NAME?</v>
      </c>
      <c r="H39" s="57" t="e">
        <f aca="false">VLOOKUP(A39,NymEq,2,FALSE())</f>
        <v>#NAME?</v>
      </c>
      <c r="I39" s="56" t="e">
        <f aca="false">+H39+D39+C39+F39</f>
        <v>#NAME?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customFormat="false" ht="12.75" hidden="false" customHeight="false" outlineLevel="0" collapsed="false">
      <c r="A40" s="58" t="n">
        <f aca="false">EOMONTH(A39,0)+1</f>
        <v>37316</v>
      </c>
      <c r="B40" s="54" t="e">
        <f aca="false">VLOOKUP(A40,BasOptPos,2,FALSE())</f>
        <v>#NAME?</v>
      </c>
      <c r="C40" s="54" t="n">
        <f aca="false">VLOOKUP(A40,BsktOptPos,2,FALSE())</f>
        <v>0</v>
      </c>
      <c r="D40" s="54" t="n">
        <f aca="false">VLOOKUP(A40,ExtColPos,2,FALSE())</f>
        <v>0</v>
      </c>
      <c r="E40" s="54" t="n">
        <f aca="false">VLOOKUP(A40,gdspreadoptpos,2,FALSE())</f>
        <v>0</v>
      </c>
      <c r="F40" s="54" t="n">
        <f aca="false">VLOOKUP(A40,Digital!$W$7:$AB$20,6)</f>
        <v>0</v>
      </c>
      <c r="G40" s="56" t="e">
        <f aca="false">SUM(B40:E40)</f>
        <v>#NAME?</v>
      </c>
      <c r="H40" s="57" t="e">
        <f aca="false">VLOOKUP(A40,NymEq,2,FALSE())</f>
        <v>#NAME?</v>
      </c>
      <c r="I40" s="56" t="e">
        <f aca="false">+H40+D40+C40+F40</f>
        <v>#NAME?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customFormat="false" ht="12.75" hidden="false" customHeight="false" outlineLevel="0" collapsed="false">
      <c r="A41" s="58" t="n">
        <f aca="false">EOMONTH(A40,0)+1</f>
        <v>37347</v>
      </c>
      <c r="B41" s="54" t="n">
        <f aca="false">VLOOKUP(A41,BasOptPos,2,FALSE())</f>
        <v>0</v>
      </c>
      <c r="C41" s="54" t="n">
        <f aca="false">VLOOKUP(A41,BsktOptPos,2,FALSE())</f>
        <v>0</v>
      </c>
      <c r="D41" s="54" t="n">
        <f aca="false">VLOOKUP(A41,ExtColPos,2,FALSE())</f>
        <v>0</v>
      </c>
      <c r="E41" s="54" t="e">
        <f aca="false">VLOOKUP(A41,gdspreadoptpos,2,FALSE())</f>
        <v>#N/A</v>
      </c>
      <c r="F41" s="54" t="n">
        <f aca="false">VLOOKUP(A41,Digital!$W$7:$AB$20,6)</f>
        <v>0</v>
      </c>
      <c r="G41" s="56" t="e">
        <f aca="false">SUM(B41:E41)</f>
        <v>#N/A</v>
      </c>
      <c r="H41" s="57" t="n">
        <f aca="false">VLOOKUP(A41,NymEq,2,FALSE())</f>
        <v>0</v>
      </c>
      <c r="I41" s="56" t="n">
        <f aca="false">+H41+D41+C41+F41</f>
        <v>0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customFormat="false" ht="12.75" hidden="false" customHeight="false" outlineLevel="0" collapsed="false">
      <c r="A42" s="58" t="n">
        <f aca="false">EOMONTH(A41,0)+1</f>
        <v>37377</v>
      </c>
      <c r="B42" s="54" t="n">
        <f aca="false">VLOOKUP(A42,BasOptPos,2,FALSE())</f>
        <v>0</v>
      </c>
      <c r="C42" s="54" t="n">
        <f aca="false">VLOOKUP(A42,BsktOptPos,2,FALSE())</f>
        <v>0</v>
      </c>
      <c r="D42" s="54" t="n">
        <f aca="false">VLOOKUP(A42,ExtColPos,2,FALSE())</f>
        <v>0</v>
      </c>
      <c r="E42" s="54" t="e">
        <f aca="false">VLOOKUP(A42,gdspreadoptpos,2,FALSE())</f>
        <v>#N/A</v>
      </c>
      <c r="F42" s="54" t="n">
        <f aca="false">VLOOKUP(A42,Digital!$W$7:$AB$20,6)</f>
        <v>0</v>
      </c>
      <c r="G42" s="56" t="e">
        <f aca="false">SUM(B42:E42)</f>
        <v>#N/A</v>
      </c>
      <c r="H42" s="57" t="n">
        <f aca="false">VLOOKUP(A42,NymEq,2,FALSE())</f>
        <v>0</v>
      </c>
      <c r="I42" s="56" t="n">
        <f aca="false">+H42+D42+C42+F42</f>
        <v>0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customFormat="false" ht="12.75" hidden="false" customHeight="false" outlineLevel="0" collapsed="false">
      <c r="A43" s="58" t="n">
        <f aca="false">EOMONTH(A42,0)+1</f>
        <v>37408</v>
      </c>
      <c r="B43" s="54" t="n">
        <f aca="false">VLOOKUP(A43,BasOptPos,2,FALSE())</f>
        <v>0</v>
      </c>
      <c r="C43" s="54" t="n">
        <f aca="false">VLOOKUP(A43,BsktOptPos,2,FALSE())</f>
        <v>0</v>
      </c>
      <c r="D43" s="54" t="n">
        <f aca="false">VLOOKUP(A43,ExtColPos,2,FALSE())</f>
        <v>0</v>
      </c>
      <c r="E43" s="54" t="e">
        <f aca="false">VLOOKUP(A43,gdspreadoptpos,2,FALSE())</f>
        <v>#N/A</v>
      </c>
      <c r="F43" s="54" t="n">
        <f aca="false">VLOOKUP(A43,Digital!$W$7:$AB$20,6)</f>
        <v>0</v>
      </c>
      <c r="G43" s="56" t="e">
        <f aca="false">SUM(B43:E43)</f>
        <v>#N/A</v>
      </c>
      <c r="H43" s="57" t="n">
        <f aca="false">VLOOKUP(A43,NymEq,2,FALSE())</f>
        <v>0</v>
      </c>
      <c r="I43" s="56" t="n">
        <f aca="false">+H43+D43+C43+F43</f>
        <v>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customFormat="false" ht="12.75" hidden="false" customHeight="false" outlineLevel="0" collapsed="false">
      <c r="A44" s="58" t="n">
        <f aca="false">EOMONTH(A43,0)+1</f>
        <v>37438</v>
      </c>
      <c r="B44" s="54" t="n">
        <f aca="false">VLOOKUP(A44,BasOptPos,2,FALSE())</f>
        <v>0</v>
      </c>
      <c r="C44" s="54" t="n">
        <f aca="false">VLOOKUP(A44,BsktOptPos,2,FALSE())</f>
        <v>0</v>
      </c>
      <c r="D44" s="54" t="n">
        <f aca="false">VLOOKUP(A44,ExtColPos,2,FALSE())</f>
        <v>0</v>
      </c>
      <c r="E44" s="54" t="e">
        <f aca="false">VLOOKUP(A44,gdspreadoptpos,2,FALSE())</f>
        <v>#N/A</v>
      </c>
      <c r="F44" s="54" t="n">
        <f aca="false">VLOOKUP(A44,Digital!$W$7:$AB$20,6)</f>
        <v>0</v>
      </c>
      <c r="G44" s="56" t="e">
        <f aca="false">SUM(B44:E44)</f>
        <v>#N/A</v>
      </c>
      <c r="H44" s="57" t="n">
        <f aca="false">VLOOKUP(A44,NymEq,2,FALSE())</f>
        <v>0</v>
      </c>
      <c r="I44" s="56" t="n">
        <f aca="false">+H44+D44+C44+F44</f>
        <v>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customFormat="false" ht="12.75" hidden="false" customHeight="false" outlineLevel="0" collapsed="false">
      <c r="A45" s="58" t="n">
        <f aca="false">EOMONTH(A44,0)+1</f>
        <v>37469</v>
      </c>
      <c r="B45" s="54" t="n">
        <f aca="false">VLOOKUP(A45,BasOptPos,2,FALSE())</f>
        <v>0</v>
      </c>
      <c r="C45" s="54" t="n">
        <f aca="false">VLOOKUP(A45,BsktOptPos,2,FALSE())</f>
        <v>0</v>
      </c>
      <c r="D45" s="54" t="n">
        <f aca="false">VLOOKUP(A45,ExtColPos,2,FALSE())</f>
        <v>0</v>
      </c>
      <c r="E45" s="54" t="e">
        <f aca="false">VLOOKUP(A45,gdspreadoptpos,2,FALSE())</f>
        <v>#N/A</v>
      </c>
      <c r="F45" s="54" t="n">
        <f aca="false">VLOOKUP(A45,Digital!$W$7:$AB$20,6)</f>
        <v>0</v>
      </c>
      <c r="G45" s="56" t="e">
        <f aca="false">SUM(B45:E45)</f>
        <v>#N/A</v>
      </c>
      <c r="H45" s="57" t="n">
        <f aca="false">VLOOKUP(A45,NymEq,2,FALSE())</f>
        <v>0</v>
      </c>
      <c r="I45" s="56" t="n">
        <f aca="false">+H45+D45+C45+F45</f>
        <v>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customFormat="false" ht="12.75" hidden="false" customHeight="false" outlineLevel="0" collapsed="false">
      <c r="A46" s="58" t="n">
        <f aca="false">EOMONTH(A45,0)+1</f>
        <v>37500</v>
      </c>
      <c r="B46" s="54" t="n">
        <f aca="false">VLOOKUP(A46,BasOptPos,2,FALSE())</f>
        <v>0</v>
      </c>
      <c r="C46" s="54" t="n">
        <f aca="false">VLOOKUP(A46,BsktOptPos,2,FALSE())</f>
        <v>0</v>
      </c>
      <c r="D46" s="54" t="n">
        <f aca="false">VLOOKUP(A46,ExtColPos,2,FALSE())</f>
        <v>0</v>
      </c>
      <c r="E46" s="54" t="e">
        <f aca="false">VLOOKUP(A46,gdspreadoptpos,2,FALSE())</f>
        <v>#N/A</v>
      </c>
      <c r="F46" s="54" t="n">
        <f aca="false">VLOOKUP(A46,Digital!$W$7:$AB$20,6)</f>
        <v>0</v>
      </c>
      <c r="G46" s="56" t="e">
        <f aca="false">SUM(B46:E46)</f>
        <v>#N/A</v>
      </c>
      <c r="H46" s="57" t="n">
        <f aca="false">VLOOKUP(A46,NymEq,2,FALSE())</f>
        <v>0</v>
      </c>
      <c r="I46" s="56" t="n">
        <f aca="false">+H46+D46+C46+F46</f>
        <v>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customFormat="false" ht="12.75" hidden="false" customHeight="false" outlineLevel="0" collapsed="false">
      <c r="A47" s="58" t="n">
        <f aca="false">EOMONTH(A46,0)+1</f>
        <v>37530</v>
      </c>
      <c r="B47" s="54" t="n">
        <f aca="false">VLOOKUP(A47,BasOptPos,2,FALSE())</f>
        <v>0</v>
      </c>
      <c r="C47" s="54" t="n">
        <f aca="false">VLOOKUP(A47,BsktOptPos,2,FALSE())</f>
        <v>0</v>
      </c>
      <c r="D47" s="54" t="n">
        <f aca="false">VLOOKUP(A47,ExtColPos,2,FALSE())</f>
        <v>0</v>
      </c>
      <c r="E47" s="54" t="e">
        <f aca="false">VLOOKUP(A47,gdspreadoptpos,2,FALSE())</f>
        <v>#N/A</v>
      </c>
      <c r="F47" s="54" t="n">
        <f aca="false">VLOOKUP(A47,Digital!$W$7:$AB$20,6)</f>
        <v>0</v>
      </c>
      <c r="G47" s="56" t="e">
        <f aca="false">SUM(B47:E47)</f>
        <v>#N/A</v>
      </c>
      <c r="H47" s="57" t="n">
        <f aca="false">VLOOKUP(A47,NymEq,2,FALSE())</f>
        <v>0</v>
      </c>
      <c r="I47" s="56" t="n">
        <f aca="false">+H47+D47+C47+F47</f>
        <v>0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customFormat="false" ht="12.75" hidden="false" customHeight="false" outlineLevel="0" collapsed="false">
      <c r="A48" s="58" t="n">
        <f aca="false">EOMONTH(A47,0)+1</f>
        <v>37561</v>
      </c>
      <c r="B48" s="54" t="e">
        <f aca="false">VLOOKUP(A48,BasOptPos,2,FALSE())</f>
        <v>#NAME?</v>
      </c>
      <c r="C48" s="54" t="n">
        <f aca="false">VLOOKUP(A48,BsktOptPos,2,FALSE())</f>
        <v>0</v>
      </c>
      <c r="D48" s="54" t="n">
        <f aca="false">VLOOKUP(A48,ExtColPos,2,FALSE())</f>
        <v>0</v>
      </c>
      <c r="E48" s="54" t="e">
        <f aca="false">VLOOKUP(A48,gdspreadoptpos,2,FALSE())</f>
        <v>#N/A</v>
      </c>
      <c r="F48" s="54" t="n">
        <f aca="false">VLOOKUP(A48,Digital!$W$7:$AB$20,6)</f>
        <v>0</v>
      </c>
      <c r="G48" s="56" t="e">
        <f aca="false">SUM(B48:E48)</f>
        <v>#NAME?</v>
      </c>
      <c r="H48" s="57" t="e">
        <f aca="false">VLOOKUP(A48,NymEq,2,FALSE())</f>
        <v>#NAME?</v>
      </c>
      <c r="I48" s="56" t="e">
        <f aca="false">+H48+D48+C48+F48</f>
        <v>#NAME?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customFormat="false" ht="12.75" hidden="false" customHeight="false" outlineLevel="0" collapsed="false">
      <c r="A49" s="58" t="n">
        <f aca="false">EOMONTH(A48,0)+1</f>
        <v>37591</v>
      </c>
      <c r="B49" s="54" t="e">
        <f aca="false">VLOOKUP(A49,BasOptPos,2,FALSE())</f>
        <v>#NAME?</v>
      </c>
      <c r="C49" s="54" t="n">
        <f aca="false">VLOOKUP(A49,BsktOptPos,2,FALSE())</f>
        <v>0</v>
      </c>
      <c r="D49" s="54" t="n">
        <f aca="false">VLOOKUP(A49,ExtColPos,2,FALSE())</f>
        <v>0</v>
      </c>
      <c r="E49" s="54" t="e">
        <f aca="false">VLOOKUP(A49,gdspreadoptpos,2,FALSE())</f>
        <v>#N/A</v>
      </c>
      <c r="F49" s="54" t="n">
        <f aca="false">VLOOKUP(A49,Digital!$W$7:$AB$20,6)</f>
        <v>0</v>
      </c>
      <c r="G49" s="56" t="e">
        <f aca="false">SUM(B49:E49)</f>
        <v>#NAME?</v>
      </c>
      <c r="H49" s="57" t="e">
        <f aca="false">VLOOKUP(A49,NymEq,2,FALSE())</f>
        <v>#NAME?</v>
      </c>
      <c r="I49" s="56" t="e">
        <f aca="false">+H49+D49+C49+F49</f>
        <v>#NAME?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customFormat="false" ht="12.75" hidden="false" customHeight="false" outlineLevel="0" collapsed="false">
      <c r="A50" s="58" t="n">
        <f aca="false">EOMONTH(A49,0)+1</f>
        <v>37622</v>
      </c>
      <c r="B50" s="54" t="e">
        <f aca="false">VLOOKUP(A50,BasOptPos,2,FALSE())</f>
        <v>#NAME?</v>
      </c>
      <c r="C50" s="54" t="n">
        <f aca="false">VLOOKUP(A50,BsktOptPos,2,FALSE())</f>
        <v>0</v>
      </c>
      <c r="D50" s="54" t="n">
        <f aca="false">VLOOKUP(A50,ExtColPos,2,FALSE())</f>
        <v>0</v>
      </c>
      <c r="E50" s="54" t="e">
        <f aca="false">VLOOKUP(A50,gdspreadoptpos,2,FALSE())</f>
        <v>#N/A</v>
      </c>
      <c r="F50" s="54" t="n">
        <f aca="false">VLOOKUP(A50,Digital!$W$7:$AB$20,6)</f>
        <v>0</v>
      </c>
      <c r="G50" s="56" t="e">
        <f aca="false">SUM(B50:E50)</f>
        <v>#NAME?</v>
      </c>
      <c r="H50" s="57" t="e">
        <f aca="false">VLOOKUP(A50,NymEq,2,FALSE())</f>
        <v>#NAME?</v>
      </c>
      <c r="I50" s="56" t="e">
        <f aca="false">+H50+D50+C50+F50</f>
        <v>#NAME?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customFormat="false" ht="12.75" hidden="false" customHeight="false" outlineLevel="0" collapsed="false">
      <c r="A51" s="58" t="n">
        <f aca="false">EOMONTH(A50,0)+1</f>
        <v>37653</v>
      </c>
      <c r="B51" s="54" t="e">
        <f aca="false">VLOOKUP(A51,BasOptPos,2,FALSE())</f>
        <v>#NAME?</v>
      </c>
      <c r="C51" s="54" t="n">
        <f aca="false">VLOOKUP(A51,BsktOptPos,2,FALSE())</f>
        <v>0</v>
      </c>
      <c r="D51" s="54" t="n">
        <f aca="false">VLOOKUP(A51,ExtColPos,2,FALSE())</f>
        <v>0</v>
      </c>
      <c r="E51" s="54" t="e">
        <f aca="false">VLOOKUP(A51,gdspreadoptpos,2,FALSE())</f>
        <v>#N/A</v>
      </c>
      <c r="F51" s="54" t="n">
        <f aca="false">VLOOKUP(A51,Digital!$W$7:$AB$20,6)</f>
        <v>0</v>
      </c>
      <c r="G51" s="56" t="e">
        <f aca="false">SUM(B51:E51)</f>
        <v>#NAME?</v>
      </c>
      <c r="H51" s="57" t="e">
        <f aca="false">VLOOKUP(A51,NymEq,2,FALSE())</f>
        <v>#NAME?</v>
      </c>
      <c r="I51" s="56" t="e">
        <f aca="false">+H51+D51+C51+F51</f>
        <v>#NAME?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customFormat="false" ht="12.75" hidden="false" customHeight="false" outlineLevel="0" collapsed="false">
      <c r="A52" s="58" t="n">
        <f aca="false">EOMONTH(A51,0)+1</f>
        <v>37681</v>
      </c>
      <c r="B52" s="54" t="e">
        <f aca="false">VLOOKUP(A52,BasOptPos,2,FALSE())</f>
        <v>#NAME?</v>
      </c>
      <c r="C52" s="54" t="n">
        <f aca="false">VLOOKUP(A52,BsktOptPos,2,FALSE())</f>
        <v>0</v>
      </c>
      <c r="D52" s="54" t="n">
        <f aca="false">VLOOKUP(A52,ExtColPos,2,FALSE())</f>
        <v>0</v>
      </c>
      <c r="E52" s="54" t="e">
        <f aca="false">VLOOKUP(A52,gdspreadoptpos,2,FALSE())</f>
        <v>#N/A</v>
      </c>
      <c r="F52" s="54" t="n">
        <f aca="false">VLOOKUP(A52,Digital!$W$7:$AB$20,6)</f>
        <v>0</v>
      </c>
      <c r="G52" s="56" t="e">
        <f aca="false">SUM(B52:E52)</f>
        <v>#NAME?</v>
      </c>
      <c r="H52" s="57" t="e">
        <f aca="false">VLOOKUP(A52,NymEq,2,FALSE())</f>
        <v>#NAME?</v>
      </c>
      <c r="I52" s="56" t="e">
        <f aca="false">+H52+D52+C52+F52</f>
        <v>#NAME?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customFormat="false" ht="12.75" hidden="false" customHeight="false" outlineLevel="0" collapsed="false">
      <c r="A53" s="58" t="n">
        <f aca="false">EOMONTH(A52,0)+1</f>
        <v>37712</v>
      </c>
      <c r="B53" s="54" t="n">
        <f aca="false">VLOOKUP(A53,BasOptPos,2,FALSE())</f>
        <v>0</v>
      </c>
      <c r="C53" s="54" t="n">
        <f aca="false">VLOOKUP(A53,BsktOptPos,2,FALSE())</f>
        <v>0</v>
      </c>
      <c r="D53" s="54" t="n">
        <f aca="false">VLOOKUP(A53,ExtColPos,2,FALSE())</f>
        <v>0</v>
      </c>
      <c r="E53" s="54" t="e">
        <f aca="false">VLOOKUP(A53,gdspreadoptpos,2,FALSE())</f>
        <v>#N/A</v>
      </c>
      <c r="F53" s="59"/>
      <c r="G53" s="56" t="e">
        <f aca="false">SUM(B53:E53)</f>
        <v>#N/A</v>
      </c>
      <c r="H53" s="57" t="n">
        <f aca="false">VLOOKUP(A53,NymEq,2,FALSE())</f>
        <v>0</v>
      </c>
      <c r="I53" s="56" t="n">
        <f aca="false">+H53+D53+C53+F53</f>
        <v>0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customFormat="false" ht="12.75" hidden="false" customHeight="false" outlineLevel="0" collapsed="false">
      <c r="A54" s="58" t="n">
        <f aca="false">EOMONTH(A53,0)+1</f>
        <v>37742</v>
      </c>
      <c r="B54" s="54" t="n">
        <f aca="false">VLOOKUP(A54,BasOptPos,2,FALSE())</f>
        <v>0</v>
      </c>
      <c r="C54" s="54" t="n">
        <f aca="false">VLOOKUP(A54,BsktOptPos,2,FALSE())</f>
        <v>0</v>
      </c>
      <c r="D54" s="54" t="n">
        <f aca="false">VLOOKUP(A54,ExtColPos,2,FALSE())</f>
        <v>0</v>
      </c>
      <c r="E54" s="54" t="e">
        <f aca="false">VLOOKUP(A54,gdspreadoptpos,2,FALSE())</f>
        <v>#N/A</v>
      </c>
      <c r="F54" s="59"/>
      <c r="G54" s="56" t="e">
        <f aca="false">SUM(B54:E54)</f>
        <v>#N/A</v>
      </c>
      <c r="H54" s="57" t="n">
        <f aca="false">VLOOKUP(A54,NymEq,2,FALSE())</f>
        <v>0</v>
      </c>
      <c r="I54" s="56" t="n">
        <f aca="false">+H54+D54+C54+F54</f>
        <v>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customFormat="false" ht="12.75" hidden="false" customHeight="false" outlineLevel="0" collapsed="false">
      <c r="A55" s="58" t="n">
        <f aca="false">EOMONTH(A54,0)+1</f>
        <v>37773</v>
      </c>
      <c r="B55" s="54" t="n">
        <f aca="false">VLOOKUP(A55,BasOptPos,2,FALSE())</f>
        <v>0</v>
      </c>
      <c r="C55" s="54" t="n">
        <f aca="false">VLOOKUP(A55,BsktOptPos,2,FALSE())</f>
        <v>0</v>
      </c>
      <c r="D55" s="54" t="n">
        <f aca="false">VLOOKUP(A55,ExtColPos,2,FALSE())</f>
        <v>0</v>
      </c>
      <c r="E55" s="54" t="e">
        <f aca="false">VLOOKUP(A55,gdspreadoptpos,2,FALSE())</f>
        <v>#N/A</v>
      </c>
      <c r="F55" s="59"/>
      <c r="G55" s="56" t="e">
        <f aca="false">SUM(B55:E55)</f>
        <v>#N/A</v>
      </c>
      <c r="H55" s="57" t="n">
        <f aca="false">VLOOKUP(A55,NymEq,2,FALSE())</f>
        <v>0</v>
      </c>
      <c r="I55" s="56" t="n">
        <f aca="false">+H55+D55+C55+F55</f>
        <v>0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customFormat="false" ht="12.75" hidden="false" customHeight="false" outlineLevel="0" collapsed="false">
      <c r="A56" s="58" t="n">
        <f aca="false">EOMONTH(A55,0)+1</f>
        <v>37803</v>
      </c>
      <c r="B56" s="54" t="n">
        <f aca="false">VLOOKUP(A56,BasOptPos,2,FALSE())</f>
        <v>0</v>
      </c>
      <c r="C56" s="54" t="n">
        <f aca="false">VLOOKUP(A56,BsktOptPos,2,FALSE())</f>
        <v>0</v>
      </c>
      <c r="D56" s="54" t="n">
        <f aca="false">VLOOKUP(A56,ExtColPos,2,FALSE())</f>
        <v>0</v>
      </c>
      <c r="E56" s="54" t="e">
        <f aca="false">VLOOKUP(A56,gdspreadoptpos,2,FALSE())</f>
        <v>#N/A</v>
      </c>
      <c r="F56" s="59"/>
      <c r="G56" s="56" t="e">
        <f aca="false">SUM(B56:E56)</f>
        <v>#N/A</v>
      </c>
      <c r="H56" s="57" t="n">
        <f aca="false">VLOOKUP(A56,NymEq,2,FALSE())</f>
        <v>0</v>
      </c>
      <c r="I56" s="56" t="n">
        <f aca="false">+H56+D56+C56+F56</f>
        <v>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customFormat="false" ht="12.75" hidden="false" customHeight="false" outlineLevel="0" collapsed="false">
      <c r="A57" s="58" t="n">
        <f aca="false">EOMONTH(A56,0)+1</f>
        <v>37834</v>
      </c>
      <c r="B57" s="54" t="n">
        <f aca="false">VLOOKUP(A57,BasOptPos,2,FALSE())</f>
        <v>0</v>
      </c>
      <c r="C57" s="54" t="n">
        <f aca="false">VLOOKUP(A57,BsktOptPos,2,FALSE())</f>
        <v>0</v>
      </c>
      <c r="D57" s="54" t="n">
        <f aca="false">VLOOKUP(A57,ExtColPos,2,FALSE())</f>
        <v>0</v>
      </c>
      <c r="E57" s="54" t="e">
        <f aca="false">VLOOKUP(A57,gdspreadoptpos,2,FALSE())</f>
        <v>#N/A</v>
      </c>
      <c r="F57" s="59"/>
      <c r="G57" s="56" t="e">
        <f aca="false">SUM(B57:E57)</f>
        <v>#N/A</v>
      </c>
      <c r="H57" s="57" t="n">
        <f aca="false">VLOOKUP(A57,NymEq,2,FALSE())</f>
        <v>0</v>
      </c>
      <c r="I57" s="56" t="n">
        <f aca="false">+H57+D57+C57+F57</f>
        <v>0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customFormat="false" ht="12.75" hidden="false" customHeight="false" outlineLevel="0" collapsed="false">
      <c r="A58" s="58" t="n">
        <f aca="false">EOMONTH(A57,0)+1</f>
        <v>37865</v>
      </c>
      <c r="B58" s="54" t="n">
        <f aca="false">VLOOKUP(A58,BasOptPos,2,FALSE())</f>
        <v>0</v>
      </c>
      <c r="C58" s="54" t="n">
        <f aca="false">VLOOKUP(A58,BsktOptPos,2,FALSE())</f>
        <v>0</v>
      </c>
      <c r="D58" s="54" t="n">
        <f aca="false">VLOOKUP(A58,ExtColPos,2,FALSE())</f>
        <v>0</v>
      </c>
      <c r="E58" s="54" t="e">
        <f aca="false">VLOOKUP(A58,gdspreadoptpos,2,FALSE())</f>
        <v>#N/A</v>
      </c>
      <c r="F58" s="59"/>
      <c r="G58" s="56" t="e">
        <f aca="false">SUM(B58:E58)</f>
        <v>#N/A</v>
      </c>
      <c r="H58" s="57" t="n">
        <f aca="false">VLOOKUP(A58,NymEq,2,FALSE())</f>
        <v>0</v>
      </c>
      <c r="I58" s="56" t="n">
        <f aca="false">+H58+D58+C58+F58</f>
        <v>0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customFormat="false" ht="12.75" hidden="false" customHeight="false" outlineLevel="0" collapsed="false">
      <c r="A59" s="58" t="n">
        <f aca="false">EOMONTH(A58,0)+1</f>
        <v>37895</v>
      </c>
      <c r="B59" s="54" t="n">
        <f aca="false">VLOOKUP(A59,BasOptPos,2,FALSE())</f>
        <v>0</v>
      </c>
      <c r="C59" s="54" t="n">
        <f aca="false">VLOOKUP(A59,BsktOptPos,2,FALSE())</f>
        <v>0</v>
      </c>
      <c r="D59" s="54" t="n">
        <f aca="false">VLOOKUP(A59,ExtColPos,2,FALSE())</f>
        <v>0</v>
      </c>
      <c r="E59" s="54" t="e">
        <f aca="false">VLOOKUP(A59,gdspreadoptpos,2,FALSE())</f>
        <v>#N/A</v>
      </c>
      <c r="F59" s="59"/>
      <c r="G59" s="56" t="e">
        <f aca="false">SUM(B59:E59)</f>
        <v>#N/A</v>
      </c>
      <c r="H59" s="57" t="n">
        <f aca="false">VLOOKUP(A59,NymEq,2,FALSE())</f>
        <v>0</v>
      </c>
      <c r="I59" s="56" t="n">
        <f aca="false">+H59+D59+C59+F59</f>
        <v>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customFormat="false" ht="13.5" hidden="false" customHeight="false" outlineLevel="0" collapsed="false">
      <c r="A60" s="60" t="n">
        <f aca="false">EOMONTH(A59,0)+1</f>
        <v>37926</v>
      </c>
      <c r="B60" s="61" t="n">
        <f aca="false">VLOOKUP(A60,BasOptPos,2,FALSE())</f>
        <v>0</v>
      </c>
      <c r="C60" s="61" t="n">
        <f aca="false">VLOOKUP(A60,BsktOptPos,2,FALSE())</f>
        <v>0</v>
      </c>
      <c r="D60" s="61" t="n">
        <f aca="false">VLOOKUP(A60,ExtColPos,2,FALSE())</f>
        <v>0</v>
      </c>
      <c r="E60" s="54" t="e">
        <f aca="false">VLOOKUP(A60,gdspreadoptpos,2,FALSE())</f>
        <v>#N/A</v>
      </c>
      <c r="F60" s="59"/>
      <c r="G60" s="56" t="e">
        <f aca="false">SUM(B60:E60)</f>
        <v>#N/A</v>
      </c>
      <c r="H60" s="62" t="n">
        <f aca="false">VLOOKUP(A60,NymEq,2,FALSE())</f>
        <v>0</v>
      </c>
      <c r="I60" s="56" t="n">
        <f aca="false">+H60+D60+C60+F60</f>
        <v>0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customFormat="false" ht="12.75" hidden="false" customHeight="false" outlineLevel="0" collapsed="false">
      <c r="A61" s="63"/>
      <c r="B61" s="59"/>
      <c r="C61" s="59"/>
      <c r="D61" s="59"/>
      <c r="E61" s="59"/>
      <c r="F61" s="59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</row>
    <row r="62" customFormat="false" ht="12.75" hidden="false" customHeight="false" outlineLevel="0" collapsed="false">
      <c r="A62" s="63"/>
      <c r="B62" s="59"/>
      <c r="C62" s="59"/>
      <c r="D62" s="59"/>
      <c r="E62" s="59"/>
      <c r="F62" s="59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</row>
    <row r="63" customFormat="false" ht="12.75" hidden="false" customHeight="false" outlineLevel="0" collapsed="false">
      <c r="A63" s="63"/>
      <c r="B63" s="59"/>
      <c r="C63" s="59"/>
      <c r="D63" s="59"/>
      <c r="E63" s="59"/>
      <c r="F63" s="59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</row>
    <row r="64" customFormat="false" ht="12.75" hidden="false" customHeight="false" outlineLevel="0" collapsed="false">
      <c r="A64" s="63"/>
      <c r="B64" s="59"/>
      <c r="C64" s="59"/>
      <c r="D64" s="59"/>
      <c r="E64" s="59"/>
      <c r="F64" s="59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</row>
    <row r="65" customFormat="false" ht="12.75" hidden="false" customHeight="false" outlineLevel="0" collapsed="false">
      <c r="A65" s="63"/>
      <c r="B65" s="59"/>
      <c r="C65" s="59"/>
      <c r="D65" s="59"/>
      <c r="E65" s="59"/>
      <c r="F65" s="59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</row>
    <row r="66" customFormat="false" ht="12.75" hidden="false" customHeight="false" outlineLevel="0" collapsed="false">
      <c r="A66" s="63"/>
      <c r="B66" s="59"/>
      <c r="C66" s="59"/>
      <c r="D66" s="59"/>
      <c r="E66" s="59"/>
      <c r="F66" s="59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</row>
    <row r="67" customFormat="false" ht="12.75" hidden="false" customHeight="false" outlineLevel="0" collapsed="false">
      <c r="A67" s="63"/>
      <c r="B67" s="59"/>
      <c r="C67" s="59"/>
      <c r="D67" s="59"/>
      <c r="E67" s="59"/>
      <c r="F67" s="59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</row>
    <row r="68" customFormat="false" ht="12.75" hidden="false" customHeight="false" outlineLevel="0" collapsed="false">
      <c r="A68" s="63"/>
      <c r="B68" s="59"/>
      <c r="C68" s="59"/>
      <c r="D68" s="59"/>
      <c r="E68" s="59"/>
      <c r="F68" s="59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</row>
    <row r="69" customFormat="false" ht="12.75" hidden="false" customHeight="false" outlineLevel="0" collapsed="false">
      <c r="A69" s="63"/>
      <c r="B69" s="59"/>
      <c r="C69" s="59"/>
      <c r="D69" s="59"/>
      <c r="E69" s="59"/>
      <c r="F69" s="59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</row>
    <row r="70" customFormat="false" ht="12.75" hidden="false" customHeight="false" outlineLevel="0" collapsed="false">
      <c r="A70" s="63"/>
      <c r="B70" s="59"/>
      <c r="C70" s="59"/>
      <c r="D70" s="59"/>
      <c r="E70" s="59"/>
      <c r="F70" s="59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</row>
    <row r="71" customFormat="false" ht="12.75" hidden="false" customHeight="false" outlineLevel="0" collapsed="false">
      <c r="A71" s="63"/>
      <c r="B71" s="59"/>
      <c r="C71" s="59"/>
      <c r="D71" s="59"/>
      <c r="E71" s="59"/>
      <c r="F71" s="59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</row>
    <row r="72" customFormat="false" ht="12.75" hidden="false" customHeight="false" outlineLevel="0" collapsed="false">
      <c r="A72" s="63"/>
      <c r="B72" s="59"/>
      <c r="C72" s="59"/>
      <c r="D72" s="59"/>
      <c r="E72" s="59"/>
      <c r="F72" s="59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</row>
    <row r="73" customFormat="false" ht="12.75" hidden="false" customHeight="false" outlineLevel="0" collapsed="false">
      <c r="A73" s="63"/>
      <c r="B73" s="59"/>
      <c r="C73" s="59"/>
      <c r="D73" s="59"/>
      <c r="E73" s="59"/>
      <c r="F73" s="59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</row>
    <row r="74" customFormat="false" ht="12.75" hidden="false" customHeight="false" outlineLevel="0" collapsed="false">
      <c r="A74" s="63"/>
      <c r="B74" s="59"/>
      <c r="C74" s="59"/>
      <c r="D74" s="59"/>
      <c r="E74" s="59"/>
      <c r="F74" s="59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</row>
    <row r="75" customFormat="false" ht="12.75" hidden="false" customHeight="false" outlineLevel="0" collapsed="false">
      <c r="A75" s="63"/>
      <c r="B75" s="59"/>
      <c r="C75" s="59"/>
      <c r="D75" s="59"/>
      <c r="E75" s="59"/>
      <c r="F75" s="59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</row>
    <row r="76" customFormat="false" ht="12.75" hidden="false" customHeight="false" outlineLevel="0" collapsed="false">
      <c r="A76" s="63"/>
      <c r="B76" s="59"/>
      <c r="C76" s="59"/>
      <c r="D76" s="59"/>
      <c r="E76" s="59"/>
      <c r="F76" s="59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</row>
    <row r="77" customFormat="false" ht="12.75" hidden="false" customHeight="false" outlineLevel="0" collapsed="false">
      <c r="A77" s="63"/>
      <c r="B77" s="59"/>
      <c r="C77" s="59"/>
      <c r="D77" s="59"/>
      <c r="E77" s="59"/>
      <c r="F77" s="59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</row>
    <row r="78" customFormat="false" ht="12.75" hidden="false" customHeight="false" outlineLevel="0" collapsed="false">
      <c r="A78" s="63"/>
      <c r="B78" s="59"/>
      <c r="C78" s="59"/>
      <c r="D78" s="59"/>
      <c r="E78" s="59"/>
      <c r="F78" s="59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</row>
    <row r="79" customFormat="false" ht="12.75" hidden="false" customHeight="false" outlineLevel="0" collapsed="false">
      <c r="A79" s="63"/>
      <c r="B79" s="59"/>
      <c r="C79" s="59"/>
      <c r="D79" s="59"/>
      <c r="E79" s="59"/>
      <c r="F79" s="59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</row>
    <row r="80" customFormat="false" ht="12.75" hidden="false" customHeight="false" outlineLevel="0" collapsed="false">
      <c r="A80" s="63"/>
      <c r="B80" s="59"/>
      <c r="C80" s="59"/>
      <c r="D80" s="59"/>
      <c r="E80" s="59"/>
      <c r="F80" s="59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</row>
    <row r="81" customFormat="false" ht="12.75" hidden="false" customHeight="false" outlineLevel="0" collapsed="false">
      <c r="A81" s="63"/>
      <c r="B81" s="59"/>
      <c r="C81" s="59"/>
      <c r="D81" s="59"/>
      <c r="E81" s="59"/>
      <c r="F81" s="59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</row>
    <row r="82" customFormat="false" ht="12.75" hidden="false" customHeight="false" outlineLevel="0" collapsed="false">
      <c r="A82" s="63"/>
      <c r="B82" s="59"/>
      <c r="C82" s="59"/>
      <c r="D82" s="59"/>
      <c r="E82" s="59"/>
      <c r="F82" s="59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</row>
    <row r="83" customFormat="false" ht="12.75" hidden="false" customHeight="false" outlineLevel="0" collapsed="false">
      <c r="A83" s="63"/>
      <c r="B83" s="59"/>
      <c r="C83" s="59"/>
      <c r="D83" s="59"/>
      <c r="E83" s="59"/>
      <c r="F83" s="59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</row>
    <row r="84" customFormat="false" ht="12.75" hidden="false" customHeight="false" outlineLevel="0" collapsed="false">
      <c r="A84" s="63"/>
      <c r="B84" s="59"/>
      <c r="C84" s="59"/>
      <c r="D84" s="59"/>
      <c r="E84" s="59"/>
      <c r="F84" s="59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</row>
    <row r="85" customFormat="false" ht="12.75" hidden="false" customHeight="false" outlineLevel="0" collapsed="false">
      <c r="A85" s="63"/>
      <c r="B85" s="59"/>
      <c r="C85" s="59"/>
      <c r="D85" s="59"/>
      <c r="E85" s="59"/>
      <c r="F85" s="59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</row>
    <row r="86" customFormat="false" ht="12.75" hidden="false" customHeight="false" outlineLevel="0" collapsed="false">
      <c r="A86" s="63"/>
      <c r="B86" s="59"/>
      <c r="C86" s="59"/>
      <c r="D86" s="59"/>
      <c r="E86" s="59"/>
      <c r="F86" s="59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</row>
    <row r="87" customFormat="false" ht="12.75" hidden="false" customHeight="false" outlineLevel="0" collapsed="false">
      <c r="A87" s="63"/>
      <c r="B87" s="59"/>
      <c r="C87" s="59"/>
      <c r="D87" s="59"/>
      <c r="E87" s="59"/>
      <c r="F87" s="59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</row>
    <row r="88" customFormat="false" ht="12.75" hidden="false" customHeight="false" outlineLevel="0" collapsed="false">
      <c r="A88" s="63"/>
      <c r="B88" s="59"/>
      <c r="C88" s="59"/>
      <c r="D88" s="59"/>
      <c r="E88" s="59"/>
      <c r="F88" s="59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</row>
    <row r="89" customFormat="false" ht="12.75" hidden="false" customHeight="false" outlineLevel="0" collapsed="false">
      <c r="A89" s="63"/>
      <c r="B89" s="59"/>
      <c r="C89" s="59"/>
      <c r="D89" s="59"/>
      <c r="E89" s="59"/>
      <c r="F89" s="59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</row>
    <row r="90" customFormat="false" ht="12.75" hidden="false" customHeight="false" outlineLevel="0" collapsed="false">
      <c r="A90" s="63"/>
      <c r="B90" s="59"/>
      <c r="C90" s="59"/>
      <c r="D90" s="59"/>
      <c r="E90" s="59"/>
      <c r="F90" s="59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</row>
    <row r="91" customFormat="false" ht="12.75" hidden="false" customHeight="false" outlineLevel="0" collapsed="false">
      <c r="A91" s="63"/>
      <c r="B91" s="59"/>
      <c r="C91" s="59"/>
      <c r="D91" s="59"/>
      <c r="E91" s="59"/>
      <c r="F91" s="59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</row>
    <row r="92" customFormat="false" ht="12.75" hidden="false" customHeight="false" outlineLevel="0" collapsed="false">
      <c r="A92" s="63"/>
      <c r="B92" s="59"/>
      <c r="C92" s="59"/>
      <c r="D92" s="59"/>
      <c r="E92" s="59"/>
      <c r="F92" s="59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</row>
    <row r="93" customFormat="false" ht="12.75" hidden="false" customHeight="false" outlineLevel="0" collapsed="false">
      <c r="A93" s="63"/>
      <c r="B93" s="59"/>
      <c r="C93" s="59"/>
      <c r="D93" s="59"/>
      <c r="E93" s="59"/>
      <c r="F93" s="59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</row>
    <row r="94" customFormat="false" ht="12.75" hidden="false" customHeight="false" outlineLevel="0" collapsed="false">
      <c r="A94" s="63"/>
      <c r="B94" s="59"/>
      <c r="C94" s="59"/>
      <c r="D94" s="59"/>
      <c r="E94" s="59"/>
      <c r="F94" s="59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</row>
    <row r="95" customFormat="false" ht="12.75" hidden="false" customHeight="false" outlineLevel="0" collapsed="false">
      <c r="A95" s="63"/>
      <c r="B95" s="59"/>
      <c r="C95" s="59"/>
      <c r="D95" s="59"/>
      <c r="E95" s="59"/>
      <c r="F95" s="59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</row>
    <row r="96" customFormat="false" ht="12.75" hidden="false" customHeight="false" outlineLevel="0" collapsed="false">
      <c r="A96" s="63"/>
      <c r="B96" s="59"/>
      <c r="C96" s="59"/>
      <c r="D96" s="59"/>
      <c r="E96" s="59"/>
      <c r="F96" s="59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</row>
    <row r="97" customFormat="false" ht="12.75" hidden="false" customHeight="false" outlineLevel="0" collapsed="false">
      <c r="A97" s="63"/>
      <c r="B97" s="59"/>
      <c r="C97" s="59"/>
      <c r="D97" s="59"/>
      <c r="E97" s="59"/>
      <c r="F97" s="59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</row>
    <row r="98" customFormat="false" ht="12.75" hidden="false" customHeight="false" outlineLevel="0" collapsed="false">
      <c r="A98" s="63"/>
      <c r="B98" s="59"/>
      <c r="C98" s="59"/>
      <c r="D98" s="59"/>
      <c r="E98" s="59"/>
      <c r="F98" s="59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</row>
    <row r="99" customFormat="false" ht="12.75" hidden="false" customHeight="false" outlineLevel="0" collapsed="false">
      <c r="A99" s="63"/>
      <c r="B99" s="59"/>
      <c r="C99" s="59"/>
      <c r="D99" s="59"/>
      <c r="E99" s="59"/>
      <c r="F99" s="59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</row>
    <row r="100" customFormat="false" ht="12.75" hidden="false" customHeight="false" outlineLevel="0" collapsed="false">
      <c r="A100" s="63"/>
      <c r="B100" s="59"/>
      <c r="C100" s="59"/>
      <c r="D100" s="59"/>
      <c r="E100" s="59"/>
      <c r="F100" s="59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</row>
    <row r="101" customFormat="false" ht="12.75" hidden="false" customHeight="false" outlineLevel="0" collapsed="false">
      <c r="A101" s="63"/>
      <c r="B101" s="59"/>
      <c r="C101" s="59"/>
      <c r="D101" s="59"/>
      <c r="E101" s="59"/>
      <c r="F101" s="59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</row>
    <row r="102" customFormat="false" ht="12.75" hidden="false" customHeight="false" outlineLevel="0" collapsed="false">
      <c r="A102" s="63"/>
      <c r="B102" s="59"/>
      <c r="C102" s="59"/>
      <c r="D102" s="59"/>
      <c r="E102" s="59"/>
      <c r="F102" s="59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</row>
    <row r="103" customFormat="false" ht="12.75" hidden="false" customHeight="false" outlineLevel="0" collapsed="false">
      <c r="A103" s="63"/>
      <c r="B103" s="59"/>
      <c r="C103" s="59"/>
      <c r="D103" s="59"/>
      <c r="E103" s="59"/>
      <c r="F103" s="59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</row>
    <row r="104" customFormat="false" ht="12.75" hidden="false" customHeight="false" outlineLevel="0" collapsed="false">
      <c r="A104" s="63"/>
      <c r="B104" s="59"/>
      <c r="C104" s="59"/>
      <c r="D104" s="59"/>
      <c r="E104" s="59"/>
      <c r="F104" s="59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</row>
    <row r="105" customFormat="false" ht="12.75" hidden="false" customHeight="false" outlineLevel="0" collapsed="false">
      <c r="A105" s="63"/>
      <c r="B105" s="59"/>
      <c r="C105" s="59"/>
      <c r="D105" s="59"/>
      <c r="E105" s="59"/>
      <c r="F105" s="59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</row>
    <row r="106" customFormat="false" ht="12.75" hidden="false" customHeight="false" outlineLevel="0" collapsed="false">
      <c r="A106" s="63"/>
      <c r="B106" s="59"/>
      <c r="C106" s="59"/>
      <c r="D106" s="59"/>
      <c r="E106" s="59"/>
      <c r="F106" s="59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</row>
    <row r="107" customFormat="false" ht="12.75" hidden="false" customHeight="false" outlineLevel="0" collapsed="false">
      <c r="A107" s="63"/>
      <c r="B107" s="59"/>
      <c r="C107" s="59"/>
      <c r="D107" s="59"/>
      <c r="E107" s="59"/>
      <c r="F107" s="59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</row>
    <row r="108" customFormat="false" ht="12.75" hidden="false" customHeight="false" outlineLevel="0" collapsed="false">
      <c r="A108" s="63"/>
      <c r="B108" s="59"/>
      <c r="C108" s="59"/>
      <c r="D108" s="59"/>
      <c r="E108" s="59"/>
      <c r="F108" s="59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</row>
    <row r="109" customFormat="false" ht="12.75" hidden="false" customHeight="false" outlineLevel="0" collapsed="false">
      <c r="A109" s="63"/>
      <c r="B109" s="59"/>
      <c r="C109" s="59"/>
      <c r="D109" s="59"/>
      <c r="E109" s="59"/>
      <c r="F109" s="59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</row>
    <row r="110" customFormat="false" ht="12.75" hidden="false" customHeight="false" outlineLevel="0" collapsed="false">
      <c r="A110" s="63"/>
      <c r="B110" s="59"/>
      <c r="C110" s="59"/>
      <c r="D110" s="59"/>
      <c r="E110" s="59"/>
      <c r="F110" s="59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</row>
    <row r="111" customFormat="false" ht="12.75" hidden="false" customHeight="false" outlineLevel="0" collapsed="false">
      <c r="A111" s="63"/>
      <c r="B111" s="59"/>
      <c r="C111" s="59"/>
      <c r="D111" s="59"/>
      <c r="E111" s="59"/>
      <c r="F111" s="59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</row>
    <row r="112" customFormat="false" ht="12.75" hidden="false" customHeight="false" outlineLevel="0" collapsed="false">
      <c r="A112" s="63"/>
      <c r="B112" s="59"/>
      <c r="C112" s="59"/>
      <c r="D112" s="59"/>
      <c r="E112" s="59"/>
      <c r="F112" s="59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</row>
    <row r="113" customFormat="false" ht="12.75" hidden="false" customHeight="false" outlineLevel="0" collapsed="false">
      <c r="A113" s="63"/>
      <c r="B113" s="59"/>
      <c r="C113" s="59"/>
      <c r="D113" s="59"/>
      <c r="E113" s="59"/>
      <c r="F113" s="59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</row>
    <row r="114" customFormat="false" ht="12.75" hidden="false" customHeight="false" outlineLevel="0" collapsed="false">
      <c r="A114" s="63"/>
      <c r="B114" s="59"/>
      <c r="C114" s="59"/>
      <c r="D114" s="59"/>
      <c r="E114" s="59"/>
      <c r="F114" s="59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</row>
    <row r="115" customFormat="false" ht="12.75" hidden="false" customHeight="false" outlineLevel="0" collapsed="false">
      <c r="A115" s="63"/>
      <c r="B115" s="59"/>
      <c r="C115" s="59"/>
      <c r="D115" s="59"/>
      <c r="E115" s="59"/>
      <c r="F115" s="59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</row>
    <row r="116" customFormat="false" ht="12.75" hidden="false" customHeight="false" outlineLevel="0" collapsed="false">
      <c r="A116" s="63"/>
      <c r="B116" s="59"/>
      <c r="C116" s="59"/>
      <c r="D116" s="59"/>
      <c r="E116" s="59"/>
      <c r="F116" s="59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</row>
    <row r="117" customFormat="false" ht="12.75" hidden="false" customHeight="false" outlineLevel="0" collapsed="false">
      <c r="A117" s="63"/>
      <c r="B117" s="59"/>
      <c r="C117" s="59"/>
      <c r="D117" s="59"/>
      <c r="E117" s="59"/>
      <c r="F117" s="59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</row>
    <row r="118" customFormat="false" ht="12.75" hidden="false" customHeight="false" outlineLevel="0" collapsed="false">
      <c r="A118" s="63"/>
      <c r="B118" s="59"/>
      <c r="C118" s="59"/>
      <c r="D118" s="59"/>
      <c r="E118" s="59"/>
      <c r="F118" s="59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</row>
    <row r="119" customFormat="false" ht="12.75" hidden="false" customHeight="false" outlineLevel="0" collapsed="false">
      <c r="A119" s="63"/>
      <c r="B119" s="59"/>
      <c r="C119" s="59"/>
      <c r="D119" s="59"/>
      <c r="E119" s="59"/>
      <c r="F119" s="59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</row>
    <row r="120" customFormat="false" ht="12.75" hidden="false" customHeight="false" outlineLevel="0" collapsed="false">
      <c r="A120" s="63"/>
      <c r="B120" s="59"/>
      <c r="C120" s="59"/>
      <c r="D120" s="59"/>
      <c r="E120" s="59"/>
      <c r="F120" s="59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</row>
    <row r="121" customFormat="false" ht="12.75" hidden="false" customHeight="false" outlineLevel="0" collapsed="false">
      <c r="A121" s="63"/>
      <c r="B121" s="59"/>
      <c r="C121" s="59"/>
      <c r="D121" s="59"/>
      <c r="E121" s="59"/>
      <c r="F121" s="59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</row>
    <row r="122" customFormat="false" ht="12.75" hidden="false" customHeight="false" outlineLevel="0" collapsed="false">
      <c r="A122" s="63"/>
      <c r="B122" s="59"/>
      <c r="C122" s="59"/>
      <c r="D122" s="59"/>
      <c r="E122" s="59"/>
      <c r="F122" s="59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</row>
    <row r="123" customFormat="false" ht="12.75" hidden="false" customHeight="false" outlineLevel="0" collapsed="false">
      <c r="A123" s="63"/>
      <c r="B123" s="59"/>
      <c r="C123" s="59"/>
      <c r="D123" s="59"/>
      <c r="E123" s="59"/>
      <c r="F123" s="59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</row>
    <row r="124" customFormat="false" ht="12.75" hidden="false" customHeight="false" outlineLevel="0" collapsed="false">
      <c r="A124" s="63"/>
      <c r="B124" s="59"/>
      <c r="C124" s="59"/>
      <c r="D124" s="59"/>
      <c r="E124" s="59"/>
      <c r="F124" s="59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customFormat="false" ht="12.75" hidden="false" customHeight="false" outlineLevel="0" collapsed="false">
      <c r="A125" s="63"/>
      <c r="B125" s="59"/>
      <c r="C125" s="59"/>
      <c r="D125" s="59"/>
      <c r="E125" s="59"/>
      <c r="F125" s="59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</row>
    <row r="126" customFormat="false" ht="12.75" hidden="false" customHeight="false" outlineLevel="0" collapsed="false">
      <c r="A126" s="63"/>
      <c r="B126" s="59"/>
      <c r="C126" s="59"/>
      <c r="D126" s="59"/>
      <c r="E126" s="59"/>
      <c r="F126" s="59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</row>
    <row r="127" customFormat="false" ht="12.75" hidden="false" customHeight="false" outlineLevel="0" collapsed="false">
      <c r="A127" s="63"/>
      <c r="B127" s="59"/>
      <c r="C127" s="59"/>
      <c r="D127" s="59"/>
      <c r="E127" s="59"/>
      <c r="F127" s="59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</row>
    <row r="128" customFormat="false" ht="12.75" hidden="false" customHeight="false" outlineLevel="0" collapsed="false">
      <c r="A128" s="63"/>
      <c r="B128" s="59"/>
      <c r="C128" s="59"/>
      <c r="D128" s="59"/>
      <c r="E128" s="59"/>
      <c r="F128" s="59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</row>
    <row r="129" customFormat="false" ht="12.75" hidden="false" customHeight="false" outlineLevel="0" collapsed="false">
      <c r="A129" s="63"/>
      <c r="B129" s="59"/>
      <c r="C129" s="59"/>
      <c r="D129" s="59"/>
      <c r="E129" s="59"/>
      <c r="F129" s="59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</row>
    <row r="130" customFormat="false" ht="12.75" hidden="false" customHeight="false" outlineLevel="0" collapsed="false">
      <c r="A130" s="63"/>
      <c r="B130" s="59"/>
      <c r="C130" s="59"/>
      <c r="D130" s="59"/>
      <c r="E130" s="59"/>
      <c r="F130" s="59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</row>
    <row r="131" customFormat="false" ht="12.75" hidden="false" customHeight="false" outlineLevel="0" collapsed="false">
      <c r="A131" s="63"/>
      <c r="B131" s="59"/>
      <c r="C131" s="59"/>
      <c r="D131" s="59"/>
      <c r="E131" s="59"/>
      <c r="F131" s="59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</row>
    <row r="132" customFormat="false" ht="12.75" hidden="false" customHeight="false" outlineLevel="0" collapsed="false">
      <c r="A132" s="63"/>
      <c r="B132" s="59"/>
      <c r="C132" s="59"/>
      <c r="D132" s="59"/>
      <c r="E132" s="59"/>
      <c r="F132" s="59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</row>
    <row r="133" customFormat="false" ht="12.75" hidden="false" customHeight="false" outlineLevel="0" collapsed="false">
      <c r="A133" s="63"/>
      <c r="B133" s="59"/>
      <c r="C133" s="59"/>
      <c r="D133" s="59"/>
      <c r="E133" s="59"/>
      <c r="F133" s="59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</row>
    <row r="134" customFormat="false" ht="12.75" hidden="false" customHeight="false" outlineLevel="0" collapsed="false">
      <c r="A134" s="63"/>
      <c r="B134" s="59"/>
      <c r="C134" s="59"/>
      <c r="D134" s="59"/>
      <c r="E134" s="59"/>
      <c r="F134" s="59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</row>
    <row r="135" customFormat="false" ht="12.75" hidden="false" customHeight="false" outlineLevel="0" collapsed="false">
      <c r="A135" s="63"/>
      <c r="B135" s="59"/>
      <c r="C135" s="59"/>
      <c r="D135" s="59"/>
      <c r="E135" s="59"/>
      <c r="F135" s="59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</row>
    <row r="136" customFormat="false" ht="12.75" hidden="false" customHeight="false" outlineLevel="0" collapsed="false">
      <c r="A136" s="63"/>
      <c r="B136" s="59"/>
      <c r="C136" s="59"/>
      <c r="D136" s="59"/>
      <c r="E136" s="59"/>
      <c r="F136" s="59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</row>
    <row r="137" customFormat="false" ht="12.75" hidden="false" customHeight="false" outlineLevel="0" collapsed="false">
      <c r="A137" s="63"/>
      <c r="B137" s="59"/>
      <c r="C137" s="59"/>
      <c r="D137" s="59"/>
      <c r="E137" s="59"/>
      <c r="F137" s="59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</row>
    <row r="138" customFormat="false" ht="12.75" hidden="false" customHeight="false" outlineLevel="0" collapsed="false">
      <c r="A138" s="63"/>
      <c r="B138" s="59"/>
      <c r="C138" s="59"/>
      <c r="D138" s="59"/>
      <c r="E138" s="59"/>
      <c r="F138" s="59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</row>
    <row r="139" customFormat="false" ht="12.75" hidden="false" customHeight="false" outlineLevel="0" collapsed="false">
      <c r="A139" s="63"/>
      <c r="B139" s="59"/>
      <c r="C139" s="59"/>
      <c r="D139" s="59"/>
      <c r="E139" s="59"/>
      <c r="F139" s="59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</row>
    <row r="140" customFormat="false" ht="12.75" hidden="false" customHeight="false" outlineLevel="0" collapsed="false">
      <c r="A140" s="63"/>
      <c r="B140" s="59"/>
      <c r="C140" s="59"/>
      <c r="D140" s="59"/>
      <c r="E140" s="59"/>
      <c r="F140" s="59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</row>
    <row r="141" customFormat="false" ht="12.75" hidden="false" customHeight="false" outlineLevel="0" collapsed="false">
      <c r="A141" s="63"/>
      <c r="B141" s="59"/>
      <c r="C141" s="59"/>
      <c r="D141" s="59"/>
      <c r="E141" s="59"/>
      <c r="F141" s="59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</row>
    <row r="142" customFormat="false" ht="12.75" hidden="false" customHeight="false" outlineLevel="0" collapsed="false">
      <c r="A142" s="63"/>
      <c r="B142" s="59"/>
      <c r="C142" s="59"/>
      <c r="D142" s="59"/>
      <c r="E142" s="59"/>
      <c r="F142" s="59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</row>
    <row r="143" customFormat="false" ht="12.75" hidden="false" customHeight="false" outlineLevel="0" collapsed="false">
      <c r="A143" s="63"/>
      <c r="B143" s="59"/>
      <c r="C143" s="59"/>
      <c r="D143" s="59"/>
      <c r="E143" s="59"/>
      <c r="F143" s="59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</row>
    <row r="144" customFormat="false" ht="12.75" hidden="false" customHeight="false" outlineLevel="0" collapsed="false">
      <c r="A144" s="63"/>
      <c r="B144" s="59"/>
      <c r="C144" s="59"/>
      <c r="D144" s="59"/>
      <c r="E144" s="59"/>
      <c r="F144" s="59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</row>
    <row r="145" customFormat="false" ht="12.75" hidden="false" customHeight="false" outlineLevel="0" collapsed="false">
      <c r="A145" s="63"/>
      <c r="B145" s="59"/>
      <c r="C145" s="59"/>
      <c r="D145" s="59"/>
      <c r="E145" s="59"/>
      <c r="F145" s="59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</row>
    <row r="146" customFormat="false" ht="12.75" hidden="false" customHeight="false" outlineLevel="0" collapsed="false">
      <c r="A146" s="63"/>
      <c r="B146" s="59"/>
      <c r="C146" s="59"/>
      <c r="D146" s="59"/>
      <c r="E146" s="59"/>
      <c r="F146" s="59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</row>
    <row r="147" customFormat="false" ht="12.75" hidden="false" customHeight="false" outlineLevel="0" collapsed="false">
      <c r="A147" s="63"/>
      <c r="B147" s="59"/>
      <c r="C147" s="59"/>
      <c r="D147" s="59"/>
      <c r="E147" s="59"/>
      <c r="F147" s="59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</row>
    <row r="148" customFormat="false" ht="12.75" hidden="false" customHeight="false" outlineLevel="0" collapsed="false">
      <c r="A148" s="63"/>
      <c r="B148" s="59"/>
      <c r="C148" s="59"/>
      <c r="D148" s="59"/>
      <c r="E148" s="59"/>
      <c r="F148" s="59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</row>
    <row r="149" customFormat="false" ht="12.75" hidden="false" customHeight="false" outlineLevel="0" collapsed="false">
      <c r="A149" s="63"/>
      <c r="B149" s="59"/>
      <c r="C149" s="59"/>
      <c r="D149" s="59"/>
      <c r="E149" s="59"/>
      <c r="F149" s="59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</row>
    <row r="150" customFormat="false" ht="12.75" hidden="false" customHeight="false" outlineLevel="0" collapsed="false">
      <c r="A150" s="63"/>
      <c r="B150" s="59"/>
      <c r="C150" s="59"/>
      <c r="D150" s="59"/>
      <c r="E150" s="59"/>
      <c r="F150" s="59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</row>
    <row r="151" customFormat="false" ht="12.75" hidden="false" customHeight="false" outlineLevel="0" collapsed="false">
      <c r="A151" s="63"/>
      <c r="B151" s="59"/>
      <c r="C151" s="59"/>
      <c r="D151" s="59"/>
      <c r="E151" s="59"/>
      <c r="F151" s="59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</row>
    <row r="152" customFormat="false" ht="12.75" hidden="false" customHeight="false" outlineLevel="0" collapsed="false">
      <c r="A152" s="63"/>
      <c r="B152" s="59"/>
      <c r="C152" s="59"/>
      <c r="D152" s="59"/>
      <c r="E152" s="59"/>
      <c r="F152" s="59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</row>
    <row r="153" customFormat="false" ht="12.75" hidden="false" customHeight="false" outlineLevel="0" collapsed="false">
      <c r="A153" s="63"/>
      <c r="B153" s="59"/>
      <c r="C153" s="59"/>
      <c r="D153" s="59"/>
      <c r="E153" s="59"/>
      <c r="F153" s="59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</row>
    <row r="154" customFormat="false" ht="12.75" hidden="false" customHeight="false" outlineLevel="0" collapsed="false">
      <c r="A154" s="63"/>
      <c r="B154" s="59"/>
      <c r="C154" s="59"/>
      <c r="D154" s="59"/>
      <c r="E154" s="59"/>
      <c r="F154" s="59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</row>
    <row r="155" customFormat="false" ht="12.75" hidden="false" customHeight="false" outlineLevel="0" collapsed="false">
      <c r="A155" s="63"/>
      <c r="B155" s="59"/>
      <c r="C155" s="59"/>
      <c r="D155" s="59"/>
      <c r="E155" s="59"/>
      <c r="F155" s="59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</row>
    <row r="156" customFormat="false" ht="12.75" hidden="false" customHeight="false" outlineLevel="0" collapsed="false">
      <c r="A156" s="63"/>
      <c r="B156" s="59"/>
      <c r="C156" s="59"/>
      <c r="D156" s="59"/>
      <c r="E156" s="59"/>
      <c r="F156" s="59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</row>
    <row r="157" customFormat="false" ht="12.75" hidden="false" customHeight="false" outlineLevel="0" collapsed="false">
      <c r="A157" s="63"/>
      <c r="B157" s="59"/>
      <c r="C157" s="59"/>
      <c r="D157" s="59"/>
      <c r="E157" s="59"/>
      <c r="F157" s="59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</row>
    <row r="158" customFormat="false" ht="12.75" hidden="false" customHeight="false" outlineLevel="0" collapsed="false">
      <c r="A158" s="63"/>
      <c r="B158" s="59"/>
      <c r="C158" s="59"/>
      <c r="D158" s="59"/>
      <c r="E158" s="59"/>
      <c r="F158" s="59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</row>
    <row r="159" customFormat="false" ht="12.75" hidden="false" customHeight="false" outlineLevel="0" collapsed="false">
      <c r="A159" s="63"/>
      <c r="B159" s="59"/>
      <c r="C159" s="59"/>
      <c r="D159" s="59"/>
      <c r="E159" s="59"/>
      <c r="F159" s="59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</row>
    <row r="160" customFormat="false" ht="12.75" hidden="false" customHeight="false" outlineLevel="0" collapsed="false">
      <c r="A160" s="63"/>
      <c r="B160" s="59"/>
      <c r="C160" s="59"/>
      <c r="D160" s="59"/>
      <c r="E160" s="59"/>
      <c r="F160" s="59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</row>
    <row r="161" customFormat="false" ht="12.75" hidden="false" customHeight="false" outlineLevel="0" collapsed="false">
      <c r="A161" s="63"/>
      <c r="B161" s="59"/>
      <c r="C161" s="59"/>
      <c r="D161" s="59"/>
      <c r="E161" s="59"/>
      <c r="F161" s="59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</row>
    <row r="162" customFormat="false" ht="12.75" hidden="false" customHeight="false" outlineLevel="0" collapsed="false">
      <c r="A162" s="63"/>
      <c r="B162" s="59"/>
      <c r="C162" s="59"/>
      <c r="D162" s="59"/>
      <c r="E162" s="59"/>
      <c r="F162" s="59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</row>
    <row r="163" customFormat="false" ht="12.75" hidden="false" customHeight="false" outlineLevel="0" collapsed="false">
      <c r="A163" s="63"/>
      <c r="B163" s="59"/>
      <c r="C163" s="59"/>
      <c r="D163" s="59"/>
      <c r="E163" s="59"/>
      <c r="F163" s="59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</row>
    <row r="164" customFormat="false" ht="12.75" hidden="false" customHeight="false" outlineLevel="0" collapsed="false">
      <c r="A164" s="63"/>
      <c r="B164" s="59"/>
      <c r="C164" s="59"/>
      <c r="D164" s="59"/>
      <c r="E164" s="59"/>
      <c r="F164" s="59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</row>
    <row r="165" customFormat="false" ht="12.75" hidden="false" customHeight="false" outlineLevel="0" collapsed="false">
      <c r="A165" s="63"/>
      <c r="B165" s="59"/>
      <c r="C165" s="59"/>
      <c r="D165" s="59"/>
      <c r="E165" s="59"/>
      <c r="F165" s="59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</row>
    <row r="166" customFormat="false" ht="12.75" hidden="false" customHeight="false" outlineLevel="0" collapsed="false">
      <c r="A166" s="63"/>
      <c r="B166" s="59"/>
      <c r="C166" s="59"/>
      <c r="D166" s="59"/>
      <c r="E166" s="59"/>
      <c r="F166" s="59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</row>
    <row r="167" customFormat="false" ht="12.75" hidden="false" customHeight="false" outlineLevel="0" collapsed="false">
      <c r="A167" s="63"/>
      <c r="B167" s="59"/>
      <c r="C167" s="59"/>
      <c r="D167" s="59"/>
      <c r="E167" s="59"/>
      <c r="F167" s="59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</row>
    <row r="168" customFormat="false" ht="12.75" hidden="false" customHeight="false" outlineLevel="0" collapsed="false">
      <c r="A168" s="63"/>
      <c r="B168" s="59"/>
      <c r="C168" s="59"/>
      <c r="D168" s="59"/>
      <c r="E168" s="59"/>
      <c r="F168" s="59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</row>
    <row r="169" customFormat="false" ht="12.75" hidden="false" customHeight="false" outlineLevel="0" collapsed="false">
      <c r="A169" s="63"/>
      <c r="B169" s="59"/>
      <c r="C169" s="59"/>
      <c r="D169" s="59"/>
      <c r="E169" s="59"/>
      <c r="F169" s="59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</row>
    <row r="170" customFormat="false" ht="12.75" hidden="false" customHeight="false" outlineLevel="0" collapsed="false">
      <c r="A170" s="63"/>
      <c r="B170" s="59"/>
      <c r="C170" s="59"/>
      <c r="D170" s="59"/>
      <c r="E170" s="59"/>
      <c r="F170" s="59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</row>
    <row r="171" customFormat="false" ht="12.75" hidden="false" customHeight="false" outlineLevel="0" collapsed="false">
      <c r="A171" s="63"/>
      <c r="B171" s="59"/>
      <c r="C171" s="59"/>
      <c r="D171" s="59"/>
      <c r="E171" s="59"/>
      <c r="F171" s="59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</row>
    <row r="172" customFormat="false" ht="12.75" hidden="false" customHeight="false" outlineLevel="0" collapsed="false">
      <c r="A172" s="63"/>
      <c r="B172" s="59"/>
      <c r="C172" s="59"/>
      <c r="D172" s="59"/>
      <c r="E172" s="59"/>
      <c r="F172" s="59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</row>
    <row r="173" customFormat="false" ht="12.75" hidden="false" customHeight="false" outlineLevel="0" collapsed="false">
      <c r="A173" s="63"/>
      <c r="B173" s="59"/>
      <c r="C173" s="59"/>
      <c r="D173" s="59"/>
      <c r="E173" s="59"/>
      <c r="F173" s="59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</row>
    <row r="174" customFormat="false" ht="12.75" hidden="false" customHeight="false" outlineLevel="0" collapsed="false">
      <c r="A174" s="63"/>
      <c r="B174" s="59"/>
      <c r="C174" s="59"/>
      <c r="D174" s="59"/>
      <c r="E174" s="59"/>
      <c r="F174" s="59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</row>
    <row r="175" customFormat="false" ht="12.75" hidden="false" customHeight="false" outlineLevel="0" collapsed="false">
      <c r="A175" s="63"/>
      <c r="B175" s="59"/>
      <c r="C175" s="59"/>
      <c r="D175" s="59"/>
      <c r="E175" s="59"/>
      <c r="F175" s="59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</row>
    <row r="176" customFormat="false" ht="12.75" hidden="false" customHeight="false" outlineLevel="0" collapsed="false">
      <c r="A176" s="63"/>
      <c r="B176" s="59"/>
      <c r="C176" s="59"/>
      <c r="D176" s="59"/>
      <c r="E176" s="59"/>
      <c r="F176" s="59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</row>
    <row r="177" customFormat="false" ht="12.75" hidden="false" customHeight="false" outlineLevel="0" collapsed="false">
      <c r="A177" s="63"/>
      <c r="B177" s="59"/>
      <c r="C177" s="59"/>
      <c r="D177" s="59"/>
      <c r="E177" s="59"/>
      <c r="F177" s="59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</row>
    <row r="178" customFormat="false" ht="12.75" hidden="false" customHeight="false" outlineLevel="0" collapsed="false">
      <c r="A178" s="63"/>
      <c r="B178" s="59"/>
      <c r="C178" s="59"/>
      <c r="D178" s="59"/>
      <c r="E178" s="59"/>
      <c r="F178" s="59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</row>
    <row r="179" customFormat="false" ht="12.75" hidden="false" customHeight="false" outlineLevel="0" collapsed="false">
      <c r="A179" s="63"/>
      <c r="B179" s="59"/>
      <c r="C179" s="59"/>
      <c r="D179" s="59"/>
      <c r="E179" s="59"/>
      <c r="F179" s="59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</row>
    <row r="180" customFormat="false" ht="12.75" hidden="false" customHeight="false" outlineLevel="0" collapsed="false">
      <c r="A180" s="63"/>
      <c r="B180" s="59"/>
      <c r="C180" s="59"/>
      <c r="D180" s="59"/>
      <c r="E180" s="59"/>
      <c r="F180" s="59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</row>
    <row r="181" customFormat="false" ht="12.75" hidden="false" customHeight="false" outlineLevel="0" collapsed="false">
      <c r="A181" s="63"/>
      <c r="B181" s="59"/>
      <c r="C181" s="59"/>
      <c r="D181" s="59"/>
      <c r="E181" s="59"/>
      <c r="F181" s="59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</row>
    <row r="182" customFormat="false" ht="12.75" hidden="false" customHeight="false" outlineLevel="0" collapsed="false">
      <c r="A182" s="63"/>
      <c r="B182" s="59"/>
      <c r="C182" s="59"/>
      <c r="D182" s="59"/>
      <c r="E182" s="59"/>
      <c r="F182" s="59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</row>
    <row r="183" customFormat="false" ht="12.75" hidden="false" customHeight="false" outlineLevel="0" collapsed="false">
      <c r="A183" s="63"/>
      <c r="B183" s="59"/>
      <c r="C183" s="59"/>
      <c r="D183" s="59"/>
      <c r="E183" s="59"/>
      <c r="F183" s="59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</row>
    <row r="184" customFormat="false" ht="12.75" hidden="false" customHeight="false" outlineLevel="0" collapsed="false">
      <c r="A184" s="63"/>
      <c r="B184" s="59"/>
      <c r="C184" s="59"/>
      <c r="D184" s="59"/>
      <c r="E184" s="59"/>
      <c r="F184" s="59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</row>
    <row r="185" customFormat="false" ht="12.75" hidden="false" customHeight="false" outlineLevel="0" collapsed="false">
      <c r="A185" s="63"/>
      <c r="B185" s="59"/>
      <c r="C185" s="59"/>
      <c r="D185" s="59"/>
      <c r="E185" s="59"/>
      <c r="F185" s="59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</row>
    <row r="186" customFormat="false" ht="12.75" hidden="false" customHeight="false" outlineLevel="0" collapsed="false">
      <c r="A186" s="63"/>
      <c r="B186" s="59"/>
      <c r="C186" s="59"/>
      <c r="D186" s="59"/>
      <c r="E186" s="59"/>
      <c r="F186" s="59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</row>
    <row r="187" customFormat="false" ht="12.75" hidden="false" customHeight="false" outlineLevel="0" collapsed="false">
      <c r="A187" s="63"/>
      <c r="B187" s="59"/>
      <c r="C187" s="59"/>
      <c r="D187" s="59"/>
      <c r="E187" s="59"/>
      <c r="F187" s="59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</row>
    <row r="188" customFormat="false" ht="12.75" hidden="false" customHeight="false" outlineLevel="0" collapsed="false">
      <c r="A188" s="63"/>
      <c r="B188" s="59"/>
      <c r="C188" s="59"/>
      <c r="D188" s="59"/>
      <c r="E188" s="59"/>
      <c r="F188" s="59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</row>
    <row r="189" customFormat="false" ht="12.75" hidden="false" customHeight="false" outlineLevel="0" collapsed="false">
      <c r="A189" s="63"/>
      <c r="B189" s="59"/>
      <c r="C189" s="59"/>
      <c r="D189" s="59"/>
      <c r="E189" s="59"/>
      <c r="F189" s="59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</row>
    <row r="190" customFormat="false" ht="12.75" hidden="false" customHeight="false" outlineLevel="0" collapsed="false">
      <c r="A190" s="63"/>
      <c r="B190" s="59"/>
      <c r="C190" s="59"/>
      <c r="D190" s="59"/>
      <c r="E190" s="59"/>
      <c r="F190" s="59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</row>
    <row r="191" customFormat="false" ht="12.75" hidden="false" customHeight="false" outlineLevel="0" collapsed="false">
      <c r="A191" s="63"/>
      <c r="B191" s="59"/>
      <c r="C191" s="59"/>
      <c r="D191" s="59"/>
      <c r="E191" s="59"/>
      <c r="F191" s="59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</row>
    <row r="192" customFormat="false" ht="12.75" hidden="false" customHeight="false" outlineLevel="0" collapsed="false">
      <c r="A192" s="63"/>
      <c r="B192" s="59"/>
      <c r="C192" s="59"/>
      <c r="D192" s="59"/>
      <c r="E192" s="59"/>
      <c r="F192" s="59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</row>
    <row r="193" customFormat="false" ht="12.75" hidden="false" customHeight="false" outlineLevel="0" collapsed="false">
      <c r="A193" s="63"/>
      <c r="B193" s="59"/>
      <c r="C193" s="59"/>
      <c r="D193" s="59"/>
      <c r="E193" s="59"/>
      <c r="F193" s="59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</row>
    <row r="194" customFormat="false" ht="12.75" hidden="false" customHeight="false" outlineLevel="0" collapsed="false">
      <c r="A194" s="63"/>
      <c r="B194" s="59"/>
      <c r="C194" s="59"/>
      <c r="D194" s="59"/>
      <c r="E194" s="59"/>
      <c r="F194" s="59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</row>
    <row r="195" customFormat="false" ht="12.75" hidden="false" customHeight="false" outlineLevel="0" collapsed="false">
      <c r="A195" s="63"/>
      <c r="B195" s="59"/>
      <c r="C195" s="59"/>
      <c r="D195" s="59"/>
      <c r="E195" s="59"/>
      <c r="F195" s="59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</row>
    <row r="196" customFormat="false" ht="12.75" hidden="false" customHeight="false" outlineLevel="0" collapsed="false">
      <c r="A196" s="63"/>
      <c r="B196" s="59"/>
      <c r="C196" s="59"/>
      <c r="D196" s="59"/>
      <c r="E196" s="59"/>
      <c r="F196" s="59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</row>
    <row r="197" customFormat="false" ht="12.75" hidden="false" customHeight="false" outlineLevel="0" collapsed="false">
      <c r="A197" s="63"/>
      <c r="B197" s="59"/>
      <c r="C197" s="59"/>
      <c r="D197" s="59"/>
      <c r="E197" s="59"/>
      <c r="F197" s="59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</row>
    <row r="198" customFormat="false" ht="12.75" hidden="false" customHeight="false" outlineLevel="0" collapsed="false">
      <c r="A198" s="63"/>
      <c r="B198" s="59"/>
      <c r="C198" s="59"/>
      <c r="D198" s="59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</row>
    <row r="199" customFormat="false" ht="12.75" hidden="false" customHeight="false" outlineLevel="0" collapsed="false">
      <c r="A199" s="63"/>
      <c r="B199" s="59"/>
      <c r="C199" s="59"/>
      <c r="D199" s="59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</row>
    <row r="200" customFormat="false" ht="12.75" hidden="false" customHeight="false" outlineLevel="0" collapsed="false">
      <c r="A200" s="63"/>
      <c r="B200" s="59"/>
      <c r="C200" s="59"/>
      <c r="D200" s="59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</row>
    <row r="201" customFormat="false" ht="12.75" hidden="false" customHeight="false" outlineLevel="0" collapsed="false">
      <c r="A201" s="63"/>
      <c r="B201" s="59"/>
      <c r="C201" s="59"/>
      <c r="D201" s="59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</row>
    <row r="202" customFormat="false" ht="12.75" hidden="false" customHeight="false" outlineLevel="0" collapsed="false">
      <c r="A202" s="63"/>
      <c r="B202" s="59"/>
      <c r="C202" s="59"/>
      <c r="D202" s="59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</row>
    <row r="203" customFormat="false" ht="12.75" hidden="false" customHeight="false" outlineLevel="0" collapsed="false">
      <c r="A203" s="63"/>
      <c r="B203" s="59"/>
      <c r="C203" s="59"/>
      <c r="D203" s="59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</row>
    <row r="204" customFormat="false" ht="12.75" hidden="false" customHeight="false" outlineLevel="0" collapsed="false">
      <c r="A204" s="63"/>
      <c r="B204" s="59"/>
      <c r="C204" s="59"/>
      <c r="D204" s="59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</row>
    <row r="205" customFormat="false" ht="12.75" hidden="false" customHeight="false" outlineLevel="0" collapsed="false">
      <c r="A205" s="63"/>
      <c r="B205" s="59"/>
      <c r="C205" s="59"/>
      <c r="D205" s="59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</row>
    <row r="365" customFormat="false" ht="12.75" hidden="false" customHeight="fals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</row>
    <row r="366" customFormat="false" ht="12.75" hidden="false" customHeight="fals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</row>
    <row r="367" customFormat="false" ht="12.75" hidden="false" customHeight="fals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</row>
    <row r="368" customFormat="false" ht="12.75" hidden="false" customHeight="fals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</row>
    <row r="369" customFormat="false" ht="12.75" hidden="false" customHeight="fals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</row>
    <row r="370" customFormat="false" ht="12.75" hidden="false" customHeight="fals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</row>
    <row r="371" customFormat="false" ht="12.75" hidden="false" customHeight="fals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</row>
    <row r="372" customFormat="false" ht="12.75" hidden="false" customHeight="fals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</row>
    <row r="373" customFormat="false" ht="12.75" hidden="false" customHeight="fals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</row>
    <row r="374" customFormat="false" ht="12.75" hidden="false" customHeight="fals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</row>
    <row r="375" customFormat="false" ht="12.75" hidden="false" customHeight="fals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</row>
    <row r="376" customFormat="false" ht="12.75" hidden="false" customHeight="fals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</row>
    <row r="377" customFormat="false" ht="12.75" hidden="false" customHeight="fals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</row>
    <row r="378" customFormat="false" ht="12.75" hidden="false" customHeight="fals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</row>
    <row r="379" customFormat="false" ht="12.75" hidden="false" customHeight="fals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</row>
    <row r="380" customFormat="false" ht="12.75" hidden="false" customHeight="fals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</row>
    <row r="381" customFormat="false" ht="12.75" hidden="false" customHeight="fals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</row>
    <row r="382" customFormat="false" ht="12.75" hidden="false" customHeight="fals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</row>
    <row r="383" customFormat="false" ht="12.75" hidden="false" customHeight="fals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</row>
    <row r="384" customFormat="false" ht="12.75" hidden="false" customHeight="fals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</row>
    <row r="385" customFormat="false" ht="12.75" hidden="false" customHeight="fals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</row>
    <row r="386" customFormat="false" ht="12.75" hidden="false" customHeight="fals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</row>
    <row r="387" customFormat="false" ht="12.75" hidden="false" customHeight="fals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</row>
    <row r="388" customFormat="false" ht="12.75" hidden="false" customHeight="fals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</row>
    <row r="389" customFormat="false" ht="12.75" hidden="false" customHeight="fals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</row>
    <row r="390" customFormat="false" ht="12.75" hidden="false" customHeight="fals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</row>
    <row r="391" customFormat="false" ht="12.75" hidden="false" customHeight="fals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</row>
    <row r="392" customFormat="false" ht="12.75" hidden="false" customHeight="fals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</row>
    <row r="393" customFormat="false" ht="12.75" hidden="false" customHeight="fals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</row>
    <row r="394" customFormat="false" ht="12.75" hidden="false" customHeight="fals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</row>
    <row r="395" customFormat="false" ht="12.75" hidden="false" customHeight="fals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</row>
    <row r="396" customFormat="false" ht="12.75" hidden="false" customHeight="fals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</row>
    <row r="397" customFormat="false" ht="12.75" hidden="false" customHeight="fals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</row>
    <row r="398" customFormat="false" ht="12.75" hidden="false" customHeight="fals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</row>
    <row r="399" customFormat="false" ht="12.75" hidden="false" customHeight="fals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</row>
    <row r="400" customFormat="false" ht="12.75" hidden="false" customHeight="fals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</row>
    <row r="401" customFormat="false" ht="12.75" hidden="false" customHeight="fals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</row>
    <row r="402" customFormat="false" ht="12.75" hidden="false" customHeight="fals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</row>
    <row r="403" customFormat="false" ht="12.75" hidden="false" customHeight="fals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</row>
    <row r="404" customFormat="false" ht="12.75" hidden="false" customHeight="fals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</row>
    <row r="405" customFormat="false" ht="12.75" hidden="false" customHeight="fals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</row>
    <row r="406" customFormat="false" ht="12.75" hidden="false" customHeight="fals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</row>
    <row r="407" customFormat="false" ht="12.75" hidden="false" customHeight="fals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</row>
    <row r="408" customFormat="false" ht="12.75" hidden="false" customHeight="fals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</row>
    <row r="409" customFormat="false" ht="12.75" hidden="false" customHeight="fals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</row>
    <row r="410" customFormat="false" ht="12.75" hidden="false" customHeight="fals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</row>
    <row r="411" customFormat="false" ht="12.75" hidden="false" customHeight="fals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</row>
    <row r="412" customFormat="false" ht="12.75" hidden="false" customHeight="fals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</row>
    <row r="413" customFormat="false" ht="12.75" hidden="false" customHeight="fals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</row>
    <row r="414" customFormat="false" ht="12.75" hidden="false" customHeight="fals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</row>
    <row r="415" customFormat="false" ht="12.75" hidden="false" customHeight="fals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</row>
    <row r="416" customFormat="false" ht="12.75" hidden="false" customHeight="fals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</row>
    <row r="417" customFormat="false" ht="12.75" hidden="false" customHeight="fals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</row>
    <row r="418" customFormat="false" ht="12.75" hidden="false" customHeight="fals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</row>
    <row r="419" customFormat="false" ht="12.75" hidden="false" customHeight="fals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</row>
    <row r="420" customFormat="false" ht="12.75" hidden="false" customHeight="fals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</row>
    <row r="421" customFormat="false" ht="12.75" hidden="false" customHeight="fals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</row>
    <row r="422" customFormat="false" ht="12.75" hidden="false" customHeight="fals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</row>
    <row r="423" customFormat="false" ht="12.75" hidden="false" customHeight="fals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</row>
    <row r="424" customFormat="false" ht="12.75" hidden="false" customHeight="fals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</row>
    <row r="425" customFormat="false" ht="12.75" hidden="false" customHeight="fals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</row>
    <row r="426" customFormat="false" ht="12.75" hidden="false" customHeight="fals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</row>
    <row r="427" customFormat="false" ht="12.75" hidden="false" customHeight="fals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</row>
    <row r="428" customFormat="false" ht="12.75" hidden="false" customHeight="fals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</row>
    <row r="429" customFormat="false" ht="12.75" hidden="false" customHeight="fals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</row>
    <row r="430" customFormat="false" ht="12.75" hidden="false" customHeight="fals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</row>
    <row r="431" customFormat="false" ht="12.75" hidden="false" customHeight="fals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</row>
    <row r="432" customFormat="false" ht="12.75" hidden="false" customHeight="fals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</row>
    <row r="433" customFormat="false" ht="12.75" hidden="false" customHeight="fals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</row>
    <row r="434" customFormat="false" ht="12.75" hidden="false" customHeight="fals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</row>
    <row r="435" customFormat="false" ht="12.75" hidden="false" customHeight="fals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</row>
    <row r="436" customFormat="false" ht="12.75" hidden="false" customHeight="fals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</row>
    <row r="437" customFormat="false" ht="12.75" hidden="false" customHeight="fals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</row>
    <row r="438" customFormat="false" ht="12.75" hidden="false" customHeight="fals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</row>
    <row r="439" customFormat="false" ht="12.75" hidden="false" customHeight="fals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</row>
    <row r="440" customFormat="false" ht="12.75" hidden="false" customHeight="fals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</row>
    <row r="441" customFormat="false" ht="12.75" hidden="false" customHeight="fals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</row>
    <row r="442" customFormat="false" ht="12.75" hidden="false" customHeight="fals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</row>
    <row r="443" customFormat="false" ht="12.75" hidden="false" customHeight="fals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</row>
    <row r="444" customFormat="false" ht="12.75" hidden="false" customHeight="fals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</row>
    <row r="445" customFormat="false" ht="12.75" hidden="false" customHeight="fals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</row>
    <row r="446" customFormat="false" ht="12.75" hidden="false" customHeight="fals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</row>
    <row r="447" customFormat="false" ht="12.75" hidden="false" customHeight="fals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</row>
    <row r="448" customFormat="false" ht="12.75" hidden="false" customHeight="fals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</row>
    <row r="449" customFormat="false" ht="12.75" hidden="false" customHeight="fals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</row>
    <row r="450" customFormat="false" ht="12.75" hidden="false" customHeight="fals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</row>
    <row r="451" customFormat="false" ht="12.75" hidden="false" customHeight="fals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</row>
    <row r="452" customFormat="false" ht="12.75" hidden="false" customHeight="fals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</row>
    <row r="453" customFormat="false" ht="12.75" hidden="false" customHeight="fals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</row>
    <row r="454" customFormat="false" ht="12.75" hidden="false" customHeight="fals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</row>
    <row r="455" customFormat="false" ht="12.75" hidden="false" customHeight="fals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</row>
    <row r="456" customFormat="false" ht="12.75" hidden="false" customHeight="fals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</row>
    <row r="457" customFormat="false" ht="12.75" hidden="false" customHeight="fals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</row>
    <row r="458" customFormat="false" ht="12.75" hidden="false" customHeight="fals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</row>
    <row r="459" customFormat="false" ht="12.75" hidden="false" customHeight="fals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</row>
    <row r="460" customFormat="false" ht="12.75" hidden="false" customHeight="fals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</row>
    <row r="461" customFormat="false" ht="12.75" hidden="false" customHeight="fals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</row>
    <row r="462" customFormat="false" ht="12.75" hidden="false" customHeight="fals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</row>
    <row r="463" customFormat="false" ht="12.75" hidden="false" customHeight="fals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</row>
    <row r="464" customFormat="false" ht="12.75" hidden="false" customHeight="fals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</row>
    <row r="465" customFormat="false" ht="12.75" hidden="false" customHeight="fals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</row>
    <row r="466" customFormat="false" ht="12.75" hidden="false" customHeight="fals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</row>
    <row r="467" customFormat="false" ht="12.75" hidden="false" customHeight="fals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</row>
    <row r="468" customFormat="false" ht="12.75" hidden="false" customHeight="fals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</row>
    <row r="469" customFormat="false" ht="12.75" hidden="false" customHeight="fals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</row>
    <row r="470" customFormat="false" ht="12.75" hidden="false" customHeight="fals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</row>
    <row r="471" customFormat="false" ht="12.75" hidden="false" customHeight="fals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</row>
    <row r="472" customFormat="false" ht="12.75" hidden="false" customHeight="fals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</row>
    <row r="473" customFormat="false" ht="12.75" hidden="false" customHeight="fals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</row>
    <row r="474" customFormat="false" ht="12.75" hidden="false" customHeight="fals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</row>
    <row r="475" customFormat="false" ht="12.75" hidden="false" customHeight="fals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</row>
    <row r="476" customFormat="false" ht="12.75" hidden="false" customHeight="fals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</row>
    <row r="477" customFormat="false" ht="12.75" hidden="false" customHeight="fals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</row>
    <row r="478" customFormat="false" ht="12.75" hidden="false" customHeight="fals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</row>
    <row r="479" customFormat="false" ht="12.75" hidden="false" customHeight="fals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</row>
    <row r="480" customFormat="false" ht="12.75" hidden="false" customHeight="fals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</row>
    <row r="481" customFormat="false" ht="12.75" hidden="false" customHeight="fals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</row>
    <row r="482" customFormat="false" ht="12.75" hidden="false" customHeight="fals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</row>
    <row r="483" customFormat="false" ht="12.75" hidden="false" customHeight="fals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</row>
    <row r="484" customFormat="false" ht="12.75" hidden="false" customHeight="fals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</row>
    <row r="485" customFormat="false" ht="12.75" hidden="false" customHeight="fals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</row>
    <row r="486" customFormat="false" ht="12.75" hidden="false" customHeight="fals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</row>
    <row r="487" customFormat="false" ht="12.75" hidden="false" customHeight="fals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</row>
    <row r="488" customFormat="false" ht="12.75" hidden="false" customHeight="fals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</row>
    <row r="489" customFormat="false" ht="12.75" hidden="false" customHeight="fals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</row>
    <row r="490" customFormat="false" ht="12.75" hidden="false" customHeight="fals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</row>
    <row r="491" customFormat="false" ht="12.75" hidden="false" customHeight="fals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</row>
    <row r="492" customFormat="false" ht="12.75" hidden="false" customHeight="fals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</row>
    <row r="493" customFormat="false" ht="12.75" hidden="false" customHeight="fals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</row>
    <row r="494" customFormat="false" ht="12.75" hidden="false" customHeight="fals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</row>
    <row r="495" customFormat="false" ht="12.75" hidden="false" customHeight="fals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</row>
    <row r="496" customFormat="false" ht="12.75" hidden="false" customHeight="fals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</row>
    <row r="497" customFormat="false" ht="12.75" hidden="false" customHeight="fals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</row>
    <row r="498" customFormat="false" ht="12.75" hidden="false" customHeight="fals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</row>
    <row r="499" customFormat="false" ht="12.75" hidden="false" customHeight="fals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</row>
    <row r="500" customFormat="false" ht="12.75" hidden="false" customHeight="fals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</row>
    <row r="501" customFormat="false" ht="12.75" hidden="false" customHeight="fals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</row>
    <row r="502" customFormat="false" ht="12.75" hidden="false" customHeight="fals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</row>
    <row r="503" customFormat="false" ht="12.75" hidden="false" customHeight="fals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</row>
    <row r="504" customFormat="false" ht="12.75" hidden="false" customHeight="fals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</row>
    <row r="505" customFormat="false" ht="12.75" hidden="false" customHeight="fals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</row>
    <row r="506" customFormat="false" ht="12.75" hidden="false" customHeight="fals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</row>
    <row r="507" customFormat="false" ht="12.75" hidden="false" customHeight="fals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</row>
    <row r="508" customFormat="false" ht="12.75" hidden="false" customHeight="fals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</row>
    <row r="509" customFormat="false" ht="12.75" hidden="false" customHeight="fals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</row>
    <row r="510" customFormat="false" ht="12.75" hidden="false" customHeight="fals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</row>
    <row r="511" customFormat="false" ht="12.75" hidden="false" customHeight="fals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</row>
    <row r="512" customFormat="false" ht="12.75" hidden="false" customHeight="fals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</row>
    <row r="513" customFormat="false" ht="12.75" hidden="false" customHeight="fals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</row>
    <row r="514" customFormat="false" ht="12.75" hidden="false" customHeight="fals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</row>
    <row r="515" customFormat="false" ht="12.75" hidden="false" customHeight="fals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</row>
    <row r="516" customFormat="false" ht="12.75" hidden="false" customHeight="fals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</row>
    <row r="517" customFormat="false" ht="12.75" hidden="false" customHeight="fals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</row>
    <row r="518" customFormat="false" ht="12.75" hidden="false" customHeight="fals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</row>
    <row r="519" customFormat="false" ht="12.75" hidden="false" customHeight="fals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</row>
    <row r="520" customFormat="false" ht="12.75" hidden="false" customHeight="fals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</row>
    <row r="521" customFormat="false" ht="12.75" hidden="false" customHeight="fals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</row>
    <row r="522" customFormat="false" ht="12.75" hidden="false" customHeight="fals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</row>
    <row r="523" customFormat="false" ht="12.75" hidden="false" customHeight="fals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</row>
    <row r="524" customFormat="false" ht="12.75" hidden="false" customHeight="fals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</row>
    <row r="525" customFormat="false" ht="12.75" hidden="false" customHeight="fals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</row>
    <row r="526" customFormat="false" ht="12.75" hidden="false" customHeight="fals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</row>
    <row r="527" customFormat="false" ht="12.75" hidden="false" customHeight="fals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</row>
    <row r="528" customFormat="false" ht="12.75" hidden="false" customHeight="fals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</row>
    <row r="529" customFormat="false" ht="12.75" hidden="false" customHeight="fals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</row>
    <row r="530" customFormat="false" ht="12.75" hidden="false" customHeight="fals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</row>
    <row r="531" customFormat="false" ht="12.75" hidden="false" customHeight="fals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</row>
    <row r="532" customFormat="false" ht="12.75" hidden="false" customHeight="fals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</row>
    <row r="533" customFormat="false" ht="12.75" hidden="false" customHeight="fals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</row>
    <row r="534" customFormat="false" ht="12.75" hidden="false" customHeight="fals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</row>
    <row r="535" customFormat="false" ht="12.75" hidden="false" customHeight="fals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</row>
    <row r="536" customFormat="false" ht="12.75" hidden="false" customHeight="fals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</row>
    <row r="537" customFormat="false" ht="12.75" hidden="false" customHeight="fals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</row>
    <row r="538" customFormat="false" ht="12.75" hidden="false" customHeight="fals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</row>
    <row r="539" customFormat="false" ht="12.75" hidden="false" customHeight="fals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</row>
    <row r="540" customFormat="false" ht="12.75" hidden="false" customHeight="fals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</row>
    <row r="541" customFormat="false" ht="12.75" hidden="false" customHeight="fals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</row>
    <row r="542" customFormat="false" ht="12.75" hidden="false" customHeight="fals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</row>
    <row r="543" customFormat="false" ht="12.75" hidden="false" customHeight="fals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</row>
    <row r="544" customFormat="false" ht="12.75" hidden="false" customHeight="fals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</row>
    <row r="545" customFormat="false" ht="12.75" hidden="false" customHeight="fals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</row>
    <row r="546" customFormat="false" ht="12.75" hidden="false" customHeight="fals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</row>
    <row r="547" customFormat="false" ht="12.75" hidden="false" customHeight="fals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</row>
    <row r="548" customFormat="false" ht="12.75" hidden="false" customHeight="fals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</row>
    <row r="549" customFormat="false" ht="12.75" hidden="false" customHeight="fals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</row>
    <row r="550" customFormat="false" ht="12.75" hidden="false" customHeight="fals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</row>
    <row r="551" customFormat="false" ht="12.75" hidden="false" customHeight="fals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</row>
    <row r="552" customFormat="false" ht="12.75" hidden="false" customHeight="fals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</row>
    <row r="553" customFormat="false" ht="12.75" hidden="false" customHeight="fals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</row>
    <row r="554" customFormat="false" ht="12.75" hidden="false" customHeight="fals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</row>
    <row r="555" customFormat="false" ht="12.75" hidden="false" customHeight="fals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</row>
    <row r="556" customFormat="false" ht="12.75" hidden="false" customHeight="fals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</row>
    <row r="557" customFormat="false" ht="12.75" hidden="false" customHeight="fals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</row>
    <row r="558" customFormat="false" ht="12.75" hidden="false" customHeight="fals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</row>
    <row r="559" customFormat="false" ht="12.75" hidden="false" customHeight="fals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</row>
    <row r="560" customFormat="false" ht="12.75" hidden="false" customHeight="fals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</row>
    <row r="561" customFormat="false" ht="12.75" hidden="false" customHeight="fals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</row>
    <row r="562" customFormat="false" ht="12.75" hidden="false" customHeight="fals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</row>
    <row r="563" customFormat="false" ht="12.75" hidden="false" customHeight="fals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</row>
    <row r="564" customFormat="false" ht="12.75" hidden="false" customHeight="fals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</row>
    <row r="565" customFormat="false" ht="12.75" hidden="false" customHeight="fals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</row>
    <row r="566" customFormat="false" ht="12.75" hidden="false" customHeight="fals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</row>
    <row r="567" customFormat="false" ht="12.75" hidden="false" customHeight="fals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</row>
    <row r="568" customFormat="false" ht="12.75" hidden="false" customHeight="fals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</row>
    <row r="569" customFormat="false" ht="12.75" hidden="false" customHeight="fals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</row>
    <row r="570" customFormat="false" ht="12.75" hidden="false" customHeight="fals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</row>
    <row r="571" customFormat="false" ht="12.75" hidden="false" customHeight="fals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</row>
    <row r="572" customFormat="false" ht="12.75" hidden="false" customHeight="fals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</row>
    <row r="573" customFormat="false" ht="12.75" hidden="false" customHeight="fals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</row>
    <row r="574" customFormat="false" ht="12.75" hidden="false" customHeight="fals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</row>
    <row r="575" customFormat="false" ht="12.75" hidden="false" customHeight="fals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</row>
    <row r="576" customFormat="false" ht="12.75" hidden="false" customHeight="fals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</row>
    <row r="577" customFormat="false" ht="12.75" hidden="false" customHeight="fals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</row>
    <row r="578" customFormat="false" ht="12.75" hidden="false" customHeight="fals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</row>
    <row r="579" customFormat="false" ht="12.75" hidden="false" customHeight="fals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</row>
    <row r="580" customFormat="false" ht="12.75" hidden="false" customHeight="fals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</row>
    <row r="581" customFormat="false" ht="12.75" hidden="false" customHeight="fals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</row>
    <row r="582" customFormat="false" ht="12.75" hidden="false" customHeight="fals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</row>
    <row r="583" customFormat="false" ht="12.75" hidden="false" customHeight="fals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</row>
    <row r="584" customFormat="false" ht="12.75" hidden="false" customHeight="fals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</row>
    <row r="585" customFormat="false" ht="12.75" hidden="false" customHeight="fals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</row>
    <row r="586" customFormat="false" ht="12.75" hidden="false" customHeight="fals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</row>
    <row r="587" customFormat="false" ht="12.75" hidden="false" customHeight="fals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</row>
    <row r="588" customFormat="false" ht="12.75" hidden="false" customHeight="fals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</row>
    <row r="589" customFormat="false" ht="12.75" hidden="false" customHeight="fals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</row>
    <row r="590" customFormat="false" ht="12.75" hidden="false" customHeight="fals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</row>
    <row r="591" customFormat="false" ht="12.75" hidden="false" customHeight="fals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</row>
    <row r="592" customFormat="false" ht="12.75" hidden="false" customHeight="fals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</row>
    <row r="593" customFormat="false" ht="12.75" hidden="false" customHeight="fals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</row>
    <row r="594" customFormat="false" ht="12.75" hidden="false" customHeight="fals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</row>
    <row r="595" customFormat="false" ht="12.75" hidden="false" customHeight="fals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</row>
    <row r="596" customFormat="false" ht="12.75" hidden="false" customHeight="fals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</row>
    <row r="597" customFormat="false" ht="12.75" hidden="false" customHeight="fals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</row>
    <row r="598" customFormat="false" ht="12.75" hidden="false" customHeight="fals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</row>
    <row r="599" customFormat="false" ht="12.75" hidden="false" customHeight="fals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</row>
    <row r="600" customFormat="false" ht="12.75" hidden="false" customHeight="fals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</row>
    <row r="601" customFormat="false" ht="12.75" hidden="false" customHeight="fals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</row>
    <row r="602" customFormat="false" ht="12.75" hidden="false" customHeight="fals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</row>
    <row r="603" customFormat="false" ht="12.75" hidden="false" customHeight="fals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</row>
    <row r="604" customFormat="false" ht="12.75" hidden="false" customHeight="fals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</row>
    <row r="605" customFormat="false" ht="12.75" hidden="false" customHeight="fals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</row>
    <row r="606" customFormat="false" ht="12.75" hidden="false" customHeight="fals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</row>
    <row r="607" customFormat="false" ht="12.75" hidden="false" customHeight="fals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</row>
    <row r="608" customFormat="false" ht="12.75" hidden="false" customHeight="fals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</row>
    <row r="609" customFormat="false" ht="12.75" hidden="false" customHeight="fals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</row>
    <row r="610" customFormat="false" ht="12.75" hidden="false" customHeight="fals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</row>
    <row r="611" customFormat="false" ht="12.75" hidden="false" customHeight="fals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</row>
    <row r="612" customFormat="false" ht="12.75" hidden="false" customHeight="fals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</row>
    <row r="613" customFormat="false" ht="12.75" hidden="false" customHeight="fals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</row>
    <row r="614" customFormat="false" ht="12.75" hidden="false" customHeight="fals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</row>
    <row r="615" customFormat="false" ht="12.75" hidden="false" customHeight="fals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</row>
    <row r="616" customFormat="false" ht="12.75" hidden="false" customHeight="fals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</row>
    <row r="617" customFormat="false" ht="12.75" hidden="false" customHeight="fals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</row>
    <row r="618" customFormat="false" ht="12.75" hidden="false" customHeight="fals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</row>
    <row r="619" customFormat="false" ht="12.75" hidden="false" customHeight="fals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</row>
    <row r="620" customFormat="false" ht="12.75" hidden="false" customHeight="fals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</row>
    <row r="621" customFormat="false" ht="12.75" hidden="false" customHeight="fals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</row>
    <row r="622" customFormat="false" ht="12.75" hidden="false" customHeight="fals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</row>
    <row r="623" customFormat="false" ht="12.75" hidden="false" customHeight="fals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</row>
    <row r="624" customFormat="false" ht="12.75" hidden="false" customHeight="fals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</row>
    <row r="625" customFormat="false" ht="12.75" hidden="false" customHeight="fals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</row>
    <row r="626" customFormat="false" ht="12.75" hidden="false" customHeight="fals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</row>
    <row r="627" customFormat="false" ht="12.75" hidden="false" customHeight="fals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</row>
    <row r="628" customFormat="false" ht="12.75" hidden="false" customHeight="fals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</row>
    <row r="629" customFormat="false" ht="12.75" hidden="false" customHeight="fals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</row>
    <row r="630" customFormat="false" ht="12.75" hidden="false" customHeight="fals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</row>
    <row r="631" customFormat="false" ht="12.75" hidden="false" customHeight="fals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</row>
    <row r="632" customFormat="false" ht="12.75" hidden="false" customHeight="fals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</row>
    <row r="633" customFormat="false" ht="12.75" hidden="false" customHeight="fals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</row>
    <row r="634" customFormat="false" ht="12.75" hidden="false" customHeight="fals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</row>
    <row r="635" customFormat="false" ht="12.75" hidden="false" customHeight="fals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</row>
    <row r="636" customFormat="false" ht="12.75" hidden="false" customHeight="fals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</row>
    <row r="637" customFormat="false" ht="12.75" hidden="false" customHeight="fals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</row>
    <row r="638" customFormat="false" ht="12.75" hidden="false" customHeight="fals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</row>
    <row r="639" customFormat="false" ht="12.75" hidden="false" customHeight="fals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</row>
    <row r="640" customFormat="false" ht="12.75" hidden="false" customHeight="fals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</row>
    <row r="641" customFormat="false" ht="12.75" hidden="false" customHeight="fals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</row>
    <row r="642" customFormat="false" ht="12.75" hidden="false" customHeight="fals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</row>
    <row r="643" customFormat="false" ht="12.75" hidden="false" customHeight="fals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</row>
    <row r="644" customFormat="false" ht="12.75" hidden="false" customHeight="fals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</row>
    <row r="645" customFormat="false" ht="12.75" hidden="false" customHeight="fals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</row>
    <row r="646" customFormat="false" ht="12.75" hidden="false" customHeight="fals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</row>
    <row r="647" customFormat="false" ht="12.75" hidden="false" customHeight="fals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</row>
    <row r="648" customFormat="false" ht="12.75" hidden="false" customHeight="fals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</row>
    <row r="649" customFormat="false" ht="12.75" hidden="false" customHeight="fals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</row>
    <row r="650" customFormat="false" ht="12.75" hidden="false" customHeight="fals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</row>
    <row r="651" customFormat="false" ht="12.75" hidden="false" customHeight="fals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</row>
    <row r="652" customFormat="false" ht="12.75" hidden="false" customHeight="fals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</row>
    <row r="653" customFormat="false" ht="12.75" hidden="false" customHeight="fals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</row>
    <row r="654" customFormat="false" ht="12.75" hidden="false" customHeight="fals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</row>
    <row r="655" customFormat="false" ht="12.75" hidden="false" customHeight="fals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</row>
    <row r="656" customFormat="false" ht="12.75" hidden="false" customHeight="fals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</row>
    <row r="657" customFormat="false" ht="12.75" hidden="false" customHeight="fals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</row>
    <row r="658" customFormat="false" ht="12.75" hidden="false" customHeight="fals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</row>
    <row r="659" customFormat="false" ht="12.75" hidden="false" customHeight="fals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</row>
    <row r="660" customFormat="false" ht="12.75" hidden="false" customHeight="fals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</row>
    <row r="661" customFormat="false" ht="12.75" hidden="false" customHeight="fals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</row>
    <row r="662" customFormat="false" ht="12.75" hidden="false" customHeight="fals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</row>
    <row r="663" customFormat="false" ht="12.75" hidden="false" customHeight="fals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</row>
    <row r="664" customFormat="false" ht="12.75" hidden="false" customHeight="fals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</row>
    <row r="665" customFormat="false" ht="12.75" hidden="false" customHeight="fals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</row>
    <row r="666" customFormat="false" ht="12.75" hidden="false" customHeight="fals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</row>
    <row r="667" customFormat="false" ht="12.75" hidden="false" customHeight="fals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</row>
    <row r="668" customFormat="false" ht="12.75" hidden="false" customHeight="fals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</row>
    <row r="669" customFormat="false" ht="12.75" hidden="false" customHeight="fals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</row>
    <row r="670" customFormat="false" ht="12.75" hidden="false" customHeight="fals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</row>
    <row r="671" customFormat="false" ht="12.75" hidden="false" customHeight="fals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</row>
    <row r="672" customFormat="false" ht="12.75" hidden="false" customHeight="fals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</row>
    <row r="673" customFormat="false" ht="12.75" hidden="false" customHeight="fals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</row>
    <row r="674" customFormat="false" ht="12.75" hidden="false" customHeight="fals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</row>
    <row r="675" customFormat="false" ht="12.75" hidden="false" customHeight="fals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</row>
    <row r="676" customFormat="false" ht="12.75" hidden="false" customHeight="fals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</row>
    <row r="677" customFormat="false" ht="12.75" hidden="false" customHeight="fals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</row>
    <row r="678" customFormat="false" ht="12.75" hidden="false" customHeight="fals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</row>
    <row r="679" customFormat="false" ht="12.75" hidden="false" customHeight="fals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</row>
    <row r="680" customFormat="false" ht="12.75" hidden="false" customHeight="fals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</row>
    <row r="681" customFormat="false" ht="12.75" hidden="false" customHeight="fals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</row>
    <row r="682" customFormat="false" ht="12.75" hidden="false" customHeight="fals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</row>
    <row r="683" customFormat="false" ht="12.75" hidden="false" customHeight="fals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</row>
    <row r="684" customFormat="false" ht="12.75" hidden="false" customHeight="fals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</row>
    <row r="685" customFormat="false" ht="12.75" hidden="false" customHeight="fals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</row>
    <row r="686" customFormat="false" ht="12.75" hidden="false" customHeight="fals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</row>
    <row r="687" customFormat="false" ht="12.75" hidden="false" customHeight="fals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</row>
    <row r="688" customFormat="false" ht="12.75" hidden="false" customHeight="fals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</row>
    <row r="689" customFormat="false" ht="12.75" hidden="false" customHeight="fals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</row>
    <row r="690" customFormat="false" ht="12.75" hidden="false" customHeight="fals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</row>
    <row r="691" customFormat="false" ht="12.75" hidden="false" customHeight="fals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</row>
    <row r="692" customFormat="false" ht="12.75" hidden="false" customHeight="fals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</row>
    <row r="693" customFormat="false" ht="12.75" hidden="false" customHeight="fals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</row>
    <row r="694" customFormat="false" ht="12.75" hidden="false" customHeight="fals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</row>
    <row r="695" customFormat="false" ht="12.75" hidden="false" customHeight="fals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</row>
    <row r="696" customFormat="false" ht="12.75" hidden="false" customHeight="fals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</row>
    <row r="697" customFormat="false" ht="12.75" hidden="false" customHeight="fals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</row>
    <row r="698" customFormat="false" ht="12.75" hidden="false" customHeight="fals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</row>
    <row r="699" customFormat="false" ht="12.75" hidden="false" customHeight="fals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</row>
    <row r="700" customFormat="false" ht="12.75" hidden="false" customHeight="fals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</row>
    <row r="701" customFormat="false" ht="12.75" hidden="false" customHeight="fals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</row>
    <row r="702" customFormat="false" ht="12.75" hidden="false" customHeight="fals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</row>
    <row r="703" customFormat="false" ht="12.75" hidden="false" customHeight="fals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</row>
    <row r="704" customFormat="false" ht="12.75" hidden="false" customHeight="fals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</row>
    <row r="705" customFormat="false" ht="12.75" hidden="false" customHeight="fals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</row>
    <row r="706" customFormat="false" ht="12.75" hidden="false" customHeight="fals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</row>
    <row r="707" customFormat="false" ht="12.75" hidden="false" customHeight="fals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</row>
    <row r="708" customFormat="false" ht="12.75" hidden="false" customHeight="fals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</row>
    <row r="709" customFormat="false" ht="12.75" hidden="false" customHeight="fals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</row>
    <row r="710" customFormat="false" ht="12.75" hidden="false" customHeight="fals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</row>
    <row r="711" customFormat="false" ht="12.75" hidden="false" customHeight="fals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</row>
    <row r="712" customFormat="false" ht="12.75" hidden="false" customHeight="fals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</row>
    <row r="713" customFormat="false" ht="12.75" hidden="false" customHeight="fals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</row>
    <row r="714" customFormat="false" ht="12.75" hidden="false" customHeight="fals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</row>
    <row r="715" customFormat="false" ht="12.75" hidden="false" customHeight="fals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</row>
    <row r="716" customFormat="false" ht="12.75" hidden="false" customHeight="fals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</row>
    <row r="717" customFormat="false" ht="12.75" hidden="false" customHeight="fals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</row>
    <row r="718" customFormat="false" ht="12.75" hidden="false" customHeight="fals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</row>
    <row r="719" customFormat="false" ht="12.75" hidden="false" customHeight="fals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</row>
    <row r="720" customFormat="false" ht="12.75" hidden="false" customHeight="fals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</row>
    <row r="721" customFormat="false" ht="12.75" hidden="false" customHeight="fals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</row>
    <row r="722" customFormat="false" ht="12.75" hidden="false" customHeight="fals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</row>
    <row r="723" customFormat="false" ht="12.75" hidden="false" customHeight="fals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</row>
    <row r="724" customFormat="false" ht="12.75" hidden="false" customHeight="fals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</row>
    <row r="725" customFormat="false" ht="12.75" hidden="false" customHeight="fals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</row>
    <row r="726" customFormat="false" ht="12.75" hidden="false" customHeight="fals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</row>
    <row r="727" customFormat="false" ht="12.75" hidden="false" customHeight="fals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</row>
    <row r="728" customFormat="false" ht="12.75" hidden="false" customHeight="fals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</row>
    <row r="729" customFormat="false" ht="12.75" hidden="false" customHeight="fals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</row>
    <row r="730" customFormat="false" ht="12.75" hidden="false" customHeight="fals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</row>
    <row r="731" customFormat="false" ht="12.75" hidden="false" customHeight="fals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</row>
    <row r="732" customFormat="false" ht="12.75" hidden="false" customHeight="fals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</row>
    <row r="733" customFormat="false" ht="12.75" hidden="false" customHeight="fals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</row>
    <row r="734" customFormat="false" ht="12.75" hidden="false" customHeight="fals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</row>
    <row r="735" customFormat="false" ht="12.75" hidden="false" customHeight="fals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</row>
    <row r="736" customFormat="false" ht="12.75" hidden="false" customHeight="fals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</row>
    <row r="737" customFormat="false" ht="12.75" hidden="false" customHeight="fals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</row>
    <row r="738" customFormat="false" ht="12.75" hidden="false" customHeight="fals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</row>
    <row r="739" customFormat="false" ht="12.75" hidden="false" customHeight="fals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</row>
    <row r="740" customFormat="false" ht="12.75" hidden="false" customHeight="fals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</row>
    <row r="741" customFormat="false" ht="12.75" hidden="false" customHeight="fals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</row>
    <row r="742" customFormat="false" ht="12.75" hidden="false" customHeight="fals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</row>
    <row r="743" customFormat="false" ht="12.75" hidden="false" customHeight="fals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</row>
    <row r="744" customFormat="false" ht="12.75" hidden="false" customHeight="fals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</row>
    <row r="745" customFormat="false" ht="12.75" hidden="false" customHeight="fals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</row>
    <row r="746" customFormat="false" ht="12.75" hidden="false" customHeight="fals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</row>
    <row r="747" customFormat="false" ht="12.75" hidden="false" customHeight="fals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</row>
    <row r="748" customFormat="false" ht="12.75" hidden="false" customHeight="fals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</row>
    <row r="749" customFormat="false" ht="12.75" hidden="false" customHeight="fals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</row>
    <row r="750" customFormat="false" ht="12.75" hidden="false" customHeight="fals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</row>
    <row r="751" customFormat="false" ht="12.75" hidden="false" customHeight="fals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</row>
    <row r="752" customFormat="false" ht="12.75" hidden="false" customHeight="fals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</row>
    <row r="753" customFormat="false" ht="12.75" hidden="false" customHeight="fals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</row>
    <row r="754" customFormat="false" ht="12.75" hidden="false" customHeight="fals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</row>
    <row r="755" customFormat="false" ht="12.75" hidden="false" customHeight="fals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</row>
    <row r="756" customFormat="false" ht="12.75" hidden="false" customHeight="fals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</row>
    <row r="757" customFormat="false" ht="12.75" hidden="false" customHeight="fals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</row>
    <row r="758" customFormat="false" ht="12.75" hidden="false" customHeight="fals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</row>
    <row r="759" customFormat="false" ht="12.75" hidden="false" customHeight="fals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</row>
    <row r="760" customFormat="false" ht="12.75" hidden="false" customHeight="fals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</row>
    <row r="761" customFormat="false" ht="12.75" hidden="false" customHeight="fals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</row>
    <row r="762" customFormat="false" ht="12.75" hidden="false" customHeight="fals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</row>
    <row r="763" customFormat="false" ht="12.75" hidden="false" customHeight="fals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</row>
    <row r="764" customFormat="false" ht="12.75" hidden="false" customHeight="fals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</row>
    <row r="765" customFormat="false" ht="12.75" hidden="false" customHeight="fals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</row>
    <row r="766" customFormat="false" ht="12.75" hidden="false" customHeight="fals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</row>
    <row r="767" customFormat="false" ht="12.75" hidden="false" customHeight="fals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</row>
    <row r="768" customFormat="false" ht="12.75" hidden="false" customHeight="fals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</row>
    <row r="769" customFormat="false" ht="12.75" hidden="false" customHeight="fals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</row>
    <row r="770" customFormat="false" ht="12.75" hidden="false" customHeight="false" outlineLevel="0" collapsed="false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</row>
    <row r="771" customFormat="false" ht="12.75" hidden="false" customHeight="false" outlineLevel="0" collapsed="false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</row>
    <row r="772" customFormat="false" ht="12.75" hidden="false" customHeight="false" outlineLevel="0" collapsed="false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</row>
    <row r="773" customFormat="false" ht="12.75" hidden="false" customHeight="false" outlineLevel="0" collapsed="false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</row>
    <row r="774" customFormat="false" ht="12.75" hidden="false" customHeight="false" outlineLevel="0" collapsed="false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</row>
    <row r="775" customFormat="false" ht="12.75" hidden="false" customHeight="false" outlineLevel="0" collapsed="false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</row>
    <row r="776" customFormat="false" ht="12.75" hidden="false" customHeight="false" outlineLevel="0" collapsed="false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</row>
    <row r="777" customFormat="false" ht="12.75" hidden="false" customHeight="false" outlineLevel="0" collapsed="false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</row>
    <row r="778" customFormat="false" ht="12.75" hidden="false" customHeight="false" outlineLevel="0" collapsed="false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</row>
    <row r="779" customFormat="false" ht="12.75" hidden="false" customHeight="false" outlineLevel="0" collapsed="false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</row>
    <row r="780" customFormat="false" ht="12.75" hidden="false" customHeight="false" outlineLevel="0" collapsed="false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</row>
    <row r="781" customFormat="false" ht="12.75" hidden="false" customHeight="false" outlineLevel="0" collapsed="false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</row>
    <row r="782" customFormat="false" ht="12.75" hidden="false" customHeight="false" outlineLevel="0" collapsed="false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</row>
    <row r="783" customFormat="false" ht="12.75" hidden="false" customHeight="false" outlineLevel="0" collapsed="false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</row>
    <row r="784" customFormat="false" ht="12.75" hidden="false" customHeight="false" outlineLevel="0" collapsed="false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</row>
    <row r="785" customFormat="false" ht="12.75" hidden="false" customHeight="false" outlineLevel="0" collapsed="false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</row>
    <row r="786" customFormat="false" ht="12.75" hidden="false" customHeight="false" outlineLevel="0" collapsed="false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</row>
    <row r="787" customFormat="false" ht="12.75" hidden="false" customHeight="false" outlineLevel="0" collapsed="false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</row>
    <row r="788" customFormat="false" ht="12.75" hidden="false" customHeight="false" outlineLevel="0" collapsed="false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</row>
    <row r="789" customFormat="false" ht="12.75" hidden="false" customHeight="false" outlineLevel="0" collapsed="false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</row>
    <row r="790" customFormat="false" ht="12.75" hidden="false" customHeight="false" outlineLevel="0" collapsed="false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</row>
    <row r="791" customFormat="false" ht="12.75" hidden="false" customHeight="false" outlineLevel="0" collapsed="false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</row>
    <row r="792" customFormat="false" ht="12.75" hidden="false" customHeight="false" outlineLevel="0" collapsed="false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</row>
    <row r="793" customFormat="false" ht="12.75" hidden="false" customHeight="false" outlineLevel="0" collapsed="false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</row>
    <row r="794" customFormat="false" ht="12.75" hidden="false" customHeight="false" outlineLevel="0" collapsed="false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</row>
    <row r="795" customFormat="false" ht="12.75" hidden="false" customHeight="false" outlineLevel="0" collapsed="false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</row>
    <row r="796" customFormat="false" ht="12.75" hidden="false" customHeight="false" outlineLevel="0" collapsed="false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</row>
    <row r="797" customFormat="false" ht="12.75" hidden="false" customHeight="false" outlineLevel="0" collapsed="false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</row>
    <row r="798" customFormat="false" ht="12.75" hidden="false" customHeight="false" outlineLevel="0" collapsed="false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</row>
    <row r="799" customFormat="false" ht="12.75" hidden="false" customHeight="false" outlineLevel="0" collapsed="false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</row>
    <row r="800" customFormat="false" ht="12.75" hidden="false" customHeight="false" outlineLevel="0" collapsed="false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</row>
    <row r="801" customFormat="false" ht="12.75" hidden="false" customHeight="false" outlineLevel="0" collapsed="false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</row>
    <row r="802" customFormat="false" ht="12.75" hidden="false" customHeight="false" outlineLevel="0" collapsed="false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</row>
    <row r="803" customFormat="false" ht="12.75" hidden="false" customHeight="false" outlineLevel="0" collapsed="false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</row>
    <row r="804" customFormat="false" ht="12.75" hidden="false" customHeight="false" outlineLevel="0" collapsed="false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</row>
    <row r="805" customFormat="false" ht="12.75" hidden="false" customHeight="false" outlineLevel="0" collapsed="false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</row>
    <row r="806" customFormat="false" ht="12.75" hidden="false" customHeight="false" outlineLevel="0" collapsed="false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</row>
    <row r="807" customFormat="false" ht="12.75" hidden="false" customHeight="false" outlineLevel="0" collapsed="false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</row>
    <row r="808" customFormat="false" ht="12.75" hidden="false" customHeight="false" outlineLevel="0" collapsed="false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</row>
    <row r="809" customFormat="false" ht="12.75" hidden="false" customHeight="false" outlineLevel="0" collapsed="false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</row>
    <row r="810" customFormat="false" ht="12.75" hidden="false" customHeight="false" outlineLevel="0" collapsed="false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</row>
    <row r="811" customFormat="false" ht="12.75" hidden="false" customHeight="false" outlineLevel="0" collapsed="false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</row>
    <row r="812" customFormat="false" ht="12.75" hidden="false" customHeight="false" outlineLevel="0" collapsed="false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</row>
    <row r="813" customFormat="false" ht="12.75" hidden="false" customHeight="false" outlineLevel="0" collapsed="false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</row>
    <row r="814" customFormat="false" ht="12.75" hidden="false" customHeight="false" outlineLevel="0" collapsed="false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</row>
    <row r="815" customFormat="false" ht="12.75" hidden="false" customHeight="false" outlineLevel="0" collapsed="false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</row>
    <row r="816" customFormat="false" ht="12.75" hidden="false" customHeight="false" outlineLevel="0" collapsed="false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</row>
    <row r="817" customFormat="false" ht="12.75" hidden="false" customHeight="false" outlineLevel="0" collapsed="false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</row>
    <row r="818" customFormat="false" ht="12.75" hidden="false" customHeight="false" outlineLevel="0" collapsed="false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</row>
    <row r="819" customFormat="false" ht="12.75" hidden="false" customHeight="false" outlineLevel="0" collapsed="false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</row>
    <row r="820" customFormat="false" ht="12.75" hidden="false" customHeight="false" outlineLevel="0" collapsed="false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</row>
    <row r="821" customFormat="false" ht="12.75" hidden="false" customHeight="false" outlineLevel="0" collapsed="false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</row>
    <row r="822" customFormat="false" ht="12.75" hidden="false" customHeight="false" outlineLevel="0" collapsed="false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</row>
    <row r="823" customFormat="false" ht="12.75" hidden="false" customHeight="false" outlineLevel="0" collapsed="false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</row>
    <row r="824" customFormat="false" ht="12.75" hidden="false" customHeight="false" outlineLevel="0" collapsed="false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</row>
    <row r="825" customFormat="false" ht="12.75" hidden="false" customHeight="false" outlineLevel="0" collapsed="false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</row>
    <row r="826" customFormat="false" ht="12.75" hidden="false" customHeight="false" outlineLevel="0" collapsed="false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</row>
    <row r="827" customFormat="false" ht="12.75" hidden="false" customHeight="false" outlineLevel="0" collapsed="false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</row>
    <row r="828" customFormat="false" ht="12.75" hidden="false" customHeight="false" outlineLevel="0" collapsed="false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</row>
    <row r="829" customFormat="false" ht="12.75" hidden="false" customHeight="false" outlineLevel="0" collapsed="false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</row>
    <row r="830" customFormat="false" ht="12.75" hidden="false" customHeight="false" outlineLevel="0" collapsed="false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</row>
    <row r="831" customFormat="false" ht="12.75" hidden="false" customHeight="false" outlineLevel="0" collapsed="false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</row>
    <row r="832" customFormat="false" ht="12.75" hidden="false" customHeight="false" outlineLevel="0" collapsed="false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</row>
    <row r="833" customFormat="false" ht="12.75" hidden="false" customHeight="false" outlineLevel="0" collapsed="false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</row>
    <row r="834" customFormat="false" ht="12.75" hidden="false" customHeight="false" outlineLevel="0" collapsed="false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</row>
    <row r="835" customFormat="false" ht="12.75" hidden="false" customHeight="false" outlineLevel="0" collapsed="false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</row>
    <row r="836" customFormat="false" ht="12.75" hidden="false" customHeight="false" outlineLevel="0" collapsed="false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</row>
    <row r="837" customFormat="false" ht="12.75" hidden="false" customHeight="false" outlineLevel="0" collapsed="false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</row>
    <row r="838" customFormat="false" ht="12.75" hidden="false" customHeight="false" outlineLevel="0" collapsed="false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</row>
    <row r="839" customFormat="false" ht="12.75" hidden="false" customHeight="false" outlineLevel="0" collapsed="false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</row>
    <row r="840" customFormat="false" ht="12.75" hidden="false" customHeight="false" outlineLevel="0" collapsed="false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</row>
    <row r="841" customFormat="false" ht="12.75" hidden="false" customHeight="false" outlineLevel="0" collapsed="false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</row>
    <row r="842" customFormat="false" ht="12.75" hidden="false" customHeight="false" outlineLevel="0" collapsed="false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</row>
    <row r="843" customFormat="false" ht="12.75" hidden="false" customHeight="false" outlineLevel="0" collapsed="false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</row>
    <row r="844" customFormat="false" ht="12.75" hidden="false" customHeight="false" outlineLevel="0" collapsed="false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</row>
    <row r="845" customFormat="false" ht="12.75" hidden="false" customHeight="false" outlineLevel="0" collapsed="false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</row>
    <row r="846" customFormat="false" ht="12.75" hidden="false" customHeight="false" outlineLevel="0" collapsed="false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</row>
    <row r="847" customFormat="false" ht="12.75" hidden="false" customHeight="false" outlineLevel="0" collapsed="false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</row>
    <row r="848" customFormat="false" ht="12.75" hidden="false" customHeight="false" outlineLevel="0" collapsed="false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</row>
    <row r="849" customFormat="false" ht="12.75" hidden="false" customHeight="false" outlineLevel="0" collapsed="false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</row>
    <row r="850" customFormat="false" ht="12.75" hidden="false" customHeight="false" outlineLevel="0" collapsed="false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</row>
    <row r="851" customFormat="false" ht="12.75" hidden="false" customHeight="false" outlineLevel="0" collapsed="false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</row>
    <row r="852" customFormat="false" ht="12.75" hidden="false" customHeight="false" outlineLevel="0" collapsed="false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</row>
    <row r="853" customFormat="false" ht="12.75" hidden="false" customHeight="false" outlineLevel="0" collapsed="false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</row>
    <row r="854" customFormat="false" ht="12.75" hidden="false" customHeight="false" outlineLevel="0" collapsed="false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</row>
    <row r="855" customFormat="false" ht="12.75" hidden="false" customHeight="false" outlineLevel="0" collapsed="false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</row>
    <row r="856" customFormat="false" ht="12.75" hidden="false" customHeight="false" outlineLevel="0" collapsed="false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</row>
    <row r="857" customFormat="false" ht="12.75" hidden="false" customHeight="false" outlineLevel="0" collapsed="false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</row>
    <row r="858" customFormat="false" ht="12.75" hidden="false" customHeight="false" outlineLevel="0" collapsed="false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</row>
    <row r="859" customFormat="false" ht="12.75" hidden="false" customHeight="false" outlineLevel="0" collapsed="false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</row>
    <row r="860" customFormat="false" ht="12.75" hidden="false" customHeight="false" outlineLevel="0" collapsed="false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</row>
    <row r="861" customFormat="false" ht="12.75" hidden="false" customHeight="false" outlineLevel="0" collapsed="false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</row>
    <row r="862" customFormat="false" ht="12.75" hidden="false" customHeight="false" outlineLevel="0" collapsed="false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</row>
    <row r="863" customFormat="false" ht="12.75" hidden="false" customHeight="false" outlineLevel="0" collapsed="false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</row>
    <row r="864" customFormat="false" ht="12.75" hidden="false" customHeight="false" outlineLevel="0" collapsed="false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</row>
    <row r="865" customFormat="false" ht="12.75" hidden="false" customHeight="false" outlineLevel="0" collapsed="false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</row>
    <row r="866" customFormat="false" ht="12.75" hidden="false" customHeight="false" outlineLevel="0" collapsed="false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</row>
    <row r="867" customFormat="false" ht="12.75" hidden="false" customHeight="false" outlineLevel="0" collapsed="false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</row>
    <row r="868" customFormat="false" ht="12.75" hidden="false" customHeight="false" outlineLevel="0" collapsed="false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</row>
    <row r="869" customFormat="false" ht="12.75" hidden="false" customHeight="false" outlineLevel="0" collapsed="false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</row>
    <row r="870" customFormat="false" ht="12.75" hidden="false" customHeight="false" outlineLevel="0" collapsed="false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</row>
    <row r="871" customFormat="false" ht="12.75" hidden="false" customHeight="false" outlineLevel="0" collapsed="false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</row>
    <row r="872" customFormat="false" ht="12.75" hidden="false" customHeight="false" outlineLevel="0" collapsed="false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</row>
    <row r="873" customFormat="false" ht="12.75" hidden="false" customHeight="false" outlineLevel="0" collapsed="false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</row>
    <row r="874" customFormat="false" ht="12.75" hidden="false" customHeight="false" outlineLevel="0" collapsed="false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</row>
    <row r="875" customFormat="false" ht="12.75" hidden="false" customHeight="false" outlineLevel="0" collapsed="false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</row>
    <row r="876" customFormat="false" ht="12.75" hidden="false" customHeight="false" outlineLevel="0" collapsed="false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</row>
    <row r="877" customFormat="false" ht="12.75" hidden="false" customHeight="false" outlineLevel="0" collapsed="false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</row>
    <row r="878" customFormat="false" ht="12.75" hidden="false" customHeight="false" outlineLevel="0" collapsed="false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</row>
    <row r="879" customFormat="false" ht="12.75" hidden="false" customHeight="false" outlineLevel="0" collapsed="false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</row>
    <row r="880" customFormat="false" ht="12.75" hidden="false" customHeight="false" outlineLevel="0" collapsed="false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</row>
    <row r="881" customFormat="false" ht="12.75" hidden="false" customHeight="false" outlineLevel="0" collapsed="false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</row>
    <row r="882" customFormat="false" ht="12.75" hidden="false" customHeight="false" outlineLevel="0" collapsed="false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</row>
    <row r="883" customFormat="false" ht="12.75" hidden="false" customHeight="false" outlineLevel="0" collapsed="false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</row>
    <row r="884" customFormat="false" ht="12.75" hidden="false" customHeight="false" outlineLevel="0" collapsed="false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</row>
    <row r="885" customFormat="false" ht="12.75" hidden="false" customHeight="false" outlineLevel="0" collapsed="false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</row>
    <row r="886" customFormat="false" ht="12.75" hidden="false" customHeight="false" outlineLevel="0" collapsed="false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</row>
    <row r="887" customFormat="false" ht="12.75" hidden="false" customHeight="false" outlineLevel="0" collapsed="false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</row>
    <row r="888" customFormat="false" ht="12.75" hidden="false" customHeight="false" outlineLevel="0" collapsed="false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</row>
    <row r="889" customFormat="false" ht="12.75" hidden="false" customHeight="false" outlineLevel="0" collapsed="false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</row>
    <row r="890" customFormat="false" ht="12.75" hidden="false" customHeight="false" outlineLevel="0" collapsed="false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</row>
    <row r="891" customFormat="false" ht="12.75" hidden="false" customHeight="false" outlineLevel="0" collapsed="false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</row>
    <row r="892" customFormat="false" ht="12.75" hidden="false" customHeight="false" outlineLevel="0" collapsed="false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</row>
    <row r="893" customFormat="false" ht="12.75" hidden="false" customHeight="false" outlineLevel="0" collapsed="false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</row>
    <row r="894" customFormat="false" ht="12.75" hidden="false" customHeight="false" outlineLevel="0" collapsed="false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</row>
    <row r="895" customFormat="false" ht="12.75" hidden="false" customHeight="false" outlineLevel="0" collapsed="false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</row>
    <row r="896" customFormat="false" ht="12.75" hidden="false" customHeight="false" outlineLevel="0" collapsed="false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</row>
    <row r="897" customFormat="false" ht="12.75" hidden="false" customHeight="false" outlineLevel="0" collapsed="false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</row>
    <row r="898" customFormat="false" ht="12.75" hidden="false" customHeight="false" outlineLevel="0" collapsed="false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</row>
    <row r="899" customFormat="false" ht="12.75" hidden="false" customHeight="false" outlineLevel="0" collapsed="false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</row>
    <row r="900" customFormat="false" ht="12.75" hidden="false" customHeight="false" outlineLevel="0" collapsed="false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</row>
    <row r="901" customFormat="false" ht="12.75" hidden="false" customHeight="false" outlineLevel="0" collapsed="false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</row>
    <row r="902" customFormat="false" ht="12.75" hidden="false" customHeight="false" outlineLevel="0" collapsed="false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</row>
    <row r="903" customFormat="false" ht="12.75" hidden="false" customHeight="false" outlineLevel="0" collapsed="false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</row>
    <row r="904" customFormat="false" ht="12.75" hidden="false" customHeight="false" outlineLevel="0" collapsed="false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</row>
    <row r="905" customFormat="false" ht="12.75" hidden="false" customHeight="false" outlineLevel="0" collapsed="false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</row>
    <row r="906" customFormat="false" ht="12.75" hidden="false" customHeight="false" outlineLevel="0" collapsed="false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</row>
    <row r="907" customFormat="false" ht="12.75" hidden="false" customHeight="false" outlineLevel="0" collapsed="false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</row>
    <row r="908" customFormat="false" ht="12.75" hidden="false" customHeight="false" outlineLevel="0" collapsed="false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</row>
    <row r="909" customFormat="false" ht="12.75" hidden="false" customHeight="false" outlineLevel="0" collapsed="false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</row>
    <row r="910" customFormat="false" ht="12.75" hidden="false" customHeight="false" outlineLevel="0" collapsed="false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</row>
    <row r="911" customFormat="false" ht="12.75" hidden="false" customHeight="false" outlineLevel="0" collapsed="false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</row>
    <row r="912" customFormat="false" ht="12.75" hidden="false" customHeight="false" outlineLevel="0" collapsed="false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</row>
    <row r="913" customFormat="false" ht="12.75" hidden="false" customHeight="false" outlineLevel="0" collapsed="false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</row>
    <row r="914" customFormat="false" ht="12.75" hidden="false" customHeight="false" outlineLevel="0" collapsed="false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</row>
    <row r="915" customFormat="false" ht="12.75" hidden="false" customHeight="false" outlineLevel="0" collapsed="false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</row>
    <row r="916" customFormat="false" ht="12.75" hidden="false" customHeight="false" outlineLevel="0" collapsed="false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</row>
    <row r="917" customFormat="false" ht="12.75" hidden="false" customHeight="false" outlineLevel="0" collapsed="false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</row>
    <row r="918" customFormat="false" ht="12.75" hidden="false" customHeight="false" outlineLevel="0" collapsed="false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</row>
    <row r="919" customFormat="false" ht="12.75" hidden="false" customHeight="false" outlineLevel="0" collapsed="false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</row>
    <row r="920" customFormat="false" ht="12.75" hidden="false" customHeight="false" outlineLevel="0" collapsed="false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</row>
    <row r="921" customFormat="false" ht="12.75" hidden="false" customHeight="false" outlineLevel="0" collapsed="false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</row>
    <row r="922" customFormat="false" ht="12.75" hidden="false" customHeight="false" outlineLevel="0" collapsed="false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</row>
    <row r="923" customFormat="false" ht="12.75" hidden="false" customHeight="false" outlineLevel="0" collapsed="false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</row>
    <row r="924" customFormat="false" ht="12.75" hidden="false" customHeight="false" outlineLevel="0" collapsed="false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</row>
    <row r="925" customFormat="false" ht="12.75" hidden="false" customHeight="false" outlineLevel="0" collapsed="false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</row>
    <row r="926" customFormat="false" ht="12.75" hidden="false" customHeight="false" outlineLevel="0" collapsed="false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</row>
    <row r="927" customFormat="false" ht="12.75" hidden="false" customHeight="false" outlineLevel="0" collapsed="false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</row>
    <row r="928" customFormat="false" ht="12.75" hidden="false" customHeight="false" outlineLevel="0" collapsed="false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</row>
    <row r="929" customFormat="false" ht="12.75" hidden="false" customHeight="false" outlineLevel="0" collapsed="false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</row>
    <row r="930" customFormat="false" ht="12.75" hidden="false" customHeight="false" outlineLevel="0" collapsed="false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</row>
    <row r="931" customFormat="false" ht="12.75" hidden="false" customHeight="false" outlineLevel="0" collapsed="false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</row>
    <row r="932" customFormat="false" ht="12.75" hidden="false" customHeight="false" outlineLevel="0" collapsed="false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</row>
    <row r="933" customFormat="false" ht="12.75" hidden="false" customHeight="false" outlineLevel="0" collapsed="false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</row>
    <row r="934" customFormat="false" ht="12.75" hidden="false" customHeight="false" outlineLevel="0" collapsed="false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</row>
    <row r="935" customFormat="false" ht="12.75" hidden="false" customHeight="false" outlineLevel="0" collapsed="false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</row>
    <row r="936" customFormat="false" ht="12.75" hidden="false" customHeight="false" outlineLevel="0" collapsed="false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</row>
    <row r="937" customFormat="false" ht="12.75" hidden="false" customHeight="false" outlineLevel="0" collapsed="false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</row>
    <row r="938" customFormat="false" ht="12.75" hidden="false" customHeight="false" outlineLevel="0" collapsed="false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</row>
    <row r="939" customFormat="false" ht="12.75" hidden="false" customHeight="false" outlineLevel="0" collapsed="false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</row>
    <row r="940" customFormat="false" ht="12.75" hidden="false" customHeight="false" outlineLevel="0" collapsed="false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</row>
    <row r="941" customFormat="false" ht="12.75" hidden="false" customHeight="false" outlineLevel="0" collapsed="false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</row>
    <row r="942" customFormat="false" ht="12.75" hidden="false" customHeight="false" outlineLevel="0" collapsed="false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</row>
    <row r="943" customFormat="false" ht="12.75" hidden="false" customHeight="false" outlineLevel="0" collapsed="false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</row>
    <row r="944" customFormat="false" ht="12.75" hidden="false" customHeight="false" outlineLevel="0" collapsed="false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</row>
    <row r="945" customFormat="false" ht="12.75" hidden="false" customHeight="false" outlineLevel="0" collapsed="false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</row>
    <row r="946" customFormat="false" ht="12.75" hidden="false" customHeight="false" outlineLevel="0" collapsed="false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</row>
    <row r="947" customFormat="false" ht="12.75" hidden="false" customHeight="false" outlineLevel="0" collapsed="false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</row>
    <row r="948" customFormat="false" ht="12.75" hidden="false" customHeight="false" outlineLevel="0" collapsed="false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</row>
    <row r="949" customFormat="false" ht="12.75" hidden="false" customHeight="false" outlineLevel="0" collapsed="false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</row>
    <row r="950" customFormat="false" ht="12.75" hidden="false" customHeight="false" outlineLevel="0" collapsed="false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</row>
    <row r="951" customFormat="false" ht="12.75" hidden="false" customHeight="false" outlineLevel="0" collapsed="false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</row>
    <row r="952" customFormat="false" ht="12.75" hidden="false" customHeight="false" outlineLevel="0" collapsed="false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</row>
    <row r="953" customFormat="false" ht="12.75" hidden="false" customHeight="false" outlineLevel="0" collapsed="false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</row>
    <row r="954" customFormat="false" ht="12.75" hidden="false" customHeight="false" outlineLevel="0" collapsed="false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</row>
    <row r="955" customFormat="false" ht="12.75" hidden="false" customHeight="false" outlineLevel="0" collapsed="false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</row>
    <row r="956" customFormat="false" ht="12.75" hidden="false" customHeight="false" outlineLevel="0" collapsed="false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</row>
    <row r="957" customFormat="false" ht="12.75" hidden="false" customHeight="false" outlineLevel="0" collapsed="false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</row>
    <row r="958" customFormat="false" ht="12.75" hidden="false" customHeight="false" outlineLevel="0" collapsed="false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</row>
    <row r="959" customFormat="false" ht="12.75" hidden="false" customHeight="false" outlineLevel="0" collapsed="false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</row>
    <row r="960" customFormat="false" ht="12.75" hidden="false" customHeight="false" outlineLevel="0" collapsed="false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</row>
    <row r="961" customFormat="false" ht="12.75" hidden="false" customHeight="false" outlineLevel="0" collapsed="false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</row>
    <row r="962" customFormat="false" ht="12.75" hidden="false" customHeight="false" outlineLevel="0" collapsed="false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</row>
    <row r="963" customFormat="false" ht="12.75" hidden="false" customHeight="false" outlineLevel="0" collapsed="false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</row>
    <row r="964" customFormat="false" ht="12.75" hidden="false" customHeight="false" outlineLevel="0" collapsed="false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</row>
    <row r="965" customFormat="false" ht="12.75" hidden="false" customHeight="false" outlineLevel="0" collapsed="false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</row>
    <row r="966" customFormat="false" ht="12.75" hidden="false" customHeight="false" outlineLevel="0" collapsed="false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</row>
    <row r="967" customFormat="false" ht="12.75" hidden="false" customHeight="false" outlineLevel="0" collapsed="false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</row>
    <row r="968" customFormat="false" ht="12.75" hidden="false" customHeight="false" outlineLevel="0" collapsed="false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</row>
    <row r="969" customFormat="false" ht="12.75" hidden="false" customHeight="false" outlineLevel="0" collapsed="false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</row>
    <row r="970" customFormat="false" ht="12.75" hidden="false" customHeight="false" outlineLevel="0" collapsed="false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</row>
    <row r="971" customFormat="false" ht="12.75" hidden="false" customHeight="false" outlineLevel="0" collapsed="false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</row>
    <row r="972" customFormat="false" ht="12.75" hidden="false" customHeight="false" outlineLevel="0" collapsed="false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</row>
    <row r="973" customFormat="false" ht="12.75" hidden="false" customHeight="false" outlineLevel="0" collapsed="false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</row>
    <row r="974" customFormat="false" ht="12.75" hidden="false" customHeight="false" outlineLevel="0" collapsed="false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</row>
    <row r="975" customFormat="false" ht="12.75" hidden="false" customHeight="false" outlineLevel="0" collapsed="false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</row>
    <row r="976" customFormat="false" ht="12.75" hidden="false" customHeight="false" outlineLevel="0" collapsed="false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</row>
    <row r="977" customFormat="false" ht="12.75" hidden="false" customHeight="false" outlineLevel="0" collapsed="false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</row>
    <row r="978" customFormat="false" ht="12.75" hidden="false" customHeight="false" outlineLevel="0" collapsed="false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</row>
    <row r="979" customFormat="false" ht="12.75" hidden="false" customHeight="false" outlineLevel="0" collapsed="false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</row>
    <row r="980" customFormat="false" ht="12.75" hidden="false" customHeight="false" outlineLevel="0" collapsed="false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</row>
    <row r="981" customFormat="false" ht="12.75" hidden="false" customHeight="false" outlineLevel="0" collapsed="false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</row>
    <row r="982" customFormat="false" ht="12.75" hidden="false" customHeight="false" outlineLevel="0" collapsed="false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</row>
    <row r="983" customFormat="false" ht="12.75" hidden="false" customHeight="false" outlineLevel="0" collapsed="false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</row>
    <row r="984" customFormat="false" ht="12.75" hidden="false" customHeight="false" outlineLevel="0" collapsed="false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</row>
    <row r="985" customFormat="false" ht="12.75" hidden="false" customHeight="false" outlineLevel="0" collapsed="false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</row>
    <row r="986" customFormat="false" ht="12.75" hidden="false" customHeight="false" outlineLevel="0" collapsed="false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</row>
    <row r="987" customFormat="false" ht="12.75" hidden="false" customHeight="false" outlineLevel="0" collapsed="false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</row>
    <row r="988" customFormat="false" ht="12.75" hidden="false" customHeight="false" outlineLevel="0" collapsed="false">
      <c r="A988" s="2"/>
      <c r="B988" s="2"/>
      <c r="C988" s="2"/>
      <c r="D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</row>
    <row r="989" customFormat="false" ht="12.75" hidden="false" customHeight="false" outlineLevel="0" collapsed="false">
      <c r="A989" s="2"/>
      <c r="B989" s="2"/>
      <c r="C989" s="2"/>
      <c r="D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</row>
    <row r="990" customFormat="false" ht="12.75" hidden="false" customHeight="false" outlineLevel="0" collapsed="false">
      <c r="A990" s="2"/>
      <c r="B990" s="2"/>
      <c r="C990" s="2"/>
      <c r="D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</row>
    <row r="991" customFormat="false" ht="12.75" hidden="false" customHeight="false" outlineLevel="0" collapsed="false">
      <c r="A991" s="2"/>
      <c r="B991" s="2"/>
      <c r="C991" s="2"/>
      <c r="D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</row>
    <row r="992" customFormat="false" ht="12.75" hidden="false" customHeight="false" outlineLevel="0" collapsed="false">
      <c r="A992" s="2"/>
      <c r="B992" s="2"/>
      <c r="C992" s="2"/>
      <c r="D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</row>
    <row r="993" customFormat="false" ht="12.75" hidden="false" customHeight="false" outlineLevel="0" collapsed="false">
      <c r="A993" s="2"/>
      <c r="B993" s="2"/>
      <c r="C993" s="2"/>
      <c r="D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</row>
    <row r="994" customFormat="false" ht="12.75" hidden="false" customHeight="false" outlineLevel="0" collapsed="false">
      <c r="A994" s="2"/>
      <c r="B994" s="2"/>
      <c r="C994" s="2"/>
      <c r="D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</row>
    <row r="995" customFormat="false" ht="12.75" hidden="false" customHeight="false" outlineLevel="0" collapsed="false">
      <c r="A995" s="2"/>
      <c r="B995" s="2"/>
      <c r="C995" s="2"/>
      <c r="D995" s="2"/>
      <c r="O995" s="2"/>
      <c r="P995" s="2"/>
      <c r="Q995" s="2"/>
    </row>
    <row r="996" customFormat="false" ht="12.75" hidden="false" customHeight="false" outlineLevel="0" collapsed="false">
      <c r="O996" s="2"/>
      <c r="P996" s="2"/>
      <c r="Q996" s="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4" name="Button 3">
              <controlPr defaultSize="0" print="false" autoFill="0" autoPict="0" macro="xls.Module4.NEWDAY">
                <anchor moveWithCells="true" sizeWithCells="false">
                  <from>
                    <xdr:col>15</xdr:col>
                    <xdr:colOff>50400</xdr:colOff>
                    <xdr:row>7</xdr:row>
                    <xdr:rowOff>57240</xdr:rowOff>
                  </from>
                  <to>
                    <xdr:col>17</xdr:col>
                    <xdr:colOff>309600</xdr:colOff>
                    <xdr:row>9</xdr:row>
                    <xdr:rowOff>162000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5" name="Button 4">
              <controlPr defaultSize="0" print="false" autoFill="0" autoPict="0" macro="xls.Module5.REFRESHANDPRINTALL">
                <anchor moveWithCells="true" sizeWithCells="false">
                  <from>
                    <xdr:col>15</xdr:col>
                    <xdr:colOff>20160</xdr:colOff>
                    <xdr:row>1</xdr:row>
                    <xdr:rowOff>153000</xdr:rowOff>
                  </from>
                  <to>
                    <xdr:col>18</xdr:col>
                    <xdr:colOff>303120</xdr:colOff>
                    <xdr:row>6</xdr:row>
                    <xdr:rowOff>29160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K417"/>
  <sheetViews>
    <sheetView showFormulas="false" showGridLines="false" showRowColHeaders="true" showZeros="true" rightToLeft="false" tabSelected="false" showOutlineSymbols="true" defaultGridColor="true" view="normal" topLeftCell="L1" colorId="64" zoomScale="100" zoomScaleNormal="100" zoomScalePageLayoutView="100" workbookViewId="0">
      <pane xSplit="0" ySplit="6" topLeftCell="BM215" activePane="bottomLeft" state="frozen"/>
      <selection pane="topLeft" activeCell="L1" activeCellId="0" sqref="L1"/>
      <selection pane="bottomLeft" activeCell="U221" activeCellId="0" sqref="U217:U2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8.14"/>
    <col collapsed="false" customWidth="true" hidden="false" outlineLevel="0" max="3" min="3" style="0" width="11.99"/>
    <col collapsed="false" customWidth="true" hidden="false" outlineLevel="0" max="4" min="4" style="0" width="13.28"/>
    <col collapsed="false" customWidth="true" hidden="false" outlineLevel="0" max="5" min="5" style="0" width="17.99"/>
    <col collapsed="false" customWidth="true" hidden="false" outlineLevel="0" max="6" min="6" style="0" width="6.28"/>
    <col collapsed="false" customWidth="true" hidden="false" outlineLevel="0" max="7" min="7" style="0" width="5.99"/>
    <col collapsed="false" customWidth="true" hidden="false" outlineLevel="0" max="8" min="8" style="0" width="12.7"/>
    <col collapsed="false" customWidth="true" hidden="false" outlineLevel="0" max="9" min="9" style="0" width="13.41"/>
    <col collapsed="false" customWidth="true" hidden="false" outlineLevel="0" max="10" min="10" style="0" width="10.71"/>
    <col collapsed="false" customWidth="true" hidden="false" outlineLevel="0" max="16" min="13" style="0" width="10.41"/>
    <col collapsed="false" customWidth="true" hidden="false" outlineLevel="0" max="17" min="17" style="0" width="11.13"/>
    <col collapsed="false" customWidth="true" hidden="false" outlineLevel="0" max="18" min="18" style="0" width="8.85"/>
    <col collapsed="false" customWidth="true" hidden="false" outlineLevel="0" max="19" min="19" style="0" width="12.14"/>
    <col collapsed="false" customWidth="true" hidden="false" outlineLevel="0" max="20" min="20" style="0" width="12.99"/>
    <col collapsed="false" customWidth="true" hidden="false" outlineLevel="0" max="21" min="21" style="0" width="13.28"/>
    <col collapsed="false" customWidth="true" hidden="false" outlineLevel="0" max="22" min="22" style="0" width="15.28"/>
    <col collapsed="false" customWidth="true" hidden="false" outlineLevel="0" max="23" min="23" style="0" width="13.28"/>
    <col collapsed="false" customWidth="true" hidden="false" outlineLevel="0" max="24" min="24" style="0" width="3.85"/>
    <col collapsed="false" customWidth="true" hidden="false" outlineLevel="0" max="29" min="29" style="0" width="14.14"/>
    <col collapsed="false" customWidth="true" hidden="false" outlineLevel="0" max="30" min="30" style="0" width="10.56"/>
    <col collapsed="false" customWidth="true" hidden="false" outlineLevel="0" max="31" min="31" style="0" width="10.28"/>
    <col collapsed="false" customWidth="true" hidden="false" outlineLevel="0" max="33" min="32" style="0" width="11.99"/>
    <col collapsed="false" customWidth="true" hidden="false" outlineLevel="0" max="34" min="34" style="0" width="13.28"/>
    <col collapsed="false" customWidth="true" hidden="false" outlineLevel="0" max="35" min="35" style="0" width="13.7"/>
    <col collapsed="false" customWidth="true" hidden="false" outlineLevel="0" max="37" min="37" style="0" width="17.28"/>
    <col collapsed="false" customWidth="true" hidden="false" outlineLevel="0" max="38" min="38" style="0" width="12.14"/>
    <col collapsed="false" customWidth="true" hidden="false" outlineLevel="0" max="43" min="43" style="0" width="12.42"/>
    <col collapsed="false" customWidth="true" hidden="false" outlineLevel="0" max="44" min="44" style="0" width="16.42"/>
    <col collapsed="false" customWidth="true" hidden="false" outlineLevel="0" max="45" min="45" style="0" width="11.28"/>
    <col collapsed="false" customWidth="true" hidden="false" outlineLevel="0" max="46" min="46" style="0" width="9.7"/>
    <col collapsed="false" customWidth="true" hidden="false" outlineLevel="0" max="47" min="47" style="0" width="12.14"/>
    <col collapsed="false" customWidth="true" hidden="false" outlineLevel="0" max="48" min="48" style="0" width="14.14"/>
    <col collapsed="false" customWidth="true" hidden="false" outlineLevel="0" max="49" min="49" style="0" width="13.85"/>
    <col collapsed="false" customWidth="true" hidden="false" outlineLevel="0" max="52" min="52" style="0" width="13.56"/>
    <col collapsed="false" customWidth="true" hidden="false" outlineLevel="0" max="53" min="53" style="0" width="11.42"/>
  </cols>
  <sheetData>
    <row r="1" customFormat="false" ht="20.25" hidden="false" customHeight="false" outlineLevel="0" collapsed="false">
      <c r="A1" s="1" t="s">
        <v>474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106" t="s">
        <v>161</v>
      </c>
      <c r="AC1" s="106" t="s">
        <v>81</v>
      </c>
      <c r="AD1" s="106" t="s">
        <v>82</v>
      </c>
      <c r="AE1" s="106" t="s">
        <v>83</v>
      </c>
      <c r="AF1" s="106" t="s">
        <v>84</v>
      </c>
      <c r="AG1" s="106" t="s">
        <v>85</v>
      </c>
      <c r="AH1" s="106" t="s">
        <v>162</v>
      </c>
      <c r="AR1" s="67" t="s">
        <v>163</v>
      </c>
      <c r="AS1" s="68"/>
      <c r="AT1" s="223"/>
      <c r="AU1" s="223"/>
      <c r="AV1" s="224" t="e">
        <f aca="false">U3</f>
        <v>#NAME?</v>
      </c>
    </row>
    <row r="2" customFormat="false" ht="15" hidden="false" customHeight="fals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67" t="s">
        <v>24</v>
      </c>
      <c r="T2" s="168" t="s">
        <v>48</v>
      </c>
      <c r="U2" s="169" t="s">
        <v>8</v>
      </c>
      <c r="V2" s="169"/>
      <c r="W2" s="169" t="s">
        <v>7</v>
      </c>
      <c r="X2" s="2"/>
      <c r="Y2" s="2"/>
      <c r="Z2" s="2"/>
      <c r="AA2" s="2"/>
      <c r="AC2" s="228" t="e">
        <f aca="false">SUM(AC7:AC654)</f>
        <v>#N/A</v>
      </c>
      <c r="AD2" s="228" t="e">
        <f aca="false">SUM(AD7:AD654)</f>
        <v>#N/A</v>
      </c>
      <c r="AE2" s="228" t="e">
        <f aca="false">SUM(AE7:AE654)</f>
        <v>#N/A</v>
      </c>
      <c r="AF2" s="228" t="e">
        <f aca="false">SUM(AF7:AF654)</f>
        <v>#N/A</v>
      </c>
      <c r="AG2" s="228" t="e">
        <f aca="false">SUM(AG7:AG654)</f>
        <v>#N/A</v>
      </c>
      <c r="AH2" s="228" t="e">
        <f aca="false">SUM(AH7:AH654)</f>
        <v>#N/A</v>
      </c>
      <c r="AI2" s="229" t="e">
        <f aca="false">SUM(AI7:AI654)</f>
        <v>#N/A</v>
      </c>
      <c r="AK2" s="230" t="e">
        <f aca="false">U3-AI2</f>
        <v>#N/A</v>
      </c>
      <c r="AR2" s="74" t="s">
        <v>164</v>
      </c>
      <c r="AS2" s="75"/>
      <c r="AT2" s="231"/>
      <c r="AU2" s="231"/>
      <c r="AV2" s="233" t="e">
        <f aca="false">AI2</f>
        <v>#N/A</v>
      </c>
    </row>
    <row r="3" customFormat="false" ht="15" hidden="false" customHeight="false" outlineLevel="0" collapsed="false">
      <c r="A3" s="77" t="s">
        <v>28</v>
      </c>
      <c r="B3" s="77"/>
      <c r="C3" s="78" t="n">
        <f aca="false">Summary!P1</f>
        <v>36767</v>
      </c>
      <c r="D3" s="283" t="s">
        <v>475</v>
      </c>
      <c r="E3" s="2" t="s">
        <v>476</v>
      </c>
      <c r="F3" s="2"/>
      <c r="G3" s="2"/>
      <c r="H3" s="2" t="s">
        <v>477</v>
      </c>
      <c r="I3" s="2"/>
      <c r="J3" s="2"/>
      <c r="K3" s="2"/>
      <c r="L3" s="2"/>
      <c r="M3" s="2"/>
      <c r="N3" s="2"/>
      <c r="O3" s="2"/>
      <c r="P3" s="2"/>
      <c r="Q3" s="2"/>
      <c r="R3" s="2"/>
      <c r="S3" s="171"/>
      <c r="T3" s="234" t="e">
        <f aca="false">SUM(T217:T500)</f>
        <v>#NAME?</v>
      </c>
      <c r="U3" s="225" t="e">
        <f aca="false">SUM(U217:U500)</f>
        <v>#NAME?</v>
      </c>
      <c r="V3" s="225"/>
      <c r="W3" s="234" t="e">
        <f aca="false">SUM(W217:W500)</f>
        <v>#NAME?</v>
      </c>
      <c r="X3" s="2"/>
      <c r="Y3" s="2"/>
      <c r="Z3" s="2"/>
      <c r="AA3" s="2"/>
      <c r="AC3" s="235" t="n">
        <f aca="false">WORKDAY(C3,-1)</f>
        <v>36766</v>
      </c>
      <c r="AR3" s="86" t="s">
        <v>166</v>
      </c>
      <c r="AS3" s="87"/>
      <c r="AT3" s="236"/>
      <c r="AU3" s="236"/>
      <c r="AV3" s="237" t="e">
        <f aca="false">AV1-AV2</f>
        <v>#N/A</v>
      </c>
    </row>
    <row r="4" customFormat="false" ht="15" hidden="false" customHeight="false" outlineLevel="0" collapsed="false">
      <c r="A4" s="284" t="s">
        <v>113</v>
      </c>
      <c r="B4" s="284"/>
      <c r="C4" s="284"/>
      <c r="D4" s="284"/>
      <c r="E4" s="284"/>
      <c r="F4" s="284"/>
      <c r="G4" s="284"/>
      <c r="H4" s="284"/>
      <c r="I4" s="284"/>
      <c r="J4" s="284"/>
      <c r="K4" s="238" t="s">
        <v>114</v>
      </c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"/>
      <c r="W4" s="2"/>
      <c r="X4" s="2"/>
      <c r="Y4" s="2"/>
      <c r="Z4" s="2"/>
      <c r="AA4" s="2"/>
      <c r="AR4" s="240"/>
      <c r="AS4" s="241" t="s">
        <v>169</v>
      </c>
      <c r="AT4" s="240"/>
      <c r="AU4" s="240"/>
      <c r="AV4" s="240"/>
      <c r="BG4" s="285"/>
      <c r="BH4" s="0" t="s">
        <v>137</v>
      </c>
    </row>
    <row r="5" customFormat="false" ht="15.75" hidden="false" customHeight="true" outlineLevel="0" collapsed="false">
      <c r="A5" s="176"/>
      <c r="B5" s="176" t="s">
        <v>170</v>
      </c>
      <c r="C5" s="176"/>
      <c r="D5" s="176"/>
      <c r="E5" s="176"/>
      <c r="F5" s="176" t="s">
        <v>115</v>
      </c>
      <c r="G5" s="176" t="s">
        <v>116</v>
      </c>
      <c r="H5" s="176"/>
      <c r="I5" s="176" t="s">
        <v>38</v>
      </c>
      <c r="J5" s="177" t="s">
        <v>117</v>
      </c>
      <c r="K5" s="95" t="s">
        <v>478</v>
      </c>
      <c r="L5" s="178" t="s">
        <v>479</v>
      </c>
      <c r="M5" s="178" t="s">
        <v>42</v>
      </c>
      <c r="N5" s="178" t="s">
        <v>480</v>
      </c>
      <c r="O5" s="178" t="s">
        <v>481</v>
      </c>
      <c r="P5" s="177"/>
      <c r="Q5" s="176"/>
      <c r="R5" s="178" t="s">
        <v>119</v>
      </c>
      <c r="S5" s="178"/>
      <c r="T5" s="178" t="s">
        <v>480</v>
      </c>
      <c r="U5" s="178"/>
      <c r="V5" s="178" t="s">
        <v>481</v>
      </c>
      <c r="W5" s="178" t="s">
        <v>482</v>
      </c>
      <c r="X5" s="2"/>
      <c r="Y5" s="2"/>
      <c r="Z5" s="2"/>
      <c r="AA5" s="2"/>
      <c r="AC5" s="0" t="n">
        <v>0</v>
      </c>
      <c r="AI5" s="0" t="n">
        <v>0</v>
      </c>
      <c r="AQ5" s="102"/>
      <c r="AR5" s="104"/>
      <c r="AS5" s="104"/>
      <c r="AT5" s="104"/>
      <c r="AU5" s="104"/>
      <c r="AV5" s="104"/>
      <c r="AW5" s="242"/>
      <c r="AZ5" s="91" t="s">
        <v>35</v>
      </c>
      <c r="BA5" s="91"/>
      <c r="BG5" s="285"/>
      <c r="BH5" s="0" t="s">
        <v>483</v>
      </c>
    </row>
    <row r="6" customFormat="false" ht="18" hidden="false" customHeight="true" outlineLevel="0" collapsed="false">
      <c r="A6" s="107" t="s">
        <v>53</v>
      </c>
      <c r="B6" s="107" t="s">
        <v>174</v>
      </c>
      <c r="C6" s="107" t="s">
        <v>54</v>
      </c>
      <c r="D6" s="107" t="s">
        <v>484</v>
      </c>
      <c r="E6" s="107" t="s">
        <v>485</v>
      </c>
      <c r="F6" s="107" t="s">
        <v>123</v>
      </c>
      <c r="G6" s="107" t="s">
        <v>124</v>
      </c>
      <c r="H6" s="107" t="s">
        <v>18</v>
      </c>
      <c r="I6" s="107" t="s">
        <v>57</v>
      </c>
      <c r="J6" s="107" t="s">
        <v>58</v>
      </c>
      <c r="K6" s="107" t="s">
        <v>486</v>
      </c>
      <c r="L6" s="107" t="s">
        <v>487</v>
      </c>
      <c r="M6" s="107" t="s">
        <v>60</v>
      </c>
      <c r="N6" s="107" t="s">
        <v>63</v>
      </c>
      <c r="O6" s="107" t="s">
        <v>63</v>
      </c>
      <c r="P6" s="107" t="s">
        <v>175</v>
      </c>
      <c r="Q6" s="107" t="s">
        <v>61</v>
      </c>
      <c r="R6" s="107" t="s">
        <v>125</v>
      </c>
      <c r="S6" s="107" t="s">
        <v>66</v>
      </c>
      <c r="T6" s="107" t="s">
        <v>67</v>
      </c>
      <c r="U6" s="107" t="s">
        <v>8</v>
      </c>
      <c r="V6" s="107" t="s">
        <v>67</v>
      </c>
      <c r="W6" s="107" t="s">
        <v>127</v>
      </c>
      <c r="X6" s="2" t="s">
        <v>177</v>
      </c>
      <c r="Y6" s="2" t="s">
        <v>178</v>
      </c>
      <c r="Z6" s="2"/>
      <c r="AA6" s="2"/>
      <c r="AB6" s="0" t="s">
        <v>187</v>
      </c>
      <c r="AC6" s="244" t="s">
        <v>188</v>
      </c>
      <c r="AD6" s="244" t="s">
        <v>82</v>
      </c>
      <c r="AE6" s="244" t="s">
        <v>83</v>
      </c>
      <c r="AF6" s="244" t="s">
        <v>84</v>
      </c>
      <c r="AG6" s="244" t="s">
        <v>85</v>
      </c>
      <c r="AH6" s="244" t="s">
        <v>162</v>
      </c>
      <c r="AI6" s="244" t="s">
        <v>189</v>
      </c>
      <c r="AJ6" s="0" t="s">
        <v>190</v>
      </c>
      <c r="AQ6" s="245"/>
      <c r="AR6" s="246" t="s">
        <v>188</v>
      </c>
      <c r="AS6" s="246" t="s">
        <v>82</v>
      </c>
      <c r="AT6" s="246" t="s">
        <v>83</v>
      </c>
      <c r="AU6" s="246" t="s">
        <v>84</v>
      </c>
      <c r="AV6" s="246" t="s">
        <v>85</v>
      </c>
      <c r="AW6" s="247" t="s">
        <v>162</v>
      </c>
      <c r="AZ6" s="97" t="s">
        <v>18</v>
      </c>
      <c r="BA6" s="175"/>
      <c r="BG6" s="285" t="n">
        <v>36465</v>
      </c>
      <c r="BH6" s="0" t="n">
        <v>0.475</v>
      </c>
      <c r="BJ6" s="285" t="n">
        <v>36465</v>
      </c>
      <c r="BK6" s="0" t="n">
        <v>3</v>
      </c>
    </row>
    <row r="7" customFormat="false" ht="12" hidden="false" customHeight="true" outlineLevel="0" collapsed="false">
      <c r="A7" s="265" t="s">
        <v>198</v>
      </c>
      <c r="B7" s="269" t="s">
        <v>192</v>
      </c>
      <c r="C7" s="269" t="s">
        <v>488</v>
      </c>
      <c r="D7" s="269" t="s">
        <v>137</v>
      </c>
      <c r="E7" s="7" t="s">
        <v>483</v>
      </c>
      <c r="F7" s="269" t="s">
        <v>131</v>
      </c>
      <c r="G7" s="269" t="s">
        <v>136</v>
      </c>
      <c r="H7" s="286" t="n">
        <v>36678</v>
      </c>
      <c r="I7" s="272" t="n">
        <v>-50000</v>
      </c>
      <c r="J7" s="125" t="n">
        <v>0.46</v>
      </c>
      <c r="K7" s="124" t="n">
        <f aca="false">HLOOKUP($D$3,GDPRICES,VLOOKUP(Q7,GDmove_down,2,FALSE()),FALSE())</f>
        <v>4.615</v>
      </c>
      <c r="L7" s="124" t="n">
        <f aca="false">HLOOKUP($E$3,GDPRICES,VLOOKUP(Q7,GDmove_down,2,FALSE()),FALSE())</f>
        <v>3.515</v>
      </c>
      <c r="M7" s="126" t="n">
        <v>1</v>
      </c>
      <c r="N7" s="7" t="n">
        <v>0.515</v>
      </c>
      <c r="O7" s="7" t="n">
        <v>0.515</v>
      </c>
      <c r="P7" s="249" t="e">
        <f aca="false">HLOOKUP(E7,GDcorr,VLOOKUP(H7,GDCorMove,2,FALSE()),FALSE())</f>
        <v>#N/A</v>
      </c>
      <c r="Q7" s="92" t="n">
        <v>36678</v>
      </c>
      <c r="R7" s="7" t="n">
        <f aca="false">IF(G7="P",0,1)</f>
        <v>1</v>
      </c>
      <c r="S7" s="130" t="e">
        <f aca="false">xSPRDOPT($K7,$L7,$J7,$M7,$N7,$O7,$P7,$Q7-$C$3,$R7,0)</f>
        <v>#NAME?</v>
      </c>
      <c r="T7" s="250" t="e">
        <f aca="false">xSPRDOPT($K7,$L7,$J7,$M7,$N7,$O7,$P7,$Q7-$C$3,$R7,1)*I7</f>
        <v>#NAME?</v>
      </c>
      <c r="U7" s="43" t="n">
        <v>-6250</v>
      </c>
      <c r="V7" s="250" t="e">
        <f aca="false">xSPRDOPT($K7,$L7,$J7,$M7,$N7,$O7,$P7,$Q7-$C$3,$R7,2)*I7</f>
        <v>#NAME?</v>
      </c>
      <c r="W7" s="250" t="e">
        <f aca="false">+V7+T7</f>
        <v>#NAME?</v>
      </c>
      <c r="X7" s="2" t="str">
        <f aca="false">CONCATENATE(H7,E7)</f>
        <v>36678IF-ELPO/SJ</v>
      </c>
      <c r="Y7" s="251" t="n">
        <f aca="false">I7/10000</f>
        <v>-5</v>
      </c>
      <c r="Z7" s="2"/>
      <c r="AA7" s="2"/>
      <c r="AB7" s="182" t="n">
        <f aca="false">H7</f>
        <v>36678</v>
      </c>
      <c r="AC7" s="253" t="n">
        <v>0</v>
      </c>
      <c r="AD7" s="253" t="n">
        <v>0</v>
      </c>
      <c r="AE7" s="253" t="n">
        <v>0</v>
      </c>
      <c r="AF7" s="253" t="n">
        <v>0</v>
      </c>
      <c r="AG7" s="253" t="n">
        <v>0</v>
      </c>
      <c r="AH7" s="253" t="n">
        <v>0</v>
      </c>
      <c r="AI7" s="43" t="n">
        <v>-6250</v>
      </c>
      <c r="AJ7" s="254" t="e">
        <f aca="false">HLOOKUP(D7,PREVCURVES,VLOOKUP(H7,MOVE_DOWN2,2,FALSE()),FALSE())-HLOOKUP(E7,PREVCURVES,VLOOKUP(H7,MOVE_DOWN2,2,FALSE()),FALSE())</f>
        <v>#N/A</v>
      </c>
      <c r="AK7" s="253"/>
      <c r="AL7" s="0" t="str">
        <f aca="false">CONCATENATE(AB7,$AC$6)</f>
        <v>36678Curve Shift/Gamma</v>
      </c>
      <c r="AM7" s="0" t="str">
        <f aca="false">CONCATENATE($AB7,$AD$6)</f>
        <v>36678Rho</v>
      </c>
      <c r="AN7" s="0" t="str">
        <f aca="false">CONCATENATE($AB7,$AE$6)</f>
        <v>36678Drift</v>
      </c>
      <c r="AO7" s="0" t="str">
        <f aca="false">CONCATENATE($AB7,$AF$6)</f>
        <v>36678Vega</v>
      </c>
      <c r="AP7" s="0" t="str">
        <f aca="false">CONCATENATE($AB7,$AG$6)</f>
        <v>36678Theta</v>
      </c>
      <c r="AQ7" s="255" t="n">
        <v>36557</v>
      </c>
      <c r="AR7" s="256" t="n">
        <f aca="false">SUMIF($AL$7:$AL$654,CONCATENATE($AQ7,$AR$6),$AC$7:$AC$654)</f>
        <v>0</v>
      </c>
      <c r="AS7" s="257" t="n">
        <f aca="false">SUMIF($AM$7:$AM$659,CONCATENATE($AQ7,$AS$6),$AD$7:$AD$654)</f>
        <v>0</v>
      </c>
      <c r="AT7" s="257" t="n">
        <f aca="false">SUMIF($AN$7:$AN$659,CONCATENATE($AQ7,$AT$6),$AE$7:$AE$654)</f>
        <v>0</v>
      </c>
      <c r="AU7" s="257" t="n">
        <f aca="false">SUMIF($AO$7:$AO$659,CONCATENATE($AQ7,$AU$6),$AF$7:$AF$654)</f>
        <v>0</v>
      </c>
      <c r="AV7" s="258" t="n">
        <f aca="false">SUMIF($AP$7:$AP$659,CONCATENATE($AQ7,$AV$6),$AG$7:$AG$654)</f>
        <v>0</v>
      </c>
      <c r="AW7" s="259" t="n">
        <f aca="false">SUM(AR7:AV7)</f>
        <v>0</v>
      </c>
      <c r="AZ7" s="109"/>
      <c r="BA7" s="179" t="s">
        <v>121</v>
      </c>
      <c r="BG7" s="285" t="n">
        <v>36495</v>
      </c>
      <c r="BH7" s="0" t="n">
        <v>0.475</v>
      </c>
      <c r="BJ7" s="285" t="n">
        <v>36495</v>
      </c>
      <c r="BK7" s="0" t="n">
        <v>4</v>
      </c>
    </row>
    <row r="8" customFormat="false" ht="12" hidden="false" customHeight="true" outlineLevel="0" collapsed="false">
      <c r="A8" s="265" t="s">
        <v>198</v>
      </c>
      <c r="B8" s="269" t="s">
        <v>192</v>
      </c>
      <c r="C8" s="269" t="s">
        <v>489</v>
      </c>
      <c r="D8" s="269" t="s">
        <v>137</v>
      </c>
      <c r="E8" s="7" t="s">
        <v>483</v>
      </c>
      <c r="F8" s="269" t="s">
        <v>131</v>
      </c>
      <c r="G8" s="269" t="s">
        <v>136</v>
      </c>
      <c r="H8" s="286" t="n">
        <v>36678</v>
      </c>
      <c r="I8" s="272" t="n">
        <v>10000</v>
      </c>
      <c r="J8" s="125" t="n">
        <v>0.46</v>
      </c>
      <c r="K8" s="124" t="n">
        <f aca="false">HLOOKUP($D$3,GDPRICES,VLOOKUP(Q8,GDmove_down,2,FALSE()),FALSE())</f>
        <v>4.615</v>
      </c>
      <c r="L8" s="124" t="n">
        <f aca="false">HLOOKUP($E$3,GDPRICES,VLOOKUP(Q8,GDmove_down,2,FALSE()),FALSE())</f>
        <v>3.515</v>
      </c>
      <c r="M8" s="126" t="n">
        <v>1</v>
      </c>
      <c r="N8" s="7" t="n">
        <v>0.515</v>
      </c>
      <c r="O8" s="7" t="n">
        <v>0.515</v>
      </c>
      <c r="P8" s="249" t="e">
        <f aca="false">HLOOKUP(E8,GDcorr,VLOOKUP(H8,GDCorMove,2,FALSE()),FALSE())</f>
        <v>#N/A</v>
      </c>
      <c r="Q8" s="92" t="n">
        <v>36678</v>
      </c>
      <c r="R8" s="7" t="n">
        <f aca="false">IF(G8="P",0,1)</f>
        <v>1</v>
      </c>
      <c r="S8" s="130" t="e">
        <f aca="false">xSPRDOPT($K8,$L8,$J8,$M8,$N8,$O8,$P8,$Q8-$C$3,$R8,0)</f>
        <v>#NAME?</v>
      </c>
      <c r="T8" s="250" t="e">
        <f aca="false">xSPRDOPT($K8,$L8,$J8,$M8,$N8,$O8,$P8,$Q8-$C$3,$R8,1)*I8</f>
        <v>#NAME?</v>
      </c>
      <c r="U8" s="43" t="n">
        <v>1250</v>
      </c>
      <c r="V8" s="250" t="e">
        <f aca="false">xSPRDOPT($K8,$L8,$J8,$M8,$N8,$O8,$P8,$Q8-$C$3,$R8,2)*I8</f>
        <v>#NAME?</v>
      </c>
      <c r="W8" s="250" t="e">
        <f aca="false">+V8+T8</f>
        <v>#NAME?</v>
      </c>
      <c r="X8" s="2" t="str">
        <f aca="false">CONCATENATE(H8,E8)</f>
        <v>36678IF-ELPO/SJ</v>
      </c>
      <c r="Y8" s="251" t="n">
        <f aca="false">I8/10000</f>
        <v>1</v>
      </c>
      <c r="Z8" s="2"/>
      <c r="AA8" s="2"/>
      <c r="AB8" s="182" t="n">
        <f aca="false">H8</f>
        <v>36678</v>
      </c>
      <c r="AC8" s="253" t="n">
        <v>0</v>
      </c>
      <c r="AD8" s="253" t="n">
        <v>0</v>
      </c>
      <c r="AE8" s="253" t="n">
        <v>0</v>
      </c>
      <c r="AF8" s="253" t="n">
        <v>0</v>
      </c>
      <c r="AG8" s="253" t="n">
        <v>0</v>
      </c>
      <c r="AH8" s="253" t="n">
        <v>0</v>
      </c>
      <c r="AI8" s="43" t="n">
        <v>1250</v>
      </c>
      <c r="AJ8" s="254" t="e">
        <f aca="false">HLOOKUP(D8,PREVCURVES,VLOOKUP(H8,MOVE_DOWN2,2,FALSE()),FALSE())-HLOOKUP(E8,PREVCURVES,VLOOKUP(H8,MOVE_DOWN2,2,FALSE()),FALSE())</f>
        <v>#N/A</v>
      </c>
      <c r="AK8" s="253"/>
      <c r="AL8" s="0" t="str">
        <f aca="false">CONCATENATE(AB8,$AC$6)</f>
        <v>36678Curve Shift/Gamma</v>
      </c>
      <c r="AM8" s="0" t="str">
        <f aca="false">CONCATENATE($AB8,$AD$6)</f>
        <v>36678Rho</v>
      </c>
      <c r="AN8" s="0" t="str">
        <f aca="false">CONCATENATE($AB8,$AE$6)</f>
        <v>36678Drift</v>
      </c>
      <c r="AO8" s="0" t="str">
        <f aca="false">CONCATENATE($AB8,$AF$6)</f>
        <v>36678Vega</v>
      </c>
      <c r="AP8" s="0" t="str">
        <f aca="false">CONCATENATE($AB8,$AG$6)</f>
        <v>36678Theta</v>
      </c>
      <c r="AQ8" s="255" t="n">
        <f aca="false">EOMONTH(AQ7,0)+1</f>
        <v>36586</v>
      </c>
      <c r="AR8" s="261" t="n">
        <f aca="false">SUMIF($AL$7:$AL$654,CONCATENATE($AQ8,$AR$6),$AC$7:$AC$654)</f>
        <v>0</v>
      </c>
      <c r="AS8" s="262" t="n">
        <f aca="false">SUMIF($AM$7:$AM$659,CONCATENATE($AQ8,$AS$6),$AD$7:$AD$654)</f>
        <v>0</v>
      </c>
      <c r="AT8" s="262" t="n">
        <f aca="false">SUMIF($AN$7:$AN$659,CONCATENATE($AQ8,$AT$6),$AE$7:$AE$654)</f>
        <v>0</v>
      </c>
      <c r="AU8" s="262" t="n">
        <f aca="false">SUMIF($AO$7:$AO$659,CONCATENATE($AQ8,$AU$6),$AF$7:$AF$654)</f>
        <v>0</v>
      </c>
      <c r="AV8" s="263" t="n">
        <f aca="false">SUMIF($AP$7:$AP$659,CONCATENATE($AQ8,$AV$6),$AG$7:$AG$654)</f>
        <v>0</v>
      </c>
      <c r="AW8" s="264" t="n">
        <f aca="false">SUM(AR8:AV8)</f>
        <v>0</v>
      </c>
      <c r="AZ8" s="133" t="n">
        <v>36192</v>
      </c>
      <c r="BA8" s="135"/>
      <c r="BG8" s="285" t="n">
        <v>36526</v>
      </c>
      <c r="BH8" s="0" t="n">
        <v>0.505</v>
      </c>
      <c r="BJ8" s="285" t="n">
        <v>36526</v>
      </c>
      <c r="BK8" s="0" t="n">
        <v>5</v>
      </c>
    </row>
    <row r="9" customFormat="false" ht="12" hidden="false" customHeight="true" outlineLevel="0" collapsed="false">
      <c r="A9" s="265" t="s">
        <v>198</v>
      </c>
      <c r="B9" s="269" t="s">
        <v>192</v>
      </c>
      <c r="C9" s="269" t="s">
        <v>490</v>
      </c>
      <c r="D9" s="269" t="s">
        <v>137</v>
      </c>
      <c r="E9" s="7" t="s">
        <v>483</v>
      </c>
      <c r="F9" s="269" t="s">
        <v>131</v>
      </c>
      <c r="G9" s="269" t="s">
        <v>136</v>
      </c>
      <c r="H9" s="286" t="n">
        <v>36678</v>
      </c>
      <c r="I9" s="272" t="n">
        <v>-333333</v>
      </c>
      <c r="J9" s="125" t="n">
        <v>0.46</v>
      </c>
      <c r="K9" s="124" t="n">
        <f aca="false">HLOOKUP($D$3,GDPRICES,VLOOKUP(Q9,GDmove_down,2,FALSE()),FALSE())</f>
        <v>4.615</v>
      </c>
      <c r="L9" s="124" t="n">
        <f aca="false">HLOOKUP($E$3,GDPRICES,VLOOKUP(Q9,GDmove_down,2,FALSE()),FALSE())</f>
        <v>3.515</v>
      </c>
      <c r="M9" s="126" t="n">
        <v>1</v>
      </c>
      <c r="N9" s="7" t="n">
        <v>0.515</v>
      </c>
      <c r="O9" s="7" t="n">
        <v>0.515</v>
      </c>
      <c r="P9" s="249" t="e">
        <f aca="false">HLOOKUP(E9,GDcorr,VLOOKUP(H9,GDCorMove,2,FALSE()),FALSE())</f>
        <v>#N/A</v>
      </c>
      <c r="Q9" s="92" t="n">
        <v>36678</v>
      </c>
      <c r="R9" s="7" t="n">
        <f aca="false">IF(G9="P",0,1)</f>
        <v>1</v>
      </c>
      <c r="S9" s="130" t="e">
        <f aca="false">xSPRDOPT($K9,$L9,$J9,$M9,$N9,$O9,$P9,$Q9-$C$3,$R9,0)</f>
        <v>#NAME?</v>
      </c>
      <c r="T9" s="250" t="e">
        <f aca="false">xSPRDOPT($K9,$L9,$J9,$M9,$N9,$O9,$P9,$Q9-$C$3,$R9,1)*I9</f>
        <v>#NAME?</v>
      </c>
      <c r="U9" s="43" t="n">
        <v>-41666.63</v>
      </c>
      <c r="V9" s="250" t="e">
        <f aca="false">xSPRDOPT($K9,$L9,$J9,$M9,$N9,$O9,$P9,$Q9-$C$3,$R9,2)*I9</f>
        <v>#NAME?</v>
      </c>
      <c r="W9" s="250" t="e">
        <f aca="false">+V9+T9</f>
        <v>#NAME?</v>
      </c>
      <c r="X9" s="2" t="str">
        <f aca="false">CONCATENATE(H9,E9)</f>
        <v>36678IF-ELPO/SJ</v>
      </c>
      <c r="Y9" s="251" t="n">
        <f aca="false">I9/10000</f>
        <v>-33.3333</v>
      </c>
      <c r="Z9" s="2"/>
      <c r="AA9" s="2"/>
      <c r="AB9" s="182" t="n">
        <f aca="false">H9</f>
        <v>36678</v>
      </c>
      <c r="AC9" s="253" t="n">
        <v>0</v>
      </c>
      <c r="AD9" s="253" t="n">
        <v>0</v>
      </c>
      <c r="AE9" s="253" t="n">
        <v>0</v>
      </c>
      <c r="AF9" s="253" t="n">
        <v>0</v>
      </c>
      <c r="AG9" s="253" t="n">
        <v>0</v>
      </c>
      <c r="AH9" s="253" t="n">
        <v>0</v>
      </c>
      <c r="AI9" s="43" t="n">
        <v>-41666.63</v>
      </c>
      <c r="AJ9" s="254" t="e">
        <f aca="false">HLOOKUP(D9,PREVCURVES,VLOOKUP(H9,MOVE_DOWN2,2,FALSE()),FALSE())-HLOOKUP(E9,PREVCURVES,VLOOKUP(H9,MOVE_DOWN2,2,FALSE()),FALSE())</f>
        <v>#N/A</v>
      </c>
      <c r="AK9" s="253"/>
      <c r="AL9" s="0" t="str">
        <f aca="false">CONCATENATE(AB9,$AC$6)</f>
        <v>36678Curve Shift/Gamma</v>
      </c>
      <c r="AM9" s="0" t="str">
        <f aca="false">CONCATENATE($AB9,$AD$6)</f>
        <v>36678Rho</v>
      </c>
      <c r="AN9" s="0" t="str">
        <f aca="false">CONCATENATE($AB9,$AE$6)</f>
        <v>36678Drift</v>
      </c>
      <c r="AO9" s="0" t="str">
        <f aca="false">CONCATENATE($AB9,$AF$6)</f>
        <v>36678Vega</v>
      </c>
      <c r="AP9" s="0" t="str">
        <f aca="false">CONCATENATE($AB9,$AG$6)</f>
        <v>36678Theta</v>
      </c>
      <c r="AQ9" s="255" t="n">
        <f aca="false">EOMONTH(AQ8,0)+1</f>
        <v>36617</v>
      </c>
      <c r="AR9" s="261" t="n">
        <f aca="false">SUMIF($AL$7:$AL$654,CONCATENATE($AQ9,$AR$6),$AC$7:$AC$654)</f>
        <v>0</v>
      </c>
      <c r="AS9" s="262" t="n">
        <f aca="false">SUMIF($AM$7:$AM$659,CONCATENATE($AQ9,$AS$6),$AD$7:$AD$654)</f>
        <v>0</v>
      </c>
      <c r="AT9" s="262" t="n">
        <f aca="false">SUMIF($AN$7:$AN$659,CONCATENATE($AQ9,$AT$6),$AE$7:$AE$654)</f>
        <v>0</v>
      </c>
      <c r="AU9" s="262" t="n">
        <f aca="false">SUMIF($AO$7:$AO$659,CONCATENATE($AQ9,$AU$6),$AF$7:$AF$654)</f>
        <v>0</v>
      </c>
      <c r="AV9" s="263" t="n">
        <f aca="false">SUMIF($AP$7:$AP$659,CONCATENATE($AQ9,$AV$6),$AG$7:$AG$654)</f>
        <v>0</v>
      </c>
      <c r="AW9" s="264" t="n">
        <f aca="false">SUM(AR9:AV9)</f>
        <v>0</v>
      </c>
      <c r="AZ9" s="143" t="n">
        <f aca="false">EOMONTH(AZ8,0)+1</f>
        <v>36220</v>
      </c>
      <c r="BA9" s="135"/>
      <c r="BG9" s="285" t="n">
        <v>36557</v>
      </c>
      <c r="BH9" s="0" t="n">
        <v>0.505</v>
      </c>
      <c r="BJ9" s="285" t="n">
        <v>36557</v>
      </c>
      <c r="BK9" s="0" t="n">
        <v>6</v>
      </c>
    </row>
    <row r="10" customFormat="false" ht="12" hidden="false" customHeight="true" outlineLevel="0" collapsed="false">
      <c r="A10" s="267" t="s">
        <v>196</v>
      </c>
      <c r="B10" s="269" t="s">
        <v>192</v>
      </c>
      <c r="C10" s="269" t="s">
        <v>491</v>
      </c>
      <c r="D10" s="269" t="s">
        <v>137</v>
      </c>
      <c r="E10" s="7" t="s">
        <v>483</v>
      </c>
      <c r="F10" s="269" t="s">
        <v>131</v>
      </c>
      <c r="G10" s="269" t="s">
        <v>136</v>
      </c>
      <c r="H10" s="286" t="n">
        <v>36678</v>
      </c>
      <c r="I10" s="272" t="n">
        <v>-10000</v>
      </c>
      <c r="J10" s="125" t="n">
        <v>0.46</v>
      </c>
      <c r="K10" s="124" t="n">
        <f aca="false">HLOOKUP($D$3,GDPRICES,VLOOKUP(Q10,GDmove_down,2,FALSE()),FALSE())</f>
        <v>4.615</v>
      </c>
      <c r="L10" s="124" t="n">
        <f aca="false">HLOOKUP($E$3,GDPRICES,VLOOKUP(Q10,GDmove_down,2,FALSE()),FALSE())</f>
        <v>3.515</v>
      </c>
      <c r="M10" s="126" t="n">
        <v>1</v>
      </c>
      <c r="N10" s="7" t="n">
        <v>0.515</v>
      </c>
      <c r="O10" s="7" t="n">
        <v>0.515</v>
      </c>
      <c r="P10" s="249" t="e">
        <f aca="false">HLOOKUP(E10,GDcorr,VLOOKUP(H10,GDCorMove,2,FALSE()),FALSE())</f>
        <v>#N/A</v>
      </c>
      <c r="Q10" s="92" t="n">
        <v>36678</v>
      </c>
      <c r="R10" s="7" t="n">
        <f aca="false">IF(G10="P",0,1)</f>
        <v>1</v>
      </c>
      <c r="S10" s="130" t="e">
        <f aca="false">xSPRDOPT($K10,$L10,$J10,$M10,$N10,$O10,$P10,$Q10-$C$3,$R10,0)</f>
        <v>#NAME?</v>
      </c>
      <c r="T10" s="250" t="e">
        <f aca="false">xSPRDOPT($K10,$L10,$J10,$M10,$N10,$O10,$P10,$Q10-$C$3,$R10,1)*I10</f>
        <v>#NAME?</v>
      </c>
      <c r="U10" s="43" t="n">
        <v>-1250</v>
      </c>
      <c r="V10" s="250" t="e">
        <f aca="false">xSPRDOPT($K10,$L10,$J10,$M10,$N10,$O10,$P10,$Q10-$C$3,$R10,2)*I10</f>
        <v>#NAME?</v>
      </c>
      <c r="W10" s="250" t="e">
        <f aca="false">+V10+T10</f>
        <v>#NAME?</v>
      </c>
      <c r="X10" s="2" t="str">
        <f aca="false">CONCATENATE(H10,E10)</f>
        <v>36678IF-ELPO/SJ</v>
      </c>
      <c r="Y10" s="251" t="n">
        <f aca="false">I10/10000</f>
        <v>-1</v>
      </c>
      <c r="Z10" s="2"/>
      <c r="AA10" s="2"/>
      <c r="AB10" s="182" t="n">
        <f aca="false">H10</f>
        <v>36678</v>
      </c>
      <c r="AC10" s="253" t="n">
        <v>0</v>
      </c>
      <c r="AD10" s="253" t="n">
        <v>0</v>
      </c>
      <c r="AE10" s="253" t="n">
        <v>0</v>
      </c>
      <c r="AF10" s="253" t="n">
        <v>0</v>
      </c>
      <c r="AG10" s="253" t="n">
        <v>0</v>
      </c>
      <c r="AH10" s="253" t="n">
        <v>0</v>
      </c>
      <c r="AI10" s="43" t="n">
        <v>-1250</v>
      </c>
      <c r="AJ10" s="254" t="e">
        <f aca="false">HLOOKUP(D10,PREVCURVES,VLOOKUP(H10,MOVE_DOWN2,2,FALSE()),FALSE())-HLOOKUP(E10,PREVCURVES,VLOOKUP(H10,MOVE_DOWN2,2,FALSE()),FALSE())</f>
        <v>#N/A</v>
      </c>
      <c r="AK10" s="253"/>
      <c r="AL10" s="0" t="str">
        <f aca="false">CONCATENATE(AB10,$AC$6)</f>
        <v>36678Curve Shift/Gamma</v>
      </c>
      <c r="AM10" s="0" t="str">
        <f aca="false">CONCATENATE($AB10,$AD$6)</f>
        <v>36678Rho</v>
      </c>
      <c r="AN10" s="0" t="str">
        <f aca="false">CONCATENATE($AB10,$AE$6)</f>
        <v>36678Drift</v>
      </c>
      <c r="AO10" s="0" t="str">
        <f aca="false">CONCATENATE($AB10,$AF$6)</f>
        <v>36678Vega</v>
      </c>
      <c r="AP10" s="0" t="str">
        <f aca="false">CONCATENATE($AB10,$AG$6)</f>
        <v>36678Theta</v>
      </c>
      <c r="AQ10" s="255" t="n">
        <f aca="false">EOMONTH(AQ9,0)+1</f>
        <v>36647</v>
      </c>
      <c r="AR10" s="261" t="n">
        <f aca="false">SUMIF($AL$7:$AL$654,CONCATENATE($AQ10,$AR$6),$AC$7:$AC$654)</f>
        <v>0</v>
      </c>
      <c r="AS10" s="262" t="n">
        <f aca="false">SUMIF($AM$7:$AM$659,CONCATENATE($AQ10,$AS$6),$AD$7:$AD$654)</f>
        <v>0</v>
      </c>
      <c r="AT10" s="262" t="n">
        <f aca="false">SUMIF($AN$7:$AN$659,CONCATENATE($AQ10,$AT$6),$AE$7:$AE$654)</f>
        <v>0</v>
      </c>
      <c r="AU10" s="262" t="n">
        <f aca="false">SUMIF($AO$7:$AO$659,CONCATENATE($AQ10,$AU$6),$AF$7:$AF$654)</f>
        <v>0</v>
      </c>
      <c r="AV10" s="263" t="n">
        <f aca="false">SUMIF($AP$7:$AP$659,CONCATENATE($AQ10,$AV$6),$AG$7:$AG$654)</f>
        <v>0</v>
      </c>
      <c r="AW10" s="264" t="n">
        <f aca="false">SUM(AR10:AV10)</f>
        <v>0</v>
      </c>
      <c r="AZ10" s="143" t="n">
        <f aca="false">EOMONTH(AZ9,0)+1</f>
        <v>36251</v>
      </c>
      <c r="BA10" s="135"/>
      <c r="BG10" s="285" t="n">
        <v>36586</v>
      </c>
      <c r="BH10" s="0" t="n">
        <v>0.985</v>
      </c>
      <c r="BJ10" s="285" t="n">
        <v>36586</v>
      </c>
      <c r="BK10" s="0" t="n">
        <v>7</v>
      </c>
    </row>
    <row r="11" customFormat="false" ht="12" hidden="false" customHeight="true" outlineLevel="0" collapsed="false">
      <c r="A11" s="267" t="s">
        <v>198</v>
      </c>
      <c r="B11" s="269" t="s">
        <v>192</v>
      </c>
      <c r="C11" s="269" t="s">
        <v>492</v>
      </c>
      <c r="D11" s="269" t="s">
        <v>137</v>
      </c>
      <c r="E11" s="7" t="s">
        <v>483</v>
      </c>
      <c r="F11" s="269" t="s">
        <v>131</v>
      </c>
      <c r="G11" s="269" t="s">
        <v>136</v>
      </c>
      <c r="H11" s="286" t="n">
        <v>36678</v>
      </c>
      <c r="I11" s="272" t="n">
        <v>50000</v>
      </c>
      <c r="J11" s="125" t="n">
        <v>0.46</v>
      </c>
      <c r="K11" s="124" t="n">
        <f aca="false">HLOOKUP($D$3,GDPRICES,VLOOKUP(Q11,GDmove_down,2,FALSE()),FALSE())</f>
        <v>4.615</v>
      </c>
      <c r="L11" s="124" t="n">
        <f aca="false">HLOOKUP($E$3,GDPRICES,VLOOKUP(Q11,GDmove_down,2,FALSE()),FALSE())</f>
        <v>3.515</v>
      </c>
      <c r="M11" s="126" t="n">
        <v>1</v>
      </c>
      <c r="N11" s="7" t="n">
        <v>0.515</v>
      </c>
      <c r="O11" s="7" t="n">
        <v>0.515</v>
      </c>
      <c r="P11" s="249" t="e">
        <f aca="false">HLOOKUP(E11,GDcorr,VLOOKUP(H11,GDCorMove,2,FALSE()),FALSE())</f>
        <v>#N/A</v>
      </c>
      <c r="Q11" s="92" t="n">
        <v>36678</v>
      </c>
      <c r="R11" s="7" t="n">
        <f aca="false">IF(G11="P",0,1)</f>
        <v>1</v>
      </c>
      <c r="S11" s="130" t="e">
        <f aca="false">xSPRDOPT($K11,$L11,$J11,$M11,$N11,$O11,$P11,$Q11-$C$3,$R11,0)</f>
        <v>#NAME?</v>
      </c>
      <c r="T11" s="250" t="e">
        <f aca="false">xSPRDOPT($K11,$L11,$J11,$M11,$N11,$O11,$P11,$Q11-$C$3,$R11,1)*I11</f>
        <v>#NAME?</v>
      </c>
      <c r="U11" s="43" t="n">
        <v>6250</v>
      </c>
      <c r="V11" s="250" t="e">
        <f aca="false">xSPRDOPT($K11,$L11,$J11,$M11,$N11,$O11,$P11,$Q11-$C$3,$R11,2)*I11</f>
        <v>#NAME?</v>
      </c>
      <c r="W11" s="250" t="e">
        <f aca="false">+V11+T11</f>
        <v>#NAME?</v>
      </c>
      <c r="X11" s="2" t="str">
        <f aca="false">CONCATENATE(H11,E11)</f>
        <v>36678IF-ELPO/SJ</v>
      </c>
      <c r="Y11" s="251" t="n">
        <f aca="false">I11/10000</f>
        <v>5</v>
      </c>
      <c r="Z11" s="2"/>
      <c r="AA11" s="2"/>
      <c r="AB11" s="182" t="n">
        <f aca="false">H11</f>
        <v>36678</v>
      </c>
      <c r="AC11" s="253" t="n">
        <v>0</v>
      </c>
      <c r="AD11" s="253" t="n">
        <v>0</v>
      </c>
      <c r="AE11" s="253" t="n">
        <v>0</v>
      </c>
      <c r="AF11" s="253" t="n">
        <v>0</v>
      </c>
      <c r="AG11" s="253" t="n">
        <v>0</v>
      </c>
      <c r="AH11" s="253" t="n">
        <v>0</v>
      </c>
      <c r="AI11" s="43" t="n">
        <v>6250</v>
      </c>
      <c r="AJ11" s="254" t="e">
        <f aca="false">HLOOKUP(D11,PREVCURVES,VLOOKUP(H11,MOVE_DOWN2,2,FALSE()),FALSE())-HLOOKUP(E11,PREVCURVES,VLOOKUP(H11,MOVE_DOWN2,2,FALSE()),FALSE())</f>
        <v>#N/A</v>
      </c>
      <c r="AK11" s="253"/>
      <c r="AL11" s="0" t="str">
        <f aca="false">CONCATENATE(AB11,$AC$6)</f>
        <v>36678Curve Shift/Gamma</v>
      </c>
      <c r="AM11" s="0" t="str">
        <f aca="false">CONCATENATE($AB11,$AD$6)</f>
        <v>36678Rho</v>
      </c>
      <c r="AN11" s="0" t="str">
        <f aca="false">CONCATENATE($AB11,$AE$6)</f>
        <v>36678Drift</v>
      </c>
      <c r="AO11" s="0" t="str">
        <f aca="false">CONCATENATE($AB11,$AF$6)</f>
        <v>36678Vega</v>
      </c>
      <c r="AP11" s="0" t="str">
        <f aca="false">CONCATENATE($AB11,$AG$6)</f>
        <v>36678Theta</v>
      </c>
      <c r="AQ11" s="255" t="n">
        <f aca="false">EOMONTH(AQ10,0)+1</f>
        <v>36678</v>
      </c>
      <c r="AR11" s="261" t="e">
        <f aca="false">SUMIF($AL$7:$AL$654,CONCATENATE($AQ11,$AR$6),$AC$7:$AC$654)</f>
        <v>#N/A</v>
      </c>
      <c r="AS11" s="262" t="e">
        <f aca="false">SUMIF($AM$7:$AM$659,CONCATENATE($AQ11,$AS$6),$AD$7:$AD$654)</f>
        <v>#N/A</v>
      </c>
      <c r="AT11" s="262" t="e">
        <f aca="false">SUMIF($AN$7:$AN$659,CONCATENATE($AQ11,$AT$6),$AE$7:$AE$654)</f>
        <v>#N/A</v>
      </c>
      <c r="AU11" s="262" t="e">
        <f aca="false">SUMIF($AO$7:$AO$659,CONCATENATE($AQ11,$AU$6),$AF$7:$AF$654)</f>
        <v>#N/A</v>
      </c>
      <c r="AV11" s="263" t="e">
        <f aca="false">SUMIF($AP$7:$AP$659,CONCATENATE($AQ11,$AV$6),$AG$7:$AG$654)</f>
        <v>#N/A</v>
      </c>
      <c r="AW11" s="264" t="e">
        <f aca="false">SUM(AR11:AV11)</f>
        <v>#N/A</v>
      </c>
      <c r="AZ11" s="143" t="n">
        <f aca="false">EOMONTH(AZ10,0)+1</f>
        <v>36281</v>
      </c>
      <c r="BA11" s="135"/>
      <c r="BG11" s="285" t="n">
        <v>36617</v>
      </c>
      <c r="BH11" s="0" t="n">
        <v>0.985</v>
      </c>
      <c r="BJ11" s="285" t="n">
        <v>36617</v>
      </c>
      <c r="BK11" s="0" t="n">
        <v>8</v>
      </c>
    </row>
    <row r="12" customFormat="false" ht="12" hidden="false" customHeight="true" outlineLevel="0" collapsed="false">
      <c r="A12" s="267" t="s">
        <v>198</v>
      </c>
      <c r="B12" s="269" t="s">
        <v>192</v>
      </c>
      <c r="C12" s="269" t="s">
        <v>493</v>
      </c>
      <c r="D12" s="269" t="s">
        <v>137</v>
      </c>
      <c r="E12" s="7" t="s">
        <v>483</v>
      </c>
      <c r="F12" s="269" t="s">
        <v>131</v>
      </c>
      <c r="G12" s="269" t="s">
        <v>136</v>
      </c>
      <c r="H12" s="286" t="n">
        <v>36678</v>
      </c>
      <c r="I12" s="272" t="n">
        <v>50000</v>
      </c>
      <c r="J12" s="125" t="n">
        <v>0.46</v>
      </c>
      <c r="K12" s="124" t="n">
        <f aca="false">HLOOKUP($D$3,GDPRICES,VLOOKUP(Q12,GDmove_down,2,FALSE()),FALSE())</f>
        <v>4.615</v>
      </c>
      <c r="L12" s="124" t="n">
        <f aca="false">HLOOKUP($E$3,GDPRICES,VLOOKUP(Q12,GDmove_down,2,FALSE()),FALSE())</f>
        <v>3.515</v>
      </c>
      <c r="M12" s="126" t="n">
        <v>1</v>
      </c>
      <c r="N12" s="7" t="n">
        <v>0.515</v>
      </c>
      <c r="O12" s="7" t="n">
        <v>0.515</v>
      </c>
      <c r="P12" s="249" t="e">
        <f aca="false">HLOOKUP(E12,GDcorr,VLOOKUP(H12,GDCorMove,2,FALSE()),FALSE())</f>
        <v>#N/A</v>
      </c>
      <c r="Q12" s="92" t="n">
        <v>36678</v>
      </c>
      <c r="R12" s="7" t="n">
        <f aca="false">IF(G12="P",0,1)</f>
        <v>1</v>
      </c>
      <c r="S12" s="130" t="e">
        <f aca="false">xSPRDOPT($K12,$L12,$J12,$M12,$N12,$O12,$P12,$Q12-$C$3,$R12,0)</f>
        <v>#NAME?</v>
      </c>
      <c r="T12" s="250" t="e">
        <f aca="false">xSPRDOPT($K12,$L12,$J12,$M12,$N12,$O12,$P12,$Q12-$C$3,$R12,1)*I12</f>
        <v>#NAME?</v>
      </c>
      <c r="U12" s="43" t="n">
        <v>6250</v>
      </c>
      <c r="V12" s="250" t="e">
        <f aca="false">xSPRDOPT($K12,$L12,$J12,$M12,$N12,$O12,$P12,$Q12-$C$3,$R12,2)*I12</f>
        <v>#NAME?</v>
      </c>
      <c r="W12" s="250" t="e">
        <f aca="false">+V12+T12</f>
        <v>#NAME?</v>
      </c>
      <c r="X12" s="2" t="str">
        <f aca="false">CONCATENATE(H12,E12)</f>
        <v>36678IF-ELPO/SJ</v>
      </c>
      <c r="Y12" s="251" t="n">
        <f aca="false">I12/10000</f>
        <v>5</v>
      </c>
      <c r="Z12" s="2"/>
      <c r="AA12" s="2"/>
      <c r="AB12" s="182" t="n">
        <f aca="false">H12</f>
        <v>36678</v>
      </c>
      <c r="AC12" s="253" t="n">
        <v>0</v>
      </c>
      <c r="AD12" s="253" t="n">
        <v>0</v>
      </c>
      <c r="AE12" s="253" t="n">
        <v>0</v>
      </c>
      <c r="AF12" s="253" t="n">
        <v>0</v>
      </c>
      <c r="AG12" s="253" t="n">
        <v>0</v>
      </c>
      <c r="AH12" s="253" t="n">
        <v>0</v>
      </c>
      <c r="AI12" s="43" t="n">
        <v>6250</v>
      </c>
      <c r="AJ12" s="254" t="e">
        <f aca="false">HLOOKUP(D12,PREVCURVES,VLOOKUP(H12,MOVE_DOWN2,2,FALSE()),FALSE())-HLOOKUP(E12,PREVCURVES,VLOOKUP(H12,MOVE_DOWN2,2,FALSE()),FALSE())</f>
        <v>#N/A</v>
      </c>
      <c r="AK12" s="253"/>
      <c r="AL12" s="0" t="str">
        <f aca="false">CONCATENATE(AB12,$AC$6)</f>
        <v>36678Curve Shift/Gamma</v>
      </c>
      <c r="AM12" s="0" t="str">
        <f aca="false">CONCATENATE($AB12,$AD$6)</f>
        <v>36678Rho</v>
      </c>
      <c r="AN12" s="0" t="str">
        <f aca="false">CONCATENATE($AB12,$AE$6)</f>
        <v>36678Drift</v>
      </c>
      <c r="AO12" s="0" t="str">
        <f aca="false">CONCATENATE($AB12,$AF$6)</f>
        <v>36678Vega</v>
      </c>
      <c r="AP12" s="0" t="str">
        <f aca="false">CONCATENATE($AB12,$AG$6)</f>
        <v>36678Theta</v>
      </c>
      <c r="AQ12" s="255" t="n">
        <f aca="false">EOMONTH(AQ11,0)+1</f>
        <v>36708</v>
      </c>
      <c r="AR12" s="261" t="n">
        <f aca="false">SUMIF($AL$7:$AL$654,CONCATENATE($AQ12,$AR$6),$AC$7:$AC$654)</f>
        <v>0</v>
      </c>
      <c r="AS12" s="262" t="n">
        <f aca="false">SUMIF($AM$7:$AM$659,CONCATENATE($AQ12,$AS$6),$AD$7:$AD$654)</f>
        <v>0</v>
      </c>
      <c r="AT12" s="262" t="n">
        <f aca="false">SUMIF($AN$7:$AN$659,CONCATENATE($AQ12,$AT$6),$AE$7:$AE$654)</f>
        <v>0</v>
      </c>
      <c r="AU12" s="262" t="n">
        <f aca="false">SUMIF($AO$7:$AO$659,CONCATENATE($AQ12,$AU$6),$AF$7:$AF$654)</f>
        <v>0</v>
      </c>
      <c r="AV12" s="263" t="n">
        <f aca="false">SUMIF($AP$7:$AP$659,CONCATENATE($AQ12,$AV$6),$AG$7:$AG$654)</f>
        <v>0</v>
      </c>
      <c r="AW12" s="264" t="n">
        <f aca="false">SUM(AR12:AV12)</f>
        <v>0</v>
      </c>
      <c r="AZ12" s="143" t="n">
        <f aca="false">EOMONTH(AZ11,0)+1</f>
        <v>36312</v>
      </c>
      <c r="BA12" s="135"/>
      <c r="BG12" s="285" t="n">
        <v>36647</v>
      </c>
      <c r="BH12" s="0" t="n">
        <v>0.985</v>
      </c>
      <c r="BJ12" s="285" t="n">
        <v>36647</v>
      </c>
      <c r="BK12" s="0" t="n">
        <v>9</v>
      </c>
    </row>
    <row r="13" customFormat="false" ht="12" hidden="false" customHeight="true" outlineLevel="0" collapsed="false">
      <c r="A13" s="267" t="s">
        <v>198</v>
      </c>
      <c r="B13" s="269" t="s">
        <v>192</v>
      </c>
      <c r="C13" s="269" t="s">
        <v>494</v>
      </c>
      <c r="D13" s="269" t="s">
        <v>137</v>
      </c>
      <c r="E13" s="7" t="s">
        <v>483</v>
      </c>
      <c r="F13" s="269" t="s">
        <v>131</v>
      </c>
      <c r="G13" s="269" t="s">
        <v>136</v>
      </c>
      <c r="H13" s="286" t="n">
        <v>36678</v>
      </c>
      <c r="I13" s="272" t="n">
        <v>-10000</v>
      </c>
      <c r="J13" s="125" t="n">
        <v>0.46</v>
      </c>
      <c r="K13" s="124" t="n">
        <f aca="false">HLOOKUP($D$3,GDPRICES,VLOOKUP(Q13,GDmove_down,2,FALSE()),FALSE())</f>
        <v>4.615</v>
      </c>
      <c r="L13" s="124" t="n">
        <f aca="false">HLOOKUP($E$3,GDPRICES,VLOOKUP(Q13,GDmove_down,2,FALSE()),FALSE())</f>
        <v>3.515</v>
      </c>
      <c r="M13" s="126" t="n">
        <v>1</v>
      </c>
      <c r="N13" s="7" t="n">
        <v>0.515</v>
      </c>
      <c r="O13" s="7" t="n">
        <v>0.515</v>
      </c>
      <c r="P13" s="249" t="e">
        <f aca="false">HLOOKUP(E13,GDcorr,VLOOKUP(H13,GDCorMove,2,FALSE()),FALSE())</f>
        <v>#N/A</v>
      </c>
      <c r="Q13" s="92" t="n">
        <v>36678</v>
      </c>
      <c r="R13" s="7" t="n">
        <f aca="false">IF(G13="P",0,1)</f>
        <v>1</v>
      </c>
      <c r="S13" s="130" t="e">
        <f aca="false">xSPRDOPT($K13,$L13,$J13,$M13,$N13,$O13,$P13,$Q13-$C$3,$R13,0)</f>
        <v>#NAME?</v>
      </c>
      <c r="T13" s="250" t="e">
        <f aca="false">xSPRDOPT($K13,$L13,$J13,$M13,$N13,$O13,$P13,$Q13-$C$3,$R13,1)*I13</f>
        <v>#NAME?</v>
      </c>
      <c r="U13" s="43" t="n">
        <v>-1250</v>
      </c>
      <c r="V13" s="250" t="e">
        <f aca="false">xSPRDOPT($K13,$L13,$J13,$M13,$N13,$O13,$P13,$Q13-$C$3,$R13,2)*I13</f>
        <v>#NAME?</v>
      </c>
      <c r="W13" s="250" t="e">
        <f aca="false">+V13+T13</f>
        <v>#NAME?</v>
      </c>
      <c r="X13" s="2" t="str">
        <f aca="false">CONCATENATE(H13,E13)</f>
        <v>36678IF-ELPO/SJ</v>
      </c>
      <c r="Y13" s="251" t="n">
        <f aca="false">I13/10000</f>
        <v>-1</v>
      </c>
      <c r="Z13" s="2"/>
      <c r="AA13" s="2"/>
      <c r="AB13" s="182" t="n">
        <f aca="false">H13</f>
        <v>36678</v>
      </c>
      <c r="AC13" s="253" t="n">
        <v>0</v>
      </c>
      <c r="AD13" s="253" t="n">
        <v>0</v>
      </c>
      <c r="AE13" s="253" t="n">
        <v>0</v>
      </c>
      <c r="AF13" s="253" t="n">
        <v>0</v>
      </c>
      <c r="AG13" s="253" t="n">
        <v>0</v>
      </c>
      <c r="AH13" s="253" t="n">
        <v>0</v>
      </c>
      <c r="AI13" s="43" t="n">
        <v>-1250</v>
      </c>
      <c r="AJ13" s="254" t="e">
        <f aca="false">HLOOKUP(D13,PREVCURVES,VLOOKUP(H13,MOVE_DOWN2,2,FALSE()),FALSE())-HLOOKUP(E13,PREVCURVES,VLOOKUP(H13,MOVE_DOWN2,2,FALSE()),FALSE())</f>
        <v>#N/A</v>
      </c>
      <c r="AK13" s="253"/>
      <c r="AL13" s="0" t="str">
        <f aca="false">CONCATENATE(AB13,$AC$6)</f>
        <v>36678Curve Shift/Gamma</v>
      </c>
      <c r="AM13" s="0" t="str">
        <f aca="false">CONCATENATE($AB13,$AD$6)</f>
        <v>36678Rho</v>
      </c>
      <c r="AN13" s="0" t="str">
        <f aca="false">CONCATENATE($AB13,$AE$6)</f>
        <v>36678Drift</v>
      </c>
      <c r="AO13" s="0" t="str">
        <f aca="false">CONCATENATE($AB13,$AF$6)</f>
        <v>36678Vega</v>
      </c>
      <c r="AP13" s="0" t="str">
        <f aca="false">CONCATENATE($AB13,$AG$6)</f>
        <v>36678Theta</v>
      </c>
      <c r="AQ13" s="255" t="n">
        <f aca="false">EOMONTH(AQ12,0)+1</f>
        <v>36739</v>
      </c>
      <c r="AR13" s="261" t="n">
        <f aca="false">SUMIF($AL$7:$AL$654,CONCATENATE($AQ13,$AR$6),$AC$7:$AC$654)</f>
        <v>0</v>
      </c>
      <c r="AS13" s="262" t="n">
        <f aca="false">SUMIF($AM$7:$AM$659,CONCATENATE($AQ13,$AS$6),$AD$7:$AD$654)</f>
        <v>0</v>
      </c>
      <c r="AT13" s="262" t="n">
        <f aca="false">SUMIF($AN$7:$AN$659,CONCATENATE($AQ13,$AT$6),$AE$7:$AE$654)</f>
        <v>0</v>
      </c>
      <c r="AU13" s="262" t="n">
        <f aca="false">SUMIF($AO$7:$AO$659,CONCATENATE($AQ13,$AU$6),$AF$7:$AF$654)</f>
        <v>0</v>
      </c>
      <c r="AV13" s="263" t="n">
        <f aca="false">SUMIF($AP$7:$AP$659,CONCATENATE($AQ13,$AV$6),$AG$7:$AG$654)</f>
        <v>0</v>
      </c>
      <c r="AW13" s="264" t="n">
        <f aca="false">SUM(AR13:AV13)</f>
        <v>0</v>
      </c>
      <c r="AZ13" s="143" t="n">
        <f aca="false">EOMONTH(AZ12,0)+1</f>
        <v>36342</v>
      </c>
      <c r="BA13" s="135"/>
      <c r="BG13" s="285" t="n">
        <v>36678</v>
      </c>
      <c r="BH13" s="0" t="n">
        <v>0.99</v>
      </c>
      <c r="BJ13" s="285" t="n">
        <v>36678</v>
      </c>
      <c r="BK13" s="0" t="n">
        <v>10</v>
      </c>
    </row>
    <row r="14" customFormat="false" ht="12" hidden="false" customHeight="true" outlineLevel="0" collapsed="false">
      <c r="A14" s="265" t="s">
        <v>198</v>
      </c>
      <c r="B14" s="269" t="s">
        <v>192</v>
      </c>
      <c r="C14" s="269" t="s">
        <v>488</v>
      </c>
      <c r="D14" s="269" t="s">
        <v>137</v>
      </c>
      <c r="E14" s="7" t="s">
        <v>483</v>
      </c>
      <c r="F14" s="269" t="s">
        <v>131</v>
      </c>
      <c r="G14" s="269" t="s">
        <v>136</v>
      </c>
      <c r="H14" s="286" t="n">
        <v>36678</v>
      </c>
      <c r="I14" s="272" t="n">
        <v>-50000</v>
      </c>
      <c r="J14" s="125" t="n">
        <v>0.46</v>
      </c>
      <c r="K14" s="124" t="n">
        <f aca="false">HLOOKUP($D$3,GDPRICES,VLOOKUP(Q14,GDmove_down,2,FALSE()),FALSE())</f>
        <v>4.535</v>
      </c>
      <c r="L14" s="124" t="n">
        <f aca="false">HLOOKUP($E$3,GDPRICES,VLOOKUP(Q14,GDmove_down,2,FALSE()),FALSE())</f>
        <v>3.495</v>
      </c>
      <c r="M14" s="126" t="n">
        <v>1</v>
      </c>
      <c r="N14" s="7" t="n">
        <v>0.515</v>
      </c>
      <c r="O14" s="7" t="n">
        <v>0.515</v>
      </c>
      <c r="P14" s="249" t="e">
        <f aca="false">HLOOKUP(E14,GDcorr,VLOOKUP(H14,GDCorMove,2,FALSE()),FALSE())</f>
        <v>#N/A</v>
      </c>
      <c r="Q14" s="92" t="n">
        <v>36679</v>
      </c>
      <c r="R14" s="7" t="n">
        <f aca="false">IF(G14="P",0,1)</f>
        <v>1</v>
      </c>
      <c r="S14" s="130" t="e">
        <f aca="false">xSPRDOPT($K14,$L14,$J14,$M14,$N14,$O14,$P14,$Q14-$C$3,$R14,0)</f>
        <v>#NAME?</v>
      </c>
      <c r="T14" s="250" t="e">
        <f aca="false">xSPRDOPT($K14,$L14,$J14,$M14,$N14,$O14,$P14,$Q14-$C$3,$R14,1)*I14</f>
        <v>#NAME?</v>
      </c>
      <c r="U14" s="43" t="n">
        <v>-4750</v>
      </c>
      <c r="V14" s="250" t="e">
        <f aca="false">xSPRDOPT($K14,$L14,$J14,$M14,$N14,$O14,$P14,$Q14-$C$3,$R14,2)*I14</f>
        <v>#NAME?</v>
      </c>
      <c r="W14" s="250" t="e">
        <f aca="false">+V14+T14</f>
        <v>#NAME?</v>
      </c>
      <c r="X14" s="2" t="str">
        <f aca="false">CONCATENATE(H14,E14)</f>
        <v>36678IF-ELPO/SJ</v>
      </c>
      <c r="Y14" s="251" t="n">
        <f aca="false">I14/10000</f>
        <v>-5</v>
      </c>
      <c r="AA14" s="2"/>
      <c r="AB14" s="182" t="n">
        <f aca="false">H14</f>
        <v>36678</v>
      </c>
      <c r="AC14" s="253" t="n">
        <v>0</v>
      </c>
      <c r="AD14" s="253" t="n">
        <v>0</v>
      </c>
      <c r="AE14" s="253" t="n">
        <v>0</v>
      </c>
      <c r="AF14" s="253" t="n">
        <v>0</v>
      </c>
      <c r="AG14" s="253" t="n">
        <v>0</v>
      </c>
      <c r="AH14" s="253" t="n">
        <v>0</v>
      </c>
      <c r="AI14" s="43" t="n">
        <v>-4750</v>
      </c>
      <c r="AJ14" s="254" t="e">
        <f aca="false">HLOOKUP(D14,PREVCURVES,VLOOKUP(H14,MOVE_DOWN2,2,FALSE()),FALSE())-HLOOKUP(E14,PREVCURVES,VLOOKUP(H14,MOVE_DOWN2,2,FALSE()),FALSE())</f>
        <v>#N/A</v>
      </c>
      <c r="AK14" s="253"/>
      <c r="AL14" s="0" t="str">
        <f aca="false">CONCATENATE(AB14,$AC$6)</f>
        <v>36678Curve Shift/Gamma</v>
      </c>
      <c r="AM14" s="0" t="str">
        <f aca="false">CONCATENATE($AB14,$AD$6)</f>
        <v>36678Rho</v>
      </c>
      <c r="AN14" s="0" t="str">
        <f aca="false">CONCATENATE($AB14,$AE$6)</f>
        <v>36678Drift</v>
      </c>
      <c r="AO14" s="0" t="str">
        <f aca="false">CONCATENATE($AB14,$AF$6)</f>
        <v>36678Vega</v>
      </c>
      <c r="AP14" s="0" t="str">
        <f aca="false">CONCATENATE($AB14,$AG$6)</f>
        <v>36678Theta</v>
      </c>
      <c r="AQ14" s="255" t="n">
        <f aca="false">EOMONTH(AQ13,0)+1</f>
        <v>36770</v>
      </c>
      <c r="AR14" s="261" t="n">
        <f aca="false">SUMIF($AL$7:$AL$654,CONCATENATE($AQ14,$AR$6),$AC$7:$AC$654)</f>
        <v>0</v>
      </c>
      <c r="AS14" s="262" t="n">
        <f aca="false">SUMIF($AM$7:$AM$659,CONCATENATE($AQ14,$AS$6),$AD$7:$AD$654)</f>
        <v>0</v>
      </c>
      <c r="AT14" s="262" t="n">
        <f aca="false">SUMIF($AN$7:$AN$659,CONCATENATE($AQ14,$AT$6),$AE$7:$AE$654)</f>
        <v>0</v>
      </c>
      <c r="AU14" s="262" t="n">
        <f aca="false">SUMIF($AO$7:$AO$659,CONCATENATE($AQ14,$AU$6),$AF$7:$AF$654)</f>
        <v>0</v>
      </c>
      <c r="AV14" s="263" t="n">
        <f aca="false">SUMIF($AP$7:$AP$659,CONCATENATE($AQ14,$AV$6),$AG$7:$AG$654)</f>
        <v>0</v>
      </c>
      <c r="AW14" s="264" t="n">
        <f aca="false">SUM(AR14:AV14)</f>
        <v>0</v>
      </c>
      <c r="AZ14" s="143" t="n">
        <f aca="false">EOMONTH(AZ13,0)+1</f>
        <v>36373</v>
      </c>
      <c r="BA14" s="135"/>
      <c r="BG14" s="285" t="n">
        <v>36708</v>
      </c>
      <c r="BH14" s="0" t="n">
        <v>0.985</v>
      </c>
      <c r="BJ14" s="285" t="n">
        <v>36708</v>
      </c>
      <c r="BK14" s="0" t="n">
        <v>11</v>
      </c>
    </row>
    <row r="15" customFormat="false" ht="12" hidden="false" customHeight="true" outlineLevel="0" collapsed="false">
      <c r="A15" s="265" t="s">
        <v>198</v>
      </c>
      <c r="B15" s="269" t="s">
        <v>192</v>
      </c>
      <c r="C15" s="269" t="s">
        <v>489</v>
      </c>
      <c r="D15" s="269" t="s">
        <v>137</v>
      </c>
      <c r="E15" s="7" t="s">
        <v>483</v>
      </c>
      <c r="F15" s="269" t="s">
        <v>131</v>
      </c>
      <c r="G15" s="269" t="s">
        <v>136</v>
      </c>
      <c r="H15" s="286" t="n">
        <v>36678</v>
      </c>
      <c r="I15" s="272" t="n">
        <v>10000</v>
      </c>
      <c r="J15" s="125" t="n">
        <v>0.46</v>
      </c>
      <c r="K15" s="124" t="n">
        <f aca="false">HLOOKUP($D$3,GDPRICES,VLOOKUP(Q15,GDmove_down,2,FALSE()),FALSE())</f>
        <v>4.535</v>
      </c>
      <c r="L15" s="124" t="n">
        <f aca="false">HLOOKUP($E$3,GDPRICES,VLOOKUP(Q15,GDmove_down,2,FALSE()),FALSE())</f>
        <v>3.495</v>
      </c>
      <c r="M15" s="126" t="n">
        <v>1</v>
      </c>
      <c r="N15" s="7" t="n">
        <v>0.515</v>
      </c>
      <c r="O15" s="7" t="n">
        <v>0.515</v>
      </c>
      <c r="P15" s="249" t="e">
        <f aca="false">HLOOKUP(E15,GDcorr,VLOOKUP(H15,GDCorMove,2,FALSE()),FALSE())</f>
        <v>#N/A</v>
      </c>
      <c r="Q15" s="92" t="n">
        <v>36679</v>
      </c>
      <c r="R15" s="7" t="n">
        <f aca="false">IF(G15="P",0,1)</f>
        <v>1</v>
      </c>
      <c r="S15" s="130" t="e">
        <f aca="false">xSPRDOPT($K15,$L15,$J15,$M15,$N15,$O15,$P15,$Q15-$C$3,$R15,0)</f>
        <v>#NAME?</v>
      </c>
      <c r="T15" s="250" t="e">
        <f aca="false">xSPRDOPT($K15,$L15,$J15,$M15,$N15,$O15,$P15,$Q15-$C$3,$R15,1)*I15</f>
        <v>#NAME?</v>
      </c>
      <c r="U15" s="43" t="n">
        <v>950</v>
      </c>
      <c r="V15" s="250" t="e">
        <f aca="false">xSPRDOPT($K15,$L15,$J15,$M15,$N15,$O15,$P15,$Q15-$C$3,$R15,2)*I15</f>
        <v>#NAME?</v>
      </c>
      <c r="W15" s="250" t="e">
        <f aca="false">+V15+T15</f>
        <v>#NAME?</v>
      </c>
      <c r="X15" s="2" t="str">
        <f aca="false">CONCATENATE(H15,E15)</f>
        <v>36678IF-ELPO/SJ</v>
      </c>
      <c r="Y15" s="251" t="n">
        <f aca="false">I15/10000</f>
        <v>1</v>
      </c>
      <c r="AA15" s="2"/>
      <c r="AB15" s="182" t="n">
        <f aca="false">H15</f>
        <v>36678</v>
      </c>
      <c r="AC15" s="253" t="n">
        <v>0</v>
      </c>
      <c r="AD15" s="253" t="n">
        <v>0</v>
      </c>
      <c r="AE15" s="253" t="n">
        <v>0</v>
      </c>
      <c r="AF15" s="253" t="n">
        <v>0</v>
      </c>
      <c r="AG15" s="253" t="n">
        <v>0</v>
      </c>
      <c r="AH15" s="253" t="n">
        <v>0</v>
      </c>
      <c r="AI15" s="43" t="n">
        <v>950</v>
      </c>
      <c r="AJ15" s="254" t="e">
        <f aca="false">HLOOKUP(D15,PREVCURVES,VLOOKUP(H15,MOVE_DOWN2,2,FALSE()),FALSE())-HLOOKUP(E15,PREVCURVES,VLOOKUP(H15,MOVE_DOWN2,2,FALSE()),FALSE())</f>
        <v>#N/A</v>
      </c>
      <c r="AK15" s="253"/>
      <c r="AL15" s="0" t="str">
        <f aca="false">CONCATENATE(AB15,$AC$6)</f>
        <v>36678Curve Shift/Gamma</v>
      </c>
      <c r="AM15" s="0" t="str">
        <f aca="false">CONCATENATE($AB15,$AD$6)</f>
        <v>36678Rho</v>
      </c>
      <c r="AN15" s="0" t="str">
        <f aca="false">CONCATENATE($AB15,$AE$6)</f>
        <v>36678Drift</v>
      </c>
      <c r="AO15" s="0" t="str">
        <f aca="false">CONCATENATE($AB15,$AF$6)</f>
        <v>36678Vega</v>
      </c>
      <c r="AP15" s="0" t="str">
        <f aca="false">CONCATENATE($AB15,$AG$6)</f>
        <v>36678Theta</v>
      </c>
      <c r="AQ15" s="255" t="n">
        <f aca="false">EOMONTH(AQ14,0)+1</f>
        <v>36800</v>
      </c>
      <c r="AR15" s="261" t="n">
        <f aca="false">SUMIF($AL$7:$AL$654,CONCATENATE($AQ15,$AR$6),$AC$7:$AC$654)</f>
        <v>0</v>
      </c>
      <c r="AS15" s="262" t="n">
        <f aca="false">SUMIF($AM$7:$AM$659,CONCATENATE($AQ15,$AS$6),$AD$7:$AD$654)</f>
        <v>0</v>
      </c>
      <c r="AT15" s="262" t="n">
        <f aca="false">SUMIF($AN$7:$AN$659,CONCATENATE($AQ15,$AT$6),$AE$7:$AE$654)</f>
        <v>0</v>
      </c>
      <c r="AU15" s="262" t="n">
        <f aca="false">SUMIF($AO$7:$AO$659,CONCATENATE($AQ15,$AU$6),$AF$7:$AF$654)</f>
        <v>0</v>
      </c>
      <c r="AV15" s="263" t="n">
        <f aca="false">SUMIF($AP$7:$AP$659,CONCATENATE($AQ15,$AV$6),$AG$7:$AG$654)</f>
        <v>0</v>
      </c>
      <c r="AW15" s="264" t="n">
        <f aca="false">SUM(AR15:AV15)</f>
        <v>0</v>
      </c>
      <c r="AZ15" s="143" t="n">
        <f aca="false">EOMONTH(AZ14,0)+1</f>
        <v>36404</v>
      </c>
      <c r="BA15" s="135"/>
      <c r="BG15" s="285" t="n">
        <v>36739</v>
      </c>
      <c r="BH15" s="0" t="n">
        <v>0.985</v>
      </c>
      <c r="BJ15" s="285" t="n">
        <v>36739</v>
      </c>
      <c r="BK15" s="0" t="n">
        <v>12</v>
      </c>
    </row>
    <row r="16" customFormat="false" ht="12" hidden="false" customHeight="true" outlineLevel="0" collapsed="false">
      <c r="A16" s="265" t="s">
        <v>198</v>
      </c>
      <c r="B16" s="269" t="s">
        <v>192</v>
      </c>
      <c r="C16" s="269" t="s">
        <v>490</v>
      </c>
      <c r="D16" s="269" t="s">
        <v>137</v>
      </c>
      <c r="E16" s="7" t="s">
        <v>483</v>
      </c>
      <c r="F16" s="269" t="s">
        <v>131</v>
      </c>
      <c r="G16" s="269" t="s">
        <v>136</v>
      </c>
      <c r="H16" s="286" t="n">
        <v>36678</v>
      </c>
      <c r="I16" s="272" t="n">
        <v>-333333</v>
      </c>
      <c r="J16" s="125" t="n">
        <v>0.46</v>
      </c>
      <c r="K16" s="124" t="n">
        <f aca="false">HLOOKUP($D$3,GDPRICES,VLOOKUP(Q16,GDmove_down,2,FALSE()),FALSE())</f>
        <v>4.535</v>
      </c>
      <c r="L16" s="124" t="n">
        <f aca="false">HLOOKUP($E$3,GDPRICES,VLOOKUP(Q16,GDmove_down,2,FALSE()),FALSE())</f>
        <v>3.495</v>
      </c>
      <c r="M16" s="126" t="n">
        <v>1</v>
      </c>
      <c r="N16" s="7" t="n">
        <v>0.515</v>
      </c>
      <c r="O16" s="7" t="n">
        <v>0.515</v>
      </c>
      <c r="P16" s="249" t="e">
        <f aca="false">HLOOKUP(E16,GDcorr,VLOOKUP(H16,GDCorMove,2,FALSE()),FALSE())</f>
        <v>#N/A</v>
      </c>
      <c r="Q16" s="92" t="n">
        <v>36679</v>
      </c>
      <c r="R16" s="7" t="n">
        <f aca="false">IF(G16="P",0,1)</f>
        <v>1</v>
      </c>
      <c r="S16" s="130" t="e">
        <f aca="false">xSPRDOPT($K16,$L16,$J16,$M16,$N16,$O16,$P16,$Q16-$C$3,$R16,0)</f>
        <v>#NAME?</v>
      </c>
      <c r="T16" s="250" t="e">
        <f aca="false">xSPRDOPT($K16,$L16,$J16,$M16,$N16,$O16,$P16,$Q16-$C$3,$R16,1)*I16</f>
        <v>#NAME?</v>
      </c>
      <c r="U16" s="43" t="n">
        <v>-31666.64</v>
      </c>
      <c r="V16" s="250" t="e">
        <f aca="false">xSPRDOPT($K16,$L16,$J16,$M16,$N16,$O16,$P16,$Q16-$C$3,$R16,2)*I16</f>
        <v>#NAME?</v>
      </c>
      <c r="W16" s="250" t="e">
        <f aca="false">+V16+T16</f>
        <v>#NAME?</v>
      </c>
      <c r="X16" s="2" t="str">
        <f aca="false">CONCATENATE(H16,E16)</f>
        <v>36678IF-ELPO/SJ</v>
      </c>
      <c r="Y16" s="251" t="n">
        <f aca="false">I16/10000</f>
        <v>-33.3333</v>
      </c>
      <c r="Z16" s="2"/>
      <c r="AA16" s="2"/>
      <c r="AB16" s="182" t="n">
        <f aca="false">H16</f>
        <v>36678</v>
      </c>
      <c r="AC16" s="253" t="n">
        <v>0</v>
      </c>
      <c r="AD16" s="253" t="n">
        <v>0</v>
      </c>
      <c r="AE16" s="253" t="n">
        <v>0</v>
      </c>
      <c r="AF16" s="253" t="n">
        <v>0</v>
      </c>
      <c r="AG16" s="253" t="n">
        <v>0</v>
      </c>
      <c r="AH16" s="253" t="n">
        <v>0</v>
      </c>
      <c r="AI16" s="43" t="n">
        <v>-31666.64</v>
      </c>
      <c r="AJ16" s="254" t="e">
        <f aca="false">HLOOKUP(D16,PREVCURVES,VLOOKUP(H16,MOVE_DOWN2,2,FALSE()),FALSE())-HLOOKUP(E16,PREVCURVES,VLOOKUP(H16,MOVE_DOWN2,2,FALSE()),FALSE())</f>
        <v>#N/A</v>
      </c>
      <c r="AK16" s="253"/>
      <c r="AL16" s="0" t="str">
        <f aca="false">CONCATENATE(AB16,$AC$6)</f>
        <v>36678Curve Shift/Gamma</v>
      </c>
      <c r="AM16" s="0" t="str">
        <f aca="false">CONCATENATE($AB16,$AD$6)</f>
        <v>36678Rho</v>
      </c>
      <c r="AN16" s="0" t="str">
        <f aca="false">CONCATENATE($AB16,$AE$6)</f>
        <v>36678Drift</v>
      </c>
      <c r="AO16" s="0" t="str">
        <f aca="false">CONCATENATE($AB16,$AF$6)</f>
        <v>36678Vega</v>
      </c>
      <c r="AP16" s="0" t="str">
        <f aca="false">CONCATENATE($AB16,$AG$6)</f>
        <v>36678Theta</v>
      </c>
      <c r="AQ16" s="255" t="n">
        <f aca="false">EOMONTH(AQ15,0)+1</f>
        <v>36831</v>
      </c>
      <c r="AR16" s="261" t="n">
        <f aca="false">SUMIF($AL$7:$AL$654,CONCATENATE($AQ16,$AR$6),$AC$7:$AC$654)</f>
        <v>0</v>
      </c>
      <c r="AS16" s="262" t="n">
        <f aca="false">SUMIF($AM$7:$AM$659,CONCATENATE($AQ16,$AS$6),$AD$7:$AD$654)</f>
        <v>0</v>
      </c>
      <c r="AT16" s="262" t="n">
        <f aca="false">SUMIF($AN$7:$AN$659,CONCATENATE($AQ16,$AT$6),$AE$7:$AE$654)</f>
        <v>0</v>
      </c>
      <c r="AU16" s="262" t="n">
        <f aca="false">SUMIF($AO$7:$AO$659,CONCATENATE($AQ16,$AU$6),$AF$7:$AF$654)</f>
        <v>0</v>
      </c>
      <c r="AV16" s="263" t="n">
        <f aca="false">SUMIF($AP$7:$AP$659,CONCATENATE($AQ16,$AV$6),$AG$7:$AG$654)</f>
        <v>0</v>
      </c>
      <c r="AW16" s="264" t="n">
        <f aca="false">SUM(AR16:AV16)</f>
        <v>0</v>
      </c>
      <c r="AZ16" s="143" t="n">
        <f aca="false">EOMONTH(AZ15,0)+1</f>
        <v>36434</v>
      </c>
      <c r="BA16" s="135"/>
      <c r="BG16" s="285" t="n">
        <v>36770</v>
      </c>
      <c r="BH16" s="0" t="n">
        <v>0.985</v>
      </c>
      <c r="BJ16" s="285" t="n">
        <v>36770</v>
      </c>
      <c r="BK16" s="0" t="n">
        <v>13</v>
      </c>
    </row>
    <row r="17" customFormat="false" ht="12" hidden="false" customHeight="true" outlineLevel="0" collapsed="false">
      <c r="A17" s="267" t="s">
        <v>196</v>
      </c>
      <c r="B17" s="269" t="s">
        <v>192</v>
      </c>
      <c r="C17" s="269" t="s">
        <v>491</v>
      </c>
      <c r="D17" s="269" t="s">
        <v>137</v>
      </c>
      <c r="E17" s="7" t="s">
        <v>483</v>
      </c>
      <c r="F17" s="269" t="s">
        <v>131</v>
      </c>
      <c r="G17" s="269" t="s">
        <v>136</v>
      </c>
      <c r="H17" s="286" t="n">
        <v>36678</v>
      </c>
      <c r="I17" s="272" t="n">
        <v>-10000</v>
      </c>
      <c r="J17" s="125" t="n">
        <v>0.46</v>
      </c>
      <c r="K17" s="124" t="n">
        <f aca="false">HLOOKUP($D$3,GDPRICES,VLOOKUP(Q17,GDmove_down,2,FALSE()),FALSE())</f>
        <v>4.535</v>
      </c>
      <c r="L17" s="124" t="n">
        <f aca="false">HLOOKUP($E$3,GDPRICES,VLOOKUP(Q17,GDmove_down,2,FALSE()),FALSE())</f>
        <v>3.495</v>
      </c>
      <c r="M17" s="126" t="n">
        <v>1</v>
      </c>
      <c r="N17" s="7" t="n">
        <v>0.515</v>
      </c>
      <c r="O17" s="7" t="n">
        <v>0.515</v>
      </c>
      <c r="P17" s="249" t="e">
        <f aca="false">HLOOKUP(E17,GDcorr,VLOOKUP(H17,GDCorMove,2,FALSE()),FALSE())</f>
        <v>#N/A</v>
      </c>
      <c r="Q17" s="92" t="n">
        <v>36679</v>
      </c>
      <c r="R17" s="7" t="n">
        <f aca="false">IF(G17="P",0,1)</f>
        <v>1</v>
      </c>
      <c r="S17" s="130" t="e">
        <f aca="false">xSPRDOPT($K17,$L17,$J17,$M17,$N17,$O17,$P17,$Q17-$C$3,$R17,0)</f>
        <v>#NAME?</v>
      </c>
      <c r="T17" s="250" t="e">
        <f aca="false">xSPRDOPT($K17,$L17,$J17,$M17,$N17,$O17,$P17,$Q17-$C$3,$R17,1)*I17</f>
        <v>#NAME?</v>
      </c>
      <c r="U17" s="43" t="n">
        <v>-950</v>
      </c>
      <c r="V17" s="250" t="e">
        <f aca="false">xSPRDOPT($K17,$L17,$J17,$M17,$N17,$O17,$P17,$Q17-$C$3,$R17,2)*I17</f>
        <v>#NAME?</v>
      </c>
      <c r="W17" s="250" t="e">
        <f aca="false">+V17+T17</f>
        <v>#NAME?</v>
      </c>
      <c r="X17" s="2" t="str">
        <f aca="false">CONCATENATE(H17,E17)</f>
        <v>36678IF-ELPO/SJ</v>
      </c>
      <c r="Y17" s="251" t="n">
        <f aca="false">I17/10000</f>
        <v>-1</v>
      </c>
      <c r="Z17" s="2"/>
      <c r="AA17" s="2"/>
      <c r="AB17" s="182" t="n">
        <f aca="false">H17</f>
        <v>36678</v>
      </c>
      <c r="AC17" s="253" t="n">
        <v>0</v>
      </c>
      <c r="AD17" s="253" t="n">
        <v>0</v>
      </c>
      <c r="AE17" s="253" t="n">
        <v>0</v>
      </c>
      <c r="AF17" s="253" t="n">
        <v>0</v>
      </c>
      <c r="AG17" s="253" t="n">
        <v>0</v>
      </c>
      <c r="AH17" s="253" t="n">
        <v>0</v>
      </c>
      <c r="AI17" s="43" t="n">
        <v>-950</v>
      </c>
      <c r="AJ17" s="254" t="e">
        <f aca="false">HLOOKUP(D17,PREVCURVES,VLOOKUP(H17,MOVE_DOWN2,2,FALSE()),FALSE())-HLOOKUP(E17,PREVCURVES,VLOOKUP(H17,MOVE_DOWN2,2,FALSE()),FALSE())</f>
        <v>#N/A</v>
      </c>
      <c r="AK17" s="253"/>
      <c r="AL17" s="0" t="str">
        <f aca="false">CONCATENATE(AB17,$AC$6)</f>
        <v>36678Curve Shift/Gamma</v>
      </c>
      <c r="AM17" s="0" t="str">
        <f aca="false">CONCATENATE($AB17,$AD$6)</f>
        <v>36678Rho</v>
      </c>
      <c r="AN17" s="0" t="str">
        <f aca="false">CONCATENATE($AB17,$AE$6)</f>
        <v>36678Drift</v>
      </c>
      <c r="AO17" s="0" t="str">
        <f aca="false">CONCATENATE($AB17,$AF$6)</f>
        <v>36678Vega</v>
      </c>
      <c r="AP17" s="0" t="str">
        <f aca="false">CONCATENATE($AB17,$AG$6)</f>
        <v>36678Theta</v>
      </c>
      <c r="AQ17" s="255" t="n">
        <f aca="false">EOMONTH(AQ16,0)+1</f>
        <v>36861</v>
      </c>
      <c r="AR17" s="261" t="n">
        <f aca="false">SUMIF($AL$7:$AL$654,CONCATENATE($AQ17,$AR$6),$AC$7:$AC$654)</f>
        <v>0</v>
      </c>
      <c r="AS17" s="262" t="n">
        <f aca="false">SUMIF($AM$7:$AM$659,CONCATENATE($AQ17,$AS$6),$AD$7:$AD$654)</f>
        <v>0</v>
      </c>
      <c r="AT17" s="262" t="n">
        <f aca="false">SUMIF($AN$7:$AN$659,CONCATENATE($AQ17,$AT$6),$AE$7:$AE$654)</f>
        <v>0</v>
      </c>
      <c r="AU17" s="262" t="n">
        <f aca="false">SUMIF($AO$7:$AO$659,CONCATENATE($AQ17,$AU$6),$AF$7:$AF$654)</f>
        <v>0</v>
      </c>
      <c r="AV17" s="263" t="n">
        <f aca="false">SUMIF($AP$7:$AP$659,CONCATENATE($AQ17,$AV$6),$AG$7:$AG$654)</f>
        <v>0</v>
      </c>
      <c r="AW17" s="264" t="n">
        <f aca="false">SUM(AR17:AV17)</f>
        <v>0</v>
      </c>
      <c r="AZ17" s="143" t="n">
        <f aca="false">EOMONTH(AZ16,0)+1</f>
        <v>36465</v>
      </c>
      <c r="BA17" s="135"/>
      <c r="BG17" s="285" t="n">
        <v>36800</v>
      </c>
      <c r="BH17" s="0" t="n">
        <v>0.985</v>
      </c>
      <c r="BJ17" s="285" t="n">
        <v>36800</v>
      </c>
      <c r="BK17" s="0" t="n">
        <v>14</v>
      </c>
    </row>
    <row r="18" customFormat="false" ht="12" hidden="false" customHeight="true" outlineLevel="0" collapsed="false">
      <c r="A18" s="267" t="s">
        <v>198</v>
      </c>
      <c r="B18" s="269" t="s">
        <v>192</v>
      </c>
      <c r="C18" s="269" t="s">
        <v>492</v>
      </c>
      <c r="D18" s="269" t="s">
        <v>137</v>
      </c>
      <c r="E18" s="7" t="s">
        <v>483</v>
      </c>
      <c r="F18" s="269" t="s">
        <v>131</v>
      </c>
      <c r="G18" s="269" t="s">
        <v>136</v>
      </c>
      <c r="H18" s="286" t="n">
        <v>36678</v>
      </c>
      <c r="I18" s="272" t="n">
        <v>50000</v>
      </c>
      <c r="J18" s="125" t="n">
        <v>0.46</v>
      </c>
      <c r="K18" s="124" t="n">
        <f aca="false">HLOOKUP($D$3,GDPRICES,VLOOKUP(Q18,GDmove_down,2,FALSE()),FALSE())</f>
        <v>4.535</v>
      </c>
      <c r="L18" s="124" t="n">
        <f aca="false">HLOOKUP($E$3,GDPRICES,VLOOKUP(Q18,GDmove_down,2,FALSE()),FALSE())</f>
        <v>3.495</v>
      </c>
      <c r="M18" s="126" t="n">
        <v>1</v>
      </c>
      <c r="N18" s="7" t="n">
        <v>0.515</v>
      </c>
      <c r="O18" s="7" t="n">
        <v>0.515</v>
      </c>
      <c r="P18" s="249" t="e">
        <f aca="false">HLOOKUP(E18,GDcorr,VLOOKUP(H18,GDCorMove,2,FALSE()),FALSE())</f>
        <v>#N/A</v>
      </c>
      <c r="Q18" s="92" t="n">
        <v>36679</v>
      </c>
      <c r="R18" s="7" t="n">
        <f aca="false">IF(G18="P",0,1)</f>
        <v>1</v>
      </c>
      <c r="S18" s="130" t="e">
        <f aca="false">xSPRDOPT($K18,$L18,$J18,$M18,$N18,$O18,$P18,$Q18-$C$3,$R18,0)</f>
        <v>#NAME?</v>
      </c>
      <c r="T18" s="250" t="e">
        <f aca="false">xSPRDOPT($K18,$L18,$J18,$M18,$N18,$O18,$P18,$Q18-$C$3,$R18,1)*I18</f>
        <v>#NAME?</v>
      </c>
      <c r="U18" s="43" t="n">
        <v>4750</v>
      </c>
      <c r="V18" s="250" t="e">
        <f aca="false">xSPRDOPT($K18,$L18,$J18,$M18,$N18,$O18,$P18,$Q18-$C$3,$R18,2)*I18</f>
        <v>#NAME?</v>
      </c>
      <c r="W18" s="250" t="e">
        <f aca="false">+V18+T18</f>
        <v>#NAME?</v>
      </c>
      <c r="X18" s="2" t="str">
        <f aca="false">CONCATENATE(H18,E18)</f>
        <v>36678IF-ELPO/SJ</v>
      </c>
      <c r="Y18" s="251" t="n">
        <f aca="false">I18/10000</f>
        <v>5</v>
      </c>
      <c r="Z18" s="2"/>
      <c r="AA18" s="2"/>
      <c r="AB18" s="182" t="n">
        <f aca="false">H18</f>
        <v>36678</v>
      </c>
      <c r="AC18" s="253" t="n">
        <v>0</v>
      </c>
      <c r="AD18" s="253" t="n">
        <v>0</v>
      </c>
      <c r="AE18" s="253" t="n">
        <v>0</v>
      </c>
      <c r="AF18" s="253" t="n">
        <v>0</v>
      </c>
      <c r="AG18" s="253" t="n">
        <v>0</v>
      </c>
      <c r="AH18" s="253" t="n">
        <v>0</v>
      </c>
      <c r="AI18" s="43" t="n">
        <v>4750</v>
      </c>
      <c r="AJ18" s="254" t="e">
        <f aca="false">HLOOKUP(D18,PREVCURVES,VLOOKUP(H18,MOVE_DOWN2,2,FALSE()),FALSE())-HLOOKUP(E18,PREVCURVES,VLOOKUP(H18,MOVE_DOWN2,2,FALSE()),FALSE())</f>
        <v>#N/A</v>
      </c>
      <c r="AK18" s="253"/>
      <c r="AL18" s="0" t="str">
        <f aca="false">CONCATENATE(AB18,$AC$6)</f>
        <v>36678Curve Shift/Gamma</v>
      </c>
      <c r="AM18" s="0" t="str">
        <f aca="false">CONCATENATE($AB18,$AD$6)</f>
        <v>36678Rho</v>
      </c>
      <c r="AN18" s="0" t="str">
        <f aca="false">CONCATENATE($AB18,$AE$6)</f>
        <v>36678Drift</v>
      </c>
      <c r="AO18" s="0" t="str">
        <f aca="false">CONCATENATE($AB18,$AF$6)</f>
        <v>36678Vega</v>
      </c>
      <c r="AP18" s="0" t="str">
        <f aca="false">CONCATENATE($AB18,$AG$6)</f>
        <v>36678Theta</v>
      </c>
      <c r="AQ18" s="255" t="n">
        <f aca="false">EOMONTH(AQ17,0)+1</f>
        <v>36892</v>
      </c>
      <c r="AR18" s="261" t="n">
        <f aca="false">SUMIF($AL$7:$AL$654,CONCATENATE($AQ18,$AR$6),$AC$7:$AC$654)</f>
        <v>0</v>
      </c>
      <c r="AS18" s="262" t="n">
        <f aca="false">SUMIF($AM$7:$AM$659,CONCATENATE($AQ18,$AS$6),$AD$7:$AD$654)</f>
        <v>0</v>
      </c>
      <c r="AT18" s="262" t="n">
        <f aca="false">SUMIF($AN$7:$AN$659,CONCATENATE($AQ18,$AT$6),$AE$7:$AE$654)</f>
        <v>0</v>
      </c>
      <c r="AU18" s="262" t="n">
        <f aca="false">SUMIF($AO$7:$AO$659,CONCATENATE($AQ18,$AU$6),$AF$7:$AF$654)</f>
        <v>0</v>
      </c>
      <c r="AV18" s="263" t="n">
        <f aca="false">SUMIF($AP$7:$AP$659,CONCATENATE($AQ18,$AV$6),$AG$7:$AG$654)</f>
        <v>0</v>
      </c>
      <c r="AW18" s="264" t="n">
        <f aca="false">SUM(AR18:AV18)</f>
        <v>0</v>
      </c>
      <c r="AZ18" s="143" t="n">
        <f aca="false">EOMONTH(AZ17,0)+1</f>
        <v>36495</v>
      </c>
      <c r="BA18" s="135"/>
      <c r="BG18" s="285" t="n">
        <v>36831</v>
      </c>
      <c r="BH18" s="0" t="n">
        <v>0.96612</v>
      </c>
      <c r="BJ18" s="285" t="n">
        <v>36831</v>
      </c>
      <c r="BK18" s="0" t="n">
        <v>15</v>
      </c>
    </row>
    <row r="19" customFormat="false" ht="12" hidden="false" customHeight="true" outlineLevel="0" collapsed="false">
      <c r="A19" s="267" t="s">
        <v>198</v>
      </c>
      <c r="B19" s="269" t="s">
        <v>192</v>
      </c>
      <c r="C19" s="269" t="s">
        <v>493</v>
      </c>
      <c r="D19" s="269" t="s">
        <v>137</v>
      </c>
      <c r="E19" s="7" t="s">
        <v>483</v>
      </c>
      <c r="F19" s="269" t="s">
        <v>131</v>
      </c>
      <c r="G19" s="269" t="s">
        <v>136</v>
      </c>
      <c r="H19" s="286" t="n">
        <v>36678</v>
      </c>
      <c r="I19" s="272" t="n">
        <v>50000</v>
      </c>
      <c r="J19" s="125" t="n">
        <v>0.46</v>
      </c>
      <c r="K19" s="124" t="n">
        <f aca="false">HLOOKUP($D$3,GDPRICES,VLOOKUP(Q19,GDmove_down,2,FALSE()),FALSE())</f>
        <v>4.535</v>
      </c>
      <c r="L19" s="124" t="n">
        <f aca="false">HLOOKUP($E$3,GDPRICES,VLOOKUP(Q19,GDmove_down,2,FALSE()),FALSE())</f>
        <v>3.495</v>
      </c>
      <c r="M19" s="126" t="n">
        <v>1</v>
      </c>
      <c r="N19" s="7" t="n">
        <v>0.515</v>
      </c>
      <c r="O19" s="7" t="n">
        <v>0.515</v>
      </c>
      <c r="P19" s="249" t="e">
        <f aca="false">HLOOKUP(E19,GDcorr,VLOOKUP(H19,GDCorMove,2,FALSE()),FALSE())</f>
        <v>#N/A</v>
      </c>
      <c r="Q19" s="92" t="n">
        <v>36679</v>
      </c>
      <c r="R19" s="7" t="n">
        <f aca="false">IF(G19="P",0,1)</f>
        <v>1</v>
      </c>
      <c r="S19" s="130" t="e">
        <f aca="false">xSPRDOPT($K19,$L19,$J19,$M19,$N19,$O19,$P19,$Q19-$C$3,$R19,0)</f>
        <v>#NAME?</v>
      </c>
      <c r="T19" s="250" t="e">
        <f aca="false">xSPRDOPT($K19,$L19,$J19,$M19,$N19,$O19,$P19,$Q19-$C$3,$R19,1)*I19</f>
        <v>#NAME?</v>
      </c>
      <c r="U19" s="43" t="n">
        <v>4750</v>
      </c>
      <c r="V19" s="250" t="e">
        <f aca="false">xSPRDOPT($K19,$L19,$J19,$M19,$N19,$O19,$P19,$Q19-$C$3,$R19,2)*I19</f>
        <v>#NAME?</v>
      </c>
      <c r="W19" s="250" t="e">
        <f aca="false">+V19+T19</f>
        <v>#NAME?</v>
      </c>
      <c r="X19" s="2" t="str">
        <f aca="false">CONCATENATE(H19,E19)</f>
        <v>36678IF-ELPO/SJ</v>
      </c>
      <c r="Y19" s="251" t="n">
        <f aca="false">I19/10000</f>
        <v>5</v>
      </c>
      <c r="AA19" s="2"/>
      <c r="AB19" s="182" t="n">
        <f aca="false">H19</f>
        <v>36678</v>
      </c>
      <c r="AC19" s="253" t="n">
        <v>0</v>
      </c>
      <c r="AD19" s="253" t="n">
        <v>0</v>
      </c>
      <c r="AE19" s="253" t="n">
        <v>0</v>
      </c>
      <c r="AF19" s="253" t="n">
        <v>0</v>
      </c>
      <c r="AG19" s="253" t="n">
        <v>0</v>
      </c>
      <c r="AH19" s="253" t="n">
        <v>0</v>
      </c>
      <c r="AI19" s="43" t="n">
        <v>4750</v>
      </c>
      <c r="AJ19" s="254" t="e">
        <f aca="false">HLOOKUP(D19,PREVCURVES,VLOOKUP(H19,MOVE_DOWN2,2,FALSE()),FALSE())-HLOOKUP(E19,PREVCURVES,VLOOKUP(H19,MOVE_DOWN2,2,FALSE()),FALSE())</f>
        <v>#N/A</v>
      </c>
      <c r="AK19" s="253"/>
      <c r="AL19" s="0" t="str">
        <f aca="false">CONCATENATE(AB19,$AC$6)</f>
        <v>36678Curve Shift/Gamma</v>
      </c>
      <c r="AM19" s="0" t="str">
        <f aca="false">CONCATENATE($AB19,$AD$6)</f>
        <v>36678Rho</v>
      </c>
      <c r="AN19" s="0" t="str">
        <f aca="false">CONCATENATE($AB19,$AE$6)</f>
        <v>36678Drift</v>
      </c>
      <c r="AO19" s="0" t="str">
        <f aca="false">CONCATENATE($AB19,$AF$6)</f>
        <v>36678Vega</v>
      </c>
      <c r="AP19" s="0" t="str">
        <f aca="false">CONCATENATE($AB19,$AG$6)</f>
        <v>36678Theta</v>
      </c>
      <c r="AQ19" s="255" t="n">
        <f aca="false">EOMONTH(AQ18,0)+1</f>
        <v>36923</v>
      </c>
      <c r="AR19" s="261" t="n">
        <f aca="false">SUMIF($AL$7:$AL$654,CONCATENATE($AQ19,$AR$6),$AC$7:$AC$654)</f>
        <v>0</v>
      </c>
      <c r="AS19" s="262" t="n">
        <f aca="false">SUMIF($AM$7:$AM$659,CONCATENATE($AQ19,$AS$6),$AD$7:$AD$654)</f>
        <v>0</v>
      </c>
      <c r="AT19" s="262" t="n">
        <f aca="false">SUMIF($AN$7:$AN$659,CONCATENATE($AQ19,$AT$6),$AE$7:$AE$654)</f>
        <v>0</v>
      </c>
      <c r="AU19" s="262" t="n">
        <f aca="false">SUMIF($AO$7:$AO$659,CONCATENATE($AQ19,$AU$6),$AF$7:$AF$654)</f>
        <v>0</v>
      </c>
      <c r="AV19" s="263" t="n">
        <f aca="false">SUMIF($AP$7:$AP$659,CONCATENATE($AQ19,$AV$6),$AG$7:$AG$654)</f>
        <v>0</v>
      </c>
      <c r="AW19" s="264" t="n">
        <f aca="false">SUM(AR19:AV19)</f>
        <v>0</v>
      </c>
      <c r="AZ19" s="143" t="n">
        <f aca="false">EOMONTH(AZ18,0)+1</f>
        <v>36526</v>
      </c>
      <c r="BA19" s="135"/>
      <c r="BG19" s="285" t="n">
        <v>36861</v>
      </c>
      <c r="BH19" s="0" t="n">
        <v>0.9668475</v>
      </c>
      <c r="BJ19" s="285" t="n">
        <v>36861</v>
      </c>
      <c r="BK19" s="0" t="n">
        <v>16</v>
      </c>
    </row>
    <row r="20" customFormat="false" ht="12" hidden="false" customHeight="true" outlineLevel="0" collapsed="false">
      <c r="A20" s="267" t="s">
        <v>198</v>
      </c>
      <c r="B20" s="269" t="s">
        <v>192</v>
      </c>
      <c r="C20" s="269" t="s">
        <v>494</v>
      </c>
      <c r="D20" s="269" t="s">
        <v>137</v>
      </c>
      <c r="E20" s="7" t="s">
        <v>483</v>
      </c>
      <c r="F20" s="269" t="s">
        <v>131</v>
      </c>
      <c r="G20" s="269" t="s">
        <v>136</v>
      </c>
      <c r="H20" s="286" t="n">
        <v>36678</v>
      </c>
      <c r="I20" s="272" t="n">
        <v>-10000</v>
      </c>
      <c r="J20" s="125" t="n">
        <v>0.46</v>
      </c>
      <c r="K20" s="124" t="n">
        <f aca="false">HLOOKUP($D$3,GDPRICES,VLOOKUP(Q20,GDmove_down,2,FALSE()),FALSE())</f>
        <v>4.535</v>
      </c>
      <c r="L20" s="124" t="n">
        <f aca="false">HLOOKUP($E$3,GDPRICES,VLOOKUP(Q20,GDmove_down,2,FALSE()),FALSE())</f>
        <v>3.495</v>
      </c>
      <c r="M20" s="126" t="n">
        <v>1</v>
      </c>
      <c r="N20" s="7" t="n">
        <v>0.515</v>
      </c>
      <c r="O20" s="7" t="n">
        <v>0.515</v>
      </c>
      <c r="P20" s="249" t="e">
        <f aca="false">HLOOKUP(E20,GDcorr,VLOOKUP(H20,GDCorMove,2,FALSE()),FALSE())</f>
        <v>#N/A</v>
      </c>
      <c r="Q20" s="92" t="n">
        <v>36679</v>
      </c>
      <c r="R20" s="7" t="n">
        <f aca="false">IF(G20="P",0,1)</f>
        <v>1</v>
      </c>
      <c r="S20" s="130" t="e">
        <f aca="false">xSPRDOPT($K20,$L20,$J20,$M20,$N20,$O20,$P20,$Q20-$C$3,$R20,0)</f>
        <v>#NAME?</v>
      </c>
      <c r="T20" s="250" t="e">
        <f aca="false">xSPRDOPT($K20,$L20,$J20,$M20,$N20,$O20,$P20,$Q20-$C$3,$R20,1)*I20</f>
        <v>#NAME?</v>
      </c>
      <c r="U20" s="43" t="n">
        <v>-950</v>
      </c>
      <c r="V20" s="250" t="e">
        <f aca="false">xSPRDOPT($K20,$L20,$J20,$M20,$N20,$O20,$P20,$Q20-$C$3,$R20,2)*I20</f>
        <v>#NAME?</v>
      </c>
      <c r="W20" s="250" t="e">
        <f aca="false">+V20+T20</f>
        <v>#NAME?</v>
      </c>
      <c r="X20" s="2" t="str">
        <f aca="false">CONCATENATE(H20,E20)</f>
        <v>36678IF-ELPO/SJ</v>
      </c>
      <c r="Y20" s="251" t="n">
        <f aca="false">I20/10000</f>
        <v>-1</v>
      </c>
      <c r="Z20" s="2"/>
      <c r="AA20" s="2"/>
      <c r="AB20" s="182" t="n">
        <f aca="false">H20</f>
        <v>36678</v>
      </c>
      <c r="AC20" s="253" t="n">
        <v>0</v>
      </c>
      <c r="AD20" s="253" t="n">
        <v>0</v>
      </c>
      <c r="AE20" s="253" t="n">
        <v>0</v>
      </c>
      <c r="AF20" s="253" t="n">
        <v>0</v>
      </c>
      <c r="AG20" s="253" t="n">
        <v>0</v>
      </c>
      <c r="AH20" s="253" t="n">
        <v>0</v>
      </c>
      <c r="AI20" s="43" t="n">
        <v>-950</v>
      </c>
      <c r="AJ20" s="254" t="e">
        <f aca="false">HLOOKUP(D20,PREVCURVES,VLOOKUP(H20,MOVE_DOWN2,2,FALSE()),FALSE())-HLOOKUP(E20,PREVCURVES,VLOOKUP(H20,MOVE_DOWN2,2,FALSE()),FALSE())</f>
        <v>#N/A</v>
      </c>
      <c r="AK20" s="253"/>
      <c r="AL20" s="0" t="str">
        <f aca="false">CONCATENATE(AB20,$AC$6)</f>
        <v>36678Curve Shift/Gamma</v>
      </c>
      <c r="AM20" s="0" t="str">
        <f aca="false">CONCATENATE($AB20,$AD$6)</f>
        <v>36678Rho</v>
      </c>
      <c r="AN20" s="0" t="str">
        <f aca="false">CONCATENATE($AB20,$AE$6)</f>
        <v>36678Drift</v>
      </c>
      <c r="AO20" s="0" t="str">
        <f aca="false">CONCATENATE($AB20,$AF$6)</f>
        <v>36678Vega</v>
      </c>
      <c r="AP20" s="0" t="str">
        <f aca="false">CONCATENATE($AB20,$AG$6)</f>
        <v>36678Theta</v>
      </c>
      <c r="AQ20" s="255" t="n">
        <f aca="false">EOMONTH(AQ19,0)+1</f>
        <v>36951</v>
      </c>
      <c r="AR20" s="261" t="n">
        <f aca="false">SUMIF($AL$7:$AL$654,CONCATENATE($AQ20,$AR$6),$AC$7:$AC$654)</f>
        <v>0</v>
      </c>
      <c r="AS20" s="262" t="n">
        <f aca="false">SUMIF($AM$7:$AM$659,CONCATENATE($AQ20,$AS$6),$AD$7:$AD$654)</f>
        <v>0</v>
      </c>
      <c r="AT20" s="262" t="n">
        <f aca="false">SUMIF($AN$7:$AN$659,CONCATENATE($AQ20,$AT$6),$AE$7:$AE$654)</f>
        <v>0</v>
      </c>
      <c r="AU20" s="262" t="n">
        <f aca="false">SUMIF($AO$7:$AO$659,CONCATENATE($AQ20,$AU$6),$AF$7:$AF$654)</f>
        <v>0</v>
      </c>
      <c r="AV20" s="263" t="n">
        <f aca="false">SUMIF($AP$7:$AP$659,CONCATENATE($AQ20,$AV$6),$AG$7:$AG$654)</f>
        <v>0</v>
      </c>
      <c r="AW20" s="264" t="n">
        <f aca="false">SUM(AR20:AV20)</f>
        <v>0</v>
      </c>
      <c r="AZ20" s="143" t="n">
        <f aca="false">EOMONTH(AZ19,0)+1</f>
        <v>36557</v>
      </c>
      <c r="BA20" s="135"/>
      <c r="BG20" s="285" t="n">
        <v>36892</v>
      </c>
      <c r="BH20" s="0" t="n">
        <v>0.985</v>
      </c>
      <c r="BJ20" s="285" t="n">
        <v>36892</v>
      </c>
      <c r="BK20" s="0" t="n">
        <v>17</v>
      </c>
    </row>
    <row r="21" customFormat="false" ht="12" hidden="false" customHeight="true" outlineLevel="0" collapsed="false">
      <c r="A21" s="265" t="s">
        <v>198</v>
      </c>
      <c r="B21" s="269" t="s">
        <v>192</v>
      </c>
      <c r="C21" s="269" t="s">
        <v>488</v>
      </c>
      <c r="D21" s="269" t="s">
        <v>137</v>
      </c>
      <c r="E21" s="7" t="s">
        <v>483</v>
      </c>
      <c r="F21" s="269" t="s">
        <v>131</v>
      </c>
      <c r="G21" s="269" t="s">
        <v>136</v>
      </c>
      <c r="H21" s="286" t="n">
        <v>36678</v>
      </c>
      <c r="I21" s="272" t="n">
        <v>-50000</v>
      </c>
      <c r="J21" s="125" t="n">
        <v>0.46</v>
      </c>
      <c r="K21" s="124" t="n">
        <f aca="false">HLOOKUP($D$3,GDPRICES,VLOOKUP(Q21,GDmove_down,2,FALSE()),FALSE())</f>
        <v>4.645</v>
      </c>
      <c r="L21" s="124" t="n">
        <f aca="false">HLOOKUP($E$3,GDPRICES,VLOOKUP(Q21,GDmove_down,2,FALSE()),FALSE())</f>
        <v>3.625</v>
      </c>
      <c r="M21" s="126" t="n">
        <v>1</v>
      </c>
      <c r="N21" s="7" t="n">
        <v>0.515</v>
      </c>
      <c r="O21" s="7" t="n">
        <v>0.515</v>
      </c>
      <c r="P21" s="249" t="e">
        <f aca="false">HLOOKUP(E21,GDcorr,VLOOKUP(H21,GDCorMove,2,FALSE()),FALSE())</f>
        <v>#N/A</v>
      </c>
      <c r="Q21" s="92" t="n">
        <v>36680</v>
      </c>
      <c r="R21" s="7" t="n">
        <f aca="false">IF(G21="P",0,1)</f>
        <v>1</v>
      </c>
      <c r="S21" s="130" t="e">
        <f aca="false">xSPRDOPT($K21,$L21,$J21,$M21,$N21,$O21,$P21,$Q21-$C$3,$R21,0)</f>
        <v>#NAME?</v>
      </c>
      <c r="T21" s="250" t="e">
        <f aca="false">xSPRDOPT($K21,$L21,$J21,$M21,$N21,$O21,$P21,$Q21-$C$3,$R21,1)*I21</f>
        <v>#NAME?</v>
      </c>
      <c r="U21" s="43" t="n">
        <v>0</v>
      </c>
      <c r="V21" s="250" t="e">
        <f aca="false">xSPRDOPT($K21,$L21,$J21,$M21,$N21,$O21,$P21,$Q21-$C$3,$R21,2)*I21</f>
        <v>#NAME?</v>
      </c>
      <c r="W21" s="250" t="e">
        <f aca="false">+V21+T21</f>
        <v>#NAME?</v>
      </c>
      <c r="X21" s="2" t="str">
        <f aca="false">CONCATENATE(H21,E21)</f>
        <v>36678IF-ELPO/SJ</v>
      </c>
      <c r="Y21" s="251" t="n">
        <f aca="false">I21/10000</f>
        <v>-5</v>
      </c>
      <c r="Z21" s="2"/>
      <c r="AA21" s="2"/>
      <c r="AB21" s="182" t="n">
        <f aca="false">H21</f>
        <v>36678</v>
      </c>
      <c r="AC21" s="253" t="n">
        <v>0</v>
      </c>
      <c r="AD21" s="253" t="n">
        <v>0</v>
      </c>
      <c r="AE21" s="253" t="n">
        <v>0</v>
      </c>
      <c r="AF21" s="253" t="n">
        <v>0</v>
      </c>
      <c r="AG21" s="253" t="n">
        <v>0</v>
      </c>
      <c r="AH21" s="253" t="n">
        <v>0</v>
      </c>
      <c r="AI21" s="253" t="n">
        <v>0</v>
      </c>
      <c r="AJ21" s="254" t="e">
        <f aca="false">HLOOKUP(D21,PREVCURVES,VLOOKUP(H21,MOVE_DOWN2,2,FALSE()),FALSE())-HLOOKUP(E21,PREVCURVES,VLOOKUP(H21,MOVE_DOWN2,2,FALSE()),FALSE())</f>
        <v>#N/A</v>
      </c>
      <c r="AK21" s="253"/>
      <c r="AL21" s="0" t="str">
        <f aca="false">CONCATENATE(AB21,$AC$6)</f>
        <v>36678Curve Shift/Gamma</v>
      </c>
      <c r="AM21" s="0" t="str">
        <f aca="false">CONCATENATE($AB21,$AD$6)</f>
        <v>36678Rho</v>
      </c>
      <c r="AN21" s="0" t="str">
        <f aca="false">CONCATENATE($AB21,$AE$6)</f>
        <v>36678Drift</v>
      </c>
      <c r="AO21" s="0" t="str">
        <f aca="false">CONCATENATE($AB21,$AF$6)</f>
        <v>36678Vega</v>
      </c>
      <c r="AP21" s="0" t="str">
        <f aca="false">CONCATENATE($AB21,$AG$6)</f>
        <v>36678Theta</v>
      </c>
      <c r="AQ21" s="255" t="n">
        <f aca="false">EOMONTH(AQ20,0)+1</f>
        <v>36982</v>
      </c>
      <c r="AR21" s="261" t="n">
        <f aca="false">SUMIF($AL$7:$AL$654,CONCATENATE($AQ21,$AR$6),$AC$7:$AC$654)</f>
        <v>0</v>
      </c>
      <c r="AS21" s="262" t="n">
        <f aca="false">SUMIF($AM$7:$AM$659,CONCATENATE($AQ21,$AS$6),$AD$7:$AD$654)</f>
        <v>0</v>
      </c>
      <c r="AT21" s="262" t="n">
        <f aca="false">SUMIF($AN$7:$AN$659,CONCATENATE($AQ21,$AT$6),$AE$7:$AE$654)</f>
        <v>0</v>
      </c>
      <c r="AU21" s="262" t="n">
        <f aca="false">SUMIF($AO$7:$AO$659,CONCATENATE($AQ21,$AU$6),$AF$7:$AF$654)</f>
        <v>0</v>
      </c>
      <c r="AV21" s="263" t="n">
        <f aca="false">SUMIF($AP$7:$AP$659,CONCATENATE($AQ21,$AV$6),$AG$7:$AG$654)</f>
        <v>0</v>
      </c>
      <c r="AW21" s="264" t="n">
        <f aca="false">SUM(AR21:AV21)</f>
        <v>0</v>
      </c>
      <c r="AZ21" s="143" t="n">
        <f aca="false">EOMONTH(AZ20,0)+1</f>
        <v>36586</v>
      </c>
      <c r="BA21" s="135"/>
      <c r="BG21" s="285" t="n">
        <v>36923</v>
      </c>
      <c r="BH21" s="0" t="n">
        <v>0.985</v>
      </c>
      <c r="BJ21" s="285" t="n">
        <v>36923</v>
      </c>
      <c r="BK21" s="0" t="n">
        <v>18</v>
      </c>
    </row>
    <row r="22" customFormat="false" ht="12" hidden="false" customHeight="true" outlineLevel="0" collapsed="false">
      <c r="A22" s="265" t="s">
        <v>198</v>
      </c>
      <c r="B22" s="269" t="s">
        <v>192</v>
      </c>
      <c r="C22" s="269" t="s">
        <v>489</v>
      </c>
      <c r="D22" s="269" t="s">
        <v>137</v>
      </c>
      <c r="E22" s="7" t="s">
        <v>483</v>
      </c>
      <c r="F22" s="269" t="s">
        <v>131</v>
      </c>
      <c r="G22" s="269" t="s">
        <v>136</v>
      </c>
      <c r="H22" s="286" t="n">
        <v>36678</v>
      </c>
      <c r="I22" s="272" t="n">
        <v>10000</v>
      </c>
      <c r="J22" s="125" t="n">
        <v>0.46</v>
      </c>
      <c r="K22" s="124" t="n">
        <f aca="false">HLOOKUP($D$3,GDPRICES,VLOOKUP(Q22,GDmove_down,2,FALSE()),FALSE())</f>
        <v>4.645</v>
      </c>
      <c r="L22" s="124" t="n">
        <f aca="false">HLOOKUP($E$3,GDPRICES,VLOOKUP(Q22,GDmove_down,2,FALSE()),FALSE())</f>
        <v>3.625</v>
      </c>
      <c r="M22" s="126" t="n">
        <v>1</v>
      </c>
      <c r="N22" s="7" t="n">
        <v>0.515</v>
      </c>
      <c r="O22" s="7" t="n">
        <v>0.515</v>
      </c>
      <c r="P22" s="249" t="e">
        <f aca="false">HLOOKUP(E22,GDcorr,VLOOKUP(H22,GDCorMove,2,FALSE()),FALSE())</f>
        <v>#N/A</v>
      </c>
      <c r="Q22" s="92" t="n">
        <v>36680</v>
      </c>
      <c r="R22" s="7" t="n">
        <f aca="false">IF(G22="P",0,1)</f>
        <v>1</v>
      </c>
      <c r="S22" s="130" t="e">
        <f aca="false">xSPRDOPT($K22,$L22,$J22,$M22,$N22,$O22,$P22,$Q22-$C$3,$R22,0)</f>
        <v>#NAME?</v>
      </c>
      <c r="T22" s="250" t="e">
        <f aca="false">xSPRDOPT($K22,$L22,$J22,$M22,$N22,$O22,$P22,$Q22-$C$3,$R22,1)*I22</f>
        <v>#NAME?</v>
      </c>
      <c r="U22" s="43" t="n">
        <v>0</v>
      </c>
      <c r="V22" s="250" t="e">
        <f aca="false">xSPRDOPT($K22,$L22,$J22,$M22,$N22,$O22,$P22,$Q22-$C$3,$R22,2)*I22</f>
        <v>#NAME?</v>
      </c>
      <c r="W22" s="250" t="e">
        <f aca="false">+V22+T22</f>
        <v>#NAME?</v>
      </c>
      <c r="X22" s="2" t="str">
        <f aca="false">CONCATENATE(H22,E22)</f>
        <v>36678IF-ELPO/SJ</v>
      </c>
      <c r="Y22" s="251" t="n">
        <f aca="false">I22/10000</f>
        <v>1</v>
      </c>
      <c r="Z22" s="2"/>
      <c r="AA22" s="2"/>
      <c r="AB22" s="182" t="n">
        <f aca="false">H22</f>
        <v>36678</v>
      </c>
      <c r="AC22" s="253" t="n">
        <v>0</v>
      </c>
      <c r="AD22" s="253" t="n">
        <v>0</v>
      </c>
      <c r="AE22" s="253" t="n">
        <v>0</v>
      </c>
      <c r="AF22" s="253" t="n">
        <v>0</v>
      </c>
      <c r="AG22" s="253" t="n">
        <v>0</v>
      </c>
      <c r="AH22" s="253" t="n">
        <v>0</v>
      </c>
      <c r="AI22" s="253" t="n">
        <v>0</v>
      </c>
      <c r="AJ22" s="254" t="e">
        <f aca="false">HLOOKUP(D22,PREVCURVES,VLOOKUP(H22,MOVE_DOWN2,2,FALSE()),FALSE())-HLOOKUP(E22,PREVCURVES,VLOOKUP(H22,MOVE_DOWN2,2,FALSE()),FALSE())</f>
        <v>#N/A</v>
      </c>
      <c r="AK22" s="253"/>
      <c r="AL22" s="0" t="str">
        <f aca="false">CONCATENATE(AB22,$AC$6)</f>
        <v>36678Curve Shift/Gamma</v>
      </c>
      <c r="AM22" s="0" t="str">
        <f aca="false">CONCATENATE($AB22,$AD$6)</f>
        <v>36678Rho</v>
      </c>
      <c r="AN22" s="0" t="str">
        <f aca="false">CONCATENATE($AB22,$AE$6)</f>
        <v>36678Drift</v>
      </c>
      <c r="AO22" s="0" t="str">
        <f aca="false">CONCATENATE($AB22,$AF$6)</f>
        <v>36678Vega</v>
      </c>
      <c r="AP22" s="0" t="str">
        <f aca="false">CONCATENATE($AB22,$AG$6)</f>
        <v>36678Theta</v>
      </c>
      <c r="AQ22" s="255" t="n">
        <f aca="false">EOMONTH(AQ21,0)+1</f>
        <v>37012</v>
      </c>
      <c r="AR22" s="261" t="n">
        <f aca="false">SUMIF($AL$7:$AL$654,CONCATENATE($AQ22,$AR$6),$AC$7:$AC$654)</f>
        <v>0</v>
      </c>
      <c r="AS22" s="262" t="n">
        <f aca="false">SUMIF($AM$7:$AM$659,CONCATENATE($AQ22,$AS$6),$AD$7:$AD$654)</f>
        <v>0</v>
      </c>
      <c r="AT22" s="262" t="n">
        <f aca="false">SUMIF($AN$7:$AN$659,CONCATENATE($AQ22,$AT$6),$AE$7:$AE$654)</f>
        <v>0</v>
      </c>
      <c r="AU22" s="262" t="n">
        <f aca="false">SUMIF($AO$7:$AO$659,CONCATENATE($AQ22,$AU$6),$AF$7:$AF$654)</f>
        <v>0</v>
      </c>
      <c r="AV22" s="263" t="n">
        <f aca="false">SUMIF($AP$7:$AP$659,CONCATENATE($AQ22,$AV$6),$AG$7:$AG$654)</f>
        <v>0</v>
      </c>
      <c r="AW22" s="264" t="n">
        <f aca="false">SUM(AR22:AV22)</f>
        <v>0</v>
      </c>
      <c r="AZ22" s="143" t="n">
        <f aca="false">EOMONTH(AZ21,0)+1</f>
        <v>36617</v>
      </c>
      <c r="BA22" s="135"/>
      <c r="BG22" s="285" t="n">
        <v>36951</v>
      </c>
      <c r="BH22" s="0" t="n">
        <v>0.985</v>
      </c>
      <c r="BJ22" s="285" t="n">
        <v>36951</v>
      </c>
      <c r="BK22" s="0" t="n">
        <v>19</v>
      </c>
    </row>
    <row r="23" customFormat="false" ht="12" hidden="false" customHeight="true" outlineLevel="0" collapsed="false">
      <c r="A23" s="265" t="s">
        <v>198</v>
      </c>
      <c r="B23" s="269" t="s">
        <v>192</v>
      </c>
      <c r="C23" s="269" t="s">
        <v>490</v>
      </c>
      <c r="D23" s="269" t="s">
        <v>137</v>
      </c>
      <c r="E23" s="7" t="s">
        <v>483</v>
      </c>
      <c r="F23" s="269" t="s">
        <v>131</v>
      </c>
      <c r="G23" s="269" t="s">
        <v>136</v>
      </c>
      <c r="H23" s="286" t="n">
        <v>36678</v>
      </c>
      <c r="I23" s="272" t="n">
        <v>-333333</v>
      </c>
      <c r="J23" s="125" t="n">
        <v>0.46</v>
      </c>
      <c r="K23" s="124" t="n">
        <f aca="false">HLOOKUP($D$3,GDPRICES,VLOOKUP(Q23,GDmove_down,2,FALSE()),FALSE())</f>
        <v>4.645</v>
      </c>
      <c r="L23" s="124" t="n">
        <f aca="false">HLOOKUP($E$3,GDPRICES,VLOOKUP(Q23,GDmove_down,2,FALSE()),FALSE())</f>
        <v>3.625</v>
      </c>
      <c r="M23" s="126" t="n">
        <v>1</v>
      </c>
      <c r="N23" s="7" t="n">
        <v>0.515</v>
      </c>
      <c r="O23" s="7" t="n">
        <v>0.515</v>
      </c>
      <c r="P23" s="249" t="e">
        <f aca="false">HLOOKUP(E23,GDcorr,VLOOKUP(H23,GDCorMove,2,FALSE()),FALSE())</f>
        <v>#N/A</v>
      </c>
      <c r="Q23" s="92" t="n">
        <v>36680</v>
      </c>
      <c r="R23" s="7" t="n">
        <f aca="false">IF(G23="P",0,1)</f>
        <v>1</v>
      </c>
      <c r="S23" s="130" t="e">
        <f aca="false">xSPRDOPT($K23,$L23,$J23,$M23,$N23,$O23,$P23,$Q23-$C$3,$R23,0)</f>
        <v>#NAME?</v>
      </c>
      <c r="T23" s="250" t="e">
        <f aca="false">xSPRDOPT($K23,$L23,$J23,$M23,$N23,$O23,$P23,$Q23-$C$3,$R23,1)*I23</f>
        <v>#NAME?</v>
      </c>
      <c r="U23" s="43" t="n">
        <v>0</v>
      </c>
      <c r="V23" s="250" t="e">
        <f aca="false">xSPRDOPT($K23,$L23,$J23,$M23,$N23,$O23,$P23,$Q23-$C$3,$R23,2)*I23</f>
        <v>#NAME?</v>
      </c>
      <c r="W23" s="250" t="e">
        <f aca="false">+V23+T23</f>
        <v>#NAME?</v>
      </c>
      <c r="X23" s="2" t="str">
        <f aca="false">CONCATENATE(H23,E23)</f>
        <v>36678IF-ELPO/SJ</v>
      </c>
      <c r="Y23" s="251" t="n">
        <f aca="false">I23/10000</f>
        <v>-33.3333</v>
      </c>
      <c r="AA23" s="2"/>
      <c r="AB23" s="182" t="n">
        <f aca="false">H23</f>
        <v>36678</v>
      </c>
      <c r="AC23" s="253" t="n">
        <v>0</v>
      </c>
      <c r="AD23" s="253" t="n">
        <v>0</v>
      </c>
      <c r="AE23" s="253" t="n">
        <v>0</v>
      </c>
      <c r="AF23" s="253" t="n">
        <v>0</v>
      </c>
      <c r="AG23" s="253" t="n">
        <v>0</v>
      </c>
      <c r="AH23" s="253" t="n">
        <v>0</v>
      </c>
      <c r="AI23" s="253" t="n">
        <v>0</v>
      </c>
      <c r="AJ23" s="254" t="e">
        <f aca="false">HLOOKUP(D23,PREVCURVES,VLOOKUP(H23,MOVE_DOWN2,2,FALSE()),FALSE())-HLOOKUP(E23,PREVCURVES,VLOOKUP(H23,MOVE_DOWN2,2,FALSE()),FALSE())</f>
        <v>#N/A</v>
      </c>
      <c r="AK23" s="253"/>
      <c r="AL23" s="0" t="str">
        <f aca="false">CONCATENATE(AB23,$AC$6)</f>
        <v>36678Curve Shift/Gamma</v>
      </c>
      <c r="AM23" s="0" t="str">
        <f aca="false">CONCATENATE($AB23,$AD$6)</f>
        <v>36678Rho</v>
      </c>
      <c r="AN23" s="0" t="str">
        <f aca="false">CONCATENATE($AB23,$AE$6)</f>
        <v>36678Drift</v>
      </c>
      <c r="AO23" s="0" t="str">
        <f aca="false">CONCATENATE($AB23,$AF$6)</f>
        <v>36678Vega</v>
      </c>
      <c r="AP23" s="0" t="str">
        <f aca="false">CONCATENATE($AB23,$AG$6)</f>
        <v>36678Theta</v>
      </c>
      <c r="AQ23" s="255" t="n">
        <f aca="false">EOMONTH(AQ22,0)+1</f>
        <v>37043</v>
      </c>
      <c r="AR23" s="261" t="n">
        <f aca="false">SUMIF($AL$7:$AL$654,CONCATENATE($AQ23,$AR$6),$AC$7:$AC$654)</f>
        <v>0</v>
      </c>
      <c r="AS23" s="262" t="n">
        <f aca="false">SUMIF($AM$7:$AM$659,CONCATENATE($AQ23,$AS$6),$AD$7:$AD$654)</f>
        <v>0</v>
      </c>
      <c r="AT23" s="262" t="n">
        <f aca="false">SUMIF($AN$7:$AN$659,CONCATENATE($AQ23,$AT$6),$AE$7:$AE$654)</f>
        <v>0</v>
      </c>
      <c r="AU23" s="262" t="n">
        <f aca="false">SUMIF($AO$7:$AO$659,CONCATENATE($AQ23,$AU$6),$AF$7:$AF$654)</f>
        <v>0</v>
      </c>
      <c r="AV23" s="263" t="n">
        <f aca="false">SUMIF($AP$7:$AP$659,CONCATENATE($AQ23,$AV$6),$AG$7:$AG$654)</f>
        <v>0</v>
      </c>
      <c r="AW23" s="264" t="n">
        <f aca="false">SUM(AR23:AV23)</f>
        <v>0</v>
      </c>
      <c r="AZ23" s="143" t="n">
        <f aca="false">EOMONTH(AZ22,0)+1</f>
        <v>36647</v>
      </c>
      <c r="BA23" s="135"/>
      <c r="BG23" s="285" t="n">
        <v>36982</v>
      </c>
      <c r="BH23" s="0" t="n">
        <v>0.985</v>
      </c>
      <c r="BJ23" s="285" t="n">
        <v>36982</v>
      </c>
      <c r="BK23" s="0" t="n">
        <v>20</v>
      </c>
    </row>
    <row r="24" customFormat="false" ht="12" hidden="false" customHeight="true" outlineLevel="0" collapsed="false">
      <c r="A24" s="267" t="s">
        <v>196</v>
      </c>
      <c r="B24" s="269" t="s">
        <v>192</v>
      </c>
      <c r="C24" s="269" t="s">
        <v>491</v>
      </c>
      <c r="D24" s="269" t="s">
        <v>137</v>
      </c>
      <c r="E24" s="7" t="s">
        <v>483</v>
      </c>
      <c r="F24" s="269" t="s">
        <v>131</v>
      </c>
      <c r="G24" s="269" t="s">
        <v>136</v>
      </c>
      <c r="H24" s="286" t="n">
        <v>36678</v>
      </c>
      <c r="I24" s="272" t="n">
        <v>-10000</v>
      </c>
      <c r="J24" s="125" t="n">
        <v>0.46</v>
      </c>
      <c r="K24" s="124" t="n">
        <f aca="false">HLOOKUP($D$3,GDPRICES,VLOOKUP(Q24,GDmove_down,2,FALSE()),FALSE())</f>
        <v>4.645</v>
      </c>
      <c r="L24" s="124" t="n">
        <f aca="false">HLOOKUP($E$3,GDPRICES,VLOOKUP(Q24,GDmove_down,2,FALSE()),FALSE())</f>
        <v>3.625</v>
      </c>
      <c r="M24" s="126" t="n">
        <v>1</v>
      </c>
      <c r="N24" s="7" t="n">
        <v>0.515</v>
      </c>
      <c r="O24" s="7" t="n">
        <v>0.515</v>
      </c>
      <c r="P24" s="249" t="e">
        <f aca="false">HLOOKUP(E24,GDcorr,VLOOKUP(H24,GDCorMove,2,FALSE()),FALSE())</f>
        <v>#N/A</v>
      </c>
      <c r="Q24" s="92" t="n">
        <v>36680</v>
      </c>
      <c r="R24" s="7" t="n">
        <f aca="false">IF(G24="P",0,1)</f>
        <v>1</v>
      </c>
      <c r="S24" s="130" t="e">
        <f aca="false">xSPRDOPT($K24,$L24,$J24,$M24,$N24,$O24,$P24,$Q24-$C$3,$R24,0)</f>
        <v>#NAME?</v>
      </c>
      <c r="T24" s="250" t="e">
        <f aca="false">xSPRDOPT($K24,$L24,$J24,$M24,$N24,$O24,$P24,$Q24-$C$3,$R24,1)*I24</f>
        <v>#NAME?</v>
      </c>
      <c r="U24" s="43" t="n">
        <v>0</v>
      </c>
      <c r="V24" s="250" t="e">
        <f aca="false">xSPRDOPT($K24,$L24,$J24,$M24,$N24,$O24,$P24,$Q24-$C$3,$R24,2)*I24</f>
        <v>#NAME?</v>
      </c>
      <c r="W24" s="250" t="e">
        <f aca="false">+V24+T24</f>
        <v>#NAME?</v>
      </c>
      <c r="X24" s="2" t="str">
        <f aca="false">CONCATENATE(H24,E24)</f>
        <v>36678IF-ELPO/SJ</v>
      </c>
      <c r="Y24" s="251" t="n">
        <f aca="false">I24/10000</f>
        <v>-1</v>
      </c>
      <c r="Z24" s="2"/>
      <c r="AA24" s="2"/>
      <c r="AB24" s="182" t="n">
        <f aca="false">H24</f>
        <v>36678</v>
      </c>
      <c r="AC24" s="253" t="n">
        <v>0</v>
      </c>
      <c r="AD24" s="253" t="n">
        <v>0</v>
      </c>
      <c r="AE24" s="253" t="n">
        <v>0</v>
      </c>
      <c r="AF24" s="253" t="n">
        <v>0</v>
      </c>
      <c r="AG24" s="253" t="n">
        <v>0</v>
      </c>
      <c r="AH24" s="253" t="n">
        <v>0</v>
      </c>
      <c r="AI24" s="253" t="n">
        <v>0</v>
      </c>
      <c r="AJ24" s="254" t="e">
        <f aca="false">HLOOKUP(D24,PREVCURVES,VLOOKUP(H24,MOVE_DOWN2,2,FALSE()),FALSE())-HLOOKUP(E24,PREVCURVES,VLOOKUP(H24,MOVE_DOWN2,2,FALSE()),FALSE())</f>
        <v>#N/A</v>
      </c>
      <c r="AK24" s="253"/>
      <c r="AL24" s="0" t="str">
        <f aca="false">CONCATENATE(AB24,$AC$6)</f>
        <v>36678Curve Shift/Gamma</v>
      </c>
      <c r="AM24" s="0" t="str">
        <f aca="false">CONCATENATE($AB24,$AD$6)</f>
        <v>36678Rho</v>
      </c>
      <c r="AN24" s="0" t="str">
        <f aca="false">CONCATENATE($AB24,$AE$6)</f>
        <v>36678Drift</v>
      </c>
      <c r="AO24" s="0" t="str">
        <f aca="false">CONCATENATE($AB24,$AF$6)</f>
        <v>36678Vega</v>
      </c>
      <c r="AP24" s="0" t="str">
        <f aca="false">CONCATENATE($AB24,$AG$6)</f>
        <v>36678Theta</v>
      </c>
      <c r="AQ24" s="255" t="n">
        <f aca="false">EOMONTH(AQ23,0)+1</f>
        <v>37073</v>
      </c>
      <c r="AR24" s="261" t="n">
        <f aca="false">SUMIF($AL$7:$AL$654,CONCATENATE($AQ24,$AR$6),$AC$7:$AC$654)</f>
        <v>0</v>
      </c>
      <c r="AS24" s="262" t="n">
        <f aca="false">SUMIF($AM$7:$AM$659,CONCATENATE($AQ24,$AS$6),$AD$7:$AD$654)</f>
        <v>0</v>
      </c>
      <c r="AT24" s="262" t="n">
        <f aca="false">SUMIF($AN$7:$AN$659,CONCATENATE($AQ24,$AT$6),$AE$7:$AE$654)</f>
        <v>0</v>
      </c>
      <c r="AU24" s="262" t="n">
        <f aca="false">SUMIF($AO$7:$AO$659,CONCATENATE($AQ24,$AU$6),$AF$7:$AF$654)</f>
        <v>0</v>
      </c>
      <c r="AV24" s="263" t="n">
        <f aca="false">SUMIF($AP$7:$AP$659,CONCATENATE($AQ24,$AV$6),$AG$7:$AG$654)</f>
        <v>0</v>
      </c>
      <c r="AW24" s="264" t="n">
        <f aca="false">SUM(AR24:AV24)</f>
        <v>0</v>
      </c>
      <c r="AZ24" s="143" t="n">
        <f aca="false">EOMONTH(AZ23,0)+1</f>
        <v>36678</v>
      </c>
      <c r="BA24" s="135" t="e">
        <f aca="false">W3</f>
        <v>#NAME?</v>
      </c>
      <c r="BG24" s="285" t="n">
        <v>37012</v>
      </c>
      <c r="BH24" s="0" t="n">
        <v>0.985</v>
      </c>
      <c r="BJ24" s="285" t="n">
        <v>37012</v>
      </c>
      <c r="BK24" s="0" t="n">
        <v>21</v>
      </c>
    </row>
    <row r="25" customFormat="false" ht="12" hidden="false" customHeight="true" outlineLevel="0" collapsed="false">
      <c r="A25" s="267" t="s">
        <v>198</v>
      </c>
      <c r="B25" s="269" t="s">
        <v>192</v>
      </c>
      <c r="C25" s="269" t="s">
        <v>492</v>
      </c>
      <c r="D25" s="269" t="s">
        <v>137</v>
      </c>
      <c r="E25" s="7" t="s">
        <v>483</v>
      </c>
      <c r="F25" s="269" t="s">
        <v>131</v>
      </c>
      <c r="G25" s="269" t="s">
        <v>136</v>
      </c>
      <c r="H25" s="286" t="n">
        <v>36678</v>
      </c>
      <c r="I25" s="272" t="n">
        <v>50000</v>
      </c>
      <c r="J25" s="125" t="n">
        <v>0.46</v>
      </c>
      <c r="K25" s="124" t="n">
        <f aca="false">HLOOKUP($D$3,GDPRICES,VLOOKUP(Q25,GDmove_down,2,FALSE()),FALSE())</f>
        <v>4.645</v>
      </c>
      <c r="L25" s="124" t="n">
        <f aca="false">HLOOKUP($E$3,GDPRICES,VLOOKUP(Q25,GDmove_down,2,FALSE()),FALSE())</f>
        <v>3.625</v>
      </c>
      <c r="M25" s="126" t="n">
        <v>1</v>
      </c>
      <c r="N25" s="7" t="n">
        <v>0.515</v>
      </c>
      <c r="O25" s="7" t="n">
        <v>0.515</v>
      </c>
      <c r="P25" s="249" t="e">
        <f aca="false">HLOOKUP(E25,GDcorr,VLOOKUP(H25,GDCorMove,2,FALSE()),FALSE())</f>
        <v>#N/A</v>
      </c>
      <c r="Q25" s="92" t="n">
        <v>36680</v>
      </c>
      <c r="R25" s="7" t="n">
        <f aca="false">IF(G25="P",0,1)</f>
        <v>1</v>
      </c>
      <c r="S25" s="130" t="e">
        <f aca="false">xSPRDOPT($K25,$L25,$J25,$M25,$N25,$O25,$P25,$Q25-$C$3,$R25,0)</f>
        <v>#NAME?</v>
      </c>
      <c r="T25" s="250" t="e">
        <f aca="false">xSPRDOPT($K25,$L25,$J25,$M25,$N25,$O25,$P25,$Q25-$C$3,$R25,1)*I25</f>
        <v>#NAME?</v>
      </c>
      <c r="U25" s="43" t="n">
        <v>0</v>
      </c>
      <c r="V25" s="250" t="e">
        <f aca="false">xSPRDOPT($K25,$L25,$J25,$M25,$N25,$O25,$P25,$Q25-$C$3,$R25,2)*I25</f>
        <v>#NAME?</v>
      </c>
      <c r="W25" s="250" t="e">
        <f aca="false">+V25+T25</f>
        <v>#NAME?</v>
      </c>
      <c r="X25" s="2" t="str">
        <f aca="false">CONCATENATE(H25,E25)</f>
        <v>36678IF-ELPO/SJ</v>
      </c>
      <c r="Y25" s="251" t="n">
        <f aca="false">I25/10000</f>
        <v>5</v>
      </c>
      <c r="Z25" s="2"/>
      <c r="AA25" s="2"/>
      <c r="AB25" s="182" t="n">
        <f aca="false">H25</f>
        <v>36678</v>
      </c>
      <c r="AC25" s="253" t="n">
        <v>0</v>
      </c>
      <c r="AD25" s="253" t="n">
        <v>0</v>
      </c>
      <c r="AE25" s="253" t="n">
        <v>0</v>
      </c>
      <c r="AF25" s="253" t="n">
        <v>0</v>
      </c>
      <c r="AG25" s="253" t="n">
        <v>0</v>
      </c>
      <c r="AH25" s="253" t="n">
        <v>0</v>
      </c>
      <c r="AI25" s="253" t="n">
        <v>0</v>
      </c>
      <c r="AJ25" s="254" t="e">
        <f aca="false">HLOOKUP(D25,PREVCURVES,VLOOKUP(H25,MOVE_DOWN2,2,FALSE()),FALSE())-HLOOKUP(E25,PREVCURVES,VLOOKUP(H25,MOVE_DOWN2,2,FALSE()),FALSE())</f>
        <v>#N/A</v>
      </c>
      <c r="AK25" s="253"/>
      <c r="AL25" s="0" t="str">
        <f aca="false">CONCATENATE(AB25,$AC$6)</f>
        <v>36678Curve Shift/Gamma</v>
      </c>
      <c r="AM25" s="0" t="str">
        <f aca="false">CONCATENATE($AB25,$AD$6)</f>
        <v>36678Rho</v>
      </c>
      <c r="AN25" s="0" t="str">
        <f aca="false">CONCATENATE($AB25,$AE$6)</f>
        <v>36678Drift</v>
      </c>
      <c r="AO25" s="0" t="str">
        <f aca="false">CONCATENATE($AB25,$AF$6)</f>
        <v>36678Vega</v>
      </c>
      <c r="AP25" s="0" t="str">
        <f aca="false">CONCATENATE($AB25,$AG$6)</f>
        <v>36678Theta</v>
      </c>
      <c r="AQ25" s="255" t="n">
        <f aca="false">EOMONTH(AQ24,0)+1</f>
        <v>37104</v>
      </c>
      <c r="AR25" s="261" t="n">
        <f aca="false">SUMIF($AL$7:$AL$654,CONCATENATE($AQ25,$AR$6),$AC$7:$AC$654)</f>
        <v>0</v>
      </c>
      <c r="AS25" s="262" t="n">
        <f aca="false">SUMIF($AM$7:$AM$659,CONCATENATE($AQ25,$AS$6),$AD$7:$AD$654)</f>
        <v>0</v>
      </c>
      <c r="AT25" s="262" t="n">
        <f aca="false">SUMIF($AN$7:$AN$659,CONCATENATE($AQ25,$AT$6),$AE$7:$AE$654)</f>
        <v>0</v>
      </c>
      <c r="AU25" s="262" t="n">
        <f aca="false">SUMIF($AO$7:$AO$659,CONCATENATE($AQ25,$AU$6),$AF$7:$AF$654)</f>
        <v>0</v>
      </c>
      <c r="AV25" s="263" t="n">
        <f aca="false">SUMIF($AP$7:$AP$659,CONCATENATE($AQ25,$AV$6),$AG$7:$AG$654)</f>
        <v>0</v>
      </c>
      <c r="AW25" s="264" t="n">
        <f aca="false">SUM(AR25:AV25)</f>
        <v>0</v>
      </c>
      <c r="AZ25" s="143" t="n">
        <f aca="false">EOMONTH(AZ24,0)+1</f>
        <v>36708</v>
      </c>
      <c r="BA25" s="135"/>
      <c r="BG25" s="285" t="n">
        <v>37043</v>
      </c>
      <c r="BH25" s="0" t="n">
        <v>0.985</v>
      </c>
      <c r="BJ25" s="285" t="n">
        <v>37043</v>
      </c>
      <c r="BK25" s="0" t="n">
        <v>22</v>
      </c>
    </row>
    <row r="26" customFormat="false" ht="12" hidden="false" customHeight="true" outlineLevel="0" collapsed="false">
      <c r="A26" s="267" t="s">
        <v>198</v>
      </c>
      <c r="B26" s="269" t="s">
        <v>192</v>
      </c>
      <c r="C26" s="269" t="s">
        <v>493</v>
      </c>
      <c r="D26" s="269" t="s">
        <v>137</v>
      </c>
      <c r="E26" s="7" t="s">
        <v>483</v>
      </c>
      <c r="F26" s="269" t="s">
        <v>131</v>
      </c>
      <c r="G26" s="269" t="s">
        <v>136</v>
      </c>
      <c r="H26" s="286" t="n">
        <v>36678</v>
      </c>
      <c r="I26" s="272" t="n">
        <v>50000</v>
      </c>
      <c r="J26" s="125" t="n">
        <v>0.46</v>
      </c>
      <c r="K26" s="124" t="n">
        <f aca="false">HLOOKUP($D$3,GDPRICES,VLOOKUP(Q26,GDmove_down,2,FALSE()),FALSE())</f>
        <v>4.645</v>
      </c>
      <c r="L26" s="124" t="n">
        <f aca="false">HLOOKUP($E$3,GDPRICES,VLOOKUP(Q26,GDmove_down,2,FALSE()),FALSE())</f>
        <v>3.625</v>
      </c>
      <c r="M26" s="126" t="n">
        <v>1</v>
      </c>
      <c r="N26" s="7" t="n">
        <v>0.515</v>
      </c>
      <c r="O26" s="7" t="n">
        <v>0.515</v>
      </c>
      <c r="P26" s="249" t="e">
        <f aca="false">HLOOKUP(E26,GDcorr,VLOOKUP(H26,GDCorMove,2,FALSE()),FALSE())</f>
        <v>#N/A</v>
      </c>
      <c r="Q26" s="92" t="n">
        <v>36680</v>
      </c>
      <c r="R26" s="7" t="n">
        <f aca="false">IF(G26="P",0,1)</f>
        <v>1</v>
      </c>
      <c r="S26" s="130" t="e">
        <f aca="false">xSPRDOPT($K26,$L26,$J26,$M26,$N26,$O26,$P26,$Q26-$C$3,$R26,0)</f>
        <v>#NAME?</v>
      </c>
      <c r="T26" s="250" t="e">
        <f aca="false">xSPRDOPT($K26,$L26,$J26,$M26,$N26,$O26,$P26,$Q26-$C$3,$R26,1)*I26</f>
        <v>#NAME?</v>
      </c>
      <c r="U26" s="43" t="n">
        <v>0</v>
      </c>
      <c r="V26" s="250" t="e">
        <f aca="false">xSPRDOPT($K26,$L26,$J26,$M26,$N26,$O26,$P26,$Q26-$C$3,$R26,2)*I26</f>
        <v>#NAME?</v>
      </c>
      <c r="W26" s="250" t="e">
        <f aca="false">+V26+T26</f>
        <v>#NAME?</v>
      </c>
      <c r="X26" s="2" t="str">
        <f aca="false">CONCATENATE(H26,E26)</f>
        <v>36678IF-ELPO/SJ</v>
      </c>
      <c r="Y26" s="251" t="n">
        <f aca="false">I26/10000</f>
        <v>5</v>
      </c>
      <c r="Z26" s="2"/>
      <c r="AA26" s="2"/>
      <c r="AB26" s="182" t="n">
        <f aca="false">H26</f>
        <v>36678</v>
      </c>
      <c r="AC26" s="253" t="n">
        <v>0</v>
      </c>
      <c r="AD26" s="253" t="n">
        <v>0</v>
      </c>
      <c r="AE26" s="253" t="n">
        <v>0</v>
      </c>
      <c r="AF26" s="253" t="n">
        <v>0</v>
      </c>
      <c r="AG26" s="253" t="n">
        <v>0</v>
      </c>
      <c r="AH26" s="253" t="n">
        <v>0</v>
      </c>
      <c r="AI26" s="253" t="n">
        <v>0</v>
      </c>
      <c r="AJ26" s="254" t="e">
        <f aca="false">HLOOKUP(D26,PREVCURVES,VLOOKUP(H26,MOVE_DOWN2,2,FALSE()),FALSE())-HLOOKUP(E26,PREVCURVES,VLOOKUP(H26,MOVE_DOWN2,2,FALSE()),FALSE())</f>
        <v>#N/A</v>
      </c>
      <c r="AK26" s="253"/>
      <c r="AL26" s="0" t="str">
        <f aca="false">CONCATENATE(AB26,$AC$6)</f>
        <v>36678Curve Shift/Gamma</v>
      </c>
      <c r="AM26" s="0" t="str">
        <f aca="false">CONCATENATE($AB26,$AD$6)</f>
        <v>36678Rho</v>
      </c>
      <c r="AN26" s="0" t="str">
        <f aca="false">CONCATENATE($AB26,$AE$6)</f>
        <v>36678Drift</v>
      </c>
      <c r="AO26" s="0" t="str">
        <f aca="false">CONCATENATE($AB26,$AF$6)</f>
        <v>36678Vega</v>
      </c>
      <c r="AP26" s="0" t="str">
        <f aca="false">CONCATENATE($AB26,$AG$6)</f>
        <v>36678Theta</v>
      </c>
      <c r="AQ26" s="255" t="n">
        <f aca="false">EOMONTH(AQ25,0)+1</f>
        <v>37135</v>
      </c>
      <c r="AR26" s="261" t="n">
        <f aca="false">SUMIF($AL$7:$AL$654,CONCATENATE($AQ26,$AR$6),$AC$7:$AC$654)</f>
        <v>0</v>
      </c>
      <c r="AS26" s="262" t="n">
        <f aca="false">SUMIF($AM$7:$AM$659,CONCATENATE($AQ26,$AS$6),$AD$7:$AD$654)</f>
        <v>0</v>
      </c>
      <c r="AT26" s="262" t="n">
        <f aca="false">SUMIF($AN$7:$AN$659,CONCATENATE($AQ26,$AT$6),$AE$7:$AE$654)</f>
        <v>0</v>
      </c>
      <c r="AU26" s="262" t="n">
        <f aca="false">SUMIF($AO$7:$AO$659,CONCATENATE($AQ26,$AU$6),$AF$7:$AF$654)</f>
        <v>0</v>
      </c>
      <c r="AV26" s="263" t="n">
        <f aca="false">SUMIF($AP$7:$AP$659,CONCATENATE($AQ26,$AV$6),$AG$7:$AG$654)</f>
        <v>0</v>
      </c>
      <c r="AW26" s="264" t="n">
        <f aca="false">SUM(AR26:AV26)</f>
        <v>0</v>
      </c>
      <c r="AZ26" s="143" t="n">
        <f aca="false">EOMONTH(AZ25,0)+1</f>
        <v>36739</v>
      </c>
      <c r="BA26" s="135"/>
      <c r="BG26" s="285" t="n">
        <v>37073</v>
      </c>
      <c r="BH26" s="0" t="n">
        <v>0.985</v>
      </c>
      <c r="BJ26" s="285" t="n">
        <v>37073</v>
      </c>
      <c r="BK26" s="0" t="n">
        <v>23</v>
      </c>
    </row>
    <row r="27" customFormat="false" ht="12" hidden="false" customHeight="true" outlineLevel="0" collapsed="false">
      <c r="A27" s="267" t="s">
        <v>198</v>
      </c>
      <c r="B27" s="269" t="s">
        <v>192</v>
      </c>
      <c r="C27" s="269" t="s">
        <v>494</v>
      </c>
      <c r="D27" s="269" t="s">
        <v>137</v>
      </c>
      <c r="E27" s="7" t="s">
        <v>483</v>
      </c>
      <c r="F27" s="269" t="s">
        <v>131</v>
      </c>
      <c r="G27" s="269" t="s">
        <v>136</v>
      </c>
      <c r="H27" s="286" t="n">
        <v>36678</v>
      </c>
      <c r="I27" s="272" t="n">
        <v>-10000</v>
      </c>
      <c r="J27" s="125" t="n">
        <v>0.46</v>
      </c>
      <c r="K27" s="124" t="n">
        <f aca="false">HLOOKUP($D$3,GDPRICES,VLOOKUP(Q27,GDmove_down,2,FALSE()),FALSE())</f>
        <v>4.645</v>
      </c>
      <c r="L27" s="124" t="n">
        <f aca="false">HLOOKUP($E$3,GDPRICES,VLOOKUP(Q27,GDmove_down,2,FALSE()),FALSE())</f>
        <v>3.625</v>
      </c>
      <c r="M27" s="126" t="n">
        <v>1</v>
      </c>
      <c r="N27" s="7" t="n">
        <v>0.515</v>
      </c>
      <c r="O27" s="7" t="n">
        <v>0.515</v>
      </c>
      <c r="P27" s="249" t="e">
        <f aca="false">HLOOKUP(E27,GDcorr,VLOOKUP(H27,GDCorMove,2,FALSE()),FALSE())</f>
        <v>#N/A</v>
      </c>
      <c r="Q27" s="92" t="n">
        <v>36680</v>
      </c>
      <c r="R27" s="7" t="n">
        <f aca="false">IF(G27="P",0,1)</f>
        <v>1</v>
      </c>
      <c r="S27" s="130" t="e">
        <f aca="false">xSPRDOPT($K27,$L27,$J27,$M27,$N27,$O27,$P27,$Q27-$C$3,$R27,0)</f>
        <v>#NAME?</v>
      </c>
      <c r="T27" s="250" t="e">
        <f aca="false">xSPRDOPT($K27,$L27,$J27,$M27,$N27,$O27,$P27,$Q27-$C$3,$R27,1)*I27</f>
        <v>#NAME?</v>
      </c>
      <c r="U27" s="43" t="n">
        <v>0</v>
      </c>
      <c r="V27" s="250" t="e">
        <f aca="false">xSPRDOPT($K27,$L27,$J27,$M27,$N27,$O27,$P27,$Q27-$C$3,$R27,2)*I27</f>
        <v>#NAME?</v>
      </c>
      <c r="W27" s="250" t="e">
        <f aca="false">+V27+T27</f>
        <v>#NAME?</v>
      </c>
      <c r="X27" s="2" t="str">
        <f aca="false">CONCATENATE(H27,E27)</f>
        <v>36678IF-ELPO/SJ</v>
      </c>
      <c r="Y27" s="251" t="n">
        <f aca="false">I27/10000</f>
        <v>-1</v>
      </c>
      <c r="Z27" s="2"/>
      <c r="AA27" s="2"/>
      <c r="AB27" s="182" t="n">
        <f aca="false">H27</f>
        <v>36678</v>
      </c>
      <c r="AC27" s="253" t="n">
        <v>0</v>
      </c>
      <c r="AD27" s="253" t="n">
        <v>0</v>
      </c>
      <c r="AE27" s="253" t="n">
        <v>0</v>
      </c>
      <c r="AF27" s="253" t="n">
        <v>0</v>
      </c>
      <c r="AG27" s="253" t="n">
        <v>0</v>
      </c>
      <c r="AH27" s="253" t="n">
        <v>0</v>
      </c>
      <c r="AI27" s="253" t="n">
        <v>0</v>
      </c>
      <c r="AJ27" s="254" t="e">
        <f aca="false">HLOOKUP(D27,PREVCURVES,VLOOKUP(H27,MOVE_DOWN2,2,FALSE()),FALSE())-HLOOKUP(E27,PREVCURVES,VLOOKUP(H27,MOVE_DOWN2,2,FALSE()),FALSE())</f>
        <v>#N/A</v>
      </c>
      <c r="AK27" s="253"/>
      <c r="AL27" s="0" t="str">
        <f aca="false">CONCATENATE(AB27,$AC$6)</f>
        <v>36678Curve Shift/Gamma</v>
      </c>
      <c r="AM27" s="0" t="str">
        <f aca="false">CONCATENATE($AB27,$AD$6)</f>
        <v>36678Rho</v>
      </c>
      <c r="AN27" s="0" t="str">
        <f aca="false">CONCATENATE($AB27,$AE$6)</f>
        <v>36678Drift</v>
      </c>
      <c r="AO27" s="0" t="str">
        <f aca="false">CONCATENATE($AB27,$AF$6)</f>
        <v>36678Vega</v>
      </c>
      <c r="AP27" s="0" t="str">
        <f aca="false">CONCATENATE($AB27,$AG$6)</f>
        <v>36678Theta</v>
      </c>
      <c r="AQ27" s="255" t="n">
        <f aca="false">EOMONTH(AQ26,0)+1</f>
        <v>37165</v>
      </c>
      <c r="AR27" s="261" t="n">
        <f aca="false">SUMIF($AL$7:$AL$654,CONCATENATE($AQ27,$AR$6),$AC$7:$AC$654)</f>
        <v>0</v>
      </c>
      <c r="AS27" s="262" t="n">
        <f aca="false">SUMIF($AM$7:$AM$659,CONCATENATE($AQ27,$AS$6),$AD$7:$AD$654)</f>
        <v>0</v>
      </c>
      <c r="AT27" s="262" t="n">
        <f aca="false">SUMIF($AN$7:$AN$659,CONCATENATE($AQ27,$AT$6),$AE$7:$AE$654)</f>
        <v>0</v>
      </c>
      <c r="AU27" s="262" t="n">
        <f aca="false">SUMIF($AO$7:$AO$659,CONCATENATE($AQ27,$AU$6),$AF$7:$AF$654)</f>
        <v>0</v>
      </c>
      <c r="AV27" s="263" t="n">
        <f aca="false">SUMIF($AP$7:$AP$659,CONCATENATE($AQ27,$AV$6),$AG$7:$AG$654)</f>
        <v>0</v>
      </c>
      <c r="AW27" s="264" t="n">
        <f aca="false">SUM(AR27:AV27)</f>
        <v>0</v>
      </c>
      <c r="AZ27" s="143" t="n">
        <f aca="false">EOMONTH(AZ26,0)+1</f>
        <v>36770</v>
      </c>
      <c r="BA27" s="135"/>
      <c r="BG27" s="285" t="n">
        <v>37104</v>
      </c>
      <c r="BH27" s="0" t="n">
        <v>0.985</v>
      </c>
      <c r="BJ27" s="285" t="n">
        <v>37104</v>
      </c>
      <c r="BK27" s="0" t="n">
        <v>24</v>
      </c>
    </row>
    <row r="28" customFormat="false" ht="12" hidden="false" customHeight="true" outlineLevel="0" collapsed="false">
      <c r="A28" s="265" t="s">
        <v>198</v>
      </c>
      <c r="B28" s="269" t="s">
        <v>192</v>
      </c>
      <c r="C28" s="269" t="s">
        <v>488</v>
      </c>
      <c r="D28" s="269" t="s">
        <v>137</v>
      </c>
      <c r="E28" s="7" t="s">
        <v>483</v>
      </c>
      <c r="F28" s="269" t="s">
        <v>131</v>
      </c>
      <c r="G28" s="269" t="s">
        <v>136</v>
      </c>
      <c r="H28" s="286" t="n">
        <v>36678</v>
      </c>
      <c r="I28" s="272" t="n">
        <v>-50000</v>
      </c>
      <c r="J28" s="125" t="n">
        <v>0.46</v>
      </c>
      <c r="K28" s="124" t="n">
        <f aca="false">HLOOKUP($D$3,GDPRICES,VLOOKUP(Q28,GDmove_down,2,FALSE()),FALSE())</f>
        <v>4.755</v>
      </c>
      <c r="L28" s="124" t="n">
        <f aca="false">HLOOKUP($E$3,GDPRICES,VLOOKUP(Q28,GDmove_down,2,FALSE()),FALSE())</f>
        <v>3.475</v>
      </c>
      <c r="M28" s="126" t="n">
        <v>1</v>
      </c>
      <c r="N28" s="7" t="n">
        <v>0.515</v>
      </c>
      <c r="O28" s="7" t="n">
        <v>0.515</v>
      </c>
      <c r="P28" s="249" t="e">
        <f aca="false">HLOOKUP(E28,GDcorr,VLOOKUP(H28,GDCorMove,2,FALSE()),FALSE())</f>
        <v>#N/A</v>
      </c>
      <c r="Q28" s="92" t="n">
        <v>36681</v>
      </c>
      <c r="R28" s="7" t="n">
        <f aca="false">IF(G28="P",0,1)</f>
        <v>1</v>
      </c>
      <c r="S28" s="130" t="e">
        <f aca="false">xSPRDOPT($K28,$L28,$J28,$M28,$N28,$O28,$P28,$Q28-$C$3,$R28,0)</f>
        <v>#NAME?</v>
      </c>
      <c r="T28" s="250" t="e">
        <f aca="false">xSPRDOPT($K28,$L28,$J28,$M28,$N28,$O28,$P28,$Q28-$C$3,$R28,1)*I28</f>
        <v>#NAME?</v>
      </c>
      <c r="U28" s="43" t="n">
        <v>0</v>
      </c>
      <c r="V28" s="250" t="e">
        <f aca="false">xSPRDOPT($K28,$L28,$J28,$M28,$N28,$O28,$P28,$Q28-$C$3,$R28,2)*I28</f>
        <v>#NAME?</v>
      </c>
      <c r="W28" s="250" t="e">
        <f aca="false">+V28+T28</f>
        <v>#NAME?</v>
      </c>
      <c r="X28" s="2" t="str">
        <f aca="false">CONCATENATE(H28,E28)</f>
        <v>36678IF-ELPO/SJ</v>
      </c>
      <c r="Y28" s="251" t="n">
        <f aca="false">I28/10000</f>
        <v>-5</v>
      </c>
      <c r="Z28" s="2"/>
      <c r="AA28" s="2"/>
      <c r="AB28" s="182" t="n">
        <f aca="false">H28</f>
        <v>36678</v>
      </c>
      <c r="AC28" s="253" t="n">
        <v>0</v>
      </c>
      <c r="AD28" s="253" t="n">
        <v>0</v>
      </c>
      <c r="AE28" s="253" t="n">
        <v>0</v>
      </c>
      <c r="AF28" s="253" t="n">
        <v>0</v>
      </c>
      <c r="AG28" s="253" t="n">
        <v>0</v>
      </c>
      <c r="AH28" s="253" t="n">
        <v>0</v>
      </c>
      <c r="AI28" s="253" t="n">
        <v>0</v>
      </c>
      <c r="AJ28" s="254" t="e">
        <f aca="false">HLOOKUP(D28,PREVCURVES,VLOOKUP(H28,MOVE_DOWN2,2,FALSE()),FALSE())-HLOOKUP(E28,PREVCURVES,VLOOKUP(H28,MOVE_DOWN2,2,FALSE()),FALSE())</f>
        <v>#N/A</v>
      </c>
      <c r="AK28" s="253"/>
      <c r="AL28" s="0" t="str">
        <f aca="false">CONCATENATE(AB28,$AC$6)</f>
        <v>36678Curve Shift/Gamma</v>
      </c>
      <c r="AM28" s="0" t="str">
        <f aca="false">CONCATENATE($AB28,$AD$6)</f>
        <v>36678Rho</v>
      </c>
      <c r="AN28" s="0" t="str">
        <f aca="false">CONCATENATE($AB28,$AE$6)</f>
        <v>36678Drift</v>
      </c>
      <c r="AO28" s="0" t="str">
        <f aca="false">CONCATENATE($AB28,$AF$6)</f>
        <v>36678Vega</v>
      </c>
      <c r="AP28" s="0" t="str">
        <f aca="false">CONCATENATE($AB28,$AG$6)</f>
        <v>36678Theta</v>
      </c>
      <c r="AQ28" s="255" t="n">
        <f aca="false">EOMONTH(AQ27,0)+1</f>
        <v>37196</v>
      </c>
      <c r="AR28" s="261" t="n">
        <f aca="false">SUMIF($AL$7:$AL$654,CONCATENATE($AQ28,$AR$6),$AC$7:$AC$654)</f>
        <v>0</v>
      </c>
      <c r="AS28" s="262" t="n">
        <f aca="false">SUMIF($AM$7:$AM$659,CONCATENATE($AQ28,$AS$6),$AD$7:$AD$654)</f>
        <v>0</v>
      </c>
      <c r="AT28" s="262" t="n">
        <f aca="false">SUMIF($AN$7:$AN$659,CONCATENATE($AQ28,$AT$6),$AE$7:$AE$654)</f>
        <v>0</v>
      </c>
      <c r="AU28" s="262" t="n">
        <f aca="false">SUMIF($AO$7:$AO$659,CONCATENATE($AQ28,$AU$6),$AF$7:$AF$654)</f>
        <v>0</v>
      </c>
      <c r="AV28" s="263" t="n">
        <f aca="false">SUMIF($AP$7:$AP$659,CONCATENATE($AQ28,$AV$6),$AG$7:$AG$654)</f>
        <v>0</v>
      </c>
      <c r="AW28" s="264" t="n">
        <f aca="false">SUM(AR28:AV28)</f>
        <v>0</v>
      </c>
      <c r="AZ28" s="143" t="n">
        <f aca="false">EOMONTH(AZ27,0)+1</f>
        <v>36800</v>
      </c>
      <c r="BA28" s="135"/>
      <c r="BG28" s="285" t="n">
        <v>37135</v>
      </c>
      <c r="BH28" s="0" t="n">
        <v>0.985</v>
      </c>
      <c r="BJ28" s="285" t="n">
        <v>37135</v>
      </c>
      <c r="BK28" s="0" t="n">
        <v>25</v>
      </c>
    </row>
    <row r="29" customFormat="false" ht="12" hidden="false" customHeight="true" outlineLevel="0" collapsed="false">
      <c r="A29" s="265" t="s">
        <v>198</v>
      </c>
      <c r="B29" s="269" t="s">
        <v>192</v>
      </c>
      <c r="C29" s="269" t="s">
        <v>489</v>
      </c>
      <c r="D29" s="269" t="s">
        <v>137</v>
      </c>
      <c r="E29" s="7" t="s">
        <v>483</v>
      </c>
      <c r="F29" s="269" t="s">
        <v>131</v>
      </c>
      <c r="G29" s="269" t="s">
        <v>136</v>
      </c>
      <c r="H29" s="286" t="n">
        <v>36678</v>
      </c>
      <c r="I29" s="272" t="n">
        <v>10000</v>
      </c>
      <c r="J29" s="125" t="n">
        <v>0.46</v>
      </c>
      <c r="K29" s="124" t="n">
        <f aca="false">HLOOKUP($D$3,GDPRICES,VLOOKUP(Q29,GDmove_down,2,FALSE()),FALSE())</f>
        <v>4.755</v>
      </c>
      <c r="L29" s="124" t="n">
        <f aca="false">HLOOKUP($E$3,GDPRICES,VLOOKUP(Q29,GDmove_down,2,FALSE()),FALSE())</f>
        <v>3.475</v>
      </c>
      <c r="M29" s="126" t="n">
        <v>1</v>
      </c>
      <c r="N29" s="7" t="n">
        <v>0.515</v>
      </c>
      <c r="O29" s="7" t="n">
        <v>0.515</v>
      </c>
      <c r="P29" s="249" t="e">
        <f aca="false">HLOOKUP(E29,GDcorr,VLOOKUP(H29,GDCorMove,2,FALSE()),FALSE())</f>
        <v>#N/A</v>
      </c>
      <c r="Q29" s="92" t="n">
        <v>36681</v>
      </c>
      <c r="R29" s="7" t="n">
        <f aca="false">IF(G29="P",0,1)</f>
        <v>1</v>
      </c>
      <c r="S29" s="130" t="e">
        <f aca="false">xSPRDOPT($K29,$L29,$J29,$M29,$N29,$O29,$P29,$Q29-$C$3,$R29,0)</f>
        <v>#NAME?</v>
      </c>
      <c r="T29" s="250" t="e">
        <f aca="false">xSPRDOPT($K29,$L29,$J29,$M29,$N29,$O29,$P29,$Q29-$C$3,$R29,1)*I29</f>
        <v>#NAME?</v>
      </c>
      <c r="U29" s="43" t="n">
        <v>0</v>
      </c>
      <c r="V29" s="250" t="e">
        <f aca="false">xSPRDOPT($K29,$L29,$J29,$M29,$N29,$O29,$P29,$Q29-$C$3,$R29,2)*I29</f>
        <v>#NAME?</v>
      </c>
      <c r="W29" s="250" t="e">
        <f aca="false">+V29+T29</f>
        <v>#NAME?</v>
      </c>
      <c r="X29" s="2" t="str">
        <f aca="false">CONCATENATE(H29,E29)</f>
        <v>36678IF-ELPO/SJ</v>
      </c>
      <c r="Y29" s="251" t="n">
        <f aca="false">I29/10000</f>
        <v>1</v>
      </c>
      <c r="Z29" s="2"/>
      <c r="AA29" s="2"/>
      <c r="AB29" s="182" t="n">
        <f aca="false">H29</f>
        <v>36678</v>
      </c>
      <c r="AC29" s="253" t="n">
        <v>0</v>
      </c>
      <c r="AD29" s="253" t="n">
        <v>0</v>
      </c>
      <c r="AE29" s="253" t="n">
        <v>0</v>
      </c>
      <c r="AF29" s="253" t="n">
        <v>0</v>
      </c>
      <c r="AG29" s="253" t="n">
        <v>0</v>
      </c>
      <c r="AH29" s="253" t="n">
        <v>0</v>
      </c>
      <c r="AI29" s="253" t="n">
        <v>0</v>
      </c>
      <c r="AJ29" s="254" t="e">
        <f aca="false">HLOOKUP(D29,PREVCURVES,VLOOKUP(H29,MOVE_DOWN2,2,FALSE()),FALSE())-HLOOKUP(E29,PREVCURVES,VLOOKUP(H29,MOVE_DOWN2,2,FALSE()),FALSE())</f>
        <v>#N/A</v>
      </c>
      <c r="AK29" s="253"/>
      <c r="AL29" s="0" t="str">
        <f aca="false">CONCATENATE(AB29,$AC$6)</f>
        <v>36678Curve Shift/Gamma</v>
      </c>
      <c r="AM29" s="0" t="str">
        <f aca="false">CONCATENATE($AB29,$AD$6)</f>
        <v>36678Rho</v>
      </c>
      <c r="AN29" s="0" t="str">
        <f aca="false">CONCATENATE($AB29,$AE$6)</f>
        <v>36678Drift</v>
      </c>
      <c r="AO29" s="0" t="str">
        <f aca="false">CONCATENATE($AB29,$AF$6)</f>
        <v>36678Vega</v>
      </c>
      <c r="AP29" s="0" t="str">
        <f aca="false">CONCATENATE($AB29,$AG$6)</f>
        <v>36678Theta</v>
      </c>
      <c r="AQ29" s="255" t="n">
        <f aca="false">EOMONTH(AQ28,0)+1</f>
        <v>37226</v>
      </c>
      <c r="AR29" s="261" t="n">
        <f aca="false">SUMIF($AL$7:$AL$654,CONCATENATE($AQ29,$AR$6),$AC$7:$AC$654)</f>
        <v>0</v>
      </c>
      <c r="AS29" s="262" t="n">
        <f aca="false">SUMIF($AM$7:$AM$659,CONCATENATE($AQ29,$AS$6),$AD$7:$AD$654)</f>
        <v>0</v>
      </c>
      <c r="AT29" s="262" t="n">
        <f aca="false">SUMIF($AN$7:$AN$659,CONCATENATE($AQ29,$AT$6),$AE$7:$AE$654)</f>
        <v>0</v>
      </c>
      <c r="AU29" s="262" t="n">
        <f aca="false">SUMIF($AO$7:$AO$659,CONCATENATE($AQ29,$AU$6),$AF$7:$AF$654)</f>
        <v>0</v>
      </c>
      <c r="AV29" s="263" t="n">
        <f aca="false">SUMIF($AP$7:$AP$659,CONCATENATE($AQ29,$AV$6),$AG$7:$AG$654)</f>
        <v>0</v>
      </c>
      <c r="AW29" s="264" t="n">
        <f aca="false">SUM(AR29:AV29)</f>
        <v>0</v>
      </c>
      <c r="AZ29" s="143" t="n">
        <f aca="false">EOMONTH(AZ28,0)+1</f>
        <v>36831</v>
      </c>
      <c r="BA29" s="135"/>
      <c r="BG29" s="285" t="n">
        <v>37165</v>
      </c>
      <c r="BH29" s="0" t="n">
        <v>0.985</v>
      </c>
      <c r="BJ29" s="285" t="n">
        <v>37165</v>
      </c>
      <c r="BK29" s="0" t="n">
        <v>26</v>
      </c>
    </row>
    <row r="30" customFormat="false" ht="12" hidden="false" customHeight="true" outlineLevel="0" collapsed="false">
      <c r="A30" s="265" t="s">
        <v>198</v>
      </c>
      <c r="B30" s="269" t="s">
        <v>192</v>
      </c>
      <c r="C30" s="269" t="s">
        <v>490</v>
      </c>
      <c r="D30" s="269" t="s">
        <v>137</v>
      </c>
      <c r="E30" s="7" t="s">
        <v>483</v>
      </c>
      <c r="F30" s="269" t="s">
        <v>131</v>
      </c>
      <c r="G30" s="269" t="s">
        <v>136</v>
      </c>
      <c r="H30" s="286" t="n">
        <v>36678</v>
      </c>
      <c r="I30" s="272" t="n">
        <v>-333333</v>
      </c>
      <c r="J30" s="125" t="n">
        <v>0.46</v>
      </c>
      <c r="K30" s="124" t="n">
        <f aca="false">HLOOKUP($D$3,GDPRICES,VLOOKUP(Q30,GDmove_down,2,FALSE()),FALSE())</f>
        <v>4.755</v>
      </c>
      <c r="L30" s="124" t="n">
        <f aca="false">HLOOKUP($E$3,GDPRICES,VLOOKUP(Q30,GDmove_down,2,FALSE()),FALSE())</f>
        <v>3.475</v>
      </c>
      <c r="M30" s="126" t="n">
        <v>1</v>
      </c>
      <c r="N30" s="7" t="n">
        <v>0.515</v>
      </c>
      <c r="O30" s="7" t="n">
        <v>0.515</v>
      </c>
      <c r="P30" s="249" t="e">
        <f aca="false">HLOOKUP(E30,GDcorr,VLOOKUP(H30,GDCorMove,2,FALSE()),FALSE())</f>
        <v>#N/A</v>
      </c>
      <c r="Q30" s="92" t="n">
        <v>36681</v>
      </c>
      <c r="R30" s="7" t="n">
        <f aca="false">IF(G30="P",0,1)</f>
        <v>1</v>
      </c>
      <c r="S30" s="130" t="e">
        <f aca="false">xSPRDOPT($K30,$L30,$J30,$M30,$N30,$O30,$P30,$Q30-$C$3,$R30,0)</f>
        <v>#NAME?</v>
      </c>
      <c r="T30" s="250" t="e">
        <f aca="false">xSPRDOPT($K30,$L30,$J30,$M30,$N30,$O30,$P30,$Q30-$C$3,$R30,1)*I30</f>
        <v>#NAME?</v>
      </c>
      <c r="U30" s="43" t="n">
        <v>0</v>
      </c>
      <c r="V30" s="250" t="e">
        <f aca="false">xSPRDOPT($K30,$L30,$J30,$M30,$N30,$O30,$P30,$Q30-$C$3,$R30,2)*I30</f>
        <v>#NAME?</v>
      </c>
      <c r="W30" s="250" t="e">
        <f aca="false">+V30+T30</f>
        <v>#NAME?</v>
      </c>
      <c r="X30" s="2" t="str">
        <f aca="false">CONCATENATE(H30,E30)</f>
        <v>36678IF-ELPO/SJ</v>
      </c>
      <c r="Y30" s="251" t="n">
        <f aca="false">I30/10000</f>
        <v>-33.3333</v>
      </c>
      <c r="Z30" s="2"/>
      <c r="AA30" s="2"/>
      <c r="AB30" s="182" t="n">
        <f aca="false">H30</f>
        <v>36678</v>
      </c>
      <c r="AC30" s="253" t="n">
        <v>0</v>
      </c>
      <c r="AD30" s="253" t="n">
        <v>0</v>
      </c>
      <c r="AE30" s="253" t="n">
        <v>0</v>
      </c>
      <c r="AF30" s="253" t="n">
        <v>0</v>
      </c>
      <c r="AG30" s="253" t="n">
        <v>0</v>
      </c>
      <c r="AH30" s="253" t="n">
        <v>0</v>
      </c>
      <c r="AI30" s="253" t="n">
        <v>0</v>
      </c>
      <c r="AJ30" s="254" t="e">
        <f aca="false">HLOOKUP(D30,PREVCURVES,VLOOKUP(H30,MOVE_DOWN2,2,FALSE()),FALSE())-HLOOKUP(E30,PREVCURVES,VLOOKUP(H30,MOVE_DOWN2,2,FALSE()),FALSE())</f>
        <v>#N/A</v>
      </c>
      <c r="AK30" s="253"/>
      <c r="AL30" s="0" t="str">
        <f aca="false">CONCATENATE(AB30,$AC$6)</f>
        <v>36678Curve Shift/Gamma</v>
      </c>
      <c r="AM30" s="0" t="str">
        <f aca="false">CONCATENATE($AB30,$AD$6)</f>
        <v>36678Rho</v>
      </c>
      <c r="AN30" s="0" t="str">
        <f aca="false">CONCATENATE($AB30,$AE$6)</f>
        <v>36678Drift</v>
      </c>
      <c r="AO30" s="0" t="str">
        <f aca="false">CONCATENATE($AB30,$AF$6)</f>
        <v>36678Vega</v>
      </c>
      <c r="AP30" s="0" t="str">
        <f aca="false">CONCATENATE($AB30,$AG$6)</f>
        <v>36678Theta</v>
      </c>
      <c r="AQ30" s="255" t="n">
        <f aca="false">EOMONTH(AQ29,0)+1</f>
        <v>37257</v>
      </c>
      <c r="AR30" s="261" t="n">
        <f aca="false">SUMIF($AL$7:$AL$654,CONCATENATE($AQ30,$AR$6),$AC$7:$AC$654)</f>
        <v>0</v>
      </c>
      <c r="AS30" s="262" t="n">
        <f aca="false">SUMIF($AM$7:$AM$659,CONCATENATE($AQ30,$AS$6),$AD$7:$AD$654)</f>
        <v>0</v>
      </c>
      <c r="AT30" s="262" t="n">
        <f aca="false">SUMIF($AN$7:$AN$659,CONCATENATE($AQ30,$AT$6),$AE$7:$AE$654)</f>
        <v>0</v>
      </c>
      <c r="AU30" s="262" t="n">
        <f aca="false">SUMIF($AO$7:$AO$659,CONCATENATE($AQ30,$AU$6),$AF$7:$AF$654)</f>
        <v>0</v>
      </c>
      <c r="AV30" s="263" t="n">
        <f aca="false">SUMIF($AP$7:$AP$659,CONCATENATE($AQ30,$AV$6),$AG$7:$AG$654)</f>
        <v>0</v>
      </c>
      <c r="AW30" s="264" t="n">
        <f aca="false">SUM(AR30:AV30)</f>
        <v>0</v>
      </c>
      <c r="AZ30" s="143" t="n">
        <f aca="false">EOMONTH(AZ29,0)+1</f>
        <v>36861</v>
      </c>
      <c r="BA30" s="135"/>
      <c r="BG30" s="285" t="n">
        <v>37196</v>
      </c>
      <c r="BH30" s="0" t="n">
        <v>0.970485</v>
      </c>
      <c r="BJ30" s="285" t="n">
        <v>37196</v>
      </c>
      <c r="BK30" s="0" t="n">
        <v>27</v>
      </c>
    </row>
    <row r="31" customFormat="false" ht="12" hidden="false" customHeight="true" outlineLevel="0" collapsed="false">
      <c r="A31" s="267" t="s">
        <v>196</v>
      </c>
      <c r="B31" s="269" t="s">
        <v>192</v>
      </c>
      <c r="C31" s="269" t="s">
        <v>491</v>
      </c>
      <c r="D31" s="269" t="s">
        <v>137</v>
      </c>
      <c r="E31" s="7" t="s">
        <v>483</v>
      </c>
      <c r="F31" s="269" t="s">
        <v>131</v>
      </c>
      <c r="G31" s="269" t="s">
        <v>136</v>
      </c>
      <c r="H31" s="286" t="n">
        <v>36678</v>
      </c>
      <c r="I31" s="272" t="n">
        <v>-10000</v>
      </c>
      <c r="J31" s="125" t="n">
        <v>0.46</v>
      </c>
      <c r="K31" s="124" t="n">
        <f aca="false">HLOOKUP($D$3,GDPRICES,VLOOKUP(Q31,GDmove_down,2,FALSE()),FALSE())</f>
        <v>4.755</v>
      </c>
      <c r="L31" s="124" t="n">
        <f aca="false">HLOOKUP($E$3,GDPRICES,VLOOKUP(Q31,GDmove_down,2,FALSE()),FALSE())</f>
        <v>3.475</v>
      </c>
      <c r="M31" s="126" t="n">
        <v>1</v>
      </c>
      <c r="N31" s="7" t="n">
        <v>0.515</v>
      </c>
      <c r="O31" s="7" t="n">
        <v>0.515</v>
      </c>
      <c r="P31" s="249" t="e">
        <f aca="false">HLOOKUP(E31,GDcorr,VLOOKUP(H31,GDCorMove,2,FALSE()),FALSE())</f>
        <v>#N/A</v>
      </c>
      <c r="Q31" s="92" t="n">
        <v>36681</v>
      </c>
      <c r="R31" s="7" t="n">
        <f aca="false">IF(G31="P",0,1)</f>
        <v>1</v>
      </c>
      <c r="S31" s="130" t="e">
        <f aca="false">xSPRDOPT($K31,$L31,$J31,$M31,$N31,$O31,$P31,$Q31-$C$3,$R31,0)</f>
        <v>#NAME?</v>
      </c>
      <c r="T31" s="250" t="e">
        <f aca="false">xSPRDOPT($K31,$L31,$J31,$M31,$N31,$O31,$P31,$Q31-$C$3,$R31,1)*I31</f>
        <v>#NAME?</v>
      </c>
      <c r="U31" s="43" t="n">
        <v>0</v>
      </c>
      <c r="V31" s="250" t="e">
        <f aca="false">xSPRDOPT($K31,$L31,$J31,$M31,$N31,$O31,$P31,$Q31-$C$3,$R31,2)*I31</f>
        <v>#NAME?</v>
      </c>
      <c r="W31" s="250" t="e">
        <f aca="false">+V31+T31</f>
        <v>#NAME?</v>
      </c>
      <c r="X31" s="2" t="str">
        <f aca="false">CONCATENATE(H31,E31)</f>
        <v>36678IF-ELPO/SJ</v>
      </c>
      <c r="Y31" s="251" t="n">
        <f aca="false">I31/10000</f>
        <v>-1</v>
      </c>
      <c r="Z31" s="2"/>
      <c r="AA31" s="2"/>
      <c r="AB31" s="182" t="n">
        <f aca="false">H31</f>
        <v>36678</v>
      </c>
      <c r="AC31" s="253" t="n">
        <v>0</v>
      </c>
      <c r="AD31" s="253" t="n">
        <v>0</v>
      </c>
      <c r="AE31" s="253" t="n">
        <v>0</v>
      </c>
      <c r="AF31" s="253" t="n">
        <v>0</v>
      </c>
      <c r="AG31" s="253" t="n">
        <v>0</v>
      </c>
      <c r="AH31" s="253" t="n">
        <v>0</v>
      </c>
      <c r="AI31" s="253" t="n">
        <v>0</v>
      </c>
      <c r="AJ31" s="254" t="e">
        <f aca="false">HLOOKUP(D31,PREVCURVES,VLOOKUP(H31,MOVE_DOWN2,2,FALSE()),FALSE())-HLOOKUP(E31,PREVCURVES,VLOOKUP(H31,MOVE_DOWN2,2,FALSE()),FALSE())</f>
        <v>#N/A</v>
      </c>
      <c r="AK31" s="253"/>
      <c r="AL31" s="0" t="str">
        <f aca="false">CONCATENATE(AB31,$AC$6)</f>
        <v>36678Curve Shift/Gamma</v>
      </c>
      <c r="AM31" s="0" t="str">
        <f aca="false">CONCATENATE($AB31,$AD$6)</f>
        <v>36678Rho</v>
      </c>
      <c r="AN31" s="0" t="str">
        <f aca="false">CONCATENATE($AB31,$AE$6)</f>
        <v>36678Drift</v>
      </c>
      <c r="AO31" s="0" t="str">
        <f aca="false">CONCATENATE($AB31,$AF$6)</f>
        <v>36678Vega</v>
      </c>
      <c r="AP31" s="0" t="str">
        <f aca="false">CONCATENATE($AB31,$AG$6)</f>
        <v>36678Theta</v>
      </c>
      <c r="AQ31" s="255" t="n">
        <f aca="false">EOMONTH(AQ30,0)+1</f>
        <v>37288</v>
      </c>
      <c r="AR31" s="261" t="n">
        <f aca="false">SUMIF($AL$7:$AL$654,CONCATENATE($AQ31,$AR$6),$AC$7:$AC$654)</f>
        <v>0</v>
      </c>
      <c r="AS31" s="262" t="n">
        <f aca="false">SUMIF($AM$7:$AM$659,CONCATENATE($AQ31,$AS$6),$AD$7:$AD$654)</f>
        <v>0</v>
      </c>
      <c r="AT31" s="262" t="n">
        <f aca="false">SUMIF($AN$7:$AN$659,CONCATENATE($AQ31,$AT$6),$AE$7:$AE$654)</f>
        <v>0</v>
      </c>
      <c r="AU31" s="262" t="n">
        <f aca="false">SUMIF($AO$7:$AO$659,CONCATENATE($AQ31,$AU$6),$AF$7:$AF$654)</f>
        <v>0</v>
      </c>
      <c r="AV31" s="263" t="n">
        <f aca="false">SUMIF($AP$7:$AP$659,CONCATENATE($AQ31,$AV$6),$AG$7:$AG$654)</f>
        <v>0</v>
      </c>
      <c r="AW31" s="264" t="n">
        <f aca="false">SUM(AR31:AV31)</f>
        <v>0</v>
      </c>
      <c r="AZ31" s="143" t="n">
        <f aca="false">EOMONTH(AZ30,0)+1</f>
        <v>36892</v>
      </c>
      <c r="BA31" s="135"/>
      <c r="BG31" s="285" t="n">
        <v>37226</v>
      </c>
      <c r="BH31" s="0" t="n">
        <v>0.970485</v>
      </c>
      <c r="BJ31" s="285" t="n">
        <v>37226</v>
      </c>
      <c r="BK31" s="0" t="n">
        <v>28</v>
      </c>
    </row>
    <row r="32" customFormat="false" ht="12" hidden="false" customHeight="true" outlineLevel="0" collapsed="false">
      <c r="A32" s="267" t="s">
        <v>198</v>
      </c>
      <c r="B32" s="269" t="s">
        <v>192</v>
      </c>
      <c r="C32" s="269" t="s">
        <v>492</v>
      </c>
      <c r="D32" s="269" t="s">
        <v>137</v>
      </c>
      <c r="E32" s="7" t="s">
        <v>483</v>
      </c>
      <c r="F32" s="269" t="s">
        <v>131</v>
      </c>
      <c r="G32" s="269" t="s">
        <v>136</v>
      </c>
      <c r="H32" s="286" t="n">
        <v>36678</v>
      </c>
      <c r="I32" s="272" t="n">
        <v>50000</v>
      </c>
      <c r="J32" s="125" t="n">
        <v>0.46</v>
      </c>
      <c r="K32" s="124" t="n">
        <f aca="false">HLOOKUP($D$3,GDPRICES,VLOOKUP(Q32,GDmove_down,2,FALSE()),FALSE())</f>
        <v>4.755</v>
      </c>
      <c r="L32" s="124" t="n">
        <f aca="false">HLOOKUP($E$3,GDPRICES,VLOOKUP(Q32,GDmove_down,2,FALSE()),FALSE())</f>
        <v>3.475</v>
      </c>
      <c r="M32" s="126" t="n">
        <v>1</v>
      </c>
      <c r="N32" s="7" t="n">
        <v>0.515</v>
      </c>
      <c r="O32" s="7" t="n">
        <v>0.515</v>
      </c>
      <c r="P32" s="249" t="e">
        <f aca="false">HLOOKUP(E32,GDcorr,VLOOKUP(H32,GDCorMove,2,FALSE()),FALSE())</f>
        <v>#N/A</v>
      </c>
      <c r="Q32" s="92" t="n">
        <v>36681</v>
      </c>
      <c r="R32" s="7" t="n">
        <f aca="false">IF(G32="P",0,1)</f>
        <v>1</v>
      </c>
      <c r="S32" s="130" t="e">
        <f aca="false">xSPRDOPT($K32,$L32,$J32,$M32,$N32,$O32,$P32,$Q32-$C$3,$R32,0)</f>
        <v>#NAME?</v>
      </c>
      <c r="T32" s="250" t="e">
        <f aca="false">xSPRDOPT($K32,$L32,$J32,$M32,$N32,$O32,$P32,$Q32-$C$3,$R32,1)*I32</f>
        <v>#NAME?</v>
      </c>
      <c r="U32" s="43" t="n">
        <v>0</v>
      </c>
      <c r="V32" s="250" t="e">
        <f aca="false">xSPRDOPT($K32,$L32,$J32,$M32,$N32,$O32,$P32,$Q32-$C$3,$R32,2)*I32</f>
        <v>#NAME?</v>
      </c>
      <c r="W32" s="250" t="e">
        <f aca="false">+V32+T32</f>
        <v>#NAME?</v>
      </c>
      <c r="X32" s="2" t="str">
        <f aca="false">CONCATENATE(H32,E32)</f>
        <v>36678IF-ELPO/SJ</v>
      </c>
      <c r="Y32" s="251" t="n">
        <f aca="false">I32/10000</f>
        <v>5</v>
      </c>
      <c r="AA32" s="2"/>
      <c r="AB32" s="182" t="n">
        <f aca="false">H32</f>
        <v>36678</v>
      </c>
      <c r="AC32" s="253" t="n">
        <v>0</v>
      </c>
      <c r="AD32" s="253" t="n">
        <v>0</v>
      </c>
      <c r="AE32" s="253" t="n">
        <v>0</v>
      </c>
      <c r="AF32" s="253" t="n">
        <v>0</v>
      </c>
      <c r="AG32" s="253" t="n">
        <v>0</v>
      </c>
      <c r="AH32" s="253" t="n">
        <v>0</v>
      </c>
      <c r="AI32" s="253" t="n">
        <v>0</v>
      </c>
      <c r="AJ32" s="254" t="e">
        <f aca="false">HLOOKUP(D32,PREVCURVES,VLOOKUP(H32,MOVE_DOWN2,2,FALSE()),FALSE())-HLOOKUP(E32,PREVCURVES,VLOOKUP(H32,MOVE_DOWN2,2,FALSE()),FALSE())</f>
        <v>#N/A</v>
      </c>
      <c r="AK32" s="253"/>
      <c r="AL32" s="0" t="str">
        <f aca="false">CONCATENATE(AB32,$AC$6)</f>
        <v>36678Curve Shift/Gamma</v>
      </c>
      <c r="AM32" s="0" t="str">
        <f aca="false">CONCATENATE($AB32,$AD$6)</f>
        <v>36678Rho</v>
      </c>
      <c r="AN32" s="0" t="str">
        <f aca="false">CONCATENATE($AB32,$AE$6)</f>
        <v>36678Drift</v>
      </c>
      <c r="AO32" s="0" t="str">
        <f aca="false">CONCATENATE($AB32,$AF$6)</f>
        <v>36678Vega</v>
      </c>
      <c r="AP32" s="0" t="str">
        <f aca="false">CONCATENATE($AB32,$AG$6)</f>
        <v>36678Theta</v>
      </c>
      <c r="AQ32" s="255" t="n">
        <f aca="false">EOMONTH(AQ31,0)+1</f>
        <v>37316</v>
      </c>
      <c r="AR32" s="261" t="n">
        <f aca="false">SUMIF($AL$7:$AL$654,CONCATENATE($AQ32,$AR$6),$AC$7:$AC$654)</f>
        <v>0</v>
      </c>
      <c r="AS32" s="262" t="n">
        <f aca="false">SUMIF($AM$7:$AM$659,CONCATENATE($AQ32,$AS$6),$AD$7:$AD$654)</f>
        <v>0</v>
      </c>
      <c r="AT32" s="262" t="n">
        <f aca="false">SUMIF($AN$7:$AN$659,CONCATENATE($AQ32,$AT$6),$AE$7:$AE$654)</f>
        <v>0</v>
      </c>
      <c r="AU32" s="262" t="n">
        <f aca="false">SUMIF($AO$7:$AO$659,CONCATENATE($AQ32,$AU$6),$AF$7:$AF$654)</f>
        <v>0</v>
      </c>
      <c r="AV32" s="263" t="n">
        <f aca="false">SUMIF($AP$7:$AP$659,CONCATENATE($AQ32,$AV$6),$AG$7:$AG$654)</f>
        <v>0</v>
      </c>
      <c r="AW32" s="264" t="n">
        <f aca="false">SUM(AR32:AV32)</f>
        <v>0</v>
      </c>
      <c r="AZ32" s="143" t="n">
        <f aca="false">EOMONTH(AZ31,0)+1</f>
        <v>36923</v>
      </c>
      <c r="BA32" s="135"/>
      <c r="BG32" s="285" t="n">
        <v>37257</v>
      </c>
      <c r="BH32" s="0" t="n">
        <v>0.985</v>
      </c>
      <c r="BJ32" s="285" t="n">
        <v>37257</v>
      </c>
      <c r="BK32" s="0" t="n">
        <v>29</v>
      </c>
    </row>
    <row r="33" customFormat="false" ht="12" hidden="false" customHeight="true" outlineLevel="0" collapsed="false">
      <c r="A33" s="267" t="s">
        <v>198</v>
      </c>
      <c r="B33" s="269" t="s">
        <v>192</v>
      </c>
      <c r="C33" s="269" t="s">
        <v>493</v>
      </c>
      <c r="D33" s="269" t="s">
        <v>137</v>
      </c>
      <c r="E33" s="7" t="s">
        <v>483</v>
      </c>
      <c r="F33" s="269" t="s">
        <v>131</v>
      </c>
      <c r="G33" s="269" t="s">
        <v>136</v>
      </c>
      <c r="H33" s="286" t="n">
        <v>36678</v>
      </c>
      <c r="I33" s="272" t="n">
        <v>50000</v>
      </c>
      <c r="J33" s="125" t="n">
        <v>0.46</v>
      </c>
      <c r="K33" s="124" t="n">
        <f aca="false">HLOOKUP($D$3,GDPRICES,VLOOKUP(Q33,GDmove_down,2,FALSE()),FALSE())</f>
        <v>4.755</v>
      </c>
      <c r="L33" s="124" t="n">
        <f aca="false">HLOOKUP($E$3,GDPRICES,VLOOKUP(Q33,GDmove_down,2,FALSE()),FALSE())</f>
        <v>3.475</v>
      </c>
      <c r="M33" s="126" t="n">
        <v>1</v>
      </c>
      <c r="N33" s="7" t="n">
        <v>0.515</v>
      </c>
      <c r="O33" s="7" t="n">
        <v>0.515</v>
      </c>
      <c r="P33" s="249" t="e">
        <f aca="false">HLOOKUP(E33,GDcorr,VLOOKUP(H33,GDCorMove,2,FALSE()),FALSE())</f>
        <v>#N/A</v>
      </c>
      <c r="Q33" s="92" t="n">
        <v>36681</v>
      </c>
      <c r="R33" s="7" t="n">
        <f aca="false">IF(G33="P",0,1)</f>
        <v>1</v>
      </c>
      <c r="S33" s="130" t="e">
        <f aca="false">xSPRDOPT($K33,$L33,$J33,$M33,$N33,$O33,$P33,$Q33-$C$3,$R33,0)</f>
        <v>#NAME?</v>
      </c>
      <c r="T33" s="250" t="e">
        <f aca="false">xSPRDOPT($K33,$L33,$J33,$M33,$N33,$O33,$P33,$Q33-$C$3,$R33,1)*I33</f>
        <v>#NAME?</v>
      </c>
      <c r="U33" s="43" t="n">
        <v>0</v>
      </c>
      <c r="V33" s="250" t="e">
        <f aca="false">xSPRDOPT($K33,$L33,$J33,$M33,$N33,$O33,$P33,$Q33-$C$3,$R33,2)*I33</f>
        <v>#NAME?</v>
      </c>
      <c r="W33" s="250" t="e">
        <f aca="false">+V33+T33</f>
        <v>#NAME?</v>
      </c>
      <c r="X33" s="2" t="str">
        <f aca="false">CONCATENATE(H33,E33)</f>
        <v>36678IF-ELPO/SJ</v>
      </c>
      <c r="Y33" s="251" t="n">
        <f aca="false">I33/10000</f>
        <v>5</v>
      </c>
      <c r="AA33" s="2"/>
      <c r="AB33" s="182" t="n">
        <f aca="false">H33</f>
        <v>36678</v>
      </c>
      <c r="AC33" s="253" t="n">
        <v>0</v>
      </c>
      <c r="AD33" s="253" t="n">
        <v>0</v>
      </c>
      <c r="AE33" s="253" t="n">
        <v>0</v>
      </c>
      <c r="AF33" s="253" t="n">
        <v>0</v>
      </c>
      <c r="AG33" s="253" t="n">
        <v>0</v>
      </c>
      <c r="AH33" s="253" t="n">
        <v>0</v>
      </c>
      <c r="AI33" s="253" t="n">
        <v>0</v>
      </c>
      <c r="AJ33" s="254" t="e">
        <f aca="false">HLOOKUP(D33,PREVCURVES,VLOOKUP(H33,MOVE_DOWN2,2,FALSE()),FALSE())-HLOOKUP(E33,PREVCURVES,VLOOKUP(H33,MOVE_DOWN2,2,FALSE()),FALSE())</f>
        <v>#N/A</v>
      </c>
      <c r="AK33" s="253"/>
      <c r="AL33" s="0" t="str">
        <f aca="false">CONCATENATE(AB33,$AC$6)</f>
        <v>36678Curve Shift/Gamma</v>
      </c>
      <c r="AM33" s="0" t="str">
        <f aca="false">CONCATENATE($AB33,$AD$6)</f>
        <v>36678Rho</v>
      </c>
      <c r="AN33" s="0" t="str">
        <f aca="false">CONCATENATE($AB33,$AE$6)</f>
        <v>36678Drift</v>
      </c>
      <c r="AO33" s="0" t="str">
        <f aca="false">CONCATENATE($AB33,$AF$6)</f>
        <v>36678Vega</v>
      </c>
      <c r="AP33" s="0" t="str">
        <f aca="false">CONCATENATE($AB33,$AG$6)</f>
        <v>36678Theta</v>
      </c>
      <c r="AQ33" s="255" t="n">
        <f aca="false">EOMONTH(AQ32,0)+1</f>
        <v>37347</v>
      </c>
      <c r="AR33" s="261" t="n">
        <f aca="false">SUMIF($AL$7:$AL$654,CONCATENATE($AQ33,$AR$6),$AC$7:$AC$654)</f>
        <v>0</v>
      </c>
      <c r="AS33" s="262" t="n">
        <f aca="false">SUMIF($AM$7:$AM$659,CONCATENATE($AQ33,$AS$6),$AD$7:$AD$654)</f>
        <v>0</v>
      </c>
      <c r="AT33" s="262" t="n">
        <f aca="false">SUMIF($AN$7:$AN$659,CONCATENATE($AQ33,$AT$6),$AE$7:$AE$654)</f>
        <v>0</v>
      </c>
      <c r="AU33" s="262" t="n">
        <f aca="false">SUMIF($AO$7:$AO$659,CONCATENATE($AQ33,$AU$6),$AF$7:$AF$654)</f>
        <v>0</v>
      </c>
      <c r="AV33" s="263" t="n">
        <f aca="false">SUMIF($AP$7:$AP$659,CONCATENATE($AQ33,$AV$6),$AG$7:$AG$654)</f>
        <v>0</v>
      </c>
      <c r="AW33" s="264" t="n">
        <f aca="false">SUM(AR33:AV33)</f>
        <v>0</v>
      </c>
      <c r="AZ33" s="143" t="n">
        <f aca="false">EOMONTH(AZ32,0)+1</f>
        <v>36951</v>
      </c>
      <c r="BA33" s="135"/>
      <c r="BG33" s="285" t="n">
        <v>37288</v>
      </c>
      <c r="BH33" s="0" t="n">
        <v>0.985</v>
      </c>
      <c r="BJ33" s="285" t="n">
        <v>37288</v>
      </c>
      <c r="BK33" s="0" t="n">
        <v>30</v>
      </c>
    </row>
    <row r="34" customFormat="false" ht="12" hidden="false" customHeight="true" outlineLevel="0" collapsed="false">
      <c r="A34" s="267" t="s">
        <v>198</v>
      </c>
      <c r="B34" s="269" t="s">
        <v>192</v>
      </c>
      <c r="C34" s="269" t="s">
        <v>494</v>
      </c>
      <c r="D34" s="269" t="s">
        <v>137</v>
      </c>
      <c r="E34" s="7" t="s">
        <v>483</v>
      </c>
      <c r="F34" s="269" t="s">
        <v>131</v>
      </c>
      <c r="G34" s="269" t="s">
        <v>136</v>
      </c>
      <c r="H34" s="286" t="n">
        <v>36678</v>
      </c>
      <c r="I34" s="272" t="n">
        <v>-10000</v>
      </c>
      <c r="J34" s="125" t="n">
        <v>0.46</v>
      </c>
      <c r="K34" s="124" t="n">
        <f aca="false">HLOOKUP($D$3,GDPRICES,VLOOKUP(Q34,GDmove_down,2,FALSE()),FALSE())</f>
        <v>4.755</v>
      </c>
      <c r="L34" s="124" t="n">
        <f aca="false">HLOOKUP($E$3,GDPRICES,VLOOKUP(Q34,GDmove_down,2,FALSE()),FALSE())</f>
        <v>3.475</v>
      </c>
      <c r="M34" s="126" t="n">
        <v>1</v>
      </c>
      <c r="N34" s="7" t="n">
        <v>0.515</v>
      </c>
      <c r="O34" s="7" t="n">
        <v>0.515</v>
      </c>
      <c r="P34" s="249" t="e">
        <f aca="false">HLOOKUP(E34,GDcorr,VLOOKUP(H34,GDCorMove,2,FALSE()),FALSE())</f>
        <v>#N/A</v>
      </c>
      <c r="Q34" s="92" t="n">
        <v>36681</v>
      </c>
      <c r="R34" s="7" t="n">
        <f aca="false">IF(G34="P",0,1)</f>
        <v>1</v>
      </c>
      <c r="S34" s="130" t="e">
        <f aca="false">xSPRDOPT($K34,$L34,$J34,$M34,$N34,$O34,$P34,$Q34-$C$3,$R34,0)</f>
        <v>#NAME?</v>
      </c>
      <c r="T34" s="250" t="e">
        <f aca="false">xSPRDOPT($K34,$L34,$J34,$M34,$N34,$O34,$P34,$Q34-$C$3,$R34,1)*I34</f>
        <v>#NAME?</v>
      </c>
      <c r="U34" s="43" t="n">
        <v>0</v>
      </c>
      <c r="V34" s="250" t="e">
        <f aca="false">xSPRDOPT($K34,$L34,$J34,$M34,$N34,$O34,$P34,$Q34-$C$3,$R34,2)*I34</f>
        <v>#NAME?</v>
      </c>
      <c r="W34" s="250" t="e">
        <f aca="false">+V34+T34</f>
        <v>#NAME?</v>
      </c>
      <c r="X34" s="2" t="str">
        <f aca="false">CONCATENATE(H34,E34)</f>
        <v>36678IF-ELPO/SJ</v>
      </c>
      <c r="Y34" s="251" t="n">
        <f aca="false">I34/10000</f>
        <v>-1</v>
      </c>
      <c r="AA34" s="2"/>
      <c r="AB34" s="182" t="n">
        <f aca="false">H34</f>
        <v>36678</v>
      </c>
      <c r="AC34" s="253" t="n">
        <v>0</v>
      </c>
      <c r="AD34" s="253" t="n">
        <v>0</v>
      </c>
      <c r="AE34" s="253" t="n">
        <v>0</v>
      </c>
      <c r="AF34" s="253" t="n">
        <v>0</v>
      </c>
      <c r="AG34" s="253" t="n">
        <v>0</v>
      </c>
      <c r="AH34" s="253" t="n">
        <v>0</v>
      </c>
      <c r="AI34" s="253" t="n">
        <v>0</v>
      </c>
      <c r="AJ34" s="254" t="e">
        <f aca="false">HLOOKUP(D34,PREVCURVES,VLOOKUP(H34,MOVE_DOWN2,2,FALSE()),FALSE())-HLOOKUP(E34,PREVCURVES,VLOOKUP(H34,MOVE_DOWN2,2,FALSE()),FALSE())</f>
        <v>#N/A</v>
      </c>
      <c r="AK34" s="253"/>
      <c r="AL34" s="0" t="str">
        <f aca="false">CONCATENATE(AB34,$AC$6)</f>
        <v>36678Curve Shift/Gamma</v>
      </c>
      <c r="AM34" s="0" t="str">
        <f aca="false">CONCATENATE($AB34,$AD$6)</f>
        <v>36678Rho</v>
      </c>
      <c r="AN34" s="0" t="str">
        <f aca="false">CONCATENATE($AB34,$AE$6)</f>
        <v>36678Drift</v>
      </c>
      <c r="AO34" s="0" t="str">
        <f aca="false">CONCATENATE($AB34,$AF$6)</f>
        <v>36678Vega</v>
      </c>
      <c r="AP34" s="0" t="str">
        <f aca="false">CONCATENATE($AB34,$AG$6)</f>
        <v>36678Theta</v>
      </c>
      <c r="AQ34" s="255" t="n">
        <f aca="false">EOMONTH(AQ33,0)+1</f>
        <v>37377</v>
      </c>
      <c r="AR34" s="261" t="n">
        <f aca="false">SUMIF($AL$7:$AL$654,CONCATENATE($AQ34,$AR$6),$AC$7:$AC$654)</f>
        <v>0</v>
      </c>
      <c r="AS34" s="262" t="n">
        <f aca="false">SUMIF($AM$7:$AM$659,CONCATENATE($AQ34,$AS$6),$AD$7:$AD$654)</f>
        <v>0</v>
      </c>
      <c r="AT34" s="262" t="n">
        <f aca="false">SUMIF($AN$7:$AN$659,CONCATENATE($AQ34,$AT$6),$AE$7:$AE$654)</f>
        <v>0</v>
      </c>
      <c r="AU34" s="262" t="n">
        <f aca="false">SUMIF($AO$7:$AO$659,CONCATENATE($AQ34,$AU$6),$AF$7:$AF$654)</f>
        <v>0</v>
      </c>
      <c r="AV34" s="263" t="n">
        <f aca="false">SUMIF($AP$7:$AP$659,CONCATENATE($AQ34,$AV$6),$AG$7:$AG$654)</f>
        <v>0</v>
      </c>
      <c r="AW34" s="264" t="n">
        <f aca="false">SUM(AR34:AV34)</f>
        <v>0</v>
      </c>
      <c r="AZ34" s="143" t="n">
        <f aca="false">EOMONTH(AZ33,0)+1</f>
        <v>36982</v>
      </c>
      <c r="BA34" s="135"/>
      <c r="BG34" s="285" t="n">
        <v>37316</v>
      </c>
      <c r="BH34" s="0" t="n">
        <v>0.985</v>
      </c>
      <c r="BJ34" s="285" t="n">
        <v>37316</v>
      </c>
      <c r="BK34" s="0" t="n">
        <v>31</v>
      </c>
    </row>
    <row r="35" customFormat="false" ht="12" hidden="false" customHeight="true" outlineLevel="0" collapsed="false">
      <c r="A35" s="265" t="s">
        <v>198</v>
      </c>
      <c r="B35" s="269" t="s">
        <v>192</v>
      </c>
      <c r="C35" s="269" t="s">
        <v>488</v>
      </c>
      <c r="D35" s="269" t="s">
        <v>137</v>
      </c>
      <c r="E35" s="7" t="s">
        <v>483</v>
      </c>
      <c r="F35" s="269" t="s">
        <v>131</v>
      </c>
      <c r="G35" s="269" t="s">
        <v>136</v>
      </c>
      <c r="H35" s="286" t="n">
        <v>36678</v>
      </c>
      <c r="I35" s="272" t="n">
        <v>-50000</v>
      </c>
      <c r="J35" s="125" t="n">
        <v>0.46</v>
      </c>
      <c r="K35" s="124" t="n">
        <f aca="false">HLOOKUP($D$3,GDPRICES,VLOOKUP(Q35,GDmove_down,2,FALSE()),FALSE())</f>
        <v>4.75</v>
      </c>
      <c r="L35" s="124" t="n">
        <f aca="false">HLOOKUP($E$3,GDPRICES,VLOOKUP(Q35,GDmove_down,2,FALSE()),FALSE())</f>
        <v>3.29</v>
      </c>
      <c r="M35" s="126" t="n">
        <v>1</v>
      </c>
      <c r="N35" s="7" t="n">
        <v>0.515</v>
      </c>
      <c r="O35" s="7" t="n">
        <v>0.515</v>
      </c>
      <c r="P35" s="249" t="e">
        <f aca="false">HLOOKUP(E35,GDcorr,VLOOKUP(H35,GDCorMove,2,FALSE()),FALSE())</f>
        <v>#N/A</v>
      </c>
      <c r="Q35" s="92" t="n">
        <v>36682</v>
      </c>
      <c r="R35" s="7" t="n">
        <f aca="false">IF(G35="P",0,1)</f>
        <v>1</v>
      </c>
      <c r="S35" s="130" t="e">
        <f aca="false">xSPRDOPT($K35,$L35,$J35,$M35,$N35,$O35,$P35,$Q35-$C$3,$R35,0)</f>
        <v>#NAME?</v>
      </c>
      <c r="T35" s="250" t="e">
        <f aca="false">xSPRDOPT($K35,$L35,$J35,$M35,$N35,$O35,$P35,$Q35-$C$3,$R35,1)*I35</f>
        <v>#NAME?</v>
      </c>
      <c r="U35" s="43" t="n">
        <v>0</v>
      </c>
      <c r="V35" s="250" t="e">
        <f aca="false">xSPRDOPT($K35,$L35,$J35,$M35,$N35,$O35,$P35,$Q35-$C$3,$R35,2)*I35</f>
        <v>#NAME?</v>
      </c>
      <c r="W35" s="250" t="e">
        <f aca="false">+V35+T35</f>
        <v>#NAME?</v>
      </c>
      <c r="X35" s="2" t="str">
        <f aca="false">CONCATENATE(H35,E35)</f>
        <v>36678IF-ELPO/SJ</v>
      </c>
      <c r="Y35" s="251" t="n">
        <f aca="false">I35/10000</f>
        <v>-5</v>
      </c>
      <c r="AA35" s="2"/>
      <c r="AB35" s="182" t="n">
        <f aca="false">H35</f>
        <v>36678</v>
      </c>
      <c r="AC35" s="253" t="n">
        <v>0</v>
      </c>
      <c r="AD35" s="253" t="n">
        <v>0</v>
      </c>
      <c r="AE35" s="253" t="n">
        <v>0</v>
      </c>
      <c r="AF35" s="253" t="n">
        <v>0</v>
      </c>
      <c r="AG35" s="253" t="n">
        <v>0</v>
      </c>
      <c r="AH35" s="253" t="n">
        <v>0</v>
      </c>
      <c r="AI35" s="253" t="n">
        <v>0</v>
      </c>
      <c r="AJ35" s="254" t="e">
        <f aca="false">HLOOKUP(D35,PREVCURVES,VLOOKUP(H35,MOVE_DOWN2,2,FALSE()),FALSE())-HLOOKUP(E35,PREVCURVES,VLOOKUP(H35,MOVE_DOWN2,2,FALSE()),FALSE())</f>
        <v>#N/A</v>
      </c>
      <c r="AK35" s="253"/>
      <c r="AL35" s="0" t="str">
        <f aca="false">CONCATENATE(AB35,$AC$6)</f>
        <v>36678Curve Shift/Gamma</v>
      </c>
      <c r="AM35" s="0" t="str">
        <f aca="false">CONCATENATE($AB35,$AD$6)</f>
        <v>36678Rho</v>
      </c>
      <c r="AN35" s="0" t="str">
        <f aca="false">CONCATENATE($AB35,$AE$6)</f>
        <v>36678Drift</v>
      </c>
      <c r="AO35" s="0" t="str">
        <f aca="false">CONCATENATE($AB35,$AF$6)</f>
        <v>36678Vega</v>
      </c>
      <c r="AP35" s="0" t="str">
        <f aca="false">CONCATENATE($AB35,$AG$6)</f>
        <v>36678Theta</v>
      </c>
      <c r="AQ35" s="255" t="n">
        <f aca="false">EOMONTH(AQ34,0)+1</f>
        <v>37408</v>
      </c>
      <c r="AR35" s="261" t="n">
        <f aca="false">SUMIF($AL$7:$AL$654,CONCATENATE($AQ35,$AR$6),$AC$7:$AC$654)</f>
        <v>0</v>
      </c>
      <c r="AS35" s="262" t="n">
        <f aca="false">SUMIF($AM$7:$AM$659,CONCATENATE($AQ35,$AS$6),$AD$7:$AD$654)</f>
        <v>0</v>
      </c>
      <c r="AT35" s="262" t="n">
        <f aca="false">SUMIF($AN$7:$AN$659,CONCATENATE($AQ35,$AT$6),$AE$7:$AE$654)</f>
        <v>0</v>
      </c>
      <c r="AU35" s="262" t="n">
        <f aca="false">SUMIF($AO$7:$AO$659,CONCATENATE($AQ35,$AU$6),$AF$7:$AF$654)</f>
        <v>0</v>
      </c>
      <c r="AV35" s="263" t="n">
        <f aca="false">SUMIF($AP$7:$AP$659,CONCATENATE($AQ35,$AV$6),$AG$7:$AG$654)</f>
        <v>0</v>
      </c>
      <c r="AW35" s="264" t="n">
        <f aca="false">SUM(AR35:AV35)</f>
        <v>0</v>
      </c>
      <c r="AZ35" s="143" t="n">
        <f aca="false">EOMONTH(AZ34,0)+1</f>
        <v>37012</v>
      </c>
      <c r="BA35" s="135"/>
      <c r="BG35" s="285" t="n">
        <v>37347</v>
      </c>
      <c r="BH35" s="0" t="n">
        <v>0.985</v>
      </c>
      <c r="BJ35" s="285" t="n">
        <v>37347</v>
      </c>
      <c r="BK35" s="0" t="n">
        <v>32</v>
      </c>
    </row>
    <row r="36" customFormat="false" ht="12" hidden="false" customHeight="true" outlineLevel="0" collapsed="false">
      <c r="A36" s="265" t="s">
        <v>198</v>
      </c>
      <c r="B36" s="269" t="s">
        <v>192</v>
      </c>
      <c r="C36" s="269" t="s">
        <v>489</v>
      </c>
      <c r="D36" s="269" t="s">
        <v>137</v>
      </c>
      <c r="E36" s="7" t="s">
        <v>483</v>
      </c>
      <c r="F36" s="269" t="s">
        <v>131</v>
      </c>
      <c r="G36" s="269" t="s">
        <v>136</v>
      </c>
      <c r="H36" s="286" t="n">
        <v>36678</v>
      </c>
      <c r="I36" s="272" t="n">
        <v>10000</v>
      </c>
      <c r="J36" s="125" t="n">
        <v>0.46</v>
      </c>
      <c r="K36" s="124" t="n">
        <f aca="false">HLOOKUP($D$3,GDPRICES,VLOOKUP(Q36,GDmove_down,2,FALSE()),FALSE())</f>
        <v>4.75</v>
      </c>
      <c r="L36" s="124" t="n">
        <f aca="false">HLOOKUP($E$3,GDPRICES,VLOOKUP(Q36,GDmove_down,2,FALSE()),FALSE())</f>
        <v>3.29</v>
      </c>
      <c r="M36" s="126" t="n">
        <v>1</v>
      </c>
      <c r="N36" s="7" t="n">
        <v>0.515</v>
      </c>
      <c r="O36" s="7" t="n">
        <v>0.515</v>
      </c>
      <c r="P36" s="249" t="e">
        <f aca="false">HLOOKUP(E36,GDcorr,VLOOKUP(H36,GDCorMove,2,FALSE()),FALSE())</f>
        <v>#N/A</v>
      </c>
      <c r="Q36" s="92" t="n">
        <v>36682</v>
      </c>
      <c r="R36" s="7" t="n">
        <f aca="false">IF(G36="P",0,1)</f>
        <v>1</v>
      </c>
      <c r="S36" s="130" t="e">
        <f aca="false">xSPRDOPT($K36,$L36,$J36,$M36,$N36,$O36,$P36,$Q36-$C$3,$R36,0)</f>
        <v>#NAME?</v>
      </c>
      <c r="T36" s="250" t="e">
        <f aca="false">xSPRDOPT($K36,$L36,$J36,$M36,$N36,$O36,$P36,$Q36-$C$3,$R36,1)*I36</f>
        <v>#NAME?</v>
      </c>
      <c r="U36" s="43" t="n">
        <v>0</v>
      </c>
      <c r="V36" s="250" t="e">
        <f aca="false">xSPRDOPT($K36,$L36,$J36,$M36,$N36,$O36,$P36,$Q36-$C$3,$R36,2)*I36</f>
        <v>#NAME?</v>
      </c>
      <c r="W36" s="250" t="e">
        <f aca="false">+V36+T36</f>
        <v>#NAME?</v>
      </c>
      <c r="X36" s="2" t="str">
        <f aca="false">CONCATENATE(H36,E36)</f>
        <v>36678IF-ELPO/SJ</v>
      </c>
      <c r="Y36" s="251" t="n">
        <f aca="false">I36/10000</f>
        <v>1</v>
      </c>
      <c r="Z36" s="2"/>
      <c r="AA36" s="2"/>
      <c r="AB36" s="182" t="n">
        <f aca="false">H36</f>
        <v>36678</v>
      </c>
      <c r="AC36" s="253" t="n">
        <v>0</v>
      </c>
      <c r="AD36" s="253" t="n">
        <v>0</v>
      </c>
      <c r="AE36" s="253" t="n">
        <v>0</v>
      </c>
      <c r="AF36" s="253" t="n">
        <v>0</v>
      </c>
      <c r="AG36" s="253" t="n">
        <v>0</v>
      </c>
      <c r="AH36" s="253" t="n">
        <v>0</v>
      </c>
      <c r="AI36" s="253" t="n">
        <v>0</v>
      </c>
      <c r="AJ36" s="254" t="e">
        <f aca="false">HLOOKUP(D36,PREVCURVES,VLOOKUP(H36,MOVE_DOWN2,2,FALSE()),FALSE())-HLOOKUP(E36,PREVCURVES,VLOOKUP(H36,MOVE_DOWN2,2,FALSE()),FALSE())</f>
        <v>#N/A</v>
      </c>
      <c r="AK36" s="253"/>
      <c r="AL36" s="0" t="str">
        <f aca="false">CONCATENATE(AB36,$AC$6)</f>
        <v>36678Curve Shift/Gamma</v>
      </c>
      <c r="AM36" s="0" t="str">
        <f aca="false">CONCATENATE($AB36,$AD$6)</f>
        <v>36678Rho</v>
      </c>
      <c r="AN36" s="0" t="str">
        <f aca="false">CONCATENATE($AB36,$AE$6)</f>
        <v>36678Drift</v>
      </c>
      <c r="AO36" s="0" t="str">
        <f aca="false">CONCATENATE($AB36,$AF$6)</f>
        <v>36678Vega</v>
      </c>
      <c r="AP36" s="0" t="str">
        <f aca="false">CONCATENATE($AB36,$AG$6)</f>
        <v>36678Theta</v>
      </c>
      <c r="AQ36" s="255" t="n">
        <f aca="false">EOMONTH(AQ35,0)+1</f>
        <v>37438</v>
      </c>
      <c r="AR36" s="261" t="n">
        <f aca="false">SUMIF($AL$7:$AL$654,CONCATENATE($AQ36,$AR$6),$AC$7:$AC$654)</f>
        <v>0</v>
      </c>
      <c r="AS36" s="262" t="n">
        <f aca="false">SUMIF($AM$7:$AM$659,CONCATENATE($AQ36,$AS$6),$AD$7:$AD$654)</f>
        <v>0</v>
      </c>
      <c r="AT36" s="262" t="n">
        <f aca="false">SUMIF($AN$7:$AN$659,CONCATENATE($AQ36,$AT$6),$AE$7:$AE$654)</f>
        <v>0</v>
      </c>
      <c r="AU36" s="262" t="n">
        <f aca="false">SUMIF($AO$7:$AO$659,CONCATENATE($AQ36,$AU$6),$AF$7:$AF$654)</f>
        <v>0</v>
      </c>
      <c r="AV36" s="263" t="n">
        <f aca="false">SUMIF($AP$7:$AP$659,CONCATENATE($AQ36,$AV$6),$AG$7:$AG$654)</f>
        <v>0</v>
      </c>
      <c r="AW36" s="264" t="n">
        <f aca="false">SUM(AR36:AV36)</f>
        <v>0</v>
      </c>
      <c r="AZ36" s="143" t="n">
        <f aca="false">EOMONTH(AZ35,0)+1</f>
        <v>37043</v>
      </c>
      <c r="BA36" s="135"/>
      <c r="BG36" s="285" t="n">
        <v>37377</v>
      </c>
      <c r="BH36" s="0" t="n">
        <v>0.985</v>
      </c>
      <c r="BJ36" s="285" t="n">
        <v>37377</v>
      </c>
      <c r="BK36" s="0" t="n">
        <v>33</v>
      </c>
    </row>
    <row r="37" customFormat="false" ht="12" hidden="false" customHeight="true" outlineLevel="0" collapsed="false">
      <c r="A37" s="265" t="s">
        <v>198</v>
      </c>
      <c r="B37" s="269" t="s">
        <v>192</v>
      </c>
      <c r="C37" s="269" t="s">
        <v>490</v>
      </c>
      <c r="D37" s="269" t="s">
        <v>137</v>
      </c>
      <c r="E37" s="7" t="s">
        <v>483</v>
      </c>
      <c r="F37" s="269" t="s">
        <v>131</v>
      </c>
      <c r="G37" s="269" t="s">
        <v>136</v>
      </c>
      <c r="H37" s="286" t="n">
        <v>36678</v>
      </c>
      <c r="I37" s="272" t="n">
        <v>-333333</v>
      </c>
      <c r="J37" s="125" t="n">
        <v>0.46</v>
      </c>
      <c r="K37" s="124" t="n">
        <f aca="false">HLOOKUP($D$3,GDPRICES,VLOOKUP(Q37,GDmove_down,2,FALSE()),FALSE())</f>
        <v>4.75</v>
      </c>
      <c r="L37" s="124" t="n">
        <f aca="false">HLOOKUP($E$3,GDPRICES,VLOOKUP(Q37,GDmove_down,2,FALSE()),FALSE())</f>
        <v>3.29</v>
      </c>
      <c r="M37" s="126" t="n">
        <v>1</v>
      </c>
      <c r="N37" s="7" t="n">
        <v>0.515</v>
      </c>
      <c r="O37" s="7" t="n">
        <v>0.515</v>
      </c>
      <c r="P37" s="249" t="e">
        <f aca="false">HLOOKUP(E37,GDcorr,VLOOKUP(H37,GDCorMove,2,FALSE()),FALSE())</f>
        <v>#N/A</v>
      </c>
      <c r="Q37" s="92" t="n">
        <v>36682</v>
      </c>
      <c r="R37" s="7" t="n">
        <f aca="false">IF(G37="P",0,1)</f>
        <v>1</v>
      </c>
      <c r="S37" s="130" t="e">
        <f aca="false">xSPRDOPT($K37,$L37,$J37,$M37,$N37,$O37,$P37,$Q37-$C$3,$R37,0)</f>
        <v>#NAME?</v>
      </c>
      <c r="T37" s="250" t="e">
        <f aca="false">xSPRDOPT($K37,$L37,$J37,$M37,$N37,$O37,$P37,$Q37-$C$3,$R37,1)*I37</f>
        <v>#NAME?</v>
      </c>
      <c r="U37" s="43" t="n">
        <v>0</v>
      </c>
      <c r="V37" s="250" t="e">
        <f aca="false">xSPRDOPT($K37,$L37,$J37,$M37,$N37,$O37,$P37,$Q37-$C$3,$R37,2)*I37</f>
        <v>#NAME?</v>
      </c>
      <c r="W37" s="250" t="e">
        <f aca="false">+V37+T37</f>
        <v>#NAME?</v>
      </c>
      <c r="X37" s="2" t="str">
        <f aca="false">CONCATENATE(H37,E37)</f>
        <v>36678IF-ELPO/SJ</v>
      </c>
      <c r="Y37" s="251" t="n">
        <f aca="false">I37/10000</f>
        <v>-33.3333</v>
      </c>
      <c r="Z37" s="2"/>
      <c r="AA37" s="2"/>
      <c r="AB37" s="182" t="n">
        <f aca="false">H37</f>
        <v>36678</v>
      </c>
      <c r="AC37" s="253" t="n">
        <v>0</v>
      </c>
      <c r="AD37" s="253" t="n">
        <v>0</v>
      </c>
      <c r="AE37" s="253" t="n">
        <v>0</v>
      </c>
      <c r="AF37" s="253" t="n">
        <v>0</v>
      </c>
      <c r="AG37" s="253" t="n">
        <v>0</v>
      </c>
      <c r="AH37" s="253" t="n">
        <v>0</v>
      </c>
      <c r="AI37" s="253" t="n">
        <v>0</v>
      </c>
      <c r="AJ37" s="254" t="e">
        <f aca="false">HLOOKUP(D37,PREVCURVES,VLOOKUP(H37,MOVE_DOWN2,2,FALSE()),FALSE())-HLOOKUP(E37,PREVCURVES,VLOOKUP(H37,MOVE_DOWN2,2,FALSE()),FALSE())</f>
        <v>#N/A</v>
      </c>
      <c r="AK37" s="253"/>
      <c r="AL37" s="0" t="str">
        <f aca="false">CONCATENATE(AB37,$AC$6)</f>
        <v>36678Curve Shift/Gamma</v>
      </c>
      <c r="AM37" s="0" t="str">
        <f aca="false">CONCATENATE($AB37,$AD$6)</f>
        <v>36678Rho</v>
      </c>
      <c r="AN37" s="0" t="str">
        <f aca="false">CONCATENATE($AB37,$AE$6)</f>
        <v>36678Drift</v>
      </c>
      <c r="AO37" s="0" t="str">
        <f aca="false">CONCATENATE($AB37,$AF$6)</f>
        <v>36678Vega</v>
      </c>
      <c r="AP37" s="0" t="str">
        <f aca="false">CONCATENATE($AB37,$AG$6)</f>
        <v>36678Theta</v>
      </c>
      <c r="AQ37" s="255" t="n">
        <f aca="false">EOMONTH(AQ36,0)+1</f>
        <v>37469</v>
      </c>
      <c r="AR37" s="261" t="n">
        <f aca="false">SUMIF($AL$7:$AL$654,CONCATENATE($AQ37,$AR$6),$AC$7:$AC$654)</f>
        <v>0</v>
      </c>
      <c r="AS37" s="262" t="n">
        <f aca="false">SUMIF($AM$7:$AM$659,CONCATENATE($AQ37,$AS$6),$AD$7:$AD$654)</f>
        <v>0</v>
      </c>
      <c r="AT37" s="262" t="n">
        <f aca="false">SUMIF($AN$7:$AN$659,CONCATENATE($AQ37,$AT$6),$AE$7:$AE$654)</f>
        <v>0</v>
      </c>
      <c r="AU37" s="262" t="n">
        <f aca="false">SUMIF($AO$7:$AO$659,CONCATENATE($AQ37,$AU$6),$AF$7:$AF$654)</f>
        <v>0</v>
      </c>
      <c r="AV37" s="263" t="n">
        <f aca="false">SUMIF($AP$7:$AP$659,CONCATENATE($AQ37,$AV$6),$AG$7:$AG$654)</f>
        <v>0</v>
      </c>
      <c r="AW37" s="264" t="n">
        <f aca="false">SUM(AR37:AV37)</f>
        <v>0</v>
      </c>
      <c r="AZ37" s="143" t="n">
        <f aca="false">EOMONTH(AZ36,0)+1</f>
        <v>37073</v>
      </c>
      <c r="BA37" s="135"/>
      <c r="BG37" s="285" t="n">
        <v>37408</v>
      </c>
      <c r="BH37" s="0" t="n">
        <v>0.985</v>
      </c>
      <c r="BJ37" s="285" t="n">
        <v>37408</v>
      </c>
      <c r="BK37" s="0" t="n">
        <v>34</v>
      </c>
    </row>
    <row r="38" customFormat="false" ht="12" hidden="false" customHeight="true" outlineLevel="0" collapsed="false">
      <c r="A38" s="267" t="s">
        <v>196</v>
      </c>
      <c r="B38" s="269" t="s">
        <v>192</v>
      </c>
      <c r="C38" s="269" t="s">
        <v>491</v>
      </c>
      <c r="D38" s="269" t="s">
        <v>137</v>
      </c>
      <c r="E38" s="7" t="s">
        <v>483</v>
      </c>
      <c r="F38" s="269" t="s">
        <v>131</v>
      </c>
      <c r="G38" s="269" t="s">
        <v>136</v>
      </c>
      <c r="H38" s="286" t="n">
        <v>36678</v>
      </c>
      <c r="I38" s="272" t="n">
        <v>-10000</v>
      </c>
      <c r="J38" s="125" t="n">
        <v>0.46</v>
      </c>
      <c r="K38" s="124" t="n">
        <f aca="false">HLOOKUP($D$3,GDPRICES,VLOOKUP(Q38,GDmove_down,2,FALSE()),FALSE())</f>
        <v>4.75</v>
      </c>
      <c r="L38" s="124" t="n">
        <f aca="false">HLOOKUP($E$3,GDPRICES,VLOOKUP(Q38,GDmove_down,2,FALSE()),FALSE())</f>
        <v>3.29</v>
      </c>
      <c r="M38" s="126" t="n">
        <v>1</v>
      </c>
      <c r="N38" s="7" t="n">
        <v>0.515</v>
      </c>
      <c r="O38" s="7" t="n">
        <v>0.515</v>
      </c>
      <c r="P38" s="249" t="e">
        <f aca="false">HLOOKUP(E38,GDcorr,VLOOKUP(H38,GDCorMove,2,FALSE()),FALSE())</f>
        <v>#N/A</v>
      </c>
      <c r="Q38" s="92" t="n">
        <v>36682</v>
      </c>
      <c r="R38" s="7" t="n">
        <f aca="false">IF(G38="P",0,1)</f>
        <v>1</v>
      </c>
      <c r="S38" s="130" t="e">
        <f aca="false">xSPRDOPT($K38,$L38,$J38,$M38,$N38,$O38,$P38,$Q38-$C$3,$R38,0)</f>
        <v>#NAME?</v>
      </c>
      <c r="T38" s="250" t="e">
        <f aca="false">xSPRDOPT($K38,$L38,$J38,$M38,$N38,$O38,$P38,$Q38-$C$3,$R38,1)*I38</f>
        <v>#NAME?</v>
      </c>
      <c r="U38" s="43" t="n">
        <v>0</v>
      </c>
      <c r="V38" s="250" t="e">
        <f aca="false">xSPRDOPT($K38,$L38,$J38,$M38,$N38,$O38,$P38,$Q38-$C$3,$R38,2)*I38</f>
        <v>#NAME?</v>
      </c>
      <c r="W38" s="250" t="e">
        <f aca="false">+V38+T38</f>
        <v>#NAME?</v>
      </c>
      <c r="X38" s="2" t="str">
        <f aca="false">CONCATENATE(H38,E38)</f>
        <v>36678IF-ELPO/SJ</v>
      </c>
      <c r="Y38" s="251" t="n">
        <f aca="false">I38/10000</f>
        <v>-1</v>
      </c>
      <c r="Z38" s="2"/>
      <c r="AA38" s="2"/>
      <c r="AB38" s="182" t="n">
        <f aca="false">H38</f>
        <v>36678</v>
      </c>
      <c r="AC38" s="253" t="n">
        <v>0</v>
      </c>
      <c r="AD38" s="253" t="n">
        <v>0</v>
      </c>
      <c r="AE38" s="253" t="n">
        <v>0</v>
      </c>
      <c r="AF38" s="253" t="n">
        <v>0</v>
      </c>
      <c r="AG38" s="253" t="n">
        <v>0</v>
      </c>
      <c r="AH38" s="253" t="n">
        <v>0</v>
      </c>
      <c r="AI38" s="253" t="n">
        <v>0</v>
      </c>
      <c r="AJ38" s="254" t="e">
        <f aca="false">HLOOKUP(D38,PREVCURVES,VLOOKUP(H38,MOVE_DOWN2,2,FALSE()),FALSE())-HLOOKUP(E38,PREVCURVES,VLOOKUP(H38,MOVE_DOWN2,2,FALSE()),FALSE())</f>
        <v>#N/A</v>
      </c>
      <c r="AK38" s="253"/>
      <c r="AL38" s="0" t="str">
        <f aca="false">CONCATENATE(AB38,$AC$6)</f>
        <v>36678Curve Shift/Gamma</v>
      </c>
      <c r="AM38" s="0" t="str">
        <f aca="false">CONCATENATE($AB38,$AD$6)</f>
        <v>36678Rho</v>
      </c>
      <c r="AN38" s="0" t="str">
        <f aca="false">CONCATENATE($AB38,$AE$6)</f>
        <v>36678Drift</v>
      </c>
      <c r="AO38" s="0" t="str">
        <f aca="false">CONCATENATE($AB38,$AF$6)</f>
        <v>36678Vega</v>
      </c>
      <c r="AP38" s="0" t="str">
        <f aca="false">CONCATENATE($AB38,$AG$6)</f>
        <v>36678Theta</v>
      </c>
      <c r="AQ38" s="255" t="n">
        <f aca="false">EOMONTH(AQ37,0)+1</f>
        <v>37500</v>
      </c>
      <c r="AR38" s="261" t="n">
        <f aca="false">SUMIF($AL$7:$AL$654,CONCATENATE($AQ38,$AR$6),$AC$7:$AC$654)</f>
        <v>0</v>
      </c>
      <c r="AS38" s="262" t="n">
        <f aca="false">SUMIF($AM$7:$AM$659,CONCATENATE($AQ38,$AS$6),$AD$7:$AD$654)</f>
        <v>0</v>
      </c>
      <c r="AT38" s="262" t="n">
        <f aca="false">SUMIF($AN$7:$AN$659,CONCATENATE($AQ38,$AT$6),$AE$7:$AE$654)</f>
        <v>0</v>
      </c>
      <c r="AU38" s="262" t="n">
        <f aca="false">SUMIF($AO$7:$AO$659,CONCATENATE($AQ38,$AU$6),$AF$7:$AF$654)</f>
        <v>0</v>
      </c>
      <c r="AV38" s="263" t="n">
        <f aca="false">SUMIF($AP$7:$AP$659,CONCATENATE($AQ38,$AV$6),$AG$7:$AG$654)</f>
        <v>0</v>
      </c>
      <c r="AW38" s="264" t="n">
        <f aca="false">SUM(AR38:AV38)</f>
        <v>0</v>
      </c>
      <c r="AZ38" s="143" t="n">
        <f aca="false">EOMONTH(AZ37,0)+1</f>
        <v>37104</v>
      </c>
      <c r="BA38" s="135"/>
      <c r="BG38" s="285" t="n">
        <v>37438</v>
      </c>
      <c r="BH38" s="0" t="n">
        <v>0.985</v>
      </c>
      <c r="BJ38" s="285" t="n">
        <v>37438</v>
      </c>
      <c r="BK38" s="0" t="n">
        <v>35</v>
      </c>
    </row>
    <row r="39" customFormat="false" ht="12" hidden="false" customHeight="true" outlineLevel="0" collapsed="false">
      <c r="A39" s="267" t="s">
        <v>198</v>
      </c>
      <c r="B39" s="269" t="s">
        <v>192</v>
      </c>
      <c r="C39" s="269" t="s">
        <v>492</v>
      </c>
      <c r="D39" s="269" t="s">
        <v>137</v>
      </c>
      <c r="E39" s="7" t="s">
        <v>483</v>
      </c>
      <c r="F39" s="269" t="s">
        <v>131</v>
      </c>
      <c r="G39" s="269" t="s">
        <v>136</v>
      </c>
      <c r="H39" s="286" t="n">
        <v>36678</v>
      </c>
      <c r="I39" s="272" t="n">
        <v>50000</v>
      </c>
      <c r="J39" s="125" t="n">
        <v>0.46</v>
      </c>
      <c r="K39" s="124" t="n">
        <f aca="false">HLOOKUP($D$3,GDPRICES,VLOOKUP(Q39,GDmove_down,2,FALSE()),FALSE())</f>
        <v>4.75</v>
      </c>
      <c r="L39" s="124" t="n">
        <f aca="false">HLOOKUP($E$3,GDPRICES,VLOOKUP(Q39,GDmove_down,2,FALSE()),FALSE())</f>
        <v>3.29</v>
      </c>
      <c r="M39" s="126" t="n">
        <v>1</v>
      </c>
      <c r="N39" s="7" t="n">
        <v>0.515</v>
      </c>
      <c r="O39" s="7" t="n">
        <v>0.515</v>
      </c>
      <c r="P39" s="249" t="e">
        <f aca="false">HLOOKUP(E39,GDcorr,VLOOKUP(H39,GDCorMove,2,FALSE()),FALSE())</f>
        <v>#N/A</v>
      </c>
      <c r="Q39" s="92" t="n">
        <v>36682</v>
      </c>
      <c r="R39" s="7" t="n">
        <f aca="false">IF(G39="P",0,1)</f>
        <v>1</v>
      </c>
      <c r="S39" s="130" t="e">
        <f aca="false">xSPRDOPT($K39,$L39,$J39,$M39,$N39,$O39,$P39,$Q39-$C$3,$R39,0)</f>
        <v>#NAME?</v>
      </c>
      <c r="T39" s="250" t="e">
        <f aca="false">xSPRDOPT($K39,$L39,$J39,$M39,$N39,$O39,$P39,$Q39-$C$3,$R39,1)*I39</f>
        <v>#NAME?</v>
      </c>
      <c r="U39" s="43" t="n">
        <v>0</v>
      </c>
      <c r="V39" s="250" t="e">
        <f aca="false">xSPRDOPT($K39,$L39,$J39,$M39,$N39,$O39,$P39,$Q39-$C$3,$R39,2)*I39</f>
        <v>#NAME?</v>
      </c>
      <c r="W39" s="250" t="e">
        <f aca="false">+V39+T39</f>
        <v>#NAME?</v>
      </c>
      <c r="X39" s="2" t="str">
        <f aca="false">CONCATENATE(H39,E39)</f>
        <v>36678IF-ELPO/SJ</v>
      </c>
      <c r="Y39" s="251" t="n">
        <f aca="false">I39/10000</f>
        <v>5</v>
      </c>
      <c r="Z39" s="2"/>
      <c r="AA39" s="2"/>
      <c r="AB39" s="182" t="n">
        <f aca="false">H39</f>
        <v>36678</v>
      </c>
      <c r="AC39" s="253" t="n">
        <v>0</v>
      </c>
      <c r="AD39" s="253" t="n">
        <v>0</v>
      </c>
      <c r="AE39" s="253" t="n">
        <v>0</v>
      </c>
      <c r="AF39" s="253" t="n">
        <v>0</v>
      </c>
      <c r="AG39" s="253" t="n">
        <v>0</v>
      </c>
      <c r="AH39" s="253" t="n">
        <v>0</v>
      </c>
      <c r="AI39" s="253" t="n">
        <v>0</v>
      </c>
      <c r="AJ39" s="254" t="e">
        <f aca="false">HLOOKUP(D39,PREVCURVES,VLOOKUP(H39,MOVE_DOWN2,2,FALSE()),FALSE())-HLOOKUP(E39,PREVCURVES,VLOOKUP(H39,MOVE_DOWN2,2,FALSE()),FALSE())</f>
        <v>#N/A</v>
      </c>
      <c r="AK39" s="253"/>
      <c r="AL39" s="0" t="str">
        <f aca="false">CONCATENATE(AB39,$AC$6)</f>
        <v>36678Curve Shift/Gamma</v>
      </c>
      <c r="AM39" s="0" t="str">
        <f aca="false">CONCATENATE($AB39,$AD$6)</f>
        <v>36678Rho</v>
      </c>
      <c r="AN39" s="0" t="str">
        <f aca="false">CONCATENATE($AB39,$AE$6)</f>
        <v>36678Drift</v>
      </c>
      <c r="AO39" s="0" t="str">
        <f aca="false">CONCATENATE($AB39,$AF$6)</f>
        <v>36678Vega</v>
      </c>
      <c r="AP39" s="0" t="str">
        <f aca="false">CONCATENATE($AB39,$AG$6)</f>
        <v>36678Theta</v>
      </c>
      <c r="AQ39" s="255" t="n">
        <f aca="false">EOMONTH(AQ38,0)+1</f>
        <v>37530</v>
      </c>
      <c r="AR39" s="261" t="n">
        <f aca="false">SUMIF($AL$7:$AL$654,CONCATENATE($AQ39,$AR$6),$AC$7:$AC$654)</f>
        <v>0</v>
      </c>
      <c r="AS39" s="262" t="n">
        <f aca="false">SUMIF($AM$7:$AM$659,CONCATENATE($AQ39,$AS$6),$AD$7:$AD$654)</f>
        <v>0</v>
      </c>
      <c r="AT39" s="262" t="n">
        <f aca="false">SUMIF($AN$7:$AN$659,CONCATENATE($AQ39,$AT$6),$AE$7:$AE$654)</f>
        <v>0</v>
      </c>
      <c r="AU39" s="262" t="n">
        <f aca="false">SUMIF($AO$7:$AO$659,CONCATENATE($AQ39,$AU$6),$AF$7:$AF$654)</f>
        <v>0</v>
      </c>
      <c r="AV39" s="263" t="n">
        <f aca="false">SUMIF($AP$7:$AP$659,CONCATENATE($AQ39,$AV$6),$AG$7:$AG$654)</f>
        <v>0</v>
      </c>
      <c r="AW39" s="264" t="n">
        <f aca="false">SUM(AR39:AV39)</f>
        <v>0</v>
      </c>
      <c r="AZ39" s="143" t="n">
        <f aca="false">EOMONTH(AZ38,0)+1</f>
        <v>37135</v>
      </c>
      <c r="BA39" s="135"/>
      <c r="BG39" s="285" t="n">
        <v>37469</v>
      </c>
      <c r="BH39" s="0" t="n">
        <v>0.985</v>
      </c>
      <c r="BJ39" s="285" t="n">
        <v>37469</v>
      </c>
      <c r="BK39" s="0" t="n">
        <v>36</v>
      </c>
    </row>
    <row r="40" customFormat="false" ht="12" hidden="false" customHeight="true" outlineLevel="0" collapsed="false">
      <c r="A40" s="267" t="s">
        <v>198</v>
      </c>
      <c r="B40" s="269" t="s">
        <v>192</v>
      </c>
      <c r="C40" s="269" t="s">
        <v>493</v>
      </c>
      <c r="D40" s="269" t="s">
        <v>137</v>
      </c>
      <c r="E40" s="7" t="s">
        <v>483</v>
      </c>
      <c r="F40" s="269" t="s">
        <v>131</v>
      </c>
      <c r="G40" s="269" t="s">
        <v>136</v>
      </c>
      <c r="H40" s="286" t="n">
        <v>36678</v>
      </c>
      <c r="I40" s="272" t="n">
        <v>50000</v>
      </c>
      <c r="J40" s="125" t="n">
        <v>0.46</v>
      </c>
      <c r="K40" s="124" t="n">
        <f aca="false">HLOOKUP($D$3,GDPRICES,VLOOKUP(Q40,GDmove_down,2,FALSE()),FALSE())</f>
        <v>4.75</v>
      </c>
      <c r="L40" s="124" t="n">
        <f aca="false">HLOOKUP($E$3,GDPRICES,VLOOKUP(Q40,GDmove_down,2,FALSE()),FALSE())</f>
        <v>3.29</v>
      </c>
      <c r="M40" s="126" t="n">
        <v>1</v>
      </c>
      <c r="N40" s="7" t="n">
        <v>0.515</v>
      </c>
      <c r="O40" s="7" t="n">
        <v>0.515</v>
      </c>
      <c r="P40" s="249" t="e">
        <f aca="false">HLOOKUP(E40,GDcorr,VLOOKUP(H40,GDCorMove,2,FALSE()),FALSE())</f>
        <v>#N/A</v>
      </c>
      <c r="Q40" s="92" t="n">
        <v>36682</v>
      </c>
      <c r="R40" s="7" t="n">
        <f aca="false">IF(G40="P",0,1)</f>
        <v>1</v>
      </c>
      <c r="S40" s="130" t="e">
        <f aca="false">xSPRDOPT($K40,$L40,$J40,$M40,$N40,$O40,$P40,$Q40-$C$3,$R40,0)</f>
        <v>#NAME?</v>
      </c>
      <c r="T40" s="250" t="e">
        <f aca="false">xSPRDOPT($K40,$L40,$J40,$M40,$N40,$O40,$P40,$Q40-$C$3,$R40,1)*I40</f>
        <v>#NAME?</v>
      </c>
      <c r="U40" s="43" t="n">
        <v>0</v>
      </c>
      <c r="V40" s="250" t="e">
        <f aca="false">xSPRDOPT($K40,$L40,$J40,$M40,$N40,$O40,$P40,$Q40-$C$3,$R40,2)*I40</f>
        <v>#NAME?</v>
      </c>
      <c r="W40" s="250" t="e">
        <f aca="false">+V40+T40</f>
        <v>#NAME?</v>
      </c>
      <c r="X40" s="2" t="str">
        <f aca="false">CONCATENATE(H40,E40)</f>
        <v>36678IF-ELPO/SJ</v>
      </c>
      <c r="Y40" s="251" t="n">
        <f aca="false">I40/10000</f>
        <v>5</v>
      </c>
      <c r="AA40" s="2"/>
      <c r="AB40" s="182" t="n">
        <f aca="false">H40</f>
        <v>36678</v>
      </c>
      <c r="AC40" s="253" t="n">
        <v>0</v>
      </c>
      <c r="AD40" s="253" t="n">
        <v>0</v>
      </c>
      <c r="AE40" s="253" t="n">
        <v>0</v>
      </c>
      <c r="AF40" s="253" t="n">
        <v>0</v>
      </c>
      <c r="AG40" s="253" t="n">
        <v>0</v>
      </c>
      <c r="AH40" s="253" t="n">
        <v>0</v>
      </c>
      <c r="AI40" s="253" t="n">
        <v>0</v>
      </c>
      <c r="AJ40" s="254" t="e">
        <f aca="false">HLOOKUP(D40,PREVCURVES,VLOOKUP(H40,MOVE_DOWN2,2,FALSE()),FALSE())-HLOOKUP(E40,PREVCURVES,VLOOKUP(H40,MOVE_DOWN2,2,FALSE()),FALSE())</f>
        <v>#N/A</v>
      </c>
      <c r="AK40" s="253"/>
      <c r="AL40" s="0" t="str">
        <f aca="false">CONCATENATE(AB40,$AC$6)</f>
        <v>36678Curve Shift/Gamma</v>
      </c>
      <c r="AM40" s="0" t="str">
        <f aca="false">CONCATENATE($AB40,$AD$6)</f>
        <v>36678Rho</v>
      </c>
      <c r="AN40" s="0" t="str">
        <f aca="false">CONCATENATE($AB40,$AE$6)</f>
        <v>36678Drift</v>
      </c>
      <c r="AO40" s="0" t="str">
        <f aca="false">CONCATENATE($AB40,$AF$6)</f>
        <v>36678Vega</v>
      </c>
      <c r="AP40" s="0" t="str">
        <f aca="false">CONCATENATE($AB40,$AG$6)</f>
        <v>36678Theta</v>
      </c>
      <c r="AQ40" s="255" t="n">
        <f aca="false">EOMONTH(AQ39,0)+1</f>
        <v>37561</v>
      </c>
      <c r="AR40" s="261" t="n">
        <f aca="false">SUMIF($AL$7:$AL$654,CONCATENATE($AQ40,$AR$6),$AC$7:$AC$654)</f>
        <v>0</v>
      </c>
      <c r="AS40" s="262" t="n">
        <f aca="false">SUMIF($AM$7:$AM$659,CONCATENATE($AQ40,$AS$6),$AD$7:$AD$654)</f>
        <v>0</v>
      </c>
      <c r="AT40" s="262" t="n">
        <f aca="false">SUMIF($AN$7:$AN$659,CONCATENATE($AQ40,$AT$6),$AE$7:$AE$654)</f>
        <v>0</v>
      </c>
      <c r="AU40" s="262" t="n">
        <f aca="false">SUMIF($AO$7:$AO$659,CONCATENATE($AQ40,$AU$6),$AF$7:$AF$654)</f>
        <v>0</v>
      </c>
      <c r="AV40" s="263" t="n">
        <f aca="false">SUMIF($AP$7:$AP$659,CONCATENATE($AQ40,$AV$6),$AG$7:$AG$654)</f>
        <v>0</v>
      </c>
      <c r="AW40" s="264" t="n">
        <f aca="false">SUM(AR40:AV40)</f>
        <v>0</v>
      </c>
      <c r="AZ40" s="143" t="n">
        <f aca="false">EOMONTH(AZ39,0)+1</f>
        <v>37165</v>
      </c>
      <c r="BA40" s="135"/>
      <c r="BG40" s="285" t="n">
        <v>37500</v>
      </c>
      <c r="BH40" s="0" t="n">
        <v>0.985</v>
      </c>
      <c r="BJ40" s="285" t="n">
        <v>37500</v>
      </c>
      <c r="BK40" s="0" t="n">
        <v>37</v>
      </c>
    </row>
    <row r="41" customFormat="false" ht="12" hidden="false" customHeight="true" outlineLevel="0" collapsed="false">
      <c r="A41" s="267" t="s">
        <v>198</v>
      </c>
      <c r="B41" s="269" t="s">
        <v>192</v>
      </c>
      <c r="C41" s="269" t="s">
        <v>494</v>
      </c>
      <c r="D41" s="269" t="s">
        <v>137</v>
      </c>
      <c r="E41" s="7" t="s">
        <v>483</v>
      </c>
      <c r="F41" s="269" t="s">
        <v>131</v>
      </c>
      <c r="G41" s="269" t="s">
        <v>136</v>
      </c>
      <c r="H41" s="286" t="n">
        <v>36678</v>
      </c>
      <c r="I41" s="272" t="n">
        <v>-10000</v>
      </c>
      <c r="J41" s="125" t="n">
        <v>0.46</v>
      </c>
      <c r="K41" s="124" t="n">
        <f aca="false">HLOOKUP($D$3,GDPRICES,VLOOKUP(Q41,GDmove_down,2,FALSE()),FALSE())</f>
        <v>4.75</v>
      </c>
      <c r="L41" s="124" t="n">
        <f aca="false">HLOOKUP($E$3,GDPRICES,VLOOKUP(Q41,GDmove_down,2,FALSE()),FALSE())</f>
        <v>3.29</v>
      </c>
      <c r="M41" s="126" t="n">
        <v>1</v>
      </c>
      <c r="N41" s="7" t="n">
        <v>0.515</v>
      </c>
      <c r="O41" s="7" t="n">
        <v>0.515</v>
      </c>
      <c r="P41" s="249" t="e">
        <f aca="false">HLOOKUP(E41,GDcorr,VLOOKUP(H41,GDCorMove,2,FALSE()),FALSE())</f>
        <v>#N/A</v>
      </c>
      <c r="Q41" s="92" t="n">
        <v>36682</v>
      </c>
      <c r="R41" s="7" t="n">
        <f aca="false">IF(G41="P",0,1)</f>
        <v>1</v>
      </c>
      <c r="S41" s="130" t="e">
        <f aca="false">xSPRDOPT($K41,$L41,$J41,$M41,$N41,$O41,$P41,$Q41-$C$3,$R41,0)</f>
        <v>#NAME?</v>
      </c>
      <c r="T41" s="250" t="e">
        <f aca="false">xSPRDOPT($K41,$L41,$J41,$M41,$N41,$O41,$P41,$Q41-$C$3,$R41,1)*I41</f>
        <v>#NAME?</v>
      </c>
      <c r="U41" s="43" t="n">
        <v>0</v>
      </c>
      <c r="V41" s="250" t="e">
        <f aca="false">xSPRDOPT($K41,$L41,$J41,$M41,$N41,$O41,$P41,$Q41-$C$3,$R41,2)*I41</f>
        <v>#NAME?</v>
      </c>
      <c r="W41" s="250" t="e">
        <f aca="false">+V41+T41</f>
        <v>#NAME?</v>
      </c>
      <c r="X41" s="2" t="str">
        <f aca="false">CONCATENATE(H41,E41)</f>
        <v>36678IF-ELPO/SJ</v>
      </c>
      <c r="Y41" s="251" t="n">
        <f aca="false">I41/10000</f>
        <v>-1</v>
      </c>
      <c r="AA41" s="2"/>
      <c r="AB41" s="182" t="n">
        <f aca="false">H41</f>
        <v>36678</v>
      </c>
      <c r="AC41" s="253" t="n">
        <v>0</v>
      </c>
      <c r="AD41" s="253" t="n">
        <v>0</v>
      </c>
      <c r="AE41" s="253" t="n">
        <v>0</v>
      </c>
      <c r="AF41" s="253" t="n">
        <v>0</v>
      </c>
      <c r="AG41" s="253" t="n">
        <v>0</v>
      </c>
      <c r="AH41" s="253" t="n">
        <v>0</v>
      </c>
      <c r="AI41" s="253" t="n">
        <v>0</v>
      </c>
      <c r="AJ41" s="254" t="e">
        <f aca="false">HLOOKUP(D41,PREVCURVES,VLOOKUP(H41,MOVE_DOWN2,2,FALSE()),FALSE())-HLOOKUP(E41,PREVCURVES,VLOOKUP(H41,MOVE_DOWN2,2,FALSE()),FALSE())</f>
        <v>#N/A</v>
      </c>
      <c r="AK41" s="253"/>
      <c r="AL41" s="0" t="str">
        <f aca="false">CONCATENATE(AB41,$AC$6)</f>
        <v>36678Curve Shift/Gamma</v>
      </c>
      <c r="AM41" s="0" t="str">
        <f aca="false">CONCATENATE($AB41,$AD$6)</f>
        <v>36678Rho</v>
      </c>
      <c r="AN41" s="0" t="str">
        <f aca="false">CONCATENATE($AB41,$AE$6)</f>
        <v>36678Drift</v>
      </c>
      <c r="AO41" s="0" t="str">
        <f aca="false">CONCATENATE($AB41,$AF$6)</f>
        <v>36678Vega</v>
      </c>
      <c r="AP41" s="0" t="str">
        <f aca="false">CONCATENATE($AB41,$AG$6)</f>
        <v>36678Theta</v>
      </c>
      <c r="AQ41" s="255" t="n">
        <f aca="false">EOMONTH(AQ40,0)+1</f>
        <v>37591</v>
      </c>
      <c r="AR41" s="261" t="n">
        <f aca="false">SUMIF($AL$7:$AL$654,CONCATENATE($AQ41,$AR$6),$AC$7:$AC$654)</f>
        <v>0</v>
      </c>
      <c r="AS41" s="262" t="n">
        <f aca="false">SUMIF($AM$7:$AM$659,CONCATENATE($AQ41,$AS$6),$AD$7:$AD$654)</f>
        <v>0</v>
      </c>
      <c r="AT41" s="262" t="n">
        <f aca="false">SUMIF($AN$7:$AN$659,CONCATENATE($AQ41,$AT$6),$AE$7:$AE$654)</f>
        <v>0</v>
      </c>
      <c r="AU41" s="262" t="n">
        <f aca="false">SUMIF($AO$7:$AO$659,CONCATENATE($AQ41,$AU$6),$AF$7:$AF$654)</f>
        <v>0</v>
      </c>
      <c r="AV41" s="263" t="n">
        <f aca="false">SUMIF($AP$7:$AP$659,CONCATENATE($AQ41,$AV$6),$AG$7:$AG$654)</f>
        <v>0</v>
      </c>
      <c r="AW41" s="264" t="n">
        <f aca="false">SUM(AR41:AV41)</f>
        <v>0</v>
      </c>
      <c r="AZ41" s="143" t="n">
        <f aca="false">EOMONTH(AZ40,0)+1</f>
        <v>37196</v>
      </c>
      <c r="BA41" s="135"/>
      <c r="BG41" s="285" t="n">
        <v>37530</v>
      </c>
      <c r="BH41" s="0" t="n">
        <v>0.985</v>
      </c>
      <c r="BJ41" s="285" t="n">
        <v>37530</v>
      </c>
      <c r="BK41" s="0" t="n">
        <v>38</v>
      </c>
    </row>
    <row r="42" customFormat="false" ht="12" hidden="false" customHeight="true" outlineLevel="0" collapsed="false">
      <c r="A42" s="265" t="s">
        <v>198</v>
      </c>
      <c r="B42" s="269" t="s">
        <v>192</v>
      </c>
      <c r="C42" s="269" t="s">
        <v>488</v>
      </c>
      <c r="D42" s="269" t="s">
        <v>137</v>
      </c>
      <c r="E42" s="7" t="s">
        <v>483</v>
      </c>
      <c r="F42" s="269" t="s">
        <v>131</v>
      </c>
      <c r="G42" s="269" t="s">
        <v>136</v>
      </c>
      <c r="H42" s="286" t="n">
        <v>36678</v>
      </c>
      <c r="I42" s="272" t="n">
        <v>-50000</v>
      </c>
      <c r="J42" s="125" t="n">
        <v>0.46</v>
      </c>
      <c r="K42" s="124" t="n">
        <f aca="false">HLOOKUP($D$3,GDPRICES,VLOOKUP(Q42,GDmove_down,2,FALSE()),FALSE())</f>
        <v>4.75</v>
      </c>
      <c r="L42" s="124" t="n">
        <f aca="false">HLOOKUP($E$3,GDPRICES,VLOOKUP(Q42,GDmove_down,2,FALSE()),FALSE())</f>
        <v>3.29</v>
      </c>
      <c r="M42" s="126" t="n">
        <v>1</v>
      </c>
      <c r="N42" s="7" t="n">
        <v>0.515</v>
      </c>
      <c r="O42" s="7" t="n">
        <v>0.515</v>
      </c>
      <c r="P42" s="249" t="e">
        <f aca="false">HLOOKUP(E42,GDcorr,VLOOKUP(H42,GDCorMove,2,FALSE()),FALSE())</f>
        <v>#N/A</v>
      </c>
      <c r="Q42" s="92" t="n">
        <v>36683</v>
      </c>
      <c r="R42" s="7" t="n">
        <f aca="false">IF(G42="P",0,1)</f>
        <v>1</v>
      </c>
      <c r="S42" s="130" t="e">
        <f aca="false">xSPRDOPT($K42,$L42,$J42,$M42,$N42,$O42,$P42,$Q42-$C$3,$R42,0)</f>
        <v>#NAME?</v>
      </c>
      <c r="T42" s="250" t="e">
        <f aca="false">xSPRDOPT($K42,$L42,$J42,$M42,$N42,$O42,$P42,$Q42-$C$3,$R42,1)*I42</f>
        <v>#NAME?</v>
      </c>
      <c r="U42" s="43" t="n">
        <v>-1250</v>
      </c>
      <c r="V42" s="250" t="e">
        <f aca="false">xSPRDOPT($K42,$L42,$J42,$M42,$N42,$O42,$P42,$Q42-$C$3,$R42,2)*I42</f>
        <v>#NAME?</v>
      </c>
      <c r="W42" s="250" t="e">
        <f aca="false">+V42+T42</f>
        <v>#NAME?</v>
      </c>
      <c r="X42" s="2" t="str">
        <f aca="false">CONCATENATE(H42,E42)</f>
        <v>36678IF-ELPO/SJ</v>
      </c>
      <c r="Y42" s="251" t="n">
        <f aca="false">I42/10000</f>
        <v>-5</v>
      </c>
      <c r="AA42" s="2"/>
      <c r="AB42" s="182" t="n">
        <f aca="false">H42</f>
        <v>36678</v>
      </c>
      <c r="AC42" s="253" t="n">
        <v>0</v>
      </c>
      <c r="AD42" s="253" t="n">
        <v>0</v>
      </c>
      <c r="AE42" s="253" t="n">
        <v>0</v>
      </c>
      <c r="AF42" s="253" t="n">
        <v>0</v>
      </c>
      <c r="AG42" s="253" t="n">
        <v>0</v>
      </c>
      <c r="AH42" s="253" t="n">
        <v>0</v>
      </c>
      <c r="AI42" s="43" t="n">
        <v>-1250</v>
      </c>
      <c r="AJ42" s="254" t="e">
        <f aca="false">HLOOKUP(D42,PREVCURVES,VLOOKUP(H42,MOVE_DOWN2,2,FALSE()),FALSE())-HLOOKUP(E42,PREVCURVES,VLOOKUP(H42,MOVE_DOWN2,2,FALSE()),FALSE())</f>
        <v>#N/A</v>
      </c>
      <c r="AK42" s="253"/>
      <c r="AL42" s="0" t="str">
        <f aca="false">CONCATENATE(AB42,$AC$6)</f>
        <v>36678Curve Shift/Gamma</v>
      </c>
      <c r="AM42" s="0" t="str">
        <f aca="false">CONCATENATE($AB42,$AD$6)</f>
        <v>36678Rho</v>
      </c>
      <c r="AN42" s="0" t="str">
        <f aca="false">CONCATENATE($AB42,$AE$6)</f>
        <v>36678Drift</v>
      </c>
      <c r="AO42" s="0" t="str">
        <f aca="false">CONCATENATE($AB42,$AF$6)</f>
        <v>36678Vega</v>
      </c>
      <c r="AP42" s="0" t="str">
        <f aca="false">CONCATENATE($AB42,$AG$6)</f>
        <v>36678Theta</v>
      </c>
      <c r="AQ42" s="255" t="n">
        <f aca="false">EOMONTH(AQ41,0)+1</f>
        <v>37622</v>
      </c>
      <c r="AR42" s="261" t="n">
        <f aca="false">SUMIF($AL$7:$AL$654,CONCATENATE($AQ42,$AR$6),$AC$7:$AC$654)</f>
        <v>0</v>
      </c>
      <c r="AS42" s="262" t="n">
        <f aca="false">SUMIF($AM$7:$AM$659,CONCATENATE($AQ42,$AS$6),$AD$7:$AD$654)</f>
        <v>0</v>
      </c>
      <c r="AT42" s="262" t="n">
        <f aca="false">SUMIF($AN$7:$AN$659,CONCATENATE($AQ42,$AT$6),$AE$7:$AE$654)</f>
        <v>0</v>
      </c>
      <c r="AU42" s="262" t="n">
        <f aca="false">SUMIF($AO$7:$AO$659,CONCATENATE($AQ42,$AU$6),$AF$7:$AF$654)</f>
        <v>0</v>
      </c>
      <c r="AV42" s="263" t="n">
        <f aca="false">SUMIF($AP$7:$AP$659,CONCATENATE($AQ42,$AV$6),$AG$7:$AG$654)</f>
        <v>0</v>
      </c>
      <c r="AW42" s="264" t="n">
        <f aca="false">SUM(AR42:AV42)</f>
        <v>0</v>
      </c>
      <c r="AZ42" s="143" t="n">
        <f aca="false">EOMONTH(AZ41,0)+1</f>
        <v>37226</v>
      </c>
      <c r="BA42" s="135"/>
      <c r="BG42" s="285" t="n">
        <v>37561</v>
      </c>
      <c r="BH42" s="0" t="n">
        <v>0.970485</v>
      </c>
      <c r="BJ42" s="285" t="n">
        <v>37561</v>
      </c>
      <c r="BK42" s="0" t="n">
        <v>39</v>
      </c>
    </row>
    <row r="43" customFormat="false" ht="12" hidden="false" customHeight="true" outlineLevel="0" collapsed="false">
      <c r="A43" s="265" t="s">
        <v>198</v>
      </c>
      <c r="B43" s="269" t="s">
        <v>192</v>
      </c>
      <c r="C43" s="269" t="s">
        <v>489</v>
      </c>
      <c r="D43" s="269" t="s">
        <v>137</v>
      </c>
      <c r="E43" s="7" t="s">
        <v>483</v>
      </c>
      <c r="F43" s="269" t="s">
        <v>131</v>
      </c>
      <c r="G43" s="269" t="s">
        <v>136</v>
      </c>
      <c r="H43" s="286" t="n">
        <v>36678</v>
      </c>
      <c r="I43" s="272" t="n">
        <v>10000</v>
      </c>
      <c r="J43" s="125" t="n">
        <v>0.46</v>
      </c>
      <c r="K43" s="124" t="n">
        <f aca="false">HLOOKUP($D$3,GDPRICES,VLOOKUP(Q43,GDmove_down,2,FALSE()),FALSE())</f>
        <v>4.75</v>
      </c>
      <c r="L43" s="124" t="n">
        <f aca="false">HLOOKUP($E$3,GDPRICES,VLOOKUP(Q43,GDmove_down,2,FALSE()),FALSE())</f>
        <v>3.29</v>
      </c>
      <c r="M43" s="126" t="n">
        <v>1</v>
      </c>
      <c r="N43" s="7" t="n">
        <v>0.515</v>
      </c>
      <c r="O43" s="7" t="n">
        <v>0.515</v>
      </c>
      <c r="P43" s="249" t="e">
        <f aca="false">HLOOKUP(E43,GDcorr,VLOOKUP(H43,GDCorMove,2,FALSE()),FALSE())</f>
        <v>#N/A</v>
      </c>
      <c r="Q43" s="92" t="n">
        <v>36683</v>
      </c>
      <c r="R43" s="7" t="n">
        <f aca="false">IF(G43="P",0,1)</f>
        <v>1</v>
      </c>
      <c r="S43" s="130" t="e">
        <f aca="false">xSPRDOPT($K43,$L43,$J43,$M43,$N43,$O43,$P43,$Q43-$C$3,$R43,0)</f>
        <v>#NAME?</v>
      </c>
      <c r="T43" s="250" t="e">
        <f aca="false">xSPRDOPT($K43,$L43,$J43,$M43,$N43,$O43,$P43,$Q43-$C$3,$R43,1)*I43</f>
        <v>#NAME?</v>
      </c>
      <c r="U43" s="43" t="n">
        <v>250</v>
      </c>
      <c r="V43" s="250" t="e">
        <f aca="false">xSPRDOPT($K43,$L43,$J43,$M43,$N43,$O43,$P43,$Q43-$C$3,$R43,2)*I43</f>
        <v>#NAME?</v>
      </c>
      <c r="W43" s="250" t="e">
        <f aca="false">+V43+T43</f>
        <v>#NAME?</v>
      </c>
      <c r="X43" s="2" t="str">
        <f aca="false">CONCATENATE(H43,E43)</f>
        <v>36678IF-ELPO/SJ</v>
      </c>
      <c r="Y43" s="251" t="n">
        <f aca="false">I43/10000</f>
        <v>1</v>
      </c>
      <c r="AA43" s="2"/>
      <c r="AB43" s="182" t="n">
        <f aca="false">H43</f>
        <v>36678</v>
      </c>
      <c r="AC43" s="253" t="n">
        <v>0</v>
      </c>
      <c r="AD43" s="253" t="n">
        <v>0</v>
      </c>
      <c r="AE43" s="253" t="n">
        <v>0</v>
      </c>
      <c r="AF43" s="253" t="n">
        <v>0</v>
      </c>
      <c r="AG43" s="253" t="n">
        <v>0</v>
      </c>
      <c r="AH43" s="253" t="n">
        <v>0</v>
      </c>
      <c r="AI43" s="43" t="n">
        <v>250</v>
      </c>
      <c r="AJ43" s="254" t="e">
        <f aca="false">HLOOKUP(D43,PREVCURVES,VLOOKUP(H43,MOVE_DOWN2,2,FALSE()),FALSE())-HLOOKUP(E43,PREVCURVES,VLOOKUP(H43,MOVE_DOWN2,2,FALSE()),FALSE())</f>
        <v>#N/A</v>
      </c>
      <c r="AK43" s="253"/>
      <c r="AL43" s="0" t="str">
        <f aca="false">CONCATENATE(AB43,$AC$6)</f>
        <v>36678Curve Shift/Gamma</v>
      </c>
      <c r="AM43" s="0" t="str">
        <f aca="false">CONCATENATE($AB43,$AD$6)</f>
        <v>36678Rho</v>
      </c>
      <c r="AN43" s="0" t="str">
        <f aca="false">CONCATENATE($AB43,$AE$6)</f>
        <v>36678Drift</v>
      </c>
      <c r="AO43" s="0" t="str">
        <f aca="false">CONCATENATE($AB43,$AF$6)</f>
        <v>36678Vega</v>
      </c>
      <c r="AP43" s="0" t="str">
        <f aca="false">CONCATENATE($AB43,$AG$6)</f>
        <v>36678Theta</v>
      </c>
      <c r="AQ43" s="255" t="n">
        <f aca="false">EOMONTH(AQ42,0)+1</f>
        <v>37653</v>
      </c>
      <c r="AR43" s="261" t="n">
        <f aca="false">SUMIF($AL$7:$AL$654,CONCATENATE($AQ43,$AR$6),$AC$7:$AC$654)</f>
        <v>0</v>
      </c>
      <c r="AS43" s="262" t="n">
        <f aca="false">SUMIF($AM$7:$AM$659,CONCATENATE($AQ43,$AS$6),$AD$7:$AD$654)</f>
        <v>0</v>
      </c>
      <c r="AT43" s="262" t="n">
        <f aca="false">SUMIF($AN$7:$AN$659,CONCATENATE($AQ43,$AT$6),$AE$7:$AE$654)</f>
        <v>0</v>
      </c>
      <c r="AU43" s="262" t="n">
        <f aca="false">SUMIF($AO$7:$AO$659,CONCATENATE($AQ43,$AU$6),$AF$7:$AF$654)</f>
        <v>0</v>
      </c>
      <c r="AV43" s="263" t="n">
        <f aca="false">SUMIF($AP$7:$AP$659,CONCATENATE($AQ43,$AV$6),$AG$7:$AG$654)</f>
        <v>0</v>
      </c>
      <c r="AW43" s="264" t="n">
        <f aca="false">SUM(AR43:AV43)</f>
        <v>0</v>
      </c>
      <c r="AZ43" s="143" t="n">
        <f aca="false">EOMONTH(AZ42,0)+1</f>
        <v>37257</v>
      </c>
      <c r="BA43" s="135"/>
      <c r="BG43" s="285" t="n">
        <v>37591</v>
      </c>
      <c r="BH43" s="0" t="n">
        <v>0.970485</v>
      </c>
      <c r="BJ43" s="285" t="n">
        <v>37591</v>
      </c>
      <c r="BK43" s="0" t="n">
        <v>40</v>
      </c>
    </row>
    <row r="44" customFormat="false" ht="12" hidden="false" customHeight="true" outlineLevel="0" collapsed="false">
      <c r="A44" s="265" t="s">
        <v>198</v>
      </c>
      <c r="B44" s="269" t="s">
        <v>192</v>
      </c>
      <c r="C44" s="269" t="s">
        <v>490</v>
      </c>
      <c r="D44" s="269" t="s">
        <v>137</v>
      </c>
      <c r="E44" s="7" t="s">
        <v>483</v>
      </c>
      <c r="F44" s="269" t="s">
        <v>131</v>
      </c>
      <c r="G44" s="269" t="s">
        <v>136</v>
      </c>
      <c r="H44" s="286" t="n">
        <v>36678</v>
      </c>
      <c r="I44" s="272" t="n">
        <v>-333333</v>
      </c>
      <c r="J44" s="125" t="n">
        <v>0.46</v>
      </c>
      <c r="K44" s="124" t="n">
        <f aca="false">HLOOKUP($D$3,GDPRICES,VLOOKUP(Q44,GDmove_down,2,FALSE()),FALSE())</f>
        <v>4.75</v>
      </c>
      <c r="L44" s="124" t="n">
        <f aca="false">HLOOKUP($E$3,GDPRICES,VLOOKUP(Q44,GDmove_down,2,FALSE()),FALSE())</f>
        <v>3.29</v>
      </c>
      <c r="M44" s="126" t="n">
        <v>1</v>
      </c>
      <c r="N44" s="7" t="n">
        <v>0.515</v>
      </c>
      <c r="O44" s="7" t="n">
        <v>0.515</v>
      </c>
      <c r="P44" s="249" t="e">
        <f aca="false">HLOOKUP(E44,GDcorr,VLOOKUP(H44,GDCorMove,2,FALSE()),FALSE())</f>
        <v>#N/A</v>
      </c>
      <c r="Q44" s="92" t="n">
        <v>36683</v>
      </c>
      <c r="R44" s="7" t="n">
        <f aca="false">IF(G44="P",0,1)</f>
        <v>1</v>
      </c>
      <c r="S44" s="130" t="e">
        <f aca="false">xSPRDOPT($K44,$L44,$J44,$M44,$N44,$O44,$P44,$Q44-$C$3,$R44,0)</f>
        <v>#NAME?</v>
      </c>
      <c r="T44" s="250" t="e">
        <f aca="false">xSPRDOPT($K44,$L44,$J44,$M44,$N44,$O44,$P44,$Q44-$C$3,$R44,1)*I44</f>
        <v>#NAME?</v>
      </c>
      <c r="U44" s="43" t="n">
        <v>-8333.33</v>
      </c>
      <c r="V44" s="250" t="e">
        <f aca="false">xSPRDOPT($K44,$L44,$J44,$M44,$N44,$O44,$P44,$Q44-$C$3,$R44,2)*I44</f>
        <v>#NAME?</v>
      </c>
      <c r="W44" s="250" t="e">
        <f aca="false">+V44+T44</f>
        <v>#NAME?</v>
      </c>
      <c r="X44" s="2" t="str">
        <f aca="false">CONCATENATE(H44,E44)</f>
        <v>36678IF-ELPO/SJ</v>
      </c>
      <c r="Y44" s="251" t="n">
        <f aca="false">I44/10000</f>
        <v>-33.3333</v>
      </c>
      <c r="AA44" s="2"/>
      <c r="AB44" s="182" t="n">
        <f aca="false">H44</f>
        <v>36678</v>
      </c>
      <c r="AC44" s="253" t="n">
        <v>0</v>
      </c>
      <c r="AD44" s="253" t="n">
        <v>0</v>
      </c>
      <c r="AE44" s="253" t="n">
        <v>0</v>
      </c>
      <c r="AF44" s="253" t="n">
        <v>0</v>
      </c>
      <c r="AG44" s="253" t="n">
        <v>0</v>
      </c>
      <c r="AH44" s="253" t="n">
        <v>0</v>
      </c>
      <c r="AI44" s="43" t="n">
        <v>-8333.33</v>
      </c>
      <c r="AJ44" s="254" t="e">
        <f aca="false">HLOOKUP(D44,PREVCURVES,VLOOKUP(H44,MOVE_DOWN2,2,FALSE()),FALSE())-HLOOKUP(E44,PREVCURVES,VLOOKUP(H44,MOVE_DOWN2,2,FALSE()),FALSE())</f>
        <v>#N/A</v>
      </c>
      <c r="AK44" s="253"/>
      <c r="AL44" s="0" t="str">
        <f aca="false">CONCATENATE(AB44,$AC$6)</f>
        <v>36678Curve Shift/Gamma</v>
      </c>
      <c r="AM44" s="0" t="str">
        <f aca="false">CONCATENATE($AB44,$AD$6)</f>
        <v>36678Rho</v>
      </c>
      <c r="AN44" s="0" t="str">
        <f aca="false">CONCATENATE($AB44,$AE$6)</f>
        <v>36678Drift</v>
      </c>
      <c r="AO44" s="0" t="str">
        <f aca="false">CONCATENATE($AB44,$AF$6)</f>
        <v>36678Vega</v>
      </c>
      <c r="AP44" s="0" t="str">
        <f aca="false">CONCATENATE($AB44,$AG$6)</f>
        <v>36678Theta</v>
      </c>
      <c r="AQ44" s="255" t="n">
        <f aca="false">EOMONTH(AQ43,0)+1</f>
        <v>37681</v>
      </c>
      <c r="AR44" s="261" t="n">
        <f aca="false">SUMIF($AL$7:$AL$654,CONCATENATE($AQ44,$AR$6),$AC$7:$AC$654)</f>
        <v>0</v>
      </c>
      <c r="AS44" s="262" t="n">
        <f aca="false">SUMIF($AM$7:$AM$659,CONCATENATE($AQ44,$AS$6),$AD$7:$AD$654)</f>
        <v>0</v>
      </c>
      <c r="AT44" s="262" t="n">
        <f aca="false">SUMIF($AN$7:$AN$659,CONCATENATE($AQ44,$AT$6),$AE$7:$AE$654)</f>
        <v>0</v>
      </c>
      <c r="AU44" s="262" t="n">
        <f aca="false">SUMIF($AO$7:$AO$659,CONCATENATE($AQ44,$AU$6),$AF$7:$AF$654)</f>
        <v>0</v>
      </c>
      <c r="AV44" s="263" t="n">
        <f aca="false">SUMIF($AP$7:$AP$659,CONCATENATE($AQ44,$AV$6),$AG$7:$AG$654)</f>
        <v>0</v>
      </c>
      <c r="AW44" s="264" t="n">
        <f aca="false">SUM(AR44:AV44)</f>
        <v>0</v>
      </c>
      <c r="AZ44" s="143" t="n">
        <f aca="false">EOMONTH(AZ43,0)+1</f>
        <v>37288</v>
      </c>
      <c r="BA44" s="135"/>
      <c r="BG44" s="285" t="n">
        <v>37622</v>
      </c>
      <c r="BH44" s="0" t="n">
        <v>0.985</v>
      </c>
      <c r="BJ44" s="285" t="n">
        <v>37622</v>
      </c>
      <c r="BK44" s="0" t="n">
        <v>41</v>
      </c>
    </row>
    <row r="45" customFormat="false" ht="12" hidden="false" customHeight="true" outlineLevel="0" collapsed="false">
      <c r="A45" s="267" t="s">
        <v>196</v>
      </c>
      <c r="B45" s="269" t="s">
        <v>192</v>
      </c>
      <c r="C45" s="269" t="s">
        <v>491</v>
      </c>
      <c r="D45" s="269" t="s">
        <v>137</v>
      </c>
      <c r="E45" s="7" t="s">
        <v>483</v>
      </c>
      <c r="F45" s="269" t="s">
        <v>131</v>
      </c>
      <c r="G45" s="269" t="s">
        <v>136</v>
      </c>
      <c r="H45" s="286" t="n">
        <v>36678</v>
      </c>
      <c r="I45" s="272" t="n">
        <v>-10000</v>
      </c>
      <c r="J45" s="125" t="n">
        <v>0.46</v>
      </c>
      <c r="K45" s="124" t="n">
        <f aca="false">HLOOKUP($D$3,GDPRICES,VLOOKUP(Q45,GDmove_down,2,FALSE()),FALSE())</f>
        <v>4.75</v>
      </c>
      <c r="L45" s="124" t="n">
        <f aca="false">HLOOKUP($E$3,GDPRICES,VLOOKUP(Q45,GDmove_down,2,FALSE()),FALSE())</f>
        <v>3.29</v>
      </c>
      <c r="M45" s="126" t="n">
        <v>1</v>
      </c>
      <c r="N45" s="7" t="n">
        <v>0.515</v>
      </c>
      <c r="O45" s="7" t="n">
        <v>0.515</v>
      </c>
      <c r="P45" s="249" t="e">
        <f aca="false">HLOOKUP(E45,GDcorr,VLOOKUP(H45,GDCorMove,2,FALSE()),FALSE())</f>
        <v>#N/A</v>
      </c>
      <c r="Q45" s="92" t="n">
        <v>36683</v>
      </c>
      <c r="R45" s="7" t="n">
        <f aca="false">IF(G45="P",0,1)</f>
        <v>1</v>
      </c>
      <c r="S45" s="130" t="e">
        <f aca="false">xSPRDOPT($K45,$L45,$J45,$M45,$N45,$O45,$P45,$Q45-$C$3,$R45,0)</f>
        <v>#NAME?</v>
      </c>
      <c r="T45" s="250" t="e">
        <f aca="false">xSPRDOPT($K45,$L45,$J45,$M45,$N45,$O45,$P45,$Q45-$C$3,$R45,1)*I45</f>
        <v>#NAME?</v>
      </c>
      <c r="U45" s="43" t="n">
        <v>-250</v>
      </c>
      <c r="V45" s="250" t="e">
        <f aca="false">xSPRDOPT($K45,$L45,$J45,$M45,$N45,$O45,$P45,$Q45-$C$3,$R45,2)*I45</f>
        <v>#NAME?</v>
      </c>
      <c r="W45" s="250" t="e">
        <f aca="false">+V45+T45</f>
        <v>#NAME?</v>
      </c>
      <c r="X45" s="2" t="str">
        <f aca="false">CONCATENATE(H45,E45)</f>
        <v>36678IF-ELPO/SJ</v>
      </c>
      <c r="Y45" s="251" t="n">
        <f aca="false">I45/10000</f>
        <v>-1</v>
      </c>
      <c r="AA45" s="2"/>
      <c r="AB45" s="182" t="n">
        <f aca="false">H45</f>
        <v>36678</v>
      </c>
      <c r="AC45" s="253" t="n">
        <v>0</v>
      </c>
      <c r="AD45" s="253" t="n">
        <v>0</v>
      </c>
      <c r="AE45" s="253" t="n">
        <v>0</v>
      </c>
      <c r="AF45" s="253" t="n">
        <v>0</v>
      </c>
      <c r="AG45" s="253" t="n">
        <v>0</v>
      </c>
      <c r="AH45" s="253" t="n">
        <v>0</v>
      </c>
      <c r="AI45" s="43" t="n">
        <v>-250</v>
      </c>
      <c r="AJ45" s="254" t="e">
        <f aca="false">HLOOKUP(D45,PREVCURVES,VLOOKUP(H45,MOVE_DOWN2,2,FALSE()),FALSE())-HLOOKUP(E45,PREVCURVES,VLOOKUP(H45,MOVE_DOWN2,2,FALSE()),FALSE())</f>
        <v>#N/A</v>
      </c>
      <c r="AK45" s="253"/>
      <c r="AL45" s="0" t="str">
        <f aca="false">CONCATENATE(AB45,$AC$6)</f>
        <v>36678Curve Shift/Gamma</v>
      </c>
      <c r="AM45" s="0" t="str">
        <f aca="false">CONCATENATE($AB45,$AD$6)</f>
        <v>36678Rho</v>
      </c>
      <c r="AN45" s="0" t="str">
        <f aca="false">CONCATENATE($AB45,$AE$6)</f>
        <v>36678Drift</v>
      </c>
      <c r="AO45" s="0" t="str">
        <f aca="false">CONCATENATE($AB45,$AF$6)</f>
        <v>36678Vega</v>
      </c>
      <c r="AP45" s="0" t="str">
        <f aca="false">CONCATENATE($AB45,$AG$6)</f>
        <v>36678Theta</v>
      </c>
      <c r="AQ45" s="255" t="n">
        <f aca="false">EOMONTH(AQ44,0)+1</f>
        <v>37712</v>
      </c>
      <c r="AR45" s="261" t="n">
        <f aca="false">SUMIF($AL$7:$AL$654,CONCATENATE($AQ45,$AR$6),$AC$7:$AC$654)</f>
        <v>0</v>
      </c>
      <c r="AS45" s="262" t="n">
        <f aca="false">SUMIF($AM$7:$AM$659,CONCATENATE($AQ45,$AS$6),$AD$7:$AD$654)</f>
        <v>0</v>
      </c>
      <c r="AT45" s="262" t="n">
        <f aca="false">SUMIF($AN$7:$AN$659,CONCATENATE($AQ45,$AT$6),$AE$7:$AE$654)</f>
        <v>0</v>
      </c>
      <c r="AU45" s="262" t="n">
        <f aca="false">SUMIF($AO$7:$AO$659,CONCATENATE($AQ45,$AU$6),$AF$7:$AF$654)</f>
        <v>0</v>
      </c>
      <c r="AV45" s="263" t="n">
        <f aca="false">SUMIF($AP$7:$AP$659,CONCATENATE($AQ45,$AV$6),$AG$7:$AG$654)</f>
        <v>0</v>
      </c>
      <c r="AW45" s="264" t="n">
        <f aca="false">SUM(AR45:AV45)</f>
        <v>0</v>
      </c>
      <c r="AZ45" s="143" t="n">
        <f aca="false">EOMONTH(AZ44,0)+1</f>
        <v>37316</v>
      </c>
      <c r="BA45" s="135"/>
      <c r="BG45" s="285" t="n">
        <v>37653</v>
      </c>
      <c r="BH45" s="0" t="n">
        <v>0.985</v>
      </c>
      <c r="BJ45" s="285" t="n">
        <v>37653</v>
      </c>
      <c r="BK45" s="0" t="n">
        <v>42</v>
      </c>
    </row>
    <row r="46" customFormat="false" ht="12" hidden="false" customHeight="true" outlineLevel="0" collapsed="false">
      <c r="A46" s="267" t="s">
        <v>198</v>
      </c>
      <c r="B46" s="269" t="s">
        <v>192</v>
      </c>
      <c r="C46" s="269" t="s">
        <v>492</v>
      </c>
      <c r="D46" s="269" t="s">
        <v>137</v>
      </c>
      <c r="E46" s="7" t="s">
        <v>483</v>
      </c>
      <c r="F46" s="269" t="s">
        <v>131</v>
      </c>
      <c r="G46" s="269" t="s">
        <v>136</v>
      </c>
      <c r="H46" s="286" t="n">
        <v>36678</v>
      </c>
      <c r="I46" s="272" t="n">
        <v>50000</v>
      </c>
      <c r="J46" s="125" t="n">
        <v>0.46</v>
      </c>
      <c r="K46" s="124" t="n">
        <f aca="false">HLOOKUP($D$3,GDPRICES,VLOOKUP(Q46,GDmove_down,2,FALSE()),FALSE())</f>
        <v>4.75</v>
      </c>
      <c r="L46" s="124" t="n">
        <f aca="false">HLOOKUP($E$3,GDPRICES,VLOOKUP(Q46,GDmove_down,2,FALSE()),FALSE())</f>
        <v>3.29</v>
      </c>
      <c r="M46" s="126" t="n">
        <v>1</v>
      </c>
      <c r="N46" s="7" t="n">
        <v>0.515</v>
      </c>
      <c r="O46" s="7" t="n">
        <v>0.515</v>
      </c>
      <c r="P46" s="249" t="e">
        <f aca="false">HLOOKUP(E46,GDcorr,VLOOKUP(H46,GDCorMove,2,FALSE()),FALSE())</f>
        <v>#N/A</v>
      </c>
      <c r="Q46" s="92" t="n">
        <v>36683</v>
      </c>
      <c r="R46" s="7" t="n">
        <f aca="false">IF(G46="P",0,1)</f>
        <v>1</v>
      </c>
      <c r="S46" s="130" t="e">
        <f aca="false">xSPRDOPT($K46,$L46,$J46,$M46,$N46,$O46,$P46,$Q46-$C$3,$R46,0)</f>
        <v>#NAME?</v>
      </c>
      <c r="T46" s="250" t="e">
        <f aca="false">xSPRDOPT($K46,$L46,$J46,$M46,$N46,$O46,$P46,$Q46-$C$3,$R46,1)*I46</f>
        <v>#NAME?</v>
      </c>
      <c r="U46" s="43" t="n">
        <v>1250</v>
      </c>
      <c r="V46" s="250" t="e">
        <f aca="false">xSPRDOPT($K46,$L46,$J46,$M46,$N46,$O46,$P46,$Q46-$C$3,$R46,2)*I46</f>
        <v>#NAME?</v>
      </c>
      <c r="W46" s="250" t="e">
        <f aca="false">+V46+T46</f>
        <v>#NAME?</v>
      </c>
      <c r="X46" s="2" t="str">
        <f aca="false">CONCATENATE(H46,E46)</f>
        <v>36678IF-ELPO/SJ</v>
      </c>
      <c r="Y46" s="251" t="n">
        <f aca="false">I46/10000</f>
        <v>5</v>
      </c>
      <c r="Z46" s="2"/>
      <c r="AA46" s="2"/>
      <c r="AB46" s="182" t="n">
        <f aca="false">H46</f>
        <v>36678</v>
      </c>
      <c r="AC46" s="253" t="n">
        <v>0</v>
      </c>
      <c r="AD46" s="253" t="n">
        <v>0</v>
      </c>
      <c r="AE46" s="253" t="n">
        <v>0</v>
      </c>
      <c r="AF46" s="253" t="n">
        <v>0</v>
      </c>
      <c r="AG46" s="253" t="n">
        <v>0</v>
      </c>
      <c r="AH46" s="253" t="n">
        <v>0</v>
      </c>
      <c r="AI46" s="43" t="n">
        <v>1250</v>
      </c>
      <c r="AJ46" s="254" t="e">
        <f aca="false">HLOOKUP(D46,PREVCURVES,VLOOKUP(H46,MOVE_DOWN2,2,FALSE()),FALSE())-HLOOKUP(E46,PREVCURVES,VLOOKUP(H46,MOVE_DOWN2,2,FALSE()),FALSE())</f>
        <v>#N/A</v>
      </c>
      <c r="AK46" s="253"/>
      <c r="AL46" s="0" t="str">
        <f aca="false">CONCATENATE(AB46,$AC$6)</f>
        <v>36678Curve Shift/Gamma</v>
      </c>
      <c r="AM46" s="0" t="str">
        <f aca="false">CONCATENATE($AB46,$AD$6)</f>
        <v>36678Rho</v>
      </c>
      <c r="AN46" s="0" t="str">
        <f aca="false">CONCATENATE($AB46,$AE$6)</f>
        <v>36678Drift</v>
      </c>
      <c r="AO46" s="0" t="str">
        <f aca="false">CONCATENATE($AB46,$AF$6)</f>
        <v>36678Vega</v>
      </c>
      <c r="AP46" s="0" t="str">
        <f aca="false">CONCATENATE($AB46,$AG$6)</f>
        <v>36678Theta</v>
      </c>
      <c r="AQ46" s="255" t="n">
        <f aca="false">EOMONTH(AQ45,0)+1</f>
        <v>37742</v>
      </c>
      <c r="AR46" s="261" t="n">
        <f aca="false">SUMIF($AL$7:$AL$654,CONCATENATE($AQ46,$AR$6),$AC$7:$AC$654)</f>
        <v>0</v>
      </c>
      <c r="AS46" s="262" t="n">
        <f aca="false">SUMIF($AM$7:$AM$659,CONCATENATE($AQ46,$AS$6),$AD$7:$AD$654)</f>
        <v>0</v>
      </c>
      <c r="AT46" s="262" t="n">
        <f aca="false">SUMIF($AN$7:$AN$659,CONCATENATE($AQ46,$AT$6),$AE$7:$AE$654)</f>
        <v>0</v>
      </c>
      <c r="AU46" s="262" t="n">
        <f aca="false">SUMIF($AO$7:$AO$659,CONCATENATE($AQ46,$AU$6),$AF$7:$AF$654)</f>
        <v>0</v>
      </c>
      <c r="AV46" s="263" t="n">
        <f aca="false">SUMIF($AP$7:$AP$659,CONCATENATE($AQ46,$AV$6),$AG$7:$AG$654)</f>
        <v>0</v>
      </c>
      <c r="AW46" s="264" t="n">
        <f aca="false">SUM(AR46:AV46)</f>
        <v>0</v>
      </c>
      <c r="AZ46" s="143" t="n">
        <f aca="false">EOMONTH(AZ45,0)+1</f>
        <v>37347</v>
      </c>
      <c r="BA46" s="135"/>
      <c r="BG46" s="285" t="n">
        <v>37681</v>
      </c>
      <c r="BH46" s="0" t="n">
        <v>0.985</v>
      </c>
      <c r="BJ46" s="285" t="n">
        <v>37681</v>
      </c>
      <c r="BK46" s="0" t="n">
        <v>43</v>
      </c>
    </row>
    <row r="47" customFormat="false" ht="12" hidden="false" customHeight="true" outlineLevel="0" collapsed="false">
      <c r="A47" s="267" t="s">
        <v>198</v>
      </c>
      <c r="B47" s="269" t="s">
        <v>192</v>
      </c>
      <c r="C47" s="269" t="s">
        <v>493</v>
      </c>
      <c r="D47" s="269" t="s">
        <v>137</v>
      </c>
      <c r="E47" s="7" t="s">
        <v>483</v>
      </c>
      <c r="F47" s="269" t="s">
        <v>131</v>
      </c>
      <c r="G47" s="269" t="s">
        <v>136</v>
      </c>
      <c r="H47" s="286" t="n">
        <v>36678</v>
      </c>
      <c r="I47" s="272" t="n">
        <v>50000</v>
      </c>
      <c r="J47" s="125" t="n">
        <v>0.46</v>
      </c>
      <c r="K47" s="124" t="n">
        <f aca="false">HLOOKUP($D$3,GDPRICES,VLOOKUP(Q47,GDmove_down,2,FALSE()),FALSE())</f>
        <v>4.75</v>
      </c>
      <c r="L47" s="124" t="n">
        <f aca="false">HLOOKUP($E$3,GDPRICES,VLOOKUP(Q47,GDmove_down,2,FALSE()),FALSE())</f>
        <v>3.29</v>
      </c>
      <c r="M47" s="126" t="n">
        <v>1</v>
      </c>
      <c r="N47" s="7" t="n">
        <v>0.515</v>
      </c>
      <c r="O47" s="7" t="n">
        <v>0.515</v>
      </c>
      <c r="P47" s="249" t="e">
        <f aca="false">HLOOKUP(E47,GDcorr,VLOOKUP(H47,GDCorMove,2,FALSE()),FALSE())</f>
        <v>#N/A</v>
      </c>
      <c r="Q47" s="92" t="n">
        <v>36683</v>
      </c>
      <c r="R47" s="7" t="n">
        <f aca="false">IF(G47="P",0,1)</f>
        <v>1</v>
      </c>
      <c r="S47" s="130" t="e">
        <f aca="false">xSPRDOPT($K47,$L47,$J47,$M47,$N47,$O47,$P47,$Q47-$C$3,$R47,0)</f>
        <v>#NAME?</v>
      </c>
      <c r="T47" s="250" t="e">
        <f aca="false">xSPRDOPT($K47,$L47,$J47,$M47,$N47,$O47,$P47,$Q47-$C$3,$R47,1)*I47</f>
        <v>#NAME?</v>
      </c>
      <c r="U47" s="43" t="n">
        <v>1250</v>
      </c>
      <c r="V47" s="250" t="e">
        <f aca="false">xSPRDOPT($K47,$L47,$J47,$M47,$N47,$O47,$P47,$Q47-$C$3,$R47,2)*I47</f>
        <v>#NAME?</v>
      </c>
      <c r="W47" s="250" t="e">
        <f aca="false">+V47+T47</f>
        <v>#NAME?</v>
      </c>
      <c r="X47" s="2" t="str">
        <f aca="false">CONCATENATE(H47,E47)</f>
        <v>36678IF-ELPO/SJ</v>
      </c>
      <c r="Y47" s="251" t="n">
        <f aca="false">I47/10000</f>
        <v>5</v>
      </c>
      <c r="Z47" s="2"/>
      <c r="AA47" s="2"/>
      <c r="AB47" s="182" t="n">
        <f aca="false">H47</f>
        <v>36678</v>
      </c>
      <c r="AC47" s="253" t="n">
        <v>0</v>
      </c>
      <c r="AD47" s="253" t="n">
        <v>0</v>
      </c>
      <c r="AE47" s="253" t="n">
        <v>0</v>
      </c>
      <c r="AF47" s="253" t="n">
        <v>0</v>
      </c>
      <c r="AG47" s="253" t="n">
        <v>0</v>
      </c>
      <c r="AH47" s="253" t="n">
        <v>0</v>
      </c>
      <c r="AI47" s="43" t="n">
        <v>1250</v>
      </c>
      <c r="AJ47" s="254" t="e">
        <f aca="false">HLOOKUP(D47,PREVCURVES,VLOOKUP(H47,MOVE_DOWN2,2,FALSE()),FALSE())-HLOOKUP(E47,PREVCURVES,VLOOKUP(H47,MOVE_DOWN2,2,FALSE()),FALSE())</f>
        <v>#N/A</v>
      </c>
      <c r="AK47" s="253"/>
      <c r="AL47" s="0" t="str">
        <f aca="false">CONCATENATE(AB47,$AC$6)</f>
        <v>36678Curve Shift/Gamma</v>
      </c>
      <c r="AM47" s="0" t="str">
        <f aca="false">CONCATENATE($AB47,$AD$6)</f>
        <v>36678Rho</v>
      </c>
      <c r="AN47" s="0" t="str">
        <f aca="false">CONCATENATE($AB47,$AE$6)</f>
        <v>36678Drift</v>
      </c>
      <c r="AO47" s="0" t="str">
        <f aca="false">CONCATENATE($AB47,$AF$6)</f>
        <v>36678Vega</v>
      </c>
      <c r="AP47" s="0" t="str">
        <f aca="false">CONCATENATE($AB47,$AG$6)</f>
        <v>36678Theta</v>
      </c>
      <c r="AQ47" s="255" t="n">
        <f aca="false">EOMONTH(AQ46,0)+1</f>
        <v>37773</v>
      </c>
      <c r="AR47" s="273" t="n">
        <f aca="false">SUMIF($AL$7:$AL$654,CONCATENATE($AQ47,$AR$6),$AC$7:$AC$654)</f>
        <v>0</v>
      </c>
      <c r="AS47" s="274" t="n">
        <f aca="false">SUMIF($AM$7:$AM$659,CONCATENATE($AQ47,$AS$6),$AD$7:$AD$654)</f>
        <v>0</v>
      </c>
      <c r="AT47" s="274" t="n">
        <f aca="false">SUMIF($AN$7:$AN$659,CONCATENATE($AQ47,$AT$6),$AE$7:$AE$654)</f>
        <v>0</v>
      </c>
      <c r="AU47" s="274" t="n">
        <f aca="false">SUMIF($AO$7:$AO$659,CONCATENATE($AQ47,$AU$6),$AF$7:$AF$654)</f>
        <v>0</v>
      </c>
      <c r="AV47" s="275" t="n">
        <f aca="false">SUMIF($AP$7:$AP$659,CONCATENATE($AQ47,$AV$6),$AG$7:$AG$654)</f>
        <v>0</v>
      </c>
      <c r="AW47" s="276" t="n">
        <f aca="false">SUM(AR47:AV47)</f>
        <v>0</v>
      </c>
      <c r="AZ47" s="143" t="n">
        <f aca="false">EOMONTH(AZ46,0)+1</f>
        <v>37377</v>
      </c>
      <c r="BA47" s="135"/>
      <c r="BG47" s="285" t="n">
        <v>37712</v>
      </c>
      <c r="BH47" s="0" t="n">
        <v>0.985</v>
      </c>
      <c r="BJ47" s="285" t="n">
        <v>37712</v>
      </c>
      <c r="BK47" s="0" t="n">
        <v>44</v>
      </c>
    </row>
    <row r="48" customFormat="false" ht="12" hidden="false" customHeight="true" outlineLevel="0" collapsed="false">
      <c r="A48" s="267" t="s">
        <v>198</v>
      </c>
      <c r="B48" s="269" t="s">
        <v>192</v>
      </c>
      <c r="C48" s="269" t="s">
        <v>494</v>
      </c>
      <c r="D48" s="269" t="s">
        <v>137</v>
      </c>
      <c r="E48" s="7" t="s">
        <v>483</v>
      </c>
      <c r="F48" s="269" t="s">
        <v>131</v>
      </c>
      <c r="G48" s="269" t="s">
        <v>136</v>
      </c>
      <c r="H48" s="286" t="n">
        <v>36678</v>
      </c>
      <c r="I48" s="272" t="n">
        <v>-10000</v>
      </c>
      <c r="J48" s="125" t="n">
        <v>0.46</v>
      </c>
      <c r="K48" s="124" t="n">
        <f aca="false">HLOOKUP($D$3,GDPRICES,VLOOKUP(Q48,GDmove_down,2,FALSE()),FALSE())</f>
        <v>4.75</v>
      </c>
      <c r="L48" s="124" t="n">
        <f aca="false">HLOOKUP($E$3,GDPRICES,VLOOKUP(Q48,GDmove_down,2,FALSE()),FALSE())</f>
        <v>3.29</v>
      </c>
      <c r="M48" s="126" t="n">
        <v>1</v>
      </c>
      <c r="N48" s="7" t="n">
        <v>0.515</v>
      </c>
      <c r="O48" s="7" t="n">
        <v>0.515</v>
      </c>
      <c r="P48" s="249" t="e">
        <f aca="false">HLOOKUP(E48,GDcorr,VLOOKUP(H48,GDCorMove,2,FALSE()),FALSE())</f>
        <v>#N/A</v>
      </c>
      <c r="Q48" s="92" t="n">
        <v>36683</v>
      </c>
      <c r="R48" s="7" t="n">
        <f aca="false">IF(G48="P",0,1)</f>
        <v>1</v>
      </c>
      <c r="S48" s="130" t="e">
        <f aca="false">xSPRDOPT($K48,$L48,$J48,$M48,$N48,$O48,$P48,$Q48-$C$3,$R48,0)</f>
        <v>#NAME?</v>
      </c>
      <c r="T48" s="250" t="e">
        <f aca="false">xSPRDOPT($K48,$L48,$J48,$M48,$N48,$O48,$P48,$Q48-$C$3,$R48,1)*I48</f>
        <v>#NAME?</v>
      </c>
      <c r="U48" s="43" t="n">
        <v>-250</v>
      </c>
      <c r="V48" s="250" t="e">
        <f aca="false">xSPRDOPT($K48,$L48,$J48,$M48,$N48,$O48,$P48,$Q48-$C$3,$R48,2)*I48</f>
        <v>#NAME?</v>
      </c>
      <c r="W48" s="250" t="e">
        <f aca="false">+V48+T48</f>
        <v>#NAME?</v>
      </c>
      <c r="X48" s="2" t="str">
        <f aca="false">CONCATENATE(H48,E48)</f>
        <v>36678IF-ELPO/SJ</v>
      </c>
      <c r="Y48" s="251" t="n">
        <f aca="false">I48/10000</f>
        <v>-1</v>
      </c>
      <c r="AA48" s="2"/>
      <c r="AB48" s="182" t="n">
        <f aca="false">H48</f>
        <v>36678</v>
      </c>
      <c r="AC48" s="253" t="n">
        <v>0</v>
      </c>
      <c r="AD48" s="253" t="n">
        <v>0</v>
      </c>
      <c r="AE48" s="253" t="n">
        <v>0</v>
      </c>
      <c r="AF48" s="253" t="n">
        <v>0</v>
      </c>
      <c r="AG48" s="253" t="n">
        <v>0</v>
      </c>
      <c r="AH48" s="253" t="n">
        <v>0</v>
      </c>
      <c r="AI48" s="43" t="n">
        <v>-250</v>
      </c>
      <c r="AJ48" s="254" t="e">
        <f aca="false">HLOOKUP(D48,PREVCURVES,VLOOKUP(H48,MOVE_DOWN2,2,FALSE()),FALSE())-HLOOKUP(E48,PREVCURVES,VLOOKUP(H48,MOVE_DOWN2,2,FALSE()),FALSE())</f>
        <v>#N/A</v>
      </c>
      <c r="AK48" s="253"/>
      <c r="AL48" s="0" t="str">
        <f aca="false">CONCATENATE(AB48,$AC$6)</f>
        <v>36678Curve Shift/Gamma</v>
      </c>
      <c r="AM48" s="0" t="str">
        <f aca="false">CONCATENATE($AB48,$AD$6)</f>
        <v>36678Rho</v>
      </c>
      <c r="AN48" s="0" t="str">
        <f aca="false">CONCATENATE($AB48,$AE$6)</f>
        <v>36678Drift</v>
      </c>
      <c r="AO48" s="0" t="str">
        <f aca="false">CONCATENATE($AB48,$AF$6)</f>
        <v>36678Vega</v>
      </c>
      <c r="AP48" s="0" t="str">
        <f aca="false">CONCATENATE($AB48,$AG$6)</f>
        <v>36678Theta</v>
      </c>
      <c r="AQ48" s="106" t="s">
        <v>15</v>
      </c>
      <c r="AR48" s="277" t="e">
        <f aca="false">SUM(AR7:AR47)</f>
        <v>#N/A</v>
      </c>
      <c r="AS48" s="278" t="e">
        <f aca="false">SUM(AS7:AS47)</f>
        <v>#N/A</v>
      </c>
      <c r="AT48" s="278" t="e">
        <f aca="false">SUM(AT7:AT47)</f>
        <v>#N/A</v>
      </c>
      <c r="AU48" s="278" t="e">
        <f aca="false">SUM(AU7:AU47)</f>
        <v>#N/A</v>
      </c>
      <c r="AV48" s="278" t="e">
        <f aca="false">SUM(AV7:AV47)</f>
        <v>#N/A</v>
      </c>
      <c r="AW48" s="279" t="e">
        <f aca="false">SUM(AW7:AW47)</f>
        <v>#N/A</v>
      </c>
      <c r="AZ48" s="143" t="n">
        <f aca="false">EOMONTH(AZ47,0)+1</f>
        <v>37408</v>
      </c>
      <c r="BA48" s="135"/>
      <c r="BG48" s="285" t="n">
        <v>37742</v>
      </c>
      <c r="BH48" s="0" t="n">
        <v>0.985</v>
      </c>
      <c r="BJ48" s="285" t="n">
        <v>37742</v>
      </c>
      <c r="BK48" s="0" t="n">
        <v>45</v>
      </c>
    </row>
    <row r="49" customFormat="false" ht="12" hidden="false" customHeight="true" outlineLevel="0" collapsed="false">
      <c r="A49" s="265" t="s">
        <v>198</v>
      </c>
      <c r="B49" s="269" t="s">
        <v>192</v>
      </c>
      <c r="C49" s="269" t="s">
        <v>488</v>
      </c>
      <c r="D49" s="269" t="s">
        <v>137</v>
      </c>
      <c r="E49" s="7" t="s">
        <v>483</v>
      </c>
      <c r="F49" s="269" t="s">
        <v>131</v>
      </c>
      <c r="G49" s="269" t="s">
        <v>136</v>
      </c>
      <c r="H49" s="286" t="n">
        <v>36678</v>
      </c>
      <c r="I49" s="272" t="n">
        <v>-50000</v>
      </c>
      <c r="J49" s="125" t="n">
        <v>0.46</v>
      </c>
      <c r="K49" s="124" t="n">
        <f aca="false">HLOOKUP($D$3,GDPRICES,VLOOKUP(Q49,GDmove_down,2,FALSE()),FALSE())</f>
        <v>4.75</v>
      </c>
      <c r="L49" s="124" t="n">
        <f aca="false">HLOOKUP($E$3,GDPRICES,VLOOKUP(Q49,GDmove_down,2,FALSE()),FALSE())</f>
        <v>3.29</v>
      </c>
      <c r="M49" s="126" t="n">
        <v>1</v>
      </c>
      <c r="N49" s="7" t="n">
        <v>0.515</v>
      </c>
      <c r="O49" s="7" t="n">
        <v>0.515</v>
      </c>
      <c r="P49" s="249" t="e">
        <f aca="false">HLOOKUP(E49,GDcorr,VLOOKUP(H49,GDCorMove,2,FALSE()),FALSE())</f>
        <v>#N/A</v>
      </c>
      <c r="Q49" s="92" t="n">
        <v>36684</v>
      </c>
      <c r="R49" s="7" t="n">
        <f aca="false">IF(G49="P",0,1)</f>
        <v>1</v>
      </c>
      <c r="S49" s="130" t="e">
        <f aca="false">xSPRDOPT($K49,$L49,$J49,$M49,$N49,$O49,$P49,$Q49-$C$3,$R49,0)</f>
        <v>#NAME?</v>
      </c>
      <c r="T49" s="250" t="e">
        <f aca="false">xSPRDOPT($K49,$L49,$J49,$M49,$N49,$O49,$P49,$Q49-$C$3,$R49,1)*I49</f>
        <v>#NAME?</v>
      </c>
      <c r="U49" s="43" t="n">
        <v>-1000</v>
      </c>
      <c r="V49" s="250" t="e">
        <f aca="false">xSPRDOPT($K49,$L49,$J49,$M49,$N49,$O49,$P49,$Q49-$C$3,$R49,2)*I49</f>
        <v>#NAME?</v>
      </c>
      <c r="W49" s="250" t="e">
        <f aca="false">+V49+T49</f>
        <v>#NAME?</v>
      </c>
      <c r="X49" s="2" t="str">
        <f aca="false">CONCATENATE(H49,E49)</f>
        <v>36678IF-ELPO/SJ</v>
      </c>
      <c r="Y49" s="251" t="n">
        <f aca="false">I49/10000</f>
        <v>-5</v>
      </c>
      <c r="AA49" s="2"/>
      <c r="AB49" s="182" t="n">
        <f aca="false">H49</f>
        <v>36678</v>
      </c>
      <c r="AC49" s="253" t="n">
        <v>0</v>
      </c>
      <c r="AD49" s="253" t="n">
        <v>0</v>
      </c>
      <c r="AE49" s="253" t="n">
        <v>0</v>
      </c>
      <c r="AF49" s="253" t="n">
        <v>0</v>
      </c>
      <c r="AG49" s="253" t="n">
        <v>0</v>
      </c>
      <c r="AH49" s="253" t="n">
        <v>0</v>
      </c>
      <c r="AI49" s="253" t="n">
        <v>-1000</v>
      </c>
      <c r="AJ49" s="254" t="e">
        <f aca="false">HLOOKUP(D49,PREVCURVES,VLOOKUP(H49,MOVE_DOWN2,2,FALSE()),FALSE())-HLOOKUP(E49,PREVCURVES,VLOOKUP(H49,MOVE_DOWN2,2,FALSE()),FALSE())</f>
        <v>#N/A</v>
      </c>
      <c r="AK49" s="253"/>
      <c r="AL49" s="0" t="str">
        <f aca="false">CONCATENATE(AB49,$AC$6)</f>
        <v>36678Curve Shift/Gamma</v>
      </c>
      <c r="AM49" s="0" t="str">
        <f aca="false">CONCATENATE($AB49,$AD$6)</f>
        <v>36678Rho</v>
      </c>
      <c r="AN49" s="0" t="str">
        <f aca="false">CONCATENATE($AB49,$AE$6)</f>
        <v>36678Drift</v>
      </c>
      <c r="AO49" s="0" t="str">
        <f aca="false">CONCATENATE($AB49,$AF$6)</f>
        <v>36678Vega</v>
      </c>
      <c r="AP49" s="0" t="str">
        <f aca="false">CONCATENATE($AB49,$AG$6)</f>
        <v>36678Theta</v>
      </c>
      <c r="AZ49" s="143" t="n">
        <f aca="false">EOMONTH(AZ48,0)+1</f>
        <v>37438</v>
      </c>
      <c r="BA49" s="135"/>
      <c r="BG49" s="285" t="n">
        <v>37773</v>
      </c>
      <c r="BH49" s="0" t="n">
        <v>0.985</v>
      </c>
      <c r="BJ49" s="285" t="n">
        <v>37773</v>
      </c>
      <c r="BK49" s="0" t="n">
        <v>46</v>
      </c>
    </row>
    <row r="50" customFormat="false" ht="12" hidden="false" customHeight="true" outlineLevel="0" collapsed="false">
      <c r="A50" s="265" t="s">
        <v>198</v>
      </c>
      <c r="B50" s="269" t="s">
        <v>192</v>
      </c>
      <c r="C50" s="269" t="s">
        <v>489</v>
      </c>
      <c r="D50" s="269" t="s">
        <v>137</v>
      </c>
      <c r="E50" s="7" t="s">
        <v>483</v>
      </c>
      <c r="F50" s="269" t="s">
        <v>131</v>
      </c>
      <c r="G50" s="269" t="s">
        <v>136</v>
      </c>
      <c r="H50" s="286" t="n">
        <v>36678</v>
      </c>
      <c r="I50" s="272" t="n">
        <v>10000</v>
      </c>
      <c r="J50" s="125" t="n">
        <v>0.46</v>
      </c>
      <c r="K50" s="124" t="n">
        <f aca="false">HLOOKUP($D$3,GDPRICES,VLOOKUP(Q50,GDmove_down,2,FALSE()),FALSE())</f>
        <v>4.75</v>
      </c>
      <c r="L50" s="124" t="n">
        <f aca="false">HLOOKUP($E$3,GDPRICES,VLOOKUP(Q50,GDmove_down,2,FALSE()),FALSE())</f>
        <v>3.29</v>
      </c>
      <c r="M50" s="126" t="n">
        <v>1</v>
      </c>
      <c r="N50" s="7" t="n">
        <v>0.515</v>
      </c>
      <c r="O50" s="7" t="n">
        <v>0.515</v>
      </c>
      <c r="P50" s="249" t="e">
        <f aca="false">HLOOKUP(E50,GDcorr,VLOOKUP(H50,GDCorMove,2,FALSE()),FALSE())</f>
        <v>#N/A</v>
      </c>
      <c r="Q50" s="92" t="n">
        <v>36684</v>
      </c>
      <c r="R50" s="7" t="n">
        <f aca="false">IF(G50="P",0,1)</f>
        <v>1</v>
      </c>
      <c r="S50" s="130" t="e">
        <f aca="false">xSPRDOPT($K50,$L50,$J50,$M50,$N50,$O50,$P50,$Q50-$C$3,$R50,0)</f>
        <v>#NAME?</v>
      </c>
      <c r="T50" s="250" t="e">
        <f aca="false">xSPRDOPT($K50,$L50,$J50,$M50,$N50,$O50,$P50,$Q50-$C$3,$R50,1)*I50</f>
        <v>#NAME?</v>
      </c>
      <c r="U50" s="43" t="n">
        <v>200</v>
      </c>
      <c r="V50" s="250" t="e">
        <f aca="false">xSPRDOPT($K50,$L50,$J50,$M50,$N50,$O50,$P50,$Q50-$C$3,$R50,2)*I50</f>
        <v>#NAME?</v>
      </c>
      <c r="W50" s="250" t="e">
        <f aca="false">+V50+T50</f>
        <v>#NAME?</v>
      </c>
      <c r="X50" s="2" t="str">
        <f aca="false">CONCATENATE(H50,E50)</f>
        <v>36678IF-ELPO/SJ</v>
      </c>
      <c r="Y50" s="251" t="n">
        <f aca="false">I50/10000</f>
        <v>1</v>
      </c>
      <c r="AA50" s="2"/>
      <c r="AB50" s="182" t="n">
        <f aca="false">H50</f>
        <v>36678</v>
      </c>
      <c r="AC50" s="253" t="n">
        <v>0</v>
      </c>
      <c r="AD50" s="253" t="n">
        <v>0</v>
      </c>
      <c r="AE50" s="253" t="n">
        <v>0</v>
      </c>
      <c r="AF50" s="253" t="n">
        <v>0</v>
      </c>
      <c r="AG50" s="253" t="n">
        <v>0</v>
      </c>
      <c r="AH50" s="253" t="n">
        <v>0</v>
      </c>
      <c r="AI50" s="253" t="n">
        <v>200</v>
      </c>
      <c r="AJ50" s="254" t="e">
        <f aca="false">HLOOKUP(D50,PREVCURVES,VLOOKUP(H50,MOVE_DOWN2,2,FALSE()),FALSE())-HLOOKUP(E50,PREVCURVES,VLOOKUP(H50,MOVE_DOWN2,2,FALSE()),FALSE())</f>
        <v>#N/A</v>
      </c>
      <c r="AK50" s="253"/>
      <c r="AL50" s="0" t="str">
        <f aca="false">CONCATENATE(AB50,$AC$6)</f>
        <v>36678Curve Shift/Gamma</v>
      </c>
      <c r="AM50" s="0" t="str">
        <f aca="false">CONCATENATE($AB50,$AD$6)</f>
        <v>36678Rho</v>
      </c>
      <c r="AN50" s="0" t="str">
        <f aca="false">CONCATENATE($AB50,$AE$6)</f>
        <v>36678Drift</v>
      </c>
      <c r="AO50" s="0" t="str">
        <f aca="false">CONCATENATE($AB50,$AF$6)</f>
        <v>36678Vega</v>
      </c>
      <c r="AP50" s="0" t="str">
        <f aca="false">CONCATENATE($AB50,$AG$6)</f>
        <v>36678Theta</v>
      </c>
      <c r="AZ50" s="143" t="n">
        <f aca="false">EOMONTH(AZ49,0)+1</f>
        <v>37469</v>
      </c>
      <c r="BA50" s="135"/>
      <c r="BG50" s="285" t="n">
        <v>37803</v>
      </c>
      <c r="BH50" s="0" t="n">
        <v>0.985</v>
      </c>
      <c r="BJ50" s="285" t="n">
        <v>37803</v>
      </c>
      <c r="BK50" s="0" t="n">
        <v>47</v>
      </c>
    </row>
    <row r="51" customFormat="false" ht="12" hidden="false" customHeight="true" outlineLevel="0" collapsed="false">
      <c r="A51" s="265" t="s">
        <v>198</v>
      </c>
      <c r="B51" s="269" t="s">
        <v>192</v>
      </c>
      <c r="C51" s="269" t="s">
        <v>490</v>
      </c>
      <c r="D51" s="269" t="s">
        <v>137</v>
      </c>
      <c r="E51" s="7" t="s">
        <v>483</v>
      </c>
      <c r="F51" s="269" t="s">
        <v>131</v>
      </c>
      <c r="G51" s="269" t="s">
        <v>136</v>
      </c>
      <c r="H51" s="286" t="n">
        <v>36678</v>
      </c>
      <c r="I51" s="272" t="n">
        <v>-333333</v>
      </c>
      <c r="J51" s="125" t="n">
        <v>0.46</v>
      </c>
      <c r="K51" s="124" t="n">
        <f aca="false">HLOOKUP($D$3,GDPRICES,VLOOKUP(Q51,GDmove_down,2,FALSE()),FALSE())</f>
        <v>4.75</v>
      </c>
      <c r="L51" s="124" t="n">
        <f aca="false">HLOOKUP($E$3,GDPRICES,VLOOKUP(Q51,GDmove_down,2,FALSE()),FALSE())</f>
        <v>3.29</v>
      </c>
      <c r="M51" s="126" t="n">
        <v>1</v>
      </c>
      <c r="N51" s="7" t="n">
        <v>0.515</v>
      </c>
      <c r="O51" s="7" t="n">
        <v>0.515</v>
      </c>
      <c r="P51" s="249" t="e">
        <f aca="false">HLOOKUP(E51,GDcorr,VLOOKUP(H51,GDCorMove,2,FALSE()),FALSE())</f>
        <v>#N/A</v>
      </c>
      <c r="Q51" s="92" t="n">
        <v>36684</v>
      </c>
      <c r="R51" s="7" t="n">
        <f aca="false">IF(G51="P",0,1)</f>
        <v>1</v>
      </c>
      <c r="S51" s="130" t="e">
        <f aca="false">xSPRDOPT($K51,$L51,$J51,$M51,$N51,$O51,$P51,$Q51-$C$3,$R51,0)</f>
        <v>#NAME?</v>
      </c>
      <c r="T51" s="250" t="e">
        <f aca="false">xSPRDOPT($K51,$L51,$J51,$M51,$N51,$O51,$P51,$Q51-$C$3,$R51,1)*I51</f>
        <v>#NAME?</v>
      </c>
      <c r="U51" s="43" t="n">
        <v>-6666.66</v>
      </c>
      <c r="V51" s="250" t="e">
        <f aca="false">xSPRDOPT($K51,$L51,$J51,$M51,$N51,$O51,$P51,$Q51-$C$3,$R51,2)*I51</f>
        <v>#NAME?</v>
      </c>
      <c r="W51" s="250" t="e">
        <f aca="false">+V51+T51</f>
        <v>#NAME?</v>
      </c>
      <c r="X51" s="2" t="str">
        <f aca="false">CONCATENATE(H51,E51)</f>
        <v>36678IF-ELPO/SJ</v>
      </c>
      <c r="Y51" s="251" t="n">
        <f aca="false">I51/10000</f>
        <v>-33.3333</v>
      </c>
      <c r="Z51" s="2"/>
      <c r="AA51" s="2"/>
      <c r="AB51" s="182" t="n">
        <f aca="false">H51</f>
        <v>36678</v>
      </c>
      <c r="AC51" s="253" t="n">
        <v>0</v>
      </c>
      <c r="AD51" s="253" t="n">
        <v>0</v>
      </c>
      <c r="AE51" s="253" t="n">
        <v>0</v>
      </c>
      <c r="AF51" s="253" t="n">
        <v>0</v>
      </c>
      <c r="AG51" s="253" t="n">
        <v>0</v>
      </c>
      <c r="AH51" s="253" t="n">
        <v>0</v>
      </c>
      <c r="AI51" s="253" t="n">
        <v>-6666.66</v>
      </c>
      <c r="AJ51" s="254" t="e">
        <f aca="false">HLOOKUP(D51,PREVCURVES,VLOOKUP(H51,MOVE_DOWN2,2,FALSE()),FALSE())-HLOOKUP(E51,PREVCURVES,VLOOKUP(H51,MOVE_DOWN2,2,FALSE()),FALSE())</f>
        <v>#N/A</v>
      </c>
      <c r="AK51" s="253"/>
      <c r="AL51" s="0" t="str">
        <f aca="false">CONCATENATE(AB51,$AC$6)</f>
        <v>36678Curve Shift/Gamma</v>
      </c>
      <c r="AM51" s="0" t="str">
        <f aca="false">CONCATENATE($AB51,$AD$6)</f>
        <v>36678Rho</v>
      </c>
      <c r="AN51" s="0" t="str">
        <f aca="false">CONCATENATE($AB51,$AE$6)</f>
        <v>36678Drift</v>
      </c>
      <c r="AO51" s="0" t="str">
        <f aca="false">CONCATENATE($AB51,$AF$6)</f>
        <v>36678Vega</v>
      </c>
      <c r="AP51" s="0" t="str">
        <f aca="false">CONCATENATE($AB51,$AG$6)</f>
        <v>36678Theta</v>
      </c>
      <c r="AZ51" s="143" t="n">
        <f aca="false">EOMONTH(AZ50,0)+1</f>
        <v>37500</v>
      </c>
      <c r="BA51" s="135"/>
      <c r="BG51" s="285" t="n">
        <v>37834</v>
      </c>
      <c r="BH51" s="0" t="n">
        <v>0.985</v>
      </c>
      <c r="BJ51" s="285" t="n">
        <v>37834</v>
      </c>
      <c r="BK51" s="0" t="n">
        <v>48</v>
      </c>
    </row>
    <row r="52" customFormat="false" ht="12" hidden="false" customHeight="true" outlineLevel="0" collapsed="false">
      <c r="A52" s="267" t="s">
        <v>196</v>
      </c>
      <c r="B52" s="269" t="s">
        <v>192</v>
      </c>
      <c r="C52" s="269" t="s">
        <v>491</v>
      </c>
      <c r="D52" s="269" t="s">
        <v>137</v>
      </c>
      <c r="E52" s="7" t="s">
        <v>483</v>
      </c>
      <c r="F52" s="269" t="s">
        <v>131</v>
      </c>
      <c r="G52" s="269" t="s">
        <v>136</v>
      </c>
      <c r="H52" s="286" t="n">
        <v>36678</v>
      </c>
      <c r="I52" s="272" t="n">
        <v>-10000</v>
      </c>
      <c r="J52" s="125" t="n">
        <v>0.46</v>
      </c>
      <c r="K52" s="124" t="n">
        <f aca="false">HLOOKUP($D$3,GDPRICES,VLOOKUP(Q52,GDmove_down,2,FALSE()),FALSE())</f>
        <v>4.75</v>
      </c>
      <c r="L52" s="124" t="n">
        <f aca="false">HLOOKUP($E$3,GDPRICES,VLOOKUP(Q52,GDmove_down,2,FALSE()),FALSE())</f>
        <v>3.29</v>
      </c>
      <c r="M52" s="126" t="n">
        <v>1</v>
      </c>
      <c r="N52" s="7" t="n">
        <v>0.515</v>
      </c>
      <c r="O52" s="7" t="n">
        <v>0.515</v>
      </c>
      <c r="P52" s="249" t="e">
        <f aca="false">HLOOKUP(E52,GDcorr,VLOOKUP(H52,GDCorMove,2,FALSE()),FALSE())</f>
        <v>#N/A</v>
      </c>
      <c r="Q52" s="92" t="n">
        <v>36684</v>
      </c>
      <c r="R52" s="7" t="n">
        <f aca="false">IF(G52="P",0,1)</f>
        <v>1</v>
      </c>
      <c r="S52" s="130" t="e">
        <f aca="false">xSPRDOPT($K52,$L52,$J52,$M52,$N52,$O52,$P52,$Q52-$C$3,$R52,0)</f>
        <v>#NAME?</v>
      </c>
      <c r="T52" s="250" t="e">
        <f aca="false">xSPRDOPT($K52,$L52,$J52,$M52,$N52,$O52,$P52,$Q52-$C$3,$R52,1)*I52</f>
        <v>#NAME?</v>
      </c>
      <c r="U52" s="43" t="n">
        <v>-200</v>
      </c>
      <c r="V52" s="250" t="e">
        <f aca="false">xSPRDOPT($K52,$L52,$J52,$M52,$N52,$O52,$P52,$Q52-$C$3,$R52,2)*I52</f>
        <v>#NAME?</v>
      </c>
      <c r="W52" s="250" t="e">
        <f aca="false">+V52+T52</f>
        <v>#NAME?</v>
      </c>
      <c r="X52" s="2" t="str">
        <f aca="false">CONCATENATE(H52,E52)</f>
        <v>36678IF-ELPO/SJ</v>
      </c>
      <c r="Y52" s="251" t="n">
        <f aca="false">I52/10000</f>
        <v>-1</v>
      </c>
      <c r="Z52" s="2"/>
      <c r="AA52" s="2"/>
      <c r="AB52" s="182" t="n">
        <f aca="false">H52</f>
        <v>36678</v>
      </c>
      <c r="AC52" s="253" t="n">
        <v>0</v>
      </c>
      <c r="AD52" s="253" t="n">
        <v>0</v>
      </c>
      <c r="AE52" s="253" t="n">
        <v>0</v>
      </c>
      <c r="AF52" s="253" t="n">
        <v>0</v>
      </c>
      <c r="AG52" s="253" t="n">
        <v>0</v>
      </c>
      <c r="AH52" s="253" t="n">
        <v>0</v>
      </c>
      <c r="AI52" s="253" t="n">
        <v>-200</v>
      </c>
      <c r="AJ52" s="254" t="e">
        <f aca="false">HLOOKUP(D52,PREVCURVES,VLOOKUP(H52,MOVE_DOWN2,2,FALSE()),FALSE())-HLOOKUP(E52,PREVCURVES,VLOOKUP(H52,MOVE_DOWN2,2,FALSE()),FALSE())</f>
        <v>#N/A</v>
      </c>
      <c r="AK52" s="253"/>
      <c r="AL52" s="0" t="str">
        <f aca="false">CONCATENATE(AB52,$AC$6)</f>
        <v>36678Curve Shift/Gamma</v>
      </c>
      <c r="AM52" s="0" t="str">
        <f aca="false">CONCATENATE($AB52,$AD$6)</f>
        <v>36678Rho</v>
      </c>
      <c r="AN52" s="0" t="str">
        <f aca="false">CONCATENATE($AB52,$AE$6)</f>
        <v>36678Drift</v>
      </c>
      <c r="AO52" s="0" t="str">
        <f aca="false">CONCATENATE($AB52,$AF$6)</f>
        <v>36678Vega</v>
      </c>
      <c r="AP52" s="0" t="str">
        <f aca="false">CONCATENATE($AB52,$AG$6)</f>
        <v>36678Theta</v>
      </c>
      <c r="AZ52" s="143" t="n">
        <f aca="false">EOMONTH(AZ51,0)+1</f>
        <v>37530</v>
      </c>
      <c r="BA52" s="135"/>
      <c r="BG52" s="285" t="n">
        <v>37865</v>
      </c>
      <c r="BH52" s="0" t="n">
        <v>0.985</v>
      </c>
      <c r="BJ52" s="285" t="n">
        <v>37865</v>
      </c>
      <c r="BK52" s="0" t="n">
        <v>49</v>
      </c>
    </row>
    <row r="53" customFormat="false" ht="12" hidden="false" customHeight="true" outlineLevel="0" collapsed="false">
      <c r="A53" s="267" t="s">
        <v>198</v>
      </c>
      <c r="B53" s="269" t="s">
        <v>192</v>
      </c>
      <c r="C53" s="269" t="s">
        <v>492</v>
      </c>
      <c r="D53" s="269" t="s">
        <v>137</v>
      </c>
      <c r="E53" s="7" t="s">
        <v>483</v>
      </c>
      <c r="F53" s="269" t="s">
        <v>131</v>
      </c>
      <c r="G53" s="269" t="s">
        <v>136</v>
      </c>
      <c r="H53" s="286" t="n">
        <v>36678</v>
      </c>
      <c r="I53" s="272" t="n">
        <v>50000</v>
      </c>
      <c r="J53" s="125" t="n">
        <v>0.46</v>
      </c>
      <c r="K53" s="124" t="n">
        <f aca="false">HLOOKUP($D$3,GDPRICES,VLOOKUP(Q53,GDmove_down,2,FALSE()),FALSE())</f>
        <v>4.75</v>
      </c>
      <c r="L53" s="124" t="n">
        <f aca="false">HLOOKUP($E$3,GDPRICES,VLOOKUP(Q53,GDmove_down,2,FALSE()),FALSE())</f>
        <v>3.29</v>
      </c>
      <c r="M53" s="126" t="n">
        <v>1</v>
      </c>
      <c r="N53" s="7" t="n">
        <v>0.515</v>
      </c>
      <c r="O53" s="7" t="n">
        <v>0.515</v>
      </c>
      <c r="P53" s="249" t="e">
        <f aca="false">HLOOKUP(E53,GDcorr,VLOOKUP(H53,GDCorMove,2,FALSE()),FALSE())</f>
        <v>#N/A</v>
      </c>
      <c r="Q53" s="92" t="n">
        <v>36684</v>
      </c>
      <c r="R53" s="7" t="n">
        <f aca="false">IF(G53="P",0,1)</f>
        <v>1</v>
      </c>
      <c r="S53" s="130" t="e">
        <f aca="false">xSPRDOPT($K53,$L53,$J53,$M53,$N53,$O53,$P53,$Q53-$C$3,$R53,0)</f>
        <v>#NAME?</v>
      </c>
      <c r="T53" s="250" t="e">
        <f aca="false">xSPRDOPT($K53,$L53,$J53,$M53,$N53,$O53,$P53,$Q53-$C$3,$R53,1)*I53</f>
        <v>#NAME?</v>
      </c>
      <c r="U53" s="43" t="n">
        <v>1000</v>
      </c>
      <c r="V53" s="250" t="e">
        <f aca="false">xSPRDOPT($K53,$L53,$J53,$M53,$N53,$O53,$P53,$Q53-$C$3,$R53,2)*I53</f>
        <v>#NAME?</v>
      </c>
      <c r="W53" s="250" t="e">
        <f aca="false">+V53+T53</f>
        <v>#NAME?</v>
      </c>
      <c r="X53" s="2" t="str">
        <f aca="false">CONCATENATE(H53,E53)</f>
        <v>36678IF-ELPO/SJ</v>
      </c>
      <c r="Y53" s="251" t="n">
        <f aca="false">I53/10000</f>
        <v>5</v>
      </c>
      <c r="Z53" s="2"/>
      <c r="AA53" s="2"/>
      <c r="AB53" s="182" t="n">
        <f aca="false">H53</f>
        <v>36678</v>
      </c>
      <c r="AC53" s="253" t="n">
        <v>0</v>
      </c>
      <c r="AD53" s="253" t="n">
        <v>0</v>
      </c>
      <c r="AE53" s="253" t="n">
        <v>0</v>
      </c>
      <c r="AF53" s="253" t="n">
        <v>0</v>
      </c>
      <c r="AG53" s="253" t="n">
        <v>0</v>
      </c>
      <c r="AH53" s="253" t="n">
        <v>0</v>
      </c>
      <c r="AI53" s="253" t="n">
        <v>1000</v>
      </c>
      <c r="AJ53" s="254" t="e">
        <f aca="false">HLOOKUP(D53,PREVCURVES,VLOOKUP(H53,MOVE_DOWN2,2,FALSE()),FALSE())-HLOOKUP(E53,PREVCURVES,VLOOKUP(H53,MOVE_DOWN2,2,FALSE()),FALSE())</f>
        <v>#N/A</v>
      </c>
      <c r="AK53" s="253"/>
      <c r="AL53" s="0" t="str">
        <f aca="false">CONCATENATE(AB53,$AC$6)</f>
        <v>36678Curve Shift/Gamma</v>
      </c>
      <c r="AM53" s="0" t="str">
        <f aca="false">CONCATENATE($AB53,$AD$6)</f>
        <v>36678Rho</v>
      </c>
      <c r="AN53" s="0" t="str">
        <f aca="false">CONCATENATE($AB53,$AE$6)</f>
        <v>36678Drift</v>
      </c>
      <c r="AO53" s="0" t="str">
        <f aca="false">CONCATENATE($AB53,$AF$6)</f>
        <v>36678Vega</v>
      </c>
      <c r="AP53" s="0" t="str">
        <f aca="false">CONCATENATE($AB53,$AG$6)</f>
        <v>36678Theta</v>
      </c>
      <c r="AZ53" s="143" t="n">
        <f aca="false">EOMONTH(AZ52,0)+1</f>
        <v>37561</v>
      </c>
      <c r="BA53" s="135"/>
      <c r="BG53" s="285" t="n">
        <v>37895</v>
      </c>
      <c r="BH53" s="0" t="n">
        <v>0.985</v>
      </c>
      <c r="BJ53" s="285" t="n">
        <v>37895</v>
      </c>
      <c r="BK53" s="0" t="n">
        <v>50</v>
      </c>
    </row>
    <row r="54" customFormat="false" ht="12" hidden="false" customHeight="true" outlineLevel="0" collapsed="false">
      <c r="A54" s="267" t="s">
        <v>198</v>
      </c>
      <c r="B54" s="269" t="s">
        <v>192</v>
      </c>
      <c r="C54" s="269" t="s">
        <v>493</v>
      </c>
      <c r="D54" s="269" t="s">
        <v>137</v>
      </c>
      <c r="E54" s="7" t="s">
        <v>483</v>
      </c>
      <c r="F54" s="269" t="s">
        <v>131</v>
      </c>
      <c r="G54" s="269" t="s">
        <v>136</v>
      </c>
      <c r="H54" s="286" t="n">
        <v>36678</v>
      </c>
      <c r="I54" s="272" t="n">
        <v>50000</v>
      </c>
      <c r="J54" s="125" t="n">
        <v>0.46</v>
      </c>
      <c r="K54" s="124" t="n">
        <f aca="false">HLOOKUP($D$3,GDPRICES,VLOOKUP(Q54,GDmove_down,2,FALSE()),FALSE())</f>
        <v>4.75</v>
      </c>
      <c r="L54" s="124" t="n">
        <f aca="false">HLOOKUP($E$3,GDPRICES,VLOOKUP(Q54,GDmove_down,2,FALSE()),FALSE())</f>
        <v>3.29</v>
      </c>
      <c r="M54" s="126" t="n">
        <v>1</v>
      </c>
      <c r="N54" s="7" t="n">
        <v>0.515</v>
      </c>
      <c r="O54" s="7" t="n">
        <v>0.515</v>
      </c>
      <c r="P54" s="249" t="e">
        <f aca="false">HLOOKUP(E54,GDcorr,VLOOKUP(H54,GDCorMove,2,FALSE()),FALSE())</f>
        <v>#N/A</v>
      </c>
      <c r="Q54" s="92" t="n">
        <v>36684</v>
      </c>
      <c r="R54" s="7" t="n">
        <f aca="false">IF(G54="P",0,1)</f>
        <v>1</v>
      </c>
      <c r="S54" s="130" t="e">
        <f aca="false">xSPRDOPT($K54,$L54,$J54,$M54,$N54,$O54,$P54,$Q54-$C$3,$R54,0)</f>
        <v>#NAME?</v>
      </c>
      <c r="T54" s="250" t="e">
        <f aca="false">xSPRDOPT($K54,$L54,$J54,$M54,$N54,$O54,$P54,$Q54-$C$3,$R54,1)*I54</f>
        <v>#NAME?</v>
      </c>
      <c r="U54" s="43" t="n">
        <v>1000</v>
      </c>
      <c r="V54" s="250" t="e">
        <f aca="false">xSPRDOPT($K54,$L54,$J54,$M54,$N54,$O54,$P54,$Q54-$C$3,$R54,2)*I54</f>
        <v>#NAME?</v>
      </c>
      <c r="W54" s="250" t="e">
        <f aca="false">+V54+T54</f>
        <v>#NAME?</v>
      </c>
      <c r="X54" s="2" t="str">
        <f aca="false">CONCATENATE(H54,E54)</f>
        <v>36678IF-ELPO/SJ</v>
      </c>
      <c r="Y54" s="251" t="n">
        <f aca="false">I54/10000</f>
        <v>5</v>
      </c>
      <c r="Z54" s="2"/>
      <c r="AA54" s="2"/>
      <c r="AB54" s="182" t="n">
        <f aca="false">H54</f>
        <v>36678</v>
      </c>
      <c r="AC54" s="253" t="n">
        <v>0</v>
      </c>
      <c r="AD54" s="253" t="n">
        <v>0</v>
      </c>
      <c r="AE54" s="253" t="n">
        <v>0</v>
      </c>
      <c r="AF54" s="253" t="n">
        <v>0</v>
      </c>
      <c r="AG54" s="253" t="n">
        <v>0</v>
      </c>
      <c r="AH54" s="253" t="n">
        <v>0</v>
      </c>
      <c r="AI54" s="253" t="n">
        <v>1000</v>
      </c>
      <c r="AJ54" s="254" t="e">
        <f aca="false">HLOOKUP(D54,PREVCURVES,VLOOKUP(H54,MOVE_DOWN2,2,FALSE()),FALSE())-HLOOKUP(E54,PREVCURVES,VLOOKUP(H54,MOVE_DOWN2,2,FALSE()),FALSE())</f>
        <v>#N/A</v>
      </c>
      <c r="AK54" s="253"/>
      <c r="AL54" s="0" t="str">
        <f aca="false">CONCATENATE(AB54,$AC$6)</f>
        <v>36678Curve Shift/Gamma</v>
      </c>
      <c r="AM54" s="0" t="str">
        <f aca="false">CONCATENATE($AB54,$AD$6)</f>
        <v>36678Rho</v>
      </c>
      <c r="AN54" s="0" t="str">
        <f aca="false">CONCATENATE($AB54,$AE$6)</f>
        <v>36678Drift</v>
      </c>
      <c r="AO54" s="0" t="str">
        <f aca="false">CONCATENATE($AB54,$AF$6)</f>
        <v>36678Vega</v>
      </c>
      <c r="AP54" s="0" t="str">
        <f aca="false">CONCATENATE($AB54,$AG$6)</f>
        <v>36678Theta</v>
      </c>
      <c r="AZ54" s="143" t="n">
        <f aca="false">EOMONTH(AZ53,0)+1</f>
        <v>37591</v>
      </c>
      <c r="BA54" s="135"/>
      <c r="BG54" s="285" t="n">
        <v>37926</v>
      </c>
      <c r="BH54" s="0" t="n">
        <v>0.970485</v>
      </c>
      <c r="BJ54" s="285" t="n">
        <v>37926</v>
      </c>
      <c r="BK54" s="0" t="n">
        <v>51</v>
      </c>
    </row>
    <row r="55" customFormat="false" ht="12" hidden="false" customHeight="true" outlineLevel="0" collapsed="false">
      <c r="A55" s="267" t="s">
        <v>198</v>
      </c>
      <c r="B55" s="269" t="s">
        <v>192</v>
      </c>
      <c r="C55" s="269" t="s">
        <v>494</v>
      </c>
      <c r="D55" s="269" t="s">
        <v>137</v>
      </c>
      <c r="E55" s="7" t="s">
        <v>483</v>
      </c>
      <c r="F55" s="269" t="s">
        <v>131</v>
      </c>
      <c r="G55" s="269" t="s">
        <v>136</v>
      </c>
      <c r="H55" s="286" t="n">
        <v>36678</v>
      </c>
      <c r="I55" s="272" t="n">
        <v>-10000</v>
      </c>
      <c r="J55" s="125" t="n">
        <v>0.46</v>
      </c>
      <c r="K55" s="124" t="n">
        <f aca="false">HLOOKUP($D$3,GDPRICES,VLOOKUP(Q55,GDmove_down,2,FALSE()),FALSE())</f>
        <v>4.75</v>
      </c>
      <c r="L55" s="124" t="n">
        <f aca="false">HLOOKUP($E$3,GDPRICES,VLOOKUP(Q55,GDmove_down,2,FALSE()),FALSE())</f>
        <v>3.29</v>
      </c>
      <c r="M55" s="126" t="n">
        <v>1</v>
      </c>
      <c r="N55" s="7" t="n">
        <v>0.515</v>
      </c>
      <c r="O55" s="7" t="n">
        <v>0.515</v>
      </c>
      <c r="P55" s="249" t="e">
        <f aca="false">HLOOKUP(E55,GDcorr,VLOOKUP(H55,GDCorMove,2,FALSE()),FALSE())</f>
        <v>#N/A</v>
      </c>
      <c r="Q55" s="92" t="n">
        <v>36684</v>
      </c>
      <c r="R55" s="7" t="n">
        <f aca="false">IF(G55="P",0,1)</f>
        <v>1</v>
      </c>
      <c r="S55" s="130" t="e">
        <f aca="false">xSPRDOPT($K55,$L55,$J55,$M55,$N55,$O55,$P55,$Q55-$C$3,$R55,0)</f>
        <v>#NAME?</v>
      </c>
      <c r="T55" s="250" t="e">
        <f aca="false">xSPRDOPT($K55,$L55,$J55,$M55,$N55,$O55,$P55,$Q55-$C$3,$R55,1)*I55</f>
        <v>#NAME?</v>
      </c>
      <c r="U55" s="43" t="n">
        <v>-200</v>
      </c>
      <c r="V55" s="250" t="e">
        <f aca="false">xSPRDOPT($K55,$L55,$J55,$M55,$N55,$O55,$P55,$Q55-$C$3,$R55,2)*I55</f>
        <v>#NAME?</v>
      </c>
      <c r="W55" s="250" t="e">
        <f aca="false">+V55+T55</f>
        <v>#NAME?</v>
      </c>
      <c r="X55" s="2" t="str">
        <f aca="false">CONCATENATE(H55,E55)</f>
        <v>36678IF-ELPO/SJ</v>
      </c>
      <c r="Y55" s="251" t="n">
        <f aca="false">I55/10000</f>
        <v>-1</v>
      </c>
      <c r="Z55" s="2"/>
      <c r="AA55" s="2"/>
      <c r="AB55" s="182" t="n">
        <f aca="false">H55</f>
        <v>36678</v>
      </c>
      <c r="AC55" s="253" t="n">
        <v>0</v>
      </c>
      <c r="AD55" s="253" t="n">
        <v>0</v>
      </c>
      <c r="AE55" s="253" t="n">
        <v>0</v>
      </c>
      <c r="AF55" s="253" t="n">
        <v>0</v>
      </c>
      <c r="AG55" s="253" t="n">
        <v>0</v>
      </c>
      <c r="AH55" s="253" t="n">
        <v>0</v>
      </c>
      <c r="AI55" s="253" t="n">
        <v>-200</v>
      </c>
      <c r="AJ55" s="254" t="e">
        <f aca="false">HLOOKUP(D55,PREVCURVES,VLOOKUP(H55,MOVE_DOWN2,2,FALSE()),FALSE())-HLOOKUP(E55,PREVCURVES,VLOOKUP(H55,MOVE_DOWN2,2,FALSE()),FALSE())</f>
        <v>#N/A</v>
      </c>
      <c r="AK55" s="253"/>
      <c r="AL55" s="0" t="str">
        <f aca="false">CONCATENATE(AB55,$AC$6)</f>
        <v>36678Curve Shift/Gamma</v>
      </c>
      <c r="AM55" s="0" t="str">
        <f aca="false">CONCATENATE($AB55,$AD$6)</f>
        <v>36678Rho</v>
      </c>
      <c r="AN55" s="0" t="str">
        <f aca="false">CONCATENATE($AB55,$AE$6)</f>
        <v>36678Drift</v>
      </c>
      <c r="AO55" s="0" t="str">
        <f aca="false">CONCATENATE($AB55,$AF$6)</f>
        <v>36678Vega</v>
      </c>
      <c r="AP55" s="0" t="str">
        <f aca="false">CONCATENATE($AB55,$AG$6)</f>
        <v>36678Theta</v>
      </c>
      <c r="AZ55" s="143" t="n">
        <f aca="false">EOMONTH(AZ54,0)+1</f>
        <v>37622</v>
      </c>
      <c r="BA55" s="135"/>
      <c r="BG55" s="285" t="n">
        <v>37956</v>
      </c>
      <c r="BH55" s="0" t="n">
        <v>0.970485</v>
      </c>
      <c r="BJ55" s="285" t="n">
        <v>37956</v>
      </c>
      <c r="BK55" s="0" t="n">
        <v>52</v>
      </c>
    </row>
    <row r="56" customFormat="false" ht="12" hidden="false" customHeight="true" outlineLevel="0" collapsed="false">
      <c r="A56" s="265" t="s">
        <v>198</v>
      </c>
      <c r="B56" s="269" t="s">
        <v>192</v>
      </c>
      <c r="C56" s="269" t="s">
        <v>488</v>
      </c>
      <c r="D56" s="269" t="s">
        <v>137</v>
      </c>
      <c r="E56" s="7" t="s">
        <v>483</v>
      </c>
      <c r="F56" s="269" t="s">
        <v>131</v>
      </c>
      <c r="G56" s="269" t="s">
        <v>136</v>
      </c>
      <c r="H56" s="286" t="n">
        <v>36678</v>
      </c>
      <c r="I56" s="272" t="n">
        <v>-50000</v>
      </c>
      <c r="J56" s="125" t="n">
        <v>0.46</v>
      </c>
      <c r="K56" s="124" t="n">
        <f aca="false">HLOOKUP($D$3,GDPRICES,VLOOKUP(Q56,GDmove_down,2,FALSE()),FALSE())</f>
        <v>4.87</v>
      </c>
      <c r="L56" s="124" t="n">
        <f aca="false">HLOOKUP($E$3,GDPRICES,VLOOKUP(Q56,GDmove_down,2,FALSE()),FALSE())</f>
        <v>3.445</v>
      </c>
      <c r="M56" s="126" t="n">
        <v>1</v>
      </c>
      <c r="N56" s="7" t="n">
        <v>0.515</v>
      </c>
      <c r="O56" s="7" t="n">
        <v>0.515</v>
      </c>
      <c r="P56" s="249" t="e">
        <f aca="false">HLOOKUP(E56,GDcorr,VLOOKUP(H56,GDCorMove,2,FALSE()),FALSE())</f>
        <v>#N/A</v>
      </c>
      <c r="Q56" s="92" t="n">
        <v>36685</v>
      </c>
      <c r="R56" s="7" t="n">
        <f aca="false">IF(G56="P",0,1)</f>
        <v>1</v>
      </c>
      <c r="S56" s="130" t="e">
        <f aca="false">xSPRDOPT($K56,$L56,$J56,$M56,$N56,$O56,$P56,$Q56-$C$3,$R56,0)</f>
        <v>#NAME?</v>
      </c>
      <c r="T56" s="250" t="e">
        <f aca="false">xSPRDOPT($K56,$L56,$J56,$M56,$N56,$O56,$P56,$Q56-$C$3,$R56,1)*I56</f>
        <v>#NAME?</v>
      </c>
      <c r="U56" s="43" t="n">
        <v>-2500</v>
      </c>
      <c r="V56" s="250" t="e">
        <f aca="false">xSPRDOPT($K56,$L56,$J56,$M56,$N56,$O56,$P56,$Q56-$C$3,$R56,2)*I56</f>
        <v>#NAME?</v>
      </c>
      <c r="W56" s="250" t="e">
        <f aca="false">+V56+T56</f>
        <v>#NAME?</v>
      </c>
      <c r="X56" s="2" t="str">
        <f aca="false">CONCATENATE(H56,E56)</f>
        <v>36678IF-ELPO/SJ</v>
      </c>
      <c r="Y56" s="251" t="n">
        <f aca="false">I56/10000</f>
        <v>-5</v>
      </c>
      <c r="Z56" s="2"/>
      <c r="AA56" s="2"/>
      <c r="AB56" s="182" t="n">
        <f aca="false">H56</f>
        <v>36678</v>
      </c>
      <c r="AC56" s="253" t="e">
        <f aca="false">xSPRDOPT(HLOOKUP($D$3,GDPRICES,VLOOKUP(Q56,GDmove_down,2,FALSE()),FALSE()),HLOOKUP($E$3,GDPRICES,VLOOKUP(Q56,GDmove_down,2,FALSE()),FALSE()),J56,VLOOKUP(H56,NGPREVPRICES,4,FALSE()),HLOOKUP($H$3,GDPrevVols,VLOOKUP(Q56,GDmove_down2,2,FALSE()),FALSE()),HLOOKUP($H$3,GDPrevVols,VLOOKUP(Q56,GDmove_down2,2,FALSE()),FALSE()),HLOOKUP(E56,GDcorr,VLOOKUP(H56,CorMove,2,FALSE()),FALSE()),Q56-$AC$3,R56,$AC$5)*I56-AI56</f>
        <v>#N/A</v>
      </c>
      <c r="AD56" s="253" t="e">
        <f aca="false">xSPRDOPT(HLOOKUP($D$3,GDPrev,VLOOKUP(Q56,GDmove_down,2,FALSE()),FALSE()),HLOOKUP($E$3,GDPrev,VLOOKUP(Q56,GDmove_down,2,FALSE()),FALSE()),AJ56,VLOOKUP(H56,NGPrices,4,FALSE()),HLOOKUP($H$3,GDPrevVols,VLOOKUP(Q56,GDmove_down2,2,FALSE()),FALSE()),HLOOKUP($H$3,GDPrevVols,VLOOKUP(Q56,GDmove_down2,2,FALSE()),FALSE()),HLOOKUP(E56,GDcorr,VLOOKUP(H56,CorMove,2,FALSE()),FALSE()),Q56-$AC$3,R56,$AI$5)*I56-AI56</f>
        <v>#N/A</v>
      </c>
      <c r="AE56" s="132" t="e">
        <f aca="false">(AI56/VLOOKUP(AB56,discount,3,FALSE()))-(AI56/VLOOKUP(AB56,discount,2,FALSE()))</f>
        <v>#N/A</v>
      </c>
      <c r="AF56" s="253" t="e">
        <f aca="false">xSPRDOPT(HLOOKUP($D$3,GDPrev,VLOOKUP(Q56,GDmove_down,2,FALSE()),FALSE()),HLOOKUP($E$3,GDPrev,VLOOKUP(Q56,GDmove_down,2,FALSE()),FALSE()),AJ56,VLOOKUP(H56,NGPREVPRICES,4,FALSE()),HLOOKUP($H$3,GDVol,VLOOKUP(H56,move_down,2,FALSE()),FALSE()),HLOOKUP($H$3,GDVol,VLOOKUP(H56,move_down,2,FALSE()),FALSE()),HLOOKUP(E56,GDcorr,VLOOKUP(H56,CorMove,2,FALSE()),FALSE()),Q56-$AC$3,R56,$AI$5)*I56-AI56</f>
        <v>#N/A</v>
      </c>
      <c r="AG56" s="253" t="e">
        <f aca="false">xSPRDOPT(HLOOKUP($D$3,GDPrev,VLOOKUP(Q56,GDmove_down,2,FALSE()),FALSE()),HLOOKUP($E$3,GDPrev,VLOOKUP(Q56,GDmove_down,2,FALSE()),FALSE()),AJ56,VLOOKUP(H56,NGPREVPRICES,4,FALSE()),HLOOKUP($H$3,GDPrevVols,VLOOKUP(Q56,GDmove_down2,2,FALSE()),FALSE()),HLOOKUP($H$3,GDPrevVols,VLOOKUP(Q56,GDmove_down2,2,FALSE()),FALSE()),HLOOKUP(E56,GDcorr,VLOOKUP(H56,CorMove,2,FALSE()),FALSE()),Q56-$C$3,R56,$AI$5)*I56-AI56</f>
        <v>#N/A</v>
      </c>
      <c r="AH56" s="253" t="e">
        <f aca="false">SUM(AC56:AG56)</f>
        <v>#N/A</v>
      </c>
      <c r="AI56" s="253" t="e">
        <f aca="false">xSPRDOPT(HLOOKUP($D$3,GDPrev,VLOOKUP(Q56,GDmove_down,2,FALSE()),FALSE()),HLOOKUP($E$3,GDPrev,VLOOKUP(Q56,GDmove_down,2,FALSE()),FALSE()),AJ56,VLOOKUP(H56,NGPREVPRICES,4,FALSE()),HLOOKUP($H$3,GDPrevVols,VLOOKUP(Q56,GDmove_down2,2,FALSE()),FALSE()),HLOOKUP($H$3,GDPrevVols,VLOOKUP(Q56,GDmove_down2,2,FALSE()),FALSE()),HLOOKUP(E56,GDcorr,VLOOKUP(H56,CorMove,2,FALSE()),FALSE()),Q56-$AC$3,R56,$AI$5)*I56</f>
        <v>#N/A</v>
      </c>
      <c r="AJ56" s="254" t="e">
        <f aca="false">HLOOKUP(D56,PREVCURVES,VLOOKUP(H56,MOVE_DOWN2,2,FALSE()),FALSE())-HLOOKUP(E56,PREVCURVES,VLOOKUP(H56,MOVE_DOWN2,2,FALSE()),FALSE())</f>
        <v>#N/A</v>
      </c>
      <c r="AK56" s="253"/>
      <c r="AL56" s="0" t="str">
        <f aca="false">CONCATENATE(AB56,$AC$6)</f>
        <v>36678Curve Shift/Gamma</v>
      </c>
      <c r="AM56" s="0" t="str">
        <f aca="false">CONCATENATE($AB56,$AD$6)</f>
        <v>36678Rho</v>
      </c>
      <c r="AN56" s="0" t="str">
        <f aca="false">CONCATENATE($AB56,$AE$6)</f>
        <v>36678Drift</v>
      </c>
      <c r="AO56" s="0" t="str">
        <f aca="false">CONCATENATE($AB56,$AF$6)</f>
        <v>36678Vega</v>
      </c>
      <c r="AP56" s="0" t="str">
        <f aca="false">CONCATENATE($AB56,$AG$6)</f>
        <v>36678Theta</v>
      </c>
      <c r="AZ56" s="143" t="n">
        <f aca="false">EOMONTH(AZ55,0)+1</f>
        <v>37653</v>
      </c>
      <c r="BA56" s="135"/>
      <c r="BG56" s="285" t="n">
        <v>37987</v>
      </c>
      <c r="BH56" s="0" t="n">
        <v>0.985</v>
      </c>
      <c r="BJ56" s="285" t="n">
        <v>37987</v>
      </c>
      <c r="BK56" s="0" t="n">
        <v>53</v>
      </c>
    </row>
    <row r="57" customFormat="false" ht="12" hidden="false" customHeight="true" outlineLevel="0" collapsed="false">
      <c r="A57" s="265" t="s">
        <v>198</v>
      </c>
      <c r="B57" s="269" t="s">
        <v>192</v>
      </c>
      <c r="C57" s="269" t="s">
        <v>489</v>
      </c>
      <c r="D57" s="269" t="s">
        <v>137</v>
      </c>
      <c r="E57" s="7" t="s">
        <v>483</v>
      </c>
      <c r="F57" s="269" t="s">
        <v>131</v>
      </c>
      <c r="G57" s="269" t="s">
        <v>136</v>
      </c>
      <c r="H57" s="286" t="n">
        <v>36678</v>
      </c>
      <c r="I57" s="272" t="n">
        <v>10000</v>
      </c>
      <c r="J57" s="125" t="n">
        <v>0.46</v>
      </c>
      <c r="K57" s="124" t="n">
        <f aca="false">HLOOKUP($D$3,GDPRICES,VLOOKUP(Q57,GDmove_down,2,FALSE()),FALSE())</f>
        <v>4.87</v>
      </c>
      <c r="L57" s="124" t="n">
        <f aca="false">HLOOKUP($E$3,GDPRICES,VLOOKUP(Q57,GDmove_down,2,FALSE()),FALSE())</f>
        <v>3.445</v>
      </c>
      <c r="M57" s="126" t="n">
        <v>1</v>
      </c>
      <c r="N57" s="7" t="n">
        <v>0.515</v>
      </c>
      <c r="O57" s="7" t="n">
        <v>0.515</v>
      </c>
      <c r="P57" s="249" t="e">
        <f aca="false">HLOOKUP(E57,GDcorr,VLOOKUP(H57,GDCorMove,2,FALSE()),FALSE())</f>
        <v>#N/A</v>
      </c>
      <c r="Q57" s="92" t="n">
        <v>36685</v>
      </c>
      <c r="R57" s="7" t="n">
        <f aca="false">IF(G57="P",0,1)</f>
        <v>1</v>
      </c>
      <c r="S57" s="130" t="e">
        <f aca="false">xSPRDOPT($K57,$L57,$J57,$M57,$N57,$O57,$P57,$Q57-$C$3,$R57,0)</f>
        <v>#NAME?</v>
      </c>
      <c r="T57" s="250" t="e">
        <f aca="false">xSPRDOPT($K57,$L57,$J57,$M57,$N57,$O57,$P57,$Q57-$C$3,$R57,1)*I57</f>
        <v>#NAME?</v>
      </c>
      <c r="U57" s="43" t="n">
        <v>500</v>
      </c>
      <c r="V57" s="250" t="e">
        <f aca="false">xSPRDOPT($K57,$L57,$J57,$M57,$N57,$O57,$P57,$Q57-$C$3,$R57,2)*I57</f>
        <v>#NAME?</v>
      </c>
      <c r="W57" s="250" t="e">
        <f aca="false">+V57+T57</f>
        <v>#NAME?</v>
      </c>
      <c r="X57" s="2" t="str">
        <f aca="false">CONCATENATE(H57,E57)</f>
        <v>36678IF-ELPO/SJ</v>
      </c>
      <c r="Y57" s="251" t="n">
        <f aca="false">I57/10000</f>
        <v>1</v>
      </c>
      <c r="Z57" s="2"/>
      <c r="AA57" s="2"/>
      <c r="AB57" s="182" t="n">
        <f aca="false">H57</f>
        <v>36678</v>
      </c>
      <c r="AC57" s="253" t="e">
        <f aca="false">xSPRDOPT(HLOOKUP($D$3,GDPRICES,VLOOKUP(Q57,GDmove_down,2,FALSE()),FALSE()),HLOOKUP($E$3,GDPRICES,VLOOKUP(Q57,GDmove_down,2,FALSE()),FALSE()),J57,VLOOKUP(H57,NGPREVPRICES,4,FALSE()),HLOOKUP($H$3,GDPrevVols,VLOOKUP(Q57,GDmove_down2,2,FALSE()),FALSE()),HLOOKUP($H$3,GDPrevVols,VLOOKUP(Q57,GDmove_down2,2,FALSE()),FALSE()),HLOOKUP(E57,GDcorr,VLOOKUP(H57,CorMove,2,FALSE()),FALSE()),Q57-$AC$3,R57,$AC$5)*I57-AI57</f>
        <v>#N/A</v>
      </c>
      <c r="AD57" s="253" t="e">
        <f aca="false">xSPRDOPT(HLOOKUP($D$3,GDPrev,VLOOKUP(Q57,GDmove_down,2,FALSE()),FALSE()),HLOOKUP($E$3,GDPrev,VLOOKUP(Q57,GDmove_down,2,FALSE()),FALSE()),AJ57,VLOOKUP(H57,NGPrices,4,FALSE()),HLOOKUP($H$3,GDPrevVols,VLOOKUP(Q57,GDmove_down2,2,FALSE()),FALSE()),HLOOKUP($H$3,GDPrevVols,VLOOKUP(Q57,GDmove_down2,2,FALSE()),FALSE()),HLOOKUP(E57,GDcorr,VLOOKUP(H57,CorMove,2,FALSE()),FALSE()),Q57-$AC$3,R57,$AI$5)*I57-AI57</f>
        <v>#N/A</v>
      </c>
      <c r="AE57" s="132" t="e">
        <f aca="false">(AI57/VLOOKUP(AB57,discount,3,FALSE()))-(AI57/VLOOKUP(AB57,discount,2,FALSE()))</f>
        <v>#N/A</v>
      </c>
      <c r="AF57" s="253" t="e">
        <f aca="false">xSPRDOPT(HLOOKUP($D$3,GDPrev,VLOOKUP(Q57,GDmove_down,2,FALSE()),FALSE()),HLOOKUP($E$3,GDPrev,VLOOKUP(Q57,GDmove_down,2,FALSE()),FALSE()),AJ57,VLOOKUP(H57,NGPREVPRICES,4,FALSE()),HLOOKUP($H$3,GDVol,VLOOKUP(H57,move_down,2,FALSE()),FALSE()),HLOOKUP($H$3,GDVol,VLOOKUP(H57,move_down,2,FALSE()),FALSE()),HLOOKUP(E57,GDcorr,VLOOKUP(H57,CorMove,2,FALSE()),FALSE()),Q57-$AC$3,R57,$AI$5)*I57-AI57</f>
        <v>#N/A</v>
      </c>
      <c r="AG57" s="253" t="e">
        <f aca="false">xSPRDOPT(HLOOKUP($D$3,GDPrev,VLOOKUP(Q57,GDmove_down,2,FALSE()),FALSE()),HLOOKUP($E$3,GDPrev,VLOOKUP(Q57,GDmove_down,2,FALSE()),FALSE()),AJ57,VLOOKUP(H57,NGPREVPRICES,4,FALSE()),HLOOKUP($H$3,GDPrevVols,VLOOKUP(Q57,GDmove_down2,2,FALSE()),FALSE()),HLOOKUP($H$3,GDPrevVols,VLOOKUP(Q57,GDmove_down2,2,FALSE()),FALSE()),HLOOKUP(E57,GDcorr,VLOOKUP(H57,CorMove,2,FALSE()),FALSE()),Q57-$C$3,R57,$AI$5)*I57-AI57</f>
        <v>#N/A</v>
      </c>
      <c r="AH57" s="253" t="e">
        <f aca="false">SUM(AC57:AG57)</f>
        <v>#N/A</v>
      </c>
      <c r="AI57" s="253" t="e">
        <f aca="false">xSPRDOPT(HLOOKUP($D$3,GDPrev,VLOOKUP(Q57,GDmove_down,2,FALSE()),FALSE()),HLOOKUP($E$3,GDPrev,VLOOKUP(Q57,GDmove_down,2,FALSE()),FALSE()),AJ57,VLOOKUP(H57,NGPREVPRICES,4,FALSE()),HLOOKUP($H$3,GDPrevVols,VLOOKUP(Q57,GDmove_down2,2,FALSE()),FALSE()),HLOOKUP($H$3,GDPrevVols,VLOOKUP(Q57,GDmove_down2,2,FALSE()),FALSE()),HLOOKUP(E57,GDcorr,VLOOKUP(H57,CorMove,2,FALSE()),FALSE()),Q57-$AC$3,R57,$AI$5)*I57</f>
        <v>#N/A</v>
      </c>
      <c r="AJ57" s="254" t="e">
        <f aca="false">HLOOKUP(D57,PREVCURVES,VLOOKUP(H57,MOVE_DOWN2,2,FALSE()),FALSE())-HLOOKUP(E57,PREVCURVES,VLOOKUP(H57,MOVE_DOWN2,2,FALSE()),FALSE())</f>
        <v>#N/A</v>
      </c>
      <c r="AK57" s="253"/>
      <c r="AL57" s="0" t="str">
        <f aca="false">CONCATENATE(AB57,$AC$6)</f>
        <v>36678Curve Shift/Gamma</v>
      </c>
      <c r="AM57" s="0" t="str">
        <f aca="false">CONCATENATE($AB57,$AD$6)</f>
        <v>36678Rho</v>
      </c>
      <c r="AN57" s="0" t="str">
        <f aca="false">CONCATENATE($AB57,$AE$6)</f>
        <v>36678Drift</v>
      </c>
      <c r="AO57" s="0" t="str">
        <f aca="false">CONCATENATE($AB57,$AF$6)</f>
        <v>36678Vega</v>
      </c>
      <c r="AP57" s="0" t="str">
        <f aca="false">CONCATENATE($AB57,$AG$6)</f>
        <v>36678Theta</v>
      </c>
      <c r="AZ57" s="143" t="n">
        <f aca="false">EOMONTH(AZ56,0)+1</f>
        <v>37681</v>
      </c>
      <c r="BA57" s="135"/>
      <c r="BG57" s="285" t="n">
        <v>38018</v>
      </c>
      <c r="BH57" s="0" t="n">
        <v>0.985</v>
      </c>
      <c r="BJ57" s="285" t="n">
        <v>38018</v>
      </c>
      <c r="BK57" s="0" t="n">
        <v>54</v>
      </c>
    </row>
    <row r="58" customFormat="false" ht="12" hidden="false" customHeight="true" outlineLevel="0" collapsed="false">
      <c r="A58" s="265" t="s">
        <v>198</v>
      </c>
      <c r="B58" s="269" t="s">
        <v>192</v>
      </c>
      <c r="C58" s="269" t="s">
        <v>490</v>
      </c>
      <c r="D58" s="269" t="s">
        <v>137</v>
      </c>
      <c r="E58" s="7" t="s">
        <v>483</v>
      </c>
      <c r="F58" s="269" t="s">
        <v>131</v>
      </c>
      <c r="G58" s="269" t="s">
        <v>136</v>
      </c>
      <c r="H58" s="286" t="n">
        <v>36678</v>
      </c>
      <c r="I58" s="272" t="n">
        <v>-333333</v>
      </c>
      <c r="J58" s="125" t="n">
        <v>0.46</v>
      </c>
      <c r="K58" s="124" t="n">
        <f aca="false">HLOOKUP($D$3,GDPRICES,VLOOKUP(Q58,GDmove_down,2,FALSE()),FALSE())</f>
        <v>4.87</v>
      </c>
      <c r="L58" s="124" t="n">
        <f aca="false">HLOOKUP($E$3,GDPRICES,VLOOKUP(Q58,GDmove_down,2,FALSE()),FALSE())</f>
        <v>3.445</v>
      </c>
      <c r="M58" s="126" t="n">
        <v>1</v>
      </c>
      <c r="N58" s="7" t="n">
        <v>0.515</v>
      </c>
      <c r="O58" s="7" t="n">
        <v>0.515</v>
      </c>
      <c r="P58" s="249" t="e">
        <f aca="false">HLOOKUP(E58,GDcorr,VLOOKUP(H58,GDCorMove,2,FALSE()),FALSE())</f>
        <v>#N/A</v>
      </c>
      <c r="Q58" s="92" t="n">
        <v>36685</v>
      </c>
      <c r="R58" s="7" t="n">
        <f aca="false">IF(G58="P",0,1)</f>
        <v>1</v>
      </c>
      <c r="S58" s="130" t="e">
        <f aca="false">xSPRDOPT($K58,$L58,$J58,$M58,$N58,$O58,$P58,$Q58-$C$3,$R58,0)</f>
        <v>#NAME?</v>
      </c>
      <c r="T58" s="250" t="e">
        <f aca="false">xSPRDOPT($K58,$L58,$J58,$M58,$N58,$O58,$P58,$Q58-$C$3,$R58,1)*I58</f>
        <v>#NAME?</v>
      </c>
      <c r="U58" s="43" t="n">
        <v>-16666.65</v>
      </c>
      <c r="V58" s="250" t="e">
        <f aca="false">xSPRDOPT($K58,$L58,$J58,$M58,$N58,$O58,$P58,$Q58-$C$3,$R58,2)*I58</f>
        <v>#NAME?</v>
      </c>
      <c r="W58" s="250" t="e">
        <f aca="false">+V58+T58</f>
        <v>#NAME?</v>
      </c>
      <c r="X58" s="2" t="str">
        <f aca="false">CONCATENATE(H58,E58)</f>
        <v>36678IF-ELPO/SJ</v>
      </c>
      <c r="Y58" s="251" t="n">
        <f aca="false">I58/10000</f>
        <v>-33.3333</v>
      </c>
      <c r="Z58" s="2"/>
      <c r="AA58" s="2"/>
      <c r="AB58" s="182" t="n">
        <f aca="false">H58</f>
        <v>36678</v>
      </c>
      <c r="AC58" s="253" t="e">
        <f aca="false">xSPRDOPT(HLOOKUP($D$3,GDPRICES,VLOOKUP(Q58,GDmove_down,2,FALSE()),FALSE()),HLOOKUP($E$3,GDPRICES,VLOOKUP(Q58,GDmove_down,2,FALSE()),FALSE()),J58,VLOOKUP(H58,NGPREVPRICES,4,FALSE()),HLOOKUP($H$3,GDPrevVols,VLOOKUP(Q58,GDmove_down2,2,FALSE()),FALSE()),HLOOKUP($H$3,GDPrevVols,VLOOKUP(Q58,GDmove_down2,2,FALSE()),FALSE()),HLOOKUP(E58,GDcorr,VLOOKUP(H58,CorMove,2,FALSE()),FALSE()),Q58-$AC$3,R58,$AC$5)*I58-AI58</f>
        <v>#N/A</v>
      </c>
      <c r="AD58" s="253" t="e">
        <f aca="false">xSPRDOPT(HLOOKUP($D$3,GDPrev,VLOOKUP(Q58,GDmove_down,2,FALSE()),FALSE()),HLOOKUP($E$3,GDPrev,VLOOKUP(Q58,GDmove_down,2,FALSE()),FALSE()),AJ58,VLOOKUP(H58,NGPrices,4,FALSE()),HLOOKUP($H$3,GDPrevVols,VLOOKUP(Q58,GDmove_down2,2,FALSE()),FALSE()),HLOOKUP($H$3,GDPrevVols,VLOOKUP(Q58,GDmove_down2,2,FALSE()),FALSE()),HLOOKUP(E58,GDcorr,VLOOKUP(H58,CorMove,2,FALSE()),FALSE()),Q58-$AC$3,R58,$AI$5)*I58-AI58</f>
        <v>#N/A</v>
      </c>
      <c r="AE58" s="132" t="e">
        <f aca="false">(AI58/VLOOKUP(AB58,discount,3,FALSE()))-(AI58/VLOOKUP(AB58,discount,2,FALSE()))</f>
        <v>#N/A</v>
      </c>
      <c r="AF58" s="253" t="e">
        <f aca="false">xSPRDOPT(HLOOKUP($D$3,GDPrev,VLOOKUP(Q58,GDmove_down,2,FALSE()),FALSE()),HLOOKUP($E$3,GDPrev,VLOOKUP(Q58,GDmove_down,2,FALSE()),FALSE()),AJ58,VLOOKUP(H58,NGPREVPRICES,4,FALSE()),HLOOKUP($H$3,GDVol,VLOOKUP(H58,move_down,2,FALSE()),FALSE()),HLOOKUP($H$3,GDVol,VLOOKUP(H58,move_down,2,FALSE()),FALSE()),HLOOKUP(E58,GDcorr,VLOOKUP(H58,CorMove,2,FALSE()),FALSE()),Q58-$AC$3,R58,$AI$5)*I58-AI58</f>
        <v>#N/A</v>
      </c>
      <c r="AG58" s="253" t="e">
        <f aca="false">xSPRDOPT(HLOOKUP($D$3,GDPrev,VLOOKUP(Q58,GDmove_down,2,FALSE()),FALSE()),HLOOKUP($E$3,GDPrev,VLOOKUP(Q58,GDmove_down,2,FALSE()),FALSE()),AJ58,VLOOKUP(H58,NGPREVPRICES,4,FALSE()),HLOOKUP($H$3,GDPrevVols,VLOOKUP(Q58,GDmove_down2,2,FALSE()),FALSE()),HLOOKUP($H$3,GDPrevVols,VLOOKUP(Q58,GDmove_down2,2,FALSE()),FALSE()),HLOOKUP(E58,GDcorr,VLOOKUP(H58,CorMove,2,FALSE()),FALSE()),Q58-$C$3,R58,$AI$5)*I58-AI58</f>
        <v>#N/A</v>
      </c>
      <c r="AH58" s="253" t="e">
        <f aca="false">SUM(AC58:AG58)</f>
        <v>#N/A</v>
      </c>
      <c r="AI58" s="253" t="e">
        <f aca="false">xSPRDOPT(HLOOKUP($D$3,GDPrev,VLOOKUP(Q58,GDmove_down,2,FALSE()),FALSE()),HLOOKUP($E$3,GDPrev,VLOOKUP(Q58,GDmove_down,2,FALSE()),FALSE()),AJ58,VLOOKUP(H58,NGPREVPRICES,4,FALSE()),HLOOKUP($H$3,GDPrevVols,VLOOKUP(Q58,GDmove_down2,2,FALSE()),FALSE()),HLOOKUP($H$3,GDPrevVols,VLOOKUP(Q58,GDmove_down2,2,FALSE()),FALSE()),HLOOKUP(E58,GDcorr,VLOOKUP(H58,CorMove,2,FALSE()),FALSE()),Q58-$AC$3,R58,$AI$5)*I58</f>
        <v>#N/A</v>
      </c>
      <c r="AJ58" s="254" t="e">
        <f aca="false">HLOOKUP(D58,PREVCURVES,VLOOKUP(H58,MOVE_DOWN2,2,FALSE()),FALSE())-HLOOKUP(E58,PREVCURVES,VLOOKUP(H58,MOVE_DOWN2,2,FALSE()),FALSE())</f>
        <v>#N/A</v>
      </c>
      <c r="AK58" s="253"/>
      <c r="AL58" s="0" t="str">
        <f aca="false">CONCATENATE(AB58,$AC$6)</f>
        <v>36678Curve Shift/Gamma</v>
      </c>
      <c r="AM58" s="0" t="str">
        <f aca="false">CONCATENATE($AB58,$AD$6)</f>
        <v>36678Rho</v>
      </c>
      <c r="AN58" s="0" t="str">
        <f aca="false">CONCATENATE($AB58,$AE$6)</f>
        <v>36678Drift</v>
      </c>
      <c r="AO58" s="0" t="str">
        <f aca="false">CONCATENATE($AB58,$AF$6)</f>
        <v>36678Vega</v>
      </c>
      <c r="AP58" s="0" t="str">
        <f aca="false">CONCATENATE($AB58,$AG$6)</f>
        <v>36678Theta</v>
      </c>
      <c r="AZ58" s="143" t="n">
        <f aca="false">EOMONTH(AZ57,0)+1</f>
        <v>37712</v>
      </c>
      <c r="BA58" s="135"/>
      <c r="BG58" s="285" t="n">
        <v>38047</v>
      </c>
      <c r="BH58" s="0" t="n">
        <v>0.985</v>
      </c>
      <c r="BJ58" s="285" t="n">
        <v>38047</v>
      </c>
      <c r="BK58" s="0" t="n">
        <v>55</v>
      </c>
    </row>
    <row r="59" customFormat="false" ht="12" hidden="false" customHeight="true" outlineLevel="0" collapsed="false">
      <c r="A59" s="267" t="s">
        <v>196</v>
      </c>
      <c r="B59" s="269" t="s">
        <v>192</v>
      </c>
      <c r="C59" s="269" t="s">
        <v>491</v>
      </c>
      <c r="D59" s="269" t="s">
        <v>137</v>
      </c>
      <c r="E59" s="7" t="s">
        <v>483</v>
      </c>
      <c r="F59" s="269" t="s">
        <v>131</v>
      </c>
      <c r="G59" s="269" t="s">
        <v>136</v>
      </c>
      <c r="H59" s="286" t="n">
        <v>36678</v>
      </c>
      <c r="I59" s="272" t="n">
        <v>-10000</v>
      </c>
      <c r="J59" s="125" t="n">
        <v>0.46</v>
      </c>
      <c r="K59" s="124" t="n">
        <f aca="false">HLOOKUP($D$3,GDPRICES,VLOOKUP(Q59,GDmove_down,2,FALSE()),FALSE())</f>
        <v>4.87</v>
      </c>
      <c r="L59" s="124" t="n">
        <f aca="false">HLOOKUP($E$3,GDPRICES,VLOOKUP(Q59,GDmove_down,2,FALSE()),FALSE())</f>
        <v>3.445</v>
      </c>
      <c r="M59" s="126" t="n">
        <v>1</v>
      </c>
      <c r="N59" s="7" t="n">
        <v>0.515</v>
      </c>
      <c r="O59" s="7" t="n">
        <v>0.515</v>
      </c>
      <c r="P59" s="249" t="e">
        <f aca="false">HLOOKUP(E59,GDcorr,VLOOKUP(H59,GDCorMove,2,FALSE()),FALSE())</f>
        <v>#N/A</v>
      </c>
      <c r="Q59" s="92" t="n">
        <v>36685</v>
      </c>
      <c r="R59" s="7" t="n">
        <f aca="false">IF(G59="P",0,1)</f>
        <v>1</v>
      </c>
      <c r="S59" s="130" t="e">
        <f aca="false">xSPRDOPT($K59,$L59,$J59,$M59,$N59,$O59,$P59,$Q59-$C$3,$R59,0)</f>
        <v>#NAME?</v>
      </c>
      <c r="T59" s="250" t="e">
        <f aca="false">xSPRDOPT($K59,$L59,$J59,$M59,$N59,$O59,$P59,$Q59-$C$3,$R59,1)*I59</f>
        <v>#NAME?</v>
      </c>
      <c r="U59" s="43" t="n">
        <v>-500</v>
      </c>
      <c r="V59" s="250" t="e">
        <f aca="false">xSPRDOPT($K59,$L59,$J59,$M59,$N59,$O59,$P59,$Q59-$C$3,$R59,2)*I59</f>
        <v>#NAME?</v>
      </c>
      <c r="W59" s="250" t="e">
        <f aca="false">+V59+T59</f>
        <v>#NAME?</v>
      </c>
      <c r="X59" s="2" t="str">
        <f aca="false">CONCATENATE(H59,E59)</f>
        <v>36678IF-ELPO/SJ</v>
      </c>
      <c r="Y59" s="251" t="n">
        <f aca="false">I59/10000</f>
        <v>-1</v>
      </c>
      <c r="Z59" s="2"/>
      <c r="AA59" s="2"/>
      <c r="AB59" s="182" t="n">
        <f aca="false">H59</f>
        <v>36678</v>
      </c>
      <c r="AC59" s="253" t="e">
        <f aca="false">xSPRDOPT(HLOOKUP($D$3,GDPRICES,VLOOKUP(Q59,GDmove_down,2,FALSE()),FALSE()),HLOOKUP($E$3,GDPRICES,VLOOKUP(Q59,GDmove_down,2,FALSE()),FALSE()),J59,VLOOKUP(H59,NGPREVPRICES,4,FALSE()),HLOOKUP($H$3,GDPrevVols,VLOOKUP(Q59,GDmove_down2,2,FALSE()),FALSE()),HLOOKUP($H$3,GDPrevVols,VLOOKUP(Q59,GDmove_down2,2,FALSE()),FALSE()),HLOOKUP(E59,GDcorr,VLOOKUP(H59,CorMove,2,FALSE()),FALSE()),Q59-$AC$3,R59,$AC$5)*I59-AI59</f>
        <v>#N/A</v>
      </c>
      <c r="AD59" s="253" t="e">
        <f aca="false">xSPRDOPT(HLOOKUP($D$3,GDPrev,VLOOKUP(Q59,GDmove_down,2,FALSE()),FALSE()),HLOOKUP($E$3,GDPrev,VLOOKUP(Q59,GDmove_down,2,FALSE()),FALSE()),AJ59,VLOOKUP(H59,NGPrices,4,FALSE()),HLOOKUP($H$3,GDPrevVols,VLOOKUP(Q59,GDmove_down2,2,FALSE()),FALSE()),HLOOKUP($H$3,GDPrevVols,VLOOKUP(Q59,GDmove_down2,2,FALSE()),FALSE()),HLOOKUP(E59,GDcorr,VLOOKUP(H59,CorMove,2,FALSE()),FALSE()),Q59-$AC$3,R59,$AI$5)*I59-AI59</f>
        <v>#N/A</v>
      </c>
      <c r="AE59" s="132" t="e">
        <f aca="false">(AI59/VLOOKUP(AB59,discount,3,FALSE()))-(AI59/VLOOKUP(AB59,discount,2,FALSE()))</f>
        <v>#N/A</v>
      </c>
      <c r="AF59" s="253" t="e">
        <f aca="false">xSPRDOPT(HLOOKUP($D$3,GDPrev,VLOOKUP(Q59,GDmove_down,2,FALSE()),FALSE()),HLOOKUP($E$3,GDPrev,VLOOKUP(Q59,GDmove_down,2,FALSE()),FALSE()),AJ59,VLOOKUP(H59,NGPREVPRICES,4,FALSE()),HLOOKUP($H$3,GDVol,VLOOKUP(H59,move_down,2,FALSE()),FALSE()),HLOOKUP($H$3,GDVol,VLOOKUP(H59,move_down,2,FALSE()),FALSE()),HLOOKUP(E59,GDcorr,VLOOKUP(H59,CorMove,2,FALSE()),FALSE()),Q59-$AC$3,R59,$AI$5)*I59-AI59</f>
        <v>#N/A</v>
      </c>
      <c r="AG59" s="253" t="e">
        <f aca="false">xSPRDOPT(HLOOKUP($D$3,GDPrev,VLOOKUP(Q59,GDmove_down,2,FALSE()),FALSE()),HLOOKUP($E$3,GDPrev,VLOOKUP(Q59,GDmove_down,2,FALSE()),FALSE()),AJ59,VLOOKUP(H59,NGPREVPRICES,4,FALSE()),HLOOKUP($H$3,GDPrevVols,VLOOKUP(Q59,GDmove_down2,2,FALSE()),FALSE()),HLOOKUP($H$3,GDPrevVols,VLOOKUP(Q59,GDmove_down2,2,FALSE()),FALSE()),HLOOKUP(E59,GDcorr,VLOOKUP(H59,CorMove,2,FALSE()),FALSE()),Q59-$C$3,R59,$AI$5)*I59-AI59</f>
        <v>#N/A</v>
      </c>
      <c r="AH59" s="253" t="e">
        <f aca="false">SUM(AC59:AG59)</f>
        <v>#N/A</v>
      </c>
      <c r="AI59" s="253" t="e">
        <f aca="false">xSPRDOPT(HLOOKUP($D$3,GDPrev,VLOOKUP(Q59,GDmove_down,2,FALSE()),FALSE()),HLOOKUP($E$3,GDPrev,VLOOKUP(Q59,GDmove_down,2,FALSE()),FALSE()),AJ59,VLOOKUP(H59,NGPREVPRICES,4,FALSE()),HLOOKUP($H$3,GDPrevVols,VLOOKUP(Q59,GDmove_down2,2,FALSE()),FALSE()),HLOOKUP($H$3,GDPrevVols,VLOOKUP(Q59,GDmove_down2,2,FALSE()),FALSE()),HLOOKUP(E59,GDcorr,VLOOKUP(H59,CorMove,2,FALSE()),FALSE()),Q59-$AC$3,R59,$AI$5)*I59</f>
        <v>#N/A</v>
      </c>
      <c r="AJ59" s="254" t="e">
        <f aca="false">HLOOKUP(D59,PREVCURVES,VLOOKUP(H59,MOVE_DOWN2,2,FALSE()),FALSE())-HLOOKUP(E59,PREVCURVES,VLOOKUP(H59,MOVE_DOWN2,2,FALSE()),FALSE())</f>
        <v>#N/A</v>
      </c>
      <c r="AK59" s="253"/>
      <c r="AL59" s="0" t="str">
        <f aca="false">CONCATENATE(AB59,$AC$6)</f>
        <v>36678Curve Shift/Gamma</v>
      </c>
      <c r="AM59" s="0" t="str">
        <f aca="false">CONCATENATE($AB59,$AD$6)</f>
        <v>36678Rho</v>
      </c>
      <c r="AN59" s="0" t="str">
        <f aca="false">CONCATENATE($AB59,$AE$6)</f>
        <v>36678Drift</v>
      </c>
      <c r="AO59" s="0" t="str">
        <f aca="false">CONCATENATE($AB59,$AF$6)</f>
        <v>36678Vega</v>
      </c>
      <c r="AP59" s="0" t="str">
        <f aca="false">CONCATENATE($AB59,$AG$6)</f>
        <v>36678Theta</v>
      </c>
      <c r="AZ59" s="143" t="n">
        <f aca="false">EOMONTH(AZ58,0)+1</f>
        <v>37742</v>
      </c>
      <c r="BA59" s="135"/>
      <c r="BG59" s="285" t="n">
        <v>38078</v>
      </c>
      <c r="BH59" s="0" t="n">
        <v>0.985</v>
      </c>
      <c r="BJ59" s="285" t="n">
        <v>38078</v>
      </c>
      <c r="BK59" s="0" t="n">
        <v>56</v>
      </c>
    </row>
    <row r="60" customFormat="false" ht="12" hidden="false" customHeight="true" outlineLevel="0" collapsed="false">
      <c r="A60" s="267" t="s">
        <v>198</v>
      </c>
      <c r="B60" s="269" t="s">
        <v>192</v>
      </c>
      <c r="C60" s="269" t="s">
        <v>492</v>
      </c>
      <c r="D60" s="269" t="s">
        <v>137</v>
      </c>
      <c r="E60" s="7" t="s">
        <v>483</v>
      </c>
      <c r="F60" s="269" t="s">
        <v>131</v>
      </c>
      <c r="G60" s="269" t="s">
        <v>136</v>
      </c>
      <c r="H60" s="286" t="n">
        <v>36678</v>
      </c>
      <c r="I60" s="272" t="n">
        <v>50000</v>
      </c>
      <c r="J60" s="125" t="n">
        <v>0.46</v>
      </c>
      <c r="K60" s="124" t="n">
        <f aca="false">HLOOKUP($D$3,GDPRICES,VLOOKUP(Q60,GDmove_down,2,FALSE()),FALSE())</f>
        <v>4.87</v>
      </c>
      <c r="L60" s="124" t="n">
        <f aca="false">HLOOKUP($E$3,GDPRICES,VLOOKUP(Q60,GDmove_down,2,FALSE()),FALSE())</f>
        <v>3.445</v>
      </c>
      <c r="M60" s="126" t="n">
        <v>1</v>
      </c>
      <c r="N60" s="7" t="n">
        <v>0.515</v>
      </c>
      <c r="O60" s="7" t="n">
        <v>0.515</v>
      </c>
      <c r="P60" s="249" t="e">
        <f aca="false">HLOOKUP(E60,GDcorr,VLOOKUP(H60,GDCorMove,2,FALSE()),FALSE())</f>
        <v>#N/A</v>
      </c>
      <c r="Q60" s="92" t="n">
        <v>36685</v>
      </c>
      <c r="R60" s="7" t="n">
        <f aca="false">IF(G60="P",0,1)</f>
        <v>1</v>
      </c>
      <c r="S60" s="130" t="e">
        <f aca="false">xSPRDOPT($K60,$L60,$J60,$M60,$N60,$O60,$P60,$Q60-$C$3,$R60,0)</f>
        <v>#NAME?</v>
      </c>
      <c r="T60" s="250" t="e">
        <f aca="false">xSPRDOPT($K60,$L60,$J60,$M60,$N60,$O60,$P60,$Q60-$C$3,$R60,1)*I60</f>
        <v>#NAME?</v>
      </c>
      <c r="U60" s="43" t="n">
        <v>2500</v>
      </c>
      <c r="V60" s="250" t="e">
        <f aca="false">xSPRDOPT($K60,$L60,$J60,$M60,$N60,$O60,$P60,$Q60-$C$3,$R60,2)*I60</f>
        <v>#NAME?</v>
      </c>
      <c r="W60" s="250" t="e">
        <f aca="false">+V60+T60</f>
        <v>#NAME?</v>
      </c>
      <c r="X60" s="2" t="str">
        <f aca="false">CONCATENATE(H60,E60)</f>
        <v>36678IF-ELPO/SJ</v>
      </c>
      <c r="Y60" s="251" t="n">
        <f aca="false">I60/10000</f>
        <v>5</v>
      </c>
      <c r="Z60" s="2"/>
      <c r="AA60" s="2"/>
      <c r="AB60" s="182" t="n">
        <f aca="false">H60</f>
        <v>36678</v>
      </c>
      <c r="AC60" s="253" t="e">
        <f aca="false">xSPRDOPT(HLOOKUP($D$3,GDPRICES,VLOOKUP(Q60,GDmove_down,2,FALSE()),FALSE()),HLOOKUP($E$3,GDPRICES,VLOOKUP(Q60,GDmove_down,2,FALSE()),FALSE()),J60,VLOOKUP(H60,NGPREVPRICES,4,FALSE()),HLOOKUP($H$3,GDPrevVols,VLOOKUP(Q60,GDmove_down2,2,FALSE()),FALSE()),HLOOKUP($H$3,GDPrevVols,VLOOKUP(Q60,GDmove_down2,2,FALSE()),FALSE()),HLOOKUP(E60,GDcorr,VLOOKUP(H60,CorMove,2,FALSE()),FALSE()),Q60-$AC$3,R60,$AC$5)*I60-AI60</f>
        <v>#N/A</v>
      </c>
      <c r="AD60" s="253" t="e">
        <f aca="false">xSPRDOPT(HLOOKUP($D$3,GDPrev,VLOOKUP(Q60,GDmove_down,2,FALSE()),FALSE()),HLOOKUP($E$3,GDPrev,VLOOKUP(Q60,GDmove_down,2,FALSE()),FALSE()),AJ60,VLOOKUP(H60,NGPrices,4,FALSE()),HLOOKUP($H$3,GDPrevVols,VLOOKUP(Q60,GDmove_down2,2,FALSE()),FALSE()),HLOOKUP($H$3,GDPrevVols,VLOOKUP(Q60,GDmove_down2,2,FALSE()),FALSE()),HLOOKUP(E60,GDcorr,VLOOKUP(H60,CorMove,2,FALSE()),FALSE()),Q60-$AC$3,R60,$AI$5)*I60-AI60</f>
        <v>#N/A</v>
      </c>
      <c r="AE60" s="132" t="e">
        <f aca="false">(AI60/VLOOKUP(AB60,discount,3,FALSE()))-(AI60/VLOOKUP(AB60,discount,2,FALSE()))</f>
        <v>#N/A</v>
      </c>
      <c r="AF60" s="253" t="e">
        <f aca="false">xSPRDOPT(HLOOKUP($D$3,GDPrev,VLOOKUP(Q60,GDmove_down,2,FALSE()),FALSE()),HLOOKUP($E$3,GDPrev,VLOOKUP(Q60,GDmove_down,2,FALSE()),FALSE()),AJ60,VLOOKUP(H60,NGPREVPRICES,4,FALSE()),HLOOKUP($H$3,GDVol,VLOOKUP(H60,move_down,2,FALSE()),FALSE()),HLOOKUP($H$3,GDVol,VLOOKUP(H60,move_down,2,FALSE()),FALSE()),HLOOKUP(E60,GDcorr,VLOOKUP(H60,CorMove,2,FALSE()),FALSE()),Q60-$AC$3,R60,$AI$5)*I60-AI60</f>
        <v>#N/A</v>
      </c>
      <c r="AG60" s="253" t="e">
        <f aca="false">xSPRDOPT(HLOOKUP($D$3,GDPrev,VLOOKUP(Q60,GDmove_down,2,FALSE()),FALSE()),HLOOKUP($E$3,GDPrev,VLOOKUP(Q60,GDmove_down,2,FALSE()),FALSE()),AJ60,VLOOKUP(H60,NGPREVPRICES,4,FALSE()),HLOOKUP($H$3,GDPrevVols,VLOOKUP(Q60,GDmove_down2,2,FALSE()),FALSE()),HLOOKUP($H$3,GDPrevVols,VLOOKUP(Q60,GDmove_down2,2,FALSE()),FALSE()),HLOOKUP(E60,GDcorr,VLOOKUP(H60,CorMove,2,FALSE()),FALSE()),Q60-$C$3,R60,$AI$5)*I60-AI60</f>
        <v>#N/A</v>
      </c>
      <c r="AH60" s="253" t="e">
        <f aca="false">SUM(AC60:AG60)</f>
        <v>#N/A</v>
      </c>
      <c r="AI60" s="253" t="e">
        <f aca="false">xSPRDOPT(HLOOKUP($D$3,GDPrev,VLOOKUP(Q60,GDmove_down,2,FALSE()),FALSE()),HLOOKUP($E$3,GDPrev,VLOOKUP(Q60,GDmove_down,2,FALSE()),FALSE()),AJ60,VLOOKUP(H60,NGPREVPRICES,4,FALSE()),HLOOKUP($H$3,GDPrevVols,VLOOKUP(Q60,GDmove_down2,2,FALSE()),FALSE()),HLOOKUP($H$3,GDPrevVols,VLOOKUP(Q60,GDmove_down2,2,FALSE()),FALSE()),HLOOKUP(E60,GDcorr,VLOOKUP(H60,CorMove,2,FALSE()),FALSE()),Q60-$AC$3,R60,$AI$5)*I60</f>
        <v>#N/A</v>
      </c>
      <c r="AJ60" s="254" t="e">
        <f aca="false">HLOOKUP(D60,PREVCURVES,VLOOKUP(H60,MOVE_DOWN2,2,FALSE()),FALSE())-HLOOKUP(E60,PREVCURVES,VLOOKUP(H60,MOVE_DOWN2,2,FALSE()),FALSE())</f>
        <v>#N/A</v>
      </c>
      <c r="AK60" s="253"/>
      <c r="AL60" s="0" t="str">
        <f aca="false">CONCATENATE(AB60,$AC$6)</f>
        <v>36678Curve Shift/Gamma</v>
      </c>
      <c r="AM60" s="0" t="str">
        <f aca="false">CONCATENATE($AB60,$AD$6)</f>
        <v>36678Rho</v>
      </c>
      <c r="AN60" s="0" t="str">
        <f aca="false">CONCATENATE($AB60,$AE$6)</f>
        <v>36678Drift</v>
      </c>
      <c r="AO60" s="0" t="str">
        <f aca="false">CONCATENATE($AB60,$AF$6)</f>
        <v>36678Vega</v>
      </c>
      <c r="AP60" s="0" t="str">
        <f aca="false">CONCATENATE($AB60,$AG$6)</f>
        <v>36678Theta</v>
      </c>
      <c r="AZ60" s="143" t="n">
        <f aca="false">EOMONTH(AZ59,0)+1</f>
        <v>37773</v>
      </c>
      <c r="BA60" s="135"/>
      <c r="BG60" s="285" t="n">
        <v>38108</v>
      </c>
      <c r="BH60" s="0" t="n">
        <v>0.985</v>
      </c>
      <c r="BJ60" s="285" t="n">
        <v>38108</v>
      </c>
      <c r="BK60" s="0" t="n">
        <v>57</v>
      </c>
    </row>
    <row r="61" customFormat="false" ht="12" hidden="false" customHeight="true" outlineLevel="0" collapsed="false">
      <c r="A61" s="267" t="s">
        <v>198</v>
      </c>
      <c r="B61" s="269" t="s">
        <v>192</v>
      </c>
      <c r="C61" s="269" t="s">
        <v>493</v>
      </c>
      <c r="D61" s="269" t="s">
        <v>137</v>
      </c>
      <c r="E61" s="7" t="s">
        <v>483</v>
      </c>
      <c r="F61" s="269" t="s">
        <v>131</v>
      </c>
      <c r="G61" s="269" t="s">
        <v>136</v>
      </c>
      <c r="H61" s="286" t="n">
        <v>36678</v>
      </c>
      <c r="I61" s="272" t="n">
        <v>50000</v>
      </c>
      <c r="J61" s="125" t="n">
        <v>0.46</v>
      </c>
      <c r="K61" s="124" t="n">
        <f aca="false">HLOOKUP($D$3,GDPRICES,VLOOKUP(Q61,GDmove_down,2,FALSE()),FALSE())</f>
        <v>4.87</v>
      </c>
      <c r="L61" s="124" t="n">
        <f aca="false">HLOOKUP($E$3,GDPRICES,VLOOKUP(Q61,GDmove_down,2,FALSE()),FALSE())</f>
        <v>3.445</v>
      </c>
      <c r="M61" s="126" t="n">
        <v>1</v>
      </c>
      <c r="N61" s="7" t="n">
        <v>0.515</v>
      </c>
      <c r="O61" s="7" t="n">
        <v>0.515</v>
      </c>
      <c r="P61" s="249" t="e">
        <f aca="false">HLOOKUP(E61,GDcorr,VLOOKUP(H61,GDCorMove,2,FALSE()),FALSE())</f>
        <v>#N/A</v>
      </c>
      <c r="Q61" s="92" t="n">
        <v>36685</v>
      </c>
      <c r="R61" s="7" t="n">
        <f aca="false">IF(G61="P",0,1)</f>
        <v>1</v>
      </c>
      <c r="S61" s="130" t="e">
        <f aca="false">xSPRDOPT($K61,$L61,$J61,$M61,$N61,$O61,$P61,$Q61-$C$3,$R61,0)</f>
        <v>#NAME?</v>
      </c>
      <c r="T61" s="250" t="e">
        <f aca="false">xSPRDOPT($K61,$L61,$J61,$M61,$N61,$O61,$P61,$Q61-$C$3,$R61,1)*I61</f>
        <v>#NAME?</v>
      </c>
      <c r="U61" s="43" t="n">
        <v>2500</v>
      </c>
      <c r="V61" s="250" t="e">
        <f aca="false">xSPRDOPT($K61,$L61,$J61,$M61,$N61,$O61,$P61,$Q61-$C$3,$R61,2)*I61</f>
        <v>#NAME?</v>
      </c>
      <c r="W61" s="250" t="e">
        <f aca="false">+V61+T61</f>
        <v>#NAME?</v>
      </c>
      <c r="X61" s="2" t="str">
        <f aca="false">CONCATENATE(H61,E61)</f>
        <v>36678IF-ELPO/SJ</v>
      </c>
      <c r="Y61" s="251" t="n">
        <f aca="false">I61/10000</f>
        <v>5</v>
      </c>
      <c r="Z61" s="2"/>
      <c r="AA61" s="2"/>
      <c r="AB61" s="182" t="n">
        <f aca="false">H61</f>
        <v>36678</v>
      </c>
      <c r="AC61" s="253" t="e">
        <f aca="false">xSPRDOPT(HLOOKUP($D$3,GDPRICES,VLOOKUP(Q61,GDmove_down,2,FALSE()),FALSE()),HLOOKUP($E$3,GDPRICES,VLOOKUP(Q61,GDmove_down,2,FALSE()),FALSE()),J61,VLOOKUP(H61,NGPREVPRICES,4,FALSE()),HLOOKUP($H$3,GDPrevVols,VLOOKUP(Q61,GDmove_down2,2,FALSE()),FALSE()),HLOOKUP($H$3,GDPrevVols,VLOOKUP(Q61,GDmove_down2,2,FALSE()),FALSE()),HLOOKUP(E61,GDcorr,VLOOKUP(H61,CorMove,2,FALSE()),FALSE()),Q61-$AC$3,R61,$AC$5)*I61-AI61</f>
        <v>#N/A</v>
      </c>
      <c r="AD61" s="253" t="e">
        <f aca="false">xSPRDOPT(HLOOKUP($D$3,GDPrev,VLOOKUP(Q61,GDmove_down,2,FALSE()),FALSE()),HLOOKUP($E$3,GDPrev,VLOOKUP(Q61,GDmove_down,2,FALSE()),FALSE()),AJ61,VLOOKUP(H61,NGPrices,4,FALSE()),HLOOKUP($H$3,GDPrevVols,VLOOKUP(Q61,GDmove_down2,2,FALSE()),FALSE()),HLOOKUP($H$3,GDPrevVols,VLOOKUP(Q61,GDmove_down2,2,FALSE()),FALSE()),HLOOKUP(E61,GDcorr,VLOOKUP(H61,CorMove,2,FALSE()),FALSE()),Q61-$AC$3,R61,$AI$5)*I61-AI61</f>
        <v>#N/A</v>
      </c>
      <c r="AE61" s="132" t="e">
        <f aca="false">(AI61/VLOOKUP(AB61,discount,3,FALSE()))-(AI61/VLOOKUP(AB61,discount,2,FALSE()))</f>
        <v>#N/A</v>
      </c>
      <c r="AF61" s="253" t="e">
        <f aca="false">xSPRDOPT(HLOOKUP($D$3,GDPrev,VLOOKUP(Q61,GDmove_down,2,FALSE()),FALSE()),HLOOKUP($E$3,GDPrev,VLOOKUP(Q61,GDmove_down,2,FALSE()),FALSE()),AJ61,VLOOKUP(H61,NGPREVPRICES,4,FALSE()),HLOOKUP($H$3,GDVol,VLOOKUP(H61,move_down,2,FALSE()),FALSE()),HLOOKUP($H$3,GDVol,VLOOKUP(H61,move_down,2,FALSE()),FALSE()),HLOOKUP(E61,GDcorr,VLOOKUP(H61,CorMove,2,FALSE()),FALSE()),Q61-$AC$3,R61,$AI$5)*I61-AI61</f>
        <v>#N/A</v>
      </c>
      <c r="AG61" s="253" t="e">
        <f aca="false">xSPRDOPT(HLOOKUP($D$3,GDPrev,VLOOKUP(Q61,GDmove_down,2,FALSE()),FALSE()),HLOOKUP($E$3,GDPrev,VLOOKUP(Q61,GDmove_down,2,FALSE()),FALSE()),AJ61,VLOOKUP(H61,NGPREVPRICES,4,FALSE()),HLOOKUP($H$3,GDPrevVols,VLOOKUP(Q61,GDmove_down2,2,FALSE()),FALSE()),HLOOKUP($H$3,GDPrevVols,VLOOKUP(Q61,GDmove_down2,2,FALSE()),FALSE()),HLOOKUP(E61,GDcorr,VLOOKUP(H61,CorMove,2,FALSE()),FALSE()),Q61-$C$3,R61,$AI$5)*I61-AI61</f>
        <v>#N/A</v>
      </c>
      <c r="AH61" s="253" t="e">
        <f aca="false">SUM(AC61:AG61)</f>
        <v>#N/A</v>
      </c>
      <c r="AI61" s="253" t="e">
        <f aca="false">xSPRDOPT(HLOOKUP($D$3,GDPrev,VLOOKUP(Q61,GDmove_down,2,FALSE()),FALSE()),HLOOKUP($E$3,GDPrev,VLOOKUP(Q61,GDmove_down,2,FALSE()),FALSE()),AJ61,VLOOKUP(H61,NGPREVPRICES,4,FALSE()),HLOOKUP($H$3,GDPrevVols,VLOOKUP(Q61,GDmove_down2,2,FALSE()),FALSE()),HLOOKUP($H$3,GDPrevVols,VLOOKUP(Q61,GDmove_down2,2,FALSE()),FALSE()),HLOOKUP(E61,GDcorr,VLOOKUP(H61,CorMove,2,FALSE()),FALSE()),Q61-$AC$3,R61,$AI$5)*I61</f>
        <v>#N/A</v>
      </c>
      <c r="AJ61" s="254" t="e">
        <f aca="false">HLOOKUP(D61,PREVCURVES,VLOOKUP(H61,MOVE_DOWN2,2,FALSE()),FALSE())-HLOOKUP(E61,PREVCURVES,VLOOKUP(H61,MOVE_DOWN2,2,FALSE()),FALSE())</f>
        <v>#N/A</v>
      </c>
      <c r="AK61" s="253"/>
      <c r="AL61" s="0" t="str">
        <f aca="false">CONCATENATE(AB61,$AC$6)</f>
        <v>36678Curve Shift/Gamma</v>
      </c>
      <c r="AM61" s="0" t="str">
        <f aca="false">CONCATENATE($AB61,$AD$6)</f>
        <v>36678Rho</v>
      </c>
      <c r="AN61" s="0" t="str">
        <f aca="false">CONCATENATE($AB61,$AE$6)</f>
        <v>36678Drift</v>
      </c>
      <c r="AO61" s="0" t="str">
        <f aca="false">CONCATENATE($AB61,$AF$6)</f>
        <v>36678Vega</v>
      </c>
      <c r="AP61" s="0" t="str">
        <f aca="false">CONCATENATE($AB61,$AG$6)</f>
        <v>36678Theta</v>
      </c>
      <c r="AZ61" s="143" t="n">
        <f aca="false">EOMONTH(AZ60,0)+1</f>
        <v>37803</v>
      </c>
      <c r="BA61" s="135"/>
      <c r="BG61" s="285" t="n">
        <v>38139</v>
      </c>
      <c r="BH61" s="0" t="n">
        <v>0.985</v>
      </c>
      <c r="BJ61" s="285" t="n">
        <v>38139</v>
      </c>
      <c r="BK61" s="0" t="n">
        <v>58</v>
      </c>
    </row>
    <row r="62" customFormat="false" ht="12" hidden="false" customHeight="true" outlineLevel="0" collapsed="false">
      <c r="A62" s="267" t="s">
        <v>198</v>
      </c>
      <c r="B62" s="269" t="s">
        <v>192</v>
      </c>
      <c r="C62" s="269" t="s">
        <v>494</v>
      </c>
      <c r="D62" s="269" t="s">
        <v>137</v>
      </c>
      <c r="E62" s="7" t="s">
        <v>483</v>
      </c>
      <c r="F62" s="269" t="s">
        <v>131</v>
      </c>
      <c r="G62" s="269" t="s">
        <v>136</v>
      </c>
      <c r="H62" s="286" t="n">
        <v>36678</v>
      </c>
      <c r="I62" s="272" t="n">
        <v>-10000</v>
      </c>
      <c r="J62" s="125" t="n">
        <v>0.46</v>
      </c>
      <c r="K62" s="124" t="n">
        <f aca="false">HLOOKUP($D$3,GDPRICES,VLOOKUP(Q62,GDmove_down,2,FALSE()),FALSE())</f>
        <v>4.87</v>
      </c>
      <c r="L62" s="124" t="n">
        <f aca="false">HLOOKUP($E$3,GDPRICES,VLOOKUP(Q62,GDmove_down,2,FALSE()),FALSE())</f>
        <v>3.445</v>
      </c>
      <c r="M62" s="126" t="n">
        <v>1</v>
      </c>
      <c r="N62" s="7" t="n">
        <v>0.515</v>
      </c>
      <c r="O62" s="7" t="n">
        <v>0.515</v>
      </c>
      <c r="P62" s="249" t="e">
        <f aca="false">HLOOKUP(E62,GDcorr,VLOOKUP(H62,GDCorMove,2,FALSE()),FALSE())</f>
        <v>#N/A</v>
      </c>
      <c r="Q62" s="92" t="n">
        <v>36685</v>
      </c>
      <c r="R62" s="7" t="n">
        <f aca="false">IF(G62="P",0,1)</f>
        <v>1</v>
      </c>
      <c r="S62" s="130" t="e">
        <f aca="false">xSPRDOPT($K62,$L62,$J62,$M62,$N62,$O62,$P62,$Q62-$C$3,$R62,0)</f>
        <v>#NAME?</v>
      </c>
      <c r="T62" s="250" t="e">
        <f aca="false">xSPRDOPT($K62,$L62,$J62,$M62,$N62,$O62,$P62,$Q62-$C$3,$R62,1)*I62</f>
        <v>#NAME?</v>
      </c>
      <c r="U62" s="43" t="n">
        <v>-500</v>
      </c>
      <c r="V62" s="250" t="e">
        <f aca="false">xSPRDOPT($K62,$L62,$J62,$M62,$N62,$O62,$P62,$Q62-$C$3,$R62,2)*I62</f>
        <v>#NAME?</v>
      </c>
      <c r="W62" s="250" t="e">
        <f aca="false">+V62+T62</f>
        <v>#NAME?</v>
      </c>
      <c r="X62" s="2" t="str">
        <f aca="false">CONCATENATE(H62,E62)</f>
        <v>36678IF-ELPO/SJ</v>
      </c>
      <c r="Y62" s="251" t="n">
        <f aca="false">I62/10000</f>
        <v>-1</v>
      </c>
      <c r="AA62" s="2"/>
      <c r="AB62" s="182" t="n">
        <f aca="false">H62</f>
        <v>36678</v>
      </c>
      <c r="AC62" s="253" t="e">
        <f aca="false">xSPRDOPT(HLOOKUP($D$3,GDPRICES,VLOOKUP(Q62,GDmove_down,2,FALSE()),FALSE()),HLOOKUP($E$3,GDPRICES,VLOOKUP(Q62,GDmove_down,2,FALSE()),FALSE()),J62,VLOOKUP(H62,NGPREVPRICES,4,FALSE()),HLOOKUP($H$3,GDPrevVols,VLOOKUP(Q62,GDmove_down2,2,FALSE()),FALSE()),HLOOKUP($H$3,GDPrevVols,VLOOKUP(Q62,GDmove_down2,2,FALSE()),FALSE()),HLOOKUP(E62,GDcorr,VLOOKUP(H62,CorMove,2,FALSE()),FALSE()),Q62-$AC$3,R62,$AC$5)*I62-AI62</f>
        <v>#N/A</v>
      </c>
      <c r="AD62" s="253" t="e">
        <f aca="false">xSPRDOPT(HLOOKUP($D$3,GDPrev,VLOOKUP(Q62,GDmove_down,2,FALSE()),FALSE()),HLOOKUP($E$3,GDPrev,VLOOKUP(Q62,GDmove_down,2,FALSE()),FALSE()),AJ62,VLOOKUP(H62,NGPrices,4,FALSE()),HLOOKUP($H$3,GDPrevVols,VLOOKUP(Q62,GDmove_down2,2,FALSE()),FALSE()),HLOOKUP($H$3,GDPrevVols,VLOOKUP(Q62,GDmove_down2,2,FALSE()),FALSE()),HLOOKUP(E62,GDcorr,VLOOKUP(H62,CorMove,2,FALSE()),FALSE()),Q62-$AC$3,R62,$AI$5)*I62-AI62</f>
        <v>#N/A</v>
      </c>
      <c r="AE62" s="132" t="e">
        <f aca="false">(AI62/VLOOKUP(AB62,discount,3,FALSE()))-(AI62/VLOOKUP(AB62,discount,2,FALSE()))</f>
        <v>#N/A</v>
      </c>
      <c r="AF62" s="253" t="e">
        <f aca="false">xSPRDOPT(HLOOKUP($D$3,GDPrev,VLOOKUP(Q62,GDmove_down,2,FALSE()),FALSE()),HLOOKUP($E$3,GDPrev,VLOOKUP(Q62,GDmove_down,2,FALSE()),FALSE()),AJ62,VLOOKUP(H62,NGPREVPRICES,4,FALSE()),HLOOKUP($H$3,GDVol,VLOOKUP(H62,move_down,2,FALSE()),FALSE()),HLOOKUP($H$3,GDVol,VLOOKUP(H62,move_down,2,FALSE()),FALSE()),HLOOKUP(E62,GDcorr,VLOOKUP(H62,CorMove,2,FALSE()),FALSE()),Q62-$AC$3,R62,$AI$5)*I62-AI62</f>
        <v>#N/A</v>
      </c>
      <c r="AG62" s="253" t="e">
        <f aca="false">xSPRDOPT(HLOOKUP($D$3,GDPrev,VLOOKUP(Q62,GDmove_down,2,FALSE()),FALSE()),HLOOKUP($E$3,GDPrev,VLOOKUP(Q62,GDmove_down,2,FALSE()),FALSE()),AJ62,VLOOKUP(H62,NGPREVPRICES,4,FALSE()),HLOOKUP($H$3,GDPrevVols,VLOOKUP(Q62,GDmove_down2,2,FALSE()),FALSE()),HLOOKUP($H$3,GDPrevVols,VLOOKUP(Q62,GDmove_down2,2,FALSE()),FALSE()),HLOOKUP(E62,GDcorr,VLOOKUP(H62,CorMove,2,FALSE()),FALSE()),Q62-$C$3,R62,$AI$5)*I62-AI62</f>
        <v>#N/A</v>
      </c>
      <c r="AH62" s="253" t="e">
        <f aca="false">SUM(AC62:AG62)</f>
        <v>#N/A</v>
      </c>
      <c r="AI62" s="253" t="e">
        <f aca="false">xSPRDOPT(HLOOKUP($D$3,GDPrev,VLOOKUP(Q62,GDmove_down,2,FALSE()),FALSE()),HLOOKUP($E$3,GDPrev,VLOOKUP(Q62,GDmove_down,2,FALSE()),FALSE()),AJ62,VLOOKUP(H62,NGPREVPRICES,4,FALSE()),HLOOKUP($H$3,GDPrevVols,VLOOKUP(Q62,GDmove_down2,2,FALSE()),FALSE()),HLOOKUP($H$3,GDPrevVols,VLOOKUP(Q62,GDmove_down2,2,FALSE()),FALSE()),HLOOKUP(E62,GDcorr,VLOOKUP(H62,CorMove,2,FALSE()),FALSE()),Q62-$AC$3,R62,$AI$5)*I62</f>
        <v>#N/A</v>
      </c>
      <c r="AJ62" s="254" t="e">
        <f aca="false">HLOOKUP(D62,PREVCURVES,VLOOKUP(H62,MOVE_DOWN2,2,FALSE()),FALSE())-HLOOKUP(E62,PREVCURVES,VLOOKUP(H62,MOVE_DOWN2,2,FALSE()),FALSE())</f>
        <v>#N/A</v>
      </c>
      <c r="AK62" s="253"/>
      <c r="AL62" s="0" t="str">
        <f aca="false">CONCATENATE(AB62,$AC$6)</f>
        <v>36678Curve Shift/Gamma</v>
      </c>
      <c r="AM62" s="0" t="str">
        <f aca="false">CONCATENATE($AB62,$AD$6)</f>
        <v>36678Rho</v>
      </c>
      <c r="AN62" s="0" t="str">
        <f aca="false">CONCATENATE($AB62,$AE$6)</f>
        <v>36678Drift</v>
      </c>
      <c r="AO62" s="0" t="str">
        <f aca="false">CONCATENATE($AB62,$AF$6)</f>
        <v>36678Vega</v>
      </c>
      <c r="AP62" s="0" t="str">
        <f aca="false">CONCATENATE($AB62,$AG$6)</f>
        <v>36678Theta</v>
      </c>
      <c r="AZ62" s="143" t="n">
        <f aca="false">EOMONTH(AZ61,0)+1</f>
        <v>37834</v>
      </c>
      <c r="BA62" s="135"/>
      <c r="BG62" s="285" t="n">
        <v>38169</v>
      </c>
      <c r="BH62" s="0" t="n">
        <v>0.985</v>
      </c>
      <c r="BJ62" s="285" t="n">
        <v>38169</v>
      </c>
      <c r="BK62" s="0" t="n">
        <v>59</v>
      </c>
    </row>
    <row r="63" customFormat="false" ht="12" hidden="false" customHeight="true" outlineLevel="0" collapsed="false">
      <c r="A63" s="265" t="s">
        <v>198</v>
      </c>
      <c r="B63" s="269" t="s">
        <v>192</v>
      </c>
      <c r="C63" s="269" t="s">
        <v>488</v>
      </c>
      <c r="D63" s="269" t="s">
        <v>137</v>
      </c>
      <c r="E63" s="7" t="s">
        <v>483</v>
      </c>
      <c r="F63" s="269" t="s">
        <v>131</v>
      </c>
      <c r="G63" s="269" t="s">
        <v>136</v>
      </c>
      <c r="H63" s="286" t="n">
        <v>36678</v>
      </c>
      <c r="I63" s="272" t="n">
        <v>-50000</v>
      </c>
      <c r="J63" s="125" t="n">
        <v>0.46</v>
      </c>
      <c r="K63" s="124" t="n">
        <f aca="false">HLOOKUP($D$3,GDPRICES,VLOOKUP(Q63,GDmove_down,2,FALSE()),FALSE())</f>
        <v>4.875</v>
      </c>
      <c r="L63" s="124" t="n">
        <f aca="false">HLOOKUP($E$3,GDPRICES,VLOOKUP(Q63,GDmove_down,2,FALSE()),FALSE())</f>
        <v>3.45</v>
      </c>
      <c r="M63" s="126" t="n">
        <v>1</v>
      </c>
      <c r="N63" s="7" t="n">
        <v>0.515</v>
      </c>
      <c r="O63" s="7" t="n">
        <v>0.515</v>
      </c>
      <c r="P63" s="249" t="e">
        <f aca="false">HLOOKUP(E63,GDcorr,VLOOKUP(H63,GDCorMove,2,FALSE()),FALSE())</f>
        <v>#N/A</v>
      </c>
      <c r="Q63" s="92" t="n">
        <v>36686</v>
      </c>
      <c r="R63" s="7" t="n">
        <f aca="false">IF(G63="P",0,1)</f>
        <v>1</v>
      </c>
      <c r="S63" s="130" t="e">
        <f aca="false">xSPRDOPT($K63,$L63,$J63,$M63,$N63,$O63,$P63,$Q63-$C$3,$R63,0)</f>
        <v>#NAME?</v>
      </c>
      <c r="T63" s="250" t="e">
        <f aca="false">xSPRDOPT($K63,$L63,$J63,$M63,$N63,$O63,$P63,$Q63-$C$3,$R63,1)*I63</f>
        <v>#NAME?</v>
      </c>
      <c r="U63" s="43" t="n">
        <v>-9500</v>
      </c>
      <c r="V63" s="250" t="e">
        <f aca="false">xSPRDOPT($K63,$L63,$J63,$M63,$N63,$O63,$P63,$Q63-$C$3,$R63,2)*I63</f>
        <v>#NAME?</v>
      </c>
      <c r="W63" s="250" t="e">
        <f aca="false">+V63+T63</f>
        <v>#NAME?</v>
      </c>
      <c r="X63" s="2" t="str">
        <f aca="false">CONCATENATE(H63,E63)</f>
        <v>36678IF-ELPO/SJ</v>
      </c>
      <c r="Y63" s="251" t="n">
        <f aca="false">I63/10000</f>
        <v>-5</v>
      </c>
      <c r="AA63" s="2"/>
      <c r="AB63" s="182" t="n">
        <f aca="false">H63</f>
        <v>36678</v>
      </c>
      <c r="AC63" s="253" t="e">
        <f aca="false">xSPRDOPT(HLOOKUP($D$3,GDPRICES,VLOOKUP(Q63,GDmove_down,2,FALSE()),FALSE()),HLOOKUP($E$3,GDPRICES,VLOOKUP(Q63,GDmove_down,2,FALSE()),FALSE()),J63,VLOOKUP(H63,NGPREVPRICES,4,FALSE()),HLOOKUP($H$3,GDPrevVols,VLOOKUP(Q63,GDmove_down2,2,FALSE()),FALSE()),HLOOKUP($H$3,GDPrevVols,VLOOKUP(Q63,GDmove_down2,2,FALSE()),FALSE()),HLOOKUP(E63,GDcorr,VLOOKUP(H63,CorMove,2,FALSE()),FALSE()),Q63-$AC$3,R63,$AC$5)*I63-AI63</f>
        <v>#N/A</v>
      </c>
      <c r="AD63" s="253" t="e">
        <f aca="false">xSPRDOPT(HLOOKUP($D$3,GDPrev,VLOOKUP(Q63,GDmove_down,2,FALSE()),FALSE()),HLOOKUP($E$3,GDPrev,VLOOKUP(Q63,GDmove_down,2,FALSE()),FALSE()),AJ63,VLOOKUP(H63,NGPrices,4,FALSE()),HLOOKUP($H$3,GDPrevVols,VLOOKUP(Q63,GDmove_down2,2,FALSE()),FALSE()),HLOOKUP($H$3,GDPrevVols,VLOOKUP(Q63,GDmove_down2,2,FALSE()),FALSE()),HLOOKUP(E63,GDcorr,VLOOKUP(H63,CorMove,2,FALSE()),FALSE()),Q63-$AC$3,R63,$AI$5)*I63-AI63</f>
        <v>#N/A</v>
      </c>
      <c r="AE63" s="132" t="e">
        <f aca="false">(AI63/VLOOKUP(AB63,discount,3,FALSE()))-(AI63/VLOOKUP(AB63,discount,2,FALSE()))</f>
        <v>#N/A</v>
      </c>
      <c r="AF63" s="253" t="e">
        <f aca="false">xSPRDOPT(HLOOKUP($D$3,GDPrev,VLOOKUP(Q63,GDmove_down,2,FALSE()),FALSE()),HLOOKUP($E$3,GDPrev,VLOOKUP(Q63,GDmove_down,2,FALSE()),FALSE()),AJ63,VLOOKUP(H63,NGPREVPRICES,4,FALSE()),HLOOKUP($H$3,GDVol,VLOOKUP(H63,move_down,2,FALSE()),FALSE()),HLOOKUP($H$3,GDVol,VLOOKUP(H63,move_down,2,FALSE()),FALSE()),HLOOKUP(E63,GDcorr,VLOOKUP(H63,CorMove,2,FALSE()),FALSE()),Q63-$AC$3,R63,$AI$5)*I63-AI63</f>
        <v>#N/A</v>
      </c>
      <c r="AG63" s="253" t="e">
        <f aca="false">xSPRDOPT(HLOOKUP($D$3,GDPrev,VLOOKUP(Q63,GDmove_down,2,FALSE()),FALSE()),HLOOKUP($E$3,GDPrev,VLOOKUP(Q63,GDmove_down,2,FALSE()),FALSE()),AJ63,VLOOKUP(H63,NGPREVPRICES,4,FALSE()),HLOOKUP($H$3,GDPrevVols,VLOOKUP(Q63,GDmove_down2,2,FALSE()),FALSE()),HLOOKUP($H$3,GDPrevVols,VLOOKUP(Q63,GDmove_down2,2,FALSE()),FALSE()),HLOOKUP(E63,GDcorr,VLOOKUP(H63,CorMove,2,FALSE()),FALSE()),Q63-$C$3,R63,$AI$5)*I63-AI63</f>
        <v>#N/A</v>
      </c>
      <c r="AH63" s="253" t="e">
        <f aca="false">SUM(AC63:AG63)</f>
        <v>#N/A</v>
      </c>
      <c r="AI63" s="253" t="e">
        <f aca="false">xSPRDOPT(HLOOKUP($D$3,GDPrev,VLOOKUP(Q63,GDmove_down,2,FALSE()),FALSE()),HLOOKUP($E$3,GDPrev,VLOOKUP(Q63,GDmove_down,2,FALSE()),FALSE()),AJ63,VLOOKUP(H63,NGPREVPRICES,4,FALSE()),HLOOKUP($H$3,GDPrevVols,VLOOKUP(Q63,GDmove_down2,2,FALSE()),FALSE()),HLOOKUP($H$3,GDPrevVols,VLOOKUP(Q63,GDmove_down2,2,FALSE()),FALSE()),HLOOKUP(E63,GDcorr,VLOOKUP(H63,CorMove,2,FALSE()),FALSE()),Q63-$AC$3,R63,$AI$5)*I63</f>
        <v>#N/A</v>
      </c>
      <c r="AJ63" s="254" t="e">
        <f aca="false">HLOOKUP(D63,PREVCURVES,VLOOKUP(H63,MOVE_DOWN2,2,FALSE()),FALSE())-HLOOKUP(E63,PREVCURVES,VLOOKUP(H63,MOVE_DOWN2,2,FALSE()),FALSE())</f>
        <v>#N/A</v>
      </c>
      <c r="AK63" s="253"/>
      <c r="AL63" s="0" t="str">
        <f aca="false">CONCATENATE(AB63,$AC$6)</f>
        <v>36678Curve Shift/Gamma</v>
      </c>
      <c r="AM63" s="0" t="str">
        <f aca="false">CONCATENATE($AB63,$AD$6)</f>
        <v>36678Rho</v>
      </c>
      <c r="AN63" s="0" t="str">
        <f aca="false">CONCATENATE($AB63,$AE$6)</f>
        <v>36678Drift</v>
      </c>
      <c r="AO63" s="0" t="str">
        <f aca="false">CONCATENATE($AB63,$AF$6)</f>
        <v>36678Vega</v>
      </c>
      <c r="AP63" s="0" t="str">
        <f aca="false">CONCATENATE($AB63,$AG$6)</f>
        <v>36678Theta</v>
      </c>
      <c r="AZ63" s="143" t="n">
        <f aca="false">EOMONTH(AZ62,0)+1</f>
        <v>37865</v>
      </c>
      <c r="BA63" s="135"/>
      <c r="BG63" s="285" t="n">
        <v>38200</v>
      </c>
      <c r="BH63" s="0" t="n">
        <v>0.985</v>
      </c>
      <c r="BJ63" s="285" t="n">
        <v>38200</v>
      </c>
      <c r="BK63" s="0" t="n">
        <v>60</v>
      </c>
    </row>
    <row r="64" customFormat="false" ht="12" hidden="false" customHeight="true" outlineLevel="0" collapsed="false">
      <c r="A64" s="265" t="s">
        <v>198</v>
      </c>
      <c r="B64" s="269" t="s">
        <v>192</v>
      </c>
      <c r="C64" s="269" t="s">
        <v>489</v>
      </c>
      <c r="D64" s="269" t="s">
        <v>137</v>
      </c>
      <c r="E64" s="7" t="s">
        <v>483</v>
      </c>
      <c r="F64" s="269" t="s">
        <v>131</v>
      </c>
      <c r="G64" s="269" t="s">
        <v>136</v>
      </c>
      <c r="H64" s="286" t="n">
        <v>36678</v>
      </c>
      <c r="I64" s="272" t="n">
        <v>10000</v>
      </c>
      <c r="J64" s="125" t="n">
        <v>0.46</v>
      </c>
      <c r="K64" s="124" t="n">
        <f aca="false">HLOOKUP($D$3,GDPRICES,VLOOKUP(Q64,GDmove_down,2,FALSE()),FALSE())</f>
        <v>4.875</v>
      </c>
      <c r="L64" s="124" t="n">
        <f aca="false">HLOOKUP($E$3,GDPRICES,VLOOKUP(Q64,GDmove_down,2,FALSE()),FALSE())</f>
        <v>3.45</v>
      </c>
      <c r="M64" s="126" t="n">
        <v>1</v>
      </c>
      <c r="N64" s="7" t="n">
        <v>0.515</v>
      </c>
      <c r="O64" s="7" t="n">
        <v>0.515</v>
      </c>
      <c r="P64" s="249" t="e">
        <f aca="false">HLOOKUP(E64,GDcorr,VLOOKUP(H64,GDCorMove,2,FALSE()),FALSE())</f>
        <v>#N/A</v>
      </c>
      <c r="Q64" s="92" t="n">
        <v>36686</v>
      </c>
      <c r="R64" s="7" t="n">
        <f aca="false">IF(G64="P",0,1)</f>
        <v>1</v>
      </c>
      <c r="S64" s="130" t="e">
        <f aca="false">xSPRDOPT($K64,$L64,$J64,$M64,$N64,$O64,$P64,$Q64-$C$3,$R64,0)</f>
        <v>#NAME?</v>
      </c>
      <c r="T64" s="250" t="e">
        <f aca="false">xSPRDOPT($K64,$L64,$J64,$M64,$N64,$O64,$P64,$Q64-$C$3,$R64,1)*I64</f>
        <v>#NAME?</v>
      </c>
      <c r="U64" s="43" t="n">
        <v>1900</v>
      </c>
      <c r="V64" s="250" t="e">
        <f aca="false">xSPRDOPT($K64,$L64,$J64,$M64,$N64,$O64,$P64,$Q64-$C$3,$R64,2)*I64</f>
        <v>#NAME?</v>
      </c>
      <c r="W64" s="250" t="e">
        <f aca="false">+V64+T64</f>
        <v>#NAME?</v>
      </c>
      <c r="X64" s="2" t="str">
        <f aca="false">CONCATENATE(H64,E64)</f>
        <v>36678IF-ELPO/SJ</v>
      </c>
      <c r="Y64" s="251" t="n">
        <f aca="false">I64/10000</f>
        <v>1</v>
      </c>
      <c r="AA64" s="2"/>
      <c r="AB64" s="182" t="n">
        <f aca="false">H64</f>
        <v>36678</v>
      </c>
      <c r="AC64" s="253" t="e">
        <f aca="false">xSPRDOPT(HLOOKUP($D$3,GDPRICES,VLOOKUP(Q64,GDmove_down,2,FALSE()),FALSE()),HLOOKUP($E$3,GDPRICES,VLOOKUP(Q64,GDmove_down,2,FALSE()),FALSE()),J64,VLOOKUP(H64,NGPREVPRICES,4,FALSE()),HLOOKUP($H$3,GDPrevVols,VLOOKUP(Q64,GDmove_down2,2,FALSE()),FALSE()),HLOOKUP($H$3,GDPrevVols,VLOOKUP(Q64,GDmove_down2,2,FALSE()),FALSE()),HLOOKUP(E64,GDcorr,VLOOKUP(H64,CorMove,2,FALSE()),FALSE()),Q64-$AC$3,R64,$AC$5)*I64-AI64</f>
        <v>#N/A</v>
      </c>
      <c r="AD64" s="253" t="e">
        <f aca="false">xSPRDOPT(HLOOKUP($D$3,GDPrev,VLOOKUP(Q64,GDmove_down,2,FALSE()),FALSE()),HLOOKUP($E$3,GDPrev,VLOOKUP(Q64,GDmove_down,2,FALSE()),FALSE()),AJ64,VLOOKUP(H64,NGPrices,4,FALSE()),HLOOKUP($H$3,GDPrevVols,VLOOKUP(Q64,GDmove_down2,2,FALSE()),FALSE()),HLOOKUP($H$3,GDPrevVols,VLOOKUP(Q64,GDmove_down2,2,FALSE()),FALSE()),HLOOKUP(E64,GDcorr,VLOOKUP(H64,CorMove,2,FALSE()),FALSE()),Q64-$AC$3,R64,$AI$5)*I64-AI64</f>
        <v>#N/A</v>
      </c>
      <c r="AE64" s="132" t="e">
        <f aca="false">(AI64/VLOOKUP(AB64,discount,3,FALSE()))-(AI64/VLOOKUP(AB64,discount,2,FALSE()))</f>
        <v>#N/A</v>
      </c>
      <c r="AF64" s="253" t="e">
        <f aca="false">xSPRDOPT(HLOOKUP($D$3,GDPrev,VLOOKUP(Q64,GDmove_down,2,FALSE()),FALSE()),HLOOKUP($E$3,GDPrev,VLOOKUP(Q64,GDmove_down,2,FALSE()),FALSE()),AJ64,VLOOKUP(H64,NGPREVPRICES,4,FALSE()),HLOOKUP($H$3,GDVol,VLOOKUP(H64,move_down,2,FALSE()),FALSE()),HLOOKUP($H$3,GDVol,VLOOKUP(H64,move_down,2,FALSE()),FALSE()),HLOOKUP(E64,GDcorr,VLOOKUP(H64,CorMove,2,FALSE()),FALSE()),Q64-$AC$3,R64,$AI$5)*I64-AI64</f>
        <v>#N/A</v>
      </c>
      <c r="AG64" s="253" t="e">
        <f aca="false">xSPRDOPT(HLOOKUP($D$3,GDPrev,VLOOKUP(Q64,GDmove_down,2,FALSE()),FALSE()),HLOOKUP($E$3,GDPrev,VLOOKUP(Q64,GDmove_down,2,FALSE()),FALSE()),AJ64,VLOOKUP(H64,NGPREVPRICES,4,FALSE()),HLOOKUP($H$3,GDPrevVols,VLOOKUP(Q64,GDmove_down2,2,FALSE()),FALSE()),HLOOKUP($H$3,GDPrevVols,VLOOKUP(Q64,GDmove_down2,2,FALSE()),FALSE()),HLOOKUP(E64,GDcorr,VLOOKUP(H64,CorMove,2,FALSE()),FALSE()),Q64-$C$3,R64,$AI$5)*I64-AI64</f>
        <v>#N/A</v>
      </c>
      <c r="AH64" s="253" t="e">
        <f aca="false">SUM(AC64:AG64)</f>
        <v>#N/A</v>
      </c>
      <c r="AI64" s="253" t="e">
        <f aca="false">xSPRDOPT(HLOOKUP($D$3,GDPrev,VLOOKUP(Q64,GDmove_down,2,FALSE()),FALSE()),HLOOKUP($E$3,GDPrev,VLOOKUP(Q64,GDmove_down,2,FALSE()),FALSE()),AJ64,VLOOKUP(H64,NGPREVPRICES,4,FALSE()),HLOOKUP($H$3,GDPrevVols,VLOOKUP(Q64,GDmove_down2,2,FALSE()),FALSE()),HLOOKUP($H$3,GDPrevVols,VLOOKUP(Q64,GDmove_down2,2,FALSE()),FALSE()),HLOOKUP(E64,GDcorr,VLOOKUP(H64,CorMove,2,FALSE()),FALSE()),Q64-$AC$3,R64,$AI$5)*I64</f>
        <v>#N/A</v>
      </c>
      <c r="AJ64" s="254" t="e">
        <f aca="false">HLOOKUP(D64,PREVCURVES,VLOOKUP(H64,MOVE_DOWN2,2,FALSE()),FALSE())-HLOOKUP(E64,PREVCURVES,VLOOKUP(H64,MOVE_DOWN2,2,FALSE()),FALSE())</f>
        <v>#N/A</v>
      </c>
      <c r="AK64" s="253"/>
      <c r="AL64" s="0" t="str">
        <f aca="false">CONCATENATE(AB64,$AC$6)</f>
        <v>36678Curve Shift/Gamma</v>
      </c>
      <c r="AM64" s="0" t="str">
        <f aca="false">CONCATENATE($AB64,$AD$6)</f>
        <v>36678Rho</v>
      </c>
      <c r="AN64" s="0" t="str">
        <f aca="false">CONCATENATE($AB64,$AE$6)</f>
        <v>36678Drift</v>
      </c>
      <c r="AO64" s="0" t="str">
        <f aca="false">CONCATENATE($AB64,$AF$6)</f>
        <v>36678Vega</v>
      </c>
      <c r="AP64" s="0" t="str">
        <f aca="false">CONCATENATE($AB64,$AG$6)</f>
        <v>36678Theta</v>
      </c>
      <c r="AZ64" s="143" t="n">
        <f aca="false">EOMONTH(AZ63,0)+1</f>
        <v>37895</v>
      </c>
      <c r="BA64" s="135"/>
      <c r="BG64" s="285" t="n">
        <v>38231</v>
      </c>
      <c r="BH64" s="0" t="n">
        <v>0.985</v>
      </c>
      <c r="BJ64" s="285" t="n">
        <v>38231</v>
      </c>
      <c r="BK64" s="0" t="n">
        <v>61</v>
      </c>
    </row>
    <row r="65" customFormat="false" ht="12" hidden="false" customHeight="true" outlineLevel="0" collapsed="false">
      <c r="A65" s="265" t="s">
        <v>198</v>
      </c>
      <c r="B65" s="269" t="s">
        <v>192</v>
      </c>
      <c r="C65" s="269" t="s">
        <v>490</v>
      </c>
      <c r="D65" s="269" t="s">
        <v>137</v>
      </c>
      <c r="E65" s="7" t="s">
        <v>483</v>
      </c>
      <c r="F65" s="269" t="s">
        <v>131</v>
      </c>
      <c r="G65" s="269" t="s">
        <v>136</v>
      </c>
      <c r="H65" s="286" t="n">
        <v>36678</v>
      </c>
      <c r="I65" s="272" t="n">
        <v>-333333</v>
      </c>
      <c r="J65" s="125" t="n">
        <v>0.46</v>
      </c>
      <c r="K65" s="124" t="n">
        <f aca="false">HLOOKUP($D$3,GDPRICES,VLOOKUP(Q65,GDmove_down,2,FALSE()),FALSE())</f>
        <v>4.875</v>
      </c>
      <c r="L65" s="124" t="n">
        <f aca="false">HLOOKUP($E$3,GDPRICES,VLOOKUP(Q65,GDmove_down,2,FALSE()),FALSE())</f>
        <v>3.45</v>
      </c>
      <c r="M65" s="126" t="n">
        <v>1</v>
      </c>
      <c r="N65" s="7" t="n">
        <v>0.515</v>
      </c>
      <c r="O65" s="7" t="n">
        <v>0.515</v>
      </c>
      <c r="P65" s="249" t="e">
        <f aca="false">HLOOKUP(E65,GDcorr,VLOOKUP(H65,GDCorMove,2,FALSE()),FALSE())</f>
        <v>#N/A</v>
      </c>
      <c r="Q65" s="92" t="n">
        <v>36686</v>
      </c>
      <c r="R65" s="7" t="n">
        <f aca="false">IF(G65="P",0,1)</f>
        <v>1</v>
      </c>
      <c r="S65" s="130" t="e">
        <f aca="false">xSPRDOPT($K65,$L65,$J65,$M65,$N65,$O65,$P65,$Q65-$C$3,$R65,0)</f>
        <v>#NAME?</v>
      </c>
      <c r="T65" s="250" t="e">
        <f aca="false">xSPRDOPT($K65,$L65,$J65,$M65,$N65,$O65,$P65,$Q65-$C$3,$R65,1)*I65</f>
        <v>#NAME?</v>
      </c>
      <c r="U65" s="43" t="n">
        <v>-63333.27</v>
      </c>
      <c r="V65" s="250" t="e">
        <f aca="false">xSPRDOPT($K65,$L65,$J65,$M65,$N65,$O65,$P65,$Q65-$C$3,$R65,2)*I65</f>
        <v>#NAME?</v>
      </c>
      <c r="W65" s="250" t="e">
        <f aca="false">+V65+T65</f>
        <v>#NAME?</v>
      </c>
      <c r="X65" s="2" t="str">
        <f aca="false">CONCATENATE(H65,E65)</f>
        <v>36678IF-ELPO/SJ</v>
      </c>
      <c r="Y65" s="251" t="n">
        <f aca="false">I65/10000</f>
        <v>-33.3333</v>
      </c>
      <c r="AA65" s="2"/>
      <c r="AB65" s="182" t="n">
        <f aca="false">H65</f>
        <v>36678</v>
      </c>
      <c r="AC65" s="253" t="e">
        <f aca="false">xSPRDOPT(HLOOKUP($D$3,GDPRICES,VLOOKUP(Q65,GDmove_down,2,FALSE()),FALSE()),HLOOKUP($E$3,GDPRICES,VLOOKUP(Q65,GDmove_down,2,FALSE()),FALSE()),J65,VLOOKUP(H65,NGPREVPRICES,4,FALSE()),HLOOKUP($H$3,GDPrevVols,VLOOKUP(Q65,GDmove_down2,2,FALSE()),FALSE()),HLOOKUP($H$3,GDPrevVols,VLOOKUP(Q65,GDmove_down2,2,FALSE()),FALSE()),HLOOKUP(E65,GDcorr,VLOOKUP(H65,CorMove,2,FALSE()),FALSE()),Q65-$AC$3,R65,$AC$5)*I65-AI65</f>
        <v>#N/A</v>
      </c>
      <c r="AD65" s="253" t="e">
        <f aca="false">xSPRDOPT(HLOOKUP($D$3,GDPrev,VLOOKUP(Q65,GDmove_down,2,FALSE()),FALSE()),HLOOKUP($E$3,GDPrev,VLOOKUP(Q65,GDmove_down,2,FALSE()),FALSE()),AJ65,VLOOKUP(H65,NGPrices,4,FALSE()),HLOOKUP($H$3,GDPrevVols,VLOOKUP(Q65,GDmove_down2,2,FALSE()),FALSE()),HLOOKUP($H$3,GDPrevVols,VLOOKUP(Q65,GDmove_down2,2,FALSE()),FALSE()),HLOOKUP(E65,GDcorr,VLOOKUP(H65,CorMove,2,FALSE()),FALSE()),Q65-$AC$3,R65,$AI$5)*I65-AI65</f>
        <v>#N/A</v>
      </c>
      <c r="AE65" s="132" t="e">
        <f aca="false">(AI65/VLOOKUP(AB65,discount,3,FALSE()))-(AI65/VLOOKUP(AB65,discount,2,FALSE()))</f>
        <v>#N/A</v>
      </c>
      <c r="AF65" s="253" t="e">
        <f aca="false">xSPRDOPT(HLOOKUP($D$3,GDPrev,VLOOKUP(Q65,GDmove_down,2,FALSE()),FALSE()),HLOOKUP($E$3,GDPrev,VLOOKUP(Q65,GDmove_down,2,FALSE()),FALSE()),AJ65,VLOOKUP(H65,NGPREVPRICES,4,FALSE()),HLOOKUP($H$3,GDVol,VLOOKUP(H65,move_down,2,FALSE()),FALSE()),HLOOKUP($H$3,GDVol,VLOOKUP(H65,move_down,2,FALSE()),FALSE()),HLOOKUP(E65,GDcorr,VLOOKUP(H65,CorMove,2,FALSE()),FALSE()),Q65-$AC$3,R65,$AI$5)*I65-AI65</f>
        <v>#N/A</v>
      </c>
      <c r="AG65" s="253" t="e">
        <f aca="false">xSPRDOPT(HLOOKUP($D$3,GDPrev,VLOOKUP(Q65,GDmove_down,2,FALSE()),FALSE()),HLOOKUP($E$3,GDPrev,VLOOKUP(Q65,GDmove_down,2,FALSE()),FALSE()),AJ65,VLOOKUP(H65,NGPREVPRICES,4,FALSE()),HLOOKUP($H$3,GDPrevVols,VLOOKUP(Q65,GDmove_down2,2,FALSE()),FALSE()),HLOOKUP($H$3,GDPrevVols,VLOOKUP(Q65,GDmove_down2,2,FALSE()),FALSE()),HLOOKUP(E65,GDcorr,VLOOKUP(H65,CorMove,2,FALSE()),FALSE()),Q65-$C$3,R65,$AI$5)*I65-AI65</f>
        <v>#N/A</v>
      </c>
      <c r="AH65" s="253" t="e">
        <f aca="false">SUM(AC65:AG65)</f>
        <v>#N/A</v>
      </c>
      <c r="AI65" s="253" t="e">
        <f aca="false">xSPRDOPT(HLOOKUP($D$3,GDPrev,VLOOKUP(Q65,GDmove_down,2,FALSE()),FALSE()),HLOOKUP($E$3,GDPrev,VLOOKUP(Q65,GDmove_down,2,FALSE()),FALSE()),AJ65,VLOOKUP(H65,NGPREVPRICES,4,FALSE()),HLOOKUP($H$3,GDPrevVols,VLOOKUP(Q65,GDmove_down2,2,FALSE()),FALSE()),HLOOKUP($H$3,GDPrevVols,VLOOKUP(Q65,GDmove_down2,2,FALSE()),FALSE()),HLOOKUP(E65,GDcorr,VLOOKUP(H65,CorMove,2,FALSE()),FALSE()),Q65-$AC$3,R65,$AI$5)*I65</f>
        <v>#N/A</v>
      </c>
      <c r="AJ65" s="254" t="e">
        <f aca="false">HLOOKUP(D65,PREVCURVES,VLOOKUP(H65,MOVE_DOWN2,2,FALSE()),FALSE())-HLOOKUP(E65,PREVCURVES,VLOOKUP(H65,MOVE_DOWN2,2,FALSE()),FALSE())</f>
        <v>#N/A</v>
      </c>
      <c r="AK65" s="253"/>
      <c r="AL65" s="0" t="str">
        <f aca="false">CONCATENATE(AB65,$AC$6)</f>
        <v>36678Curve Shift/Gamma</v>
      </c>
      <c r="AM65" s="0" t="str">
        <f aca="false">CONCATENATE($AB65,$AD$6)</f>
        <v>36678Rho</v>
      </c>
      <c r="AN65" s="0" t="str">
        <f aca="false">CONCATENATE($AB65,$AE$6)</f>
        <v>36678Drift</v>
      </c>
      <c r="AO65" s="0" t="str">
        <f aca="false">CONCATENATE($AB65,$AF$6)</f>
        <v>36678Vega</v>
      </c>
      <c r="AP65" s="0" t="str">
        <f aca="false">CONCATENATE($AB65,$AG$6)</f>
        <v>36678Theta</v>
      </c>
      <c r="AZ65" s="143" t="n">
        <f aca="false">EOMONTH(AZ64,0)+1</f>
        <v>37926</v>
      </c>
      <c r="BA65" s="135"/>
      <c r="BG65" s="285" t="n">
        <v>38261</v>
      </c>
      <c r="BH65" s="0" t="n">
        <v>0.985</v>
      </c>
      <c r="BJ65" s="285" t="n">
        <v>38261</v>
      </c>
      <c r="BK65" s="0" t="n">
        <v>62</v>
      </c>
    </row>
    <row r="66" customFormat="false" ht="12" hidden="false" customHeight="true" outlineLevel="0" collapsed="false">
      <c r="A66" s="267" t="s">
        <v>196</v>
      </c>
      <c r="B66" s="269" t="s">
        <v>192</v>
      </c>
      <c r="C66" s="269" t="s">
        <v>491</v>
      </c>
      <c r="D66" s="269" t="s">
        <v>137</v>
      </c>
      <c r="E66" s="7" t="s">
        <v>483</v>
      </c>
      <c r="F66" s="269" t="s">
        <v>131</v>
      </c>
      <c r="G66" s="269" t="s">
        <v>136</v>
      </c>
      <c r="H66" s="286" t="n">
        <v>36678</v>
      </c>
      <c r="I66" s="272" t="n">
        <v>-10000</v>
      </c>
      <c r="J66" s="125" t="n">
        <v>0.46</v>
      </c>
      <c r="K66" s="124" t="n">
        <f aca="false">HLOOKUP($D$3,GDPRICES,VLOOKUP(Q66,GDmove_down,2,FALSE()),FALSE())</f>
        <v>4.875</v>
      </c>
      <c r="L66" s="124" t="n">
        <f aca="false">HLOOKUP($E$3,GDPRICES,VLOOKUP(Q66,GDmove_down,2,FALSE()),FALSE())</f>
        <v>3.45</v>
      </c>
      <c r="M66" s="126" t="n">
        <v>1</v>
      </c>
      <c r="N66" s="7" t="n">
        <v>0.515</v>
      </c>
      <c r="O66" s="7" t="n">
        <v>0.515</v>
      </c>
      <c r="P66" s="249" t="e">
        <f aca="false">HLOOKUP(E66,GDcorr,VLOOKUP(H66,GDCorMove,2,FALSE()),FALSE())</f>
        <v>#N/A</v>
      </c>
      <c r="Q66" s="92" t="n">
        <v>36686</v>
      </c>
      <c r="R66" s="7" t="n">
        <f aca="false">IF(G66="P",0,1)</f>
        <v>1</v>
      </c>
      <c r="S66" s="130" t="e">
        <f aca="false">xSPRDOPT($K66,$L66,$J66,$M66,$N66,$O66,$P66,$Q66-$C$3,$R66,0)</f>
        <v>#NAME?</v>
      </c>
      <c r="T66" s="250" t="e">
        <f aca="false">xSPRDOPT($K66,$L66,$J66,$M66,$N66,$O66,$P66,$Q66-$C$3,$R66,1)*I66</f>
        <v>#NAME?</v>
      </c>
      <c r="U66" s="43" t="n">
        <v>-1900</v>
      </c>
      <c r="V66" s="250" t="e">
        <f aca="false">xSPRDOPT($K66,$L66,$J66,$M66,$N66,$O66,$P66,$Q66-$C$3,$R66,2)*I66</f>
        <v>#NAME?</v>
      </c>
      <c r="W66" s="250" t="e">
        <f aca="false">+V66+T66</f>
        <v>#NAME?</v>
      </c>
      <c r="X66" s="2" t="str">
        <f aca="false">CONCATENATE(H66,E66)</f>
        <v>36678IF-ELPO/SJ</v>
      </c>
      <c r="Y66" s="251" t="n">
        <f aca="false">I66/10000</f>
        <v>-1</v>
      </c>
      <c r="AA66" s="2"/>
      <c r="AB66" s="182" t="n">
        <f aca="false">H66</f>
        <v>36678</v>
      </c>
      <c r="AC66" s="253" t="e">
        <f aca="false">xSPRDOPT(HLOOKUP($D$3,GDPRICES,VLOOKUP(Q66,GDmove_down,2,FALSE()),FALSE()),HLOOKUP($E$3,GDPRICES,VLOOKUP(Q66,GDmove_down,2,FALSE()),FALSE()),J66,VLOOKUP(H66,NGPREVPRICES,4,FALSE()),HLOOKUP($H$3,GDPrevVols,VLOOKUP(Q66,GDmove_down2,2,FALSE()),FALSE()),HLOOKUP($H$3,GDPrevVols,VLOOKUP(Q66,GDmove_down2,2,FALSE()),FALSE()),HLOOKUP(E66,GDcorr,VLOOKUP(H66,CorMove,2,FALSE()),FALSE()),Q66-$AC$3,R66,$AC$5)*I66-AI66</f>
        <v>#N/A</v>
      </c>
      <c r="AD66" s="253" t="e">
        <f aca="false">xSPRDOPT(HLOOKUP($D$3,GDPrev,VLOOKUP(Q66,GDmove_down,2,FALSE()),FALSE()),HLOOKUP($E$3,GDPrev,VLOOKUP(Q66,GDmove_down,2,FALSE()),FALSE()),AJ66,VLOOKUP(H66,NGPrices,4,FALSE()),HLOOKUP($H$3,GDPrevVols,VLOOKUP(Q66,GDmove_down2,2,FALSE()),FALSE()),HLOOKUP($H$3,GDPrevVols,VLOOKUP(Q66,GDmove_down2,2,FALSE()),FALSE()),HLOOKUP(E66,GDcorr,VLOOKUP(H66,CorMove,2,FALSE()),FALSE()),Q66-$AC$3,R66,$AI$5)*I66-AI66</f>
        <v>#N/A</v>
      </c>
      <c r="AE66" s="132" t="e">
        <f aca="false">(AI66/VLOOKUP(AB66,discount,3,FALSE()))-(AI66/VLOOKUP(AB66,discount,2,FALSE()))</f>
        <v>#N/A</v>
      </c>
      <c r="AF66" s="253" t="e">
        <f aca="false">xSPRDOPT(HLOOKUP($D$3,GDPrev,VLOOKUP(Q66,GDmove_down,2,FALSE()),FALSE()),HLOOKUP($E$3,GDPrev,VLOOKUP(Q66,GDmove_down,2,FALSE()),FALSE()),AJ66,VLOOKUP(H66,NGPREVPRICES,4,FALSE()),HLOOKUP($H$3,GDVol,VLOOKUP(H66,move_down,2,FALSE()),FALSE()),HLOOKUP($H$3,GDVol,VLOOKUP(H66,move_down,2,FALSE()),FALSE()),HLOOKUP(E66,GDcorr,VLOOKUP(H66,CorMove,2,FALSE()),FALSE()),Q66-$AC$3,R66,$AI$5)*I66-AI66</f>
        <v>#N/A</v>
      </c>
      <c r="AG66" s="253" t="e">
        <f aca="false">xSPRDOPT(HLOOKUP($D$3,GDPrev,VLOOKUP(Q66,GDmove_down,2,FALSE()),FALSE()),HLOOKUP($E$3,GDPrev,VLOOKUP(Q66,GDmove_down,2,FALSE()),FALSE()),AJ66,VLOOKUP(H66,NGPREVPRICES,4,FALSE()),HLOOKUP($H$3,GDPrevVols,VLOOKUP(Q66,GDmove_down2,2,FALSE()),FALSE()),HLOOKUP($H$3,GDPrevVols,VLOOKUP(Q66,GDmove_down2,2,FALSE()),FALSE()),HLOOKUP(E66,GDcorr,VLOOKUP(H66,CorMove,2,FALSE()),FALSE()),Q66-$C$3,R66,$AI$5)*I66-AI66</f>
        <v>#N/A</v>
      </c>
      <c r="AH66" s="253" t="e">
        <f aca="false">SUM(AC66:AG66)</f>
        <v>#N/A</v>
      </c>
      <c r="AI66" s="253" t="e">
        <f aca="false">xSPRDOPT(HLOOKUP($D$3,GDPrev,VLOOKUP(Q66,GDmove_down,2,FALSE()),FALSE()),HLOOKUP($E$3,GDPrev,VLOOKUP(Q66,GDmove_down,2,FALSE()),FALSE()),AJ66,VLOOKUP(H66,NGPREVPRICES,4,FALSE()),HLOOKUP($H$3,GDPrevVols,VLOOKUP(Q66,GDmove_down2,2,FALSE()),FALSE()),HLOOKUP($H$3,GDPrevVols,VLOOKUP(Q66,GDmove_down2,2,FALSE()),FALSE()),HLOOKUP(E66,GDcorr,VLOOKUP(H66,CorMove,2,FALSE()),FALSE()),Q66-$AC$3,R66,$AI$5)*I66</f>
        <v>#N/A</v>
      </c>
      <c r="AJ66" s="254" t="e">
        <f aca="false">HLOOKUP(D66,PREVCURVES,VLOOKUP(H66,MOVE_DOWN2,2,FALSE()),FALSE())-HLOOKUP(E66,PREVCURVES,VLOOKUP(H66,MOVE_DOWN2,2,FALSE()),FALSE())</f>
        <v>#N/A</v>
      </c>
      <c r="AK66" s="253"/>
      <c r="AL66" s="0" t="str">
        <f aca="false">CONCATENATE(AB66,$AC$6)</f>
        <v>36678Curve Shift/Gamma</v>
      </c>
      <c r="AM66" s="0" t="str">
        <f aca="false">CONCATENATE($AB66,$AD$6)</f>
        <v>36678Rho</v>
      </c>
      <c r="AN66" s="0" t="str">
        <f aca="false">CONCATENATE($AB66,$AE$6)</f>
        <v>36678Drift</v>
      </c>
      <c r="AO66" s="0" t="str">
        <f aca="false">CONCATENATE($AB66,$AF$6)</f>
        <v>36678Vega</v>
      </c>
      <c r="AP66" s="0" t="str">
        <f aca="false">CONCATENATE($AB66,$AG$6)</f>
        <v>36678Theta</v>
      </c>
      <c r="AZ66" s="143" t="n">
        <f aca="false">EOMONTH(AZ65,0)+1</f>
        <v>37956</v>
      </c>
      <c r="BA66" s="135"/>
      <c r="BG66" s="285" t="n">
        <v>38292</v>
      </c>
      <c r="BH66" s="0" t="n">
        <v>0.970485</v>
      </c>
      <c r="BJ66" s="285" t="n">
        <v>38292</v>
      </c>
      <c r="BK66" s="0" t="n">
        <v>63</v>
      </c>
    </row>
    <row r="67" customFormat="false" ht="12" hidden="false" customHeight="true" outlineLevel="0" collapsed="false">
      <c r="A67" s="267" t="s">
        <v>198</v>
      </c>
      <c r="B67" s="269" t="s">
        <v>192</v>
      </c>
      <c r="C67" s="269" t="s">
        <v>492</v>
      </c>
      <c r="D67" s="269" t="s">
        <v>137</v>
      </c>
      <c r="E67" s="7" t="s">
        <v>483</v>
      </c>
      <c r="F67" s="269" t="s">
        <v>131</v>
      </c>
      <c r="G67" s="269" t="s">
        <v>136</v>
      </c>
      <c r="H67" s="286" t="n">
        <v>36678</v>
      </c>
      <c r="I67" s="272" t="n">
        <v>50000</v>
      </c>
      <c r="J67" s="125" t="n">
        <v>0.46</v>
      </c>
      <c r="K67" s="124" t="n">
        <f aca="false">HLOOKUP($D$3,GDPRICES,VLOOKUP(Q67,GDmove_down,2,FALSE()),FALSE())</f>
        <v>4.875</v>
      </c>
      <c r="L67" s="124" t="n">
        <f aca="false">HLOOKUP($E$3,GDPRICES,VLOOKUP(Q67,GDmove_down,2,FALSE()),FALSE())</f>
        <v>3.45</v>
      </c>
      <c r="M67" s="126" t="n">
        <v>1</v>
      </c>
      <c r="N67" s="7" t="n">
        <v>0.515</v>
      </c>
      <c r="O67" s="7" t="n">
        <v>0.515</v>
      </c>
      <c r="P67" s="249" t="e">
        <f aca="false">HLOOKUP(E67,GDcorr,VLOOKUP(H67,GDCorMove,2,FALSE()),FALSE())</f>
        <v>#N/A</v>
      </c>
      <c r="Q67" s="92" t="n">
        <v>36686</v>
      </c>
      <c r="R67" s="7" t="n">
        <f aca="false">IF(G67="P",0,1)</f>
        <v>1</v>
      </c>
      <c r="S67" s="130" t="e">
        <f aca="false">xSPRDOPT($K67,$L67,$J67,$M67,$N67,$O67,$P67,$Q67-$C$3,$R67,0)</f>
        <v>#NAME?</v>
      </c>
      <c r="T67" s="250" t="e">
        <f aca="false">xSPRDOPT($K67,$L67,$J67,$M67,$N67,$O67,$P67,$Q67-$C$3,$R67,1)*I67</f>
        <v>#NAME?</v>
      </c>
      <c r="U67" s="43" t="n">
        <v>9500</v>
      </c>
      <c r="V67" s="250" t="e">
        <f aca="false">xSPRDOPT($K67,$L67,$J67,$M67,$N67,$O67,$P67,$Q67-$C$3,$R67,2)*I67</f>
        <v>#NAME?</v>
      </c>
      <c r="W67" s="250" t="e">
        <f aca="false">+V67+T67</f>
        <v>#NAME?</v>
      </c>
      <c r="X67" s="2" t="str">
        <f aca="false">CONCATENATE(H67,E67)</f>
        <v>36678IF-ELPO/SJ</v>
      </c>
      <c r="Y67" s="251" t="n">
        <f aca="false">I67/10000</f>
        <v>5</v>
      </c>
      <c r="Z67" s="2"/>
      <c r="AA67" s="2"/>
      <c r="AB67" s="182" t="n">
        <f aca="false">H67</f>
        <v>36678</v>
      </c>
      <c r="AC67" s="253" t="e">
        <f aca="false">xSPRDOPT(HLOOKUP($D$3,GDPRICES,VLOOKUP(Q67,GDmove_down,2,FALSE()),FALSE()),HLOOKUP($E$3,GDPRICES,VLOOKUP(Q67,GDmove_down,2,FALSE()),FALSE()),J67,VLOOKUP(H67,NGPREVPRICES,4,FALSE()),HLOOKUP($H$3,GDPrevVols,VLOOKUP(Q67,GDmove_down2,2,FALSE()),FALSE()),HLOOKUP($H$3,GDPrevVols,VLOOKUP(Q67,GDmove_down2,2,FALSE()),FALSE()),HLOOKUP(E67,GDcorr,VLOOKUP(H67,CorMove,2,FALSE()),FALSE()),Q67-$AC$3,R67,$AC$5)*I67-AI67</f>
        <v>#N/A</v>
      </c>
      <c r="AD67" s="253" t="e">
        <f aca="false">xSPRDOPT(HLOOKUP($D$3,GDPrev,VLOOKUP(Q67,GDmove_down,2,FALSE()),FALSE()),HLOOKUP($E$3,GDPrev,VLOOKUP(Q67,GDmove_down,2,FALSE()),FALSE()),AJ67,VLOOKUP(H67,NGPrices,4,FALSE()),HLOOKUP($H$3,GDPrevVols,VLOOKUP(Q67,GDmove_down2,2,FALSE()),FALSE()),HLOOKUP($H$3,GDPrevVols,VLOOKUP(Q67,GDmove_down2,2,FALSE()),FALSE()),HLOOKUP(E67,GDcorr,VLOOKUP(H67,CorMove,2,FALSE()),FALSE()),Q67-$AC$3,R67,$AI$5)*I67-AI67</f>
        <v>#N/A</v>
      </c>
      <c r="AE67" s="132" t="e">
        <f aca="false">(AI67/VLOOKUP(AB67,discount,3,FALSE()))-(AI67/VLOOKUP(AB67,discount,2,FALSE()))</f>
        <v>#N/A</v>
      </c>
      <c r="AF67" s="253" t="e">
        <f aca="false">xSPRDOPT(HLOOKUP($D$3,GDPrev,VLOOKUP(Q67,GDmove_down,2,FALSE()),FALSE()),HLOOKUP($E$3,GDPrev,VLOOKUP(Q67,GDmove_down,2,FALSE()),FALSE()),AJ67,VLOOKUP(H67,NGPREVPRICES,4,FALSE()),HLOOKUP($H$3,GDVol,VLOOKUP(H67,move_down,2,FALSE()),FALSE()),HLOOKUP($H$3,GDVol,VLOOKUP(H67,move_down,2,FALSE()),FALSE()),HLOOKUP(E67,GDcorr,VLOOKUP(H67,CorMove,2,FALSE()),FALSE()),Q67-$AC$3,R67,$AI$5)*I67-AI67</f>
        <v>#N/A</v>
      </c>
      <c r="AG67" s="253" t="e">
        <f aca="false">xSPRDOPT(HLOOKUP($D$3,GDPrev,VLOOKUP(Q67,GDmove_down,2,FALSE()),FALSE()),HLOOKUP($E$3,GDPrev,VLOOKUP(Q67,GDmove_down,2,FALSE()),FALSE()),AJ67,VLOOKUP(H67,NGPREVPRICES,4,FALSE()),HLOOKUP($H$3,GDPrevVols,VLOOKUP(Q67,GDmove_down2,2,FALSE()),FALSE()),HLOOKUP($H$3,GDPrevVols,VLOOKUP(Q67,GDmove_down2,2,FALSE()),FALSE()),HLOOKUP(E67,GDcorr,VLOOKUP(H67,CorMove,2,FALSE()),FALSE()),Q67-$C$3,R67,$AI$5)*I67-AI67</f>
        <v>#N/A</v>
      </c>
      <c r="AH67" s="253" t="e">
        <f aca="false">SUM(AC67:AG67)</f>
        <v>#N/A</v>
      </c>
      <c r="AI67" s="253" t="e">
        <f aca="false">xSPRDOPT(HLOOKUP($D$3,GDPrev,VLOOKUP(Q67,GDmove_down,2,FALSE()),FALSE()),HLOOKUP($E$3,GDPrev,VLOOKUP(Q67,GDmove_down,2,FALSE()),FALSE()),AJ67,VLOOKUP(H67,NGPREVPRICES,4,FALSE()),HLOOKUP($H$3,GDPrevVols,VLOOKUP(Q67,GDmove_down2,2,FALSE()),FALSE()),HLOOKUP($H$3,GDPrevVols,VLOOKUP(Q67,GDmove_down2,2,FALSE()),FALSE()),HLOOKUP(E67,GDcorr,VLOOKUP(H67,CorMove,2,FALSE()),FALSE()),Q67-$AC$3,R67,$AI$5)*I67</f>
        <v>#N/A</v>
      </c>
      <c r="AJ67" s="254" t="e">
        <f aca="false">HLOOKUP(D67,PREVCURVES,VLOOKUP(H67,MOVE_DOWN2,2,FALSE()),FALSE())-HLOOKUP(E67,PREVCURVES,VLOOKUP(H67,MOVE_DOWN2,2,FALSE()),FALSE())</f>
        <v>#N/A</v>
      </c>
      <c r="AK67" s="253"/>
      <c r="AL67" s="0" t="str">
        <f aca="false">CONCATENATE(AB67,$AC$6)</f>
        <v>36678Curve Shift/Gamma</v>
      </c>
      <c r="AM67" s="0" t="str">
        <f aca="false">CONCATENATE($AB67,$AD$6)</f>
        <v>36678Rho</v>
      </c>
      <c r="AN67" s="0" t="str">
        <f aca="false">CONCATENATE($AB67,$AE$6)</f>
        <v>36678Drift</v>
      </c>
      <c r="AO67" s="0" t="str">
        <f aca="false">CONCATENATE($AB67,$AF$6)</f>
        <v>36678Vega</v>
      </c>
      <c r="AP67" s="0" t="str">
        <f aca="false">CONCATENATE($AB67,$AG$6)</f>
        <v>36678Theta</v>
      </c>
      <c r="AZ67" s="143" t="n">
        <f aca="false">EOMONTH(AZ66,0)+1</f>
        <v>37987</v>
      </c>
      <c r="BA67" s="135"/>
      <c r="BG67" s="285" t="n">
        <v>38322</v>
      </c>
      <c r="BH67" s="0" t="n">
        <v>0.970485</v>
      </c>
      <c r="BJ67" s="285" t="n">
        <v>38322</v>
      </c>
      <c r="BK67" s="0" t="n">
        <v>64</v>
      </c>
    </row>
    <row r="68" customFormat="false" ht="12" hidden="false" customHeight="true" outlineLevel="0" collapsed="false">
      <c r="A68" s="267" t="s">
        <v>198</v>
      </c>
      <c r="B68" s="269" t="s">
        <v>192</v>
      </c>
      <c r="C68" s="269" t="s">
        <v>493</v>
      </c>
      <c r="D68" s="269" t="s">
        <v>137</v>
      </c>
      <c r="E68" s="7" t="s">
        <v>483</v>
      </c>
      <c r="F68" s="269" t="s">
        <v>131</v>
      </c>
      <c r="G68" s="269" t="s">
        <v>136</v>
      </c>
      <c r="H68" s="286" t="n">
        <v>36678</v>
      </c>
      <c r="I68" s="272" t="n">
        <v>50000</v>
      </c>
      <c r="J68" s="125" t="n">
        <v>0.46</v>
      </c>
      <c r="K68" s="124" t="n">
        <f aca="false">HLOOKUP($D$3,GDPRICES,VLOOKUP(Q68,GDmove_down,2,FALSE()),FALSE())</f>
        <v>4.875</v>
      </c>
      <c r="L68" s="124" t="n">
        <f aca="false">HLOOKUP($E$3,GDPRICES,VLOOKUP(Q68,GDmove_down,2,FALSE()),FALSE())</f>
        <v>3.45</v>
      </c>
      <c r="M68" s="126" t="n">
        <v>1</v>
      </c>
      <c r="N68" s="7" t="n">
        <v>0.515</v>
      </c>
      <c r="O68" s="7" t="n">
        <v>0.515</v>
      </c>
      <c r="P68" s="249" t="e">
        <f aca="false">HLOOKUP(E68,GDcorr,VLOOKUP(H68,GDCorMove,2,FALSE()),FALSE())</f>
        <v>#N/A</v>
      </c>
      <c r="Q68" s="92" t="n">
        <v>36686</v>
      </c>
      <c r="R68" s="7" t="n">
        <f aca="false">IF(G68="P",0,1)</f>
        <v>1</v>
      </c>
      <c r="S68" s="130" t="e">
        <f aca="false">xSPRDOPT($K68,$L68,$J68,$M68,$N68,$O68,$P68,$Q68-$C$3,$R68,0)</f>
        <v>#NAME?</v>
      </c>
      <c r="T68" s="250" t="e">
        <f aca="false">xSPRDOPT($K68,$L68,$J68,$M68,$N68,$O68,$P68,$Q68-$C$3,$R68,1)*I68</f>
        <v>#NAME?</v>
      </c>
      <c r="U68" s="43" t="n">
        <v>9500</v>
      </c>
      <c r="V68" s="250" t="e">
        <f aca="false">xSPRDOPT($K68,$L68,$J68,$M68,$N68,$O68,$P68,$Q68-$C$3,$R68,2)*I68</f>
        <v>#NAME?</v>
      </c>
      <c r="W68" s="250" t="e">
        <f aca="false">+V68+T68</f>
        <v>#NAME?</v>
      </c>
      <c r="X68" s="2" t="str">
        <f aca="false">CONCATENATE(H68,E68)</f>
        <v>36678IF-ELPO/SJ</v>
      </c>
      <c r="Y68" s="251" t="n">
        <f aca="false">I68/10000</f>
        <v>5</v>
      </c>
      <c r="Z68" s="2"/>
      <c r="AA68" s="2"/>
      <c r="AB68" s="182" t="n">
        <f aca="false">H68</f>
        <v>36678</v>
      </c>
      <c r="AC68" s="253" t="e">
        <f aca="false">xSPRDOPT(HLOOKUP($D$3,GDPRICES,VLOOKUP(Q68,GDmove_down,2,FALSE()),FALSE()),HLOOKUP($E$3,GDPRICES,VLOOKUP(Q68,GDmove_down,2,FALSE()),FALSE()),J68,VLOOKUP(H68,NGPREVPRICES,4,FALSE()),HLOOKUP($H$3,GDPrevVols,VLOOKUP(Q68,GDmove_down2,2,FALSE()),FALSE()),HLOOKUP($H$3,GDPrevVols,VLOOKUP(Q68,GDmove_down2,2,FALSE()),FALSE()),HLOOKUP(E68,GDcorr,VLOOKUP(H68,CorMove,2,FALSE()),FALSE()),Q68-$AC$3,R68,$AC$5)*I68-AI68</f>
        <v>#N/A</v>
      </c>
      <c r="AD68" s="253" t="e">
        <f aca="false">xSPRDOPT(HLOOKUP($D$3,GDPrev,VLOOKUP(Q68,GDmove_down,2,FALSE()),FALSE()),HLOOKUP($E$3,GDPrev,VLOOKUP(Q68,GDmove_down,2,FALSE()),FALSE()),AJ68,VLOOKUP(H68,NGPrices,4,FALSE()),HLOOKUP($H$3,GDPrevVols,VLOOKUP(Q68,GDmove_down2,2,FALSE()),FALSE()),HLOOKUP($H$3,GDPrevVols,VLOOKUP(Q68,GDmove_down2,2,FALSE()),FALSE()),HLOOKUP(E68,GDcorr,VLOOKUP(H68,CorMove,2,FALSE()),FALSE()),Q68-$AC$3,R68,$AI$5)*I68-AI68</f>
        <v>#N/A</v>
      </c>
      <c r="AE68" s="132" t="e">
        <f aca="false">(AI68/VLOOKUP(AB68,discount,3,FALSE()))-(AI68/VLOOKUP(AB68,discount,2,FALSE()))</f>
        <v>#N/A</v>
      </c>
      <c r="AF68" s="253" t="e">
        <f aca="false">xSPRDOPT(HLOOKUP($D$3,GDPrev,VLOOKUP(Q68,GDmove_down,2,FALSE()),FALSE()),HLOOKUP($E$3,GDPrev,VLOOKUP(Q68,GDmove_down,2,FALSE()),FALSE()),AJ68,VLOOKUP(H68,NGPREVPRICES,4,FALSE()),HLOOKUP($H$3,GDVol,VLOOKUP(H68,move_down,2,FALSE()),FALSE()),HLOOKUP($H$3,GDVol,VLOOKUP(H68,move_down,2,FALSE()),FALSE()),HLOOKUP(E68,GDcorr,VLOOKUP(H68,CorMove,2,FALSE()),FALSE()),Q68-$AC$3,R68,$AI$5)*I68-AI68</f>
        <v>#N/A</v>
      </c>
      <c r="AG68" s="253" t="e">
        <f aca="false">xSPRDOPT(HLOOKUP($D$3,GDPrev,VLOOKUP(Q68,GDmove_down,2,FALSE()),FALSE()),HLOOKUP($E$3,GDPrev,VLOOKUP(Q68,GDmove_down,2,FALSE()),FALSE()),AJ68,VLOOKUP(H68,NGPREVPRICES,4,FALSE()),HLOOKUP($H$3,GDPrevVols,VLOOKUP(Q68,GDmove_down2,2,FALSE()),FALSE()),HLOOKUP($H$3,GDPrevVols,VLOOKUP(Q68,GDmove_down2,2,FALSE()),FALSE()),HLOOKUP(E68,GDcorr,VLOOKUP(H68,CorMove,2,FALSE()),FALSE()),Q68-$C$3,R68,$AI$5)*I68-AI68</f>
        <v>#N/A</v>
      </c>
      <c r="AH68" s="253" t="e">
        <f aca="false">SUM(AC68:AG68)</f>
        <v>#N/A</v>
      </c>
      <c r="AI68" s="253" t="e">
        <f aca="false">xSPRDOPT(HLOOKUP($D$3,GDPrev,VLOOKUP(Q68,GDmove_down,2,FALSE()),FALSE()),HLOOKUP($E$3,GDPrev,VLOOKUP(Q68,GDmove_down,2,FALSE()),FALSE()),AJ68,VLOOKUP(H68,NGPREVPRICES,4,FALSE()),HLOOKUP($H$3,GDPrevVols,VLOOKUP(Q68,GDmove_down2,2,FALSE()),FALSE()),HLOOKUP($H$3,GDPrevVols,VLOOKUP(Q68,GDmove_down2,2,FALSE()),FALSE()),HLOOKUP(E68,GDcorr,VLOOKUP(H68,CorMove,2,FALSE()),FALSE()),Q68-$AC$3,R68,$AI$5)*I68</f>
        <v>#N/A</v>
      </c>
      <c r="AJ68" s="254" t="e">
        <f aca="false">HLOOKUP(D68,PREVCURVES,VLOOKUP(H68,MOVE_DOWN2,2,FALSE()),FALSE())-HLOOKUP(E68,PREVCURVES,VLOOKUP(H68,MOVE_DOWN2,2,FALSE()),FALSE())</f>
        <v>#N/A</v>
      </c>
      <c r="AK68" s="253"/>
      <c r="AL68" s="0" t="str">
        <f aca="false">CONCATENATE(AB68,$AC$6)</f>
        <v>36678Curve Shift/Gamma</v>
      </c>
      <c r="AM68" s="0" t="str">
        <f aca="false">CONCATENATE($AB68,$AD$6)</f>
        <v>36678Rho</v>
      </c>
      <c r="AN68" s="0" t="str">
        <f aca="false">CONCATENATE($AB68,$AE$6)</f>
        <v>36678Drift</v>
      </c>
      <c r="AO68" s="0" t="str">
        <f aca="false">CONCATENATE($AB68,$AF$6)</f>
        <v>36678Vega</v>
      </c>
      <c r="AP68" s="0" t="str">
        <f aca="false">CONCATENATE($AB68,$AG$6)</f>
        <v>36678Theta</v>
      </c>
      <c r="AZ68" s="143" t="n">
        <f aca="false">EOMONTH(AZ67,0)+1</f>
        <v>38018</v>
      </c>
      <c r="BA68" s="135"/>
      <c r="BG68" s="285" t="n">
        <v>38353</v>
      </c>
      <c r="BH68" s="0" t="n">
        <v>0.985</v>
      </c>
      <c r="BJ68" s="285" t="n">
        <v>38353</v>
      </c>
      <c r="BK68" s="0" t="n">
        <v>65</v>
      </c>
    </row>
    <row r="69" customFormat="false" ht="12" hidden="false" customHeight="true" outlineLevel="0" collapsed="false">
      <c r="A69" s="267" t="s">
        <v>198</v>
      </c>
      <c r="B69" s="269" t="s">
        <v>192</v>
      </c>
      <c r="C69" s="269" t="s">
        <v>494</v>
      </c>
      <c r="D69" s="269" t="s">
        <v>137</v>
      </c>
      <c r="E69" s="7" t="s">
        <v>483</v>
      </c>
      <c r="F69" s="269" t="s">
        <v>131</v>
      </c>
      <c r="G69" s="269" t="s">
        <v>136</v>
      </c>
      <c r="H69" s="286" t="n">
        <v>36678</v>
      </c>
      <c r="I69" s="272" t="n">
        <v>-10000</v>
      </c>
      <c r="J69" s="125" t="n">
        <v>0.46</v>
      </c>
      <c r="K69" s="124" t="n">
        <f aca="false">HLOOKUP($D$3,GDPRICES,VLOOKUP(Q69,GDmove_down,2,FALSE()),FALSE())</f>
        <v>4.875</v>
      </c>
      <c r="L69" s="124" t="n">
        <f aca="false">HLOOKUP($E$3,GDPRICES,VLOOKUP(Q69,GDmove_down,2,FALSE()),FALSE())</f>
        <v>3.45</v>
      </c>
      <c r="M69" s="126" t="n">
        <v>1</v>
      </c>
      <c r="N69" s="7" t="n">
        <v>0.515</v>
      </c>
      <c r="O69" s="7" t="n">
        <v>0.515</v>
      </c>
      <c r="P69" s="249" t="e">
        <f aca="false">HLOOKUP(E69,GDcorr,VLOOKUP(H69,GDCorMove,2,FALSE()),FALSE())</f>
        <v>#N/A</v>
      </c>
      <c r="Q69" s="92" t="n">
        <v>36686</v>
      </c>
      <c r="R69" s="7" t="n">
        <f aca="false">IF(G69="P",0,1)</f>
        <v>1</v>
      </c>
      <c r="S69" s="130" t="e">
        <f aca="false">xSPRDOPT($K69,$L69,$J69,$M69,$N69,$O69,$P69,$Q69-$C$3,$R69,0)</f>
        <v>#NAME?</v>
      </c>
      <c r="T69" s="250" t="e">
        <f aca="false">xSPRDOPT($K69,$L69,$J69,$M69,$N69,$O69,$P69,$Q69-$C$3,$R69,1)*I69</f>
        <v>#NAME?</v>
      </c>
      <c r="U69" s="43" t="n">
        <v>-1900</v>
      </c>
      <c r="V69" s="250" t="e">
        <f aca="false">xSPRDOPT($K69,$L69,$J69,$M69,$N69,$O69,$P69,$Q69-$C$3,$R69,2)*I69</f>
        <v>#NAME?</v>
      </c>
      <c r="W69" s="250" t="e">
        <f aca="false">+V69+T69</f>
        <v>#NAME?</v>
      </c>
      <c r="X69" s="2" t="str">
        <f aca="false">CONCATENATE(H69,E69)</f>
        <v>36678IF-ELPO/SJ</v>
      </c>
      <c r="Y69" s="251" t="n">
        <f aca="false">I69/10000</f>
        <v>-1</v>
      </c>
      <c r="AA69" s="2"/>
      <c r="AB69" s="182" t="n">
        <f aca="false">H69</f>
        <v>36678</v>
      </c>
      <c r="AC69" s="253" t="e">
        <f aca="false">xSPRDOPT(HLOOKUP($D$3,GDPRICES,VLOOKUP(Q69,GDmove_down,2,FALSE()),FALSE()),HLOOKUP($E$3,GDPRICES,VLOOKUP(Q69,GDmove_down,2,FALSE()),FALSE()),J69,VLOOKUP(H69,NGPREVPRICES,4,FALSE()),HLOOKUP($H$3,GDPrevVols,VLOOKUP(Q69,GDmove_down2,2,FALSE()),FALSE()),HLOOKUP($H$3,GDPrevVols,VLOOKUP(Q69,GDmove_down2,2,FALSE()),FALSE()),HLOOKUP(E69,GDcorr,VLOOKUP(H69,CorMove,2,FALSE()),FALSE()),Q69-$AC$3,R69,$AC$5)*I69-AI69</f>
        <v>#N/A</v>
      </c>
      <c r="AD69" s="253" t="e">
        <f aca="false">xSPRDOPT(HLOOKUP($D$3,GDPrev,VLOOKUP(Q69,GDmove_down,2,FALSE()),FALSE()),HLOOKUP($E$3,GDPrev,VLOOKUP(Q69,GDmove_down,2,FALSE()),FALSE()),AJ69,VLOOKUP(H69,NGPrices,4,FALSE()),HLOOKUP($H$3,GDPrevVols,VLOOKUP(Q69,GDmove_down2,2,FALSE()),FALSE()),HLOOKUP($H$3,GDPrevVols,VLOOKUP(Q69,GDmove_down2,2,FALSE()),FALSE()),HLOOKUP(E69,GDcorr,VLOOKUP(H69,CorMove,2,FALSE()),FALSE()),Q69-$AC$3,R69,$AI$5)*I69-AI69</f>
        <v>#N/A</v>
      </c>
      <c r="AE69" s="132" t="e">
        <f aca="false">(AI69/VLOOKUP(AB69,discount,3,FALSE()))-(AI69/VLOOKUP(AB69,discount,2,FALSE()))</f>
        <v>#N/A</v>
      </c>
      <c r="AF69" s="253" t="e">
        <f aca="false">xSPRDOPT(HLOOKUP($D$3,GDPrev,VLOOKUP(Q69,GDmove_down,2,FALSE()),FALSE()),HLOOKUP($E$3,GDPrev,VLOOKUP(Q69,GDmove_down,2,FALSE()),FALSE()),AJ69,VLOOKUP(H69,NGPREVPRICES,4,FALSE()),HLOOKUP($H$3,GDVol,VLOOKUP(H69,move_down,2,FALSE()),FALSE()),HLOOKUP($H$3,GDVol,VLOOKUP(H69,move_down,2,FALSE()),FALSE()),HLOOKUP(E69,GDcorr,VLOOKUP(H69,CorMove,2,FALSE()),FALSE()),Q69-$AC$3,R69,$AI$5)*I69-AI69</f>
        <v>#N/A</v>
      </c>
      <c r="AG69" s="253" t="e">
        <f aca="false">xSPRDOPT(HLOOKUP($D$3,GDPrev,VLOOKUP(Q69,GDmove_down,2,FALSE()),FALSE()),HLOOKUP($E$3,GDPrev,VLOOKUP(Q69,GDmove_down,2,FALSE()),FALSE()),AJ69,VLOOKUP(H69,NGPREVPRICES,4,FALSE()),HLOOKUP($H$3,GDPrevVols,VLOOKUP(Q69,GDmove_down2,2,FALSE()),FALSE()),HLOOKUP($H$3,GDPrevVols,VLOOKUP(Q69,GDmove_down2,2,FALSE()),FALSE()),HLOOKUP(E69,GDcorr,VLOOKUP(H69,CorMove,2,FALSE()),FALSE()),Q69-$C$3,R69,$AI$5)*I69-AI69</f>
        <v>#N/A</v>
      </c>
      <c r="AH69" s="253" t="e">
        <f aca="false">SUM(AC69:AG69)</f>
        <v>#N/A</v>
      </c>
      <c r="AI69" s="253" t="e">
        <f aca="false">xSPRDOPT(HLOOKUP($D$3,GDPrev,VLOOKUP(Q69,GDmove_down,2,FALSE()),FALSE()),HLOOKUP($E$3,GDPrev,VLOOKUP(Q69,GDmove_down,2,FALSE()),FALSE()),AJ69,VLOOKUP(H69,NGPREVPRICES,4,FALSE()),HLOOKUP($H$3,GDPrevVols,VLOOKUP(Q69,GDmove_down2,2,FALSE()),FALSE()),HLOOKUP($H$3,GDPrevVols,VLOOKUP(Q69,GDmove_down2,2,FALSE()),FALSE()),HLOOKUP(E69,GDcorr,VLOOKUP(H69,CorMove,2,FALSE()),FALSE()),Q69-$AC$3,R69,$AI$5)*I69</f>
        <v>#N/A</v>
      </c>
      <c r="AJ69" s="254" t="e">
        <f aca="false">HLOOKUP(D69,PREVCURVES,VLOOKUP(H69,MOVE_DOWN2,2,FALSE()),FALSE())-HLOOKUP(E69,PREVCURVES,VLOOKUP(H69,MOVE_DOWN2,2,FALSE()),FALSE())</f>
        <v>#N/A</v>
      </c>
      <c r="AK69" s="253"/>
      <c r="AL69" s="0" t="str">
        <f aca="false">CONCATENATE(AB69,$AC$6)</f>
        <v>36678Curve Shift/Gamma</v>
      </c>
      <c r="AM69" s="0" t="str">
        <f aca="false">CONCATENATE($AB69,$AD$6)</f>
        <v>36678Rho</v>
      </c>
      <c r="AN69" s="0" t="str">
        <f aca="false">CONCATENATE($AB69,$AE$6)</f>
        <v>36678Drift</v>
      </c>
      <c r="AO69" s="0" t="str">
        <f aca="false">CONCATENATE($AB69,$AF$6)</f>
        <v>36678Vega</v>
      </c>
      <c r="AP69" s="0" t="str">
        <f aca="false">CONCATENATE($AB69,$AG$6)</f>
        <v>36678Theta</v>
      </c>
      <c r="AZ69" s="143" t="n">
        <f aca="false">EOMONTH(AZ68,0)+1</f>
        <v>38047</v>
      </c>
      <c r="BA69" s="135"/>
      <c r="BG69" s="285" t="n">
        <v>38384</v>
      </c>
      <c r="BH69" s="0" t="n">
        <v>0.985</v>
      </c>
      <c r="BJ69" s="285" t="n">
        <v>38384</v>
      </c>
      <c r="BK69" s="0" t="n">
        <v>66</v>
      </c>
    </row>
    <row r="70" customFormat="false" ht="12" hidden="false" customHeight="true" outlineLevel="0" collapsed="false">
      <c r="A70" s="265" t="s">
        <v>198</v>
      </c>
      <c r="B70" s="269" t="s">
        <v>192</v>
      </c>
      <c r="C70" s="269" t="s">
        <v>488</v>
      </c>
      <c r="D70" s="269" t="s">
        <v>137</v>
      </c>
      <c r="E70" s="7" t="s">
        <v>483</v>
      </c>
      <c r="F70" s="269" t="s">
        <v>131</v>
      </c>
      <c r="G70" s="269" t="s">
        <v>136</v>
      </c>
      <c r="H70" s="286" t="n">
        <v>36678</v>
      </c>
      <c r="I70" s="272" t="n">
        <v>-50000</v>
      </c>
      <c r="J70" s="125" t="n">
        <v>0.46</v>
      </c>
      <c r="K70" s="124" t="n">
        <f aca="false">HLOOKUP($D$3,GDPRICES,VLOOKUP(Q70,GDmove_down,2,FALSE()),FALSE())</f>
        <v>4.77</v>
      </c>
      <c r="L70" s="124" t="n">
        <f aca="false">HLOOKUP($E$3,GDPRICES,VLOOKUP(Q70,GDmove_down,2,FALSE()),FALSE())</f>
        <v>3.505</v>
      </c>
      <c r="M70" s="126" t="n">
        <v>1</v>
      </c>
      <c r="N70" s="7" t="n">
        <v>0.515</v>
      </c>
      <c r="O70" s="7" t="n">
        <v>0.515</v>
      </c>
      <c r="P70" s="249" t="e">
        <f aca="false">HLOOKUP(E70,GDcorr,VLOOKUP(H70,GDCorMove,2,FALSE()),FALSE())</f>
        <v>#N/A</v>
      </c>
      <c r="Q70" s="92" t="n">
        <v>36687</v>
      </c>
      <c r="R70" s="7" t="n">
        <f aca="false">IF(G70="P",0,1)</f>
        <v>1</v>
      </c>
      <c r="S70" s="130" t="e">
        <f aca="false">xSPRDOPT($K70,$L70,$J70,$M70,$N70,$O70,$P70,$Q70-$C$3,$R70,0)</f>
        <v>#NAME?</v>
      </c>
      <c r="T70" s="250" t="e">
        <f aca="false">xSPRDOPT($K70,$L70,$J70,$M70,$N70,$O70,$P70,$Q70-$C$3,$R70,1)*I70</f>
        <v>#NAME?</v>
      </c>
      <c r="U70" s="43" t="n">
        <v>-5500</v>
      </c>
      <c r="V70" s="250" t="e">
        <f aca="false">xSPRDOPT($K70,$L70,$J70,$M70,$N70,$O70,$P70,$Q70-$C$3,$R70,2)*I70</f>
        <v>#NAME?</v>
      </c>
      <c r="W70" s="250" t="e">
        <f aca="false">+V70+T70</f>
        <v>#NAME?</v>
      </c>
      <c r="X70" s="2" t="str">
        <f aca="false">CONCATENATE(H70,E70)</f>
        <v>36678IF-ELPO/SJ</v>
      </c>
      <c r="Y70" s="251" t="n">
        <f aca="false">I70/10000</f>
        <v>-5</v>
      </c>
      <c r="Z70" s="2"/>
      <c r="AA70" s="2"/>
      <c r="AB70" s="182" t="n">
        <f aca="false">H70</f>
        <v>36678</v>
      </c>
      <c r="AC70" s="253" t="e">
        <f aca="false">xSPRDOPT(HLOOKUP($D$3,GDPRICES,VLOOKUP(Q70,GDmove_down,2,FALSE()),FALSE()),HLOOKUP($E$3,GDPRICES,VLOOKUP(Q70,GDmove_down,2,FALSE()),FALSE()),J70,VLOOKUP(H70,NGPREVPRICES,4,FALSE()),HLOOKUP($H$3,GDPrevVols,VLOOKUP(Q70,GDmove_down2,2,FALSE()),FALSE()),HLOOKUP($H$3,GDPrevVols,VLOOKUP(Q70,GDmove_down2,2,FALSE()),FALSE()),HLOOKUP(E70,GDcorr,VLOOKUP(H70,CorMove,2,FALSE()),FALSE()),Q70-$AC$3,R70,$AC$5)*I70-AI70</f>
        <v>#N/A</v>
      </c>
      <c r="AD70" s="253" t="e">
        <f aca="false">xSPRDOPT(HLOOKUP($D$3,GDPrev,VLOOKUP(Q70,GDmove_down,2,FALSE()),FALSE()),HLOOKUP($E$3,GDPrev,VLOOKUP(Q70,GDmove_down,2,FALSE()),FALSE()),AJ70,VLOOKUP(H70,NGPrices,4,FALSE()),HLOOKUP($H$3,GDPrevVols,VLOOKUP(Q70,GDmove_down2,2,FALSE()),FALSE()),HLOOKUP($H$3,GDPrevVols,VLOOKUP(Q70,GDmove_down2,2,FALSE()),FALSE()),HLOOKUP(E70,GDcorr,VLOOKUP(H70,CorMove,2,FALSE()),FALSE()),Q70-$AC$3,R70,$AI$5)*I70-AI70</f>
        <v>#N/A</v>
      </c>
      <c r="AE70" s="132" t="e">
        <f aca="false">(AI70/VLOOKUP(AB70,discount,3,FALSE()))-(AI70/VLOOKUP(AB70,discount,2,FALSE()))</f>
        <v>#N/A</v>
      </c>
      <c r="AF70" s="253" t="e">
        <f aca="false">xSPRDOPT(HLOOKUP($D$3,GDPrev,VLOOKUP(Q70,GDmove_down,2,FALSE()),FALSE()),HLOOKUP($E$3,GDPrev,VLOOKUP(Q70,GDmove_down,2,FALSE()),FALSE()),AJ70,VLOOKUP(H70,NGPREVPRICES,4,FALSE()),HLOOKUP($H$3,GDVol,VLOOKUP(H70,move_down,2,FALSE()),FALSE()),HLOOKUP($H$3,GDVol,VLOOKUP(H70,move_down,2,FALSE()),FALSE()),HLOOKUP(E70,GDcorr,VLOOKUP(H70,CorMove,2,FALSE()),FALSE()),Q70-$AC$3,R70,$AI$5)*I70-AI70</f>
        <v>#N/A</v>
      </c>
      <c r="AG70" s="253" t="e">
        <f aca="false">xSPRDOPT(HLOOKUP($D$3,GDPrev,VLOOKUP(Q70,GDmove_down,2,FALSE()),FALSE()),HLOOKUP($E$3,GDPrev,VLOOKUP(Q70,GDmove_down,2,FALSE()),FALSE()),AJ70,VLOOKUP(H70,NGPREVPRICES,4,FALSE()),HLOOKUP($H$3,GDPrevVols,VLOOKUP(Q70,GDmove_down2,2,FALSE()),FALSE()),HLOOKUP($H$3,GDPrevVols,VLOOKUP(Q70,GDmove_down2,2,FALSE()),FALSE()),HLOOKUP(E70,GDcorr,VLOOKUP(H70,CorMove,2,FALSE()),FALSE()),Q70-$C$3,R70,$AI$5)*I70-AI70</f>
        <v>#N/A</v>
      </c>
      <c r="AH70" s="253" t="e">
        <f aca="false">SUM(AC70:AG70)</f>
        <v>#N/A</v>
      </c>
      <c r="AI70" s="253" t="e">
        <f aca="false">xSPRDOPT(HLOOKUP($D$3,GDPrev,VLOOKUP(Q70,GDmove_down,2,FALSE()),FALSE()),HLOOKUP($E$3,GDPrev,VLOOKUP(Q70,GDmove_down,2,FALSE()),FALSE()),AJ70,VLOOKUP(H70,NGPREVPRICES,4,FALSE()),HLOOKUP($H$3,GDPrevVols,VLOOKUP(Q70,GDmove_down2,2,FALSE()),FALSE()),HLOOKUP($H$3,GDPrevVols,VLOOKUP(Q70,GDmove_down2,2,FALSE()),FALSE()),HLOOKUP(E70,GDcorr,VLOOKUP(H70,CorMove,2,FALSE()),FALSE()),Q70-$AC$3,R70,$AI$5)*I70</f>
        <v>#N/A</v>
      </c>
      <c r="AJ70" s="254" t="e">
        <f aca="false">HLOOKUP(D70,PREVCURVES,VLOOKUP(H70,MOVE_DOWN2,2,FALSE()),FALSE())-HLOOKUP(E70,PREVCURVES,VLOOKUP(H70,MOVE_DOWN2,2,FALSE()),FALSE())</f>
        <v>#N/A</v>
      </c>
      <c r="AK70" s="253"/>
      <c r="AL70" s="0" t="str">
        <f aca="false">CONCATENATE(AB70,$AC$6)</f>
        <v>36678Curve Shift/Gamma</v>
      </c>
      <c r="AM70" s="0" t="str">
        <f aca="false">CONCATENATE($AB70,$AD$6)</f>
        <v>36678Rho</v>
      </c>
      <c r="AN70" s="0" t="str">
        <f aca="false">CONCATENATE($AB70,$AE$6)</f>
        <v>36678Drift</v>
      </c>
      <c r="AO70" s="0" t="str">
        <f aca="false">CONCATENATE($AB70,$AF$6)</f>
        <v>36678Vega</v>
      </c>
      <c r="AP70" s="0" t="str">
        <f aca="false">CONCATENATE($AB70,$AG$6)</f>
        <v>36678Theta</v>
      </c>
      <c r="AZ70" s="143" t="n">
        <f aca="false">EOMONTH(AZ69,0)+1</f>
        <v>38078</v>
      </c>
      <c r="BA70" s="135"/>
      <c r="BG70" s="285" t="n">
        <v>38412</v>
      </c>
      <c r="BH70" s="0" t="n">
        <v>0.985</v>
      </c>
      <c r="BJ70" s="285" t="n">
        <v>38412</v>
      </c>
      <c r="BK70" s="0" t="n">
        <v>67</v>
      </c>
    </row>
    <row r="71" customFormat="false" ht="12" hidden="false" customHeight="true" outlineLevel="0" collapsed="false">
      <c r="A71" s="265" t="s">
        <v>198</v>
      </c>
      <c r="B71" s="269" t="s">
        <v>192</v>
      </c>
      <c r="C71" s="269" t="s">
        <v>489</v>
      </c>
      <c r="D71" s="269" t="s">
        <v>137</v>
      </c>
      <c r="E71" s="7" t="s">
        <v>483</v>
      </c>
      <c r="F71" s="269" t="s">
        <v>131</v>
      </c>
      <c r="G71" s="269" t="s">
        <v>136</v>
      </c>
      <c r="H71" s="286" t="n">
        <v>36678</v>
      </c>
      <c r="I71" s="272" t="n">
        <v>10000</v>
      </c>
      <c r="J71" s="125" t="n">
        <v>0.46</v>
      </c>
      <c r="K71" s="124" t="n">
        <f aca="false">HLOOKUP($D$3,GDPRICES,VLOOKUP(Q71,GDmove_down,2,FALSE()),FALSE())</f>
        <v>4.77</v>
      </c>
      <c r="L71" s="124" t="n">
        <f aca="false">HLOOKUP($E$3,GDPRICES,VLOOKUP(Q71,GDmove_down,2,FALSE()),FALSE())</f>
        <v>3.505</v>
      </c>
      <c r="M71" s="126" t="n">
        <v>1</v>
      </c>
      <c r="N71" s="7" t="n">
        <v>0.515</v>
      </c>
      <c r="O71" s="7" t="n">
        <v>0.515</v>
      </c>
      <c r="P71" s="249" t="e">
        <f aca="false">HLOOKUP(E71,GDcorr,VLOOKUP(H71,GDCorMove,2,FALSE()),FALSE())</f>
        <v>#N/A</v>
      </c>
      <c r="Q71" s="92" t="n">
        <v>36687</v>
      </c>
      <c r="R71" s="7" t="n">
        <f aca="false">IF(G71="P",0,1)</f>
        <v>1</v>
      </c>
      <c r="S71" s="130" t="e">
        <f aca="false">xSPRDOPT($K71,$L71,$J71,$M71,$N71,$O71,$P71,$Q71-$C$3,$R71,0)</f>
        <v>#NAME?</v>
      </c>
      <c r="T71" s="250" t="e">
        <f aca="false">xSPRDOPT($K71,$L71,$J71,$M71,$N71,$O71,$P71,$Q71-$C$3,$R71,1)*I71</f>
        <v>#NAME?</v>
      </c>
      <c r="U71" s="43" t="n">
        <v>1100</v>
      </c>
      <c r="V71" s="250" t="e">
        <f aca="false">xSPRDOPT($K71,$L71,$J71,$M71,$N71,$O71,$P71,$Q71-$C$3,$R71,2)*I71</f>
        <v>#NAME?</v>
      </c>
      <c r="W71" s="250" t="e">
        <f aca="false">+V71+T71</f>
        <v>#NAME?</v>
      </c>
      <c r="X71" s="2" t="str">
        <f aca="false">CONCATENATE(H71,E71)</f>
        <v>36678IF-ELPO/SJ</v>
      </c>
      <c r="Y71" s="251" t="n">
        <f aca="false">I71/10000</f>
        <v>1</v>
      </c>
      <c r="Z71" s="2"/>
      <c r="AA71" s="2"/>
      <c r="AB71" s="182" t="n">
        <f aca="false">H71</f>
        <v>36678</v>
      </c>
      <c r="AC71" s="253" t="e">
        <f aca="false">xSPRDOPT(HLOOKUP($D$3,GDPRICES,VLOOKUP(Q71,GDmove_down,2,FALSE()),FALSE()),HLOOKUP($E$3,GDPRICES,VLOOKUP(Q71,GDmove_down,2,FALSE()),FALSE()),J71,VLOOKUP(H71,NGPREVPRICES,4,FALSE()),HLOOKUP($H$3,GDPrevVols,VLOOKUP(Q71,GDmove_down2,2,FALSE()),FALSE()),HLOOKUP($H$3,GDPrevVols,VLOOKUP(Q71,GDmove_down2,2,FALSE()),FALSE()),HLOOKUP(E71,GDcorr,VLOOKUP(H71,CorMove,2,FALSE()),FALSE()),Q71-$AC$3,R71,$AC$5)*I71-AI71</f>
        <v>#N/A</v>
      </c>
      <c r="AD71" s="253" t="e">
        <f aca="false">xSPRDOPT(HLOOKUP($D$3,GDPrev,VLOOKUP(Q71,GDmove_down,2,FALSE()),FALSE()),HLOOKUP($E$3,GDPrev,VLOOKUP(Q71,GDmove_down,2,FALSE()),FALSE()),AJ71,VLOOKUP(H71,NGPrices,4,FALSE()),HLOOKUP($H$3,GDPrevVols,VLOOKUP(Q71,GDmove_down2,2,FALSE()),FALSE()),HLOOKUP($H$3,GDPrevVols,VLOOKUP(Q71,GDmove_down2,2,FALSE()),FALSE()),HLOOKUP(E71,GDcorr,VLOOKUP(H71,CorMove,2,FALSE()),FALSE()),Q71-$AC$3,R71,$AI$5)*I71-AI71</f>
        <v>#N/A</v>
      </c>
      <c r="AE71" s="132" t="e">
        <f aca="false">(AI71/VLOOKUP(AB71,discount,3,FALSE()))-(AI71/VLOOKUP(AB71,discount,2,FALSE()))</f>
        <v>#N/A</v>
      </c>
      <c r="AF71" s="253" t="e">
        <f aca="false">xSPRDOPT(HLOOKUP($D$3,GDPrev,VLOOKUP(Q71,GDmove_down,2,FALSE()),FALSE()),HLOOKUP($E$3,GDPrev,VLOOKUP(Q71,GDmove_down,2,FALSE()),FALSE()),AJ71,VLOOKUP(H71,NGPREVPRICES,4,FALSE()),HLOOKUP($H$3,GDVol,VLOOKUP(H71,move_down,2,FALSE()),FALSE()),HLOOKUP($H$3,GDVol,VLOOKUP(H71,move_down,2,FALSE()),FALSE()),HLOOKUP(E71,GDcorr,VLOOKUP(H71,CorMove,2,FALSE()),FALSE()),Q71-$AC$3,R71,$AI$5)*I71-AI71</f>
        <v>#N/A</v>
      </c>
      <c r="AG71" s="253" t="e">
        <f aca="false">xSPRDOPT(HLOOKUP($D$3,GDPrev,VLOOKUP(Q71,GDmove_down,2,FALSE()),FALSE()),HLOOKUP($E$3,GDPrev,VLOOKUP(Q71,GDmove_down,2,FALSE()),FALSE()),AJ71,VLOOKUP(H71,NGPREVPRICES,4,FALSE()),HLOOKUP($H$3,GDPrevVols,VLOOKUP(Q71,GDmove_down2,2,FALSE()),FALSE()),HLOOKUP($H$3,GDPrevVols,VLOOKUP(Q71,GDmove_down2,2,FALSE()),FALSE()),HLOOKUP(E71,GDcorr,VLOOKUP(H71,CorMove,2,FALSE()),FALSE()),Q71-$C$3,R71,$AI$5)*I71-AI71</f>
        <v>#N/A</v>
      </c>
      <c r="AH71" s="253" t="e">
        <f aca="false">SUM(AC71:AG71)</f>
        <v>#N/A</v>
      </c>
      <c r="AI71" s="253" t="e">
        <f aca="false">xSPRDOPT(HLOOKUP($D$3,GDPrev,VLOOKUP(Q71,GDmove_down,2,FALSE()),FALSE()),HLOOKUP($E$3,GDPrev,VLOOKUP(Q71,GDmove_down,2,FALSE()),FALSE()),AJ71,VLOOKUP(H71,NGPREVPRICES,4,FALSE()),HLOOKUP($H$3,GDPrevVols,VLOOKUP(Q71,GDmove_down2,2,FALSE()),FALSE()),HLOOKUP($H$3,GDPrevVols,VLOOKUP(Q71,GDmove_down2,2,FALSE()),FALSE()),HLOOKUP(E71,GDcorr,VLOOKUP(H71,CorMove,2,FALSE()),FALSE()),Q71-$AC$3,R71,$AI$5)*I71</f>
        <v>#N/A</v>
      </c>
      <c r="AJ71" s="254" t="e">
        <f aca="false">HLOOKUP(D71,PREVCURVES,VLOOKUP(H71,MOVE_DOWN2,2,FALSE()),FALSE())-HLOOKUP(E71,PREVCURVES,VLOOKUP(H71,MOVE_DOWN2,2,FALSE()),FALSE())</f>
        <v>#N/A</v>
      </c>
      <c r="AK71" s="253"/>
      <c r="AL71" s="0" t="str">
        <f aca="false">CONCATENATE(AB71,$AC$6)</f>
        <v>36678Curve Shift/Gamma</v>
      </c>
      <c r="AM71" s="0" t="str">
        <f aca="false">CONCATENATE($AB71,$AD$6)</f>
        <v>36678Rho</v>
      </c>
      <c r="AN71" s="0" t="str">
        <f aca="false">CONCATENATE($AB71,$AE$6)</f>
        <v>36678Drift</v>
      </c>
      <c r="AO71" s="0" t="str">
        <f aca="false">CONCATENATE($AB71,$AF$6)</f>
        <v>36678Vega</v>
      </c>
      <c r="AP71" s="0" t="str">
        <f aca="false">CONCATENATE($AB71,$AG$6)</f>
        <v>36678Theta</v>
      </c>
      <c r="AZ71" s="143" t="n">
        <f aca="false">EOMONTH(AZ70,0)+1</f>
        <v>38108</v>
      </c>
      <c r="BA71" s="135"/>
      <c r="BG71" s="285" t="n">
        <v>38443</v>
      </c>
      <c r="BH71" s="0" t="n">
        <v>0.985</v>
      </c>
      <c r="BJ71" s="285" t="n">
        <v>38443</v>
      </c>
      <c r="BK71" s="0" t="n">
        <v>68</v>
      </c>
    </row>
    <row r="72" customFormat="false" ht="12" hidden="false" customHeight="true" outlineLevel="0" collapsed="false">
      <c r="A72" s="265" t="s">
        <v>198</v>
      </c>
      <c r="B72" s="269" t="s">
        <v>192</v>
      </c>
      <c r="C72" s="269" t="s">
        <v>490</v>
      </c>
      <c r="D72" s="269" t="s">
        <v>137</v>
      </c>
      <c r="E72" s="7" t="s">
        <v>483</v>
      </c>
      <c r="F72" s="269" t="s">
        <v>131</v>
      </c>
      <c r="G72" s="269" t="s">
        <v>136</v>
      </c>
      <c r="H72" s="286" t="n">
        <v>36678</v>
      </c>
      <c r="I72" s="272" t="n">
        <v>-333333</v>
      </c>
      <c r="J72" s="125" t="n">
        <v>0.46</v>
      </c>
      <c r="K72" s="124" t="n">
        <f aca="false">HLOOKUP($D$3,GDPRICES,VLOOKUP(Q72,GDmove_down,2,FALSE()),FALSE())</f>
        <v>4.77</v>
      </c>
      <c r="L72" s="124" t="n">
        <f aca="false">HLOOKUP($E$3,GDPRICES,VLOOKUP(Q72,GDmove_down,2,FALSE()),FALSE())</f>
        <v>3.505</v>
      </c>
      <c r="M72" s="126" t="n">
        <v>1</v>
      </c>
      <c r="N72" s="7" t="n">
        <v>0.515</v>
      </c>
      <c r="O72" s="7" t="n">
        <v>0.515</v>
      </c>
      <c r="P72" s="249" t="e">
        <f aca="false">HLOOKUP(E72,GDcorr,VLOOKUP(H72,GDCorMove,2,FALSE()),FALSE())</f>
        <v>#N/A</v>
      </c>
      <c r="Q72" s="92" t="n">
        <v>36687</v>
      </c>
      <c r="R72" s="7" t="n">
        <f aca="false">IF(G72="P",0,1)</f>
        <v>1</v>
      </c>
      <c r="S72" s="130" t="e">
        <f aca="false">xSPRDOPT($K72,$L72,$J72,$M72,$N72,$O72,$P72,$Q72-$C$3,$R72,0)</f>
        <v>#NAME?</v>
      </c>
      <c r="T72" s="250" t="e">
        <f aca="false">xSPRDOPT($K72,$L72,$J72,$M72,$N72,$O72,$P72,$Q72-$C$3,$R72,1)*I72</f>
        <v>#NAME?</v>
      </c>
      <c r="U72" s="43" t="n">
        <v>-36666.63</v>
      </c>
      <c r="V72" s="250" t="e">
        <f aca="false">xSPRDOPT($K72,$L72,$J72,$M72,$N72,$O72,$P72,$Q72-$C$3,$R72,2)*I72</f>
        <v>#NAME?</v>
      </c>
      <c r="W72" s="250" t="e">
        <f aca="false">+V72+T72</f>
        <v>#NAME?</v>
      </c>
      <c r="X72" s="2" t="str">
        <f aca="false">CONCATENATE(H72,E72)</f>
        <v>36678IF-ELPO/SJ</v>
      </c>
      <c r="Y72" s="251" t="n">
        <f aca="false">I72/10000</f>
        <v>-33.3333</v>
      </c>
      <c r="Z72" s="2"/>
      <c r="AA72" s="2"/>
      <c r="AB72" s="182" t="n">
        <f aca="false">H72</f>
        <v>36678</v>
      </c>
      <c r="AC72" s="253" t="e">
        <f aca="false">xSPRDOPT(HLOOKUP($D$3,GDPRICES,VLOOKUP(Q72,GDmove_down,2,FALSE()),FALSE()),HLOOKUP($E$3,GDPRICES,VLOOKUP(Q72,GDmove_down,2,FALSE()),FALSE()),J72,VLOOKUP(H72,NGPREVPRICES,4,FALSE()),HLOOKUP($H$3,GDPrevVols,VLOOKUP(Q72,GDmove_down2,2,FALSE()),FALSE()),HLOOKUP($H$3,GDPrevVols,VLOOKUP(Q72,GDmove_down2,2,FALSE()),FALSE()),HLOOKUP(E72,GDcorr,VLOOKUP(H72,CorMove,2,FALSE()),FALSE()),Q72-$AC$3,R72,$AC$5)*I72-AI72</f>
        <v>#N/A</v>
      </c>
      <c r="AD72" s="253" t="e">
        <f aca="false">xSPRDOPT(HLOOKUP($D$3,GDPrev,VLOOKUP(Q72,GDmove_down,2,FALSE()),FALSE()),HLOOKUP($E$3,GDPrev,VLOOKUP(Q72,GDmove_down,2,FALSE()),FALSE()),AJ72,VLOOKUP(H72,NGPrices,4,FALSE()),HLOOKUP($H$3,GDPrevVols,VLOOKUP(Q72,GDmove_down2,2,FALSE()),FALSE()),HLOOKUP($H$3,GDPrevVols,VLOOKUP(Q72,GDmove_down2,2,FALSE()),FALSE()),HLOOKUP(E72,GDcorr,VLOOKUP(H72,CorMove,2,FALSE()),FALSE()),Q72-$AC$3,R72,$AI$5)*I72-AI72</f>
        <v>#N/A</v>
      </c>
      <c r="AE72" s="132" t="e">
        <f aca="false">(AI72/VLOOKUP(AB72,discount,3,FALSE()))-(AI72/VLOOKUP(AB72,discount,2,FALSE()))</f>
        <v>#N/A</v>
      </c>
      <c r="AF72" s="253" t="e">
        <f aca="false">xSPRDOPT(HLOOKUP($D$3,GDPrev,VLOOKUP(Q72,GDmove_down,2,FALSE()),FALSE()),HLOOKUP($E$3,GDPrev,VLOOKUP(Q72,GDmove_down,2,FALSE()),FALSE()),AJ72,VLOOKUP(H72,NGPREVPRICES,4,FALSE()),HLOOKUP($H$3,GDVol,VLOOKUP(H72,move_down,2,FALSE()),FALSE()),HLOOKUP($H$3,GDVol,VLOOKUP(H72,move_down,2,FALSE()),FALSE()),HLOOKUP(E72,GDcorr,VLOOKUP(H72,CorMove,2,FALSE()),FALSE()),Q72-$AC$3,R72,$AI$5)*I72-AI72</f>
        <v>#N/A</v>
      </c>
      <c r="AG72" s="253" t="e">
        <f aca="false">xSPRDOPT(HLOOKUP($D$3,GDPrev,VLOOKUP(Q72,GDmove_down,2,FALSE()),FALSE()),HLOOKUP($E$3,GDPrev,VLOOKUP(Q72,GDmove_down,2,FALSE()),FALSE()),AJ72,VLOOKUP(H72,NGPREVPRICES,4,FALSE()),HLOOKUP($H$3,GDPrevVols,VLOOKUP(Q72,GDmove_down2,2,FALSE()),FALSE()),HLOOKUP($H$3,GDPrevVols,VLOOKUP(Q72,GDmove_down2,2,FALSE()),FALSE()),HLOOKUP(E72,GDcorr,VLOOKUP(H72,CorMove,2,FALSE()),FALSE()),Q72-$C$3,R72,$AI$5)*I72-AI72</f>
        <v>#N/A</v>
      </c>
      <c r="AH72" s="253" t="e">
        <f aca="false">SUM(AC72:AG72)</f>
        <v>#N/A</v>
      </c>
      <c r="AI72" s="253" t="e">
        <f aca="false">xSPRDOPT(HLOOKUP($D$3,GDPrev,VLOOKUP(Q72,GDmove_down,2,FALSE()),FALSE()),HLOOKUP($E$3,GDPrev,VLOOKUP(Q72,GDmove_down,2,FALSE()),FALSE()),AJ72,VLOOKUP(H72,NGPREVPRICES,4,FALSE()),HLOOKUP($H$3,GDPrevVols,VLOOKUP(Q72,GDmove_down2,2,FALSE()),FALSE()),HLOOKUP($H$3,GDPrevVols,VLOOKUP(Q72,GDmove_down2,2,FALSE()),FALSE()),HLOOKUP(E72,GDcorr,VLOOKUP(H72,CorMove,2,FALSE()),FALSE()),Q72-$AC$3,R72,$AI$5)*I72</f>
        <v>#N/A</v>
      </c>
      <c r="AJ72" s="254" t="e">
        <f aca="false">HLOOKUP(D72,PREVCURVES,VLOOKUP(H72,MOVE_DOWN2,2,FALSE()),FALSE())-HLOOKUP(E72,PREVCURVES,VLOOKUP(H72,MOVE_DOWN2,2,FALSE()),FALSE())</f>
        <v>#N/A</v>
      </c>
      <c r="AK72" s="253"/>
      <c r="AL72" s="0" t="str">
        <f aca="false">CONCATENATE(AB72,$AC$6)</f>
        <v>36678Curve Shift/Gamma</v>
      </c>
      <c r="AM72" s="0" t="str">
        <f aca="false">CONCATENATE($AB72,$AD$6)</f>
        <v>36678Rho</v>
      </c>
      <c r="AN72" s="0" t="str">
        <f aca="false">CONCATENATE($AB72,$AE$6)</f>
        <v>36678Drift</v>
      </c>
      <c r="AO72" s="0" t="str">
        <f aca="false">CONCATENATE($AB72,$AF$6)</f>
        <v>36678Vega</v>
      </c>
      <c r="AP72" s="0" t="str">
        <f aca="false">CONCATENATE($AB72,$AG$6)</f>
        <v>36678Theta</v>
      </c>
      <c r="AZ72" s="143" t="n">
        <f aca="false">EOMONTH(AZ71,0)+1</f>
        <v>38139</v>
      </c>
      <c r="BA72" s="135"/>
      <c r="BG72" s="285" t="n">
        <v>38473</v>
      </c>
      <c r="BH72" s="0" t="n">
        <v>0.985</v>
      </c>
      <c r="BJ72" s="285" t="n">
        <v>38473</v>
      </c>
      <c r="BK72" s="0" t="n">
        <v>69</v>
      </c>
    </row>
    <row r="73" customFormat="false" ht="12" hidden="false" customHeight="true" outlineLevel="0" collapsed="false">
      <c r="A73" s="267" t="s">
        <v>196</v>
      </c>
      <c r="B73" s="269" t="s">
        <v>192</v>
      </c>
      <c r="C73" s="269" t="s">
        <v>491</v>
      </c>
      <c r="D73" s="269" t="s">
        <v>137</v>
      </c>
      <c r="E73" s="7" t="s">
        <v>483</v>
      </c>
      <c r="F73" s="269" t="s">
        <v>131</v>
      </c>
      <c r="G73" s="269" t="s">
        <v>136</v>
      </c>
      <c r="H73" s="286" t="n">
        <v>36678</v>
      </c>
      <c r="I73" s="272" t="n">
        <v>-10000</v>
      </c>
      <c r="J73" s="125" t="n">
        <v>0.46</v>
      </c>
      <c r="K73" s="124" t="n">
        <f aca="false">HLOOKUP($D$3,GDPRICES,VLOOKUP(Q73,GDmove_down,2,FALSE()),FALSE())</f>
        <v>4.77</v>
      </c>
      <c r="L73" s="124" t="n">
        <f aca="false">HLOOKUP($E$3,GDPRICES,VLOOKUP(Q73,GDmove_down,2,FALSE()),FALSE())</f>
        <v>3.505</v>
      </c>
      <c r="M73" s="126" t="n">
        <v>1</v>
      </c>
      <c r="N73" s="7" t="n">
        <v>0.515</v>
      </c>
      <c r="O73" s="7" t="n">
        <v>0.515</v>
      </c>
      <c r="P73" s="249" t="e">
        <f aca="false">HLOOKUP(E73,GDcorr,VLOOKUP(H73,GDCorMove,2,FALSE()),FALSE())</f>
        <v>#N/A</v>
      </c>
      <c r="Q73" s="92" t="n">
        <v>36687</v>
      </c>
      <c r="R73" s="7" t="n">
        <f aca="false">IF(G73="P",0,1)</f>
        <v>1</v>
      </c>
      <c r="S73" s="130" t="e">
        <f aca="false">xSPRDOPT($K73,$L73,$J73,$M73,$N73,$O73,$P73,$Q73-$C$3,$R73,0)</f>
        <v>#NAME?</v>
      </c>
      <c r="T73" s="250" t="e">
        <f aca="false">xSPRDOPT($K73,$L73,$J73,$M73,$N73,$O73,$P73,$Q73-$C$3,$R73,1)*I73</f>
        <v>#NAME?</v>
      </c>
      <c r="U73" s="43" t="n">
        <v>-1100</v>
      </c>
      <c r="V73" s="250" t="e">
        <f aca="false">xSPRDOPT($K73,$L73,$J73,$M73,$N73,$O73,$P73,$Q73-$C$3,$R73,2)*I73</f>
        <v>#NAME?</v>
      </c>
      <c r="W73" s="250" t="e">
        <f aca="false">+V73+T73</f>
        <v>#NAME?</v>
      </c>
      <c r="X73" s="2" t="str">
        <f aca="false">CONCATENATE(H73,E73)</f>
        <v>36678IF-ELPO/SJ</v>
      </c>
      <c r="Y73" s="251" t="n">
        <f aca="false">I73/10000</f>
        <v>-1</v>
      </c>
      <c r="Z73" s="2"/>
      <c r="AA73" s="2"/>
      <c r="AB73" s="182" t="n">
        <f aca="false">H73</f>
        <v>36678</v>
      </c>
      <c r="AC73" s="253" t="e">
        <f aca="false">xSPRDOPT(HLOOKUP($D$3,GDPRICES,VLOOKUP(Q73,GDmove_down,2,FALSE()),FALSE()),HLOOKUP($E$3,GDPRICES,VLOOKUP(Q73,GDmove_down,2,FALSE()),FALSE()),J73,VLOOKUP(H73,NGPREVPRICES,4,FALSE()),HLOOKUP($H$3,GDPrevVols,VLOOKUP(Q73,GDmove_down2,2,FALSE()),FALSE()),HLOOKUP($H$3,GDPrevVols,VLOOKUP(Q73,GDmove_down2,2,FALSE()),FALSE()),HLOOKUP(E73,GDcorr,VLOOKUP(H73,CorMove,2,FALSE()),FALSE()),Q73-$AC$3,R73,$AC$5)*I73-AI73</f>
        <v>#N/A</v>
      </c>
      <c r="AD73" s="253" t="e">
        <f aca="false">xSPRDOPT(HLOOKUP($D$3,GDPrev,VLOOKUP(Q73,GDmove_down,2,FALSE()),FALSE()),HLOOKUP($E$3,GDPrev,VLOOKUP(Q73,GDmove_down,2,FALSE()),FALSE()),AJ73,VLOOKUP(H73,NGPrices,4,FALSE()),HLOOKUP($H$3,GDPrevVols,VLOOKUP(Q73,GDmove_down2,2,FALSE()),FALSE()),HLOOKUP($H$3,GDPrevVols,VLOOKUP(Q73,GDmove_down2,2,FALSE()),FALSE()),HLOOKUP(E73,GDcorr,VLOOKUP(H73,CorMove,2,FALSE()),FALSE()),Q73-$AC$3,R73,$AI$5)*I73-AI73</f>
        <v>#N/A</v>
      </c>
      <c r="AE73" s="132" t="e">
        <f aca="false">(AI73/VLOOKUP(AB73,discount,3,FALSE()))-(AI73/VLOOKUP(AB73,discount,2,FALSE()))</f>
        <v>#N/A</v>
      </c>
      <c r="AF73" s="253" t="e">
        <f aca="false">xSPRDOPT(HLOOKUP($D$3,GDPrev,VLOOKUP(Q73,GDmove_down,2,FALSE()),FALSE()),HLOOKUP($E$3,GDPrev,VLOOKUP(Q73,GDmove_down,2,FALSE()),FALSE()),AJ73,VLOOKUP(H73,NGPREVPRICES,4,FALSE()),HLOOKUP($H$3,GDVol,VLOOKUP(H73,move_down,2,FALSE()),FALSE()),HLOOKUP($H$3,GDVol,VLOOKUP(H73,move_down,2,FALSE()),FALSE()),HLOOKUP(E73,GDcorr,VLOOKUP(H73,CorMove,2,FALSE()),FALSE()),Q73-$AC$3,R73,$AI$5)*I73-AI73</f>
        <v>#N/A</v>
      </c>
      <c r="AG73" s="253" t="e">
        <f aca="false">xSPRDOPT(HLOOKUP($D$3,GDPrev,VLOOKUP(Q73,GDmove_down,2,FALSE()),FALSE()),HLOOKUP($E$3,GDPrev,VLOOKUP(Q73,GDmove_down,2,FALSE()),FALSE()),AJ73,VLOOKUP(H73,NGPREVPRICES,4,FALSE()),HLOOKUP($H$3,GDPrevVols,VLOOKUP(Q73,GDmove_down2,2,FALSE()),FALSE()),HLOOKUP($H$3,GDPrevVols,VLOOKUP(Q73,GDmove_down2,2,FALSE()),FALSE()),HLOOKUP(E73,GDcorr,VLOOKUP(H73,CorMove,2,FALSE()),FALSE()),Q73-$C$3,R73,$AI$5)*I73-AI73</f>
        <v>#N/A</v>
      </c>
      <c r="AH73" s="253" t="e">
        <f aca="false">SUM(AC73:AG73)</f>
        <v>#N/A</v>
      </c>
      <c r="AI73" s="253" t="e">
        <f aca="false">xSPRDOPT(HLOOKUP($D$3,GDPrev,VLOOKUP(Q73,GDmove_down,2,FALSE()),FALSE()),HLOOKUP($E$3,GDPrev,VLOOKUP(Q73,GDmove_down,2,FALSE()),FALSE()),AJ73,VLOOKUP(H73,NGPREVPRICES,4,FALSE()),HLOOKUP($H$3,GDPrevVols,VLOOKUP(Q73,GDmove_down2,2,FALSE()),FALSE()),HLOOKUP($H$3,GDPrevVols,VLOOKUP(Q73,GDmove_down2,2,FALSE()),FALSE()),HLOOKUP(E73,GDcorr,VLOOKUP(H73,CorMove,2,FALSE()),FALSE()),Q73-$AC$3,R73,$AI$5)*I73</f>
        <v>#N/A</v>
      </c>
      <c r="AJ73" s="254" t="e">
        <f aca="false">HLOOKUP(D73,PREVCURVES,VLOOKUP(H73,MOVE_DOWN2,2,FALSE()),FALSE())-HLOOKUP(E73,PREVCURVES,VLOOKUP(H73,MOVE_DOWN2,2,FALSE()),FALSE())</f>
        <v>#N/A</v>
      </c>
      <c r="AK73" s="253"/>
      <c r="AL73" s="0" t="str">
        <f aca="false">CONCATENATE(AB73,$AC$6)</f>
        <v>36678Curve Shift/Gamma</v>
      </c>
      <c r="AM73" s="0" t="str">
        <f aca="false">CONCATENATE($AB73,$AD$6)</f>
        <v>36678Rho</v>
      </c>
      <c r="AN73" s="0" t="str">
        <f aca="false">CONCATENATE($AB73,$AE$6)</f>
        <v>36678Drift</v>
      </c>
      <c r="AO73" s="0" t="str">
        <f aca="false">CONCATENATE($AB73,$AF$6)</f>
        <v>36678Vega</v>
      </c>
      <c r="AP73" s="0" t="str">
        <f aca="false">CONCATENATE($AB73,$AG$6)</f>
        <v>36678Theta</v>
      </c>
      <c r="AZ73" s="143" t="n">
        <f aca="false">EOMONTH(AZ72,0)+1</f>
        <v>38169</v>
      </c>
      <c r="BA73" s="135"/>
      <c r="BG73" s="285" t="n">
        <v>38504</v>
      </c>
      <c r="BH73" s="0" t="n">
        <v>0.985</v>
      </c>
      <c r="BJ73" s="285" t="n">
        <v>38504</v>
      </c>
      <c r="BK73" s="0" t="n">
        <v>70</v>
      </c>
    </row>
    <row r="74" customFormat="false" ht="12" hidden="false" customHeight="true" outlineLevel="0" collapsed="false">
      <c r="A74" s="267" t="s">
        <v>198</v>
      </c>
      <c r="B74" s="269" t="s">
        <v>192</v>
      </c>
      <c r="C74" s="269" t="s">
        <v>492</v>
      </c>
      <c r="D74" s="269" t="s">
        <v>137</v>
      </c>
      <c r="E74" s="7" t="s">
        <v>483</v>
      </c>
      <c r="F74" s="269" t="s">
        <v>131</v>
      </c>
      <c r="G74" s="269" t="s">
        <v>136</v>
      </c>
      <c r="H74" s="286" t="n">
        <v>36678</v>
      </c>
      <c r="I74" s="272" t="n">
        <v>50000</v>
      </c>
      <c r="J74" s="125" t="n">
        <v>0.46</v>
      </c>
      <c r="K74" s="124" t="n">
        <f aca="false">HLOOKUP($D$3,GDPRICES,VLOOKUP(Q74,GDmove_down,2,FALSE()),FALSE())</f>
        <v>4.77</v>
      </c>
      <c r="L74" s="124" t="n">
        <f aca="false">HLOOKUP($E$3,GDPRICES,VLOOKUP(Q74,GDmove_down,2,FALSE()),FALSE())</f>
        <v>3.505</v>
      </c>
      <c r="M74" s="126" t="n">
        <v>1</v>
      </c>
      <c r="N74" s="7" t="n">
        <v>0.515</v>
      </c>
      <c r="O74" s="7" t="n">
        <v>0.515</v>
      </c>
      <c r="P74" s="249" t="e">
        <f aca="false">HLOOKUP(E74,GDcorr,VLOOKUP(H74,GDCorMove,2,FALSE()),FALSE())</f>
        <v>#N/A</v>
      </c>
      <c r="Q74" s="92" t="n">
        <v>36687</v>
      </c>
      <c r="R74" s="7" t="n">
        <f aca="false">IF(G74="P",0,1)</f>
        <v>1</v>
      </c>
      <c r="S74" s="130" t="e">
        <f aca="false">xSPRDOPT($K74,$L74,$J74,$M74,$N74,$O74,$P74,$Q74-$C$3,$R74,0)</f>
        <v>#NAME?</v>
      </c>
      <c r="T74" s="250" t="e">
        <f aca="false">xSPRDOPT($K74,$L74,$J74,$M74,$N74,$O74,$P74,$Q74-$C$3,$R74,1)*I74</f>
        <v>#NAME?</v>
      </c>
      <c r="U74" s="43" t="n">
        <v>5500</v>
      </c>
      <c r="V74" s="250" t="e">
        <f aca="false">xSPRDOPT($K74,$L74,$J74,$M74,$N74,$O74,$P74,$Q74-$C$3,$R74,2)*I74</f>
        <v>#NAME?</v>
      </c>
      <c r="W74" s="250" t="e">
        <f aca="false">+V74+T74</f>
        <v>#NAME?</v>
      </c>
      <c r="X74" s="2" t="str">
        <f aca="false">CONCATENATE(H74,E74)</f>
        <v>36678IF-ELPO/SJ</v>
      </c>
      <c r="Y74" s="251" t="n">
        <f aca="false">I74/10000</f>
        <v>5</v>
      </c>
      <c r="AA74" s="2"/>
      <c r="AB74" s="182" t="n">
        <f aca="false">H74</f>
        <v>36678</v>
      </c>
      <c r="AC74" s="253" t="e">
        <f aca="false">xSPRDOPT(HLOOKUP($D$3,GDPRICES,VLOOKUP(Q74,GDmove_down,2,FALSE()),FALSE()),HLOOKUP($E$3,GDPRICES,VLOOKUP(Q74,GDmove_down,2,FALSE()),FALSE()),J74,VLOOKUP(H74,NGPREVPRICES,4,FALSE()),HLOOKUP($H$3,GDPrevVols,VLOOKUP(Q74,GDmove_down2,2,FALSE()),FALSE()),HLOOKUP($H$3,GDPrevVols,VLOOKUP(Q74,GDmove_down2,2,FALSE()),FALSE()),HLOOKUP(E74,GDcorr,VLOOKUP(H74,CorMove,2,FALSE()),FALSE()),Q74-$AC$3,R74,$AC$5)*I74-AI74</f>
        <v>#N/A</v>
      </c>
      <c r="AD74" s="253" t="e">
        <f aca="false">xSPRDOPT(HLOOKUP($D$3,GDPrev,VLOOKUP(Q74,GDmove_down,2,FALSE()),FALSE()),HLOOKUP($E$3,GDPrev,VLOOKUP(Q74,GDmove_down,2,FALSE()),FALSE()),AJ74,VLOOKUP(H74,NGPrices,4,FALSE()),HLOOKUP($H$3,GDPrevVols,VLOOKUP(Q74,GDmove_down2,2,FALSE()),FALSE()),HLOOKUP($H$3,GDPrevVols,VLOOKUP(Q74,GDmove_down2,2,FALSE()),FALSE()),HLOOKUP(E74,GDcorr,VLOOKUP(H74,CorMove,2,FALSE()),FALSE()),Q74-$AC$3,R74,$AI$5)*I74-AI74</f>
        <v>#N/A</v>
      </c>
      <c r="AE74" s="132" t="e">
        <f aca="false">(AI74/VLOOKUP(AB74,discount,3,FALSE()))-(AI74/VLOOKUP(AB74,discount,2,FALSE()))</f>
        <v>#N/A</v>
      </c>
      <c r="AF74" s="253" t="e">
        <f aca="false">xSPRDOPT(HLOOKUP($D$3,GDPrev,VLOOKUP(Q74,GDmove_down,2,FALSE()),FALSE()),HLOOKUP($E$3,GDPrev,VLOOKUP(Q74,GDmove_down,2,FALSE()),FALSE()),AJ74,VLOOKUP(H74,NGPREVPRICES,4,FALSE()),HLOOKUP($H$3,GDVol,VLOOKUP(H74,move_down,2,FALSE()),FALSE()),HLOOKUP($H$3,GDVol,VLOOKUP(H74,move_down,2,FALSE()),FALSE()),HLOOKUP(E74,GDcorr,VLOOKUP(H74,CorMove,2,FALSE()),FALSE()),Q74-$AC$3,R74,$AI$5)*I74-AI74</f>
        <v>#N/A</v>
      </c>
      <c r="AG74" s="253" t="e">
        <f aca="false">xSPRDOPT(HLOOKUP($D$3,GDPrev,VLOOKUP(Q74,GDmove_down,2,FALSE()),FALSE()),HLOOKUP($E$3,GDPrev,VLOOKUP(Q74,GDmove_down,2,FALSE()),FALSE()),AJ74,VLOOKUP(H74,NGPREVPRICES,4,FALSE()),HLOOKUP($H$3,GDPrevVols,VLOOKUP(Q74,GDmove_down2,2,FALSE()),FALSE()),HLOOKUP($H$3,GDPrevVols,VLOOKUP(Q74,GDmove_down2,2,FALSE()),FALSE()),HLOOKUP(E74,GDcorr,VLOOKUP(H74,CorMove,2,FALSE()),FALSE()),Q74-$C$3,R74,$AI$5)*I74-AI74</f>
        <v>#N/A</v>
      </c>
      <c r="AH74" s="253" t="e">
        <f aca="false">SUM(AC74:AG74)</f>
        <v>#N/A</v>
      </c>
      <c r="AI74" s="253" t="e">
        <f aca="false">xSPRDOPT(HLOOKUP($D$3,GDPrev,VLOOKUP(Q74,GDmove_down,2,FALSE()),FALSE()),HLOOKUP($E$3,GDPrev,VLOOKUP(Q74,GDmove_down,2,FALSE()),FALSE()),AJ74,VLOOKUP(H74,NGPREVPRICES,4,FALSE()),HLOOKUP($H$3,GDPrevVols,VLOOKUP(Q74,GDmove_down2,2,FALSE()),FALSE()),HLOOKUP($H$3,GDPrevVols,VLOOKUP(Q74,GDmove_down2,2,FALSE()),FALSE()),HLOOKUP(E74,GDcorr,VLOOKUP(H74,CorMove,2,FALSE()),FALSE()),Q74-$AC$3,R74,$AI$5)*I74</f>
        <v>#N/A</v>
      </c>
      <c r="AJ74" s="254" t="e">
        <f aca="false">HLOOKUP(D74,PREVCURVES,VLOOKUP(H74,MOVE_DOWN2,2,FALSE()),FALSE())-HLOOKUP(E74,PREVCURVES,VLOOKUP(H74,MOVE_DOWN2,2,FALSE()),FALSE())</f>
        <v>#N/A</v>
      </c>
      <c r="AK74" s="253"/>
      <c r="AL74" s="0" t="str">
        <f aca="false">CONCATENATE(AB74,$AC$6)</f>
        <v>36678Curve Shift/Gamma</v>
      </c>
      <c r="AM74" s="0" t="str">
        <f aca="false">CONCATENATE($AB74,$AD$6)</f>
        <v>36678Rho</v>
      </c>
      <c r="AN74" s="0" t="str">
        <f aca="false">CONCATENATE($AB74,$AE$6)</f>
        <v>36678Drift</v>
      </c>
      <c r="AO74" s="0" t="str">
        <f aca="false">CONCATENATE($AB74,$AF$6)</f>
        <v>36678Vega</v>
      </c>
      <c r="AP74" s="0" t="str">
        <f aca="false">CONCATENATE($AB74,$AG$6)</f>
        <v>36678Theta</v>
      </c>
      <c r="AZ74" s="143" t="n">
        <f aca="false">EOMONTH(AZ73,0)+1</f>
        <v>38200</v>
      </c>
      <c r="BA74" s="135"/>
      <c r="BG74" s="285" t="n">
        <v>38534</v>
      </c>
      <c r="BH74" s="0" t="n">
        <v>0.985</v>
      </c>
      <c r="BJ74" s="285" t="n">
        <v>38534</v>
      </c>
      <c r="BK74" s="0" t="n">
        <v>71</v>
      </c>
    </row>
    <row r="75" customFormat="false" ht="12" hidden="false" customHeight="true" outlineLevel="0" collapsed="false">
      <c r="A75" s="267" t="s">
        <v>198</v>
      </c>
      <c r="B75" s="269" t="s">
        <v>192</v>
      </c>
      <c r="C75" s="269" t="s">
        <v>493</v>
      </c>
      <c r="D75" s="269" t="s">
        <v>137</v>
      </c>
      <c r="E75" s="7" t="s">
        <v>483</v>
      </c>
      <c r="F75" s="269" t="s">
        <v>131</v>
      </c>
      <c r="G75" s="269" t="s">
        <v>136</v>
      </c>
      <c r="H75" s="286" t="n">
        <v>36678</v>
      </c>
      <c r="I75" s="272" t="n">
        <v>50000</v>
      </c>
      <c r="J75" s="125" t="n">
        <v>0.46</v>
      </c>
      <c r="K75" s="124" t="n">
        <f aca="false">HLOOKUP($D$3,GDPRICES,VLOOKUP(Q75,GDmove_down,2,FALSE()),FALSE())</f>
        <v>4.77</v>
      </c>
      <c r="L75" s="124" t="n">
        <f aca="false">HLOOKUP($E$3,GDPRICES,VLOOKUP(Q75,GDmove_down,2,FALSE()),FALSE())</f>
        <v>3.505</v>
      </c>
      <c r="M75" s="126" t="n">
        <v>1</v>
      </c>
      <c r="N75" s="7" t="n">
        <v>0.515</v>
      </c>
      <c r="O75" s="7" t="n">
        <v>0.515</v>
      </c>
      <c r="P75" s="249" t="e">
        <f aca="false">HLOOKUP(E75,GDcorr,VLOOKUP(H75,GDCorMove,2,FALSE()),FALSE())</f>
        <v>#N/A</v>
      </c>
      <c r="Q75" s="92" t="n">
        <v>36687</v>
      </c>
      <c r="R75" s="7" t="n">
        <f aca="false">IF(G75="P",0,1)</f>
        <v>1</v>
      </c>
      <c r="S75" s="130" t="e">
        <f aca="false">xSPRDOPT($K75,$L75,$J75,$M75,$N75,$O75,$P75,$Q75-$C$3,$R75,0)</f>
        <v>#NAME?</v>
      </c>
      <c r="T75" s="250" t="e">
        <f aca="false">xSPRDOPT($K75,$L75,$J75,$M75,$N75,$O75,$P75,$Q75-$C$3,$R75,1)*I75</f>
        <v>#NAME?</v>
      </c>
      <c r="U75" s="43" t="n">
        <v>5500</v>
      </c>
      <c r="V75" s="250" t="e">
        <f aca="false">xSPRDOPT($K75,$L75,$J75,$M75,$N75,$O75,$P75,$Q75-$C$3,$R75,2)*I75</f>
        <v>#NAME?</v>
      </c>
      <c r="W75" s="250" t="e">
        <f aca="false">+V75+T75</f>
        <v>#NAME?</v>
      </c>
      <c r="X75" s="2" t="str">
        <f aca="false">CONCATENATE(H75,E75)</f>
        <v>36678IF-ELPO/SJ</v>
      </c>
      <c r="Y75" s="251" t="n">
        <f aca="false">I75/10000</f>
        <v>5</v>
      </c>
      <c r="AA75" s="2"/>
      <c r="AB75" s="182" t="n">
        <f aca="false">H75</f>
        <v>36678</v>
      </c>
      <c r="AC75" s="253" t="e">
        <f aca="false">xSPRDOPT(HLOOKUP($D$3,GDPRICES,VLOOKUP(Q75,GDmove_down,2,FALSE()),FALSE()),HLOOKUP($E$3,GDPRICES,VLOOKUP(Q75,GDmove_down,2,FALSE()),FALSE()),J75,VLOOKUP(H75,NGPREVPRICES,4,FALSE()),HLOOKUP($H$3,GDPrevVols,VLOOKUP(Q75,GDmove_down2,2,FALSE()),FALSE()),HLOOKUP($H$3,GDPrevVols,VLOOKUP(Q75,GDmove_down2,2,FALSE()),FALSE()),HLOOKUP(E75,GDcorr,VLOOKUP(H75,CorMove,2,FALSE()),FALSE()),Q75-$AC$3,R75,$AC$5)*I75-AI75</f>
        <v>#N/A</v>
      </c>
      <c r="AD75" s="253" t="e">
        <f aca="false">xSPRDOPT(HLOOKUP($D$3,GDPrev,VLOOKUP(Q75,GDmove_down,2,FALSE()),FALSE()),HLOOKUP($E$3,GDPrev,VLOOKUP(Q75,GDmove_down,2,FALSE()),FALSE()),AJ75,VLOOKUP(H75,NGPrices,4,FALSE()),HLOOKUP($H$3,GDPrevVols,VLOOKUP(Q75,GDmove_down2,2,FALSE()),FALSE()),HLOOKUP($H$3,GDPrevVols,VLOOKUP(Q75,GDmove_down2,2,FALSE()),FALSE()),HLOOKUP(E75,GDcorr,VLOOKUP(H75,CorMove,2,FALSE()),FALSE()),Q75-$AC$3,R75,$AI$5)*I75-AI75</f>
        <v>#N/A</v>
      </c>
      <c r="AE75" s="132" t="e">
        <f aca="false">(AI75/VLOOKUP(AB75,discount,3,FALSE()))-(AI75/VLOOKUP(AB75,discount,2,FALSE()))</f>
        <v>#N/A</v>
      </c>
      <c r="AF75" s="253" t="e">
        <f aca="false">xSPRDOPT(HLOOKUP($D$3,GDPrev,VLOOKUP(Q75,GDmove_down,2,FALSE()),FALSE()),HLOOKUP($E$3,GDPrev,VLOOKUP(Q75,GDmove_down,2,FALSE()),FALSE()),AJ75,VLOOKUP(H75,NGPREVPRICES,4,FALSE()),HLOOKUP($H$3,GDVol,VLOOKUP(H75,move_down,2,FALSE()),FALSE()),HLOOKUP($H$3,GDVol,VLOOKUP(H75,move_down,2,FALSE()),FALSE()),HLOOKUP(E75,GDcorr,VLOOKUP(H75,CorMove,2,FALSE()),FALSE()),Q75-$AC$3,R75,$AI$5)*I75-AI75</f>
        <v>#N/A</v>
      </c>
      <c r="AG75" s="253" t="e">
        <f aca="false">xSPRDOPT(HLOOKUP($D$3,GDPrev,VLOOKUP(Q75,GDmove_down,2,FALSE()),FALSE()),HLOOKUP($E$3,GDPrev,VLOOKUP(Q75,GDmove_down,2,FALSE()),FALSE()),AJ75,VLOOKUP(H75,NGPREVPRICES,4,FALSE()),HLOOKUP($H$3,GDPrevVols,VLOOKUP(Q75,GDmove_down2,2,FALSE()),FALSE()),HLOOKUP($H$3,GDPrevVols,VLOOKUP(Q75,GDmove_down2,2,FALSE()),FALSE()),HLOOKUP(E75,GDcorr,VLOOKUP(H75,CorMove,2,FALSE()),FALSE()),Q75-$C$3,R75,$AI$5)*I75-AI75</f>
        <v>#N/A</v>
      </c>
      <c r="AH75" s="253" t="e">
        <f aca="false">SUM(AC75:AG75)</f>
        <v>#N/A</v>
      </c>
      <c r="AI75" s="253" t="e">
        <f aca="false">xSPRDOPT(HLOOKUP($D$3,GDPrev,VLOOKUP(Q75,GDmove_down,2,FALSE()),FALSE()),HLOOKUP($E$3,GDPrev,VLOOKUP(Q75,GDmove_down,2,FALSE()),FALSE()),AJ75,VLOOKUP(H75,NGPREVPRICES,4,FALSE()),HLOOKUP($H$3,GDPrevVols,VLOOKUP(Q75,GDmove_down2,2,FALSE()),FALSE()),HLOOKUP($H$3,GDPrevVols,VLOOKUP(Q75,GDmove_down2,2,FALSE()),FALSE()),HLOOKUP(E75,GDcorr,VLOOKUP(H75,CorMove,2,FALSE()),FALSE()),Q75-$AC$3,R75,$AI$5)*I75</f>
        <v>#N/A</v>
      </c>
      <c r="AJ75" s="254" t="e">
        <f aca="false">HLOOKUP(D75,PREVCURVES,VLOOKUP(H75,MOVE_DOWN2,2,FALSE()),FALSE())-HLOOKUP(E75,PREVCURVES,VLOOKUP(H75,MOVE_DOWN2,2,FALSE()),FALSE())</f>
        <v>#N/A</v>
      </c>
      <c r="AK75" s="253"/>
      <c r="AL75" s="0" t="str">
        <f aca="false">CONCATENATE(AB75,$AC$6)</f>
        <v>36678Curve Shift/Gamma</v>
      </c>
      <c r="AM75" s="0" t="str">
        <f aca="false">CONCATENATE($AB75,$AD$6)</f>
        <v>36678Rho</v>
      </c>
      <c r="AN75" s="0" t="str">
        <f aca="false">CONCATENATE($AB75,$AE$6)</f>
        <v>36678Drift</v>
      </c>
      <c r="AO75" s="0" t="str">
        <f aca="false">CONCATENATE($AB75,$AF$6)</f>
        <v>36678Vega</v>
      </c>
      <c r="AP75" s="0" t="str">
        <f aca="false">CONCATENATE($AB75,$AG$6)</f>
        <v>36678Theta</v>
      </c>
      <c r="AZ75" s="143" t="n">
        <f aca="false">EOMONTH(AZ74,0)+1</f>
        <v>38231</v>
      </c>
      <c r="BA75" s="135"/>
      <c r="BG75" s="285" t="n">
        <v>38565</v>
      </c>
      <c r="BH75" s="0" t="n">
        <v>0.985</v>
      </c>
      <c r="BJ75" s="285" t="n">
        <v>38565</v>
      </c>
      <c r="BK75" s="0" t="n">
        <v>72</v>
      </c>
    </row>
    <row r="76" customFormat="false" ht="12" hidden="false" customHeight="true" outlineLevel="0" collapsed="false">
      <c r="A76" s="267" t="s">
        <v>198</v>
      </c>
      <c r="B76" s="269" t="s">
        <v>192</v>
      </c>
      <c r="C76" s="269" t="s">
        <v>494</v>
      </c>
      <c r="D76" s="269" t="s">
        <v>137</v>
      </c>
      <c r="E76" s="7" t="s">
        <v>483</v>
      </c>
      <c r="F76" s="269" t="s">
        <v>131</v>
      </c>
      <c r="G76" s="269" t="s">
        <v>136</v>
      </c>
      <c r="H76" s="286" t="n">
        <v>36678</v>
      </c>
      <c r="I76" s="272" t="n">
        <v>-10000</v>
      </c>
      <c r="J76" s="125" t="n">
        <v>0.46</v>
      </c>
      <c r="K76" s="124" t="n">
        <f aca="false">HLOOKUP($D$3,GDPRICES,VLOOKUP(Q76,GDmove_down,2,FALSE()),FALSE())</f>
        <v>4.77</v>
      </c>
      <c r="L76" s="124" t="n">
        <f aca="false">HLOOKUP($E$3,GDPRICES,VLOOKUP(Q76,GDmove_down,2,FALSE()),FALSE())</f>
        <v>3.505</v>
      </c>
      <c r="M76" s="126" t="n">
        <v>1</v>
      </c>
      <c r="N76" s="7" t="n">
        <v>0.515</v>
      </c>
      <c r="O76" s="7" t="n">
        <v>0.515</v>
      </c>
      <c r="P76" s="249" t="e">
        <f aca="false">HLOOKUP(E76,GDcorr,VLOOKUP(H76,GDCorMove,2,FALSE()),FALSE())</f>
        <v>#N/A</v>
      </c>
      <c r="Q76" s="92" t="n">
        <v>36687</v>
      </c>
      <c r="R76" s="7" t="n">
        <f aca="false">IF(G76="P",0,1)</f>
        <v>1</v>
      </c>
      <c r="S76" s="130" t="e">
        <f aca="false">xSPRDOPT($K76,$L76,$J76,$M76,$N76,$O76,$P76,$Q76-$C$3,$R76,0)</f>
        <v>#NAME?</v>
      </c>
      <c r="T76" s="250" t="e">
        <f aca="false">xSPRDOPT($K76,$L76,$J76,$M76,$N76,$O76,$P76,$Q76-$C$3,$R76,1)*I76</f>
        <v>#NAME?</v>
      </c>
      <c r="U76" s="43" t="n">
        <v>-1100</v>
      </c>
      <c r="V76" s="250" t="e">
        <f aca="false">xSPRDOPT($K76,$L76,$J76,$M76,$N76,$O76,$P76,$Q76-$C$3,$R76,2)*I76</f>
        <v>#NAME?</v>
      </c>
      <c r="W76" s="250" t="e">
        <f aca="false">+V76+T76</f>
        <v>#NAME?</v>
      </c>
      <c r="X76" s="2" t="str">
        <f aca="false">CONCATENATE(H76,E76)</f>
        <v>36678IF-ELPO/SJ</v>
      </c>
      <c r="Y76" s="251" t="n">
        <f aca="false">I76/10000</f>
        <v>-1</v>
      </c>
      <c r="AA76" s="2"/>
      <c r="AB76" s="182" t="n">
        <f aca="false">H76</f>
        <v>36678</v>
      </c>
      <c r="AC76" s="253" t="e">
        <f aca="false">xSPRDOPT(HLOOKUP($D$3,GDPRICES,VLOOKUP(Q76,GDmove_down,2,FALSE()),FALSE()),HLOOKUP($E$3,GDPRICES,VLOOKUP(Q76,GDmove_down,2,FALSE()),FALSE()),J76,VLOOKUP(H76,NGPREVPRICES,4,FALSE()),HLOOKUP($H$3,GDPrevVols,VLOOKUP(Q76,GDmove_down2,2,FALSE()),FALSE()),HLOOKUP($H$3,GDPrevVols,VLOOKUP(Q76,GDmove_down2,2,FALSE()),FALSE()),HLOOKUP(E76,GDcorr,VLOOKUP(H76,CorMove,2,FALSE()),FALSE()),Q76-$AC$3,R76,$AC$5)*I76-AI76</f>
        <v>#N/A</v>
      </c>
      <c r="AD76" s="253" t="e">
        <f aca="false">xSPRDOPT(HLOOKUP($D$3,GDPrev,VLOOKUP(Q76,GDmove_down,2,FALSE()),FALSE()),HLOOKUP($E$3,GDPrev,VLOOKUP(Q76,GDmove_down,2,FALSE()),FALSE()),AJ76,VLOOKUP(H76,NGPrices,4,FALSE()),HLOOKUP($H$3,GDPrevVols,VLOOKUP(Q76,GDmove_down2,2,FALSE()),FALSE()),HLOOKUP($H$3,GDPrevVols,VLOOKUP(Q76,GDmove_down2,2,FALSE()),FALSE()),HLOOKUP(E76,GDcorr,VLOOKUP(H76,CorMove,2,FALSE()),FALSE()),Q76-$AC$3,R76,$AI$5)*I76-AI76</f>
        <v>#N/A</v>
      </c>
      <c r="AE76" s="132" t="e">
        <f aca="false">(AI76/VLOOKUP(AB76,discount,3,FALSE()))-(AI76/VLOOKUP(AB76,discount,2,FALSE()))</f>
        <v>#N/A</v>
      </c>
      <c r="AF76" s="253" t="e">
        <f aca="false">xSPRDOPT(HLOOKUP($D$3,GDPrev,VLOOKUP(Q76,GDmove_down,2,FALSE()),FALSE()),HLOOKUP($E$3,GDPrev,VLOOKUP(Q76,GDmove_down,2,FALSE()),FALSE()),AJ76,VLOOKUP(H76,NGPREVPRICES,4,FALSE()),HLOOKUP($H$3,GDVol,VLOOKUP(H76,move_down,2,FALSE()),FALSE()),HLOOKUP($H$3,GDVol,VLOOKUP(H76,move_down,2,FALSE()),FALSE()),HLOOKUP(E76,GDcorr,VLOOKUP(H76,CorMove,2,FALSE()),FALSE()),Q76-$AC$3,R76,$AI$5)*I76-AI76</f>
        <v>#N/A</v>
      </c>
      <c r="AG76" s="253" t="e">
        <f aca="false">xSPRDOPT(HLOOKUP($D$3,GDPrev,VLOOKUP(Q76,GDmove_down,2,FALSE()),FALSE()),HLOOKUP($E$3,GDPrev,VLOOKUP(Q76,GDmove_down,2,FALSE()),FALSE()),AJ76,VLOOKUP(H76,NGPREVPRICES,4,FALSE()),HLOOKUP($H$3,GDPrevVols,VLOOKUP(Q76,GDmove_down2,2,FALSE()),FALSE()),HLOOKUP($H$3,GDPrevVols,VLOOKUP(Q76,GDmove_down2,2,FALSE()),FALSE()),HLOOKUP(E76,GDcorr,VLOOKUP(H76,CorMove,2,FALSE()),FALSE()),Q76-$C$3,R76,$AI$5)*I76-AI76</f>
        <v>#N/A</v>
      </c>
      <c r="AH76" s="253" t="e">
        <f aca="false">SUM(AC76:AG76)</f>
        <v>#N/A</v>
      </c>
      <c r="AI76" s="253" t="e">
        <f aca="false">xSPRDOPT(HLOOKUP($D$3,GDPrev,VLOOKUP(Q76,GDmove_down,2,FALSE()),FALSE()),HLOOKUP($E$3,GDPrev,VLOOKUP(Q76,GDmove_down,2,FALSE()),FALSE()),AJ76,VLOOKUP(H76,NGPREVPRICES,4,FALSE()),HLOOKUP($H$3,GDPrevVols,VLOOKUP(Q76,GDmove_down2,2,FALSE()),FALSE()),HLOOKUP($H$3,GDPrevVols,VLOOKUP(Q76,GDmove_down2,2,FALSE()),FALSE()),HLOOKUP(E76,GDcorr,VLOOKUP(H76,CorMove,2,FALSE()),FALSE()),Q76-$AC$3,R76,$AI$5)*I76</f>
        <v>#N/A</v>
      </c>
      <c r="AJ76" s="254" t="e">
        <f aca="false">HLOOKUP(D76,PREVCURVES,VLOOKUP(H76,MOVE_DOWN2,2,FALSE()),FALSE())-HLOOKUP(E76,PREVCURVES,VLOOKUP(H76,MOVE_DOWN2,2,FALSE()),FALSE())</f>
        <v>#N/A</v>
      </c>
      <c r="AK76" s="253"/>
      <c r="AL76" s="0" t="str">
        <f aca="false">CONCATENATE(AB76,$AC$6)</f>
        <v>36678Curve Shift/Gamma</v>
      </c>
      <c r="AM76" s="0" t="str">
        <f aca="false">CONCATENATE($AB76,$AD$6)</f>
        <v>36678Rho</v>
      </c>
      <c r="AN76" s="0" t="str">
        <f aca="false">CONCATENATE($AB76,$AE$6)</f>
        <v>36678Drift</v>
      </c>
      <c r="AO76" s="0" t="str">
        <f aca="false">CONCATENATE($AB76,$AF$6)</f>
        <v>36678Vega</v>
      </c>
      <c r="AP76" s="0" t="str">
        <f aca="false">CONCATENATE($AB76,$AG$6)</f>
        <v>36678Theta</v>
      </c>
      <c r="AZ76" s="143" t="n">
        <f aca="false">EOMONTH(AZ75,0)+1</f>
        <v>38261</v>
      </c>
      <c r="BA76" s="135"/>
      <c r="BG76" s="285" t="n">
        <v>38596</v>
      </c>
      <c r="BH76" s="0" t="n">
        <v>0.985</v>
      </c>
      <c r="BJ76" s="285" t="n">
        <v>38596</v>
      </c>
      <c r="BK76" s="0" t="n">
        <v>73</v>
      </c>
    </row>
    <row r="77" customFormat="false" ht="12" hidden="false" customHeight="true" outlineLevel="0" collapsed="false">
      <c r="A77" s="265" t="s">
        <v>198</v>
      </c>
      <c r="B77" s="269" t="s">
        <v>192</v>
      </c>
      <c r="C77" s="269" t="s">
        <v>488</v>
      </c>
      <c r="D77" s="269" t="s">
        <v>137</v>
      </c>
      <c r="E77" s="7" t="s">
        <v>483</v>
      </c>
      <c r="F77" s="269" t="s">
        <v>131</v>
      </c>
      <c r="G77" s="269" t="s">
        <v>136</v>
      </c>
      <c r="H77" s="286" t="n">
        <v>36678</v>
      </c>
      <c r="I77" s="272" t="n">
        <v>-50000</v>
      </c>
      <c r="J77" s="125" t="n">
        <v>0.46</v>
      </c>
      <c r="K77" s="124" t="n">
        <f aca="false">HLOOKUP($D$3,GDPRICES,VLOOKUP(Q77,GDmove_down,2,FALSE()),FALSE())</f>
        <v>4.765</v>
      </c>
      <c r="L77" s="124" t="n">
        <f aca="false">HLOOKUP($E$3,GDPRICES,VLOOKUP(Q77,GDmove_down,2,FALSE()),FALSE())</f>
        <v>3.51</v>
      </c>
      <c r="M77" s="126" t="n">
        <v>1</v>
      </c>
      <c r="N77" s="7" t="n">
        <v>0.515</v>
      </c>
      <c r="O77" s="7" t="n">
        <v>0.515</v>
      </c>
      <c r="P77" s="249" t="e">
        <f aca="false">HLOOKUP(E77,GDcorr,VLOOKUP(H77,GDCorMove,2,FALSE()),FALSE())</f>
        <v>#N/A</v>
      </c>
      <c r="Q77" s="92" t="n">
        <v>36688</v>
      </c>
      <c r="R77" s="7" t="n">
        <f aca="false">IF(G77="P",0,1)</f>
        <v>1</v>
      </c>
      <c r="S77" s="130" t="e">
        <f aca="false">xSPRDOPT($K77,$L77,$J77,$M77,$N77,$O77,$P77,$Q77-$C$3,$R77,0)</f>
        <v>#NAME?</v>
      </c>
      <c r="T77" s="250" t="e">
        <f aca="false">xSPRDOPT($K77,$L77,$J77,$M77,$N77,$O77,$P77,$Q77-$C$3,$R77,1)*I77</f>
        <v>#NAME?</v>
      </c>
      <c r="U77" s="43" t="n">
        <v>-5500</v>
      </c>
      <c r="V77" s="250" t="e">
        <f aca="false">xSPRDOPT($K77,$L77,$J77,$M77,$N77,$O77,$P77,$Q77-$C$3,$R77,2)*I77</f>
        <v>#NAME?</v>
      </c>
      <c r="W77" s="250" t="e">
        <f aca="false">+V77+T77</f>
        <v>#NAME?</v>
      </c>
      <c r="X77" s="2" t="str">
        <f aca="false">CONCATENATE(H77,E77)</f>
        <v>36678IF-ELPO/SJ</v>
      </c>
      <c r="Y77" s="251" t="n">
        <f aca="false">I77/10000</f>
        <v>-5</v>
      </c>
      <c r="AA77" s="2"/>
      <c r="AB77" s="182" t="n">
        <f aca="false">H77</f>
        <v>36678</v>
      </c>
      <c r="AC77" s="253" t="e">
        <f aca="false">xSPRDOPT(HLOOKUP($D$3,GDPRICES,VLOOKUP(Q77,GDmove_down,2,FALSE()),FALSE()),HLOOKUP($E$3,GDPRICES,VLOOKUP(Q77,GDmove_down,2,FALSE()),FALSE()),J77,VLOOKUP(H77,NGPREVPRICES,4,FALSE()),HLOOKUP($H$3,GDPrevVols,VLOOKUP(Q77,GDmove_down2,2,FALSE()),FALSE()),HLOOKUP($H$3,GDPrevVols,VLOOKUP(Q77,GDmove_down2,2,FALSE()),FALSE()),HLOOKUP(E77,GDcorr,VLOOKUP(H77,CorMove,2,FALSE()),FALSE()),Q77-$AC$3,R77,$AC$5)*I77-AI77</f>
        <v>#N/A</v>
      </c>
      <c r="AD77" s="253" t="e">
        <f aca="false">xSPRDOPT(HLOOKUP($D$3,GDPrev,VLOOKUP(Q77,GDmove_down,2,FALSE()),FALSE()),HLOOKUP($E$3,GDPrev,VLOOKUP(Q77,GDmove_down,2,FALSE()),FALSE()),AJ77,VLOOKUP(H77,NGPrices,4,FALSE()),HLOOKUP($H$3,GDPrevVols,VLOOKUP(Q77,GDmove_down2,2,FALSE()),FALSE()),HLOOKUP($H$3,GDPrevVols,VLOOKUP(Q77,GDmove_down2,2,FALSE()),FALSE()),HLOOKUP(E77,GDcorr,VLOOKUP(H77,CorMove,2,FALSE()),FALSE()),Q77-$AC$3,R77,$AI$5)*I77-AI77</f>
        <v>#N/A</v>
      </c>
      <c r="AE77" s="132" t="e">
        <f aca="false">(AI77/VLOOKUP(AB77,discount,3,FALSE()))-(AI77/VLOOKUP(AB77,discount,2,FALSE()))</f>
        <v>#N/A</v>
      </c>
      <c r="AF77" s="253" t="e">
        <f aca="false">xSPRDOPT(HLOOKUP($D$3,GDPrev,VLOOKUP(Q77,GDmove_down,2,FALSE()),FALSE()),HLOOKUP($E$3,GDPrev,VLOOKUP(Q77,GDmove_down,2,FALSE()),FALSE()),AJ77,VLOOKUP(H77,NGPREVPRICES,4,FALSE()),HLOOKUP($H$3,GDVol,VLOOKUP(H77,move_down,2,FALSE()),FALSE()),HLOOKUP($H$3,GDVol,VLOOKUP(H77,move_down,2,FALSE()),FALSE()),HLOOKUP(E77,GDcorr,VLOOKUP(H77,CorMove,2,FALSE()),FALSE()),Q77-$AC$3,R77,$AI$5)*I77-AI77</f>
        <v>#N/A</v>
      </c>
      <c r="AG77" s="253" t="e">
        <f aca="false">xSPRDOPT(HLOOKUP($D$3,GDPrev,VLOOKUP(Q77,GDmove_down,2,FALSE()),FALSE()),HLOOKUP($E$3,GDPrev,VLOOKUP(Q77,GDmove_down,2,FALSE()),FALSE()),AJ77,VLOOKUP(H77,NGPREVPRICES,4,FALSE()),HLOOKUP($H$3,GDPrevVols,VLOOKUP(Q77,GDmove_down2,2,FALSE()),FALSE()),HLOOKUP($H$3,GDPrevVols,VLOOKUP(Q77,GDmove_down2,2,FALSE()),FALSE()),HLOOKUP(E77,GDcorr,VLOOKUP(H77,CorMove,2,FALSE()),FALSE()),Q77-$C$3,R77,$AI$5)*I77-AI77</f>
        <v>#N/A</v>
      </c>
      <c r="AH77" s="253" t="e">
        <f aca="false">SUM(AC77:AG77)</f>
        <v>#N/A</v>
      </c>
      <c r="AI77" s="253" t="e">
        <f aca="false">xSPRDOPT(HLOOKUP($D$3,GDPrev,VLOOKUP(Q77,GDmove_down,2,FALSE()),FALSE()),HLOOKUP($E$3,GDPrev,VLOOKUP(Q77,GDmove_down,2,FALSE()),FALSE()),AJ77,VLOOKUP(H77,NGPREVPRICES,4,FALSE()),HLOOKUP($H$3,GDPrevVols,VLOOKUP(Q77,GDmove_down2,2,FALSE()),FALSE()),HLOOKUP($H$3,GDPrevVols,VLOOKUP(Q77,GDmove_down2,2,FALSE()),FALSE()),HLOOKUP(E77,GDcorr,VLOOKUP(H77,CorMove,2,FALSE()),FALSE()),Q77-$AC$3,R77,$AI$5)*I77</f>
        <v>#N/A</v>
      </c>
      <c r="AJ77" s="254" t="e">
        <f aca="false">HLOOKUP(D77,PREVCURVES,VLOOKUP(H77,MOVE_DOWN2,2,FALSE()),FALSE())-HLOOKUP(E77,PREVCURVES,VLOOKUP(H77,MOVE_DOWN2,2,FALSE()),FALSE())</f>
        <v>#N/A</v>
      </c>
      <c r="AK77" s="253"/>
      <c r="AL77" s="0" t="str">
        <f aca="false">CONCATENATE(AB77,$AC$6)</f>
        <v>36678Curve Shift/Gamma</v>
      </c>
      <c r="AM77" s="0" t="str">
        <f aca="false">CONCATENATE($AB77,$AD$6)</f>
        <v>36678Rho</v>
      </c>
      <c r="AN77" s="0" t="str">
        <f aca="false">CONCATENATE($AB77,$AE$6)</f>
        <v>36678Drift</v>
      </c>
      <c r="AO77" s="0" t="str">
        <f aca="false">CONCATENATE($AB77,$AF$6)</f>
        <v>36678Vega</v>
      </c>
      <c r="AP77" s="0" t="str">
        <f aca="false">CONCATENATE($AB77,$AG$6)</f>
        <v>36678Theta</v>
      </c>
      <c r="AZ77" s="143" t="n">
        <f aca="false">EOMONTH(AZ76,0)+1</f>
        <v>38292</v>
      </c>
      <c r="BA77" s="135"/>
      <c r="BG77" s="285" t="n">
        <v>38626</v>
      </c>
      <c r="BH77" s="0" t="n">
        <v>0.985</v>
      </c>
      <c r="BJ77" s="285" t="n">
        <v>38626</v>
      </c>
      <c r="BK77" s="0" t="n">
        <v>74</v>
      </c>
    </row>
    <row r="78" customFormat="false" ht="12" hidden="false" customHeight="true" outlineLevel="0" collapsed="false">
      <c r="A78" s="265" t="s">
        <v>198</v>
      </c>
      <c r="B78" s="269" t="s">
        <v>192</v>
      </c>
      <c r="C78" s="269" t="s">
        <v>489</v>
      </c>
      <c r="D78" s="269" t="s">
        <v>137</v>
      </c>
      <c r="E78" s="7" t="s">
        <v>483</v>
      </c>
      <c r="F78" s="269" t="s">
        <v>131</v>
      </c>
      <c r="G78" s="269" t="s">
        <v>136</v>
      </c>
      <c r="H78" s="286" t="n">
        <v>36678</v>
      </c>
      <c r="I78" s="272" t="n">
        <v>10000</v>
      </c>
      <c r="J78" s="125" t="n">
        <v>0.46</v>
      </c>
      <c r="K78" s="124" t="n">
        <f aca="false">HLOOKUP($D$3,GDPRICES,VLOOKUP(Q78,GDmove_down,2,FALSE()),FALSE())</f>
        <v>4.765</v>
      </c>
      <c r="L78" s="124" t="n">
        <f aca="false">HLOOKUP($E$3,GDPRICES,VLOOKUP(Q78,GDmove_down,2,FALSE()),FALSE())</f>
        <v>3.51</v>
      </c>
      <c r="M78" s="126" t="n">
        <v>1</v>
      </c>
      <c r="N78" s="7" t="n">
        <v>0.515</v>
      </c>
      <c r="O78" s="7" t="n">
        <v>0.515</v>
      </c>
      <c r="P78" s="249" t="e">
        <f aca="false">HLOOKUP(E78,GDcorr,VLOOKUP(H78,GDCorMove,2,FALSE()),FALSE())</f>
        <v>#N/A</v>
      </c>
      <c r="Q78" s="92" t="n">
        <v>36688</v>
      </c>
      <c r="R78" s="7" t="n">
        <f aca="false">IF(G78="P",0,1)</f>
        <v>1</v>
      </c>
      <c r="S78" s="130" t="e">
        <f aca="false">xSPRDOPT($K78,$L78,$J78,$M78,$N78,$O78,$P78,$Q78-$C$3,$R78,0)</f>
        <v>#NAME?</v>
      </c>
      <c r="T78" s="250" t="e">
        <f aca="false">xSPRDOPT($K78,$L78,$J78,$M78,$N78,$O78,$P78,$Q78-$C$3,$R78,1)*I78</f>
        <v>#NAME?</v>
      </c>
      <c r="U78" s="43" t="n">
        <v>1100</v>
      </c>
      <c r="V78" s="250" t="e">
        <f aca="false">xSPRDOPT($K78,$L78,$J78,$M78,$N78,$O78,$P78,$Q78-$C$3,$R78,2)*I78</f>
        <v>#NAME?</v>
      </c>
      <c r="W78" s="250" t="e">
        <f aca="false">+V78+T78</f>
        <v>#NAME?</v>
      </c>
      <c r="X78" s="2" t="str">
        <f aca="false">CONCATENATE(H78,E78)</f>
        <v>36678IF-ELPO/SJ</v>
      </c>
      <c r="Y78" s="251" t="n">
        <f aca="false">I78/10000</f>
        <v>1</v>
      </c>
      <c r="Z78" s="2"/>
      <c r="AA78" s="2"/>
      <c r="AB78" s="182" t="n">
        <f aca="false">H78</f>
        <v>36678</v>
      </c>
      <c r="AC78" s="253" t="e">
        <f aca="false">xSPRDOPT(HLOOKUP($D$3,GDPRICES,VLOOKUP(Q78,GDmove_down,2,FALSE()),FALSE()),HLOOKUP($E$3,GDPRICES,VLOOKUP(Q78,GDmove_down,2,FALSE()),FALSE()),J78,VLOOKUP(H78,NGPREVPRICES,4,FALSE()),HLOOKUP($H$3,GDPrevVols,VLOOKUP(Q78,GDmove_down2,2,FALSE()),FALSE()),HLOOKUP($H$3,GDPrevVols,VLOOKUP(Q78,GDmove_down2,2,FALSE()),FALSE()),HLOOKUP(E78,GDcorr,VLOOKUP(H78,CorMove,2,FALSE()),FALSE()),Q78-$AC$3,R78,$AC$5)*I78-AI78</f>
        <v>#N/A</v>
      </c>
      <c r="AD78" s="253" t="e">
        <f aca="false">xSPRDOPT(HLOOKUP($D$3,GDPrev,VLOOKUP(Q78,GDmove_down,2,FALSE()),FALSE()),HLOOKUP($E$3,GDPrev,VLOOKUP(Q78,GDmove_down,2,FALSE()),FALSE()),AJ78,VLOOKUP(H78,NGPrices,4,FALSE()),HLOOKUP($H$3,GDPrevVols,VLOOKUP(Q78,GDmove_down2,2,FALSE()),FALSE()),HLOOKUP($H$3,GDPrevVols,VLOOKUP(Q78,GDmove_down2,2,FALSE()),FALSE()),HLOOKUP(E78,GDcorr,VLOOKUP(H78,CorMove,2,FALSE()),FALSE()),Q78-$AC$3,R78,$AI$5)*I78-AI78</f>
        <v>#N/A</v>
      </c>
      <c r="AE78" s="132" t="e">
        <f aca="false">(AI78/VLOOKUP(AB78,discount,3,FALSE()))-(AI78/VLOOKUP(AB78,discount,2,FALSE()))</f>
        <v>#N/A</v>
      </c>
      <c r="AF78" s="253" t="e">
        <f aca="false">xSPRDOPT(HLOOKUP($D$3,GDPrev,VLOOKUP(Q78,GDmove_down,2,FALSE()),FALSE()),HLOOKUP($E$3,GDPrev,VLOOKUP(Q78,GDmove_down,2,FALSE()),FALSE()),AJ78,VLOOKUP(H78,NGPREVPRICES,4,FALSE()),HLOOKUP($H$3,GDVol,VLOOKUP(H78,move_down,2,FALSE()),FALSE()),HLOOKUP($H$3,GDVol,VLOOKUP(H78,move_down,2,FALSE()),FALSE()),HLOOKUP(E78,GDcorr,VLOOKUP(H78,CorMove,2,FALSE()),FALSE()),Q78-$AC$3,R78,$AI$5)*I78-AI78</f>
        <v>#N/A</v>
      </c>
      <c r="AG78" s="253" t="e">
        <f aca="false">xSPRDOPT(HLOOKUP($D$3,GDPrev,VLOOKUP(Q78,GDmove_down,2,FALSE()),FALSE()),HLOOKUP($E$3,GDPrev,VLOOKUP(Q78,GDmove_down,2,FALSE()),FALSE()),AJ78,VLOOKUP(H78,NGPREVPRICES,4,FALSE()),HLOOKUP($H$3,GDPrevVols,VLOOKUP(Q78,GDmove_down2,2,FALSE()),FALSE()),HLOOKUP($H$3,GDPrevVols,VLOOKUP(Q78,GDmove_down2,2,FALSE()),FALSE()),HLOOKUP(E78,GDcorr,VLOOKUP(H78,CorMove,2,FALSE()),FALSE()),Q78-$C$3,R78,$AI$5)*I78-AI78</f>
        <v>#N/A</v>
      </c>
      <c r="AH78" s="253" t="e">
        <f aca="false">SUM(AC78:AG78)</f>
        <v>#N/A</v>
      </c>
      <c r="AI78" s="253" t="e">
        <f aca="false">xSPRDOPT(HLOOKUP($D$3,GDPrev,VLOOKUP(Q78,GDmove_down,2,FALSE()),FALSE()),HLOOKUP($E$3,GDPrev,VLOOKUP(Q78,GDmove_down,2,FALSE()),FALSE()),AJ78,VLOOKUP(H78,NGPREVPRICES,4,FALSE()),HLOOKUP($H$3,GDPrevVols,VLOOKUP(Q78,GDmove_down2,2,FALSE()),FALSE()),HLOOKUP($H$3,GDPrevVols,VLOOKUP(Q78,GDmove_down2,2,FALSE()),FALSE()),HLOOKUP(E78,GDcorr,VLOOKUP(H78,CorMove,2,FALSE()),FALSE()),Q78-$AC$3,R78,$AI$5)*I78</f>
        <v>#N/A</v>
      </c>
      <c r="AJ78" s="254" t="e">
        <f aca="false">HLOOKUP(D78,PREVCURVES,VLOOKUP(H78,MOVE_DOWN2,2,FALSE()),FALSE())-HLOOKUP(E78,PREVCURVES,VLOOKUP(H78,MOVE_DOWN2,2,FALSE()),FALSE())</f>
        <v>#N/A</v>
      </c>
      <c r="AK78" s="253"/>
      <c r="AL78" s="0" t="str">
        <f aca="false">CONCATENATE(AB78,$AC$6)</f>
        <v>36678Curve Shift/Gamma</v>
      </c>
      <c r="AM78" s="0" t="str">
        <f aca="false">CONCATENATE($AB78,$AD$6)</f>
        <v>36678Rho</v>
      </c>
      <c r="AN78" s="0" t="str">
        <f aca="false">CONCATENATE($AB78,$AE$6)</f>
        <v>36678Drift</v>
      </c>
      <c r="AO78" s="0" t="str">
        <f aca="false">CONCATENATE($AB78,$AF$6)</f>
        <v>36678Vega</v>
      </c>
      <c r="AP78" s="0" t="str">
        <f aca="false">CONCATENATE($AB78,$AG$6)</f>
        <v>36678Theta</v>
      </c>
      <c r="AZ78" s="143" t="n">
        <f aca="false">EOMONTH(AZ77,0)+1</f>
        <v>38322</v>
      </c>
      <c r="BA78" s="135"/>
      <c r="BG78" s="285" t="n">
        <v>38657</v>
      </c>
      <c r="BH78" s="0" t="n">
        <v>0.970485</v>
      </c>
      <c r="BJ78" s="285" t="n">
        <v>38657</v>
      </c>
      <c r="BK78" s="0" t="n">
        <v>75</v>
      </c>
    </row>
    <row r="79" customFormat="false" ht="12" hidden="false" customHeight="true" outlineLevel="0" collapsed="false">
      <c r="A79" s="265" t="s">
        <v>198</v>
      </c>
      <c r="B79" s="269" t="s">
        <v>192</v>
      </c>
      <c r="C79" s="269" t="s">
        <v>490</v>
      </c>
      <c r="D79" s="269" t="s">
        <v>137</v>
      </c>
      <c r="E79" s="7" t="s">
        <v>483</v>
      </c>
      <c r="F79" s="269" t="s">
        <v>131</v>
      </c>
      <c r="G79" s="269" t="s">
        <v>136</v>
      </c>
      <c r="H79" s="286" t="n">
        <v>36678</v>
      </c>
      <c r="I79" s="272" t="n">
        <v>-333333</v>
      </c>
      <c r="J79" s="125" t="n">
        <v>0.46</v>
      </c>
      <c r="K79" s="124" t="n">
        <f aca="false">HLOOKUP($D$3,GDPRICES,VLOOKUP(Q79,GDmove_down,2,FALSE()),FALSE())</f>
        <v>4.765</v>
      </c>
      <c r="L79" s="124" t="n">
        <f aca="false">HLOOKUP($E$3,GDPRICES,VLOOKUP(Q79,GDmove_down,2,FALSE()),FALSE())</f>
        <v>3.51</v>
      </c>
      <c r="M79" s="126" t="n">
        <v>1</v>
      </c>
      <c r="N79" s="7" t="n">
        <v>0.515</v>
      </c>
      <c r="O79" s="7" t="n">
        <v>0.515</v>
      </c>
      <c r="P79" s="249" t="e">
        <f aca="false">HLOOKUP(E79,GDcorr,VLOOKUP(H79,GDCorMove,2,FALSE()),FALSE())</f>
        <v>#N/A</v>
      </c>
      <c r="Q79" s="92" t="n">
        <v>36688</v>
      </c>
      <c r="R79" s="7" t="n">
        <f aca="false">IF(G79="P",0,1)</f>
        <v>1</v>
      </c>
      <c r="S79" s="130" t="e">
        <f aca="false">xSPRDOPT($K79,$L79,$J79,$M79,$N79,$O79,$P79,$Q79-$C$3,$R79,0)</f>
        <v>#NAME?</v>
      </c>
      <c r="T79" s="250" t="e">
        <f aca="false">xSPRDOPT($K79,$L79,$J79,$M79,$N79,$O79,$P79,$Q79-$C$3,$R79,1)*I79</f>
        <v>#NAME?</v>
      </c>
      <c r="U79" s="43" t="n">
        <v>-36666.63</v>
      </c>
      <c r="V79" s="250" t="e">
        <f aca="false">xSPRDOPT($K79,$L79,$J79,$M79,$N79,$O79,$P79,$Q79-$C$3,$R79,2)*I79</f>
        <v>#NAME?</v>
      </c>
      <c r="W79" s="250" t="e">
        <f aca="false">+V79+T79</f>
        <v>#NAME?</v>
      </c>
      <c r="X79" s="2" t="str">
        <f aca="false">CONCATENATE(H79,E79)</f>
        <v>36678IF-ELPO/SJ</v>
      </c>
      <c r="Y79" s="251" t="n">
        <f aca="false">I79/10000</f>
        <v>-33.3333</v>
      </c>
      <c r="Z79" s="2"/>
      <c r="AA79" s="2"/>
      <c r="AB79" s="182" t="n">
        <f aca="false">H79</f>
        <v>36678</v>
      </c>
      <c r="AC79" s="253" t="e">
        <f aca="false">xSPRDOPT(HLOOKUP($D$3,GDPRICES,VLOOKUP(Q79,GDmove_down,2,FALSE()),FALSE()),HLOOKUP($E$3,GDPRICES,VLOOKUP(Q79,GDmove_down,2,FALSE()),FALSE()),J79,VLOOKUP(H79,NGPREVPRICES,4,FALSE()),HLOOKUP($H$3,GDPrevVols,VLOOKUP(Q79,GDmove_down2,2,FALSE()),FALSE()),HLOOKUP($H$3,GDPrevVols,VLOOKUP(Q79,GDmove_down2,2,FALSE()),FALSE()),HLOOKUP(E79,GDcorr,VLOOKUP(H79,CorMove,2,FALSE()),FALSE()),Q79-$AC$3,R79,$AC$5)*I79-AI79</f>
        <v>#N/A</v>
      </c>
      <c r="AD79" s="253" t="e">
        <f aca="false">xSPRDOPT(HLOOKUP($D$3,GDPrev,VLOOKUP(Q79,GDmove_down,2,FALSE()),FALSE()),HLOOKUP($E$3,GDPrev,VLOOKUP(Q79,GDmove_down,2,FALSE()),FALSE()),AJ79,VLOOKUP(H79,NGPrices,4,FALSE()),HLOOKUP($H$3,GDPrevVols,VLOOKUP(Q79,GDmove_down2,2,FALSE()),FALSE()),HLOOKUP($H$3,GDPrevVols,VLOOKUP(Q79,GDmove_down2,2,FALSE()),FALSE()),HLOOKUP(E79,GDcorr,VLOOKUP(H79,CorMove,2,FALSE()),FALSE()),Q79-$AC$3,R79,$AI$5)*I79-AI79</f>
        <v>#N/A</v>
      </c>
      <c r="AE79" s="132" t="e">
        <f aca="false">(AI79/VLOOKUP(AB79,discount,3,FALSE()))-(AI79/VLOOKUP(AB79,discount,2,FALSE()))</f>
        <v>#N/A</v>
      </c>
      <c r="AF79" s="253" t="e">
        <f aca="false">xSPRDOPT(HLOOKUP($D$3,GDPrev,VLOOKUP(Q79,GDmove_down,2,FALSE()),FALSE()),HLOOKUP($E$3,GDPrev,VLOOKUP(Q79,GDmove_down,2,FALSE()),FALSE()),AJ79,VLOOKUP(H79,NGPREVPRICES,4,FALSE()),HLOOKUP($H$3,GDVol,VLOOKUP(H79,move_down,2,FALSE()),FALSE()),HLOOKUP($H$3,GDVol,VLOOKUP(H79,move_down,2,FALSE()),FALSE()),HLOOKUP(E79,GDcorr,VLOOKUP(H79,CorMove,2,FALSE()),FALSE()),Q79-$AC$3,R79,$AI$5)*I79-AI79</f>
        <v>#N/A</v>
      </c>
      <c r="AG79" s="253" t="e">
        <f aca="false">xSPRDOPT(HLOOKUP($D$3,GDPrev,VLOOKUP(Q79,GDmove_down,2,FALSE()),FALSE()),HLOOKUP($E$3,GDPrev,VLOOKUP(Q79,GDmove_down,2,FALSE()),FALSE()),AJ79,VLOOKUP(H79,NGPREVPRICES,4,FALSE()),HLOOKUP($H$3,GDPrevVols,VLOOKUP(Q79,GDmove_down2,2,FALSE()),FALSE()),HLOOKUP($H$3,GDPrevVols,VLOOKUP(Q79,GDmove_down2,2,FALSE()),FALSE()),HLOOKUP(E79,GDcorr,VLOOKUP(H79,CorMove,2,FALSE()),FALSE()),Q79-$C$3,R79,$AI$5)*I79-AI79</f>
        <v>#N/A</v>
      </c>
      <c r="AH79" s="253" t="e">
        <f aca="false">SUM(AC79:AG79)</f>
        <v>#N/A</v>
      </c>
      <c r="AI79" s="253" t="e">
        <f aca="false">xSPRDOPT(HLOOKUP($D$3,GDPrev,VLOOKUP(Q79,GDmove_down,2,FALSE()),FALSE()),HLOOKUP($E$3,GDPrev,VLOOKUP(Q79,GDmove_down,2,FALSE()),FALSE()),AJ79,VLOOKUP(H79,NGPREVPRICES,4,FALSE()),HLOOKUP($H$3,GDPrevVols,VLOOKUP(Q79,GDmove_down2,2,FALSE()),FALSE()),HLOOKUP($H$3,GDPrevVols,VLOOKUP(Q79,GDmove_down2,2,FALSE()),FALSE()),HLOOKUP(E79,GDcorr,VLOOKUP(H79,CorMove,2,FALSE()),FALSE()),Q79-$AC$3,R79,$AI$5)*I79</f>
        <v>#N/A</v>
      </c>
      <c r="AJ79" s="254" t="e">
        <f aca="false">HLOOKUP(D79,PREVCURVES,VLOOKUP(H79,MOVE_DOWN2,2,FALSE()),FALSE())-HLOOKUP(E79,PREVCURVES,VLOOKUP(H79,MOVE_DOWN2,2,FALSE()),FALSE())</f>
        <v>#N/A</v>
      </c>
      <c r="AK79" s="253"/>
      <c r="AL79" s="0" t="str">
        <f aca="false">CONCATENATE(AB79,$AC$6)</f>
        <v>36678Curve Shift/Gamma</v>
      </c>
      <c r="AM79" s="0" t="str">
        <f aca="false">CONCATENATE($AB79,$AD$6)</f>
        <v>36678Rho</v>
      </c>
      <c r="AN79" s="0" t="str">
        <f aca="false">CONCATENATE($AB79,$AE$6)</f>
        <v>36678Drift</v>
      </c>
      <c r="AO79" s="0" t="str">
        <f aca="false">CONCATENATE($AB79,$AF$6)</f>
        <v>36678Vega</v>
      </c>
      <c r="AP79" s="0" t="str">
        <f aca="false">CONCATENATE($AB79,$AG$6)</f>
        <v>36678Theta</v>
      </c>
      <c r="AZ79" s="143" t="n">
        <f aca="false">EOMONTH(AZ78,0)+1</f>
        <v>38353</v>
      </c>
      <c r="BA79" s="135"/>
      <c r="BG79" s="285" t="n">
        <v>38687</v>
      </c>
      <c r="BH79" s="0" t="n">
        <v>0.970485</v>
      </c>
      <c r="BJ79" s="285" t="n">
        <v>38687</v>
      </c>
      <c r="BK79" s="0" t="n">
        <v>76</v>
      </c>
    </row>
    <row r="80" customFormat="false" ht="12" hidden="false" customHeight="true" outlineLevel="0" collapsed="false">
      <c r="A80" s="267" t="s">
        <v>196</v>
      </c>
      <c r="B80" s="269" t="s">
        <v>192</v>
      </c>
      <c r="C80" s="269" t="s">
        <v>491</v>
      </c>
      <c r="D80" s="269" t="s">
        <v>137</v>
      </c>
      <c r="E80" s="7" t="s">
        <v>483</v>
      </c>
      <c r="F80" s="269" t="s">
        <v>131</v>
      </c>
      <c r="G80" s="269" t="s">
        <v>136</v>
      </c>
      <c r="H80" s="286" t="n">
        <v>36678</v>
      </c>
      <c r="I80" s="272" t="n">
        <v>-10000</v>
      </c>
      <c r="J80" s="125" t="n">
        <v>0.46</v>
      </c>
      <c r="K80" s="124" t="n">
        <f aca="false">HLOOKUP($D$3,GDPRICES,VLOOKUP(Q80,GDmove_down,2,FALSE()),FALSE())</f>
        <v>4.765</v>
      </c>
      <c r="L80" s="124" t="n">
        <f aca="false">HLOOKUP($E$3,GDPRICES,VLOOKUP(Q80,GDmove_down,2,FALSE()),FALSE())</f>
        <v>3.51</v>
      </c>
      <c r="M80" s="126" t="n">
        <v>1</v>
      </c>
      <c r="N80" s="7" t="n">
        <v>0.515</v>
      </c>
      <c r="O80" s="7" t="n">
        <v>0.515</v>
      </c>
      <c r="P80" s="249" t="e">
        <f aca="false">HLOOKUP(E80,GDcorr,VLOOKUP(H80,GDCorMove,2,FALSE()),FALSE())</f>
        <v>#N/A</v>
      </c>
      <c r="Q80" s="92" t="n">
        <v>36688</v>
      </c>
      <c r="R80" s="7" t="n">
        <f aca="false">IF(G80="P",0,1)</f>
        <v>1</v>
      </c>
      <c r="S80" s="130" t="e">
        <f aca="false">xSPRDOPT($K80,$L80,$J80,$M80,$N80,$O80,$P80,$Q80-$C$3,$R80,0)</f>
        <v>#NAME?</v>
      </c>
      <c r="T80" s="250" t="e">
        <f aca="false">xSPRDOPT($K80,$L80,$J80,$M80,$N80,$O80,$P80,$Q80-$C$3,$R80,1)*I80</f>
        <v>#NAME?</v>
      </c>
      <c r="U80" s="43" t="n">
        <v>-1100</v>
      </c>
      <c r="V80" s="250" t="e">
        <f aca="false">xSPRDOPT($K80,$L80,$J80,$M80,$N80,$O80,$P80,$Q80-$C$3,$R80,2)*I80</f>
        <v>#NAME?</v>
      </c>
      <c r="W80" s="250" t="e">
        <f aca="false">+V80+T80</f>
        <v>#NAME?</v>
      </c>
      <c r="X80" s="2" t="str">
        <f aca="false">CONCATENATE(H80,E80)</f>
        <v>36678IF-ELPO/SJ</v>
      </c>
      <c r="Y80" s="251" t="n">
        <f aca="false">I80/10000</f>
        <v>-1</v>
      </c>
      <c r="Z80" s="2"/>
      <c r="AA80" s="2"/>
      <c r="AB80" s="182" t="n">
        <f aca="false">H80</f>
        <v>36678</v>
      </c>
      <c r="AC80" s="253" t="e">
        <f aca="false">xSPRDOPT(HLOOKUP($D$3,GDPRICES,VLOOKUP(Q80,GDmove_down,2,FALSE()),FALSE()),HLOOKUP($E$3,GDPRICES,VLOOKUP(Q80,GDmove_down,2,FALSE()),FALSE()),J80,VLOOKUP(H80,NGPREVPRICES,4,FALSE()),HLOOKUP($H$3,GDPrevVols,VLOOKUP(Q80,GDmove_down2,2,FALSE()),FALSE()),HLOOKUP($H$3,GDPrevVols,VLOOKUP(Q80,GDmove_down2,2,FALSE()),FALSE()),HLOOKUP(E80,GDcorr,VLOOKUP(H80,CorMove,2,FALSE()),FALSE()),Q80-$AC$3,R80,$AC$5)*I80-AI80</f>
        <v>#N/A</v>
      </c>
      <c r="AD80" s="253" t="e">
        <f aca="false">xSPRDOPT(HLOOKUP($D$3,GDPrev,VLOOKUP(Q80,GDmove_down,2,FALSE()),FALSE()),HLOOKUP($E$3,GDPrev,VLOOKUP(Q80,GDmove_down,2,FALSE()),FALSE()),AJ80,VLOOKUP(H80,NGPrices,4,FALSE()),HLOOKUP($H$3,GDPrevVols,VLOOKUP(Q80,GDmove_down2,2,FALSE()),FALSE()),HLOOKUP($H$3,GDPrevVols,VLOOKUP(Q80,GDmove_down2,2,FALSE()),FALSE()),HLOOKUP(E80,GDcorr,VLOOKUP(H80,CorMove,2,FALSE()),FALSE()),Q80-$AC$3,R80,$AI$5)*I80-AI80</f>
        <v>#N/A</v>
      </c>
      <c r="AE80" s="132" t="e">
        <f aca="false">(AI80/VLOOKUP(AB80,discount,3,FALSE()))-(AI80/VLOOKUP(AB80,discount,2,FALSE()))</f>
        <v>#N/A</v>
      </c>
      <c r="AF80" s="253" t="e">
        <f aca="false">xSPRDOPT(HLOOKUP($D$3,GDPrev,VLOOKUP(Q80,GDmove_down,2,FALSE()),FALSE()),HLOOKUP($E$3,GDPrev,VLOOKUP(Q80,GDmove_down,2,FALSE()),FALSE()),AJ80,VLOOKUP(H80,NGPREVPRICES,4,FALSE()),HLOOKUP($H$3,GDVol,VLOOKUP(H80,move_down,2,FALSE()),FALSE()),HLOOKUP($H$3,GDVol,VLOOKUP(H80,move_down,2,FALSE()),FALSE()),HLOOKUP(E80,GDcorr,VLOOKUP(H80,CorMove,2,FALSE()),FALSE()),Q80-$AC$3,R80,$AI$5)*I80-AI80</f>
        <v>#N/A</v>
      </c>
      <c r="AG80" s="253" t="e">
        <f aca="false">xSPRDOPT(HLOOKUP($D$3,GDPrev,VLOOKUP(Q80,GDmove_down,2,FALSE()),FALSE()),HLOOKUP($E$3,GDPrev,VLOOKUP(Q80,GDmove_down,2,FALSE()),FALSE()),AJ80,VLOOKUP(H80,NGPREVPRICES,4,FALSE()),HLOOKUP($H$3,GDPrevVols,VLOOKUP(Q80,GDmove_down2,2,FALSE()),FALSE()),HLOOKUP($H$3,GDPrevVols,VLOOKUP(Q80,GDmove_down2,2,FALSE()),FALSE()),HLOOKUP(E80,GDcorr,VLOOKUP(H80,CorMove,2,FALSE()),FALSE()),Q80-$C$3,R80,$AI$5)*I80-AI80</f>
        <v>#N/A</v>
      </c>
      <c r="AH80" s="253" t="e">
        <f aca="false">SUM(AC80:AG80)</f>
        <v>#N/A</v>
      </c>
      <c r="AI80" s="253" t="e">
        <f aca="false">xSPRDOPT(HLOOKUP($D$3,GDPrev,VLOOKUP(Q80,GDmove_down,2,FALSE()),FALSE()),HLOOKUP($E$3,GDPrev,VLOOKUP(Q80,GDmove_down,2,FALSE()),FALSE()),AJ80,VLOOKUP(H80,NGPREVPRICES,4,FALSE()),HLOOKUP($H$3,GDPrevVols,VLOOKUP(Q80,GDmove_down2,2,FALSE()),FALSE()),HLOOKUP($H$3,GDPrevVols,VLOOKUP(Q80,GDmove_down2,2,FALSE()),FALSE()),HLOOKUP(E80,GDcorr,VLOOKUP(H80,CorMove,2,FALSE()),FALSE()),Q80-$AC$3,R80,$AI$5)*I80</f>
        <v>#N/A</v>
      </c>
      <c r="AJ80" s="254" t="e">
        <f aca="false">HLOOKUP(D80,PREVCURVES,VLOOKUP(H80,MOVE_DOWN2,2,FALSE()),FALSE())-HLOOKUP(E80,PREVCURVES,VLOOKUP(H80,MOVE_DOWN2,2,FALSE()),FALSE())</f>
        <v>#N/A</v>
      </c>
      <c r="AK80" s="253"/>
      <c r="AL80" s="0" t="str">
        <f aca="false">CONCATENATE(AB80,$AC$6)</f>
        <v>36678Curve Shift/Gamma</v>
      </c>
      <c r="AM80" s="0" t="str">
        <f aca="false">CONCATENATE($AB80,$AD$6)</f>
        <v>36678Rho</v>
      </c>
      <c r="AN80" s="0" t="str">
        <f aca="false">CONCATENATE($AB80,$AE$6)</f>
        <v>36678Drift</v>
      </c>
      <c r="AO80" s="0" t="str">
        <f aca="false">CONCATENATE($AB80,$AF$6)</f>
        <v>36678Vega</v>
      </c>
      <c r="AP80" s="0" t="str">
        <f aca="false">CONCATENATE($AB80,$AG$6)</f>
        <v>36678Theta</v>
      </c>
      <c r="AZ80" s="143" t="n">
        <f aca="false">EOMONTH(AZ79,0)+1</f>
        <v>38384</v>
      </c>
      <c r="BA80" s="135"/>
      <c r="BG80" s="285" t="n">
        <v>38718</v>
      </c>
      <c r="BH80" s="0" t="n">
        <v>0.985</v>
      </c>
      <c r="BJ80" s="285" t="n">
        <v>38718</v>
      </c>
      <c r="BK80" s="0" t="n">
        <v>77</v>
      </c>
    </row>
    <row r="81" customFormat="false" ht="12" hidden="false" customHeight="true" outlineLevel="0" collapsed="false">
      <c r="A81" s="267" t="s">
        <v>198</v>
      </c>
      <c r="B81" s="269" t="s">
        <v>192</v>
      </c>
      <c r="C81" s="269" t="s">
        <v>492</v>
      </c>
      <c r="D81" s="269" t="s">
        <v>137</v>
      </c>
      <c r="E81" s="7" t="s">
        <v>483</v>
      </c>
      <c r="F81" s="269" t="s">
        <v>131</v>
      </c>
      <c r="G81" s="269" t="s">
        <v>136</v>
      </c>
      <c r="H81" s="286" t="n">
        <v>36678</v>
      </c>
      <c r="I81" s="272" t="n">
        <v>50000</v>
      </c>
      <c r="J81" s="125" t="n">
        <v>0.46</v>
      </c>
      <c r="K81" s="124" t="n">
        <f aca="false">HLOOKUP($D$3,GDPRICES,VLOOKUP(Q81,GDmove_down,2,FALSE()),FALSE())</f>
        <v>4.765</v>
      </c>
      <c r="L81" s="124" t="n">
        <f aca="false">HLOOKUP($E$3,GDPRICES,VLOOKUP(Q81,GDmove_down,2,FALSE()),FALSE())</f>
        <v>3.51</v>
      </c>
      <c r="M81" s="126" t="n">
        <v>1</v>
      </c>
      <c r="N81" s="7" t="n">
        <v>0.515</v>
      </c>
      <c r="O81" s="7" t="n">
        <v>0.515</v>
      </c>
      <c r="P81" s="249" t="e">
        <f aca="false">HLOOKUP(E81,GDcorr,VLOOKUP(H81,GDCorMove,2,FALSE()),FALSE())</f>
        <v>#N/A</v>
      </c>
      <c r="Q81" s="92" t="n">
        <v>36688</v>
      </c>
      <c r="R81" s="7" t="n">
        <f aca="false">IF(G81="P",0,1)</f>
        <v>1</v>
      </c>
      <c r="S81" s="130" t="e">
        <f aca="false">xSPRDOPT($K81,$L81,$J81,$M81,$N81,$O81,$P81,$Q81-$C$3,$R81,0)</f>
        <v>#NAME?</v>
      </c>
      <c r="T81" s="250" t="e">
        <f aca="false">xSPRDOPT($K81,$L81,$J81,$M81,$N81,$O81,$P81,$Q81-$C$3,$R81,1)*I81</f>
        <v>#NAME?</v>
      </c>
      <c r="U81" s="43" t="n">
        <v>5500</v>
      </c>
      <c r="V81" s="250" t="e">
        <f aca="false">xSPRDOPT($K81,$L81,$J81,$M81,$N81,$O81,$P81,$Q81-$C$3,$R81,2)*I81</f>
        <v>#NAME?</v>
      </c>
      <c r="W81" s="250" t="e">
        <f aca="false">+V81+T81</f>
        <v>#NAME?</v>
      </c>
      <c r="X81" s="2" t="str">
        <f aca="false">CONCATENATE(H81,E81)</f>
        <v>36678IF-ELPO/SJ</v>
      </c>
      <c r="Y81" s="251" t="n">
        <f aca="false">I81/10000</f>
        <v>5</v>
      </c>
      <c r="AA81" s="2"/>
      <c r="AB81" s="182" t="n">
        <f aca="false">H81</f>
        <v>36678</v>
      </c>
      <c r="AC81" s="253" t="e">
        <f aca="false">xSPRDOPT(HLOOKUP($D$3,GDPRICES,VLOOKUP(Q81,GDmove_down,2,FALSE()),FALSE()),HLOOKUP($E$3,GDPRICES,VLOOKUP(Q81,GDmove_down,2,FALSE()),FALSE()),J81,VLOOKUP(H81,NGPREVPRICES,4,FALSE()),HLOOKUP($H$3,GDPrevVols,VLOOKUP(Q81,GDmove_down2,2,FALSE()),FALSE()),HLOOKUP($H$3,GDPrevVols,VLOOKUP(Q81,GDmove_down2,2,FALSE()),FALSE()),HLOOKUP(E81,GDcorr,VLOOKUP(H81,CorMove,2,FALSE()),FALSE()),Q81-$AC$3,R81,$AC$5)*I81-AI81</f>
        <v>#N/A</v>
      </c>
      <c r="AD81" s="253" t="e">
        <f aca="false">xSPRDOPT(HLOOKUP($D$3,GDPrev,VLOOKUP(Q81,GDmove_down,2,FALSE()),FALSE()),HLOOKUP($E$3,GDPrev,VLOOKUP(Q81,GDmove_down,2,FALSE()),FALSE()),AJ81,VLOOKUP(H81,NGPrices,4,FALSE()),HLOOKUP($H$3,GDPrevVols,VLOOKUP(Q81,GDmove_down2,2,FALSE()),FALSE()),HLOOKUP($H$3,GDPrevVols,VLOOKUP(Q81,GDmove_down2,2,FALSE()),FALSE()),HLOOKUP(E81,GDcorr,VLOOKUP(H81,CorMove,2,FALSE()),FALSE()),Q81-$AC$3,R81,$AI$5)*I81-AI81</f>
        <v>#N/A</v>
      </c>
      <c r="AE81" s="132" t="e">
        <f aca="false">(AI81/VLOOKUP(AB81,discount,3,FALSE()))-(AI81/VLOOKUP(AB81,discount,2,FALSE()))</f>
        <v>#N/A</v>
      </c>
      <c r="AF81" s="253" t="e">
        <f aca="false">xSPRDOPT(HLOOKUP($D$3,GDPrev,VLOOKUP(Q81,GDmove_down,2,FALSE()),FALSE()),HLOOKUP($E$3,GDPrev,VLOOKUP(Q81,GDmove_down,2,FALSE()),FALSE()),AJ81,VLOOKUP(H81,NGPREVPRICES,4,FALSE()),HLOOKUP($H$3,GDVol,VLOOKUP(H81,move_down,2,FALSE()),FALSE()),HLOOKUP($H$3,GDVol,VLOOKUP(H81,move_down,2,FALSE()),FALSE()),HLOOKUP(E81,GDcorr,VLOOKUP(H81,CorMove,2,FALSE()),FALSE()),Q81-$AC$3,R81,$AI$5)*I81-AI81</f>
        <v>#N/A</v>
      </c>
      <c r="AG81" s="253" t="e">
        <f aca="false">xSPRDOPT(HLOOKUP($D$3,GDPrev,VLOOKUP(Q81,GDmove_down,2,FALSE()),FALSE()),HLOOKUP($E$3,GDPrev,VLOOKUP(Q81,GDmove_down,2,FALSE()),FALSE()),AJ81,VLOOKUP(H81,NGPREVPRICES,4,FALSE()),HLOOKUP($H$3,GDPrevVols,VLOOKUP(Q81,GDmove_down2,2,FALSE()),FALSE()),HLOOKUP($H$3,GDPrevVols,VLOOKUP(Q81,GDmove_down2,2,FALSE()),FALSE()),HLOOKUP(E81,GDcorr,VLOOKUP(H81,CorMove,2,FALSE()),FALSE()),Q81-$C$3,R81,$AI$5)*I81-AI81</f>
        <v>#N/A</v>
      </c>
      <c r="AH81" s="253" t="e">
        <f aca="false">SUM(AC81:AG81)</f>
        <v>#N/A</v>
      </c>
      <c r="AI81" s="253" t="e">
        <f aca="false">xSPRDOPT(HLOOKUP($D$3,GDPrev,VLOOKUP(Q81,GDmove_down,2,FALSE()),FALSE()),HLOOKUP($E$3,GDPrev,VLOOKUP(Q81,GDmove_down,2,FALSE()),FALSE()),AJ81,VLOOKUP(H81,NGPREVPRICES,4,FALSE()),HLOOKUP($H$3,GDPrevVols,VLOOKUP(Q81,GDmove_down2,2,FALSE()),FALSE()),HLOOKUP($H$3,GDPrevVols,VLOOKUP(Q81,GDmove_down2,2,FALSE()),FALSE()),HLOOKUP(E81,GDcorr,VLOOKUP(H81,CorMove,2,FALSE()),FALSE()),Q81-$AC$3,R81,$AI$5)*I81</f>
        <v>#N/A</v>
      </c>
      <c r="AJ81" s="254" t="e">
        <f aca="false">HLOOKUP(D81,PREVCURVES,VLOOKUP(H81,MOVE_DOWN2,2,FALSE()),FALSE())-HLOOKUP(E81,PREVCURVES,VLOOKUP(H81,MOVE_DOWN2,2,FALSE()),FALSE())</f>
        <v>#N/A</v>
      </c>
      <c r="AK81" s="253"/>
      <c r="AL81" s="0" t="str">
        <f aca="false">CONCATENATE(AB81,$AC$6)</f>
        <v>36678Curve Shift/Gamma</v>
      </c>
      <c r="AM81" s="0" t="str">
        <f aca="false">CONCATENATE($AB81,$AD$6)</f>
        <v>36678Rho</v>
      </c>
      <c r="AN81" s="0" t="str">
        <f aca="false">CONCATENATE($AB81,$AE$6)</f>
        <v>36678Drift</v>
      </c>
      <c r="AO81" s="0" t="str">
        <f aca="false">CONCATENATE($AB81,$AF$6)</f>
        <v>36678Vega</v>
      </c>
      <c r="AP81" s="0" t="str">
        <f aca="false">CONCATENATE($AB81,$AG$6)</f>
        <v>36678Theta</v>
      </c>
      <c r="AZ81" s="143" t="n">
        <f aca="false">EOMONTH(AZ80,0)+1</f>
        <v>38412</v>
      </c>
      <c r="BA81" s="135"/>
      <c r="BG81" s="285" t="n">
        <v>38749</v>
      </c>
      <c r="BH81" s="0" t="n">
        <v>0.985</v>
      </c>
      <c r="BJ81" s="285" t="n">
        <v>38749</v>
      </c>
      <c r="BK81" s="0" t="n">
        <v>78</v>
      </c>
    </row>
    <row r="82" customFormat="false" ht="12" hidden="false" customHeight="true" outlineLevel="0" collapsed="false">
      <c r="A82" s="267" t="s">
        <v>198</v>
      </c>
      <c r="B82" s="269" t="s">
        <v>192</v>
      </c>
      <c r="C82" s="269" t="s">
        <v>493</v>
      </c>
      <c r="D82" s="269" t="s">
        <v>137</v>
      </c>
      <c r="E82" s="7" t="s">
        <v>483</v>
      </c>
      <c r="F82" s="269" t="s">
        <v>131</v>
      </c>
      <c r="G82" s="269" t="s">
        <v>136</v>
      </c>
      <c r="H82" s="286" t="n">
        <v>36678</v>
      </c>
      <c r="I82" s="272" t="n">
        <v>50000</v>
      </c>
      <c r="J82" s="125" t="n">
        <v>0.46</v>
      </c>
      <c r="K82" s="124" t="n">
        <f aca="false">HLOOKUP($D$3,GDPRICES,VLOOKUP(Q82,GDmove_down,2,FALSE()),FALSE())</f>
        <v>4.765</v>
      </c>
      <c r="L82" s="124" t="n">
        <f aca="false">HLOOKUP($E$3,GDPRICES,VLOOKUP(Q82,GDmove_down,2,FALSE()),FALSE())</f>
        <v>3.51</v>
      </c>
      <c r="M82" s="126" t="n">
        <v>1</v>
      </c>
      <c r="N82" s="7" t="n">
        <v>0.515</v>
      </c>
      <c r="O82" s="7" t="n">
        <v>0.515</v>
      </c>
      <c r="P82" s="249" t="e">
        <f aca="false">HLOOKUP(E82,GDcorr,VLOOKUP(H82,GDCorMove,2,FALSE()),FALSE())</f>
        <v>#N/A</v>
      </c>
      <c r="Q82" s="92" t="n">
        <v>36688</v>
      </c>
      <c r="R82" s="7" t="n">
        <f aca="false">IF(G82="P",0,1)</f>
        <v>1</v>
      </c>
      <c r="S82" s="130" t="e">
        <f aca="false">xSPRDOPT($K82,$L82,$J82,$M82,$N82,$O82,$P82,$Q82-$C$3,$R82,0)</f>
        <v>#NAME?</v>
      </c>
      <c r="T82" s="250" t="e">
        <f aca="false">xSPRDOPT($K82,$L82,$J82,$M82,$N82,$O82,$P82,$Q82-$C$3,$R82,1)*I82</f>
        <v>#NAME?</v>
      </c>
      <c r="U82" s="43" t="n">
        <v>5500</v>
      </c>
      <c r="V82" s="250" t="e">
        <f aca="false">xSPRDOPT($K82,$L82,$J82,$M82,$N82,$O82,$P82,$Q82-$C$3,$R82,2)*I82</f>
        <v>#NAME?</v>
      </c>
      <c r="W82" s="250" t="e">
        <f aca="false">+V82+T82</f>
        <v>#NAME?</v>
      </c>
      <c r="X82" s="2" t="str">
        <f aca="false">CONCATENATE(H82,E82)</f>
        <v>36678IF-ELPO/SJ</v>
      </c>
      <c r="Y82" s="251" t="n">
        <f aca="false">I82/10000</f>
        <v>5</v>
      </c>
      <c r="AA82" s="2"/>
      <c r="AB82" s="182" t="n">
        <f aca="false">H82</f>
        <v>36678</v>
      </c>
      <c r="AC82" s="253" t="e">
        <f aca="false">xSPRDOPT(HLOOKUP($D$3,GDPRICES,VLOOKUP(Q82,GDmove_down,2,FALSE()),FALSE()),HLOOKUP($E$3,GDPRICES,VLOOKUP(Q82,GDmove_down,2,FALSE()),FALSE()),J82,VLOOKUP(H82,NGPREVPRICES,4,FALSE()),HLOOKUP($H$3,GDPrevVols,VLOOKUP(Q82,GDmove_down2,2,FALSE()),FALSE()),HLOOKUP($H$3,GDPrevVols,VLOOKUP(Q82,GDmove_down2,2,FALSE()),FALSE()),HLOOKUP(E82,GDcorr,VLOOKUP(H82,CorMove,2,FALSE()),FALSE()),Q82-$AC$3,R82,$AC$5)*I82-AI82</f>
        <v>#N/A</v>
      </c>
      <c r="AD82" s="253" t="e">
        <f aca="false">xSPRDOPT(HLOOKUP($D$3,GDPrev,VLOOKUP(Q82,GDmove_down,2,FALSE()),FALSE()),HLOOKUP($E$3,GDPrev,VLOOKUP(Q82,GDmove_down,2,FALSE()),FALSE()),AJ82,VLOOKUP(H82,NGPrices,4,FALSE()),HLOOKUP($H$3,GDPrevVols,VLOOKUP(Q82,GDmove_down2,2,FALSE()),FALSE()),HLOOKUP($H$3,GDPrevVols,VLOOKUP(Q82,GDmove_down2,2,FALSE()),FALSE()),HLOOKUP(E82,GDcorr,VLOOKUP(H82,CorMove,2,FALSE()),FALSE()),Q82-$AC$3,R82,$AI$5)*I82-AI82</f>
        <v>#N/A</v>
      </c>
      <c r="AE82" s="132" t="e">
        <f aca="false">(AI82/VLOOKUP(AB82,discount,3,FALSE()))-(AI82/VLOOKUP(AB82,discount,2,FALSE()))</f>
        <v>#N/A</v>
      </c>
      <c r="AF82" s="253" t="e">
        <f aca="false">xSPRDOPT(HLOOKUP($D$3,GDPrev,VLOOKUP(Q82,GDmove_down,2,FALSE()),FALSE()),HLOOKUP($E$3,GDPrev,VLOOKUP(Q82,GDmove_down,2,FALSE()),FALSE()),AJ82,VLOOKUP(H82,NGPREVPRICES,4,FALSE()),HLOOKUP($H$3,GDVol,VLOOKUP(H82,move_down,2,FALSE()),FALSE()),HLOOKUP($H$3,GDVol,VLOOKUP(H82,move_down,2,FALSE()),FALSE()),HLOOKUP(E82,GDcorr,VLOOKUP(H82,CorMove,2,FALSE()),FALSE()),Q82-$AC$3,R82,$AI$5)*I82-AI82</f>
        <v>#N/A</v>
      </c>
      <c r="AG82" s="253" t="e">
        <f aca="false">xSPRDOPT(HLOOKUP($D$3,GDPrev,VLOOKUP(Q82,GDmove_down,2,FALSE()),FALSE()),HLOOKUP($E$3,GDPrev,VLOOKUP(Q82,GDmove_down,2,FALSE()),FALSE()),AJ82,VLOOKUP(H82,NGPREVPRICES,4,FALSE()),HLOOKUP($H$3,GDPrevVols,VLOOKUP(Q82,GDmove_down2,2,FALSE()),FALSE()),HLOOKUP($H$3,GDPrevVols,VLOOKUP(Q82,GDmove_down2,2,FALSE()),FALSE()),HLOOKUP(E82,GDcorr,VLOOKUP(H82,CorMove,2,FALSE()),FALSE()),Q82-$C$3,R82,$AI$5)*I82-AI82</f>
        <v>#N/A</v>
      </c>
      <c r="AH82" s="253" t="e">
        <f aca="false">SUM(AC82:AG82)</f>
        <v>#N/A</v>
      </c>
      <c r="AI82" s="253" t="e">
        <f aca="false">xSPRDOPT(HLOOKUP($D$3,GDPrev,VLOOKUP(Q82,GDmove_down,2,FALSE()),FALSE()),HLOOKUP($E$3,GDPrev,VLOOKUP(Q82,GDmove_down,2,FALSE()),FALSE()),AJ82,VLOOKUP(H82,NGPREVPRICES,4,FALSE()),HLOOKUP($H$3,GDPrevVols,VLOOKUP(Q82,GDmove_down2,2,FALSE()),FALSE()),HLOOKUP($H$3,GDPrevVols,VLOOKUP(Q82,GDmove_down2,2,FALSE()),FALSE()),HLOOKUP(E82,GDcorr,VLOOKUP(H82,CorMove,2,FALSE()),FALSE()),Q82-$AC$3,R82,$AI$5)*I82</f>
        <v>#N/A</v>
      </c>
      <c r="AJ82" s="254" t="e">
        <f aca="false">HLOOKUP(D82,PREVCURVES,VLOOKUP(H82,MOVE_DOWN2,2,FALSE()),FALSE())-HLOOKUP(E82,PREVCURVES,VLOOKUP(H82,MOVE_DOWN2,2,FALSE()),FALSE())</f>
        <v>#N/A</v>
      </c>
      <c r="AK82" s="253"/>
      <c r="AL82" s="0" t="str">
        <f aca="false">CONCATENATE(AB82,$AC$6)</f>
        <v>36678Curve Shift/Gamma</v>
      </c>
      <c r="AM82" s="0" t="str">
        <f aca="false">CONCATENATE($AB82,$AD$6)</f>
        <v>36678Rho</v>
      </c>
      <c r="AN82" s="0" t="str">
        <f aca="false">CONCATENATE($AB82,$AE$6)</f>
        <v>36678Drift</v>
      </c>
      <c r="AO82" s="0" t="str">
        <f aca="false">CONCATENATE($AB82,$AF$6)</f>
        <v>36678Vega</v>
      </c>
      <c r="AP82" s="0" t="str">
        <f aca="false">CONCATENATE($AB82,$AG$6)</f>
        <v>36678Theta</v>
      </c>
      <c r="AZ82" s="143" t="n">
        <f aca="false">EOMONTH(AZ81,0)+1</f>
        <v>38443</v>
      </c>
      <c r="BA82" s="135"/>
      <c r="BG82" s="285" t="n">
        <v>38777</v>
      </c>
      <c r="BH82" s="0" t="n">
        <v>0.985</v>
      </c>
      <c r="BJ82" s="285" t="n">
        <v>38777</v>
      </c>
      <c r="BK82" s="0" t="n">
        <v>79</v>
      </c>
    </row>
    <row r="83" customFormat="false" ht="12" hidden="false" customHeight="true" outlineLevel="0" collapsed="false">
      <c r="A83" s="267" t="s">
        <v>198</v>
      </c>
      <c r="B83" s="269" t="s">
        <v>192</v>
      </c>
      <c r="C83" s="269" t="s">
        <v>494</v>
      </c>
      <c r="D83" s="269" t="s">
        <v>137</v>
      </c>
      <c r="E83" s="7" t="s">
        <v>483</v>
      </c>
      <c r="F83" s="269" t="s">
        <v>131</v>
      </c>
      <c r="G83" s="269" t="s">
        <v>136</v>
      </c>
      <c r="H83" s="286" t="n">
        <v>36678</v>
      </c>
      <c r="I83" s="272" t="n">
        <v>-10000</v>
      </c>
      <c r="J83" s="125" t="n">
        <v>0.46</v>
      </c>
      <c r="K83" s="124" t="n">
        <f aca="false">HLOOKUP($D$3,GDPRICES,VLOOKUP(Q83,GDmove_down,2,FALSE()),FALSE())</f>
        <v>4.765</v>
      </c>
      <c r="L83" s="124" t="n">
        <f aca="false">HLOOKUP($E$3,GDPRICES,VLOOKUP(Q83,GDmove_down,2,FALSE()),FALSE())</f>
        <v>3.51</v>
      </c>
      <c r="M83" s="126" t="n">
        <v>1</v>
      </c>
      <c r="N83" s="7" t="n">
        <v>0.515</v>
      </c>
      <c r="O83" s="7" t="n">
        <v>0.515</v>
      </c>
      <c r="P83" s="249" t="e">
        <f aca="false">HLOOKUP(E83,GDcorr,VLOOKUP(H83,GDCorMove,2,FALSE()),FALSE())</f>
        <v>#N/A</v>
      </c>
      <c r="Q83" s="92" t="n">
        <v>36688</v>
      </c>
      <c r="R83" s="7" t="n">
        <f aca="false">IF(G83="P",0,1)</f>
        <v>1</v>
      </c>
      <c r="S83" s="130" t="e">
        <f aca="false">xSPRDOPT($K83,$L83,$J83,$M83,$N83,$O83,$P83,$Q83-$C$3,$R83,0)</f>
        <v>#NAME?</v>
      </c>
      <c r="T83" s="250" t="e">
        <f aca="false">xSPRDOPT($K83,$L83,$J83,$M83,$N83,$O83,$P83,$Q83-$C$3,$R83,1)*I83</f>
        <v>#NAME?</v>
      </c>
      <c r="U83" s="43" t="n">
        <v>-1100</v>
      </c>
      <c r="V83" s="250" t="e">
        <f aca="false">xSPRDOPT($K83,$L83,$J83,$M83,$N83,$O83,$P83,$Q83-$C$3,$R83,2)*I83</f>
        <v>#NAME?</v>
      </c>
      <c r="W83" s="250" t="e">
        <f aca="false">+V83+T83</f>
        <v>#NAME?</v>
      </c>
      <c r="X83" s="2" t="str">
        <f aca="false">CONCATENATE(H83,E83)</f>
        <v>36678IF-ELPO/SJ</v>
      </c>
      <c r="Y83" s="251" t="n">
        <f aca="false">I83/10000</f>
        <v>-1</v>
      </c>
      <c r="AA83" s="2"/>
      <c r="AB83" s="182" t="n">
        <f aca="false">H83</f>
        <v>36678</v>
      </c>
      <c r="AC83" s="253" t="e">
        <f aca="false">xSPRDOPT(HLOOKUP($D$3,GDPRICES,VLOOKUP(Q83,GDmove_down,2,FALSE()),FALSE()),HLOOKUP($E$3,GDPRICES,VLOOKUP(Q83,GDmove_down,2,FALSE()),FALSE()),J83,VLOOKUP(H83,NGPREVPRICES,4,FALSE()),HLOOKUP($H$3,GDPrevVols,VLOOKUP(Q83,GDmove_down2,2,FALSE()),FALSE()),HLOOKUP($H$3,GDPrevVols,VLOOKUP(Q83,GDmove_down2,2,FALSE()),FALSE()),HLOOKUP(E83,GDcorr,VLOOKUP(H83,CorMove,2,FALSE()),FALSE()),Q83-$AC$3,R83,$AC$5)*I83-AI83</f>
        <v>#N/A</v>
      </c>
      <c r="AD83" s="253" t="e">
        <f aca="false">xSPRDOPT(HLOOKUP($D$3,GDPrev,VLOOKUP(Q83,GDmove_down,2,FALSE()),FALSE()),HLOOKUP($E$3,GDPrev,VLOOKUP(Q83,GDmove_down,2,FALSE()),FALSE()),AJ83,VLOOKUP(H83,NGPrices,4,FALSE()),HLOOKUP($H$3,GDPrevVols,VLOOKUP(Q83,GDmove_down2,2,FALSE()),FALSE()),HLOOKUP($H$3,GDPrevVols,VLOOKUP(Q83,GDmove_down2,2,FALSE()),FALSE()),HLOOKUP(E83,GDcorr,VLOOKUP(H83,CorMove,2,FALSE()),FALSE()),Q83-$AC$3,R83,$AI$5)*I83-AI83</f>
        <v>#N/A</v>
      </c>
      <c r="AE83" s="132" t="e">
        <f aca="false">(AI83/VLOOKUP(AB83,discount,3,FALSE()))-(AI83/VLOOKUP(AB83,discount,2,FALSE()))</f>
        <v>#N/A</v>
      </c>
      <c r="AF83" s="253" t="e">
        <f aca="false">xSPRDOPT(HLOOKUP($D$3,GDPrev,VLOOKUP(Q83,GDmove_down,2,FALSE()),FALSE()),HLOOKUP($E$3,GDPrev,VLOOKUP(Q83,GDmove_down,2,FALSE()),FALSE()),AJ83,VLOOKUP(H83,NGPREVPRICES,4,FALSE()),HLOOKUP($H$3,GDVol,VLOOKUP(H83,move_down,2,FALSE()),FALSE()),HLOOKUP($H$3,GDVol,VLOOKUP(H83,move_down,2,FALSE()),FALSE()),HLOOKUP(E83,GDcorr,VLOOKUP(H83,CorMove,2,FALSE()),FALSE()),Q83-$AC$3,R83,$AI$5)*I83-AI83</f>
        <v>#N/A</v>
      </c>
      <c r="AG83" s="253" t="e">
        <f aca="false">xSPRDOPT(HLOOKUP($D$3,GDPrev,VLOOKUP(Q83,GDmove_down,2,FALSE()),FALSE()),HLOOKUP($E$3,GDPrev,VLOOKUP(Q83,GDmove_down,2,FALSE()),FALSE()),AJ83,VLOOKUP(H83,NGPREVPRICES,4,FALSE()),HLOOKUP($H$3,GDPrevVols,VLOOKUP(Q83,GDmove_down2,2,FALSE()),FALSE()),HLOOKUP($H$3,GDPrevVols,VLOOKUP(Q83,GDmove_down2,2,FALSE()),FALSE()),HLOOKUP(E83,GDcorr,VLOOKUP(H83,CorMove,2,FALSE()),FALSE()),Q83-$C$3,R83,$AI$5)*I83-AI83</f>
        <v>#N/A</v>
      </c>
      <c r="AH83" s="253" t="e">
        <f aca="false">SUM(AC83:AG83)</f>
        <v>#N/A</v>
      </c>
      <c r="AI83" s="253" t="e">
        <f aca="false">xSPRDOPT(HLOOKUP($D$3,GDPrev,VLOOKUP(Q83,GDmove_down,2,FALSE()),FALSE()),HLOOKUP($E$3,GDPrev,VLOOKUP(Q83,GDmove_down,2,FALSE()),FALSE()),AJ83,VLOOKUP(H83,NGPREVPRICES,4,FALSE()),HLOOKUP($H$3,GDPrevVols,VLOOKUP(Q83,GDmove_down2,2,FALSE()),FALSE()),HLOOKUP($H$3,GDPrevVols,VLOOKUP(Q83,GDmove_down2,2,FALSE()),FALSE()),HLOOKUP(E83,GDcorr,VLOOKUP(H83,CorMove,2,FALSE()),FALSE()),Q83-$AC$3,R83,$AI$5)*I83</f>
        <v>#N/A</v>
      </c>
      <c r="AJ83" s="254" t="e">
        <f aca="false">HLOOKUP(D83,PREVCURVES,VLOOKUP(H83,MOVE_DOWN2,2,FALSE()),FALSE())-HLOOKUP(E83,PREVCURVES,VLOOKUP(H83,MOVE_DOWN2,2,FALSE()),FALSE())</f>
        <v>#N/A</v>
      </c>
      <c r="AK83" s="253"/>
      <c r="AL83" s="0" t="str">
        <f aca="false">CONCATENATE(AB83,$AC$6)</f>
        <v>36678Curve Shift/Gamma</v>
      </c>
      <c r="AM83" s="0" t="str">
        <f aca="false">CONCATENATE($AB83,$AD$6)</f>
        <v>36678Rho</v>
      </c>
      <c r="AN83" s="0" t="str">
        <f aca="false">CONCATENATE($AB83,$AE$6)</f>
        <v>36678Drift</v>
      </c>
      <c r="AO83" s="0" t="str">
        <f aca="false">CONCATENATE($AB83,$AF$6)</f>
        <v>36678Vega</v>
      </c>
      <c r="AP83" s="0" t="str">
        <f aca="false">CONCATENATE($AB83,$AG$6)</f>
        <v>36678Theta</v>
      </c>
      <c r="AZ83" s="143" t="n">
        <f aca="false">EOMONTH(AZ82,0)+1</f>
        <v>38473</v>
      </c>
      <c r="BA83" s="135"/>
      <c r="BG83" s="285" t="n">
        <v>38808</v>
      </c>
      <c r="BH83" s="0" t="n">
        <v>0.985</v>
      </c>
      <c r="BJ83" s="285" t="n">
        <v>38808</v>
      </c>
      <c r="BK83" s="0" t="n">
        <v>80</v>
      </c>
    </row>
    <row r="84" customFormat="false" ht="12" hidden="false" customHeight="true" outlineLevel="0" collapsed="false">
      <c r="A84" s="265" t="s">
        <v>198</v>
      </c>
      <c r="B84" s="269" t="s">
        <v>192</v>
      </c>
      <c r="C84" s="269" t="s">
        <v>488</v>
      </c>
      <c r="D84" s="269" t="s">
        <v>137</v>
      </c>
      <c r="E84" s="7" t="s">
        <v>483</v>
      </c>
      <c r="F84" s="269" t="s">
        <v>131</v>
      </c>
      <c r="G84" s="269" t="s">
        <v>136</v>
      </c>
      <c r="H84" s="286" t="n">
        <v>36678</v>
      </c>
      <c r="I84" s="272" t="n">
        <v>-50000</v>
      </c>
      <c r="J84" s="125" t="n">
        <v>0.46</v>
      </c>
      <c r="K84" s="124" t="n">
        <f aca="false">HLOOKUP($D$3,GDPRICES,VLOOKUP(Q84,GDmove_down,2,FALSE()),FALSE())</f>
        <v>4.74</v>
      </c>
      <c r="L84" s="124" t="n">
        <f aca="false">HLOOKUP($E$3,GDPRICES,VLOOKUP(Q84,GDmove_down,2,FALSE()),FALSE())</f>
        <v>3.365</v>
      </c>
      <c r="M84" s="126" t="n">
        <v>1</v>
      </c>
      <c r="N84" s="7" t="n">
        <v>0.515</v>
      </c>
      <c r="O84" s="7" t="n">
        <v>0.515</v>
      </c>
      <c r="P84" s="249" t="e">
        <f aca="false">HLOOKUP(E84,GDcorr,VLOOKUP(H84,GDCorMove,2,FALSE()),FALSE())</f>
        <v>#N/A</v>
      </c>
      <c r="Q84" s="92" t="n">
        <v>36689</v>
      </c>
      <c r="R84" s="7" t="n">
        <f aca="false">IF(G84="P",0,1)</f>
        <v>1</v>
      </c>
      <c r="S84" s="130" t="e">
        <f aca="false">xSPRDOPT($K84,$L84,$J84,$M84,$N84,$O84,$P84,$Q84-$C$3,$R84,0)</f>
        <v>#NAME?</v>
      </c>
      <c r="T84" s="250" t="e">
        <f aca="false">xSPRDOPT($K84,$L84,$J84,$M84,$N84,$O84,$P84,$Q84-$C$3,$R84,1)*I84</f>
        <v>#NAME?</v>
      </c>
      <c r="U84" s="43" t="n">
        <v>-5500</v>
      </c>
      <c r="V84" s="250" t="e">
        <f aca="false">xSPRDOPT($K84,$L84,$J84,$M84,$N84,$O84,$P84,$Q84-$C$3,$R84,2)*I84</f>
        <v>#NAME?</v>
      </c>
      <c r="W84" s="250" t="e">
        <f aca="false">+V84+T84</f>
        <v>#NAME?</v>
      </c>
      <c r="X84" s="2" t="str">
        <f aca="false">CONCATENATE(H84,E84)</f>
        <v>36678IF-ELPO/SJ</v>
      </c>
      <c r="Y84" s="251" t="n">
        <f aca="false">I84/10000</f>
        <v>-5</v>
      </c>
      <c r="AA84" s="2"/>
      <c r="AB84" s="182" t="n">
        <f aca="false">H84</f>
        <v>36678</v>
      </c>
      <c r="AC84" s="253" t="e">
        <f aca="false">xSPRDOPT(HLOOKUP($D$3,GDPRICES,VLOOKUP(Q84,GDmove_down,2,FALSE()),FALSE()),HLOOKUP($E$3,GDPRICES,VLOOKUP(Q84,GDmove_down,2,FALSE()),FALSE()),J84,VLOOKUP(H84,NGPREVPRICES,4,FALSE()),HLOOKUP($H$3,GDPrevVols,VLOOKUP(Q84,GDmove_down2,2,FALSE()),FALSE()),HLOOKUP($H$3,GDPrevVols,VLOOKUP(Q84,GDmove_down2,2,FALSE()),FALSE()),HLOOKUP(E84,GDcorr,VLOOKUP(H84,CorMove,2,FALSE()),FALSE()),Q84-$AC$3,R84,$AC$5)*I84-AI84</f>
        <v>#N/A</v>
      </c>
      <c r="AD84" s="253" t="e">
        <f aca="false">xSPRDOPT(HLOOKUP($D$3,GDPrev,VLOOKUP(Q84,GDmove_down,2,FALSE()),FALSE()),HLOOKUP($E$3,GDPrev,VLOOKUP(Q84,GDmove_down,2,FALSE()),FALSE()),AJ84,VLOOKUP(H84,NGPrices,4,FALSE()),HLOOKUP($H$3,GDPrevVols,VLOOKUP(Q84,GDmove_down2,2,FALSE()),FALSE()),HLOOKUP($H$3,GDPrevVols,VLOOKUP(Q84,GDmove_down2,2,FALSE()),FALSE()),HLOOKUP(E84,GDcorr,VLOOKUP(H84,CorMove,2,FALSE()),FALSE()),Q84-$AC$3,R84,$AI$5)*I84-AI84</f>
        <v>#N/A</v>
      </c>
      <c r="AE84" s="132" t="e">
        <f aca="false">(AI84/VLOOKUP(AB84,discount,3,FALSE()))-(AI84/VLOOKUP(AB84,discount,2,FALSE()))</f>
        <v>#N/A</v>
      </c>
      <c r="AF84" s="253" t="e">
        <f aca="false">xSPRDOPT(HLOOKUP($D$3,GDPrev,VLOOKUP(Q84,GDmove_down,2,FALSE()),FALSE()),HLOOKUP($E$3,GDPrev,VLOOKUP(Q84,GDmove_down,2,FALSE()),FALSE()),AJ84,VLOOKUP(H84,NGPREVPRICES,4,FALSE()),HLOOKUP($H$3,GDVol,VLOOKUP(H84,move_down,2,FALSE()),FALSE()),HLOOKUP($H$3,GDVol,VLOOKUP(H84,move_down,2,FALSE()),FALSE()),HLOOKUP(E84,GDcorr,VLOOKUP(H84,CorMove,2,FALSE()),FALSE()),Q84-$AC$3,R84,$AI$5)*I84-AI84</f>
        <v>#N/A</v>
      </c>
      <c r="AG84" s="253" t="e">
        <f aca="false">xSPRDOPT(HLOOKUP($D$3,GDPrev,VLOOKUP(Q84,GDmove_down,2,FALSE()),FALSE()),HLOOKUP($E$3,GDPrev,VLOOKUP(Q84,GDmove_down,2,FALSE()),FALSE()),AJ84,VLOOKUP(H84,NGPREVPRICES,4,FALSE()),HLOOKUP($H$3,GDPrevVols,VLOOKUP(Q84,GDmove_down2,2,FALSE()),FALSE()),HLOOKUP($H$3,GDPrevVols,VLOOKUP(Q84,GDmove_down2,2,FALSE()),FALSE()),HLOOKUP(E84,GDcorr,VLOOKUP(H84,CorMove,2,FALSE()),FALSE()),Q84-$C$3,R84,$AI$5)*I84-AI84</f>
        <v>#N/A</v>
      </c>
      <c r="AH84" s="253" t="e">
        <f aca="false">SUM(AC84:AG84)</f>
        <v>#N/A</v>
      </c>
      <c r="AI84" s="253" t="e">
        <f aca="false">xSPRDOPT(HLOOKUP($D$3,GDPrev,VLOOKUP(Q84,GDmove_down,2,FALSE()),FALSE()),HLOOKUP($E$3,GDPrev,VLOOKUP(Q84,GDmove_down,2,FALSE()),FALSE()),AJ84,VLOOKUP(H84,NGPREVPRICES,4,FALSE()),HLOOKUP($H$3,GDPrevVols,VLOOKUP(Q84,GDmove_down2,2,FALSE()),FALSE()),HLOOKUP($H$3,GDPrevVols,VLOOKUP(Q84,GDmove_down2,2,FALSE()),FALSE()),HLOOKUP(E84,GDcorr,VLOOKUP(H84,CorMove,2,FALSE()),FALSE()),Q84-$AC$3,R84,$AI$5)*I84</f>
        <v>#N/A</v>
      </c>
      <c r="AJ84" s="254" t="e">
        <f aca="false">HLOOKUP(D84,PREVCURVES,VLOOKUP(H84,MOVE_DOWN2,2,FALSE()),FALSE())-HLOOKUP(E84,PREVCURVES,VLOOKUP(H84,MOVE_DOWN2,2,FALSE()),FALSE())</f>
        <v>#N/A</v>
      </c>
      <c r="AK84" s="253"/>
      <c r="AL84" s="0" t="str">
        <f aca="false">CONCATENATE(AB84,$AC$6)</f>
        <v>36678Curve Shift/Gamma</v>
      </c>
      <c r="AM84" s="0" t="str">
        <f aca="false">CONCATENATE($AB84,$AD$6)</f>
        <v>36678Rho</v>
      </c>
      <c r="AN84" s="0" t="str">
        <f aca="false">CONCATENATE($AB84,$AE$6)</f>
        <v>36678Drift</v>
      </c>
      <c r="AO84" s="0" t="str">
        <f aca="false">CONCATENATE($AB84,$AF$6)</f>
        <v>36678Vega</v>
      </c>
      <c r="AP84" s="0" t="str">
        <f aca="false">CONCATENATE($AB84,$AG$6)</f>
        <v>36678Theta</v>
      </c>
      <c r="AZ84" s="143" t="n">
        <f aca="false">EOMONTH(AZ83,0)+1</f>
        <v>38504</v>
      </c>
      <c r="BA84" s="135"/>
      <c r="BG84" s="285" t="n">
        <v>38838</v>
      </c>
      <c r="BH84" s="0" t="n">
        <v>0.985</v>
      </c>
      <c r="BJ84" s="285" t="n">
        <v>38838</v>
      </c>
      <c r="BK84" s="0" t="n">
        <v>81</v>
      </c>
    </row>
    <row r="85" customFormat="false" ht="12" hidden="false" customHeight="true" outlineLevel="0" collapsed="false">
      <c r="A85" s="265" t="s">
        <v>198</v>
      </c>
      <c r="B85" s="269" t="s">
        <v>192</v>
      </c>
      <c r="C85" s="269" t="s">
        <v>489</v>
      </c>
      <c r="D85" s="269" t="s">
        <v>137</v>
      </c>
      <c r="E85" s="7" t="s">
        <v>483</v>
      </c>
      <c r="F85" s="269" t="s">
        <v>131</v>
      </c>
      <c r="G85" s="269" t="s">
        <v>136</v>
      </c>
      <c r="H85" s="286" t="n">
        <v>36678</v>
      </c>
      <c r="I85" s="272" t="n">
        <v>10000</v>
      </c>
      <c r="J85" s="125" t="n">
        <v>0.46</v>
      </c>
      <c r="K85" s="124" t="n">
        <f aca="false">HLOOKUP($D$3,GDPRICES,VLOOKUP(Q85,GDmove_down,2,FALSE()),FALSE())</f>
        <v>4.74</v>
      </c>
      <c r="L85" s="124" t="n">
        <f aca="false">HLOOKUP($E$3,GDPRICES,VLOOKUP(Q85,GDmove_down,2,FALSE()),FALSE())</f>
        <v>3.365</v>
      </c>
      <c r="M85" s="126" t="n">
        <v>1</v>
      </c>
      <c r="N85" s="7" t="n">
        <v>0.515</v>
      </c>
      <c r="O85" s="7" t="n">
        <v>0.515</v>
      </c>
      <c r="P85" s="249" t="e">
        <f aca="false">HLOOKUP(E85,GDcorr,VLOOKUP(H85,GDCorMove,2,FALSE()),FALSE())</f>
        <v>#N/A</v>
      </c>
      <c r="Q85" s="92" t="n">
        <v>36689</v>
      </c>
      <c r="R85" s="7" t="n">
        <f aca="false">IF(G85="P",0,1)</f>
        <v>1</v>
      </c>
      <c r="S85" s="130" t="e">
        <f aca="false">xSPRDOPT($K85,$L85,$J85,$M85,$N85,$O85,$P85,$Q85-$C$3,$R85,0)</f>
        <v>#NAME?</v>
      </c>
      <c r="T85" s="250" t="e">
        <f aca="false">xSPRDOPT($K85,$L85,$J85,$M85,$N85,$O85,$P85,$Q85-$C$3,$R85,1)*I85</f>
        <v>#NAME?</v>
      </c>
      <c r="U85" s="43" t="n">
        <v>1100</v>
      </c>
      <c r="V85" s="250" t="e">
        <f aca="false">xSPRDOPT($K85,$L85,$J85,$M85,$N85,$O85,$P85,$Q85-$C$3,$R85,2)*I85</f>
        <v>#NAME?</v>
      </c>
      <c r="W85" s="250" t="e">
        <f aca="false">+V85+T85</f>
        <v>#NAME?</v>
      </c>
      <c r="X85" s="2" t="str">
        <f aca="false">CONCATENATE(H85,E85)</f>
        <v>36678IF-ELPO/SJ</v>
      </c>
      <c r="Y85" s="251" t="n">
        <f aca="false">I85/10000</f>
        <v>1</v>
      </c>
      <c r="AA85" s="2"/>
      <c r="AB85" s="182" t="n">
        <f aca="false">H85</f>
        <v>36678</v>
      </c>
      <c r="AC85" s="253" t="e">
        <f aca="false">xSPRDOPT(HLOOKUP($D$3,GDPRICES,VLOOKUP(Q85,GDmove_down,2,FALSE()),FALSE()),HLOOKUP($E$3,GDPRICES,VLOOKUP(Q85,GDmove_down,2,FALSE()),FALSE()),J85,VLOOKUP(H85,NGPREVPRICES,4,FALSE()),HLOOKUP($H$3,GDPrevVols,VLOOKUP(Q85,GDmove_down2,2,FALSE()),FALSE()),HLOOKUP($H$3,GDPrevVols,VLOOKUP(Q85,GDmove_down2,2,FALSE()),FALSE()),HLOOKUP(E85,GDcorr,VLOOKUP(H85,CorMove,2,FALSE()),FALSE()),Q85-$AC$3,R85,$AC$5)*I85-AI85</f>
        <v>#N/A</v>
      </c>
      <c r="AD85" s="253" t="e">
        <f aca="false">xSPRDOPT(HLOOKUP($D$3,GDPrev,VLOOKUP(Q85,GDmove_down,2,FALSE()),FALSE()),HLOOKUP($E$3,GDPrev,VLOOKUP(Q85,GDmove_down,2,FALSE()),FALSE()),AJ85,VLOOKUP(H85,NGPrices,4,FALSE()),HLOOKUP($H$3,GDPrevVols,VLOOKUP(Q85,GDmove_down2,2,FALSE()),FALSE()),HLOOKUP($H$3,GDPrevVols,VLOOKUP(Q85,GDmove_down2,2,FALSE()),FALSE()),HLOOKUP(E85,GDcorr,VLOOKUP(H85,CorMove,2,FALSE()),FALSE()),Q85-$AC$3,R85,$AI$5)*I85-AI85</f>
        <v>#N/A</v>
      </c>
      <c r="AE85" s="132" t="e">
        <f aca="false">(AI85/VLOOKUP(AB85,discount,3,FALSE()))-(AI85/VLOOKUP(AB85,discount,2,FALSE()))</f>
        <v>#N/A</v>
      </c>
      <c r="AF85" s="253" t="e">
        <f aca="false">xSPRDOPT(HLOOKUP($D$3,GDPrev,VLOOKUP(Q85,GDmove_down,2,FALSE()),FALSE()),HLOOKUP($E$3,GDPrev,VLOOKUP(Q85,GDmove_down,2,FALSE()),FALSE()),AJ85,VLOOKUP(H85,NGPREVPRICES,4,FALSE()),HLOOKUP($H$3,GDVol,VLOOKUP(H85,move_down,2,FALSE()),FALSE()),HLOOKUP($H$3,GDVol,VLOOKUP(H85,move_down,2,FALSE()),FALSE()),HLOOKUP(E85,GDcorr,VLOOKUP(H85,CorMove,2,FALSE()),FALSE()),Q85-$AC$3,R85,$AI$5)*I85-AI85</f>
        <v>#N/A</v>
      </c>
      <c r="AG85" s="253" t="e">
        <f aca="false">xSPRDOPT(HLOOKUP($D$3,GDPrev,VLOOKUP(Q85,GDmove_down,2,FALSE()),FALSE()),HLOOKUP($E$3,GDPrev,VLOOKUP(Q85,GDmove_down,2,FALSE()),FALSE()),AJ85,VLOOKUP(H85,NGPREVPRICES,4,FALSE()),HLOOKUP($H$3,GDPrevVols,VLOOKUP(Q85,GDmove_down2,2,FALSE()),FALSE()),HLOOKUP($H$3,GDPrevVols,VLOOKUP(Q85,GDmove_down2,2,FALSE()),FALSE()),HLOOKUP(E85,GDcorr,VLOOKUP(H85,CorMove,2,FALSE()),FALSE()),Q85-$C$3,R85,$AI$5)*I85-AI85</f>
        <v>#N/A</v>
      </c>
      <c r="AH85" s="253" t="e">
        <f aca="false">SUM(AC85:AG85)</f>
        <v>#N/A</v>
      </c>
      <c r="AI85" s="253" t="e">
        <f aca="false">xSPRDOPT(HLOOKUP($D$3,GDPrev,VLOOKUP(Q85,GDmove_down,2,FALSE()),FALSE()),HLOOKUP($E$3,GDPrev,VLOOKUP(Q85,GDmove_down,2,FALSE()),FALSE()),AJ85,VLOOKUP(H85,NGPREVPRICES,4,FALSE()),HLOOKUP($H$3,GDPrevVols,VLOOKUP(Q85,GDmove_down2,2,FALSE()),FALSE()),HLOOKUP($H$3,GDPrevVols,VLOOKUP(Q85,GDmove_down2,2,FALSE()),FALSE()),HLOOKUP(E85,GDcorr,VLOOKUP(H85,CorMove,2,FALSE()),FALSE()),Q85-$AC$3,R85,$AI$5)*I85</f>
        <v>#N/A</v>
      </c>
      <c r="AJ85" s="254" t="e">
        <f aca="false">HLOOKUP(D85,PREVCURVES,VLOOKUP(H85,MOVE_DOWN2,2,FALSE()),FALSE())-HLOOKUP(E85,PREVCURVES,VLOOKUP(H85,MOVE_DOWN2,2,FALSE()),FALSE())</f>
        <v>#N/A</v>
      </c>
      <c r="AK85" s="253"/>
      <c r="AL85" s="0" t="str">
        <f aca="false">CONCATENATE(AB85,$AC$6)</f>
        <v>36678Curve Shift/Gamma</v>
      </c>
      <c r="AM85" s="0" t="str">
        <f aca="false">CONCATENATE($AB85,$AD$6)</f>
        <v>36678Rho</v>
      </c>
      <c r="AN85" s="0" t="str">
        <f aca="false">CONCATENATE($AB85,$AE$6)</f>
        <v>36678Drift</v>
      </c>
      <c r="AO85" s="0" t="str">
        <f aca="false">CONCATENATE($AB85,$AF$6)</f>
        <v>36678Vega</v>
      </c>
      <c r="AP85" s="0" t="str">
        <f aca="false">CONCATENATE($AB85,$AG$6)</f>
        <v>36678Theta</v>
      </c>
      <c r="AZ85" s="143" t="n">
        <f aca="false">EOMONTH(AZ84,0)+1</f>
        <v>38534</v>
      </c>
      <c r="BA85" s="135"/>
      <c r="BG85" s="285" t="n">
        <v>38869</v>
      </c>
      <c r="BH85" s="0" t="n">
        <v>0.985</v>
      </c>
      <c r="BJ85" s="285" t="n">
        <v>38869</v>
      </c>
      <c r="BK85" s="0" t="n">
        <v>82</v>
      </c>
    </row>
    <row r="86" customFormat="false" ht="12" hidden="false" customHeight="true" outlineLevel="0" collapsed="false">
      <c r="A86" s="265" t="s">
        <v>198</v>
      </c>
      <c r="B86" s="269" t="s">
        <v>192</v>
      </c>
      <c r="C86" s="269" t="s">
        <v>490</v>
      </c>
      <c r="D86" s="269" t="s">
        <v>137</v>
      </c>
      <c r="E86" s="7" t="s">
        <v>483</v>
      </c>
      <c r="F86" s="269" t="s">
        <v>131</v>
      </c>
      <c r="G86" s="269" t="s">
        <v>136</v>
      </c>
      <c r="H86" s="286" t="n">
        <v>36678</v>
      </c>
      <c r="I86" s="272" t="n">
        <v>-333333</v>
      </c>
      <c r="J86" s="125" t="n">
        <v>0.46</v>
      </c>
      <c r="K86" s="124" t="n">
        <f aca="false">HLOOKUP($D$3,GDPRICES,VLOOKUP(Q86,GDmove_down,2,FALSE()),FALSE())</f>
        <v>4.74</v>
      </c>
      <c r="L86" s="124" t="n">
        <f aca="false">HLOOKUP($E$3,GDPRICES,VLOOKUP(Q86,GDmove_down,2,FALSE()),FALSE())</f>
        <v>3.365</v>
      </c>
      <c r="M86" s="126" t="n">
        <v>1</v>
      </c>
      <c r="N86" s="7" t="n">
        <v>0.515</v>
      </c>
      <c r="O86" s="7" t="n">
        <v>0.515</v>
      </c>
      <c r="P86" s="249" t="e">
        <f aca="false">HLOOKUP(E86,GDcorr,VLOOKUP(H86,GDCorMove,2,FALSE()),FALSE())</f>
        <v>#N/A</v>
      </c>
      <c r="Q86" s="92" t="n">
        <v>36689</v>
      </c>
      <c r="R86" s="7" t="n">
        <f aca="false">IF(G86="P",0,1)</f>
        <v>1</v>
      </c>
      <c r="S86" s="130" t="e">
        <f aca="false">xSPRDOPT($K86,$L86,$J86,$M86,$N86,$O86,$P86,$Q86-$C$3,$R86,0)</f>
        <v>#NAME?</v>
      </c>
      <c r="T86" s="250" t="e">
        <f aca="false">xSPRDOPT($K86,$L86,$J86,$M86,$N86,$O86,$P86,$Q86-$C$3,$R86,1)*I86</f>
        <v>#NAME?</v>
      </c>
      <c r="U86" s="43" t="n">
        <v>-36666.63</v>
      </c>
      <c r="V86" s="250" t="e">
        <f aca="false">xSPRDOPT($K86,$L86,$J86,$M86,$N86,$O86,$P86,$Q86-$C$3,$R86,2)*I86</f>
        <v>#NAME?</v>
      </c>
      <c r="W86" s="250" t="e">
        <f aca="false">+V86+T86</f>
        <v>#NAME?</v>
      </c>
      <c r="X86" s="2" t="str">
        <f aca="false">CONCATENATE(H86,E86)</f>
        <v>36678IF-ELPO/SJ</v>
      </c>
      <c r="Y86" s="251" t="n">
        <f aca="false">I86/10000</f>
        <v>-33.3333</v>
      </c>
      <c r="Z86" s="2"/>
      <c r="AA86" s="2"/>
      <c r="AB86" s="182" t="n">
        <f aca="false">H86</f>
        <v>36678</v>
      </c>
      <c r="AC86" s="253" t="e">
        <f aca="false">xSPRDOPT(HLOOKUP($D$3,GDPRICES,VLOOKUP(Q86,GDmove_down,2,FALSE()),FALSE()),HLOOKUP($E$3,GDPRICES,VLOOKUP(Q86,GDmove_down,2,FALSE()),FALSE()),J86,VLOOKUP(H86,NGPREVPRICES,4,FALSE()),HLOOKUP($H$3,GDPrevVols,VLOOKUP(Q86,GDmove_down2,2,FALSE()),FALSE()),HLOOKUP($H$3,GDPrevVols,VLOOKUP(Q86,GDmove_down2,2,FALSE()),FALSE()),HLOOKUP(E86,GDcorr,VLOOKUP(H86,CorMove,2,FALSE()),FALSE()),Q86-$AC$3,R86,$AC$5)*I86-AI86</f>
        <v>#N/A</v>
      </c>
      <c r="AD86" s="253" t="e">
        <f aca="false">xSPRDOPT(HLOOKUP($D$3,GDPrev,VLOOKUP(Q86,GDmove_down,2,FALSE()),FALSE()),HLOOKUP($E$3,GDPrev,VLOOKUP(Q86,GDmove_down,2,FALSE()),FALSE()),AJ86,VLOOKUP(H86,NGPrices,4,FALSE()),HLOOKUP($H$3,GDPrevVols,VLOOKUP(Q86,GDmove_down2,2,FALSE()),FALSE()),HLOOKUP($H$3,GDPrevVols,VLOOKUP(Q86,GDmove_down2,2,FALSE()),FALSE()),HLOOKUP(E86,GDcorr,VLOOKUP(H86,CorMove,2,FALSE()),FALSE()),Q86-$AC$3,R86,$AI$5)*I86-AI86</f>
        <v>#N/A</v>
      </c>
      <c r="AE86" s="132" t="e">
        <f aca="false">(AI86/VLOOKUP(AB86,discount,3,FALSE()))-(AI86/VLOOKUP(AB86,discount,2,FALSE()))</f>
        <v>#N/A</v>
      </c>
      <c r="AF86" s="253" t="e">
        <f aca="false">xSPRDOPT(HLOOKUP($D$3,GDPrev,VLOOKUP(Q86,GDmove_down,2,FALSE()),FALSE()),HLOOKUP($E$3,GDPrev,VLOOKUP(Q86,GDmove_down,2,FALSE()),FALSE()),AJ86,VLOOKUP(H86,NGPREVPRICES,4,FALSE()),HLOOKUP($H$3,GDVol,VLOOKUP(H86,move_down,2,FALSE()),FALSE()),HLOOKUP($H$3,GDVol,VLOOKUP(H86,move_down,2,FALSE()),FALSE()),HLOOKUP(E86,GDcorr,VLOOKUP(H86,CorMove,2,FALSE()),FALSE()),Q86-$AC$3,R86,$AI$5)*I86-AI86</f>
        <v>#N/A</v>
      </c>
      <c r="AG86" s="253" t="e">
        <f aca="false">xSPRDOPT(HLOOKUP($D$3,GDPrev,VLOOKUP(Q86,GDmove_down,2,FALSE()),FALSE()),HLOOKUP($E$3,GDPrev,VLOOKUP(Q86,GDmove_down,2,FALSE()),FALSE()),AJ86,VLOOKUP(H86,NGPREVPRICES,4,FALSE()),HLOOKUP($H$3,GDPrevVols,VLOOKUP(Q86,GDmove_down2,2,FALSE()),FALSE()),HLOOKUP($H$3,GDPrevVols,VLOOKUP(Q86,GDmove_down2,2,FALSE()),FALSE()),HLOOKUP(E86,GDcorr,VLOOKUP(H86,CorMove,2,FALSE()),FALSE()),Q86-$C$3,R86,$AI$5)*I86-AI86</f>
        <v>#N/A</v>
      </c>
      <c r="AH86" s="253" t="e">
        <f aca="false">SUM(AC86:AG86)</f>
        <v>#N/A</v>
      </c>
      <c r="AI86" s="253" t="e">
        <f aca="false">xSPRDOPT(HLOOKUP($D$3,GDPrev,VLOOKUP(Q86,GDmove_down,2,FALSE()),FALSE()),HLOOKUP($E$3,GDPrev,VLOOKUP(Q86,GDmove_down,2,FALSE()),FALSE()),AJ86,VLOOKUP(H86,NGPREVPRICES,4,FALSE()),HLOOKUP($H$3,GDPrevVols,VLOOKUP(Q86,GDmove_down2,2,FALSE()),FALSE()),HLOOKUP($H$3,GDPrevVols,VLOOKUP(Q86,GDmove_down2,2,FALSE()),FALSE()),HLOOKUP(E86,GDcorr,VLOOKUP(H86,CorMove,2,FALSE()),FALSE()),Q86-$AC$3,R86,$AI$5)*I86</f>
        <v>#N/A</v>
      </c>
      <c r="AJ86" s="254" t="e">
        <f aca="false">HLOOKUP(D86,PREVCURVES,VLOOKUP(H86,MOVE_DOWN2,2,FALSE()),FALSE())-HLOOKUP(E86,PREVCURVES,VLOOKUP(H86,MOVE_DOWN2,2,FALSE()),FALSE())</f>
        <v>#N/A</v>
      </c>
      <c r="AK86" s="253"/>
      <c r="AL86" s="0" t="str">
        <f aca="false">CONCATENATE(AB86,$AC$6)</f>
        <v>36678Curve Shift/Gamma</v>
      </c>
      <c r="AM86" s="0" t="str">
        <f aca="false">CONCATENATE($AB86,$AD$6)</f>
        <v>36678Rho</v>
      </c>
      <c r="AN86" s="0" t="str">
        <f aca="false">CONCATENATE($AB86,$AE$6)</f>
        <v>36678Drift</v>
      </c>
      <c r="AO86" s="0" t="str">
        <f aca="false">CONCATENATE($AB86,$AF$6)</f>
        <v>36678Vega</v>
      </c>
      <c r="AP86" s="0" t="str">
        <f aca="false">CONCATENATE($AB86,$AG$6)</f>
        <v>36678Theta</v>
      </c>
      <c r="AZ86" s="143" t="n">
        <f aca="false">EOMONTH(AZ85,0)+1</f>
        <v>38565</v>
      </c>
      <c r="BA86" s="135"/>
      <c r="BG86" s="285" t="n">
        <v>38899</v>
      </c>
      <c r="BH86" s="0" t="n">
        <v>0.985</v>
      </c>
      <c r="BJ86" s="285" t="n">
        <v>38899</v>
      </c>
      <c r="BK86" s="0" t="n">
        <v>83</v>
      </c>
    </row>
    <row r="87" customFormat="false" ht="12" hidden="false" customHeight="true" outlineLevel="0" collapsed="false">
      <c r="A87" s="267" t="s">
        <v>196</v>
      </c>
      <c r="B87" s="269" t="s">
        <v>192</v>
      </c>
      <c r="C87" s="269" t="s">
        <v>491</v>
      </c>
      <c r="D87" s="269" t="s">
        <v>137</v>
      </c>
      <c r="E87" s="7" t="s">
        <v>483</v>
      </c>
      <c r="F87" s="269" t="s">
        <v>131</v>
      </c>
      <c r="G87" s="269" t="s">
        <v>136</v>
      </c>
      <c r="H87" s="286" t="n">
        <v>36678</v>
      </c>
      <c r="I87" s="272" t="n">
        <v>-10000</v>
      </c>
      <c r="J87" s="125" t="n">
        <v>0.46</v>
      </c>
      <c r="K87" s="124" t="n">
        <f aca="false">HLOOKUP($D$3,GDPRICES,VLOOKUP(Q87,GDmove_down,2,FALSE()),FALSE())</f>
        <v>4.74</v>
      </c>
      <c r="L87" s="124" t="n">
        <f aca="false">HLOOKUP($E$3,GDPRICES,VLOOKUP(Q87,GDmove_down,2,FALSE()),FALSE())</f>
        <v>3.365</v>
      </c>
      <c r="M87" s="126" t="n">
        <v>1</v>
      </c>
      <c r="N87" s="7" t="n">
        <v>0.515</v>
      </c>
      <c r="O87" s="7" t="n">
        <v>0.515</v>
      </c>
      <c r="P87" s="249" t="e">
        <f aca="false">HLOOKUP(E87,GDcorr,VLOOKUP(H87,GDCorMove,2,FALSE()),FALSE())</f>
        <v>#N/A</v>
      </c>
      <c r="Q87" s="92" t="n">
        <v>36689</v>
      </c>
      <c r="R87" s="7" t="n">
        <f aca="false">IF(G87="P",0,1)</f>
        <v>1</v>
      </c>
      <c r="S87" s="130" t="e">
        <f aca="false">xSPRDOPT($K87,$L87,$J87,$M87,$N87,$O87,$P87,$Q87-$C$3,$R87,0)</f>
        <v>#NAME?</v>
      </c>
      <c r="T87" s="250" t="e">
        <f aca="false">xSPRDOPT($K87,$L87,$J87,$M87,$N87,$O87,$P87,$Q87-$C$3,$R87,1)*I87</f>
        <v>#NAME?</v>
      </c>
      <c r="U87" s="43" t="n">
        <v>-1100</v>
      </c>
      <c r="V87" s="250" t="e">
        <f aca="false">xSPRDOPT($K87,$L87,$J87,$M87,$N87,$O87,$P87,$Q87-$C$3,$R87,2)*I87</f>
        <v>#NAME?</v>
      </c>
      <c r="W87" s="250" t="e">
        <f aca="false">+V87+T87</f>
        <v>#NAME?</v>
      </c>
      <c r="X87" s="2" t="str">
        <f aca="false">CONCATENATE(H87,E87)</f>
        <v>36678IF-ELPO/SJ</v>
      </c>
      <c r="Y87" s="251" t="n">
        <f aca="false">I87/10000</f>
        <v>-1</v>
      </c>
      <c r="Z87" s="2"/>
      <c r="AA87" s="2"/>
      <c r="AB87" s="182" t="n">
        <f aca="false">H87</f>
        <v>36678</v>
      </c>
      <c r="AC87" s="253" t="e">
        <f aca="false">xSPRDOPT(HLOOKUP($D$3,GDPRICES,VLOOKUP(Q87,GDmove_down,2,FALSE()),FALSE()),HLOOKUP($E$3,GDPRICES,VLOOKUP(Q87,GDmove_down,2,FALSE()),FALSE()),J87,VLOOKUP(H87,NGPREVPRICES,4,FALSE()),HLOOKUP($H$3,GDPrevVols,VLOOKUP(Q87,GDmove_down2,2,FALSE()),FALSE()),HLOOKUP($H$3,GDPrevVols,VLOOKUP(Q87,GDmove_down2,2,FALSE()),FALSE()),HLOOKUP(E87,GDcorr,VLOOKUP(H87,CorMove,2,FALSE()),FALSE()),Q87-$AC$3,R87,$AC$5)*I87-AI87</f>
        <v>#N/A</v>
      </c>
      <c r="AD87" s="253" t="e">
        <f aca="false">xSPRDOPT(HLOOKUP($D$3,GDPrev,VLOOKUP(Q87,GDmove_down,2,FALSE()),FALSE()),HLOOKUP($E$3,GDPrev,VLOOKUP(Q87,GDmove_down,2,FALSE()),FALSE()),AJ87,VLOOKUP(H87,NGPrices,4,FALSE()),HLOOKUP($H$3,GDPrevVols,VLOOKUP(Q87,GDmove_down2,2,FALSE()),FALSE()),HLOOKUP($H$3,GDPrevVols,VLOOKUP(Q87,GDmove_down2,2,FALSE()),FALSE()),HLOOKUP(E87,GDcorr,VLOOKUP(H87,CorMove,2,FALSE()),FALSE()),Q87-$AC$3,R87,$AI$5)*I87-AI87</f>
        <v>#N/A</v>
      </c>
      <c r="AE87" s="132" t="e">
        <f aca="false">(AI87/VLOOKUP(AB87,discount,3,FALSE()))-(AI87/VLOOKUP(AB87,discount,2,FALSE()))</f>
        <v>#N/A</v>
      </c>
      <c r="AF87" s="253" t="e">
        <f aca="false">xSPRDOPT(HLOOKUP($D$3,GDPrev,VLOOKUP(Q87,GDmove_down,2,FALSE()),FALSE()),HLOOKUP($E$3,GDPrev,VLOOKUP(Q87,GDmove_down,2,FALSE()),FALSE()),AJ87,VLOOKUP(H87,NGPREVPRICES,4,FALSE()),HLOOKUP($H$3,GDVol,VLOOKUP(H87,move_down,2,FALSE()),FALSE()),HLOOKUP($H$3,GDVol,VLOOKUP(H87,move_down,2,FALSE()),FALSE()),HLOOKUP(E87,GDcorr,VLOOKUP(H87,CorMove,2,FALSE()),FALSE()),Q87-$AC$3,R87,$AI$5)*I87-AI87</f>
        <v>#N/A</v>
      </c>
      <c r="AG87" s="253" t="e">
        <f aca="false">xSPRDOPT(HLOOKUP($D$3,GDPrev,VLOOKUP(Q87,GDmove_down,2,FALSE()),FALSE()),HLOOKUP($E$3,GDPrev,VLOOKUP(Q87,GDmove_down,2,FALSE()),FALSE()),AJ87,VLOOKUP(H87,NGPREVPRICES,4,FALSE()),HLOOKUP($H$3,GDPrevVols,VLOOKUP(Q87,GDmove_down2,2,FALSE()),FALSE()),HLOOKUP($H$3,GDPrevVols,VLOOKUP(Q87,GDmove_down2,2,FALSE()),FALSE()),HLOOKUP(E87,GDcorr,VLOOKUP(H87,CorMove,2,FALSE()),FALSE()),Q87-$C$3,R87,$AI$5)*I87-AI87</f>
        <v>#N/A</v>
      </c>
      <c r="AH87" s="253" t="e">
        <f aca="false">SUM(AC87:AG87)</f>
        <v>#N/A</v>
      </c>
      <c r="AI87" s="253" t="e">
        <f aca="false">xSPRDOPT(HLOOKUP($D$3,GDPrev,VLOOKUP(Q87,GDmove_down,2,FALSE()),FALSE()),HLOOKUP($E$3,GDPrev,VLOOKUP(Q87,GDmove_down,2,FALSE()),FALSE()),AJ87,VLOOKUP(H87,NGPREVPRICES,4,FALSE()),HLOOKUP($H$3,GDPrevVols,VLOOKUP(Q87,GDmove_down2,2,FALSE()),FALSE()),HLOOKUP($H$3,GDPrevVols,VLOOKUP(Q87,GDmove_down2,2,FALSE()),FALSE()),HLOOKUP(E87,GDcorr,VLOOKUP(H87,CorMove,2,FALSE()),FALSE()),Q87-$AC$3,R87,$AI$5)*I87</f>
        <v>#N/A</v>
      </c>
      <c r="AJ87" s="254" t="e">
        <f aca="false">HLOOKUP(D87,PREVCURVES,VLOOKUP(H87,MOVE_DOWN2,2,FALSE()),FALSE())-HLOOKUP(E87,PREVCURVES,VLOOKUP(H87,MOVE_DOWN2,2,FALSE()),FALSE())</f>
        <v>#N/A</v>
      </c>
      <c r="AK87" s="253"/>
      <c r="AL87" s="0" t="str">
        <f aca="false">CONCATENATE(AB87,$AC$6)</f>
        <v>36678Curve Shift/Gamma</v>
      </c>
      <c r="AM87" s="0" t="str">
        <f aca="false">CONCATENATE($AB87,$AD$6)</f>
        <v>36678Rho</v>
      </c>
      <c r="AN87" s="0" t="str">
        <f aca="false">CONCATENATE($AB87,$AE$6)</f>
        <v>36678Drift</v>
      </c>
      <c r="AO87" s="0" t="str">
        <f aca="false">CONCATENATE($AB87,$AF$6)</f>
        <v>36678Vega</v>
      </c>
      <c r="AP87" s="0" t="str">
        <f aca="false">CONCATENATE($AB87,$AG$6)</f>
        <v>36678Theta</v>
      </c>
      <c r="AZ87" s="143" t="n">
        <f aca="false">EOMONTH(AZ86,0)+1</f>
        <v>38596</v>
      </c>
      <c r="BA87" s="135"/>
      <c r="BG87" s="285" t="n">
        <v>38930</v>
      </c>
      <c r="BH87" s="0" t="n">
        <v>0.985</v>
      </c>
      <c r="BJ87" s="285" t="n">
        <v>38930</v>
      </c>
      <c r="BK87" s="0" t="n">
        <v>84</v>
      </c>
    </row>
    <row r="88" customFormat="false" ht="12" hidden="false" customHeight="true" outlineLevel="0" collapsed="false">
      <c r="A88" s="267" t="s">
        <v>198</v>
      </c>
      <c r="B88" s="269" t="s">
        <v>192</v>
      </c>
      <c r="C88" s="269" t="s">
        <v>492</v>
      </c>
      <c r="D88" s="269" t="s">
        <v>137</v>
      </c>
      <c r="E88" s="7" t="s">
        <v>483</v>
      </c>
      <c r="F88" s="269" t="s">
        <v>131</v>
      </c>
      <c r="G88" s="269" t="s">
        <v>136</v>
      </c>
      <c r="H88" s="286" t="n">
        <v>36678</v>
      </c>
      <c r="I88" s="272" t="n">
        <v>50000</v>
      </c>
      <c r="J88" s="125" t="n">
        <v>0.46</v>
      </c>
      <c r="K88" s="124" t="n">
        <f aca="false">HLOOKUP($D$3,GDPRICES,VLOOKUP(Q88,GDmove_down,2,FALSE()),FALSE())</f>
        <v>4.74</v>
      </c>
      <c r="L88" s="124" t="n">
        <f aca="false">HLOOKUP($E$3,GDPRICES,VLOOKUP(Q88,GDmove_down,2,FALSE()),FALSE())</f>
        <v>3.365</v>
      </c>
      <c r="M88" s="126" t="n">
        <v>1</v>
      </c>
      <c r="N88" s="7" t="n">
        <v>0.515</v>
      </c>
      <c r="O88" s="7" t="n">
        <v>0.515</v>
      </c>
      <c r="P88" s="249" t="e">
        <f aca="false">HLOOKUP(E88,GDcorr,VLOOKUP(H88,GDCorMove,2,FALSE()),FALSE())</f>
        <v>#N/A</v>
      </c>
      <c r="Q88" s="92" t="n">
        <v>36689</v>
      </c>
      <c r="R88" s="7" t="n">
        <f aca="false">IF(G88="P",0,1)</f>
        <v>1</v>
      </c>
      <c r="S88" s="130" t="e">
        <f aca="false">xSPRDOPT($K88,$L88,$J88,$M88,$N88,$O88,$P88,$Q88-$C$3,$R88,0)</f>
        <v>#NAME?</v>
      </c>
      <c r="T88" s="250" t="e">
        <f aca="false">xSPRDOPT($K88,$L88,$J88,$M88,$N88,$O88,$P88,$Q88-$C$3,$R88,1)*I88</f>
        <v>#NAME?</v>
      </c>
      <c r="U88" s="43" t="n">
        <v>5500</v>
      </c>
      <c r="V88" s="250" t="e">
        <f aca="false">xSPRDOPT($K88,$L88,$J88,$M88,$N88,$O88,$P88,$Q88-$C$3,$R88,2)*I88</f>
        <v>#NAME?</v>
      </c>
      <c r="W88" s="250" t="e">
        <f aca="false">+V88+T88</f>
        <v>#NAME?</v>
      </c>
      <c r="X88" s="2" t="str">
        <f aca="false">CONCATENATE(H88,E88)</f>
        <v>36678IF-ELPO/SJ</v>
      </c>
      <c r="Y88" s="251" t="n">
        <f aca="false">I88/10000</f>
        <v>5</v>
      </c>
      <c r="Z88" s="2"/>
      <c r="AA88" s="2"/>
      <c r="AB88" s="182" t="n">
        <f aca="false">H88</f>
        <v>36678</v>
      </c>
      <c r="AC88" s="253" t="e">
        <f aca="false">xSPRDOPT(HLOOKUP($D$3,GDPRICES,VLOOKUP(Q88,GDmove_down,2,FALSE()),FALSE()),HLOOKUP($E$3,GDPRICES,VLOOKUP(Q88,GDmove_down,2,FALSE()),FALSE()),J88,VLOOKUP(H88,NGPREVPRICES,4,FALSE()),HLOOKUP($H$3,GDPrevVols,VLOOKUP(Q88,GDmove_down2,2,FALSE()),FALSE()),HLOOKUP($H$3,GDPrevVols,VLOOKUP(Q88,GDmove_down2,2,FALSE()),FALSE()),HLOOKUP(E88,GDcorr,VLOOKUP(H88,CorMove,2,FALSE()),FALSE()),Q88-$AC$3,R88,$AC$5)*I88-AI88</f>
        <v>#N/A</v>
      </c>
      <c r="AD88" s="253" t="e">
        <f aca="false">xSPRDOPT(HLOOKUP($D$3,GDPrev,VLOOKUP(Q88,GDmove_down,2,FALSE()),FALSE()),HLOOKUP($E$3,GDPrev,VLOOKUP(Q88,GDmove_down,2,FALSE()),FALSE()),AJ88,VLOOKUP(H88,NGPrices,4,FALSE()),HLOOKUP($H$3,GDPrevVols,VLOOKUP(Q88,GDmove_down2,2,FALSE()),FALSE()),HLOOKUP($H$3,GDPrevVols,VLOOKUP(Q88,GDmove_down2,2,FALSE()),FALSE()),HLOOKUP(E88,GDcorr,VLOOKUP(H88,CorMove,2,FALSE()),FALSE()),Q88-$AC$3,R88,$AI$5)*I88-AI88</f>
        <v>#N/A</v>
      </c>
      <c r="AE88" s="132" t="e">
        <f aca="false">(AI88/VLOOKUP(AB88,discount,3,FALSE()))-(AI88/VLOOKUP(AB88,discount,2,FALSE()))</f>
        <v>#N/A</v>
      </c>
      <c r="AF88" s="253" t="e">
        <f aca="false">xSPRDOPT(HLOOKUP($D$3,GDPrev,VLOOKUP(Q88,GDmove_down,2,FALSE()),FALSE()),HLOOKUP($E$3,GDPrev,VLOOKUP(Q88,GDmove_down,2,FALSE()),FALSE()),AJ88,VLOOKUP(H88,NGPREVPRICES,4,FALSE()),HLOOKUP($H$3,GDVol,VLOOKUP(H88,move_down,2,FALSE()),FALSE()),HLOOKUP($H$3,GDVol,VLOOKUP(H88,move_down,2,FALSE()),FALSE()),HLOOKUP(E88,GDcorr,VLOOKUP(H88,CorMove,2,FALSE()),FALSE()),Q88-$AC$3,R88,$AI$5)*I88-AI88</f>
        <v>#N/A</v>
      </c>
      <c r="AG88" s="253" t="e">
        <f aca="false">xSPRDOPT(HLOOKUP($D$3,GDPrev,VLOOKUP(Q88,GDmove_down,2,FALSE()),FALSE()),HLOOKUP($E$3,GDPrev,VLOOKUP(Q88,GDmove_down,2,FALSE()),FALSE()),AJ88,VLOOKUP(H88,NGPREVPRICES,4,FALSE()),HLOOKUP($H$3,GDPrevVols,VLOOKUP(Q88,GDmove_down2,2,FALSE()),FALSE()),HLOOKUP($H$3,GDPrevVols,VLOOKUP(Q88,GDmove_down2,2,FALSE()),FALSE()),HLOOKUP(E88,GDcorr,VLOOKUP(H88,CorMove,2,FALSE()),FALSE()),Q88-$C$3,R88,$AI$5)*I88-AI88</f>
        <v>#N/A</v>
      </c>
      <c r="AH88" s="253" t="e">
        <f aca="false">SUM(AC88:AG88)</f>
        <v>#N/A</v>
      </c>
      <c r="AI88" s="253" t="e">
        <f aca="false">xSPRDOPT(HLOOKUP($D$3,GDPrev,VLOOKUP(Q88,GDmove_down,2,FALSE()),FALSE()),HLOOKUP($E$3,GDPrev,VLOOKUP(Q88,GDmove_down,2,FALSE()),FALSE()),AJ88,VLOOKUP(H88,NGPREVPRICES,4,FALSE()),HLOOKUP($H$3,GDPrevVols,VLOOKUP(Q88,GDmove_down2,2,FALSE()),FALSE()),HLOOKUP($H$3,GDPrevVols,VLOOKUP(Q88,GDmove_down2,2,FALSE()),FALSE()),HLOOKUP(E88,GDcorr,VLOOKUP(H88,CorMove,2,FALSE()),FALSE()),Q88-$AC$3,R88,$AI$5)*I88</f>
        <v>#N/A</v>
      </c>
      <c r="AJ88" s="254" t="e">
        <f aca="false">HLOOKUP(D88,PREVCURVES,VLOOKUP(H88,MOVE_DOWN2,2,FALSE()),FALSE())-HLOOKUP(E88,PREVCURVES,VLOOKUP(H88,MOVE_DOWN2,2,FALSE()),FALSE())</f>
        <v>#N/A</v>
      </c>
      <c r="AK88" s="253"/>
      <c r="AL88" s="0" t="str">
        <f aca="false">CONCATENATE(AB88,$AC$6)</f>
        <v>36678Curve Shift/Gamma</v>
      </c>
      <c r="AM88" s="0" t="str">
        <f aca="false">CONCATENATE($AB88,$AD$6)</f>
        <v>36678Rho</v>
      </c>
      <c r="AN88" s="0" t="str">
        <f aca="false">CONCATENATE($AB88,$AE$6)</f>
        <v>36678Drift</v>
      </c>
      <c r="AO88" s="0" t="str">
        <f aca="false">CONCATENATE($AB88,$AF$6)</f>
        <v>36678Vega</v>
      </c>
      <c r="AP88" s="0" t="str">
        <f aca="false">CONCATENATE($AB88,$AG$6)</f>
        <v>36678Theta</v>
      </c>
      <c r="AZ88" s="143" t="n">
        <f aca="false">EOMONTH(AZ87,0)+1</f>
        <v>38626</v>
      </c>
      <c r="BA88" s="135"/>
      <c r="BG88" s="285" t="n">
        <v>38961</v>
      </c>
      <c r="BH88" s="0" t="n">
        <v>0.985</v>
      </c>
      <c r="BJ88" s="285" t="n">
        <v>38961</v>
      </c>
      <c r="BK88" s="0" t="n">
        <v>85</v>
      </c>
    </row>
    <row r="89" customFormat="false" ht="12" hidden="false" customHeight="true" outlineLevel="0" collapsed="false">
      <c r="A89" s="267" t="s">
        <v>198</v>
      </c>
      <c r="B89" s="269" t="s">
        <v>192</v>
      </c>
      <c r="C89" s="269" t="s">
        <v>493</v>
      </c>
      <c r="D89" s="269" t="s">
        <v>137</v>
      </c>
      <c r="E89" s="7" t="s">
        <v>483</v>
      </c>
      <c r="F89" s="269" t="s">
        <v>131</v>
      </c>
      <c r="G89" s="269" t="s">
        <v>136</v>
      </c>
      <c r="H89" s="286" t="n">
        <v>36678</v>
      </c>
      <c r="I89" s="272" t="n">
        <v>50000</v>
      </c>
      <c r="J89" s="125" t="n">
        <v>0.46</v>
      </c>
      <c r="K89" s="124" t="n">
        <f aca="false">HLOOKUP($D$3,GDPRICES,VLOOKUP(Q89,GDmove_down,2,FALSE()),FALSE())</f>
        <v>4.74</v>
      </c>
      <c r="L89" s="124" t="n">
        <f aca="false">HLOOKUP($E$3,GDPRICES,VLOOKUP(Q89,GDmove_down,2,FALSE()),FALSE())</f>
        <v>3.365</v>
      </c>
      <c r="M89" s="126" t="n">
        <v>1</v>
      </c>
      <c r="N89" s="7" t="n">
        <v>0.515</v>
      </c>
      <c r="O89" s="7" t="n">
        <v>0.515</v>
      </c>
      <c r="P89" s="249" t="e">
        <f aca="false">HLOOKUP(E89,GDcorr,VLOOKUP(H89,GDCorMove,2,FALSE()),FALSE())</f>
        <v>#N/A</v>
      </c>
      <c r="Q89" s="92" t="n">
        <v>36689</v>
      </c>
      <c r="R89" s="7" t="n">
        <f aca="false">IF(G89="P",0,1)</f>
        <v>1</v>
      </c>
      <c r="S89" s="130" t="e">
        <f aca="false">xSPRDOPT($K89,$L89,$J89,$M89,$N89,$O89,$P89,$Q89-$C$3,$R89,0)</f>
        <v>#NAME?</v>
      </c>
      <c r="T89" s="250" t="e">
        <f aca="false">xSPRDOPT($K89,$L89,$J89,$M89,$N89,$O89,$P89,$Q89-$C$3,$R89,1)*I89</f>
        <v>#NAME?</v>
      </c>
      <c r="U89" s="43" t="n">
        <v>5500</v>
      </c>
      <c r="V89" s="250" t="e">
        <f aca="false">xSPRDOPT($K89,$L89,$J89,$M89,$N89,$O89,$P89,$Q89-$C$3,$R89,2)*I89</f>
        <v>#NAME?</v>
      </c>
      <c r="W89" s="250" t="e">
        <f aca="false">+V89+T89</f>
        <v>#NAME?</v>
      </c>
      <c r="X89" s="2" t="str">
        <f aca="false">CONCATENATE(H89,E89)</f>
        <v>36678IF-ELPO/SJ</v>
      </c>
      <c r="Y89" s="251" t="n">
        <f aca="false">I89/10000</f>
        <v>5</v>
      </c>
      <c r="AA89" s="2"/>
      <c r="AB89" s="182" t="n">
        <f aca="false">H89</f>
        <v>36678</v>
      </c>
      <c r="AC89" s="253" t="e">
        <f aca="false">xSPRDOPT(HLOOKUP($D$3,GDPRICES,VLOOKUP(Q89,GDmove_down,2,FALSE()),FALSE()),HLOOKUP($E$3,GDPRICES,VLOOKUP(Q89,GDmove_down,2,FALSE()),FALSE()),J89,VLOOKUP(H89,NGPREVPRICES,4,FALSE()),HLOOKUP($H$3,GDPrevVols,VLOOKUP(Q89,GDmove_down2,2,FALSE()),FALSE()),HLOOKUP($H$3,GDPrevVols,VLOOKUP(Q89,GDmove_down2,2,FALSE()),FALSE()),HLOOKUP(E89,GDcorr,VLOOKUP(H89,CorMove,2,FALSE()),FALSE()),Q89-$AC$3,R89,$AC$5)*I89-AI89</f>
        <v>#N/A</v>
      </c>
      <c r="AD89" s="253" t="e">
        <f aca="false">xSPRDOPT(HLOOKUP($D$3,GDPrev,VLOOKUP(Q89,GDmove_down,2,FALSE()),FALSE()),HLOOKUP($E$3,GDPrev,VLOOKUP(Q89,GDmove_down,2,FALSE()),FALSE()),AJ89,VLOOKUP(H89,NGPrices,4,FALSE()),HLOOKUP($H$3,GDPrevVols,VLOOKUP(Q89,GDmove_down2,2,FALSE()),FALSE()),HLOOKUP($H$3,GDPrevVols,VLOOKUP(Q89,GDmove_down2,2,FALSE()),FALSE()),HLOOKUP(E89,GDcorr,VLOOKUP(H89,CorMove,2,FALSE()),FALSE()),Q89-$AC$3,R89,$AI$5)*I89-AI89</f>
        <v>#N/A</v>
      </c>
      <c r="AE89" s="132" t="e">
        <f aca="false">(AI89/VLOOKUP(AB89,discount,3,FALSE()))-(AI89/VLOOKUP(AB89,discount,2,FALSE()))</f>
        <v>#N/A</v>
      </c>
      <c r="AF89" s="253" t="e">
        <f aca="false">xSPRDOPT(HLOOKUP($D$3,GDPrev,VLOOKUP(Q89,GDmove_down,2,FALSE()),FALSE()),HLOOKUP($E$3,GDPrev,VLOOKUP(Q89,GDmove_down,2,FALSE()),FALSE()),AJ89,VLOOKUP(H89,NGPREVPRICES,4,FALSE()),HLOOKUP($H$3,GDVol,VLOOKUP(H89,move_down,2,FALSE()),FALSE()),HLOOKUP($H$3,GDVol,VLOOKUP(H89,move_down,2,FALSE()),FALSE()),HLOOKUP(E89,GDcorr,VLOOKUP(H89,CorMove,2,FALSE()),FALSE()),Q89-$AC$3,R89,$AI$5)*I89-AI89</f>
        <v>#N/A</v>
      </c>
      <c r="AG89" s="253" t="e">
        <f aca="false">xSPRDOPT(HLOOKUP($D$3,GDPrev,VLOOKUP(Q89,GDmove_down,2,FALSE()),FALSE()),HLOOKUP($E$3,GDPrev,VLOOKUP(Q89,GDmove_down,2,FALSE()),FALSE()),AJ89,VLOOKUP(H89,NGPREVPRICES,4,FALSE()),HLOOKUP($H$3,GDPrevVols,VLOOKUP(Q89,GDmove_down2,2,FALSE()),FALSE()),HLOOKUP($H$3,GDPrevVols,VLOOKUP(Q89,GDmove_down2,2,FALSE()),FALSE()),HLOOKUP(E89,GDcorr,VLOOKUP(H89,CorMove,2,FALSE()),FALSE()),Q89-$C$3,R89,$AI$5)*I89-AI89</f>
        <v>#N/A</v>
      </c>
      <c r="AH89" s="253" t="e">
        <f aca="false">SUM(AC89:AG89)</f>
        <v>#N/A</v>
      </c>
      <c r="AI89" s="253" t="e">
        <f aca="false">xSPRDOPT(HLOOKUP($D$3,GDPrev,VLOOKUP(Q89,GDmove_down,2,FALSE()),FALSE()),HLOOKUP($E$3,GDPrev,VLOOKUP(Q89,GDmove_down,2,FALSE()),FALSE()),AJ89,VLOOKUP(H89,NGPREVPRICES,4,FALSE()),HLOOKUP($H$3,GDPrevVols,VLOOKUP(Q89,GDmove_down2,2,FALSE()),FALSE()),HLOOKUP($H$3,GDPrevVols,VLOOKUP(Q89,GDmove_down2,2,FALSE()),FALSE()),HLOOKUP(E89,GDcorr,VLOOKUP(H89,CorMove,2,FALSE()),FALSE()),Q89-$AC$3,R89,$AI$5)*I89</f>
        <v>#N/A</v>
      </c>
      <c r="AJ89" s="254" t="e">
        <f aca="false">HLOOKUP(D89,PREVCURVES,VLOOKUP(H89,MOVE_DOWN2,2,FALSE()),FALSE())-HLOOKUP(E89,PREVCURVES,VLOOKUP(H89,MOVE_DOWN2,2,FALSE()),FALSE())</f>
        <v>#N/A</v>
      </c>
      <c r="AK89" s="253"/>
      <c r="AL89" s="0" t="str">
        <f aca="false">CONCATENATE(AB89,$AC$6)</f>
        <v>36678Curve Shift/Gamma</v>
      </c>
      <c r="AM89" s="0" t="str">
        <f aca="false">CONCATENATE($AB89,$AD$6)</f>
        <v>36678Rho</v>
      </c>
      <c r="AN89" s="0" t="str">
        <f aca="false">CONCATENATE($AB89,$AE$6)</f>
        <v>36678Drift</v>
      </c>
      <c r="AO89" s="0" t="str">
        <f aca="false">CONCATENATE($AB89,$AF$6)</f>
        <v>36678Vega</v>
      </c>
      <c r="AP89" s="0" t="str">
        <f aca="false">CONCATENATE($AB89,$AG$6)</f>
        <v>36678Theta</v>
      </c>
      <c r="AZ89" s="143" t="n">
        <f aca="false">EOMONTH(AZ88,0)+1</f>
        <v>38657</v>
      </c>
      <c r="BA89" s="135"/>
      <c r="BG89" s="285" t="n">
        <v>38991</v>
      </c>
      <c r="BH89" s="0" t="n">
        <v>0.985</v>
      </c>
      <c r="BJ89" s="285" t="n">
        <v>38991</v>
      </c>
      <c r="BK89" s="0" t="n">
        <v>86</v>
      </c>
    </row>
    <row r="90" customFormat="false" ht="12" hidden="false" customHeight="true" outlineLevel="0" collapsed="false">
      <c r="A90" s="267" t="s">
        <v>198</v>
      </c>
      <c r="B90" s="269" t="s">
        <v>192</v>
      </c>
      <c r="C90" s="269" t="s">
        <v>494</v>
      </c>
      <c r="D90" s="269" t="s">
        <v>137</v>
      </c>
      <c r="E90" s="7" t="s">
        <v>483</v>
      </c>
      <c r="F90" s="269" t="s">
        <v>131</v>
      </c>
      <c r="G90" s="269" t="s">
        <v>136</v>
      </c>
      <c r="H90" s="286" t="n">
        <v>36678</v>
      </c>
      <c r="I90" s="272" t="n">
        <v>-10000</v>
      </c>
      <c r="J90" s="125" t="n">
        <v>0.46</v>
      </c>
      <c r="K90" s="124" t="n">
        <f aca="false">HLOOKUP($D$3,GDPRICES,VLOOKUP(Q90,GDmove_down,2,FALSE()),FALSE())</f>
        <v>4.74</v>
      </c>
      <c r="L90" s="124" t="n">
        <f aca="false">HLOOKUP($E$3,GDPRICES,VLOOKUP(Q90,GDmove_down,2,FALSE()),FALSE())</f>
        <v>3.365</v>
      </c>
      <c r="M90" s="126" t="n">
        <v>1</v>
      </c>
      <c r="N90" s="7" t="n">
        <v>0.515</v>
      </c>
      <c r="O90" s="7" t="n">
        <v>0.515</v>
      </c>
      <c r="P90" s="249" t="e">
        <f aca="false">HLOOKUP(E90,GDcorr,VLOOKUP(H90,GDCorMove,2,FALSE()),FALSE())</f>
        <v>#N/A</v>
      </c>
      <c r="Q90" s="92" t="n">
        <v>36689</v>
      </c>
      <c r="R90" s="7" t="n">
        <f aca="false">IF(G90="P",0,1)</f>
        <v>1</v>
      </c>
      <c r="S90" s="130" t="e">
        <f aca="false">xSPRDOPT($K90,$L90,$J90,$M90,$N90,$O90,$P90,$Q90-$C$3,$R90,0)</f>
        <v>#NAME?</v>
      </c>
      <c r="T90" s="250" t="e">
        <f aca="false">xSPRDOPT($K90,$L90,$J90,$M90,$N90,$O90,$P90,$Q90-$C$3,$R90,1)*I90</f>
        <v>#NAME?</v>
      </c>
      <c r="U90" s="43" t="n">
        <v>-1100</v>
      </c>
      <c r="V90" s="250" t="e">
        <f aca="false">xSPRDOPT($K90,$L90,$J90,$M90,$N90,$O90,$P90,$Q90-$C$3,$R90,2)*I90</f>
        <v>#NAME?</v>
      </c>
      <c r="W90" s="250" t="e">
        <f aca="false">+V90+T90</f>
        <v>#NAME?</v>
      </c>
      <c r="X90" s="2" t="str">
        <f aca="false">CONCATENATE(H90,E90)</f>
        <v>36678IF-ELPO/SJ</v>
      </c>
      <c r="Y90" s="251" t="n">
        <f aca="false">I90/10000</f>
        <v>-1</v>
      </c>
      <c r="AA90" s="2"/>
      <c r="AB90" s="182" t="n">
        <f aca="false">H90</f>
        <v>36678</v>
      </c>
      <c r="AC90" s="253" t="e">
        <f aca="false">xSPRDOPT(HLOOKUP($D$3,GDPRICES,VLOOKUP(Q90,GDmove_down,2,FALSE()),FALSE()),HLOOKUP($E$3,GDPRICES,VLOOKUP(Q90,GDmove_down,2,FALSE()),FALSE()),J90,VLOOKUP(H90,NGPREVPRICES,4,FALSE()),HLOOKUP($H$3,GDPrevVols,VLOOKUP(Q90,GDmove_down2,2,FALSE()),FALSE()),HLOOKUP($H$3,GDPrevVols,VLOOKUP(Q90,GDmove_down2,2,FALSE()),FALSE()),HLOOKUP(E90,GDcorr,VLOOKUP(H90,CorMove,2,FALSE()),FALSE()),Q90-$AC$3,R90,$AC$5)*I90-AI90</f>
        <v>#N/A</v>
      </c>
      <c r="AD90" s="253" t="e">
        <f aca="false">xSPRDOPT(HLOOKUP($D$3,GDPrev,VLOOKUP(Q90,GDmove_down,2,FALSE()),FALSE()),HLOOKUP($E$3,GDPrev,VLOOKUP(Q90,GDmove_down,2,FALSE()),FALSE()),AJ90,VLOOKUP(H90,NGPrices,4,FALSE()),HLOOKUP($H$3,GDPrevVols,VLOOKUP(Q90,GDmove_down2,2,FALSE()),FALSE()),HLOOKUP($H$3,GDPrevVols,VLOOKUP(Q90,GDmove_down2,2,FALSE()),FALSE()),HLOOKUP(E90,GDcorr,VLOOKUP(H90,CorMove,2,FALSE()),FALSE()),Q90-$AC$3,R90,$AI$5)*I90-AI90</f>
        <v>#N/A</v>
      </c>
      <c r="AE90" s="132" t="e">
        <f aca="false">(AI90/VLOOKUP(AB90,discount,3,FALSE()))-(AI90/VLOOKUP(AB90,discount,2,FALSE()))</f>
        <v>#N/A</v>
      </c>
      <c r="AF90" s="253" t="e">
        <f aca="false">xSPRDOPT(HLOOKUP($D$3,GDPrev,VLOOKUP(Q90,GDmove_down,2,FALSE()),FALSE()),HLOOKUP($E$3,GDPrev,VLOOKUP(Q90,GDmove_down,2,FALSE()),FALSE()),AJ90,VLOOKUP(H90,NGPREVPRICES,4,FALSE()),HLOOKUP($H$3,GDVol,VLOOKUP(H90,move_down,2,FALSE()),FALSE()),HLOOKUP($H$3,GDVol,VLOOKUP(H90,move_down,2,FALSE()),FALSE()),HLOOKUP(E90,GDcorr,VLOOKUP(H90,CorMove,2,FALSE()),FALSE()),Q90-$AC$3,R90,$AI$5)*I90-AI90</f>
        <v>#N/A</v>
      </c>
      <c r="AG90" s="253" t="e">
        <f aca="false">xSPRDOPT(HLOOKUP($D$3,GDPrev,VLOOKUP(Q90,GDmove_down,2,FALSE()),FALSE()),HLOOKUP($E$3,GDPrev,VLOOKUP(Q90,GDmove_down,2,FALSE()),FALSE()),AJ90,VLOOKUP(H90,NGPREVPRICES,4,FALSE()),HLOOKUP($H$3,GDPrevVols,VLOOKUP(Q90,GDmove_down2,2,FALSE()),FALSE()),HLOOKUP($H$3,GDPrevVols,VLOOKUP(Q90,GDmove_down2,2,FALSE()),FALSE()),HLOOKUP(E90,GDcorr,VLOOKUP(H90,CorMove,2,FALSE()),FALSE()),Q90-$C$3,R90,$AI$5)*I90-AI90</f>
        <v>#N/A</v>
      </c>
      <c r="AH90" s="253" t="e">
        <f aca="false">SUM(AC90:AG90)</f>
        <v>#N/A</v>
      </c>
      <c r="AI90" s="253" t="e">
        <f aca="false">xSPRDOPT(HLOOKUP($D$3,GDPrev,VLOOKUP(Q90,GDmove_down,2,FALSE()),FALSE()),HLOOKUP($E$3,GDPrev,VLOOKUP(Q90,GDmove_down,2,FALSE()),FALSE()),AJ90,VLOOKUP(H90,NGPREVPRICES,4,FALSE()),HLOOKUP($H$3,GDPrevVols,VLOOKUP(Q90,GDmove_down2,2,FALSE()),FALSE()),HLOOKUP($H$3,GDPrevVols,VLOOKUP(Q90,GDmove_down2,2,FALSE()),FALSE()),HLOOKUP(E90,GDcorr,VLOOKUP(H90,CorMove,2,FALSE()),FALSE()),Q90-$AC$3,R90,$AI$5)*I90</f>
        <v>#N/A</v>
      </c>
      <c r="AJ90" s="254" t="e">
        <f aca="false">HLOOKUP(D90,PREVCURVES,VLOOKUP(H90,MOVE_DOWN2,2,FALSE()),FALSE())-HLOOKUP(E90,PREVCURVES,VLOOKUP(H90,MOVE_DOWN2,2,FALSE()),FALSE())</f>
        <v>#N/A</v>
      </c>
      <c r="AK90" s="253"/>
      <c r="AL90" s="0" t="str">
        <f aca="false">CONCATENATE(AB90,$AC$6)</f>
        <v>36678Curve Shift/Gamma</v>
      </c>
      <c r="AM90" s="0" t="str">
        <f aca="false">CONCATENATE($AB90,$AD$6)</f>
        <v>36678Rho</v>
      </c>
      <c r="AN90" s="0" t="str">
        <f aca="false">CONCATENATE($AB90,$AE$6)</f>
        <v>36678Drift</v>
      </c>
      <c r="AO90" s="0" t="str">
        <f aca="false">CONCATENATE($AB90,$AF$6)</f>
        <v>36678Vega</v>
      </c>
      <c r="AP90" s="0" t="str">
        <f aca="false">CONCATENATE($AB90,$AG$6)</f>
        <v>36678Theta</v>
      </c>
      <c r="AZ90" s="143" t="n">
        <f aca="false">EOMONTH(AZ89,0)+1</f>
        <v>38687</v>
      </c>
      <c r="BA90" s="135"/>
      <c r="BG90" s="285" t="n">
        <v>39022</v>
      </c>
      <c r="BH90" s="0" t="n">
        <v>0.970485</v>
      </c>
      <c r="BJ90" s="285" t="n">
        <v>39022</v>
      </c>
      <c r="BK90" s="0" t="n">
        <v>87</v>
      </c>
    </row>
    <row r="91" customFormat="false" ht="12" hidden="false" customHeight="true" outlineLevel="0" collapsed="false">
      <c r="A91" s="265" t="s">
        <v>198</v>
      </c>
      <c r="B91" s="269" t="s">
        <v>192</v>
      </c>
      <c r="C91" s="269" t="s">
        <v>488</v>
      </c>
      <c r="D91" s="269" t="s">
        <v>137</v>
      </c>
      <c r="E91" s="7" t="s">
        <v>483</v>
      </c>
      <c r="F91" s="269" t="s">
        <v>131</v>
      </c>
      <c r="G91" s="269" t="s">
        <v>136</v>
      </c>
      <c r="H91" s="286" t="n">
        <v>36678</v>
      </c>
      <c r="I91" s="272" t="n">
        <v>-50000</v>
      </c>
      <c r="J91" s="125" t="n">
        <v>0.46</v>
      </c>
      <c r="K91" s="124" t="n">
        <f aca="false">HLOOKUP($D$3,GDPRICES,VLOOKUP(Q91,GDmove_down,2,FALSE()),FALSE())</f>
        <v>4.74</v>
      </c>
      <c r="L91" s="124" t="n">
        <f aca="false">HLOOKUP($E$3,GDPRICES,VLOOKUP(Q91,GDmove_down,2,FALSE()),FALSE())</f>
        <v>3.365</v>
      </c>
      <c r="M91" s="126" t="n">
        <v>1</v>
      </c>
      <c r="N91" s="7" t="n">
        <v>0.515</v>
      </c>
      <c r="O91" s="7" t="n">
        <v>0.515</v>
      </c>
      <c r="P91" s="249" t="e">
        <f aca="false">HLOOKUP(E91,GDcorr,VLOOKUP(H91,GDCorMove,2,FALSE()),FALSE())</f>
        <v>#N/A</v>
      </c>
      <c r="Q91" s="92" t="n">
        <v>36690</v>
      </c>
      <c r="R91" s="7" t="n">
        <f aca="false">IF(G91="P",0,1)</f>
        <v>1</v>
      </c>
      <c r="S91" s="130" t="e">
        <f aca="false">xSPRDOPT($K91,$L91,$J91,$M91,$N91,$O91,$P91,$Q91-$C$3,$R91,0)</f>
        <v>#NAME?</v>
      </c>
      <c r="T91" s="250" t="e">
        <f aca="false">xSPRDOPT($K91,$L91,$J91,$M91,$N91,$O91,$P91,$Q91-$C$3,$R91,1)*I91</f>
        <v>#NAME?</v>
      </c>
      <c r="U91" s="43" t="n">
        <v>-19500</v>
      </c>
      <c r="V91" s="250" t="e">
        <f aca="false">xSPRDOPT($K91,$L91,$J91,$M91,$N91,$O91,$P91,$Q91-$C$3,$R91,2)*I91</f>
        <v>#NAME?</v>
      </c>
      <c r="W91" s="250" t="e">
        <f aca="false">+V91+T91</f>
        <v>#NAME?</v>
      </c>
      <c r="X91" s="2" t="str">
        <f aca="false">CONCATENATE(H91,E91)</f>
        <v>36678IF-ELPO/SJ</v>
      </c>
      <c r="Y91" s="251" t="n">
        <f aca="false">I91/10000</f>
        <v>-5</v>
      </c>
      <c r="AA91" s="2"/>
      <c r="AB91" s="182" t="n">
        <f aca="false">H91</f>
        <v>36678</v>
      </c>
      <c r="AC91" s="253" t="e">
        <f aca="false">xSPRDOPT(HLOOKUP($D$3,GDPRICES,VLOOKUP(Q91,GDmove_down,2,FALSE()),FALSE()),HLOOKUP($E$3,GDPRICES,VLOOKUP(Q91,GDmove_down,2,FALSE()),FALSE()),J91,VLOOKUP(H91,NGPREVPRICES,4,FALSE()),HLOOKUP($H$3,GDPrevVols,VLOOKUP(Q91,GDmove_down2,2,FALSE()),FALSE()),HLOOKUP($H$3,GDPrevVols,VLOOKUP(Q91,GDmove_down2,2,FALSE()),FALSE()),HLOOKUP(E91,GDcorr,VLOOKUP(H91,CorMove,2,FALSE()),FALSE()),Q91-$AC$3,R91,$AC$5)*I91-AI91</f>
        <v>#N/A</v>
      </c>
      <c r="AD91" s="253" t="e">
        <f aca="false">xSPRDOPT(HLOOKUP($D$3,GDPrev,VLOOKUP(Q91,GDmove_down,2,FALSE()),FALSE()),HLOOKUP($E$3,GDPrev,VLOOKUP(Q91,GDmove_down,2,FALSE()),FALSE()),AJ91,VLOOKUP(H91,NGPrices,4,FALSE()),HLOOKUP($H$3,GDPrevVols,VLOOKUP(Q91,GDmove_down2,2,FALSE()),FALSE()),HLOOKUP($H$3,GDPrevVols,VLOOKUP(Q91,GDmove_down2,2,FALSE()),FALSE()),HLOOKUP(E91,GDcorr,VLOOKUP(H91,CorMove,2,FALSE()),FALSE()),Q91-$AC$3,R91,$AI$5)*I91-AI91</f>
        <v>#N/A</v>
      </c>
      <c r="AE91" s="132" t="e">
        <f aca="false">(AI91/VLOOKUP(AB91,discount,3,FALSE()))-(AI91/VLOOKUP(AB91,discount,2,FALSE()))</f>
        <v>#N/A</v>
      </c>
      <c r="AF91" s="253" t="e">
        <f aca="false">xSPRDOPT(HLOOKUP($D$3,GDPrev,VLOOKUP(Q91,GDmove_down,2,FALSE()),FALSE()),HLOOKUP($E$3,GDPrev,VLOOKUP(Q91,GDmove_down,2,FALSE()),FALSE()),AJ91,VLOOKUP(H91,NGPREVPRICES,4,FALSE()),HLOOKUP($H$3,GDVol,VLOOKUP(H91,move_down,2,FALSE()),FALSE()),HLOOKUP($H$3,GDVol,VLOOKUP(H91,move_down,2,FALSE()),FALSE()),HLOOKUP(E91,GDcorr,VLOOKUP(H91,CorMove,2,FALSE()),FALSE()),Q91-$AC$3,R91,$AI$5)*I91-AI91</f>
        <v>#N/A</v>
      </c>
      <c r="AG91" s="253" t="e">
        <f aca="false">xSPRDOPT(HLOOKUP($D$3,GDPrev,VLOOKUP(Q91,GDmove_down,2,FALSE()),FALSE()),HLOOKUP($E$3,GDPrev,VLOOKUP(Q91,GDmove_down,2,FALSE()),FALSE()),AJ91,VLOOKUP(H91,NGPREVPRICES,4,FALSE()),HLOOKUP($H$3,GDPrevVols,VLOOKUP(Q91,GDmove_down2,2,FALSE()),FALSE()),HLOOKUP($H$3,GDPrevVols,VLOOKUP(Q91,GDmove_down2,2,FALSE()),FALSE()),HLOOKUP(E91,GDcorr,VLOOKUP(H91,CorMove,2,FALSE()),FALSE()),Q91-$C$3,R91,$AI$5)*I91-AI91</f>
        <v>#N/A</v>
      </c>
      <c r="AH91" s="253" t="e">
        <f aca="false">SUM(AC91:AG91)</f>
        <v>#N/A</v>
      </c>
      <c r="AI91" s="253" t="e">
        <f aca="false">xSPRDOPT(HLOOKUP($D$3,GDPrev,VLOOKUP(Q91,GDmove_down,2,FALSE()),FALSE()),HLOOKUP($E$3,GDPrev,VLOOKUP(Q91,GDmove_down,2,FALSE()),FALSE()),AJ91,VLOOKUP(H91,NGPREVPRICES,4,FALSE()),HLOOKUP($H$3,GDPrevVols,VLOOKUP(Q91,GDmove_down2,2,FALSE()),FALSE()),HLOOKUP($H$3,GDPrevVols,VLOOKUP(Q91,GDmove_down2,2,FALSE()),FALSE()),HLOOKUP(E91,GDcorr,VLOOKUP(H91,CorMove,2,FALSE()),FALSE()),Q91-$AC$3,R91,$AI$5)*I91</f>
        <v>#N/A</v>
      </c>
      <c r="AJ91" s="254" t="e">
        <f aca="false">HLOOKUP(D91,PREVCURVES,VLOOKUP(H91,MOVE_DOWN2,2,FALSE()),FALSE())-HLOOKUP(E91,PREVCURVES,VLOOKUP(H91,MOVE_DOWN2,2,FALSE()),FALSE())</f>
        <v>#N/A</v>
      </c>
      <c r="AK91" s="253"/>
      <c r="AL91" s="0" t="str">
        <f aca="false">CONCATENATE(AB91,$AC$6)</f>
        <v>36678Curve Shift/Gamma</v>
      </c>
      <c r="AM91" s="0" t="str">
        <f aca="false">CONCATENATE($AB91,$AD$6)</f>
        <v>36678Rho</v>
      </c>
      <c r="AN91" s="0" t="str">
        <f aca="false">CONCATENATE($AB91,$AE$6)</f>
        <v>36678Drift</v>
      </c>
      <c r="AO91" s="0" t="str">
        <f aca="false">CONCATENATE($AB91,$AF$6)</f>
        <v>36678Vega</v>
      </c>
      <c r="AP91" s="0" t="str">
        <f aca="false">CONCATENATE($AB91,$AG$6)</f>
        <v>36678Theta</v>
      </c>
      <c r="AZ91" s="143" t="n">
        <f aca="false">EOMONTH(AZ90,0)+1</f>
        <v>38718</v>
      </c>
      <c r="BA91" s="135"/>
      <c r="BG91" s="285" t="n">
        <v>39052</v>
      </c>
      <c r="BH91" s="0" t="n">
        <v>0.970485</v>
      </c>
      <c r="BJ91" s="285" t="n">
        <v>39052</v>
      </c>
      <c r="BK91" s="0" t="n">
        <v>88</v>
      </c>
    </row>
    <row r="92" customFormat="false" ht="12" hidden="false" customHeight="true" outlineLevel="0" collapsed="false">
      <c r="A92" s="265" t="s">
        <v>198</v>
      </c>
      <c r="B92" s="269" t="s">
        <v>192</v>
      </c>
      <c r="C92" s="269" t="s">
        <v>489</v>
      </c>
      <c r="D92" s="269" t="s">
        <v>137</v>
      </c>
      <c r="E92" s="7" t="s">
        <v>483</v>
      </c>
      <c r="F92" s="269" t="s">
        <v>131</v>
      </c>
      <c r="G92" s="269" t="s">
        <v>136</v>
      </c>
      <c r="H92" s="286" t="n">
        <v>36678</v>
      </c>
      <c r="I92" s="272" t="n">
        <v>10000</v>
      </c>
      <c r="J92" s="125" t="n">
        <v>0.46</v>
      </c>
      <c r="K92" s="124" t="n">
        <f aca="false">HLOOKUP($D$3,GDPRICES,VLOOKUP(Q92,GDmove_down,2,FALSE()),FALSE())</f>
        <v>4.74</v>
      </c>
      <c r="L92" s="124" t="n">
        <f aca="false">HLOOKUP($E$3,GDPRICES,VLOOKUP(Q92,GDmove_down,2,FALSE()),FALSE())</f>
        <v>3.365</v>
      </c>
      <c r="M92" s="126" t="n">
        <v>1</v>
      </c>
      <c r="N92" s="7" t="n">
        <v>0.515</v>
      </c>
      <c r="O92" s="7" t="n">
        <v>0.515</v>
      </c>
      <c r="P92" s="249" t="e">
        <f aca="false">HLOOKUP(E92,GDcorr,VLOOKUP(H92,GDCorMove,2,FALSE()),FALSE())</f>
        <v>#N/A</v>
      </c>
      <c r="Q92" s="92" t="n">
        <v>36690</v>
      </c>
      <c r="R92" s="7" t="n">
        <f aca="false">IF(G92="P",0,1)</f>
        <v>1</v>
      </c>
      <c r="S92" s="130" t="e">
        <f aca="false">xSPRDOPT($K92,$L92,$J92,$M92,$N92,$O92,$P92,$Q92-$C$3,$R92,0)</f>
        <v>#NAME?</v>
      </c>
      <c r="T92" s="250" t="e">
        <f aca="false">xSPRDOPT($K92,$L92,$J92,$M92,$N92,$O92,$P92,$Q92-$C$3,$R92,1)*I92</f>
        <v>#NAME?</v>
      </c>
      <c r="U92" s="43" t="n">
        <v>3900</v>
      </c>
      <c r="V92" s="250" t="e">
        <f aca="false">xSPRDOPT($K92,$L92,$J92,$M92,$N92,$O92,$P92,$Q92-$C$3,$R92,2)*I92</f>
        <v>#NAME?</v>
      </c>
      <c r="W92" s="250" t="e">
        <f aca="false">+V92+T92</f>
        <v>#NAME?</v>
      </c>
      <c r="X92" s="2" t="str">
        <f aca="false">CONCATENATE(H92,E92)</f>
        <v>36678IF-ELPO/SJ</v>
      </c>
      <c r="Y92" s="251" t="n">
        <f aca="false">I92/10000</f>
        <v>1</v>
      </c>
      <c r="AA92" s="2"/>
      <c r="AB92" s="182" t="n">
        <f aca="false">H92</f>
        <v>36678</v>
      </c>
      <c r="AC92" s="253" t="e">
        <f aca="false">xSPRDOPT(HLOOKUP($D$3,GDPRICES,VLOOKUP(Q92,GDmove_down,2,FALSE()),FALSE()),HLOOKUP($E$3,GDPRICES,VLOOKUP(Q92,GDmove_down,2,FALSE()),FALSE()),J92,VLOOKUP(H92,NGPREVPRICES,4,FALSE()),HLOOKUP($H$3,GDPrevVols,VLOOKUP(Q92,GDmove_down2,2,FALSE()),FALSE()),HLOOKUP($H$3,GDPrevVols,VLOOKUP(Q92,GDmove_down2,2,FALSE()),FALSE()),HLOOKUP(E92,GDcorr,VLOOKUP(H92,CorMove,2,FALSE()),FALSE()),Q92-$AC$3,R92,$AC$5)*I92-AI92</f>
        <v>#N/A</v>
      </c>
      <c r="AD92" s="253" t="e">
        <f aca="false">xSPRDOPT(HLOOKUP($D$3,GDPrev,VLOOKUP(Q92,GDmove_down,2,FALSE()),FALSE()),HLOOKUP($E$3,GDPrev,VLOOKUP(Q92,GDmove_down,2,FALSE()),FALSE()),AJ92,VLOOKUP(H92,NGPrices,4,FALSE()),HLOOKUP($H$3,GDPrevVols,VLOOKUP(Q92,GDmove_down2,2,FALSE()),FALSE()),HLOOKUP($H$3,GDPrevVols,VLOOKUP(Q92,GDmove_down2,2,FALSE()),FALSE()),HLOOKUP(E92,GDcorr,VLOOKUP(H92,CorMove,2,FALSE()),FALSE()),Q92-$AC$3,R92,$AI$5)*I92-AI92</f>
        <v>#N/A</v>
      </c>
      <c r="AE92" s="132" t="e">
        <f aca="false">(AI92/VLOOKUP(AB92,discount,3,FALSE()))-(AI92/VLOOKUP(AB92,discount,2,FALSE()))</f>
        <v>#N/A</v>
      </c>
      <c r="AF92" s="253" t="e">
        <f aca="false">xSPRDOPT(HLOOKUP($D$3,GDPrev,VLOOKUP(Q92,GDmove_down,2,FALSE()),FALSE()),HLOOKUP($E$3,GDPrev,VLOOKUP(Q92,GDmove_down,2,FALSE()),FALSE()),AJ92,VLOOKUP(H92,NGPREVPRICES,4,FALSE()),HLOOKUP($H$3,GDVol,VLOOKUP(H92,move_down,2,FALSE()),FALSE()),HLOOKUP($H$3,GDVol,VLOOKUP(H92,move_down,2,FALSE()),FALSE()),HLOOKUP(E92,GDcorr,VLOOKUP(H92,CorMove,2,FALSE()),FALSE()),Q92-$AC$3,R92,$AI$5)*I92-AI92</f>
        <v>#N/A</v>
      </c>
      <c r="AG92" s="253" t="e">
        <f aca="false">xSPRDOPT(HLOOKUP($D$3,GDPrev,VLOOKUP(Q92,GDmove_down,2,FALSE()),FALSE()),HLOOKUP($E$3,GDPrev,VLOOKUP(Q92,GDmove_down,2,FALSE()),FALSE()),AJ92,VLOOKUP(H92,NGPREVPRICES,4,FALSE()),HLOOKUP($H$3,GDPrevVols,VLOOKUP(Q92,GDmove_down2,2,FALSE()),FALSE()),HLOOKUP($H$3,GDPrevVols,VLOOKUP(Q92,GDmove_down2,2,FALSE()),FALSE()),HLOOKUP(E92,GDcorr,VLOOKUP(H92,CorMove,2,FALSE()),FALSE()),Q92-$C$3,R92,$AI$5)*I92-AI92</f>
        <v>#N/A</v>
      </c>
      <c r="AH92" s="253" t="e">
        <f aca="false">SUM(AC92:AG92)</f>
        <v>#N/A</v>
      </c>
      <c r="AI92" s="253" t="e">
        <f aca="false">xSPRDOPT(HLOOKUP($D$3,GDPrev,VLOOKUP(Q92,GDmove_down,2,FALSE()),FALSE()),HLOOKUP($E$3,GDPrev,VLOOKUP(Q92,GDmove_down,2,FALSE()),FALSE()),AJ92,VLOOKUP(H92,NGPREVPRICES,4,FALSE()),HLOOKUP($H$3,GDPrevVols,VLOOKUP(Q92,GDmove_down2,2,FALSE()),FALSE()),HLOOKUP($H$3,GDPrevVols,VLOOKUP(Q92,GDmove_down2,2,FALSE()),FALSE()),HLOOKUP(E92,GDcorr,VLOOKUP(H92,CorMove,2,FALSE()),FALSE()),Q92-$AC$3,R92,$AI$5)*I92</f>
        <v>#N/A</v>
      </c>
      <c r="AJ92" s="254" t="e">
        <f aca="false">HLOOKUP(D92,PREVCURVES,VLOOKUP(H92,MOVE_DOWN2,2,FALSE()),FALSE())-HLOOKUP(E92,PREVCURVES,VLOOKUP(H92,MOVE_DOWN2,2,FALSE()),FALSE())</f>
        <v>#N/A</v>
      </c>
      <c r="AK92" s="253"/>
      <c r="AL92" s="0" t="str">
        <f aca="false">CONCATENATE(AB92,$AC$6)</f>
        <v>36678Curve Shift/Gamma</v>
      </c>
      <c r="AM92" s="0" t="str">
        <f aca="false">CONCATENATE($AB92,$AD$6)</f>
        <v>36678Rho</v>
      </c>
      <c r="AN92" s="0" t="str">
        <f aca="false">CONCATENATE($AB92,$AE$6)</f>
        <v>36678Drift</v>
      </c>
      <c r="AO92" s="0" t="str">
        <f aca="false">CONCATENATE($AB92,$AF$6)</f>
        <v>36678Vega</v>
      </c>
      <c r="AP92" s="0" t="str">
        <f aca="false">CONCATENATE($AB92,$AG$6)</f>
        <v>36678Theta</v>
      </c>
      <c r="AZ92" s="143" t="n">
        <f aca="false">EOMONTH(AZ91,0)+1</f>
        <v>38749</v>
      </c>
      <c r="BA92" s="135"/>
      <c r="BG92" s="285" t="n">
        <v>39083</v>
      </c>
      <c r="BH92" s="0" t="n">
        <v>0.985</v>
      </c>
      <c r="BJ92" s="285" t="n">
        <v>39083</v>
      </c>
      <c r="BK92" s="0" t="n">
        <v>89</v>
      </c>
    </row>
    <row r="93" customFormat="false" ht="12" hidden="false" customHeight="true" outlineLevel="0" collapsed="false">
      <c r="A93" s="265" t="s">
        <v>198</v>
      </c>
      <c r="B93" s="269" t="s">
        <v>192</v>
      </c>
      <c r="C93" s="269" t="s">
        <v>490</v>
      </c>
      <c r="D93" s="269" t="s">
        <v>137</v>
      </c>
      <c r="E93" s="7" t="s">
        <v>483</v>
      </c>
      <c r="F93" s="269" t="s">
        <v>131</v>
      </c>
      <c r="G93" s="269" t="s">
        <v>136</v>
      </c>
      <c r="H93" s="286" t="n">
        <v>36678</v>
      </c>
      <c r="I93" s="272" t="n">
        <v>-333333</v>
      </c>
      <c r="J93" s="125" t="n">
        <v>0.46</v>
      </c>
      <c r="K93" s="124" t="n">
        <f aca="false">HLOOKUP($D$3,GDPRICES,VLOOKUP(Q93,GDmove_down,2,FALSE()),FALSE())</f>
        <v>4.74</v>
      </c>
      <c r="L93" s="124" t="n">
        <f aca="false">HLOOKUP($E$3,GDPRICES,VLOOKUP(Q93,GDmove_down,2,FALSE()),FALSE())</f>
        <v>3.365</v>
      </c>
      <c r="M93" s="126" t="n">
        <v>1</v>
      </c>
      <c r="N93" s="7" t="n">
        <v>0.515</v>
      </c>
      <c r="O93" s="7" t="n">
        <v>0.515</v>
      </c>
      <c r="P93" s="249" t="e">
        <f aca="false">HLOOKUP(E93,GDcorr,VLOOKUP(H93,GDCorMove,2,FALSE()),FALSE())</f>
        <v>#N/A</v>
      </c>
      <c r="Q93" s="92" t="n">
        <v>36690</v>
      </c>
      <c r="R93" s="7" t="n">
        <f aca="false">IF(G93="P",0,1)</f>
        <v>1</v>
      </c>
      <c r="S93" s="130" t="e">
        <f aca="false">xSPRDOPT($K93,$L93,$J93,$M93,$N93,$O93,$P93,$Q93-$C$3,$R93,0)</f>
        <v>#NAME?</v>
      </c>
      <c r="T93" s="250" t="e">
        <f aca="false">xSPRDOPT($K93,$L93,$J93,$M93,$N93,$O93,$P93,$Q93-$C$3,$R93,1)*I93</f>
        <v>#NAME?</v>
      </c>
      <c r="U93" s="43" t="n">
        <v>-129999.87</v>
      </c>
      <c r="V93" s="250" t="e">
        <f aca="false">xSPRDOPT($K93,$L93,$J93,$M93,$N93,$O93,$P93,$Q93-$C$3,$R93,2)*I93</f>
        <v>#NAME?</v>
      </c>
      <c r="W93" s="250" t="e">
        <f aca="false">+V93+T93</f>
        <v>#NAME?</v>
      </c>
      <c r="X93" s="2" t="str">
        <f aca="false">CONCATENATE(H93,E93)</f>
        <v>36678IF-ELPO/SJ</v>
      </c>
      <c r="Y93" s="251" t="n">
        <f aca="false">I93/10000</f>
        <v>-33.3333</v>
      </c>
      <c r="Z93" s="2"/>
      <c r="AA93" s="2"/>
      <c r="AB93" s="182" t="n">
        <f aca="false">H93</f>
        <v>36678</v>
      </c>
      <c r="AC93" s="253" t="e">
        <f aca="false">xSPRDOPT(HLOOKUP($D$3,GDPRICES,VLOOKUP(Q93,GDmove_down,2,FALSE()),FALSE()),HLOOKUP($E$3,GDPRICES,VLOOKUP(Q93,GDmove_down,2,FALSE()),FALSE()),J93,VLOOKUP(H93,NGPREVPRICES,4,FALSE()),HLOOKUP($H$3,GDPrevVols,VLOOKUP(Q93,GDmove_down2,2,FALSE()),FALSE()),HLOOKUP($H$3,GDPrevVols,VLOOKUP(Q93,GDmove_down2,2,FALSE()),FALSE()),HLOOKUP(E93,GDcorr,VLOOKUP(H93,CorMove,2,FALSE()),FALSE()),Q93-$AC$3,R93,$AC$5)*I93-AI93</f>
        <v>#N/A</v>
      </c>
      <c r="AD93" s="253" t="e">
        <f aca="false">xSPRDOPT(HLOOKUP($D$3,GDPrev,VLOOKUP(Q93,GDmove_down,2,FALSE()),FALSE()),HLOOKUP($E$3,GDPrev,VLOOKUP(Q93,GDmove_down,2,FALSE()),FALSE()),AJ93,VLOOKUP(H93,NGPrices,4,FALSE()),HLOOKUP($H$3,GDPrevVols,VLOOKUP(Q93,GDmove_down2,2,FALSE()),FALSE()),HLOOKUP($H$3,GDPrevVols,VLOOKUP(Q93,GDmove_down2,2,FALSE()),FALSE()),HLOOKUP(E93,GDcorr,VLOOKUP(H93,CorMove,2,FALSE()),FALSE()),Q93-$AC$3,R93,$AI$5)*I93-AI93</f>
        <v>#N/A</v>
      </c>
      <c r="AE93" s="132" t="e">
        <f aca="false">(AI93/VLOOKUP(AB93,discount,3,FALSE()))-(AI93/VLOOKUP(AB93,discount,2,FALSE()))</f>
        <v>#N/A</v>
      </c>
      <c r="AF93" s="253" t="e">
        <f aca="false">xSPRDOPT(HLOOKUP($D$3,GDPrev,VLOOKUP(Q93,GDmove_down,2,FALSE()),FALSE()),HLOOKUP($E$3,GDPrev,VLOOKUP(Q93,GDmove_down,2,FALSE()),FALSE()),AJ93,VLOOKUP(H93,NGPREVPRICES,4,FALSE()),HLOOKUP($H$3,GDVol,VLOOKUP(H93,move_down,2,FALSE()),FALSE()),HLOOKUP($H$3,GDVol,VLOOKUP(H93,move_down,2,FALSE()),FALSE()),HLOOKUP(E93,GDcorr,VLOOKUP(H93,CorMove,2,FALSE()),FALSE()),Q93-$AC$3,R93,$AI$5)*I93-AI93</f>
        <v>#N/A</v>
      </c>
      <c r="AG93" s="253" t="e">
        <f aca="false">xSPRDOPT(HLOOKUP($D$3,GDPrev,VLOOKUP(Q93,GDmove_down,2,FALSE()),FALSE()),HLOOKUP($E$3,GDPrev,VLOOKUP(Q93,GDmove_down,2,FALSE()),FALSE()),AJ93,VLOOKUP(H93,NGPREVPRICES,4,FALSE()),HLOOKUP($H$3,GDPrevVols,VLOOKUP(Q93,GDmove_down2,2,FALSE()),FALSE()),HLOOKUP($H$3,GDPrevVols,VLOOKUP(Q93,GDmove_down2,2,FALSE()),FALSE()),HLOOKUP(E93,GDcorr,VLOOKUP(H93,CorMove,2,FALSE()),FALSE()),Q93-$C$3,R93,$AI$5)*I93-AI93</f>
        <v>#N/A</v>
      </c>
      <c r="AH93" s="253" t="e">
        <f aca="false">SUM(AC93:AG93)</f>
        <v>#N/A</v>
      </c>
      <c r="AI93" s="253" t="e">
        <f aca="false">xSPRDOPT(HLOOKUP($D$3,GDPrev,VLOOKUP(Q93,GDmove_down,2,FALSE()),FALSE()),HLOOKUP($E$3,GDPrev,VLOOKUP(Q93,GDmove_down,2,FALSE()),FALSE()),AJ93,VLOOKUP(H93,NGPREVPRICES,4,FALSE()),HLOOKUP($H$3,GDPrevVols,VLOOKUP(Q93,GDmove_down2,2,FALSE()),FALSE()),HLOOKUP($H$3,GDPrevVols,VLOOKUP(Q93,GDmove_down2,2,FALSE()),FALSE()),HLOOKUP(E93,GDcorr,VLOOKUP(H93,CorMove,2,FALSE()),FALSE()),Q93-$AC$3,R93,$AI$5)*I93</f>
        <v>#N/A</v>
      </c>
      <c r="AJ93" s="254" t="e">
        <f aca="false">HLOOKUP(D93,PREVCURVES,VLOOKUP(H93,MOVE_DOWN2,2,FALSE()),FALSE())-HLOOKUP(E93,PREVCURVES,VLOOKUP(H93,MOVE_DOWN2,2,FALSE()),FALSE())</f>
        <v>#N/A</v>
      </c>
      <c r="AK93" s="253"/>
      <c r="AL93" s="0" t="str">
        <f aca="false">CONCATENATE(AB93,$AC$6)</f>
        <v>36678Curve Shift/Gamma</v>
      </c>
      <c r="AM93" s="0" t="str">
        <f aca="false">CONCATENATE($AB93,$AD$6)</f>
        <v>36678Rho</v>
      </c>
      <c r="AN93" s="0" t="str">
        <f aca="false">CONCATENATE($AB93,$AE$6)</f>
        <v>36678Drift</v>
      </c>
      <c r="AO93" s="0" t="str">
        <f aca="false">CONCATENATE($AB93,$AF$6)</f>
        <v>36678Vega</v>
      </c>
      <c r="AP93" s="0" t="str">
        <f aca="false">CONCATENATE($AB93,$AG$6)</f>
        <v>36678Theta</v>
      </c>
      <c r="AZ93" s="143" t="n">
        <f aca="false">EOMONTH(AZ92,0)+1</f>
        <v>38777</v>
      </c>
      <c r="BA93" s="135"/>
      <c r="BG93" s="285" t="n">
        <v>39114</v>
      </c>
      <c r="BH93" s="0" t="n">
        <v>0.985</v>
      </c>
      <c r="BJ93" s="285" t="n">
        <v>39114</v>
      </c>
      <c r="BK93" s="0" t="n">
        <v>90</v>
      </c>
    </row>
    <row r="94" customFormat="false" ht="12" hidden="false" customHeight="true" outlineLevel="0" collapsed="false">
      <c r="A94" s="267" t="s">
        <v>196</v>
      </c>
      <c r="B94" s="269" t="s">
        <v>192</v>
      </c>
      <c r="C94" s="269" t="s">
        <v>491</v>
      </c>
      <c r="D94" s="269" t="s">
        <v>137</v>
      </c>
      <c r="E94" s="7" t="s">
        <v>483</v>
      </c>
      <c r="F94" s="269" t="s">
        <v>131</v>
      </c>
      <c r="G94" s="269" t="s">
        <v>136</v>
      </c>
      <c r="H94" s="286" t="n">
        <v>36678</v>
      </c>
      <c r="I94" s="272" t="n">
        <v>-10000</v>
      </c>
      <c r="J94" s="125" t="n">
        <v>0.46</v>
      </c>
      <c r="K94" s="124" t="n">
        <f aca="false">HLOOKUP($D$3,GDPRICES,VLOOKUP(Q94,GDmove_down,2,FALSE()),FALSE())</f>
        <v>4.74</v>
      </c>
      <c r="L94" s="124" t="n">
        <f aca="false">HLOOKUP($E$3,GDPRICES,VLOOKUP(Q94,GDmove_down,2,FALSE()),FALSE())</f>
        <v>3.365</v>
      </c>
      <c r="M94" s="126" t="n">
        <v>1</v>
      </c>
      <c r="N94" s="7" t="n">
        <v>0.515</v>
      </c>
      <c r="O94" s="7" t="n">
        <v>0.515</v>
      </c>
      <c r="P94" s="249" t="e">
        <f aca="false">HLOOKUP(E94,GDcorr,VLOOKUP(H94,GDCorMove,2,FALSE()),FALSE())</f>
        <v>#N/A</v>
      </c>
      <c r="Q94" s="92" t="n">
        <v>36690</v>
      </c>
      <c r="R94" s="7" t="n">
        <f aca="false">IF(G94="P",0,1)</f>
        <v>1</v>
      </c>
      <c r="S94" s="130" t="e">
        <f aca="false">xSPRDOPT($K94,$L94,$J94,$M94,$N94,$O94,$P94,$Q94-$C$3,$R94,0)</f>
        <v>#NAME?</v>
      </c>
      <c r="T94" s="250" t="e">
        <f aca="false">xSPRDOPT($K94,$L94,$J94,$M94,$N94,$O94,$P94,$Q94-$C$3,$R94,1)*I94</f>
        <v>#NAME?</v>
      </c>
      <c r="U94" s="43" t="n">
        <v>-3900</v>
      </c>
      <c r="V94" s="250" t="e">
        <f aca="false">xSPRDOPT($K94,$L94,$J94,$M94,$N94,$O94,$P94,$Q94-$C$3,$R94,2)*I94</f>
        <v>#NAME?</v>
      </c>
      <c r="W94" s="250" t="e">
        <f aca="false">+V94+T94</f>
        <v>#NAME?</v>
      </c>
      <c r="X94" s="2" t="str">
        <f aca="false">CONCATENATE(H94,E94)</f>
        <v>36678IF-ELPO/SJ</v>
      </c>
      <c r="Y94" s="251" t="n">
        <f aca="false">I94/10000</f>
        <v>-1</v>
      </c>
      <c r="Z94" s="2"/>
      <c r="AA94" s="2"/>
      <c r="AB94" s="182" t="n">
        <f aca="false">H94</f>
        <v>36678</v>
      </c>
      <c r="AC94" s="253" t="e">
        <f aca="false">xSPRDOPT(HLOOKUP($D$3,GDPRICES,VLOOKUP(Q94,GDmove_down,2,FALSE()),FALSE()),HLOOKUP($E$3,GDPRICES,VLOOKUP(Q94,GDmove_down,2,FALSE()),FALSE()),J94,VLOOKUP(H94,NGPREVPRICES,4,FALSE()),HLOOKUP($H$3,GDPrevVols,VLOOKUP(Q94,GDmove_down2,2,FALSE()),FALSE()),HLOOKUP($H$3,GDPrevVols,VLOOKUP(Q94,GDmove_down2,2,FALSE()),FALSE()),HLOOKUP(E94,GDcorr,VLOOKUP(H94,CorMove,2,FALSE()),FALSE()),Q94-$AC$3,R94,$AC$5)*I94-AI94</f>
        <v>#N/A</v>
      </c>
      <c r="AD94" s="253" t="e">
        <f aca="false">xSPRDOPT(HLOOKUP($D$3,GDPrev,VLOOKUP(Q94,GDmove_down,2,FALSE()),FALSE()),HLOOKUP($E$3,GDPrev,VLOOKUP(Q94,GDmove_down,2,FALSE()),FALSE()),AJ94,VLOOKUP(H94,NGPrices,4,FALSE()),HLOOKUP($H$3,GDPrevVols,VLOOKUP(Q94,GDmove_down2,2,FALSE()),FALSE()),HLOOKUP($H$3,GDPrevVols,VLOOKUP(Q94,GDmove_down2,2,FALSE()),FALSE()),HLOOKUP(E94,GDcorr,VLOOKUP(H94,CorMove,2,FALSE()),FALSE()),Q94-$AC$3,R94,$AI$5)*I94-AI94</f>
        <v>#N/A</v>
      </c>
      <c r="AE94" s="132" t="e">
        <f aca="false">(AI94/VLOOKUP(AB94,discount,3,FALSE()))-(AI94/VLOOKUP(AB94,discount,2,FALSE()))</f>
        <v>#N/A</v>
      </c>
      <c r="AF94" s="253" t="e">
        <f aca="false">xSPRDOPT(HLOOKUP($D$3,GDPrev,VLOOKUP(Q94,GDmove_down,2,FALSE()),FALSE()),HLOOKUP($E$3,GDPrev,VLOOKUP(Q94,GDmove_down,2,FALSE()),FALSE()),AJ94,VLOOKUP(H94,NGPREVPRICES,4,FALSE()),HLOOKUP($H$3,GDVol,VLOOKUP(H94,move_down,2,FALSE()),FALSE()),HLOOKUP($H$3,GDVol,VLOOKUP(H94,move_down,2,FALSE()),FALSE()),HLOOKUP(E94,GDcorr,VLOOKUP(H94,CorMove,2,FALSE()),FALSE()),Q94-$AC$3,R94,$AI$5)*I94-AI94</f>
        <v>#N/A</v>
      </c>
      <c r="AG94" s="253" t="e">
        <f aca="false">xSPRDOPT(HLOOKUP($D$3,GDPrev,VLOOKUP(Q94,GDmove_down,2,FALSE()),FALSE()),HLOOKUP($E$3,GDPrev,VLOOKUP(Q94,GDmove_down,2,FALSE()),FALSE()),AJ94,VLOOKUP(H94,NGPREVPRICES,4,FALSE()),HLOOKUP($H$3,GDPrevVols,VLOOKUP(Q94,GDmove_down2,2,FALSE()),FALSE()),HLOOKUP($H$3,GDPrevVols,VLOOKUP(Q94,GDmove_down2,2,FALSE()),FALSE()),HLOOKUP(E94,GDcorr,VLOOKUP(H94,CorMove,2,FALSE()),FALSE()),Q94-$C$3,R94,$AI$5)*I94-AI94</f>
        <v>#N/A</v>
      </c>
      <c r="AH94" s="253" t="e">
        <f aca="false">SUM(AC94:AG94)</f>
        <v>#N/A</v>
      </c>
      <c r="AI94" s="253" t="e">
        <f aca="false">xSPRDOPT(HLOOKUP($D$3,GDPrev,VLOOKUP(Q94,GDmove_down,2,FALSE()),FALSE()),HLOOKUP($E$3,GDPrev,VLOOKUP(Q94,GDmove_down,2,FALSE()),FALSE()),AJ94,VLOOKUP(H94,NGPREVPRICES,4,FALSE()),HLOOKUP($H$3,GDPrevVols,VLOOKUP(Q94,GDmove_down2,2,FALSE()),FALSE()),HLOOKUP($H$3,GDPrevVols,VLOOKUP(Q94,GDmove_down2,2,FALSE()),FALSE()),HLOOKUP(E94,GDcorr,VLOOKUP(H94,CorMove,2,FALSE()),FALSE()),Q94-$AC$3,R94,$AI$5)*I94</f>
        <v>#N/A</v>
      </c>
      <c r="AJ94" s="254" t="e">
        <f aca="false">HLOOKUP(D94,PREVCURVES,VLOOKUP(H94,MOVE_DOWN2,2,FALSE()),FALSE())-HLOOKUP(E94,PREVCURVES,VLOOKUP(H94,MOVE_DOWN2,2,FALSE()),FALSE())</f>
        <v>#N/A</v>
      </c>
      <c r="AK94" s="253"/>
      <c r="AL94" s="0" t="str">
        <f aca="false">CONCATENATE(AB94,$AC$6)</f>
        <v>36678Curve Shift/Gamma</v>
      </c>
      <c r="AM94" s="0" t="str">
        <f aca="false">CONCATENATE($AB94,$AD$6)</f>
        <v>36678Rho</v>
      </c>
      <c r="AN94" s="0" t="str">
        <f aca="false">CONCATENATE($AB94,$AE$6)</f>
        <v>36678Drift</v>
      </c>
      <c r="AO94" s="0" t="str">
        <f aca="false">CONCATENATE($AB94,$AF$6)</f>
        <v>36678Vega</v>
      </c>
      <c r="AP94" s="0" t="str">
        <f aca="false">CONCATENATE($AB94,$AG$6)</f>
        <v>36678Theta</v>
      </c>
      <c r="AZ94" s="143" t="n">
        <f aca="false">EOMONTH(AZ93,0)+1</f>
        <v>38808</v>
      </c>
      <c r="BA94" s="135"/>
      <c r="BG94" s="285" t="n">
        <v>39142</v>
      </c>
      <c r="BH94" s="0" t="n">
        <v>0.985</v>
      </c>
      <c r="BJ94" s="285" t="n">
        <v>39142</v>
      </c>
      <c r="BK94" s="0" t="n">
        <v>91</v>
      </c>
    </row>
    <row r="95" customFormat="false" ht="12" hidden="false" customHeight="true" outlineLevel="0" collapsed="false">
      <c r="A95" s="267" t="s">
        <v>198</v>
      </c>
      <c r="B95" s="269" t="s">
        <v>192</v>
      </c>
      <c r="C95" s="269" t="s">
        <v>492</v>
      </c>
      <c r="D95" s="269" t="s">
        <v>137</v>
      </c>
      <c r="E95" s="7" t="s">
        <v>483</v>
      </c>
      <c r="F95" s="269" t="s">
        <v>131</v>
      </c>
      <c r="G95" s="269" t="s">
        <v>136</v>
      </c>
      <c r="H95" s="286" t="n">
        <v>36678</v>
      </c>
      <c r="I95" s="272" t="n">
        <v>50000</v>
      </c>
      <c r="J95" s="125" t="n">
        <v>0.46</v>
      </c>
      <c r="K95" s="124" t="n">
        <f aca="false">HLOOKUP($D$3,GDPRICES,VLOOKUP(Q95,GDmove_down,2,FALSE()),FALSE())</f>
        <v>4.74</v>
      </c>
      <c r="L95" s="124" t="n">
        <f aca="false">HLOOKUP($E$3,GDPRICES,VLOOKUP(Q95,GDmove_down,2,FALSE()),FALSE())</f>
        <v>3.365</v>
      </c>
      <c r="M95" s="126" t="n">
        <v>1</v>
      </c>
      <c r="N95" s="7" t="n">
        <v>0.515</v>
      </c>
      <c r="O95" s="7" t="n">
        <v>0.515</v>
      </c>
      <c r="P95" s="249" t="e">
        <f aca="false">HLOOKUP(E95,GDcorr,VLOOKUP(H95,GDCorMove,2,FALSE()),FALSE())</f>
        <v>#N/A</v>
      </c>
      <c r="Q95" s="92" t="n">
        <v>36690</v>
      </c>
      <c r="R95" s="7" t="n">
        <f aca="false">IF(G95="P",0,1)</f>
        <v>1</v>
      </c>
      <c r="S95" s="130" t="e">
        <f aca="false">xSPRDOPT($K95,$L95,$J95,$M95,$N95,$O95,$P95,$Q95-$C$3,$R95,0)</f>
        <v>#NAME?</v>
      </c>
      <c r="T95" s="250" t="e">
        <f aca="false">xSPRDOPT($K95,$L95,$J95,$M95,$N95,$O95,$P95,$Q95-$C$3,$R95,1)*I95</f>
        <v>#NAME?</v>
      </c>
      <c r="U95" s="43" t="n">
        <v>19500</v>
      </c>
      <c r="V95" s="250" t="e">
        <f aca="false">xSPRDOPT($K95,$L95,$J95,$M95,$N95,$O95,$P95,$Q95-$C$3,$R95,2)*I95</f>
        <v>#NAME?</v>
      </c>
      <c r="W95" s="250" t="e">
        <f aca="false">+V95+T95</f>
        <v>#NAME?</v>
      </c>
      <c r="X95" s="2" t="str">
        <f aca="false">CONCATENATE(H95,E95)</f>
        <v>36678IF-ELPO/SJ</v>
      </c>
      <c r="Y95" s="251" t="n">
        <f aca="false">I95/10000</f>
        <v>5</v>
      </c>
      <c r="Z95" s="2"/>
      <c r="AA95" s="2"/>
      <c r="AB95" s="182" t="n">
        <f aca="false">H95</f>
        <v>36678</v>
      </c>
      <c r="AC95" s="253" t="e">
        <f aca="false">xSPRDOPT(HLOOKUP($D$3,GDPRICES,VLOOKUP(Q95,GDmove_down,2,FALSE()),FALSE()),HLOOKUP($E$3,GDPRICES,VLOOKUP(Q95,GDmove_down,2,FALSE()),FALSE()),J95,VLOOKUP(H95,NGPREVPRICES,4,FALSE()),HLOOKUP($H$3,GDPrevVols,VLOOKUP(Q95,GDmove_down2,2,FALSE()),FALSE()),HLOOKUP($H$3,GDPrevVols,VLOOKUP(Q95,GDmove_down2,2,FALSE()),FALSE()),HLOOKUP(E95,GDcorr,VLOOKUP(H95,CorMove,2,FALSE()),FALSE()),Q95-$AC$3,R95,$AC$5)*I95-AI95</f>
        <v>#N/A</v>
      </c>
      <c r="AD95" s="253" t="e">
        <f aca="false">xSPRDOPT(HLOOKUP($D$3,GDPrev,VLOOKUP(Q95,GDmove_down,2,FALSE()),FALSE()),HLOOKUP($E$3,GDPrev,VLOOKUP(Q95,GDmove_down,2,FALSE()),FALSE()),AJ95,VLOOKUP(H95,NGPrices,4,FALSE()),HLOOKUP($H$3,GDPrevVols,VLOOKUP(Q95,GDmove_down2,2,FALSE()),FALSE()),HLOOKUP($H$3,GDPrevVols,VLOOKUP(Q95,GDmove_down2,2,FALSE()),FALSE()),HLOOKUP(E95,GDcorr,VLOOKUP(H95,CorMove,2,FALSE()),FALSE()),Q95-$AC$3,R95,$AI$5)*I95-AI95</f>
        <v>#N/A</v>
      </c>
      <c r="AE95" s="132" t="e">
        <f aca="false">(AI95/VLOOKUP(AB95,discount,3,FALSE()))-(AI95/VLOOKUP(AB95,discount,2,FALSE()))</f>
        <v>#N/A</v>
      </c>
      <c r="AF95" s="253" t="e">
        <f aca="false">xSPRDOPT(HLOOKUP($D$3,GDPrev,VLOOKUP(Q95,GDmove_down,2,FALSE()),FALSE()),HLOOKUP($E$3,GDPrev,VLOOKUP(Q95,GDmove_down,2,FALSE()),FALSE()),AJ95,VLOOKUP(H95,NGPREVPRICES,4,FALSE()),HLOOKUP($H$3,GDVol,VLOOKUP(H95,move_down,2,FALSE()),FALSE()),HLOOKUP($H$3,GDVol,VLOOKUP(H95,move_down,2,FALSE()),FALSE()),HLOOKUP(E95,GDcorr,VLOOKUP(H95,CorMove,2,FALSE()),FALSE()),Q95-$AC$3,R95,$AI$5)*I95-AI95</f>
        <v>#N/A</v>
      </c>
      <c r="AG95" s="253" t="e">
        <f aca="false">xSPRDOPT(HLOOKUP($D$3,GDPrev,VLOOKUP(Q95,GDmove_down,2,FALSE()),FALSE()),HLOOKUP($E$3,GDPrev,VLOOKUP(Q95,GDmove_down,2,FALSE()),FALSE()),AJ95,VLOOKUP(H95,NGPREVPRICES,4,FALSE()),HLOOKUP($H$3,GDPrevVols,VLOOKUP(Q95,GDmove_down2,2,FALSE()),FALSE()),HLOOKUP($H$3,GDPrevVols,VLOOKUP(Q95,GDmove_down2,2,FALSE()),FALSE()),HLOOKUP(E95,GDcorr,VLOOKUP(H95,CorMove,2,FALSE()),FALSE()),Q95-$C$3,R95,$AI$5)*I95-AI95</f>
        <v>#N/A</v>
      </c>
      <c r="AH95" s="253" t="e">
        <f aca="false">SUM(AC95:AG95)</f>
        <v>#N/A</v>
      </c>
      <c r="AI95" s="253" t="e">
        <f aca="false">xSPRDOPT(HLOOKUP($D$3,GDPrev,VLOOKUP(Q95,GDmove_down,2,FALSE()),FALSE()),HLOOKUP($E$3,GDPrev,VLOOKUP(Q95,GDmove_down,2,FALSE()),FALSE()),AJ95,VLOOKUP(H95,NGPREVPRICES,4,FALSE()),HLOOKUP($H$3,GDPrevVols,VLOOKUP(Q95,GDmove_down2,2,FALSE()),FALSE()),HLOOKUP($H$3,GDPrevVols,VLOOKUP(Q95,GDmove_down2,2,FALSE()),FALSE()),HLOOKUP(E95,GDcorr,VLOOKUP(H95,CorMove,2,FALSE()),FALSE()),Q95-$AC$3,R95,$AI$5)*I95</f>
        <v>#N/A</v>
      </c>
      <c r="AJ95" s="254" t="e">
        <f aca="false">HLOOKUP(D95,PREVCURVES,VLOOKUP(H95,MOVE_DOWN2,2,FALSE()),FALSE())-HLOOKUP(E95,PREVCURVES,VLOOKUP(H95,MOVE_DOWN2,2,FALSE()),FALSE())</f>
        <v>#N/A</v>
      </c>
      <c r="AK95" s="253"/>
      <c r="AL95" s="0" t="str">
        <f aca="false">CONCATENATE(AB95,$AC$6)</f>
        <v>36678Curve Shift/Gamma</v>
      </c>
      <c r="AM95" s="0" t="str">
        <f aca="false">CONCATENATE($AB95,$AD$6)</f>
        <v>36678Rho</v>
      </c>
      <c r="AN95" s="0" t="str">
        <f aca="false">CONCATENATE($AB95,$AE$6)</f>
        <v>36678Drift</v>
      </c>
      <c r="AO95" s="0" t="str">
        <f aca="false">CONCATENATE($AB95,$AF$6)</f>
        <v>36678Vega</v>
      </c>
      <c r="AP95" s="0" t="str">
        <f aca="false">CONCATENATE($AB95,$AG$6)</f>
        <v>36678Theta</v>
      </c>
      <c r="AZ95" s="143" t="n">
        <f aca="false">EOMONTH(AZ94,0)+1</f>
        <v>38838</v>
      </c>
      <c r="BA95" s="135"/>
      <c r="BG95" s="285" t="n">
        <v>39173</v>
      </c>
      <c r="BH95" s="0" t="n">
        <v>0.985</v>
      </c>
      <c r="BJ95" s="285" t="n">
        <v>39173</v>
      </c>
      <c r="BK95" s="0" t="n">
        <v>92</v>
      </c>
    </row>
    <row r="96" customFormat="false" ht="12" hidden="false" customHeight="true" outlineLevel="0" collapsed="false">
      <c r="A96" s="267" t="s">
        <v>198</v>
      </c>
      <c r="B96" s="269" t="s">
        <v>192</v>
      </c>
      <c r="C96" s="269" t="s">
        <v>493</v>
      </c>
      <c r="D96" s="269" t="s">
        <v>137</v>
      </c>
      <c r="E96" s="7" t="s">
        <v>483</v>
      </c>
      <c r="F96" s="269" t="s">
        <v>131</v>
      </c>
      <c r="G96" s="269" t="s">
        <v>136</v>
      </c>
      <c r="H96" s="286" t="n">
        <v>36678</v>
      </c>
      <c r="I96" s="272" t="n">
        <v>50000</v>
      </c>
      <c r="J96" s="125" t="n">
        <v>0.46</v>
      </c>
      <c r="K96" s="124" t="n">
        <f aca="false">HLOOKUP($D$3,GDPRICES,VLOOKUP(Q96,GDmove_down,2,FALSE()),FALSE())</f>
        <v>4.74</v>
      </c>
      <c r="L96" s="124" t="n">
        <f aca="false">HLOOKUP($E$3,GDPRICES,VLOOKUP(Q96,GDmove_down,2,FALSE()),FALSE())</f>
        <v>3.365</v>
      </c>
      <c r="M96" s="126" t="n">
        <v>1</v>
      </c>
      <c r="N96" s="7" t="n">
        <v>0.515</v>
      </c>
      <c r="O96" s="7" t="n">
        <v>0.515</v>
      </c>
      <c r="P96" s="249" t="e">
        <f aca="false">HLOOKUP(E96,GDcorr,VLOOKUP(H96,GDCorMove,2,FALSE()),FALSE())</f>
        <v>#N/A</v>
      </c>
      <c r="Q96" s="92" t="n">
        <v>36690</v>
      </c>
      <c r="R96" s="7" t="n">
        <f aca="false">IF(G96="P",0,1)</f>
        <v>1</v>
      </c>
      <c r="S96" s="130" t="e">
        <f aca="false">xSPRDOPT($K96,$L96,$J96,$M96,$N96,$O96,$P96,$Q96-$C$3,$R96,0)</f>
        <v>#NAME?</v>
      </c>
      <c r="T96" s="250" t="e">
        <f aca="false">xSPRDOPT($K96,$L96,$J96,$M96,$N96,$O96,$P96,$Q96-$C$3,$R96,1)*I96</f>
        <v>#NAME?</v>
      </c>
      <c r="U96" s="43" t="n">
        <v>19500</v>
      </c>
      <c r="V96" s="250" t="e">
        <f aca="false">xSPRDOPT($K96,$L96,$J96,$M96,$N96,$O96,$P96,$Q96-$C$3,$R96,2)*I96</f>
        <v>#NAME?</v>
      </c>
      <c r="W96" s="250" t="e">
        <f aca="false">+V96+T96</f>
        <v>#NAME?</v>
      </c>
      <c r="X96" s="2" t="str">
        <f aca="false">CONCATENATE(H96,E96)</f>
        <v>36678IF-ELPO/SJ</v>
      </c>
      <c r="Y96" s="251" t="n">
        <f aca="false">I96/10000</f>
        <v>5</v>
      </c>
      <c r="Z96" s="2"/>
      <c r="AA96" s="2"/>
      <c r="AB96" s="182" t="n">
        <f aca="false">H96</f>
        <v>36678</v>
      </c>
      <c r="AC96" s="253" t="e">
        <f aca="false">xSPRDOPT(HLOOKUP($D$3,GDPRICES,VLOOKUP(Q96,GDmove_down,2,FALSE()),FALSE()),HLOOKUP($E$3,GDPRICES,VLOOKUP(Q96,GDmove_down,2,FALSE()),FALSE()),J96,VLOOKUP(H96,NGPREVPRICES,4,FALSE()),HLOOKUP($H$3,GDPrevVols,VLOOKUP(Q96,GDmove_down2,2,FALSE()),FALSE()),HLOOKUP($H$3,GDPrevVols,VLOOKUP(Q96,GDmove_down2,2,FALSE()),FALSE()),HLOOKUP(E96,GDcorr,VLOOKUP(H96,CorMove,2,FALSE()),FALSE()),Q96-$AC$3,R96,$AC$5)*I96-AI96</f>
        <v>#N/A</v>
      </c>
      <c r="AD96" s="253" t="e">
        <f aca="false">xSPRDOPT(HLOOKUP($D$3,GDPrev,VLOOKUP(Q96,GDmove_down,2,FALSE()),FALSE()),HLOOKUP($E$3,GDPrev,VLOOKUP(Q96,GDmove_down,2,FALSE()),FALSE()),AJ96,VLOOKUP(H96,NGPrices,4,FALSE()),HLOOKUP($H$3,GDPrevVols,VLOOKUP(Q96,GDmove_down2,2,FALSE()),FALSE()),HLOOKUP($H$3,GDPrevVols,VLOOKUP(Q96,GDmove_down2,2,FALSE()),FALSE()),HLOOKUP(E96,GDcorr,VLOOKUP(H96,CorMove,2,FALSE()),FALSE()),Q96-$AC$3,R96,$AI$5)*I96-AI96</f>
        <v>#N/A</v>
      </c>
      <c r="AE96" s="132" t="e">
        <f aca="false">(AI96/VLOOKUP(AB96,discount,3,FALSE()))-(AI96/VLOOKUP(AB96,discount,2,FALSE()))</f>
        <v>#N/A</v>
      </c>
      <c r="AF96" s="253" t="e">
        <f aca="false">xSPRDOPT(HLOOKUP($D$3,GDPrev,VLOOKUP(Q96,GDmove_down,2,FALSE()),FALSE()),HLOOKUP($E$3,GDPrev,VLOOKUP(Q96,GDmove_down,2,FALSE()),FALSE()),AJ96,VLOOKUP(H96,NGPREVPRICES,4,FALSE()),HLOOKUP($H$3,GDVol,VLOOKUP(H96,move_down,2,FALSE()),FALSE()),HLOOKUP($H$3,GDVol,VLOOKUP(H96,move_down,2,FALSE()),FALSE()),HLOOKUP(E96,GDcorr,VLOOKUP(H96,CorMove,2,FALSE()),FALSE()),Q96-$AC$3,R96,$AI$5)*I96-AI96</f>
        <v>#N/A</v>
      </c>
      <c r="AG96" s="253" t="e">
        <f aca="false">xSPRDOPT(HLOOKUP($D$3,GDPrev,VLOOKUP(Q96,GDmove_down,2,FALSE()),FALSE()),HLOOKUP($E$3,GDPrev,VLOOKUP(Q96,GDmove_down,2,FALSE()),FALSE()),AJ96,VLOOKUP(H96,NGPREVPRICES,4,FALSE()),HLOOKUP($H$3,GDPrevVols,VLOOKUP(Q96,GDmove_down2,2,FALSE()),FALSE()),HLOOKUP($H$3,GDPrevVols,VLOOKUP(Q96,GDmove_down2,2,FALSE()),FALSE()),HLOOKUP(E96,GDcorr,VLOOKUP(H96,CorMove,2,FALSE()),FALSE()),Q96-$C$3,R96,$AI$5)*I96-AI96</f>
        <v>#N/A</v>
      </c>
      <c r="AH96" s="253" t="e">
        <f aca="false">SUM(AC96:AG96)</f>
        <v>#N/A</v>
      </c>
      <c r="AI96" s="253" t="e">
        <f aca="false">xSPRDOPT(HLOOKUP($D$3,GDPrev,VLOOKUP(Q96,GDmove_down,2,FALSE()),FALSE()),HLOOKUP($E$3,GDPrev,VLOOKUP(Q96,GDmove_down,2,FALSE()),FALSE()),AJ96,VLOOKUP(H96,NGPREVPRICES,4,FALSE()),HLOOKUP($H$3,GDPrevVols,VLOOKUP(Q96,GDmove_down2,2,FALSE()),FALSE()),HLOOKUP($H$3,GDPrevVols,VLOOKUP(Q96,GDmove_down2,2,FALSE()),FALSE()),HLOOKUP(E96,GDcorr,VLOOKUP(H96,CorMove,2,FALSE()),FALSE()),Q96-$AC$3,R96,$AI$5)*I96</f>
        <v>#N/A</v>
      </c>
      <c r="AJ96" s="254" t="e">
        <f aca="false">HLOOKUP(D96,PREVCURVES,VLOOKUP(H96,MOVE_DOWN2,2,FALSE()),FALSE())-HLOOKUP(E96,PREVCURVES,VLOOKUP(H96,MOVE_DOWN2,2,FALSE()),FALSE())</f>
        <v>#N/A</v>
      </c>
      <c r="AK96" s="253"/>
      <c r="AL96" s="0" t="str">
        <f aca="false">CONCATENATE(AB96,$AC$6)</f>
        <v>36678Curve Shift/Gamma</v>
      </c>
      <c r="AM96" s="0" t="str">
        <f aca="false">CONCATENATE($AB96,$AD$6)</f>
        <v>36678Rho</v>
      </c>
      <c r="AN96" s="0" t="str">
        <f aca="false">CONCATENATE($AB96,$AE$6)</f>
        <v>36678Drift</v>
      </c>
      <c r="AO96" s="0" t="str">
        <f aca="false">CONCATENATE($AB96,$AF$6)</f>
        <v>36678Vega</v>
      </c>
      <c r="AP96" s="0" t="str">
        <f aca="false">CONCATENATE($AB96,$AG$6)</f>
        <v>36678Theta</v>
      </c>
      <c r="AZ96" s="143" t="n">
        <f aca="false">EOMONTH(AZ95,0)+1</f>
        <v>38869</v>
      </c>
      <c r="BA96" s="135"/>
      <c r="BG96" s="285" t="n">
        <v>39203</v>
      </c>
      <c r="BH96" s="0" t="n">
        <v>0.985</v>
      </c>
      <c r="BJ96" s="285" t="n">
        <v>39203</v>
      </c>
      <c r="BK96" s="0" t="n">
        <v>93</v>
      </c>
    </row>
    <row r="97" customFormat="false" ht="12" hidden="false" customHeight="true" outlineLevel="0" collapsed="false">
      <c r="A97" s="267" t="s">
        <v>198</v>
      </c>
      <c r="B97" s="269" t="s">
        <v>192</v>
      </c>
      <c r="C97" s="269" t="s">
        <v>494</v>
      </c>
      <c r="D97" s="269" t="s">
        <v>137</v>
      </c>
      <c r="E97" s="7" t="s">
        <v>483</v>
      </c>
      <c r="F97" s="269" t="s">
        <v>131</v>
      </c>
      <c r="G97" s="269" t="s">
        <v>136</v>
      </c>
      <c r="H97" s="286" t="n">
        <v>36678</v>
      </c>
      <c r="I97" s="272" t="n">
        <v>-10000</v>
      </c>
      <c r="J97" s="125" t="n">
        <v>0.46</v>
      </c>
      <c r="K97" s="124" t="n">
        <f aca="false">HLOOKUP($D$3,GDPRICES,VLOOKUP(Q97,GDmove_down,2,FALSE()),FALSE())</f>
        <v>4.74</v>
      </c>
      <c r="L97" s="124" t="n">
        <f aca="false">HLOOKUP($E$3,GDPRICES,VLOOKUP(Q97,GDmove_down,2,FALSE()),FALSE())</f>
        <v>3.365</v>
      </c>
      <c r="M97" s="126" t="n">
        <v>1</v>
      </c>
      <c r="N97" s="7" t="n">
        <v>0.515</v>
      </c>
      <c r="O97" s="7" t="n">
        <v>0.515</v>
      </c>
      <c r="P97" s="249" t="e">
        <f aca="false">HLOOKUP(E97,GDcorr,VLOOKUP(H97,GDCorMove,2,FALSE()),FALSE())</f>
        <v>#N/A</v>
      </c>
      <c r="Q97" s="92" t="n">
        <v>36690</v>
      </c>
      <c r="R97" s="7" t="n">
        <f aca="false">IF(G97="P",0,1)</f>
        <v>1</v>
      </c>
      <c r="S97" s="130" t="e">
        <f aca="false">xSPRDOPT($K97,$L97,$J97,$M97,$N97,$O97,$P97,$Q97-$C$3,$R97,0)</f>
        <v>#NAME?</v>
      </c>
      <c r="T97" s="250" t="e">
        <f aca="false">xSPRDOPT($K97,$L97,$J97,$M97,$N97,$O97,$P97,$Q97-$C$3,$R97,1)*I97</f>
        <v>#NAME?</v>
      </c>
      <c r="U97" s="43" t="n">
        <v>-3900</v>
      </c>
      <c r="V97" s="250" t="e">
        <f aca="false">xSPRDOPT($K97,$L97,$J97,$M97,$N97,$O97,$P97,$Q97-$C$3,$R97,2)*I97</f>
        <v>#NAME?</v>
      </c>
      <c r="W97" s="250" t="e">
        <f aca="false">+V97+T97</f>
        <v>#NAME?</v>
      </c>
      <c r="X97" s="2" t="str">
        <f aca="false">CONCATENATE(H97,E97)</f>
        <v>36678IF-ELPO/SJ</v>
      </c>
      <c r="Y97" s="251" t="n">
        <f aca="false">I97/10000</f>
        <v>-1</v>
      </c>
      <c r="AA97" s="2"/>
      <c r="AB97" s="182" t="n">
        <f aca="false">H97</f>
        <v>36678</v>
      </c>
      <c r="AC97" s="253" t="e">
        <f aca="false">xSPRDOPT(HLOOKUP($D$3,GDPRICES,VLOOKUP(Q97,GDmove_down,2,FALSE()),FALSE()),HLOOKUP($E$3,GDPRICES,VLOOKUP(Q97,GDmove_down,2,FALSE()),FALSE()),J97,VLOOKUP(H97,NGPREVPRICES,4,FALSE()),HLOOKUP($H$3,GDPrevVols,VLOOKUP(Q97,GDmove_down2,2,FALSE()),FALSE()),HLOOKUP($H$3,GDPrevVols,VLOOKUP(Q97,GDmove_down2,2,FALSE()),FALSE()),HLOOKUP(E97,GDcorr,VLOOKUP(H97,CorMove,2,FALSE()),FALSE()),Q97-$AC$3,R97,$AC$5)*I97-AI97</f>
        <v>#N/A</v>
      </c>
      <c r="AD97" s="253" t="e">
        <f aca="false">xSPRDOPT(HLOOKUP($D$3,GDPrev,VLOOKUP(Q97,GDmove_down,2,FALSE()),FALSE()),HLOOKUP($E$3,GDPrev,VLOOKUP(Q97,GDmove_down,2,FALSE()),FALSE()),AJ97,VLOOKUP(H97,NGPrices,4,FALSE()),HLOOKUP($H$3,GDPrevVols,VLOOKUP(Q97,GDmove_down2,2,FALSE()),FALSE()),HLOOKUP($H$3,GDPrevVols,VLOOKUP(Q97,GDmove_down2,2,FALSE()),FALSE()),HLOOKUP(E97,GDcorr,VLOOKUP(H97,CorMove,2,FALSE()),FALSE()),Q97-$AC$3,R97,$AI$5)*I97-AI97</f>
        <v>#N/A</v>
      </c>
      <c r="AE97" s="132" t="e">
        <f aca="false">(AI97/VLOOKUP(AB97,discount,3,FALSE()))-(AI97/VLOOKUP(AB97,discount,2,FALSE()))</f>
        <v>#N/A</v>
      </c>
      <c r="AF97" s="253" t="e">
        <f aca="false">xSPRDOPT(HLOOKUP($D$3,GDPrev,VLOOKUP(Q97,GDmove_down,2,FALSE()),FALSE()),HLOOKUP($E$3,GDPrev,VLOOKUP(Q97,GDmove_down,2,FALSE()),FALSE()),AJ97,VLOOKUP(H97,NGPREVPRICES,4,FALSE()),HLOOKUP($H$3,GDVol,VLOOKUP(H97,move_down,2,FALSE()),FALSE()),HLOOKUP($H$3,GDVol,VLOOKUP(H97,move_down,2,FALSE()),FALSE()),HLOOKUP(E97,GDcorr,VLOOKUP(H97,CorMove,2,FALSE()),FALSE()),Q97-$AC$3,R97,$AI$5)*I97-AI97</f>
        <v>#N/A</v>
      </c>
      <c r="AG97" s="253" t="e">
        <f aca="false">xSPRDOPT(HLOOKUP($D$3,GDPrev,VLOOKUP(Q97,GDmove_down,2,FALSE()),FALSE()),HLOOKUP($E$3,GDPrev,VLOOKUP(Q97,GDmove_down,2,FALSE()),FALSE()),AJ97,VLOOKUP(H97,NGPREVPRICES,4,FALSE()),HLOOKUP($H$3,GDPrevVols,VLOOKUP(Q97,GDmove_down2,2,FALSE()),FALSE()),HLOOKUP($H$3,GDPrevVols,VLOOKUP(Q97,GDmove_down2,2,FALSE()),FALSE()),HLOOKUP(E97,GDcorr,VLOOKUP(H97,CorMove,2,FALSE()),FALSE()),Q97-$C$3,R97,$AI$5)*I97-AI97</f>
        <v>#N/A</v>
      </c>
      <c r="AH97" s="253" t="e">
        <f aca="false">SUM(AC97:AG97)</f>
        <v>#N/A</v>
      </c>
      <c r="AI97" s="253" t="e">
        <f aca="false">xSPRDOPT(HLOOKUP($D$3,GDPrev,VLOOKUP(Q97,GDmove_down,2,FALSE()),FALSE()),HLOOKUP($E$3,GDPrev,VLOOKUP(Q97,GDmove_down,2,FALSE()),FALSE()),AJ97,VLOOKUP(H97,NGPREVPRICES,4,FALSE()),HLOOKUP($H$3,GDPrevVols,VLOOKUP(Q97,GDmove_down2,2,FALSE()),FALSE()),HLOOKUP($H$3,GDPrevVols,VLOOKUP(Q97,GDmove_down2,2,FALSE()),FALSE()),HLOOKUP(E97,GDcorr,VLOOKUP(H97,CorMove,2,FALSE()),FALSE()),Q97-$AC$3,R97,$AI$5)*I97</f>
        <v>#N/A</v>
      </c>
      <c r="AJ97" s="254" t="e">
        <f aca="false">HLOOKUP(D97,PREVCURVES,VLOOKUP(H97,MOVE_DOWN2,2,FALSE()),FALSE())-HLOOKUP(E97,PREVCURVES,VLOOKUP(H97,MOVE_DOWN2,2,FALSE()),FALSE())</f>
        <v>#N/A</v>
      </c>
      <c r="AK97" s="253"/>
      <c r="AL97" s="0" t="str">
        <f aca="false">CONCATENATE(AB97,$AC$6)</f>
        <v>36678Curve Shift/Gamma</v>
      </c>
      <c r="AM97" s="0" t="str">
        <f aca="false">CONCATENATE($AB97,$AD$6)</f>
        <v>36678Rho</v>
      </c>
      <c r="AN97" s="0" t="str">
        <f aca="false">CONCATENATE($AB97,$AE$6)</f>
        <v>36678Drift</v>
      </c>
      <c r="AO97" s="0" t="str">
        <f aca="false">CONCATENATE($AB97,$AF$6)</f>
        <v>36678Vega</v>
      </c>
      <c r="AP97" s="0" t="str">
        <f aca="false">CONCATENATE($AB97,$AG$6)</f>
        <v>36678Theta</v>
      </c>
      <c r="AZ97" s="143" t="n">
        <f aca="false">EOMONTH(AZ96,0)+1</f>
        <v>38899</v>
      </c>
      <c r="BA97" s="135"/>
      <c r="BG97" s="285" t="n">
        <v>39234</v>
      </c>
      <c r="BH97" s="0" t="n">
        <v>0.985</v>
      </c>
      <c r="BJ97" s="285" t="n">
        <v>39234</v>
      </c>
      <c r="BK97" s="0" t="n">
        <v>94</v>
      </c>
    </row>
    <row r="98" customFormat="false" ht="12" hidden="false" customHeight="true" outlineLevel="0" collapsed="false">
      <c r="A98" s="265" t="s">
        <v>198</v>
      </c>
      <c r="B98" s="269" t="s">
        <v>192</v>
      </c>
      <c r="C98" s="269" t="s">
        <v>488</v>
      </c>
      <c r="D98" s="269" t="s">
        <v>137</v>
      </c>
      <c r="E98" s="7" t="s">
        <v>483</v>
      </c>
      <c r="F98" s="269" t="s">
        <v>131</v>
      </c>
      <c r="G98" s="269" t="s">
        <v>136</v>
      </c>
      <c r="H98" s="286" t="n">
        <v>36678</v>
      </c>
      <c r="I98" s="272" t="n">
        <v>-50000</v>
      </c>
      <c r="J98" s="125" t="n">
        <v>0.46</v>
      </c>
      <c r="K98" s="124" t="n">
        <f aca="false">HLOOKUP($D$3,GDPRICES,VLOOKUP(Q98,GDmove_down,2,FALSE()),FALSE())</f>
        <v>4.74</v>
      </c>
      <c r="L98" s="124" t="n">
        <f aca="false">HLOOKUP($E$3,GDPRICES,VLOOKUP(Q98,GDmove_down,2,FALSE()),FALSE())</f>
        <v>3.365</v>
      </c>
      <c r="M98" s="126" t="n">
        <v>1</v>
      </c>
      <c r="N98" s="7" t="n">
        <v>0.515</v>
      </c>
      <c r="O98" s="7" t="n">
        <v>0.515</v>
      </c>
      <c r="P98" s="249" t="e">
        <f aca="false">HLOOKUP(E98,GDcorr,VLOOKUP(H98,GDCorMove,2,FALSE()),FALSE())</f>
        <v>#N/A</v>
      </c>
      <c r="Q98" s="92" t="n">
        <v>36691</v>
      </c>
      <c r="R98" s="7" t="n">
        <f aca="false">IF(G98="P",0,1)</f>
        <v>1</v>
      </c>
      <c r="S98" s="130" t="e">
        <f aca="false">xSPRDOPT($K98,$L98,$J98,$M98,$N98,$O98,$P98,$Q98-$C$3,$R98,0)</f>
        <v>#NAME?</v>
      </c>
      <c r="T98" s="250" t="e">
        <f aca="false">xSPRDOPT($K98,$L98,$J98,$M98,$N98,$O98,$P98,$Q98-$C$3,$R98,1)*I98</f>
        <v>#NAME?</v>
      </c>
      <c r="U98" s="43" t="n">
        <v>-15250</v>
      </c>
      <c r="V98" s="250" t="e">
        <f aca="false">xSPRDOPT($K98,$L98,$J98,$M98,$N98,$O98,$P98,$Q98-$C$3,$R98,2)*I98</f>
        <v>#NAME?</v>
      </c>
      <c r="W98" s="250" t="e">
        <f aca="false">+V98+T98</f>
        <v>#NAME?</v>
      </c>
      <c r="X98" s="2" t="str">
        <f aca="false">CONCATENATE(H98,E98)</f>
        <v>36678IF-ELPO/SJ</v>
      </c>
      <c r="Y98" s="251" t="n">
        <f aca="false">I98/10000</f>
        <v>-5</v>
      </c>
      <c r="AA98" s="2"/>
      <c r="AB98" s="182" t="n">
        <f aca="false">H98</f>
        <v>36678</v>
      </c>
      <c r="AC98" s="253" t="e">
        <f aca="false">xSPRDOPT(HLOOKUP($D$3,GDPRICES,VLOOKUP(Q98,GDmove_down,2,FALSE()),FALSE()),HLOOKUP($E$3,GDPRICES,VLOOKUP(Q98,GDmove_down,2,FALSE()),FALSE()),J98,VLOOKUP(H98,NGPREVPRICES,4,FALSE()),HLOOKUP($H$3,GDPrevVols,VLOOKUP(Q98,GDmove_down2,2,FALSE()),FALSE()),HLOOKUP($H$3,GDPrevVols,VLOOKUP(Q98,GDmove_down2,2,FALSE()),FALSE()),HLOOKUP(E98,GDcorr,VLOOKUP(H98,CorMove,2,FALSE()),FALSE()),Q98-$AC$3,R98,$AC$5)*I98-AI98</f>
        <v>#N/A</v>
      </c>
      <c r="AD98" s="253" t="e">
        <f aca="false">xSPRDOPT(HLOOKUP($D$3,GDPrev,VLOOKUP(Q98,GDmove_down,2,FALSE()),FALSE()),HLOOKUP($E$3,GDPrev,VLOOKUP(Q98,GDmove_down,2,FALSE()),FALSE()),AJ98,VLOOKUP(H98,NGPrices,4,FALSE()),HLOOKUP($H$3,GDPrevVols,VLOOKUP(Q98,GDmove_down2,2,FALSE()),FALSE()),HLOOKUP($H$3,GDPrevVols,VLOOKUP(Q98,GDmove_down2,2,FALSE()),FALSE()),HLOOKUP(E98,GDcorr,VLOOKUP(H98,CorMove,2,FALSE()),FALSE()),Q98-$AC$3,R98,$AI$5)*I98-AI98</f>
        <v>#N/A</v>
      </c>
      <c r="AE98" s="132" t="e">
        <f aca="false">(AI98/VLOOKUP(AB98,discount,3,FALSE()))-(AI98/VLOOKUP(AB98,discount,2,FALSE()))</f>
        <v>#N/A</v>
      </c>
      <c r="AF98" s="253" t="e">
        <f aca="false">xSPRDOPT(HLOOKUP($D$3,GDPrev,VLOOKUP(Q98,GDmove_down,2,FALSE()),FALSE()),HLOOKUP($E$3,GDPrev,VLOOKUP(Q98,GDmove_down,2,FALSE()),FALSE()),AJ98,VLOOKUP(H98,NGPREVPRICES,4,FALSE()),HLOOKUP($H$3,GDVol,VLOOKUP(H98,move_down,2,FALSE()),FALSE()),HLOOKUP($H$3,GDVol,VLOOKUP(H98,move_down,2,FALSE()),FALSE()),HLOOKUP(E98,GDcorr,VLOOKUP(H98,CorMove,2,FALSE()),FALSE()),Q98-$AC$3,R98,$AI$5)*I98-AI98</f>
        <v>#N/A</v>
      </c>
      <c r="AG98" s="253" t="e">
        <f aca="false">xSPRDOPT(HLOOKUP($D$3,GDPrev,VLOOKUP(Q98,GDmove_down,2,FALSE()),FALSE()),HLOOKUP($E$3,GDPrev,VLOOKUP(Q98,GDmove_down,2,FALSE()),FALSE()),AJ98,VLOOKUP(H98,NGPREVPRICES,4,FALSE()),HLOOKUP($H$3,GDPrevVols,VLOOKUP(Q98,GDmove_down2,2,FALSE()),FALSE()),HLOOKUP($H$3,GDPrevVols,VLOOKUP(Q98,GDmove_down2,2,FALSE()),FALSE()),HLOOKUP(E98,GDcorr,VLOOKUP(H98,CorMove,2,FALSE()),FALSE()),Q98-$C$3,R98,$AI$5)*I98-AI98</f>
        <v>#N/A</v>
      </c>
      <c r="AH98" s="253" t="e">
        <f aca="false">SUM(AC98:AG98)</f>
        <v>#N/A</v>
      </c>
      <c r="AI98" s="253" t="e">
        <f aca="false">xSPRDOPT(HLOOKUP($D$3,GDPrev,VLOOKUP(Q98,GDmove_down,2,FALSE()),FALSE()),HLOOKUP($E$3,GDPrev,VLOOKUP(Q98,GDmove_down,2,FALSE()),FALSE()),AJ98,VLOOKUP(H98,NGPREVPRICES,4,FALSE()),HLOOKUP($H$3,GDPrevVols,VLOOKUP(Q98,GDmove_down2,2,FALSE()),FALSE()),HLOOKUP($H$3,GDPrevVols,VLOOKUP(Q98,GDmove_down2,2,FALSE()),FALSE()),HLOOKUP(E98,GDcorr,VLOOKUP(H98,CorMove,2,FALSE()),FALSE()),Q98-$AC$3,R98,$AI$5)*I98</f>
        <v>#N/A</v>
      </c>
      <c r="AJ98" s="254" t="e">
        <f aca="false">HLOOKUP(D98,PREVCURVES,VLOOKUP(H98,MOVE_DOWN2,2,FALSE()),FALSE())-HLOOKUP(E98,PREVCURVES,VLOOKUP(H98,MOVE_DOWN2,2,FALSE()),FALSE())</f>
        <v>#N/A</v>
      </c>
      <c r="AK98" s="253"/>
      <c r="AL98" s="0" t="str">
        <f aca="false">CONCATENATE(AB98,$AC$6)</f>
        <v>36678Curve Shift/Gamma</v>
      </c>
      <c r="AM98" s="0" t="str">
        <f aca="false">CONCATENATE($AB98,$AD$6)</f>
        <v>36678Rho</v>
      </c>
      <c r="AN98" s="0" t="str">
        <f aca="false">CONCATENATE($AB98,$AE$6)</f>
        <v>36678Drift</v>
      </c>
      <c r="AO98" s="0" t="str">
        <f aca="false">CONCATENATE($AB98,$AF$6)</f>
        <v>36678Vega</v>
      </c>
      <c r="AP98" s="0" t="str">
        <f aca="false">CONCATENATE($AB98,$AG$6)</f>
        <v>36678Theta</v>
      </c>
      <c r="AZ98" s="143" t="n">
        <f aca="false">EOMONTH(AZ97,0)+1</f>
        <v>38930</v>
      </c>
      <c r="BA98" s="135"/>
      <c r="BG98" s="285" t="n">
        <v>39264</v>
      </c>
      <c r="BH98" s="0" t="n">
        <v>0.985</v>
      </c>
      <c r="BJ98" s="285" t="n">
        <v>39264</v>
      </c>
      <c r="BK98" s="0" t="n">
        <v>95</v>
      </c>
    </row>
    <row r="99" customFormat="false" ht="12" hidden="false" customHeight="true" outlineLevel="0" collapsed="false">
      <c r="A99" s="265" t="s">
        <v>198</v>
      </c>
      <c r="B99" s="269" t="s">
        <v>192</v>
      </c>
      <c r="C99" s="269" t="s">
        <v>489</v>
      </c>
      <c r="D99" s="269" t="s">
        <v>137</v>
      </c>
      <c r="E99" s="7" t="s">
        <v>483</v>
      </c>
      <c r="F99" s="269" t="s">
        <v>131</v>
      </c>
      <c r="G99" s="269" t="s">
        <v>136</v>
      </c>
      <c r="H99" s="286" t="n">
        <v>36678</v>
      </c>
      <c r="I99" s="272" t="n">
        <v>10000</v>
      </c>
      <c r="J99" s="125" t="n">
        <v>0.46</v>
      </c>
      <c r="K99" s="124" t="n">
        <f aca="false">HLOOKUP($D$3,GDPRICES,VLOOKUP(Q99,GDmove_down,2,FALSE()),FALSE())</f>
        <v>4.74</v>
      </c>
      <c r="L99" s="124" t="n">
        <f aca="false">HLOOKUP($E$3,GDPRICES,VLOOKUP(Q99,GDmove_down,2,FALSE()),FALSE())</f>
        <v>3.365</v>
      </c>
      <c r="M99" s="126" t="n">
        <v>1</v>
      </c>
      <c r="N99" s="7" t="n">
        <v>0.515</v>
      </c>
      <c r="O99" s="7" t="n">
        <v>0.515</v>
      </c>
      <c r="P99" s="249" t="e">
        <f aca="false">HLOOKUP(E99,GDcorr,VLOOKUP(H99,GDCorMove,2,FALSE()),FALSE())</f>
        <v>#N/A</v>
      </c>
      <c r="Q99" s="92" t="n">
        <v>36691</v>
      </c>
      <c r="R99" s="7" t="n">
        <f aca="false">IF(G99="P",0,1)</f>
        <v>1</v>
      </c>
      <c r="S99" s="130" t="e">
        <f aca="false">xSPRDOPT($K99,$L99,$J99,$M99,$N99,$O99,$P99,$Q99-$C$3,$R99,0)</f>
        <v>#NAME?</v>
      </c>
      <c r="T99" s="250" t="e">
        <f aca="false">xSPRDOPT($K99,$L99,$J99,$M99,$N99,$O99,$P99,$Q99-$C$3,$R99,1)*I99</f>
        <v>#NAME?</v>
      </c>
      <c r="U99" s="43" t="n">
        <v>3050</v>
      </c>
      <c r="V99" s="250" t="e">
        <f aca="false">xSPRDOPT($K99,$L99,$J99,$M99,$N99,$O99,$P99,$Q99-$C$3,$R99,2)*I99</f>
        <v>#NAME?</v>
      </c>
      <c r="W99" s="250" t="e">
        <f aca="false">+V99+T99</f>
        <v>#NAME?</v>
      </c>
      <c r="X99" s="2" t="str">
        <f aca="false">CONCATENATE(H99,E99)</f>
        <v>36678IF-ELPO/SJ</v>
      </c>
      <c r="Y99" s="251" t="n">
        <f aca="false">I99/10000</f>
        <v>1</v>
      </c>
      <c r="AA99" s="2"/>
      <c r="AB99" s="182" t="n">
        <f aca="false">H99</f>
        <v>36678</v>
      </c>
      <c r="AC99" s="253" t="e">
        <f aca="false">xSPRDOPT(HLOOKUP($D$3,GDPRICES,VLOOKUP(Q99,GDmove_down,2,FALSE()),FALSE()),HLOOKUP($E$3,GDPRICES,VLOOKUP(Q99,GDmove_down,2,FALSE()),FALSE()),J99,VLOOKUP(H99,NGPREVPRICES,4,FALSE()),HLOOKUP($H$3,GDPrevVols,VLOOKUP(Q99,GDmove_down2,2,FALSE()),FALSE()),HLOOKUP($H$3,GDPrevVols,VLOOKUP(Q99,GDmove_down2,2,FALSE()),FALSE()),HLOOKUP(E99,GDcorr,VLOOKUP(H99,CorMove,2,FALSE()),FALSE()),Q99-$AC$3,R99,$AC$5)*I99-AI99</f>
        <v>#N/A</v>
      </c>
      <c r="AD99" s="253" t="e">
        <f aca="false">xSPRDOPT(HLOOKUP($D$3,GDPrev,VLOOKUP(Q99,GDmove_down,2,FALSE()),FALSE()),HLOOKUP($E$3,GDPrev,VLOOKUP(Q99,GDmove_down,2,FALSE()),FALSE()),AJ99,VLOOKUP(H99,NGPrices,4,FALSE()),HLOOKUP($H$3,GDPrevVols,VLOOKUP(Q99,GDmove_down2,2,FALSE()),FALSE()),HLOOKUP($H$3,GDPrevVols,VLOOKUP(Q99,GDmove_down2,2,FALSE()),FALSE()),HLOOKUP(E99,GDcorr,VLOOKUP(H99,CorMove,2,FALSE()),FALSE()),Q99-$AC$3,R99,$AI$5)*I99-AI99</f>
        <v>#N/A</v>
      </c>
      <c r="AE99" s="132" t="e">
        <f aca="false">(AI99/VLOOKUP(AB99,discount,3,FALSE()))-(AI99/VLOOKUP(AB99,discount,2,FALSE()))</f>
        <v>#N/A</v>
      </c>
      <c r="AF99" s="253" t="e">
        <f aca="false">xSPRDOPT(HLOOKUP($D$3,GDPrev,VLOOKUP(Q99,GDmove_down,2,FALSE()),FALSE()),HLOOKUP($E$3,GDPrev,VLOOKUP(Q99,GDmove_down,2,FALSE()),FALSE()),AJ99,VLOOKUP(H99,NGPREVPRICES,4,FALSE()),HLOOKUP($H$3,GDVol,VLOOKUP(H99,move_down,2,FALSE()),FALSE()),HLOOKUP($H$3,GDVol,VLOOKUP(H99,move_down,2,FALSE()),FALSE()),HLOOKUP(E99,GDcorr,VLOOKUP(H99,CorMove,2,FALSE()),FALSE()),Q99-$AC$3,R99,$AI$5)*I99-AI99</f>
        <v>#N/A</v>
      </c>
      <c r="AG99" s="253" t="e">
        <f aca="false">xSPRDOPT(HLOOKUP($D$3,GDPrev,VLOOKUP(Q99,GDmove_down,2,FALSE()),FALSE()),HLOOKUP($E$3,GDPrev,VLOOKUP(Q99,GDmove_down,2,FALSE()),FALSE()),AJ99,VLOOKUP(H99,NGPREVPRICES,4,FALSE()),HLOOKUP($H$3,GDPrevVols,VLOOKUP(Q99,GDmove_down2,2,FALSE()),FALSE()),HLOOKUP($H$3,GDPrevVols,VLOOKUP(Q99,GDmove_down2,2,FALSE()),FALSE()),HLOOKUP(E99,GDcorr,VLOOKUP(H99,CorMove,2,FALSE()),FALSE()),Q99-$C$3,R99,$AI$5)*I99-AI99</f>
        <v>#N/A</v>
      </c>
      <c r="AH99" s="253" t="e">
        <f aca="false">SUM(AC99:AG99)</f>
        <v>#N/A</v>
      </c>
      <c r="AI99" s="253" t="e">
        <f aca="false">xSPRDOPT(HLOOKUP($D$3,GDPrev,VLOOKUP(Q99,GDmove_down,2,FALSE()),FALSE()),HLOOKUP($E$3,GDPrev,VLOOKUP(Q99,GDmove_down,2,FALSE()),FALSE()),AJ99,VLOOKUP(H99,NGPREVPRICES,4,FALSE()),HLOOKUP($H$3,GDPrevVols,VLOOKUP(Q99,GDmove_down2,2,FALSE()),FALSE()),HLOOKUP($H$3,GDPrevVols,VLOOKUP(Q99,GDmove_down2,2,FALSE()),FALSE()),HLOOKUP(E99,GDcorr,VLOOKUP(H99,CorMove,2,FALSE()),FALSE()),Q99-$AC$3,R99,$AI$5)*I99</f>
        <v>#N/A</v>
      </c>
      <c r="AJ99" s="254" t="e">
        <f aca="false">HLOOKUP(D99,PREVCURVES,VLOOKUP(H99,MOVE_DOWN2,2,FALSE()),FALSE())-HLOOKUP(E99,PREVCURVES,VLOOKUP(H99,MOVE_DOWN2,2,FALSE()),FALSE())</f>
        <v>#N/A</v>
      </c>
      <c r="AK99" s="253"/>
      <c r="AL99" s="0" t="str">
        <f aca="false">CONCATENATE(AB99,$AC$6)</f>
        <v>36678Curve Shift/Gamma</v>
      </c>
      <c r="AM99" s="0" t="str">
        <f aca="false">CONCATENATE($AB99,$AD$6)</f>
        <v>36678Rho</v>
      </c>
      <c r="AN99" s="0" t="str">
        <f aca="false">CONCATENATE($AB99,$AE$6)</f>
        <v>36678Drift</v>
      </c>
      <c r="AO99" s="0" t="str">
        <f aca="false">CONCATENATE($AB99,$AF$6)</f>
        <v>36678Vega</v>
      </c>
      <c r="AP99" s="0" t="str">
        <f aca="false">CONCATENATE($AB99,$AG$6)</f>
        <v>36678Theta</v>
      </c>
      <c r="AZ99" s="143" t="n">
        <f aca="false">EOMONTH(AZ98,0)+1</f>
        <v>38961</v>
      </c>
      <c r="BA99" s="135"/>
      <c r="BG99" s="285" t="n">
        <v>39295</v>
      </c>
      <c r="BH99" s="0" t="n">
        <v>0.985</v>
      </c>
      <c r="BJ99" s="285" t="n">
        <v>39295</v>
      </c>
      <c r="BK99" s="0" t="n">
        <v>96</v>
      </c>
    </row>
    <row r="100" customFormat="false" ht="12" hidden="false" customHeight="true" outlineLevel="0" collapsed="false">
      <c r="A100" s="265" t="s">
        <v>198</v>
      </c>
      <c r="B100" s="269" t="s">
        <v>192</v>
      </c>
      <c r="C100" s="269" t="s">
        <v>490</v>
      </c>
      <c r="D100" s="269" t="s">
        <v>137</v>
      </c>
      <c r="E100" s="7" t="s">
        <v>483</v>
      </c>
      <c r="F100" s="269" t="s">
        <v>131</v>
      </c>
      <c r="G100" s="269" t="s">
        <v>136</v>
      </c>
      <c r="H100" s="286" t="n">
        <v>36678</v>
      </c>
      <c r="I100" s="272" t="n">
        <v>-333333</v>
      </c>
      <c r="J100" s="125" t="n">
        <v>0.46</v>
      </c>
      <c r="K100" s="124" t="n">
        <f aca="false">HLOOKUP($D$3,GDPRICES,VLOOKUP(Q100,GDmove_down,2,FALSE()),FALSE())</f>
        <v>4.74</v>
      </c>
      <c r="L100" s="124" t="n">
        <f aca="false">HLOOKUP($E$3,GDPRICES,VLOOKUP(Q100,GDmove_down,2,FALSE()),FALSE())</f>
        <v>3.365</v>
      </c>
      <c r="M100" s="126" t="n">
        <v>1</v>
      </c>
      <c r="N100" s="7" t="n">
        <v>0.515</v>
      </c>
      <c r="O100" s="7" t="n">
        <v>0.515</v>
      </c>
      <c r="P100" s="249" t="e">
        <f aca="false">HLOOKUP(E100,GDcorr,VLOOKUP(H100,GDCorMove,2,FALSE()),FALSE())</f>
        <v>#N/A</v>
      </c>
      <c r="Q100" s="92" t="n">
        <v>36691</v>
      </c>
      <c r="R100" s="7" t="n">
        <f aca="false">IF(G100="P",0,1)</f>
        <v>1</v>
      </c>
      <c r="S100" s="130" t="e">
        <f aca="false">xSPRDOPT($K100,$L100,$J100,$M100,$N100,$O100,$P100,$Q100-$C$3,$R100,0)</f>
        <v>#NAME?</v>
      </c>
      <c r="T100" s="250" t="e">
        <f aca="false">xSPRDOPT($K100,$L100,$J100,$M100,$N100,$O100,$P100,$Q100-$C$3,$R100,1)*I100</f>
        <v>#NAME?</v>
      </c>
      <c r="U100" s="43" t="n">
        <v>-101666.565</v>
      </c>
      <c r="V100" s="250" t="e">
        <f aca="false">xSPRDOPT($K100,$L100,$J100,$M100,$N100,$O100,$P100,$Q100-$C$3,$R100,2)*I100</f>
        <v>#NAME?</v>
      </c>
      <c r="W100" s="250" t="e">
        <f aca="false">+V100+T100</f>
        <v>#NAME?</v>
      </c>
      <c r="X100" s="2" t="str">
        <f aca="false">CONCATENATE(H100,E100)</f>
        <v>36678IF-ELPO/SJ</v>
      </c>
      <c r="Y100" s="251" t="n">
        <f aca="false">I100/10000</f>
        <v>-33.3333</v>
      </c>
      <c r="Z100" s="2"/>
      <c r="AA100" s="2"/>
      <c r="AB100" s="182" t="n">
        <f aca="false">H100</f>
        <v>36678</v>
      </c>
      <c r="AC100" s="253" t="e">
        <f aca="false">xSPRDOPT(HLOOKUP($D$3,GDPRICES,VLOOKUP(Q100,GDmove_down,2,FALSE()),FALSE()),HLOOKUP($E$3,GDPRICES,VLOOKUP(Q100,GDmove_down,2,FALSE()),FALSE()),J100,VLOOKUP(H100,NGPREVPRICES,4,FALSE()),HLOOKUP($H$3,GDPrevVols,VLOOKUP(Q100,GDmove_down2,2,FALSE()),FALSE()),HLOOKUP($H$3,GDPrevVols,VLOOKUP(Q100,GDmove_down2,2,FALSE()),FALSE()),HLOOKUP(E100,GDcorr,VLOOKUP(H100,CorMove,2,FALSE()),FALSE()),Q100-$AC$3,R100,$AC$5)*I100-AI100</f>
        <v>#N/A</v>
      </c>
      <c r="AD100" s="253" t="e">
        <f aca="false">xSPRDOPT(HLOOKUP($D$3,GDPrev,VLOOKUP(Q100,GDmove_down,2,FALSE()),FALSE()),HLOOKUP($E$3,GDPrev,VLOOKUP(Q100,GDmove_down,2,FALSE()),FALSE()),AJ100,VLOOKUP(H100,NGPrices,4,FALSE()),HLOOKUP($H$3,GDPrevVols,VLOOKUP(Q100,GDmove_down2,2,FALSE()),FALSE()),HLOOKUP($H$3,GDPrevVols,VLOOKUP(Q100,GDmove_down2,2,FALSE()),FALSE()),HLOOKUP(E100,GDcorr,VLOOKUP(H100,CorMove,2,FALSE()),FALSE()),Q100-$AC$3,R100,$AI$5)*I100-AI100</f>
        <v>#N/A</v>
      </c>
      <c r="AE100" s="132" t="e">
        <f aca="false">(AI100/VLOOKUP(AB100,discount,3,FALSE()))-(AI100/VLOOKUP(AB100,discount,2,FALSE()))</f>
        <v>#N/A</v>
      </c>
      <c r="AF100" s="253" t="e">
        <f aca="false">xSPRDOPT(HLOOKUP($D$3,GDPrev,VLOOKUP(Q100,GDmove_down,2,FALSE()),FALSE()),HLOOKUP($E$3,GDPrev,VLOOKUP(Q100,GDmove_down,2,FALSE()),FALSE()),AJ100,VLOOKUP(H100,NGPREVPRICES,4,FALSE()),HLOOKUP($H$3,GDVol,VLOOKUP(H100,move_down,2,FALSE()),FALSE()),HLOOKUP($H$3,GDVol,VLOOKUP(H100,move_down,2,FALSE()),FALSE()),HLOOKUP(E100,GDcorr,VLOOKUP(H100,CorMove,2,FALSE()),FALSE()),Q100-$AC$3,R100,$AI$5)*I100-AI100</f>
        <v>#N/A</v>
      </c>
      <c r="AG100" s="253" t="e">
        <f aca="false">xSPRDOPT(HLOOKUP($D$3,GDPrev,VLOOKUP(Q100,GDmove_down,2,FALSE()),FALSE()),HLOOKUP($E$3,GDPrev,VLOOKUP(Q100,GDmove_down,2,FALSE()),FALSE()),AJ100,VLOOKUP(H100,NGPREVPRICES,4,FALSE()),HLOOKUP($H$3,GDPrevVols,VLOOKUP(Q100,GDmove_down2,2,FALSE()),FALSE()),HLOOKUP($H$3,GDPrevVols,VLOOKUP(Q100,GDmove_down2,2,FALSE()),FALSE()),HLOOKUP(E100,GDcorr,VLOOKUP(H100,CorMove,2,FALSE()),FALSE()),Q100-$C$3,R100,$AI$5)*I100-AI100</f>
        <v>#N/A</v>
      </c>
      <c r="AH100" s="253" t="e">
        <f aca="false">SUM(AC100:AG100)</f>
        <v>#N/A</v>
      </c>
      <c r="AI100" s="253" t="e">
        <f aca="false">xSPRDOPT(HLOOKUP($D$3,GDPrev,VLOOKUP(Q100,GDmove_down,2,FALSE()),FALSE()),HLOOKUP($E$3,GDPrev,VLOOKUP(Q100,GDmove_down,2,FALSE()),FALSE()),AJ100,VLOOKUP(H100,NGPREVPRICES,4,FALSE()),HLOOKUP($H$3,GDPrevVols,VLOOKUP(Q100,GDmove_down2,2,FALSE()),FALSE()),HLOOKUP($H$3,GDPrevVols,VLOOKUP(Q100,GDmove_down2,2,FALSE()),FALSE()),HLOOKUP(E100,GDcorr,VLOOKUP(H100,CorMove,2,FALSE()),FALSE()),Q100-$AC$3,R100,$AI$5)*I100</f>
        <v>#N/A</v>
      </c>
      <c r="AJ100" s="254" t="e">
        <f aca="false">HLOOKUP(D100,PREVCURVES,VLOOKUP(H100,MOVE_DOWN2,2,FALSE()),FALSE())-HLOOKUP(E100,PREVCURVES,VLOOKUP(H100,MOVE_DOWN2,2,FALSE()),FALSE())</f>
        <v>#N/A</v>
      </c>
      <c r="AK100" s="253"/>
      <c r="AL100" s="0" t="str">
        <f aca="false">CONCATENATE(AB100,$AC$6)</f>
        <v>36678Curve Shift/Gamma</v>
      </c>
      <c r="AM100" s="0" t="str">
        <f aca="false">CONCATENATE($AB100,$AD$6)</f>
        <v>36678Rho</v>
      </c>
      <c r="AN100" s="0" t="str">
        <f aca="false">CONCATENATE($AB100,$AE$6)</f>
        <v>36678Drift</v>
      </c>
      <c r="AO100" s="0" t="str">
        <f aca="false">CONCATENATE($AB100,$AF$6)</f>
        <v>36678Vega</v>
      </c>
      <c r="AP100" s="0" t="str">
        <f aca="false">CONCATENATE($AB100,$AG$6)</f>
        <v>36678Theta</v>
      </c>
      <c r="AZ100" s="143" t="n">
        <f aca="false">EOMONTH(AZ99,0)+1</f>
        <v>38991</v>
      </c>
      <c r="BA100" s="135"/>
      <c r="BG100" s="285" t="n">
        <v>39326</v>
      </c>
      <c r="BH100" s="0" t="n">
        <v>0.985</v>
      </c>
      <c r="BJ100" s="285" t="n">
        <v>39326</v>
      </c>
      <c r="BK100" s="0" t="n">
        <v>97</v>
      </c>
    </row>
    <row r="101" customFormat="false" ht="12" hidden="false" customHeight="true" outlineLevel="0" collapsed="false">
      <c r="A101" s="267" t="s">
        <v>196</v>
      </c>
      <c r="B101" s="269" t="s">
        <v>192</v>
      </c>
      <c r="C101" s="269" t="s">
        <v>491</v>
      </c>
      <c r="D101" s="269" t="s">
        <v>137</v>
      </c>
      <c r="E101" s="7" t="s">
        <v>483</v>
      </c>
      <c r="F101" s="269" t="s">
        <v>131</v>
      </c>
      <c r="G101" s="269" t="s">
        <v>136</v>
      </c>
      <c r="H101" s="286" t="n">
        <v>36678</v>
      </c>
      <c r="I101" s="272" t="n">
        <v>-10000</v>
      </c>
      <c r="J101" s="125" t="n">
        <v>0.46</v>
      </c>
      <c r="K101" s="124" t="n">
        <f aca="false">HLOOKUP($D$3,GDPRICES,VLOOKUP(Q101,GDmove_down,2,FALSE()),FALSE())</f>
        <v>4.74</v>
      </c>
      <c r="L101" s="124" t="n">
        <f aca="false">HLOOKUP($E$3,GDPRICES,VLOOKUP(Q101,GDmove_down,2,FALSE()),FALSE())</f>
        <v>3.365</v>
      </c>
      <c r="M101" s="126" t="n">
        <v>1</v>
      </c>
      <c r="N101" s="7" t="n">
        <v>0.515</v>
      </c>
      <c r="O101" s="7" t="n">
        <v>0.515</v>
      </c>
      <c r="P101" s="249" t="e">
        <f aca="false">HLOOKUP(E101,GDcorr,VLOOKUP(H101,GDCorMove,2,FALSE()),FALSE())</f>
        <v>#N/A</v>
      </c>
      <c r="Q101" s="92" t="n">
        <v>36691</v>
      </c>
      <c r="R101" s="7" t="n">
        <f aca="false">IF(G101="P",0,1)</f>
        <v>1</v>
      </c>
      <c r="S101" s="130" t="e">
        <f aca="false">xSPRDOPT($K101,$L101,$J101,$M101,$N101,$O101,$P101,$Q101-$C$3,$R101,0)</f>
        <v>#NAME?</v>
      </c>
      <c r="T101" s="250" t="e">
        <f aca="false">xSPRDOPT($K101,$L101,$J101,$M101,$N101,$O101,$P101,$Q101-$C$3,$R101,1)*I101</f>
        <v>#NAME?</v>
      </c>
      <c r="U101" s="43" t="n">
        <v>-3050</v>
      </c>
      <c r="V101" s="250" t="e">
        <f aca="false">xSPRDOPT($K101,$L101,$J101,$M101,$N101,$O101,$P101,$Q101-$C$3,$R101,2)*I101</f>
        <v>#NAME?</v>
      </c>
      <c r="W101" s="250" t="e">
        <f aca="false">+V101+T101</f>
        <v>#NAME?</v>
      </c>
      <c r="X101" s="2" t="str">
        <f aca="false">CONCATENATE(H101,E101)</f>
        <v>36678IF-ELPO/SJ</v>
      </c>
      <c r="Y101" s="251" t="n">
        <f aca="false">I101/10000</f>
        <v>-1</v>
      </c>
      <c r="Z101" s="2"/>
      <c r="AA101" s="2"/>
      <c r="AB101" s="182" t="n">
        <f aca="false">H101</f>
        <v>36678</v>
      </c>
      <c r="AC101" s="253" t="e">
        <f aca="false">xSPRDOPT(HLOOKUP($D$3,GDPRICES,VLOOKUP(Q101,GDmove_down,2,FALSE()),FALSE()),HLOOKUP($E$3,GDPRICES,VLOOKUP(Q101,GDmove_down,2,FALSE()),FALSE()),J101,VLOOKUP(H101,NGPREVPRICES,4,FALSE()),HLOOKUP($H$3,GDPrevVols,VLOOKUP(Q101,GDmove_down2,2,FALSE()),FALSE()),HLOOKUP($H$3,GDPrevVols,VLOOKUP(Q101,GDmove_down2,2,FALSE()),FALSE()),HLOOKUP(E101,GDcorr,VLOOKUP(H101,CorMove,2,FALSE()),FALSE()),Q101-$AC$3,R101,$AC$5)*I101-AI101</f>
        <v>#N/A</v>
      </c>
      <c r="AD101" s="253" t="e">
        <f aca="false">xSPRDOPT(HLOOKUP($D$3,GDPrev,VLOOKUP(Q101,GDmove_down,2,FALSE()),FALSE()),HLOOKUP($E$3,GDPrev,VLOOKUP(Q101,GDmove_down,2,FALSE()),FALSE()),AJ101,VLOOKUP(H101,NGPrices,4,FALSE()),HLOOKUP($H$3,GDPrevVols,VLOOKUP(Q101,GDmove_down2,2,FALSE()),FALSE()),HLOOKUP($H$3,GDPrevVols,VLOOKUP(Q101,GDmove_down2,2,FALSE()),FALSE()),HLOOKUP(E101,GDcorr,VLOOKUP(H101,CorMove,2,FALSE()),FALSE()),Q101-$AC$3,R101,$AI$5)*I101-AI101</f>
        <v>#N/A</v>
      </c>
      <c r="AE101" s="132" t="e">
        <f aca="false">(AI101/VLOOKUP(AB101,discount,3,FALSE()))-(AI101/VLOOKUP(AB101,discount,2,FALSE()))</f>
        <v>#N/A</v>
      </c>
      <c r="AF101" s="253" t="e">
        <f aca="false">xSPRDOPT(HLOOKUP($D$3,GDPrev,VLOOKUP(Q101,GDmove_down,2,FALSE()),FALSE()),HLOOKUP($E$3,GDPrev,VLOOKUP(Q101,GDmove_down,2,FALSE()),FALSE()),AJ101,VLOOKUP(H101,NGPREVPRICES,4,FALSE()),HLOOKUP($H$3,GDVol,VLOOKUP(H101,move_down,2,FALSE()),FALSE()),HLOOKUP($H$3,GDVol,VLOOKUP(H101,move_down,2,FALSE()),FALSE()),HLOOKUP(E101,GDcorr,VLOOKUP(H101,CorMove,2,FALSE()),FALSE()),Q101-$AC$3,R101,$AI$5)*I101-AI101</f>
        <v>#N/A</v>
      </c>
      <c r="AG101" s="253" t="e">
        <f aca="false">xSPRDOPT(HLOOKUP($D$3,GDPrev,VLOOKUP(Q101,GDmove_down,2,FALSE()),FALSE()),HLOOKUP($E$3,GDPrev,VLOOKUP(Q101,GDmove_down,2,FALSE()),FALSE()),AJ101,VLOOKUP(H101,NGPREVPRICES,4,FALSE()),HLOOKUP($H$3,GDPrevVols,VLOOKUP(Q101,GDmove_down2,2,FALSE()),FALSE()),HLOOKUP($H$3,GDPrevVols,VLOOKUP(Q101,GDmove_down2,2,FALSE()),FALSE()),HLOOKUP(E101,GDcorr,VLOOKUP(H101,CorMove,2,FALSE()),FALSE()),Q101-$C$3,R101,$AI$5)*I101-AI101</f>
        <v>#N/A</v>
      </c>
      <c r="AH101" s="253" t="e">
        <f aca="false">SUM(AC101:AG101)</f>
        <v>#N/A</v>
      </c>
      <c r="AI101" s="253" t="e">
        <f aca="false">xSPRDOPT(HLOOKUP($D$3,GDPrev,VLOOKUP(Q101,GDmove_down,2,FALSE()),FALSE()),HLOOKUP($E$3,GDPrev,VLOOKUP(Q101,GDmove_down,2,FALSE()),FALSE()),AJ101,VLOOKUP(H101,NGPREVPRICES,4,FALSE()),HLOOKUP($H$3,GDPrevVols,VLOOKUP(Q101,GDmove_down2,2,FALSE()),FALSE()),HLOOKUP($H$3,GDPrevVols,VLOOKUP(Q101,GDmove_down2,2,FALSE()),FALSE()),HLOOKUP(E101,GDcorr,VLOOKUP(H101,CorMove,2,FALSE()),FALSE()),Q101-$AC$3,R101,$AI$5)*I101</f>
        <v>#N/A</v>
      </c>
      <c r="AJ101" s="254" t="e">
        <f aca="false">HLOOKUP(D101,PREVCURVES,VLOOKUP(H101,MOVE_DOWN2,2,FALSE()),FALSE())-HLOOKUP(E101,PREVCURVES,VLOOKUP(H101,MOVE_DOWN2,2,FALSE()),FALSE())</f>
        <v>#N/A</v>
      </c>
      <c r="AK101" s="253"/>
      <c r="AL101" s="0" t="str">
        <f aca="false">CONCATENATE(AB101,$AC$6)</f>
        <v>36678Curve Shift/Gamma</v>
      </c>
      <c r="AM101" s="0" t="str">
        <f aca="false">CONCATENATE($AB101,$AD$6)</f>
        <v>36678Rho</v>
      </c>
      <c r="AN101" s="0" t="str">
        <f aca="false">CONCATENATE($AB101,$AE$6)</f>
        <v>36678Drift</v>
      </c>
      <c r="AO101" s="0" t="str">
        <f aca="false">CONCATENATE($AB101,$AF$6)</f>
        <v>36678Vega</v>
      </c>
      <c r="AP101" s="0" t="str">
        <f aca="false">CONCATENATE($AB101,$AG$6)</f>
        <v>36678Theta</v>
      </c>
      <c r="AZ101" s="143" t="n">
        <f aca="false">EOMONTH(AZ100,0)+1</f>
        <v>39022</v>
      </c>
      <c r="BA101" s="135"/>
      <c r="BG101" s="285" t="n">
        <v>39356</v>
      </c>
      <c r="BH101" s="0" t="n">
        <v>0.985</v>
      </c>
      <c r="BJ101" s="285" t="n">
        <v>39356</v>
      </c>
      <c r="BK101" s="0" t="n">
        <v>98</v>
      </c>
    </row>
    <row r="102" customFormat="false" ht="12" hidden="false" customHeight="true" outlineLevel="0" collapsed="false">
      <c r="A102" s="267" t="s">
        <v>198</v>
      </c>
      <c r="B102" s="269" t="s">
        <v>192</v>
      </c>
      <c r="C102" s="269" t="s">
        <v>492</v>
      </c>
      <c r="D102" s="269" t="s">
        <v>137</v>
      </c>
      <c r="E102" s="7" t="s">
        <v>483</v>
      </c>
      <c r="F102" s="269" t="s">
        <v>131</v>
      </c>
      <c r="G102" s="269" t="s">
        <v>136</v>
      </c>
      <c r="H102" s="286" t="n">
        <v>36678</v>
      </c>
      <c r="I102" s="272" t="n">
        <v>50000</v>
      </c>
      <c r="J102" s="125" t="n">
        <v>0.46</v>
      </c>
      <c r="K102" s="124" t="n">
        <f aca="false">HLOOKUP($D$3,GDPRICES,VLOOKUP(Q102,GDmove_down,2,FALSE()),FALSE())</f>
        <v>4.74</v>
      </c>
      <c r="L102" s="124" t="n">
        <f aca="false">HLOOKUP($E$3,GDPRICES,VLOOKUP(Q102,GDmove_down,2,FALSE()),FALSE())</f>
        <v>3.365</v>
      </c>
      <c r="M102" s="126" t="n">
        <v>1</v>
      </c>
      <c r="N102" s="7" t="n">
        <v>0.515</v>
      </c>
      <c r="O102" s="7" t="n">
        <v>0.515</v>
      </c>
      <c r="P102" s="249" t="e">
        <f aca="false">HLOOKUP(E102,GDcorr,VLOOKUP(H102,GDCorMove,2,FALSE()),FALSE())</f>
        <v>#N/A</v>
      </c>
      <c r="Q102" s="92" t="n">
        <v>36691</v>
      </c>
      <c r="R102" s="7" t="n">
        <f aca="false">IF(G102="P",0,1)</f>
        <v>1</v>
      </c>
      <c r="S102" s="130" t="e">
        <f aca="false">xSPRDOPT($K102,$L102,$J102,$M102,$N102,$O102,$P102,$Q102-$C$3,$R102,0)</f>
        <v>#NAME?</v>
      </c>
      <c r="T102" s="250" t="e">
        <f aca="false">xSPRDOPT($K102,$L102,$J102,$M102,$N102,$O102,$P102,$Q102-$C$3,$R102,1)*I102</f>
        <v>#NAME?</v>
      </c>
      <c r="U102" s="43" t="n">
        <v>15250</v>
      </c>
      <c r="V102" s="250" t="e">
        <f aca="false">xSPRDOPT($K102,$L102,$J102,$M102,$N102,$O102,$P102,$Q102-$C$3,$R102,2)*I102</f>
        <v>#NAME?</v>
      </c>
      <c r="W102" s="250" t="e">
        <f aca="false">+V102+T102</f>
        <v>#NAME?</v>
      </c>
      <c r="X102" s="2" t="str">
        <f aca="false">CONCATENATE(H102,E102)</f>
        <v>36678IF-ELPO/SJ</v>
      </c>
      <c r="Y102" s="251" t="n">
        <f aca="false">I102/10000</f>
        <v>5</v>
      </c>
      <c r="Z102" s="2"/>
      <c r="AA102" s="2"/>
      <c r="AB102" s="182" t="n">
        <f aca="false">H102</f>
        <v>36678</v>
      </c>
      <c r="AC102" s="253" t="e">
        <f aca="false">xSPRDOPT(HLOOKUP($D$3,GDPRICES,VLOOKUP(Q102,GDmove_down,2,FALSE()),FALSE()),HLOOKUP($E$3,GDPRICES,VLOOKUP(Q102,GDmove_down,2,FALSE()),FALSE()),J102,VLOOKUP(H102,NGPREVPRICES,4,FALSE()),HLOOKUP($H$3,GDPrevVols,VLOOKUP(Q102,GDmove_down2,2,FALSE()),FALSE()),HLOOKUP($H$3,GDPrevVols,VLOOKUP(Q102,GDmove_down2,2,FALSE()),FALSE()),HLOOKUP(E102,GDcorr,VLOOKUP(H102,CorMove,2,FALSE()),FALSE()),Q102-$AC$3,R102,$AC$5)*I102-AI102</f>
        <v>#N/A</v>
      </c>
      <c r="AD102" s="253" t="e">
        <f aca="false">xSPRDOPT(HLOOKUP($D$3,GDPrev,VLOOKUP(Q102,GDmove_down,2,FALSE()),FALSE()),HLOOKUP($E$3,GDPrev,VLOOKUP(Q102,GDmove_down,2,FALSE()),FALSE()),AJ102,VLOOKUP(H102,NGPrices,4,FALSE()),HLOOKUP($H$3,GDPrevVols,VLOOKUP(Q102,GDmove_down2,2,FALSE()),FALSE()),HLOOKUP($H$3,GDPrevVols,VLOOKUP(Q102,GDmove_down2,2,FALSE()),FALSE()),HLOOKUP(E102,GDcorr,VLOOKUP(H102,CorMove,2,FALSE()),FALSE()),Q102-$AC$3,R102,$AI$5)*I102-AI102</f>
        <v>#N/A</v>
      </c>
      <c r="AE102" s="132" t="e">
        <f aca="false">(AI102/VLOOKUP(AB102,discount,3,FALSE()))-(AI102/VLOOKUP(AB102,discount,2,FALSE()))</f>
        <v>#N/A</v>
      </c>
      <c r="AF102" s="253" t="e">
        <f aca="false">xSPRDOPT(HLOOKUP($D$3,GDPrev,VLOOKUP(Q102,GDmove_down,2,FALSE()),FALSE()),HLOOKUP($E$3,GDPrev,VLOOKUP(Q102,GDmove_down,2,FALSE()),FALSE()),AJ102,VLOOKUP(H102,NGPREVPRICES,4,FALSE()),HLOOKUP($H$3,GDVol,VLOOKUP(H102,move_down,2,FALSE()),FALSE()),HLOOKUP($H$3,GDVol,VLOOKUP(H102,move_down,2,FALSE()),FALSE()),HLOOKUP(E102,GDcorr,VLOOKUP(H102,CorMove,2,FALSE()),FALSE()),Q102-$AC$3,R102,$AI$5)*I102-AI102</f>
        <v>#N/A</v>
      </c>
      <c r="AG102" s="253" t="e">
        <f aca="false">xSPRDOPT(HLOOKUP($D$3,GDPrev,VLOOKUP(Q102,GDmove_down,2,FALSE()),FALSE()),HLOOKUP($E$3,GDPrev,VLOOKUP(Q102,GDmove_down,2,FALSE()),FALSE()),AJ102,VLOOKUP(H102,NGPREVPRICES,4,FALSE()),HLOOKUP($H$3,GDPrevVols,VLOOKUP(Q102,GDmove_down2,2,FALSE()),FALSE()),HLOOKUP($H$3,GDPrevVols,VLOOKUP(Q102,GDmove_down2,2,FALSE()),FALSE()),HLOOKUP(E102,GDcorr,VLOOKUP(H102,CorMove,2,FALSE()),FALSE()),Q102-$C$3,R102,$AI$5)*I102-AI102</f>
        <v>#N/A</v>
      </c>
      <c r="AH102" s="253" t="e">
        <f aca="false">SUM(AC102:AG102)</f>
        <v>#N/A</v>
      </c>
      <c r="AI102" s="253" t="e">
        <f aca="false">xSPRDOPT(HLOOKUP($D$3,GDPrev,VLOOKUP(Q102,GDmove_down,2,FALSE()),FALSE()),HLOOKUP($E$3,GDPrev,VLOOKUP(Q102,GDmove_down,2,FALSE()),FALSE()),AJ102,VLOOKUP(H102,NGPREVPRICES,4,FALSE()),HLOOKUP($H$3,GDPrevVols,VLOOKUP(Q102,GDmove_down2,2,FALSE()),FALSE()),HLOOKUP($H$3,GDPrevVols,VLOOKUP(Q102,GDmove_down2,2,FALSE()),FALSE()),HLOOKUP(E102,GDcorr,VLOOKUP(H102,CorMove,2,FALSE()),FALSE()),Q102-$AC$3,R102,$AI$5)*I102</f>
        <v>#N/A</v>
      </c>
      <c r="AJ102" s="254" t="e">
        <f aca="false">HLOOKUP(D102,PREVCURVES,VLOOKUP(H102,MOVE_DOWN2,2,FALSE()),FALSE())-HLOOKUP(E102,PREVCURVES,VLOOKUP(H102,MOVE_DOWN2,2,FALSE()),FALSE())</f>
        <v>#N/A</v>
      </c>
      <c r="AK102" s="253"/>
      <c r="AL102" s="0" t="str">
        <f aca="false">CONCATENATE(AB102,$AC$6)</f>
        <v>36678Curve Shift/Gamma</v>
      </c>
      <c r="AM102" s="0" t="str">
        <f aca="false">CONCATENATE($AB102,$AD$6)</f>
        <v>36678Rho</v>
      </c>
      <c r="AN102" s="0" t="str">
        <f aca="false">CONCATENATE($AB102,$AE$6)</f>
        <v>36678Drift</v>
      </c>
      <c r="AO102" s="0" t="str">
        <f aca="false">CONCATENATE($AB102,$AF$6)</f>
        <v>36678Vega</v>
      </c>
      <c r="AP102" s="0" t="str">
        <f aca="false">CONCATENATE($AB102,$AG$6)</f>
        <v>36678Theta</v>
      </c>
      <c r="AZ102" s="143" t="n">
        <f aca="false">EOMONTH(AZ101,0)+1</f>
        <v>39052</v>
      </c>
      <c r="BA102" s="135"/>
      <c r="BG102" s="285" t="n">
        <v>39387</v>
      </c>
      <c r="BH102" s="0" t="n">
        <v>0.970485</v>
      </c>
      <c r="BJ102" s="285" t="n">
        <v>39387</v>
      </c>
      <c r="BK102" s="0" t="n">
        <v>99</v>
      </c>
    </row>
    <row r="103" customFormat="false" ht="12" hidden="false" customHeight="true" outlineLevel="0" collapsed="false">
      <c r="A103" s="267" t="s">
        <v>198</v>
      </c>
      <c r="B103" s="269" t="s">
        <v>192</v>
      </c>
      <c r="C103" s="269" t="s">
        <v>493</v>
      </c>
      <c r="D103" s="269" t="s">
        <v>137</v>
      </c>
      <c r="E103" s="7" t="s">
        <v>483</v>
      </c>
      <c r="F103" s="269" t="s">
        <v>131</v>
      </c>
      <c r="G103" s="269" t="s">
        <v>136</v>
      </c>
      <c r="H103" s="286" t="n">
        <v>36678</v>
      </c>
      <c r="I103" s="272" t="n">
        <v>50000</v>
      </c>
      <c r="J103" s="125" t="n">
        <v>0.46</v>
      </c>
      <c r="K103" s="124" t="n">
        <f aca="false">HLOOKUP($D$3,GDPRICES,VLOOKUP(Q103,GDmove_down,2,FALSE()),FALSE())</f>
        <v>4.74</v>
      </c>
      <c r="L103" s="124" t="n">
        <f aca="false">HLOOKUP($E$3,GDPRICES,VLOOKUP(Q103,GDmove_down,2,FALSE()),FALSE())</f>
        <v>3.365</v>
      </c>
      <c r="M103" s="126" t="n">
        <v>1</v>
      </c>
      <c r="N103" s="7" t="n">
        <v>0.515</v>
      </c>
      <c r="O103" s="7" t="n">
        <v>0.515</v>
      </c>
      <c r="P103" s="249" t="e">
        <f aca="false">HLOOKUP(E103,GDcorr,VLOOKUP(H103,GDCorMove,2,FALSE()),FALSE())</f>
        <v>#N/A</v>
      </c>
      <c r="Q103" s="92" t="n">
        <v>36691</v>
      </c>
      <c r="R103" s="7" t="n">
        <f aca="false">IF(G103="P",0,1)</f>
        <v>1</v>
      </c>
      <c r="S103" s="130" t="e">
        <f aca="false">xSPRDOPT($K103,$L103,$J103,$M103,$N103,$O103,$P103,$Q103-$C$3,$R103,0)</f>
        <v>#NAME?</v>
      </c>
      <c r="T103" s="250" t="e">
        <f aca="false">xSPRDOPT($K103,$L103,$J103,$M103,$N103,$O103,$P103,$Q103-$C$3,$R103,1)*I103</f>
        <v>#NAME?</v>
      </c>
      <c r="U103" s="43" t="n">
        <v>15250</v>
      </c>
      <c r="V103" s="250" t="e">
        <f aca="false">xSPRDOPT($K103,$L103,$J103,$M103,$N103,$O103,$P103,$Q103-$C$3,$R103,2)*I103</f>
        <v>#NAME?</v>
      </c>
      <c r="W103" s="250" t="e">
        <f aca="false">+V103+T103</f>
        <v>#NAME?</v>
      </c>
      <c r="X103" s="2" t="str">
        <f aca="false">CONCATENATE(H103,E103)</f>
        <v>36678IF-ELPO/SJ</v>
      </c>
      <c r="Y103" s="251" t="n">
        <f aca="false">I103/10000</f>
        <v>5</v>
      </c>
      <c r="Z103" s="2"/>
      <c r="AA103" s="2"/>
      <c r="AB103" s="182" t="n">
        <f aca="false">H103</f>
        <v>36678</v>
      </c>
      <c r="AC103" s="253" t="e">
        <f aca="false">xSPRDOPT(HLOOKUP($D$3,GDPRICES,VLOOKUP(Q103,GDmove_down,2,FALSE()),FALSE()),HLOOKUP($E$3,GDPRICES,VLOOKUP(Q103,GDmove_down,2,FALSE()),FALSE()),J103,VLOOKUP(H103,NGPREVPRICES,4,FALSE()),HLOOKUP($H$3,GDPrevVols,VLOOKUP(Q103,GDmove_down2,2,FALSE()),FALSE()),HLOOKUP($H$3,GDPrevVols,VLOOKUP(Q103,GDmove_down2,2,FALSE()),FALSE()),HLOOKUP(E103,GDcorr,VLOOKUP(H103,CorMove,2,FALSE()),FALSE()),Q103-$AC$3,R103,$AC$5)*I103-AI103</f>
        <v>#N/A</v>
      </c>
      <c r="AD103" s="253" t="e">
        <f aca="false">xSPRDOPT(HLOOKUP($D$3,GDPrev,VLOOKUP(Q103,GDmove_down,2,FALSE()),FALSE()),HLOOKUP($E$3,GDPrev,VLOOKUP(Q103,GDmove_down,2,FALSE()),FALSE()),AJ103,VLOOKUP(H103,NGPrices,4,FALSE()),HLOOKUP($H$3,GDPrevVols,VLOOKUP(Q103,GDmove_down2,2,FALSE()),FALSE()),HLOOKUP($H$3,GDPrevVols,VLOOKUP(Q103,GDmove_down2,2,FALSE()),FALSE()),HLOOKUP(E103,GDcorr,VLOOKUP(H103,CorMove,2,FALSE()),FALSE()),Q103-$AC$3,R103,$AI$5)*I103-AI103</f>
        <v>#N/A</v>
      </c>
      <c r="AE103" s="132" t="e">
        <f aca="false">(AI103/VLOOKUP(AB103,discount,3,FALSE()))-(AI103/VLOOKUP(AB103,discount,2,FALSE()))</f>
        <v>#N/A</v>
      </c>
      <c r="AF103" s="253" t="e">
        <f aca="false">xSPRDOPT(HLOOKUP($D$3,GDPrev,VLOOKUP(Q103,GDmove_down,2,FALSE()),FALSE()),HLOOKUP($E$3,GDPrev,VLOOKUP(Q103,GDmove_down,2,FALSE()),FALSE()),AJ103,VLOOKUP(H103,NGPREVPRICES,4,FALSE()),HLOOKUP($H$3,GDVol,VLOOKUP(H103,move_down,2,FALSE()),FALSE()),HLOOKUP($H$3,GDVol,VLOOKUP(H103,move_down,2,FALSE()),FALSE()),HLOOKUP(E103,GDcorr,VLOOKUP(H103,CorMove,2,FALSE()),FALSE()),Q103-$AC$3,R103,$AI$5)*I103-AI103</f>
        <v>#N/A</v>
      </c>
      <c r="AG103" s="253" t="e">
        <f aca="false">xSPRDOPT(HLOOKUP($D$3,GDPrev,VLOOKUP(Q103,GDmove_down,2,FALSE()),FALSE()),HLOOKUP($E$3,GDPrev,VLOOKUP(Q103,GDmove_down,2,FALSE()),FALSE()),AJ103,VLOOKUP(H103,NGPREVPRICES,4,FALSE()),HLOOKUP($H$3,GDPrevVols,VLOOKUP(Q103,GDmove_down2,2,FALSE()),FALSE()),HLOOKUP($H$3,GDPrevVols,VLOOKUP(Q103,GDmove_down2,2,FALSE()),FALSE()),HLOOKUP(E103,GDcorr,VLOOKUP(H103,CorMove,2,FALSE()),FALSE()),Q103-$C$3,R103,$AI$5)*I103-AI103</f>
        <v>#N/A</v>
      </c>
      <c r="AH103" s="253" t="e">
        <f aca="false">SUM(AC103:AG103)</f>
        <v>#N/A</v>
      </c>
      <c r="AI103" s="253" t="e">
        <f aca="false">xSPRDOPT(HLOOKUP($D$3,GDPrev,VLOOKUP(Q103,GDmove_down,2,FALSE()),FALSE()),HLOOKUP($E$3,GDPrev,VLOOKUP(Q103,GDmove_down,2,FALSE()),FALSE()),AJ103,VLOOKUP(H103,NGPREVPRICES,4,FALSE()),HLOOKUP($H$3,GDPrevVols,VLOOKUP(Q103,GDmove_down2,2,FALSE()),FALSE()),HLOOKUP($H$3,GDPrevVols,VLOOKUP(Q103,GDmove_down2,2,FALSE()),FALSE()),HLOOKUP(E103,GDcorr,VLOOKUP(H103,CorMove,2,FALSE()),FALSE()),Q103-$AC$3,R103,$AI$5)*I103</f>
        <v>#N/A</v>
      </c>
      <c r="AJ103" s="254" t="e">
        <f aca="false">HLOOKUP(D103,PREVCURVES,VLOOKUP(H103,MOVE_DOWN2,2,FALSE()),FALSE())-HLOOKUP(E103,PREVCURVES,VLOOKUP(H103,MOVE_DOWN2,2,FALSE()),FALSE())</f>
        <v>#N/A</v>
      </c>
      <c r="AK103" s="253"/>
      <c r="AL103" s="0" t="str">
        <f aca="false">CONCATENATE(AB103,$AC$6)</f>
        <v>36678Curve Shift/Gamma</v>
      </c>
      <c r="AM103" s="0" t="str">
        <f aca="false">CONCATENATE($AB103,$AD$6)</f>
        <v>36678Rho</v>
      </c>
      <c r="AN103" s="0" t="str">
        <f aca="false">CONCATENATE($AB103,$AE$6)</f>
        <v>36678Drift</v>
      </c>
      <c r="AO103" s="0" t="str">
        <f aca="false">CONCATENATE($AB103,$AF$6)</f>
        <v>36678Vega</v>
      </c>
      <c r="AP103" s="0" t="str">
        <f aca="false">CONCATENATE($AB103,$AG$6)</f>
        <v>36678Theta</v>
      </c>
      <c r="AZ103" s="143" t="n">
        <f aca="false">EOMONTH(AZ102,0)+1</f>
        <v>39083</v>
      </c>
      <c r="BA103" s="135"/>
      <c r="BG103" s="285" t="n">
        <v>39417</v>
      </c>
      <c r="BH103" s="0" t="n">
        <v>0.970485</v>
      </c>
      <c r="BJ103" s="285" t="n">
        <v>39417</v>
      </c>
      <c r="BK103" s="0" t="n">
        <v>100</v>
      </c>
    </row>
    <row r="104" customFormat="false" ht="12" hidden="false" customHeight="true" outlineLevel="0" collapsed="false">
      <c r="A104" s="267" t="s">
        <v>198</v>
      </c>
      <c r="B104" s="269" t="s">
        <v>192</v>
      </c>
      <c r="C104" s="269" t="s">
        <v>494</v>
      </c>
      <c r="D104" s="269" t="s">
        <v>137</v>
      </c>
      <c r="E104" s="7" t="s">
        <v>483</v>
      </c>
      <c r="F104" s="269" t="s">
        <v>131</v>
      </c>
      <c r="G104" s="269" t="s">
        <v>136</v>
      </c>
      <c r="H104" s="286" t="n">
        <v>36678</v>
      </c>
      <c r="I104" s="272" t="n">
        <v>-10000</v>
      </c>
      <c r="J104" s="125" t="n">
        <v>0.46</v>
      </c>
      <c r="K104" s="124" t="n">
        <f aca="false">HLOOKUP($D$3,GDPRICES,VLOOKUP(Q104,GDmove_down,2,FALSE()),FALSE())</f>
        <v>4.74</v>
      </c>
      <c r="L104" s="124" t="n">
        <f aca="false">HLOOKUP($E$3,GDPRICES,VLOOKUP(Q104,GDmove_down,2,FALSE()),FALSE())</f>
        <v>3.365</v>
      </c>
      <c r="M104" s="126" t="n">
        <v>1</v>
      </c>
      <c r="N104" s="7" t="n">
        <v>0.515</v>
      </c>
      <c r="O104" s="7" t="n">
        <v>0.515</v>
      </c>
      <c r="P104" s="249" t="e">
        <f aca="false">HLOOKUP(E104,GDcorr,VLOOKUP(H104,GDCorMove,2,FALSE()),FALSE())</f>
        <v>#N/A</v>
      </c>
      <c r="Q104" s="92" t="n">
        <v>36691</v>
      </c>
      <c r="R104" s="7" t="n">
        <f aca="false">IF(G104="P",0,1)</f>
        <v>1</v>
      </c>
      <c r="S104" s="130" t="e">
        <f aca="false">xSPRDOPT($K104,$L104,$J104,$M104,$N104,$O104,$P104,$Q104-$C$3,$R104,0)</f>
        <v>#NAME?</v>
      </c>
      <c r="T104" s="250" t="e">
        <f aca="false">xSPRDOPT($K104,$L104,$J104,$M104,$N104,$O104,$P104,$Q104-$C$3,$R104,1)*I104</f>
        <v>#NAME?</v>
      </c>
      <c r="U104" s="43" t="n">
        <v>-3050</v>
      </c>
      <c r="V104" s="250" t="e">
        <f aca="false">xSPRDOPT($K104,$L104,$J104,$M104,$N104,$O104,$P104,$Q104-$C$3,$R104,2)*I104</f>
        <v>#NAME?</v>
      </c>
      <c r="W104" s="250" t="e">
        <f aca="false">+V104+T104</f>
        <v>#NAME?</v>
      </c>
      <c r="X104" s="2" t="str">
        <f aca="false">CONCATENATE(H104,E104)</f>
        <v>36678IF-ELPO/SJ</v>
      </c>
      <c r="Y104" s="251" t="n">
        <f aca="false">I104/10000</f>
        <v>-1</v>
      </c>
      <c r="AA104" s="2"/>
      <c r="AB104" s="182" t="n">
        <f aca="false">H104</f>
        <v>36678</v>
      </c>
      <c r="AC104" s="253" t="e">
        <f aca="false">xSPRDOPT(HLOOKUP($D$3,GDPRICES,VLOOKUP(Q104,GDmove_down,2,FALSE()),FALSE()),HLOOKUP($E$3,GDPRICES,VLOOKUP(Q104,GDmove_down,2,FALSE()),FALSE()),J104,VLOOKUP(H104,NGPREVPRICES,4,FALSE()),HLOOKUP($H$3,GDPrevVols,VLOOKUP(Q104,GDmove_down2,2,FALSE()),FALSE()),HLOOKUP($H$3,GDPrevVols,VLOOKUP(Q104,GDmove_down2,2,FALSE()),FALSE()),HLOOKUP(E104,GDcorr,VLOOKUP(H104,CorMove,2,FALSE()),FALSE()),Q104-$AC$3,R104,$AC$5)*I104-AI104</f>
        <v>#N/A</v>
      </c>
      <c r="AD104" s="253" t="e">
        <f aca="false">xSPRDOPT(HLOOKUP($D$3,GDPrev,VLOOKUP(Q104,GDmove_down,2,FALSE()),FALSE()),HLOOKUP($E$3,GDPrev,VLOOKUP(Q104,GDmove_down,2,FALSE()),FALSE()),AJ104,VLOOKUP(H104,NGPrices,4,FALSE()),HLOOKUP($H$3,GDPrevVols,VLOOKUP(Q104,GDmove_down2,2,FALSE()),FALSE()),HLOOKUP($H$3,GDPrevVols,VLOOKUP(Q104,GDmove_down2,2,FALSE()),FALSE()),HLOOKUP(E104,GDcorr,VLOOKUP(H104,CorMove,2,FALSE()),FALSE()),Q104-$AC$3,R104,$AI$5)*I104-AI104</f>
        <v>#N/A</v>
      </c>
      <c r="AE104" s="132" t="e">
        <f aca="false">(AI104/VLOOKUP(AB104,discount,3,FALSE()))-(AI104/VLOOKUP(AB104,discount,2,FALSE()))</f>
        <v>#N/A</v>
      </c>
      <c r="AF104" s="253" t="e">
        <f aca="false">xSPRDOPT(HLOOKUP($D$3,GDPrev,VLOOKUP(Q104,GDmove_down,2,FALSE()),FALSE()),HLOOKUP($E$3,GDPrev,VLOOKUP(Q104,GDmove_down,2,FALSE()),FALSE()),AJ104,VLOOKUP(H104,NGPREVPRICES,4,FALSE()),HLOOKUP($H$3,GDVol,VLOOKUP(H104,move_down,2,FALSE()),FALSE()),HLOOKUP($H$3,GDVol,VLOOKUP(H104,move_down,2,FALSE()),FALSE()),HLOOKUP(E104,GDcorr,VLOOKUP(H104,CorMove,2,FALSE()),FALSE()),Q104-$AC$3,R104,$AI$5)*I104-AI104</f>
        <v>#N/A</v>
      </c>
      <c r="AG104" s="253" t="e">
        <f aca="false">xSPRDOPT(HLOOKUP($D$3,GDPrev,VLOOKUP(Q104,GDmove_down,2,FALSE()),FALSE()),HLOOKUP($E$3,GDPrev,VLOOKUP(Q104,GDmove_down,2,FALSE()),FALSE()),AJ104,VLOOKUP(H104,NGPREVPRICES,4,FALSE()),HLOOKUP($H$3,GDPrevVols,VLOOKUP(Q104,GDmove_down2,2,FALSE()),FALSE()),HLOOKUP($H$3,GDPrevVols,VLOOKUP(Q104,GDmove_down2,2,FALSE()),FALSE()),HLOOKUP(E104,GDcorr,VLOOKUP(H104,CorMove,2,FALSE()),FALSE()),Q104-$C$3,R104,$AI$5)*I104-AI104</f>
        <v>#N/A</v>
      </c>
      <c r="AH104" s="253" t="e">
        <f aca="false">SUM(AC104:AG104)</f>
        <v>#N/A</v>
      </c>
      <c r="AI104" s="253" t="e">
        <f aca="false">xSPRDOPT(HLOOKUP($D$3,GDPrev,VLOOKUP(Q104,GDmove_down,2,FALSE()),FALSE()),HLOOKUP($E$3,GDPrev,VLOOKUP(Q104,GDmove_down,2,FALSE()),FALSE()),AJ104,VLOOKUP(H104,NGPREVPRICES,4,FALSE()),HLOOKUP($H$3,GDPrevVols,VLOOKUP(Q104,GDmove_down2,2,FALSE()),FALSE()),HLOOKUP($H$3,GDPrevVols,VLOOKUP(Q104,GDmove_down2,2,FALSE()),FALSE()),HLOOKUP(E104,GDcorr,VLOOKUP(H104,CorMove,2,FALSE()),FALSE()),Q104-$AC$3,R104,$AI$5)*I104</f>
        <v>#N/A</v>
      </c>
      <c r="AJ104" s="254" t="e">
        <f aca="false">HLOOKUP(D104,PREVCURVES,VLOOKUP(H104,MOVE_DOWN2,2,FALSE()),FALSE())-HLOOKUP(E104,PREVCURVES,VLOOKUP(H104,MOVE_DOWN2,2,FALSE()),FALSE())</f>
        <v>#N/A</v>
      </c>
      <c r="AK104" s="253"/>
      <c r="AL104" s="0" t="str">
        <f aca="false">CONCATENATE(AB104,$AC$6)</f>
        <v>36678Curve Shift/Gamma</v>
      </c>
      <c r="AM104" s="0" t="str">
        <f aca="false">CONCATENATE($AB104,$AD$6)</f>
        <v>36678Rho</v>
      </c>
      <c r="AN104" s="0" t="str">
        <f aca="false">CONCATENATE($AB104,$AE$6)</f>
        <v>36678Drift</v>
      </c>
      <c r="AO104" s="0" t="str">
        <f aca="false">CONCATENATE($AB104,$AF$6)</f>
        <v>36678Vega</v>
      </c>
      <c r="AP104" s="0" t="str">
        <f aca="false">CONCATENATE($AB104,$AG$6)</f>
        <v>36678Theta</v>
      </c>
      <c r="AZ104" s="143" t="n">
        <f aca="false">EOMONTH(AZ103,0)+1</f>
        <v>39114</v>
      </c>
      <c r="BA104" s="135"/>
      <c r="BG104" s="285" t="n">
        <v>39448</v>
      </c>
      <c r="BH104" s="0" t="n">
        <v>0.985</v>
      </c>
      <c r="BJ104" s="285" t="n">
        <v>39448</v>
      </c>
      <c r="BK104" s="0" t="n">
        <v>101</v>
      </c>
    </row>
    <row r="105" customFormat="false" ht="12" hidden="false" customHeight="true" outlineLevel="0" collapsed="false">
      <c r="A105" s="265" t="s">
        <v>198</v>
      </c>
      <c r="B105" s="269" t="s">
        <v>192</v>
      </c>
      <c r="C105" s="269" t="s">
        <v>488</v>
      </c>
      <c r="D105" s="269" t="s">
        <v>137</v>
      </c>
      <c r="E105" s="7" t="s">
        <v>483</v>
      </c>
      <c r="F105" s="269" t="s">
        <v>131</v>
      </c>
      <c r="G105" s="269" t="s">
        <v>136</v>
      </c>
      <c r="H105" s="286" t="n">
        <v>36678</v>
      </c>
      <c r="I105" s="272" t="n">
        <v>-50000</v>
      </c>
      <c r="J105" s="125" t="n">
        <v>0.46</v>
      </c>
      <c r="K105" s="124" t="n">
        <f aca="false">HLOOKUP($D$3,GDPRICES,VLOOKUP(Q105,GDmove_down,2,FALSE()),FALSE())</f>
        <v>4.765</v>
      </c>
      <c r="L105" s="124" t="n">
        <f aca="false">HLOOKUP($E$3,GDPRICES,VLOOKUP(Q105,GDmove_down,2,FALSE()),FALSE())</f>
        <v>3.46</v>
      </c>
      <c r="M105" s="126" t="n">
        <v>1</v>
      </c>
      <c r="N105" s="7" t="n">
        <v>0.515</v>
      </c>
      <c r="O105" s="7" t="n">
        <v>0.515</v>
      </c>
      <c r="P105" s="249" t="e">
        <f aca="false">HLOOKUP(E105,GDcorr,VLOOKUP(H105,GDCorMove,2,FALSE()),FALSE())</f>
        <v>#N/A</v>
      </c>
      <c r="Q105" s="92" t="n">
        <v>36692</v>
      </c>
      <c r="R105" s="7" t="n">
        <f aca="false">IF(G105="P",0,1)</f>
        <v>1</v>
      </c>
      <c r="S105" s="130" t="e">
        <f aca="false">xSPRDOPT($K105,$L105,$J105,$M105,$N105,$O105,$P105,$Q105-$C$3,$R105,0)</f>
        <v>#NAME?</v>
      </c>
      <c r="T105" s="250" t="e">
        <f aca="false">xSPRDOPT($K105,$L105,$J105,$M105,$N105,$O105,$P105,$Q105-$C$3,$R105,1)*I105</f>
        <v>#NAME?</v>
      </c>
      <c r="U105" s="43" t="n">
        <v>-16250</v>
      </c>
      <c r="V105" s="250" t="e">
        <f aca="false">xSPRDOPT($K105,$L105,$J105,$M105,$N105,$O105,$P105,$Q105-$C$3,$R105,2)*I105</f>
        <v>#NAME?</v>
      </c>
      <c r="W105" s="250" t="e">
        <f aca="false">+V105+T105</f>
        <v>#NAME?</v>
      </c>
      <c r="X105" s="2" t="str">
        <f aca="false">CONCATENATE(H105,E105)</f>
        <v>36678IF-ELPO/SJ</v>
      </c>
      <c r="Y105" s="251" t="n">
        <f aca="false">I105/10000</f>
        <v>-5</v>
      </c>
      <c r="AA105" s="2"/>
      <c r="AB105" s="182" t="n">
        <f aca="false">H105</f>
        <v>36678</v>
      </c>
      <c r="AC105" s="253" t="e">
        <f aca="false">xSPRDOPT(HLOOKUP($D$3,GDPRICES,VLOOKUP(Q105,GDmove_down,2,FALSE()),FALSE()),HLOOKUP($E$3,GDPRICES,VLOOKUP(Q105,GDmove_down,2,FALSE()),FALSE()),J105,VLOOKUP(H105,NGPREVPRICES,4,FALSE()),HLOOKUP($H$3,GDPrevVols,VLOOKUP(Q105,GDmove_down2,2,FALSE()),FALSE()),HLOOKUP($H$3,GDPrevVols,VLOOKUP(Q105,GDmove_down2,2,FALSE()),FALSE()),HLOOKUP(E105,GDcorr,VLOOKUP(H105,CorMove,2,FALSE()),FALSE()),Q105-$AC$3,R105,$AC$5)*I105-AI105</f>
        <v>#N/A</v>
      </c>
      <c r="AD105" s="253" t="e">
        <f aca="false">xSPRDOPT(HLOOKUP($D$3,GDPrev,VLOOKUP(Q105,GDmove_down,2,FALSE()),FALSE()),HLOOKUP($E$3,GDPrev,VLOOKUP(Q105,GDmove_down,2,FALSE()),FALSE()),AJ105,VLOOKUP(H105,NGPrices,4,FALSE()),HLOOKUP($H$3,GDPrevVols,VLOOKUP(Q105,GDmove_down2,2,FALSE()),FALSE()),HLOOKUP($H$3,GDPrevVols,VLOOKUP(Q105,GDmove_down2,2,FALSE()),FALSE()),HLOOKUP(E105,GDcorr,VLOOKUP(H105,CorMove,2,FALSE()),FALSE()),Q105-$AC$3,R105,$AI$5)*I105-AI105</f>
        <v>#N/A</v>
      </c>
      <c r="AE105" s="132" t="e">
        <f aca="false">(AI105/VLOOKUP(AB105,discount,3,FALSE()))-(AI105/VLOOKUP(AB105,discount,2,FALSE()))</f>
        <v>#N/A</v>
      </c>
      <c r="AF105" s="253" t="e">
        <f aca="false">xSPRDOPT(HLOOKUP($D$3,GDPrev,VLOOKUP(Q105,GDmove_down,2,FALSE()),FALSE()),HLOOKUP($E$3,GDPrev,VLOOKUP(Q105,GDmove_down,2,FALSE()),FALSE()),AJ105,VLOOKUP(H105,NGPREVPRICES,4,FALSE()),HLOOKUP($H$3,GDVol,VLOOKUP(H105,move_down,2,FALSE()),FALSE()),HLOOKUP($H$3,GDVol,VLOOKUP(H105,move_down,2,FALSE()),FALSE()),HLOOKUP(E105,GDcorr,VLOOKUP(H105,CorMove,2,FALSE()),FALSE()),Q105-$AC$3,R105,$AI$5)*I105-AI105</f>
        <v>#N/A</v>
      </c>
      <c r="AG105" s="253" t="e">
        <f aca="false">xSPRDOPT(HLOOKUP($D$3,GDPrev,VLOOKUP(Q105,GDmove_down,2,FALSE()),FALSE()),HLOOKUP($E$3,GDPrev,VLOOKUP(Q105,GDmove_down,2,FALSE()),FALSE()),AJ105,VLOOKUP(H105,NGPREVPRICES,4,FALSE()),HLOOKUP($H$3,GDPrevVols,VLOOKUP(Q105,GDmove_down2,2,FALSE()),FALSE()),HLOOKUP($H$3,GDPrevVols,VLOOKUP(Q105,GDmove_down2,2,FALSE()),FALSE()),HLOOKUP(E105,GDcorr,VLOOKUP(H105,CorMove,2,FALSE()),FALSE()),Q105-$C$3,R105,$AI$5)*I105-AI105</f>
        <v>#N/A</v>
      </c>
      <c r="AH105" s="253" t="e">
        <f aca="false">SUM(AC105:AG105)</f>
        <v>#N/A</v>
      </c>
      <c r="AI105" s="253" t="e">
        <f aca="false">xSPRDOPT(HLOOKUP($D$3,GDPrev,VLOOKUP(Q105,GDmove_down,2,FALSE()),FALSE()),HLOOKUP($E$3,GDPrev,VLOOKUP(Q105,GDmove_down,2,FALSE()),FALSE()),AJ105,VLOOKUP(H105,NGPREVPRICES,4,FALSE()),HLOOKUP($H$3,GDPrevVols,VLOOKUP(Q105,GDmove_down2,2,FALSE()),FALSE()),HLOOKUP($H$3,GDPrevVols,VLOOKUP(Q105,GDmove_down2,2,FALSE()),FALSE()),HLOOKUP(E105,GDcorr,VLOOKUP(H105,CorMove,2,FALSE()),FALSE()),Q105-$AC$3,R105,$AI$5)*I105</f>
        <v>#N/A</v>
      </c>
      <c r="AJ105" s="254" t="e">
        <f aca="false">HLOOKUP(D105,PREVCURVES,VLOOKUP(H105,MOVE_DOWN2,2,FALSE()),FALSE())-HLOOKUP(E105,PREVCURVES,VLOOKUP(H105,MOVE_DOWN2,2,FALSE()),FALSE())</f>
        <v>#N/A</v>
      </c>
      <c r="AK105" s="253"/>
      <c r="AL105" s="0" t="str">
        <f aca="false">CONCATENATE(AB105,$AC$6)</f>
        <v>36678Curve Shift/Gamma</v>
      </c>
      <c r="AM105" s="0" t="str">
        <f aca="false">CONCATENATE($AB105,$AD$6)</f>
        <v>36678Rho</v>
      </c>
      <c r="AN105" s="0" t="str">
        <f aca="false">CONCATENATE($AB105,$AE$6)</f>
        <v>36678Drift</v>
      </c>
      <c r="AO105" s="0" t="str">
        <f aca="false">CONCATENATE($AB105,$AF$6)</f>
        <v>36678Vega</v>
      </c>
      <c r="AP105" s="0" t="str">
        <f aca="false">CONCATENATE($AB105,$AG$6)</f>
        <v>36678Theta</v>
      </c>
      <c r="AZ105" s="143" t="n">
        <f aca="false">EOMONTH(AZ104,0)+1</f>
        <v>39142</v>
      </c>
      <c r="BA105" s="135"/>
      <c r="BG105" s="285" t="n">
        <v>39479</v>
      </c>
      <c r="BH105" s="0" t="n">
        <v>0.985</v>
      </c>
      <c r="BJ105" s="285" t="n">
        <v>39479</v>
      </c>
      <c r="BK105" s="0" t="n">
        <v>102</v>
      </c>
    </row>
    <row r="106" customFormat="false" ht="12" hidden="false" customHeight="true" outlineLevel="0" collapsed="false">
      <c r="A106" s="265" t="s">
        <v>198</v>
      </c>
      <c r="B106" s="269" t="s">
        <v>192</v>
      </c>
      <c r="C106" s="269" t="s">
        <v>489</v>
      </c>
      <c r="D106" s="269" t="s">
        <v>137</v>
      </c>
      <c r="E106" s="7" t="s">
        <v>483</v>
      </c>
      <c r="F106" s="269" t="s">
        <v>131</v>
      </c>
      <c r="G106" s="269" t="s">
        <v>136</v>
      </c>
      <c r="H106" s="286" t="n">
        <v>36678</v>
      </c>
      <c r="I106" s="272" t="n">
        <v>10000</v>
      </c>
      <c r="J106" s="125" t="n">
        <v>0.46</v>
      </c>
      <c r="K106" s="124" t="n">
        <f aca="false">HLOOKUP($D$3,GDPRICES,VLOOKUP(Q106,GDmove_down,2,FALSE()),FALSE())</f>
        <v>4.765</v>
      </c>
      <c r="L106" s="124" t="n">
        <f aca="false">HLOOKUP($E$3,GDPRICES,VLOOKUP(Q106,GDmove_down,2,FALSE()),FALSE())</f>
        <v>3.46</v>
      </c>
      <c r="M106" s="126" t="n">
        <v>1</v>
      </c>
      <c r="N106" s="7" t="n">
        <v>0.515</v>
      </c>
      <c r="O106" s="7" t="n">
        <v>0.515</v>
      </c>
      <c r="P106" s="249" t="e">
        <f aca="false">HLOOKUP(E106,GDcorr,VLOOKUP(H106,GDCorMove,2,FALSE()),FALSE())</f>
        <v>#N/A</v>
      </c>
      <c r="Q106" s="92" t="n">
        <v>36692</v>
      </c>
      <c r="R106" s="7" t="n">
        <f aca="false">IF(G106="P",0,1)</f>
        <v>1</v>
      </c>
      <c r="S106" s="130" t="e">
        <f aca="false">xSPRDOPT($K106,$L106,$J106,$M106,$N106,$O106,$P106,$Q106-$C$3,$R106,0)</f>
        <v>#NAME?</v>
      </c>
      <c r="T106" s="250" t="e">
        <f aca="false">xSPRDOPT($K106,$L106,$J106,$M106,$N106,$O106,$P106,$Q106-$C$3,$R106,1)*I106</f>
        <v>#NAME?</v>
      </c>
      <c r="U106" s="43" t="n">
        <v>3250</v>
      </c>
      <c r="V106" s="250" t="e">
        <f aca="false">xSPRDOPT($K106,$L106,$J106,$M106,$N106,$O106,$P106,$Q106-$C$3,$R106,2)*I106</f>
        <v>#NAME?</v>
      </c>
      <c r="W106" s="250" t="e">
        <f aca="false">+V106+T106</f>
        <v>#NAME?</v>
      </c>
      <c r="X106" s="2" t="str">
        <f aca="false">CONCATENATE(H106,E106)</f>
        <v>36678IF-ELPO/SJ</v>
      </c>
      <c r="Y106" s="251" t="n">
        <f aca="false">I106/10000</f>
        <v>1</v>
      </c>
      <c r="AA106" s="2"/>
      <c r="AB106" s="182" t="n">
        <f aca="false">H106</f>
        <v>36678</v>
      </c>
      <c r="AC106" s="253" t="e">
        <f aca="false">xSPRDOPT(HLOOKUP($D$3,GDPRICES,VLOOKUP(Q106,GDmove_down,2,FALSE()),FALSE()),HLOOKUP($E$3,GDPRICES,VLOOKUP(Q106,GDmove_down,2,FALSE()),FALSE()),J106,VLOOKUP(H106,NGPREVPRICES,4,FALSE()),HLOOKUP($H$3,GDPrevVols,VLOOKUP(Q106,GDmove_down2,2,FALSE()),FALSE()),HLOOKUP($H$3,GDPrevVols,VLOOKUP(Q106,GDmove_down2,2,FALSE()),FALSE()),HLOOKUP(E106,GDcorr,VLOOKUP(H106,CorMove,2,FALSE()),FALSE()),Q106-$AC$3,R106,$AC$5)*I106-AI106</f>
        <v>#N/A</v>
      </c>
      <c r="AD106" s="253" t="e">
        <f aca="false">xSPRDOPT(HLOOKUP($D$3,GDPrev,VLOOKUP(Q106,GDmove_down,2,FALSE()),FALSE()),HLOOKUP($E$3,GDPrev,VLOOKUP(Q106,GDmove_down,2,FALSE()),FALSE()),AJ106,VLOOKUP(H106,NGPrices,4,FALSE()),HLOOKUP($H$3,GDPrevVols,VLOOKUP(Q106,GDmove_down2,2,FALSE()),FALSE()),HLOOKUP($H$3,GDPrevVols,VLOOKUP(Q106,GDmove_down2,2,FALSE()),FALSE()),HLOOKUP(E106,GDcorr,VLOOKUP(H106,CorMove,2,FALSE()),FALSE()),Q106-$AC$3,R106,$AI$5)*I106-AI106</f>
        <v>#N/A</v>
      </c>
      <c r="AE106" s="132" t="e">
        <f aca="false">(AI106/VLOOKUP(AB106,discount,3,FALSE()))-(AI106/VLOOKUP(AB106,discount,2,FALSE()))</f>
        <v>#N/A</v>
      </c>
      <c r="AF106" s="253" t="e">
        <f aca="false">xSPRDOPT(HLOOKUP($D$3,GDPrev,VLOOKUP(Q106,GDmove_down,2,FALSE()),FALSE()),HLOOKUP($E$3,GDPrev,VLOOKUP(Q106,GDmove_down,2,FALSE()),FALSE()),AJ106,VLOOKUP(H106,NGPREVPRICES,4,FALSE()),HLOOKUP($H$3,GDVol,VLOOKUP(H106,move_down,2,FALSE()),FALSE()),HLOOKUP($H$3,GDVol,VLOOKUP(H106,move_down,2,FALSE()),FALSE()),HLOOKUP(E106,GDcorr,VLOOKUP(H106,CorMove,2,FALSE()),FALSE()),Q106-$AC$3,R106,$AI$5)*I106-AI106</f>
        <v>#N/A</v>
      </c>
      <c r="AG106" s="253" t="e">
        <f aca="false">xSPRDOPT(HLOOKUP($D$3,GDPrev,VLOOKUP(Q106,GDmove_down,2,FALSE()),FALSE()),HLOOKUP($E$3,GDPrev,VLOOKUP(Q106,GDmove_down,2,FALSE()),FALSE()),AJ106,VLOOKUP(H106,NGPREVPRICES,4,FALSE()),HLOOKUP($H$3,GDPrevVols,VLOOKUP(Q106,GDmove_down2,2,FALSE()),FALSE()),HLOOKUP($H$3,GDPrevVols,VLOOKUP(Q106,GDmove_down2,2,FALSE()),FALSE()),HLOOKUP(E106,GDcorr,VLOOKUP(H106,CorMove,2,FALSE()),FALSE()),Q106-$C$3,R106,$AI$5)*I106-AI106</f>
        <v>#N/A</v>
      </c>
      <c r="AH106" s="253" t="e">
        <f aca="false">SUM(AC106:AG106)</f>
        <v>#N/A</v>
      </c>
      <c r="AI106" s="253" t="e">
        <f aca="false">xSPRDOPT(HLOOKUP($D$3,GDPrev,VLOOKUP(Q106,GDmove_down,2,FALSE()),FALSE()),HLOOKUP($E$3,GDPrev,VLOOKUP(Q106,GDmove_down,2,FALSE()),FALSE()),AJ106,VLOOKUP(H106,NGPREVPRICES,4,FALSE()),HLOOKUP($H$3,GDPrevVols,VLOOKUP(Q106,GDmove_down2,2,FALSE()),FALSE()),HLOOKUP($H$3,GDPrevVols,VLOOKUP(Q106,GDmove_down2,2,FALSE()),FALSE()),HLOOKUP(E106,GDcorr,VLOOKUP(H106,CorMove,2,FALSE()),FALSE()),Q106-$AC$3,R106,$AI$5)*I106</f>
        <v>#N/A</v>
      </c>
      <c r="AJ106" s="254" t="e">
        <f aca="false">HLOOKUP(D106,PREVCURVES,VLOOKUP(H106,MOVE_DOWN2,2,FALSE()),FALSE())-HLOOKUP(E106,PREVCURVES,VLOOKUP(H106,MOVE_DOWN2,2,FALSE()),FALSE())</f>
        <v>#N/A</v>
      </c>
      <c r="AK106" s="253"/>
      <c r="AL106" s="0" t="str">
        <f aca="false">CONCATENATE(AB106,$AC$6)</f>
        <v>36678Curve Shift/Gamma</v>
      </c>
      <c r="AM106" s="0" t="str">
        <f aca="false">CONCATENATE($AB106,$AD$6)</f>
        <v>36678Rho</v>
      </c>
      <c r="AN106" s="0" t="str">
        <f aca="false">CONCATENATE($AB106,$AE$6)</f>
        <v>36678Drift</v>
      </c>
      <c r="AO106" s="0" t="str">
        <f aca="false">CONCATENATE($AB106,$AF$6)</f>
        <v>36678Vega</v>
      </c>
      <c r="AP106" s="0" t="str">
        <f aca="false">CONCATENATE($AB106,$AG$6)</f>
        <v>36678Theta</v>
      </c>
      <c r="AZ106" s="143" t="n">
        <f aca="false">EOMONTH(AZ105,0)+1</f>
        <v>39173</v>
      </c>
      <c r="BA106" s="135"/>
      <c r="BG106" s="285" t="n">
        <v>39508</v>
      </c>
      <c r="BH106" s="0" t="n">
        <v>0.985</v>
      </c>
      <c r="BJ106" s="285" t="n">
        <v>39508</v>
      </c>
      <c r="BK106" s="0" t="n">
        <v>103</v>
      </c>
    </row>
    <row r="107" customFormat="false" ht="12" hidden="false" customHeight="true" outlineLevel="0" collapsed="false">
      <c r="A107" s="265" t="s">
        <v>198</v>
      </c>
      <c r="B107" s="269" t="s">
        <v>192</v>
      </c>
      <c r="C107" s="269" t="s">
        <v>490</v>
      </c>
      <c r="D107" s="269" t="s">
        <v>137</v>
      </c>
      <c r="E107" s="7" t="s">
        <v>483</v>
      </c>
      <c r="F107" s="269" t="s">
        <v>131</v>
      </c>
      <c r="G107" s="269" t="s">
        <v>136</v>
      </c>
      <c r="H107" s="286" t="n">
        <v>36678</v>
      </c>
      <c r="I107" s="272" t="n">
        <v>-333333</v>
      </c>
      <c r="J107" s="125" t="n">
        <v>0.46</v>
      </c>
      <c r="K107" s="124" t="n">
        <f aca="false">HLOOKUP($D$3,GDPRICES,VLOOKUP(Q107,GDmove_down,2,FALSE()),FALSE())</f>
        <v>4.765</v>
      </c>
      <c r="L107" s="124" t="n">
        <f aca="false">HLOOKUP($E$3,GDPRICES,VLOOKUP(Q107,GDmove_down,2,FALSE()),FALSE())</f>
        <v>3.46</v>
      </c>
      <c r="M107" s="126" t="n">
        <v>1</v>
      </c>
      <c r="N107" s="7" t="n">
        <v>0.515</v>
      </c>
      <c r="O107" s="7" t="n">
        <v>0.515</v>
      </c>
      <c r="P107" s="249" t="e">
        <f aca="false">HLOOKUP(E107,GDcorr,VLOOKUP(H107,GDCorMove,2,FALSE()),FALSE())</f>
        <v>#N/A</v>
      </c>
      <c r="Q107" s="92" t="n">
        <v>36692</v>
      </c>
      <c r="R107" s="7" t="n">
        <f aca="false">IF(G107="P",0,1)</f>
        <v>1</v>
      </c>
      <c r="S107" s="130" t="e">
        <f aca="false">xSPRDOPT($K107,$L107,$J107,$M107,$N107,$O107,$P107,$Q107-$C$3,$R107,0)</f>
        <v>#NAME?</v>
      </c>
      <c r="T107" s="250" t="e">
        <f aca="false">xSPRDOPT($K107,$L107,$J107,$M107,$N107,$O107,$P107,$Q107-$C$3,$R107,1)*I107</f>
        <v>#NAME?</v>
      </c>
      <c r="U107" s="43" t="n">
        <v>-108333.225</v>
      </c>
      <c r="V107" s="250" t="e">
        <f aca="false">xSPRDOPT($K107,$L107,$J107,$M107,$N107,$O107,$P107,$Q107-$C$3,$R107,2)*I107</f>
        <v>#NAME?</v>
      </c>
      <c r="W107" s="250" t="e">
        <f aca="false">+V107+T107</f>
        <v>#NAME?</v>
      </c>
      <c r="X107" s="2" t="str">
        <f aca="false">CONCATENATE(H107,E107)</f>
        <v>36678IF-ELPO/SJ</v>
      </c>
      <c r="Y107" s="251" t="n">
        <f aca="false">I107/10000</f>
        <v>-33.3333</v>
      </c>
      <c r="Z107" s="2"/>
      <c r="AA107" s="2"/>
      <c r="AB107" s="182" t="n">
        <f aca="false">H107</f>
        <v>36678</v>
      </c>
      <c r="AC107" s="253" t="e">
        <f aca="false">xSPRDOPT(HLOOKUP($D$3,GDPRICES,VLOOKUP(Q107,GDmove_down,2,FALSE()),FALSE()),HLOOKUP($E$3,GDPRICES,VLOOKUP(Q107,GDmove_down,2,FALSE()),FALSE()),J107,VLOOKUP(H107,NGPREVPRICES,4,FALSE()),HLOOKUP($H$3,GDPrevVols,VLOOKUP(Q107,GDmove_down2,2,FALSE()),FALSE()),HLOOKUP($H$3,GDPrevVols,VLOOKUP(Q107,GDmove_down2,2,FALSE()),FALSE()),HLOOKUP(E107,GDcorr,VLOOKUP(H107,CorMove,2,FALSE()),FALSE()),Q107-$AC$3,R107,$AC$5)*I107-AI107</f>
        <v>#N/A</v>
      </c>
      <c r="AD107" s="253" t="e">
        <f aca="false">xSPRDOPT(HLOOKUP($D$3,GDPrev,VLOOKUP(Q107,GDmove_down,2,FALSE()),FALSE()),HLOOKUP($E$3,GDPrev,VLOOKUP(Q107,GDmove_down,2,FALSE()),FALSE()),AJ107,VLOOKUP(H107,NGPrices,4,FALSE()),HLOOKUP($H$3,GDPrevVols,VLOOKUP(Q107,GDmove_down2,2,FALSE()),FALSE()),HLOOKUP($H$3,GDPrevVols,VLOOKUP(Q107,GDmove_down2,2,FALSE()),FALSE()),HLOOKUP(E107,GDcorr,VLOOKUP(H107,CorMove,2,FALSE()),FALSE()),Q107-$AC$3,R107,$AI$5)*I107-AI107</f>
        <v>#N/A</v>
      </c>
      <c r="AE107" s="132" t="e">
        <f aca="false">(AI107/VLOOKUP(AB107,discount,3,FALSE()))-(AI107/VLOOKUP(AB107,discount,2,FALSE()))</f>
        <v>#N/A</v>
      </c>
      <c r="AF107" s="253" t="e">
        <f aca="false">xSPRDOPT(HLOOKUP($D$3,GDPrev,VLOOKUP(Q107,GDmove_down,2,FALSE()),FALSE()),HLOOKUP($E$3,GDPrev,VLOOKUP(Q107,GDmove_down,2,FALSE()),FALSE()),AJ107,VLOOKUP(H107,NGPREVPRICES,4,FALSE()),HLOOKUP($H$3,GDVol,VLOOKUP(H107,move_down,2,FALSE()),FALSE()),HLOOKUP($H$3,GDVol,VLOOKUP(H107,move_down,2,FALSE()),FALSE()),HLOOKUP(E107,GDcorr,VLOOKUP(H107,CorMove,2,FALSE()),FALSE()),Q107-$AC$3,R107,$AI$5)*I107-AI107</f>
        <v>#N/A</v>
      </c>
      <c r="AG107" s="253" t="e">
        <f aca="false">xSPRDOPT(HLOOKUP($D$3,GDPrev,VLOOKUP(Q107,GDmove_down,2,FALSE()),FALSE()),HLOOKUP($E$3,GDPrev,VLOOKUP(Q107,GDmove_down,2,FALSE()),FALSE()),AJ107,VLOOKUP(H107,NGPREVPRICES,4,FALSE()),HLOOKUP($H$3,GDPrevVols,VLOOKUP(Q107,GDmove_down2,2,FALSE()),FALSE()),HLOOKUP($H$3,GDPrevVols,VLOOKUP(Q107,GDmove_down2,2,FALSE()),FALSE()),HLOOKUP(E107,GDcorr,VLOOKUP(H107,CorMove,2,FALSE()),FALSE()),Q107-$C$3,R107,$AI$5)*I107-AI107</f>
        <v>#N/A</v>
      </c>
      <c r="AH107" s="253" t="e">
        <f aca="false">SUM(AC107:AG107)</f>
        <v>#N/A</v>
      </c>
      <c r="AI107" s="253" t="e">
        <f aca="false">xSPRDOPT(HLOOKUP($D$3,GDPrev,VLOOKUP(Q107,GDmove_down,2,FALSE()),FALSE()),HLOOKUP($E$3,GDPrev,VLOOKUP(Q107,GDmove_down,2,FALSE()),FALSE()),AJ107,VLOOKUP(H107,NGPREVPRICES,4,FALSE()),HLOOKUP($H$3,GDPrevVols,VLOOKUP(Q107,GDmove_down2,2,FALSE()),FALSE()),HLOOKUP($H$3,GDPrevVols,VLOOKUP(Q107,GDmove_down2,2,FALSE()),FALSE()),HLOOKUP(E107,GDcorr,VLOOKUP(H107,CorMove,2,FALSE()),FALSE()),Q107-$AC$3,R107,$AI$5)*I107</f>
        <v>#N/A</v>
      </c>
      <c r="AJ107" s="254" t="e">
        <f aca="false">HLOOKUP(D107,PREVCURVES,VLOOKUP(H107,MOVE_DOWN2,2,FALSE()),FALSE())-HLOOKUP(E107,PREVCURVES,VLOOKUP(H107,MOVE_DOWN2,2,FALSE()),FALSE())</f>
        <v>#N/A</v>
      </c>
      <c r="AK107" s="253"/>
      <c r="AL107" s="0" t="str">
        <f aca="false">CONCATENATE(AB107,$AC$6)</f>
        <v>36678Curve Shift/Gamma</v>
      </c>
      <c r="AM107" s="0" t="str">
        <f aca="false">CONCATENATE($AB107,$AD$6)</f>
        <v>36678Rho</v>
      </c>
      <c r="AN107" s="0" t="str">
        <f aca="false">CONCATENATE($AB107,$AE$6)</f>
        <v>36678Drift</v>
      </c>
      <c r="AO107" s="0" t="str">
        <f aca="false">CONCATENATE($AB107,$AF$6)</f>
        <v>36678Vega</v>
      </c>
      <c r="AP107" s="0" t="str">
        <f aca="false">CONCATENATE($AB107,$AG$6)</f>
        <v>36678Theta</v>
      </c>
      <c r="AZ107" s="143" t="n">
        <f aca="false">EOMONTH(AZ106,0)+1</f>
        <v>39203</v>
      </c>
      <c r="BA107" s="135"/>
      <c r="BG107" s="285" t="n">
        <v>39539</v>
      </c>
      <c r="BH107" s="0" t="n">
        <v>0.985</v>
      </c>
      <c r="BJ107" s="285" t="n">
        <v>39539</v>
      </c>
      <c r="BK107" s="0" t="n">
        <v>104</v>
      </c>
    </row>
    <row r="108" customFormat="false" ht="12" hidden="false" customHeight="true" outlineLevel="0" collapsed="false">
      <c r="A108" s="267" t="s">
        <v>196</v>
      </c>
      <c r="B108" s="269" t="s">
        <v>192</v>
      </c>
      <c r="C108" s="269" t="s">
        <v>491</v>
      </c>
      <c r="D108" s="269" t="s">
        <v>137</v>
      </c>
      <c r="E108" s="7" t="s">
        <v>483</v>
      </c>
      <c r="F108" s="269" t="s">
        <v>131</v>
      </c>
      <c r="G108" s="269" t="s">
        <v>136</v>
      </c>
      <c r="H108" s="286" t="n">
        <v>36678</v>
      </c>
      <c r="I108" s="272" t="n">
        <v>-10000</v>
      </c>
      <c r="J108" s="125" t="n">
        <v>0.46</v>
      </c>
      <c r="K108" s="124" t="n">
        <f aca="false">HLOOKUP($D$3,GDPRICES,VLOOKUP(Q108,GDmove_down,2,FALSE()),FALSE())</f>
        <v>4.765</v>
      </c>
      <c r="L108" s="124" t="n">
        <f aca="false">HLOOKUP($E$3,GDPRICES,VLOOKUP(Q108,GDmove_down,2,FALSE()),FALSE())</f>
        <v>3.46</v>
      </c>
      <c r="M108" s="126" t="n">
        <v>1</v>
      </c>
      <c r="N108" s="7" t="n">
        <v>0.515</v>
      </c>
      <c r="O108" s="7" t="n">
        <v>0.515</v>
      </c>
      <c r="P108" s="249" t="e">
        <f aca="false">HLOOKUP(E108,GDcorr,VLOOKUP(H108,GDCorMove,2,FALSE()),FALSE())</f>
        <v>#N/A</v>
      </c>
      <c r="Q108" s="92" t="n">
        <v>36692</v>
      </c>
      <c r="R108" s="7" t="n">
        <f aca="false">IF(G108="P",0,1)</f>
        <v>1</v>
      </c>
      <c r="S108" s="130" t="e">
        <f aca="false">xSPRDOPT($K108,$L108,$J108,$M108,$N108,$O108,$P108,$Q108-$C$3,$R108,0)</f>
        <v>#NAME?</v>
      </c>
      <c r="T108" s="250" t="e">
        <f aca="false">xSPRDOPT($K108,$L108,$J108,$M108,$N108,$O108,$P108,$Q108-$C$3,$R108,1)*I108</f>
        <v>#NAME?</v>
      </c>
      <c r="U108" s="43" t="n">
        <v>-3250</v>
      </c>
      <c r="V108" s="250" t="e">
        <f aca="false">xSPRDOPT($K108,$L108,$J108,$M108,$N108,$O108,$P108,$Q108-$C$3,$R108,2)*I108</f>
        <v>#NAME?</v>
      </c>
      <c r="W108" s="250" t="e">
        <f aca="false">+V108+T108</f>
        <v>#NAME?</v>
      </c>
      <c r="X108" s="2" t="str">
        <f aca="false">CONCATENATE(H108,E108)</f>
        <v>36678IF-ELPO/SJ</v>
      </c>
      <c r="Y108" s="251" t="n">
        <f aca="false">I108/10000</f>
        <v>-1</v>
      </c>
      <c r="AA108" s="2"/>
      <c r="AB108" s="182" t="n">
        <f aca="false">H108</f>
        <v>36678</v>
      </c>
      <c r="AC108" s="253" t="e">
        <f aca="false">xSPRDOPT(HLOOKUP($D$3,GDPRICES,VLOOKUP(Q108,GDmove_down,2,FALSE()),FALSE()),HLOOKUP($E$3,GDPRICES,VLOOKUP(Q108,GDmove_down,2,FALSE()),FALSE()),J108,VLOOKUP(H108,NGPREVPRICES,4,FALSE()),HLOOKUP($H$3,GDPrevVols,VLOOKUP(Q108,GDmove_down2,2,FALSE()),FALSE()),HLOOKUP($H$3,GDPrevVols,VLOOKUP(Q108,GDmove_down2,2,FALSE()),FALSE()),HLOOKUP(E108,GDcorr,VLOOKUP(H108,CorMove,2,FALSE()),FALSE()),Q108-$AC$3,R108,$AC$5)*I108-AI108</f>
        <v>#N/A</v>
      </c>
      <c r="AD108" s="253" t="e">
        <f aca="false">xSPRDOPT(HLOOKUP($D$3,GDPrev,VLOOKUP(Q108,GDmove_down,2,FALSE()),FALSE()),HLOOKUP($E$3,GDPrev,VLOOKUP(Q108,GDmove_down,2,FALSE()),FALSE()),AJ108,VLOOKUP(H108,NGPrices,4,FALSE()),HLOOKUP($H$3,GDPrevVols,VLOOKUP(Q108,GDmove_down2,2,FALSE()),FALSE()),HLOOKUP($H$3,GDPrevVols,VLOOKUP(Q108,GDmove_down2,2,FALSE()),FALSE()),HLOOKUP(E108,GDcorr,VLOOKUP(H108,CorMove,2,FALSE()),FALSE()),Q108-$AC$3,R108,$AI$5)*I108-AI108</f>
        <v>#N/A</v>
      </c>
      <c r="AE108" s="132" t="e">
        <f aca="false">(AI108/VLOOKUP(AB108,discount,3,FALSE()))-(AI108/VLOOKUP(AB108,discount,2,FALSE()))</f>
        <v>#N/A</v>
      </c>
      <c r="AF108" s="253" t="e">
        <f aca="false">xSPRDOPT(HLOOKUP($D$3,GDPrev,VLOOKUP(Q108,GDmove_down,2,FALSE()),FALSE()),HLOOKUP($E$3,GDPrev,VLOOKUP(Q108,GDmove_down,2,FALSE()),FALSE()),AJ108,VLOOKUP(H108,NGPREVPRICES,4,FALSE()),HLOOKUP($H$3,GDVol,VLOOKUP(H108,move_down,2,FALSE()),FALSE()),HLOOKUP($H$3,GDVol,VLOOKUP(H108,move_down,2,FALSE()),FALSE()),HLOOKUP(E108,GDcorr,VLOOKUP(H108,CorMove,2,FALSE()),FALSE()),Q108-$AC$3,R108,$AI$5)*I108-AI108</f>
        <v>#N/A</v>
      </c>
      <c r="AG108" s="253" t="e">
        <f aca="false">xSPRDOPT(HLOOKUP($D$3,GDPrev,VLOOKUP(Q108,GDmove_down,2,FALSE()),FALSE()),HLOOKUP($E$3,GDPrev,VLOOKUP(Q108,GDmove_down,2,FALSE()),FALSE()),AJ108,VLOOKUP(H108,NGPREVPRICES,4,FALSE()),HLOOKUP($H$3,GDPrevVols,VLOOKUP(Q108,GDmove_down2,2,FALSE()),FALSE()),HLOOKUP($H$3,GDPrevVols,VLOOKUP(Q108,GDmove_down2,2,FALSE()),FALSE()),HLOOKUP(E108,GDcorr,VLOOKUP(H108,CorMove,2,FALSE()),FALSE()),Q108-$C$3,R108,$AI$5)*I108-AI108</f>
        <v>#N/A</v>
      </c>
      <c r="AH108" s="253" t="e">
        <f aca="false">SUM(AC108:AG108)</f>
        <v>#N/A</v>
      </c>
      <c r="AI108" s="253" t="e">
        <f aca="false">xSPRDOPT(HLOOKUP($D$3,GDPrev,VLOOKUP(Q108,GDmove_down,2,FALSE()),FALSE()),HLOOKUP($E$3,GDPrev,VLOOKUP(Q108,GDmove_down,2,FALSE()),FALSE()),AJ108,VLOOKUP(H108,NGPREVPRICES,4,FALSE()),HLOOKUP($H$3,GDPrevVols,VLOOKUP(Q108,GDmove_down2,2,FALSE()),FALSE()),HLOOKUP($H$3,GDPrevVols,VLOOKUP(Q108,GDmove_down2,2,FALSE()),FALSE()),HLOOKUP(E108,GDcorr,VLOOKUP(H108,CorMove,2,FALSE()),FALSE()),Q108-$AC$3,R108,$AI$5)*I108</f>
        <v>#N/A</v>
      </c>
      <c r="AJ108" s="254" t="e">
        <f aca="false">HLOOKUP(D108,PREVCURVES,VLOOKUP(H108,MOVE_DOWN2,2,FALSE()),FALSE())-HLOOKUP(E108,PREVCURVES,VLOOKUP(H108,MOVE_DOWN2,2,FALSE()),FALSE())</f>
        <v>#N/A</v>
      </c>
      <c r="AK108" s="253"/>
      <c r="AL108" s="0" t="str">
        <f aca="false">CONCATENATE(AB108,$AC$6)</f>
        <v>36678Curve Shift/Gamma</v>
      </c>
      <c r="AM108" s="0" t="str">
        <f aca="false">CONCATENATE($AB108,$AD$6)</f>
        <v>36678Rho</v>
      </c>
      <c r="AN108" s="0" t="str">
        <f aca="false">CONCATENATE($AB108,$AE$6)</f>
        <v>36678Drift</v>
      </c>
      <c r="AO108" s="0" t="str">
        <f aca="false">CONCATENATE($AB108,$AF$6)</f>
        <v>36678Vega</v>
      </c>
      <c r="AP108" s="0" t="str">
        <f aca="false">CONCATENATE($AB108,$AG$6)</f>
        <v>36678Theta</v>
      </c>
      <c r="AZ108" s="143" t="n">
        <f aca="false">EOMONTH(AZ107,0)+1</f>
        <v>39234</v>
      </c>
      <c r="BA108" s="135"/>
      <c r="BG108" s="285" t="n">
        <v>39569</v>
      </c>
      <c r="BH108" s="0" t="n">
        <v>0.985</v>
      </c>
      <c r="BJ108" s="285" t="n">
        <v>39569</v>
      </c>
      <c r="BK108" s="0" t="n">
        <v>105</v>
      </c>
    </row>
    <row r="109" customFormat="false" ht="12" hidden="false" customHeight="true" outlineLevel="0" collapsed="false">
      <c r="A109" s="267" t="s">
        <v>198</v>
      </c>
      <c r="B109" s="269" t="s">
        <v>192</v>
      </c>
      <c r="C109" s="269" t="s">
        <v>492</v>
      </c>
      <c r="D109" s="269" t="s">
        <v>137</v>
      </c>
      <c r="E109" s="7" t="s">
        <v>483</v>
      </c>
      <c r="F109" s="269" t="s">
        <v>131</v>
      </c>
      <c r="G109" s="269" t="s">
        <v>136</v>
      </c>
      <c r="H109" s="286" t="n">
        <v>36678</v>
      </c>
      <c r="I109" s="272" t="n">
        <v>50000</v>
      </c>
      <c r="J109" s="125" t="n">
        <v>0.46</v>
      </c>
      <c r="K109" s="124" t="n">
        <f aca="false">HLOOKUP($D$3,GDPRICES,VLOOKUP(Q109,GDmove_down,2,FALSE()),FALSE())</f>
        <v>4.765</v>
      </c>
      <c r="L109" s="124" t="n">
        <f aca="false">HLOOKUP($E$3,GDPRICES,VLOOKUP(Q109,GDmove_down,2,FALSE()),FALSE())</f>
        <v>3.46</v>
      </c>
      <c r="M109" s="126" t="n">
        <v>1</v>
      </c>
      <c r="N109" s="7" t="n">
        <v>0.515</v>
      </c>
      <c r="O109" s="7" t="n">
        <v>0.515</v>
      </c>
      <c r="P109" s="249" t="e">
        <f aca="false">HLOOKUP(E109,GDcorr,VLOOKUP(H109,GDCorMove,2,FALSE()),FALSE())</f>
        <v>#N/A</v>
      </c>
      <c r="Q109" s="92" t="n">
        <v>36692</v>
      </c>
      <c r="R109" s="7" t="n">
        <f aca="false">IF(G109="P",0,1)</f>
        <v>1</v>
      </c>
      <c r="S109" s="130" t="e">
        <f aca="false">xSPRDOPT($K109,$L109,$J109,$M109,$N109,$O109,$P109,$Q109-$C$3,$R109,0)</f>
        <v>#NAME?</v>
      </c>
      <c r="T109" s="250" t="e">
        <f aca="false">xSPRDOPT($K109,$L109,$J109,$M109,$N109,$O109,$P109,$Q109-$C$3,$R109,1)*I109</f>
        <v>#NAME?</v>
      </c>
      <c r="U109" s="43" t="n">
        <v>16250</v>
      </c>
      <c r="V109" s="250" t="e">
        <f aca="false">xSPRDOPT($K109,$L109,$J109,$M109,$N109,$O109,$P109,$Q109-$C$3,$R109,2)*I109</f>
        <v>#NAME?</v>
      </c>
      <c r="W109" s="250" t="e">
        <f aca="false">+V109+T109</f>
        <v>#NAME?</v>
      </c>
      <c r="X109" s="2" t="str">
        <f aca="false">CONCATENATE(H109,E109)</f>
        <v>36678IF-ELPO/SJ</v>
      </c>
      <c r="Y109" s="251" t="n">
        <f aca="false">I109/10000</f>
        <v>5</v>
      </c>
      <c r="Z109" s="2"/>
      <c r="AA109" s="2"/>
      <c r="AB109" s="182" t="n">
        <f aca="false">H109</f>
        <v>36678</v>
      </c>
      <c r="AC109" s="253" t="e">
        <f aca="false">xSPRDOPT(HLOOKUP($D$3,GDPRICES,VLOOKUP(Q109,GDmove_down,2,FALSE()),FALSE()),HLOOKUP($E$3,GDPRICES,VLOOKUP(Q109,GDmove_down,2,FALSE()),FALSE()),J109,VLOOKUP(H109,NGPREVPRICES,4,FALSE()),HLOOKUP($H$3,GDPrevVols,VLOOKUP(Q109,GDmove_down2,2,FALSE()),FALSE()),HLOOKUP($H$3,GDPrevVols,VLOOKUP(Q109,GDmove_down2,2,FALSE()),FALSE()),HLOOKUP(E109,GDcorr,VLOOKUP(H109,CorMove,2,FALSE()),FALSE()),Q109-$AC$3,R109,$AC$5)*I109-AI109</f>
        <v>#N/A</v>
      </c>
      <c r="AD109" s="253" t="e">
        <f aca="false">xSPRDOPT(HLOOKUP($D$3,GDPrev,VLOOKUP(Q109,GDmove_down,2,FALSE()),FALSE()),HLOOKUP($E$3,GDPrev,VLOOKUP(Q109,GDmove_down,2,FALSE()),FALSE()),AJ109,VLOOKUP(H109,NGPrices,4,FALSE()),HLOOKUP($H$3,GDPrevVols,VLOOKUP(Q109,GDmove_down2,2,FALSE()),FALSE()),HLOOKUP($H$3,GDPrevVols,VLOOKUP(Q109,GDmove_down2,2,FALSE()),FALSE()),HLOOKUP(E109,GDcorr,VLOOKUP(H109,CorMove,2,FALSE()),FALSE()),Q109-$AC$3,R109,$AI$5)*I109-AI109</f>
        <v>#N/A</v>
      </c>
      <c r="AE109" s="132" t="e">
        <f aca="false">(AI109/VLOOKUP(AB109,discount,3,FALSE()))-(AI109/VLOOKUP(AB109,discount,2,FALSE()))</f>
        <v>#N/A</v>
      </c>
      <c r="AF109" s="253" t="e">
        <f aca="false">xSPRDOPT(HLOOKUP($D$3,GDPrev,VLOOKUP(Q109,GDmove_down,2,FALSE()),FALSE()),HLOOKUP($E$3,GDPrev,VLOOKUP(Q109,GDmove_down,2,FALSE()),FALSE()),AJ109,VLOOKUP(H109,NGPREVPRICES,4,FALSE()),HLOOKUP($H$3,GDVol,VLOOKUP(H109,move_down,2,FALSE()),FALSE()),HLOOKUP($H$3,GDVol,VLOOKUP(H109,move_down,2,FALSE()),FALSE()),HLOOKUP(E109,GDcorr,VLOOKUP(H109,CorMove,2,FALSE()),FALSE()),Q109-$AC$3,R109,$AI$5)*I109-AI109</f>
        <v>#N/A</v>
      </c>
      <c r="AG109" s="253" t="e">
        <f aca="false">xSPRDOPT(HLOOKUP($D$3,GDPrev,VLOOKUP(Q109,GDmove_down,2,FALSE()),FALSE()),HLOOKUP($E$3,GDPrev,VLOOKUP(Q109,GDmove_down,2,FALSE()),FALSE()),AJ109,VLOOKUP(H109,NGPREVPRICES,4,FALSE()),HLOOKUP($H$3,GDPrevVols,VLOOKUP(Q109,GDmove_down2,2,FALSE()),FALSE()),HLOOKUP($H$3,GDPrevVols,VLOOKUP(Q109,GDmove_down2,2,FALSE()),FALSE()),HLOOKUP(E109,GDcorr,VLOOKUP(H109,CorMove,2,FALSE()),FALSE()),Q109-$C$3,R109,$AI$5)*I109-AI109</f>
        <v>#N/A</v>
      </c>
      <c r="AH109" s="253" t="e">
        <f aca="false">SUM(AC109:AG109)</f>
        <v>#N/A</v>
      </c>
      <c r="AI109" s="253" t="e">
        <f aca="false">xSPRDOPT(HLOOKUP($D$3,GDPrev,VLOOKUP(Q109,GDmove_down,2,FALSE()),FALSE()),HLOOKUP($E$3,GDPrev,VLOOKUP(Q109,GDmove_down,2,FALSE()),FALSE()),AJ109,VLOOKUP(H109,NGPREVPRICES,4,FALSE()),HLOOKUP($H$3,GDPrevVols,VLOOKUP(Q109,GDmove_down2,2,FALSE()),FALSE()),HLOOKUP($H$3,GDPrevVols,VLOOKUP(Q109,GDmove_down2,2,FALSE()),FALSE()),HLOOKUP(E109,GDcorr,VLOOKUP(H109,CorMove,2,FALSE()),FALSE()),Q109-$AC$3,R109,$AI$5)*I109</f>
        <v>#N/A</v>
      </c>
      <c r="AJ109" s="254" t="e">
        <f aca="false">HLOOKUP(D109,PREVCURVES,VLOOKUP(H109,MOVE_DOWN2,2,FALSE()),FALSE())-HLOOKUP(E109,PREVCURVES,VLOOKUP(H109,MOVE_DOWN2,2,FALSE()),FALSE())</f>
        <v>#N/A</v>
      </c>
      <c r="AK109" s="253"/>
      <c r="AL109" s="0" t="str">
        <f aca="false">CONCATENATE(AB109,$AC$6)</f>
        <v>36678Curve Shift/Gamma</v>
      </c>
      <c r="AM109" s="0" t="str">
        <f aca="false">CONCATENATE($AB109,$AD$6)</f>
        <v>36678Rho</v>
      </c>
      <c r="AN109" s="0" t="str">
        <f aca="false">CONCATENATE($AB109,$AE$6)</f>
        <v>36678Drift</v>
      </c>
      <c r="AO109" s="0" t="str">
        <f aca="false">CONCATENATE($AB109,$AF$6)</f>
        <v>36678Vega</v>
      </c>
      <c r="AP109" s="0" t="str">
        <f aca="false">CONCATENATE($AB109,$AG$6)</f>
        <v>36678Theta</v>
      </c>
      <c r="AZ109" s="143" t="n">
        <f aca="false">EOMONTH(AZ108,0)+1</f>
        <v>39264</v>
      </c>
      <c r="BA109" s="135"/>
      <c r="BG109" s="285" t="n">
        <v>39600</v>
      </c>
      <c r="BH109" s="0" t="n">
        <v>0.985</v>
      </c>
      <c r="BJ109" s="285" t="n">
        <v>39600</v>
      </c>
      <c r="BK109" s="0" t="n">
        <v>106</v>
      </c>
    </row>
    <row r="110" customFormat="false" ht="12" hidden="false" customHeight="true" outlineLevel="0" collapsed="false">
      <c r="A110" s="267" t="s">
        <v>198</v>
      </c>
      <c r="B110" s="269" t="s">
        <v>192</v>
      </c>
      <c r="C110" s="269" t="s">
        <v>493</v>
      </c>
      <c r="D110" s="269" t="s">
        <v>137</v>
      </c>
      <c r="E110" s="7" t="s">
        <v>483</v>
      </c>
      <c r="F110" s="269" t="s">
        <v>131</v>
      </c>
      <c r="G110" s="269" t="s">
        <v>136</v>
      </c>
      <c r="H110" s="286" t="n">
        <v>36678</v>
      </c>
      <c r="I110" s="272" t="n">
        <v>50000</v>
      </c>
      <c r="J110" s="125" t="n">
        <v>0.46</v>
      </c>
      <c r="K110" s="124" t="n">
        <f aca="false">HLOOKUP($D$3,GDPRICES,VLOOKUP(Q110,GDmove_down,2,FALSE()),FALSE())</f>
        <v>4.765</v>
      </c>
      <c r="L110" s="124" t="n">
        <f aca="false">HLOOKUP($E$3,GDPRICES,VLOOKUP(Q110,GDmove_down,2,FALSE()),FALSE())</f>
        <v>3.46</v>
      </c>
      <c r="M110" s="126" t="n">
        <v>1</v>
      </c>
      <c r="N110" s="7" t="n">
        <v>0.515</v>
      </c>
      <c r="O110" s="7" t="n">
        <v>0.515</v>
      </c>
      <c r="P110" s="249" t="e">
        <f aca="false">HLOOKUP(E110,GDcorr,VLOOKUP(H110,GDCorMove,2,FALSE()),FALSE())</f>
        <v>#N/A</v>
      </c>
      <c r="Q110" s="92" t="n">
        <v>36692</v>
      </c>
      <c r="R110" s="7" t="n">
        <f aca="false">IF(G110="P",0,1)</f>
        <v>1</v>
      </c>
      <c r="S110" s="130" t="e">
        <f aca="false">xSPRDOPT($K110,$L110,$J110,$M110,$N110,$O110,$P110,$Q110-$C$3,$R110,0)</f>
        <v>#NAME?</v>
      </c>
      <c r="T110" s="250" t="e">
        <f aca="false">xSPRDOPT($K110,$L110,$J110,$M110,$N110,$O110,$P110,$Q110-$C$3,$R110,1)*I110</f>
        <v>#NAME?</v>
      </c>
      <c r="U110" s="43" t="n">
        <v>16250</v>
      </c>
      <c r="V110" s="250" t="e">
        <f aca="false">xSPRDOPT($K110,$L110,$J110,$M110,$N110,$O110,$P110,$Q110-$C$3,$R110,2)*I110</f>
        <v>#NAME?</v>
      </c>
      <c r="W110" s="250" t="e">
        <f aca="false">+V110+T110</f>
        <v>#NAME?</v>
      </c>
      <c r="X110" s="2" t="str">
        <f aca="false">CONCATENATE(H110,E110)</f>
        <v>36678IF-ELPO/SJ</v>
      </c>
      <c r="Y110" s="251" t="n">
        <f aca="false">I110/10000</f>
        <v>5</v>
      </c>
      <c r="Z110" s="2"/>
      <c r="AA110" s="2"/>
      <c r="AB110" s="182" t="n">
        <f aca="false">H110</f>
        <v>36678</v>
      </c>
      <c r="AC110" s="253" t="e">
        <f aca="false">xSPRDOPT(HLOOKUP($D$3,GDPRICES,VLOOKUP(Q110,GDmove_down,2,FALSE()),FALSE()),HLOOKUP($E$3,GDPRICES,VLOOKUP(Q110,GDmove_down,2,FALSE()),FALSE()),J110,VLOOKUP(H110,NGPREVPRICES,4,FALSE()),HLOOKUP($H$3,GDPrevVols,VLOOKUP(Q110,GDmove_down2,2,FALSE()),FALSE()),HLOOKUP($H$3,GDPrevVols,VLOOKUP(Q110,GDmove_down2,2,FALSE()),FALSE()),HLOOKUP(E110,GDcorr,VLOOKUP(H110,CorMove,2,FALSE()),FALSE()),Q110-$AC$3,R110,$AC$5)*I110-AI110</f>
        <v>#N/A</v>
      </c>
      <c r="AD110" s="253" t="e">
        <f aca="false">xSPRDOPT(HLOOKUP($D$3,GDPrev,VLOOKUP(Q110,GDmove_down,2,FALSE()),FALSE()),HLOOKUP($E$3,GDPrev,VLOOKUP(Q110,GDmove_down,2,FALSE()),FALSE()),AJ110,VLOOKUP(H110,NGPrices,4,FALSE()),HLOOKUP($H$3,GDPrevVols,VLOOKUP(Q110,GDmove_down2,2,FALSE()),FALSE()),HLOOKUP($H$3,GDPrevVols,VLOOKUP(Q110,GDmove_down2,2,FALSE()),FALSE()),HLOOKUP(E110,GDcorr,VLOOKUP(H110,CorMove,2,FALSE()),FALSE()),Q110-$AC$3,R110,$AI$5)*I110-AI110</f>
        <v>#N/A</v>
      </c>
      <c r="AE110" s="132" t="e">
        <f aca="false">(AI110/VLOOKUP(AB110,discount,3,FALSE()))-(AI110/VLOOKUP(AB110,discount,2,FALSE()))</f>
        <v>#N/A</v>
      </c>
      <c r="AF110" s="253" t="e">
        <f aca="false">xSPRDOPT(HLOOKUP($D$3,GDPrev,VLOOKUP(Q110,GDmove_down,2,FALSE()),FALSE()),HLOOKUP($E$3,GDPrev,VLOOKUP(Q110,GDmove_down,2,FALSE()),FALSE()),AJ110,VLOOKUP(H110,NGPREVPRICES,4,FALSE()),HLOOKUP($H$3,GDVol,VLOOKUP(H110,move_down,2,FALSE()),FALSE()),HLOOKUP($H$3,GDVol,VLOOKUP(H110,move_down,2,FALSE()),FALSE()),HLOOKUP(E110,GDcorr,VLOOKUP(H110,CorMove,2,FALSE()),FALSE()),Q110-$AC$3,R110,$AI$5)*I110-AI110</f>
        <v>#N/A</v>
      </c>
      <c r="AG110" s="253" t="e">
        <f aca="false">xSPRDOPT(HLOOKUP($D$3,GDPrev,VLOOKUP(Q110,GDmove_down,2,FALSE()),FALSE()),HLOOKUP($E$3,GDPrev,VLOOKUP(Q110,GDmove_down,2,FALSE()),FALSE()),AJ110,VLOOKUP(H110,NGPREVPRICES,4,FALSE()),HLOOKUP($H$3,GDPrevVols,VLOOKUP(Q110,GDmove_down2,2,FALSE()),FALSE()),HLOOKUP($H$3,GDPrevVols,VLOOKUP(Q110,GDmove_down2,2,FALSE()),FALSE()),HLOOKUP(E110,GDcorr,VLOOKUP(H110,CorMove,2,FALSE()),FALSE()),Q110-$C$3,R110,$AI$5)*I110-AI110</f>
        <v>#N/A</v>
      </c>
      <c r="AH110" s="253" t="e">
        <f aca="false">SUM(AC110:AG110)</f>
        <v>#N/A</v>
      </c>
      <c r="AI110" s="253" t="e">
        <f aca="false">xSPRDOPT(HLOOKUP($D$3,GDPrev,VLOOKUP(Q110,GDmove_down,2,FALSE()),FALSE()),HLOOKUP($E$3,GDPrev,VLOOKUP(Q110,GDmove_down,2,FALSE()),FALSE()),AJ110,VLOOKUP(H110,NGPREVPRICES,4,FALSE()),HLOOKUP($H$3,GDPrevVols,VLOOKUP(Q110,GDmove_down2,2,FALSE()),FALSE()),HLOOKUP($H$3,GDPrevVols,VLOOKUP(Q110,GDmove_down2,2,FALSE()),FALSE()),HLOOKUP(E110,GDcorr,VLOOKUP(H110,CorMove,2,FALSE()),FALSE()),Q110-$AC$3,R110,$AI$5)*I110</f>
        <v>#N/A</v>
      </c>
      <c r="AJ110" s="254" t="e">
        <f aca="false">HLOOKUP(D110,PREVCURVES,VLOOKUP(H110,MOVE_DOWN2,2,FALSE()),FALSE())-HLOOKUP(E110,PREVCURVES,VLOOKUP(H110,MOVE_DOWN2,2,FALSE()),FALSE())</f>
        <v>#N/A</v>
      </c>
      <c r="AK110" s="253"/>
      <c r="AL110" s="0" t="str">
        <f aca="false">CONCATENATE(AB110,$AC$6)</f>
        <v>36678Curve Shift/Gamma</v>
      </c>
      <c r="AM110" s="0" t="str">
        <f aca="false">CONCATENATE($AB110,$AD$6)</f>
        <v>36678Rho</v>
      </c>
      <c r="AN110" s="0" t="str">
        <f aca="false">CONCATENATE($AB110,$AE$6)</f>
        <v>36678Drift</v>
      </c>
      <c r="AO110" s="0" t="str">
        <f aca="false">CONCATENATE($AB110,$AF$6)</f>
        <v>36678Vega</v>
      </c>
      <c r="AP110" s="0" t="str">
        <f aca="false">CONCATENATE($AB110,$AG$6)</f>
        <v>36678Theta</v>
      </c>
      <c r="AZ110" s="143" t="n">
        <f aca="false">EOMONTH(AZ109,0)+1</f>
        <v>39295</v>
      </c>
      <c r="BA110" s="135"/>
      <c r="BG110" s="285" t="n">
        <v>39630</v>
      </c>
      <c r="BH110" s="0" t="n">
        <v>0.985</v>
      </c>
      <c r="BJ110" s="285" t="n">
        <v>39630</v>
      </c>
      <c r="BK110" s="0" t="n">
        <v>107</v>
      </c>
    </row>
    <row r="111" customFormat="false" ht="12" hidden="false" customHeight="true" outlineLevel="0" collapsed="false">
      <c r="A111" s="267" t="s">
        <v>198</v>
      </c>
      <c r="B111" s="269" t="s">
        <v>192</v>
      </c>
      <c r="C111" s="269" t="s">
        <v>494</v>
      </c>
      <c r="D111" s="269" t="s">
        <v>137</v>
      </c>
      <c r="E111" s="7" t="s">
        <v>483</v>
      </c>
      <c r="F111" s="269" t="s">
        <v>131</v>
      </c>
      <c r="G111" s="269" t="s">
        <v>136</v>
      </c>
      <c r="H111" s="286" t="n">
        <v>36678</v>
      </c>
      <c r="I111" s="272" t="n">
        <v>-10000</v>
      </c>
      <c r="J111" s="125" t="n">
        <v>0.46</v>
      </c>
      <c r="K111" s="124" t="n">
        <f aca="false">HLOOKUP($D$3,GDPRICES,VLOOKUP(Q111,GDmove_down,2,FALSE()),FALSE())</f>
        <v>4.765</v>
      </c>
      <c r="L111" s="124" t="n">
        <f aca="false">HLOOKUP($E$3,GDPRICES,VLOOKUP(Q111,GDmove_down,2,FALSE()),FALSE())</f>
        <v>3.46</v>
      </c>
      <c r="M111" s="126" t="n">
        <v>1</v>
      </c>
      <c r="N111" s="7" t="n">
        <v>0.515</v>
      </c>
      <c r="O111" s="7" t="n">
        <v>0.515</v>
      </c>
      <c r="P111" s="249" t="e">
        <f aca="false">HLOOKUP(E111,GDcorr,VLOOKUP(H111,GDCorMove,2,FALSE()),FALSE())</f>
        <v>#N/A</v>
      </c>
      <c r="Q111" s="92" t="n">
        <v>36692</v>
      </c>
      <c r="R111" s="7" t="n">
        <f aca="false">IF(G111="P",0,1)</f>
        <v>1</v>
      </c>
      <c r="S111" s="130" t="e">
        <f aca="false">xSPRDOPT($K111,$L111,$J111,$M111,$N111,$O111,$P111,$Q111-$C$3,$R111,0)</f>
        <v>#NAME?</v>
      </c>
      <c r="T111" s="250" t="e">
        <f aca="false">xSPRDOPT($K111,$L111,$J111,$M111,$N111,$O111,$P111,$Q111-$C$3,$R111,1)*I111</f>
        <v>#NAME?</v>
      </c>
      <c r="U111" s="43" t="n">
        <v>-3250</v>
      </c>
      <c r="V111" s="250" t="e">
        <f aca="false">xSPRDOPT($K111,$L111,$J111,$M111,$N111,$O111,$P111,$Q111-$C$3,$R111,2)*I111</f>
        <v>#NAME?</v>
      </c>
      <c r="W111" s="250" t="e">
        <f aca="false">+V111+T111</f>
        <v>#NAME?</v>
      </c>
      <c r="X111" s="2" t="str">
        <f aca="false">CONCATENATE(H111,E111)</f>
        <v>36678IF-ELPO/SJ</v>
      </c>
      <c r="Y111" s="251" t="n">
        <f aca="false">I111/10000</f>
        <v>-1</v>
      </c>
      <c r="Z111" s="2"/>
      <c r="AA111" s="2"/>
      <c r="AB111" s="182" t="n">
        <f aca="false">H111</f>
        <v>36678</v>
      </c>
      <c r="AC111" s="253" t="e">
        <f aca="false">xSPRDOPT(HLOOKUP($D$3,GDPRICES,VLOOKUP(Q111,GDmove_down,2,FALSE()),FALSE()),HLOOKUP($E$3,GDPRICES,VLOOKUP(Q111,GDmove_down,2,FALSE()),FALSE()),J111,VLOOKUP(H111,NGPREVPRICES,4,FALSE()),HLOOKUP($H$3,GDPrevVols,VLOOKUP(Q111,GDmove_down2,2,FALSE()),FALSE()),HLOOKUP($H$3,GDPrevVols,VLOOKUP(Q111,GDmove_down2,2,FALSE()),FALSE()),HLOOKUP(E111,GDcorr,VLOOKUP(H111,CorMove,2,FALSE()),FALSE()),Q111-$AC$3,R111,$AC$5)*I111-AI111</f>
        <v>#N/A</v>
      </c>
      <c r="AD111" s="253" t="e">
        <f aca="false">xSPRDOPT(HLOOKUP($D$3,GDPrev,VLOOKUP(Q111,GDmove_down,2,FALSE()),FALSE()),HLOOKUP($E$3,GDPrev,VLOOKUP(Q111,GDmove_down,2,FALSE()),FALSE()),AJ111,VLOOKUP(H111,NGPrices,4,FALSE()),HLOOKUP($H$3,GDPrevVols,VLOOKUP(Q111,GDmove_down2,2,FALSE()),FALSE()),HLOOKUP($H$3,GDPrevVols,VLOOKUP(Q111,GDmove_down2,2,FALSE()),FALSE()),HLOOKUP(E111,GDcorr,VLOOKUP(H111,CorMove,2,FALSE()),FALSE()),Q111-$AC$3,R111,$AI$5)*I111-AI111</f>
        <v>#N/A</v>
      </c>
      <c r="AE111" s="132" t="e">
        <f aca="false">(AI111/VLOOKUP(AB111,discount,3,FALSE()))-(AI111/VLOOKUP(AB111,discount,2,FALSE()))</f>
        <v>#N/A</v>
      </c>
      <c r="AF111" s="253" t="e">
        <f aca="false">xSPRDOPT(HLOOKUP($D$3,GDPrev,VLOOKUP(Q111,GDmove_down,2,FALSE()),FALSE()),HLOOKUP($E$3,GDPrev,VLOOKUP(Q111,GDmove_down,2,FALSE()),FALSE()),AJ111,VLOOKUP(H111,NGPREVPRICES,4,FALSE()),HLOOKUP($H$3,GDVol,VLOOKUP(H111,move_down,2,FALSE()),FALSE()),HLOOKUP($H$3,GDVol,VLOOKUP(H111,move_down,2,FALSE()),FALSE()),HLOOKUP(E111,GDcorr,VLOOKUP(H111,CorMove,2,FALSE()),FALSE()),Q111-$AC$3,R111,$AI$5)*I111-AI111</f>
        <v>#N/A</v>
      </c>
      <c r="AG111" s="253" t="e">
        <f aca="false">xSPRDOPT(HLOOKUP($D$3,GDPrev,VLOOKUP(Q111,GDmove_down,2,FALSE()),FALSE()),HLOOKUP($E$3,GDPrev,VLOOKUP(Q111,GDmove_down,2,FALSE()),FALSE()),AJ111,VLOOKUP(H111,NGPREVPRICES,4,FALSE()),HLOOKUP($H$3,GDPrevVols,VLOOKUP(Q111,GDmove_down2,2,FALSE()),FALSE()),HLOOKUP($H$3,GDPrevVols,VLOOKUP(Q111,GDmove_down2,2,FALSE()),FALSE()),HLOOKUP(E111,GDcorr,VLOOKUP(H111,CorMove,2,FALSE()),FALSE()),Q111-$C$3,R111,$AI$5)*I111-AI111</f>
        <v>#N/A</v>
      </c>
      <c r="AH111" s="253" t="e">
        <f aca="false">SUM(AC111:AG111)</f>
        <v>#N/A</v>
      </c>
      <c r="AI111" s="253" t="e">
        <f aca="false">xSPRDOPT(HLOOKUP($D$3,GDPrev,VLOOKUP(Q111,GDmove_down,2,FALSE()),FALSE()),HLOOKUP($E$3,GDPrev,VLOOKUP(Q111,GDmove_down,2,FALSE()),FALSE()),AJ111,VLOOKUP(H111,NGPREVPRICES,4,FALSE()),HLOOKUP($H$3,GDPrevVols,VLOOKUP(Q111,GDmove_down2,2,FALSE()),FALSE()),HLOOKUP($H$3,GDPrevVols,VLOOKUP(Q111,GDmove_down2,2,FALSE()),FALSE()),HLOOKUP(E111,GDcorr,VLOOKUP(H111,CorMove,2,FALSE()),FALSE()),Q111-$AC$3,R111,$AI$5)*I111</f>
        <v>#N/A</v>
      </c>
      <c r="AJ111" s="254" t="e">
        <f aca="false">HLOOKUP(D111,PREVCURVES,VLOOKUP(H111,MOVE_DOWN2,2,FALSE()),FALSE())-HLOOKUP(E111,PREVCURVES,VLOOKUP(H111,MOVE_DOWN2,2,FALSE()),FALSE())</f>
        <v>#N/A</v>
      </c>
      <c r="AK111" s="253"/>
      <c r="AL111" s="0" t="str">
        <f aca="false">CONCATENATE(AB111,$AC$6)</f>
        <v>36678Curve Shift/Gamma</v>
      </c>
      <c r="AM111" s="0" t="str">
        <f aca="false">CONCATENATE($AB111,$AD$6)</f>
        <v>36678Rho</v>
      </c>
      <c r="AN111" s="0" t="str">
        <f aca="false">CONCATENATE($AB111,$AE$6)</f>
        <v>36678Drift</v>
      </c>
      <c r="AO111" s="0" t="str">
        <f aca="false">CONCATENATE($AB111,$AF$6)</f>
        <v>36678Vega</v>
      </c>
      <c r="AP111" s="0" t="str">
        <f aca="false">CONCATENATE($AB111,$AG$6)</f>
        <v>36678Theta</v>
      </c>
      <c r="AZ111" s="143" t="n">
        <f aca="false">EOMONTH(AZ110,0)+1</f>
        <v>39326</v>
      </c>
      <c r="BA111" s="135"/>
      <c r="BG111" s="285" t="n">
        <v>39661</v>
      </c>
      <c r="BH111" s="0" t="n">
        <v>0.985</v>
      </c>
      <c r="BJ111" s="285" t="n">
        <v>39661</v>
      </c>
      <c r="BK111" s="0" t="n">
        <v>108</v>
      </c>
    </row>
    <row r="112" customFormat="false" ht="12" hidden="false" customHeight="true" outlineLevel="0" collapsed="false">
      <c r="A112" s="265" t="s">
        <v>198</v>
      </c>
      <c r="B112" s="269" t="s">
        <v>192</v>
      </c>
      <c r="C112" s="269" t="s">
        <v>488</v>
      </c>
      <c r="D112" s="269" t="s">
        <v>137</v>
      </c>
      <c r="E112" s="7" t="s">
        <v>483</v>
      </c>
      <c r="F112" s="269" t="s">
        <v>131</v>
      </c>
      <c r="G112" s="269" t="s">
        <v>136</v>
      </c>
      <c r="H112" s="286" t="n">
        <v>36678</v>
      </c>
      <c r="I112" s="272" t="n">
        <v>-50000</v>
      </c>
      <c r="J112" s="125" t="n">
        <v>0.46</v>
      </c>
      <c r="K112" s="124" t="n">
        <f aca="false">HLOOKUP($D$3,GDPRICES,VLOOKUP(Q112,GDmove_down,2,FALSE()),FALSE())</f>
        <v>4.68</v>
      </c>
      <c r="L112" s="124" t="n">
        <f aca="false">HLOOKUP($E$3,GDPRICES,VLOOKUP(Q112,GDmove_down,2,FALSE()),FALSE())</f>
        <v>3.41</v>
      </c>
      <c r="M112" s="126" t="n">
        <v>1</v>
      </c>
      <c r="N112" s="7" t="n">
        <v>0.515</v>
      </c>
      <c r="O112" s="7" t="n">
        <v>0.515</v>
      </c>
      <c r="P112" s="249" t="e">
        <f aca="false">HLOOKUP(E112,GDcorr,VLOOKUP(H112,GDCorMove,2,FALSE()),FALSE())</f>
        <v>#N/A</v>
      </c>
      <c r="Q112" s="92" t="n">
        <v>36693</v>
      </c>
      <c r="R112" s="7" t="n">
        <f aca="false">IF(G112="P",0,1)</f>
        <v>1</v>
      </c>
      <c r="S112" s="130" t="e">
        <f aca="false">xSPRDOPT($K112,$L112,$J112,$M112,$N112,$O112,$P112,$Q112-$C$3,$R112,0)</f>
        <v>#NAME?</v>
      </c>
      <c r="T112" s="250" t="e">
        <f aca="false">xSPRDOPT($K112,$L112,$J112,$M112,$N112,$O112,$P112,$Q112-$C$3,$R112,1)*I112</f>
        <v>#NAME?</v>
      </c>
      <c r="U112" s="43" t="n">
        <v>-14250</v>
      </c>
      <c r="V112" s="250" t="e">
        <f aca="false">xSPRDOPT($K112,$L112,$J112,$M112,$N112,$O112,$P112,$Q112-$C$3,$R112,2)*I112</f>
        <v>#NAME?</v>
      </c>
      <c r="W112" s="250" t="e">
        <f aca="false">+V112+T112</f>
        <v>#NAME?</v>
      </c>
      <c r="X112" s="2" t="str">
        <f aca="false">CONCATENATE(H112,E112)</f>
        <v>36678IF-ELPO/SJ</v>
      </c>
      <c r="Y112" s="251" t="n">
        <f aca="false">I112/10000</f>
        <v>-5</v>
      </c>
      <c r="Z112" s="2"/>
      <c r="AA112" s="2"/>
      <c r="AB112" s="182" t="n">
        <f aca="false">H112</f>
        <v>36678</v>
      </c>
      <c r="AC112" s="253" t="e">
        <f aca="false">xSPRDOPT(HLOOKUP($D$3,GDPRICES,VLOOKUP(Q112,GDmove_down,2,FALSE()),FALSE()),HLOOKUP($E$3,GDPRICES,VLOOKUP(Q112,GDmove_down,2,FALSE()),FALSE()),J112,VLOOKUP(H112,NGPREVPRICES,4,FALSE()),HLOOKUP($H$3,GDPrevVols,VLOOKUP(Q112,GDmove_down2,2,FALSE()),FALSE()),HLOOKUP($H$3,GDPrevVols,VLOOKUP(Q112,GDmove_down2,2,FALSE()),FALSE()),HLOOKUP(E112,GDcorr,VLOOKUP(H112,CorMove,2,FALSE()),FALSE()),Q112-$AC$3,R112,$AC$5)*I112-AI112</f>
        <v>#N/A</v>
      </c>
      <c r="AD112" s="253" t="e">
        <f aca="false">xSPRDOPT(HLOOKUP($D$3,GDPrev,VLOOKUP(Q112,GDmove_down,2,FALSE()),FALSE()),HLOOKUP($E$3,GDPrev,VLOOKUP(Q112,GDmove_down,2,FALSE()),FALSE()),AJ112,VLOOKUP(H112,NGPrices,4,FALSE()),HLOOKUP($H$3,GDPrevVols,VLOOKUP(Q112,GDmove_down2,2,FALSE()),FALSE()),HLOOKUP($H$3,GDPrevVols,VLOOKUP(Q112,GDmove_down2,2,FALSE()),FALSE()),HLOOKUP(E112,GDcorr,VLOOKUP(H112,CorMove,2,FALSE()),FALSE()),Q112-$AC$3,R112,$AI$5)*I112-AI112</f>
        <v>#N/A</v>
      </c>
      <c r="AE112" s="132" t="e">
        <f aca="false">(AI112/VLOOKUP(AB112,discount,3,FALSE()))-(AI112/VLOOKUP(AB112,discount,2,FALSE()))</f>
        <v>#N/A</v>
      </c>
      <c r="AF112" s="253" t="e">
        <f aca="false">xSPRDOPT(HLOOKUP($D$3,GDPrev,VLOOKUP(Q112,GDmove_down,2,FALSE()),FALSE()),HLOOKUP($E$3,GDPrev,VLOOKUP(Q112,GDmove_down,2,FALSE()),FALSE()),AJ112,VLOOKUP(H112,NGPREVPRICES,4,FALSE()),HLOOKUP($H$3,GDVol,VLOOKUP(H112,move_down,2,FALSE()),FALSE()),HLOOKUP($H$3,GDVol,VLOOKUP(H112,move_down,2,FALSE()),FALSE()),HLOOKUP(E112,GDcorr,VLOOKUP(H112,CorMove,2,FALSE()),FALSE()),Q112-$AC$3,R112,$AI$5)*I112-AI112</f>
        <v>#N/A</v>
      </c>
      <c r="AG112" s="253" t="e">
        <f aca="false">xSPRDOPT(HLOOKUP($D$3,GDPrev,VLOOKUP(Q112,GDmove_down,2,FALSE()),FALSE()),HLOOKUP($E$3,GDPrev,VLOOKUP(Q112,GDmove_down,2,FALSE()),FALSE()),AJ112,VLOOKUP(H112,NGPREVPRICES,4,FALSE()),HLOOKUP($H$3,GDPrevVols,VLOOKUP(Q112,GDmove_down2,2,FALSE()),FALSE()),HLOOKUP($H$3,GDPrevVols,VLOOKUP(Q112,GDmove_down2,2,FALSE()),FALSE()),HLOOKUP(E112,GDcorr,VLOOKUP(H112,CorMove,2,FALSE()),FALSE()),Q112-$C$3,R112,$AI$5)*I112-AI112</f>
        <v>#N/A</v>
      </c>
      <c r="AH112" s="253" t="e">
        <f aca="false">SUM(AC112:AG112)</f>
        <v>#N/A</v>
      </c>
      <c r="AI112" s="253" t="e">
        <f aca="false">xSPRDOPT(HLOOKUP($D$3,GDPrev,VLOOKUP(Q112,GDmove_down,2,FALSE()),FALSE()),HLOOKUP($E$3,GDPrev,VLOOKUP(Q112,GDmove_down,2,FALSE()),FALSE()),AJ112,VLOOKUP(H112,NGPREVPRICES,4,FALSE()),HLOOKUP($H$3,GDPrevVols,VLOOKUP(Q112,GDmove_down2,2,FALSE()),FALSE()),HLOOKUP($H$3,GDPrevVols,VLOOKUP(Q112,GDmove_down2,2,FALSE()),FALSE()),HLOOKUP(E112,GDcorr,VLOOKUP(H112,CorMove,2,FALSE()),FALSE()),Q112-$AC$3,R112,$AI$5)*I112</f>
        <v>#N/A</v>
      </c>
      <c r="AJ112" s="254" t="e">
        <f aca="false">HLOOKUP(D112,PREVCURVES,VLOOKUP(H112,MOVE_DOWN2,2,FALSE()),FALSE())-HLOOKUP(E112,PREVCURVES,VLOOKUP(H112,MOVE_DOWN2,2,FALSE()),FALSE())</f>
        <v>#N/A</v>
      </c>
      <c r="AK112" s="253"/>
      <c r="AL112" s="0" t="str">
        <f aca="false">CONCATENATE(AB112,$AC$6)</f>
        <v>36678Curve Shift/Gamma</v>
      </c>
      <c r="AM112" s="0" t="str">
        <f aca="false">CONCATENATE($AB112,$AD$6)</f>
        <v>36678Rho</v>
      </c>
      <c r="AN112" s="0" t="str">
        <f aca="false">CONCATENATE($AB112,$AE$6)</f>
        <v>36678Drift</v>
      </c>
      <c r="AO112" s="0" t="str">
        <f aca="false">CONCATENATE($AB112,$AF$6)</f>
        <v>36678Vega</v>
      </c>
      <c r="AP112" s="0" t="str">
        <f aca="false">CONCATENATE($AB112,$AG$6)</f>
        <v>36678Theta</v>
      </c>
      <c r="AZ112" s="143" t="n">
        <f aca="false">EOMONTH(AZ111,0)+1</f>
        <v>39356</v>
      </c>
      <c r="BA112" s="135"/>
      <c r="BG112" s="285" t="n">
        <v>39692</v>
      </c>
      <c r="BH112" s="0" t="n">
        <v>0.985</v>
      </c>
      <c r="BJ112" s="285" t="n">
        <v>39692</v>
      </c>
      <c r="BK112" s="0" t="n">
        <v>109</v>
      </c>
    </row>
    <row r="113" customFormat="false" ht="12" hidden="false" customHeight="true" outlineLevel="0" collapsed="false">
      <c r="A113" s="265" t="s">
        <v>198</v>
      </c>
      <c r="B113" s="269" t="s">
        <v>192</v>
      </c>
      <c r="C113" s="269" t="s">
        <v>489</v>
      </c>
      <c r="D113" s="269" t="s">
        <v>137</v>
      </c>
      <c r="E113" s="7" t="s">
        <v>483</v>
      </c>
      <c r="F113" s="269" t="s">
        <v>131</v>
      </c>
      <c r="G113" s="269" t="s">
        <v>136</v>
      </c>
      <c r="H113" s="286" t="n">
        <v>36678</v>
      </c>
      <c r="I113" s="272" t="n">
        <v>10000</v>
      </c>
      <c r="J113" s="125" t="n">
        <v>0.46</v>
      </c>
      <c r="K113" s="124" t="n">
        <f aca="false">HLOOKUP($D$3,GDPRICES,VLOOKUP(Q113,GDmove_down,2,FALSE()),FALSE())</f>
        <v>4.68</v>
      </c>
      <c r="L113" s="124" t="n">
        <f aca="false">HLOOKUP($E$3,GDPRICES,VLOOKUP(Q113,GDmove_down,2,FALSE()),FALSE())</f>
        <v>3.41</v>
      </c>
      <c r="M113" s="126" t="n">
        <v>1</v>
      </c>
      <c r="N113" s="7" t="n">
        <v>0.515</v>
      </c>
      <c r="O113" s="7" t="n">
        <v>0.515</v>
      </c>
      <c r="P113" s="249" t="e">
        <f aca="false">HLOOKUP(E113,GDcorr,VLOOKUP(H113,GDCorMove,2,FALSE()),FALSE())</f>
        <v>#N/A</v>
      </c>
      <c r="Q113" s="92" t="n">
        <v>36693</v>
      </c>
      <c r="R113" s="7" t="n">
        <f aca="false">IF(G113="P",0,1)</f>
        <v>1</v>
      </c>
      <c r="S113" s="130" t="e">
        <f aca="false">xSPRDOPT($K113,$L113,$J113,$M113,$N113,$O113,$P113,$Q113-$C$3,$R113,0)</f>
        <v>#NAME?</v>
      </c>
      <c r="T113" s="250" t="e">
        <f aca="false">xSPRDOPT($K113,$L113,$J113,$M113,$N113,$O113,$P113,$Q113-$C$3,$R113,1)*I113</f>
        <v>#NAME?</v>
      </c>
      <c r="U113" s="43" t="n">
        <v>2850</v>
      </c>
      <c r="V113" s="250" t="e">
        <f aca="false">xSPRDOPT($K113,$L113,$J113,$M113,$N113,$O113,$P113,$Q113-$C$3,$R113,2)*I113</f>
        <v>#NAME?</v>
      </c>
      <c r="W113" s="250" t="e">
        <f aca="false">+V113+T113</f>
        <v>#NAME?</v>
      </c>
      <c r="X113" s="2" t="str">
        <f aca="false">CONCATENATE(H113,E113)</f>
        <v>36678IF-ELPO/SJ</v>
      </c>
      <c r="Y113" s="251" t="n">
        <f aca="false">I113/10000</f>
        <v>1</v>
      </c>
      <c r="Z113" s="2"/>
      <c r="AA113" s="2"/>
      <c r="AB113" s="182" t="n">
        <f aca="false">H113</f>
        <v>36678</v>
      </c>
      <c r="AC113" s="253" t="e">
        <f aca="false">xSPRDOPT(HLOOKUP($D$3,GDPRICES,VLOOKUP(Q113,GDmove_down,2,FALSE()),FALSE()),HLOOKUP($E$3,GDPRICES,VLOOKUP(Q113,GDmove_down,2,FALSE()),FALSE()),J113,VLOOKUP(H113,NGPREVPRICES,4,FALSE()),HLOOKUP($H$3,GDPrevVols,VLOOKUP(Q113,GDmove_down2,2,FALSE()),FALSE()),HLOOKUP($H$3,GDPrevVols,VLOOKUP(Q113,GDmove_down2,2,FALSE()),FALSE()),HLOOKUP(E113,GDcorr,VLOOKUP(H113,CorMove,2,FALSE()),FALSE()),Q113-$AC$3,R113,$AC$5)*I113-AI113</f>
        <v>#N/A</v>
      </c>
      <c r="AD113" s="253" t="e">
        <f aca="false">xSPRDOPT(HLOOKUP($D$3,GDPrev,VLOOKUP(Q113,GDmove_down,2,FALSE()),FALSE()),HLOOKUP($E$3,GDPrev,VLOOKUP(Q113,GDmove_down,2,FALSE()),FALSE()),AJ113,VLOOKUP(H113,NGPrices,4,FALSE()),HLOOKUP($H$3,GDPrevVols,VLOOKUP(Q113,GDmove_down2,2,FALSE()),FALSE()),HLOOKUP($H$3,GDPrevVols,VLOOKUP(Q113,GDmove_down2,2,FALSE()),FALSE()),HLOOKUP(E113,GDcorr,VLOOKUP(H113,CorMove,2,FALSE()),FALSE()),Q113-$AC$3,R113,$AI$5)*I113-AI113</f>
        <v>#N/A</v>
      </c>
      <c r="AE113" s="132" t="e">
        <f aca="false">(AI113/VLOOKUP(AB113,discount,3,FALSE()))-(AI113/VLOOKUP(AB113,discount,2,FALSE()))</f>
        <v>#N/A</v>
      </c>
      <c r="AF113" s="253" t="e">
        <f aca="false">xSPRDOPT(HLOOKUP($D$3,GDPrev,VLOOKUP(Q113,GDmove_down,2,FALSE()),FALSE()),HLOOKUP($E$3,GDPrev,VLOOKUP(Q113,GDmove_down,2,FALSE()),FALSE()),AJ113,VLOOKUP(H113,NGPREVPRICES,4,FALSE()),HLOOKUP($H$3,GDVol,VLOOKUP(H113,move_down,2,FALSE()),FALSE()),HLOOKUP($H$3,GDVol,VLOOKUP(H113,move_down,2,FALSE()),FALSE()),HLOOKUP(E113,GDcorr,VLOOKUP(H113,CorMove,2,FALSE()),FALSE()),Q113-$AC$3,R113,$AI$5)*I113-AI113</f>
        <v>#N/A</v>
      </c>
      <c r="AG113" s="253" t="e">
        <f aca="false">xSPRDOPT(HLOOKUP($D$3,GDPrev,VLOOKUP(Q113,GDmove_down,2,FALSE()),FALSE()),HLOOKUP($E$3,GDPrev,VLOOKUP(Q113,GDmove_down,2,FALSE()),FALSE()),AJ113,VLOOKUP(H113,NGPREVPRICES,4,FALSE()),HLOOKUP($H$3,GDPrevVols,VLOOKUP(Q113,GDmove_down2,2,FALSE()),FALSE()),HLOOKUP($H$3,GDPrevVols,VLOOKUP(Q113,GDmove_down2,2,FALSE()),FALSE()),HLOOKUP(E113,GDcorr,VLOOKUP(H113,CorMove,2,FALSE()),FALSE()),Q113-$C$3,R113,$AI$5)*I113-AI113</f>
        <v>#N/A</v>
      </c>
      <c r="AH113" s="253" t="e">
        <f aca="false">SUM(AC113:AG113)</f>
        <v>#N/A</v>
      </c>
      <c r="AI113" s="253" t="e">
        <f aca="false">xSPRDOPT(HLOOKUP($D$3,GDPrev,VLOOKUP(Q113,GDmove_down,2,FALSE()),FALSE()),HLOOKUP($E$3,GDPrev,VLOOKUP(Q113,GDmove_down,2,FALSE()),FALSE()),AJ113,VLOOKUP(H113,NGPREVPRICES,4,FALSE()),HLOOKUP($H$3,GDPrevVols,VLOOKUP(Q113,GDmove_down2,2,FALSE()),FALSE()),HLOOKUP($H$3,GDPrevVols,VLOOKUP(Q113,GDmove_down2,2,FALSE()),FALSE()),HLOOKUP(E113,GDcorr,VLOOKUP(H113,CorMove,2,FALSE()),FALSE()),Q113-$AC$3,R113,$AI$5)*I113</f>
        <v>#N/A</v>
      </c>
      <c r="AJ113" s="254" t="e">
        <f aca="false">HLOOKUP(D113,PREVCURVES,VLOOKUP(H113,MOVE_DOWN2,2,FALSE()),FALSE())-HLOOKUP(E113,PREVCURVES,VLOOKUP(H113,MOVE_DOWN2,2,FALSE()),FALSE())</f>
        <v>#N/A</v>
      </c>
      <c r="AK113" s="253"/>
      <c r="AL113" s="0" t="str">
        <f aca="false">CONCATENATE(AB113,$AC$6)</f>
        <v>36678Curve Shift/Gamma</v>
      </c>
      <c r="AM113" s="0" t="str">
        <f aca="false">CONCATENATE($AB113,$AD$6)</f>
        <v>36678Rho</v>
      </c>
      <c r="AN113" s="0" t="str">
        <f aca="false">CONCATENATE($AB113,$AE$6)</f>
        <v>36678Drift</v>
      </c>
      <c r="AO113" s="0" t="str">
        <f aca="false">CONCATENATE($AB113,$AF$6)</f>
        <v>36678Vega</v>
      </c>
      <c r="AP113" s="0" t="str">
        <f aca="false">CONCATENATE($AB113,$AG$6)</f>
        <v>36678Theta</v>
      </c>
      <c r="AZ113" s="143" t="n">
        <f aca="false">EOMONTH(AZ112,0)+1</f>
        <v>39387</v>
      </c>
      <c r="BA113" s="135"/>
      <c r="BG113" s="285" t="n">
        <v>39722</v>
      </c>
      <c r="BH113" s="0" t="n">
        <v>0.985</v>
      </c>
      <c r="BJ113" s="285" t="n">
        <v>39722</v>
      </c>
      <c r="BK113" s="0" t="n">
        <v>110</v>
      </c>
    </row>
    <row r="114" customFormat="false" ht="12" hidden="false" customHeight="true" outlineLevel="0" collapsed="false">
      <c r="A114" s="265" t="s">
        <v>198</v>
      </c>
      <c r="B114" s="269" t="s">
        <v>192</v>
      </c>
      <c r="C114" s="269" t="s">
        <v>490</v>
      </c>
      <c r="D114" s="269" t="s">
        <v>137</v>
      </c>
      <c r="E114" s="7" t="s">
        <v>483</v>
      </c>
      <c r="F114" s="269" t="s">
        <v>131</v>
      </c>
      <c r="G114" s="269" t="s">
        <v>136</v>
      </c>
      <c r="H114" s="286" t="n">
        <v>36678</v>
      </c>
      <c r="I114" s="272" t="n">
        <v>-333333</v>
      </c>
      <c r="J114" s="125" t="n">
        <v>0.46</v>
      </c>
      <c r="K114" s="124" t="n">
        <f aca="false">HLOOKUP($D$3,GDPRICES,VLOOKUP(Q114,GDmove_down,2,FALSE()),FALSE())</f>
        <v>4.68</v>
      </c>
      <c r="L114" s="124" t="n">
        <f aca="false">HLOOKUP($E$3,GDPRICES,VLOOKUP(Q114,GDmove_down,2,FALSE()),FALSE())</f>
        <v>3.41</v>
      </c>
      <c r="M114" s="126" t="n">
        <v>1</v>
      </c>
      <c r="N114" s="7" t="n">
        <v>0.515</v>
      </c>
      <c r="O114" s="7" t="n">
        <v>0.515</v>
      </c>
      <c r="P114" s="249" t="e">
        <f aca="false">HLOOKUP(E114,GDcorr,VLOOKUP(H114,GDCorMove,2,FALSE()),FALSE())</f>
        <v>#N/A</v>
      </c>
      <c r="Q114" s="92" t="n">
        <v>36693</v>
      </c>
      <c r="R114" s="7" t="n">
        <f aca="false">IF(G114="P",0,1)</f>
        <v>1</v>
      </c>
      <c r="S114" s="130" t="e">
        <f aca="false">xSPRDOPT($K114,$L114,$J114,$M114,$N114,$O114,$P114,$Q114-$C$3,$R114,0)</f>
        <v>#NAME?</v>
      </c>
      <c r="T114" s="250" t="e">
        <f aca="false">xSPRDOPT($K114,$L114,$J114,$M114,$N114,$O114,$P114,$Q114-$C$3,$R114,1)*I114</f>
        <v>#NAME?</v>
      </c>
      <c r="U114" s="43" t="n">
        <v>-94999.905</v>
      </c>
      <c r="V114" s="250" t="e">
        <f aca="false">xSPRDOPT($K114,$L114,$J114,$M114,$N114,$O114,$P114,$Q114-$C$3,$R114,2)*I114</f>
        <v>#NAME?</v>
      </c>
      <c r="W114" s="250" t="e">
        <f aca="false">+V114+T114</f>
        <v>#NAME?</v>
      </c>
      <c r="X114" s="2" t="str">
        <f aca="false">CONCATENATE(H114,E114)</f>
        <v>36678IF-ELPO/SJ</v>
      </c>
      <c r="Y114" s="251" t="n">
        <f aca="false">I114/10000</f>
        <v>-33.3333</v>
      </c>
      <c r="Z114" s="2"/>
      <c r="AA114" s="2"/>
      <c r="AB114" s="182" t="n">
        <f aca="false">H114</f>
        <v>36678</v>
      </c>
      <c r="AC114" s="253" t="e">
        <f aca="false">xSPRDOPT(HLOOKUP($D$3,GDPRICES,VLOOKUP(Q114,GDmove_down,2,FALSE()),FALSE()),HLOOKUP($E$3,GDPRICES,VLOOKUP(Q114,GDmove_down,2,FALSE()),FALSE()),J114,VLOOKUP(H114,NGPREVPRICES,4,FALSE()),HLOOKUP($H$3,GDPrevVols,VLOOKUP(Q114,GDmove_down2,2,FALSE()),FALSE()),HLOOKUP($H$3,GDPrevVols,VLOOKUP(Q114,GDmove_down2,2,FALSE()),FALSE()),HLOOKUP(E114,GDcorr,VLOOKUP(H114,CorMove,2,FALSE()),FALSE()),Q114-$AC$3,R114,$AC$5)*I114-AI114</f>
        <v>#N/A</v>
      </c>
      <c r="AD114" s="253" t="e">
        <f aca="false">xSPRDOPT(HLOOKUP($D$3,GDPrev,VLOOKUP(Q114,GDmove_down,2,FALSE()),FALSE()),HLOOKUP($E$3,GDPrev,VLOOKUP(Q114,GDmove_down,2,FALSE()),FALSE()),AJ114,VLOOKUP(H114,NGPrices,4,FALSE()),HLOOKUP($H$3,GDPrevVols,VLOOKUP(Q114,GDmove_down2,2,FALSE()),FALSE()),HLOOKUP($H$3,GDPrevVols,VLOOKUP(Q114,GDmove_down2,2,FALSE()),FALSE()),HLOOKUP(E114,GDcorr,VLOOKUP(H114,CorMove,2,FALSE()),FALSE()),Q114-$AC$3,R114,$AI$5)*I114-AI114</f>
        <v>#N/A</v>
      </c>
      <c r="AE114" s="132" t="e">
        <f aca="false">(AI114/VLOOKUP(AB114,discount,3,FALSE()))-(AI114/VLOOKUP(AB114,discount,2,FALSE()))</f>
        <v>#N/A</v>
      </c>
      <c r="AF114" s="253" t="e">
        <f aca="false">xSPRDOPT(HLOOKUP($D$3,GDPrev,VLOOKUP(Q114,GDmove_down,2,FALSE()),FALSE()),HLOOKUP($E$3,GDPrev,VLOOKUP(Q114,GDmove_down,2,FALSE()),FALSE()),AJ114,VLOOKUP(H114,NGPREVPRICES,4,FALSE()),HLOOKUP($H$3,GDVol,VLOOKUP(H114,move_down,2,FALSE()),FALSE()),HLOOKUP($H$3,GDVol,VLOOKUP(H114,move_down,2,FALSE()),FALSE()),HLOOKUP(E114,GDcorr,VLOOKUP(H114,CorMove,2,FALSE()),FALSE()),Q114-$AC$3,R114,$AI$5)*I114-AI114</f>
        <v>#N/A</v>
      </c>
      <c r="AG114" s="253" t="e">
        <f aca="false">xSPRDOPT(HLOOKUP($D$3,GDPrev,VLOOKUP(Q114,GDmove_down,2,FALSE()),FALSE()),HLOOKUP($E$3,GDPrev,VLOOKUP(Q114,GDmove_down,2,FALSE()),FALSE()),AJ114,VLOOKUP(H114,NGPREVPRICES,4,FALSE()),HLOOKUP($H$3,GDPrevVols,VLOOKUP(Q114,GDmove_down2,2,FALSE()),FALSE()),HLOOKUP($H$3,GDPrevVols,VLOOKUP(Q114,GDmove_down2,2,FALSE()),FALSE()),HLOOKUP(E114,GDcorr,VLOOKUP(H114,CorMove,2,FALSE()),FALSE()),Q114-$C$3,R114,$AI$5)*I114-AI114</f>
        <v>#N/A</v>
      </c>
      <c r="AH114" s="253" t="e">
        <f aca="false">SUM(AC114:AG114)</f>
        <v>#N/A</v>
      </c>
      <c r="AI114" s="253" t="e">
        <f aca="false">xSPRDOPT(HLOOKUP($D$3,GDPrev,VLOOKUP(Q114,GDmove_down,2,FALSE()),FALSE()),HLOOKUP($E$3,GDPrev,VLOOKUP(Q114,GDmove_down,2,FALSE()),FALSE()),AJ114,VLOOKUP(H114,NGPREVPRICES,4,FALSE()),HLOOKUP($H$3,GDPrevVols,VLOOKUP(Q114,GDmove_down2,2,FALSE()),FALSE()),HLOOKUP($H$3,GDPrevVols,VLOOKUP(Q114,GDmove_down2,2,FALSE()),FALSE()),HLOOKUP(E114,GDcorr,VLOOKUP(H114,CorMove,2,FALSE()),FALSE()),Q114-$AC$3,R114,$AI$5)*I114</f>
        <v>#N/A</v>
      </c>
      <c r="AJ114" s="254" t="e">
        <f aca="false">HLOOKUP(D114,PREVCURVES,VLOOKUP(H114,MOVE_DOWN2,2,FALSE()),FALSE())-HLOOKUP(E114,PREVCURVES,VLOOKUP(H114,MOVE_DOWN2,2,FALSE()),FALSE())</f>
        <v>#N/A</v>
      </c>
      <c r="AK114" s="253"/>
      <c r="AL114" s="0" t="str">
        <f aca="false">CONCATENATE(AB114,$AC$6)</f>
        <v>36678Curve Shift/Gamma</v>
      </c>
      <c r="AM114" s="0" t="str">
        <f aca="false">CONCATENATE($AB114,$AD$6)</f>
        <v>36678Rho</v>
      </c>
      <c r="AN114" s="0" t="str">
        <f aca="false">CONCATENATE($AB114,$AE$6)</f>
        <v>36678Drift</v>
      </c>
      <c r="AO114" s="0" t="str">
        <f aca="false">CONCATENATE($AB114,$AF$6)</f>
        <v>36678Vega</v>
      </c>
      <c r="AP114" s="0" t="str">
        <f aca="false">CONCATENATE($AB114,$AG$6)</f>
        <v>36678Theta</v>
      </c>
      <c r="AZ114" s="143" t="n">
        <f aca="false">EOMONTH(AZ113,0)+1</f>
        <v>39417</v>
      </c>
      <c r="BA114" s="135"/>
      <c r="BG114" s="285" t="n">
        <v>39753</v>
      </c>
      <c r="BH114" s="0" t="n">
        <v>0.970485</v>
      </c>
      <c r="BJ114" s="285" t="n">
        <v>39753</v>
      </c>
      <c r="BK114" s="0" t="n">
        <v>111</v>
      </c>
    </row>
    <row r="115" customFormat="false" ht="12" hidden="false" customHeight="true" outlineLevel="0" collapsed="false">
      <c r="A115" s="267" t="s">
        <v>196</v>
      </c>
      <c r="B115" s="269" t="s">
        <v>192</v>
      </c>
      <c r="C115" s="269" t="s">
        <v>491</v>
      </c>
      <c r="D115" s="269" t="s">
        <v>137</v>
      </c>
      <c r="E115" s="7" t="s">
        <v>483</v>
      </c>
      <c r="F115" s="269" t="s">
        <v>131</v>
      </c>
      <c r="G115" s="269" t="s">
        <v>136</v>
      </c>
      <c r="H115" s="286" t="n">
        <v>36678</v>
      </c>
      <c r="I115" s="272" t="n">
        <v>-10000</v>
      </c>
      <c r="J115" s="125" t="n">
        <v>0.46</v>
      </c>
      <c r="K115" s="124" t="n">
        <f aca="false">HLOOKUP($D$3,GDPRICES,VLOOKUP(Q115,GDmove_down,2,FALSE()),FALSE())</f>
        <v>4.68</v>
      </c>
      <c r="L115" s="124" t="n">
        <f aca="false">HLOOKUP($E$3,GDPRICES,VLOOKUP(Q115,GDmove_down,2,FALSE()),FALSE())</f>
        <v>3.41</v>
      </c>
      <c r="M115" s="126" t="n">
        <v>1</v>
      </c>
      <c r="N115" s="7" t="n">
        <v>0.515</v>
      </c>
      <c r="O115" s="7" t="n">
        <v>0.515</v>
      </c>
      <c r="P115" s="249" t="e">
        <f aca="false">HLOOKUP(E115,GDcorr,VLOOKUP(H115,GDCorMove,2,FALSE()),FALSE())</f>
        <v>#N/A</v>
      </c>
      <c r="Q115" s="92" t="n">
        <v>36693</v>
      </c>
      <c r="R115" s="7" t="n">
        <f aca="false">IF(G115="P",0,1)</f>
        <v>1</v>
      </c>
      <c r="S115" s="130" t="e">
        <f aca="false">xSPRDOPT($K115,$L115,$J115,$M115,$N115,$O115,$P115,$Q115-$C$3,$R115,0)</f>
        <v>#NAME?</v>
      </c>
      <c r="T115" s="250" t="e">
        <f aca="false">xSPRDOPT($K115,$L115,$J115,$M115,$N115,$O115,$P115,$Q115-$C$3,$R115,1)*I115</f>
        <v>#NAME?</v>
      </c>
      <c r="U115" s="43" t="n">
        <v>-2850</v>
      </c>
      <c r="V115" s="250" t="e">
        <f aca="false">xSPRDOPT($K115,$L115,$J115,$M115,$N115,$O115,$P115,$Q115-$C$3,$R115,2)*I115</f>
        <v>#NAME?</v>
      </c>
      <c r="W115" s="250" t="e">
        <f aca="false">+V115+T115</f>
        <v>#NAME?</v>
      </c>
      <c r="X115" s="2" t="str">
        <f aca="false">CONCATENATE(H115,E115)</f>
        <v>36678IF-ELPO/SJ</v>
      </c>
      <c r="Y115" s="251" t="n">
        <f aca="false">I115/10000</f>
        <v>-1</v>
      </c>
      <c r="AA115" s="2"/>
      <c r="AB115" s="182" t="n">
        <f aca="false">H115</f>
        <v>36678</v>
      </c>
      <c r="AC115" s="253" t="e">
        <f aca="false">xSPRDOPT(HLOOKUP($D$3,GDPRICES,VLOOKUP(Q115,GDmove_down,2,FALSE()),FALSE()),HLOOKUP($E$3,GDPRICES,VLOOKUP(Q115,GDmove_down,2,FALSE()),FALSE()),J115,VLOOKUP(H115,NGPREVPRICES,4,FALSE()),HLOOKUP($H$3,GDPrevVols,VLOOKUP(Q115,GDmove_down2,2,FALSE()),FALSE()),HLOOKUP($H$3,GDPrevVols,VLOOKUP(Q115,GDmove_down2,2,FALSE()),FALSE()),HLOOKUP(E115,GDcorr,VLOOKUP(H115,CorMove,2,FALSE()),FALSE()),Q115-$AC$3,R115,$AC$5)*I115-AI115</f>
        <v>#N/A</v>
      </c>
      <c r="AD115" s="253" t="e">
        <f aca="false">xSPRDOPT(HLOOKUP($D$3,GDPrev,VLOOKUP(Q115,GDmove_down,2,FALSE()),FALSE()),HLOOKUP($E$3,GDPrev,VLOOKUP(Q115,GDmove_down,2,FALSE()),FALSE()),AJ115,VLOOKUP(H115,NGPrices,4,FALSE()),HLOOKUP($H$3,GDPrevVols,VLOOKUP(Q115,GDmove_down2,2,FALSE()),FALSE()),HLOOKUP($H$3,GDPrevVols,VLOOKUP(Q115,GDmove_down2,2,FALSE()),FALSE()),HLOOKUP(E115,GDcorr,VLOOKUP(H115,CorMove,2,FALSE()),FALSE()),Q115-$AC$3,R115,$AI$5)*I115-AI115</f>
        <v>#N/A</v>
      </c>
      <c r="AE115" s="132" t="e">
        <f aca="false">(AI115/VLOOKUP(AB115,discount,3,FALSE()))-(AI115/VLOOKUP(AB115,discount,2,FALSE()))</f>
        <v>#N/A</v>
      </c>
      <c r="AF115" s="253" t="e">
        <f aca="false">xSPRDOPT(HLOOKUP($D$3,GDPrev,VLOOKUP(Q115,GDmove_down,2,FALSE()),FALSE()),HLOOKUP($E$3,GDPrev,VLOOKUP(Q115,GDmove_down,2,FALSE()),FALSE()),AJ115,VLOOKUP(H115,NGPREVPRICES,4,FALSE()),HLOOKUP($H$3,GDVol,VLOOKUP(H115,move_down,2,FALSE()),FALSE()),HLOOKUP($H$3,GDVol,VLOOKUP(H115,move_down,2,FALSE()),FALSE()),HLOOKUP(E115,GDcorr,VLOOKUP(H115,CorMove,2,FALSE()),FALSE()),Q115-$AC$3,R115,$AI$5)*I115-AI115</f>
        <v>#N/A</v>
      </c>
      <c r="AG115" s="253" t="e">
        <f aca="false">xSPRDOPT(HLOOKUP($D$3,GDPrev,VLOOKUP(Q115,GDmove_down,2,FALSE()),FALSE()),HLOOKUP($E$3,GDPrev,VLOOKUP(Q115,GDmove_down,2,FALSE()),FALSE()),AJ115,VLOOKUP(H115,NGPREVPRICES,4,FALSE()),HLOOKUP($H$3,GDPrevVols,VLOOKUP(Q115,GDmove_down2,2,FALSE()),FALSE()),HLOOKUP($H$3,GDPrevVols,VLOOKUP(Q115,GDmove_down2,2,FALSE()),FALSE()),HLOOKUP(E115,GDcorr,VLOOKUP(H115,CorMove,2,FALSE()),FALSE()),Q115-$C$3,R115,$AI$5)*I115-AI115</f>
        <v>#N/A</v>
      </c>
      <c r="AH115" s="253" t="e">
        <f aca="false">SUM(AC115:AG115)</f>
        <v>#N/A</v>
      </c>
      <c r="AI115" s="253" t="e">
        <f aca="false">xSPRDOPT(HLOOKUP($D$3,GDPrev,VLOOKUP(Q115,GDmove_down,2,FALSE()),FALSE()),HLOOKUP($E$3,GDPrev,VLOOKUP(Q115,GDmove_down,2,FALSE()),FALSE()),AJ115,VLOOKUP(H115,NGPREVPRICES,4,FALSE()),HLOOKUP($H$3,GDPrevVols,VLOOKUP(Q115,GDmove_down2,2,FALSE()),FALSE()),HLOOKUP($H$3,GDPrevVols,VLOOKUP(Q115,GDmove_down2,2,FALSE()),FALSE()),HLOOKUP(E115,GDcorr,VLOOKUP(H115,CorMove,2,FALSE()),FALSE()),Q115-$AC$3,R115,$AI$5)*I115</f>
        <v>#N/A</v>
      </c>
      <c r="AJ115" s="254" t="e">
        <f aca="false">HLOOKUP(D115,PREVCURVES,VLOOKUP(H115,MOVE_DOWN2,2,FALSE()),FALSE())-HLOOKUP(E115,PREVCURVES,VLOOKUP(H115,MOVE_DOWN2,2,FALSE()),FALSE())</f>
        <v>#N/A</v>
      </c>
      <c r="AK115" s="253"/>
      <c r="AL115" s="0" t="str">
        <f aca="false">CONCATENATE(AB115,$AC$6)</f>
        <v>36678Curve Shift/Gamma</v>
      </c>
      <c r="AM115" s="0" t="str">
        <f aca="false">CONCATENATE($AB115,$AD$6)</f>
        <v>36678Rho</v>
      </c>
      <c r="AN115" s="0" t="str">
        <f aca="false">CONCATENATE($AB115,$AE$6)</f>
        <v>36678Drift</v>
      </c>
      <c r="AO115" s="0" t="str">
        <f aca="false">CONCATENATE($AB115,$AF$6)</f>
        <v>36678Vega</v>
      </c>
      <c r="AP115" s="0" t="str">
        <f aca="false">CONCATENATE($AB115,$AG$6)</f>
        <v>36678Theta</v>
      </c>
      <c r="AZ115" s="143" t="n">
        <f aca="false">EOMONTH(AZ114,0)+1</f>
        <v>39448</v>
      </c>
      <c r="BA115" s="135"/>
      <c r="BG115" s="285" t="n">
        <v>39783</v>
      </c>
      <c r="BH115" s="0" t="n">
        <v>0.970485</v>
      </c>
      <c r="BJ115" s="285" t="n">
        <v>39783</v>
      </c>
      <c r="BK115" s="0" t="n">
        <v>112</v>
      </c>
    </row>
    <row r="116" customFormat="false" ht="12" hidden="false" customHeight="true" outlineLevel="0" collapsed="false">
      <c r="A116" s="267" t="s">
        <v>198</v>
      </c>
      <c r="B116" s="269" t="s">
        <v>192</v>
      </c>
      <c r="C116" s="269" t="s">
        <v>492</v>
      </c>
      <c r="D116" s="269" t="s">
        <v>137</v>
      </c>
      <c r="E116" s="7" t="s">
        <v>483</v>
      </c>
      <c r="F116" s="269" t="s">
        <v>131</v>
      </c>
      <c r="G116" s="269" t="s">
        <v>136</v>
      </c>
      <c r="H116" s="286" t="n">
        <v>36678</v>
      </c>
      <c r="I116" s="272" t="n">
        <v>50000</v>
      </c>
      <c r="J116" s="125" t="n">
        <v>0.46</v>
      </c>
      <c r="K116" s="124" t="n">
        <f aca="false">HLOOKUP($D$3,GDPRICES,VLOOKUP(Q116,GDmove_down,2,FALSE()),FALSE())</f>
        <v>4.68</v>
      </c>
      <c r="L116" s="124" t="n">
        <f aca="false">HLOOKUP($E$3,GDPRICES,VLOOKUP(Q116,GDmove_down,2,FALSE()),FALSE())</f>
        <v>3.41</v>
      </c>
      <c r="M116" s="126" t="n">
        <v>1</v>
      </c>
      <c r="N116" s="7" t="n">
        <v>0.515</v>
      </c>
      <c r="O116" s="7" t="n">
        <v>0.515</v>
      </c>
      <c r="P116" s="249" t="e">
        <f aca="false">HLOOKUP(E116,GDcorr,VLOOKUP(H116,GDCorMove,2,FALSE()),FALSE())</f>
        <v>#N/A</v>
      </c>
      <c r="Q116" s="92" t="n">
        <v>36693</v>
      </c>
      <c r="R116" s="7" t="n">
        <f aca="false">IF(G116="P",0,1)</f>
        <v>1</v>
      </c>
      <c r="S116" s="130" t="e">
        <f aca="false">xSPRDOPT($K116,$L116,$J116,$M116,$N116,$O116,$P116,$Q116-$C$3,$R116,0)</f>
        <v>#NAME?</v>
      </c>
      <c r="T116" s="250" t="e">
        <f aca="false">xSPRDOPT($K116,$L116,$J116,$M116,$N116,$O116,$P116,$Q116-$C$3,$R116,1)*I116</f>
        <v>#NAME?</v>
      </c>
      <c r="U116" s="43" t="n">
        <v>14250</v>
      </c>
      <c r="V116" s="250" t="e">
        <f aca="false">xSPRDOPT($K116,$L116,$J116,$M116,$N116,$O116,$P116,$Q116-$C$3,$R116,2)*I116</f>
        <v>#NAME?</v>
      </c>
      <c r="W116" s="250" t="e">
        <f aca="false">+V116+T116</f>
        <v>#NAME?</v>
      </c>
      <c r="X116" s="2" t="str">
        <f aca="false">CONCATENATE(H116,E116)</f>
        <v>36678IF-ELPO/SJ</v>
      </c>
      <c r="Y116" s="251" t="n">
        <f aca="false">I116/10000</f>
        <v>5</v>
      </c>
      <c r="AA116" s="2"/>
      <c r="AB116" s="182" t="n">
        <f aca="false">H116</f>
        <v>36678</v>
      </c>
      <c r="AC116" s="253" t="e">
        <f aca="false">xSPRDOPT(HLOOKUP($D$3,GDPRICES,VLOOKUP(Q116,GDmove_down,2,FALSE()),FALSE()),HLOOKUP($E$3,GDPRICES,VLOOKUP(Q116,GDmove_down,2,FALSE()),FALSE()),J116,VLOOKUP(H116,NGPREVPRICES,4,FALSE()),HLOOKUP($H$3,GDPrevVols,VLOOKUP(Q116,GDmove_down2,2,FALSE()),FALSE()),HLOOKUP($H$3,GDPrevVols,VLOOKUP(Q116,GDmove_down2,2,FALSE()),FALSE()),HLOOKUP(E116,GDcorr,VLOOKUP(H116,CorMove,2,FALSE()),FALSE()),Q116-$AC$3,R116,$AC$5)*I116-AI116</f>
        <v>#N/A</v>
      </c>
      <c r="AD116" s="253" t="e">
        <f aca="false">xSPRDOPT(HLOOKUP($D$3,GDPrev,VLOOKUP(Q116,GDmove_down,2,FALSE()),FALSE()),HLOOKUP($E$3,GDPrev,VLOOKUP(Q116,GDmove_down,2,FALSE()),FALSE()),AJ116,VLOOKUP(H116,NGPrices,4,FALSE()),HLOOKUP($H$3,GDPrevVols,VLOOKUP(Q116,GDmove_down2,2,FALSE()),FALSE()),HLOOKUP($H$3,GDPrevVols,VLOOKUP(Q116,GDmove_down2,2,FALSE()),FALSE()),HLOOKUP(E116,GDcorr,VLOOKUP(H116,CorMove,2,FALSE()),FALSE()),Q116-$AC$3,R116,$AI$5)*I116-AI116</f>
        <v>#N/A</v>
      </c>
      <c r="AE116" s="132" t="e">
        <f aca="false">(AI116/VLOOKUP(AB116,discount,3,FALSE()))-(AI116/VLOOKUP(AB116,discount,2,FALSE()))</f>
        <v>#N/A</v>
      </c>
      <c r="AF116" s="253" t="e">
        <f aca="false">xSPRDOPT(HLOOKUP($D$3,GDPrev,VLOOKUP(Q116,GDmove_down,2,FALSE()),FALSE()),HLOOKUP($E$3,GDPrev,VLOOKUP(Q116,GDmove_down,2,FALSE()),FALSE()),AJ116,VLOOKUP(H116,NGPREVPRICES,4,FALSE()),HLOOKUP($H$3,GDVol,VLOOKUP(H116,move_down,2,FALSE()),FALSE()),HLOOKUP($H$3,GDVol,VLOOKUP(H116,move_down,2,FALSE()),FALSE()),HLOOKUP(E116,GDcorr,VLOOKUP(H116,CorMove,2,FALSE()),FALSE()),Q116-$AC$3,R116,$AI$5)*I116-AI116</f>
        <v>#N/A</v>
      </c>
      <c r="AG116" s="253" t="e">
        <f aca="false">xSPRDOPT(HLOOKUP($D$3,GDPrev,VLOOKUP(Q116,GDmove_down,2,FALSE()),FALSE()),HLOOKUP($E$3,GDPrev,VLOOKUP(Q116,GDmove_down,2,FALSE()),FALSE()),AJ116,VLOOKUP(H116,NGPREVPRICES,4,FALSE()),HLOOKUP($H$3,GDPrevVols,VLOOKUP(Q116,GDmove_down2,2,FALSE()),FALSE()),HLOOKUP($H$3,GDPrevVols,VLOOKUP(Q116,GDmove_down2,2,FALSE()),FALSE()),HLOOKUP(E116,GDcorr,VLOOKUP(H116,CorMove,2,FALSE()),FALSE()),Q116-$C$3,R116,$AI$5)*I116-AI116</f>
        <v>#N/A</v>
      </c>
      <c r="AH116" s="253" t="e">
        <f aca="false">SUM(AC116:AG116)</f>
        <v>#N/A</v>
      </c>
      <c r="AI116" s="253" t="e">
        <f aca="false">xSPRDOPT(HLOOKUP($D$3,GDPrev,VLOOKUP(Q116,GDmove_down,2,FALSE()),FALSE()),HLOOKUP($E$3,GDPrev,VLOOKUP(Q116,GDmove_down,2,FALSE()),FALSE()),AJ116,VLOOKUP(H116,NGPREVPRICES,4,FALSE()),HLOOKUP($H$3,GDPrevVols,VLOOKUP(Q116,GDmove_down2,2,FALSE()),FALSE()),HLOOKUP($H$3,GDPrevVols,VLOOKUP(Q116,GDmove_down2,2,FALSE()),FALSE()),HLOOKUP(E116,GDcorr,VLOOKUP(H116,CorMove,2,FALSE()),FALSE()),Q116-$AC$3,R116,$AI$5)*I116</f>
        <v>#N/A</v>
      </c>
      <c r="AJ116" s="254" t="e">
        <f aca="false">HLOOKUP(D116,PREVCURVES,VLOOKUP(H116,MOVE_DOWN2,2,FALSE()),FALSE())-HLOOKUP(E116,PREVCURVES,VLOOKUP(H116,MOVE_DOWN2,2,FALSE()),FALSE())</f>
        <v>#N/A</v>
      </c>
      <c r="AK116" s="253"/>
      <c r="AL116" s="0" t="str">
        <f aca="false">CONCATENATE(AB116,$AC$6)</f>
        <v>36678Curve Shift/Gamma</v>
      </c>
      <c r="AM116" s="0" t="str">
        <f aca="false">CONCATENATE($AB116,$AD$6)</f>
        <v>36678Rho</v>
      </c>
      <c r="AN116" s="0" t="str">
        <f aca="false">CONCATENATE($AB116,$AE$6)</f>
        <v>36678Drift</v>
      </c>
      <c r="AO116" s="0" t="str">
        <f aca="false">CONCATENATE($AB116,$AF$6)</f>
        <v>36678Vega</v>
      </c>
      <c r="AP116" s="0" t="str">
        <f aca="false">CONCATENATE($AB116,$AG$6)</f>
        <v>36678Theta</v>
      </c>
      <c r="AZ116" s="143" t="n">
        <f aca="false">EOMONTH(AZ115,0)+1</f>
        <v>39479</v>
      </c>
      <c r="BA116" s="135"/>
      <c r="BG116" s="285" t="n">
        <v>39814</v>
      </c>
      <c r="BH116" s="0" t="n">
        <v>0.985</v>
      </c>
      <c r="BJ116" s="285" t="n">
        <v>39814</v>
      </c>
      <c r="BK116" s="0" t="n">
        <v>113</v>
      </c>
    </row>
    <row r="117" customFormat="false" ht="12" hidden="false" customHeight="true" outlineLevel="0" collapsed="false">
      <c r="A117" s="267" t="s">
        <v>198</v>
      </c>
      <c r="B117" s="269" t="s">
        <v>192</v>
      </c>
      <c r="C117" s="269" t="s">
        <v>493</v>
      </c>
      <c r="D117" s="269" t="s">
        <v>137</v>
      </c>
      <c r="E117" s="7" t="s">
        <v>483</v>
      </c>
      <c r="F117" s="269" t="s">
        <v>131</v>
      </c>
      <c r="G117" s="269" t="s">
        <v>136</v>
      </c>
      <c r="H117" s="286" t="n">
        <v>36678</v>
      </c>
      <c r="I117" s="272" t="n">
        <v>50000</v>
      </c>
      <c r="J117" s="125" t="n">
        <v>0.46</v>
      </c>
      <c r="K117" s="124" t="n">
        <f aca="false">HLOOKUP($D$3,GDPRICES,VLOOKUP(Q117,GDmove_down,2,FALSE()),FALSE())</f>
        <v>4.68</v>
      </c>
      <c r="L117" s="124" t="n">
        <f aca="false">HLOOKUP($E$3,GDPRICES,VLOOKUP(Q117,GDmove_down,2,FALSE()),FALSE())</f>
        <v>3.41</v>
      </c>
      <c r="M117" s="126" t="n">
        <v>1</v>
      </c>
      <c r="N117" s="7" t="n">
        <v>0.515</v>
      </c>
      <c r="O117" s="7" t="n">
        <v>0.515</v>
      </c>
      <c r="P117" s="249" t="e">
        <f aca="false">HLOOKUP(E117,GDcorr,VLOOKUP(H117,GDCorMove,2,FALSE()),FALSE())</f>
        <v>#N/A</v>
      </c>
      <c r="Q117" s="92" t="n">
        <v>36693</v>
      </c>
      <c r="R117" s="7" t="n">
        <f aca="false">IF(G117="P",0,1)</f>
        <v>1</v>
      </c>
      <c r="S117" s="130" t="e">
        <f aca="false">xSPRDOPT($K117,$L117,$J117,$M117,$N117,$O117,$P117,$Q117-$C$3,$R117,0)</f>
        <v>#NAME?</v>
      </c>
      <c r="T117" s="250" t="e">
        <f aca="false">xSPRDOPT($K117,$L117,$J117,$M117,$N117,$O117,$P117,$Q117-$C$3,$R117,1)*I117</f>
        <v>#NAME?</v>
      </c>
      <c r="U117" s="43" t="n">
        <v>14250</v>
      </c>
      <c r="V117" s="250" t="e">
        <f aca="false">xSPRDOPT($K117,$L117,$J117,$M117,$N117,$O117,$P117,$Q117-$C$3,$R117,2)*I117</f>
        <v>#NAME?</v>
      </c>
      <c r="W117" s="250" t="e">
        <f aca="false">+V117+T117</f>
        <v>#NAME?</v>
      </c>
      <c r="X117" s="2" t="str">
        <f aca="false">CONCATENATE(H117,E117)</f>
        <v>36678IF-ELPO/SJ</v>
      </c>
      <c r="Y117" s="251" t="n">
        <f aca="false">I117/10000</f>
        <v>5</v>
      </c>
      <c r="AA117" s="2"/>
      <c r="AB117" s="182" t="n">
        <f aca="false">H117</f>
        <v>36678</v>
      </c>
      <c r="AC117" s="253" t="e">
        <f aca="false">xSPRDOPT(HLOOKUP($D$3,GDPRICES,VLOOKUP(Q117,GDmove_down,2,FALSE()),FALSE()),HLOOKUP($E$3,GDPRICES,VLOOKUP(Q117,GDmove_down,2,FALSE()),FALSE()),J117,VLOOKUP(H117,NGPREVPRICES,4,FALSE()),HLOOKUP($H$3,GDPrevVols,VLOOKUP(Q117,GDmove_down2,2,FALSE()),FALSE()),HLOOKUP($H$3,GDPrevVols,VLOOKUP(Q117,GDmove_down2,2,FALSE()),FALSE()),HLOOKUP(E117,GDcorr,VLOOKUP(H117,CorMove,2,FALSE()),FALSE()),Q117-$AC$3,R117,$AC$5)*I117-AI117</f>
        <v>#N/A</v>
      </c>
      <c r="AD117" s="253" t="e">
        <f aca="false">xSPRDOPT(HLOOKUP($D$3,GDPrev,VLOOKUP(Q117,GDmove_down,2,FALSE()),FALSE()),HLOOKUP($E$3,GDPrev,VLOOKUP(Q117,GDmove_down,2,FALSE()),FALSE()),AJ117,VLOOKUP(H117,NGPrices,4,FALSE()),HLOOKUP($H$3,GDPrevVols,VLOOKUP(Q117,GDmove_down2,2,FALSE()),FALSE()),HLOOKUP($H$3,GDPrevVols,VLOOKUP(Q117,GDmove_down2,2,FALSE()),FALSE()),HLOOKUP(E117,GDcorr,VLOOKUP(H117,CorMove,2,FALSE()),FALSE()),Q117-$AC$3,R117,$AI$5)*I117-AI117</f>
        <v>#N/A</v>
      </c>
      <c r="AE117" s="132" t="e">
        <f aca="false">(AI117/VLOOKUP(AB117,discount,3,FALSE()))-(AI117/VLOOKUP(AB117,discount,2,FALSE()))</f>
        <v>#N/A</v>
      </c>
      <c r="AF117" s="253" t="e">
        <f aca="false">xSPRDOPT(HLOOKUP($D$3,GDPrev,VLOOKUP(Q117,GDmove_down,2,FALSE()),FALSE()),HLOOKUP($E$3,GDPrev,VLOOKUP(Q117,GDmove_down,2,FALSE()),FALSE()),AJ117,VLOOKUP(H117,NGPREVPRICES,4,FALSE()),HLOOKUP($H$3,GDVol,VLOOKUP(H117,move_down,2,FALSE()),FALSE()),HLOOKUP($H$3,GDVol,VLOOKUP(H117,move_down,2,FALSE()),FALSE()),HLOOKUP(E117,GDcorr,VLOOKUP(H117,CorMove,2,FALSE()),FALSE()),Q117-$AC$3,R117,$AI$5)*I117-AI117</f>
        <v>#N/A</v>
      </c>
      <c r="AG117" s="253" t="e">
        <f aca="false">xSPRDOPT(HLOOKUP($D$3,GDPrev,VLOOKUP(Q117,GDmove_down,2,FALSE()),FALSE()),HLOOKUP($E$3,GDPrev,VLOOKUP(Q117,GDmove_down,2,FALSE()),FALSE()),AJ117,VLOOKUP(H117,NGPREVPRICES,4,FALSE()),HLOOKUP($H$3,GDPrevVols,VLOOKUP(Q117,GDmove_down2,2,FALSE()),FALSE()),HLOOKUP($H$3,GDPrevVols,VLOOKUP(Q117,GDmove_down2,2,FALSE()),FALSE()),HLOOKUP(E117,GDcorr,VLOOKUP(H117,CorMove,2,FALSE()),FALSE()),Q117-$C$3,R117,$AI$5)*I117-AI117</f>
        <v>#N/A</v>
      </c>
      <c r="AH117" s="253" t="e">
        <f aca="false">SUM(AC117:AG117)</f>
        <v>#N/A</v>
      </c>
      <c r="AI117" s="253" t="e">
        <f aca="false">xSPRDOPT(HLOOKUP($D$3,GDPrev,VLOOKUP(Q117,GDmove_down,2,FALSE()),FALSE()),HLOOKUP($E$3,GDPrev,VLOOKUP(Q117,GDmove_down,2,FALSE()),FALSE()),AJ117,VLOOKUP(H117,NGPREVPRICES,4,FALSE()),HLOOKUP($H$3,GDPrevVols,VLOOKUP(Q117,GDmove_down2,2,FALSE()),FALSE()),HLOOKUP($H$3,GDPrevVols,VLOOKUP(Q117,GDmove_down2,2,FALSE()),FALSE()),HLOOKUP(E117,GDcorr,VLOOKUP(H117,CorMove,2,FALSE()),FALSE()),Q117-$AC$3,R117,$AI$5)*I117</f>
        <v>#N/A</v>
      </c>
      <c r="AJ117" s="254" t="e">
        <f aca="false">HLOOKUP(D117,PREVCURVES,VLOOKUP(H117,MOVE_DOWN2,2,FALSE()),FALSE())-HLOOKUP(E117,PREVCURVES,VLOOKUP(H117,MOVE_DOWN2,2,FALSE()),FALSE())</f>
        <v>#N/A</v>
      </c>
      <c r="AK117" s="253"/>
      <c r="AL117" s="0" t="str">
        <f aca="false">CONCATENATE(AB117,$AC$6)</f>
        <v>36678Curve Shift/Gamma</v>
      </c>
      <c r="AM117" s="0" t="str">
        <f aca="false">CONCATENATE($AB117,$AD$6)</f>
        <v>36678Rho</v>
      </c>
      <c r="AN117" s="0" t="str">
        <f aca="false">CONCATENATE($AB117,$AE$6)</f>
        <v>36678Drift</v>
      </c>
      <c r="AO117" s="0" t="str">
        <f aca="false">CONCATENATE($AB117,$AF$6)</f>
        <v>36678Vega</v>
      </c>
      <c r="AP117" s="0" t="str">
        <f aca="false">CONCATENATE($AB117,$AG$6)</f>
        <v>36678Theta</v>
      </c>
      <c r="AZ117" s="143" t="n">
        <f aca="false">EOMONTH(AZ116,0)+1</f>
        <v>39508</v>
      </c>
      <c r="BA117" s="135"/>
      <c r="BG117" s="285" t="n">
        <v>39845</v>
      </c>
      <c r="BH117" s="0" t="n">
        <v>0.985</v>
      </c>
      <c r="BJ117" s="285" t="n">
        <v>39845</v>
      </c>
      <c r="BK117" s="0" t="n">
        <v>114</v>
      </c>
    </row>
    <row r="118" customFormat="false" ht="12" hidden="false" customHeight="true" outlineLevel="0" collapsed="false">
      <c r="A118" s="267" t="s">
        <v>198</v>
      </c>
      <c r="B118" s="269" t="s">
        <v>192</v>
      </c>
      <c r="C118" s="269" t="s">
        <v>494</v>
      </c>
      <c r="D118" s="269" t="s">
        <v>137</v>
      </c>
      <c r="E118" s="7" t="s">
        <v>483</v>
      </c>
      <c r="F118" s="269" t="s">
        <v>131</v>
      </c>
      <c r="G118" s="269" t="s">
        <v>136</v>
      </c>
      <c r="H118" s="286" t="n">
        <v>36678</v>
      </c>
      <c r="I118" s="272" t="n">
        <v>-10000</v>
      </c>
      <c r="J118" s="125" t="n">
        <v>0.46</v>
      </c>
      <c r="K118" s="124" t="n">
        <f aca="false">HLOOKUP($D$3,GDPRICES,VLOOKUP(Q118,GDmove_down,2,FALSE()),FALSE())</f>
        <v>4.68</v>
      </c>
      <c r="L118" s="124" t="n">
        <f aca="false">HLOOKUP($E$3,GDPRICES,VLOOKUP(Q118,GDmove_down,2,FALSE()),FALSE())</f>
        <v>3.41</v>
      </c>
      <c r="M118" s="126" t="n">
        <v>1</v>
      </c>
      <c r="N118" s="7" t="n">
        <v>0.515</v>
      </c>
      <c r="O118" s="7" t="n">
        <v>0.515</v>
      </c>
      <c r="P118" s="249" t="e">
        <f aca="false">HLOOKUP(E118,GDcorr,VLOOKUP(H118,GDCorMove,2,FALSE()),FALSE())</f>
        <v>#N/A</v>
      </c>
      <c r="Q118" s="92" t="n">
        <v>36693</v>
      </c>
      <c r="R118" s="7" t="n">
        <f aca="false">IF(G118="P",0,1)</f>
        <v>1</v>
      </c>
      <c r="S118" s="130" t="e">
        <f aca="false">xSPRDOPT($K118,$L118,$J118,$M118,$N118,$O118,$P118,$Q118-$C$3,$R118,0)</f>
        <v>#NAME?</v>
      </c>
      <c r="T118" s="250" t="e">
        <f aca="false">xSPRDOPT($K118,$L118,$J118,$M118,$N118,$O118,$P118,$Q118-$C$3,$R118,1)*I118</f>
        <v>#NAME?</v>
      </c>
      <c r="U118" s="43" t="n">
        <v>-2850</v>
      </c>
      <c r="V118" s="250" t="e">
        <f aca="false">xSPRDOPT($K118,$L118,$J118,$M118,$N118,$O118,$P118,$Q118-$C$3,$R118,2)*I118</f>
        <v>#NAME?</v>
      </c>
      <c r="W118" s="250" t="e">
        <f aca="false">+V118+T118</f>
        <v>#NAME?</v>
      </c>
      <c r="X118" s="2" t="str">
        <f aca="false">CONCATENATE(H118,E118)</f>
        <v>36678IF-ELPO/SJ</v>
      </c>
      <c r="Y118" s="251" t="n">
        <f aca="false">I118/10000</f>
        <v>-1</v>
      </c>
      <c r="AA118" s="2"/>
      <c r="AB118" s="182" t="n">
        <f aca="false">H118</f>
        <v>36678</v>
      </c>
      <c r="AC118" s="253" t="e">
        <f aca="false">xSPRDOPT(HLOOKUP($D$3,GDPRICES,VLOOKUP(Q118,GDmove_down,2,FALSE()),FALSE()),HLOOKUP($E$3,GDPRICES,VLOOKUP(Q118,GDmove_down,2,FALSE()),FALSE()),J118,VLOOKUP(H118,NGPREVPRICES,4,FALSE()),HLOOKUP($H$3,GDPrevVols,VLOOKUP(Q118,GDmove_down2,2,FALSE()),FALSE()),HLOOKUP($H$3,GDPrevVols,VLOOKUP(Q118,GDmove_down2,2,FALSE()),FALSE()),HLOOKUP(E118,GDcorr,VLOOKUP(H118,CorMove,2,FALSE()),FALSE()),Q118-$AC$3,R118,$AC$5)*I118-AI118</f>
        <v>#N/A</v>
      </c>
      <c r="AD118" s="253" t="e">
        <f aca="false">xSPRDOPT(HLOOKUP($D$3,GDPrev,VLOOKUP(Q118,GDmove_down,2,FALSE()),FALSE()),HLOOKUP($E$3,GDPrev,VLOOKUP(Q118,GDmove_down,2,FALSE()),FALSE()),AJ118,VLOOKUP(H118,NGPrices,4,FALSE()),HLOOKUP($H$3,GDPrevVols,VLOOKUP(Q118,GDmove_down2,2,FALSE()),FALSE()),HLOOKUP($H$3,GDPrevVols,VLOOKUP(Q118,GDmove_down2,2,FALSE()),FALSE()),HLOOKUP(E118,GDcorr,VLOOKUP(H118,CorMove,2,FALSE()),FALSE()),Q118-$AC$3,R118,$AI$5)*I118-AI118</f>
        <v>#N/A</v>
      </c>
      <c r="AE118" s="132" t="e">
        <f aca="false">(AI118/VLOOKUP(AB118,discount,3,FALSE()))-(AI118/VLOOKUP(AB118,discount,2,FALSE()))</f>
        <v>#N/A</v>
      </c>
      <c r="AF118" s="253" t="e">
        <f aca="false">xSPRDOPT(HLOOKUP($D$3,GDPrev,VLOOKUP(Q118,GDmove_down,2,FALSE()),FALSE()),HLOOKUP($E$3,GDPrev,VLOOKUP(Q118,GDmove_down,2,FALSE()),FALSE()),AJ118,VLOOKUP(H118,NGPREVPRICES,4,FALSE()),HLOOKUP($H$3,GDVol,VLOOKUP(H118,move_down,2,FALSE()),FALSE()),HLOOKUP($H$3,GDVol,VLOOKUP(H118,move_down,2,FALSE()),FALSE()),HLOOKUP(E118,GDcorr,VLOOKUP(H118,CorMove,2,FALSE()),FALSE()),Q118-$AC$3,R118,$AI$5)*I118-AI118</f>
        <v>#N/A</v>
      </c>
      <c r="AG118" s="253" t="e">
        <f aca="false">xSPRDOPT(HLOOKUP($D$3,GDPrev,VLOOKUP(Q118,GDmove_down,2,FALSE()),FALSE()),HLOOKUP($E$3,GDPrev,VLOOKUP(Q118,GDmove_down,2,FALSE()),FALSE()),AJ118,VLOOKUP(H118,NGPREVPRICES,4,FALSE()),HLOOKUP($H$3,GDPrevVols,VLOOKUP(Q118,GDmove_down2,2,FALSE()),FALSE()),HLOOKUP($H$3,GDPrevVols,VLOOKUP(Q118,GDmove_down2,2,FALSE()),FALSE()),HLOOKUP(E118,GDcorr,VLOOKUP(H118,CorMove,2,FALSE()),FALSE()),Q118-$C$3,R118,$AI$5)*I118-AI118</f>
        <v>#N/A</v>
      </c>
      <c r="AH118" s="253" t="e">
        <f aca="false">SUM(AC118:AG118)</f>
        <v>#N/A</v>
      </c>
      <c r="AI118" s="253" t="e">
        <f aca="false">xSPRDOPT(HLOOKUP($D$3,GDPrev,VLOOKUP(Q118,GDmove_down,2,FALSE()),FALSE()),HLOOKUP($E$3,GDPrev,VLOOKUP(Q118,GDmove_down,2,FALSE()),FALSE()),AJ118,VLOOKUP(H118,NGPREVPRICES,4,FALSE()),HLOOKUP($H$3,GDPrevVols,VLOOKUP(Q118,GDmove_down2,2,FALSE()),FALSE()),HLOOKUP($H$3,GDPrevVols,VLOOKUP(Q118,GDmove_down2,2,FALSE()),FALSE()),HLOOKUP(E118,GDcorr,VLOOKUP(H118,CorMove,2,FALSE()),FALSE()),Q118-$AC$3,R118,$AI$5)*I118</f>
        <v>#N/A</v>
      </c>
      <c r="AJ118" s="254" t="e">
        <f aca="false">HLOOKUP(D118,PREVCURVES,VLOOKUP(H118,MOVE_DOWN2,2,FALSE()),FALSE())-HLOOKUP(E118,PREVCURVES,VLOOKUP(H118,MOVE_DOWN2,2,FALSE()),FALSE())</f>
        <v>#N/A</v>
      </c>
      <c r="AK118" s="253"/>
      <c r="AL118" s="0" t="str">
        <f aca="false">CONCATENATE(AB118,$AC$6)</f>
        <v>36678Curve Shift/Gamma</v>
      </c>
      <c r="AM118" s="0" t="str">
        <f aca="false">CONCATENATE($AB118,$AD$6)</f>
        <v>36678Rho</v>
      </c>
      <c r="AN118" s="0" t="str">
        <f aca="false">CONCATENATE($AB118,$AE$6)</f>
        <v>36678Drift</v>
      </c>
      <c r="AO118" s="0" t="str">
        <f aca="false">CONCATENATE($AB118,$AF$6)</f>
        <v>36678Vega</v>
      </c>
      <c r="AP118" s="0" t="str">
        <f aca="false">CONCATENATE($AB118,$AG$6)</f>
        <v>36678Theta</v>
      </c>
      <c r="AZ118" s="143" t="n">
        <f aca="false">EOMONTH(AZ117,0)+1</f>
        <v>39539</v>
      </c>
      <c r="BA118" s="135"/>
      <c r="BG118" s="285" t="n">
        <v>39873</v>
      </c>
      <c r="BH118" s="0" t="n">
        <v>0.985</v>
      </c>
      <c r="BJ118" s="285" t="n">
        <v>39873</v>
      </c>
      <c r="BK118" s="0" t="n">
        <v>115</v>
      </c>
    </row>
    <row r="119" customFormat="false" ht="12" hidden="false" customHeight="true" outlineLevel="0" collapsed="false">
      <c r="A119" s="265" t="s">
        <v>198</v>
      </c>
      <c r="B119" s="269" t="s">
        <v>192</v>
      </c>
      <c r="C119" s="269" t="s">
        <v>488</v>
      </c>
      <c r="D119" s="269" t="s">
        <v>137</v>
      </c>
      <c r="E119" s="7" t="s">
        <v>483</v>
      </c>
      <c r="F119" s="269" t="s">
        <v>131</v>
      </c>
      <c r="G119" s="269" t="s">
        <v>136</v>
      </c>
      <c r="H119" s="286" t="n">
        <v>36678</v>
      </c>
      <c r="I119" s="272" t="n">
        <v>-50000</v>
      </c>
      <c r="J119" s="125" t="n">
        <v>0.46</v>
      </c>
      <c r="K119" s="124" t="n">
        <f aca="false">HLOOKUP($D$3,GDPRICES,VLOOKUP(Q119,GDmove_down,2,FALSE()),FALSE())</f>
        <v>4.73</v>
      </c>
      <c r="L119" s="124" t="n">
        <f aca="false">HLOOKUP($E$3,GDPRICES,VLOOKUP(Q119,GDmove_down,2,FALSE()),FALSE())</f>
        <v>3.41</v>
      </c>
      <c r="M119" s="126" t="n">
        <v>1</v>
      </c>
      <c r="N119" s="7" t="n">
        <v>0.515</v>
      </c>
      <c r="O119" s="7" t="n">
        <v>0.515</v>
      </c>
      <c r="P119" s="249" t="e">
        <f aca="false">HLOOKUP(E119,GDcorr,VLOOKUP(H119,GDCorMove,2,FALSE()),FALSE())</f>
        <v>#N/A</v>
      </c>
      <c r="Q119" s="92" t="n">
        <v>36694</v>
      </c>
      <c r="R119" s="7" t="n">
        <f aca="false">IF(G119="P",0,1)</f>
        <v>1</v>
      </c>
      <c r="S119" s="130" t="e">
        <f aca="false">xSPRDOPT($K119,$L119,$J119,$M119,$N119,$O119,$P119,$Q119-$C$3,$R119,0)</f>
        <v>#NAME?</v>
      </c>
      <c r="T119" s="250" t="e">
        <f aca="false">xSPRDOPT($K119,$L119,$J119,$M119,$N119,$O119,$P119,$Q119-$C$3,$R119,1)*I119</f>
        <v>#NAME?</v>
      </c>
      <c r="U119" s="43" t="n">
        <v>-11000</v>
      </c>
      <c r="V119" s="250" t="e">
        <f aca="false">xSPRDOPT($K119,$L119,$J119,$M119,$N119,$O119,$P119,$Q119-$C$3,$R119,2)*I119</f>
        <v>#NAME?</v>
      </c>
      <c r="W119" s="250" t="e">
        <f aca="false">+V119+T119</f>
        <v>#NAME?</v>
      </c>
      <c r="X119" s="2" t="str">
        <f aca="false">CONCATENATE(H119,E119)</f>
        <v>36678IF-ELPO/SJ</v>
      </c>
      <c r="Y119" s="251" t="n">
        <f aca="false">I119/10000</f>
        <v>-5</v>
      </c>
      <c r="Z119" s="2"/>
      <c r="AA119" s="2"/>
      <c r="AB119" s="182" t="n">
        <f aca="false">H119</f>
        <v>36678</v>
      </c>
      <c r="AC119" s="253" t="e">
        <f aca="false">xSPRDOPT(HLOOKUP($D$3,GDPRICES,VLOOKUP(Q119,GDmove_down,2,FALSE()),FALSE()),HLOOKUP($E$3,GDPRICES,VLOOKUP(Q119,GDmove_down,2,FALSE()),FALSE()),J119,VLOOKUP(H119,NGPREVPRICES,4,FALSE()),HLOOKUP($H$3,GDPrevVols,VLOOKUP(Q119,GDmove_down2,2,FALSE()),FALSE()),HLOOKUP($H$3,GDPrevVols,VLOOKUP(Q119,GDmove_down2,2,FALSE()),FALSE()),HLOOKUP(E119,GDcorr,VLOOKUP(H119,CorMove,2,FALSE()),FALSE()),Q119-$AC$3,R119,$AC$5)*I119-AI119</f>
        <v>#N/A</v>
      </c>
      <c r="AD119" s="253" t="e">
        <f aca="false">xSPRDOPT(HLOOKUP($D$3,GDPrev,VLOOKUP(Q119,GDmove_down,2,FALSE()),FALSE()),HLOOKUP($E$3,GDPrev,VLOOKUP(Q119,GDmove_down,2,FALSE()),FALSE()),AJ119,VLOOKUP(H119,NGPrices,4,FALSE()),HLOOKUP($H$3,GDPrevVols,VLOOKUP(Q119,GDmove_down2,2,FALSE()),FALSE()),HLOOKUP($H$3,GDPrevVols,VLOOKUP(Q119,GDmove_down2,2,FALSE()),FALSE()),HLOOKUP(E119,GDcorr,VLOOKUP(H119,CorMove,2,FALSE()),FALSE()),Q119-$AC$3,R119,$AI$5)*I119-AI119</f>
        <v>#N/A</v>
      </c>
      <c r="AE119" s="132" t="e">
        <f aca="false">(AI119/VLOOKUP(AB119,discount,3,FALSE()))-(AI119/VLOOKUP(AB119,discount,2,FALSE()))</f>
        <v>#N/A</v>
      </c>
      <c r="AF119" s="253" t="e">
        <f aca="false">xSPRDOPT(HLOOKUP($D$3,GDPrev,VLOOKUP(Q119,GDmove_down,2,FALSE()),FALSE()),HLOOKUP($E$3,GDPrev,VLOOKUP(Q119,GDmove_down,2,FALSE()),FALSE()),AJ119,VLOOKUP(H119,NGPREVPRICES,4,FALSE()),HLOOKUP($H$3,GDVol,VLOOKUP(H119,move_down,2,FALSE()),FALSE()),HLOOKUP($H$3,GDVol,VLOOKUP(H119,move_down,2,FALSE()),FALSE()),HLOOKUP(E119,GDcorr,VLOOKUP(H119,CorMove,2,FALSE()),FALSE()),Q119-$AC$3,R119,$AI$5)*I119-AI119</f>
        <v>#N/A</v>
      </c>
      <c r="AG119" s="253" t="e">
        <f aca="false">xSPRDOPT(HLOOKUP($D$3,GDPrev,VLOOKUP(Q119,GDmove_down,2,FALSE()),FALSE()),HLOOKUP($E$3,GDPrev,VLOOKUP(Q119,GDmove_down,2,FALSE()),FALSE()),AJ119,VLOOKUP(H119,NGPREVPRICES,4,FALSE()),HLOOKUP($H$3,GDPrevVols,VLOOKUP(Q119,GDmove_down2,2,FALSE()),FALSE()),HLOOKUP($H$3,GDPrevVols,VLOOKUP(Q119,GDmove_down2,2,FALSE()),FALSE()),HLOOKUP(E119,GDcorr,VLOOKUP(H119,CorMove,2,FALSE()),FALSE()),Q119-$C$3,R119,$AI$5)*I119-AI119</f>
        <v>#N/A</v>
      </c>
      <c r="AH119" s="253" t="e">
        <f aca="false">SUM(AC119:AG119)</f>
        <v>#N/A</v>
      </c>
      <c r="AI119" s="253" t="e">
        <f aca="false">xSPRDOPT(HLOOKUP($D$3,GDPrev,VLOOKUP(Q119,GDmove_down,2,FALSE()),FALSE()),HLOOKUP($E$3,GDPrev,VLOOKUP(Q119,GDmove_down,2,FALSE()),FALSE()),AJ119,VLOOKUP(H119,NGPREVPRICES,4,FALSE()),HLOOKUP($H$3,GDPrevVols,VLOOKUP(Q119,GDmove_down2,2,FALSE()),FALSE()),HLOOKUP($H$3,GDPrevVols,VLOOKUP(Q119,GDmove_down2,2,FALSE()),FALSE()),HLOOKUP(E119,GDcorr,VLOOKUP(H119,CorMove,2,FALSE()),FALSE()),Q119-$AC$3,R119,$AI$5)*I119</f>
        <v>#N/A</v>
      </c>
      <c r="AJ119" s="254" t="e">
        <f aca="false">HLOOKUP(D119,PREVCURVES,VLOOKUP(H119,MOVE_DOWN2,2,FALSE()),FALSE())-HLOOKUP(E119,PREVCURVES,VLOOKUP(H119,MOVE_DOWN2,2,FALSE()),FALSE())</f>
        <v>#N/A</v>
      </c>
      <c r="AK119" s="253"/>
      <c r="AL119" s="0" t="str">
        <f aca="false">CONCATENATE(AB119,$AC$6)</f>
        <v>36678Curve Shift/Gamma</v>
      </c>
      <c r="AM119" s="0" t="str">
        <f aca="false">CONCATENATE($AB119,$AD$6)</f>
        <v>36678Rho</v>
      </c>
      <c r="AN119" s="0" t="str">
        <f aca="false">CONCATENATE($AB119,$AE$6)</f>
        <v>36678Drift</v>
      </c>
      <c r="AO119" s="0" t="str">
        <f aca="false">CONCATENATE($AB119,$AF$6)</f>
        <v>36678Vega</v>
      </c>
      <c r="AP119" s="0" t="str">
        <f aca="false">CONCATENATE($AB119,$AG$6)</f>
        <v>36678Theta</v>
      </c>
      <c r="AZ119" s="143" t="n">
        <f aca="false">EOMONTH(AZ118,0)+1</f>
        <v>39569</v>
      </c>
      <c r="BA119" s="135"/>
      <c r="BG119" s="285" t="n">
        <v>39904</v>
      </c>
      <c r="BH119" s="0" t="n">
        <v>0.985</v>
      </c>
      <c r="BJ119" s="285" t="n">
        <v>39904</v>
      </c>
      <c r="BK119" s="0" t="n">
        <v>116</v>
      </c>
    </row>
    <row r="120" customFormat="false" ht="12" hidden="false" customHeight="true" outlineLevel="0" collapsed="false">
      <c r="A120" s="265" t="s">
        <v>198</v>
      </c>
      <c r="B120" s="269" t="s">
        <v>192</v>
      </c>
      <c r="C120" s="269" t="s">
        <v>489</v>
      </c>
      <c r="D120" s="269" t="s">
        <v>137</v>
      </c>
      <c r="E120" s="7" t="s">
        <v>483</v>
      </c>
      <c r="F120" s="269" t="s">
        <v>131</v>
      </c>
      <c r="G120" s="269" t="s">
        <v>136</v>
      </c>
      <c r="H120" s="286" t="n">
        <v>36678</v>
      </c>
      <c r="I120" s="272" t="n">
        <v>10000</v>
      </c>
      <c r="J120" s="125" t="n">
        <v>0.46</v>
      </c>
      <c r="K120" s="124" t="n">
        <f aca="false">HLOOKUP($D$3,GDPRICES,VLOOKUP(Q120,GDmove_down,2,FALSE()),FALSE())</f>
        <v>4.73</v>
      </c>
      <c r="L120" s="124" t="n">
        <f aca="false">HLOOKUP($E$3,GDPRICES,VLOOKUP(Q120,GDmove_down,2,FALSE()),FALSE())</f>
        <v>3.41</v>
      </c>
      <c r="M120" s="126" t="n">
        <v>1</v>
      </c>
      <c r="N120" s="7" t="n">
        <v>0.515</v>
      </c>
      <c r="O120" s="7" t="n">
        <v>0.515</v>
      </c>
      <c r="P120" s="249" t="e">
        <f aca="false">HLOOKUP(E120,GDcorr,VLOOKUP(H120,GDCorMove,2,FALSE()),FALSE())</f>
        <v>#N/A</v>
      </c>
      <c r="Q120" s="92" t="n">
        <v>36694</v>
      </c>
      <c r="R120" s="7" t="n">
        <f aca="false">IF(G120="P",0,1)</f>
        <v>1</v>
      </c>
      <c r="S120" s="130" t="e">
        <f aca="false">xSPRDOPT($K120,$L120,$J120,$M120,$N120,$O120,$P120,$Q120-$C$3,$R120,0)</f>
        <v>#NAME?</v>
      </c>
      <c r="T120" s="250" t="e">
        <f aca="false">xSPRDOPT($K120,$L120,$J120,$M120,$N120,$O120,$P120,$Q120-$C$3,$R120,1)*I120</f>
        <v>#NAME?</v>
      </c>
      <c r="U120" s="43" t="n">
        <v>2200</v>
      </c>
      <c r="V120" s="250" t="e">
        <f aca="false">xSPRDOPT($K120,$L120,$J120,$M120,$N120,$O120,$P120,$Q120-$C$3,$R120,2)*I120</f>
        <v>#NAME?</v>
      </c>
      <c r="W120" s="250" t="e">
        <f aca="false">+V120+T120</f>
        <v>#NAME?</v>
      </c>
      <c r="X120" s="2" t="str">
        <f aca="false">CONCATENATE(H120,E120)</f>
        <v>36678IF-ELPO/SJ</v>
      </c>
      <c r="Y120" s="251" t="n">
        <f aca="false">I120/10000</f>
        <v>1</v>
      </c>
      <c r="Z120" s="2"/>
      <c r="AA120" s="2"/>
      <c r="AB120" s="182" t="n">
        <f aca="false">H120</f>
        <v>36678</v>
      </c>
      <c r="AC120" s="253" t="e">
        <f aca="false">xSPRDOPT(HLOOKUP($D$3,GDPRICES,VLOOKUP(Q120,GDmove_down,2,FALSE()),FALSE()),HLOOKUP($E$3,GDPRICES,VLOOKUP(Q120,GDmove_down,2,FALSE()),FALSE()),J120,VLOOKUP(H120,NGPREVPRICES,4,FALSE()),HLOOKUP($H$3,GDPrevVols,VLOOKUP(Q120,GDmove_down2,2,FALSE()),FALSE()),HLOOKUP($H$3,GDPrevVols,VLOOKUP(Q120,GDmove_down2,2,FALSE()),FALSE()),HLOOKUP(E120,GDcorr,VLOOKUP(H120,CorMove,2,FALSE()),FALSE()),Q120-$AC$3,R120,$AC$5)*I120-AI120</f>
        <v>#N/A</v>
      </c>
      <c r="AD120" s="253" t="e">
        <f aca="false">xSPRDOPT(HLOOKUP($D$3,GDPrev,VLOOKUP(Q120,GDmove_down,2,FALSE()),FALSE()),HLOOKUP($E$3,GDPrev,VLOOKUP(Q120,GDmove_down,2,FALSE()),FALSE()),AJ120,VLOOKUP(H120,NGPrices,4,FALSE()),HLOOKUP($H$3,GDPrevVols,VLOOKUP(Q120,GDmove_down2,2,FALSE()),FALSE()),HLOOKUP($H$3,GDPrevVols,VLOOKUP(Q120,GDmove_down2,2,FALSE()),FALSE()),HLOOKUP(E120,GDcorr,VLOOKUP(H120,CorMove,2,FALSE()),FALSE()),Q120-$AC$3,R120,$AI$5)*I120-AI120</f>
        <v>#N/A</v>
      </c>
      <c r="AE120" s="132" t="e">
        <f aca="false">(AI120/VLOOKUP(AB120,discount,3,FALSE()))-(AI120/VLOOKUP(AB120,discount,2,FALSE()))</f>
        <v>#N/A</v>
      </c>
      <c r="AF120" s="253" t="e">
        <f aca="false">xSPRDOPT(HLOOKUP($D$3,GDPrev,VLOOKUP(Q120,GDmove_down,2,FALSE()),FALSE()),HLOOKUP($E$3,GDPrev,VLOOKUP(Q120,GDmove_down,2,FALSE()),FALSE()),AJ120,VLOOKUP(H120,NGPREVPRICES,4,FALSE()),HLOOKUP($H$3,GDVol,VLOOKUP(H120,move_down,2,FALSE()),FALSE()),HLOOKUP($H$3,GDVol,VLOOKUP(H120,move_down,2,FALSE()),FALSE()),HLOOKUP(E120,GDcorr,VLOOKUP(H120,CorMove,2,FALSE()),FALSE()),Q120-$AC$3,R120,$AI$5)*I120-AI120</f>
        <v>#N/A</v>
      </c>
      <c r="AG120" s="253" t="e">
        <f aca="false">xSPRDOPT(HLOOKUP($D$3,GDPrev,VLOOKUP(Q120,GDmove_down,2,FALSE()),FALSE()),HLOOKUP($E$3,GDPrev,VLOOKUP(Q120,GDmove_down,2,FALSE()),FALSE()),AJ120,VLOOKUP(H120,NGPREVPRICES,4,FALSE()),HLOOKUP($H$3,GDPrevVols,VLOOKUP(Q120,GDmove_down2,2,FALSE()),FALSE()),HLOOKUP($H$3,GDPrevVols,VLOOKUP(Q120,GDmove_down2,2,FALSE()),FALSE()),HLOOKUP(E120,GDcorr,VLOOKUP(H120,CorMove,2,FALSE()),FALSE()),Q120-$C$3,R120,$AI$5)*I120-AI120</f>
        <v>#N/A</v>
      </c>
      <c r="AH120" s="253" t="e">
        <f aca="false">SUM(AC120:AG120)</f>
        <v>#N/A</v>
      </c>
      <c r="AI120" s="253" t="e">
        <f aca="false">xSPRDOPT(HLOOKUP($D$3,GDPrev,VLOOKUP(Q120,GDmove_down,2,FALSE()),FALSE()),HLOOKUP($E$3,GDPrev,VLOOKUP(Q120,GDmove_down,2,FALSE()),FALSE()),AJ120,VLOOKUP(H120,NGPREVPRICES,4,FALSE()),HLOOKUP($H$3,GDPrevVols,VLOOKUP(Q120,GDmove_down2,2,FALSE()),FALSE()),HLOOKUP($H$3,GDPrevVols,VLOOKUP(Q120,GDmove_down2,2,FALSE()),FALSE()),HLOOKUP(E120,GDcorr,VLOOKUP(H120,CorMove,2,FALSE()),FALSE()),Q120-$AC$3,R120,$AI$5)*I120</f>
        <v>#N/A</v>
      </c>
      <c r="AJ120" s="254" t="e">
        <f aca="false">HLOOKUP(D120,PREVCURVES,VLOOKUP(H120,MOVE_DOWN2,2,FALSE()),FALSE())-HLOOKUP(E120,PREVCURVES,VLOOKUP(H120,MOVE_DOWN2,2,FALSE()),FALSE())</f>
        <v>#N/A</v>
      </c>
      <c r="AK120" s="253"/>
      <c r="AL120" s="0" t="str">
        <f aca="false">CONCATENATE(AB120,$AC$6)</f>
        <v>36678Curve Shift/Gamma</v>
      </c>
      <c r="AM120" s="0" t="str">
        <f aca="false">CONCATENATE($AB120,$AD$6)</f>
        <v>36678Rho</v>
      </c>
      <c r="AN120" s="0" t="str">
        <f aca="false">CONCATENATE($AB120,$AE$6)</f>
        <v>36678Drift</v>
      </c>
      <c r="AO120" s="0" t="str">
        <f aca="false">CONCATENATE($AB120,$AF$6)</f>
        <v>36678Vega</v>
      </c>
      <c r="AP120" s="0" t="str">
        <f aca="false">CONCATENATE($AB120,$AG$6)</f>
        <v>36678Theta</v>
      </c>
      <c r="AZ120" s="143" t="n">
        <f aca="false">EOMONTH(AZ119,0)+1</f>
        <v>39600</v>
      </c>
      <c r="BA120" s="135"/>
      <c r="BG120" s="285" t="n">
        <v>39934</v>
      </c>
      <c r="BH120" s="0" t="n">
        <v>0.985</v>
      </c>
      <c r="BJ120" s="285" t="n">
        <v>39934</v>
      </c>
      <c r="BK120" s="0" t="n">
        <v>117</v>
      </c>
    </row>
    <row r="121" customFormat="false" ht="12" hidden="false" customHeight="true" outlineLevel="0" collapsed="false">
      <c r="A121" s="265" t="s">
        <v>198</v>
      </c>
      <c r="B121" s="269" t="s">
        <v>192</v>
      </c>
      <c r="C121" s="269" t="s">
        <v>490</v>
      </c>
      <c r="D121" s="269" t="s">
        <v>137</v>
      </c>
      <c r="E121" s="7" t="s">
        <v>483</v>
      </c>
      <c r="F121" s="269" t="s">
        <v>131</v>
      </c>
      <c r="G121" s="269" t="s">
        <v>136</v>
      </c>
      <c r="H121" s="286" t="n">
        <v>36678</v>
      </c>
      <c r="I121" s="272" t="n">
        <v>-333333</v>
      </c>
      <c r="J121" s="125" t="n">
        <v>0.46</v>
      </c>
      <c r="K121" s="124" t="n">
        <f aca="false">HLOOKUP($D$3,GDPRICES,VLOOKUP(Q121,GDmove_down,2,FALSE()),FALSE())</f>
        <v>4.73</v>
      </c>
      <c r="L121" s="124" t="n">
        <f aca="false">HLOOKUP($E$3,GDPRICES,VLOOKUP(Q121,GDmove_down,2,FALSE()),FALSE())</f>
        <v>3.41</v>
      </c>
      <c r="M121" s="126" t="n">
        <v>1</v>
      </c>
      <c r="N121" s="7" t="n">
        <v>0.515</v>
      </c>
      <c r="O121" s="7" t="n">
        <v>0.515</v>
      </c>
      <c r="P121" s="249" t="e">
        <f aca="false">HLOOKUP(E121,GDcorr,VLOOKUP(H121,GDCorMove,2,FALSE()),FALSE())</f>
        <v>#N/A</v>
      </c>
      <c r="Q121" s="92" t="n">
        <v>36694</v>
      </c>
      <c r="R121" s="7" t="n">
        <f aca="false">IF(G121="P",0,1)</f>
        <v>1</v>
      </c>
      <c r="S121" s="130" t="e">
        <f aca="false">xSPRDOPT($K121,$L121,$J121,$M121,$N121,$O121,$P121,$Q121-$C$3,$R121,0)</f>
        <v>#NAME?</v>
      </c>
      <c r="T121" s="250" t="e">
        <f aca="false">xSPRDOPT($K121,$L121,$J121,$M121,$N121,$O121,$P121,$Q121-$C$3,$R121,1)*I121</f>
        <v>#NAME?</v>
      </c>
      <c r="U121" s="43" t="n">
        <v>-73333.2599999999</v>
      </c>
      <c r="V121" s="250" t="e">
        <f aca="false">xSPRDOPT($K121,$L121,$J121,$M121,$N121,$O121,$P121,$Q121-$C$3,$R121,2)*I121</f>
        <v>#NAME?</v>
      </c>
      <c r="W121" s="250" t="e">
        <f aca="false">+V121+T121</f>
        <v>#NAME?</v>
      </c>
      <c r="X121" s="2" t="str">
        <f aca="false">CONCATENATE(H121,E121)</f>
        <v>36678IF-ELPO/SJ</v>
      </c>
      <c r="Y121" s="251" t="n">
        <f aca="false">I121/10000</f>
        <v>-33.3333</v>
      </c>
      <c r="Z121" s="2"/>
      <c r="AA121" s="2"/>
      <c r="AB121" s="182" t="n">
        <f aca="false">H121</f>
        <v>36678</v>
      </c>
      <c r="AC121" s="253" t="e">
        <f aca="false">xSPRDOPT(HLOOKUP($D$3,GDPRICES,VLOOKUP(Q121,GDmove_down,2,FALSE()),FALSE()),HLOOKUP($E$3,GDPRICES,VLOOKUP(Q121,GDmove_down,2,FALSE()),FALSE()),J121,VLOOKUP(H121,NGPREVPRICES,4,FALSE()),HLOOKUP($H$3,GDPrevVols,VLOOKUP(Q121,GDmove_down2,2,FALSE()),FALSE()),HLOOKUP($H$3,GDPrevVols,VLOOKUP(Q121,GDmove_down2,2,FALSE()),FALSE()),HLOOKUP(E121,GDcorr,VLOOKUP(H121,CorMove,2,FALSE()),FALSE()),Q121-$AC$3,R121,$AC$5)*I121-AI121</f>
        <v>#N/A</v>
      </c>
      <c r="AD121" s="253" t="e">
        <f aca="false">xSPRDOPT(HLOOKUP($D$3,GDPrev,VLOOKUP(Q121,GDmove_down,2,FALSE()),FALSE()),HLOOKUP($E$3,GDPrev,VLOOKUP(Q121,GDmove_down,2,FALSE()),FALSE()),AJ121,VLOOKUP(H121,NGPrices,4,FALSE()),HLOOKUP($H$3,GDPrevVols,VLOOKUP(Q121,GDmove_down2,2,FALSE()),FALSE()),HLOOKUP($H$3,GDPrevVols,VLOOKUP(Q121,GDmove_down2,2,FALSE()),FALSE()),HLOOKUP(E121,GDcorr,VLOOKUP(H121,CorMove,2,FALSE()),FALSE()),Q121-$AC$3,R121,$AI$5)*I121-AI121</f>
        <v>#N/A</v>
      </c>
      <c r="AE121" s="132" t="e">
        <f aca="false">(AI121/VLOOKUP(AB121,discount,3,FALSE()))-(AI121/VLOOKUP(AB121,discount,2,FALSE()))</f>
        <v>#N/A</v>
      </c>
      <c r="AF121" s="253" t="e">
        <f aca="false">xSPRDOPT(HLOOKUP($D$3,GDPrev,VLOOKUP(Q121,GDmove_down,2,FALSE()),FALSE()),HLOOKUP($E$3,GDPrev,VLOOKUP(Q121,GDmove_down,2,FALSE()),FALSE()),AJ121,VLOOKUP(H121,NGPREVPRICES,4,FALSE()),HLOOKUP($H$3,GDVol,VLOOKUP(H121,move_down,2,FALSE()),FALSE()),HLOOKUP($H$3,GDVol,VLOOKUP(H121,move_down,2,FALSE()),FALSE()),HLOOKUP(E121,GDcorr,VLOOKUP(H121,CorMove,2,FALSE()),FALSE()),Q121-$AC$3,R121,$AI$5)*I121-AI121</f>
        <v>#N/A</v>
      </c>
      <c r="AG121" s="253" t="e">
        <f aca="false">xSPRDOPT(HLOOKUP($D$3,GDPrev,VLOOKUP(Q121,GDmove_down,2,FALSE()),FALSE()),HLOOKUP($E$3,GDPrev,VLOOKUP(Q121,GDmove_down,2,FALSE()),FALSE()),AJ121,VLOOKUP(H121,NGPREVPRICES,4,FALSE()),HLOOKUP($H$3,GDPrevVols,VLOOKUP(Q121,GDmove_down2,2,FALSE()),FALSE()),HLOOKUP($H$3,GDPrevVols,VLOOKUP(Q121,GDmove_down2,2,FALSE()),FALSE()),HLOOKUP(E121,GDcorr,VLOOKUP(H121,CorMove,2,FALSE()),FALSE()),Q121-$C$3,R121,$AI$5)*I121-AI121</f>
        <v>#N/A</v>
      </c>
      <c r="AH121" s="253" t="e">
        <f aca="false">SUM(AC121:AG121)</f>
        <v>#N/A</v>
      </c>
      <c r="AI121" s="253" t="e">
        <f aca="false">xSPRDOPT(HLOOKUP($D$3,GDPrev,VLOOKUP(Q121,GDmove_down,2,FALSE()),FALSE()),HLOOKUP($E$3,GDPrev,VLOOKUP(Q121,GDmove_down,2,FALSE()),FALSE()),AJ121,VLOOKUP(H121,NGPREVPRICES,4,FALSE()),HLOOKUP($H$3,GDPrevVols,VLOOKUP(Q121,GDmove_down2,2,FALSE()),FALSE()),HLOOKUP($H$3,GDPrevVols,VLOOKUP(Q121,GDmove_down2,2,FALSE()),FALSE()),HLOOKUP(E121,GDcorr,VLOOKUP(H121,CorMove,2,FALSE()),FALSE()),Q121-$AC$3,R121,$AI$5)*I121</f>
        <v>#N/A</v>
      </c>
      <c r="AJ121" s="254" t="e">
        <f aca="false">HLOOKUP(D121,PREVCURVES,VLOOKUP(H121,MOVE_DOWN2,2,FALSE()),FALSE())-HLOOKUP(E121,PREVCURVES,VLOOKUP(H121,MOVE_DOWN2,2,FALSE()),FALSE())</f>
        <v>#N/A</v>
      </c>
      <c r="AK121" s="253"/>
      <c r="AL121" s="0" t="str">
        <f aca="false">CONCATENATE(AB121,$AC$6)</f>
        <v>36678Curve Shift/Gamma</v>
      </c>
      <c r="AM121" s="0" t="str">
        <f aca="false">CONCATENATE($AB121,$AD$6)</f>
        <v>36678Rho</v>
      </c>
      <c r="AN121" s="0" t="str">
        <f aca="false">CONCATENATE($AB121,$AE$6)</f>
        <v>36678Drift</v>
      </c>
      <c r="AO121" s="0" t="str">
        <f aca="false">CONCATENATE($AB121,$AF$6)</f>
        <v>36678Vega</v>
      </c>
      <c r="AP121" s="0" t="str">
        <f aca="false">CONCATENATE($AB121,$AG$6)</f>
        <v>36678Theta</v>
      </c>
      <c r="AZ121" s="143" t="n">
        <f aca="false">EOMONTH(AZ120,0)+1</f>
        <v>39630</v>
      </c>
      <c r="BA121" s="135"/>
      <c r="BG121" s="285" t="n">
        <v>39965</v>
      </c>
      <c r="BH121" s="0" t="n">
        <v>0.985</v>
      </c>
      <c r="BJ121" s="285" t="n">
        <v>39965</v>
      </c>
      <c r="BK121" s="0" t="n">
        <v>118</v>
      </c>
    </row>
    <row r="122" customFormat="false" ht="12" hidden="false" customHeight="true" outlineLevel="0" collapsed="false">
      <c r="A122" s="267" t="s">
        <v>196</v>
      </c>
      <c r="B122" s="269" t="s">
        <v>192</v>
      </c>
      <c r="C122" s="269" t="s">
        <v>491</v>
      </c>
      <c r="D122" s="269" t="s">
        <v>137</v>
      </c>
      <c r="E122" s="7" t="s">
        <v>483</v>
      </c>
      <c r="F122" s="269" t="s">
        <v>131</v>
      </c>
      <c r="G122" s="269" t="s">
        <v>136</v>
      </c>
      <c r="H122" s="286" t="n">
        <v>36678</v>
      </c>
      <c r="I122" s="272" t="n">
        <v>-10000</v>
      </c>
      <c r="J122" s="125" t="n">
        <v>0.46</v>
      </c>
      <c r="K122" s="124" t="n">
        <f aca="false">HLOOKUP($D$3,GDPRICES,VLOOKUP(Q122,GDmove_down,2,FALSE()),FALSE())</f>
        <v>4.73</v>
      </c>
      <c r="L122" s="124" t="n">
        <f aca="false">HLOOKUP($E$3,GDPRICES,VLOOKUP(Q122,GDmove_down,2,FALSE()),FALSE())</f>
        <v>3.41</v>
      </c>
      <c r="M122" s="126" t="n">
        <v>1</v>
      </c>
      <c r="N122" s="7" t="n">
        <v>0.515</v>
      </c>
      <c r="O122" s="7" t="n">
        <v>0.515</v>
      </c>
      <c r="P122" s="249" t="e">
        <f aca="false">HLOOKUP(E122,GDcorr,VLOOKUP(H122,GDCorMove,2,FALSE()),FALSE())</f>
        <v>#N/A</v>
      </c>
      <c r="Q122" s="92" t="n">
        <v>36694</v>
      </c>
      <c r="R122" s="7" t="n">
        <f aca="false">IF(G122="P",0,1)</f>
        <v>1</v>
      </c>
      <c r="S122" s="130" t="e">
        <f aca="false">xSPRDOPT($K122,$L122,$J122,$M122,$N122,$O122,$P122,$Q122-$C$3,$R122,0)</f>
        <v>#NAME?</v>
      </c>
      <c r="T122" s="250" t="e">
        <f aca="false">xSPRDOPT($K122,$L122,$J122,$M122,$N122,$O122,$P122,$Q122-$C$3,$R122,1)*I122</f>
        <v>#NAME?</v>
      </c>
      <c r="U122" s="43" t="n">
        <v>-2200</v>
      </c>
      <c r="V122" s="250" t="e">
        <f aca="false">xSPRDOPT($K122,$L122,$J122,$M122,$N122,$O122,$P122,$Q122-$C$3,$R122,2)*I122</f>
        <v>#NAME?</v>
      </c>
      <c r="W122" s="250" t="e">
        <f aca="false">+V122+T122</f>
        <v>#NAME?</v>
      </c>
      <c r="X122" s="2" t="str">
        <f aca="false">CONCATENATE(H122,E122)</f>
        <v>36678IF-ELPO/SJ</v>
      </c>
      <c r="Y122" s="251" t="n">
        <f aca="false">I122/10000</f>
        <v>-1</v>
      </c>
      <c r="AA122" s="2"/>
      <c r="AB122" s="182" t="n">
        <f aca="false">H122</f>
        <v>36678</v>
      </c>
      <c r="AC122" s="253" t="e">
        <f aca="false">xSPRDOPT(HLOOKUP($D$3,GDPRICES,VLOOKUP(Q122,GDmove_down,2,FALSE()),FALSE()),HLOOKUP($E$3,GDPRICES,VLOOKUP(Q122,GDmove_down,2,FALSE()),FALSE()),J122,VLOOKUP(H122,NGPREVPRICES,4,FALSE()),HLOOKUP($H$3,GDPrevVols,VLOOKUP(Q122,GDmove_down2,2,FALSE()),FALSE()),HLOOKUP($H$3,GDPrevVols,VLOOKUP(Q122,GDmove_down2,2,FALSE()),FALSE()),HLOOKUP(E122,GDcorr,VLOOKUP(H122,CorMove,2,FALSE()),FALSE()),Q122-$AC$3,R122,$AC$5)*I122-AI122</f>
        <v>#N/A</v>
      </c>
      <c r="AD122" s="253" t="e">
        <f aca="false">xSPRDOPT(HLOOKUP($D$3,GDPrev,VLOOKUP(Q122,GDmove_down,2,FALSE()),FALSE()),HLOOKUP($E$3,GDPrev,VLOOKUP(Q122,GDmove_down,2,FALSE()),FALSE()),AJ122,VLOOKUP(H122,NGPrices,4,FALSE()),HLOOKUP($H$3,GDPrevVols,VLOOKUP(Q122,GDmove_down2,2,FALSE()),FALSE()),HLOOKUP($H$3,GDPrevVols,VLOOKUP(Q122,GDmove_down2,2,FALSE()),FALSE()),HLOOKUP(E122,GDcorr,VLOOKUP(H122,CorMove,2,FALSE()),FALSE()),Q122-$AC$3,R122,$AI$5)*I122-AI122</f>
        <v>#N/A</v>
      </c>
      <c r="AE122" s="132" t="e">
        <f aca="false">(AI122/VLOOKUP(AB122,discount,3,FALSE()))-(AI122/VLOOKUP(AB122,discount,2,FALSE()))</f>
        <v>#N/A</v>
      </c>
      <c r="AF122" s="253" t="e">
        <f aca="false">xSPRDOPT(HLOOKUP($D$3,GDPrev,VLOOKUP(Q122,GDmove_down,2,FALSE()),FALSE()),HLOOKUP($E$3,GDPrev,VLOOKUP(Q122,GDmove_down,2,FALSE()),FALSE()),AJ122,VLOOKUP(H122,NGPREVPRICES,4,FALSE()),HLOOKUP($H$3,GDVol,VLOOKUP(H122,move_down,2,FALSE()),FALSE()),HLOOKUP($H$3,GDVol,VLOOKUP(H122,move_down,2,FALSE()),FALSE()),HLOOKUP(E122,GDcorr,VLOOKUP(H122,CorMove,2,FALSE()),FALSE()),Q122-$AC$3,R122,$AI$5)*I122-AI122</f>
        <v>#N/A</v>
      </c>
      <c r="AG122" s="253" t="e">
        <f aca="false">xSPRDOPT(HLOOKUP($D$3,GDPrev,VLOOKUP(Q122,GDmove_down,2,FALSE()),FALSE()),HLOOKUP($E$3,GDPrev,VLOOKUP(Q122,GDmove_down,2,FALSE()),FALSE()),AJ122,VLOOKUP(H122,NGPREVPRICES,4,FALSE()),HLOOKUP($H$3,GDPrevVols,VLOOKUP(Q122,GDmove_down2,2,FALSE()),FALSE()),HLOOKUP($H$3,GDPrevVols,VLOOKUP(Q122,GDmove_down2,2,FALSE()),FALSE()),HLOOKUP(E122,GDcorr,VLOOKUP(H122,CorMove,2,FALSE()),FALSE()),Q122-$C$3,R122,$AI$5)*I122-AI122</f>
        <v>#N/A</v>
      </c>
      <c r="AH122" s="253" t="e">
        <f aca="false">SUM(AC122:AG122)</f>
        <v>#N/A</v>
      </c>
      <c r="AI122" s="253" t="e">
        <f aca="false">xSPRDOPT(HLOOKUP($D$3,GDPrev,VLOOKUP(Q122,GDmove_down,2,FALSE()),FALSE()),HLOOKUP($E$3,GDPrev,VLOOKUP(Q122,GDmove_down,2,FALSE()),FALSE()),AJ122,VLOOKUP(H122,NGPREVPRICES,4,FALSE()),HLOOKUP($H$3,GDPrevVols,VLOOKUP(Q122,GDmove_down2,2,FALSE()),FALSE()),HLOOKUP($H$3,GDPrevVols,VLOOKUP(Q122,GDmove_down2,2,FALSE()),FALSE()),HLOOKUP(E122,GDcorr,VLOOKUP(H122,CorMove,2,FALSE()),FALSE()),Q122-$AC$3,R122,$AI$5)*I122</f>
        <v>#N/A</v>
      </c>
      <c r="AJ122" s="254" t="e">
        <f aca="false">HLOOKUP(D122,PREVCURVES,VLOOKUP(H122,MOVE_DOWN2,2,FALSE()),FALSE())-HLOOKUP(E122,PREVCURVES,VLOOKUP(H122,MOVE_DOWN2,2,FALSE()),FALSE())</f>
        <v>#N/A</v>
      </c>
      <c r="AK122" s="253"/>
      <c r="AL122" s="0" t="str">
        <f aca="false">CONCATENATE(AB122,$AC$6)</f>
        <v>36678Curve Shift/Gamma</v>
      </c>
      <c r="AM122" s="0" t="str">
        <f aca="false">CONCATENATE($AB122,$AD$6)</f>
        <v>36678Rho</v>
      </c>
      <c r="AN122" s="0" t="str">
        <f aca="false">CONCATENATE($AB122,$AE$6)</f>
        <v>36678Drift</v>
      </c>
      <c r="AO122" s="0" t="str">
        <f aca="false">CONCATENATE($AB122,$AF$6)</f>
        <v>36678Vega</v>
      </c>
      <c r="AP122" s="0" t="str">
        <f aca="false">CONCATENATE($AB122,$AG$6)</f>
        <v>36678Theta</v>
      </c>
      <c r="AZ122" s="143" t="n">
        <f aca="false">EOMONTH(AZ121,0)+1</f>
        <v>39661</v>
      </c>
      <c r="BA122" s="135"/>
      <c r="BG122" s="285" t="n">
        <v>39995</v>
      </c>
      <c r="BH122" s="0" t="n">
        <v>0.985</v>
      </c>
      <c r="BJ122" s="285" t="n">
        <v>39995</v>
      </c>
      <c r="BK122" s="0" t="n">
        <v>119</v>
      </c>
    </row>
    <row r="123" customFormat="false" ht="12" hidden="false" customHeight="true" outlineLevel="0" collapsed="false">
      <c r="A123" s="267" t="s">
        <v>198</v>
      </c>
      <c r="B123" s="269" t="s">
        <v>192</v>
      </c>
      <c r="C123" s="269" t="s">
        <v>492</v>
      </c>
      <c r="D123" s="269" t="s">
        <v>137</v>
      </c>
      <c r="E123" s="7" t="s">
        <v>483</v>
      </c>
      <c r="F123" s="269" t="s">
        <v>131</v>
      </c>
      <c r="G123" s="269" t="s">
        <v>136</v>
      </c>
      <c r="H123" s="286" t="n">
        <v>36678</v>
      </c>
      <c r="I123" s="272" t="n">
        <v>50000</v>
      </c>
      <c r="J123" s="125" t="n">
        <v>0.46</v>
      </c>
      <c r="K123" s="124" t="n">
        <f aca="false">HLOOKUP($D$3,GDPRICES,VLOOKUP(Q123,GDmove_down,2,FALSE()),FALSE())</f>
        <v>4.73</v>
      </c>
      <c r="L123" s="124" t="n">
        <f aca="false">HLOOKUP($E$3,GDPRICES,VLOOKUP(Q123,GDmove_down,2,FALSE()),FALSE())</f>
        <v>3.41</v>
      </c>
      <c r="M123" s="126" t="n">
        <v>1</v>
      </c>
      <c r="N123" s="7" t="n">
        <v>0.515</v>
      </c>
      <c r="O123" s="7" t="n">
        <v>0.515</v>
      </c>
      <c r="P123" s="249" t="e">
        <f aca="false">HLOOKUP(E123,GDcorr,VLOOKUP(H123,GDCorMove,2,FALSE()),FALSE())</f>
        <v>#N/A</v>
      </c>
      <c r="Q123" s="92" t="n">
        <v>36694</v>
      </c>
      <c r="R123" s="7" t="n">
        <f aca="false">IF(G123="P",0,1)</f>
        <v>1</v>
      </c>
      <c r="S123" s="130" t="e">
        <f aca="false">xSPRDOPT($K123,$L123,$J123,$M123,$N123,$O123,$P123,$Q123-$C$3,$R123,0)</f>
        <v>#NAME?</v>
      </c>
      <c r="T123" s="250" t="e">
        <f aca="false">xSPRDOPT($K123,$L123,$J123,$M123,$N123,$O123,$P123,$Q123-$C$3,$R123,1)*I123</f>
        <v>#NAME?</v>
      </c>
      <c r="U123" s="43" t="n">
        <v>11000</v>
      </c>
      <c r="V123" s="250" t="e">
        <f aca="false">xSPRDOPT($K123,$L123,$J123,$M123,$N123,$O123,$P123,$Q123-$C$3,$R123,2)*I123</f>
        <v>#NAME?</v>
      </c>
      <c r="W123" s="250" t="e">
        <f aca="false">+V123+T123</f>
        <v>#NAME?</v>
      </c>
      <c r="X123" s="2" t="str">
        <f aca="false">CONCATENATE(H123,E123)</f>
        <v>36678IF-ELPO/SJ</v>
      </c>
      <c r="Y123" s="251" t="n">
        <f aca="false">I123/10000</f>
        <v>5</v>
      </c>
      <c r="AA123" s="2"/>
      <c r="AB123" s="182" t="n">
        <f aca="false">H123</f>
        <v>36678</v>
      </c>
      <c r="AC123" s="253" t="e">
        <f aca="false">xSPRDOPT(HLOOKUP($D$3,GDPRICES,VLOOKUP(Q123,GDmove_down,2,FALSE()),FALSE()),HLOOKUP($E$3,GDPRICES,VLOOKUP(Q123,GDmove_down,2,FALSE()),FALSE()),J123,VLOOKUP(H123,NGPREVPRICES,4,FALSE()),HLOOKUP($H$3,GDPrevVols,VLOOKUP(Q123,GDmove_down2,2,FALSE()),FALSE()),HLOOKUP($H$3,GDPrevVols,VLOOKUP(Q123,GDmove_down2,2,FALSE()),FALSE()),HLOOKUP(E123,GDcorr,VLOOKUP(H123,CorMove,2,FALSE()),FALSE()),Q123-$AC$3,R123,$AC$5)*I123-AI123</f>
        <v>#N/A</v>
      </c>
      <c r="AD123" s="253" t="e">
        <f aca="false">xSPRDOPT(HLOOKUP($D$3,GDPrev,VLOOKUP(Q123,GDmove_down,2,FALSE()),FALSE()),HLOOKUP($E$3,GDPrev,VLOOKUP(Q123,GDmove_down,2,FALSE()),FALSE()),AJ123,VLOOKUP(H123,NGPrices,4,FALSE()),HLOOKUP($H$3,GDPrevVols,VLOOKUP(Q123,GDmove_down2,2,FALSE()),FALSE()),HLOOKUP($H$3,GDPrevVols,VLOOKUP(Q123,GDmove_down2,2,FALSE()),FALSE()),HLOOKUP(E123,GDcorr,VLOOKUP(H123,CorMove,2,FALSE()),FALSE()),Q123-$AC$3,R123,$AI$5)*I123-AI123</f>
        <v>#N/A</v>
      </c>
      <c r="AE123" s="132" t="e">
        <f aca="false">(AI123/VLOOKUP(AB123,discount,3,FALSE()))-(AI123/VLOOKUP(AB123,discount,2,FALSE()))</f>
        <v>#N/A</v>
      </c>
      <c r="AF123" s="253" t="e">
        <f aca="false">xSPRDOPT(HLOOKUP($D$3,GDPrev,VLOOKUP(Q123,GDmove_down,2,FALSE()),FALSE()),HLOOKUP($E$3,GDPrev,VLOOKUP(Q123,GDmove_down,2,FALSE()),FALSE()),AJ123,VLOOKUP(H123,NGPREVPRICES,4,FALSE()),HLOOKUP($H$3,GDVol,VLOOKUP(H123,move_down,2,FALSE()),FALSE()),HLOOKUP($H$3,GDVol,VLOOKUP(H123,move_down,2,FALSE()),FALSE()),HLOOKUP(E123,GDcorr,VLOOKUP(H123,CorMove,2,FALSE()),FALSE()),Q123-$AC$3,R123,$AI$5)*I123-AI123</f>
        <v>#N/A</v>
      </c>
      <c r="AG123" s="253" t="e">
        <f aca="false">xSPRDOPT(HLOOKUP($D$3,GDPrev,VLOOKUP(Q123,GDmove_down,2,FALSE()),FALSE()),HLOOKUP($E$3,GDPrev,VLOOKUP(Q123,GDmove_down,2,FALSE()),FALSE()),AJ123,VLOOKUP(H123,NGPREVPRICES,4,FALSE()),HLOOKUP($H$3,GDPrevVols,VLOOKUP(Q123,GDmove_down2,2,FALSE()),FALSE()),HLOOKUP($H$3,GDPrevVols,VLOOKUP(Q123,GDmove_down2,2,FALSE()),FALSE()),HLOOKUP(E123,GDcorr,VLOOKUP(H123,CorMove,2,FALSE()),FALSE()),Q123-$C$3,R123,$AI$5)*I123-AI123</f>
        <v>#N/A</v>
      </c>
      <c r="AH123" s="253" t="e">
        <f aca="false">SUM(AC123:AG123)</f>
        <v>#N/A</v>
      </c>
      <c r="AI123" s="253" t="e">
        <f aca="false">xSPRDOPT(HLOOKUP($D$3,GDPrev,VLOOKUP(Q123,GDmove_down,2,FALSE()),FALSE()),HLOOKUP($E$3,GDPrev,VLOOKUP(Q123,GDmove_down,2,FALSE()),FALSE()),AJ123,VLOOKUP(H123,NGPREVPRICES,4,FALSE()),HLOOKUP($H$3,GDPrevVols,VLOOKUP(Q123,GDmove_down2,2,FALSE()),FALSE()),HLOOKUP($H$3,GDPrevVols,VLOOKUP(Q123,GDmove_down2,2,FALSE()),FALSE()),HLOOKUP(E123,GDcorr,VLOOKUP(H123,CorMove,2,FALSE()),FALSE()),Q123-$AC$3,R123,$AI$5)*I123</f>
        <v>#N/A</v>
      </c>
      <c r="AJ123" s="254" t="e">
        <f aca="false">HLOOKUP(D123,PREVCURVES,VLOOKUP(H123,MOVE_DOWN2,2,FALSE()),FALSE())-HLOOKUP(E123,PREVCURVES,VLOOKUP(H123,MOVE_DOWN2,2,FALSE()),FALSE())</f>
        <v>#N/A</v>
      </c>
      <c r="AK123" s="253"/>
      <c r="AL123" s="0" t="str">
        <f aca="false">CONCATENATE(AB123,$AC$6)</f>
        <v>36678Curve Shift/Gamma</v>
      </c>
      <c r="AM123" s="0" t="str">
        <f aca="false">CONCATENATE($AB123,$AD$6)</f>
        <v>36678Rho</v>
      </c>
      <c r="AN123" s="0" t="str">
        <f aca="false">CONCATENATE($AB123,$AE$6)</f>
        <v>36678Drift</v>
      </c>
      <c r="AO123" s="0" t="str">
        <f aca="false">CONCATENATE($AB123,$AF$6)</f>
        <v>36678Vega</v>
      </c>
      <c r="AP123" s="0" t="str">
        <f aca="false">CONCATENATE($AB123,$AG$6)</f>
        <v>36678Theta</v>
      </c>
      <c r="AZ123" s="143" t="n">
        <f aca="false">EOMONTH(AZ122,0)+1</f>
        <v>39692</v>
      </c>
      <c r="BA123" s="135"/>
      <c r="BG123" s="285" t="n">
        <v>40026</v>
      </c>
      <c r="BH123" s="0" t="n">
        <v>0.985</v>
      </c>
      <c r="BJ123" s="285" t="n">
        <v>40026</v>
      </c>
      <c r="BK123" s="0" t="n">
        <v>120</v>
      </c>
    </row>
    <row r="124" customFormat="false" ht="12" hidden="false" customHeight="true" outlineLevel="0" collapsed="false">
      <c r="A124" s="267" t="s">
        <v>198</v>
      </c>
      <c r="B124" s="269" t="s">
        <v>192</v>
      </c>
      <c r="C124" s="269" t="s">
        <v>493</v>
      </c>
      <c r="D124" s="269" t="s">
        <v>137</v>
      </c>
      <c r="E124" s="7" t="s">
        <v>483</v>
      </c>
      <c r="F124" s="269" t="s">
        <v>131</v>
      </c>
      <c r="G124" s="269" t="s">
        <v>136</v>
      </c>
      <c r="H124" s="286" t="n">
        <v>36678</v>
      </c>
      <c r="I124" s="272" t="n">
        <v>50000</v>
      </c>
      <c r="J124" s="125" t="n">
        <v>0.46</v>
      </c>
      <c r="K124" s="124" t="n">
        <f aca="false">HLOOKUP($D$3,GDPRICES,VLOOKUP(Q124,GDmove_down,2,FALSE()),FALSE())</f>
        <v>4.73</v>
      </c>
      <c r="L124" s="124" t="n">
        <f aca="false">HLOOKUP($E$3,GDPRICES,VLOOKUP(Q124,GDmove_down,2,FALSE()),FALSE())</f>
        <v>3.41</v>
      </c>
      <c r="M124" s="126" t="n">
        <v>1</v>
      </c>
      <c r="N124" s="7" t="n">
        <v>0.515</v>
      </c>
      <c r="O124" s="7" t="n">
        <v>0.515</v>
      </c>
      <c r="P124" s="249" t="e">
        <f aca="false">HLOOKUP(E124,GDcorr,VLOOKUP(H124,GDCorMove,2,FALSE()),FALSE())</f>
        <v>#N/A</v>
      </c>
      <c r="Q124" s="92" t="n">
        <v>36694</v>
      </c>
      <c r="R124" s="7" t="n">
        <f aca="false">IF(G124="P",0,1)</f>
        <v>1</v>
      </c>
      <c r="S124" s="130" t="e">
        <f aca="false">xSPRDOPT($K124,$L124,$J124,$M124,$N124,$O124,$P124,$Q124-$C$3,$R124,0)</f>
        <v>#NAME?</v>
      </c>
      <c r="T124" s="250" t="e">
        <f aca="false">xSPRDOPT($K124,$L124,$J124,$M124,$N124,$O124,$P124,$Q124-$C$3,$R124,1)*I124</f>
        <v>#NAME?</v>
      </c>
      <c r="U124" s="43" t="n">
        <v>11000</v>
      </c>
      <c r="V124" s="250" t="e">
        <f aca="false">xSPRDOPT($K124,$L124,$J124,$M124,$N124,$O124,$P124,$Q124-$C$3,$R124,2)*I124</f>
        <v>#NAME?</v>
      </c>
      <c r="W124" s="250" t="e">
        <f aca="false">+V124+T124</f>
        <v>#NAME?</v>
      </c>
      <c r="X124" s="2" t="str">
        <f aca="false">CONCATENATE(H124,E124)</f>
        <v>36678IF-ELPO/SJ</v>
      </c>
      <c r="Y124" s="251" t="n">
        <f aca="false">I124/10000</f>
        <v>5</v>
      </c>
      <c r="AA124" s="2"/>
      <c r="AB124" s="182" t="n">
        <f aca="false">H124</f>
        <v>36678</v>
      </c>
      <c r="AC124" s="253" t="e">
        <f aca="false">xSPRDOPT(HLOOKUP($D$3,GDPRICES,VLOOKUP(Q124,GDmove_down,2,FALSE()),FALSE()),HLOOKUP($E$3,GDPRICES,VLOOKUP(Q124,GDmove_down,2,FALSE()),FALSE()),J124,VLOOKUP(H124,NGPREVPRICES,4,FALSE()),HLOOKUP($H$3,GDPrevVols,VLOOKUP(Q124,GDmove_down2,2,FALSE()),FALSE()),HLOOKUP($H$3,GDPrevVols,VLOOKUP(Q124,GDmove_down2,2,FALSE()),FALSE()),HLOOKUP(E124,GDcorr,VLOOKUP(H124,CorMove,2,FALSE()),FALSE()),Q124-$AC$3,R124,$AC$5)*I124-AI124</f>
        <v>#N/A</v>
      </c>
      <c r="AD124" s="253" t="e">
        <f aca="false">xSPRDOPT(HLOOKUP($D$3,GDPrev,VLOOKUP(Q124,GDmove_down,2,FALSE()),FALSE()),HLOOKUP($E$3,GDPrev,VLOOKUP(Q124,GDmove_down,2,FALSE()),FALSE()),AJ124,VLOOKUP(H124,NGPrices,4,FALSE()),HLOOKUP($H$3,GDPrevVols,VLOOKUP(Q124,GDmove_down2,2,FALSE()),FALSE()),HLOOKUP($H$3,GDPrevVols,VLOOKUP(Q124,GDmove_down2,2,FALSE()),FALSE()),HLOOKUP(E124,GDcorr,VLOOKUP(H124,CorMove,2,FALSE()),FALSE()),Q124-$AC$3,R124,$AI$5)*I124-AI124</f>
        <v>#N/A</v>
      </c>
      <c r="AE124" s="132" t="e">
        <f aca="false">(AI124/VLOOKUP(AB124,discount,3,FALSE()))-(AI124/VLOOKUP(AB124,discount,2,FALSE()))</f>
        <v>#N/A</v>
      </c>
      <c r="AF124" s="253" t="e">
        <f aca="false">xSPRDOPT(HLOOKUP($D$3,GDPrev,VLOOKUP(Q124,GDmove_down,2,FALSE()),FALSE()),HLOOKUP($E$3,GDPrev,VLOOKUP(Q124,GDmove_down,2,FALSE()),FALSE()),AJ124,VLOOKUP(H124,NGPREVPRICES,4,FALSE()),HLOOKUP($H$3,GDVol,VLOOKUP(H124,move_down,2,FALSE()),FALSE()),HLOOKUP($H$3,GDVol,VLOOKUP(H124,move_down,2,FALSE()),FALSE()),HLOOKUP(E124,GDcorr,VLOOKUP(H124,CorMove,2,FALSE()),FALSE()),Q124-$AC$3,R124,$AI$5)*I124-AI124</f>
        <v>#N/A</v>
      </c>
      <c r="AG124" s="253" t="e">
        <f aca="false">xSPRDOPT(HLOOKUP($D$3,GDPrev,VLOOKUP(Q124,GDmove_down,2,FALSE()),FALSE()),HLOOKUP($E$3,GDPrev,VLOOKUP(Q124,GDmove_down,2,FALSE()),FALSE()),AJ124,VLOOKUP(H124,NGPREVPRICES,4,FALSE()),HLOOKUP($H$3,GDPrevVols,VLOOKUP(Q124,GDmove_down2,2,FALSE()),FALSE()),HLOOKUP($H$3,GDPrevVols,VLOOKUP(Q124,GDmove_down2,2,FALSE()),FALSE()),HLOOKUP(E124,GDcorr,VLOOKUP(H124,CorMove,2,FALSE()),FALSE()),Q124-$C$3,R124,$AI$5)*I124-AI124</f>
        <v>#N/A</v>
      </c>
      <c r="AH124" s="253" t="e">
        <f aca="false">SUM(AC124:AG124)</f>
        <v>#N/A</v>
      </c>
      <c r="AI124" s="253" t="e">
        <f aca="false">xSPRDOPT(HLOOKUP($D$3,GDPrev,VLOOKUP(Q124,GDmove_down,2,FALSE()),FALSE()),HLOOKUP($E$3,GDPrev,VLOOKUP(Q124,GDmove_down,2,FALSE()),FALSE()),AJ124,VLOOKUP(H124,NGPREVPRICES,4,FALSE()),HLOOKUP($H$3,GDPrevVols,VLOOKUP(Q124,GDmove_down2,2,FALSE()),FALSE()),HLOOKUP($H$3,GDPrevVols,VLOOKUP(Q124,GDmove_down2,2,FALSE()),FALSE()),HLOOKUP(E124,GDcorr,VLOOKUP(H124,CorMove,2,FALSE()),FALSE()),Q124-$AC$3,R124,$AI$5)*I124</f>
        <v>#N/A</v>
      </c>
      <c r="AJ124" s="254" t="e">
        <f aca="false">HLOOKUP(D124,PREVCURVES,VLOOKUP(H124,MOVE_DOWN2,2,FALSE()),FALSE())-HLOOKUP(E124,PREVCURVES,VLOOKUP(H124,MOVE_DOWN2,2,FALSE()),FALSE())</f>
        <v>#N/A</v>
      </c>
      <c r="AK124" s="253"/>
      <c r="AL124" s="0" t="str">
        <f aca="false">CONCATENATE(AB124,$AC$6)</f>
        <v>36678Curve Shift/Gamma</v>
      </c>
      <c r="AM124" s="0" t="str">
        <f aca="false">CONCATENATE($AB124,$AD$6)</f>
        <v>36678Rho</v>
      </c>
      <c r="AN124" s="0" t="str">
        <f aca="false">CONCATENATE($AB124,$AE$6)</f>
        <v>36678Drift</v>
      </c>
      <c r="AO124" s="0" t="str">
        <f aca="false">CONCATENATE($AB124,$AF$6)</f>
        <v>36678Vega</v>
      </c>
      <c r="AP124" s="0" t="str">
        <f aca="false">CONCATENATE($AB124,$AG$6)</f>
        <v>36678Theta</v>
      </c>
      <c r="AZ124" s="143" t="n">
        <f aca="false">EOMONTH(AZ123,0)+1</f>
        <v>39722</v>
      </c>
      <c r="BA124" s="135"/>
      <c r="BG124" s="285" t="n">
        <v>40057</v>
      </c>
      <c r="BH124" s="0" t="n">
        <v>0.985</v>
      </c>
      <c r="BJ124" s="285" t="n">
        <v>40057</v>
      </c>
      <c r="BK124" s="0" t="n">
        <v>121</v>
      </c>
    </row>
    <row r="125" customFormat="false" ht="12" hidden="false" customHeight="true" outlineLevel="0" collapsed="false">
      <c r="A125" s="267" t="s">
        <v>198</v>
      </c>
      <c r="B125" s="269" t="s">
        <v>192</v>
      </c>
      <c r="C125" s="269" t="s">
        <v>494</v>
      </c>
      <c r="D125" s="269" t="s">
        <v>137</v>
      </c>
      <c r="E125" s="7" t="s">
        <v>483</v>
      </c>
      <c r="F125" s="269" t="s">
        <v>131</v>
      </c>
      <c r="G125" s="269" t="s">
        <v>136</v>
      </c>
      <c r="H125" s="286" t="n">
        <v>36678</v>
      </c>
      <c r="I125" s="272" t="n">
        <v>-10000</v>
      </c>
      <c r="J125" s="125" t="n">
        <v>0.46</v>
      </c>
      <c r="K125" s="124" t="n">
        <f aca="false">HLOOKUP($D$3,GDPRICES,VLOOKUP(Q125,GDmove_down,2,FALSE()),FALSE())</f>
        <v>4.73</v>
      </c>
      <c r="L125" s="124" t="n">
        <f aca="false">HLOOKUP($E$3,GDPRICES,VLOOKUP(Q125,GDmove_down,2,FALSE()),FALSE())</f>
        <v>3.41</v>
      </c>
      <c r="M125" s="126" t="n">
        <v>1</v>
      </c>
      <c r="N125" s="7" t="n">
        <v>0.515</v>
      </c>
      <c r="O125" s="7" t="n">
        <v>0.515</v>
      </c>
      <c r="P125" s="249" t="e">
        <f aca="false">HLOOKUP(E125,GDcorr,VLOOKUP(H125,GDCorMove,2,FALSE()),FALSE())</f>
        <v>#N/A</v>
      </c>
      <c r="Q125" s="92" t="n">
        <v>36694</v>
      </c>
      <c r="R125" s="7" t="n">
        <f aca="false">IF(G125="P",0,1)</f>
        <v>1</v>
      </c>
      <c r="S125" s="130" t="e">
        <f aca="false">xSPRDOPT($K125,$L125,$J125,$M125,$N125,$O125,$P125,$Q125-$C$3,$R125,0)</f>
        <v>#NAME?</v>
      </c>
      <c r="T125" s="250" t="e">
        <f aca="false">xSPRDOPT($K125,$L125,$J125,$M125,$N125,$O125,$P125,$Q125-$C$3,$R125,1)*I125</f>
        <v>#NAME?</v>
      </c>
      <c r="U125" s="43" t="n">
        <v>-2200</v>
      </c>
      <c r="V125" s="250" t="e">
        <f aca="false">xSPRDOPT($K125,$L125,$J125,$M125,$N125,$O125,$P125,$Q125-$C$3,$R125,2)*I125</f>
        <v>#NAME?</v>
      </c>
      <c r="W125" s="250" t="e">
        <f aca="false">+V125+T125</f>
        <v>#NAME?</v>
      </c>
      <c r="X125" s="2" t="str">
        <f aca="false">CONCATENATE(H125,E125)</f>
        <v>36678IF-ELPO/SJ</v>
      </c>
      <c r="Y125" s="251" t="n">
        <f aca="false">I125/10000</f>
        <v>-1</v>
      </c>
      <c r="Z125" s="2"/>
      <c r="AA125" s="2"/>
      <c r="AB125" s="182" t="n">
        <f aca="false">H125</f>
        <v>36678</v>
      </c>
      <c r="AC125" s="253" t="e">
        <f aca="false">xSPRDOPT(HLOOKUP($D$3,GDPRICES,VLOOKUP(Q125,GDmove_down,2,FALSE()),FALSE()),HLOOKUP($E$3,GDPRICES,VLOOKUP(Q125,GDmove_down,2,FALSE()),FALSE()),J125,VLOOKUP(H125,NGPREVPRICES,4,FALSE()),HLOOKUP($H$3,GDPrevVols,VLOOKUP(Q125,GDmove_down2,2,FALSE()),FALSE()),HLOOKUP($H$3,GDPrevVols,VLOOKUP(Q125,GDmove_down2,2,FALSE()),FALSE()),HLOOKUP(E125,GDcorr,VLOOKUP(H125,CorMove,2,FALSE()),FALSE()),Q125-$AC$3,R125,$AC$5)*I125-AI125</f>
        <v>#N/A</v>
      </c>
      <c r="AD125" s="253" t="e">
        <f aca="false">xSPRDOPT(HLOOKUP($D$3,GDPrev,VLOOKUP(Q125,GDmove_down,2,FALSE()),FALSE()),HLOOKUP($E$3,GDPrev,VLOOKUP(Q125,GDmove_down,2,FALSE()),FALSE()),AJ125,VLOOKUP(H125,NGPrices,4,FALSE()),HLOOKUP($H$3,GDPrevVols,VLOOKUP(Q125,GDmove_down2,2,FALSE()),FALSE()),HLOOKUP($H$3,GDPrevVols,VLOOKUP(Q125,GDmove_down2,2,FALSE()),FALSE()),HLOOKUP(E125,GDcorr,VLOOKUP(H125,CorMove,2,FALSE()),FALSE()),Q125-$AC$3,R125,$AI$5)*I125-AI125</f>
        <v>#N/A</v>
      </c>
      <c r="AE125" s="132" t="e">
        <f aca="false">(AI125/VLOOKUP(AB125,discount,3,FALSE()))-(AI125/VLOOKUP(AB125,discount,2,FALSE()))</f>
        <v>#N/A</v>
      </c>
      <c r="AF125" s="253" t="e">
        <f aca="false">xSPRDOPT(HLOOKUP($D$3,GDPrev,VLOOKUP(Q125,GDmove_down,2,FALSE()),FALSE()),HLOOKUP($E$3,GDPrev,VLOOKUP(Q125,GDmove_down,2,FALSE()),FALSE()),AJ125,VLOOKUP(H125,NGPREVPRICES,4,FALSE()),HLOOKUP($H$3,GDVol,VLOOKUP(H125,move_down,2,FALSE()),FALSE()),HLOOKUP($H$3,GDVol,VLOOKUP(H125,move_down,2,FALSE()),FALSE()),HLOOKUP(E125,GDcorr,VLOOKUP(H125,CorMove,2,FALSE()),FALSE()),Q125-$AC$3,R125,$AI$5)*I125-AI125</f>
        <v>#N/A</v>
      </c>
      <c r="AG125" s="253" t="e">
        <f aca="false">xSPRDOPT(HLOOKUP($D$3,GDPrev,VLOOKUP(Q125,GDmove_down,2,FALSE()),FALSE()),HLOOKUP($E$3,GDPrev,VLOOKUP(Q125,GDmove_down,2,FALSE()),FALSE()),AJ125,VLOOKUP(H125,NGPREVPRICES,4,FALSE()),HLOOKUP($H$3,GDPrevVols,VLOOKUP(Q125,GDmove_down2,2,FALSE()),FALSE()),HLOOKUP($H$3,GDPrevVols,VLOOKUP(Q125,GDmove_down2,2,FALSE()),FALSE()),HLOOKUP(E125,GDcorr,VLOOKUP(H125,CorMove,2,FALSE()),FALSE()),Q125-$C$3,R125,$AI$5)*I125-AI125</f>
        <v>#N/A</v>
      </c>
      <c r="AH125" s="253" t="e">
        <f aca="false">SUM(AC125:AG125)</f>
        <v>#N/A</v>
      </c>
      <c r="AI125" s="253" t="e">
        <f aca="false">xSPRDOPT(HLOOKUP($D$3,GDPrev,VLOOKUP(Q125,GDmove_down,2,FALSE()),FALSE()),HLOOKUP($E$3,GDPrev,VLOOKUP(Q125,GDmove_down,2,FALSE()),FALSE()),AJ125,VLOOKUP(H125,NGPREVPRICES,4,FALSE()),HLOOKUP($H$3,GDPrevVols,VLOOKUP(Q125,GDmove_down2,2,FALSE()),FALSE()),HLOOKUP($H$3,GDPrevVols,VLOOKUP(Q125,GDmove_down2,2,FALSE()),FALSE()),HLOOKUP(E125,GDcorr,VLOOKUP(H125,CorMove,2,FALSE()),FALSE()),Q125-$AC$3,R125,$AI$5)*I125</f>
        <v>#N/A</v>
      </c>
      <c r="AJ125" s="254" t="e">
        <f aca="false">HLOOKUP(D125,PREVCURVES,VLOOKUP(H125,MOVE_DOWN2,2,FALSE()),FALSE())-HLOOKUP(E125,PREVCURVES,VLOOKUP(H125,MOVE_DOWN2,2,FALSE()),FALSE())</f>
        <v>#N/A</v>
      </c>
      <c r="AK125" s="253"/>
      <c r="AL125" s="0" t="str">
        <f aca="false">CONCATENATE(AB125,$AC$6)</f>
        <v>36678Curve Shift/Gamma</v>
      </c>
      <c r="AM125" s="0" t="str">
        <f aca="false">CONCATENATE($AB125,$AD$6)</f>
        <v>36678Rho</v>
      </c>
      <c r="AN125" s="0" t="str">
        <f aca="false">CONCATENATE($AB125,$AE$6)</f>
        <v>36678Drift</v>
      </c>
      <c r="AO125" s="0" t="str">
        <f aca="false">CONCATENATE($AB125,$AF$6)</f>
        <v>36678Vega</v>
      </c>
      <c r="AP125" s="0" t="str">
        <f aca="false">CONCATENATE($AB125,$AG$6)</f>
        <v>36678Theta</v>
      </c>
      <c r="AZ125" s="143" t="n">
        <f aca="false">EOMONTH(AZ124,0)+1</f>
        <v>39753</v>
      </c>
      <c r="BA125" s="135"/>
      <c r="BG125" s="285" t="n">
        <v>40087</v>
      </c>
      <c r="BH125" s="0" t="n">
        <v>0.985</v>
      </c>
      <c r="BJ125" s="285" t="n">
        <v>40087</v>
      </c>
      <c r="BK125" s="0" t="n">
        <v>122</v>
      </c>
    </row>
    <row r="126" customFormat="false" ht="12" hidden="false" customHeight="true" outlineLevel="0" collapsed="false">
      <c r="A126" s="265" t="s">
        <v>198</v>
      </c>
      <c r="B126" s="269" t="s">
        <v>192</v>
      </c>
      <c r="C126" s="269" t="s">
        <v>488</v>
      </c>
      <c r="D126" s="269" t="s">
        <v>137</v>
      </c>
      <c r="E126" s="7" t="s">
        <v>483</v>
      </c>
      <c r="F126" s="269" t="s">
        <v>131</v>
      </c>
      <c r="G126" s="269" t="s">
        <v>136</v>
      </c>
      <c r="H126" s="286" t="n">
        <v>36678</v>
      </c>
      <c r="I126" s="272" t="n">
        <v>-50000</v>
      </c>
      <c r="J126" s="125" t="n">
        <v>0.46</v>
      </c>
      <c r="K126" s="124" t="n">
        <f aca="false">HLOOKUP($D$3,GDPRICES,VLOOKUP(Q126,GDmove_down,2,FALSE()),FALSE())</f>
        <v>4.925</v>
      </c>
      <c r="L126" s="124" t="n">
        <f aca="false">HLOOKUP($E$3,GDPRICES,VLOOKUP(Q126,GDmove_down,2,FALSE()),FALSE())</f>
        <v>3.445</v>
      </c>
      <c r="M126" s="126" t="n">
        <v>1</v>
      </c>
      <c r="N126" s="7" t="n">
        <v>0.515</v>
      </c>
      <c r="O126" s="7" t="n">
        <v>0.515</v>
      </c>
      <c r="P126" s="249" t="e">
        <f aca="false">HLOOKUP(E126,GDcorr,VLOOKUP(H126,GDCorMove,2,FALSE()),FALSE())</f>
        <v>#N/A</v>
      </c>
      <c r="Q126" s="92" t="n">
        <v>36695</v>
      </c>
      <c r="R126" s="7" t="n">
        <f aca="false">IF(G126="P",0,1)</f>
        <v>1</v>
      </c>
      <c r="S126" s="130" t="e">
        <f aca="false">xSPRDOPT($K126,$L126,$J126,$M126,$N126,$O126,$P126,$Q126-$C$3,$R126,0)</f>
        <v>#NAME?</v>
      </c>
      <c r="T126" s="250" t="e">
        <f aca="false">xSPRDOPT($K126,$L126,$J126,$M126,$N126,$O126,$P126,$Q126-$C$3,$R126,1)*I126</f>
        <v>#NAME?</v>
      </c>
      <c r="U126" s="43" t="n">
        <v>-11000</v>
      </c>
      <c r="V126" s="250" t="e">
        <f aca="false">xSPRDOPT($K126,$L126,$J126,$M126,$N126,$O126,$P126,$Q126-$C$3,$R126,2)*I126</f>
        <v>#NAME?</v>
      </c>
      <c r="W126" s="250" t="e">
        <f aca="false">+V126+T126</f>
        <v>#NAME?</v>
      </c>
      <c r="X126" s="2" t="str">
        <f aca="false">CONCATENATE(H126,E126)</f>
        <v>36678IF-ELPO/SJ</v>
      </c>
      <c r="Y126" s="251" t="n">
        <f aca="false">I126/10000</f>
        <v>-5</v>
      </c>
      <c r="Z126" s="2"/>
      <c r="AA126" s="2"/>
      <c r="AB126" s="182" t="n">
        <f aca="false">H126</f>
        <v>36678</v>
      </c>
      <c r="AC126" s="253" t="e">
        <f aca="false">xSPRDOPT(HLOOKUP($D$3,GDPRICES,VLOOKUP(Q126,GDmove_down,2,FALSE()),FALSE()),HLOOKUP($E$3,GDPRICES,VLOOKUP(Q126,GDmove_down,2,FALSE()),FALSE()),J126,VLOOKUP(H126,NGPREVPRICES,4,FALSE()),HLOOKUP($H$3,GDPrevVols,VLOOKUP(Q126,GDmove_down2,2,FALSE()),FALSE()),HLOOKUP($H$3,GDPrevVols,VLOOKUP(Q126,GDmove_down2,2,FALSE()),FALSE()),HLOOKUP(E126,GDcorr,VLOOKUP(H126,CorMove,2,FALSE()),FALSE()),Q126-$AC$3,R126,$AC$5)*I126-AI126</f>
        <v>#N/A</v>
      </c>
      <c r="AD126" s="253" t="e">
        <f aca="false">xSPRDOPT(HLOOKUP($D$3,GDPrev,VLOOKUP(Q126,GDmove_down,2,FALSE()),FALSE()),HLOOKUP($E$3,GDPrev,VLOOKUP(Q126,GDmove_down,2,FALSE()),FALSE()),AJ126,VLOOKUP(H126,NGPrices,4,FALSE()),HLOOKUP($H$3,GDPrevVols,VLOOKUP(Q126,GDmove_down2,2,FALSE()),FALSE()),HLOOKUP($H$3,GDPrevVols,VLOOKUP(Q126,GDmove_down2,2,FALSE()),FALSE()),HLOOKUP(E126,GDcorr,VLOOKUP(H126,CorMove,2,FALSE()),FALSE()),Q126-$AC$3,R126,$AI$5)*I126-AI126</f>
        <v>#N/A</v>
      </c>
      <c r="AE126" s="132" t="e">
        <f aca="false">(AI126/VLOOKUP(AB126,discount,3,FALSE()))-(AI126/VLOOKUP(AB126,discount,2,FALSE()))</f>
        <v>#N/A</v>
      </c>
      <c r="AF126" s="253" t="e">
        <f aca="false">xSPRDOPT(HLOOKUP($D$3,GDPrev,VLOOKUP(Q126,GDmove_down,2,FALSE()),FALSE()),HLOOKUP($E$3,GDPrev,VLOOKUP(Q126,GDmove_down,2,FALSE()),FALSE()),AJ126,VLOOKUP(H126,NGPREVPRICES,4,FALSE()),HLOOKUP($H$3,GDVol,VLOOKUP(H126,move_down,2,FALSE()),FALSE()),HLOOKUP($H$3,GDVol,VLOOKUP(H126,move_down,2,FALSE()),FALSE()),HLOOKUP(E126,GDcorr,VLOOKUP(H126,CorMove,2,FALSE()),FALSE()),Q126-$AC$3,R126,$AI$5)*I126-AI126</f>
        <v>#N/A</v>
      </c>
      <c r="AG126" s="253" t="e">
        <f aca="false">xSPRDOPT(HLOOKUP($D$3,GDPrev,VLOOKUP(Q126,GDmove_down,2,FALSE()),FALSE()),HLOOKUP($E$3,GDPrev,VLOOKUP(Q126,GDmove_down,2,FALSE()),FALSE()),AJ126,VLOOKUP(H126,NGPREVPRICES,4,FALSE()),HLOOKUP($H$3,GDPrevVols,VLOOKUP(Q126,GDmove_down2,2,FALSE()),FALSE()),HLOOKUP($H$3,GDPrevVols,VLOOKUP(Q126,GDmove_down2,2,FALSE()),FALSE()),HLOOKUP(E126,GDcorr,VLOOKUP(H126,CorMove,2,FALSE()),FALSE()),Q126-$C$3,R126,$AI$5)*I126-AI126</f>
        <v>#N/A</v>
      </c>
      <c r="AH126" s="253" t="e">
        <f aca="false">SUM(AC126:AG126)</f>
        <v>#N/A</v>
      </c>
      <c r="AI126" s="253" t="e">
        <f aca="false">xSPRDOPT(HLOOKUP($D$3,GDPrev,VLOOKUP(Q126,GDmove_down,2,FALSE()),FALSE()),HLOOKUP($E$3,GDPrev,VLOOKUP(Q126,GDmove_down,2,FALSE()),FALSE()),AJ126,VLOOKUP(H126,NGPREVPRICES,4,FALSE()),HLOOKUP($H$3,GDPrevVols,VLOOKUP(Q126,GDmove_down2,2,FALSE()),FALSE()),HLOOKUP($H$3,GDPrevVols,VLOOKUP(Q126,GDmove_down2,2,FALSE()),FALSE()),HLOOKUP(E126,GDcorr,VLOOKUP(H126,CorMove,2,FALSE()),FALSE()),Q126-$AC$3,R126,$AI$5)*I126</f>
        <v>#N/A</v>
      </c>
      <c r="AJ126" s="254" t="e">
        <f aca="false">HLOOKUP(D126,PREVCURVES,VLOOKUP(H126,MOVE_DOWN2,2,FALSE()),FALSE())-HLOOKUP(E126,PREVCURVES,VLOOKUP(H126,MOVE_DOWN2,2,FALSE()),FALSE())</f>
        <v>#N/A</v>
      </c>
      <c r="AK126" s="253"/>
      <c r="AL126" s="0" t="str">
        <f aca="false">CONCATENATE(AB126,$AC$6)</f>
        <v>36678Curve Shift/Gamma</v>
      </c>
      <c r="AM126" s="0" t="str">
        <f aca="false">CONCATENATE($AB126,$AD$6)</f>
        <v>36678Rho</v>
      </c>
      <c r="AN126" s="0" t="str">
        <f aca="false">CONCATENATE($AB126,$AE$6)</f>
        <v>36678Drift</v>
      </c>
      <c r="AO126" s="0" t="str">
        <f aca="false">CONCATENATE($AB126,$AF$6)</f>
        <v>36678Vega</v>
      </c>
      <c r="AP126" s="0" t="str">
        <f aca="false">CONCATENATE($AB126,$AG$6)</f>
        <v>36678Theta</v>
      </c>
      <c r="AZ126" s="143" t="n">
        <f aca="false">EOMONTH(AZ125,0)+1</f>
        <v>39783</v>
      </c>
      <c r="BA126" s="135"/>
      <c r="BG126" s="285" t="n">
        <v>40118</v>
      </c>
      <c r="BH126" s="0" t="n">
        <v>0.970485</v>
      </c>
      <c r="BJ126" s="285" t="n">
        <v>40118</v>
      </c>
      <c r="BK126" s="0" t="n">
        <v>123</v>
      </c>
    </row>
    <row r="127" customFormat="false" ht="12" hidden="false" customHeight="true" outlineLevel="0" collapsed="false">
      <c r="A127" s="265" t="s">
        <v>198</v>
      </c>
      <c r="B127" s="269" t="s">
        <v>192</v>
      </c>
      <c r="C127" s="269" t="s">
        <v>489</v>
      </c>
      <c r="D127" s="269" t="s">
        <v>137</v>
      </c>
      <c r="E127" s="7" t="s">
        <v>483</v>
      </c>
      <c r="F127" s="269" t="s">
        <v>131</v>
      </c>
      <c r="G127" s="269" t="s">
        <v>136</v>
      </c>
      <c r="H127" s="286" t="n">
        <v>36678</v>
      </c>
      <c r="I127" s="272" t="n">
        <v>10000</v>
      </c>
      <c r="J127" s="125" t="n">
        <v>0.46</v>
      </c>
      <c r="K127" s="124" t="n">
        <f aca="false">HLOOKUP($D$3,GDPRICES,VLOOKUP(Q127,GDmove_down,2,FALSE()),FALSE())</f>
        <v>4.925</v>
      </c>
      <c r="L127" s="124" t="n">
        <f aca="false">HLOOKUP($E$3,GDPRICES,VLOOKUP(Q127,GDmove_down,2,FALSE()),FALSE())</f>
        <v>3.445</v>
      </c>
      <c r="M127" s="126" t="n">
        <v>1</v>
      </c>
      <c r="N127" s="7" t="n">
        <v>0.515</v>
      </c>
      <c r="O127" s="7" t="n">
        <v>0.515</v>
      </c>
      <c r="P127" s="249" t="e">
        <f aca="false">HLOOKUP(E127,GDcorr,VLOOKUP(H127,GDCorMove,2,FALSE()),FALSE())</f>
        <v>#N/A</v>
      </c>
      <c r="Q127" s="92" t="n">
        <v>36695</v>
      </c>
      <c r="R127" s="7" t="n">
        <f aca="false">IF(G127="P",0,1)</f>
        <v>1</v>
      </c>
      <c r="S127" s="130" t="e">
        <f aca="false">xSPRDOPT($K127,$L127,$J127,$M127,$N127,$O127,$P127,$Q127-$C$3,$R127,0)</f>
        <v>#NAME?</v>
      </c>
      <c r="T127" s="250" t="e">
        <f aca="false">xSPRDOPT($K127,$L127,$J127,$M127,$N127,$O127,$P127,$Q127-$C$3,$R127,1)*I127</f>
        <v>#NAME?</v>
      </c>
      <c r="U127" s="43" t="n">
        <v>2200</v>
      </c>
      <c r="V127" s="250" t="e">
        <f aca="false">xSPRDOPT($K127,$L127,$J127,$M127,$N127,$O127,$P127,$Q127-$C$3,$R127,2)*I127</f>
        <v>#NAME?</v>
      </c>
      <c r="W127" s="250" t="e">
        <f aca="false">+V127+T127</f>
        <v>#NAME?</v>
      </c>
      <c r="X127" s="2" t="str">
        <f aca="false">CONCATENATE(H127,E127)</f>
        <v>36678IF-ELPO/SJ</v>
      </c>
      <c r="Y127" s="251" t="n">
        <f aca="false">I127/10000</f>
        <v>1</v>
      </c>
      <c r="Z127" s="2"/>
      <c r="AA127" s="2"/>
      <c r="AB127" s="182" t="n">
        <f aca="false">H127</f>
        <v>36678</v>
      </c>
      <c r="AC127" s="253" t="e">
        <f aca="false">xSPRDOPT(HLOOKUP($D$3,GDPRICES,VLOOKUP(Q127,GDmove_down,2,FALSE()),FALSE()),HLOOKUP($E$3,GDPRICES,VLOOKUP(Q127,GDmove_down,2,FALSE()),FALSE()),J127,VLOOKUP(H127,NGPREVPRICES,4,FALSE()),HLOOKUP($H$3,GDPrevVols,VLOOKUP(Q127,GDmove_down2,2,FALSE()),FALSE()),HLOOKUP($H$3,GDPrevVols,VLOOKUP(Q127,GDmove_down2,2,FALSE()),FALSE()),HLOOKUP(E127,GDcorr,VLOOKUP(H127,CorMove,2,FALSE()),FALSE()),Q127-$AC$3,R127,$AC$5)*I127-AI127</f>
        <v>#N/A</v>
      </c>
      <c r="AD127" s="253" t="e">
        <f aca="false">xSPRDOPT(HLOOKUP($D$3,GDPrev,VLOOKUP(Q127,GDmove_down,2,FALSE()),FALSE()),HLOOKUP($E$3,GDPrev,VLOOKUP(Q127,GDmove_down,2,FALSE()),FALSE()),AJ127,VLOOKUP(H127,NGPrices,4,FALSE()),HLOOKUP($H$3,GDPrevVols,VLOOKUP(Q127,GDmove_down2,2,FALSE()),FALSE()),HLOOKUP($H$3,GDPrevVols,VLOOKUP(Q127,GDmove_down2,2,FALSE()),FALSE()),HLOOKUP(E127,GDcorr,VLOOKUP(H127,CorMove,2,FALSE()),FALSE()),Q127-$AC$3,R127,$AI$5)*I127-AI127</f>
        <v>#N/A</v>
      </c>
      <c r="AE127" s="132" t="e">
        <f aca="false">(AI127/VLOOKUP(AB127,discount,3,FALSE()))-(AI127/VLOOKUP(AB127,discount,2,FALSE()))</f>
        <v>#N/A</v>
      </c>
      <c r="AF127" s="253" t="e">
        <f aca="false">xSPRDOPT(HLOOKUP($D$3,GDPrev,VLOOKUP(Q127,GDmove_down,2,FALSE()),FALSE()),HLOOKUP($E$3,GDPrev,VLOOKUP(Q127,GDmove_down,2,FALSE()),FALSE()),AJ127,VLOOKUP(H127,NGPREVPRICES,4,FALSE()),HLOOKUP($H$3,GDVol,VLOOKUP(H127,move_down,2,FALSE()),FALSE()),HLOOKUP($H$3,GDVol,VLOOKUP(H127,move_down,2,FALSE()),FALSE()),HLOOKUP(E127,GDcorr,VLOOKUP(H127,CorMove,2,FALSE()),FALSE()),Q127-$AC$3,R127,$AI$5)*I127-AI127</f>
        <v>#N/A</v>
      </c>
      <c r="AG127" s="253" t="e">
        <f aca="false">xSPRDOPT(HLOOKUP($D$3,GDPrev,VLOOKUP(Q127,GDmove_down,2,FALSE()),FALSE()),HLOOKUP($E$3,GDPrev,VLOOKUP(Q127,GDmove_down,2,FALSE()),FALSE()),AJ127,VLOOKUP(H127,NGPREVPRICES,4,FALSE()),HLOOKUP($H$3,GDPrevVols,VLOOKUP(Q127,GDmove_down2,2,FALSE()),FALSE()),HLOOKUP($H$3,GDPrevVols,VLOOKUP(Q127,GDmove_down2,2,FALSE()),FALSE()),HLOOKUP(E127,GDcorr,VLOOKUP(H127,CorMove,2,FALSE()),FALSE()),Q127-$C$3,R127,$AI$5)*I127-AI127</f>
        <v>#N/A</v>
      </c>
      <c r="AH127" s="253" t="e">
        <f aca="false">SUM(AC127:AG127)</f>
        <v>#N/A</v>
      </c>
      <c r="AI127" s="253" t="e">
        <f aca="false">xSPRDOPT(HLOOKUP($D$3,GDPrev,VLOOKUP(Q127,GDmove_down,2,FALSE()),FALSE()),HLOOKUP($E$3,GDPrev,VLOOKUP(Q127,GDmove_down,2,FALSE()),FALSE()),AJ127,VLOOKUP(H127,NGPREVPRICES,4,FALSE()),HLOOKUP($H$3,GDPrevVols,VLOOKUP(Q127,GDmove_down2,2,FALSE()),FALSE()),HLOOKUP($H$3,GDPrevVols,VLOOKUP(Q127,GDmove_down2,2,FALSE()),FALSE()),HLOOKUP(E127,GDcorr,VLOOKUP(H127,CorMove,2,FALSE()),FALSE()),Q127-$AC$3,R127,$AI$5)*I127</f>
        <v>#N/A</v>
      </c>
      <c r="AJ127" s="254" t="e">
        <f aca="false">HLOOKUP(D127,PREVCURVES,VLOOKUP(H127,MOVE_DOWN2,2,FALSE()),FALSE())-HLOOKUP(E127,PREVCURVES,VLOOKUP(H127,MOVE_DOWN2,2,FALSE()),FALSE())</f>
        <v>#N/A</v>
      </c>
      <c r="AK127" s="253"/>
      <c r="AL127" s="0" t="str">
        <f aca="false">CONCATENATE(AB127,$AC$6)</f>
        <v>36678Curve Shift/Gamma</v>
      </c>
      <c r="AM127" s="0" t="str">
        <f aca="false">CONCATENATE($AB127,$AD$6)</f>
        <v>36678Rho</v>
      </c>
      <c r="AN127" s="0" t="str">
        <f aca="false">CONCATENATE($AB127,$AE$6)</f>
        <v>36678Drift</v>
      </c>
      <c r="AO127" s="0" t="str">
        <f aca="false">CONCATENATE($AB127,$AF$6)</f>
        <v>36678Vega</v>
      </c>
      <c r="AP127" s="0" t="str">
        <f aca="false">CONCATENATE($AB127,$AG$6)</f>
        <v>36678Theta</v>
      </c>
      <c r="AZ127" s="143" t="n">
        <f aca="false">EOMONTH(AZ126,0)+1</f>
        <v>39814</v>
      </c>
      <c r="BA127" s="135"/>
      <c r="BG127" s="285" t="n">
        <v>40148</v>
      </c>
      <c r="BH127" s="0" t="n">
        <v>0.970485</v>
      </c>
      <c r="BJ127" s="285" t="n">
        <v>40148</v>
      </c>
      <c r="BK127" s="0" t="n">
        <v>124</v>
      </c>
    </row>
    <row r="128" customFormat="false" ht="12" hidden="false" customHeight="true" outlineLevel="0" collapsed="false">
      <c r="A128" s="265" t="s">
        <v>198</v>
      </c>
      <c r="B128" s="269" t="s">
        <v>192</v>
      </c>
      <c r="C128" s="269" t="s">
        <v>490</v>
      </c>
      <c r="D128" s="269" t="s">
        <v>137</v>
      </c>
      <c r="E128" s="7" t="s">
        <v>483</v>
      </c>
      <c r="F128" s="269" t="s">
        <v>131</v>
      </c>
      <c r="G128" s="269" t="s">
        <v>136</v>
      </c>
      <c r="H128" s="286" t="n">
        <v>36678</v>
      </c>
      <c r="I128" s="272" t="n">
        <v>-333333</v>
      </c>
      <c r="J128" s="125" t="n">
        <v>0.46</v>
      </c>
      <c r="K128" s="124" t="n">
        <f aca="false">HLOOKUP($D$3,GDPRICES,VLOOKUP(Q128,GDmove_down,2,FALSE()),FALSE())</f>
        <v>4.925</v>
      </c>
      <c r="L128" s="124" t="n">
        <f aca="false">HLOOKUP($E$3,GDPRICES,VLOOKUP(Q128,GDmove_down,2,FALSE()),FALSE())</f>
        <v>3.445</v>
      </c>
      <c r="M128" s="126" t="n">
        <v>1</v>
      </c>
      <c r="N128" s="7" t="n">
        <v>0.515</v>
      </c>
      <c r="O128" s="7" t="n">
        <v>0.515</v>
      </c>
      <c r="P128" s="249" t="e">
        <f aca="false">HLOOKUP(E128,GDcorr,VLOOKUP(H128,GDCorMove,2,FALSE()),FALSE())</f>
        <v>#N/A</v>
      </c>
      <c r="Q128" s="92" t="n">
        <v>36695</v>
      </c>
      <c r="R128" s="7" t="n">
        <f aca="false">IF(G128="P",0,1)</f>
        <v>1</v>
      </c>
      <c r="S128" s="130" t="e">
        <f aca="false">xSPRDOPT($K128,$L128,$J128,$M128,$N128,$O128,$P128,$Q128-$C$3,$R128,0)</f>
        <v>#NAME?</v>
      </c>
      <c r="T128" s="250" t="e">
        <f aca="false">xSPRDOPT($K128,$L128,$J128,$M128,$N128,$O128,$P128,$Q128-$C$3,$R128,1)*I128</f>
        <v>#NAME?</v>
      </c>
      <c r="U128" s="43" t="n">
        <v>-73333.2599999999</v>
      </c>
      <c r="V128" s="250" t="e">
        <f aca="false">xSPRDOPT($K128,$L128,$J128,$M128,$N128,$O128,$P128,$Q128-$C$3,$R128,2)*I128</f>
        <v>#NAME?</v>
      </c>
      <c r="W128" s="250" t="e">
        <f aca="false">+V128+T128</f>
        <v>#NAME?</v>
      </c>
      <c r="X128" s="2" t="str">
        <f aca="false">CONCATENATE(H128,E128)</f>
        <v>36678IF-ELPO/SJ</v>
      </c>
      <c r="Y128" s="251" t="n">
        <f aca="false">I128/10000</f>
        <v>-33.3333</v>
      </c>
      <c r="Z128" s="2"/>
      <c r="AA128" s="2"/>
      <c r="AB128" s="182" t="n">
        <f aca="false">H128</f>
        <v>36678</v>
      </c>
      <c r="AC128" s="253" t="e">
        <f aca="false">xSPRDOPT(HLOOKUP($D$3,GDPRICES,VLOOKUP(Q128,GDmove_down,2,FALSE()),FALSE()),HLOOKUP($E$3,GDPRICES,VLOOKUP(Q128,GDmove_down,2,FALSE()),FALSE()),J128,VLOOKUP(H128,NGPREVPRICES,4,FALSE()),HLOOKUP($H$3,GDPrevVols,VLOOKUP(Q128,GDmove_down2,2,FALSE()),FALSE()),HLOOKUP($H$3,GDPrevVols,VLOOKUP(Q128,GDmove_down2,2,FALSE()),FALSE()),HLOOKUP(E128,GDcorr,VLOOKUP(H128,CorMove,2,FALSE()),FALSE()),Q128-$AC$3,R128,$AC$5)*I128-AI128</f>
        <v>#N/A</v>
      </c>
      <c r="AD128" s="253" t="e">
        <f aca="false">xSPRDOPT(HLOOKUP($D$3,GDPrev,VLOOKUP(Q128,GDmove_down,2,FALSE()),FALSE()),HLOOKUP($E$3,GDPrev,VLOOKUP(Q128,GDmove_down,2,FALSE()),FALSE()),AJ128,VLOOKUP(H128,NGPrices,4,FALSE()),HLOOKUP($H$3,GDPrevVols,VLOOKUP(Q128,GDmove_down2,2,FALSE()),FALSE()),HLOOKUP($H$3,GDPrevVols,VLOOKUP(Q128,GDmove_down2,2,FALSE()),FALSE()),HLOOKUP(E128,GDcorr,VLOOKUP(H128,CorMove,2,FALSE()),FALSE()),Q128-$AC$3,R128,$AI$5)*I128-AI128</f>
        <v>#N/A</v>
      </c>
      <c r="AE128" s="132" t="e">
        <f aca="false">(AI128/VLOOKUP(AB128,discount,3,FALSE()))-(AI128/VLOOKUP(AB128,discount,2,FALSE()))</f>
        <v>#N/A</v>
      </c>
      <c r="AF128" s="253" t="e">
        <f aca="false">xSPRDOPT(HLOOKUP($D$3,GDPrev,VLOOKUP(Q128,GDmove_down,2,FALSE()),FALSE()),HLOOKUP($E$3,GDPrev,VLOOKUP(Q128,GDmove_down,2,FALSE()),FALSE()),AJ128,VLOOKUP(H128,NGPREVPRICES,4,FALSE()),HLOOKUP($H$3,GDVol,VLOOKUP(H128,move_down,2,FALSE()),FALSE()),HLOOKUP($H$3,GDVol,VLOOKUP(H128,move_down,2,FALSE()),FALSE()),HLOOKUP(E128,GDcorr,VLOOKUP(H128,CorMove,2,FALSE()),FALSE()),Q128-$AC$3,R128,$AI$5)*I128-AI128</f>
        <v>#N/A</v>
      </c>
      <c r="AG128" s="253" t="e">
        <f aca="false">xSPRDOPT(HLOOKUP($D$3,GDPrev,VLOOKUP(Q128,GDmove_down,2,FALSE()),FALSE()),HLOOKUP($E$3,GDPrev,VLOOKUP(Q128,GDmove_down,2,FALSE()),FALSE()),AJ128,VLOOKUP(H128,NGPREVPRICES,4,FALSE()),HLOOKUP($H$3,GDPrevVols,VLOOKUP(Q128,GDmove_down2,2,FALSE()),FALSE()),HLOOKUP($H$3,GDPrevVols,VLOOKUP(Q128,GDmove_down2,2,FALSE()),FALSE()),HLOOKUP(E128,GDcorr,VLOOKUP(H128,CorMove,2,FALSE()),FALSE()),Q128-$C$3,R128,$AI$5)*I128-AI128</f>
        <v>#N/A</v>
      </c>
      <c r="AH128" s="253" t="e">
        <f aca="false">SUM(AC128:AG128)</f>
        <v>#N/A</v>
      </c>
      <c r="AI128" s="253" t="e">
        <f aca="false">xSPRDOPT(HLOOKUP($D$3,GDPrev,VLOOKUP(Q128,GDmove_down,2,FALSE()),FALSE()),HLOOKUP($E$3,GDPrev,VLOOKUP(Q128,GDmove_down,2,FALSE()),FALSE()),AJ128,VLOOKUP(H128,NGPREVPRICES,4,FALSE()),HLOOKUP($H$3,GDPrevVols,VLOOKUP(Q128,GDmove_down2,2,FALSE()),FALSE()),HLOOKUP($H$3,GDPrevVols,VLOOKUP(Q128,GDmove_down2,2,FALSE()),FALSE()),HLOOKUP(E128,GDcorr,VLOOKUP(H128,CorMove,2,FALSE()),FALSE()),Q128-$AC$3,R128,$AI$5)*I128</f>
        <v>#N/A</v>
      </c>
      <c r="AJ128" s="254" t="e">
        <f aca="false">HLOOKUP(D128,PREVCURVES,VLOOKUP(H128,MOVE_DOWN2,2,FALSE()),FALSE())-HLOOKUP(E128,PREVCURVES,VLOOKUP(H128,MOVE_DOWN2,2,FALSE()),FALSE())</f>
        <v>#N/A</v>
      </c>
      <c r="AK128" s="253"/>
      <c r="AL128" s="0" t="str">
        <f aca="false">CONCATENATE(AB128,$AC$6)</f>
        <v>36678Curve Shift/Gamma</v>
      </c>
      <c r="AM128" s="0" t="str">
        <f aca="false">CONCATENATE($AB128,$AD$6)</f>
        <v>36678Rho</v>
      </c>
      <c r="AN128" s="0" t="str">
        <f aca="false">CONCATENATE($AB128,$AE$6)</f>
        <v>36678Drift</v>
      </c>
      <c r="AO128" s="0" t="str">
        <f aca="false">CONCATENATE($AB128,$AF$6)</f>
        <v>36678Vega</v>
      </c>
      <c r="AP128" s="0" t="str">
        <f aca="false">CONCATENATE($AB128,$AG$6)</f>
        <v>36678Theta</v>
      </c>
      <c r="AZ128" s="143" t="n">
        <f aca="false">EOMONTH(AZ127,0)+1</f>
        <v>39845</v>
      </c>
      <c r="BA128" s="135"/>
      <c r="BG128" s="285" t="n">
        <v>40179</v>
      </c>
      <c r="BH128" s="0" t="n">
        <v>0.985</v>
      </c>
      <c r="BJ128" s="285" t="n">
        <v>40179</v>
      </c>
      <c r="BK128" s="0" t="n">
        <v>125</v>
      </c>
    </row>
    <row r="129" customFormat="false" ht="12" hidden="false" customHeight="true" outlineLevel="0" collapsed="false">
      <c r="A129" s="267" t="s">
        <v>196</v>
      </c>
      <c r="B129" s="269" t="s">
        <v>192</v>
      </c>
      <c r="C129" s="269" t="s">
        <v>491</v>
      </c>
      <c r="D129" s="269" t="s">
        <v>137</v>
      </c>
      <c r="E129" s="7" t="s">
        <v>483</v>
      </c>
      <c r="F129" s="269" t="s">
        <v>131</v>
      </c>
      <c r="G129" s="269" t="s">
        <v>136</v>
      </c>
      <c r="H129" s="286" t="n">
        <v>36678</v>
      </c>
      <c r="I129" s="272" t="n">
        <v>-10000</v>
      </c>
      <c r="J129" s="125" t="n">
        <v>0.46</v>
      </c>
      <c r="K129" s="124" t="n">
        <f aca="false">HLOOKUP($D$3,GDPRICES,VLOOKUP(Q129,GDmove_down,2,FALSE()),FALSE())</f>
        <v>4.925</v>
      </c>
      <c r="L129" s="124" t="n">
        <f aca="false">HLOOKUP($E$3,GDPRICES,VLOOKUP(Q129,GDmove_down,2,FALSE()),FALSE())</f>
        <v>3.445</v>
      </c>
      <c r="M129" s="126" t="n">
        <v>1</v>
      </c>
      <c r="N129" s="7" t="n">
        <v>0.515</v>
      </c>
      <c r="O129" s="7" t="n">
        <v>0.515</v>
      </c>
      <c r="P129" s="249" t="e">
        <f aca="false">HLOOKUP(E129,GDcorr,VLOOKUP(H129,GDCorMove,2,FALSE()),FALSE())</f>
        <v>#N/A</v>
      </c>
      <c r="Q129" s="92" t="n">
        <v>36695</v>
      </c>
      <c r="R129" s="7" t="n">
        <f aca="false">IF(G129="P",0,1)</f>
        <v>1</v>
      </c>
      <c r="S129" s="130" t="e">
        <f aca="false">xSPRDOPT($K129,$L129,$J129,$M129,$N129,$O129,$P129,$Q129-$C$3,$R129,0)</f>
        <v>#NAME?</v>
      </c>
      <c r="T129" s="250" t="e">
        <f aca="false">xSPRDOPT($K129,$L129,$J129,$M129,$N129,$O129,$P129,$Q129-$C$3,$R129,1)*I129</f>
        <v>#NAME?</v>
      </c>
      <c r="U129" s="43" t="n">
        <v>-2200</v>
      </c>
      <c r="V129" s="250" t="e">
        <f aca="false">xSPRDOPT($K129,$L129,$J129,$M129,$N129,$O129,$P129,$Q129-$C$3,$R129,2)*I129</f>
        <v>#NAME?</v>
      </c>
      <c r="W129" s="250" t="e">
        <f aca="false">+V129+T129</f>
        <v>#NAME?</v>
      </c>
      <c r="X129" s="2" t="str">
        <f aca="false">CONCATENATE(H129,E129)</f>
        <v>36678IF-ELPO/SJ</v>
      </c>
      <c r="Y129" s="251" t="n">
        <f aca="false">I129/10000</f>
        <v>-1</v>
      </c>
      <c r="Z129" s="2"/>
      <c r="AA129" s="2"/>
      <c r="AB129" s="182" t="n">
        <f aca="false">H129</f>
        <v>36678</v>
      </c>
      <c r="AC129" s="253" t="e">
        <f aca="false">xSPRDOPT(HLOOKUP($D$3,GDPRICES,VLOOKUP(Q129,GDmove_down,2,FALSE()),FALSE()),HLOOKUP($E$3,GDPRICES,VLOOKUP(Q129,GDmove_down,2,FALSE()),FALSE()),J129,VLOOKUP(H129,NGPREVPRICES,4,FALSE()),HLOOKUP($H$3,GDPrevVols,VLOOKUP(Q129,GDmove_down2,2,FALSE()),FALSE()),HLOOKUP($H$3,GDPrevVols,VLOOKUP(Q129,GDmove_down2,2,FALSE()),FALSE()),HLOOKUP(E129,GDcorr,VLOOKUP(H129,CorMove,2,FALSE()),FALSE()),Q129-$AC$3,R129,$AC$5)*I129-AI129</f>
        <v>#N/A</v>
      </c>
      <c r="AD129" s="253" t="e">
        <f aca="false">xSPRDOPT(HLOOKUP($D$3,GDPrev,VLOOKUP(Q129,GDmove_down,2,FALSE()),FALSE()),HLOOKUP($E$3,GDPrev,VLOOKUP(Q129,GDmove_down,2,FALSE()),FALSE()),AJ129,VLOOKUP(H129,NGPrices,4,FALSE()),HLOOKUP($H$3,GDPrevVols,VLOOKUP(Q129,GDmove_down2,2,FALSE()),FALSE()),HLOOKUP($H$3,GDPrevVols,VLOOKUP(Q129,GDmove_down2,2,FALSE()),FALSE()),HLOOKUP(E129,GDcorr,VLOOKUP(H129,CorMove,2,FALSE()),FALSE()),Q129-$AC$3,R129,$AI$5)*I129-AI129</f>
        <v>#N/A</v>
      </c>
      <c r="AE129" s="132" t="e">
        <f aca="false">(AI129/VLOOKUP(AB129,discount,3,FALSE()))-(AI129/VLOOKUP(AB129,discount,2,FALSE()))</f>
        <v>#N/A</v>
      </c>
      <c r="AF129" s="253" t="e">
        <f aca="false">xSPRDOPT(HLOOKUP($D$3,GDPrev,VLOOKUP(Q129,GDmove_down,2,FALSE()),FALSE()),HLOOKUP($E$3,GDPrev,VLOOKUP(Q129,GDmove_down,2,FALSE()),FALSE()),AJ129,VLOOKUP(H129,NGPREVPRICES,4,FALSE()),HLOOKUP($H$3,GDVol,VLOOKUP(H129,move_down,2,FALSE()),FALSE()),HLOOKUP($H$3,GDVol,VLOOKUP(H129,move_down,2,FALSE()),FALSE()),HLOOKUP(E129,GDcorr,VLOOKUP(H129,CorMove,2,FALSE()),FALSE()),Q129-$AC$3,R129,$AI$5)*I129-AI129</f>
        <v>#N/A</v>
      </c>
      <c r="AG129" s="253" t="e">
        <f aca="false">xSPRDOPT(HLOOKUP($D$3,GDPrev,VLOOKUP(Q129,GDmove_down,2,FALSE()),FALSE()),HLOOKUP($E$3,GDPrev,VLOOKUP(Q129,GDmove_down,2,FALSE()),FALSE()),AJ129,VLOOKUP(H129,NGPREVPRICES,4,FALSE()),HLOOKUP($H$3,GDPrevVols,VLOOKUP(Q129,GDmove_down2,2,FALSE()),FALSE()),HLOOKUP($H$3,GDPrevVols,VLOOKUP(Q129,GDmove_down2,2,FALSE()),FALSE()),HLOOKUP(E129,GDcorr,VLOOKUP(H129,CorMove,2,FALSE()),FALSE()),Q129-$C$3,R129,$AI$5)*I129-AI129</f>
        <v>#N/A</v>
      </c>
      <c r="AH129" s="253" t="e">
        <f aca="false">SUM(AC129:AG129)</f>
        <v>#N/A</v>
      </c>
      <c r="AI129" s="253" t="e">
        <f aca="false">xSPRDOPT(HLOOKUP($D$3,GDPrev,VLOOKUP(Q129,GDmove_down,2,FALSE()),FALSE()),HLOOKUP($E$3,GDPrev,VLOOKUP(Q129,GDmove_down,2,FALSE()),FALSE()),AJ129,VLOOKUP(H129,NGPREVPRICES,4,FALSE()),HLOOKUP($H$3,GDPrevVols,VLOOKUP(Q129,GDmove_down2,2,FALSE()),FALSE()),HLOOKUP($H$3,GDPrevVols,VLOOKUP(Q129,GDmove_down2,2,FALSE()),FALSE()),HLOOKUP(E129,GDcorr,VLOOKUP(H129,CorMove,2,FALSE()),FALSE()),Q129-$AC$3,R129,$AI$5)*I129</f>
        <v>#N/A</v>
      </c>
      <c r="AJ129" s="254" t="e">
        <f aca="false">HLOOKUP(D129,PREVCURVES,VLOOKUP(H129,MOVE_DOWN2,2,FALSE()),FALSE())-HLOOKUP(E129,PREVCURVES,VLOOKUP(H129,MOVE_DOWN2,2,FALSE()),FALSE())</f>
        <v>#N/A</v>
      </c>
      <c r="AK129" s="253"/>
      <c r="AL129" s="0" t="str">
        <f aca="false">CONCATENATE(AB129,$AC$6)</f>
        <v>36678Curve Shift/Gamma</v>
      </c>
      <c r="AM129" s="0" t="str">
        <f aca="false">CONCATENATE($AB129,$AD$6)</f>
        <v>36678Rho</v>
      </c>
      <c r="AN129" s="0" t="str">
        <f aca="false">CONCATENATE($AB129,$AE$6)</f>
        <v>36678Drift</v>
      </c>
      <c r="AO129" s="0" t="str">
        <f aca="false">CONCATENATE($AB129,$AF$6)</f>
        <v>36678Vega</v>
      </c>
      <c r="AP129" s="0" t="str">
        <f aca="false">CONCATENATE($AB129,$AG$6)</f>
        <v>36678Theta</v>
      </c>
      <c r="AZ129" s="143" t="n">
        <f aca="false">EOMONTH(AZ128,0)+1</f>
        <v>39873</v>
      </c>
      <c r="BA129" s="135"/>
      <c r="BG129" s="285" t="n">
        <v>40210</v>
      </c>
      <c r="BH129" s="0" t="n">
        <v>0.985</v>
      </c>
      <c r="BJ129" s="285" t="n">
        <v>40210</v>
      </c>
      <c r="BK129" s="0" t="n">
        <v>126</v>
      </c>
    </row>
    <row r="130" customFormat="false" ht="12" hidden="false" customHeight="true" outlineLevel="0" collapsed="false">
      <c r="A130" s="267" t="s">
        <v>198</v>
      </c>
      <c r="B130" s="269" t="s">
        <v>192</v>
      </c>
      <c r="C130" s="269" t="s">
        <v>492</v>
      </c>
      <c r="D130" s="269" t="s">
        <v>137</v>
      </c>
      <c r="E130" s="7" t="s">
        <v>483</v>
      </c>
      <c r="F130" s="269" t="s">
        <v>131</v>
      </c>
      <c r="G130" s="269" t="s">
        <v>136</v>
      </c>
      <c r="H130" s="286" t="n">
        <v>36678</v>
      </c>
      <c r="I130" s="272" t="n">
        <v>50000</v>
      </c>
      <c r="J130" s="125" t="n">
        <v>0.46</v>
      </c>
      <c r="K130" s="124" t="n">
        <f aca="false">HLOOKUP($D$3,GDPRICES,VLOOKUP(Q130,GDmove_down,2,FALSE()),FALSE())</f>
        <v>4.925</v>
      </c>
      <c r="L130" s="124" t="n">
        <f aca="false">HLOOKUP($E$3,GDPRICES,VLOOKUP(Q130,GDmove_down,2,FALSE()),FALSE())</f>
        <v>3.445</v>
      </c>
      <c r="M130" s="126" t="n">
        <v>1</v>
      </c>
      <c r="N130" s="7" t="n">
        <v>0.515</v>
      </c>
      <c r="O130" s="7" t="n">
        <v>0.515</v>
      </c>
      <c r="P130" s="249" t="e">
        <f aca="false">HLOOKUP(E130,GDcorr,VLOOKUP(H130,GDCorMove,2,FALSE()),FALSE())</f>
        <v>#N/A</v>
      </c>
      <c r="Q130" s="92" t="n">
        <v>36695</v>
      </c>
      <c r="R130" s="7" t="n">
        <f aca="false">IF(G130="P",0,1)</f>
        <v>1</v>
      </c>
      <c r="S130" s="130" t="e">
        <f aca="false">xSPRDOPT($K130,$L130,$J130,$M130,$N130,$O130,$P130,$Q130-$C$3,$R130,0)</f>
        <v>#NAME?</v>
      </c>
      <c r="T130" s="250" t="e">
        <f aca="false">xSPRDOPT($K130,$L130,$J130,$M130,$N130,$O130,$P130,$Q130-$C$3,$R130,1)*I130</f>
        <v>#NAME?</v>
      </c>
      <c r="U130" s="43" t="n">
        <v>11000</v>
      </c>
      <c r="V130" s="250" t="e">
        <f aca="false">xSPRDOPT($K130,$L130,$J130,$M130,$N130,$O130,$P130,$Q130-$C$3,$R130,2)*I130</f>
        <v>#NAME?</v>
      </c>
      <c r="W130" s="250" t="e">
        <f aca="false">+V130+T130</f>
        <v>#NAME?</v>
      </c>
      <c r="X130" s="2" t="str">
        <f aca="false">CONCATENATE(H130,E130)</f>
        <v>36678IF-ELPO/SJ</v>
      </c>
      <c r="Y130" s="251" t="n">
        <f aca="false">I130/10000</f>
        <v>5</v>
      </c>
      <c r="AA130" s="2"/>
      <c r="AB130" s="182" t="n">
        <f aca="false">H130</f>
        <v>36678</v>
      </c>
      <c r="AC130" s="253" t="e">
        <f aca="false">xSPRDOPT(HLOOKUP($D$3,GDPRICES,VLOOKUP(Q130,GDmove_down,2,FALSE()),FALSE()),HLOOKUP($E$3,GDPRICES,VLOOKUP(Q130,GDmove_down,2,FALSE()),FALSE()),J130,VLOOKUP(H130,NGPREVPRICES,4,FALSE()),HLOOKUP($H$3,GDPrevVols,VLOOKUP(Q130,GDmove_down2,2,FALSE()),FALSE()),HLOOKUP($H$3,GDPrevVols,VLOOKUP(Q130,GDmove_down2,2,FALSE()),FALSE()),HLOOKUP(E130,GDcorr,VLOOKUP(H130,CorMove,2,FALSE()),FALSE()),Q130-$AC$3,R130,$AC$5)*I130-AI130</f>
        <v>#N/A</v>
      </c>
      <c r="AD130" s="253" t="e">
        <f aca="false">xSPRDOPT(HLOOKUP($D$3,GDPrev,VLOOKUP(Q130,GDmove_down,2,FALSE()),FALSE()),HLOOKUP($E$3,GDPrev,VLOOKUP(Q130,GDmove_down,2,FALSE()),FALSE()),AJ130,VLOOKUP(H130,NGPrices,4,FALSE()),HLOOKUP($H$3,GDPrevVols,VLOOKUP(Q130,GDmove_down2,2,FALSE()),FALSE()),HLOOKUP($H$3,GDPrevVols,VLOOKUP(Q130,GDmove_down2,2,FALSE()),FALSE()),HLOOKUP(E130,GDcorr,VLOOKUP(H130,CorMove,2,FALSE()),FALSE()),Q130-$AC$3,R130,$AI$5)*I130-AI130</f>
        <v>#N/A</v>
      </c>
      <c r="AE130" s="132" t="e">
        <f aca="false">(AI130/VLOOKUP(AB130,discount,3,FALSE()))-(AI130/VLOOKUP(AB130,discount,2,FALSE()))</f>
        <v>#N/A</v>
      </c>
      <c r="AF130" s="253" t="e">
        <f aca="false">xSPRDOPT(HLOOKUP($D$3,GDPrev,VLOOKUP(Q130,GDmove_down,2,FALSE()),FALSE()),HLOOKUP($E$3,GDPrev,VLOOKUP(Q130,GDmove_down,2,FALSE()),FALSE()),AJ130,VLOOKUP(H130,NGPREVPRICES,4,FALSE()),HLOOKUP($H$3,GDVol,VLOOKUP(H130,move_down,2,FALSE()),FALSE()),HLOOKUP($H$3,GDVol,VLOOKUP(H130,move_down,2,FALSE()),FALSE()),HLOOKUP(E130,GDcorr,VLOOKUP(H130,CorMove,2,FALSE()),FALSE()),Q130-$AC$3,R130,$AI$5)*I130-AI130</f>
        <v>#N/A</v>
      </c>
      <c r="AG130" s="253" t="e">
        <f aca="false">xSPRDOPT(HLOOKUP($D$3,GDPrev,VLOOKUP(Q130,GDmove_down,2,FALSE()),FALSE()),HLOOKUP($E$3,GDPrev,VLOOKUP(Q130,GDmove_down,2,FALSE()),FALSE()),AJ130,VLOOKUP(H130,NGPREVPRICES,4,FALSE()),HLOOKUP($H$3,GDPrevVols,VLOOKUP(Q130,GDmove_down2,2,FALSE()),FALSE()),HLOOKUP($H$3,GDPrevVols,VLOOKUP(Q130,GDmove_down2,2,FALSE()),FALSE()),HLOOKUP(E130,GDcorr,VLOOKUP(H130,CorMove,2,FALSE()),FALSE()),Q130-$C$3,R130,$AI$5)*I130-AI130</f>
        <v>#N/A</v>
      </c>
      <c r="AH130" s="253" t="e">
        <f aca="false">SUM(AC130:AG130)</f>
        <v>#N/A</v>
      </c>
      <c r="AI130" s="253" t="e">
        <f aca="false">xSPRDOPT(HLOOKUP($D$3,GDPrev,VLOOKUP(Q130,GDmove_down,2,FALSE()),FALSE()),HLOOKUP($E$3,GDPrev,VLOOKUP(Q130,GDmove_down,2,FALSE()),FALSE()),AJ130,VLOOKUP(H130,NGPREVPRICES,4,FALSE()),HLOOKUP($H$3,GDPrevVols,VLOOKUP(Q130,GDmove_down2,2,FALSE()),FALSE()),HLOOKUP($H$3,GDPrevVols,VLOOKUP(Q130,GDmove_down2,2,FALSE()),FALSE()),HLOOKUP(E130,GDcorr,VLOOKUP(H130,CorMove,2,FALSE()),FALSE()),Q130-$AC$3,R130,$AI$5)*I130</f>
        <v>#N/A</v>
      </c>
      <c r="AJ130" s="254" t="e">
        <f aca="false">HLOOKUP(D130,PREVCURVES,VLOOKUP(H130,MOVE_DOWN2,2,FALSE()),FALSE())-HLOOKUP(E130,PREVCURVES,VLOOKUP(H130,MOVE_DOWN2,2,FALSE()),FALSE())</f>
        <v>#N/A</v>
      </c>
      <c r="AK130" s="253"/>
      <c r="AL130" s="0" t="str">
        <f aca="false">CONCATENATE(AB130,$AC$6)</f>
        <v>36678Curve Shift/Gamma</v>
      </c>
      <c r="AM130" s="0" t="str">
        <f aca="false">CONCATENATE($AB130,$AD$6)</f>
        <v>36678Rho</v>
      </c>
      <c r="AN130" s="0" t="str">
        <f aca="false">CONCATENATE($AB130,$AE$6)</f>
        <v>36678Drift</v>
      </c>
      <c r="AO130" s="0" t="str">
        <f aca="false">CONCATENATE($AB130,$AF$6)</f>
        <v>36678Vega</v>
      </c>
      <c r="AP130" s="0" t="str">
        <f aca="false">CONCATENATE($AB130,$AG$6)</f>
        <v>36678Theta</v>
      </c>
      <c r="AZ130" s="143" t="n">
        <f aca="false">EOMONTH(AZ129,0)+1</f>
        <v>39904</v>
      </c>
      <c r="BA130" s="135"/>
      <c r="BG130" s="285" t="n">
        <v>40238</v>
      </c>
      <c r="BH130" s="0" t="n">
        <v>0.985</v>
      </c>
      <c r="BJ130" s="285" t="n">
        <v>40238</v>
      </c>
      <c r="BK130" s="0" t="n">
        <v>127</v>
      </c>
    </row>
    <row r="131" customFormat="false" ht="12" hidden="false" customHeight="true" outlineLevel="0" collapsed="false">
      <c r="A131" s="267" t="s">
        <v>198</v>
      </c>
      <c r="B131" s="269" t="s">
        <v>192</v>
      </c>
      <c r="C131" s="269" t="s">
        <v>493</v>
      </c>
      <c r="D131" s="269" t="s">
        <v>137</v>
      </c>
      <c r="E131" s="7" t="s">
        <v>483</v>
      </c>
      <c r="F131" s="269" t="s">
        <v>131</v>
      </c>
      <c r="G131" s="269" t="s">
        <v>136</v>
      </c>
      <c r="H131" s="286" t="n">
        <v>36678</v>
      </c>
      <c r="I131" s="272" t="n">
        <v>50000</v>
      </c>
      <c r="J131" s="125" t="n">
        <v>0.46</v>
      </c>
      <c r="K131" s="124" t="n">
        <f aca="false">HLOOKUP($D$3,GDPRICES,VLOOKUP(Q131,GDmove_down,2,FALSE()),FALSE())</f>
        <v>4.925</v>
      </c>
      <c r="L131" s="124" t="n">
        <f aca="false">HLOOKUP($E$3,GDPRICES,VLOOKUP(Q131,GDmove_down,2,FALSE()),FALSE())</f>
        <v>3.445</v>
      </c>
      <c r="M131" s="126" t="n">
        <v>1</v>
      </c>
      <c r="N131" s="7" t="n">
        <v>0.515</v>
      </c>
      <c r="O131" s="7" t="n">
        <v>0.515</v>
      </c>
      <c r="P131" s="249" t="e">
        <f aca="false">HLOOKUP(E131,GDcorr,VLOOKUP(H131,GDCorMove,2,FALSE()),FALSE())</f>
        <v>#N/A</v>
      </c>
      <c r="Q131" s="92" t="n">
        <v>36695</v>
      </c>
      <c r="R131" s="7" t="n">
        <f aca="false">IF(G131="P",0,1)</f>
        <v>1</v>
      </c>
      <c r="S131" s="130" t="e">
        <f aca="false">xSPRDOPT($K131,$L131,$J131,$M131,$N131,$O131,$P131,$Q131-$C$3,$R131,0)</f>
        <v>#NAME?</v>
      </c>
      <c r="T131" s="250" t="e">
        <f aca="false">xSPRDOPT($K131,$L131,$J131,$M131,$N131,$O131,$P131,$Q131-$C$3,$R131,1)*I131</f>
        <v>#NAME?</v>
      </c>
      <c r="U131" s="43" t="n">
        <v>11000</v>
      </c>
      <c r="V131" s="250" t="e">
        <f aca="false">xSPRDOPT($K131,$L131,$J131,$M131,$N131,$O131,$P131,$Q131-$C$3,$R131,2)*I131</f>
        <v>#NAME?</v>
      </c>
      <c r="W131" s="250" t="e">
        <f aca="false">+V131+T131</f>
        <v>#NAME?</v>
      </c>
      <c r="X131" s="2" t="str">
        <f aca="false">CONCATENATE(H131,E131)</f>
        <v>36678IF-ELPO/SJ</v>
      </c>
      <c r="Y131" s="251" t="n">
        <f aca="false">I131/10000</f>
        <v>5</v>
      </c>
      <c r="AA131" s="2"/>
      <c r="AB131" s="182" t="n">
        <f aca="false">H131</f>
        <v>36678</v>
      </c>
      <c r="AC131" s="253" t="e">
        <f aca="false">xSPRDOPT(HLOOKUP($D$3,GDPRICES,VLOOKUP(Q131,GDmove_down,2,FALSE()),FALSE()),HLOOKUP($E$3,GDPRICES,VLOOKUP(Q131,GDmove_down,2,FALSE()),FALSE()),J131,VLOOKUP(H131,NGPREVPRICES,4,FALSE()),HLOOKUP($H$3,GDPrevVols,VLOOKUP(Q131,GDmove_down2,2,FALSE()),FALSE()),HLOOKUP($H$3,GDPrevVols,VLOOKUP(Q131,GDmove_down2,2,FALSE()),FALSE()),HLOOKUP(E131,GDcorr,VLOOKUP(H131,CorMove,2,FALSE()),FALSE()),Q131-$AC$3,R131,$AC$5)*I131-AI131</f>
        <v>#N/A</v>
      </c>
      <c r="AD131" s="253" t="e">
        <f aca="false">xSPRDOPT(HLOOKUP($D$3,GDPrev,VLOOKUP(Q131,GDmove_down,2,FALSE()),FALSE()),HLOOKUP($E$3,GDPrev,VLOOKUP(Q131,GDmove_down,2,FALSE()),FALSE()),AJ131,VLOOKUP(H131,NGPrices,4,FALSE()),HLOOKUP($H$3,GDPrevVols,VLOOKUP(Q131,GDmove_down2,2,FALSE()),FALSE()),HLOOKUP($H$3,GDPrevVols,VLOOKUP(Q131,GDmove_down2,2,FALSE()),FALSE()),HLOOKUP(E131,GDcorr,VLOOKUP(H131,CorMove,2,FALSE()),FALSE()),Q131-$AC$3,R131,$AI$5)*I131-AI131</f>
        <v>#N/A</v>
      </c>
      <c r="AE131" s="132" t="e">
        <f aca="false">(AI131/VLOOKUP(AB131,discount,3,FALSE()))-(AI131/VLOOKUP(AB131,discount,2,FALSE()))</f>
        <v>#N/A</v>
      </c>
      <c r="AF131" s="253" t="e">
        <f aca="false">xSPRDOPT(HLOOKUP($D$3,GDPrev,VLOOKUP(Q131,GDmove_down,2,FALSE()),FALSE()),HLOOKUP($E$3,GDPrev,VLOOKUP(Q131,GDmove_down,2,FALSE()),FALSE()),AJ131,VLOOKUP(H131,NGPREVPRICES,4,FALSE()),HLOOKUP($H$3,GDVol,VLOOKUP(H131,move_down,2,FALSE()),FALSE()),HLOOKUP($H$3,GDVol,VLOOKUP(H131,move_down,2,FALSE()),FALSE()),HLOOKUP(E131,GDcorr,VLOOKUP(H131,CorMove,2,FALSE()),FALSE()),Q131-$AC$3,R131,$AI$5)*I131-AI131</f>
        <v>#N/A</v>
      </c>
      <c r="AG131" s="253" t="e">
        <f aca="false">xSPRDOPT(HLOOKUP($D$3,GDPrev,VLOOKUP(Q131,GDmove_down,2,FALSE()),FALSE()),HLOOKUP($E$3,GDPrev,VLOOKUP(Q131,GDmove_down,2,FALSE()),FALSE()),AJ131,VLOOKUP(H131,NGPREVPRICES,4,FALSE()),HLOOKUP($H$3,GDPrevVols,VLOOKUP(Q131,GDmove_down2,2,FALSE()),FALSE()),HLOOKUP($H$3,GDPrevVols,VLOOKUP(Q131,GDmove_down2,2,FALSE()),FALSE()),HLOOKUP(E131,GDcorr,VLOOKUP(H131,CorMove,2,FALSE()),FALSE()),Q131-$C$3,R131,$AI$5)*I131-AI131</f>
        <v>#N/A</v>
      </c>
      <c r="AH131" s="253" t="e">
        <f aca="false">SUM(AC131:AG131)</f>
        <v>#N/A</v>
      </c>
      <c r="AI131" s="253" t="e">
        <f aca="false">xSPRDOPT(HLOOKUP($D$3,GDPrev,VLOOKUP(Q131,GDmove_down,2,FALSE()),FALSE()),HLOOKUP($E$3,GDPrev,VLOOKUP(Q131,GDmove_down,2,FALSE()),FALSE()),AJ131,VLOOKUP(H131,NGPREVPRICES,4,FALSE()),HLOOKUP($H$3,GDPrevVols,VLOOKUP(Q131,GDmove_down2,2,FALSE()),FALSE()),HLOOKUP($H$3,GDPrevVols,VLOOKUP(Q131,GDmove_down2,2,FALSE()),FALSE()),HLOOKUP(E131,GDcorr,VLOOKUP(H131,CorMove,2,FALSE()),FALSE()),Q131-$AC$3,R131,$AI$5)*I131</f>
        <v>#N/A</v>
      </c>
      <c r="AJ131" s="254" t="e">
        <f aca="false">HLOOKUP(D131,PREVCURVES,VLOOKUP(H131,MOVE_DOWN2,2,FALSE()),FALSE())-HLOOKUP(E131,PREVCURVES,VLOOKUP(H131,MOVE_DOWN2,2,FALSE()),FALSE())</f>
        <v>#N/A</v>
      </c>
      <c r="AK131" s="253"/>
      <c r="AL131" s="0" t="str">
        <f aca="false">CONCATENATE(AB131,$AC$6)</f>
        <v>36678Curve Shift/Gamma</v>
      </c>
      <c r="AM131" s="0" t="str">
        <f aca="false">CONCATENATE($AB131,$AD$6)</f>
        <v>36678Rho</v>
      </c>
      <c r="AN131" s="0" t="str">
        <f aca="false">CONCATENATE($AB131,$AE$6)</f>
        <v>36678Drift</v>
      </c>
      <c r="AO131" s="0" t="str">
        <f aca="false">CONCATENATE($AB131,$AF$6)</f>
        <v>36678Vega</v>
      </c>
      <c r="AP131" s="0" t="str">
        <f aca="false">CONCATENATE($AB131,$AG$6)</f>
        <v>36678Theta</v>
      </c>
      <c r="AZ131" s="143" t="n">
        <f aca="false">EOMONTH(AZ130,0)+1</f>
        <v>39934</v>
      </c>
      <c r="BA131" s="135"/>
      <c r="BG131" s="285" t="n">
        <v>40269</v>
      </c>
      <c r="BH131" s="0" t="n">
        <v>0.985</v>
      </c>
      <c r="BJ131" s="285" t="n">
        <v>40269</v>
      </c>
      <c r="BK131" s="0" t="n">
        <v>128</v>
      </c>
    </row>
    <row r="132" customFormat="false" ht="12" hidden="false" customHeight="true" outlineLevel="0" collapsed="false">
      <c r="A132" s="267" t="s">
        <v>198</v>
      </c>
      <c r="B132" s="269" t="s">
        <v>192</v>
      </c>
      <c r="C132" s="269" t="s">
        <v>494</v>
      </c>
      <c r="D132" s="269" t="s">
        <v>137</v>
      </c>
      <c r="E132" s="7" t="s">
        <v>483</v>
      </c>
      <c r="F132" s="269" t="s">
        <v>131</v>
      </c>
      <c r="G132" s="269" t="s">
        <v>136</v>
      </c>
      <c r="H132" s="286" t="n">
        <v>36678</v>
      </c>
      <c r="I132" s="272" t="n">
        <v>-10000</v>
      </c>
      <c r="J132" s="125" t="n">
        <v>0.46</v>
      </c>
      <c r="K132" s="124" t="n">
        <f aca="false">HLOOKUP($D$3,GDPRICES,VLOOKUP(Q132,GDmove_down,2,FALSE()),FALSE())</f>
        <v>4.925</v>
      </c>
      <c r="L132" s="124" t="n">
        <f aca="false">HLOOKUP($E$3,GDPRICES,VLOOKUP(Q132,GDmove_down,2,FALSE()),FALSE())</f>
        <v>3.445</v>
      </c>
      <c r="M132" s="126" t="n">
        <v>1</v>
      </c>
      <c r="N132" s="7" t="n">
        <v>0.515</v>
      </c>
      <c r="O132" s="7" t="n">
        <v>0.515</v>
      </c>
      <c r="P132" s="249" t="e">
        <f aca="false">HLOOKUP(E132,GDcorr,VLOOKUP(H132,GDCorMove,2,FALSE()),FALSE())</f>
        <v>#N/A</v>
      </c>
      <c r="Q132" s="92" t="n">
        <v>36695</v>
      </c>
      <c r="R132" s="7" t="n">
        <f aca="false">IF(G132="P",0,1)</f>
        <v>1</v>
      </c>
      <c r="S132" s="130" t="e">
        <f aca="false">xSPRDOPT($K132,$L132,$J132,$M132,$N132,$O132,$P132,$Q132-$C$3,$R132,0)</f>
        <v>#NAME?</v>
      </c>
      <c r="T132" s="250" t="e">
        <f aca="false">xSPRDOPT($K132,$L132,$J132,$M132,$N132,$O132,$P132,$Q132-$C$3,$R132,1)*I132</f>
        <v>#NAME?</v>
      </c>
      <c r="U132" s="43" t="n">
        <v>-2200</v>
      </c>
      <c r="V132" s="250" t="e">
        <f aca="false">xSPRDOPT($K132,$L132,$J132,$M132,$N132,$O132,$P132,$Q132-$C$3,$R132,2)*I132</f>
        <v>#NAME?</v>
      </c>
      <c r="W132" s="250" t="e">
        <f aca="false">+V132+T132</f>
        <v>#NAME?</v>
      </c>
      <c r="X132" s="2" t="str">
        <f aca="false">CONCATENATE(H132,E132)</f>
        <v>36678IF-ELPO/SJ</v>
      </c>
      <c r="Y132" s="251" t="n">
        <f aca="false">I132/10000</f>
        <v>-1</v>
      </c>
      <c r="AA132" s="2"/>
      <c r="AB132" s="182" t="n">
        <f aca="false">H132</f>
        <v>36678</v>
      </c>
      <c r="AC132" s="253" t="e">
        <f aca="false">xSPRDOPT(HLOOKUP($D$3,GDPRICES,VLOOKUP(Q132,GDmove_down,2,FALSE()),FALSE()),HLOOKUP($E$3,GDPRICES,VLOOKUP(Q132,GDmove_down,2,FALSE()),FALSE()),J132,VLOOKUP(H132,NGPREVPRICES,4,FALSE()),HLOOKUP($H$3,GDPrevVols,VLOOKUP(Q132,GDmove_down2,2,FALSE()),FALSE()),HLOOKUP($H$3,GDPrevVols,VLOOKUP(Q132,GDmove_down2,2,FALSE()),FALSE()),HLOOKUP(E132,GDcorr,VLOOKUP(H132,CorMove,2,FALSE()),FALSE()),Q132-$AC$3,R132,$AC$5)*I132-AI132</f>
        <v>#N/A</v>
      </c>
      <c r="AD132" s="253" t="e">
        <f aca="false">xSPRDOPT(HLOOKUP($D$3,GDPrev,VLOOKUP(Q132,GDmove_down,2,FALSE()),FALSE()),HLOOKUP($E$3,GDPrev,VLOOKUP(Q132,GDmove_down,2,FALSE()),FALSE()),AJ132,VLOOKUP(H132,NGPrices,4,FALSE()),HLOOKUP($H$3,GDPrevVols,VLOOKUP(Q132,GDmove_down2,2,FALSE()),FALSE()),HLOOKUP($H$3,GDPrevVols,VLOOKUP(Q132,GDmove_down2,2,FALSE()),FALSE()),HLOOKUP(E132,GDcorr,VLOOKUP(H132,CorMove,2,FALSE()),FALSE()),Q132-$AC$3,R132,$AI$5)*I132-AI132</f>
        <v>#N/A</v>
      </c>
      <c r="AE132" s="132" t="e">
        <f aca="false">(AI132/VLOOKUP(AB132,discount,3,FALSE()))-(AI132/VLOOKUP(AB132,discount,2,FALSE()))</f>
        <v>#N/A</v>
      </c>
      <c r="AF132" s="253" t="e">
        <f aca="false">xSPRDOPT(HLOOKUP($D$3,GDPrev,VLOOKUP(Q132,GDmove_down,2,FALSE()),FALSE()),HLOOKUP($E$3,GDPrev,VLOOKUP(Q132,GDmove_down,2,FALSE()),FALSE()),AJ132,VLOOKUP(H132,NGPREVPRICES,4,FALSE()),HLOOKUP($H$3,GDVol,VLOOKUP(H132,move_down,2,FALSE()),FALSE()),HLOOKUP($H$3,GDVol,VLOOKUP(H132,move_down,2,FALSE()),FALSE()),HLOOKUP(E132,GDcorr,VLOOKUP(H132,CorMove,2,FALSE()),FALSE()),Q132-$AC$3,R132,$AI$5)*I132-AI132</f>
        <v>#N/A</v>
      </c>
      <c r="AG132" s="253" t="e">
        <f aca="false">xSPRDOPT(HLOOKUP($D$3,GDPrev,VLOOKUP(Q132,GDmove_down,2,FALSE()),FALSE()),HLOOKUP($E$3,GDPrev,VLOOKUP(Q132,GDmove_down,2,FALSE()),FALSE()),AJ132,VLOOKUP(H132,NGPREVPRICES,4,FALSE()),HLOOKUP($H$3,GDPrevVols,VLOOKUP(Q132,GDmove_down2,2,FALSE()),FALSE()),HLOOKUP($H$3,GDPrevVols,VLOOKUP(Q132,GDmove_down2,2,FALSE()),FALSE()),HLOOKUP(E132,GDcorr,VLOOKUP(H132,CorMove,2,FALSE()),FALSE()),Q132-$C$3,R132,$AI$5)*I132-AI132</f>
        <v>#N/A</v>
      </c>
      <c r="AH132" s="253" t="e">
        <f aca="false">SUM(AC132:AG132)</f>
        <v>#N/A</v>
      </c>
      <c r="AI132" s="253" t="e">
        <f aca="false">xSPRDOPT(HLOOKUP($D$3,GDPrev,VLOOKUP(Q132,GDmove_down,2,FALSE()),FALSE()),HLOOKUP($E$3,GDPrev,VLOOKUP(Q132,GDmove_down,2,FALSE()),FALSE()),AJ132,VLOOKUP(H132,NGPREVPRICES,4,FALSE()),HLOOKUP($H$3,GDPrevVols,VLOOKUP(Q132,GDmove_down2,2,FALSE()),FALSE()),HLOOKUP($H$3,GDPrevVols,VLOOKUP(Q132,GDmove_down2,2,FALSE()),FALSE()),HLOOKUP(E132,GDcorr,VLOOKUP(H132,CorMove,2,FALSE()),FALSE()),Q132-$AC$3,R132,$AI$5)*I132</f>
        <v>#N/A</v>
      </c>
      <c r="AJ132" s="254" t="e">
        <f aca="false">HLOOKUP(D132,PREVCURVES,VLOOKUP(H132,MOVE_DOWN2,2,FALSE()),FALSE())-HLOOKUP(E132,PREVCURVES,VLOOKUP(H132,MOVE_DOWN2,2,FALSE()),FALSE())</f>
        <v>#N/A</v>
      </c>
      <c r="AK132" s="253"/>
      <c r="AL132" s="0" t="str">
        <f aca="false">CONCATENATE(AB132,$AC$6)</f>
        <v>36678Curve Shift/Gamma</v>
      </c>
      <c r="AM132" s="0" t="str">
        <f aca="false">CONCATENATE($AB132,$AD$6)</f>
        <v>36678Rho</v>
      </c>
      <c r="AN132" s="0" t="str">
        <f aca="false">CONCATENATE($AB132,$AE$6)</f>
        <v>36678Drift</v>
      </c>
      <c r="AO132" s="0" t="str">
        <f aca="false">CONCATENATE($AB132,$AF$6)</f>
        <v>36678Vega</v>
      </c>
      <c r="AP132" s="0" t="str">
        <f aca="false">CONCATENATE($AB132,$AG$6)</f>
        <v>36678Theta</v>
      </c>
      <c r="AZ132" s="143" t="n">
        <f aca="false">EOMONTH(AZ131,0)+1</f>
        <v>39965</v>
      </c>
      <c r="BA132" s="135"/>
      <c r="BG132" s="285" t="n">
        <v>40299</v>
      </c>
      <c r="BH132" s="0" t="n">
        <v>0.985</v>
      </c>
      <c r="BJ132" s="285" t="n">
        <v>40299</v>
      </c>
      <c r="BK132" s="0" t="n">
        <v>129</v>
      </c>
    </row>
    <row r="133" customFormat="false" ht="12" hidden="false" customHeight="true" outlineLevel="0" collapsed="false">
      <c r="A133" s="265" t="s">
        <v>198</v>
      </c>
      <c r="B133" s="269" t="s">
        <v>192</v>
      </c>
      <c r="C133" s="269" t="s">
        <v>488</v>
      </c>
      <c r="D133" s="269" t="s">
        <v>137</v>
      </c>
      <c r="E133" s="7" t="s">
        <v>483</v>
      </c>
      <c r="F133" s="269" t="s">
        <v>131</v>
      </c>
      <c r="G133" s="269" t="s">
        <v>136</v>
      </c>
      <c r="H133" s="286" t="n">
        <v>36678</v>
      </c>
      <c r="I133" s="272" t="n">
        <v>-50000</v>
      </c>
      <c r="J133" s="125" t="n">
        <v>0.46</v>
      </c>
      <c r="K133" s="124" t="n">
        <f aca="false">HLOOKUP($D$3,GDPRICES,VLOOKUP(Q133,GDmove_down,2,FALSE()),FALSE())</f>
        <v>4.925</v>
      </c>
      <c r="L133" s="124" t="n">
        <f aca="false">HLOOKUP($E$3,GDPRICES,VLOOKUP(Q133,GDmove_down,2,FALSE()),FALSE())</f>
        <v>3.315</v>
      </c>
      <c r="M133" s="126" t="n">
        <v>1</v>
      </c>
      <c r="N133" s="7" t="n">
        <v>0.515</v>
      </c>
      <c r="O133" s="7" t="n">
        <v>0.515</v>
      </c>
      <c r="P133" s="249" t="e">
        <f aca="false">HLOOKUP(E133,GDcorr,VLOOKUP(H133,GDCorMove,2,FALSE()),FALSE())</f>
        <v>#N/A</v>
      </c>
      <c r="Q133" s="92" t="n">
        <v>36696</v>
      </c>
      <c r="R133" s="7" t="n">
        <f aca="false">IF(G133="P",0,1)</f>
        <v>1</v>
      </c>
      <c r="S133" s="130" t="e">
        <f aca="false">xSPRDOPT($K133,$L133,$J133,$M133,$N133,$O133,$P133,$Q133-$C$3,$R133,0)</f>
        <v>#NAME?</v>
      </c>
      <c r="T133" s="250" t="e">
        <f aca="false">xSPRDOPT($K133,$L133,$J133,$M133,$N133,$O133,$P133,$Q133-$C$3,$R133,1)*I133</f>
        <v>#NAME?</v>
      </c>
      <c r="U133" s="43" t="n">
        <v>-11000</v>
      </c>
      <c r="V133" s="250" t="e">
        <f aca="false">xSPRDOPT($K133,$L133,$J133,$M133,$N133,$O133,$P133,$Q133-$C$3,$R133,2)*I133</f>
        <v>#NAME?</v>
      </c>
      <c r="W133" s="250" t="e">
        <f aca="false">+V133+T133</f>
        <v>#NAME?</v>
      </c>
      <c r="X133" s="2" t="str">
        <f aca="false">CONCATENATE(H133,E133)</f>
        <v>36678IF-ELPO/SJ</v>
      </c>
      <c r="Y133" s="251" t="n">
        <f aca="false">I133/10000</f>
        <v>-5</v>
      </c>
      <c r="Z133" s="2"/>
      <c r="AA133" s="2"/>
      <c r="AB133" s="182" t="n">
        <f aca="false">H133</f>
        <v>36678</v>
      </c>
      <c r="AC133" s="253" t="e">
        <f aca="false">xSPRDOPT(HLOOKUP($D$3,GDPRICES,VLOOKUP(Q133,GDmove_down,2,FALSE()),FALSE()),HLOOKUP($E$3,GDPRICES,VLOOKUP(Q133,GDmove_down,2,FALSE()),FALSE()),J133,VLOOKUP(H133,NGPREVPRICES,4,FALSE()),HLOOKUP($H$3,GDPrevVols,VLOOKUP(Q133,GDmove_down2,2,FALSE()),FALSE()),HLOOKUP($H$3,GDPrevVols,VLOOKUP(Q133,GDmove_down2,2,FALSE()),FALSE()),HLOOKUP(E133,GDcorr,VLOOKUP(H133,CorMove,2,FALSE()),FALSE()),Q133-$AC$3,R133,$AC$5)*I133-AI133</f>
        <v>#N/A</v>
      </c>
      <c r="AD133" s="253" t="e">
        <f aca="false">xSPRDOPT(HLOOKUP($D$3,GDPrev,VLOOKUP(Q133,GDmove_down,2,FALSE()),FALSE()),HLOOKUP($E$3,GDPrev,VLOOKUP(Q133,GDmove_down,2,FALSE()),FALSE()),AJ133,VLOOKUP(H133,NGPrices,4,FALSE()),HLOOKUP($H$3,GDPrevVols,VLOOKUP(Q133,GDmove_down2,2,FALSE()),FALSE()),HLOOKUP($H$3,GDPrevVols,VLOOKUP(Q133,GDmove_down2,2,FALSE()),FALSE()),HLOOKUP(E133,GDcorr,VLOOKUP(H133,CorMove,2,FALSE()),FALSE()),Q133-$AC$3,R133,$AI$5)*I133-AI133</f>
        <v>#N/A</v>
      </c>
      <c r="AE133" s="132" t="e">
        <f aca="false">(AI133/VLOOKUP(AB133,discount,3,FALSE()))-(AI133/VLOOKUP(AB133,discount,2,FALSE()))</f>
        <v>#N/A</v>
      </c>
      <c r="AF133" s="253" t="e">
        <f aca="false">xSPRDOPT(HLOOKUP($D$3,GDPrev,VLOOKUP(Q133,GDmove_down,2,FALSE()),FALSE()),HLOOKUP($E$3,GDPrev,VLOOKUP(Q133,GDmove_down,2,FALSE()),FALSE()),AJ133,VLOOKUP(H133,NGPREVPRICES,4,FALSE()),HLOOKUP($H$3,GDVol,VLOOKUP(H133,move_down,2,FALSE()),FALSE()),HLOOKUP($H$3,GDVol,VLOOKUP(H133,move_down,2,FALSE()),FALSE()),HLOOKUP(E133,GDcorr,VLOOKUP(H133,CorMove,2,FALSE()),FALSE()),Q133-$AC$3,R133,$AI$5)*I133-AI133</f>
        <v>#N/A</v>
      </c>
      <c r="AG133" s="253" t="e">
        <f aca="false">xSPRDOPT(HLOOKUP($D$3,GDPrev,VLOOKUP(Q133,GDmove_down,2,FALSE()),FALSE()),HLOOKUP($E$3,GDPrev,VLOOKUP(Q133,GDmove_down,2,FALSE()),FALSE()),AJ133,VLOOKUP(H133,NGPREVPRICES,4,FALSE()),HLOOKUP($H$3,GDPrevVols,VLOOKUP(Q133,GDmove_down2,2,FALSE()),FALSE()),HLOOKUP($H$3,GDPrevVols,VLOOKUP(Q133,GDmove_down2,2,FALSE()),FALSE()),HLOOKUP(E133,GDcorr,VLOOKUP(H133,CorMove,2,FALSE()),FALSE()),Q133-$C$3,R133,$AI$5)*I133-AI133</f>
        <v>#N/A</v>
      </c>
      <c r="AH133" s="253" t="e">
        <f aca="false">SUM(AC133:AG133)</f>
        <v>#N/A</v>
      </c>
      <c r="AI133" s="253" t="e">
        <f aca="false">xSPRDOPT(HLOOKUP($D$3,GDPrev,VLOOKUP(Q133,GDmove_down,2,FALSE()),FALSE()),HLOOKUP($E$3,GDPrev,VLOOKUP(Q133,GDmove_down,2,FALSE()),FALSE()),AJ133,VLOOKUP(H133,NGPREVPRICES,4,FALSE()),HLOOKUP($H$3,GDPrevVols,VLOOKUP(Q133,GDmove_down2,2,FALSE()),FALSE()),HLOOKUP($H$3,GDPrevVols,VLOOKUP(Q133,GDmove_down2,2,FALSE()),FALSE()),HLOOKUP(E133,GDcorr,VLOOKUP(H133,CorMove,2,FALSE()),FALSE()),Q133-$AC$3,R133,$AI$5)*I133</f>
        <v>#N/A</v>
      </c>
      <c r="AJ133" s="254" t="e">
        <f aca="false">HLOOKUP(D133,PREVCURVES,VLOOKUP(H133,MOVE_DOWN2,2,FALSE()),FALSE())-HLOOKUP(E133,PREVCURVES,VLOOKUP(H133,MOVE_DOWN2,2,FALSE()),FALSE())</f>
        <v>#N/A</v>
      </c>
      <c r="AK133" s="253"/>
      <c r="AL133" s="0" t="str">
        <f aca="false">CONCATENATE(AB133,$AC$6)</f>
        <v>36678Curve Shift/Gamma</v>
      </c>
      <c r="AM133" s="0" t="str">
        <f aca="false">CONCATENATE($AB133,$AD$6)</f>
        <v>36678Rho</v>
      </c>
      <c r="AN133" s="0" t="str">
        <f aca="false">CONCATENATE($AB133,$AE$6)</f>
        <v>36678Drift</v>
      </c>
      <c r="AO133" s="0" t="str">
        <f aca="false">CONCATENATE($AB133,$AF$6)</f>
        <v>36678Vega</v>
      </c>
      <c r="AP133" s="0" t="str">
        <f aca="false">CONCATENATE($AB133,$AG$6)</f>
        <v>36678Theta</v>
      </c>
      <c r="AZ133" s="143" t="n">
        <f aca="false">EOMONTH(AZ132,0)+1</f>
        <v>39995</v>
      </c>
      <c r="BA133" s="135"/>
      <c r="BG133" s="285" t="n">
        <v>40330</v>
      </c>
      <c r="BH133" s="0" t="n">
        <v>0.985</v>
      </c>
      <c r="BJ133" s="285" t="n">
        <v>40330</v>
      </c>
      <c r="BK133" s="0" t="n">
        <v>130</v>
      </c>
    </row>
    <row r="134" customFormat="false" ht="12" hidden="false" customHeight="true" outlineLevel="0" collapsed="false">
      <c r="A134" s="265" t="s">
        <v>198</v>
      </c>
      <c r="B134" s="269" t="s">
        <v>192</v>
      </c>
      <c r="C134" s="269" t="s">
        <v>489</v>
      </c>
      <c r="D134" s="269" t="s">
        <v>137</v>
      </c>
      <c r="E134" s="7" t="s">
        <v>483</v>
      </c>
      <c r="F134" s="269" t="s">
        <v>131</v>
      </c>
      <c r="G134" s="269" t="s">
        <v>136</v>
      </c>
      <c r="H134" s="286" t="n">
        <v>36678</v>
      </c>
      <c r="I134" s="272" t="n">
        <v>10000</v>
      </c>
      <c r="J134" s="125" t="n">
        <v>0.46</v>
      </c>
      <c r="K134" s="124" t="n">
        <f aca="false">HLOOKUP($D$3,GDPRICES,VLOOKUP(Q134,GDmove_down,2,FALSE()),FALSE())</f>
        <v>4.925</v>
      </c>
      <c r="L134" s="124" t="n">
        <f aca="false">HLOOKUP($E$3,GDPRICES,VLOOKUP(Q134,GDmove_down,2,FALSE()),FALSE())</f>
        <v>3.315</v>
      </c>
      <c r="M134" s="126" t="n">
        <v>1</v>
      </c>
      <c r="N134" s="7" t="n">
        <v>0.515</v>
      </c>
      <c r="O134" s="7" t="n">
        <v>0.515</v>
      </c>
      <c r="P134" s="249" t="e">
        <f aca="false">HLOOKUP(E134,GDcorr,VLOOKUP(H134,GDCorMove,2,FALSE()),FALSE())</f>
        <v>#N/A</v>
      </c>
      <c r="Q134" s="92" t="n">
        <v>36696</v>
      </c>
      <c r="R134" s="7" t="n">
        <f aca="false">IF(G134="P",0,1)</f>
        <v>1</v>
      </c>
      <c r="S134" s="130" t="e">
        <f aca="false">xSPRDOPT($K134,$L134,$J134,$M134,$N134,$O134,$P134,$Q134-$C$3,$R134,0)</f>
        <v>#NAME?</v>
      </c>
      <c r="T134" s="250" t="e">
        <f aca="false">xSPRDOPT($K134,$L134,$J134,$M134,$N134,$O134,$P134,$Q134-$C$3,$R134,1)*I134</f>
        <v>#NAME?</v>
      </c>
      <c r="U134" s="43" t="n">
        <v>2200</v>
      </c>
      <c r="V134" s="250" t="e">
        <f aca="false">xSPRDOPT($K134,$L134,$J134,$M134,$N134,$O134,$P134,$Q134-$C$3,$R134,2)*I134</f>
        <v>#NAME?</v>
      </c>
      <c r="W134" s="250" t="e">
        <f aca="false">+V134+T134</f>
        <v>#NAME?</v>
      </c>
      <c r="X134" s="2" t="str">
        <f aca="false">CONCATENATE(H134,E134)</f>
        <v>36678IF-ELPO/SJ</v>
      </c>
      <c r="Y134" s="251" t="n">
        <f aca="false">I134/10000</f>
        <v>1</v>
      </c>
      <c r="Z134" s="2"/>
      <c r="AA134" s="2"/>
      <c r="AB134" s="182" t="n">
        <f aca="false">H134</f>
        <v>36678</v>
      </c>
      <c r="AC134" s="253" t="e">
        <f aca="false">xSPRDOPT(HLOOKUP($D$3,GDPRICES,VLOOKUP(Q134,GDmove_down,2,FALSE()),FALSE()),HLOOKUP($E$3,GDPRICES,VLOOKUP(Q134,GDmove_down,2,FALSE()),FALSE()),J134,VLOOKUP(H134,NGPREVPRICES,4,FALSE()),HLOOKUP($H$3,GDPrevVols,VLOOKUP(Q134,GDmove_down2,2,FALSE()),FALSE()),HLOOKUP($H$3,GDPrevVols,VLOOKUP(Q134,GDmove_down2,2,FALSE()),FALSE()),HLOOKUP(E134,GDcorr,VLOOKUP(H134,CorMove,2,FALSE()),FALSE()),Q134-$AC$3,R134,$AC$5)*I134-AI134</f>
        <v>#N/A</v>
      </c>
      <c r="AD134" s="253" t="e">
        <f aca="false">xSPRDOPT(HLOOKUP($D$3,GDPrev,VLOOKUP(Q134,GDmove_down,2,FALSE()),FALSE()),HLOOKUP($E$3,GDPrev,VLOOKUP(Q134,GDmove_down,2,FALSE()),FALSE()),AJ134,VLOOKUP(H134,NGPrices,4,FALSE()),HLOOKUP($H$3,GDPrevVols,VLOOKUP(Q134,GDmove_down2,2,FALSE()),FALSE()),HLOOKUP($H$3,GDPrevVols,VLOOKUP(Q134,GDmove_down2,2,FALSE()),FALSE()),HLOOKUP(E134,GDcorr,VLOOKUP(H134,CorMove,2,FALSE()),FALSE()),Q134-$AC$3,R134,$AI$5)*I134-AI134</f>
        <v>#N/A</v>
      </c>
      <c r="AE134" s="132" t="e">
        <f aca="false">(AI134/VLOOKUP(AB134,discount,3,FALSE()))-(AI134/VLOOKUP(AB134,discount,2,FALSE()))</f>
        <v>#N/A</v>
      </c>
      <c r="AF134" s="253" t="e">
        <f aca="false">xSPRDOPT(HLOOKUP($D$3,GDPrev,VLOOKUP(Q134,GDmove_down,2,FALSE()),FALSE()),HLOOKUP($E$3,GDPrev,VLOOKUP(Q134,GDmove_down,2,FALSE()),FALSE()),AJ134,VLOOKUP(H134,NGPREVPRICES,4,FALSE()),HLOOKUP($H$3,GDVol,VLOOKUP(H134,move_down,2,FALSE()),FALSE()),HLOOKUP($H$3,GDVol,VLOOKUP(H134,move_down,2,FALSE()),FALSE()),HLOOKUP(E134,GDcorr,VLOOKUP(H134,CorMove,2,FALSE()),FALSE()),Q134-$AC$3,R134,$AI$5)*I134-AI134</f>
        <v>#N/A</v>
      </c>
      <c r="AG134" s="253" t="e">
        <f aca="false">xSPRDOPT(HLOOKUP($D$3,GDPrev,VLOOKUP(Q134,GDmove_down,2,FALSE()),FALSE()),HLOOKUP($E$3,GDPrev,VLOOKUP(Q134,GDmove_down,2,FALSE()),FALSE()),AJ134,VLOOKUP(H134,NGPREVPRICES,4,FALSE()),HLOOKUP($H$3,GDPrevVols,VLOOKUP(Q134,GDmove_down2,2,FALSE()),FALSE()),HLOOKUP($H$3,GDPrevVols,VLOOKUP(Q134,GDmove_down2,2,FALSE()),FALSE()),HLOOKUP(E134,GDcorr,VLOOKUP(H134,CorMove,2,FALSE()),FALSE()),Q134-$C$3,R134,$AI$5)*I134-AI134</f>
        <v>#N/A</v>
      </c>
      <c r="AH134" s="253" t="e">
        <f aca="false">SUM(AC134:AG134)</f>
        <v>#N/A</v>
      </c>
      <c r="AI134" s="253" t="e">
        <f aca="false">xSPRDOPT(HLOOKUP($D$3,GDPrev,VLOOKUP(Q134,GDmove_down,2,FALSE()),FALSE()),HLOOKUP($E$3,GDPrev,VLOOKUP(Q134,GDmove_down,2,FALSE()),FALSE()),AJ134,VLOOKUP(H134,NGPREVPRICES,4,FALSE()),HLOOKUP($H$3,GDPrevVols,VLOOKUP(Q134,GDmove_down2,2,FALSE()),FALSE()),HLOOKUP($H$3,GDPrevVols,VLOOKUP(Q134,GDmove_down2,2,FALSE()),FALSE()),HLOOKUP(E134,GDcorr,VLOOKUP(H134,CorMove,2,FALSE()),FALSE()),Q134-$AC$3,R134,$AI$5)*I134</f>
        <v>#N/A</v>
      </c>
      <c r="AJ134" s="254" t="e">
        <f aca="false">HLOOKUP(D134,PREVCURVES,VLOOKUP(H134,MOVE_DOWN2,2,FALSE()),FALSE())-HLOOKUP(E134,PREVCURVES,VLOOKUP(H134,MOVE_DOWN2,2,FALSE()),FALSE())</f>
        <v>#N/A</v>
      </c>
      <c r="AK134" s="253"/>
      <c r="AL134" s="0" t="str">
        <f aca="false">CONCATENATE(AB134,$AC$6)</f>
        <v>36678Curve Shift/Gamma</v>
      </c>
      <c r="AM134" s="0" t="str">
        <f aca="false">CONCATENATE($AB134,$AD$6)</f>
        <v>36678Rho</v>
      </c>
      <c r="AN134" s="0" t="str">
        <f aca="false">CONCATENATE($AB134,$AE$6)</f>
        <v>36678Drift</v>
      </c>
      <c r="AO134" s="0" t="str">
        <f aca="false">CONCATENATE($AB134,$AF$6)</f>
        <v>36678Vega</v>
      </c>
      <c r="AP134" s="0" t="str">
        <f aca="false">CONCATENATE($AB134,$AG$6)</f>
        <v>36678Theta</v>
      </c>
      <c r="AZ134" s="143" t="n">
        <f aca="false">EOMONTH(AZ133,0)+1</f>
        <v>40026</v>
      </c>
      <c r="BA134" s="135"/>
      <c r="BG134" s="285" t="n">
        <v>40360</v>
      </c>
      <c r="BH134" s="0" t="n">
        <v>0.985</v>
      </c>
      <c r="BJ134" s="285" t="n">
        <v>40360</v>
      </c>
      <c r="BK134" s="0" t="n">
        <v>131</v>
      </c>
    </row>
    <row r="135" customFormat="false" ht="12" hidden="false" customHeight="true" outlineLevel="0" collapsed="false">
      <c r="A135" s="265" t="s">
        <v>198</v>
      </c>
      <c r="B135" s="269" t="s">
        <v>192</v>
      </c>
      <c r="C135" s="269" t="s">
        <v>490</v>
      </c>
      <c r="D135" s="269" t="s">
        <v>137</v>
      </c>
      <c r="E135" s="7" t="s">
        <v>483</v>
      </c>
      <c r="F135" s="269" t="s">
        <v>131</v>
      </c>
      <c r="G135" s="269" t="s">
        <v>136</v>
      </c>
      <c r="H135" s="286" t="n">
        <v>36678</v>
      </c>
      <c r="I135" s="272" t="n">
        <v>-333333</v>
      </c>
      <c r="J135" s="125" t="n">
        <v>0.46</v>
      </c>
      <c r="K135" s="124" t="n">
        <f aca="false">HLOOKUP($D$3,GDPRICES,VLOOKUP(Q135,GDmove_down,2,FALSE()),FALSE())</f>
        <v>4.925</v>
      </c>
      <c r="L135" s="124" t="n">
        <f aca="false">HLOOKUP($E$3,GDPRICES,VLOOKUP(Q135,GDmove_down,2,FALSE()),FALSE())</f>
        <v>3.315</v>
      </c>
      <c r="M135" s="126" t="n">
        <v>1</v>
      </c>
      <c r="N135" s="7" t="n">
        <v>0.515</v>
      </c>
      <c r="O135" s="7" t="n">
        <v>0.515</v>
      </c>
      <c r="P135" s="249" t="e">
        <f aca="false">HLOOKUP(E135,GDcorr,VLOOKUP(H135,GDCorMove,2,FALSE()),FALSE())</f>
        <v>#N/A</v>
      </c>
      <c r="Q135" s="92" t="n">
        <v>36696</v>
      </c>
      <c r="R135" s="7" t="n">
        <f aca="false">IF(G135="P",0,1)</f>
        <v>1</v>
      </c>
      <c r="S135" s="130" t="e">
        <f aca="false">xSPRDOPT($K135,$L135,$J135,$M135,$N135,$O135,$P135,$Q135-$C$3,$R135,0)</f>
        <v>#NAME?</v>
      </c>
      <c r="T135" s="250" t="e">
        <f aca="false">xSPRDOPT($K135,$L135,$J135,$M135,$N135,$O135,$P135,$Q135-$C$3,$R135,1)*I135</f>
        <v>#NAME?</v>
      </c>
      <c r="U135" s="43" t="n">
        <v>-73333.2599999999</v>
      </c>
      <c r="V135" s="250" t="e">
        <f aca="false">xSPRDOPT($K135,$L135,$J135,$M135,$N135,$O135,$P135,$Q135-$C$3,$R135,2)*I135</f>
        <v>#NAME?</v>
      </c>
      <c r="W135" s="250" t="e">
        <f aca="false">+V135+T135</f>
        <v>#NAME?</v>
      </c>
      <c r="X135" s="2" t="str">
        <f aca="false">CONCATENATE(H135,E135)</f>
        <v>36678IF-ELPO/SJ</v>
      </c>
      <c r="Y135" s="251" t="n">
        <f aca="false">I135/10000</f>
        <v>-33.3333</v>
      </c>
      <c r="Z135" s="2"/>
      <c r="AA135" s="2"/>
      <c r="AB135" s="182" t="n">
        <f aca="false">H135</f>
        <v>36678</v>
      </c>
      <c r="AC135" s="253" t="e">
        <f aca="false">xSPRDOPT(HLOOKUP($D$3,GDPRICES,VLOOKUP(Q135,GDmove_down,2,FALSE()),FALSE()),HLOOKUP($E$3,GDPRICES,VLOOKUP(Q135,GDmove_down,2,FALSE()),FALSE()),J135,VLOOKUP(H135,NGPREVPRICES,4,FALSE()),HLOOKUP($H$3,GDPrevVols,VLOOKUP(Q135,GDmove_down2,2,FALSE()),FALSE()),HLOOKUP($H$3,GDPrevVols,VLOOKUP(Q135,GDmove_down2,2,FALSE()),FALSE()),HLOOKUP(E135,GDcorr,VLOOKUP(H135,CorMove,2,FALSE()),FALSE()),Q135-$AC$3,R135,$AC$5)*I135-AI135</f>
        <v>#N/A</v>
      </c>
      <c r="AD135" s="253" t="e">
        <f aca="false">xSPRDOPT(HLOOKUP($D$3,GDPrev,VLOOKUP(Q135,GDmove_down,2,FALSE()),FALSE()),HLOOKUP($E$3,GDPrev,VLOOKUP(Q135,GDmove_down,2,FALSE()),FALSE()),AJ135,VLOOKUP(H135,NGPrices,4,FALSE()),HLOOKUP($H$3,GDPrevVols,VLOOKUP(Q135,GDmove_down2,2,FALSE()),FALSE()),HLOOKUP($H$3,GDPrevVols,VLOOKUP(Q135,GDmove_down2,2,FALSE()),FALSE()),HLOOKUP(E135,GDcorr,VLOOKUP(H135,CorMove,2,FALSE()),FALSE()),Q135-$AC$3,R135,$AI$5)*I135-AI135</f>
        <v>#N/A</v>
      </c>
      <c r="AE135" s="132" t="e">
        <f aca="false">(AI135/VLOOKUP(AB135,discount,3,FALSE()))-(AI135/VLOOKUP(AB135,discount,2,FALSE()))</f>
        <v>#N/A</v>
      </c>
      <c r="AF135" s="253" t="e">
        <f aca="false">xSPRDOPT(HLOOKUP($D$3,GDPrev,VLOOKUP(Q135,GDmove_down,2,FALSE()),FALSE()),HLOOKUP($E$3,GDPrev,VLOOKUP(Q135,GDmove_down,2,FALSE()),FALSE()),AJ135,VLOOKUP(H135,NGPREVPRICES,4,FALSE()),HLOOKUP($H$3,GDVol,VLOOKUP(H135,move_down,2,FALSE()),FALSE()),HLOOKUP($H$3,GDVol,VLOOKUP(H135,move_down,2,FALSE()),FALSE()),HLOOKUP(E135,GDcorr,VLOOKUP(H135,CorMove,2,FALSE()),FALSE()),Q135-$AC$3,R135,$AI$5)*I135-AI135</f>
        <v>#N/A</v>
      </c>
      <c r="AG135" s="253" t="e">
        <f aca="false">xSPRDOPT(HLOOKUP($D$3,GDPrev,VLOOKUP(Q135,GDmove_down,2,FALSE()),FALSE()),HLOOKUP($E$3,GDPrev,VLOOKUP(Q135,GDmove_down,2,FALSE()),FALSE()),AJ135,VLOOKUP(H135,NGPREVPRICES,4,FALSE()),HLOOKUP($H$3,GDPrevVols,VLOOKUP(Q135,GDmove_down2,2,FALSE()),FALSE()),HLOOKUP($H$3,GDPrevVols,VLOOKUP(Q135,GDmove_down2,2,FALSE()),FALSE()),HLOOKUP(E135,GDcorr,VLOOKUP(H135,CorMove,2,FALSE()),FALSE()),Q135-$C$3,R135,$AI$5)*I135-AI135</f>
        <v>#N/A</v>
      </c>
      <c r="AH135" s="253" t="e">
        <f aca="false">SUM(AC135:AG135)</f>
        <v>#N/A</v>
      </c>
      <c r="AI135" s="253" t="e">
        <f aca="false">xSPRDOPT(HLOOKUP($D$3,GDPrev,VLOOKUP(Q135,GDmove_down,2,FALSE()),FALSE()),HLOOKUP($E$3,GDPrev,VLOOKUP(Q135,GDmove_down,2,FALSE()),FALSE()),AJ135,VLOOKUP(H135,NGPREVPRICES,4,FALSE()),HLOOKUP($H$3,GDPrevVols,VLOOKUP(Q135,GDmove_down2,2,FALSE()),FALSE()),HLOOKUP($H$3,GDPrevVols,VLOOKUP(Q135,GDmove_down2,2,FALSE()),FALSE()),HLOOKUP(E135,GDcorr,VLOOKUP(H135,CorMove,2,FALSE()),FALSE()),Q135-$AC$3,R135,$AI$5)*I135</f>
        <v>#N/A</v>
      </c>
      <c r="AJ135" s="254" t="e">
        <f aca="false">HLOOKUP(D135,PREVCURVES,VLOOKUP(H135,MOVE_DOWN2,2,FALSE()),FALSE())-HLOOKUP(E135,PREVCURVES,VLOOKUP(H135,MOVE_DOWN2,2,FALSE()),FALSE())</f>
        <v>#N/A</v>
      </c>
      <c r="AK135" s="253"/>
      <c r="AL135" s="0" t="str">
        <f aca="false">CONCATENATE(AB135,$AC$6)</f>
        <v>36678Curve Shift/Gamma</v>
      </c>
      <c r="AM135" s="0" t="str">
        <f aca="false">CONCATENATE($AB135,$AD$6)</f>
        <v>36678Rho</v>
      </c>
      <c r="AN135" s="0" t="str">
        <f aca="false">CONCATENATE($AB135,$AE$6)</f>
        <v>36678Drift</v>
      </c>
      <c r="AO135" s="0" t="str">
        <f aca="false">CONCATENATE($AB135,$AF$6)</f>
        <v>36678Vega</v>
      </c>
      <c r="AP135" s="0" t="str">
        <f aca="false">CONCATENATE($AB135,$AG$6)</f>
        <v>36678Theta</v>
      </c>
      <c r="AZ135" s="143" t="n">
        <f aca="false">EOMONTH(AZ134,0)+1</f>
        <v>40057</v>
      </c>
      <c r="BA135" s="135"/>
      <c r="BG135" s="285" t="n">
        <v>40391</v>
      </c>
      <c r="BH135" s="0" t="n">
        <v>0.985</v>
      </c>
      <c r="BJ135" s="285" t="n">
        <v>40391</v>
      </c>
      <c r="BK135" s="0" t="n">
        <v>132</v>
      </c>
    </row>
    <row r="136" customFormat="false" ht="12" hidden="false" customHeight="true" outlineLevel="0" collapsed="false">
      <c r="A136" s="267" t="s">
        <v>196</v>
      </c>
      <c r="B136" s="269" t="s">
        <v>192</v>
      </c>
      <c r="C136" s="269" t="s">
        <v>491</v>
      </c>
      <c r="D136" s="269" t="s">
        <v>137</v>
      </c>
      <c r="E136" s="7" t="s">
        <v>483</v>
      </c>
      <c r="F136" s="269" t="s">
        <v>131</v>
      </c>
      <c r="G136" s="269" t="s">
        <v>136</v>
      </c>
      <c r="H136" s="286" t="n">
        <v>36678</v>
      </c>
      <c r="I136" s="272" t="n">
        <v>-10000</v>
      </c>
      <c r="J136" s="125" t="n">
        <v>0.46</v>
      </c>
      <c r="K136" s="124" t="n">
        <f aca="false">HLOOKUP($D$3,GDPRICES,VLOOKUP(Q136,GDmove_down,2,FALSE()),FALSE())</f>
        <v>4.925</v>
      </c>
      <c r="L136" s="124" t="n">
        <f aca="false">HLOOKUP($E$3,GDPRICES,VLOOKUP(Q136,GDmove_down,2,FALSE()),FALSE())</f>
        <v>3.315</v>
      </c>
      <c r="M136" s="126" t="n">
        <v>1</v>
      </c>
      <c r="N136" s="7" t="n">
        <v>0.515</v>
      </c>
      <c r="O136" s="7" t="n">
        <v>0.515</v>
      </c>
      <c r="P136" s="249" t="e">
        <f aca="false">HLOOKUP(E136,GDcorr,VLOOKUP(H136,GDCorMove,2,FALSE()),FALSE())</f>
        <v>#N/A</v>
      </c>
      <c r="Q136" s="92" t="n">
        <v>36696</v>
      </c>
      <c r="R136" s="7" t="n">
        <f aca="false">IF(G136="P",0,1)</f>
        <v>1</v>
      </c>
      <c r="S136" s="130" t="e">
        <f aca="false">xSPRDOPT($K136,$L136,$J136,$M136,$N136,$O136,$P136,$Q136-$C$3,$R136,0)</f>
        <v>#NAME?</v>
      </c>
      <c r="T136" s="250" t="e">
        <f aca="false">xSPRDOPT($K136,$L136,$J136,$M136,$N136,$O136,$P136,$Q136-$C$3,$R136,1)*I136</f>
        <v>#NAME?</v>
      </c>
      <c r="U136" s="43" t="n">
        <v>-2200</v>
      </c>
      <c r="V136" s="250" t="e">
        <f aca="false">xSPRDOPT($K136,$L136,$J136,$M136,$N136,$O136,$P136,$Q136-$C$3,$R136,2)*I136</f>
        <v>#NAME?</v>
      </c>
      <c r="W136" s="250" t="e">
        <f aca="false">+V136+T136</f>
        <v>#NAME?</v>
      </c>
      <c r="X136" s="2" t="str">
        <f aca="false">CONCATENATE(H136,E136)</f>
        <v>36678IF-ELPO/SJ</v>
      </c>
      <c r="Y136" s="251" t="n">
        <f aca="false">I136/10000</f>
        <v>-1</v>
      </c>
      <c r="AA136" s="2"/>
      <c r="AB136" s="182" t="n">
        <f aca="false">H136</f>
        <v>36678</v>
      </c>
      <c r="AC136" s="253" t="e">
        <f aca="false">xSPRDOPT(HLOOKUP($D$3,GDPRICES,VLOOKUP(Q136,GDmove_down,2,FALSE()),FALSE()),HLOOKUP($E$3,GDPRICES,VLOOKUP(Q136,GDmove_down,2,FALSE()),FALSE()),J136,VLOOKUP(H136,NGPREVPRICES,4,FALSE()),HLOOKUP($H$3,GDPrevVols,VLOOKUP(Q136,GDmove_down2,2,FALSE()),FALSE()),HLOOKUP($H$3,GDPrevVols,VLOOKUP(Q136,GDmove_down2,2,FALSE()),FALSE()),HLOOKUP(E136,GDcorr,VLOOKUP(H136,CorMove,2,FALSE()),FALSE()),Q136-$AC$3,R136,$AC$5)*I136-AI136</f>
        <v>#N/A</v>
      </c>
      <c r="AD136" s="253" t="e">
        <f aca="false">xSPRDOPT(HLOOKUP($D$3,GDPrev,VLOOKUP(Q136,GDmove_down,2,FALSE()),FALSE()),HLOOKUP($E$3,GDPrev,VLOOKUP(Q136,GDmove_down,2,FALSE()),FALSE()),AJ136,VLOOKUP(H136,NGPrices,4,FALSE()),HLOOKUP($H$3,GDPrevVols,VLOOKUP(Q136,GDmove_down2,2,FALSE()),FALSE()),HLOOKUP($H$3,GDPrevVols,VLOOKUP(Q136,GDmove_down2,2,FALSE()),FALSE()),HLOOKUP(E136,GDcorr,VLOOKUP(H136,CorMove,2,FALSE()),FALSE()),Q136-$AC$3,R136,$AI$5)*I136-AI136</f>
        <v>#N/A</v>
      </c>
      <c r="AE136" s="132" t="e">
        <f aca="false">(AI136/VLOOKUP(AB136,discount,3,FALSE()))-(AI136/VLOOKUP(AB136,discount,2,FALSE()))</f>
        <v>#N/A</v>
      </c>
      <c r="AF136" s="253" t="e">
        <f aca="false">xSPRDOPT(HLOOKUP($D$3,GDPrev,VLOOKUP(Q136,GDmove_down,2,FALSE()),FALSE()),HLOOKUP($E$3,GDPrev,VLOOKUP(Q136,GDmove_down,2,FALSE()),FALSE()),AJ136,VLOOKUP(H136,NGPREVPRICES,4,FALSE()),HLOOKUP($H$3,GDVol,VLOOKUP(H136,move_down,2,FALSE()),FALSE()),HLOOKUP($H$3,GDVol,VLOOKUP(H136,move_down,2,FALSE()),FALSE()),HLOOKUP(E136,GDcorr,VLOOKUP(H136,CorMove,2,FALSE()),FALSE()),Q136-$AC$3,R136,$AI$5)*I136-AI136</f>
        <v>#N/A</v>
      </c>
      <c r="AG136" s="253" t="e">
        <f aca="false">xSPRDOPT(HLOOKUP($D$3,GDPrev,VLOOKUP(Q136,GDmove_down,2,FALSE()),FALSE()),HLOOKUP($E$3,GDPrev,VLOOKUP(Q136,GDmove_down,2,FALSE()),FALSE()),AJ136,VLOOKUP(H136,NGPREVPRICES,4,FALSE()),HLOOKUP($H$3,GDPrevVols,VLOOKUP(Q136,GDmove_down2,2,FALSE()),FALSE()),HLOOKUP($H$3,GDPrevVols,VLOOKUP(Q136,GDmove_down2,2,FALSE()),FALSE()),HLOOKUP(E136,GDcorr,VLOOKUP(H136,CorMove,2,FALSE()),FALSE()),Q136-$C$3,R136,$AI$5)*I136-AI136</f>
        <v>#N/A</v>
      </c>
      <c r="AH136" s="253" t="e">
        <f aca="false">SUM(AC136:AG136)</f>
        <v>#N/A</v>
      </c>
      <c r="AI136" s="253" t="e">
        <f aca="false">xSPRDOPT(HLOOKUP($D$3,GDPrev,VLOOKUP(Q136,GDmove_down,2,FALSE()),FALSE()),HLOOKUP($E$3,GDPrev,VLOOKUP(Q136,GDmove_down,2,FALSE()),FALSE()),AJ136,VLOOKUP(H136,NGPREVPRICES,4,FALSE()),HLOOKUP($H$3,GDPrevVols,VLOOKUP(Q136,GDmove_down2,2,FALSE()),FALSE()),HLOOKUP($H$3,GDPrevVols,VLOOKUP(Q136,GDmove_down2,2,FALSE()),FALSE()),HLOOKUP(E136,GDcorr,VLOOKUP(H136,CorMove,2,FALSE()),FALSE()),Q136-$AC$3,R136,$AI$5)*I136</f>
        <v>#N/A</v>
      </c>
      <c r="AJ136" s="254" t="e">
        <f aca="false">HLOOKUP(D136,PREVCURVES,VLOOKUP(H136,MOVE_DOWN2,2,FALSE()),FALSE())-HLOOKUP(E136,PREVCURVES,VLOOKUP(H136,MOVE_DOWN2,2,FALSE()),FALSE())</f>
        <v>#N/A</v>
      </c>
      <c r="AK136" s="253"/>
      <c r="AL136" s="0" t="str">
        <f aca="false">CONCATENATE(AB136,$AC$6)</f>
        <v>36678Curve Shift/Gamma</v>
      </c>
      <c r="AM136" s="0" t="str">
        <f aca="false">CONCATENATE($AB136,$AD$6)</f>
        <v>36678Rho</v>
      </c>
      <c r="AN136" s="0" t="str">
        <f aca="false">CONCATENATE($AB136,$AE$6)</f>
        <v>36678Drift</v>
      </c>
      <c r="AO136" s="0" t="str">
        <f aca="false">CONCATENATE($AB136,$AF$6)</f>
        <v>36678Vega</v>
      </c>
      <c r="AP136" s="0" t="str">
        <f aca="false">CONCATENATE($AB136,$AG$6)</f>
        <v>36678Theta</v>
      </c>
      <c r="AZ136" s="143" t="n">
        <f aca="false">EOMONTH(AZ135,0)+1</f>
        <v>40087</v>
      </c>
      <c r="BA136" s="135"/>
      <c r="BG136" s="285" t="n">
        <v>40422</v>
      </c>
      <c r="BH136" s="0" t="n">
        <v>0.985</v>
      </c>
      <c r="BJ136" s="285" t="n">
        <v>40422</v>
      </c>
      <c r="BK136" s="0" t="n">
        <v>133</v>
      </c>
    </row>
    <row r="137" customFormat="false" ht="12" hidden="false" customHeight="true" outlineLevel="0" collapsed="false">
      <c r="A137" s="267" t="s">
        <v>198</v>
      </c>
      <c r="B137" s="269" t="s">
        <v>192</v>
      </c>
      <c r="C137" s="269" t="s">
        <v>492</v>
      </c>
      <c r="D137" s="269" t="s">
        <v>137</v>
      </c>
      <c r="E137" s="7" t="s">
        <v>483</v>
      </c>
      <c r="F137" s="269" t="s">
        <v>131</v>
      </c>
      <c r="G137" s="269" t="s">
        <v>136</v>
      </c>
      <c r="H137" s="286" t="n">
        <v>36678</v>
      </c>
      <c r="I137" s="272" t="n">
        <v>50000</v>
      </c>
      <c r="J137" s="125" t="n">
        <v>0.46</v>
      </c>
      <c r="K137" s="124" t="n">
        <f aca="false">HLOOKUP($D$3,GDPRICES,VLOOKUP(Q137,GDmove_down,2,FALSE()),FALSE())</f>
        <v>4.925</v>
      </c>
      <c r="L137" s="124" t="n">
        <f aca="false">HLOOKUP($E$3,GDPRICES,VLOOKUP(Q137,GDmove_down,2,FALSE()),FALSE())</f>
        <v>3.315</v>
      </c>
      <c r="M137" s="126" t="n">
        <v>1</v>
      </c>
      <c r="N137" s="7" t="n">
        <v>0.515</v>
      </c>
      <c r="O137" s="7" t="n">
        <v>0.515</v>
      </c>
      <c r="P137" s="249" t="e">
        <f aca="false">HLOOKUP(E137,GDcorr,VLOOKUP(H137,GDCorMove,2,FALSE()),FALSE())</f>
        <v>#N/A</v>
      </c>
      <c r="Q137" s="92" t="n">
        <v>36696</v>
      </c>
      <c r="R137" s="7" t="n">
        <f aca="false">IF(G137="P",0,1)</f>
        <v>1</v>
      </c>
      <c r="S137" s="130" t="e">
        <f aca="false">xSPRDOPT($K137,$L137,$J137,$M137,$N137,$O137,$P137,$Q137-$C$3,$R137,0)</f>
        <v>#NAME?</v>
      </c>
      <c r="T137" s="250" t="e">
        <f aca="false">xSPRDOPT($K137,$L137,$J137,$M137,$N137,$O137,$P137,$Q137-$C$3,$R137,1)*I137</f>
        <v>#NAME?</v>
      </c>
      <c r="U137" s="43" t="n">
        <v>11000</v>
      </c>
      <c r="V137" s="250" t="e">
        <f aca="false">xSPRDOPT($K137,$L137,$J137,$M137,$N137,$O137,$P137,$Q137-$C$3,$R137,2)*I137</f>
        <v>#NAME?</v>
      </c>
      <c r="W137" s="250" t="e">
        <f aca="false">+V137+T137</f>
        <v>#NAME?</v>
      </c>
      <c r="X137" s="2" t="str">
        <f aca="false">CONCATENATE(H137,E137)</f>
        <v>36678IF-ELPO/SJ</v>
      </c>
      <c r="Y137" s="251" t="n">
        <f aca="false">I137/10000</f>
        <v>5</v>
      </c>
      <c r="AA137" s="2"/>
      <c r="AB137" s="182" t="n">
        <f aca="false">H137</f>
        <v>36678</v>
      </c>
      <c r="AC137" s="253" t="e">
        <f aca="false">xSPRDOPT(HLOOKUP($D$3,GDPRICES,VLOOKUP(Q137,GDmove_down,2,FALSE()),FALSE()),HLOOKUP($E$3,GDPRICES,VLOOKUP(Q137,GDmove_down,2,FALSE()),FALSE()),J137,VLOOKUP(H137,NGPREVPRICES,4,FALSE()),HLOOKUP($H$3,GDPrevVols,VLOOKUP(Q137,GDmove_down2,2,FALSE()),FALSE()),HLOOKUP($H$3,GDPrevVols,VLOOKUP(Q137,GDmove_down2,2,FALSE()),FALSE()),HLOOKUP(E137,GDcorr,VLOOKUP(H137,CorMove,2,FALSE()),FALSE()),Q137-$AC$3,R137,$AC$5)*I137-AI137</f>
        <v>#N/A</v>
      </c>
      <c r="AD137" s="253" t="e">
        <f aca="false">xSPRDOPT(HLOOKUP($D$3,GDPrev,VLOOKUP(Q137,GDmove_down,2,FALSE()),FALSE()),HLOOKUP($E$3,GDPrev,VLOOKUP(Q137,GDmove_down,2,FALSE()),FALSE()),AJ137,VLOOKUP(H137,NGPrices,4,FALSE()),HLOOKUP($H$3,GDPrevVols,VLOOKUP(Q137,GDmove_down2,2,FALSE()),FALSE()),HLOOKUP($H$3,GDPrevVols,VLOOKUP(Q137,GDmove_down2,2,FALSE()),FALSE()),HLOOKUP(E137,GDcorr,VLOOKUP(H137,CorMove,2,FALSE()),FALSE()),Q137-$AC$3,R137,$AI$5)*I137-AI137</f>
        <v>#N/A</v>
      </c>
      <c r="AE137" s="132" t="e">
        <f aca="false">(AI137/VLOOKUP(AB137,discount,3,FALSE()))-(AI137/VLOOKUP(AB137,discount,2,FALSE()))</f>
        <v>#N/A</v>
      </c>
      <c r="AF137" s="253" t="e">
        <f aca="false">xSPRDOPT(HLOOKUP($D$3,GDPrev,VLOOKUP(Q137,GDmove_down,2,FALSE()),FALSE()),HLOOKUP($E$3,GDPrev,VLOOKUP(Q137,GDmove_down,2,FALSE()),FALSE()),AJ137,VLOOKUP(H137,NGPREVPRICES,4,FALSE()),HLOOKUP($H$3,GDVol,VLOOKUP(H137,move_down,2,FALSE()),FALSE()),HLOOKUP($H$3,GDVol,VLOOKUP(H137,move_down,2,FALSE()),FALSE()),HLOOKUP(E137,GDcorr,VLOOKUP(H137,CorMove,2,FALSE()),FALSE()),Q137-$AC$3,R137,$AI$5)*I137-AI137</f>
        <v>#N/A</v>
      </c>
      <c r="AG137" s="253" t="e">
        <f aca="false">xSPRDOPT(HLOOKUP($D$3,GDPrev,VLOOKUP(Q137,GDmove_down,2,FALSE()),FALSE()),HLOOKUP($E$3,GDPrev,VLOOKUP(Q137,GDmove_down,2,FALSE()),FALSE()),AJ137,VLOOKUP(H137,NGPREVPRICES,4,FALSE()),HLOOKUP($H$3,GDPrevVols,VLOOKUP(Q137,GDmove_down2,2,FALSE()),FALSE()),HLOOKUP($H$3,GDPrevVols,VLOOKUP(Q137,GDmove_down2,2,FALSE()),FALSE()),HLOOKUP(E137,GDcorr,VLOOKUP(H137,CorMove,2,FALSE()),FALSE()),Q137-$C$3,R137,$AI$5)*I137-AI137</f>
        <v>#N/A</v>
      </c>
      <c r="AH137" s="253" t="e">
        <f aca="false">SUM(AC137:AG137)</f>
        <v>#N/A</v>
      </c>
      <c r="AI137" s="253" t="e">
        <f aca="false">xSPRDOPT(HLOOKUP($D$3,GDPrev,VLOOKUP(Q137,GDmove_down,2,FALSE()),FALSE()),HLOOKUP($E$3,GDPrev,VLOOKUP(Q137,GDmove_down,2,FALSE()),FALSE()),AJ137,VLOOKUP(H137,NGPREVPRICES,4,FALSE()),HLOOKUP($H$3,GDPrevVols,VLOOKUP(Q137,GDmove_down2,2,FALSE()),FALSE()),HLOOKUP($H$3,GDPrevVols,VLOOKUP(Q137,GDmove_down2,2,FALSE()),FALSE()),HLOOKUP(E137,GDcorr,VLOOKUP(H137,CorMove,2,FALSE()),FALSE()),Q137-$AC$3,R137,$AI$5)*I137</f>
        <v>#N/A</v>
      </c>
      <c r="AJ137" s="254" t="e">
        <f aca="false">HLOOKUP(D137,PREVCURVES,VLOOKUP(H137,MOVE_DOWN2,2,FALSE()),FALSE())-HLOOKUP(E137,PREVCURVES,VLOOKUP(H137,MOVE_DOWN2,2,FALSE()),FALSE())</f>
        <v>#N/A</v>
      </c>
      <c r="AK137" s="253"/>
      <c r="AL137" s="0" t="str">
        <f aca="false">CONCATENATE(AB137,$AC$6)</f>
        <v>36678Curve Shift/Gamma</v>
      </c>
      <c r="AM137" s="0" t="str">
        <f aca="false">CONCATENATE($AB137,$AD$6)</f>
        <v>36678Rho</v>
      </c>
      <c r="AN137" s="0" t="str">
        <f aca="false">CONCATENATE($AB137,$AE$6)</f>
        <v>36678Drift</v>
      </c>
      <c r="AO137" s="0" t="str">
        <f aca="false">CONCATENATE($AB137,$AF$6)</f>
        <v>36678Vega</v>
      </c>
      <c r="AP137" s="0" t="str">
        <f aca="false">CONCATENATE($AB137,$AG$6)</f>
        <v>36678Theta</v>
      </c>
      <c r="AZ137" s="143" t="n">
        <f aca="false">EOMONTH(AZ136,0)+1</f>
        <v>40118</v>
      </c>
      <c r="BA137" s="135"/>
      <c r="BG137" s="285" t="n">
        <v>40452</v>
      </c>
      <c r="BH137" s="0" t="n">
        <v>0.985</v>
      </c>
      <c r="BJ137" s="285" t="n">
        <v>40452</v>
      </c>
      <c r="BK137" s="0" t="n">
        <v>134</v>
      </c>
    </row>
    <row r="138" customFormat="false" ht="12" hidden="false" customHeight="true" outlineLevel="0" collapsed="false">
      <c r="A138" s="267" t="s">
        <v>198</v>
      </c>
      <c r="B138" s="269" t="s">
        <v>192</v>
      </c>
      <c r="C138" s="269" t="s">
        <v>493</v>
      </c>
      <c r="D138" s="269" t="s">
        <v>137</v>
      </c>
      <c r="E138" s="7" t="s">
        <v>483</v>
      </c>
      <c r="F138" s="269" t="s">
        <v>131</v>
      </c>
      <c r="G138" s="269" t="s">
        <v>136</v>
      </c>
      <c r="H138" s="286" t="n">
        <v>36678</v>
      </c>
      <c r="I138" s="272" t="n">
        <v>50000</v>
      </c>
      <c r="J138" s="125" t="n">
        <v>0.46</v>
      </c>
      <c r="K138" s="124" t="n">
        <f aca="false">HLOOKUP($D$3,GDPRICES,VLOOKUP(Q138,GDmove_down,2,FALSE()),FALSE())</f>
        <v>4.925</v>
      </c>
      <c r="L138" s="124" t="n">
        <f aca="false">HLOOKUP($E$3,GDPRICES,VLOOKUP(Q138,GDmove_down,2,FALSE()),FALSE())</f>
        <v>3.315</v>
      </c>
      <c r="M138" s="126" t="n">
        <v>1</v>
      </c>
      <c r="N138" s="7" t="n">
        <v>0.515</v>
      </c>
      <c r="O138" s="7" t="n">
        <v>0.515</v>
      </c>
      <c r="P138" s="249" t="e">
        <f aca="false">HLOOKUP(E138,GDcorr,VLOOKUP(H138,GDCorMove,2,FALSE()),FALSE())</f>
        <v>#N/A</v>
      </c>
      <c r="Q138" s="92" t="n">
        <v>36696</v>
      </c>
      <c r="R138" s="7" t="n">
        <f aca="false">IF(G138="P",0,1)</f>
        <v>1</v>
      </c>
      <c r="S138" s="130" t="e">
        <f aca="false">xSPRDOPT($K138,$L138,$J138,$M138,$N138,$O138,$P138,$Q138-$C$3,$R138,0)</f>
        <v>#NAME?</v>
      </c>
      <c r="T138" s="250" t="e">
        <f aca="false">xSPRDOPT($K138,$L138,$J138,$M138,$N138,$O138,$P138,$Q138-$C$3,$R138,1)*I138</f>
        <v>#NAME?</v>
      </c>
      <c r="U138" s="43" t="n">
        <v>11000</v>
      </c>
      <c r="V138" s="250" t="e">
        <f aca="false">xSPRDOPT($K138,$L138,$J138,$M138,$N138,$O138,$P138,$Q138-$C$3,$R138,2)*I138</f>
        <v>#NAME?</v>
      </c>
      <c r="W138" s="250" t="e">
        <f aca="false">+V138+T138</f>
        <v>#NAME?</v>
      </c>
      <c r="X138" s="2" t="str">
        <f aca="false">CONCATENATE(H138,E138)</f>
        <v>36678IF-ELPO/SJ</v>
      </c>
      <c r="Y138" s="251" t="n">
        <f aca="false">I138/10000</f>
        <v>5</v>
      </c>
      <c r="AA138" s="2"/>
      <c r="AB138" s="182" t="n">
        <f aca="false">H138</f>
        <v>36678</v>
      </c>
      <c r="AC138" s="253" t="e">
        <f aca="false">xSPRDOPT(HLOOKUP($D$3,GDPRICES,VLOOKUP(Q138,GDmove_down,2,FALSE()),FALSE()),HLOOKUP($E$3,GDPRICES,VLOOKUP(Q138,GDmove_down,2,FALSE()),FALSE()),J138,VLOOKUP(H138,NGPREVPRICES,4,FALSE()),HLOOKUP($H$3,GDPrevVols,VLOOKUP(Q138,GDmove_down2,2,FALSE()),FALSE()),HLOOKUP($H$3,GDPrevVols,VLOOKUP(Q138,GDmove_down2,2,FALSE()),FALSE()),HLOOKUP(E138,GDcorr,VLOOKUP(H138,CorMove,2,FALSE()),FALSE()),Q138-$AC$3,R138,$AC$5)*I138-AI138</f>
        <v>#N/A</v>
      </c>
      <c r="AD138" s="253" t="e">
        <f aca="false">xSPRDOPT(HLOOKUP($D$3,GDPrev,VLOOKUP(Q138,GDmove_down,2,FALSE()),FALSE()),HLOOKUP($E$3,GDPrev,VLOOKUP(Q138,GDmove_down,2,FALSE()),FALSE()),AJ138,VLOOKUP(H138,NGPrices,4,FALSE()),HLOOKUP($H$3,GDPrevVols,VLOOKUP(Q138,GDmove_down2,2,FALSE()),FALSE()),HLOOKUP($H$3,GDPrevVols,VLOOKUP(Q138,GDmove_down2,2,FALSE()),FALSE()),HLOOKUP(E138,GDcorr,VLOOKUP(H138,CorMove,2,FALSE()),FALSE()),Q138-$AC$3,R138,$AI$5)*I138-AI138</f>
        <v>#N/A</v>
      </c>
      <c r="AE138" s="132" t="e">
        <f aca="false">(AI138/VLOOKUP(AB138,discount,3,FALSE()))-(AI138/VLOOKUP(AB138,discount,2,FALSE()))</f>
        <v>#N/A</v>
      </c>
      <c r="AF138" s="253" t="e">
        <f aca="false">xSPRDOPT(HLOOKUP($D$3,GDPrev,VLOOKUP(Q138,GDmove_down,2,FALSE()),FALSE()),HLOOKUP($E$3,GDPrev,VLOOKUP(Q138,GDmove_down,2,FALSE()),FALSE()),AJ138,VLOOKUP(H138,NGPREVPRICES,4,FALSE()),HLOOKUP($H$3,GDVol,VLOOKUP(H138,move_down,2,FALSE()),FALSE()),HLOOKUP($H$3,GDVol,VLOOKUP(H138,move_down,2,FALSE()),FALSE()),HLOOKUP(E138,GDcorr,VLOOKUP(H138,CorMove,2,FALSE()),FALSE()),Q138-$AC$3,R138,$AI$5)*I138-AI138</f>
        <v>#N/A</v>
      </c>
      <c r="AG138" s="253" t="e">
        <f aca="false">xSPRDOPT(HLOOKUP($D$3,GDPrev,VLOOKUP(Q138,GDmove_down,2,FALSE()),FALSE()),HLOOKUP($E$3,GDPrev,VLOOKUP(Q138,GDmove_down,2,FALSE()),FALSE()),AJ138,VLOOKUP(H138,NGPREVPRICES,4,FALSE()),HLOOKUP($H$3,GDPrevVols,VLOOKUP(Q138,GDmove_down2,2,FALSE()),FALSE()),HLOOKUP($H$3,GDPrevVols,VLOOKUP(Q138,GDmove_down2,2,FALSE()),FALSE()),HLOOKUP(E138,GDcorr,VLOOKUP(H138,CorMove,2,FALSE()),FALSE()),Q138-$C$3,R138,$AI$5)*I138-AI138</f>
        <v>#N/A</v>
      </c>
      <c r="AH138" s="253" t="e">
        <f aca="false">SUM(AC138:AG138)</f>
        <v>#N/A</v>
      </c>
      <c r="AI138" s="253" t="e">
        <f aca="false">xSPRDOPT(HLOOKUP($D$3,GDPrev,VLOOKUP(Q138,GDmove_down,2,FALSE()),FALSE()),HLOOKUP($E$3,GDPrev,VLOOKUP(Q138,GDmove_down,2,FALSE()),FALSE()),AJ138,VLOOKUP(H138,NGPREVPRICES,4,FALSE()),HLOOKUP($H$3,GDPrevVols,VLOOKUP(Q138,GDmove_down2,2,FALSE()),FALSE()),HLOOKUP($H$3,GDPrevVols,VLOOKUP(Q138,GDmove_down2,2,FALSE()),FALSE()),HLOOKUP(E138,GDcorr,VLOOKUP(H138,CorMove,2,FALSE()),FALSE()),Q138-$AC$3,R138,$AI$5)*I138</f>
        <v>#N/A</v>
      </c>
      <c r="AJ138" s="254" t="e">
        <f aca="false">HLOOKUP(D138,PREVCURVES,VLOOKUP(H138,MOVE_DOWN2,2,FALSE()),FALSE())-HLOOKUP(E138,PREVCURVES,VLOOKUP(H138,MOVE_DOWN2,2,FALSE()),FALSE())</f>
        <v>#N/A</v>
      </c>
      <c r="AK138" s="253"/>
      <c r="AL138" s="0" t="str">
        <f aca="false">CONCATENATE(AB138,$AC$6)</f>
        <v>36678Curve Shift/Gamma</v>
      </c>
      <c r="AM138" s="0" t="str">
        <f aca="false">CONCATENATE($AB138,$AD$6)</f>
        <v>36678Rho</v>
      </c>
      <c r="AN138" s="0" t="str">
        <f aca="false">CONCATENATE($AB138,$AE$6)</f>
        <v>36678Drift</v>
      </c>
      <c r="AO138" s="0" t="str">
        <f aca="false">CONCATENATE($AB138,$AF$6)</f>
        <v>36678Vega</v>
      </c>
      <c r="AP138" s="0" t="str">
        <f aca="false">CONCATENATE($AB138,$AG$6)</f>
        <v>36678Theta</v>
      </c>
      <c r="AZ138" s="143" t="n">
        <f aca="false">EOMONTH(AZ137,0)+1</f>
        <v>40148</v>
      </c>
      <c r="BA138" s="135"/>
      <c r="BG138" s="285" t="n">
        <v>40483</v>
      </c>
      <c r="BH138" s="0" t="n">
        <v>0.970485</v>
      </c>
      <c r="BJ138" s="285" t="n">
        <v>40483</v>
      </c>
      <c r="BK138" s="0" t="n">
        <v>135</v>
      </c>
    </row>
    <row r="139" customFormat="false" ht="12" hidden="false" customHeight="true" outlineLevel="0" collapsed="false">
      <c r="A139" s="267" t="s">
        <v>198</v>
      </c>
      <c r="B139" s="269" t="s">
        <v>192</v>
      </c>
      <c r="C139" s="269" t="s">
        <v>494</v>
      </c>
      <c r="D139" s="269" t="s">
        <v>137</v>
      </c>
      <c r="E139" s="7" t="s">
        <v>483</v>
      </c>
      <c r="F139" s="269" t="s">
        <v>131</v>
      </c>
      <c r="G139" s="269" t="s">
        <v>136</v>
      </c>
      <c r="H139" s="286" t="n">
        <v>36678</v>
      </c>
      <c r="I139" s="272" t="n">
        <v>-10000</v>
      </c>
      <c r="J139" s="125" t="n">
        <v>0.46</v>
      </c>
      <c r="K139" s="124" t="n">
        <f aca="false">HLOOKUP($D$3,GDPRICES,VLOOKUP(Q139,GDmove_down,2,FALSE()),FALSE())</f>
        <v>4.925</v>
      </c>
      <c r="L139" s="124" t="n">
        <f aca="false">HLOOKUP($E$3,GDPRICES,VLOOKUP(Q139,GDmove_down,2,FALSE()),FALSE())</f>
        <v>3.315</v>
      </c>
      <c r="M139" s="126" t="n">
        <v>1</v>
      </c>
      <c r="N139" s="7" t="n">
        <v>0.515</v>
      </c>
      <c r="O139" s="7" t="n">
        <v>0.515</v>
      </c>
      <c r="P139" s="249" t="e">
        <f aca="false">HLOOKUP(E139,GDcorr,VLOOKUP(H139,GDCorMove,2,FALSE()),FALSE())</f>
        <v>#N/A</v>
      </c>
      <c r="Q139" s="92" t="n">
        <v>36696</v>
      </c>
      <c r="R139" s="7" t="n">
        <f aca="false">IF(G139="P",0,1)</f>
        <v>1</v>
      </c>
      <c r="S139" s="130" t="e">
        <f aca="false">xSPRDOPT($K139,$L139,$J139,$M139,$N139,$O139,$P139,$Q139-$C$3,$R139,0)</f>
        <v>#NAME?</v>
      </c>
      <c r="T139" s="250" t="e">
        <f aca="false">xSPRDOPT($K139,$L139,$J139,$M139,$N139,$O139,$P139,$Q139-$C$3,$R139,1)*I139</f>
        <v>#NAME?</v>
      </c>
      <c r="U139" s="43" t="n">
        <v>-2200</v>
      </c>
      <c r="V139" s="250" t="e">
        <f aca="false">xSPRDOPT($K139,$L139,$J139,$M139,$N139,$O139,$P139,$Q139-$C$3,$R139,2)*I139</f>
        <v>#NAME?</v>
      </c>
      <c r="W139" s="250" t="e">
        <f aca="false">+V139+T139</f>
        <v>#NAME?</v>
      </c>
      <c r="X139" s="2" t="str">
        <f aca="false">CONCATENATE(H139,E139)</f>
        <v>36678IF-ELPO/SJ</v>
      </c>
      <c r="Y139" s="251" t="n">
        <f aca="false">I139/10000</f>
        <v>-1</v>
      </c>
      <c r="AB139" s="182" t="n">
        <f aca="false">H139</f>
        <v>36678</v>
      </c>
      <c r="AC139" s="253" t="e">
        <f aca="false">xSPRDOPT(HLOOKUP($D$3,GDPRICES,VLOOKUP(Q139,GDmove_down,2,FALSE()),FALSE()),HLOOKUP($E$3,GDPRICES,VLOOKUP(Q139,GDmove_down,2,FALSE()),FALSE()),J139,VLOOKUP(H139,NGPREVPRICES,4,FALSE()),HLOOKUP($H$3,GDPrevVols,VLOOKUP(Q139,GDmove_down2,2,FALSE()),FALSE()),HLOOKUP($H$3,GDPrevVols,VLOOKUP(Q139,GDmove_down2,2,FALSE()),FALSE()),HLOOKUP(E139,GDcorr,VLOOKUP(H139,CorMove,2,FALSE()),FALSE()),Q139-$AC$3,R139,$AC$5)*I139-AI139</f>
        <v>#N/A</v>
      </c>
      <c r="AD139" s="253" t="e">
        <f aca="false">xSPRDOPT(HLOOKUP($D$3,GDPrev,VLOOKUP(Q139,GDmove_down,2,FALSE()),FALSE()),HLOOKUP($E$3,GDPrev,VLOOKUP(Q139,GDmove_down,2,FALSE()),FALSE()),AJ139,VLOOKUP(H139,NGPrices,4,FALSE()),HLOOKUP($H$3,GDPrevVols,VLOOKUP(Q139,GDmove_down2,2,FALSE()),FALSE()),HLOOKUP($H$3,GDPrevVols,VLOOKUP(Q139,GDmove_down2,2,FALSE()),FALSE()),HLOOKUP(E139,GDcorr,VLOOKUP(H139,CorMove,2,FALSE()),FALSE()),Q139-$AC$3,R139,$AI$5)*I139-AI139</f>
        <v>#N/A</v>
      </c>
      <c r="AE139" s="132" t="e">
        <f aca="false">(AI139/VLOOKUP(AB139,discount,3,FALSE()))-(AI139/VLOOKUP(AB139,discount,2,FALSE()))</f>
        <v>#N/A</v>
      </c>
      <c r="AF139" s="253" t="e">
        <f aca="false">xSPRDOPT(HLOOKUP($D$3,GDPrev,VLOOKUP(Q139,GDmove_down,2,FALSE()),FALSE()),HLOOKUP($E$3,GDPrev,VLOOKUP(Q139,GDmove_down,2,FALSE()),FALSE()),AJ139,VLOOKUP(H139,NGPREVPRICES,4,FALSE()),HLOOKUP($H$3,GDVol,VLOOKUP(H139,move_down,2,FALSE()),FALSE()),HLOOKUP($H$3,GDVol,VLOOKUP(H139,move_down,2,FALSE()),FALSE()),HLOOKUP(E139,GDcorr,VLOOKUP(H139,CorMove,2,FALSE()),FALSE()),Q139-$AC$3,R139,$AI$5)*I139-AI139</f>
        <v>#N/A</v>
      </c>
      <c r="AG139" s="253" t="e">
        <f aca="false">xSPRDOPT(HLOOKUP($D$3,GDPrev,VLOOKUP(Q139,GDmove_down,2,FALSE()),FALSE()),HLOOKUP($E$3,GDPrev,VLOOKUP(Q139,GDmove_down,2,FALSE()),FALSE()),AJ139,VLOOKUP(H139,NGPREVPRICES,4,FALSE()),HLOOKUP($H$3,GDPrevVols,VLOOKUP(Q139,GDmove_down2,2,FALSE()),FALSE()),HLOOKUP($H$3,GDPrevVols,VLOOKUP(Q139,GDmove_down2,2,FALSE()),FALSE()),HLOOKUP(E139,GDcorr,VLOOKUP(H139,CorMove,2,FALSE()),FALSE()),Q139-$C$3,R139,$AI$5)*I139-AI139</f>
        <v>#N/A</v>
      </c>
      <c r="AH139" s="253" t="e">
        <f aca="false">SUM(AC139:AG139)</f>
        <v>#N/A</v>
      </c>
      <c r="AI139" s="253" t="e">
        <f aca="false">xSPRDOPT(HLOOKUP($D$3,GDPrev,VLOOKUP(Q139,GDmove_down,2,FALSE()),FALSE()),HLOOKUP($E$3,GDPrev,VLOOKUP(Q139,GDmove_down,2,FALSE()),FALSE()),AJ139,VLOOKUP(H139,NGPREVPRICES,4,FALSE()),HLOOKUP($H$3,GDPrevVols,VLOOKUP(Q139,GDmove_down2,2,FALSE()),FALSE()),HLOOKUP($H$3,GDPrevVols,VLOOKUP(Q139,GDmove_down2,2,FALSE()),FALSE()),HLOOKUP(E139,GDcorr,VLOOKUP(H139,CorMove,2,FALSE()),FALSE()),Q139-$AC$3,R139,$AI$5)*I139</f>
        <v>#N/A</v>
      </c>
      <c r="AJ139" s="254" t="e">
        <f aca="false">HLOOKUP(D139,PREVCURVES,VLOOKUP(H139,MOVE_DOWN2,2,FALSE()),FALSE())-HLOOKUP(E139,PREVCURVES,VLOOKUP(H139,MOVE_DOWN2,2,FALSE()),FALSE())</f>
        <v>#N/A</v>
      </c>
      <c r="AK139" s="253"/>
      <c r="AL139" s="0" t="str">
        <f aca="false">CONCATENATE(AB139,$AC$6)</f>
        <v>36678Curve Shift/Gamma</v>
      </c>
      <c r="AM139" s="0" t="str">
        <f aca="false">CONCATENATE($AB139,$AD$6)</f>
        <v>36678Rho</v>
      </c>
      <c r="AN139" s="0" t="str">
        <f aca="false">CONCATENATE($AB139,$AE$6)</f>
        <v>36678Drift</v>
      </c>
      <c r="AO139" s="0" t="str">
        <f aca="false">CONCATENATE($AB139,$AF$6)</f>
        <v>36678Vega</v>
      </c>
      <c r="AP139" s="0" t="str">
        <f aca="false">CONCATENATE($AB139,$AG$6)</f>
        <v>36678Theta</v>
      </c>
      <c r="AZ139" s="143" t="n">
        <f aca="false">EOMONTH(AZ138,0)+1</f>
        <v>40179</v>
      </c>
      <c r="BA139" s="135"/>
      <c r="BG139" s="285" t="n">
        <v>40513</v>
      </c>
      <c r="BH139" s="0" t="n">
        <v>0.970485</v>
      </c>
      <c r="BJ139" s="285" t="n">
        <v>40513</v>
      </c>
      <c r="BK139" s="0" t="n">
        <v>136</v>
      </c>
    </row>
    <row r="140" customFormat="false" ht="12" hidden="false" customHeight="true" outlineLevel="0" collapsed="false">
      <c r="A140" s="265" t="s">
        <v>198</v>
      </c>
      <c r="B140" s="269" t="s">
        <v>192</v>
      </c>
      <c r="C140" s="269" t="s">
        <v>488</v>
      </c>
      <c r="D140" s="269" t="s">
        <v>137</v>
      </c>
      <c r="E140" s="7" t="s">
        <v>483</v>
      </c>
      <c r="F140" s="269" t="s">
        <v>131</v>
      </c>
      <c r="G140" s="269" t="s">
        <v>136</v>
      </c>
      <c r="H140" s="286" t="n">
        <v>36678</v>
      </c>
      <c r="I140" s="272" t="n">
        <v>-50000</v>
      </c>
      <c r="J140" s="125" t="n">
        <v>0.46</v>
      </c>
      <c r="K140" s="124" t="n">
        <f aca="false">HLOOKUP($D$3,GDPRICES,VLOOKUP(Q140,GDmove_down,2,FALSE()),FALSE())</f>
        <v>4.925</v>
      </c>
      <c r="L140" s="124" t="n">
        <f aca="false">HLOOKUP($E$3,GDPRICES,VLOOKUP(Q140,GDmove_down,2,FALSE()),FALSE())</f>
        <v>3.315</v>
      </c>
      <c r="M140" s="126" t="n">
        <v>1</v>
      </c>
      <c r="N140" s="7" t="n">
        <v>0.515</v>
      </c>
      <c r="O140" s="7" t="n">
        <v>0.515</v>
      </c>
      <c r="P140" s="249" t="e">
        <f aca="false">HLOOKUP(E140,GDcorr,VLOOKUP(H140,GDCorMove,2,FALSE()),FALSE())</f>
        <v>#N/A</v>
      </c>
      <c r="Q140" s="92" t="n">
        <v>36697</v>
      </c>
      <c r="R140" s="7" t="n">
        <f aca="false">IF(G140="P",0,1)</f>
        <v>1</v>
      </c>
      <c r="S140" s="130" t="e">
        <f aca="false">xSPRDOPT($K140,$L140,$J140,$M140,$N140,$O140,$P140,$Q140-$C$3,$R140,0)</f>
        <v>#NAME?</v>
      </c>
      <c r="T140" s="250" t="e">
        <f aca="false">xSPRDOPT($K140,$L140,$J140,$M140,$N140,$O140,$P140,$Q140-$C$3,$R140,1)*I140</f>
        <v>#NAME?</v>
      </c>
      <c r="U140" s="43" t="n">
        <v>-11750</v>
      </c>
      <c r="V140" s="250" t="e">
        <f aca="false">xSPRDOPT($K140,$L140,$J140,$M140,$N140,$O140,$P140,$Q140-$C$3,$R140,2)*I140</f>
        <v>#NAME?</v>
      </c>
      <c r="W140" s="250" t="e">
        <f aca="false">+V140+T140</f>
        <v>#NAME?</v>
      </c>
      <c r="X140" s="2" t="str">
        <f aca="false">CONCATENATE(H140,E140)</f>
        <v>36678IF-ELPO/SJ</v>
      </c>
      <c r="Y140" s="251" t="n">
        <f aca="false">I140/10000</f>
        <v>-5</v>
      </c>
      <c r="AB140" s="182" t="n">
        <f aca="false">H140</f>
        <v>36678</v>
      </c>
      <c r="AC140" s="253" t="e">
        <f aca="false">xSPRDOPT(HLOOKUP($D$3,GDPRICES,VLOOKUP(Q140,GDmove_down,2,FALSE()),FALSE()),HLOOKUP($E$3,GDPRICES,VLOOKUP(Q140,GDmove_down,2,FALSE()),FALSE()),J140,VLOOKUP(H140,NGPREVPRICES,4,FALSE()),HLOOKUP($H$3,GDPrevVols,VLOOKUP(Q140,GDmove_down2,2,FALSE()),FALSE()),HLOOKUP($H$3,GDPrevVols,VLOOKUP(Q140,GDmove_down2,2,FALSE()),FALSE()),HLOOKUP(E140,GDcorr,VLOOKUP(H140,CorMove,2,FALSE()),FALSE()),Q140-$AC$3,R140,$AC$5)*I140-AI140</f>
        <v>#N/A</v>
      </c>
      <c r="AD140" s="253" t="e">
        <f aca="false">xSPRDOPT(HLOOKUP($D$3,GDPrev,VLOOKUP(Q140,GDmove_down,2,FALSE()),FALSE()),HLOOKUP($E$3,GDPrev,VLOOKUP(Q140,GDmove_down,2,FALSE()),FALSE()),AJ140,VLOOKUP(H140,NGPrices,4,FALSE()),HLOOKUP($H$3,GDPrevVols,VLOOKUP(Q140,GDmove_down2,2,FALSE()),FALSE()),HLOOKUP($H$3,GDPrevVols,VLOOKUP(Q140,GDmove_down2,2,FALSE()),FALSE()),HLOOKUP(E140,GDcorr,VLOOKUP(H140,CorMove,2,FALSE()),FALSE()),Q140-$AC$3,R140,$AI$5)*I140-AI140</f>
        <v>#N/A</v>
      </c>
      <c r="AE140" s="132" t="e">
        <f aca="false">(AI140/VLOOKUP(AB140,discount,3,FALSE()))-(AI140/VLOOKUP(AB140,discount,2,FALSE()))</f>
        <v>#N/A</v>
      </c>
      <c r="AF140" s="253" t="e">
        <f aca="false">xSPRDOPT(HLOOKUP($D$3,GDPrev,VLOOKUP(Q140,GDmove_down,2,FALSE()),FALSE()),HLOOKUP($E$3,GDPrev,VLOOKUP(Q140,GDmove_down,2,FALSE()),FALSE()),AJ140,VLOOKUP(H140,NGPREVPRICES,4,FALSE()),HLOOKUP($H$3,GDVol,VLOOKUP(H140,move_down,2,FALSE()),FALSE()),HLOOKUP($H$3,GDVol,VLOOKUP(H140,move_down,2,FALSE()),FALSE()),HLOOKUP(E140,GDcorr,VLOOKUP(H140,CorMove,2,FALSE()),FALSE()),Q140-$AC$3,R140,$AI$5)*I140-AI140</f>
        <v>#N/A</v>
      </c>
      <c r="AG140" s="253" t="e">
        <f aca="false">xSPRDOPT(HLOOKUP($D$3,GDPrev,VLOOKUP(Q140,GDmove_down,2,FALSE()),FALSE()),HLOOKUP($E$3,GDPrev,VLOOKUP(Q140,GDmove_down,2,FALSE()),FALSE()),AJ140,VLOOKUP(H140,NGPREVPRICES,4,FALSE()),HLOOKUP($H$3,GDPrevVols,VLOOKUP(Q140,GDmove_down2,2,FALSE()),FALSE()),HLOOKUP($H$3,GDPrevVols,VLOOKUP(Q140,GDmove_down2,2,FALSE()),FALSE()),HLOOKUP(E140,GDcorr,VLOOKUP(H140,CorMove,2,FALSE()),FALSE()),Q140-$C$3,R140,$AI$5)*I140-AI140</f>
        <v>#N/A</v>
      </c>
      <c r="AH140" s="253" t="e">
        <f aca="false">SUM(AC140:AG140)</f>
        <v>#N/A</v>
      </c>
      <c r="AI140" s="253" t="e">
        <f aca="false">xSPRDOPT(HLOOKUP($D$3,GDPrev,VLOOKUP(Q140,GDmove_down,2,FALSE()),FALSE()),HLOOKUP($E$3,GDPrev,VLOOKUP(Q140,GDmove_down,2,FALSE()),FALSE()),AJ140,VLOOKUP(H140,NGPREVPRICES,4,FALSE()),HLOOKUP($H$3,GDPrevVols,VLOOKUP(Q140,GDmove_down2,2,FALSE()),FALSE()),HLOOKUP($H$3,GDPrevVols,VLOOKUP(Q140,GDmove_down2,2,FALSE()),FALSE()),HLOOKUP(E140,GDcorr,VLOOKUP(H140,CorMove,2,FALSE()),FALSE()),Q140-$AC$3,R140,$AI$5)*I140</f>
        <v>#N/A</v>
      </c>
      <c r="AJ140" s="254" t="e">
        <f aca="false">HLOOKUP(D140,PREVCURVES,VLOOKUP(H140,MOVE_DOWN2,2,FALSE()),FALSE())-HLOOKUP(E140,PREVCURVES,VLOOKUP(H140,MOVE_DOWN2,2,FALSE()),FALSE())</f>
        <v>#N/A</v>
      </c>
      <c r="AK140" s="253"/>
      <c r="AL140" s="0" t="str">
        <f aca="false">CONCATENATE(AB140,$AC$6)</f>
        <v>36678Curve Shift/Gamma</v>
      </c>
      <c r="AM140" s="0" t="str">
        <f aca="false">CONCATENATE($AB140,$AD$6)</f>
        <v>36678Rho</v>
      </c>
      <c r="AN140" s="0" t="str">
        <f aca="false">CONCATENATE($AB140,$AE$6)</f>
        <v>36678Drift</v>
      </c>
      <c r="AO140" s="0" t="str">
        <f aca="false">CONCATENATE($AB140,$AF$6)</f>
        <v>36678Vega</v>
      </c>
      <c r="AP140" s="0" t="str">
        <f aca="false">CONCATENATE($AB140,$AG$6)</f>
        <v>36678Theta</v>
      </c>
      <c r="AZ140" s="143" t="n">
        <f aca="false">EOMONTH(AZ139,0)+1</f>
        <v>40210</v>
      </c>
      <c r="BA140" s="135"/>
      <c r="BG140" s="285" t="n">
        <v>40544</v>
      </c>
      <c r="BH140" s="0" t="n">
        <v>0.985</v>
      </c>
      <c r="BJ140" s="285" t="n">
        <v>40544</v>
      </c>
      <c r="BK140" s="0" t="n">
        <v>137</v>
      </c>
    </row>
    <row r="141" customFormat="false" ht="12" hidden="false" customHeight="true" outlineLevel="0" collapsed="false">
      <c r="A141" s="265" t="s">
        <v>198</v>
      </c>
      <c r="B141" s="269" t="s">
        <v>192</v>
      </c>
      <c r="C141" s="269" t="s">
        <v>489</v>
      </c>
      <c r="D141" s="269" t="s">
        <v>137</v>
      </c>
      <c r="E141" s="7" t="s">
        <v>483</v>
      </c>
      <c r="F141" s="269" t="s">
        <v>131</v>
      </c>
      <c r="G141" s="269" t="s">
        <v>136</v>
      </c>
      <c r="H141" s="286" t="n">
        <v>36678</v>
      </c>
      <c r="I141" s="272" t="n">
        <v>10000</v>
      </c>
      <c r="J141" s="125" t="n">
        <v>0.46</v>
      </c>
      <c r="K141" s="124" t="n">
        <f aca="false">HLOOKUP($D$3,GDPRICES,VLOOKUP(Q141,GDmove_down,2,FALSE()),FALSE())</f>
        <v>4.925</v>
      </c>
      <c r="L141" s="124" t="n">
        <f aca="false">HLOOKUP($E$3,GDPRICES,VLOOKUP(Q141,GDmove_down,2,FALSE()),FALSE())</f>
        <v>3.315</v>
      </c>
      <c r="M141" s="126" t="n">
        <v>1</v>
      </c>
      <c r="N141" s="7" t="n">
        <v>0.515</v>
      </c>
      <c r="O141" s="7" t="n">
        <v>0.515</v>
      </c>
      <c r="P141" s="249" t="e">
        <f aca="false">HLOOKUP(E141,GDcorr,VLOOKUP(H141,GDCorMove,2,FALSE()),FALSE())</f>
        <v>#N/A</v>
      </c>
      <c r="Q141" s="92" t="n">
        <v>36697</v>
      </c>
      <c r="R141" s="7" t="n">
        <f aca="false">IF(G141="P",0,1)</f>
        <v>1</v>
      </c>
      <c r="S141" s="130" t="e">
        <f aca="false">xSPRDOPT($K141,$L141,$J141,$M141,$N141,$O141,$P141,$Q141-$C$3,$R141,0)</f>
        <v>#NAME?</v>
      </c>
      <c r="T141" s="250" t="e">
        <f aca="false">xSPRDOPT($K141,$L141,$J141,$M141,$N141,$O141,$P141,$Q141-$C$3,$R141,1)*I141</f>
        <v>#NAME?</v>
      </c>
      <c r="U141" s="43" t="n">
        <v>2349.99999999999</v>
      </c>
      <c r="V141" s="250" t="e">
        <f aca="false">xSPRDOPT($K141,$L141,$J141,$M141,$N141,$O141,$P141,$Q141-$C$3,$R141,2)*I141</f>
        <v>#NAME?</v>
      </c>
      <c r="W141" s="250" t="e">
        <f aca="false">+V141+T141</f>
        <v>#NAME?</v>
      </c>
      <c r="X141" s="2" t="str">
        <f aca="false">CONCATENATE(H141,E141)</f>
        <v>36678IF-ELPO/SJ</v>
      </c>
      <c r="Y141" s="251" t="n">
        <f aca="false">I141/10000</f>
        <v>1</v>
      </c>
      <c r="AB141" s="182" t="n">
        <f aca="false">H141</f>
        <v>36678</v>
      </c>
      <c r="AC141" s="253" t="e">
        <f aca="false">xSPRDOPT(HLOOKUP($D$3,GDPRICES,VLOOKUP(Q141,GDmove_down,2,FALSE()),FALSE()),HLOOKUP($E$3,GDPRICES,VLOOKUP(Q141,GDmove_down,2,FALSE()),FALSE()),J141,VLOOKUP(H141,NGPREVPRICES,4,FALSE()),HLOOKUP($H$3,GDPrevVols,VLOOKUP(Q141,GDmove_down2,2,FALSE()),FALSE()),HLOOKUP($H$3,GDPrevVols,VLOOKUP(Q141,GDmove_down2,2,FALSE()),FALSE()),HLOOKUP(E141,GDcorr,VLOOKUP(H141,CorMove,2,FALSE()),FALSE()),Q141-$AC$3,R141,$AC$5)*I141-AI141</f>
        <v>#N/A</v>
      </c>
      <c r="AD141" s="253" t="e">
        <f aca="false">xSPRDOPT(HLOOKUP($D$3,GDPrev,VLOOKUP(Q141,GDmove_down,2,FALSE()),FALSE()),HLOOKUP($E$3,GDPrev,VLOOKUP(Q141,GDmove_down,2,FALSE()),FALSE()),AJ141,VLOOKUP(H141,NGPrices,4,FALSE()),HLOOKUP($H$3,GDPrevVols,VLOOKUP(Q141,GDmove_down2,2,FALSE()),FALSE()),HLOOKUP($H$3,GDPrevVols,VLOOKUP(Q141,GDmove_down2,2,FALSE()),FALSE()),HLOOKUP(E141,GDcorr,VLOOKUP(H141,CorMove,2,FALSE()),FALSE()),Q141-$AC$3,R141,$AI$5)*I141-AI141</f>
        <v>#N/A</v>
      </c>
      <c r="AE141" s="132" t="e">
        <f aca="false">(AI141/VLOOKUP(AB141,discount,3,FALSE()))-(AI141/VLOOKUP(AB141,discount,2,FALSE()))</f>
        <v>#N/A</v>
      </c>
      <c r="AF141" s="253" t="e">
        <f aca="false">xSPRDOPT(HLOOKUP($D$3,GDPrev,VLOOKUP(Q141,GDmove_down,2,FALSE()),FALSE()),HLOOKUP($E$3,GDPrev,VLOOKUP(Q141,GDmove_down,2,FALSE()),FALSE()),AJ141,VLOOKUP(H141,NGPREVPRICES,4,FALSE()),HLOOKUP($H$3,GDVol,VLOOKUP(H141,move_down,2,FALSE()),FALSE()),HLOOKUP($H$3,GDVol,VLOOKUP(H141,move_down,2,FALSE()),FALSE()),HLOOKUP(E141,GDcorr,VLOOKUP(H141,CorMove,2,FALSE()),FALSE()),Q141-$AC$3,R141,$AI$5)*I141-AI141</f>
        <v>#N/A</v>
      </c>
      <c r="AG141" s="253" t="e">
        <f aca="false">xSPRDOPT(HLOOKUP($D$3,GDPrev,VLOOKUP(Q141,GDmove_down,2,FALSE()),FALSE()),HLOOKUP($E$3,GDPrev,VLOOKUP(Q141,GDmove_down,2,FALSE()),FALSE()),AJ141,VLOOKUP(H141,NGPREVPRICES,4,FALSE()),HLOOKUP($H$3,GDPrevVols,VLOOKUP(Q141,GDmove_down2,2,FALSE()),FALSE()),HLOOKUP($H$3,GDPrevVols,VLOOKUP(Q141,GDmove_down2,2,FALSE()),FALSE()),HLOOKUP(E141,GDcorr,VLOOKUP(H141,CorMove,2,FALSE()),FALSE()),Q141-$C$3,R141,$AI$5)*I141-AI141</f>
        <v>#N/A</v>
      </c>
      <c r="AH141" s="253" t="e">
        <f aca="false">SUM(AC141:AG141)</f>
        <v>#N/A</v>
      </c>
      <c r="AI141" s="253" t="e">
        <f aca="false">xSPRDOPT(HLOOKUP($D$3,GDPrev,VLOOKUP(Q141,GDmove_down,2,FALSE()),FALSE()),HLOOKUP($E$3,GDPrev,VLOOKUP(Q141,GDmove_down,2,FALSE()),FALSE()),AJ141,VLOOKUP(H141,NGPREVPRICES,4,FALSE()),HLOOKUP($H$3,GDPrevVols,VLOOKUP(Q141,GDmove_down2,2,FALSE()),FALSE()),HLOOKUP($H$3,GDPrevVols,VLOOKUP(Q141,GDmove_down2,2,FALSE()),FALSE()),HLOOKUP(E141,GDcorr,VLOOKUP(H141,CorMove,2,FALSE()),FALSE()),Q141-$AC$3,R141,$AI$5)*I141</f>
        <v>#N/A</v>
      </c>
      <c r="AJ141" s="254" t="e">
        <f aca="false">HLOOKUP(D141,PREVCURVES,VLOOKUP(H141,MOVE_DOWN2,2,FALSE()),FALSE())-HLOOKUP(E141,PREVCURVES,VLOOKUP(H141,MOVE_DOWN2,2,FALSE()),FALSE())</f>
        <v>#N/A</v>
      </c>
      <c r="AK141" s="253"/>
      <c r="AL141" s="0" t="str">
        <f aca="false">CONCATENATE(AB141,$AC$6)</f>
        <v>36678Curve Shift/Gamma</v>
      </c>
      <c r="AM141" s="0" t="str">
        <f aca="false">CONCATENATE($AB141,$AD$6)</f>
        <v>36678Rho</v>
      </c>
      <c r="AN141" s="0" t="str">
        <f aca="false">CONCATENATE($AB141,$AE$6)</f>
        <v>36678Drift</v>
      </c>
      <c r="AO141" s="0" t="str">
        <f aca="false">CONCATENATE($AB141,$AF$6)</f>
        <v>36678Vega</v>
      </c>
      <c r="AP141" s="0" t="str">
        <f aca="false">CONCATENATE($AB141,$AG$6)</f>
        <v>36678Theta</v>
      </c>
      <c r="AZ141" s="143" t="n">
        <f aca="false">EOMONTH(AZ140,0)+1</f>
        <v>40238</v>
      </c>
      <c r="BA141" s="135"/>
      <c r="BG141" s="285" t="n">
        <v>40575</v>
      </c>
      <c r="BH141" s="0" t="n">
        <v>0.985</v>
      </c>
      <c r="BJ141" s="285" t="n">
        <v>40575</v>
      </c>
      <c r="BK141" s="0" t="n">
        <v>138</v>
      </c>
    </row>
    <row r="142" customFormat="false" ht="12" hidden="false" customHeight="true" outlineLevel="0" collapsed="false">
      <c r="A142" s="265" t="s">
        <v>198</v>
      </c>
      <c r="B142" s="269" t="s">
        <v>192</v>
      </c>
      <c r="C142" s="269" t="s">
        <v>490</v>
      </c>
      <c r="D142" s="269" t="s">
        <v>137</v>
      </c>
      <c r="E142" s="7" t="s">
        <v>483</v>
      </c>
      <c r="F142" s="269" t="s">
        <v>131</v>
      </c>
      <c r="G142" s="269" t="s">
        <v>136</v>
      </c>
      <c r="H142" s="286" t="n">
        <v>36678</v>
      </c>
      <c r="I142" s="272" t="n">
        <v>-333333</v>
      </c>
      <c r="J142" s="125" t="n">
        <v>0.46</v>
      </c>
      <c r="K142" s="124" t="n">
        <f aca="false">HLOOKUP($D$3,GDPRICES,VLOOKUP(Q142,GDmove_down,2,FALSE()),FALSE())</f>
        <v>4.925</v>
      </c>
      <c r="L142" s="124" t="n">
        <f aca="false">HLOOKUP($E$3,GDPRICES,VLOOKUP(Q142,GDmove_down,2,FALSE()),FALSE())</f>
        <v>3.315</v>
      </c>
      <c r="M142" s="126" t="n">
        <v>1</v>
      </c>
      <c r="N142" s="7" t="n">
        <v>0.515</v>
      </c>
      <c r="O142" s="7" t="n">
        <v>0.515</v>
      </c>
      <c r="P142" s="249" t="e">
        <f aca="false">HLOOKUP(E142,GDcorr,VLOOKUP(H142,GDCorMove,2,FALSE()),FALSE())</f>
        <v>#N/A</v>
      </c>
      <c r="Q142" s="92" t="n">
        <v>36697</v>
      </c>
      <c r="R142" s="7" t="n">
        <f aca="false">IF(G142="P",0,1)</f>
        <v>1</v>
      </c>
      <c r="S142" s="130" t="e">
        <f aca="false">xSPRDOPT($K142,$L142,$J142,$M142,$N142,$O142,$P142,$Q142-$C$3,$R142,0)</f>
        <v>#NAME?</v>
      </c>
      <c r="T142" s="250" t="e">
        <f aca="false">xSPRDOPT($K142,$L142,$J142,$M142,$N142,$O142,$P142,$Q142-$C$3,$R142,1)*I142</f>
        <v>#NAME?</v>
      </c>
      <c r="U142" s="43" t="n">
        <v>-78333.2549999998</v>
      </c>
      <c r="V142" s="250" t="e">
        <f aca="false">xSPRDOPT($K142,$L142,$J142,$M142,$N142,$O142,$P142,$Q142-$C$3,$R142,2)*I142</f>
        <v>#NAME?</v>
      </c>
      <c r="W142" s="250" t="e">
        <f aca="false">+V142+T142</f>
        <v>#NAME?</v>
      </c>
      <c r="X142" s="2" t="str">
        <f aca="false">CONCATENATE(H142,E142)</f>
        <v>36678IF-ELPO/SJ</v>
      </c>
      <c r="Y142" s="251" t="n">
        <f aca="false">I142/10000</f>
        <v>-33.3333</v>
      </c>
      <c r="Z142" s="2"/>
      <c r="AB142" s="182" t="n">
        <f aca="false">H142</f>
        <v>36678</v>
      </c>
      <c r="AC142" s="253" t="e">
        <f aca="false">xSPRDOPT(HLOOKUP($D$3,GDPRICES,VLOOKUP(Q142,GDmove_down,2,FALSE()),FALSE()),HLOOKUP($E$3,GDPRICES,VLOOKUP(Q142,GDmove_down,2,FALSE()),FALSE()),J142,VLOOKUP(H142,NGPREVPRICES,4,FALSE()),HLOOKUP($H$3,GDPrevVols,VLOOKUP(Q142,GDmove_down2,2,FALSE()),FALSE()),HLOOKUP($H$3,GDPrevVols,VLOOKUP(Q142,GDmove_down2,2,FALSE()),FALSE()),HLOOKUP(E142,GDcorr,VLOOKUP(H142,CorMove,2,FALSE()),FALSE()),Q142-$AC$3,R142,$AC$5)*I142-AI142</f>
        <v>#N/A</v>
      </c>
      <c r="AD142" s="253" t="e">
        <f aca="false">xSPRDOPT(HLOOKUP($D$3,GDPrev,VLOOKUP(Q142,GDmove_down,2,FALSE()),FALSE()),HLOOKUP($E$3,GDPrev,VLOOKUP(Q142,GDmove_down,2,FALSE()),FALSE()),AJ142,VLOOKUP(H142,NGPrices,4,FALSE()),HLOOKUP($H$3,GDPrevVols,VLOOKUP(Q142,GDmove_down2,2,FALSE()),FALSE()),HLOOKUP($H$3,GDPrevVols,VLOOKUP(Q142,GDmove_down2,2,FALSE()),FALSE()),HLOOKUP(E142,GDcorr,VLOOKUP(H142,CorMove,2,FALSE()),FALSE()),Q142-$AC$3,R142,$AI$5)*I142-AI142</f>
        <v>#N/A</v>
      </c>
      <c r="AE142" s="132" t="e">
        <f aca="false">(AI142/VLOOKUP(AB142,discount,3,FALSE()))-(AI142/VLOOKUP(AB142,discount,2,FALSE()))</f>
        <v>#N/A</v>
      </c>
      <c r="AF142" s="253" t="e">
        <f aca="false">xSPRDOPT(HLOOKUP($D$3,GDPrev,VLOOKUP(Q142,GDmove_down,2,FALSE()),FALSE()),HLOOKUP($E$3,GDPrev,VLOOKUP(Q142,GDmove_down,2,FALSE()),FALSE()),AJ142,VLOOKUP(H142,NGPREVPRICES,4,FALSE()),HLOOKUP($H$3,GDVol,VLOOKUP(H142,move_down,2,FALSE()),FALSE()),HLOOKUP($H$3,GDVol,VLOOKUP(H142,move_down,2,FALSE()),FALSE()),HLOOKUP(E142,GDcorr,VLOOKUP(H142,CorMove,2,FALSE()),FALSE()),Q142-$AC$3,R142,$AI$5)*I142-AI142</f>
        <v>#N/A</v>
      </c>
      <c r="AG142" s="253" t="e">
        <f aca="false">xSPRDOPT(HLOOKUP($D$3,GDPrev,VLOOKUP(Q142,GDmove_down,2,FALSE()),FALSE()),HLOOKUP($E$3,GDPrev,VLOOKUP(Q142,GDmove_down,2,FALSE()),FALSE()),AJ142,VLOOKUP(H142,NGPREVPRICES,4,FALSE()),HLOOKUP($H$3,GDPrevVols,VLOOKUP(Q142,GDmove_down2,2,FALSE()),FALSE()),HLOOKUP($H$3,GDPrevVols,VLOOKUP(Q142,GDmove_down2,2,FALSE()),FALSE()),HLOOKUP(E142,GDcorr,VLOOKUP(H142,CorMove,2,FALSE()),FALSE()),Q142-$C$3,R142,$AI$5)*I142-AI142</f>
        <v>#N/A</v>
      </c>
      <c r="AH142" s="253" t="e">
        <f aca="false">SUM(AC142:AG142)</f>
        <v>#N/A</v>
      </c>
      <c r="AI142" s="253" t="e">
        <f aca="false">xSPRDOPT(HLOOKUP($D$3,GDPrev,VLOOKUP(Q142,GDmove_down,2,FALSE()),FALSE()),HLOOKUP($E$3,GDPrev,VLOOKUP(Q142,GDmove_down,2,FALSE()),FALSE()),AJ142,VLOOKUP(H142,NGPREVPRICES,4,FALSE()),HLOOKUP($H$3,GDPrevVols,VLOOKUP(Q142,GDmove_down2,2,FALSE()),FALSE()),HLOOKUP($H$3,GDPrevVols,VLOOKUP(Q142,GDmove_down2,2,FALSE()),FALSE()),HLOOKUP(E142,GDcorr,VLOOKUP(H142,CorMove,2,FALSE()),FALSE()),Q142-$AC$3,R142,$AI$5)*I142</f>
        <v>#N/A</v>
      </c>
      <c r="AJ142" s="254" t="e">
        <f aca="false">HLOOKUP(D142,PREVCURVES,VLOOKUP(H142,MOVE_DOWN2,2,FALSE()),FALSE())-HLOOKUP(E142,PREVCURVES,VLOOKUP(H142,MOVE_DOWN2,2,FALSE()),FALSE())</f>
        <v>#N/A</v>
      </c>
      <c r="AK142" s="253"/>
      <c r="AL142" s="0" t="str">
        <f aca="false">CONCATENATE(AB142,$AC$6)</f>
        <v>36678Curve Shift/Gamma</v>
      </c>
      <c r="AM142" s="0" t="str">
        <f aca="false">CONCATENATE($AB142,$AD$6)</f>
        <v>36678Rho</v>
      </c>
      <c r="AN142" s="0" t="str">
        <f aca="false">CONCATENATE($AB142,$AE$6)</f>
        <v>36678Drift</v>
      </c>
      <c r="AO142" s="0" t="str">
        <f aca="false">CONCATENATE($AB142,$AF$6)</f>
        <v>36678Vega</v>
      </c>
      <c r="AP142" s="0" t="str">
        <f aca="false">CONCATENATE($AB142,$AG$6)</f>
        <v>36678Theta</v>
      </c>
      <c r="AZ142" s="143" t="n">
        <f aca="false">EOMONTH(AZ141,0)+1</f>
        <v>40269</v>
      </c>
      <c r="BA142" s="135"/>
      <c r="BG142" s="285" t="n">
        <v>40603</v>
      </c>
      <c r="BH142" s="0" t="n">
        <v>0.985</v>
      </c>
      <c r="BJ142" s="285" t="n">
        <v>40603</v>
      </c>
      <c r="BK142" s="0" t="n">
        <v>139</v>
      </c>
    </row>
    <row r="143" customFormat="false" ht="12" hidden="false" customHeight="true" outlineLevel="0" collapsed="false">
      <c r="A143" s="267" t="s">
        <v>196</v>
      </c>
      <c r="B143" s="269" t="s">
        <v>192</v>
      </c>
      <c r="C143" s="269" t="s">
        <v>491</v>
      </c>
      <c r="D143" s="269" t="s">
        <v>137</v>
      </c>
      <c r="E143" s="7" t="s">
        <v>483</v>
      </c>
      <c r="F143" s="269" t="s">
        <v>131</v>
      </c>
      <c r="G143" s="269" t="s">
        <v>136</v>
      </c>
      <c r="H143" s="286" t="n">
        <v>36678</v>
      </c>
      <c r="I143" s="272" t="n">
        <v>-10000</v>
      </c>
      <c r="J143" s="125" t="n">
        <v>0.46</v>
      </c>
      <c r="K143" s="124" t="n">
        <f aca="false">HLOOKUP($D$3,GDPRICES,VLOOKUP(Q143,GDmove_down,2,FALSE()),FALSE())</f>
        <v>4.925</v>
      </c>
      <c r="L143" s="124" t="n">
        <f aca="false">HLOOKUP($E$3,GDPRICES,VLOOKUP(Q143,GDmove_down,2,FALSE()),FALSE())</f>
        <v>3.315</v>
      </c>
      <c r="M143" s="126" t="n">
        <v>1</v>
      </c>
      <c r="N143" s="7" t="n">
        <v>0.515</v>
      </c>
      <c r="O143" s="7" t="n">
        <v>0.515</v>
      </c>
      <c r="P143" s="249" t="e">
        <f aca="false">HLOOKUP(E143,GDcorr,VLOOKUP(H143,GDCorMove,2,FALSE()),FALSE())</f>
        <v>#N/A</v>
      </c>
      <c r="Q143" s="92" t="n">
        <v>36697</v>
      </c>
      <c r="R143" s="7" t="n">
        <f aca="false">IF(G143="P",0,1)</f>
        <v>1</v>
      </c>
      <c r="S143" s="130" t="e">
        <f aca="false">xSPRDOPT($K143,$L143,$J143,$M143,$N143,$O143,$P143,$Q143-$C$3,$R143,0)</f>
        <v>#NAME?</v>
      </c>
      <c r="T143" s="250" t="e">
        <f aca="false">xSPRDOPT($K143,$L143,$J143,$M143,$N143,$O143,$P143,$Q143-$C$3,$R143,1)*I143</f>
        <v>#NAME?</v>
      </c>
      <c r="U143" s="43" t="n">
        <v>-2349.99999999999</v>
      </c>
      <c r="V143" s="250" t="e">
        <f aca="false">xSPRDOPT($K143,$L143,$J143,$M143,$N143,$O143,$P143,$Q143-$C$3,$R143,2)*I143</f>
        <v>#NAME?</v>
      </c>
      <c r="W143" s="250" t="e">
        <f aca="false">+V143+T143</f>
        <v>#NAME?</v>
      </c>
      <c r="X143" s="2" t="str">
        <f aca="false">CONCATENATE(H143,E143)</f>
        <v>36678IF-ELPO/SJ</v>
      </c>
      <c r="Y143" s="251" t="n">
        <f aca="false">I143/10000</f>
        <v>-1</v>
      </c>
      <c r="Z143" s="2"/>
      <c r="AB143" s="182" t="n">
        <f aca="false">H143</f>
        <v>36678</v>
      </c>
      <c r="AC143" s="253" t="e">
        <f aca="false">xSPRDOPT(HLOOKUP($D$3,GDPRICES,VLOOKUP(Q143,GDmove_down,2,FALSE()),FALSE()),HLOOKUP($E$3,GDPRICES,VLOOKUP(Q143,GDmove_down,2,FALSE()),FALSE()),J143,VLOOKUP(H143,NGPREVPRICES,4,FALSE()),HLOOKUP($H$3,GDPrevVols,VLOOKUP(Q143,GDmove_down2,2,FALSE()),FALSE()),HLOOKUP($H$3,GDPrevVols,VLOOKUP(Q143,GDmove_down2,2,FALSE()),FALSE()),HLOOKUP(E143,GDcorr,VLOOKUP(H143,CorMove,2,FALSE()),FALSE()),Q143-$AC$3,R143,$AC$5)*I143-AI143</f>
        <v>#N/A</v>
      </c>
      <c r="AD143" s="253" t="e">
        <f aca="false">xSPRDOPT(HLOOKUP($D$3,GDPrev,VLOOKUP(Q143,GDmove_down,2,FALSE()),FALSE()),HLOOKUP($E$3,GDPrev,VLOOKUP(Q143,GDmove_down,2,FALSE()),FALSE()),AJ143,VLOOKUP(H143,NGPrices,4,FALSE()),HLOOKUP($H$3,GDPrevVols,VLOOKUP(Q143,GDmove_down2,2,FALSE()),FALSE()),HLOOKUP($H$3,GDPrevVols,VLOOKUP(Q143,GDmove_down2,2,FALSE()),FALSE()),HLOOKUP(E143,GDcorr,VLOOKUP(H143,CorMove,2,FALSE()),FALSE()),Q143-$AC$3,R143,$AI$5)*I143-AI143</f>
        <v>#N/A</v>
      </c>
      <c r="AE143" s="132" t="e">
        <f aca="false">(AI143/VLOOKUP(AB143,discount,3,FALSE()))-(AI143/VLOOKUP(AB143,discount,2,FALSE()))</f>
        <v>#N/A</v>
      </c>
      <c r="AF143" s="253" t="e">
        <f aca="false">xSPRDOPT(HLOOKUP($D$3,GDPrev,VLOOKUP(Q143,GDmove_down,2,FALSE()),FALSE()),HLOOKUP($E$3,GDPrev,VLOOKUP(Q143,GDmove_down,2,FALSE()),FALSE()),AJ143,VLOOKUP(H143,NGPREVPRICES,4,FALSE()),HLOOKUP($H$3,GDVol,VLOOKUP(H143,move_down,2,FALSE()),FALSE()),HLOOKUP($H$3,GDVol,VLOOKUP(H143,move_down,2,FALSE()),FALSE()),HLOOKUP(E143,GDcorr,VLOOKUP(H143,CorMove,2,FALSE()),FALSE()),Q143-$AC$3,R143,$AI$5)*I143-AI143</f>
        <v>#N/A</v>
      </c>
      <c r="AG143" s="253" t="e">
        <f aca="false">xSPRDOPT(HLOOKUP($D$3,GDPrev,VLOOKUP(Q143,GDmove_down,2,FALSE()),FALSE()),HLOOKUP($E$3,GDPrev,VLOOKUP(Q143,GDmove_down,2,FALSE()),FALSE()),AJ143,VLOOKUP(H143,NGPREVPRICES,4,FALSE()),HLOOKUP($H$3,GDPrevVols,VLOOKUP(Q143,GDmove_down2,2,FALSE()),FALSE()),HLOOKUP($H$3,GDPrevVols,VLOOKUP(Q143,GDmove_down2,2,FALSE()),FALSE()),HLOOKUP(E143,GDcorr,VLOOKUP(H143,CorMove,2,FALSE()),FALSE()),Q143-$C$3,R143,$AI$5)*I143-AI143</f>
        <v>#N/A</v>
      </c>
      <c r="AH143" s="253" t="e">
        <f aca="false">SUM(AC143:AG143)</f>
        <v>#N/A</v>
      </c>
      <c r="AI143" s="253" t="e">
        <f aca="false">xSPRDOPT(HLOOKUP($D$3,GDPrev,VLOOKUP(Q143,GDmove_down,2,FALSE()),FALSE()),HLOOKUP($E$3,GDPrev,VLOOKUP(Q143,GDmove_down,2,FALSE()),FALSE()),AJ143,VLOOKUP(H143,NGPREVPRICES,4,FALSE()),HLOOKUP($H$3,GDPrevVols,VLOOKUP(Q143,GDmove_down2,2,FALSE()),FALSE()),HLOOKUP($H$3,GDPrevVols,VLOOKUP(Q143,GDmove_down2,2,FALSE()),FALSE()),HLOOKUP(E143,GDcorr,VLOOKUP(H143,CorMove,2,FALSE()),FALSE()),Q143-$AC$3,R143,$AI$5)*I143</f>
        <v>#N/A</v>
      </c>
      <c r="AJ143" s="254" t="e">
        <f aca="false">HLOOKUP(D143,PREVCURVES,VLOOKUP(H143,MOVE_DOWN2,2,FALSE()),FALSE())-HLOOKUP(E143,PREVCURVES,VLOOKUP(H143,MOVE_DOWN2,2,FALSE()),FALSE())</f>
        <v>#N/A</v>
      </c>
      <c r="AK143" s="253"/>
      <c r="AL143" s="0" t="str">
        <f aca="false">CONCATENATE(AB143,$AC$6)</f>
        <v>36678Curve Shift/Gamma</v>
      </c>
      <c r="AM143" s="0" t="str">
        <f aca="false">CONCATENATE($AB143,$AD$6)</f>
        <v>36678Rho</v>
      </c>
      <c r="AN143" s="0" t="str">
        <f aca="false">CONCATENATE($AB143,$AE$6)</f>
        <v>36678Drift</v>
      </c>
      <c r="AO143" s="0" t="str">
        <f aca="false">CONCATENATE($AB143,$AF$6)</f>
        <v>36678Vega</v>
      </c>
      <c r="AP143" s="0" t="str">
        <f aca="false">CONCATENATE($AB143,$AG$6)</f>
        <v>36678Theta</v>
      </c>
      <c r="AZ143" s="143" t="n">
        <f aca="false">EOMONTH(AZ142,0)+1</f>
        <v>40299</v>
      </c>
      <c r="BA143" s="135"/>
      <c r="BG143" s="285" t="n">
        <v>40634</v>
      </c>
      <c r="BH143" s="0" t="n">
        <v>0.985</v>
      </c>
      <c r="BJ143" s="285" t="n">
        <v>40634</v>
      </c>
      <c r="BK143" s="0" t="n">
        <v>140</v>
      </c>
    </row>
    <row r="144" customFormat="false" ht="12" hidden="false" customHeight="true" outlineLevel="0" collapsed="false">
      <c r="A144" s="267" t="s">
        <v>198</v>
      </c>
      <c r="B144" s="269" t="s">
        <v>192</v>
      </c>
      <c r="C144" s="269" t="s">
        <v>492</v>
      </c>
      <c r="D144" s="269" t="s">
        <v>137</v>
      </c>
      <c r="E144" s="7" t="s">
        <v>483</v>
      </c>
      <c r="F144" s="269" t="s">
        <v>131</v>
      </c>
      <c r="G144" s="269" t="s">
        <v>136</v>
      </c>
      <c r="H144" s="286" t="n">
        <v>36678</v>
      </c>
      <c r="I144" s="272" t="n">
        <v>50000</v>
      </c>
      <c r="J144" s="125" t="n">
        <v>0.46</v>
      </c>
      <c r="K144" s="124" t="n">
        <f aca="false">HLOOKUP($D$3,GDPRICES,VLOOKUP(Q144,GDmove_down,2,FALSE()),FALSE())</f>
        <v>4.925</v>
      </c>
      <c r="L144" s="124" t="n">
        <f aca="false">HLOOKUP($E$3,GDPRICES,VLOOKUP(Q144,GDmove_down,2,FALSE()),FALSE())</f>
        <v>3.315</v>
      </c>
      <c r="M144" s="126" t="n">
        <v>1</v>
      </c>
      <c r="N144" s="7" t="n">
        <v>0.515</v>
      </c>
      <c r="O144" s="7" t="n">
        <v>0.515</v>
      </c>
      <c r="P144" s="249" t="e">
        <f aca="false">HLOOKUP(E144,GDcorr,VLOOKUP(H144,GDCorMove,2,FALSE()),FALSE())</f>
        <v>#N/A</v>
      </c>
      <c r="Q144" s="92" t="n">
        <v>36697</v>
      </c>
      <c r="R144" s="7" t="n">
        <f aca="false">IF(G144="P",0,1)</f>
        <v>1</v>
      </c>
      <c r="S144" s="130" t="e">
        <f aca="false">xSPRDOPT($K144,$L144,$J144,$M144,$N144,$O144,$P144,$Q144-$C$3,$R144,0)</f>
        <v>#NAME?</v>
      </c>
      <c r="T144" s="250" t="e">
        <f aca="false">xSPRDOPT($K144,$L144,$J144,$M144,$N144,$O144,$P144,$Q144-$C$3,$R144,1)*I144</f>
        <v>#NAME?</v>
      </c>
      <c r="U144" s="43" t="n">
        <v>11750</v>
      </c>
      <c r="V144" s="250" t="e">
        <f aca="false">xSPRDOPT($K144,$L144,$J144,$M144,$N144,$O144,$P144,$Q144-$C$3,$R144,2)*I144</f>
        <v>#NAME?</v>
      </c>
      <c r="W144" s="250" t="e">
        <f aca="false">+V144+T144</f>
        <v>#NAME?</v>
      </c>
      <c r="X144" s="2" t="str">
        <f aca="false">CONCATENATE(H144,E144)</f>
        <v>36678IF-ELPO/SJ</v>
      </c>
      <c r="Y144" s="251" t="n">
        <f aca="false">I144/10000</f>
        <v>5</v>
      </c>
      <c r="Z144" s="2"/>
      <c r="AB144" s="182" t="n">
        <f aca="false">H144</f>
        <v>36678</v>
      </c>
      <c r="AC144" s="253" t="e">
        <f aca="false">xSPRDOPT(HLOOKUP($D$3,GDPRICES,VLOOKUP(Q144,GDmove_down,2,FALSE()),FALSE()),HLOOKUP($E$3,GDPRICES,VLOOKUP(Q144,GDmove_down,2,FALSE()),FALSE()),J144,VLOOKUP(H144,NGPREVPRICES,4,FALSE()),HLOOKUP($H$3,GDPrevVols,VLOOKUP(Q144,GDmove_down2,2,FALSE()),FALSE()),HLOOKUP($H$3,GDPrevVols,VLOOKUP(Q144,GDmove_down2,2,FALSE()),FALSE()),HLOOKUP(E144,GDcorr,VLOOKUP(H144,CorMove,2,FALSE()),FALSE()),Q144-$AC$3,R144,$AC$5)*I144-AI144</f>
        <v>#N/A</v>
      </c>
      <c r="AD144" s="253" t="e">
        <f aca="false">xSPRDOPT(HLOOKUP($D$3,GDPrev,VLOOKUP(Q144,GDmove_down,2,FALSE()),FALSE()),HLOOKUP($E$3,GDPrev,VLOOKUP(Q144,GDmove_down,2,FALSE()),FALSE()),AJ144,VLOOKUP(H144,NGPrices,4,FALSE()),HLOOKUP($H$3,GDPrevVols,VLOOKUP(Q144,GDmove_down2,2,FALSE()),FALSE()),HLOOKUP($H$3,GDPrevVols,VLOOKUP(Q144,GDmove_down2,2,FALSE()),FALSE()),HLOOKUP(E144,GDcorr,VLOOKUP(H144,CorMove,2,FALSE()),FALSE()),Q144-$AC$3,R144,$AI$5)*I144-AI144</f>
        <v>#N/A</v>
      </c>
      <c r="AE144" s="132" t="e">
        <f aca="false">(AI144/VLOOKUP(AB144,discount,3,FALSE()))-(AI144/VLOOKUP(AB144,discount,2,FALSE()))</f>
        <v>#N/A</v>
      </c>
      <c r="AF144" s="253" t="e">
        <f aca="false">xSPRDOPT(HLOOKUP($D$3,GDPrev,VLOOKUP(Q144,GDmove_down,2,FALSE()),FALSE()),HLOOKUP($E$3,GDPrev,VLOOKUP(Q144,GDmove_down,2,FALSE()),FALSE()),AJ144,VLOOKUP(H144,NGPREVPRICES,4,FALSE()),HLOOKUP($H$3,GDVol,VLOOKUP(H144,move_down,2,FALSE()),FALSE()),HLOOKUP($H$3,GDVol,VLOOKUP(H144,move_down,2,FALSE()),FALSE()),HLOOKUP(E144,GDcorr,VLOOKUP(H144,CorMove,2,FALSE()),FALSE()),Q144-$AC$3,R144,$AI$5)*I144-AI144</f>
        <v>#N/A</v>
      </c>
      <c r="AG144" s="253" t="e">
        <f aca="false">xSPRDOPT(HLOOKUP($D$3,GDPrev,VLOOKUP(Q144,GDmove_down,2,FALSE()),FALSE()),HLOOKUP($E$3,GDPrev,VLOOKUP(Q144,GDmove_down,2,FALSE()),FALSE()),AJ144,VLOOKUP(H144,NGPREVPRICES,4,FALSE()),HLOOKUP($H$3,GDPrevVols,VLOOKUP(Q144,GDmove_down2,2,FALSE()),FALSE()),HLOOKUP($H$3,GDPrevVols,VLOOKUP(Q144,GDmove_down2,2,FALSE()),FALSE()),HLOOKUP(E144,GDcorr,VLOOKUP(H144,CorMove,2,FALSE()),FALSE()),Q144-$C$3,R144,$AI$5)*I144-AI144</f>
        <v>#N/A</v>
      </c>
      <c r="AH144" s="253" t="e">
        <f aca="false">SUM(AC144:AG144)</f>
        <v>#N/A</v>
      </c>
      <c r="AI144" s="253" t="e">
        <f aca="false">xSPRDOPT(HLOOKUP($D$3,GDPrev,VLOOKUP(Q144,GDmove_down,2,FALSE()),FALSE()),HLOOKUP($E$3,GDPrev,VLOOKUP(Q144,GDmove_down,2,FALSE()),FALSE()),AJ144,VLOOKUP(H144,NGPREVPRICES,4,FALSE()),HLOOKUP($H$3,GDPrevVols,VLOOKUP(Q144,GDmove_down2,2,FALSE()),FALSE()),HLOOKUP($H$3,GDPrevVols,VLOOKUP(Q144,GDmove_down2,2,FALSE()),FALSE()),HLOOKUP(E144,GDcorr,VLOOKUP(H144,CorMove,2,FALSE()),FALSE()),Q144-$AC$3,R144,$AI$5)*I144</f>
        <v>#N/A</v>
      </c>
      <c r="AJ144" s="254" t="e">
        <f aca="false">HLOOKUP(D144,PREVCURVES,VLOOKUP(H144,MOVE_DOWN2,2,FALSE()),FALSE())-HLOOKUP(E144,PREVCURVES,VLOOKUP(H144,MOVE_DOWN2,2,FALSE()),FALSE())</f>
        <v>#N/A</v>
      </c>
      <c r="AK144" s="253"/>
      <c r="AL144" s="0" t="str">
        <f aca="false">CONCATENATE(AB144,$AC$6)</f>
        <v>36678Curve Shift/Gamma</v>
      </c>
      <c r="AM144" s="0" t="str">
        <f aca="false">CONCATENATE($AB144,$AD$6)</f>
        <v>36678Rho</v>
      </c>
      <c r="AN144" s="0" t="str">
        <f aca="false">CONCATENATE($AB144,$AE$6)</f>
        <v>36678Drift</v>
      </c>
      <c r="AO144" s="0" t="str">
        <f aca="false">CONCATENATE($AB144,$AF$6)</f>
        <v>36678Vega</v>
      </c>
      <c r="AP144" s="0" t="str">
        <f aca="false">CONCATENATE($AB144,$AG$6)</f>
        <v>36678Theta</v>
      </c>
      <c r="AZ144" s="143" t="n">
        <f aca="false">EOMONTH(AZ143,0)+1</f>
        <v>40330</v>
      </c>
      <c r="BA144" s="135"/>
      <c r="BG144" s="285" t="n">
        <v>40664</v>
      </c>
      <c r="BH144" s="0" t="n">
        <v>0.985</v>
      </c>
      <c r="BJ144" s="285" t="n">
        <v>40664</v>
      </c>
      <c r="BK144" s="0" t="n">
        <v>141</v>
      </c>
    </row>
    <row r="145" customFormat="false" ht="12" hidden="false" customHeight="true" outlineLevel="0" collapsed="false">
      <c r="A145" s="267" t="s">
        <v>198</v>
      </c>
      <c r="B145" s="269" t="s">
        <v>192</v>
      </c>
      <c r="C145" s="269" t="s">
        <v>493</v>
      </c>
      <c r="D145" s="269" t="s">
        <v>137</v>
      </c>
      <c r="E145" s="7" t="s">
        <v>483</v>
      </c>
      <c r="F145" s="269" t="s">
        <v>131</v>
      </c>
      <c r="G145" s="269" t="s">
        <v>136</v>
      </c>
      <c r="H145" s="286" t="n">
        <v>36678</v>
      </c>
      <c r="I145" s="272" t="n">
        <v>50000</v>
      </c>
      <c r="J145" s="125" t="n">
        <v>0.46</v>
      </c>
      <c r="K145" s="124" t="n">
        <f aca="false">HLOOKUP($D$3,GDPRICES,VLOOKUP(Q145,GDmove_down,2,FALSE()),FALSE())</f>
        <v>4.925</v>
      </c>
      <c r="L145" s="124" t="n">
        <f aca="false">HLOOKUP($E$3,GDPRICES,VLOOKUP(Q145,GDmove_down,2,FALSE()),FALSE())</f>
        <v>3.315</v>
      </c>
      <c r="M145" s="126" t="n">
        <v>1</v>
      </c>
      <c r="N145" s="7" t="n">
        <v>0.515</v>
      </c>
      <c r="O145" s="7" t="n">
        <v>0.515</v>
      </c>
      <c r="P145" s="249" t="e">
        <f aca="false">HLOOKUP(E145,GDcorr,VLOOKUP(H145,GDCorMove,2,FALSE()),FALSE())</f>
        <v>#N/A</v>
      </c>
      <c r="Q145" s="92" t="n">
        <v>36697</v>
      </c>
      <c r="R145" s="7" t="n">
        <f aca="false">IF(G145="P",0,1)</f>
        <v>1</v>
      </c>
      <c r="S145" s="130" t="e">
        <f aca="false">xSPRDOPT($K145,$L145,$J145,$M145,$N145,$O145,$P145,$Q145-$C$3,$R145,0)</f>
        <v>#NAME?</v>
      </c>
      <c r="T145" s="250" t="e">
        <f aca="false">xSPRDOPT($K145,$L145,$J145,$M145,$N145,$O145,$P145,$Q145-$C$3,$R145,1)*I145</f>
        <v>#NAME?</v>
      </c>
      <c r="U145" s="43" t="n">
        <v>11750</v>
      </c>
      <c r="V145" s="250" t="e">
        <f aca="false">xSPRDOPT($K145,$L145,$J145,$M145,$N145,$O145,$P145,$Q145-$C$3,$R145,2)*I145</f>
        <v>#NAME?</v>
      </c>
      <c r="W145" s="250" t="e">
        <f aca="false">+V145+T145</f>
        <v>#NAME?</v>
      </c>
      <c r="X145" s="2" t="str">
        <f aca="false">CONCATENATE(H145,E145)</f>
        <v>36678IF-ELPO/SJ</v>
      </c>
      <c r="Y145" s="251" t="n">
        <f aca="false">I145/10000</f>
        <v>5</v>
      </c>
      <c r="Z145" s="2"/>
      <c r="AB145" s="182" t="n">
        <f aca="false">H145</f>
        <v>36678</v>
      </c>
      <c r="AC145" s="253" t="e">
        <f aca="false">xSPRDOPT(HLOOKUP($D$3,GDPRICES,VLOOKUP(Q145,GDmove_down,2,FALSE()),FALSE()),HLOOKUP($E$3,GDPRICES,VLOOKUP(Q145,GDmove_down,2,FALSE()),FALSE()),J145,VLOOKUP(H145,NGPREVPRICES,4,FALSE()),HLOOKUP($H$3,GDPrevVols,VLOOKUP(Q145,GDmove_down2,2,FALSE()),FALSE()),HLOOKUP($H$3,GDPrevVols,VLOOKUP(Q145,GDmove_down2,2,FALSE()),FALSE()),HLOOKUP(E145,GDcorr,VLOOKUP(H145,CorMove,2,FALSE()),FALSE()),Q145-$AC$3,R145,$AC$5)*I145-AI145</f>
        <v>#N/A</v>
      </c>
      <c r="AD145" s="253" t="e">
        <f aca="false">xSPRDOPT(HLOOKUP($D$3,GDPrev,VLOOKUP(Q145,GDmove_down,2,FALSE()),FALSE()),HLOOKUP($E$3,GDPrev,VLOOKUP(Q145,GDmove_down,2,FALSE()),FALSE()),AJ145,VLOOKUP(H145,NGPrices,4,FALSE()),HLOOKUP($H$3,GDPrevVols,VLOOKUP(Q145,GDmove_down2,2,FALSE()),FALSE()),HLOOKUP($H$3,GDPrevVols,VLOOKUP(Q145,GDmove_down2,2,FALSE()),FALSE()),HLOOKUP(E145,GDcorr,VLOOKUP(H145,CorMove,2,FALSE()),FALSE()),Q145-$AC$3,R145,$AI$5)*I145-AI145</f>
        <v>#N/A</v>
      </c>
      <c r="AE145" s="132" t="e">
        <f aca="false">(AI145/VLOOKUP(AB145,discount,3,FALSE()))-(AI145/VLOOKUP(AB145,discount,2,FALSE()))</f>
        <v>#N/A</v>
      </c>
      <c r="AF145" s="253" t="e">
        <f aca="false">xSPRDOPT(HLOOKUP($D$3,GDPrev,VLOOKUP(Q145,GDmove_down,2,FALSE()),FALSE()),HLOOKUP($E$3,GDPrev,VLOOKUP(Q145,GDmove_down,2,FALSE()),FALSE()),AJ145,VLOOKUP(H145,NGPREVPRICES,4,FALSE()),HLOOKUP($H$3,GDVol,VLOOKUP(H145,move_down,2,FALSE()),FALSE()),HLOOKUP($H$3,GDVol,VLOOKUP(H145,move_down,2,FALSE()),FALSE()),HLOOKUP(E145,GDcorr,VLOOKUP(H145,CorMove,2,FALSE()),FALSE()),Q145-$AC$3,R145,$AI$5)*I145-AI145</f>
        <v>#N/A</v>
      </c>
      <c r="AG145" s="253" t="e">
        <f aca="false">xSPRDOPT(HLOOKUP($D$3,GDPrev,VLOOKUP(Q145,GDmove_down,2,FALSE()),FALSE()),HLOOKUP($E$3,GDPrev,VLOOKUP(Q145,GDmove_down,2,FALSE()),FALSE()),AJ145,VLOOKUP(H145,NGPREVPRICES,4,FALSE()),HLOOKUP($H$3,GDPrevVols,VLOOKUP(Q145,GDmove_down2,2,FALSE()),FALSE()),HLOOKUP($H$3,GDPrevVols,VLOOKUP(Q145,GDmove_down2,2,FALSE()),FALSE()),HLOOKUP(E145,GDcorr,VLOOKUP(H145,CorMove,2,FALSE()),FALSE()),Q145-$C$3,R145,$AI$5)*I145-AI145</f>
        <v>#N/A</v>
      </c>
      <c r="AH145" s="253" t="e">
        <f aca="false">SUM(AC145:AG145)</f>
        <v>#N/A</v>
      </c>
      <c r="AI145" s="253" t="e">
        <f aca="false">xSPRDOPT(HLOOKUP($D$3,GDPrev,VLOOKUP(Q145,GDmove_down,2,FALSE()),FALSE()),HLOOKUP($E$3,GDPrev,VLOOKUP(Q145,GDmove_down,2,FALSE()),FALSE()),AJ145,VLOOKUP(H145,NGPREVPRICES,4,FALSE()),HLOOKUP($H$3,GDPrevVols,VLOOKUP(Q145,GDmove_down2,2,FALSE()),FALSE()),HLOOKUP($H$3,GDPrevVols,VLOOKUP(Q145,GDmove_down2,2,FALSE()),FALSE()),HLOOKUP(E145,GDcorr,VLOOKUP(H145,CorMove,2,FALSE()),FALSE()),Q145-$AC$3,R145,$AI$5)*I145</f>
        <v>#N/A</v>
      </c>
      <c r="AJ145" s="254" t="e">
        <f aca="false">HLOOKUP(D145,PREVCURVES,VLOOKUP(H145,MOVE_DOWN2,2,FALSE()),FALSE())-HLOOKUP(E145,PREVCURVES,VLOOKUP(H145,MOVE_DOWN2,2,FALSE()),FALSE())</f>
        <v>#N/A</v>
      </c>
      <c r="AK145" s="253"/>
      <c r="AL145" s="0" t="str">
        <f aca="false">CONCATENATE(AB145,$AC$6)</f>
        <v>36678Curve Shift/Gamma</v>
      </c>
      <c r="AM145" s="0" t="str">
        <f aca="false">CONCATENATE($AB145,$AD$6)</f>
        <v>36678Rho</v>
      </c>
      <c r="AN145" s="0" t="str">
        <f aca="false">CONCATENATE($AB145,$AE$6)</f>
        <v>36678Drift</v>
      </c>
      <c r="AO145" s="0" t="str">
        <f aca="false">CONCATENATE($AB145,$AF$6)</f>
        <v>36678Vega</v>
      </c>
      <c r="AP145" s="0" t="str">
        <f aca="false">CONCATENATE($AB145,$AG$6)</f>
        <v>36678Theta</v>
      </c>
      <c r="AZ145" s="143" t="n">
        <f aca="false">EOMONTH(AZ144,0)+1</f>
        <v>40360</v>
      </c>
      <c r="BA145" s="135"/>
      <c r="BG145" s="285" t="n">
        <v>40695</v>
      </c>
      <c r="BH145" s="0" t="n">
        <v>0.985</v>
      </c>
      <c r="BJ145" s="285" t="n">
        <v>40695</v>
      </c>
      <c r="BK145" s="0" t="n">
        <v>142</v>
      </c>
    </row>
    <row r="146" customFormat="false" ht="12" hidden="false" customHeight="true" outlineLevel="0" collapsed="false">
      <c r="A146" s="267" t="s">
        <v>198</v>
      </c>
      <c r="B146" s="269" t="s">
        <v>192</v>
      </c>
      <c r="C146" s="269" t="s">
        <v>494</v>
      </c>
      <c r="D146" s="269" t="s">
        <v>137</v>
      </c>
      <c r="E146" s="7" t="s">
        <v>483</v>
      </c>
      <c r="F146" s="269" t="s">
        <v>131</v>
      </c>
      <c r="G146" s="269" t="s">
        <v>136</v>
      </c>
      <c r="H146" s="286" t="n">
        <v>36678</v>
      </c>
      <c r="I146" s="272" t="n">
        <v>-10000</v>
      </c>
      <c r="J146" s="125" t="n">
        <v>0.46</v>
      </c>
      <c r="K146" s="124" t="n">
        <f aca="false">HLOOKUP($D$3,GDPRICES,VLOOKUP(Q146,GDmove_down,2,FALSE()),FALSE())</f>
        <v>4.925</v>
      </c>
      <c r="L146" s="124" t="n">
        <f aca="false">HLOOKUP($E$3,GDPRICES,VLOOKUP(Q146,GDmove_down,2,FALSE()),FALSE())</f>
        <v>3.315</v>
      </c>
      <c r="M146" s="126" t="n">
        <v>1</v>
      </c>
      <c r="N146" s="7" t="n">
        <v>0.515</v>
      </c>
      <c r="O146" s="7" t="n">
        <v>0.515</v>
      </c>
      <c r="P146" s="249" t="e">
        <f aca="false">HLOOKUP(E146,GDcorr,VLOOKUP(H146,GDCorMove,2,FALSE()),FALSE())</f>
        <v>#N/A</v>
      </c>
      <c r="Q146" s="92" t="n">
        <v>36697</v>
      </c>
      <c r="R146" s="7" t="n">
        <f aca="false">IF(G146="P",0,1)</f>
        <v>1</v>
      </c>
      <c r="S146" s="130" t="e">
        <f aca="false">xSPRDOPT($K146,$L146,$J146,$M146,$N146,$O146,$P146,$Q146-$C$3,$R146,0)</f>
        <v>#NAME?</v>
      </c>
      <c r="T146" s="250" t="e">
        <f aca="false">xSPRDOPT($K146,$L146,$J146,$M146,$N146,$O146,$P146,$Q146-$C$3,$R146,1)*I146</f>
        <v>#NAME?</v>
      </c>
      <c r="U146" s="43" t="n">
        <v>-2349.99999999999</v>
      </c>
      <c r="V146" s="250" t="e">
        <f aca="false">xSPRDOPT($K146,$L146,$J146,$M146,$N146,$O146,$P146,$Q146-$C$3,$R146,2)*I146</f>
        <v>#NAME?</v>
      </c>
      <c r="W146" s="250" t="e">
        <f aca="false">+V146+T146</f>
        <v>#NAME?</v>
      </c>
      <c r="X146" s="2" t="str">
        <f aca="false">CONCATENATE(H146,E146)</f>
        <v>36678IF-ELPO/SJ</v>
      </c>
      <c r="Y146" s="251" t="n">
        <f aca="false">I146/10000</f>
        <v>-1</v>
      </c>
      <c r="AB146" s="182" t="n">
        <f aca="false">H146</f>
        <v>36678</v>
      </c>
      <c r="AC146" s="253" t="e">
        <f aca="false">xSPRDOPT(HLOOKUP($D$3,GDPRICES,VLOOKUP(Q146,GDmove_down,2,FALSE()),FALSE()),HLOOKUP($E$3,GDPRICES,VLOOKUP(Q146,GDmove_down,2,FALSE()),FALSE()),J146,VLOOKUP(H146,NGPREVPRICES,4,FALSE()),HLOOKUP($H$3,GDPrevVols,VLOOKUP(Q146,GDmove_down2,2,FALSE()),FALSE()),HLOOKUP($H$3,GDPrevVols,VLOOKUP(Q146,GDmove_down2,2,FALSE()),FALSE()),HLOOKUP(E146,GDcorr,VLOOKUP(H146,CorMove,2,FALSE()),FALSE()),Q146-$AC$3,R146,$AC$5)*I146-AI146</f>
        <v>#N/A</v>
      </c>
      <c r="AD146" s="253" t="e">
        <f aca="false">xSPRDOPT(HLOOKUP($D$3,GDPrev,VLOOKUP(Q146,GDmove_down,2,FALSE()),FALSE()),HLOOKUP($E$3,GDPrev,VLOOKUP(Q146,GDmove_down,2,FALSE()),FALSE()),AJ146,VLOOKUP(H146,NGPrices,4,FALSE()),HLOOKUP($H$3,GDPrevVols,VLOOKUP(Q146,GDmove_down2,2,FALSE()),FALSE()),HLOOKUP($H$3,GDPrevVols,VLOOKUP(Q146,GDmove_down2,2,FALSE()),FALSE()),HLOOKUP(E146,GDcorr,VLOOKUP(H146,CorMove,2,FALSE()),FALSE()),Q146-$AC$3,R146,$AI$5)*I146-AI146</f>
        <v>#N/A</v>
      </c>
      <c r="AE146" s="132" t="e">
        <f aca="false">(AI146/VLOOKUP(AB146,discount,3,FALSE()))-(AI146/VLOOKUP(AB146,discount,2,FALSE()))</f>
        <v>#N/A</v>
      </c>
      <c r="AF146" s="253" t="e">
        <f aca="false">xSPRDOPT(HLOOKUP($D$3,GDPrev,VLOOKUP(Q146,GDmove_down,2,FALSE()),FALSE()),HLOOKUP($E$3,GDPrev,VLOOKUP(Q146,GDmove_down,2,FALSE()),FALSE()),AJ146,VLOOKUP(H146,NGPREVPRICES,4,FALSE()),HLOOKUP($H$3,GDVol,VLOOKUP(H146,move_down,2,FALSE()),FALSE()),HLOOKUP($H$3,GDVol,VLOOKUP(H146,move_down,2,FALSE()),FALSE()),HLOOKUP(E146,GDcorr,VLOOKUP(H146,CorMove,2,FALSE()),FALSE()),Q146-$AC$3,R146,$AI$5)*I146-AI146</f>
        <v>#N/A</v>
      </c>
      <c r="AG146" s="253" t="e">
        <f aca="false">xSPRDOPT(HLOOKUP($D$3,GDPrev,VLOOKUP(Q146,GDmove_down,2,FALSE()),FALSE()),HLOOKUP($E$3,GDPrev,VLOOKUP(Q146,GDmove_down,2,FALSE()),FALSE()),AJ146,VLOOKUP(H146,NGPREVPRICES,4,FALSE()),HLOOKUP($H$3,GDPrevVols,VLOOKUP(Q146,GDmove_down2,2,FALSE()),FALSE()),HLOOKUP($H$3,GDPrevVols,VLOOKUP(Q146,GDmove_down2,2,FALSE()),FALSE()),HLOOKUP(E146,GDcorr,VLOOKUP(H146,CorMove,2,FALSE()),FALSE()),Q146-$C$3,R146,$AI$5)*I146-AI146</f>
        <v>#N/A</v>
      </c>
      <c r="AH146" s="253" t="e">
        <f aca="false">SUM(AC146:AG146)</f>
        <v>#N/A</v>
      </c>
      <c r="AI146" s="253" t="e">
        <f aca="false">xSPRDOPT(HLOOKUP($D$3,GDPrev,VLOOKUP(Q146,GDmove_down,2,FALSE()),FALSE()),HLOOKUP($E$3,GDPrev,VLOOKUP(Q146,GDmove_down,2,FALSE()),FALSE()),AJ146,VLOOKUP(H146,NGPREVPRICES,4,FALSE()),HLOOKUP($H$3,GDPrevVols,VLOOKUP(Q146,GDmove_down2,2,FALSE()),FALSE()),HLOOKUP($H$3,GDPrevVols,VLOOKUP(Q146,GDmove_down2,2,FALSE()),FALSE()),HLOOKUP(E146,GDcorr,VLOOKUP(H146,CorMove,2,FALSE()),FALSE()),Q146-$AC$3,R146,$AI$5)*I146</f>
        <v>#N/A</v>
      </c>
      <c r="AJ146" s="254" t="e">
        <f aca="false">HLOOKUP(D146,PREVCURVES,VLOOKUP(H146,MOVE_DOWN2,2,FALSE()),FALSE())-HLOOKUP(E146,PREVCURVES,VLOOKUP(H146,MOVE_DOWN2,2,FALSE()),FALSE())</f>
        <v>#N/A</v>
      </c>
      <c r="AK146" s="253"/>
      <c r="AL146" s="0" t="str">
        <f aca="false">CONCATENATE(AB146,$AC$6)</f>
        <v>36678Curve Shift/Gamma</v>
      </c>
      <c r="AM146" s="0" t="str">
        <f aca="false">CONCATENATE($AB146,$AD$6)</f>
        <v>36678Rho</v>
      </c>
      <c r="AN146" s="0" t="str">
        <f aca="false">CONCATENATE($AB146,$AE$6)</f>
        <v>36678Drift</v>
      </c>
      <c r="AO146" s="0" t="str">
        <f aca="false">CONCATENATE($AB146,$AF$6)</f>
        <v>36678Vega</v>
      </c>
      <c r="AP146" s="0" t="str">
        <f aca="false">CONCATENATE($AB146,$AG$6)</f>
        <v>36678Theta</v>
      </c>
      <c r="AZ146" s="143" t="n">
        <f aca="false">EOMONTH(AZ145,0)+1</f>
        <v>40391</v>
      </c>
      <c r="BA146" s="135"/>
      <c r="BG146" s="285" t="n">
        <v>40725</v>
      </c>
      <c r="BH146" s="0" t="n">
        <v>0.985</v>
      </c>
      <c r="BJ146" s="285" t="n">
        <v>40725</v>
      </c>
      <c r="BK146" s="0" t="n">
        <v>143</v>
      </c>
    </row>
    <row r="147" customFormat="false" ht="12" hidden="false" customHeight="true" outlineLevel="0" collapsed="false">
      <c r="A147" s="265" t="s">
        <v>198</v>
      </c>
      <c r="B147" s="269" t="s">
        <v>192</v>
      </c>
      <c r="C147" s="269" t="s">
        <v>488</v>
      </c>
      <c r="D147" s="269" t="s">
        <v>137</v>
      </c>
      <c r="E147" s="7" t="s">
        <v>483</v>
      </c>
      <c r="F147" s="269" t="s">
        <v>131</v>
      </c>
      <c r="G147" s="269" t="s">
        <v>136</v>
      </c>
      <c r="H147" s="286" t="n">
        <v>36678</v>
      </c>
      <c r="I147" s="272" t="n">
        <v>-50000</v>
      </c>
      <c r="J147" s="125" t="n">
        <v>0.46</v>
      </c>
      <c r="K147" s="124" t="n">
        <f aca="false">HLOOKUP($D$3,GDPRICES,VLOOKUP(Q147,GDmove_down,2,FALSE()),FALSE())</f>
        <v>4.925</v>
      </c>
      <c r="L147" s="124" t="n">
        <f aca="false">HLOOKUP($E$3,GDPRICES,VLOOKUP(Q147,GDmove_down,2,FALSE()),FALSE())</f>
        <v>3.315</v>
      </c>
      <c r="M147" s="126" t="n">
        <v>1</v>
      </c>
      <c r="N147" s="7" t="n">
        <v>0.515</v>
      </c>
      <c r="O147" s="7" t="n">
        <v>0.515</v>
      </c>
      <c r="P147" s="249" t="e">
        <f aca="false">HLOOKUP(E147,GDcorr,VLOOKUP(H147,GDCorMove,2,FALSE()),FALSE())</f>
        <v>#N/A</v>
      </c>
      <c r="Q147" s="92" t="n">
        <v>36698</v>
      </c>
      <c r="R147" s="7" t="n">
        <f aca="false">IF(G147="P",0,1)</f>
        <v>1</v>
      </c>
      <c r="S147" s="130" t="e">
        <f aca="false">xSPRDOPT($K147,$L147,$J147,$M147,$N147,$O147,$P147,$Q147-$C$3,$R147,0)</f>
        <v>#NAME?</v>
      </c>
      <c r="T147" s="250" t="e">
        <f aca="false">xSPRDOPT($K147,$L147,$J147,$M147,$N147,$O147,$P147,$Q147-$C$3,$R147,1)*I147</f>
        <v>#NAME?</v>
      </c>
      <c r="U147" s="43" t="n">
        <v>-10250</v>
      </c>
      <c r="V147" s="250" t="e">
        <f aca="false">xSPRDOPT($K147,$L147,$J147,$M147,$N147,$O147,$P147,$Q147-$C$3,$R147,2)*I147</f>
        <v>#NAME?</v>
      </c>
      <c r="W147" s="250" t="e">
        <f aca="false">+V147+T147</f>
        <v>#NAME?</v>
      </c>
      <c r="X147" s="2" t="str">
        <f aca="false">CONCATENATE(H147,E147)</f>
        <v>36678IF-ELPO/SJ</v>
      </c>
      <c r="Y147" s="251" t="n">
        <f aca="false">I147/10000</f>
        <v>-5</v>
      </c>
      <c r="AB147" s="182" t="n">
        <f aca="false">H147</f>
        <v>36678</v>
      </c>
      <c r="AC147" s="253" t="e">
        <f aca="false">xSPRDOPT(HLOOKUP($D$3,GDPRICES,VLOOKUP(Q147,GDmove_down,2,FALSE()),FALSE()),HLOOKUP($E$3,GDPRICES,VLOOKUP(Q147,GDmove_down,2,FALSE()),FALSE()),J147,VLOOKUP(H147,NGPREVPRICES,4,FALSE()),HLOOKUP($H$3,GDPrevVols,VLOOKUP(Q147,GDmove_down2,2,FALSE()),FALSE()),HLOOKUP($H$3,GDPrevVols,VLOOKUP(Q147,GDmove_down2,2,FALSE()),FALSE()),HLOOKUP(E147,GDcorr,VLOOKUP(H147,CorMove,2,FALSE()),FALSE()),Q147-$AC$3,R147,$AC$5)*I147-AI147</f>
        <v>#N/A</v>
      </c>
      <c r="AD147" s="253" t="e">
        <f aca="false">xSPRDOPT(HLOOKUP($D$3,GDPrev,VLOOKUP(Q147,GDmove_down,2,FALSE()),FALSE()),HLOOKUP($E$3,GDPrev,VLOOKUP(Q147,GDmove_down,2,FALSE()),FALSE()),AJ147,VLOOKUP(H147,NGPrices,4,FALSE()),HLOOKUP($H$3,GDPrevVols,VLOOKUP(Q147,GDmove_down2,2,FALSE()),FALSE()),HLOOKUP($H$3,GDPrevVols,VLOOKUP(Q147,GDmove_down2,2,FALSE()),FALSE()),HLOOKUP(E147,GDcorr,VLOOKUP(H147,CorMove,2,FALSE()),FALSE()),Q147-$AC$3,R147,$AI$5)*I147-AI147</f>
        <v>#N/A</v>
      </c>
      <c r="AE147" s="132" t="e">
        <f aca="false">(AI147/VLOOKUP(AB147,discount,3,FALSE()))-(AI147/VLOOKUP(AB147,discount,2,FALSE()))</f>
        <v>#N/A</v>
      </c>
      <c r="AF147" s="253" t="e">
        <f aca="false">xSPRDOPT(HLOOKUP($D$3,GDPrev,VLOOKUP(Q147,GDmove_down,2,FALSE()),FALSE()),HLOOKUP($E$3,GDPrev,VLOOKUP(Q147,GDmove_down,2,FALSE()),FALSE()),AJ147,VLOOKUP(H147,NGPREVPRICES,4,FALSE()),HLOOKUP($H$3,GDVol,VLOOKUP(H147,move_down,2,FALSE()),FALSE()),HLOOKUP($H$3,GDVol,VLOOKUP(H147,move_down,2,FALSE()),FALSE()),HLOOKUP(E147,GDcorr,VLOOKUP(H147,CorMove,2,FALSE()),FALSE()),Q147-$AC$3,R147,$AI$5)*I147-AI147</f>
        <v>#N/A</v>
      </c>
      <c r="AG147" s="253" t="e">
        <f aca="false">xSPRDOPT(HLOOKUP($D$3,GDPrev,VLOOKUP(Q147,GDmove_down,2,FALSE()),FALSE()),HLOOKUP($E$3,GDPrev,VLOOKUP(Q147,GDmove_down,2,FALSE()),FALSE()),AJ147,VLOOKUP(H147,NGPREVPRICES,4,FALSE()),HLOOKUP($H$3,GDPrevVols,VLOOKUP(Q147,GDmove_down2,2,FALSE()),FALSE()),HLOOKUP($H$3,GDPrevVols,VLOOKUP(Q147,GDmove_down2,2,FALSE()),FALSE()),HLOOKUP(E147,GDcorr,VLOOKUP(H147,CorMove,2,FALSE()),FALSE()),Q147-$C$3,R147,$AI$5)*I147-AI147</f>
        <v>#N/A</v>
      </c>
      <c r="AH147" s="253" t="e">
        <f aca="false">SUM(AC147:AG147)</f>
        <v>#N/A</v>
      </c>
      <c r="AI147" s="253" t="e">
        <f aca="false">xSPRDOPT(HLOOKUP($D$3,GDPrev,VLOOKUP(Q147,GDmove_down,2,FALSE()),FALSE()),HLOOKUP($E$3,GDPrev,VLOOKUP(Q147,GDmove_down,2,FALSE()),FALSE()),AJ147,VLOOKUP(H147,NGPREVPRICES,4,FALSE()),HLOOKUP($H$3,GDPrevVols,VLOOKUP(Q147,GDmove_down2,2,FALSE()),FALSE()),HLOOKUP($H$3,GDPrevVols,VLOOKUP(Q147,GDmove_down2,2,FALSE()),FALSE()),HLOOKUP(E147,GDcorr,VLOOKUP(H147,CorMove,2,FALSE()),FALSE()),Q147-$AC$3,R147,$AI$5)*I147</f>
        <v>#N/A</v>
      </c>
      <c r="AJ147" s="254" t="e">
        <f aca="false">HLOOKUP(D147,PREVCURVES,VLOOKUP(H147,MOVE_DOWN2,2,FALSE()),FALSE())-HLOOKUP(E147,PREVCURVES,VLOOKUP(H147,MOVE_DOWN2,2,FALSE()),FALSE())</f>
        <v>#N/A</v>
      </c>
      <c r="AK147" s="253"/>
      <c r="AL147" s="0" t="str">
        <f aca="false">CONCATENATE(AB147,$AC$6)</f>
        <v>36678Curve Shift/Gamma</v>
      </c>
      <c r="AM147" s="0" t="str">
        <f aca="false">CONCATENATE($AB147,$AD$6)</f>
        <v>36678Rho</v>
      </c>
      <c r="AN147" s="0" t="str">
        <f aca="false">CONCATENATE($AB147,$AE$6)</f>
        <v>36678Drift</v>
      </c>
      <c r="AO147" s="0" t="str">
        <f aca="false">CONCATENATE($AB147,$AF$6)</f>
        <v>36678Vega</v>
      </c>
      <c r="AP147" s="0" t="str">
        <f aca="false">CONCATENATE($AB147,$AG$6)</f>
        <v>36678Theta</v>
      </c>
      <c r="AZ147" s="143" t="n">
        <f aca="false">EOMONTH(AZ146,0)+1</f>
        <v>40422</v>
      </c>
      <c r="BA147" s="135"/>
      <c r="BG147" s="285" t="n">
        <v>40756</v>
      </c>
      <c r="BH147" s="0" t="n">
        <v>0.985</v>
      </c>
      <c r="BJ147" s="285" t="n">
        <v>40756</v>
      </c>
      <c r="BK147" s="0" t="n">
        <v>144</v>
      </c>
    </row>
    <row r="148" customFormat="false" ht="12" hidden="false" customHeight="true" outlineLevel="0" collapsed="false">
      <c r="A148" s="265" t="s">
        <v>198</v>
      </c>
      <c r="B148" s="269" t="s">
        <v>192</v>
      </c>
      <c r="C148" s="269" t="s">
        <v>489</v>
      </c>
      <c r="D148" s="269" t="s">
        <v>137</v>
      </c>
      <c r="E148" s="7" t="s">
        <v>483</v>
      </c>
      <c r="F148" s="269" t="s">
        <v>131</v>
      </c>
      <c r="G148" s="269" t="s">
        <v>136</v>
      </c>
      <c r="H148" s="286" t="n">
        <v>36678</v>
      </c>
      <c r="I148" s="272" t="n">
        <v>10000</v>
      </c>
      <c r="J148" s="125" t="n">
        <v>0.46</v>
      </c>
      <c r="K148" s="124" t="n">
        <f aca="false">HLOOKUP($D$3,GDPRICES,VLOOKUP(Q148,GDmove_down,2,FALSE()),FALSE())</f>
        <v>4.925</v>
      </c>
      <c r="L148" s="124" t="n">
        <f aca="false">HLOOKUP($E$3,GDPRICES,VLOOKUP(Q148,GDmove_down,2,FALSE()),FALSE())</f>
        <v>3.315</v>
      </c>
      <c r="M148" s="126" t="n">
        <v>1</v>
      </c>
      <c r="N148" s="7" t="n">
        <v>0.515</v>
      </c>
      <c r="O148" s="7" t="n">
        <v>0.515</v>
      </c>
      <c r="P148" s="249" t="e">
        <f aca="false">HLOOKUP(E148,GDcorr,VLOOKUP(H148,GDCorMove,2,FALSE()),FALSE())</f>
        <v>#N/A</v>
      </c>
      <c r="Q148" s="92" t="n">
        <v>36698</v>
      </c>
      <c r="R148" s="7" t="n">
        <f aca="false">IF(G148="P",0,1)</f>
        <v>1</v>
      </c>
      <c r="S148" s="130" t="e">
        <f aca="false">xSPRDOPT($K148,$L148,$J148,$M148,$N148,$O148,$P148,$Q148-$C$3,$R148,0)</f>
        <v>#NAME?</v>
      </c>
      <c r="T148" s="250" t="e">
        <f aca="false">xSPRDOPT($K148,$L148,$J148,$M148,$N148,$O148,$P148,$Q148-$C$3,$R148,1)*I148</f>
        <v>#NAME?</v>
      </c>
      <c r="U148" s="43" t="n">
        <v>2050</v>
      </c>
      <c r="V148" s="250" t="e">
        <f aca="false">xSPRDOPT($K148,$L148,$J148,$M148,$N148,$O148,$P148,$Q148-$C$3,$R148,2)*I148</f>
        <v>#NAME?</v>
      </c>
      <c r="W148" s="250" t="e">
        <f aca="false">+V148+T148</f>
        <v>#NAME?</v>
      </c>
      <c r="X148" s="2" t="str">
        <f aca="false">CONCATENATE(H148,E148)</f>
        <v>36678IF-ELPO/SJ</v>
      </c>
      <c r="Y148" s="251" t="n">
        <f aca="false">I148/10000</f>
        <v>1</v>
      </c>
      <c r="AB148" s="182" t="n">
        <f aca="false">H148</f>
        <v>36678</v>
      </c>
      <c r="AC148" s="253" t="e">
        <f aca="false">xSPRDOPT(HLOOKUP($D$3,GDPRICES,VLOOKUP(Q148,GDmove_down,2,FALSE()),FALSE()),HLOOKUP($E$3,GDPRICES,VLOOKUP(Q148,GDmove_down,2,FALSE()),FALSE()),J148,VLOOKUP(H148,NGPREVPRICES,4,FALSE()),HLOOKUP($H$3,GDPrevVols,VLOOKUP(Q148,GDmove_down2,2,FALSE()),FALSE()),HLOOKUP($H$3,GDPrevVols,VLOOKUP(Q148,GDmove_down2,2,FALSE()),FALSE()),HLOOKUP(E148,GDcorr,VLOOKUP(H148,CorMove,2,FALSE()),FALSE()),Q148-$AC$3,R148,$AC$5)*I148-AI148</f>
        <v>#N/A</v>
      </c>
      <c r="AD148" s="253" t="e">
        <f aca="false">xSPRDOPT(HLOOKUP($D$3,GDPrev,VLOOKUP(Q148,GDmove_down,2,FALSE()),FALSE()),HLOOKUP($E$3,GDPrev,VLOOKUP(Q148,GDmove_down,2,FALSE()),FALSE()),AJ148,VLOOKUP(H148,NGPrices,4,FALSE()),HLOOKUP($H$3,GDPrevVols,VLOOKUP(Q148,GDmove_down2,2,FALSE()),FALSE()),HLOOKUP($H$3,GDPrevVols,VLOOKUP(Q148,GDmove_down2,2,FALSE()),FALSE()),HLOOKUP(E148,GDcorr,VLOOKUP(H148,CorMove,2,FALSE()),FALSE()),Q148-$AC$3,R148,$AI$5)*I148-AI148</f>
        <v>#N/A</v>
      </c>
      <c r="AE148" s="132" t="e">
        <f aca="false">(AI148/VLOOKUP(AB148,discount,3,FALSE()))-(AI148/VLOOKUP(AB148,discount,2,FALSE()))</f>
        <v>#N/A</v>
      </c>
      <c r="AF148" s="253" t="e">
        <f aca="false">xSPRDOPT(HLOOKUP($D$3,GDPrev,VLOOKUP(Q148,GDmove_down,2,FALSE()),FALSE()),HLOOKUP($E$3,GDPrev,VLOOKUP(Q148,GDmove_down,2,FALSE()),FALSE()),AJ148,VLOOKUP(H148,NGPREVPRICES,4,FALSE()),HLOOKUP($H$3,GDVol,VLOOKUP(H148,move_down,2,FALSE()),FALSE()),HLOOKUP($H$3,GDVol,VLOOKUP(H148,move_down,2,FALSE()),FALSE()),HLOOKUP(E148,GDcorr,VLOOKUP(H148,CorMove,2,FALSE()),FALSE()),Q148-$AC$3,R148,$AI$5)*I148-AI148</f>
        <v>#N/A</v>
      </c>
      <c r="AG148" s="253" t="e">
        <f aca="false">xSPRDOPT(HLOOKUP($D$3,GDPrev,VLOOKUP(Q148,GDmove_down,2,FALSE()),FALSE()),HLOOKUP($E$3,GDPrev,VLOOKUP(Q148,GDmove_down,2,FALSE()),FALSE()),AJ148,VLOOKUP(H148,NGPREVPRICES,4,FALSE()),HLOOKUP($H$3,GDPrevVols,VLOOKUP(Q148,GDmove_down2,2,FALSE()),FALSE()),HLOOKUP($H$3,GDPrevVols,VLOOKUP(Q148,GDmove_down2,2,FALSE()),FALSE()),HLOOKUP(E148,GDcorr,VLOOKUP(H148,CorMove,2,FALSE()),FALSE()),Q148-$C$3,R148,$AI$5)*I148-AI148</f>
        <v>#N/A</v>
      </c>
      <c r="AH148" s="253" t="e">
        <f aca="false">SUM(AC148:AG148)</f>
        <v>#N/A</v>
      </c>
      <c r="AI148" s="253" t="e">
        <f aca="false">xSPRDOPT(HLOOKUP($D$3,GDPrev,VLOOKUP(Q148,GDmove_down,2,FALSE()),FALSE()),HLOOKUP($E$3,GDPrev,VLOOKUP(Q148,GDmove_down,2,FALSE()),FALSE()),AJ148,VLOOKUP(H148,NGPREVPRICES,4,FALSE()),HLOOKUP($H$3,GDPrevVols,VLOOKUP(Q148,GDmove_down2,2,FALSE()),FALSE()),HLOOKUP($H$3,GDPrevVols,VLOOKUP(Q148,GDmove_down2,2,FALSE()),FALSE()),HLOOKUP(E148,GDcorr,VLOOKUP(H148,CorMove,2,FALSE()),FALSE()),Q148-$AC$3,R148,$AI$5)*I148</f>
        <v>#N/A</v>
      </c>
      <c r="AJ148" s="254" t="e">
        <f aca="false">HLOOKUP(D148,PREVCURVES,VLOOKUP(H148,MOVE_DOWN2,2,FALSE()),FALSE())-HLOOKUP(E148,PREVCURVES,VLOOKUP(H148,MOVE_DOWN2,2,FALSE()),FALSE())</f>
        <v>#N/A</v>
      </c>
      <c r="AK148" s="253"/>
      <c r="AL148" s="0" t="str">
        <f aca="false">CONCATENATE(AB148,$AC$6)</f>
        <v>36678Curve Shift/Gamma</v>
      </c>
      <c r="AM148" s="0" t="str">
        <f aca="false">CONCATENATE($AB148,$AD$6)</f>
        <v>36678Rho</v>
      </c>
      <c r="AN148" s="0" t="str">
        <f aca="false">CONCATENATE($AB148,$AE$6)</f>
        <v>36678Drift</v>
      </c>
      <c r="AO148" s="0" t="str">
        <f aca="false">CONCATENATE($AB148,$AF$6)</f>
        <v>36678Vega</v>
      </c>
      <c r="AP148" s="0" t="str">
        <f aca="false">CONCATENATE($AB148,$AG$6)</f>
        <v>36678Theta</v>
      </c>
      <c r="AZ148" s="143" t="n">
        <f aca="false">EOMONTH(AZ147,0)+1</f>
        <v>40452</v>
      </c>
      <c r="BA148" s="135"/>
      <c r="BG148" s="285" t="n">
        <v>40787</v>
      </c>
      <c r="BH148" s="0" t="n">
        <v>0.985</v>
      </c>
      <c r="BJ148" s="285" t="n">
        <v>40787</v>
      </c>
      <c r="BK148" s="0" t="n">
        <v>145</v>
      </c>
    </row>
    <row r="149" customFormat="false" ht="12" hidden="false" customHeight="true" outlineLevel="0" collapsed="false">
      <c r="A149" s="265" t="s">
        <v>198</v>
      </c>
      <c r="B149" s="269" t="s">
        <v>192</v>
      </c>
      <c r="C149" s="269" t="s">
        <v>490</v>
      </c>
      <c r="D149" s="269" t="s">
        <v>137</v>
      </c>
      <c r="E149" s="7" t="s">
        <v>483</v>
      </c>
      <c r="F149" s="269" t="s">
        <v>131</v>
      </c>
      <c r="G149" s="269" t="s">
        <v>136</v>
      </c>
      <c r="H149" s="286" t="n">
        <v>36678</v>
      </c>
      <c r="I149" s="272" t="n">
        <v>-333333</v>
      </c>
      <c r="J149" s="125" t="n">
        <v>0.46</v>
      </c>
      <c r="K149" s="124" t="n">
        <f aca="false">HLOOKUP($D$3,GDPRICES,VLOOKUP(Q149,GDmove_down,2,FALSE()),FALSE())</f>
        <v>4.925</v>
      </c>
      <c r="L149" s="124" t="n">
        <f aca="false">HLOOKUP($E$3,GDPRICES,VLOOKUP(Q149,GDmove_down,2,FALSE()),FALSE())</f>
        <v>3.315</v>
      </c>
      <c r="M149" s="126" t="n">
        <v>1</v>
      </c>
      <c r="N149" s="7" t="n">
        <v>0.515</v>
      </c>
      <c r="O149" s="7" t="n">
        <v>0.515</v>
      </c>
      <c r="P149" s="249" t="e">
        <f aca="false">HLOOKUP(E149,GDcorr,VLOOKUP(H149,GDCorMove,2,FALSE()),FALSE())</f>
        <v>#N/A</v>
      </c>
      <c r="Q149" s="92" t="n">
        <v>36698</v>
      </c>
      <c r="R149" s="7" t="n">
        <f aca="false">IF(G149="P",0,1)</f>
        <v>1</v>
      </c>
      <c r="S149" s="130" t="e">
        <f aca="false">xSPRDOPT($K149,$L149,$J149,$M149,$N149,$O149,$P149,$Q149-$C$3,$R149,0)</f>
        <v>#NAME?</v>
      </c>
      <c r="T149" s="250" t="e">
        <f aca="false">xSPRDOPT($K149,$L149,$J149,$M149,$N149,$O149,$P149,$Q149-$C$3,$R149,1)*I149</f>
        <v>#NAME?</v>
      </c>
      <c r="U149" s="43" t="n">
        <v>-68333.265</v>
      </c>
      <c r="V149" s="250" t="e">
        <f aca="false">xSPRDOPT($K149,$L149,$J149,$M149,$N149,$O149,$P149,$Q149-$C$3,$R149,2)*I149</f>
        <v>#NAME?</v>
      </c>
      <c r="W149" s="250" t="e">
        <f aca="false">+V149+T149</f>
        <v>#NAME?</v>
      </c>
      <c r="X149" s="2" t="str">
        <f aca="false">CONCATENATE(H149,E149)</f>
        <v>36678IF-ELPO/SJ</v>
      </c>
      <c r="Y149" s="251" t="n">
        <f aca="false">I149/10000</f>
        <v>-33.3333</v>
      </c>
      <c r="Z149" s="2"/>
      <c r="AB149" s="182" t="n">
        <f aca="false">H149</f>
        <v>36678</v>
      </c>
      <c r="AC149" s="253" t="e">
        <f aca="false">xSPRDOPT(HLOOKUP($D$3,GDPRICES,VLOOKUP(Q149,GDmove_down,2,FALSE()),FALSE()),HLOOKUP($E$3,GDPRICES,VLOOKUP(Q149,GDmove_down,2,FALSE()),FALSE()),J149,VLOOKUP(H149,NGPREVPRICES,4,FALSE()),HLOOKUP($H$3,GDPrevVols,VLOOKUP(Q149,GDmove_down2,2,FALSE()),FALSE()),HLOOKUP($H$3,GDPrevVols,VLOOKUP(Q149,GDmove_down2,2,FALSE()),FALSE()),HLOOKUP(E149,GDcorr,VLOOKUP(H149,CorMove,2,FALSE()),FALSE()),Q149-$AC$3,R149,$AC$5)*I149-AI149</f>
        <v>#N/A</v>
      </c>
      <c r="AD149" s="253" t="e">
        <f aca="false">xSPRDOPT(HLOOKUP($D$3,GDPrev,VLOOKUP(Q149,GDmove_down,2,FALSE()),FALSE()),HLOOKUP($E$3,GDPrev,VLOOKUP(Q149,GDmove_down,2,FALSE()),FALSE()),AJ149,VLOOKUP(H149,NGPrices,4,FALSE()),HLOOKUP($H$3,GDPrevVols,VLOOKUP(Q149,GDmove_down2,2,FALSE()),FALSE()),HLOOKUP($H$3,GDPrevVols,VLOOKUP(Q149,GDmove_down2,2,FALSE()),FALSE()),HLOOKUP(E149,GDcorr,VLOOKUP(H149,CorMove,2,FALSE()),FALSE()),Q149-$AC$3,R149,$AI$5)*I149-AI149</f>
        <v>#N/A</v>
      </c>
      <c r="AE149" s="132" t="e">
        <f aca="false">(AI149/VLOOKUP(AB149,discount,3,FALSE()))-(AI149/VLOOKUP(AB149,discount,2,FALSE()))</f>
        <v>#N/A</v>
      </c>
      <c r="AF149" s="253" t="e">
        <f aca="false">xSPRDOPT(HLOOKUP($D$3,GDPrev,VLOOKUP(Q149,GDmove_down,2,FALSE()),FALSE()),HLOOKUP($E$3,GDPrev,VLOOKUP(Q149,GDmove_down,2,FALSE()),FALSE()),AJ149,VLOOKUP(H149,NGPREVPRICES,4,FALSE()),HLOOKUP($H$3,GDVol,VLOOKUP(H149,move_down,2,FALSE()),FALSE()),HLOOKUP($H$3,GDVol,VLOOKUP(H149,move_down,2,FALSE()),FALSE()),HLOOKUP(E149,GDcorr,VLOOKUP(H149,CorMove,2,FALSE()),FALSE()),Q149-$AC$3,R149,$AI$5)*I149-AI149</f>
        <v>#N/A</v>
      </c>
      <c r="AG149" s="253" t="e">
        <f aca="false">xSPRDOPT(HLOOKUP($D$3,GDPrev,VLOOKUP(Q149,GDmove_down,2,FALSE()),FALSE()),HLOOKUP($E$3,GDPrev,VLOOKUP(Q149,GDmove_down,2,FALSE()),FALSE()),AJ149,VLOOKUP(H149,NGPREVPRICES,4,FALSE()),HLOOKUP($H$3,GDPrevVols,VLOOKUP(Q149,GDmove_down2,2,FALSE()),FALSE()),HLOOKUP($H$3,GDPrevVols,VLOOKUP(Q149,GDmove_down2,2,FALSE()),FALSE()),HLOOKUP(E149,GDcorr,VLOOKUP(H149,CorMove,2,FALSE()),FALSE()),Q149-$C$3,R149,$AI$5)*I149-AI149</f>
        <v>#N/A</v>
      </c>
      <c r="AH149" s="253" t="e">
        <f aca="false">SUM(AC149:AG149)</f>
        <v>#N/A</v>
      </c>
      <c r="AI149" s="253" t="e">
        <f aca="false">xSPRDOPT(HLOOKUP($D$3,GDPrev,VLOOKUP(Q149,GDmove_down,2,FALSE()),FALSE()),HLOOKUP($E$3,GDPrev,VLOOKUP(Q149,GDmove_down,2,FALSE()),FALSE()),AJ149,VLOOKUP(H149,NGPREVPRICES,4,FALSE()),HLOOKUP($H$3,GDPrevVols,VLOOKUP(Q149,GDmove_down2,2,FALSE()),FALSE()),HLOOKUP($H$3,GDPrevVols,VLOOKUP(Q149,GDmove_down2,2,FALSE()),FALSE()),HLOOKUP(E149,GDcorr,VLOOKUP(H149,CorMove,2,FALSE()),FALSE()),Q149-$AC$3,R149,$AI$5)*I149</f>
        <v>#N/A</v>
      </c>
      <c r="AJ149" s="254" t="e">
        <f aca="false">HLOOKUP(D149,PREVCURVES,VLOOKUP(H149,MOVE_DOWN2,2,FALSE()),FALSE())-HLOOKUP(E149,PREVCURVES,VLOOKUP(H149,MOVE_DOWN2,2,FALSE()),FALSE())</f>
        <v>#N/A</v>
      </c>
      <c r="AK149" s="253"/>
      <c r="AL149" s="0" t="str">
        <f aca="false">CONCATENATE(AB149,$AC$6)</f>
        <v>36678Curve Shift/Gamma</v>
      </c>
      <c r="AM149" s="0" t="str">
        <f aca="false">CONCATENATE($AB149,$AD$6)</f>
        <v>36678Rho</v>
      </c>
      <c r="AN149" s="0" t="str">
        <f aca="false">CONCATENATE($AB149,$AE$6)</f>
        <v>36678Drift</v>
      </c>
      <c r="AO149" s="0" t="str">
        <f aca="false">CONCATENATE($AB149,$AF$6)</f>
        <v>36678Vega</v>
      </c>
      <c r="AP149" s="0" t="str">
        <f aca="false">CONCATENATE($AB149,$AG$6)</f>
        <v>36678Theta</v>
      </c>
      <c r="AZ149" s="143" t="n">
        <f aca="false">EOMONTH(AZ148,0)+1</f>
        <v>40483</v>
      </c>
      <c r="BA149" s="135"/>
      <c r="BG149" s="285" t="n">
        <v>40817</v>
      </c>
      <c r="BH149" s="0" t="n">
        <v>0.985</v>
      </c>
      <c r="BJ149" s="285" t="n">
        <v>40817</v>
      </c>
      <c r="BK149" s="0" t="n">
        <v>146</v>
      </c>
    </row>
    <row r="150" customFormat="false" ht="12" hidden="false" customHeight="true" outlineLevel="0" collapsed="false">
      <c r="A150" s="267" t="s">
        <v>196</v>
      </c>
      <c r="B150" s="269" t="s">
        <v>192</v>
      </c>
      <c r="C150" s="269" t="s">
        <v>491</v>
      </c>
      <c r="D150" s="269" t="s">
        <v>137</v>
      </c>
      <c r="E150" s="7" t="s">
        <v>483</v>
      </c>
      <c r="F150" s="269" t="s">
        <v>131</v>
      </c>
      <c r="G150" s="269" t="s">
        <v>136</v>
      </c>
      <c r="H150" s="286" t="n">
        <v>36678</v>
      </c>
      <c r="I150" s="272" t="n">
        <v>-10000</v>
      </c>
      <c r="J150" s="125" t="n">
        <v>0.46</v>
      </c>
      <c r="K150" s="124" t="n">
        <f aca="false">HLOOKUP($D$3,GDPRICES,VLOOKUP(Q150,GDmove_down,2,FALSE()),FALSE())</f>
        <v>4.925</v>
      </c>
      <c r="L150" s="124" t="n">
        <f aca="false">HLOOKUP($E$3,GDPRICES,VLOOKUP(Q150,GDmove_down,2,FALSE()),FALSE())</f>
        <v>3.315</v>
      </c>
      <c r="M150" s="126" t="n">
        <v>1</v>
      </c>
      <c r="N150" s="7" t="n">
        <v>0.515</v>
      </c>
      <c r="O150" s="7" t="n">
        <v>0.515</v>
      </c>
      <c r="P150" s="249" t="e">
        <f aca="false">HLOOKUP(E150,GDcorr,VLOOKUP(H150,GDCorMove,2,FALSE()),FALSE())</f>
        <v>#N/A</v>
      </c>
      <c r="Q150" s="92" t="n">
        <v>36698</v>
      </c>
      <c r="R150" s="7" t="n">
        <f aca="false">IF(G150="P",0,1)</f>
        <v>1</v>
      </c>
      <c r="S150" s="130" t="e">
        <f aca="false">xSPRDOPT($K150,$L150,$J150,$M150,$N150,$O150,$P150,$Q150-$C$3,$R150,0)</f>
        <v>#NAME?</v>
      </c>
      <c r="T150" s="250" t="e">
        <f aca="false">xSPRDOPT($K150,$L150,$J150,$M150,$N150,$O150,$P150,$Q150-$C$3,$R150,1)*I150</f>
        <v>#NAME?</v>
      </c>
      <c r="U150" s="43" t="n">
        <v>-2050</v>
      </c>
      <c r="V150" s="250" t="e">
        <f aca="false">xSPRDOPT($K150,$L150,$J150,$M150,$N150,$O150,$P150,$Q150-$C$3,$R150,2)*I150</f>
        <v>#NAME?</v>
      </c>
      <c r="W150" s="250" t="e">
        <f aca="false">+V150+T150</f>
        <v>#NAME?</v>
      </c>
      <c r="X150" s="2" t="str">
        <f aca="false">CONCATENATE(H150,E150)</f>
        <v>36678IF-ELPO/SJ</v>
      </c>
      <c r="Y150" s="251" t="n">
        <f aca="false">I150/10000</f>
        <v>-1</v>
      </c>
      <c r="Z150" s="2"/>
      <c r="AB150" s="182" t="n">
        <f aca="false">H150</f>
        <v>36678</v>
      </c>
      <c r="AC150" s="253" t="e">
        <f aca="false">xSPRDOPT(HLOOKUP($D$3,GDPRICES,VLOOKUP(Q150,GDmove_down,2,FALSE()),FALSE()),HLOOKUP($E$3,GDPRICES,VLOOKUP(Q150,GDmove_down,2,FALSE()),FALSE()),J150,VLOOKUP(H150,NGPREVPRICES,4,FALSE()),HLOOKUP($H$3,GDPrevVols,VLOOKUP(Q150,GDmove_down2,2,FALSE()),FALSE()),HLOOKUP($H$3,GDPrevVols,VLOOKUP(Q150,GDmove_down2,2,FALSE()),FALSE()),HLOOKUP(E150,GDcorr,VLOOKUP(H150,CorMove,2,FALSE()),FALSE()),Q150-$AC$3,R150,$AC$5)*I150-AI150</f>
        <v>#N/A</v>
      </c>
      <c r="AD150" s="253" t="e">
        <f aca="false">xSPRDOPT(HLOOKUP($D$3,GDPrev,VLOOKUP(Q150,GDmove_down,2,FALSE()),FALSE()),HLOOKUP($E$3,GDPrev,VLOOKUP(Q150,GDmove_down,2,FALSE()),FALSE()),AJ150,VLOOKUP(H150,NGPrices,4,FALSE()),HLOOKUP($H$3,GDPrevVols,VLOOKUP(Q150,GDmove_down2,2,FALSE()),FALSE()),HLOOKUP($H$3,GDPrevVols,VLOOKUP(Q150,GDmove_down2,2,FALSE()),FALSE()),HLOOKUP(E150,GDcorr,VLOOKUP(H150,CorMove,2,FALSE()),FALSE()),Q150-$AC$3,R150,$AI$5)*I150-AI150</f>
        <v>#N/A</v>
      </c>
      <c r="AE150" s="132" t="e">
        <f aca="false">(AI150/VLOOKUP(AB150,discount,3,FALSE()))-(AI150/VLOOKUP(AB150,discount,2,FALSE()))</f>
        <v>#N/A</v>
      </c>
      <c r="AF150" s="253" t="e">
        <f aca="false">xSPRDOPT(HLOOKUP($D$3,GDPrev,VLOOKUP(Q150,GDmove_down,2,FALSE()),FALSE()),HLOOKUP($E$3,GDPrev,VLOOKUP(Q150,GDmove_down,2,FALSE()),FALSE()),AJ150,VLOOKUP(H150,NGPREVPRICES,4,FALSE()),HLOOKUP($H$3,GDVol,VLOOKUP(H150,move_down,2,FALSE()),FALSE()),HLOOKUP($H$3,GDVol,VLOOKUP(H150,move_down,2,FALSE()),FALSE()),HLOOKUP(E150,GDcorr,VLOOKUP(H150,CorMove,2,FALSE()),FALSE()),Q150-$AC$3,R150,$AI$5)*I150-AI150</f>
        <v>#N/A</v>
      </c>
      <c r="AG150" s="253" t="e">
        <f aca="false">xSPRDOPT(HLOOKUP($D$3,GDPrev,VLOOKUP(Q150,GDmove_down,2,FALSE()),FALSE()),HLOOKUP($E$3,GDPrev,VLOOKUP(Q150,GDmove_down,2,FALSE()),FALSE()),AJ150,VLOOKUP(H150,NGPREVPRICES,4,FALSE()),HLOOKUP($H$3,GDPrevVols,VLOOKUP(Q150,GDmove_down2,2,FALSE()),FALSE()),HLOOKUP($H$3,GDPrevVols,VLOOKUP(Q150,GDmove_down2,2,FALSE()),FALSE()),HLOOKUP(E150,GDcorr,VLOOKUP(H150,CorMove,2,FALSE()),FALSE()),Q150-$C$3,R150,$AI$5)*I150-AI150</f>
        <v>#N/A</v>
      </c>
      <c r="AH150" s="253" t="e">
        <f aca="false">SUM(AC150:AG150)</f>
        <v>#N/A</v>
      </c>
      <c r="AI150" s="253" t="e">
        <f aca="false">xSPRDOPT(HLOOKUP($D$3,GDPrev,VLOOKUP(Q150,GDmove_down,2,FALSE()),FALSE()),HLOOKUP($E$3,GDPrev,VLOOKUP(Q150,GDmove_down,2,FALSE()),FALSE()),AJ150,VLOOKUP(H150,NGPREVPRICES,4,FALSE()),HLOOKUP($H$3,GDPrevVols,VLOOKUP(Q150,GDmove_down2,2,FALSE()),FALSE()),HLOOKUP($H$3,GDPrevVols,VLOOKUP(Q150,GDmove_down2,2,FALSE()),FALSE()),HLOOKUP(E150,GDcorr,VLOOKUP(H150,CorMove,2,FALSE()),FALSE()),Q150-$AC$3,R150,$AI$5)*I150</f>
        <v>#N/A</v>
      </c>
      <c r="AJ150" s="254" t="e">
        <f aca="false">HLOOKUP(D150,PREVCURVES,VLOOKUP(H150,MOVE_DOWN2,2,FALSE()),FALSE())-HLOOKUP(E150,PREVCURVES,VLOOKUP(H150,MOVE_DOWN2,2,FALSE()),FALSE())</f>
        <v>#N/A</v>
      </c>
      <c r="AK150" s="253"/>
      <c r="AL150" s="0" t="str">
        <f aca="false">CONCATENATE(AB150,$AC$6)</f>
        <v>36678Curve Shift/Gamma</v>
      </c>
      <c r="AM150" s="0" t="str">
        <f aca="false">CONCATENATE($AB150,$AD$6)</f>
        <v>36678Rho</v>
      </c>
      <c r="AN150" s="0" t="str">
        <f aca="false">CONCATENATE($AB150,$AE$6)</f>
        <v>36678Drift</v>
      </c>
      <c r="AO150" s="0" t="str">
        <f aca="false">CONCATENATE($AB150,$AF$6)</f>
        <v>36678Vega</v>
      </c>
      <c r="AP150" s="0" t="str">
        <f aca="false">CONCATENATE($AB150,$AG$6)</f>
        <v>36678Theta</v>
      </c>
      <c r="AZ150" s="143" t="n">
        <f aca="false">EOMONTH(AZ149,0)+1</f>
        <v>40513</v>
      </c>
      <c r="BA150" s="135"/>
      <c r="BG150" s="285" t="n">
        <v>40848</v>
      </c>
      <c r="BH150" s="0" t="n">
        <v>0.970485</v>
      </c>
      <c r="BJ150" s="285" t="n">
        <v>40848</v>
      </c>
      <c r="BK150" s="0" t="n">
        <v>147</v>
      </c>
    </row>
    <row r="151" customFormat="false" ht="12" hidden="false" customHeight="true" outlineLevel="0" collapsed="false">
      <c r="A151" s="267" t="s">
        <v>198</v>
      </c>
      <c r="B151" s="269" t="s">
        <v>192</v>
      </c>
      <c r="C151" s="269" t="s">
        <v>492</v>
      </c>
      <c r="D151" s="269" t="s">
        <v>137</v>
      </c>
      <c r="E151" s="7" t="s">
        <v>483</v>
      </c>
      <c r="F151" s="269" t="s">
        <v>131</v>
      </c>
      <c r="G151" s="269" t="s">
        <v>136</v>
      </c>
      <c r="H151" s="286" t="n">
        <v>36678</v>
      </c>
      <c r="I151" s="272" t="n">
        <v>50000</v>
      </c>
      <c r="J151" s="125" t="n">
        <v>0.46</v>
      </c>
      <c r="K151" s="124" t="n">
        <f aca="false">HLOOKUP($D$3,GDPRICES,VLOOKUP(Q151,GDmove_down,2,FALSE()),FALSE())</f>
        <v>4.925</v>
      </c>
      <c r="L151" s="124" t="n">
        <f aca="false">HLOOKUP($E$3,GDPRICES,VLOOKUP(Q151,GDmove_down,2,FALSE()),FALSE())</f>
        <v>3.315</v>
      </c>
      <c r="M151" s="126" t="n">
        <v>1</v>
      </c>
      <c r="N151" s="7" t="n">
        <v>0.515</v>
      </c>
      <c r="O151" s="7" t="n">
        <v>0.515</v>
      </c>
      <c r="P151" s="249" t="e">
        <f aca="false">HLOOKUP(E151,GDcorr,VLOOKUP(H151,GDCorMove,2,FALSE()),FALSE())</f>
        <v>#N/A</v>
      </c>
      <c r="Q151" s="92" t="n">
        <v>36698</v>
      </c>
      <c r="R151" s="7" t="n">
        <f aca="false">IF(G151="P",0,1)</f>
        <v>1</v>
      </c>
      <c r="S151" s="130" t="e">
        <f aca="false">xSPRDOPT($K151,$L151,$J151,$M151,$N151,$O151,$P151,$Q151-$C$3,$R151,0)</f>
        <v>#NAME?</v>
      </c>
      <c r="T151" s="250" t="e">
        <f aca="false">xSPRDOPT($K151,$L151,$J151,$M151,$N151,$O151,$P151,$Q151-$C$3,$R151,1)*I151</f>
        <v>#NAME?</v>
      </c>
      <c r="U151" s="43" t="n">
        <v>10250</v>
      </c>
      <c r="V151" s="250" t="e">
        <f aca="false">xSPRDOPT($K151,$L151,$J151,$M151,$N151,$O151,$P151,$Q151-$C$3,$R151,2)*I151</f>
        <v>#NAME?</v>
      </c>
      <c r="W151" s="250" t="e">
        <f aca="false">+V151+T151</f>
        <v>#NAME?</v>
      </c>
      <c r="X151" s="2" t="str">
        <f aca="false">CONCATENATE(H151,E151)</f>
        <v>36678IF-ELPO/SJ</v>
      </c>
      <c r="Y151" s="251" t="n">
        <f aca="false">I151/10000</f>
        <v>5</v>
      </c>
      <c r="Z151" s="2"/>
      <c r="AB151" s="182" t="n">
        <f aca="false">H151</f>
        <v>36678</v>
      </c>
      <c r="AC151" s="253" t="e">
        <f aca="false">xSPRDOPT(HLOOKUP($D$3,GDPRICES,VLOOKUP(Q151,GDmove_down,2,FALSE()),FALSE()),HLOOKUP($E$3,GDPRICES,VLOOKUP(Q151,GDmove_down,2,FALSE()),FALSE()),J151,VLOOKUP(H151,NGPREVPRICES,4,FALSE()),HLOOKUP($H$3,GDPrevVols,VLOOKUP(Q151,GDmove_down2,2,FALSE()),FALSE()),HLOOKUP($H$3,GDPrevVols,VLOOKUP(Q151,GDmove_down2,2,FALSE()),FALSE()),HLOOKUP(E151,GDcorr,VLOOKUP(H151,CorMove,2,FALSE()),FALSE()),Q151-$AC$3,R151,$AC$5)*I151-AI151</f>
        <v>#N/A</v>
      </c>
      <c r="AD151" s="253" t="e">
        <f aca="false">xSPRDOPT(HLOOKUP($D$3,GDPrev,VLOOKUP(Q151,GDmove_down,2,FALSE()),FALSE()),HLOOKUP($E$3,GDPrev,VLOOKUP(Q151,GDmove_down,2,FALSE()),FALSE()),AJ151,VLOOKUP(H151,NGPrices,4,FALSE()),HLOOKUP($H$3,GDPrevVols,VLOOKUP(Q151,GDmove_down2,2,FALSE()),FALSE()),HLOOKUP($H$3,GDPrevVols,VLOOKUP(Q151,GDmove_down2,2,FALSE()),FALSE()),HLOOKUP(E151,GDcorr,VLOOKUP(H151,CorMove,2,FALSE()),FALSE()),Q151-$AC$3,R151,$AI$5)*I151-AI151</f>
        <v>#N/A</v>
      </c>
      <c r="AE151" s="132" t="e">
        <f aca="false">(AI151/VLOOKUP(AB151,discount,3,FALSE()))-(AI151/VLOOKUP(AB151,discount,2,FALSE()))</f>
        <v>#N/A</v>
      </c>
      <c r="AF151" s="253" t="e">
        <f aca="false">xSPRDOPT(HLOOKUP($D$3,GDPrev,VLOOKUP(Q151,GDmove_down,2,FALSE()),FALSE()),HLOOKUP($E$3,GDPrev,VLOOKUP(Q151,GDmove_down,2,FALSE()),FALSE()),AJ151,VLOOKUP(H151,NGPREVPRICES,4,FALSE()),HLOOKUP($H$3,GDVol,VLOOKUP(H151,move_down,2,FALSE()),FALSE()),HLOOKUP($H$3,GDVol,VLOOKUP(H151,move_down,2,FALSE()),FALSE()),HLOOKUP(E151,GDcorr,VLOOKUP(H151,CorMove,2,FALSE()),FALSE()),Q151-$AC$3,R151,$AI$5)*I151-AI151</f>
        <v>#N/A</v>
      </c>
      <c r="AG151" s="253" t="e">
        <f aca="false">xSPRDOPT(HLOOKUP($D$3,GDPrev,VLOOKUP(Q151,GDmove_down,2,FALSE()),FALSE()),HLOOKUP($E$3,GDPrev,VLOOKUP(Q151,GDmove_down,2,FALSE()),FALSE()),AJ151,VLOOKUP(H151,NGPREVPRICES,4,FALSE()),HLOOKUP($H$3,GDPrevVols,VLOOKUP(Q151,GDmove_down2,2,FALSE()),FALSE()),HLOOKUP($H$3,GDPrevVols,VLOOKUP(Q151,GDmove_down2,2,FALSE()),FALSE()),HLOOKUP(E151,GDcorr,VLOOKUP(H151,CorMove,2,FALSE()),FALSE()),Q151-$C$3,R151,$AI$5)*I151-AI151</f>
        <v>#N/A</v>
      </c>
      <c r="AH151" s="253" t="e">
        <f aca="false">SUM(AC151:AG151)</f>
        <v>#N/A</v>
      </c>
      <c r="AI151" s="253" t="e">
        <f aca="false">xSPRDOPT(HLOOKUP($D$3,GDPrev,VLOOKUP(Q151,GDmove_down,2,FALSE()),FALSE()),HLOOKUP($E$3,GDPrev,VLOOKUP(Q151,GDmove_down,2,FALSE()),FALSE()),AJ151,VLOOKUP(H151,NGPREVPRICES,4,FALSE()),HLOOKUP($H$3,GDPrevVols,VLOOKUP(Q151,GDmove_down2,2,FALSE()),FALSE()),HLOOKUP($H$3,GDPrevVols,VLOOKUP(Q151,GDmove_down2,2,FALSE()),FALSE()),HLOOKUP(E151,GDcorr,VLOOKUP(H151,CorMove,2,FALSE()),FALSE()),Q151-$AC$3,R151,$AI$5)*I151</f>
        <v>#N/A</v>
      </c>
      <c r="AJ151" s="254" t="e">
        <f aca="false">HLOOKUP(D151,PREVCURVES,VLOOKUP(H151,MOVE_DOWN2,2,FALSE()),FALSE())-HLOOKUP(E151,PREVCURVES,VLOOKUP(H151,MOVE_DOWN2,2,FALSE()),FALSE())</f>
        <v>#N/A</v>
      </c>
      <c r="AK151" s="253"/>
      <c r="AL151" s="0" t="str">
        <f aca="false">CONCATENATE(AB151,$AC$6)</f>
        <v>36678Curve Shift/Gamma</v>
      </c>
      <c r="AM151" s="0" t="str">
        <f aca="false">CONCATENATE($AB151,$AD$6)</f>
        <v>36678Rho</v>
      </c>
      <c r="AN151" s="0" t="str">
        <f aca="false">CONCATENATE($AB151,$AE$6)</f>
        <v>36678Drift</v>
      </c>
      <c r="AO151" s="0" t="str">
        <f aca="false">CONCATENATE($AB151,$AF$6)</f>
        <v>36678Vega</v>
      </c>
      <c r="AP151" s="0" t="str">
        <f aca="false">CONCATENATE($AB151,$AG$6)</f>
        <v>36678Theta</v>
      </c>
      <c r="AZ151" s="143" t="n">
        <f aca="false">EOMONTH(AZ150,0)+1</f>
        <v>40544</v>
      </c>
      <c r="BA151" s="135"/>
      <c r="BG151" s="285" t="n">
        <v>40878</v>
      </c>
      <c r="BH151" s="0" t="n">
        <v>0.970485</v>
      </c>
      <c r="BJ151" s="285" t="n">
        <v>40878</v>
      </c>
      <c r="BK151" s="0" t="n">
        <v>148</v>
      </c>
    </row>
    <row r="152" customFormat="false" ht="12" hidden="false" customHeight="true" outlineLevel="0" collapsed="false">
      <c r="A152" s="267" t="s">
        <v>198</v>
      </c>
      <c r="B152" s="269" t="s">
        <v>192</v>
      </c>
      <c r="C152" s="269" t="s">
        <v>493</v>
      </c>
      <c r="D152" s="269" t="s">
        <v>137</v>
      </c>
      <c r="E152" s="7" t="s">
        <v>483</v>
      </c>
      <c r="F152" s="269" t="s">
        <v>131</v>
      </c>
      <c r="G152" s="269" t="s">
        <v>136</v>
      </c>
      <c r="H152" s="286" t="n">
        <v>36678</v>
      </c>
      <c r="I152" s="272" t="n">
        <v>50000</v>
      </c>
      <c r="J152" s="125" t="n">
        <v>0.46</v>
      </c>
      <c r="K152" s="124" t="n">
        <f aca="false">HLOOKUP($D$3,GDPRICES,VLOOKUP(Q152,GDmove_down,2,FALSE()),FALSE())</f>
        <v>4.925</v>
      </c>
      <c r="L152" s="124" t="n">
        <f aca="false">HLOOKUP($E$3,GDPRICES,VLOOKUP(Q152,GDmove_down,2,FALSE()),FALSE())</f>
        <v>3.315</v>
      </c>
      <c r="M152" s="126" t="n">
        <v>1</v>
      </c>
      <c r="N152" s="7" t="n">
        <v>0.515</v>
      </c>
      <c r="O152" s="7" t="n">
        <v>0.515</v>
      </c>
      <c r="P152" s="249" t="e">
        <f aca="false">HLOOKUP(E152,GDcorr,VLOOKUP(H152,GDCorMove,2,FALSE()),FALSE())</f>
        <v>#N/A</v>
      </c>
      <c r="Q152" s="92" t="n">
        <v>36698</v>
      </c>
      <c r="R152" s="7" t="n">
        <f aca="false">IF(G152="P",0,1)</f>
        <v>1</v>
      </c>
      <c r="S152" s="130" t="e">
        <f aca="false">xSPRDOPT($K152,$L152,$J152,$M152,$N152,$O152,$P152,$Q152-$C$3,$R152,0)</f>
        <v>#NAME?</v>
      </c>
      <c r="T152" s="250" t="e">
        <f aca="false">xSPRDOPT($K152,$L152,$J152,$M152,$N152,$O152,$P152,$Q152-$C$3,$R152,1)*I152</f>
        <v>#NAME?</v>
      </c>
      <c r="U152" s="43" t="n">
        <v>10250</v>
      </c>
      <c r="V152" s="250" t="e">
        <f aca="false">xSPRDOPT($K152,$L152,$J152,$M152,$N152,$O152,$P152,$Q152-$C$3,$R152,2)*I152</f>
        <v>#NAME?</v>
      </c>
      <c r="W152" s="250" t="e">
        <f aca="false">+V152+T152</f>
        <v>#NAME?</v>
      </c>
      <c r="X152" s="2" t="str">
        <f aca="false">CONCATENATE(H152,E152)</f>
        <v>36678IF-ELPO/SJ</v>
      </c>
      <c r="Y152" s="251" t="n">
        <f aca="false">I152/10000</f>
        <v>5</v>
      </c>
      <c r="Z152" s="2"/>
      <c r="AB152" s="182" t="n">
        <f aca="false">H152</f>
        <v>36678</v>
      </c>
      <c r="AC152" s="253" t="e">
        <f aca="false">xSPRDOPT(HLOOKUP($D$3,GDPRICES,VLOOKUP(Q152,GDmove_down,2,FALSE()),FALSE()),HLOOKUP($E$3,GDPRICES,VLOOKUP(Q152,GDmove_down,2,FALSE()),FALSE()),J152,VLOOKUP(H152,NGPREVPRICES,4,FALSE()),HLOOKUP($H$3,GDPrevVols,VLOOKUP(Q152,GDmove_down2,2,FALSE()),FALSE()),HLOOKUP($H$3,GDPrevVols,VLOOKUP(Q152,GDmove_down2,2,FALSE()),FALSE()),HLOOKUP(E152,GDcorr,VLOOKUP(H152,CorMove,2,FALSE()),FALSE()),Q152-$AC$3,R152,$AC$5)*I152-AI152</f>
        <v>#N/A</v>
      </c>
      <c r="AD152" s="253" t="e">
        <f aca="false">xSPRDOPT(HLOOKUP($D$3,GDPrev,VLOOKUP(Q152,GDmove_down,2,FALSE()),FALSE()),HLOOKUP($E$3,GDPrev,VLOOKUP(Q152,GDmove_down,2,FALSE()),FALSE()),AJ152,VLOOKUP(H152,NGPrices,4,FALSE()),HLOOKUP($H$3,GDPrevVols,VLOOKUP(Q152,GDmove_down2,2,FALSE()),FALSE()),HLOOKUP($H$3,GDPrevVols,VLOOKUP(Q152,GDmove_down2,2,FALSE()),FALSE()),HLOOKUP(E152,GDcorr,VLOOKUP(H152,CorMove,2,FALSE()),FALSE()),Q152-$AC$3,R152,$AI$5)*I152-AI152</f>
        <v>#N/A</v>
      </c>
      <c r="AE152" s="132" t="e">
        <f aca="false">(AI152/VLOOKUP(AB152,discount,3,FALSE()))-(AI152/VLOOKUP(AB152,discount,2,FALSE()))</f>
        <v>#N/A</v>
      </c>
      <c r="AF152" s="253" t="e">
        <f aca="false">xSPRDOPT(HLOOKUP($D$3,GDPrev,VLOOKUP(Q152,GDmove_down,2,FALSE()),FALSE()),HLOOKUP($E$3,GDPrev,VLOOKUP(Q152,GDmove_down,2,FALSE()),FALSE()),AJ152,VLOOKUP(H152,NGPREVPRICES,4,FALSE()),HLOOKUP($H$3,GDVol,VLOOKUP(H152,move_down,2,FALSE()),FALSE()),HLOOKUP($H$3,GDVol,VLOOKUP(H152,move_down,2,FALSE()),FALSE()),HLOOKUP(E152,GDcorr,VLOOKUP(H152,CorMove,2,FALSE()),FALSE()),Q152-$AC$3,R152,$AI$5)*I152-AI152</f>
        <v>#N/A</v>
      </c>
      <c r="AG152" s="253" t="e">
        <f aca="false">xSPRDOPT(HLOOKUP($D$3,GDPrev,VLOOKUP(Q152,GDmove_down,2,FALSE()),FALSE()),HLOOKUP($E$3,GDPrev,VLOOKUP(Q152,GDmove_down,2,FALSE()),FALSE()),AJ152,VLOOKUP(H152,NGPREVPRICES,4,FALSE()),HLOOKUP($H$3,GDPrevVols,VLOOKUP(Q152,GDmove_down2,2,FALSE()),FALSE()),HLOOKUP($H$3,GDPrevVols,VLOOKUP(Q152,GDmove_down2,2,FALSE()),FALSE()),HLOOKUP(E152,GDcorr,VLOOKUP(H152,CorMove,2,FALSE()),FALSE()),Q152-$C$3,R152,$AI$5)*I152-AI152</f>
        <v>#N/A</v>
      </c>
      <c r="AH152" s="253" t="e">
        <f aca="false">SUM(AC152:AG152)</f>
        <v>#N/A</v>
      </c>
      <c r="AI152" s="253" t="e">
        <f aca="false">xSPRDOPT(HLOOKUP($D$3,GDPrev,VLOOKUP(Q152,GDmove_down,2,FALSE()),FALSE()),HLOOKUP($E$3,GDPrev,VLOOKUP(Q152,GDmove_down,2,FALSE()),FALSE()),AJ152,VLOOKUP(H152,NGPREVPRICES,4,FALSE()),HLOOKUP($H$3,GDPrevVols,VLOOKUP(Q152,GDmove_down2,2,FALSE()),FALSE()),HLOOKUP($H$3,GDPrevVols,VLOOKUP(Q152,GDmove_down2,2,FALSE()),FALSE()),HLOOKUP(E152,GDcorr,VLOOKUP(H152,CorMove,2,FALSE()),FALSE()),Q152-$AC$3,R152,$AI$5)*I152</f>
        <v>#N/A</v>
      </c>
      <c r="AJ152" s="254" t="e">
        <f aca="false">HLOOKUP(D152,PREVCURVES,VLOOKUP(H152,MOVE_DOWN2,2,FALSE()),FALSE())-HLOOKUP(E152,PREVCURVES,VLOOKUP(H152,MOVE_DOWN2,2,FALSE()),FALSE())</f>
        <v>#N/A</v>
      </c>
      <c r="AK152" s="253"/>
      <c r="AL152" s="0" t="str">
        <f aca="false">CONCATENATE(AB152,$AC$6)</f>
        <v>36678Curve Shift/Gamma</v>
      </c>
      <c r="AM152" s="0" t="str">
        <f aca="false">CONCATENATE($AB152,$AD$6)</f>
        <v>36678Rho</v>
      </c>
      <c r="AN152" s="0" t="str">
        <f aca="false">CONCATENATE($AB152,$AE$6)</f>
        <v>36678Drift</v>
      </c>
      <c r="AO152" s="0" t="str">
        <f aca="false">CONCATENATE($AB152,$AF$6)</f>
        <v>36678Vega</v>
      </c>
      <c r="AP152" s="0" t="str">
        <f aca="false">CONCATENATE($AB152,$AG$6)</f>
        <v>36678Theta</v>
      </c>
      <c r="AZ152" s="143" t="n">
        <f aca="false">EOMONTH(AZ151,0)+1</f>
        <v>40575</v>
      </c>
      <c r="BA152" s="135"/>
      <c r="BG152" s="285" t="n">
        <v>40909</v>
      </c>
      <c r="BH152" s="0" t="n">
        <v>0.985</v>
      </c>
      <c r="BJ152" s="285" t="n">
        <v>40909</v>
      </c>
      <c r="BK152" s="0" t="n">
        <v>149</v>
      </c>
    </row>
    <row r="153" customFormat="false" ht="12" hidden="false" customHeight="true" outlineLevel="0" collapsed="false">
      <c r="A153" s="267" t="s">
        <v>198</v>
      </c>
      <c r="B153" s="269" t="s">
        <v>192</v>
      </c>
      <c r="C153" s="269" t="s">
        <v>494</v>
      </c>
      <c r="D153" s="269" t="s">
        <v>137</v>
      </c>
      <c r="E153" s="7" t="s">
        <v>483</v>
      </c>
      <c r="F153" s="269" t="s">
        <v>131</v>
      </c>
      <c r="G153" s="269" t="s">
        <v>136</v>
      </c>
      <c r="H153" s="286" t="n">
        <v>36678</v>
      </c>
      <c r="I153" s="272" t="n">
        <v>-10000</v>
      </c>
      <c r="J153" s="125" t="n">
        <v>0.46</v>
      </c>
      <c r="K153" s="124" t="n">
        <f aca="false">HLOOKUP($D$3,GDPRICES,VLOOKUP(Q153,GDmove_down,2,FALSE()),FALSE())</f>
        <v>4.925</v>
      </c>
      <c r="L153" s="124" t="n">
        <f aca="false">HLOOKUP($E$3,GDPRICES,VLOOKUP(Q153,GDmove_down,2,FALSE()),FALSE())</f>
        <v>3.315</v>
      </c>
      <c r="M153" s="126" t="n">
        <v>1</v>
      </c>
      <c r="N153" s="7" t="n">
        <v>0.515</v>
      </c>
      <c r="O153" s="7" t="n">
        <v>0.515</v>
      </c>
      <c r="P153" s="249" t="e">
        <f aca="false">HLOOKUP(E153,GDcorr,VLOOKUP(H153,GDCorMove,2,FALSE()),FALSE())</f>
        <v>#N/A</v>
      </c>
      <c r="Q153" s="92" t="n">
        <v>36698</v>
      </c>
      <c r="R153" s="7" t="n">
        <f aca="false">IF(G153="P",0,1)</f>
        <v>1</v>
      </c>
      <c r="S153" s="130" t="e">
        <f aca="false">xSPRDOPT($K153,$L153,$J153,$M153,$N153,$O153,$P153,$Q153-$C$3,$R153,0)</f>
        <v>#NAME?</v>
      </c>
      <c r="T153" s="250" t="e">
        <f aca="false">xSPRDOPT($K153,$L153,$J153,$M153,$N153,$O153,$P153,$Q153-$C$3,$R153,1)*I153</f>
        <v>#NAME?</v>
      </c>
      <c r="U153" s="43" t="n">
        <v>-2050</v>
      </c>
      <c r="V153" s="250" t="e">
        <f aca="false">xSPRDOPT($K153,$L153,$J153,$M153,$N153,$O153,$P153,$Q153-$C$3,$R153,2)*I153</f>
        <v>#NAME?</v>
      </c>
      <c r="W153" s="250" t="e">
        <f aca="false">+V153+T153</f>
        <v>#NAME?</v>
      </c>
      <c r="X153" s="2" t="str">
        <f aca="false">CONCATENATE(H153,E153)</f>
        <v>36678IF-ELPO/SJ</v>
      </c>
      <c r="Y153" s="251" t="n">
        <f aca="false">I153/10000</f>
        <v>-1</v>
      </c>
      <c r="Z153" s="2"/>
      <c r="AB153" s="182" t="n">
        <f aca="false">H153</f>
        <v>36678</v>
      </c>
      <c r="AC153" s="253" t="e">
        <f aca="false">xSPRDOPT(HLOOKUP($D$3,GDPRICES,VLOOKUP(Q153,GDmove_down,2,FALSE()),FALSE()),HLOOKUP($E$3,GDPRICES,VLOOKUP(Q153,GDmove_down,2,FALSE()),FALSE()),J153,VLOOKUP(H153,NGPREVPRICES,4,FALSE()),HLOOKUP($H$3,GDPrevVols,VLOOKUP(Q153,GDmove_down2,2,FALSE()),FALSE()),HLOOKUP($H$3,GDPrevVols,VLOOKUP(Q153,GDmove_down2,2,FALSE()),FALSE()),HLOOKUP(E153,GDcorr,VLOOKUP(H153,CorMove,2,FALSE()),FALSE()),Q153-$AC$3,R153,$AC$5)*I153-AI153</f>
        <v>#N/A</v>
      </c>
      <c r="AD153" s="253" t="e">
        <f aca="false">xSPRDOPT(HLOOKUP($D$3,GDPrev,VLOOKUP(Q153,GDmove_down,2,FALSE()),FALSE()),HLOOKUP($E$3,GDPrev,VLOOKUP(Q153,GDmove_down,2,FALSE()),FALSE()),AJ153,VLOOKUP(H153,NGPrices,4,FALSE()),HLOOKUP($H$3,GDPrevVols,VLOOKUP(Q153,GDmove_down2,2,FALSE()),FALSE()),HLOOKUP($H$3,GDPrevVols,VLOOKUP(Q153,GDmove_down2,2,FALSE()),FALSE()),HLOOKUP(E153,GDcorr,VLOOKUP(H153,CorMove,2,FALSE()),FALSE()),Q153-$AC$3,R153,$AI$5)*I153-AI153</f>
        <v>#N/A</v>
      </c>
      <c r="AE153" s="132" t="e">
        <f aca="false">(AI153/VLOOKUP(AB153,discount,3,FALSE()))-(AI153/VLOOKUP(AB153,discount,2,FALSE()))</f>
        <v>#N/A</v>
      </c>
      <c r="AF153" s="253" t="e">
        <f aca="false">xSPRDOPT(HLOOKUP($D$3,GDPrev,VLOOKUP(Q153,GDmove_down,2,FALSE()),FALSE()),HLOOKUP($E$3,GDPrev,VLOOKUP(Q153,GDmove_down,2,FALSE()),FALSE()),AJ153,VLOOKUP(H153,NGPREVPRICES,4,FALSE()),HLOOKUP($H$3,GDVol,VLOOKUP(H153,move_down,2,FALSE()),FALSE()),HLOOKUP($H$3,GDVol,VLOOKUP(H153,move_down,2,FALSE()),FALSE()),HLOOKUP(E153,GDcorr,VLOOKUP(H153,CorMove,2,FALSE()),FALSE()),Q153-$AC$3,R153,$AI$5)*I153-AI153</f>
        <v>#N/A</v>
      </c>
      <c r="AG153" s="253" t="e">
        <f aca="false">xSPRDOPT(HLOOKUP($D$3,GDPrev,VLOOKUP(Q153,GDmove_down,2,FALSE()),FALSE()),HLOOKUP($E$3,GDPrev,VLOOKUP(Q153,GDmove_down,2,FALSE()),FALSE()),AJ153,VLOOKUP(H153,NGPREVPRICES,4,FALSE()),HLOOKUP($H$3,GDPrevVols,VLOOKUP(Q153,GDmove_down2,2,FALSE()),FALSE()),HLOOKUP($H$3,GDPrevVols,VLOOKUP(Q153,GDmove_down2,2,FALSE()),FALSE()),HLOOKUP(E153,GDcorr,VLOOKUP(H153,CorMove,2,FALSE()),FALSE()),Q153-$C$3,R153,$AI$5)*I153-AI153</f>
        <v>#N/A</v>
      </c>
      <c r="AH153" s="253" t="e">
        <f aca="false">SUM(AC153:AG153)</f>
        <v>#N/A</v>
      </c>
      <c r="AI153" s="253" t="e">
        <f aca="false">xSPRDOPT(HLOOKUP($D$3,GDPrev,VLOOKUP(Q153,GDmove_down,2,FALSE()),FALSE()),HLOOKUP($E$3,GDPrev,VLOOKUP(Q153,GDmove_down,2,FALSE()),FALSE()),AJ153,VLOOKUP(H153,NGPREVPRICES,4,FALSE()),HLOOKUP($H$3,GDPrevVols,VLOOKUP(Q153,GDmove_down2,2,FALSE()),FALSE()),HLOOKUP($H$3,GDPrevVols,VLOOKUP(Q153,GDmove_down2,2,FALSE()),FALSE()),HLOOKUP(E153,GDcorr,VLOOKUP(H153,CorMove,2,FALSE()),FALSE()),Q153-$AC$3,R153,$AI$5)*I153</f>
        <v>#N/A</v>
      </c>
      <c r="AJ153" s="254" t="e">
        <f aca="false">HLOOKUP(D153,PREVCURVES,VLOOKUP(H153,MOVE_DOWN2,2,FALSE()),FALSE())-HLOOKUP(E153,PREVCURVES,VLOOKUP(H153,MOVE_DOWN2,2,FALSE()),FALSE())</f>
        <v>#N/A</v>
      </c>
      <c r="AK153" s="253"/>
      <c r="AL153" s="0" t="str">
        <f aca="false">CONCATENATE(AB153,$AC$6)</f>
        <v>36678Curve Shift/Gamma</v>
      </c>
      <c r="AM153" s="0" t="str">
        <f aca="false">CONCATENATE($AB153,$AD$6)</f>
        <v>36678Rho</v>
      </c>
      <c r="AN153" s="0" t="str">
        <f aca="false">CONCATENATE($AB153,$AE$6)</f>
        <v>36678Drift</v>
      </c>
      <c r="AO153" s="0" t="str">
        <f aca="false">CONCATENATE($AB153,$AF$6)</f>
        <v>36678Vega</v>
      </c>
      <c r="AP153" s="0" t="str">
        <f aca="false">CONCATENATE($AB153,$AG$6)</f>
        <v>36678Theta</v>
      </c>
      <c r="AZ153" s="143" t="n">
        <f aca="false">EOMONTH(AZ152,0)+1</f>
        <v>40603</v>
      </c>
      <c r="BA153" s="135"/>
      <c r="BG153" s="285" t="n">
        <v>40940</v>
      </c>
      <c r="BH153" s="0" t="n">
        <v>0.985</v>
      </c>
      <c r="BJ153" s="285" t="n">
        <v>40940</v>
      </c>
      <c r="BK153" s="0" t="n">
        <v>150</v>
      </c>
    </row>
    <row r="154" customFormat="false" ht="12" hidden="false" customHeight="true" outlineLevel="0" collapsed="false">
      <c r="A154" s="265" t="s">
        <v>198</v>
      </c>
      <c r="B154" s="269" t="s">
        <v>192</v>
      </c>
      <c r="C154" s="269" t="s">
        <v>488</v>
      </c>
      <c r="D154" s="269" t="s">
        <v>137</v>
      </c>
      <c r="E154" s="7" t="s">
        <v>483</v>
      </c>
      <c r="F154" s="269" t="s">
        <v>131</v>
      </c>
      <c r="G154" s="269" t="s">
        <v>136</v>
      </c>
      <c r="H154" s="286" t="n">
        <v>36678</v>
      </c>
      <c r="I154" s="272" t="n">
        <v>-50000</v>
      </c>
      <c r="J154" s="125" t="n">
        <v>0.46</v>
      </c>
      <c r="K154" s="124" t="n">
        <f aca="false">HLOOKUP($D$3,GDPRICES,VLOOKUP(Q154,GDmove_down,2,FALSE()),FALSE())</f>
        <v>5.29</v>
      </c>
      <c r="L154" s="124" t="n">
        <f aca="false">HLOOKUP($E$3,GDPRICES,VLOOKUP(Q154,GDmove_down,2,FALSE()),FALSE())</f>
        <v>3.565</v>
      </c>
      <c r="M154" s="126" t="n">
        <v>1</v>
      </c>
      <c r="N154" s="7" t="n">
        <v>0.515</v>
      </c>
      <c r="O154" s="7" t="n">
        <v>0.515</v>
      </c>
      <c r="P154" s="249" t="e">
        <f aca="false">HLOOKUP(E154,GDcorr,VLOOKUP(H154,GDCorMove,2,FALSE()),FALSE())</f>
        <v>#N/A</v>
      </c>
      <c r="Q154" s="92" t="n">
        <v>36699</v>
      </c>
      <c r="R154" s="7" t="n">
        <f aca="false">IF(G154="P",0,1)</f>
        <v>1</v>
      </c>
      <c r="S154" s="130" t="e">
        <f aca="false">xSPRDOPT($K154,$L154,$J154,$M154,$N154,$O154,$P154,$Q154-$C$3,$R154,0)</f>
        <v>#NAME?</v>
      </c>
      <c r="T154" s="250" t="e">
        <f aca="false">xSPRDOPT($K154,$L154,$J154,$M154,$N154,$O154,$P154,$Q154-$C$3,$R154,1)*I154</f>
        <v>#NAME?</v>
      </c>
      <c r="U154" s="43" t="n">
        <v>-8500</v>
      </c>
      <c r="V154" s="250" t="e">
        <f aca="false">xSPRDOPT($K154,$L154,$J154,$M154,$N154,$O154,$P154,$Q154-$C$3,$R154,2)*I154</f>
        <v>#NAME?</v>
      </c>
      <c r="W154" s="250" t="e">
        <f aca="false">+V154+T154</f>
        <v>#NAME?</v>
      </c>
      <c r="X154" s="2" t="str">
        <f aca="false">CONCATENATE(H154,E154)</f>
        <v>36678IF-ELPO/SJ</v>
      </c>
      <c r="Y154" s="251" t="n">
        <f aca="false">I154/10000</f>
        <v>-5</v>
      </c>
      <c r="Z154" s="2"/>
      <c r="AB154" s="182" t="n">
        <f aca="false">H154</f>
        <v>36678</v>
      </c>
      <c r="AC154" s="253" t="e">
        <f aca="false">xSPRDOPT(HLOOKUP($D$3,GDPRICES,VLOOKUP(Q154,GDmove_down,2,FALSE()),FALSE()),HLOOKUP($E$3,GDPRICES,VLOOKUP(Q154,GDmove_down,2,FALSE()),FALSE()),J154,VLOOKUP(H154,NGPREVPRICES,4,FALSE()),HLOOKUP($H$3,GDPrevVols,VLOOKUP(Q154,GDmove_down2,2,FALSE()),FALSE()),HLOOKUP($H$3,GDPrevVols,VLOOKUP(Q154,GDmove_down2,2,FALSE()),FALSE()),HLOOKUP(E154,GDcorr,VLOOKUP(H154,CorMove,2,FALSE()),FALSE()),Q154-$AC$3,R154,$AC$5)*I154-AI154</f>
        <v>#N/A</v>
      </c>
      <c r="AD154" s="253" t="e">
        <f aca="false">xSPRDOPT(HLOOKUP($D$3,GDPrev,VLOOKUP(Q154,GDmove_down,2,FALSE()),FALSE()),HLOOKUP($E$3,GDPrev,VLOOKUP(Q154,GDmove_down,2,FALSE()),FALSE()),AJ154,VLOOKUP(H154,NGPrices,4,FALSE()),HLOOKUP($H$3,GDPrevVols,VLOOKUP(Q154,GDmove_down2,2,FALSE()),FALSE()),HLOOKUP($H$3,GDPrevVols,VLOOKUP(Q154,GDmove_down2,2,FALSE()),FALSE()),HLOOKUP(E154,GDcorr,VLOOKUP(H154,CorMove,2,FALSE()),FALSE()),Q154-$AC$3,R154,$AI$5)*I154-AI154</f>
        <v>#N/A</v>
      </c>
      <c r="AE154" s="132" t="e">
        <f aca="false">(AI154/VLOOKUP(AB154,discount,3,FALSE()))-(AI154/VLOOKUP(AB154,discount,2,FALSE()))</f>
        <v>#N/A</v>
      </c>
      <c r="AF154" s="253" t="e">
        <f aca="false">xSPRDOPT(HLOOKUP($D$3,GDPrev,VLOOKUP(Q154,GDmove_down,2,FALSE()),FALSE()),HLOOKUP($E$3,GDPrev,VLOOKUP(Q154,GDmove_down,2,FALSE()),FALSE()),AJ154,VLOOKUP(H154,NGPREVPRICES,4,FALSE()),HLOOKUP($H$3,GDVol,VLOOKUP(H154,move_down,2,FALSE()),FALSE()),HLOOKUP($H$3,GDVol,VLOOKUP(H154,move_down,2,FALSE()),FALSE()),HLOOKUP(E154,GDcorr,VLOOKUP(H154,CorMove,2,FALSE()),FALSE()),Q154-$AC$3,R154,$AI$5)*I154-AI154</f>
        <v>#N/A</v>
      </c>
      <c r="AG154" s="253" t="e">
        <f aca="false">xSPRDOPT(HLOOKUP($D$3,GDPrev,VLOOKUP(Q154,GDmove_down,2,FALSE()),FALSE()),HLOOKUP($E$3,GDPrev,VLOOKUP(Q154,GDmove_down,2,FALSE()),FALSE()),AJ154,VLOOKUP(H154,NGPREVPRICES,4,FALSE()),HLOOKUP($H$3,GDPrevVols,VLOOKUP(Q154,GDmove_down2,2,FALSE()),FALSE()),HLOOKUP($H$3,GDPrevVols,VLOOKUP(Q154,GDmove_down2,2,FALSE()),FALSE()),HLOOKUP(E154,GDcorr,VLOOKUP(H154,CorMove,2,FALSE()),FALSE()),Q154-$C$3,R154,$AI$5)*I154-AI154</f>
        <v>#N/A</v>
      </c>
      <c r="AH154" s="253" t="e">
        <f aca="false">SUM(AC154:AG154)</f>
        <v>#N/A</v>
      </c>
      <c r="AI154" s="253" t="e">
        <f aca="false">xSPRDOPT(HLOOKUP($D$3,GDPrev,VLOOKUP(Q154,GDmove_down,2,FALSE()),FALSE()),HLOOKUP($E$3,GDPrev,VLOOKUP(Q154,GDmove_down,2,FALSE()),FALSE()),AJ154,VLOOKUP(H154,NGPREVPRICES,4,FALSE()),HLOOKUP($H$3,GDPrevVols,VLOOKUP(Q154,GDmove_down2,2,FALSE()),FALSE()),HLOOKUP($H$3,GDPrevVols,VLOOKUP(Q154,GDmove_down2,2,FALSE()),FALSE()),HLOOKUP(E154,GDcorr,VLOOKUP(H154,CorMove,2,FALSE()),FALSE()),Q154-$AC$3,R154,$AI$5)*I154</f>
        <v>#N/A</v>
      </c>
      <c r="AJ154" s="254" t="e">
        <f aca="false">HLOOKUP(D154,PREVCURVES,VLOOKUP(H154,MOVE_DOWN2,2,FALSE()),FALSE())-HLOOKUP(E154,PREVCURVES,VLOOKUP(H154,MOVE_DOWN2,2,FALSE()),FALSE())</f>
        <v>#N/A</v>
      </c>
      <c r="AK154" s="253"/>
      <c r="AL154" s="0" t="str">
        <f aca="false">CONCATENATE(AB154,$AC$6)</f>
        <v>36678Curve Shift/Gamma</v>
      </c>
      <c r="AM154" s="0" t="str">
        <f aca="false">CONCATENATE($AB154,$AD$6)</f>
        <v>36678Rho</v>
      </c>
      <c r="AN154" s="0" t="str">
        <f aca="false">CONCATENATE($AB154,$AE$6)</f>
        <v>36678Drift</v>
      </c>
      <c r="AO154" s="0" t="str">
        <f aca="false">CONCATENATE($AB154,$AF$6)</f>
        <v>36678Vega</v>
      </c>
      <c r="AP154" s="0" t="str">
        <f aca="false">CONCATENATE($AB154,$AG$6)</f>
        <v>36678Theta</v>
      </c>
      <c r="AZ154" s="143" t="n">
        <f aca="false">EOMONTH(AZ153,0)+1</f>
        <v>40634</v>
      </c>
      <c r="BA154" s="135"/>
      <c r="BG154" s="285" t="n">
        <v>40969</v>
      </c>
      <c r="BH154" s="0" t="n">
        <v>0.985</v>
      </c>
      <c r="BJ154" s="285" t="n">
        <v>40969</v>
      </c>
      <c r="BK154" s="0" t="n">
        <v>151</v>
      </c>
    </row>
    <row r="155" customFormat="false" ht="12" hidden="false" customHeight="true" outlineLevel="0" collapsed="false">
      <c r="A155" s="265" t="s">
        <v>198</v>
      </c>
      <c r="B155" s="269" t="s">
        <v>192</v>
      </c>
      <c r="C155" s="269" t="s">
        <v>489</v>
      </c>
      <c r="D155" s="269" t="s">
        <v>137</v>
      </c>
      <c r="E155" s="7" t="s">
        <v>483</v>
      </c>
      <c r="F155" s="269" t="s">
        <v>131</v>
      </c>
      <c r="G155" s="269" t="s">
        <v>136</v>
      </c>
      <c r="H155" s="286" t="n">
        <v>36678</v>
      </c>
      <c r="I155" s="272" t="n">
        <v>10000</v>
      </c>
      <c r="J155" s="125" t="n">
        <v>0.46</v>
      </c>
      <c r="K155" s="124" t="n">
        <f aca="false">HLOOKUP($D$3,GDPRICES,VLOOKUP(Q155,GDmove_down,2,FALSE()),FALSE())</f>
        <v>5.29</v>
      </c>
      <c r="L155" s="124" t="n">
        <f aca="false">HLOOKUP($E$3,GDPRICES,VLOOKUP(Q155,GDmove_down,2,FALSE()),FALSE())</f>
        <v>3.565</v>
      </c>
      <c r="M155" s="126" t="n">
        <v>1</v>
      </c>
      <c r="N155" s="7" t="n">
        <v>0.515</v>
      </c>
      <c r="O155" s="7" t="n">
        <v>0.515</v>
      </c>
      <c r="P155" s="249" t="e">
        <f aca="false">HLOOKUP(E155,GDcorr,VLOOKUP(H155,GDCorMove,2,FALSE()),FALSE())</f>
        <v>#N/A</v>
      </c>
      <c r="Q155" s="92" t="n">
        <v>36699</v>
      </c>
      <c r="R155" s="7" t="n">
        <f aca="false">IF(G155="P",0,1)</f>
        <v>1</v>
      </c>
      <c r="S155" s="130" t="e">
        <f aca="false">xSPRDOPT($K155,$L155,$J155,$M155,$N155,$O155,$P155,$Q155-$C$3,$R155,0)</f>
        <v>#NAME?</v>
      </c>
      <c r="T155" s="250" t="e">
        <f aca="false">xSPRDOPT($K155,$L155,$J155,$M155,$N155,$O155,$P155,$Q155-$C$3,$R155,1)*I155</f>
        <v>#NAME?</v>
      </c>
      <c r="U155" s="43" t="n">
        <v>1700</v>
      </c>
      <c r="V155" s="250" t="e">
        <f aca="false">xSPRDOPT($K155,$L155,$J155,$M155,$N155,$O155,$P155,$Q155-$C$3,$R155,2)*I155</f>
        <v>#NAME?</v>
      </c>
      <c r="W155" s="250" t="e">
        <f aca="false">+V155+T155</f>
        <v>#NAME?</v>
      </c>
      <c r="X155" s="2" t="str">
        <f aca="false">CONCATENATE(H155,E155)</f>
        <v>36678IF-ELPO/SJ</v>
      </c>
      <c r="Y155" s="251" t="n">
        <f aca="false">I155/10000</f>
        <v>1</v>
      </c>
      <c r="Z155" s="2"/>
      <c r="AB155" s="182" t="n">
        <f aca="false">H155</f>
        <v>36678</v>
      </c>
      <c r="AC155" s="253" t="e">
        <f aca="false">xSPRDOPT(HLOOKUP($D$3,GDPRICES,VLOOKUP(Q155,GDmove_down,2,FALSE()),FALSE()),HLOOKUP($E$3,GDPRICES,VLOOKUP(Q155,GDmove_down,2,FALSE()),FALSE()),J155,VLOOKUP(H155,NGPREVPRICES,4,FALSE()),HLOOKUP($H$3,GDPrevVols,VLOOKUP(Q155,GDmove_down2,2,FALSE()),FALSE()),HLOOKUP($H$3,GDPrevVols,VLOOKUP(Q155,GDmove_down2,2,FALSE()),FALSE()),HLOOKUP(E155,GDcorr,VLOOKUP(H155,CorMove,2,FALSE()),FALSE()),Q155-$AC$3,R155,$AC$5)*I155-AI155</f>
        <v>#N/A</v>
      </c>
      <c r="AD155" s="253" t="e">
        <f aca="false">xSPRDOPT(HLOOKUP($D$3,GDPrev,VLOOKUP(Q155,GDmove_down,2,FALSE()),FALSE()),HLOOKUP($E$3,GDPrev,VLOOKUP(Q155,GDmove_down,2,FALSE()),FALSE()),AJ155,VLOOKUP(H155,NGPrices,4,FALSE()),HLOOKUP($H$3,GDPrevVols,VLOOKUP(Q155,GDmove_down2,2,FALSE()),FALSE()),HLOOKUP($H$3,GDPrevVols,VLOOKUP(Q155,GDmove_down2,2,FALSE()),FALSE()),HLOOKUP(E155,GDcorr,VLOOKUP(H155,CorMove,2,FALSE()),FALSE()),Q155-$AC$3,R155,$AI$5)*I155-AI155</f>
        <v>#N/A</v>
      </c>
      <c r="AE155" s="132" t="e">
        <f aca="false">(AI155/VLOOKUP(AB155,discount,3,FALSE()))-(AI155/VLOOKUP(AB155,discount,2,FALSE()))</f>
        <v>#N/A</v>
      </c>
      <c r="AF155" s="253" t="e">
        <f aca="false">xSPRDOPT(HLOOKUP($D$3,GDPrev,VLOOKUP(Q155,GDmove_down,2,FALSE()),FALSE()),HLOOKUP($E$3,GDPrev,VLOOKUP(Q155,GDmove_down,2,FALSE()),FALSE()),AJ155,VLOOKUP(H155,NGPREVPRICES,4,FALSE()),HLOOKUP($H$3,GDVol,VLOOKUP(H155,move_down,2,FALSE()),FALSE()),HLOOKUP($H$3,GDVol,VLOOKUP(H155,move_down,2,FALSE()),FALSE()),HLOOKUP(E155,GDcorr,VLOOKUP(H155,CorMove,2,FALSE()),FALSE()),Q155-$AC$3,R155,$AI$5)*I155-AI155</f>
        <v>#N/A</v>
      </c>
      <c r="AG155" s="253" t="e">
        <f aca="false">xSPRDOPT(HLOOKUP($D$3,GDPrev,VLOOKUP(Q155,GDmove_down,2,FALSE()),FALSE()),HLOOKUP($E$3,GDPrev,VLOOKUP(Q155,GDmove_down,2,FALSE()),FALSE()),AJ155,VLOOKUP(H155,NGPREVPRICES,4,FALSE()),HLOOKUP($H$3,GDPrevVols,VLOOKUP(Q155,GDmove_down2,2,FALSE()),FALSE()),HLOOKUP($H$3,GDPrevVols,VLOOKUP(Q155,GDmove_down2,2,FALSE()),FALSE()),HLOOKUP(E155,GDcorr,VLOOKUP(H155,CorMove,2,FALSE()),FALSE()),Q155-$C$3,R155,$AI$5)*I155-AI155</f>
        <v>#N/A</v>
      </c>
      <c r="AH155" s="253" t="e">
        <f aca="false">SUM(AC155:AG155)</f>
        <v>#N/A</v>
      </c>
      <c r="AI155" s="253" t="e">
        <f aca="false">xSPRDOPT(HLOOKUP($D$3,GDPrev,VLOOKUP(Q155,GDmove_down,2,FALSE()),FALSE()),HLOOKUP($E$3,GDPrev,VLOOKUP(Q155,GDmove_down,2,FALSE()),FALSE()),AJ155,VLOOKUP(H155,NGPREVPRICES,4,FALSE()),HLOOKUP($H$3,GDPrevVols,VLOOKUP(Q155,GDmove_down2,2,FALSE()),FALSE()),HLOOKUP($H$3,GDPrevVols,VLOOKUP(Q155,GDmove_down2,2,FALSE()),FALSE()),HLOOKUP(E155,GDcorr,VLOOKUP(H155,CorMove,2,FALSE()),FALSE()),Q155-$AC$3,R155,$AI$5)*I155</f>
        <v>#N/A</v>
      </c>
      <c r="AJ155" s="254" t="e">
        <f aca="false">HLOOKUP(D155,PREVCURVES,VLOOKUP(H155,MOVE_DOWN2,2,FALSE()),FALSE())-HLOOKUP(E155,PREVCURVES,VLOOKUP(H155,MOVE_DOWN2,2,FALSE()),FALSE())</f>
        <v>#N/A</v>
      </c>
      <c r="AK155" s="253"/>
      <c r="AL155" s="0" t="str">
        <f aca="false">CONCATENATE(AB155,$AC$6)</f>
        <v>36678Curve Shift/Gamma</v>
      </c>
      <c r="AM155" s="0" t="str">
        <f aca="false">CONCATENATE($AB155,$AD$6)</f>
        <v>36678Rho</v>
      </c>
      <c r="AN155" s="0" t="str">
        <f aca="false">CONCATENATE($AB155,$AE$6)</f>
        <v>36678Drift</v>
      </c>
      <c r="AO155" s="0" t="str">
        <f aca="false">CONCATENATE($AB155,$AF$6)</f>
        <v>36678Vega</v>
      </c>
      <c r="AP155" s="0" t="str">
        <f aca="false">CONCATENATE($AB155,$AG$6)</f>
        <v>36678Theta</v>
      </c>
      <c r="AZ155" s="143" t="n">
        <f aca="false">EOMONTH(AZ154,0)+1</f>
        <v>40664</v>
      </c>
      <c r="BA155" s="135"/>
      <c r="BG155" s="285" t="n">
        <v>41000</v>
      </c>
      <c r="BH155" s="0" t="n">
        <v>0.985</v>
      </c>
      <c r="BJ155" s="285" t="n">
        <v>41000</v>
      </c>
      <c r="BK155" s="0" t="n">
        <v>152</v>
      </c>
    </row>
    <row r="156" customFormat="false" ht="12" hidden="false" customHeight="true" outlineLevel="0" collapsed="false">
      <c r="A156" s="265" t="s">
        <v>198</v>
      </c>
      <c r="B156" s="269" t="s">
        <v>192</v>
      </c>
      <c r="C156" s="269" t="s">
        <v>490</v>
      </c>
      <c r="D156" s="269" t="s">
        <v>137</v>
      </c>
      <c r="E156" s="7" t="s">
        <v>483</v>
      </c>
      <c r="F156" s="269" t="s">
        <v>131</v>
      </c>
      <c r="G156" s="269" t="s">
        <v>136</v>
      </c>
      <c r="H156" s="286" t="n">
        <v>36678</v>
      </c>
      <c r="I156" s="272" t="n">
        <v>-333333</v>
      </c>
      <c r="J156" s="125" t="n">
        <v>0.46</v>
      </c>
      <c r="K156" s="124" t="n">
        <f aca="false">HLOOKUP($D$3,GDPRICES,VLOOKUP(Q156,GDmove_down,2,FALSE()),FALSE())</f>
        <v>5.29</v>
      </c>
      <c r="L156" s="124" t="n">
        <f aca="false">HLOOKUP($E$3,GDPRICES,VLOOKUP(Q156,GDmove_down,2,FALSE()),FALSE())</f>
        <v>3.565</v>
      </c>
      <c r="M156" s="126" t="n">
        <v>1</v>
      </c>
      <c r="N156" s="7" t="n">
        <v>0.515</v>
      </c>
      <c r="O156" s="7" t="n">
        <v>0.515</v>
      </c>
      <c r="P156" s="249" t="e">
        <f aca="false">HLOOKUP(E156,GDcorr,VLOOKUP(H156,GDCorMove,2,FALSE()),FALSE())</f>
        <v>#N/A</v>
      </c>
      <c r="Q156" s="92" t="n">
        <v>36699</v>
      </c>
      <c r="R156" s="7" t="n">
        <f aca="false">IF(G156="P",0,1)</f>
        <v>1</v>
      </c>
      <c r="S156" s="130" t="e">
        <f aca="false">xSPRDOPT($K156,$L156,$J156,$M156,$N156,$O156,$P156,$Q156-$C$3,$R156,0)</f>
        <v>#NAME?</v>
      </c>
      <c r="T156" s="250" t="e">
        <f aca="false">xSPRDOPT($K156,$L156,$J156,$M156,$N156,$O156,$P156,$Q156-$C$3,$R156,1)*I156</f>
        <v>#NAME?</v>
      </c>
      <c r="U156" s="43" t="n">
        <v>-56666.61</v>
      </c>
      <c r="V156" s="250" t="e">
        <f aca="false">xSPRDOPT($K156,$L156,$J156,$M156,$N156,$O156,$P156,$Q156-$C$3,$R156,2)*I156</f>
        <v>#NAME?</v>
      </c>
      <c r="W156" s="250" t="e">
        <f aca="false">+V156+T156</f>
        <v>#NAME?</v>
      </c>
      <c r="X156" s="2" t="str">
        <f aca="false">CONCATENATE(H156,E156)</f>
        <v>36678IF-ELPO/SJ</v>
      </c>
      <c r="Y156" s="251" t="n">
        <f aca="false">I156/10000</f>
        <v>-33.3333</v>
      </c>
      <c r="AB156" s="182" t="n">
        <f aca="false">H156</f>
        <v>36678</v>
      </c>
      <c r="AC156" s="253" t="e">
        <f aca="false">xSPRDOPT(HLOOKUP($D$3,GDPRICES,VLOOKUP(Q156,GDmove_down,2,FALSE()),FALSE()),HLOOKUP($E$3,GDPRICES,VLOOKUP(Q156,GDmove_down,2,FALSE()),FALSE()),J156,VLOOKUP(H156,NGPREVPRICES,4,FALSE()),HLOOKUP($H$3,GDPrevVols,VLOOKUP(Q156,GDmove_down2,2,FALSE()),FALSE()),HLOOKUP($H$3,GDPrevVols,VLOOKUP(Q156,GDmove_down2,2,FALSE()),FALSE()),HLOOKUP(E156,GDcorr,VLOOKUP(H156,CorMove,2,FALSE()),FALSE()),Q156-$AC$3,R156,$AC$5)*I156-AI156</f>
        <v>#N/A</v>
      </c>
      <c r="AD156" s="253" t="e">
        <f aca="false">xSPRDOPT(HLOOKUP($D$3,GDPrev,VLOOKUP(Q156,GDmove_down,2,FALSE()),FALSE()),HLOOKUP($E$3,GDPrev,VLOOKUP(Q156,GDmove_down,2,FALSE()),FALSE()),AJ156,VLOOKUP(H156,NGPrices,4,FALSE()),HLOOKUP($H$3,GDPrevVols,VLOOKUP(Q156,GDmove_down2,2,FALSE()),FALSE()),HLOOKUP($H$3,GDPrevVols,VLOOKUP(Q156,GDmove_down2,2,FALSE()),FALSE()),HLOOKUP(E156,GDcorr,VLOOKUP(H156,CorMove,2,FALSE()),FALSE()),Q156-$AC$3,R156,$AI$5)*I156-AI156</f>
        <v>#N/A</v>
      </c>
      <c r="AE156" s="132" t="e">
        <f aca="false">(AI156/VLOOKUP(AB156,discount,3,FALSE()))-(AI156/VLOOKUP(AB156,discount,2,FALSE()))</f>
        <v>#N/A</v>
      </c>
      <c r="AF156" s="253" t="e">
        <f aca="false">xSPRDOPT(HLOOKUP($D$3,GDPrev,VLOOKUP(Q156,GDmove_down,2,FALSE()),FALSE()),HLOOKUP($E$3,GDPrev,VLOOKUP(Q156,GDmove_down,2,FALSE()),FALSE()),AJ156,VLOOKUP(H156,NGPREVPRICES,4,FALSE()),HLOOKUP($H$3,GDVol,VLOOKUP(H156,move_down,2,FALSE()),FALSE()),HLOOKUP($H$3,GDVol,VLOOKUP(H156,move_down,2,FALSE()),FALSE()),HLOOKUP(E156,GDcorr,VLOOKUP(H156,CorMove,2,FALSE()),FALSE()),Q156-$AC$3,R156,$AI$5)*I156-AI156</f>
        <v>#N/A</v>
      </c>
      <c r="AG156" s="253" t="e">
        <f aca="false">xSPRDOPT(HLOOKUP($D$3,GDPrev,VLOOKUP(Q156,GDmove_down,2,FALSE()),FALSE()),HLOOKUP($E$3,GDPrev,VLOOKUP(Q156,GDmove_down,2,FALSE()),FALSE()),AJ156,VLOOKUP(H156,NGPREVPRICES,4,FALSE()),HLOOKUP($H$3,GDPrevVols,VLOOKUP(Q156,GDmove_down2,2,FALSE()),FALSE()),HLOOKUP($H$3,GDPrevVols,VLOOKUP(Q156,GDmove_down2,2,FALSE()),FALSE()),HLOOKUP(E156,GDcorr,VLOOKUP(H156,CorMove,2,FALSE()),FALSE()),Q156-$C$3,R156,$AI$5)*I156-AI156</f>
        <v>#N/A</v>
      </c>
      <c r="AH156" s="253" t="e">
        <f aca="false">SUM(AC156:AG156)</f>
        <v>#N/A</v>
      </c>
      <c r="AI156" s="253" t="e">
        <f aca="false">xSPRDOPT(HLOOKUP($D$3,GDPrev,VLOOKUP(Q156,GDmove_down,2,FALSE()),FALSE()),HLOOKUP($E$3,GDPrev,VLOOKUP(Q156,GDmove_down,2,FALSE()),FALSE()),AJ156,VLOOKUP(H156,NGPREVPRICES,4,FALSE()),HLOOKUP($H$3,GDPrevVols,VLOOKUP(Q156,GDmove_down2,2,FALSE()),FALSE()),HLOOKUP($H$3,GDPrevVols,VLOOKUP(Q156,GDmove_down2,2,FALSE()),FALSE()),HLOOKUP(E156,GDcorr,VLOOKUP(H156,CorMove,2,FALSE()),FALSE()),Q156-$AC$3,R156,$AI$5)*I156</f>
        <v>#N/A</v>
      </c>
      <c r="AJ156" s="254" t="e">
        <f aca="false">HLOOKUP(D156,PREVCURVES,VLOOKUP(H156,MOVE_DOWN2,2,FALSE()),FALSE())-HLOOKUP(E156,PREVCURVES,VLOOKUP(H156,MOVE_DOWN2,2,FALSE()),FALSE())</f>
        <v>#N/A</v>
      </c>
      <c r="AK156" s="253"/>
      <c r="AL156" s="0" t="str">
        <f aca="false">CONCATENATE(AB156,$AC$6)</f>
        <v>36678Curve Shift/Gamma</v>
      </c>
      <c r="AM156" s="0" t="str">
        <f aca="false">CONCATENATE($AB156,$AD$6)</f>
        <v>36678Rho</v>
      </c>
      <c r="AN156" s="0" t="str">
        <f aca="false">CONCATENATE($AB156,$AE$6)</f>
        <v>36678Drift</v>
      </c>
      <c r="AO156" s="0" t="str">
        <f aca="false">CONCATENATE($AB156,$AF$6)</f>
        <v>36678Vega</v>
      </c>
      <c r="AP156" s="0" t="str">
        <f aca="false">CONCATENATE($AB156,$AG$6)</f>
        <v>36678Theta</v>
      </c>
      <c r="AZ156" s="143" t="n">
        <f aca="false">EOMONTH(AZ155,0)+1</f>
        <v>40695</v>
      </c>
      <c r="BA156" s="135"/>
      <c r="BG156" s="285" t="n">
        <v>41030</v>
      </c>
      <c r="BH156" s="0" t="n">
        <v>0.985</v>
      </c>
      <c r="BJ156" s="285" t="n">
        <v>41030</v>
      </c>
      <c r="BK156" s="0" t="n">
        <v>153</v>
      </c>
    </row>
    <row r="157" customFormat="false" ht="12" hidden="false" customHeight="true" outlineLevel="0" collapsed="false">
      <c r="A157" s="267" t="s">
        <v>196</v>
      </c>
      <c r="B157" s="269" t="s">
        <v>192</v>
      </c>
      <c r="C157" s="269" t="s">
        <v>491</v>
      </c>
      <c r="D157" s="269" t="s">
        <v>137</v>
      </c>
      <c r="E157" s="7" t="s">
        <v>483</v>
      </c>
      <c r="F157" s="269" t="s">
        <v>131</v>
      </c>
      <c r="G157" s="269" t="s">
        <v>136</v>
      </c>
      <c r="H157" s="286" t="n">
        <v>36678</v>
      </c>
      <c r="I157" s="272" t="n">
        <v>-10000</v>
      </c>
      <c r="J157" s="125" t="n">
        <v>0.46</v>
      </c>
      <c r="K157" s="124" t="n">
        <f aca="false">HLOOKUP($D$3,GDPRICES,VLOOKUP(Q157,GDmove_down,2,FALSE()),FALSE())</f>
        <v>5.29</v>
      </c>
      <c r="L157" s="124" t="n">
        <f aca="false">HLOOKUP($E$3,GDPRICES,VLOOKUP(Q157,GDmove_down,2,FALSE()),FALSE())</f>
        <v>3.565</v>
      </c>
      <c r="M157" s="126" t="n">
        <v>1</v>
      </c>
      <c r="N157" s="7" t="n">
        <v>0.515</v>
      </c>
      <c r="O157" s="7" t="n">
        <v>0.515</v>
      </c>
      <c r="P157" s="249" t="e">
        <f aca="false">HLOOKUP(E157,GDcorr,VLOOKUP(H157,GDCorMove,2,FALSE()),FALSE())</f>
        <v>#N/A</v>
      </c>
      <c r="Q157" s="92" t="n">
        <v>36699</v>
      </c>
      <c r="R157" s="7" t="n">
        <f aca="false">IF(G157="P",0,1)</f>
        <v>1</v>
      </c>
      <c r="S157" s="130" t="e">
        <f aca="false">xSPRDOPT($K157,$L157,$J157,$M157,$N157,$O157,$P157,$Q157-$C$3,$R157,0)</f>
        <v>#NAME?</v>
      </c>
      <c r="T157" s="250" t="e">
        <f aca="false">xSPRDOPT($K157,$L157,$J157,$M157,$N157,$O157,$P157,$Q157-$C$3,$R157,1)*I157</f>
        <v>#NAME?</v>
      </c>
      <c r="U157" s="43" t="n">
        <v>-1700</v>
      </c>
      <c r="V157" s="250" t="e">
        <f aca="false">xSPRDOPT($K157,$L157,$J157,$M157,$N157,$O157,$P157,$Q157-$C$3,$R157,2)*I157</f>
        <v>#NAME?</v>
      </c>
      <c r="W157" s="250" t="e">
        <f aca="false">+V157+T157</f>
        <v>#NAME?</v>
      </c>
      <c r="X157" s="2" t="str">
        <f aca="false">CONCATENATE(H157,E157)</f>
        <v>36678IF-ELPO/SJ</v>
      </c>
      <c r="Y157" s="251" t="n">
        <f aca="false">I157/10000</f>
        <v>-1</v>
      </c>
      <c r="AB157" s="182" t="n">
        <f aca="false">H157</f>
        <v>36678</v>
      </c>
      <c r="AC157" s="253" t="e">
        <f aca="false">xSPRDOPT(HLOOKUP($D$3,GDPRICES,VLOOKUP(Q157,GDmove_down,2,FALSE()),FALSE()),HLOOKUP($E$3,GDPRICES,VLOOKUP(Q157,GDmove_down,2,FALSE()),FALSE()),J157,VLOOKUP(H157,NGPREVPRICES,4,FALSE()),HLOOKUP($H$3,GDPrevVols,VLOOKUP(Q157,GDmove_down2,2,FALSE()),FALSE()),HLOOKUP($H$3,GDPrevVols,VLOOKUP(Q157,GDmove_down2,2,FALSE()),FALSE()),HLOOKUP(E157,GDcorr,VLOOKUP(H157,CorMove,2,FALSE()),FALSE()),Q157-$AC$3,R157,$AC$5)*I157-AI157</f>
        <v>#N/A</v>
      </c>
      <c r="AD157" s="253" t="e">
        <f aca="false">xSPRDOPT(HLOOKUP($D$3,GDPrev,VLOOKUP(Q157,GDmove_down,2,FALSE()),FALSE()),HLOOKUP($E$3,GDPrev,VLOOKUP(Q157,GDmove_down,2,FALSE()),FALSE()),AJ157,VLOOKUP(H157,NGPrices,4,FALSE()),HLOOKUP($H$3,GDPrevVols,VLOOKUP(Q157,GDmove_down2,2,FALSE()),FALSE()),HLOOKUP($H$3,GDPrevVols,VLOOKUP(Q157,GDmove_down2,2,FALSE()),FALSE()),HLOOKUP(E157,GDcorr,VLOOKUP(H157,CorMove,2,FALSE()),FALSE()),Q157-$AC$3,R157,$AI$5)*I157-AI157</f>
        <v>#N/A</v>
      </c>
      <c r="AE157" s="132" t="e">
        <f aca="false">(AI157/VLOOKUP(AB157,discount,3,FALSE()))-(AI157/VLOOKUP(AB157,discount,2,FALSE()))</f>
        <v>#N/A</v>
      </c>
      <c r="AF157" s="253" t="e">
        <f aca="false">xSPRDOPT(HLOOKUP($D$3,GDPrev,VLOOKUP(Q157,GDmove_down,2,FALSE()),FALSE()),HLOOKUP($E$3,GDPrev,VLOOKUP(Q157,GDmove_down,2,FALSE()),FALSE()),AJ157,VLOOKUP(H157,NGPREVPRICES,4,FALSE()),HLOOKUP($H$3,GDVol,VLOOKUP(H157,move_down,2,FALSE()),FALSE()),HLOOKUP($H$3,GDVol,VLOOKUP(H157,move_down,2,FALSE()),FALSE()),HLOOKUP(E157,GDcorr,VLOOKUP(H157,CorMove,2,FALSE()),FALSE()),Q157-$AC$3,R157,$AI$5)*I157-AI157</f>
        <v>#N/A</v>
      </c>
      <c r="AG157" s="253" t="e">
        <f aca="false">xSPRDOPT(HLOOKUP($D$3,GDPrev,VLOOKUP(Q157,GDmove_down,2,FALSE()),FALSE()),HLOOKUP($E$3,GDPrev,VLOOKUP(Q157,GDmove_down,2,FALSE()),FALSE()),AJ157,VLOOKUP(H157,NGPREVPRICES,4,FALSE()),HLOOKUP($H$3,GDPrevVols,VLOOKUP(Q157,GDmove_down2,2,FALSE()),FALSE()),HLOOKUP($H$3,GDPrevVols,VLOOKUP(Q157,GDmove_down2,2,FALSE()),FALSE()),HLOOKUP(E157,GDcorr,VLOOKUP(H157,CorMove,2,FALSE()),FALSE()),Q157-$C$3,R157,$AI$5)*I157-AI157</f>
        <v>#N/A</v>
      </c>
      <c r="AH157" s="253" t="e">
        <f aca="false">SUM(AC157:AG157)</f>
        <v>#N/A</v>
      </c>
      <c r="AI157" s="253" t="e">
        <f aca="false">xSPRDOPT(HLOOKUP($D$3,GDPrev,VLOOKUP(Q157,GDmove_down,2,FALSE()),FALSE()),HLOOKUP($E$3,GDPrev,VLOOKUP(Q157,GDmove_down,2,FALSE()),FALSE()),AJ157,VLOOKUP(H157,NGPREVPRICES,4,FALSE()),HLOOKUP($H$3,GDPrevVols,VLOOKUP(Q157,GDmove_down2,2,FALSE()),FALSE()),HLOOKUP($H$3,GDPrevVols,VLOOKUP(Q157,GDmove_down2,2,FALSE()),FALSE()),HLOOKUP(E157,GDcorr,VLOOKUP(H157,CorMove,2,FALSE()),FALSE()),Q157-$AC$3,R157,$AI$5)*I157</f>
        <v>#N/A</v>
      </c>
      <c r="AJ157" s="254" t="e">
        <f aca="false">HLOOKUP(D157,PREVCURVES,VLOOKUP(H157,MOVE_DOWN2,2,FALSE()),FALSE())-HLOOKUP(E157,PREVCURVES,VLOOKUP(H157,MOVE_DOWN2,2,FALSE()),FALSE())</f>
        <v>#N/A</v>
      </c>
      <c r="AK157" s="253"/>
      <c r="AL157" s="0" t="str">
        <f aca="false">CONCATENATE(AB157,$AC$6)</f>
        <v>36678Curve Shift/Gamma</v>
      </c>
      <c r="AM157" s="0" t="str">
        <f aca="false">CONCATENATE($AB157,$AD$6)</f>
        <v>36678Rho</v>
      </c>
      <c r="AN157" s="0" t="str">
        <f aca="false">CONCATENATE($AB157,$AE$6)</f>
        <v>36678Drift</v>
      </c>
      <c r="AO157" s="0" t="str">
        <f aca="false">CONCATENATE($AB157,$AF$6)</f>
        <v>36678Vega</v>
      </c>
      <c r="AP157" s="0" t="str">
        <f aca="false">CONCATENATE($AB157,$AG$6)</f>
        <v>36678Theta</v>
      </c>
      <c r="AZ157" s="143" t="n">
        <f aca="false">EOMONTH(AZ156,0)+1</f>
        <v>40725</v>
      </c>
      <c r="BA157" s="135"/>
      <c r="BG157" s="285" t="n">
        <v>41061</v>
      </c>
      <c r="BH157" s="0" t="n">
        <v>0.985</v>
      </c>
      <c r="BJ157" s="285" t="n">
        <v>41061</v>
      </c>
      <c r="BK157" s="0" t="n">
        <v>154</v>
      </c>
    </row>
    <row r="158" customFormat="false" ht="12" hidden="false" customHeight="true" outlineLevel="0" collapsed="false">
      <c r="A158" s="267" t="s">
        <v>198</v>
      </c>
      <c r="B158" s="269" t="s">
        <v>192</v>
      </c>
      <c r="C158" s="269" t="s">
        <v>492</v>
      </c>
      <c r="D158" s="269" t="s">
        <v>137</v>
      </c>
      <c r="E158" s="7" t="s">
        <v>483</v>
      </c>
      <c r="F158" s="269" t="s">
        <v>131</v>
      </c>
      <c r="G158" s="269" t="s">
        <v>136</v>
      </c>
      <c r="H158" s="286" t="n">
        <v>36678</v>
      </c>
      <c r="I158" s="272" t="n">
        <v>50000</v>
      </c>
      <c r="J158" s="125" t="n">
        <v>0.46</v>
      </c>
      <c r="K158" s="124" t="n">
        <f aca="false">HLOOKUP($D$3,GDPRICES,VLOOKUP(Q158,GDmove_down,2,FALSE()),FALSE())</f>
        <v>5.29</v>
      </c>
      <c r="L158" s="124" t="n">
        <f aca="false">HLOOKUP($E$3,GDPRICES,VLOOKUP(Q158,GDmove_down,2,FALSE()),FALSE())</f>
        <v>3.565</v>
      </c>
      <c r="M158" s="126" t="n">
        <v>1</v>
      </c>
      <c r="N158" s="7" t="n">
        <v>0.515</v>
      </c>
      <c r="O158" s="7" t="n">
        <v>0.515</v>
      </c>
      <c r="P158" s="249" t="e">
        <f aca="false">HLOOKUP(E158,GDcorr,VLOOKUP(H158,GDCorMove,2,FALSE()),FALSE())</f>
        <v>#N/A</v>
      </c>
      <c r="Q158" s="92" t="n">
        <v>36699</v>
      </c>
      <c r="R158" s="7" t="n">
        <f aca="false">IF(G158="P",0,1)</f>
        <v>1</v>
      </c>
      <c r="S158" s="130" t="e">
        <f aca="false">xSPRDOPT($K158,$L158,$J158,$M158,$N158,$O158,$P158,$Q158-$C$3,$R158,0)</f>
        <v>#NAME?</v>
      </c>
      <c r="T158" s="250" t="e">
        <f aca="false">xSPRDOPT($K158,$L158,$J158,$M158,$N158,$O158,$P158,$Q158-$C$3,$R158,1)*I158</f>
        <v>#NAME?</v>
      </c>
      <c r="U158" s="43" t="n">
        <v>8500</v>
      </c>
      <c r="V158" s="250" t="e">
        <f aca="false">xSPRDOPT($K158,$L158,$J158,$M158,$N158,$O158,$P158,$Q158-$C$3,$R158,2)*I158</f>
        <v>#NAME?</v>
      </c>
      <c r="W158" s="250" t="e">
        <f aca="false">+V158+T158</f>
        <v>#NAME?</v>
      </c>
      <c r="X158" s="2" t="str">
        <f aca="false">CONCATENATE(H158,E158)</f>
        <v>36678IF-ELPO/SJ</v>
      </c>
      <c r="Y158" s="251" t="n">
        <f aca="false">I158/10000</f>
        <v>5</v>
      </c>
      <c r="AB158" s="182" t="n">
        <f aca="false">H158</f>
        <v>36678</v>
      </c>
      <c r="AC158" s="253" t="e">
        <f aca="false">xSPRDOPT(HLOOKUP($D$3,GDPRICES,VLOOKUP(Q158,GDmove_down,2,FALSE()),FALSE()),HLOOKUP($E$3,GDPRICES,VLOOKUP(Q158,GDmove_down,2,FALSE()),FALSE()),J158,VLOOKUP(H158,NGPREVPRICES,4,FALSE()),HLOOKUP($H$3,GDPrevVols,VLOOKUP(Q158,GDmove_down2,2,FALSE()),FALSE()),HLOOKUP($H$3,GDPrevVols,VLOOKUP(Q158,GDmove_down2,2,FALSE()),FALSE()),HLOOKUP(E158,GDcorr,VLOOKUP(H158,CorMove,2,FALSE()),FALSE()),Q158-$AC$3,R158,$AC$5)*I158-AI158</f>
        <v>#N/A</v>
      </c>
      <c r="AD158" s="253" t="e">
        <f aca="false">xSPRDOPT(HLOOKUP($D$3,GDPrev,VLOOKUP(Q158,GDmove_down,2,FALSE()),FALSE()),HLOOKUP($E$3,GDPrev,VLOOKUP(Q158,GDmove_down,2,FALSE()),FALSE()),AJ158,VLOOKUP(H158,NGPrices,4,FALSE()),HLOOKUP($H$3,GDPrevVols,VLOOKUP(Q158,GDmove_down2,2,FALSE()),FALSE()),HLOOKUP($H$3,GDPrevVols,VLOOKUP(Q158,GDmove_down2,2,FALSE()),FALSE()),HLOOKUP(E158,GDcorr,VLOOKUP(H158,CorMove,2,FALSE()),FALSE()),Q158-$AC$3,R158,$AI$5)*I158-AI158</f>
        <v>#N/A</v>
      </c>
      <c r="AE158" s="132" t="e">
        <f aca="false">(AI158/VLOOKUP(AB158,discount,3,FALSE()))-(AI158/VLOOKUP(AB158,discount,2,FALSE()))</f>
        <v>#N/A</v>
      </c>
      <c r="AF158" s="253" t="e">
        <f aca="false">xSPRDOPT(HLOOKUP($D$3,GDPrev,VLOOKUP(Q158,GDmove_down,2,FALSE()),FALSE()),HLOOKUP($E$3,GDPrev,VLOOKUP(Q158,GDmove_down,2,FALSE()),FALSE()),AJ158,VLOOKUP(H158,NGPREVPRICES,4,FALSE()),HLOOKUP($H$3,GDVol,VLOOKUP(H158,move_down,2,FALSE()),FALSE()),HLOOKUP($H$3,GDVol,VLOOKUP(H158,move_down,2,FALSE()),FALSE()),HLOOKUP(E158,GDcorr,VLOOKUP(H158,CorMove,2,FALSE()),FALSE()),Q158-$AC$3,R158,$AI$5)*I158-AI158</f>
        <v>#N/A</v>
      </c>
      <c r="AG158" s="253" t="e">
        <f aca="false">xSPRDOPT(HLOOKUP($D$3,GDPrev,VLOOKUP(Q158,GDmove_down,2,FALSE()),FALSE()),HLOOKUP($E$3,GDPrev,VLOOKUP(Q158,GDmove_down,2,FALSE()),FALSE()),AJ158,VLOOKUP(H158,NGPREVPRICES,4,FALSE()),HLOOKUP($H$3,GDPrevVols,VLOOKUP(Q158,GDmove_down2,2,FALSE()),FALSE()),HLOOKUP($H$3,GDPrevVols,VLOOKUP(Q158,GDmove_down2,2,FALSE()),FALSE()),HLOOKUP(E158,GDcorr,VLOOKUP(H158,CorMove,2,FALSE()),FALSE()),Q158-$C$3,R158,$AI$5)*I158-AI158</f>
        <v>#N/A</v>
      </c>
      <c r="AH158" s="253" t="e">
        <f aca="false">SUM(AC158:AG158)</f>
        <v>#N/A</v>
      </c>
      <c r="AI158" s="253" t="e">
        <f aca="false">xSPRDOPT(HLOOKUP($D$3,GDPrev,VLOOKUP(Q158,GDmove_down,2,FALSE()),FALSE()),HLOOKUP($E$3,GDPrev,VLOOKUP(Q158,GDmove_down,2,FALSE()),FALSE()),AJ158,VLOOKUP(H158,NGPREVPRICES,4,FALSE()),HLOOKUP($H$3,GDPrevVols,VLOOKUP(Q158,GDmove_down2,2,FALSE()),FALSE()),HLOOKUP($H$3,GDPrevVols,VLOOKUP(Q158,GDmove_down2,2,FALSE()),FALSE()),HLOOKUP(E158,GDcorr,VLOOKUP(H158,CorMove,2,FALSE()),FALSE()),Q158-$AC$3,R158,$AI$5)*I158</f>
        <v>#N/A</v>
      </c>
      <c r="AJ158" s="254" t="e">
        <f aca="false">HLOOKUP(D158,PREVCURVES,VLOOKUP(H158,MOVE_DOWN2,2,FALSE()),FALSE())-HLOOKUP(E158,PREVCURVES,VLOOKUP(H158,MOVE_DOWN2,2,FALSE()),FALSE())</f>
        <v>#N/A</v>
      </c>
      <c r="AK158" s="253"/>
      <c r="AL158" s="0" t="str">
        <f aca="false">CONCATENATE(AB158,$AC$6)</f>
        <v>36678Curve Shift/Gamma</v>
      </c>
      <c r="AM158" s="0" t="str">
        <f aca="false">CONCATENATE($AB158,$AD$6)</f>
        <v>36678Rho</v>
      </c>
      <c r="AN158" s="0" t="str">
        <f aca="false">CONCATENATE($AB158,$AE$6)</f>
        <v>36678Drift</v>
      </c>
      <c r="AO158" s="0" t="str">
        <f aca="false">CONCATENATE($AB158,$AF$6)</f>
        <v>36678Vega</v>
      </c>
      <c r="AP158" s="0" t="str">
        <f aca="false">CONCATENATE($AB158,$AG$6)</f>
        <v>36678Theta</v>
      </c>
      <c r="AZ158" s="143" t="n">
        <f aca="false">EOMONTH(AZ157,0)+1</f>
        <v>40756</v>
      </c>
      <c r="BA158" s="135"/>
      <c r="BG158" s="285" t="n">
        <v>41091</v>
      </c>
      <c r="BH158" s="0" t="n">
        <v>0.985</v>
      </c>
      <c r="BJ158" s="285" t="n">
        <v>41091</v>
      </c>
      <c r="BK158" s="0" t="n">
        <v>155</v>
      </c>
    </row>
    <row r="159" customFormat="false" ht="12" hidden="false" customHeight="true" outlineLevel="0" collapsed="false">
      <c r="A159" s="267" t="s">
        <v>198</v>
      </c>
      <c r="B159" s="269" t="s">
        <v>192</v>
      </c>
      <c r="C159" s="269" t="s">
        <v>493</v>
      </c>
      <c r="D159" s="269" t="s">
        <v>137</v>
      </c>
      <c r="E159" s="7" t="s">
        <v>483</v>
      </c>
      <c r="F159" s="269" t="s">
        <v>131</v>
      </c>
      <c r="G159" s="269" t="s">
        <v>136</v>
      </c>
      <c r="H159" s="286" t="n">
        <v>36678</v>
      </c>
      <c r="I159" s="272" t="n">
        <v>50000</v>
      </c>
      <c r="J159" s="125" t="n">
        <v>0.46</v>
      </c>
      <c r="K159" s="124" t="n">
        <f aca="false">HLOOKUP($D$3,GDPRICES,VLOOKUP(Q159,GDmove_down,2,FALSE()),FALSE())</f>
        <v>5.29</v>
      </c>
      <c r="L159" s="124" t="n">
        <f aca="false">HLOOKUP($E$3,GDPRICES,VLOOKUP(Q159,GDmove_down,2,FALSE()),FALSE())</f>
        <v>3.565</v>
      </c>
      <c r="M159" s="126" t="n">
        <v>1</v>
      </c>
      <c r="N159" s="7" t="n">
        <v>0.515</v>
      </c>
      <c r="O159" s="7" t="n">
        <v>0.515</v>
      </c>
      <c r="P159" s="249" t="e">
        <f aca="false">HLOOKUP(E159,GDcorr,VLOOKUP(H159,GDCorMove,2,FALSE()),FALSE())</f>
        <v>#N/A</v>
      </c>
      <c r="Q159" s="92" t="n">
        <v>36699</v>
      </c>
      <c r="R159" s="7" t="n">
        <f aca="false">IF(G159="P",0,1)</f>
        <v>1</v>
      </c>
      <c r="S159" s="130" t="e">
        <f aca="false">xSPRDOPT($K159,$L159,$J159,$M159,$N159,$O159,$P159,$Q159-$C$3,$R159,0)</f>
        <v>#NAME?</v>
      </c>
      <c r="T159" s="250" t="e">
        <f aca="false">xSPRDOPT($K159,$L159,$J159,$M159,$N159,$O159,$P159,$Q159-$C$3,$R159,1)*I159</f>
        <v>#NAME?</v>
      </c>
      <c r="U159" s="43" t="n">
        <v>8500</v>
      </c>
      <c r="V159" s="250" t="e">
        <f aca="false">xSPRDOPT($K159,$L159,$J159,$M159,$N159,$O159,$P159,$Q159-$C$3,$R159,2)*I159</f>
        <v>#NAME?</v>
      </c>
      <c r="W159" s="250" t="e">
        <f aca="false">+V159+T159</f>
        <v>#NAME?</v>
      </c>
      <c r="X159" s="2" t="str">
        <f aca="false">CONCATENATE(H159,E159)</f>
        <v>36678IF-ELPO/SJ</v>
      </c>
      <c r="Y159" s="251" t="n">
        <f aca="false">I159/10000</f>
        <v>5</v>
      </c>
      <c r="AB159" s="182" t="n">
        <f aca="false">H159</f>
        <v>36678</v>
      </c>
      <c r="AC159" s="253" t="e">
        <f aca="false">xSPRDOPT(HLOOKUP($D$3,GDPRICES,VLOOKUP(Q159,GDmove_down,2,FALSE()),FALSE()),HLOOKUP($E$3,GDPRICES,VLOOKUP(Q159,GDmove_down,2,FALSE()),FALSE()),J159,VLOOKUP(H159,NGPREVPRICES,4,FALSE()),HLOOKUP($H$3,GDPrevVols,VLOOKUP(Q159,GDmove_down2,2,FALSE()),FALSE()),HLOOKUP($H$3,GDPrevVols,VLOOKUP(Q159,GDmove_down2,2,FALSE()),FALSE()),HLOOKUP(E159,GDcorr,VLOOKUP(H159,CorMove,2,FALSE()),FALSE()),Q159-$AC$3,R159,$AC$5)*I159-AI159</f>
        <v>#N/A</v>
      </c>
      <c r="AD159" s="253" t="e">
        <f aca="false">xSPRDOPT(HLOOKUP($D$3,GDPrev,VLOOKUP(Q159,GDmove_down,2,FALSE()),FALSE()),HLOOKUP($E$3,GDPrev,VLOOKUP(Q159,GDmove_down,2,FALSE()),FALSE()),AJ159,VLOOKUP(H159,NGPrices,4,FALSE()),HLOOKUP($H$3,GDPrevVols,VLOOKUP(Q159,GDmove_down2,2,FALSE()),FALSE()),HLOOKUP($H$3,GDPrevVols,VLOOKUP(Q159,GDmove_down2,2,FALSE()),FALSE()),HLOOKUP(E159,GDcorr,VLOOKUP(H159,CorMove,2,FALSE()),FALSE()),Q159-$AC$3,R159,$AI$5)*I159-AI159</f>
        <v>#N/A</v>
      </c>
      <c r="AE159" s="132" t="e">
        <f aca="false">(AI159/VLOOKUP(AB159,discount,3,FALSE()))-(AI159/VLOOKUP(AB159,discount,2,FALSE()))</f>
        <v>#N/A</v>
      </c>
      <c r="AF159" s="253" t="e">
        <f aca="false">xSPRDOPT(HLOOKUP($D$3,GDPrev,VLOOKUP(Q159,GDmove_down,2,FALSE()),FALSE()),HLOOKUP($E$3,GDPrev,VLOOKUP(Q159,GDmove_down,2,FALSE()),FALSE()),AJ159,VLOOKUP(H159,NGPREVPRICES,4,FALSE()),HLOOKUP($H$3,GDVol,VLOOKUP(H159,move_down,2,FALSE()),FALSE()),HLOOKUP($H$3,GDVol,VLOOKUP(H159,move_down,2,FALSE()),FALSE()),HLOOKUP(E159,GDcorr,VLOOKUP(H159,CorMove,2,FALSE()),FALSE()),Q159-$AC$3,R159,$AI$5)*I159-AI159</f>
        <v>#N/A</v>
      </c>
      <c r="AG159" s="253" t="e">
        <f aca="false">xSPRDOPT(HLOOKUP($D$3,GDPrev,VLOOKUP(Q159,GDmove_down,2,FALSE()),FALSE()),HLOOKUP($E$3,GDPrev,VLOOKUP(Q159,GDmove_down,2,FALSE()),FALSE()),AJ159,VLOOKUP(H159,NGPREVPRICES,4,FALSE()),HLOOKUP($H$3,GDPrevVols,VLOOKUP(Q159,GDmove_down2,2,FALSE()),FALSE()),HLOOKUP($H$3,GDPrevVols,VLOOKUP(Q159,GDmove_down2,2,FALSE()),FALSE()),HLOOKUP(E159,GDcorr,VLOOKUP(H159,CorMove,2,FALSE()),FALSE()),Q159-$C$3,R159,$AI$5)*I159-AI159</f>
        <v>#N/A</v>
      </c>
      <c r="AH159" s="253" t="e">
        <f aca="false">SUM(AC159:AG159)</f>
        <v>#N/A</v>
      </c>
      <c r="AI159" s="253" t="e">
        <f aca="false">xSPRDOPT(HLOOKUP($D$3,GDPrev,VLOOKUP(Q159,GDmove_down,2,FALSE()),FALSE()),HLOOKUP($E$3,GDPrev,VLOOKUP(Q159,GDmove_down,2,FALSE()),FALSE()),AJ159,VLOOKUP(H159,NGPREVPRICES,4,FALSE()),HLOOKUP($H$3,GDPrevVols,VLOOKUP(Q159,GDmove_down2,2,FALSE()),FALSE()),HLOOKUP($H$3,GDPrevVols,VLOOKUP(Q159,GDmove_down2,2,FALSE()),FALSE()),HLOOKUP(E159,GDcorr,VLOOKUP(H159,CorMove,2,FALSE()),FALSE()),Q159-$AC$3,R159,$AI$5)*I159</f>
        <v>#N/A</v>
      </c>
      <c r="AJ159" s="254" t="e">
        <f aca="false">HLOOKUP(D159,PREVCURVES,VLOOKUP(H159,MOVE_DOWN2,2,FALSE()),FALSE())-HLOOKUP(E159,PREVCURVES,VLOOKUP(H159,MOVE_DOWN2,2,FALSE()),FALSE())</f>
        <v>#N/A</v>
      </c>
      <c r="AK159" s="253"/>
      <c r="AL159" s="0" t="str">
        <f aca="false">CONCATENATE(AB159,$AC$6)</f>
        <v>36678Curve Shift/Gamma</v>
      </c>
      <c r="AM159" s="0" t="str">
        <f aca="false">CONCATENATE($AB159,$AD$6)</f>
        <v>36678Rho</v>
      </c>
      <c r="AN159" s="0" t="str">
        <f aca="false">CONCATENATE($AB159,$AE$6)</f>
        <v>36678Drift</v>
      </c>
      <c r="AO159" s="0" t="str">
        <f aca="false">CONCATENATE($AB159,$AF$6)</f>
        <v>36678Vega</v>
      </c>
      <c r="AP159" s="0" t="str">
        <f aca="false">CONCATENATE($AB159,$AG$6)</f>
        <v>36678Theta</v>
      </c>
      <c r="AZ159" s="143" t="n">
        <f aca="false">EOMONTH(AZ158,0)+1</f>
        <v>40787</v>
      </c>
      <c r="BA159" s="135"/>
      <c r="BG159" s="285" t="n">
        <v>41122</v>
      </c>
      <c r="BH159" s="0" t="n">
        <v>0.985</v>
      </c>
      <c r="BJ159" s="285" t="n">
        <v>41122</v>
      </c>
      <c r="BK159" s="0" t="n">
        <v>156</v>
      </c>
    </row>
    <row r="160" customFormat="false" ht="12" hidden="false" customHeight="true" outlineLevel="0" collapsed="false">
      <c r="A160" s="267" t="s">
        <v>198</v>
      </c>
      <c r="B160" s="269" t="s">
        <v>192</v>
      </c>
      <c r="C160" s="269" t="s">
        <v>494</v>
      </c>
      <c r="D160" s="269" t="s">
        <v>137</v>
      </c>
      <c r="E160" s="7" t="s">
        <v>483</v>
      </c>
      <c r="F160" s="269" t="s">
        <v>131</v>
      </c>
      <c r="G160" s="269" t="s">
        <v>136</v>
      </c>
      <c r="H160" s="286" t="n">
        <v>36678</v>
      </c>
      <c r="I160" s="272" t="n">
        <v>-10000</v>
      </c>
      <c r="J160" s="125" t="n">
        <v>0.46</v>
      </c>
      <c r="K160" s="124" t="n">
        <f aca="false">HLOOKUP($D$3,GDPRICES,VLOOKUP(Q160,GDmove_down,2,FALSE()),FALSE())</f>
        <v>5.29</v>
      </c>
      <c r="L160" s="124" t="n">
        <f aca="false">HLOOKUP($E$3,GDPRICES,VLOOKUP(Q160,GDmove_down,2,FALSE()),FALSE())</f>
        <v>3.565</v>
      </c>
      <c r="M160" s="126" t="n">
        <v>1</v>
      </c>
      <c r="N160" s="7" t="n">
        <v>0.515</v>
      </c>
      <c r="O160" s="7" t="n">
        <v>0.515</v>
      </c>
      <c r="P160" s="249" t="e">
        <f aca="false">HLOOKUP(E160,GDcorr,VLOOKUP(H160,GDCorMove,2,FALSE()),FALSE())</f>
        <v>#N/A</v>
      </c>
      <c r="Q160" s="92" t="n">
        <v>36699</v>
      </c>
      <c r="R160" s="7" t="n">
        <f aca="false">IF(G160="P",0,1)</f>
        <v>1</v>
      </c>
      <c r="S160" s="130" t="e">
        <f aca="false">xSPRDOPT($K160,$L160,$J160,$M160,$N160,$O160,$P160,$Q160-$C$3,$R160,0)</f>
        <v>#NAME?</v>
      </c>
      <c r="T160" s="250" t="e">
        <f aca="false">xSPRDOPT($K160,$L160,$J160,$M160,$N160,$O160,$P160,$Q160-$C$3,$R160,1)*I160</f>
        <v>#NAME?</v>
      </c>
      <c r="U160" s="43" t="n">
        <v>-1700</v>
      </c>
      <c r="V160" s="250" t="e">
        <f aca="false">xSPRDOPT($K160,$L160,$J160,$M160,$N160,$O160,$P160,$Q160-$C$3,$R160,2)*I160</f>
        <v>#NAME?</v>
      </c>
      <c r="W160" s="250" t="e">
        <f aca="false">+V160+T160</f>
        <v>#NAME?</v>
      </c>
      <c r="X160" s="2" t="str">
        <f aca="false">CONCATENATE(H160,E160)</f>
        <v>36678IF-ELPO/SJ</v>
      </c>
      <c r="Y160" s="251" t="n">
        <f aca="false">I160/10000</f>
        <v>-1</v>
      </c>
      <c r="AB160" s="182" t="n">
        <f aca="false">H160</f>
        <v>36678</v>
      </c>
      <c r="AC160" s="253" t="e">
        <f aca="false">xSPRDOPT(HLOOKUP($D$3,GDPRICES,VLOOKUP(Q160,GDmove_down,2,FALSE()),FALSE()),HLOOKUP($E$3,GDPRICES,VLOOKUP(Q160,GDmove_down,2,FALSE()),FALSE()),J160,VLOOKUP(H160,NGPREVPRICES,4,FALSE()),HLOOKUP($H$3,GDPrevVols,VLOOKUP(Q160,GDmove_down2,2,FALSE()),FALSE()),HLOOKUP($H$3,GDPrevVols,VLOOKUP(Q160,GDmove_down2,2,FALSE()),FALSE()),HLOOKUP(E160,GDcorr,VLOOKUP(H160,CorMove,2,FALSE()),FALSE()),Q160-$AC$3,R160,$AC$5)*I160-AI160</f>
        <v>#N/A</v>
      </c>
      <c r="AD160" s="253" t="e">
        <f aca="false">xSPRDOPT(HLOOKUP($D$3,GDPrev,VLOOKUP(Q160,GDmove_down,2,FALSE()),FALSE()),HLOOKUP($E$3,GDPrev,VLOOKUP(Q160,GDmove_down,2,FALSE()),FALSE()),AJ160,VLOOKUP(H160,NGPrices,4,FALSE()),HLOOKUP($H$3,GDPrevVols,VLOOKUP(Q160,GDmove_down2,2,FALSE()),FALSE()),HLOOKUP($H$3,GDPrevVols,VLOOKUP(Q160,GDmove_down2,2,FALSE()),FALSE()),HLOOKUP(E160,GDcorr,VLOOKUP(H160,CorMove,2,FALSE()),FALSE()),Q160-$AC$3,R160,$AI$5)*I160-AI160</f>
        <v>#N/A</v>
      </c>
      <c r="AE160" s="132" t="e">
        <f aca="false">(AI160/VLOOKUP(AB160,discount,3,FALSE()))-(AI160/VLOOKUP(AB160,discount,2,FALSE()))</f>
        <v>#N/A</v>
      </c>
      <c r="AF160" s="253" t="e">
        <f aca="false">xSPRDOPT(HLOOKUP($D$3,GDPrev,VLOOKUP(Q160,GDmove_down,2,FALSE()),FALSE()),HLOOKUP($E$3,GDPrev,VLOOKUP(Q160,GDmove_down,2,FALSE()),FALSE()),AJ160,VLOOKUP(H160,NGPREVPRICES,4,FALSE()),HLOOKUP($H$3,GDVol,VLOOKUP(H160,move_down,2,FALSE()),FALSE()),HLOOKUP($H$3,GDVol,VLOOKUP(H160,move_down,2,FALSE()),FALSE()),HLOOKUP(E160,GDcorr,VLOOKUP(H160,CorMove,2,FALSE()),FALSE()),Q160-$AC$3,R160,$AI$5)*I160-AI160</f>
        <v>#N/A</v>
      </c>
      <c r="AG160" s="253" t="e">
        <f aca="false">xSPRDOPT(HLOOKUP($D$3,GDPrev,VLOOKUP(Q160,GDmove_down,2,FALSE()),FALSE()),HLOOKUP($E$3,GDPrev,VLOOKUP(Q160,GDmove_down,2,FALSE()),FALSE()),AJ160,VLOOKUP(H160,NGPREVPRICES,4,FALSE()),HLOOKUP($H$3,GDPrevVols,VLOOKUP(Q160,GDmove_down2,2,FALSE()),FALSE()),HLOOKUP($H$3,GDPrevVols,VLOOKUP(Q160,GDmove_down2,2,FALSE()),FALSE()),HLOOKUP(E160,GDcorr,VLOOKUP(H160,CorMove,2,FALSE()),FALSE()),Q160-$C$3,R160,$AI$5)*I160-AI160</f>
        <v>#N/A</v>
      </c>
      <c r="AH160" s="253" t="e">
        <f aca="false">SUM(AC160:AG160)</f>
        <v>#N/A</v>
      </c>
      <c r="AI160" s="253" t="e">
        <f aca="false">xSPRDOPT(HLOOKUP($D$3,GDPrev,VLOOKUP(Q160,GDmove_down,2,FALSE()),FALSE()),HLOOKUP($E$3,GDPrev,VLOOKUP(Q160,GDmove_down,2,FALSE()),FALSE()),AJ160,VLOOKUP(H160,NGPREVPRICES,4,FALSE()),HLOOKUP($H$3,GDPrevVols,VLOOKUP(Q160,GDmove_down2,2,FALSE()),FALSE()),HLOOKUP($H$3,GDPrevVols,VLOOKUP(Q160,GDmove_down2,2,FALSE()),FALSE()),HLOOKUP(E160,GDcorr,VLOOKUP(H160,CorMove,2,FALSE()),FALSE()),Q160-$AC$3,R160,$AI$5)*I160</f>
        <v>#N/A</v>
      </c>
      <c r="AJ160" s="254" t="e">
        <f aca="false">HLOOKUP(D160,PREVCURVES,VLOOKUP(H160,MOVE_DOWN2,2,FALSE()),FALSE())-HLOOKUP(E160,PREVCURVES,VLOOKUP(H160,MOVE_DOWN2,2,FALSE()),FALSE())</f>
        <v>#N/A</v>
      </c>
      <c r="AK160" s="253"/>
      <c r="AL160" s="0" t="str">
        <f aca="false">CONCATENATE(AB160,$AC$6)</f>
        <v>36678Curve Shift/Gamma</v>
      </c>
      <c r="AM160" s="0" t="str">
        <f aca="false">CONCATENATE($AB160,$AD$6)</f>
        <v>36678Rho</v>
      </c>
      <c r="AN160" s="0" t="str">
        <f aca="false">CONCATENATE($AB160,$AE$6)</f>
        <v>36678Drift</v>
      </c>
      <c r="AO160" s="0" t="str">
        <f aca="false">CONCATENATE($AB160,$AF$6)</f>
        <v>36678Vega</v>
      </c>
      <c r="AP160" s="0" t="str">
        <f aca="false">CONCATENATE($AB160,$AG$6)</f>
        <v>36678Theta</v>
      </c>
      <c r="AZ160" s="143" t="n">
        <f aca="false">EOMONTH(AZ159,0)+1</f>
        <v>40817</v>
      </c>
      <c r="BA160" s="135"/>
      <c r="BG160" s="285" t="n">
        <v>41153</v>
      </c>
      <c r="BH160" s="0" t="n">
        <v>0.985</v>
      </c>
      <c r="BJ160" s="285" t="n">
        <v>41153</v>
      </c>
      <c r="BK160" s="0" t="n">
        <v>157</v>
      </c>
    </row>
    <row r="161" customFormat="false" ht="12" hidden="false" customHeight="true" outlineLevel="0" collapsed="false">
      <c r="A161" s="265" t="s">
        <v>198</v>
      </c>
      <c r="B161" s="269" t="s">
        <v>192</v>
      </c>
      <c r="C161" s="269" t="s">
        <v>488</v>
      </c>
      <c r="D161" s="269" t="s">
        <v>137</v>
      </c>
      <c r="E161" s="7" t="s">
        <v>483</v>
      </c>
      <c r="F161" s="269" t="s">
        <v>131</v>
      </c>
      <c r="G161" s="269" t="s">
        <v>136</v>
      </c>
      <c r="H161" s="286" t="n">
        <v>36678</v>
      </c>
      <c r="I161" s="272" t="n">
        <v>-50000</v>
      </c>
      <c r="J161" s="125" t="n">
        <v>0.46</v>
      </c>
      <c r="K161" s="124" t="n">
        <f aca="false">HLOOKUP($D$3,GDPRICES,VLOOKUP(Q161,GDmove_down,2,FALSE()),FALSE())</f>
        <v>5.775</v>
      </c>
      <c r="L161" s="124" t="n">
        <f aca="false">HLOOKUP($E$3,GDPRICES,VLOOKUP(Q161,GDmove_down,2,FALSE()),FALSE())</f>
        <v>3.68</v>
      </c>
      <c r="M161" s="126" t="n">
        <v>1</v>
      </c>
      <c r="N161" s="7" t="n">
        <v>0.515</v>
      </c>
      <c r="O161" s="7" t="n">
        <v>0.515</v>
      </c>
      <c r="P161" s="249" t="e">
        <f aca="false">HLOOKUP(E161,GDcorr,VLOOKUP(H161,GDCorMove,2,FALSE()),FALSE())</f>
        <v>#N/A</v>
      </c>
      <c r="Q161" s="92" t="n">
        <v>36700</v>
      </c>
      <c r="R161" s="7" t="n">
        <f aca="false">IF(G161="P",0,1)</f>
        <v>1</v>
      </c>
      <c r="S161" s="130" t="e">
        <f aca="false">xSPRDOPT($K161,$L161,$J161,$M161,$N161,$O161,$P161,$Q161-$C$3,$R161,0)</f>
        <v>#NAME?</v>
      </c>
      <c r="T161" s="250" t="e">
        <f aca="false">xSPRDOPT($K161,$L161,$J161,$M161,$N161,$O161,$P161,$Q161-$C$3,$R161,1)*I161</f>
        <v>#NAME?</v>
      </c>
      <c r="U161" s="43" t="n">
        <v>-14500</v>
      </c>
      <c r="V161" s="250" t="e">
        <f aca="false">xSPRDOPT($K161,$L161,$J161,$M161,$N161,$O161,$P161,$Q161-$C$3,$R161,2)*I161</f>
        <v>#NAME?</v>
      </c>
      <c r="W161" s="250" t="e">
        <f aca="false">+V161+T161</f>
        <v>#NAME?</v>
      </c>
      <c r="X161" s="2" t="str">
        <f aca="false">CONCATENATE(H161,E161)</f>
        <v>36678IF-ELPO/SJ</v>
      </c>
      <c r="Y161" s="251" t="n">
        <f aca="false">I161/10000</f>
        <v>-5</v>
      </c>
      <c r="Z161" s="2"/>
      <c r="AB161" s="182" t="n">
        <f aca="false">H161</f>
        <v>36678</v>
      </c>
      <c r="AC161" s="253" t="e">
        <f aca="false">xSPRDOPT(HLOOKUP($D$3,GDPRICES,VLOOKUP(Q161,GDmove_down,2,FALSE()),FALSE()),HLOOKUP($E$3,GDPRICES,VLOOKUP(Q161,GDmove_down,2,FALSE()),FALSE()),J161,VLOOKUP(H161,NGPREVPRICES,4,FALSE()),HLOOKUP($H$3,GDPrevVols,VLOOKUP(Q161,GDmove_down2,2,FALSE()),FALSE()),HLOOKUP($H$3,GDPrevVols,VLOOKUP(Q161,GDmove_down2,2,FALSE()),FALSE()),HLOOKUP(E161,GDcorr,VLOOKUP(H161,CorMove,2,FALSE()),FALSE()),Q161-$AC$3,R161,$AC$5)*I161-AI161</f>
        <v>#N/A</v>
      </c>
      <c r="AD161" s="253" t="e">
        <f aca="false">xSPRDOPT(HLOOKUP($D$3,GDPrev,VLOOKUP(Q161,GDmove_down,2,FALSE()),FALSE()),HLOOKUP($E$3,GDPrev,VLOOKUP(Q161,GDmove_down,2,FALSE()),FALSE()),AJ161,VLOOKUP(H161,NGPrices,4,FALSE()),HLOOKUP($H$3,GDPrevVols,VLOOKUP(Q161,GDmove_down2,2,FALSE()),FALSE()),HLOOKUP($H$3,GDPrevVols,VLOOKUP(Q161,GDmove_down2,2,FALSE()),FALSE()),HLOOKUP(E161,GDcorr,VLOOKUP(H161,CorMove,2,FALSE()),FALSE()),Q161-$AC$3,R161,$AI$5)*I161-AI161</f>
        <v>#N/A</v>
      </c>
      <c r="AE161" s="132" t="e">
        <f aca="false">(AI161/VLOOKUP(AB161,discount,3,FALSE()))-(AI161/VLOOKUP(AB161,discount,2,FALSE()))</f>
        <v>#N/A</v>
      </c>
      <c r="AF161" s="253" t="e">
        <f aca="false">xSPRDOPT(HLOOKUP($D$3,GDPrev,VLOOKUP(Q161,GDmove_down,2,FALSE()),FALSE()),HLOOKUP($E$3,GDPrev,VLOOKUP(Q161,GDmove_down,2,FALSE()),FALSE()),AJ161,VLOOKUP(H161,NGPREVPRICES,4,FALSE()),HLOOKUP($H$3,GDVol,VLOOKUP(H161,move_down,2,FALSE()),FALSE()),HLOOKUP($H$3,GDVol,VLOOKUP(H161,move_down,2,FALSE()),FALSE()),HLOOKUP(E161,GDcorr,VLOOKUP(H161,CorMove,2,FALSE()),FALSE()),Q161-$AC$3,R161,$AI$5)*I161-AI161</f>
        <v>#N/A</v>
      </c>
      <c r="AG161" s="253" t="e">
        <f aca="false">xSPRDOPT(HLOOKUP($D$3,GDPrev,VLOOKUP(Q161,GDmove_down,2,FALSE()),FALSE()),HLOOKUP($E$3,GDPrev,VLOOKUP(Q161,GDmove_down,2,FALSE()),FALSE()),AJ161,VLOOKUP(H161,NGPREVPRICES,4,FALSE()),HLOOKUP($H$3,GDPrevVols,VLOOKUP(Q161,GDmove_down2,2,FALSE()),FALSE()),HLOOKUP($H$3,GDPrevVols,VLOOKUP(Q161,GDmove_down2,2,FALSE()),FALSE()),HLOOKUP(E161,GDcorr,VLOOKUP(H161,CorMove,2,FALSE()),FALSE()),Q161-$C$3,R161,$AI$5)*I161-AI161</f>
        <v>#N/A</v>
      </c>
      <c r="AH161" s="253" t="e">
        <f aca="false">SUM(AC161:AG161)</f>
        <v>#N/A</v>
      </c>
      <c r="AI161" s="253" t="e">
        <f aca="false">xSPRDOPT(HLOOKUP($D$3,GDPrev,VLOOKUP(Q161,GDmove_down,2,FALSE()),FALSE()),HLOOKUP($E$3,GDPrev,VLOOKUP(Q161,GDmove_down,2,FALSE()),FALSE()),AJ161,VLOOKUP(H161,NGPREVPRICES,4,FALSE()),HLOOKUP($H$3,GDPrevVols,VLOOKUP(Q161,GDmove_down2,2,FALSE()),FALSE()),HLOOKUP($H$3,GDPrevVols,VLOOKUP(Q161,GDmove_down2,2,FALSE()),FALSE()),HLOOKUP(E161,GDcorr,VLOOKUP(H161,CorMove,2,FALSE()),FALSE()),Q161-$AC$3,R161,$AI$5)*I161</f>
        <v>#N/A</v>
      </c>
      <c r="AJ161" s="254" t="e">
        <f aca="false">HLOOKUP(D161,PREVCURVES,VLOOKUP(H161,MOVE_DOWN2,2,FALSE()),FALSE())-HLOOKUP(E161,PREVCURVES,VLOOKUP(H161,MOVE_DOWN2,2,FALSE()),FALSE())</f>
        <v>#N/A</v>
      </c>
      <c r="AK161" s="253"/>
      <c r="AL161" s="0" t="str">
        <f aca="false">CONCATENATE(AB161,$AC$6)</f>
        <v>36678Curve Shift/Gamma</v>
      </c>
      <c r="AM161" s="0" t="str">
        <f aca="false">CONCATENATE($AB161,$AD$6)</f>
        <v>36678Rho</v>
      </c>
      <c r="AN161" s="0" t="str">
        <f aca="false">CONCATENATE($AB161,$AE$6)</f>
        <v>36678Drift</v>
      </c>
      <c r="AO161" s="0" t="str">
        <f aca="false">CONCATENATE($AB161,$AF$6)</f>
        <v>36678Vega</v>
      </c>
      <c r="AP161" s="0" t="str">
        <f aca="false">CONCATENATE($AB161,$AG$6)</f>
        <v>36678Theta</v>
      </c>
      <c r="AZ161" s="143" t="n">
        <f aca="false">EOMONTH(AZ160,0)+1</f>
        <v>40848</v>
      </c>
      <c r="BA161" s="135"/>
      <c r="BG161" s="285" t="n">
        <v>41183</v>
      </c>
      <c r="BH161" s="0" t="n">
        <v>0.985</v>
      </c>
      <c r="BJ161" s="285" t="n">
        <v>41183</v>
      </c>
      <c r="BK161" s="0" t="n">
        <v>158</v>
      </c>
    </row>
    <row r="162" customFormat="false" ht="12" hidden="false" customHeight="true" outlineLevel="0" collapsed="false">
      <c r="A162" s="265" t="s">
        <v>198</v>
      </c>
      <c r="B162" s="269" t="s">
        <v>192</v>
      </c>
      <c r="C162" s="269" t="s">
        <v>489</v>
      </c>
      <c r="D162" s="269" t="s">
        <v>137</v>
      </c>
      <c r="E162" s="7" t="s">
        <v>483</v>
      </c>
      <c r="F162" s="269" t="s">
        <v>131</v>
      </c>
      <c r="G162" s="269" t="s">
        <v>136</v>
      </c>
      <c r="H162" s="286" t="n">
        <v>36678</v>
      </c>
      <c r="I162" s="272" t="n">
        <v>10000</v>
      </c>
      <c r="J162" s="125" t="n">
        <v>0.46</v>
      </c>
      <c r="K162" s="124" t="n">
        <f aca="false">HLOOKUP($D$3,GDPRICES,VLOOKUP(Q162,GDmove_down,2,FALSE()),FALSE())</f>
        <v>5.775</v>
      </c>
      <c r="L162" s="124" t="n">
        <f aca="false">HLOOKUP($E$3,GDPRICES,VLOOKUP(Q162,GDmove_down,2,FALSE()),FALSE())</f>
        <v>3.68</v>
      </c>
      <c r="M162" s="126" t="n">
        <v>1</v>
      </c>
      <c r="N162" s="7" t="n">
        <v>0.515</v>
      </c>
      <c r="O162" s="7" t="n">
        <v>0.515</v>
      </c>
      <c r="P162" s="249" t="e">
        <f aca="false">HLOOKUP(E162,GDcorr,VLOOKUP(H162,GDCorMove,2,FALSE()),FALSE())</f>
        <v>#N/A</v>
      </c>
      <c r="Q162" s="92" t="n">
        <v>36700</v>
      </c>
      <c r="R162" s="7" t="n">
        <f aca="false">IF(G162="P",0,1)</f>
        <v>1</v>
      </c>
      <c r="S162" s="130" t="e">
        <f aca="false">xSPRDOPT($K162,$L162,$J162,$M162,$N162,$O162,$P162,$Q162-$C$3,$R162,0)</f>
        <v>#NAME?</v>
      </c>
      <c r="T162" s="250" t="e">
        <f aca="false">xSPRDOPT($K162,$L162,$J162,$M162,$N162,$O162,$P162,$Q162-$C$3,$R162,1)*I162</f>
        <v>#NAME?</v>
      </c>
      <c r="U162" s="43" t="n">
        <v>2900</v>
      </c>
      <c r="V162" s="250" t="e">
        <f aca="false">xSPRDOPT($K162,$L162,$J162,$M162,$N162,$O162,$P162,$Q162-$C$3,$R162,2)*I162</f>
        <v>#NAME?</v>
      </c>
      <c r="W162" s="250" t="e">
        <f aca="false">+V162+T162</f>
        <v>#NAME?</v>
      </c>
      <c r="X162" s="2" t="str">
        <f aca="false">CONCATENATE(H162,E162)</f>
        <v>36678IF-ELPO/SJ</v>
      </c>
      <c r="Y162" s="251" t="n">
        <f aca="false">I162/10000</f>
        <v>1</v>
      </c>
      <c r="Z162" s="2"/>
      <c r="AB162" s="182" t="n">
        <f aca="false">H162</f>
        <v>36678</v>
      </c>
      <c r="AC162" s="253" t="e">
        <f aca="false">xSPRDOPT(HLOOKUP($D$3,GDPRICES,VLOOKUP(Q162,GDmove_down,2,FALSE()),FALSE()),HLOOKUP($E$3,GDPRICES,VLOOKUP(Q162,GDmove_down,2,FALSE()),FALSE()),J162,VLOOKUP(H162,NGPREVPRICES,4,FALSE()),HLOOKUP($H$3,GDPrevVols,VLOOKUP(Q162,GDmove_down2,2,FALSE()),FALSE()),HLOOKUP($H$3,GDPrevVols,VLOOKUP(Q162,GDmove_down2,2,FALSE()),FALSE()),HLOOKUP(E162,GDcorr,VLOOKUP(H162,CorMove,2,FALSE()),FALSE()),Q162-$AC$3,R162,$AC$5)*I162-AI162</f>
        <v>#N/A</v>
      </c>
      <c r="AD162" s="253" t="e">
        <f aca="false">xSPRDOPT(HLOOKUP($D$3,GDPrev,VLOOKUP(Q162,GDmove_down,2,FALSE()),FALSE()),HLOOKUP($E$3,GDPrev,VLOOKUP(Q162,GDmove_down,2,FALSE()),FALSE()),AJ162,VLOOKUP(H162,NGPrices,4,FALSE()),HLOOKUP($H$3,GDPrevVols,VLOOKUP(Q162,GDmove_down2,2,FALSE()),FALSE()),HLOOKUP($H$3,GDPrevVols,VLOOKUP(Q162,GDmove_down2,2,FALSE()),FALSE()),HLOOKUP(E162,GDcorr,VLOOKUP(H162,CorMove,2,FALSE()),FALSE()),Q162-$AC$3,R162,$AI$5)*I162-AI162</f>
        <v>#N/A</v>
      </c>
      <c r="AE162" s="132" t="e">
        <f aca="false">(AI162/VLOOKUP(AB162,discount,3,FALSE()))-(AI162/VLOOKUP(AB162,discount,2,FALSE()))</f>
        <v>#N/A</v>
      </c>
      <c r="AF162" s="253" t="e">
        <f aca="false">xSPRDOPT(HLOOKUP($D$3,GDPrev,VLOOKUP(Q162,GDmove_down,2,FALSE()),FALSE()),HLOOKUP($E$3,GDPrev,VLOOKUP(Q162,GDmove_down,2,FALSE()),FALSE()),AJ162,VLOOKUP(H162,NGPREVPRICES,4,FALSE()),HLOOKUP($H$3,GDVol,VLOOKUP(H162,move_down,2,FALSE()),FALSE()),HLOOKUP($H$3,GDVol,VLOOKUP(H162,move_down,2,FALSE()),FALSE()),HLOOKUP(E162,GDcorr,VLOOKUP(H162,CorMove,2,FALSE()),FALSE()),Q162-$AC$3,R162,$AI$5)*I162-AI162</f>
        <v>#N/A</v>
      </c>
      <c r="AG162" s="253" t="e">
        <f aca="false">xSPRDOPT(HLOOKUP($D$3,GDPrev,VLOOKUP(Q162,GDmove_down,2,FALSE()),FALSE()),HLOOKUP($E$3,GDPrev,VLOOKUP(Q162,GDmove_down,2,FALSE()),FALSE()),AJ162,VLOOKUP(H162,NGPREVPRICES,4,FALSE()),HLOOKUP($H$3,GDPrevVols,VLOOKUP(Q162,GDmove_down2,2,FALSE()),FALSE()),HLOOKUP($H$3,GDPrevVols,VLOOKUP(Q162,GDmove_down2,2,FALSE()),FALSE()),HLOOKUP(E162,GDcorr,VLOOKUP(H162,CorMove,2,FALSE()),FALSE()),Q162-$C$3,R162,$AI$5)*I162-AI162</f>
        <v>#N/A</v>
      </c>
      <c r="AH162" s="253" t="e">
        <f aca="false">SUM(AC162:AG162)</f>
        <v>#N/A</v>
      </c>
      <c r="AI162" s="253" t="e">
        <f aca="false">xSPRDOPT(HLOOKUP($D$3,GDPrev,VLOOKUP(Q162,GDmove_down,2,FALSE()),FALSE()),HLOOKUP($E$3,GDPrev,VLOOKUP(Q162,GDmove_down,2,FALSE()),FALSE()),AJ162,VLOOKUP(H162,NGPREVPRICES,4,FALSE()),HLOOKUP($H$3,GDPrevVols,VLOOKUP(Q162,GDmove_down2,2,FALSE()),FALSE()),HLOOKUP($H$3,GDPrevVols,VLOOKUP(Q162,GDmove_down2,2,FALSE()),FALSE()),HLOOKUP(E162,GDcorr,VLOOKUP(H162,CorMove,2,FALSE()),FALSE()),Q162-$AC$3,R162,$AI$5)*I162</f>
        <v>#N/A</v>
      </c>
      <c r="AJ162" s="254" t="e">
        <f aca="false">HLOOKUP(D162,PREVCURVES,VLOOKUP(H162,MOVE_DOWN2,2,FALSE()),FALSE())-HLOOKUP(E162,PREVCURVES,VLOOKUP(H162,MOVE_DOWN2,2,FALSE()),FALSE())</f>
        <v>#N/A</v>
      </c>
      <c r="AK162" s="253"/>
      <c r="AL162" s="0" t="str">
        <f aca="false">CONCATENATE(AB162,$AC$6)</f>
        <v>36678Curve Shift/Gamma</v>
      </c>
      <c r="AM162" s="0" t="str">
        <f aca="false">CONCATENATE($AB162,$AD$6)</f>
        <v>36678Rho</v>
      </c>
      <c r="AN162" s="0" t="str">
        <f aca="false">CONCATENATE($AB162,$AE$6)</f>
        <v>36678Drift</v>
      </c>
      <c r="AO162" s="0" t="str">
        <f aca="false">CONCATENATE($AB162,$AF$6)</f>
        <v>36678Vega</v>
      </c>
      <c r="AP162" s="0" t="str">
        <f aca="false">CONCATENATE($AB162,$AG$6)</f>
        <v>36678Theta</v>
      </c>
      <c r="AZ162" s="143" t="n">
        <f aca="false">EOMONTH(AZ161,0)+1</f>
        <v>40878</v>
      </c>
      <c r="BA162" s="135"/>
      <c r="BG162" s="285" t="n">
        <v>41214</v>
      </c>
      <c r="BH162" s="0" t="n">
        <v>0.970485</v>
      </c>
      <c r="BJ162" s="285" t="n">
        <v>41214</v>
      </c>
      <c r="BK162" s="0" t="n">
        <v>159</v>
      </c>
    </row>
    <row r="163" customFormat="false" ht="12" hidden="false" customHeight="true" outlineLevel="0" collapsed="false">
      <c r="A163" s="265" t="s">
        <v>198</v>
      </c>
      <c r="B163" s="269" t="s">
        <v>192</v>
      </c>
      <c r="C163" s="269" t="s">
        <v>490</v>
      </c>
      <c r="D163" s="269" t="s">
        <v>137</v>
      </c>
      <c r="E163" s="7" t="s">
        <v>483</v>
      </c>
      <c r="F163" s="269" t="s">
        <v>131</v>
      </c>
      <c r="G163" s="269" t="s">
        <v>136</v>
      </c>
      <c r="H163" s="286" t="n">
        <v>36678</v>
      </c>
      <c r="I163" s="272" t="n">
        <v>-333333</v>
      </c>
      <c r="J163" s="125" t="n">
        <v>0.46</v>
      </c>
      <c r="K163" s="124" t="n">
        <f aca="false">HLOOKUP($D$3,GDPRICES,VLOOKUP(Q163,GDmove_down,2,FALSE()),FALSE())</f>
        <v>5.775</v>
      </c>
      <c r="L163" s="124" t="n">
        <f aca="false">HLOOKUP($E$3,GDPRICES,VLOOKUP(Q163,GDmove_down,2,FALSE()),FALSE())</f>
        <v>3.68</v>
      </c>
      <c r="M163" s="126" t="n">
        <v>1</v>
      </c>
      <c r="N163" s="7" t="n">
        <v>0.515</v>
      </c>
      <c r="O163" s="7" t="n">
        <v>0.515</v>
      </c>
      <c r="P163" s="249" t="e">
        <f aca="false">HLOOKUP(E163,GDcorr,VLOOKUP(H163,GDCorMove,2,FALSE()),FALSE())</f>
        <v>#N/A</v>
      </c>
      <c r="Q163" s="92" t="n">
        <v>36700</v>
      </c>
      <c r="R163" s="7" t="n">
        <f aca="false">IF(G163="P",0,1)</f>
        <v>1</v>
      </c>
      <c r="S163" s="130" t="e">
        <f aca="false">xSPRDOPT($K163,$L163,$J163,$M163,$N163,$O163,$P163,$Q163-$C$3,$R163,0)</f>
        <v>#NAME?</v>
      </c>
      <c r="T163" s="250" t="e">
        <f aca="false">xSPRDOPT($K163,$L163,$J163,$M163,$N163,$O163,$P163,$Q163-$C$3,$R163,1)*I163</f>
        <v>#NAME?</v>
      </c>
      <c r="U163" s="43" t="n">
        <v>-96666.57</v>
      </c>
      <c r="V163" s="250" t="e">
        <f aca="false">xSPRDOPT($K163,$L163,$J163,$M163,$N163,$O163,$P163,$Q163-$C$3,$R163,2)*I163</f>
        <v>#NAME?</v>
      </c>
      <c r="W163" s="250" t="e">
        <f aca="false">+V163+T163</f>
        <v>#NAME?</v>
      </c>
      <c r="X163" s="2" t="str">
        <f aca="false">CONCATENATE(H163,E163)</f>
        <v>36678IF-ELPO/SJ</v>
      </c>
      <c r="Y163" s="251" t="n">
        <f aca="false">I163/10000</f>
        <v>-33.3333</v>
      </c>
      <c r="Z163" s="2"/>
      <c r="AB163" s="182" t="n">
        <f aca="false">H163</f>
        <v>36678</v>
      </c>
      <c r="AC163" s="253" t="e">
        <f aca="false">xSPRDOPT(HLOOKUP($D$3,GDPRICES,VLOOKUP(Q163,GDmove_down,2,FALSE()),FALSE()),HLOOKUP($E$3,GDPRICES,VLOOKUP(Q163,GDmove_down,2,FALSE()),FALSE()),J163,VLOOKUP(H163,NGPREVPRICES,4,FALSE()),HLOOKUP($H$3,GDPrevVols,VLOOKUP(Q163,GDmove_down2,2,FALSE()),FALSE()),HLOOKUP($H$3,GDPrevVols,VLOOKUP(Q163,GDmove_down2,2,FALSE()),FALSE()),HLOOKUP(E163,GDcorr,VLOOKUP(H163,CorMove,2,FALSE()),FALSE()),Q163-$AC$3,R163,$AC$5)*I163-AI163</f>
        <v>#N/A</v>
      </c>
      <c r="AD163" s="253" t="e">
        <f aca="false">xSPRDOPT(HLOOKUP($D$3,GDPrev,VLOOKUP(Q163,GDmove_down,2,FALSE()),FALSE()),HLOOKUP($E$3,GDPrev,VLOOKUP(Q163,GDmove_down,2,FALSE()),FALSE()),AJ163,VLOOKUP(H163,NGPrices,4,FALSE()),HLOOKUP($H$3,GDPrevVols,VLOOKUP(Q163,GDmove_down2,2,FALSE()),FALSE()),HLOOKUP($H$3,GDPrevVols,VLOOKUP(Q163,GDmove_down2,2,FALSE()),FALSE()),HLOOKUP(E163,GDcorr,VLOOKUP(H163,CorMove,2,FALSE()),FALSE()),Q163-$AC$3,R163,$AI$5)*I163-AI163</f>
        <v>#N/A</v>
      </c>
      <c r="AE163" s="132" t="e">
        <f aca="false">(AI163/VLOOKUP(AB163,discount,3,FALSE()))-(AI163/VLOOKUP(AB163,discount,2,FALSE()))</f>
        <v>#N/A</v>
      </c>
      <c r="AF163" s="253" t="e">
        <f aca="false">xSPRDOPT(HLOOKUP($D$3,GDPrev,VLOOKUP(Q163,GDmove_down,2,FALSE()),FALSE()),HLOOKUP($E$3,GDPrev,VLOOKUP(Q163,GDmove_down,2,FALSE()),FALSE()),AJ163,VLOOKUP(H163,NGPREVPRICES,4,FALSE()),HLOOKUP($H$3,GDVol,VLOOKUP(H163,move_down,2,FALSE()),FALSE()),HLOOKUP($H$3,GDVol,VLOOKUP(H163,move_down,2,FALSE()),FALSE()),HLOOKUP(E163,GDcorr,VLOOKUP(H163,CorMove,2,FALSE()),FALSE()),Q163-$AC$3,R163,$AI$5)*I163-AI163</f>
        <v>#N/A</v>
      </c>
      <c r="AG163" s="253" t="e">
        <f aca="false">xSPRDOPT(HLOOKUP($D$3,GDPrev,VLOOKUP(Q163,GDmove_down,2,FALSE()),FALSE()),HLOOKUP($E$3,GDPrev,VLOOKUP(Q163,GDmove_down,2,FALSE()),FALSE()),AJ163,VLOOKUP(H163,NGPREVPRICES,4,FALSE()),HLOOKUP($H$3,GDPrevVols,VLOOKUP(Q163,GDmove_down2,2,FALSE()),FALSE()),HLOOKUP($H$3,GDPrevVols,VLOOKUP(Q163,GDmove_down2,2,FALSE()),FALSE()),HLOOKUP(E163,GDcorr,VLOOKUP(H163,CorMove,2,FALSE()),FALSE()),Q163-$C$3,R163,$AI$5)*I163-AI163</f>
        <v>#N/A</v>
      </c>
      <c r="AH163" s="253" t="e">
        <f aca="false">SUM(AC163:AG163)</f>
        <v>#N/A</v>
      </c>
      <c r="AI163" s="253" t="e">
        <f aca="false">xSPRDOPT(HLOOKUP($D$3,GDPrev,VLOOKUP(Q163,GDmove_down,2,FALSE()),FALSE()),HLOOKUP($E$3,GDPrev,VLOOKUP(Q163,GDmove_down,2,FALSE()),FALSE()),AJ163,VLOOKUP(H163,NGPREVPRICES,4,FALSE()),HLOOKUP($H$3,GDPrevVols,VLOOKUP(Q163,GDmove_down2,2,FALSE()),FALSE()),HLOOKUP($H$3,GDPrevVols,VLOOKUP(Q163,GDmove_down2,2,FALSE()),FALSE()),HLOOKUP(E163,GDcorr,VLOOKUP(H163,CorMove,2,FALSE()),FALSE()),Q163-$AC$3,R163,$AI$5)*I163</f>
        <v>#N/A</v>
      </c>
      <c r="AJ163" s="254" t="e">
        <f aca="false">HLOOKUP(D163,PREVCURVES,VLOOKUP(H163,MOVE_DOWN2,2,FALSE()),FALSE())-HLOOKUP(E163,PREVCURVES,VLOOKUP(H163,MOVE_DOWN2,2,FALSE()),FALSE())</f>
        <v>#N/A</v>
      </c>
      <c r="AK163" s="253"/>
      <c r="AL163" s="0" t="str">
        <f aca="false">CONCATENATE(AB163,$AC$6)</f>
        <v>36678Curve Shift/Gamma</v>
      </c>
      <c r="AM163" s="0" t="str">
        <f aca="false">CONCATENATE($AB163,$AD$6)</f>
        <v>36678Rho</v>
      </c>
      <c r="AN163" s="0" t="str">
        <f aca="false">CONCATENATE($AB163,$AE$6)</f>
        <v>36678Drift</v>
      </c>
      <c r="AO163" s="0" t="str">
        <f aca="false">CONCATENATE($AB163,$AF$6)</f>
        <v>36678Vega</v>
      </c>
      <c r="AP163" s="0" t="str">
        <f aca="false">CONCATENATE($AB163,$AG$6)</f>
        <v>36678Theta</v>
      </c>
      <c r="AZ163" s="143" t="n">
        <f aca="false">EOMONTH(AZ162,0)+1</f>
        <v>40909</v>
      </c>
      <c r="BA163" s="135"/>
      <c r="BG163" s="285" t="n">
        <v>41244</v>
      </c>
      <c r="BH163" s="0" t="n">
        <v>0.970485</v>
      </c>
      <c r="BJ163" s="285" t="n">
        <v>41244</v>
      </c>
      <c r="BK163" s="0" t="n">
        <v>160</v>
      </c>
    </row>
    <row r="164" customFormat="false" ht="12" hidden="false" customHeight="true" outlineLevel="0" collapsed="false">
      <c r="A164" s="267" t="s">
        <v>196</v>
      </c>
      <c r="B164" s="269" t="s">
        <v>192</v>
      </c>
      <c r="C164" s="269" t="s">
        <v>491</v>
      </c>
      <c r="D164" s="269" t="s">
        <v>137</v>
      </c>
      <c r="E164" s="7" t="s">
        <v>483</v>
      </c>
      <c r="F164" s="269" t="s">
        <v>131</v>
      </c>
      <c r="G164" s="269" t="s">
        <v>136</v>
      </c>
      <c r="H164" s="286" t="n">
        <v>36678</v>
      </c>
      <c r="I164" s="272" t="n">
        <v>-10000</v>
      </c>
      <c r="J164" s="125" t="n">
        <v>0.46</v>
      </c>
      <c r="K164" s="124" t="n">
        <f aca="false">HLOOKUP($D$3,GDPRICES,VLOOKUP(Q164,GDmove_down,2,FALSE()),FALSE())</f>
        <v>5.775</v>
      </c>
      <c r="L164" s="124" t="n">
        <f aca="false">HLOOKUP($E$3,GDPRICES,VLOOKUP(Q164,GDmove_down,2,FALSE()),FALSE())</f>
        <v>3.68</v>
      </c>
      <c r="M164" s="126" t="n">
        <v>1</v>
      </c>
      <c r="N164" s="7" t="n">
        <v>0.515</v>
      </c>
      <c r="O164" s="7" t="n">
        <v>0.515</v>
      </c>
      <c r="P164" s="249" t="e">
        <f aca="false">HLOOKUP(E164,GDcorr,VLOOKUP(H164,GDCorMove,2,FALSE()),FALSE())</f>
        <v>#N/A</v>
      </c>
      <c r="Q164" s="92" t="n">
        <v>36700</v>
      </c>
      <c r="R164" s="7" t="n">
        <f aca="false">IF(G164="P",0,1)</f>
        <v>1</v>
      </c>
      <c r="S164" s="130" t="e">
        <f aca="false">xSPRDOPT($K164,$L164,$J164,$M164,$N164,$O164,$P164,$Q164-$C$3,$R164,0)</f>
        <v>#NAME?</v>
      </c>
      <c r="T164" s="250" t="e">
        <f aca="false">xSPRDOPT($K164,$L164,$J164,$M164,$N164,$O164,$P164,$Q164-$C$3,$R164,1)*I164</f>
        <v>#NAME?</v>
      </c>
      <c r="U164" s="43" t="n">
        <v>-2900</v>
      </c>
      <c r="V164" s="250" t="e">
        <f aca="false">xSPRDOPT($K164,$L164,$J164,$M164,$N164,$O164,$P164,$Q164-$C$3,$R164,2)*I164</f>
        <v>#NAME?</v>
      </c>
      <c r="W164" s="250" t="e">
        <f aca="false">+V164+T164</f>
        <v>#NAME?</v>
      </c>
      <c r="X164" s="2" t="str">
        <f aca="false">CONCATENATE(H164,E164)</f>
        <v>36678IF-ELPO/SJ</v>
      </c>
      <c r="Y164" s="251" t="n">
        <f aca="false">I164/10000</f>
        <v>-1</v>
      </c>
      <c r="AB164" s="182" t="n">
        <f aca="false">H164</f>
        <v>36678</v>
      </c>
      <c r="AC164" s="253" t="e">
        <f aca="false">xSPRDOPT(HLOOKUP($D$3,GDPRICES,VLOOKUP(Q164,GDmove_down,2,FALSE()),FALSE()),HLOOKUP($E$3,GDPRICES,VLOOKUP(Q164,GDmove_down,2,FALSE()),FALSE()),J164,VLOOKUP(H164,NGPREVPRICES,4,FALSE()),HLOOKUP($H$3,GDPrevVols,VLOOKUP(Q164,GDmove_down2,2,FALSE()),FALSE()),HLOOKUP($H$3,GDPrevVols,VLOOKUP(Q164,GDmove_down2,2,FALSE()),FALSE()),HLOOKUP(E164,GDcorr,VLOOKUP(H164,CorMove,2,FALSE()),FALSE()),Q164-$AC$3,R164,$AC$5)*I164-AI164</f>
        <v>#N/A</v>
      </c>
      <c r="AD164" s="253" t="e">
        <f aca="false">xSPRDOPT(HLOOKUP($D$3,GDPrev,VLOOKUP(Q164,GDmove_down,2,FALSE()),FALSE()),HLOOKUP($E$3,GDPrev,VLOOKUP(Q164,GDmove_down,2,FALSE()),FALSE()),AJ164,VLOOKUP(H164,NGPrices,4,FALSE()),HLOOKUP($H$3,GDPrevVols,VLOOKUP(Q164,GDmove_down2,2,FALSE()),FALSE()),HLOOKUP($H$3,GDPrevVols,VLOOKUP(Q164,GDmove_down2,2,FALSE()),FALSE()),HLOOKUP(E164,GDcorr,VLOOKUP(H164,CorMove,2,FALSE()),FALSE()),Q164-$AC$3,R164,$AI$5)*I164-AI164</f>
        <v>#N/A</v>
      </c>
      <c r="AE164" s="132" t="e">
        <f aca="false">(AI164/VLOOKUP(AB164,discount,3,FALSE()))-(AI164/VLOOKUP(AB164,discount,2,FALSE()))</f>
        <v>#N/A</v>
      </c>
      <c r="AF164" s="253" t="e">
        <f aca="false">xSPRDOPT(HLOOKUP($D$3,GDPrev,VLOOKUP(Q164,GDmove_down,2,FALSE()),FALSE()),HLOOKUP($E$3,GDPrev,VLOOKUP(Q164,GDmove_down,2,FALSE()),FALSE()),AJ164,VLOOKUP(H164,NGPREVPRICES,4,FALSE()),HLOOKUP($H$3,GDVol,VLOOKUP(H164,move_down,2,FALSE()),FALSE()),HLOOKUP($H$3,GDVol,VLOOKUP(H164,move_down,2,FALSE()),FALSE()),HLOOKUP(E164,GDcorr,VLOOKUP(H164,CorMove,2,FALSE()),FALSE()),Q164-$AC$3,R164,$AI$5)*I164-AI164</f>
        <v>#N/A</v>
      </c>
      <c r="AG164" s="253" t="e">
        <f aca="false">xSPRDOPT(HLOOKUP($D$3,GDPrev,VLOOKUP(Q164,GDmove_down,2,FALSE()),FALSE()),HLOOKUP($E$3,GDPrev,VLOOKUP(Q164,GDmove_down,2,FALSE()),FALSE()),AJ164,VLOOKUP(H164,NGPREVPRICES,4,FALSE()),HLOOKUP($H$3,GDPrevVols,VLOOKUP(Q164,GDmove_down2,2,FALSE()),FALSE()),HLOOKUP($H$3,GDPrevVols,VLOOKUP(Q164,GDmove_down2,2,FALSE()),FALSE()),HLOOKUP(E164,GDcorr,VLOOKUP(H164,CorMove,2,FALSE()),FALSE()),Q164-$C$3,R164,$AI$5)*I164-AI164</f>
        <v>#N/A</v>
      </c>
      <c r="AH164" s="253" t="e">
        <f aca="false">SUM(AC164:AG164)</f>
        <v>#N/A</v>
      </c>
      <c r="AI164" s="253" t="e">
        <f aca="false">xSPRDOPT(HLOOKUP($D$3,GDPrev,VLOOKUP(Q164,GDmove_down,2,FALSE()),FALSE()),HLOOKUP($E$3,GDPrev,VLOOKUP(Q164,GDmove_down,2,FALSE()),FALSE()),AJ164,VLOOKUP(H164,NGPREVPRICES,4,FALSE()),HLOOKUP($H$3,GDPrevVols,VLOOKUP(Q164,GDmove_down2,2,FALSE()),FALSE()),HLOOKUP($H$3,GDPrevVols,VLOOKUP(Q164,GDmove_down2,2,FALSE()),FALSE()),HLOOKUP(E164,GDcorr,VLOOKUP(H164,CorMove,2,FALSE()),FALSE()),Q164-$AC$3,R164,$AI$5)*I164</f>
        <v>#N/A</v>
      </c>
      <c r="AJ164" s="254" t="e">
        <f aca="false">HLOOKUP(D164,PREVCURVES,VLOOKUP(H164,MOVE_DOWN2,2,FALSE()),FALSE())-HLOOKUP(E164,PREVCURVES,VLOOKUP(H164,MOVE_DOWN2,2,FALSE()),FALSE())</f>
        <v>#N/A</v>
      </c>
      <c r="AK164" s="253"/>
      <c r="AL164" s="0" t="str">
        <f aca="false">CONCATENATE(AB164,$AC$6)</f>
        <v>36678Curve Shift/Gamma</v>
      </c>
      <c r="AM164" s="0" t="str">
        <f aca="false">CONCATENATE($AB164,$AD$6)</f>
        <v>36678Rho</v>
      </c>
      <c r="AN164" s="0" t="str">
        <f aca="false">CONCATENATE($AB164,$AE$6)</f>
        <v>36678Drift</v>
      </c>
      <c r="AO164" s="0" t="str">
        <f aca="false">CONCATENATE($AB164,$AF$6)</f>
        <v>36678Vega</v>
      </c>
      <c r="AP164" s="0" t="str">
        <f aca="false">CONCATENATE($AB164,$AG$6)</f>
        <v>36678Theta</v>
      </c>
      <c r="AZ164" s="143" t="n">
        <f aca="false">EOMONTH(AZ163,0)+1</f>
        <v>40940</v>
      </c>
      <c r="BA164" s="135"/>
      <c r="BG164" s="285" t="n">
        <v>41275</v>
      </c>
      <c r="BH164" s="0" t="n">
        <v>0.985</v>
      </c>
      <c r="BJ164" s="285" t="n">
        <v>41275</v>
      </c>
      <c r="BK164" s="0" t="n">
        <v>161</v>
      </c>
    </row>
    <row r="165" customFormat="false" ht="12" hidden="false" customHeight="true" outlineLevel="0" collapsed="false">
      <c r="A165" s="267" t="s">
        <v>198</v>
      </c>
      <c r="B165" s="269" t="s">
        <v>192</v>
      </c>
      <c r="C165" s="269" t="s">
        <v>492</v>
      </c>
      <c r="D165" s="269" t="s">
        <v>137</v>
      </c>
      <c r="E165" s="7" t="s">
        <v>483</v>
      </c>
      <c r="F165" s="269" t="s">
        <v>131</v>
      </c>
      <c r="G165" s="269" t="s">
        <v>136</v>
      </c>
      <c r="H165" s="286" t="n">
        <v>36678</v>
      </c>
      <c r="I165" s="272" t="n">
        <v>50000</v>
      </c>
      <c r="J165" s="125" t="n">
        <v>0.46</v>
      </c>
      <c r="K165" s="124" t="n">
        <f aca="false">HLOOKUP($D$3,GDPRICES,VLOOKUP(Q165,GDmove_down,2,FALSE()),FALSE())</f>
        <v>5.775</v>
      </c>
      <c r="L165" s="124" t="n">
        <f aca="false">HLOOKUP($E$3,GDPRICES,VLOOKUP(Q165,GDmove_down,2,FALSE()),FALSE())</f>
        <v>3.68</v>
      </c>
      <c r="M165" s="126" t="n">
        <v>1</v>
      </c>
      <c r="N165" s="7" t="n">
        <v>0.515</v>
      </c>
      <c r="O165" s="7" t="n">
        <v>0.515</v>
      </c>
      <c r="P165" s="249" t="e">
        <f aca="false">HLOOKUP(E165,GDcorr,VLOOKUP(H165,GDCorMove,2,FALSE()),FALSE())</f>
        <v>#N/A</v>
      </c>
      <c r="Q165" s="92" t="n">
        <v>36700</v>
      </c>
      <c r="R165" s="7" t="n">
        <f aca="false">IF(G165="P",0,1)</f>
        <v>1</v>
      </c>
      <c r="S165" s="130" t="e">
        <f aca="false">xSPRDOPT($K165,$L165,$J165,$M165,$N165,$O165,$P165,$Q165-$C$3,$R165,0)</f>
        <v>#NAME?</v>
      </c>
      <c r="T165" s="250" t="e">
        <f aca="false">xSPRDOPT($K165,$L165,$J165,$M165,$N165,$O165,$P165,$Q165-$C$3,$R165,1)*I165</f>
        <v>#NAME?</v>
      </c>
      <c r="U165" s="43" t="n">
        <v>14500</v>
      </c>
      <c r="V165" s="250" t="e">
        <f aca="false">xSPRDOPT($K165,$L165,$J165,$M165,$N165,$O165,$P165,$Q165-$C$3,$R165,2)*I165</f>
        <v>#NAME?</v>
      </c>
      <c r="W165" s="250" t="e">
        <f aca="false">+V165+T165</f>
        <v>#NAME?</v>
      </c>
      <c r="X165" s="2" t="str">
        <f aca="false">CONCATENATE(H165,E165)</f>
        <v>36678IF-ELPO/SJ</v>
      </c>
      <c r="Y165" s="251" t="n">
        <f aca="false">I165/10000</f>
        <v>5</v>
      </c>
      <c r="AB165" s="182" t="n">
        <f aca="false">H165</f>
        <v>36678</v>
      </c>
      <c r="AC165" s="253" t="e">
        <f aca="false">xSPRDOPT(HLOOKUP($D$3,GDPRICES,VLOOKUP(Q165,GDmove_down,2,FALSE()),FALSE()),HLOOKUP($E$3,GDPRICES,VLOOKUP(Q165,GDmove_down,2,FALSE()),FALSE()),J165,VLOOKUP(H165,NGPREVPRICES,4,FALSE()),HLOOKUP($H$3,GDPrevVols,VLOOKUP(Q165,GDmove_down2,2,FALSE()),FALSE()),HLOOKUP($H$3,GDPrevVols,VLOOKUP(Q165,GDmove_down2,2,FALSE()),FALSE()),HLOOKUP(E165,GDcorr,VLOOKUP(H165,CorMove,2,FALSE()),FALSE()),Q165-$AC$3,R165,$AC$5)*I165-AI165</f>
        <v>#N/A</v>
      </c>
      <c r="AD165" s="253" t="e">
        <f aca="false">xSPRDOPT(HLOOKUP($D$3,GDPrev,VLOOKUP(Q165,GDmove_down,2,FALSE()),FALSE()),HLOOKUP($E$3,GDPrev,VLOOKUP(Q165,GDmove_down,2,FALSE()),FALSE()),AJ165,VLOOKUP(H165,NGPrices,4,FALSE()),HLOOKUP($H$3,GDPrevVols,VLOOKUP(Q165,GDmove_down2,2,FALSE()),FALSE()),HLOOKUP($H$3,GDPrevVols,VLOOKUP(Q165,GDmove_down2,2,FALSE()),FALSE()),HLOOKUP(E165,GDcorr,VLOOKUP(H165,CorMove,2,FALSE()),FALSE()),Q165-$AC$3,R165,$AI$5)*I165-AI165</f>
        <v>#N/A</v>
      </c>
      <c r="AE165" s="132" t="e">
        <f aca="false">(AI165/VLOOKUP(AB165,discount,3,FALSE()))-(AI165/VLOOKUP(AB165,discount,2,FALSE()))</f>
        <v>#N/A</v>
      </c>
      <c r="AF165" s="253" t="e">
        <f aca="false">xSPRDOPT(HLOOKUP($D$3,GDPrev,VLOOKUP(Q165,GDmove_down,2,FALSE()),FALSE()),HLOOKUP($E$3,GDPrev,VLOOKUP(Q165,GDmove_down,2,FALSE()),FALSE()),AJ165,VLOOKUP(H165,NGPREVPRICES,4,FALSE()),HLOOKUP($H$3,GDVol,VLOOKUP(H165,move_down,2,FALSE()),FALSE()),HLOOKUP($H$3,GDVol,VLOOKUP(H165,move_down,2,FALSE()),FALSE()),HLOOKUP(E165,GDcorr,VLOOKUP(H165,CorMove,2,FALSE()),FALSE()),Q165-$AC$3,R165,$AI$5)*I165-AI165</f>
        <v>#N/A</v>
      </c>
      <c r="AG165" s="253" t="e">
        <f aca="false">xSPRDOPT(HLOOKUP($D$3,GDPrev,VLOOKUP(Q165,GDmove_down,2,FALSE()),FALSE()),HLOOKUP($E$3,GDPrev,VLOOKUP(Q165,GDmove_down,2,FALSE()),FALSE()),AJ165,VLOOKUP(H165,NGPREVPRICES,4,FALSE()),HLOOKUP($H$3,GDPrevVols,VLOOKUP(Q165,GDmove_down2,2,FALSE()),FALSE()),HLOOKUP($H$3,GDPrevVols,VLOOKUP(Q165,GDmove_down2,2,FALSE()),FALSE()),HLOOKUP(E165,GDcorr,VLOOKUP(H165,CorMove,2,FALSE()),FALSE()),Q165-$C$3,R165,$AI$5)*I165-AI165</f>
        <v>#N/A</v>
      </c>
      <c r="AH165" s="253" t="e">
        <f aca="false">SUM(AC165:AG165)</f>
        <v>#N/A</v>
      </c>
      <c r="AI165" s="253" t="e">
        <f aca="false">xSPRDOPT(HLOOKUP($D$3,GDPrev,VLOOKUP(Q165,GDmove_down,2,FALSE()),FALSE()),HLOOKUP($E$3,GDPrev,VLOOKUP(Q165,GDmove_down,2,FALSE()),FALSE()),AJ165,VLOOKUP(H165,NGPREVPRICES,4,FALSE()),HLOOKUP($H$3,GDPrevVols,VLOOKUP(Q165,GDmove_down2,2,FALSE()),FALSE()),HLOOKUP($H$3,GDPrevVols,VLOOKUP(Q165,GDmove_down2,2,FALSE()),FALSE()),HLOOKUP(E165,GDcorr,VLOOKUP(H165,CorMove,2,FALSE()),FALSE()),Q165-$AC$3,R165,$AI$5)*I165</f>
        <v>#N/A</v>
      </c>
      <c r="AJ165" s="254" t="e">
        <f aca="false">HLOOKUP(D165,PREVCURVES,VLOOKUP(H165,MOVE_DOWN2,2,FALSE()),FALSE())-HLOOKUP(E165,PREVCURVES,VLOOKUP(H165,MOVE_DOWN2,2,FALSE()),FALSE())</f>
        <v>#N/A</v>
      </c>
      <c r="AK165" s="253"/>
      <c r="AL165" s="0" t="str">
        <f aca="false">CONCATENATE(AB165,$AC$6)</f>
        <v>36678Curve Shift/Gamma</v>
      </c>
      <c r="AM165" s="0" t="str">
        <f aca="false">CONCATENATE($AB165,$AD$6)</f>
        <v>36678Rho</v>
      </c>
      <c r="AN165" s="0" t="str">
        <f aca="false">CONCATENATE($AB165,$AE$6)</f>
        <v>36678Drift</v>
      </c>
      <c r="AO165" s="0" t="str">
        <f aca="false">CONCATENATE($AB165,$AF$6)</f>
        <v>36678Vega</v>
      </c>
      <c r="AP165" s="0" t="str">
        <f aca="false">CONCATENATE($AB165,$AG$6)</f>
        <v>36678Theta</v>
      </c>
      <c r="AZ165" s="143" t="n">
        <f aca="false">EOMONTH(AZ164,0)+1</f>
        <v>40969</v>
      </c>
      <c r="BA165" s="135"/>
      <c r="BG165" s="285" t="n">
        <v>41306</v>
      </c>
      <c r="BH165" s="0" t="n">
        <v>0.985</v>
      </c>
      <c r="BJ165" s="285" t="n">
        <v>41306</v>
      </c>
      <c r="BK165" s="0" t="n">
        <v>162</v>
      </c>
    </row>
    <row r="166" customFormat="false" ht="12" hidden="false" customHeight="true" outlineLevel="0" collapsed="false">
      <c r="A166" s="267" t="s">
        <v>198</v>
      </c>
      <c r="B166" s="269" t="s">
        <v>192</v>
      </c>
      <c r="C166" s="269" t="s">
        <v>493</v>
      </c>
      <c r="D166" s="269" t="s">
        <v>137</v>
      </c>
      <c r="E166" s="7" t="s">
        <v>483</v>
      </c>
      <c r="F166" s="269" t="s">
        <v>131</v>
      </c>
      <c r="G166" s="269" t="s">
        <v>136</v>
      </c>
      <c r="H166" s="286" t="n">
        <v>36678</v>
      </c>
      <c r="I166" s="272" t="n">
        <v>50000</v>
      </c>
      <c r="J166" s="125" t="n">
        <v>0.46</v>
      </c>
      <c r="K166" s="124" t="n">
        <f aca="false">HLOOKUP($D$3,GDPRICES,VLOOKUP(Q166,GDmove_down,2,FALSE()),FALSE())</f>
        <v>5.775</v>
      </c>
      <c r="L166" s="124" t="n">
        <f aca="false">HLOOKUP($E$3,GDPRICES,VLOOKUP(Q166,GDmove_down,2,FALSE()),FALSE())</f>
        <v>3.68</v>
      </c>
      <c r="M166" s="126" t="n">
        <v>1</v>
      </c>
      <c r="N166" s="7" t="n">
        <v>0.515</v>
      </c>
      <c r="O166" s="7" t="n">
        <v>0.515</v>
      </c>
      <c r="P166" s="249" t="e">
        <f aca="false">HLOOKUP(E166,GDcorr,VLOOKUP(H166,GDCorMove,2,FALSE()),FALSE())</f>
        <v>#N/A</v>
      </c>
      <c r="Q166" s="92" t="n">
        <v>36700</v>
      </c>
      <c r="R166" s="7" t="n">
        <f aca="false">IF(G166="P",0,1)</f>
        <v>1</v>
      </c>
      <c r="S166" s="130" t="e">
        <f aca="false">xSPRDOPT($K166,$L166,$J166,$M166,$N166,$O166,$P166,$Q166-$C$3,$R166,0)</f>
        <v>#NAME?</v>
      </c>
      <c r="T166" s="250" t="e">
        <f aca="false">xSPRDOPT($K166,$L166,$J166,$M166,$N166,$O166,$P166,$Q166-$C$3,$R166,1)*I166</f>
        <v>#NAME?</v>
      </c>
      <c r="U166" s="43" t="n">
        <v>14500</v>
      </c>
      <c r="V166" s="250" t="e">
        <f aca="false">xSPRDOPT($K166,$L166,$J166,$M166,$N166,$O166,$P166,$Q166-$C$3,$R166,2)*I166</f>
        <v>#NAME?</v>
      </c>
      <c r="W166" s="250" t="e">
        <f aca="false">+V166+T166</f>
        <v>#NAME?</v>
      </c>
      <c r="X166" s="2" t="str">
        <f aca="false">CONCATENATE(H166,E166)</f>
        <v>36678IF-ELPO/SJ</v>
      </c>
      <c r="Y166" s="251" t="n">
        <f aca="false">I166/10000</f>
        <v>5</v>
      </c>
      <c r="AB166" s="182" t="n">
        <f aca="false">H166</f>
        <v>36678</v>
      </c>
      <c r="AC166" s="253" t="e">
        <f aca="false">xSPRDOPT(HLOOKUP($D$3,GDPRICES,VLOOKUP(Q166,GDmove_down,2,FALSE()),FALSE()),HLOOKUP($E$3,GDPRICES,VLOOKUP(Q166,GDmove_down,2,FALSE()),FALSE()),J166,VLOOKUP(H166,NGPREVPRICES,4,FALSE()),HLOOKUP($H$3,GDPrevVols,VLOOKUP(Q166,GDmove_down2,2,FALSE()),FALSE()),HLOOKUP($H$3,GDPrevVols,VLOOKUP(Q166,GDmove_down2,2,FALSE()),FALSE()),HLOOKUP(E166,GDcorr,VLOOKUP(H166,CorMove,2,FALSE()),FALSE()),Q166-$AC$3,R166,$AC$5)*I166-AI166</f>
        <v>#N/A</v>
      </c>
      <c r="AD166" s="253" t="e">
        <f aca="false">xSPRDOPT(HLOOKUP($D$3,GDPrev,VLOOKUP(Q166,GDmove_down,2,FALSE()),FALSE()),HLOOKUP($E$3,GDPrev,VLOOKUP(Q166,GDmove_down,2,FALSE()),FALSE()),AJ166,VLOOKUP(H166,NGPrices,4,FALSE()),HLOOKUP($H$3,GDPrevVols,VLOOKUP(Q166,GDmove_down2,2,FALSE()),FALSE()),HLOOKUP($H$3,GDPrevVols,VLOOKUP(Q166,GDmove_down2,2,FALSE()),FALSE()),HLOOKUP(E166,GDcorr,VLOOKUP(H166,CorMove,2,FALSE()),FALSE()),Q166-$AC$3,R166,$AI$5)*I166-AI166</f>
        <v>#N/A</v>
      </c>
      <c r="AE166" s="132" t="e">
        <f aca="false">(AI166/VLOOKUP(AB166,discount,3,FALSE()))-(AI166/VLOOKUP(AB166,discount,2,FALSE()))</f>
        <v>#N/A</v>
      </c>
      <c r="AF166" s="253" t="e">
        <f aca="false">xSPRDOPT(HLOOKUP($D$3,GDPrev,VLOOKUP(Q166,GDmove_down,2,FALSE()),FALSE()),HLOOKUP($E$3,GDPrev,VLOOKUP(Q166,GDmove_down,2,FALSE()),FALSE()),AJ166,VLOOKUP(H166,NGPREVPRICES,4,FALSE()),HLOOKUP($H$3,GDVol,VLOOKUP(H166,move_down,2,FALSE()),FALSE()),HLOOKUP($H$3,GDVol,VLOOKUP(H166,move_down,2,FALSE()),FALSE()),HLOOKUP(E166,GDcorr,VLOOKUP(H166,CorMove,2,FALSE()),FALSE()),Q166-$AC$3,R166,$AI$5)*I166-AI166</f>
        <v>#N/A</v>
      </c>
      <c r="AG166" s="253" t="e">
        <f aca="false">xSPRDOPT(HLOOKUP($D$3,GDPrev,VLOOKUP(Q166,GDmove_down,2,FALSE()),FALSE()),HLOOKUP($E$3,GDPrev,VLOOKUP(Q166,GDmove_down,2,FALSE()),FALSE()),AJ166,VLOOKUP(H166,NGPREVPRICES,4,FALSE()),HLOOKUP($H$3,GDPrevVols,VLOOKUP(Q166,GDmove_down2,2,FALSE()),FALSE()),HLOOKUP($H$3,GDPrevVols,VLOOKUP(Q166,GDmove_down2,2,FALSE()),FALSE()),HLOOKUP(E166,GDcorr,VLOOKUP(H166,CorMove,2,FALSE()),FALSE()),Q166-$C$3,R166,$AI$5)*I166-AI166</f>
        <v>#N/A</v>
      </c>
      <c r="AH166" s="253" t="e">
        <f aca="false">SUM(AC166:AG166)</f>
        <v>#N/A</v>
      </c>
      <c r="AI166" s="253" t="e">
        <f aca="false">xSPRDOPT(HLOOKUP($D$3,GDPrev,VLOOKUP(Q166,GDmove_down,2,FALSE()),FALSE()),HLOOKUP($E$3,GDPrev,VLOOKUP(Q166,GDmove_down,2,FALSE()),FALSE()),AJ166,VLOOKUP(H166,NGPREVPRICES,4,FALSE()),HLOOKUP($H$3,GDPrevVols,VLOOKUP(Q166,GDmove_down2,2,FALSE()),FALSE()),HLOOKUP($H$3,GDPrevVols,VLOOKUP(Q166,GDmove_down2,2,FALSE()),FALSE()),HLOOKUP(E166,GDcorr,VLOOKUP(H166,CorMove,2,FALSE()),FALSE()),Q166-$AC$3,R166,$AI$5)*I166</f>
        <v>#N/A</v>
      </c>
      <c r="AJ166" s="254" t="e">
        <f aca="false">HLOOKUP(D166,PREVCURVES,VLOOKUP(H166,MOVE_DOWN2,2,FALSE()),FALSE())-HLOOKUP(E166,PREVCURVES,VLOOKUP(H166,MOVE_DOWN2,2,FALSE()),FALSE())</f>
        <v>#N/A</v>
      </c>
      <c r="AK166" s="253"/>
      <c r="AL166" s="0" t="str">
        <f aca="false">CONCATENATE(AB166,$AC$6)</f>
        <v>36678Curve Shift/Gamma</v>
      </c>
      <c r="AM166" s="0" t="str">
        <f aca="false">CONCATENATE($AB166,$AD$6)</f>
        <v>36678Rho</v>
      </c>
      <c r="AN166" s="0" t="str">
        <f aca="false">CONCATENATE($AB166,$AE$6)</f>
        <v>36678Drift</v>
      </c>
      <c r="AO166" s="0" t="str">
        <f aca="false">CONCATENATE($AB166,$AF$6)</f>
        <v>36678Vega</v>
      </c>
      <c r="AP166" s="0" t="str">
        <f aca="false">CONCATENATE($AB166,$AG$6)</f>
        <v>36678Theta</v>
      </c>
      <c r="AZ166" s="143" t="n">
        <f aca="false">EOMONTH(AZ165,0)+1</f>
        <v>41000</v>
      </c>
      <c r="BA166" s="135"/>
      <c r="BG166" s="285" t="n">
        <v>41334</v>
      </c>
      <c r="BH166" s="0" t="n">
        <v>0.985</v>
      </c>
      <c r="BJ166" s="285" t="n">
        <v>41334</v>
      </c>
      <c r="BK166" s="0" t="n">
        <v>163</v>
      </c>
    </row>
    <row r="167" customFormat="false" ht="12" hidden="false" customHeight="true" outlineLevel="0" collapsed="false">
      <c r="A167" s="267" t="s">
        <v>198</v>
      </c>
      <c r="B167" s="269" t="s">
        <v>192</v>
      </c>
      <c r="C167" s="269" t="s">
        <v>494</v>
      </c>
      <c r="D167" s="269" t="s">
        <v>137</v>
      </c>
      <c r="E167" s="7" t="s">
        <v>483</v>
      </c>
      <c r="F167" s="269" t="s">
        <v>131</v>
      </c>
      <c r="G167" s="269" t="s">
        <v>136</v>
      </c>
      <c r="H167" s="286" t="n">
        <v>36678</v>
      </c>
      <c r="I167" s="272" t="n">
        <v>-10000</v>
      </c>
      <c r="J167" s="125" t="n">
        <v>0.46</v>
      </c>
      <c r="K167" s="124" t="n">
        <f aca="false">HLOOKUP($D$3,GDPRICES,VLOOKUP(Q167,GDmove_down,2,FALSE()),FALSE())</f>
        <v>5.775</v>
      </c>
      <c r="L167" s="124" t="n">
        <f aca="false">HLOOKUP($E$3,GDPRICES,VLOOKUP(Q167,GDmove_down,2,FALSE()),FALSE())</f>
        <v>3.68</v>
      </c>
      <c r="M167" s="126" t="n">
        <v>1</v>
      </c>
      <c r="N167" s="7" t="n">
        <v>0.515</v>
      </c>
      <c r="O167" s="7" t="n">
        <v>0.515</v>
      </c>
      <c r="P167" s="249" t="e">
        <f aca="false">HLOOKUP(E167,GDcorr,VLOOKUP(H167,GDCorMove,2,FALSE()),FALSE())</f>
        <v>#N/A</v>
      </c>
      <c r="Q167" s="92" t="n">
        <v>36700</v>
      </c>
      <c r="R167" s="7" t="n">
        <f aca="false">IF(G167="P",0,1)</f>
        <v>1</v>
      </c>
      <c r="S167" s="130" t="e">
        <f aca="false">xSPRDOPT($K167,$L167,$J167,$M167,$N167,$O167,$P167,$Q167-$C$3,$R167,0)</f>
        <v>#NAME?</v>
      </c>
      <c r="T167" s="250" t="e">
        <f aca="false">xSPRDOPT($K167,$L167,$J167,$M167,$N167,$O167,$P167,$Q167-$C$3,$R167,1)*I167</f>
        <v>#NAME?</v>
      </c>
      <c r="U167" s="43" t="n">
        <v>2900</v>
      </c>
      <c r="V167" s="250" t="e">
        <f aca="false">xSPRDOPT($K167,$L167,$J167,$M167,$N167,$O167,$P167,$Q167-$C$3,$R167,2)*I167</f>
        <v>#NAME?</v>
      </c>
      <c r="W167" s="250" t="e">
        <f aca="false">+V167+T167</f>
        <v>#NAME?</v>
      </c>
      <c r="X167" s="2" t="str">
        <f aca="false">CONCATENATE(H167,E167)</f>
        <v>36678IF-ELPO/SJ</v>
      </c>
      <c r="Y167" s="251" t="n">
        <f aca="false">I167/10000</f>
        <v>-1</v>
      </c>
      <c r="Z167" s="2"/>
      <c r="AB167" s="182" t="n">
        <f aca="false">H167</f>
        <v>36678</v>
      </c>
      <c r="AC167" s="253" t="e">
        <f aca="false">xSPRDOPT(HLOOKUP($D$3,GDPRICES,VLOOKUP(Q167,GDmove_down,2,FALSE()),FALSE()),HLOOKUP($E$3,GDPRICES,VLOOKUP(Q167,GDmove_down,2,FALSE()),FALSE()),J167,VLOOKUP(H167,NGPREVPRICES,4,FALSE()),HLOOKUP($H$3,GDPrevVols,VLOOKUP(Q167,GDmove_down2,2,FALSE()),FALSE()),HLOOKUP($H$3,GDPrevVols,VLOOKUP(Q167,GDmove_down2,2,FALSE()),FALSE()),HLOOKUP(E167,GDcorr,VLOOKUP(H167,CorMove,2,FALSE()),FALSE()),Q167-$AC$3,R167,$AC$5)*I167-AI167</f>
        <v>#N/A</v>
      </c>
      <c r="AD167" s="253" t="e">
        <f aca="false">xSPRDOPT(HLOOKUP($D$3,GDPrev,VLOOKUP(Q167,GDmove_down,2,FALSE()),FALSE()),HLOOKUP($E$3,GDPrev,VLOOKUP(Q167,GDmove_down,2,FALSE()),FALSE()),AJ167,VLOOKUP(H167,NGPrices,4,FALSE()),HLOOKUP($H$3,GDPrevVols,VLOOKUP(Q167,GDmove_down2,2,FALSE()),FALSE()),HLOOKUP($H$3,GDPrevVols,VLOOKUP(Q167,GDmove_down2,2,FALSE()),FALSE()),HLOOKUP(E167,GDcorr,VLOOKUP(H167,CorMove,2,FALSE()),FALSE()),Q167-$AC$3,R167,$AI$5)*I167-AI167</f>
        <v>#N/A</v>
      </c>
      <c r="AE167" s="132" t="e">
        <f aca="false">(AI167/VLOOKUP(AB167,discount,3,FALSE()))-(AI167/VLOOKUP(AB167,discount,2,FALSE()))</f>
        <v>#N/A</v>
      </c>
      <c r="AF167" s="253" t="e">
        <f aca="false">xSPRDOPT(HLOOKUP($D$3,GDPrev,VLOOKUP(Q167,GDmove_down,2,FALSE()),FALSE()),HLOOKUP($E$3,GDPrev,VLOOKUP(Q167,GDmove_down,2,FALSE()),FALSE()),AJ167,VLOOKUP(H167,NGPREVPRICES,4,FALSE()),HLOOKUP($H$3,GDVol,VLOOKUP(H167,move_down,2,FALSE()),FALSE()),HLOOKUP($H$3,GDVol,VLOOKUP(H167,move_down,2,FALSE()),FALSE()),HLOOKUP(E167,GDcorr,VLOOKUP(H167,CorMove,2,FALSE()),FALSE()),Q167-$AC$3,R167,$AI$5)*I167-AI167</f>
        <v>#N/A</v>
      </c>
      <c r="AG167" s="253" t="e">
        <f aca="false">xSPRDOPT(HLOOKUP($D$3,GDPrev,VLOOKUP(Q167,GDmove_down,2,FALSE()),FALSE()),HLOOKUP($E$3,GDPrev,VLOOKUP(Q167,GDmove_down,2,FALSE()),FALSE()),AJ167,VLOOKUP(H167,NGPREVPRICES,4,FALSE()),HLOOKUP($H$3,GDPrevVols,VLOOKUP(Q167,GDmove_down2,2,FALSE()),FALSE()),HLOOKUP($H$3,GDPrevVols,VLOOKUP(Q167,GDmove_down2,2,FALSE()),FALSE()),HLOOKUP(E167,GDcorr,VLOOKUP(H167,CorMove,2,FALSE()),FALSE()),Q167-$C$3,R167,$AI$5)*I167-AI167</f>
        <v>#N/A</v>
      </c>
      <c r="AH167" s="253" t="e">
        <f aca="false">SUM(AC167:AG167)</f>
        <v>#N/A</v>
      </c>
      <c r="AI167" s="253" t="e">
        <f aca="false">xSPRDOPT(HLOOKUP($D$3,GDPrev,VLOOKUP(Q167,GDmove_down,2,FALSE()),FALSE()),HLOOKUP($E$3,GDPrev,VLOOKUP(Q167,GDmove_down,2,FALSE()),FALSE()),AJ167,VLOOKUP(H167,NGPREVPRICES,4,FALSE()),HLOOKUP($H$3,GDPrevVols,VLOOKUP(Q167,GDmove_down2,2,FALSE()),FALSE()),HLOOKUP($H$3,GDPrevVols,VLOOKUP(Q167,GDmove_down2,2,FALSE()),FALSE()),HLOOKUP(E167,GDcorr,VLOOKUP(H167,CorMove,2,FALSE()),FALSE()),Q167-$AC$3,R167,$AI$5)*I167</f>
        <v>#N/A</v>
      </c>
      <c r="AJ167" s="254" t="e">
        <f aca="false">HLOOKUP(D167,PREVCURVES,VLOOKUP(H167,MOVE_DOWN2,2,FALSE()),FALSE())-HLOOKUP(E167,PREVCURVES,VLOOKUP(H167,MOVE_DOWN2,2,FALSE()),FALSE())</f>
        <v>#N/A</v>
      </c>
      <c r="AK167" s="253"/>
      <c r="AL167" s="0" t="str">
        <f aca="false">CONCATENATE(AB167,$AC$6)</f>
        <v>36678Curve Shift/Gamma</v>
      </c>
      <c r="AM167" s="0" t="str">
        <f aca="false">CONCATENATE($AB167,$AD$6)</f>
        <v>36678Rho</v>
      </c>
      <c r="AN167" s="0" t="str">
        <f aca="false">CONCATENATE($AB167,$AE$6)</f>
        <v>36678Drift</v>
      </c>
      <c r="AO167" s="0" t="str">
        <f aca="false">CONCATENATE($AB167,$AF$6)</f>
        <v>36678Vega</v>
      </c>
      <c r="AP167" s="0" t="str">
        <f aca="false">CONCATENATE($AB167,$AG$6)</f>
        <v>36678Theta</v>
      </c>
      <c r="AZ167" s="143" t="n">
        <f aca="false">EOMONTH(AZ166,0)+1</f>
        <v>41030</v>
      </c>
      <c r="BA167" s="135"/>
      <c r="BG167" s="285" t="n">
        <v>41365</v>
      </c>
      <c r="BH167" s="0" t="n">
        <v>0.985</v>
      </c>
      <c r="BJ167" s="285" t="n">
        <v>41365</v>
      </c>
      <c r="BK167" s="0" t="n">
        <v>164</v>
      </c>
    </row>
    <row r="168" customFormat="false" ht="12" hidden="false" customHeight="true" outlineLevel="0" collapsed="false">
      <c r="A168" s="265" t="s">
        <v>198</v>
      </c>
      <c r="B168" s="269" t="s">
        <v>192</v>
      </c>
      <c r="C168" s="269" t="s">
        <v>488</v>
      </c>
      <c r="D168" s="269" t="s">
        <v>137</v>
      </c>
      <c r="E168" s="7" t="s">
        <v>483</v>
      </c>
      <c r="F168" s="269" t="s">
        <v>131</v>
      </c>
      <c r="G168" s="269" t="s">
        <v>136</v>
      </c>
      <c r="H168" s="286" t="n">
        <v>36678</v>
      </c>
      <c r="I168" s="272" t="n">
        <v>-50000</v>
      </c>
      <c r="J168" s="125" t="n">
        <v>0.46</v>
      </c>
      <c r="K168" s="124" t="n">
        <f aca="false">HLOOKUP($D$3,GDPRICES,VLOOKUP(Q168,GDmove_down,2,FALSE()),FALSE())</f>
        <v>5.76</v>
      </c>
      <c r="L168" s="124" t="n">
        <f aca="false">HLOOKUP($E$3,GDPRICES,VLOOKUP(Q168,GDmove_down,2,FALSE()),FALSE())</f>
        <v>3.6</v>
      </c>
      <c r="M168" s="126" t="n">
        <v>1</v>
      </c>
      <c r="N168" s="7" t="n">
        <v>0.515</v>
      </c>
      <c r="O168" s="7" t="n">
        <v>0.515</v>
      </c>
      <c r="P168" s="249" t="e">
        <f aca="false">HLOOKUP(E168,GDcorr,VLOOKUP(H168,GDCorMove,2,FALSE()),FALSE())</f>
        <v>#N/A</v>
      </c>
      <c r="Q168" s="92" t="n">
        <v>36701</v>
      </c>
      <c r="R168" s="7" t="n">
        <f aca="false">IF(G168="P",0,1)</f>
        <v>1</v>
      </c>
      <c r="S168" s="130" t="e">
        <f aca="false">xSPRDOPT($K168,$L168,$J168,$M168,$N168,$O168,$P168,$Q168-$C$3,$R168,0)</f>
        <v>#NAME?</v>
      </c>
      <c r="T168" s="250" t="e">
        <f aca="false">xSPRDOPT($K168,$L168,$J168,$M168,$N168,$O168,$P168,$Q168-$C$3,$R168,1)*I168</f>
        <v>#NAME?</v>
      </c>
      <c r="U168" s="43" t="n">
        <v>-14250</v>
      </c>
      <c r="V168" s="250" t="e">
        <f aca="false">xSPRDOPT($K168,$L168,$J168,$M168,$N168,$O168,$P168,$Q168-$C$3,$R168,2)*I168</f>
        <v>#NAME?</v>
      </c>
      <c r="W168" s="250" t="e">
        <f aca="false">+V168+T168</f>
        <v>#NAME?</v>
      </c>
      <c r="X168" s="2" t="str">
        <f aca="false">CONCATENATE(H168,E168)</f>
        <v>36678IF-ELPO/SJ</v>
      </c>
      <c r="Y168" s="251" t="n">
        <f aca="false">I168/10000</f>
        <v>-5</v>
      </c>
      <c r="Z168" s="2"/>
      <c r="AB168" s="182" t="n">
        <f aca="false">H168</f>
        <v>36678</v>
      </c>
      <c r="AC168" s="253" t="e">
        <f aca="false">xSPRDOPT(HLOOKUP($D$3,GDPRICES,VLOOKUP(Q168,GDmove_down,2,FALSE()),FALSE()),HLOOKUP($E$3,GDPRICES,VLOOKUP(Q168,GDmove_down,2,FALSE()),FALSE()),J168,VLOOKUP(H168,NGPREVPRICES,4,FALSE()),HLOOKUP($H$3,GDPrevVols,VLOOKUP(Q168,GDmove_down2,2,FALSE()),FALSE()),HLOOKUP($H$3,GDPrevVols,VLOOKUP(Q168,GDmove_down2,2,FALSE()),FALSE()),HLOOKUP(E168,GDcorr,VLOOKUP(H168,CorMove,2,FALSE()),FALSE()),Q168-$AC$3,R168,$AC$5)*I168-AI168</f>
        <v>#N/A</v>
      </c>
      <c r="AD168" s="253" t="e">
        <f aca="false">xSPRDOPT(HLOOKUP($D$3,GDPrev,VLOOKUP(Q168,GDmove_down,2,FALSE()),FALSE()),HLOOKUP($E$3,GDPrev,VLOOKUP(Q168,GDmove_down,2,FALSE()),FALSE()),AJ168,VLOOKUP(H168,NGPrices,4,FALSE()),HLOOKUP($H$3,GDPrevVols,VLOOKUP(Q168,GDmove_down2,2,FALSE()),FALSE()),HLOOKUP($H$3,GDPrevVols,VLOOKUP(Q168,GDmove_down2,2,FALSE()),FALSE()),HLOOKUP(E168,GDcorr,VLOOKUP(H168,CorMove,2,FALSE()),FALSE()),Q168-$AC$3,R168,$AI$5)*I168-AI168</f>
        <v>#N/A</v>
      </c>
      <c r="AE168" s="132" t="e">
        <f aca="false">(AI168/VLOOKUP(AB168,discount,3,FALSE()))-(AI168/VLOOKUP(AB168,discount,2,FALSE()))</f>
        <v>#N/A</v>
      </c>
      <c r="AF168" s="253" t="e">
        <f aca="false">xSPRDOPT(HLOOKUP($D$3,GDPrev,VLOOKUP(Q168,GDmove_down,2,FALSE()),FALSE()),HLOOKUP($E$3,GDPrev,VLOOKUP(Q168,GDmove_down,2,FALSE()),FALSE()),AJ168,VLOOKUP(H168,NGPREVPRICES,4,FALSE()),HLOOKUP($H$3,GDVol,VLOOKUP(H168,move_down,2,FALSE()),FALSE()),HLOOKUP($H$3,GDVol,VLOOKUP(H168,move_down,2,FALSE()),FALSE()),HLOOKUP(E168,GDcorr,VLOOKUP(H168,CorMove,2,FALSE()),FALSE()),Q168-$AC$3,R168,$AI$5)*I168-AI168</f>
        <v>#N/A</v>
      </c>
      <c r="AG168" s="253" t="e">
        <f aca="false">xSPRDOPT(HLOOKUP($D$3,GDPrev,VLOOKUP(Q168,GDmove_down,2,FALSE()),FALSE()),HLOOKUP($E$3,GDPrev,VLOOKUP(Q168,GDmove_down,2,FALSE()),FALSE()),AJ168,VLOOKUP(H168,NGPREVPRICES,4,FALSE()),HLOOKUP($H$3,GDPrevVols,VLOOKUP(Q168,GDmove_down2,2,FALSE()),FALSE()),HLOOKUP($H$3,GDPrevVols,VLOOKUP(Q168,GDmove_down2,2,FALSE()),FALSE()),HLOOKUP(E168,GDcorr,VLOOKUP(H168,CorMove,2,FALSE()),FALSE()),Q168-$C$3,R168,$AI$5)*I168-AI168</f>
        <v>#N/A</v>
      </c>
      <c r="AH168" s="253" t="e">
        <f aca="false">SUM(AC168:AG168)</f>
        <v>#N/A</v>
      </c>
      <c r="AI168" s="253" t="e">
        <f aca="false">xSPRDOPT(HLOOKUP($D$3,GDPrev,VLOOKUP(Q168,GDmove_down,2,FALSE()),FALSE()),HLOOKUP($E$3,GDPrev,VLOOKUP(Q168,GDmove_down,2,FALSE()),FALSE()),AJ168,VLOOKUP(H168,NGPREVPRICES,4,FALSE()),HLOOKUP($H$3,GDPrevVols,VLOOKUP(Q168,GDmove_down2,2,FALSE()),FALSE()),HLOOKUP($H$3,GDPrevVols,VLOOKUP(Q168,GDmove_down2,2,FALSE()),FALSE()),HLOOKUP(E168,GDcorr,VLOOKUP(H168,CorMove,2,FALSE()),FALSE()),Q168-$AC$3,R168,$AI$5)*I168</f>
        <v>#N/A</v>
      </c>
      <c r="AJ168" s="254" t="e">
        <f aca="false">HLOOKUP(D168,PREVCURVES,VLOOKUP(H168,MOVE_DOWN2,2,FALSE()),FALSE())-HLOOKUP(E168,PREVCURVES,VLOOKUP(H168,MOVE_DOWN2,2,FALSE()),FALSE())</f>
        <v>#N/A</v>
      </c>
      <c r="AK168" s="253"/>
      <c r="AL168" s="0" t="str">
        <f aca="false">CONCATENATE(AB168,$AC$6)</f>
        <v>36678Curve Shift/Gamma</v>
      </c>
      <c r="AM168" s="0" t="str">
        <f aca="false">CONCATENATE($AB168,$AD$6)</f>
        <v>36678Rho</v>
      </c>
      <c r="AN168" s="0" t="str">
        <f aca="false">CONCATENATE($AB168,$AE$6)</f>
        <v>36678Drift</v>
      </c>
      <c r="AO168" s="0" t="str">
        <f aca="false">CONCATENATE($AB168,$AF$6)</f>
        <v>36678Vega</v>
      </c>
      <c r="AP168" s="0" t="str">
        <f aca="false">CONCATENATE($AB168,$AG$6)</f>
        <v>36678Theta</v>
      </c>
      <c r="AZ168" s="163" t="n">
        <f aca="false">EOMONTH(AZ167,0)+1</f>
        <v>41061</v>
      </c>
      <c r="BA168" s="165"/>
      <c r="BG168" s="285" t="n">
        <v>41395</v>
      </c>
      <c r="BH168" s="0" t="n">
        <v>0.985</v>
      </c>
      <c r="BJ168" s="285" t="n">
        <v>41395</v>
      </c>
      <c r="BK168" s="0" t="n">
        <v>165</v>
      </c>
    </row>
    <row r="169" customFormat="false" ht="12" hidden="false" customHeight="true" outlineLevel="0" collapsed="false">
      <c r="A169" s="265" t="s">
        <v>198</v>
      </c>
      <c r="B169" s="269" t="s">
        <v>192</v>
      </c>
      <c r="C169" s="269" t="s">
        <v>489</v>
      </c>
      <c r="D169" s="269" t="s">
        <v>137</v>
      </c>
      <c r="E169" s="7" t="s">
        <v>483</v>
      </c>
      <c r="F169" s="269" t="s">
        <v>131</v>
      </c>
      <c r="G169" s="269" t="s">
        <v>136</v>
      </c>
      <c r="H169" s="286" t="n">
        <v>36678</v>
      </c>
      <c r="I169" s="272" t="n">
        <v>10000</v>
      </c>
      <c r="J169" s="125" t="n">
        <v>0.46</v>
      </c>
      <c r="K169" s="124" t="n">
        <f aca="false">HLOOKUP($D$3,GDPRICES,VLOOKUP(Q169,GDmove_down,2,FALSE()),FALSE())</f>
        <v>5.76</v>
      </c>
      <c r="L169" s="124" t="n">
        <f aca="false">HLOOKUP($E$3,GDPRICES,VLOOKUP(Q169,GDmove_down,2,FALSE()),FALSE())</f>
        <v>3.6</v>
      </c>
      <c r="M169" s="126" t="n">
        <v>1</v>
      </c>
      <c r="N169" s="7" t="n">
        <v>0.515</v>
      </c>
      <c r="O169" s="7" t="n">
        <v>0.515</v>
      </c>
      <c r="P169" s="249" t="e">
        <f aca="false">HLOOKUP(E169,GDcorr,VLOOKUP(H169,GDCorMove,2,FALSE()),FALSE())</f>
        <v>#N/A</v>
      </c>
      <c r="Q169" s="92" t="n">
        <v>36701</v>
      </c>
      <c r="R169" s="7" t="n">
        <f aca="false">IF(G169="P",0,1)</f>
        <v>1</v>
      </c>
      <c r="S169" s="130" t="e">
        <f aca="false">xSPRDOPT($K169,$L169,$J169,$M169,$N169,$O169,$P169,$Q169-$C$3,$R169,0)</f>
        <v>#NAME?</v>
      </c>
      <c r="T169" s="250" t="e">
        <f aca="false">xSPRDOPT($K169,$L169,$J169,$M169,$N169,$O169,$P169,$Q169-$C$3,$R169,1)*I169</f>
        <v>#NAME?</v>
      </c>
      <c r="U169" s="43" t="n">
        <v>2850</v>
      </c>
      <c r="V169" s="250" t="e">
        <f aca="false">xSPRDOPT($K169,$L169,$J169,$M169,$N169,$O169,$P169,$Q169-$C$3,$R169,2)*I169</f>
        <v>#NAME?</v>
      </c>
      <c r="W169" s="250" t="e">
        <f aca="false">+V169+T169</f>
        <v>#NAME?</v>
      </c>
      <c r="X169" s="2" t="str">
        <f aca="false">CONCATENATE(H169,E169)</f>
        <v>36678IF-ELPO/SJ</v>
      </c>
      <c r="Y169" s="251" t="n">
        <f aca="false">I169/10000</f>
        <v>1</v>
      </c>
      <c r="Z169" s="2"/>
      <c r="AB169" s="182" t="n">
        <f aca="false">H169</f>
        <v>36678</v>
      </c>
      <c r="AC169" s="253" t="e">
        <f aca="false">xSPRDOPT(HLOOKUP($D$3,GDPRICES,VLOOKUP(Q169,GDmove_down,2,FALSE()),FALSE()),HLOOKUP($E$3,GDPRICES,VLOOKUP(Q169,GDmove_down,2,FALSE()),FALSE()),J169,VLOOKUP(H169,NGPREVPRICES,4,FALSE()),HLOOKUP($H$3,GDPrevVols,VLOOKUP(Q169,GDmove_down2,2,FALSE()),FALSE()),HLOOKUP($H$3,GDPrevVols,VLOOKUP(Q169,GDmove_down2,2,FALSE()),FALSE()),HLOOKUP(E169,GDcorr,VLOOKUP(H169,CorMove,2,FALSE()),FALSE()),Q169-$AC$3,R169,$AC$5)*I169-AI169</f>
        <v>#N/A</v>
      </c>
      <c r="AD169" s="253" t="e">
        <f aca="false">xSPRDOPT(HLOOKUP($D$3,GDPrev,VLOOKUP(Q169,GDmove_down,2,FALSE()),FALSE()),HLOOKUP($E$3,GDPrev,VLOOKUP(Q169,GDmove_down,2,FALSE()),FALSE()),AJ169,VLOOKUP(H169,NGPrices,4,FALSE()),HLOOKUP($H$3,GDPrevVols,VLOOKUP(Q169,GDmove_down2,2,FALSE()),FALSE()),HLOOKUP($H$3,GDPrevVols,VLOOKUP(Q169,GDmove_down2,2,FALSE()),FALSE()),HLOOKUP(E169,GDcorr,VLOOKUP(H169,CorMove,2,FALSE()),FALSE()),Q169-$AC$3,R169,$AI$5)*I169-AI169</f>
        <v>#N/A</v>
      </c>
      <c r="AE169" s="132" t="e">
        <f aca="false">(AI169/VLOOKUP(AB169,discount,3,FALSE()))-(AI169/VLOOKUP(AB169,discount,2,FALSE()))</f>
        <v>#N/A</v>
      </c>
      <c r="AF169" s="253" t="e">
        <f aca="false">xSPRDOPT(HLOOKUP($D$3,GDPrev,VLOOKUP(Q169,GDmove_down,2,FALSE()),FALSE()),HLOOKUP($E$3,GDPrev,VLOOKUP(Q169,GDmove_down,2,FALSE()),FALSE()),AJ169,VLOOKUP(H169,NGPREVPRICES,4,FALSE()),HLOOKUP($H$3,GDVol,VLOOKUP(H169,move_down,2,FALSE()),FALSE()),HLOOKUP($H$3,GDVol,VLOOKUP(H169,move_down,2,FALSE()),FALSE()),HLOOKUP(E169,GDcorr,VLOOKUP(H169,CorMove,2,FALSE()),FALSE()),Q169-$AC$3,R169,$AI$5)*I169-AI169</f>
        <v>#N/A</v>
      </c>
      <c r="AG169" s="253" t="e">
        <f aca="false">xSPRDOPT(HLOOKUP($D$3,GDPrev,VLOOKUP(Q169,GDmove_down,2,FALSE()),FALSE()),HLOOKUP($E$3,GDPrev,VLOOKUP(Q169,GDmove_down,2,FALSE()),FALSE()),AJ169,VLOOKUP(H169,NGPREVPRICES,4,FALSE()),HLOOKUP($H$3,GDPrevVols,VLOOKUP(Q169,GDmove_down2,2,FALSE()),FALSE()),HLOOKUP($H$3,GDPrevVols,VLOOKUP(Q169,GDmove_down2,2,FALSE()),FALSE()),HLOOKUP(E169,GDcorr,VLOOKUP(H169,CorMove,2,FALSE()),FALSE()),Q169-$C$3,R169,$AI$5)*I169-AI169</f>
        <v>#N/A</v>
      </c>
      <c r="AH169" s="253" t="e">
        <f aca="false">SUM(AC169:AG169)</f>
        <v>#N/A</v>
      </c>
      <c r="AI169" s="253" t="e">
        <f aca="false">xSPRDOPT(HLOOKUP($D$3,GDPrev,VLOOKUP(Q169,GDmove_down,2,FALSE()),FALSE()),HLOOKUP($E$3,GDPrev,VLOOKUP(Q169,GDmove_down,2,FALSE()),FALSE()),AJ169,VLOOKUP(H169,NGPREVPRICES,4,FALSE()),HLOOKUP($H$3,GDPrevVols,VLOOKUP(Q169,GDmove_down2,2,FALSE()),FALSE()),HLOOKUP($H$3,GDPrevVols,VLOOKUP(Q169,GDmove_down2,2,FALSE()),FALSE()),HLOOKUP(E169,GDcorr,VLOOKUP(H169,CorMove,2,FALSE()),FALSE()),Q169-$AC$3,R169,$AI$5)*I169</f>
        <v>#N/A</v>
      </c>
      <c r="AJ169" s="254" t="e">
        <f aca="false">HLOOKUP(D169,PREVCURVES,VLOOKUP(H169,MOVE_DOWN2,2,FALSE()),FALSE())-HLOOKUP(E169,PREVCURVES,VLOOKUP(H169,MOVE_DOWN2,2,FALSE()),FALSE())</f>
        <v>#N/A</v>
      </c>
      <c r="AK169" s="253"/>
      <c r="AL169" s="0" t="str">
        <f aca="false">CONCATENATE(AB169,$AC$6)</f>
        <v>36678Curve Shift/Gamma</v>
      </c>
      <c r="AM169" s="0" t="str">
        <f aca="false">CONCATENATE($AB169,$AD$6)</f>
        <v>36678Rho</v>
      </c>
      <c r="AN169" s="0" t="str">
        <f aca="false">CONCATENATE($AB169,$AE$6)</f>
        <v>36678Drift</v>
      </c>
      <c r="AO169" s="0" t="str">
        <f aca="false">CONCATENATE($AB169,$AF$6)</f>
        <v>36678Vega</v>
      </c>
      <c r="AP169" s="0" t="str">
        <f aca="false">CONCATENATE($AB169,$AG$6)</f>
        <v>36678Theta</v>
      </c>
      <c r="BG169" s="285" t="n">
        <v>41426</v>
      </c>
      <c r="BH169" s="0" t="n">
        <v>0.985</v>
      </c>
      <c r="BJ169" s="285" t="n">
        <v>41426</v>
      </c>
      <c r="BK169" s="0" t="n">
        <v>166</v>
      </c>
    </row>
    <row r="170" customFormat="false" ht="12" hidden="false" customHeight="true" outlineLevel="0" collapsed="false">
      <c r="A170" s="265" t="s">
        <v>198</v>
      </c>
      <c r="B170" s="269" t="s">
        <v>192</v>
      </c>
      <c r="C170" s="269" t="s">
        <v>490</v>
      </c>
      <c r="D170" s="269" t="s">
        <v>137</v>
      </c>
      <c r="E170" s="7" t="s">
        <v>483</v>
      </c>
      <c r="F170" s="269" t="s">
        <v>131</v>
      </c>
      <c r="G170" s="269" t="s">
        <v>136</v>
      </c>
      <c r="H170" s="286" t="n">
        <v>36678</v>
      </c>
      <c r="I170" s="272" t="n">
        <v>-333333</v>
      </c>
      <c r="J170" s="125" t="n">
        <v>0.46</v>
      </c>
      <c r="K170" s="124" t="n">
        <f aca="false">HLOOKUP($D$3,GDPRICES,VLOOKUP(Q170,GDmove_down,2,FALSE()),FALSE())</f>
        <v>5.76</v>
      </c>
      <c r="L170" s="124" t="n">
        <f aca="false">HLOOKUP($E$3,GDPRICES,VLOOKUP(Q170,GDmove_down,2,FALSE()),FALSE())</f>
        <v>3.6</v>
      </c>
      <c r="M170" s="126" t="n">
        <v>1</v>
      </c>
      <c r="N170" s="7" t="n">
        <v>0.515</v>
      </c>
      <c r="O170" s="7" t="n">
        <v>0.515</v>
      </c>
      <c r="P170" s="249" t="e">
        <f aca="false">HLOOKUP(E170,GDcorr,VLOOKUP(H170,GDCorMove,2,FALSE()),FALSE())</f>
        <v>#N/A</v>
      </c>
      <c r="Q170" s="92" t="n">
        <v>36701</v>
      </c>
      <c r="R170" s="7" t="n">
        <f aca="false">IF(G170="P",0,1)</f>
        <v>1</v>
      </c>
      <c r="S170" s="130" t="e">
        <f aca="false">xSPRDOPT($K170,$L170,$J170,$M170,$N170,$O170,$P170,$Q170-$C$3,$R170,0)</f>
        <v>#NAME?</v>
      </c>
      <c r="T170" s="250" t="e">
        <f aca="false">xSPRDOPT($K170,$L170,$J170,$M170,$N170,$O170,$P170,$Q170-$C$3,$R170,1)*I170</f>
        <v>#NAME?</v>
      </c>
      <c r="U170" s="43" t="n">
        <v>-94999.9049999999</v>
      </c>
      <c r="V170" s="250" t="e">
        <f aca="false">xSPRDOPT($K170,$L170,$J170,$M170,$N170,$O170,$P170,$Q170-$C$3,$R170,2)*I170</f>
        <v>#NAME?</v>
      </c>
      <c r="W170" s="250" t="e">
        <f aca="false">+V170+T170</f>
        <v>#NAME?</v>
      </c>
      <c r="X170" s="2" t="str">
        <f aca="false">CONCATENATE(H170,E170)</f>
        <v>36678IF-ELPO/SJ</v>
      </c>
      <c r="Y170" s="251" t="n">
        <f aca="false">I170/10000</f>
        <v>-33.3333</v>
      </c>
      <c r="Z170" s="2"/>
      <c r="AB170" s="182" t="n">
        <f aca="false">H170</f>
        <v>36678</v>
      </c>
      <c r="AC170" s="253" t="e">
        <f aca="false">xSPRDOPT(HLOOKUP($D$3,GDPRICES,VLOOKUP(Q170,GDmove_down,2,FALSE()),FALSE()),HLOOKUP($E$3,GDPRICES,VLOOKUP(Q170,GDmove_down,2,FALSE()),FALSE()),J170,VLOOKUP(H170,NGPREVPRICES,4,FALSE()),HLOOKUP($H$3,GDPrevVols,VLOOKUP(Q170,GDmove_down2,2,FALSE()),FALSE()),HLOOKUP($H$3,GDPrevVols,VLOOKUP(Q170,GDmove_down2,2,FALSE()),FALSE()),HLOOKUP(E170,GDcorr,VLOOKUP(H170,CorMove,2,FALSE()),FALSE()),Q170-$AC$3,R170,$AC$5)*I170-AI170</f>
        <v>#N/A</v>
      </c>
      <c r="AD170" s="253" t="e">
        <f aca="false">xSPRDOPT(HLOOKUP($D$3,GDPrev,VLOOKUP(Q170,GDmove_down,2,FALSE()),FALSE()),HLOOKUP($E$3,GDPrev,VLOOKUP(Q170,GDmove_down,2,FALSE()),FALSE()),AJ170,VLOOKUP(H170,NGPrices,4,FALSE()),HLOOKUP($H$3,GDPrevVols,VLOOKUP(Q170,GDmove_down2,2,FALSE()),FALSE()),HLOOKUP($H$3,GDPrevVols,VLOOKUP(Q170,GDmove_down2,2,FALSE()),FALSE()),HLOOKUP(E170,GDcorr,VLOOKUP(H170,CorMove,2,FALSE()),FALSE()),Q170-$AC$3,R170,$AI$5)*I170-AI170</f>
        <v>#N/A</v>
      </c>
      <c r="AE170" s="132" t="e">
        <f aca="false">(AI170/VLOOKUP(AB170,discount,3,FALSE()))-(AI170/VLOOKUP(AB170,discount,2,FALSE()))</f>
        <v>#N/A</v>
      </c>
      <c r="AF170" s="253" t="e">
        <f aca="false">xSPRDOPT(HLOOKUP($D$3,GDPrev,VLOOKUP(Q170,GDmove_down,2,FALSE()),FALSE()),HLOOKUP($E$3,GDPrev,VLOOKUP(Q170,GDmove_down,2,FALSE()),FALSE()),AJ170,VLOOKUP(H170,NGPREVPRICES,4,FALSE()),HLOOKUP($H$3,GDVol,VLOOKUP(H170,move_down,2,FALSE()),FALSE()),HLOOKUP($H$3,GDVol,VLOOKUP(H170,move_down,2,FALSE()),FALSE()),HLOOKUP(E170,GDcorr,VLOOKUP(H170,CorMove,2,FALSE()),FALSE()),Q170-$AC$3,R170,$AI$5)*I170-AI170</f>
        <v>#N/A</v>
      </c>
      <c r="AG170" s="253" t="e">
        <f aca="false">xSPRDOPT(HLOOKUP($D$3,GDPrev,VLOOKUP(Q170,GDmove_down,2,FALSE()),FALSE()),HLOOKUP($E$3,GDPrev,VLOOKUP(Q170,GDmove_down,2,FALSE()),FALSE()),AJ170,VLOOKUP(H170,NGPREVPRICES,4,FALSE()),HLOOKUP($H$3,GDPrevVols,VLOOKUP(Q170,GDmove_down2,2,FALSE()),FALSE()),HLOOKUP($H$3,GDPrevVols,VLOOKUP(Q170,GDmove_down2,2,FALSE()),FALSE()),HLOOKUP(E170,GDcorr,VLOOKUP(H170,CorMove,2,FALSE()),FALSE()),Q170-$C$3,R170,$AI$5)*I170-AI170</f>
        <v>#N/A</v>
      </c>
      <c r="AH170" s="253" t="e">
        <f aca="false">SUM(AC170:AG170)</f>
        <v>#N/A</v>
      </c>
      <c r="AI170" s="253" t="e">
        <f aca="false">xSPRDOPT(HLOOKUP($D$3,GDPrev,VLOOKUP(Q170,GDmove_down,2,FALSE()),FALSE()),HLOOKUP($E$3,GDPrev,VLOOKUP(Q170,GDmove_down,2,FALSE()),FALSE()),AJ170,VLOOKUP(H170,NGPREVPRICES,4,FALSE()),HLOOKUP($H$3,GDPrevVols,VLOOKUP(Q170,GDmove_down2,2,FALSE()),FALSE()),HLOOKUP($H$3,GDPrevVols,VLOOKUP(Q170,GDmove_down2,2,FALSE()),FALSE()),HLOOKUP(E170,GDcorr,VLOOKUP(H170,CorMove,2,FALSE()),FALSE()),Q170-$AC$3,R170,$AI$5)*I170</f>
        <v>#N/A</v>
      </c>
      <c r="AJ170" s="254" t="e">
        <f aca="false">HLOOKUP(D170,PREVCURVES,VLOOKUP(H170,MOVE_DOWN2,2,FALSE()),FALSE())-HLOOKUP(E170,PREVCURVES,VLOOKUP(H170,MOVE_DOWN2,2,FALSE()),FALSE())</f>
        <v>#N/A</v>
      </c>
      <c r="AK170" s="253"/>
      <c r="AL170" s="0" t="str">
        <f aca="false">CONCATENATE(AB170,$AC$6)</f>
        <v>36678Curve Shift/Gamma</v>
      </c>
      <c r="AM170" s="0" t="str">
        <f aca="false">CONCATENATE($AB170,$AD$6)</f>
        <v>36678Rho</v>
      </c>
      <c r="AN170" s="0" t="str">
        <f aca="false">CONCATENATE($AB170,$AE$6)</f>
        <v>36678Drift</v>
      </c>
      <c r="AO170" s="0" t="str">
        <f aca="false">CONCATENATE($AB170,$AF$6)</f>
        <v>36678Vega</v>
      </c>
      <c r="AP170" s="0" t="str">
        <f aca="false">CONCATENATE($AB170,$AG$6)</f>
        <v>36678Theta</v>
      </c>
      <c r="BG170" s="285" t="n">
        <v>41456</v>
      </c>
      <c r="BH170" s="0" t="n">
        <v>0.985</v>
      </c>
      <c r="BJ170" s="285" t="n">
        <v>41456</v>
      </c>
      <c r="BK170" s="0" t="n">
        <v>167</v>
      </c>
    </row>
    <row r="171" customFormat="false" ht="12" hidden="false" customHeight="true" outlineLevel="0" collapsed="false">
      <c r="A171" s="267" t="s">
        <v>196</v>
      </c>
      <c r="B171" s="269" t="s">
        <v>192</v>
      </c>
      <c r="C171" s="269" t="s">
        <v>491</v>
      </c>
      <c r="D171" s="269" t="s">
        <v>137</v>
      </c>
      <c r="E171" s="7" t="s">
        <v>483</v>
      </c>
      <c r="F171" s="269" t="s">
        <v>131</v>
      </c>
      <c r="G171" s="269" t="s">
        <v>136</v>
      </c>
      <c r="H171" s="286" t="n">
        <v>36678</v>
      </c>
      <c r="I171" s="272" t="n">
        <v>-10000</v>
      </c>
      <c r="J171" s="125" t="n">
        <v>0.46</v>
      </c>
      <c r="K171" s="124" t="n">
        <f aca="false">HLOOKUP($D$3,GDPRICES,VLOOKUP(Q171,GDmove_down,2,FALSE()),FALSE())</f>
        <v>5.76</v>
      </c>
      <c r="L171" s="124" t="n">
        <f aca="false">HLOOKUP($E$3,GDPRICES,VLOOKUP(Q171,GDmove_down,2,FALSE()),FALSE())</f>
        <v>3.6</v>
      </c>
      <c r="M171" s="126" t="n">
        <v>1</v>
      </c>
      <c r="N171" s="7" t="n">
        <v>0.515</v>
      </c>
      <c r="O171" s="7" t="n">
        <v>0.515</v>
      </c>
      <c r="P171" s="249" t="e">
        <f aca="false">HLOOKUP(E171,GDcorr,VLOOKUP(H171,GDCorMove,2,FALSE()),FALSE())</f>
        <v>#N/A</v>
      </c>
      <c r="Q171" s="92" t="n">
        <v>36701</v>
      </c>
      <c r="R171" s="7" t="n">
        <f aca="false">IF(G171="P",0,1)</f>
        <v>1</v>
      </c>
      <c r="S171" s="130" t="e">
        <f aca="false">xSPRDOPT($K171,$L171,$J171,$M171,$N171,$O171,$P171,$Q171-$C$3,$R171,0)</f>
        <v>#NAME?</v>
      </c>
      <c r="T171" s="250" t="e">
        <f aca="false">xSPRDOPT($K171,$L171,$J171,$M171,$N171,$O171,$P171,$Q171-$C$3,$R171,1)*I171</f>
        <v>#NAME?</v>
      </c>
      <c r="U171" s="43" t="n">
        <v>-2850</v>
      </c>
      <c r="V171" s="250" t="e">
        <f aca="false">xSPRDOPT($K171,$L171,$J171,$M171,$N171,$O171,$P171,$Q171-$C$3,$R171,2)*I171</f>
        <v>#NAME?</v>
      </c>
      <c r="W171" s="250" t="e">
        <f aca="false">+V171+T171</f>
        <v>#NAME?</v>
      </c>
      <c r="X171" s="2" t="str">
        <f aca="false">CONCATENATE(H171,E171)</f>
        <v>36678IF-ELPO/SJ</v>
      </c>
      <c r="Y171" s="251" t="n">
        <f aca="false">I171/10000</f>
        <v>-1</v>
      </c>
      <c r="Z171" s="2"/>
      <c r="AB171" s="182" t="n">
        <f aca="false">H171</f>
        <v>36678</v>
      </c>
      <c r="AC171" s="253" t="e">
        <f aca="false">xSPRDOPT(HLOOKUP($D$3,GDPRICES,VLOOKUP(Q171,GDmove_down,2,FALSE()),FALSE()),HLOOKUP($E$3,GDPRICES,VLOOKUP(Q171,GDmove_down,2,FALSE()),FALSE()),J171,VLOOKUP(H171,NGPREVPRICES,4,FALSE()),HLOOKUP($H$3,GDPrevVols,VLOOKUP(Q171,GDmove_down2,2,FALSE()),FALSE()),HLOOKUP($H$3,GDPrevVols,VLOOKUP(Q171,GDmove_down2,2,FALSE()),FALSE()),HLOOKUP(E171,GDcorr,VLOOKUP(H171,CorMove,2,FALSE()),FALSE()),Q171-$AC$3,R171,$AC$5)*I171-AI171</f>
        <v>#N/A</v>
      </c>
      <c r="AD171" s="253" t="e">
        <f aca="false">xSPRDOPT(HLOOKUP($D$3,GDPrev,VLOOKUP(Q171,GDmove_down,2,FALSE()),FALSE()),HLOOKUP($E$3,GDPrev,VLOOKUP(Q171,GDmove_down,2,FALSE()),FALSE()),AJ171,VLOOKUP(H171,NGPrices,4,FALSE()),HLOOKUP($H$3,GDPrevVols,VLOOKUP(Q171,GDmove_down2,2,FALSE()),FALSE()),HLOOKUP($H$3,GDPrevVols,VLOOKUP(Q171,GDmove_down2,2,FALSE()),FALSE()),HLOOKUP(E171,GDcorr,VLOOKUP(H171,CorMove,2,FALSE()),FALSE()),Q171-$AC$3,R171,$AI$5)*I171-AI171</f>
        <v>#N/A</v>
      </c>
      <c r="AE171" s="132" t="e">
        <f aca="false">(AI171/VLOOKUP(AB171,discount,3,FALSE()))-(AI171/VLOOKUP(AB171,discount,2,FALSE()))</f>
        <v>#N/A</v>
      </c>
      <c r="AF171" s="253" t="e">
        <f aca="false">xSPRDOPT(HLOOKUP($D$3,GDPrev,VLOOKUP(Q171,GDmove_down,2,FALSE()),FALSE()),HLOOKUP($E$3,GDPrev,VLOOKUP(Q171,GDmove_down,2,FALSE()),FALSE()),AJ171,VLOOKUP(H171,NGPREVPRICES,4,FALSE()),HLOOKUP($H$3,GDVol,VLOOKUP(H171,move_down,2,FALSE()),FALSE()),HLOOKUP($H$3,GDVol,VLOOKUP(H171,move_down,2,FALSE()),FALSE()),HLOOKUP(E171,GDcorr,VLOOKUP(H171,CorMove,2,FALSE()),FALSE()),Q171-$AC$3,R171,$AI$5)*I171-AI171</f>
        <v>#N/A</v>
      </c>
      <c r="AG171" s="253" t="e">
        <f aca="false">xSPRDOPT(HLOOKUP($D$3,GDPrev,VLOOKUP(Q171,GDmove_down,2,FALSE()),FALSE()),HLOOKUP($E$3,GDPrev,VLOOKUP(Q171,GDmove_down,2,FALSE()),FALSE()),AJ171,VLOOKUP(H171,NGPREVPRICES,4,FALSE()),HLOOKUP($H$3,GDPrevVols,VLOOKUP(Q171,GDmove_down2,2,FALSE()),FALSE()),HLOOKUP($H$3,GDPrevVols,VLOOKUP(Q171,GDmove_down2,2,FALSE()),FALSE()),HLOOKUP(E171,GDcorr,VLOOKUP(H171,CorMove,2,FALSE()),FALSE()),Q171-$C$3,R171,$AI$5)*I171-AI171</f>
        <v>#N/A</v>
      </c>
      <c r="AH171" s="253" t="e">
        <f aca="false">SUM(AC171:AG171)</f>
        <v>#N/A</v>
      </c>
      <c r="AI171" s="253" t="e">
        <f aca="false">xSPRDOPT(HLOOKUP($D$3,GDPrev,VLOOKUP(Q171,GDmove_down,2,FALSE()),FALSE()),HLOOKUP($E$3,GDPrev,VLOOKUP(Q171,GDmove_down,2,FALSE()),FALSE()),AJ171,VLOOKUP(H171,NGPREVPRICES,4,FALSE()),HLOOKUP($H$3,GDPrevVols,VLOOKUP(Q171,GDmove_down2,2,FALSE()),FALSE()),HLOOKUP($H$3,GDPrevVols,VLOOKUP(Q171,GDmove_down2,2,FALSE()),FALSE()),HLOOKUP(E171,GDcorr,VLOOKUP(H171,CorMove,2,FALSE()),FALSE()),Q171-$AC$3,R171,$AI$5)*I171</f>
        <v>#N/A</v>
      </c>
      <c r="AJ171" s="254" t="e">
        <f aca="false">HLOOKUP(D171,PREVCURVES,VLOOKUP(H171,MOVE_DOWN2,2,FALSE()),FALSE())-HLOOKUP(E171,PREVCURVES,VLOOKUP(H171,MOVE_DOWN2,2,FALSE()),FALSE())</f>
        <v>#N/A</v>
      </c>
      <c r="AK171" s="253"/>
      <c r="AL171" s="0" t="str">
        <f aca="false">CONCATENATE(AB171,$AC$6)</f>
        <v>36678Curve Shift/Gamma</v>
      </c>
      <c r="AM171" s="0" t="str">
        <f aca="false">CONCATENATE($AB171,$AD$6)</f>
        <v>36678Rho</v>
      </c>
      <c r="AN171" s="0" t="str">
        <f aca="false">CONCATENATE($AB171,$AE$6)</f>
        <v>36678Drift</v>
      </c>
      <c r="AO171" s="0" t="str">
        <f aca="false">CONCATENATE($AB171,$AF$6)</f>
        <v>36678Vega</v>
      </c>
      <c r="AP171" s="0" t="str">
        <f aca="false">CONCATENATE($AB171,$AG$6)</f>
        <v>36678Theta</v>
      </c>
      <c r="BG171" s="285" t="n">
        <v>41487</v>
      </c>
      <c r="BH171" s="0" t="n">
        <v>0.985</v>
      </c>
      <c r="BJ171" s="285" t="n">
        <v>41487</v>
      </c>
      <c r="BK171" s="0" t="n">
        <v>168</v>
      </c>
    </row>
    <row r="172" customFormat="false" ht="12" hidden="false" customHeight="true" outlineLevel="0" collapsed="false">
      <c r="A172" s="267" t="s">
        <v>198</v>
      </c>
      <c r="B172" s="269" t="s">
        <v>192</v>
      </c>
      <c r="C172" s="269" t="s">
        <v>492</v>
      </c>
      <c r="D172" s="269" t="s">
        <v>137</v>
      </c>
      <c r="E172" s="7" t="s">
        <v>483</v>
      </c>
      <c r="F172" s="269" t="s">
        <v>131</v>
      </c>
      <c r="G172" s="269" t="s">
        <v>136</v>
      </c>
      <c r="H172" s="286" t="n">
        <v>36678</v>
      </c>
      <c r="I172" s="272" t="n">
        <v>50000</v>
      </c>
      <c r="J172" s="125" t="n">
        <v>0.46</v>
      </c>
      <c r="K172" s="124" t="n">
        <f aca="false">HLOOKUP($D$3,GDPRICES,VLOOKUP(Q172,GDmove_down,2,FALSE()),FALSE())</f>
        <v>5.76</v>
      </c>
      <c r="L172" s="124" t="n">
        <f aca="false">HLOOKUP($E$3,GDPRICES,VLOOKUP(Q172,GDmove_down,2,FALSE()),FALSE())</f>
        <v>3.6</v>
      </c>
      <c r="M172" s="126" t="n">
        <v>1</v>
      </c>
      <c r="N172" s="7" t="n">
        <v>0.515</v>
      </c>
      <c r="O172" s="7" t="n">
        <v>0.515</v>
      </c>
      <c r="P172" s="249" t="e">
        <f aca="false">HLOOKUP(E172,GDcorr,VLOOKUP(H172,GDCorMove,2,FALSE()),FALSE())</f>
        <v>#N/A</v>
      </c>
      <c r="Q172" s="92" t="n">
        <v>36701</v>
      </c>
      <c r="R172" s="7" t="n">
        <f aca="false">IF(G172="P",0,1)</f>
        <v>1</v>
      </c>
      <c r="S172" s="130" t="e">
        <f aca="false">xSPRDOPT($K172,$L172,$J172,$M172,$N172,$O172,$P172,$Q172-$C$3,$R172,0)</f>
        <v>#NAME?</v>
      </c>
      <c r="T172" s="250" t="e">
        <f aca="false">xSPRDOPT($K172,$L172,$J172,$M172,$N172,$O172,$P172,$Q172-$C$3,$R172,1)*I172</f>
        <v>#NAME?</v>
      </c>
      <c r="U172" s="43" t="n">
        <v>14250</v>
      </c>
      <c r="V172" s="250" t="e">
        <f aca="false">xSPRDOPT($K172,$L172,$J172,$M172,$N172,$O172,$P172,$Q172-$C$3,$R172,2)*I172</f>
        <v>#NAME?</v>
      </c>
      <c r="W172" s="250" t="e">
        <f aca="false">+V172+T172</f>
        <v>#NAME?</v>
      </c>
      <c r="X172" s="2" t="str">
        <f aca="false">CONCATENATE(H172,E172)</f>
        <v>36678IF-ELPO/SJ</v>
      </c>
      <c r="Y172" s="251" t="n">
        <f aca="false">I172/10000</f>
        <v>5</v>
      </c>
      <c r="AB172" s="182" t="n">
        <f aca="false">H172</f>
        <v>36678</v>
      </c>
      <c r="AC172" s="253" t="e">
        <f aca="false">xSPRDOPT(HLOOKUP($D$3,GDPRICES,VLOOKUP(Q172,GDmove_down,2,FALSE()),FALSE()),HLOOKUP($E$3,GDPRICES,VLOOKUP(Q172,GDmove_down,2,FALSE()),FALSE()),J172,VLOOKUP(H172,NGPREVPRICES,4,FALSE()),HLOOKUP($H$3,GDPrevVols,VLOOKUP(Q172,GDmove_down2,2,FALSE()),FALSE()),HLOOKUP($H$3,GDPrevVols,VLOOKUP(Q172,GDmove_down2,2,FALSE()),FALSE()),HLOOKUP(E172,GDcorr,VLOOKUP(H172,CorMove,2,FALSE()),FALSE()),Q172-$AC$3,R172,$AC$5)*I172-AI172</f>
        <v>#N/A</v>
      </c>
      <c r="AD172" s="253" t="e">
        <f aca="false">xSPRDOPT(HLOOKUP($D$3,GDPrev,VLOOKUP(Q172,GDmove_down,2,FALSE()),FALSE()),HLOOKUP($E$3,GDPrev,VLOOKUP(Q172,GDmove_down,2,FALSE()),FALSE()),AJ172,VLOOKUP(H172,NGPrices,4,FALSE()),HLOOKUP($H$3,GDPrevVols,VLOOKUP(Q172,GDmove_down2,2,FALSE()),FALSE()),HLOOKUP($H$3,GDPrevVols,VLOOKUP(Q172,GDmove_down2,2,FALSE()),FALSE()),HLOOKUP(E172,GDcorr,VLOOKUP(H172,CorMove,2,FALSE()),FALSE()),Q172-$AC$3,R172,$AI$5)*I172-AI172</f>
        <v>#N/A</v>
      </c>
      <c r="AE172" s="132" t="e">
        <f aca="false">(AI172/VLOOKUP(AB172,discount,3,FALSE()))-(AI172/VLOOKUP(AB172,discount,2,FALSE()))</f>
        <v>#N/A</v>
      </c>
      <c r="AF172" s="253" t="e">
        <f aca="false">xSPRDOPT(HLOOKUP($D$3,GDPrev,VLOOKUP(Q172,GDmove_down,2,FALSE()),FALSE()),HLOOKUP($E$3,GDPrev,VLOOKUP(Q172,GDmove_down,2,FALSE()),FALSE()),AJ172,VLOOKUP(H172,NGPREVPRICES,4,FALSE()),HLOOKUP($H$3,GDVol,VLOOKUP(H172,move_down,2,FALSE()),FALSE()),HLOOKUP($H$3,GDVol,VLOOKUP(H172,move_down,2,FALSE()),FALSE()),HLOOKUP(E172,GDcorr,VLOOKUP(H172,CorMove,2,FALSE()),FALSE()),Q172-$AC$3,R172,$AI$5)*I172-AI172</f>
        <v>#N/A</v>
      </c>
      <c r="AG172" s="253" t="e">
        <f aca="false">xSPRDOPT(HLOOKUP($D$3,GDPrev,VLOOKUP(Q172,GDmove_down,2,FALSE()),FALSE()),HLOOKUP($E$3,GDPrev,VLOOKUP(Q172,GDmove_down,2,FALSE()),FALSE()),AJ172,VLOOKUP(H172,NGPREVPRICES,4,FALSE()),HLOOKUP($H$3,GDPrevVols,VLOOKUP(Q172,GDmove_down2,2,FALSE()),FALSE()),HLOOKUP($H$3,GDPrevVols,VLOOKUP(Q172,GDmove_down2,2,FALSE()),FALSE()),HLOOKUP(E172,GDcorr,VLOOKUP(H172,CorMove,2,FALSE()),FALSE()),Q172-$C$3,R172,$AI$5)*I172-AI172</f>
        <v>#N/A</v>
      </c>
      <c r="AH172" s="253" t="e">
        <f aca="false">SUM(AC172:AG172)</f>
        <v>#N/A</v>
      </c>
      <c r="AI172" s="253" t="e">
        <f aca="false">xSPRDOPT(HLOOKUP($D$3,GDPrev,VLOOKUP(Q172,GDmove_down,2,FALSE()),FALSE()),HLOOKUP($E$3,GDPrev,VLOOKUP(Q172,GDmove_down,2,FALSE()),FALSE()),AJ172,VLOOKUP(H172,NGPREVPRICES,4,FALSE()),HLOOKUP($H$3,GDPrevVols,VLOOKUP(Q172,GDmove_down2,2,FALSE()),FALSE()),HLOOKUP($H$3,GDPrevVols,VLOOKUP(Q172,GDmove_down2,2,FALSE()),FALSE()),HLOOKUP(E172,GDcorr,VLOOKUP(H172,CorMove,2,FALSE()),FALSE()),Q172-$AC$3,R172,$AI$5)*I172</f>
        <v>#N/A</v>
      </c>
      <c r="AJ172" s="254" t="e">
        <f aca="false">HLOOKUP(D172,PREVCURVES,VLOOKUP(H172,MOVE_DOWN2,2,FALSE()),FALSE())-HLOOKUP(E172,PREVCURVES,VLOOKUP(H172,MOVE_DOWN2,2,FALSE()),FALSE())</f>
        <v>#N/A</v>
      </c>
      <c r="AK172" s="253"/>
      <c r="AL172" s="0" t="str">
        <f aca="false">CONCATENATE(AB172,$AC$6)</f>
        <v>36678Curve Shift/Gamma</v>
      </c>
      <c r="AM172" s="0" t="str">
        <f aca="false">CONCATENATE($AB172,$AD$6)</f>
        <v>36678Rho</v>
      </c>
      <c r="AN172" s="0" t="str">
        <f aca="false">CONCATENATE($AB172,$AE$6)</f>
        <v>36678Drift</v>
      </c>
      <c r="AO172" s="0" t="str">
        <f aca="false">CONCATENATE($AB172,$AF$6)</f>
        <v>36678Vega</v>
      </c>
      <c r="AP172" s="0" t="str">
        <f aca="false">CONCATENATE($AB172,$AG$6)</f>
        <v>36678Theta</v>
      </c>
      <c r="BG172" s="285" t="n">
        <v>41518</v>
      </c>
      <c r="BH172" s="0" t="n">
        <v>0.985</v>
      </c>
      <c r="BJ172" s="285" t="n">
        <v>41518</v>
      </c>
      <c r="BK172" s="0" t="n">
        <v>169</v>
      </c>
    </row>
    <row r="173" customFormat="false" ht="12" hidden="false" customHeight="true" outlineLevel="0" collapsed="false">
      <c r="A173" s="267" t="s">
        <v>198</v>
      </c>
      <c r="B173" s="269" t="s">
        <v>192</v>
      </c>
      <c r="C173" s="269" t="s">
        <v>493</v>
      </c>
      <c r="D173" s="269" t="s">
        <v>137</v>
      </c>
      <c r="E173" s="7" t="s">
        <v>483</v>
      </c>
      <c r="F173" s="269" t="s">
        <v>131</v>
      </c>
      <c r="G173" s="269" t="s">
        <v>136</v>
      </c>
      <c r="H173" s="286" t="n">
        <v>36678</v>
      </c>
      <c r="I173" s="272" t="n">
        <v>50000</v>
      </c>
      <c r="J173" s="125" t="n">
        <v>0.46</v>
      </c>
      <c r="K173" s="124" t="n">
        <f aca="false">HLOOKUP($D$3,GDPRICES,VLOOKUP(Q173,GDmove_down,2,FALSE()),FALSE())</f>
        <v>5.76</v>
      </c>
      <c r="L173" s="124" t="n">
        <f aca="false">HLOOKUP($E$3,GDPRICES,VLOOKUP(Q173,GDmove_down,2,FALSE()),FALSE())</f>
        <v>3.6</v>
      </c>
      <c r="M173" s="126" t="n">
        <v>1</v>
      </c>
      <c r="N173" s="7" t="n">
        <v>0.515</v>
      </c>
      <c r="O173" s="7" t="n">
        <v>0.515</v>
      </c>
      <c r="P173" s="249" t="e">
        <f aca="false">HLOOKUP(E173,GDcorr,VLOOKUP(H173,GDCorMove,2,FALSE()),FALSE())</f>
        <v>#N/A</v>
      </c>
      <c r="Q173" s="92" t="n">
        <v>36701</v>
      </c>
      <c r="R173" s="7" t="n">
        <f aca="false">IF(G173="P",0,1)</f>
        <v>1</v>
      </c>
      <c r="S173" s="130" t="e">
        <f aca="false">xSPRDOPT($K173,$L173,$J173,$M173,$N173,$O173,$P173,$Q173-$C$3,$R173,0)</f>
        <v>#NAME?</v>
      </c>
      <c r="T173" s="250" t="e">
        <f aca="false">xSPRDOPT($K173,$L173,$J173,$M173,$N173,$O173,$P173,$Q173-$C$3,$R173,1)*I173</f>
        <v>#NAME?</v>
      </c>
      <c r="U173" s="43" t="n">
        <v>14250</v>
      </c>
      <c r="V173" s="250" t="e">
        <f aca="false">xSPRDOPT($K173,$L173,$J173,$M173,$N173,$O173,$P173,$Q173-$C$3,$R173,2)*I173</f>
        <v>#NAME?</v>
      </c>
      <c r="W173" s="250" t="e">
        <f aca="false">+V173+T173</f>
        <v>#NAME?</v>
      </c>
      <c r="X173" s="2" t="str">
        <f aca="false">CONCATENATE(H173,E173)</f>
        <v>36678IF-ELPO/SJ</v>
      </c>
      <c r="Y173" s="251" t="n">
        <f aca="false">I173/10000</f>
        <v>5</v>
      </c>
      <c r="AB173" s="182" t="n">
        <f aca="false">H173</f>
        <v>36678</v>
      </c>
      <c r="AC173" s="253" t="e">
        <f aca="false">xSPRDOPT(HLOOKUP($D$3,GDPRICES,VLOOKUP(Q173,GDmove_down,2,FALSE()),FALSE()),HLOOKUP($E$3,GDPRICES,VLOOKUP(Q173,GDmove_down,2,FALSE()),FALSE()),J173,VLOOKUP(H173,NGPREVPRICES,4,FALSE()),HLOOKUP($H$3,GDPrevVols,VLOOKUP(Q173,GDmove_down2,2,FALSE()),FALSE()),HLOOKUP($H$3,GDPrevVols,VLOOKUP(Q173,GDmove_down2,2,FALSE()),FALSE()),HLOOKUP(E173,GDcorr,VLOOKUP(H173,CorMove,2,FALSE()),FALSE()),Q173-$AC$3,R173,$AC$5)*I173-AI173</f>
        <v>#N/A</v>
      </c>
      <c r="AD173" s="253" t="e">
        <f aca="false">xSPRDOPT(HLOOKUP($D$3,GDPrev,VLOOKUP(Q173,GDmove_down,2,FALSE()),FALSE()),HLOOKUP($E$3,GDPrev,VLOOKUP(Q173,GDmove_down,2,FALSE()),FALSE()),AJ173,VLOOKUP(H173,NGPrices,4,FALSE()),HLOOKUP($H$3,GDPrevVols,VLOOKUP(Q173,GDmove_down2,2,FALSE()),FALSE()),HLOOKUP($H$3,GDPrevVols,VLOOKUP(Q173,GDmove_down2,2,FALSE()),FALSE()),HLOOKUP(E173,GDcorr,VLOOKUP(H173,CorMove,2,FALSE()),FALSE()),Q173-$AC$3,R173,$AI$5)*I173-AI173</f>
        <v>#N/A</v>
      </c>
      <c r="AE173" s="132" t="e">
        <f aca="false">(AI173/VLOOKUP(AB173,discount,3,FALSE()))-(AI173/VLOOKUP(AB173,discount,2,FALSE()))</f>
        <v>#N/A</v>
      </c>
      <c r="AF173" s="253" t="e">
        <f aca="false">xSPRDOPT(HLOOKUP($D$3,GDPrev,VLOOKUP(Q173,GDmove_down,2,FALSE()),FALSE()),HLOOKUP($E$3,GDPrev,VLOOKUP(Q173,GDmove_down,2,FALSE()),FALSE()),AJ173,VLOOKUP(H173,NGPREVPRICES,4,FALSE()),HLOOKUP($H$3,GDVol,VLOOKUP(H173,move_down,2,FALSE()),FALSE()),HLOOKUP($H$3,GDVol,VLOOKUP(H173,move_down,2,FALSE()),FALSE()),HLOOKUP(E173,GDcorr,VLOOKUP(H173,CorMove,2,FALSE()),FALSE()),Q173-$AC$3,R173,$AI$5)*I173-AI173</f>
        <v>#N/A</v>
      </c>
      <c r="AG173" s="253" t="e">
        <f aca="false">xSPRDOPT(HLOOKUP($D$3,GDPrev,VLOOKUP(Q173,GDmove_down,2,FALSE()),FALSE()),HLOOKUP($E$3,GDPrev,VLOOKUP(Q173,GDmove_down,2,FALSE()),FALSE()),AJ173,VLOOKUP(H173,NGPREVPRICES,4,FALSE()),HLOOKUP($H$3,GDPrevVols,VLOOKUP(Q173,GDmove_down2,2,FALSE()),FALSE()),HLOOKUP($H$3,GDPrevVols,VLOOKUP(Q173,GDmove_down2,2,FALSE()),FALSE()),HLOOKUP(E173,GDcorr,VLOOKUP(H173,CorMove,2,FALSE()),FALSE()),Q173-$C$3,R173,$AI$5)*I173-AI173</f>
        <v>#N/A</v>
      </c>
      <c r="AH173" s="253" t="e">
        <f aca="false">SUM(AC173:AG173)</f>
        <v>#N/A</v>
      </c>
      <c r="AI173" s="253" t="e">
        <f aca="false">xSPRDOPT(HLOOKUP($D$3,GDPrev,VLOOKUP(Q173,GDmove_down,2,FALSE()),FALSE()),HLOOKUP($E$3,GDPrev,VLOOKUP(Q173,GDmove_down,2,FALSE()),FALSE()),AJ173,VLOOKUP(H173,NGPREVPRICES,4,FALSE()),HLOOKUP($H$3,GDPrevVols,VLOOKUP(Q173,GDmove_down2,2,FALSE()),FALSE()),HLOOKUP($H$3,GDPrevVols,VLOOKUP(Q173,GDmove_down2,2,FALSE()),FALSE()),HLOOKUP(E173,GDcorr,VLOOKUP(H173,CorMove,2,FALSE()),FALSE()),Q173-$AC$3,R173,$AI$5)*I173</f>
        <v>#N/A</v>
      </c>
      <c r="AJ173" s="254" t="e">
        <f aca="false">HLOOKUP(D173,PREVCURVES,VLOOKUP(H173,MOVE_DOWN2,2,FALSE()),FALSE())-HLOOKUP(E173,PREVCURVES,VLOOKUP(H173,MOVE_DOWN2,2,FALSE()),FALSE())</f>
        <v>#N/A</v>
      </c>
      <c r="AK173" s="253"/>
      <c r="AL173" s="0" t="str">
        <f aca="false">CONCATENATE(AB173,$AC$6)</f>
        <v>36678Curve Shift/Gamma</v>
      </c>
      <c r="AM173" s="0" t="str">
        <f aca="false">CONCATENATE($AB173,$AD$6)</f>
        <v>36678Rho</v>
      </c>
      <c r="AN173" s="0" t="str">
        <f aca="false">CONCATENATE($AB173,$AE$6)</f>
        <v>36678Drift</v>
      </c>
      <c r="AO173" s="0" t="str">
        <f aca="false">CONCATENATE($AB173,$AF$6)</f>
        <v>36678Vega</v>
      </c>
      <c r="AP173" s="0" t="str">
        <f aca="false">CONCATENATE($AB173,$AG$6)</f>
        <v>36678Theta</v>
      </c>
      <c r="BG173" s="285" t="n">
        <v>41548</v>
      </c>
      <c r="BH173" s="0" t="n">
        <v>0.985</v>
      </c>
      <c r="BJ173" s="285" t="n">
        <v>41548</v>
      </c>
      <c r="BK173" s="0" t="n">
        <v>170</v>
      </c>
    </row>
    <row r="174" customFormat="false" ht="12" hidden="false" customHeight="true" outlineLevel="0" collapsed="false">
      <c r="A174" s="267" t="s">
        <v>198</v>
      </c>
      <c r="B174" s="269" t="s">
        <v>192</v>
      </c>
      <c r="C174" s="269" t="s">
        <v>494</v>
      </c>
      <c r="D174" s="269" t="s">
        <v>137</v>
      </c>
      <c r="E174" s="7" t="s">
        <v>483</v>
      </c>
      <c r="F174" s="269" t="s">
        <v>131</v>
      </c>
      <c r="G174" s="269" t="s">
        <v>136</v>
      </c>
      <c r="H174" s="286" t="n">
        <v>36678</v>
      </c>
      <c r="I174" s="272" t="n">
        <v>-10000</v>
      </c>
      <c r="J174" s="125" t="n">
        <v>0.46</v>
      </c>
      <c r="K174" s="124" t="n">
        <f aca="false">HLOOKUP($D$3,GDPRICES,VLOOKUP(Q174,GDmove_down,2,FALSE()),FALSE())</f>
        <v>5.76</v>
      </c>
      <c r="L174" s="124" t="n">
        <f aca="false">HLOOKUP($E$3,GDPRICES,VLOOKUP(Q174,GDmove_down,2,FALSE()),FALSE())</f>
        <v>3.6</v>
      </c>
      <c r="M174" s="126" t="n">
        <v>1</v>
      </c>
      <c r="N174" s="7" t="n">
        <v>0.515</v>
      </c>
      <c r="O174" s="7" t="n">
        <v>0.515</v>
      </c>
      <c r="P174" s="249" t="e">
        <f aca="false">HLOOKUP(E174,GDcorr,VLOOKUP(H174,GDCorMove,2,FALSE()),FALSE())</f>
        <v>#N/A</v>
      </c>
      <c r="Q174" s="92" t="n">
        <v>36701</v>
      </c>
      <c r="R174" s="7" t="n">
        <f aca="false">IF(G174="P",0,1)</f>
        <v>1</v>
      </c>
      <c r="S174" s="130" t="e">
        <f aca="false">xSPRDOPT($K174,$L174,$J174,$M174,$N174,$O174,$P174,$Q174-$C$3,$R174,0)</f>
        <v>#NAME?</v>
      </c>
      <c r="T174" s="250" t="e">
        <f aca="false">xSPRDOPT($K174,$L174,$J174,$M174,$N174,$O174,$P174,$Q174-$C$3,$R174,1)*I174</f>
        <v>#NAME?</v>
      </c>
      <c r="U174" s="43" t="n">
        <v>-2850</v>
      </c>
      <c r="V174" s="250" t="e">
        <f aca="false">xSPRDOPT($K174,$L174,$J174,$M174,$N174,$O174,$P174,$Q174-$C$3,$R174,2)*I174</f>
        <v>#NAME?</v>
      </c>
      <c r="W174" s="250" t="e">
        <f aca="false">+V174+T174</f>
        <v>#NAME?</v>
      </c>
      <c r="X174" s="2" t="str">
        <f aca="false">CONCATENATE(H174,E174)</f>
        <v>36678IF-ELPO/SJ</v>
      </c>
      <c r="Y174" s="251" t="n">
        <f aca="false">I174/10000</f>
        <v>-1</v>
      </c>
      <c r="Z174" s="2"/>
      <c r="AB174" s="182" t="n">
        <f aca="false">H174</f>
        <v>36678</v>
      </c>
      <c r="AC174" s="253" t="e">
        <f aca="false">xSPRDOPT(HLOOKUP($D$3,GDPRICES,VLOOKUP(Q174,GDmove_down,2,FALSE()),FALSE()),HLOOKUP($E$3,GDPRICES,VLOOKUP(Q174,GDmove_down,2,FALSE()),FALSE()),J174,VLOOKUP(H174,NGPREVPRICES,4,FALSE()),HLOOKUP($H$3,GDPrevVols,VLOOKUP(Q174,GDmove_down2,2,FALSE()),FALSE()),HLOOKUP($H$3,GDPrevVols,VLOOKUP(Q174,GDmove_down2,2,FALSE()),FALSE()),HLOOKUP(E174,GDcorr,VLOOKUP(H174,CorMove,2,FALSE()),FALSE()),Q174-$AC$3,R174,$AC$5)*I174-AI174</f>
        <v>#N/A</v>
      </c>
      <c r="AD174" s="253" t="e">
        <f aca="false">xSPRDOPT(HLOOKUP($D$3,GDPrev,VLOOKUP(Q174,GDmove_down,2,FALSE()),FALSE()),HLOOKUP($E$3,GDPrev,VLOOKUP(Q174,GDmove_down,2,FALSE()),FALSE()),AJ174,VLOOKUP(H174,NGPrices,4,FALSE()),HLOOKUP($H$3,GDPrevVols,VLOOKUP(Q174,GDmove_down2,2,FALSE()),FALSE()),HLOOKUP($H$3,GDPrevVols,VLOOKUP(Q174,GDmove_down2,2,FALSE()),FALSE()),HLOOKUP(E174,GDcorr,VLOOKUP(H174,CorMove,2,FALSE()),FALSE()),Q174-$AC$3,R174,$AI$5)*I174-AI174</f>
        <v>#N/A</v>
      </c>
      <c r="AE174" s="132" t="e">
        <f aca="false">(AI174/VLOOKUP(AB174,discount,3,FALSE()))-(AI174/VLOOKUP(AB174,discount,2,FALSE()))</f>
        <v>#N/A</v>
      </c>
      <c r="AF174" s="253" t="e">
        <f aca="false">xSPRDOPT(HLOOKUP($D$3,GDPrev,VLOOKUP(Q174,GDmove_down,2,FALSE()),FALSE()),HLOOKUP($E$3,GDPrev,VLOOKUP(Q174,GDmove_down,2,FALSE()),FALSE()),AJ174,VLOOKUP(H174,NGPREVPRICES,4,FALSE()),HLOOKUP($H$3,GDVol,VLOOKUP(H174,move_down,2,FALSE()),FALSE()),HLOOKUP($H$3,GDVol,VLOOKUP(H174,move_down,2,FALSE()),FALSE()),HLOOKUP(E174,GDcorr,VLOOKUP(H174,CorMove,2,FALSE()),FALSE()),Q174-$AC$3,R174,$AI$5)*I174-AI174</f>
        <v>#N/A</v>
      </c>
      <c r="AG174" s="253" t="e">
        <f aca="false">xSPRDOPT(HLOOKUP($D$3,GDPrev,VLOOKUP(Q174,GDmove_down,2,FALSE()),FALSE()),HLOOKUP($E$3,GDPrev,VLOOKUP(Q174,GDmove_down,2,FALSE()),FALSE()),AJ174,VLOOKUP(H174,NGPREVPRICES,4,FALSE()),HLOOKUP($H$3,GDPrevVols,VLOOKUP(Q174,GDmove_down2,2,FALSE()),FALSE()),HLOOKUP($H$3,GDPrevVols,VLOOKUP(Q174,GDmove_down2,2,FALSE()),FALSE()),HLOOKUP(E174,GDcorr,VLOOKUP(H174,CorMove,2,FALSE()),FALSE()),Q174-$C$3,R174,$AI$5)*I174-AI174</f>
        <v>#N/A</v>
      </c>
      <c r="AH174" s="253" t="e">
        <f aca="false">SUM(AC174:AG174)</f>
        <v>#N/A</v>
      </c>
      <c r="AI174" s="253" t="e">
        <f aca="false">xSPRDOPT(HLOOKUP($D$3,GDPrev,VLOOKUP(Q174,GDmove_down,2,FALSE()),FALSE()),HLOOKUP($E$3,GDPrev,VLOOKUP(Q174,GDmove_down,2,FALSE()),FALSE()),AJ174,VLOOKUP(H174,NGPREVPRICES,4,FALSE()),HLOOKUP($H$3,GDPrevVols,VLOOKUP(Q174,GDmove_down2,2,FALSE()),FALSE()),HLOOKUP($H$3,GDPrevVols,VLOOKUP(Q174,GDmove_down2,2,FALSE()),FALSE()),HLOOKUP(E174,GDcorr,VLOOKUP(H174,CorMove,2,FALSE()),FALSE()),Q174-$AC$3,R174,$AI$5)*I174</f>
        <v>#N/A</v>
      </c>
      <c r="AJ174" s="254" t="e">
        <f aca="false">HLOOKUP(D174,PREVCURVES,VLOOKUP(H174,MOVE_DOWN2,2,FALSE()),FALSE())-HLOOKUP(E174,PREVCURVES,VLOOKUP(H174,MOVE_DOWN2,2,FALSE()),FALSE())</f>
        <v>#N/A</v>
      </c>
      <c r="AK174" s="253"/>
      <c r="AL174" s="0" t="str">
        <f aca="false">CONCATENATE(AB174,$AC$6)</f>
        <v>36678Curve Shift/Gamma</v>
      </c>
      <c r="AM174" s="0" t="str">
        <f aca="false">CONCATENATE($AB174,$AD$6)</f>
        <v>36678Rho</v>
      </c>
      <c r="AN174" s="0" t="str">
        <f aca="false">CONCATENATE($AB174,$AE$6)</f>
        <v>36678Drift</v>
      </c>
      <c r="AO174" s="0" t="str">
        <f aca="false">CONCATENATE($AB174,$AF$6)</f>
        <v>36678Vega</v>
      </c>
      <c r="AP174" s="0" t="str">
        <f aca="false">CONCATENATE($AB174,$AG$6)</f>
        <v>36678Theta</v>
      </c>
      <c r="BG174" s="285" t="n">
        <v>41579</v>
      </c>
      <c r="BH174" s="0" t="n">
        <v>0.970485</v>
      </c>
      <c r="BJ174" s="285" t="n">
        <v>41579</v>
      </c>
      <c r="BK174" s="0" t="n">
        <v>171</v>
      </c>
    </row>
    <row r="175" customFormat="false" ht="12" hidden="false" customHeight="true" outlineLevel="0" collapsed="false">
      <c r="A175" s="265" t="s">
        <v>198</v>
      </c>
      <c r="B175" s="269" t="s">
        <v>192</v>
      </c>
      <c r="C175" s="269" t="s">
        <v>488</v>
      </c>
      <c r="D175" s="269" t="s">
        <v>137</v>
      </c>
      <c r="E175" s="7" t="s">
        <v>483</v>
      </c>
      <c r="F175" s="269" t="s">
        <v>131</v>
      </c>
      <c r="G175" s="269" t="s">
        <v>136</v>
      </c>
      <c r="H175" s="286" t="n">
        <v>36678</v>
      </c>
      <c r="I175" s="272" t="n">
        <v>-50000</v>
      </c>
      <c r="J175" s="125" t="n">
        <v>0.46</v>
      </c>
      <c r="K175" s="124" t="n">
        <f aca="false">HLOOKUP($D$3,GDPRICES,VLOOKUP(Q175,GDmove_down,2,FALSE()),FALSE())</f>
        <v>5.75</v>
      </c>
      <c r="L175" s="124" t="n">
        <f aca="false">HLOOKUP($E$3,GDPRICES,VLOOKUP(Q175,GDmove_down,2,FALSE()),FALSE())</f>
        <v>3.32</v>
      </c>
      <c r="M175" s="126" t="n">
        <v>1</v>
      </c>
      <c r="N175" s="7" t="n">
        <v>0.515</v>
      </c>
      <c r="O175" s="7" t="n">
        <v>0.515</v>
      </c>
      <c r="P175" s="249" t="e">
        <f aca="false">HLOOKUP(E175,GDcorr,VLOOKUP(H175,GDCorMove,2,FALSE()),FALSE())</f>
        <v>#N/A</v>
      </c>
      <c r="Q175" s="92" t="n">
        <v>36702</v>
      </c>
      <c r="R175" s="7" t="n">
        <f aca="false">IF(G175="P",0,1)</f>
        <v>1</v>
      </c>
      <c r="S175" s="130" t="e">
        <f aca="false">xSPRDOPT($K175,$L175,$J175,$M175,$N175,$O175,$P175,$Q175-$C$3,$R175,0)</f>
        <v>#NAME?</v>
      </c>
      <c r="T175" s="250" t="e">
        <f aca="false">xSPRDOPT($K175,$L175,$J175,$M175,$N175,$O175,$P175,$Q175-$C$3,$R175,1)*I175</f>
        <v>#NAME?</v>
      </c>
      <c r="U175" s="43" t="n">
        <v>-14250</v>
      </c>
      <c r="V175" s="250" t="e">
        <f aca="false">xSPRDOPT($K175,$L175,$J175,$M175,$N175,$O175,$P175,$Q175-$C$3,$R175,2)*I175</f>
        <v>#NAME?</v>
      </c>
      <c r="W175" s="250" t="e">
        <f aca="false">+V175+T175</f>
        <v>#NAME?</v>
      </c>
      <c r="X175" s="2" t="str">
        <f aca="false">CONCATENATE(H175,E175)</f>
        <v>36678IF-ELPO/SJ</v>
      </c>
      <c r="Y175" s="251" t="n">
        <f aca="false">I175/10000</f>
        <v>-5</v>
      </c>
      <c r="Z175" s="2"/>
      <c r="AB175" s="182" t="n">
        <f aca="false">H175</f>
        <v>36678</v>
      </c>
      <c r="AC175" s="253" t="e">
        <f aca="false">xSPRDOPT(HLOOKUP($D$3,GDPRICES,VLOOKUP(Q175,GDmove_down,2,FALSE()),FALSE()),HLOOKUP($E$3,GDPRICES,VLOOKUP(Q175,GDmove_down,2,FALSE()),FALSE()),J175,VLOOKUP(H175,NGPREVPRICES,4,FALSE()),HLOOKUP($H$3,GDPrevVols,VLOOKUP(Q175,GDmove_down2,2,FALSE()),FALSE()),HLOOKUP($H$3,GDPrevVols,VLOOKUP(Q175,GDmove_down2,2,FALSE()),FALSE()),HLOOKUP(E175,GDcorr,VLOOKUP(H175,CorMove,2,FALSE()),FALSE()),Q175-$AC$3,R175,$AC$5)*I175-AI175</f>
        <v>#N/A</v>
      </c>
      <c r="AD175" s="253" t="e">
        <f aca="false">xSPRDOPT(HLOOKUP($D$3,GDPrev,VLOOKUP(Q175,GDmove_down,2,FALSE()),FALSE()),HLOOKUP($E$3,GDPrev,VLOOKUP(Q175,GDmove_down,2,FALSE()),FALSE()),AJ175,VLOOKUP(H175,NGPrices,4,FALSE()),HLOOKUP($H$3,GDPrevVols,VLOOKUP(Q175,GDmove_down2,2,FALSE()),FALSE()),HLOOKUP($H$3,GDPrevVols,VLOOKUP(Q175,GDmove_down2,2,FALSE()),FALSE()),HLOOKUP(E175,GDcorr,VLOOKUP(H175,CorMove,2,FALSE()),FALSE()),Q175-$AC$3,R175,$AI$5)*I175-AI175</f>
        <v>#N/A</v>
      </c>
      <c r="AE175" s="132" t="e">
        <f aca="false">(AI175/VLOOKUP(AB175,discount,3,FALSE()))-(AI175/VLOOKUP(AB175,discount,2,FALSE()))</f>
        <v>#N/A</v>
      </c>
      <c r="AF175" s="253" t="e">
        <f aca="false">xSPRDOPT(HLOOKUP($D$3,GDPrev,VLOOKUP(Q175,GDmove_down,2,FALSE()),FALSE()),HLOOKUP($E$3,GDPrev,VLOOKUP(Q175,GDmove_down,2,FALSE()),FALSE()),AJ175,VLOOKUP(H175,NGPREVPRICES,4,FALSE()),HLOOKUP($H$3,GDVol,VLOOKUP(H175,move_down,2,FALSE()),FALSE()),HLOOKUP($H$3,GDVol,VLOOKUP(H175,move_down,2,FALSE()),FALSE()),HLOOKUP(E175,GDcorr,VLOOKUP(H175,CorMove,2,FALSE()),FALSE()),Q175-$AC$3,R175,$AI$5)*I175-AI175</f>
        <v>#N/A</v>
      </c>
      <c r="AG175" s="253" t="e">
        <f aca="false">xSPRDOPT(HLOOKUP($D$3,GDPrev,VLOOKUP(Q175,GDmove_down,2,FALSE()),FALSE()),HLOOKUP($E$3,GDPrev,VLOOKUP(Q175,GDmove_down,2,FALSE()),FALSE()),AJ175,VLOOKUP(H175,NGPREVPRICES,4,FALSE()),HLOOKUP($H$3,GDPrevVols,VLOOKUP(Q175,GDmove_down2,2,FALSE()),FALSE()),HLOOKUP($H$3,GDPrevVols,VLOOKUP(Q175,GDmove_down2,2,FALSE()),FALSE()),HLOOKUP(E175,GDcorr,VLOOKUP(H175,CorMove,2,FALSE()),FALSE()),Q175-$C$3,R175,$AI$5)*I175-AI175</f>
        <v>#N/A</v>
      </c>
      <c r="AH175" s="253" t="e">
        <f aca="false">SUM(AC175:AG175)</f>
        <v>#N/A</v>
      </c>
      <c r="AI175" s="253" t="e">
        <f aca="false">xSPRDOPT(HLOOKUP($D$3,GDPrev,VLOOKUP(Q175,GDmove_down,2,FALSE()),FALSE()),HLOOKUP($E$3,GDPrev,VLOOKUP(Q175,GDmove_down,2,FALSE()),FALSE()),AJ175,VLOOKUP(H175,NGPREVPRICES,4,FALSE()),HLOOKUP($H$3,GDPrevVols,VLOOKUP(Q175,GDmove_down2,2,FALSE()),FALSE()),HLOOKUP($H$3,GDPrevVols,VLOOKUP(Q175,GDmove_down2,2,FALSE()),FALSE()),HLOOKUP(E175,GDcorr,VLOOKUP(H175,CorMove,2,FALSE()),FALSE()),Q175-$AC$3,R175,$AI$5)*I175</f>
        <v>#N/A</v>
      </c>
      <c r="AJ175" s="254" t="e">
        <f aca="false">HLOOKUP(D175,PREVCURVES,VLOOKUP(H175,MOVE_DOWN2,2,FALSE()),FALSE())-HLOOKUP(E175,PREVCURVES,VLOOKUP(H175,MOVE_DOWN2,2,FALSE()),FALSE())</f>
        <v>#N/A</v>
      </c>
      <c r="AK175" s="253"/>
      <c r="AL175" s="0" t="str">
        <f aca="false">CONCATENATE(AB175,$AC$6)</f>
        <v>36678Curve Shift/Gamma</v>
      </c>
      <c r="AM175" s="0" t="str">
        <f aca="false">CONCATENATE($AB175,$AD$6)</f>
        <v>36678Rho</v>
      </c>
      <c r="AN175" s="0" t="str">
        <f aca="false">CONCATENATE($AB175,$AE$6)</f>
        <v>36678Drift</v>
      </c>
      <c r="AO175" s="0" t="str">
        <f aca="false">CONCATENATE($AB175,$AF$6)</f>
        <v>36678Vega</v>
      </c>
      <c r="AP175" s="0" t="str">
        <f aca="false">CONCATENATE($AB175,$AG$6)</f>
        <v>36678Theta</v>
      </c>
      <c r="BG175" s="285" t="n">
        <v>41609</v>
      </c>
      <c r="BH175" s="0" t="n">
        <v>0.970485</v>
      </c>
      <c r="BJ175" s="285" t="n">
        <v>41609</v>
      </c>
      <c r="BK175" s="0" t="n">
        <v>172</v>
      </c>
    </row>
    <row r="176" customFormat="false" ht="12" hidden="false" customHeight="true" outlineLevel="0" collapsed="false">
      <c r="A176" s="265" t="s">
        <v>198</v>
      </c>
      <c r="B176" s="269" t="s">
        <v>192</v>
      </c>
      <c r="C176" s="269" t="s">
        <v>489</v>
      </c>
      <c r="D176" s="269" t="s">
        <v>137</v>
      </c>
      <c r="E176" s="7" t="s">
        <v>483</v>
      </c>
      <c r="F176" s="269" t="s">
        <v>131</v>
      </c>
      <c r="G176" s="269" t="s">
        <v>136</v>
      </c>
      <c r="H176" s="286" t="n">
        <v>36678</v>
      </c>
      <c r="I176" s="272" t="n">
        <v>10000</v>
      </c>
      <c r="J176" s="125" t="n">
        <v>0.46</v>
      </c>
      <c r="K176" s="124" t="n">
        <f aca="false">HLOOKUP($D$3,GDPRICES,VLOOKUP(Q176,GDmove_down,2,FALSE()),FALSE())</f>
        <v>5.75</v>
      </c>
      <c r="L176" s="124" t="n">
        <f aca="false">HLOOKUP($E$3,GDPRICES,VLOOKUP(Q176,GDmove_down,2,FALSE()),FALSE())</f>
        <v>3.32</v>
      </c>
      <c r="M176" s="126" t="n">
        <v>1</v>
      </c>
      <c r="N176" s="7" t="n">
        <v>0.515</v>
      </c>
      <c r="O176" s="7" t="n">
        <v>0.515</v>
      </c>
      <c r="P176" s="249" t="e">
        <f aca="false">HLOOKUP(E176,GDcorr,VLOOKUP(H176,GDCorMove,2,FALSE()),FALSE())</f>
        <v>#N/A</v>
      </c>
      <c r="Q176" s="92" t="n">
        <v>36702</v>
      </c>
      <c r="R176" s="7" t="n">
        <f aca="false">IF(G176="P",0,1)</f>
        <v>1</v>
      </c>
      <c r="S176" s="130" t="e">
        <f aca="false">xSPRDOPT($K176,$L176,$J176,$M176,$N176,$O176,$P176,$Q176-$C$3,$R176,0)</f>
        <v>#NAME?</v>
      </c>
      <c r="T176" s="250" t="e">
        <f aca="false">xSPRDOPT($K176,$L176,$J176,$M176,$N176,$O176,$P176,$Q176-$C$3,$R176,1)*I176</f>
        <v>#NAME?</v>
      </c>
      <c r="U176" s="43" t="n">
        <v>2850</v>
      </c>
      <c r="V176" s="250" t="e">
        <f aca="false">xSPRDOPT($K176,$L176,$J176,$M176,$N176,$O176,$P176,$Q176-$C$3,$R176,2)*I176</f>
        <v>#NAME?</v>
      </c>
      <c r="W176" s="250" t="e">
        <f aca="false">+V176+T176</f>
        <v>#NAME?</v>
      </c>
      <c r="X176" s="2" t="str">
        <f aca="false">CONCATENATE(H176,E176)</f>
        <v>36678IF-ELPO/SJ</v>
      </c>
      <c r="Y176" s="251" t="n">
        <f aca="false">I176/10000</f>
        <v>1</v>
      </c>
      <c r="Z176" s="2"/>
      <c r="AB176" s="182" t="n">
        <f aca="false">H176</f>
        <v>36678</v>
      </c>
      <c r="AC176" s="253" t="e">
        <f aca="false">xSPRDOPT(HLOOKUP($D$3,GDPRICES,VLOOKUP(Q176,GDmove_down,2,FALSE()),FALSE()),HLOOKUP($E$3,GDPRICES,VLOOKUP(Q176,GDmove_down,2,FALSE()),FALSE()),J176,VLOOKUP(H176,NGPREVPRICES,4,FALSE()),HLOOKUP($H$3,GDPrevVols,VLOOKUP(Q176,GDmove_down2,2,FALSE()),FALSE()),HLOOKUP($H$3,GDPrevVols,VLOOKUP(Q176,GDmove_down2,2,FALSE()),FALSE()),HLOOKUP(E176,GDcorr,VLOOKUP(H176,CorMove,2,FALSE()),FALSE()),Q176-$AC$3,R176,$AC$5)*I176-AI176</f>
        <v>#N/A</v>
      </c>
      <c r="AD176" s="253" t="e">
        <f aca="false">xSPRDOPT(HLOOKUP($D$3,GDPrev,VLOOKUP(Q176,GDmove_down,2,FALSE()),FALSE()),HLOOKUP($E$3,GDPrev,VLOOKUP(Q176,GDmove_down,2,FALSE()),FALSE()),AJ176,VLOOKUP(H176,NGPrices,4,FALSE()),HLOOKUP($H$3,GDPrevVols,VLOOKUP(Q176,GDmove_down2,2,FALSE()),FALSE()),HLOOKUP($H$3,GDPrevVols,VLOOKUP(Q176,GDmove_down2,2,FALSE()),FALSE()),HLOOKUP(E176,GDcorr,VLOOKUP(H176,CorMove,2,FALSE()),FALSE()),Q176-$AC$3,R176,$AI$5)*I176-AI176</f>
        <v>#N/A</v>
      </c>
      <c r="AE176" s="132" t="e">
        <f aca="false">(AI176/VLOOKUP(AB176,discount,3,FALSE()))-(AI176/VLOOKUP(AB176,discount,2,FALSE()))</f>
        <v>#N/A</v>
      </c>
      <c r="AF176" s="253" t="e">
        <f aca="false">xSPRDOPT(HLOOKUP($D$3,GDPrev,VLOOKUP(Q176,GDmove_down,2,FALSE()),FALSE()),HLOOKUP($E$3,GDPrev,VLOOKUP(Q176,GDmove_down,2,FALSE()),FALSE()),AJ176,VLOOKUP(H176,NGPREVPRICES,4,FALSE()),HLOOKUP($H$3,GDVol,VLOOKUP(H176,move_down,2,FALSE()),FALSE()),HLOOKUP($H$3,GDVol,VLOOKUP(H176,move_down,2,FALSE()),FALSE()),HLOOKUP(E176,GDcorr,VLOOKUP(H176,CorMove,2,FALSE()),FALSE()),Q176-$AC$3,R176,$AI$5)*I176-AI176</f>
        <v>#N/A</v>
      </c>
      <c r="AG176" s="253" t="e">
        <f aca="false">xSPRDOPT(HLOOKUP($D$3,GDPrev,VLOOKUP(Q176,GDmove_down,2,FALSE()),FALSE()),HLOOKUP($E$3,GDPrev,VLOOKUP(Q176,GDmove_down,2,FALSE()),FALSE()),AJ176,VLOOKUP(H176,NGPREVPRICES,4,FALSE()),HLOOKUP($H$3,GDPrevVols,VLOOKUP(Q176,GDmove_down2,2,FALSE()),FALSE()),HLOOKUP($H$3,GDPrevVols,VLOOKUP(Q176,GDmove_down2,2,FALSE()),FALSE()),HLOOKUP(E176,GDcorr,VLOOKUP(H176,CorMove,2,FALSE()),FALSE()),Q176-$C$3,R176,$AI$5)*I176-AI176</f>
        <v>#N/A</v>
      </c>
      <c r="AH176" s="253" t="e">
        <f aca="false">SUM(AC176:AG176)</f>
        <v>#N/A</v>
      </c>
      <c r="AI176" s="253" t="e">
        <f aca="false">xSPRDOPT(HLOOKUP($D$3,GDPrev,VLOOKUP(Q176,GDmove_down,2,FALSE()),FALSE()),HLOOKUP($E$3,GDPrev,VLOOKUP(Q176,GDmove_down,2,FALSE()),FALSE()),AJ176,VLOOKUP(H176,NGPREVPRICES,4,FALSE()),HLOOKUP($H$3,GDPrevVols,VLOOKUP(Q176,GDmove_down2,2,FALSE()),FALSE()),HLOOKUP($H$3,GDPrevVols,VLOOKUP(Q176,GDmove_down2,2,FALSE()),FALSE()),HLOOKUP(E176,GDcorr,VLOOKUP(H176,CorMove,2,FALSE()),FALSE()),Q176-$AC$3,R176,$AI$5)*I176</f>
        <v>#N/A</v>
      </c>
      <c r="AJ176" s="254" t="e">
        <f aca="false">HLOOKUP(D176,PREVCURVES,VLOOKUP(H176,MOVE_DOWN2,2,FALSE()),FALSE())-HLOOKUP(E176,PREVCURVES,VLOOKUP(H176,MOVE_DOWN2,2,FALSE()),FALSE())</f>
        <v>#N/A</v>
      </c>
      <c r="AK176" s="253"/>
      <c r="AL176" s="0" t="str">
        <f aca="false">CONCATENATE(AB176,$AC$6)</f>
        <v>36678Curve Shift/Gamma</v>
      </c>
      <c r="AM176" s="0" t="str">
        <f aca="false">CONCATENATE($AB176,$AD$6)</f>
        <v>36678Rho</v>
      </c>
      <c r="AN176" s="0" t="str">
        <f aca="false">CONCATENATE($AB176,$AE$6)</f>
        <v>36678Drift</v>
      </c>
      <c r="AO176" s="0" t="str">
        <f aca="false">CONCATENATE($AB176,$AF$6)</f>
        <v>36678Vega</v>
      </c>
      <c r="AP176" s="0" t="str">
        <f aca="false">CONCATENATE($AB176,$AG$6)</f>
        <v>36678Theta</v>
      </c>
      <c r="BG176" s="285" t="n">
        <v>41640</v>
      </c>
      <c r="BH176" s="0" t="n">
        <v>0.985</v>
      </c>
      <c r="BJ176" s="285" t="n">
        <v>41640</v>
      </c>
      <c r="BK176" s="0" t="n">
        <v>173</v>
      </c>
    </row>
    <row r="177" customFormat="false" ht="12" hidden="false" customHeight="true" outlineLevel="0" collapsed="false">
      <c r="A177" s="265" t="s">
        <v>198</v>
      </c>
      <c r="B177" s="269" t="s">
        <v>192</v>
      </c>
      <c r="C177" s="269" t="s">
        <v>490</v>
      </c>
      <c r="D177" s="269" t="s">
        <v>137</v>
      </c>
      <c r="E177" s="7" t="s">
        <v>483</v>
      </c>
      <c r="F177" s="269" t="s">
        <v>131</v>
      </c>
      <c r="G177" s="269" t="s">
        <v>136</v>
      </c>
      <c r="H177" s="286" t="n">
        <v>36678</v>
      </c>
      <c r="I177" s="272" t="n">
        <v>-333333</v>
      </c>
      <c r="J177" s="125" t="n">
        <v>0.46</v>
      </c>
      <c r="K177" s="124" t="n">
        <f aca="false">HLOOKUP($D$3,GDPRICES,VLOOKUP(Q177,GDmove_down,2,FALSE()),FALSE())</f>
        <v>5.75</v>
      </c>
      <c r="L177" s="124" t="n">
        <f aca="false">HLOOKUP($E$3,GDPRICES,VLOOKUP(Q177,GDmove_down,2,FALSE()),FALSE())</f>
        <v>3.32</v>
      </c>
      <c r="M177" s="126" t="n">
        <v>1</v>
      </c>
      <c r="N177" s="7" t="n">
        <v>0.515</v>
      </c>
      <c r="O177" s="7" t="n">
        <v>0.515</v>
      </c>
      <c r="P177" s="249" t="e">
        <f aca="false">HLOOKUP(E177,GDcorr,VLOOKUP(H177,GDCorMove,2,FALSE()),FALSE())</f>
        <v>#N/A</v>
      </c>
      <c r="Q177" s="92" t="n">
        <v>36702</v>
      </c>
      <c r="R177" s="7" t="n">
        <f aca="false">IF(G177="P",0,1)</f>
        <v>1</v>
      </c>
      <c r="S177" s="130" t="e">
        <f aca="false">xSPRDOPT($K177,$L177,$J177,$M177,$N177,$O177,$P177,$Q177-$C$3,$R177,0)</f>
        <v>#NAME?</v>
      </c>
      <c r="T177" s="250" t="e">
        <f aca="false">xSPRDOPT($K177,$L177,$J177,$M177,$N177,$O177,$P177,$Q177-$C$3,$R177,1)*I177</f>
        <v>#NAME?</v>
      </c>
      <c r="U177" s="43" t="n">
        <v>-94999.9049999999</v>
      </c>
      <c r="V177" s="250" t="e">
        <f aca="false">xSPRDOPT($K177,$L177,$J177,$M177,$N177,$O177,$P177,$Q177-$C$3,$R177,2)*I177</f>
        <v>#NAME?</v>
      </c>
      <c r="W177" s="250" t="e">
        <f aca="false">+V177+T177</f>
        <v>#NAME?</v>
      </c>
      <c r="X177" s="2" t="str">
        <f aca="false">CONCATENATE(H177,E177)</f>
        <v>36678IF-ELPO/SJ</v>
      </c>
      <c r="Y177" s="251" t="n">
        <f aca="false">I177/10000</f>
        <v>-33.3333</v>
      </c>
      <c r="Z177" s="2"/>
      <c r="AB177" s="182" t="n">
        <f aca="false">H177</f>
        <v>36678</v>
      </c>
      <c r="AC177" s="253" t="e">
        <f aca="false">xSPRDOPT(HLOOKUP($D$3,GDPRICES,VLOOKUP(Q177,GDmove_down,2,FALSE()),FALSE()),HLOOKUP($E$3,GDPRICES,VLOOKUP(Q177,GDmove_down,2,FALSE()),FALSE()),J177,VLOOKUP(H177,NGPREVPRICES,4,FALSE()),HLOOKUP($H$3,GDPrevVols,VLOOKUP(Q177,GDmove_down2,2,FALSE()),FALSE()),HLOOKUP($H$3,GDPrevVols,VLOOKUP(Q177,GDmove_down2,2,FALSE()),FALSE()),HLOOKUP(E177,GDcorr,VLOOKUP(H177,CorMove,2,FALSE()),FALSE()),Q177-$AC$3,R177,$AC$5)*I177-AI177</f>
        <v>#N/A</v>
      </c>
      <c r="AD177" s="253" t="e">
        <f aca="false">xSPRDOPT(HLOOKUP($D$3,GDPrev,VLOOKUP(Q177,GDmove_down,2,FALSE()),FALSE()),HLOOKUP($E$3,GDPrev,VLOOKUP(Q177,GDmove_down,2,FALSE()),FALSE()),AJ177,VLOOKUP(H177,NGPrices,4,FALSE()),HLOOKUP($H$3,GDPrevVols,VLOOKUP(Q177,GDmove_down2,2,FALSE()),FALSE()),HLOOKUP($H$3,GDPrevVols,VLOOKUP(Q177,GDmove_down2,2,FALSE()),FALSE()),HLOOKUP(E177,GDcorr,VLOOKUP(H177,CorMove,2,FALSE()),FALSE()),Q177-$AC$3,R177,$AI$5)*I177-AI177</f>
        <v>#N/A</v>
      </c>
      <c r="AE177" s="132" t="e">
        <f aca="false">(AI177/VLOOKUP(AB177,discount,3,FALSE()))-(AI177/VLOOKUP(AB177,discount,2,FALSE()))</f>
        <v>#N/A</v>
      </c>
      <c r="AF177" s="253" t="e">
        <f aca="false">xSPRDOPT(HLOOKUP($D$3,GDPrev,VLOOKUP(Q177,GDmove_down,2,FALSE()),FALSE()),HLOOKUP($E$3,GDPrev,VLOOKUP(Q177,GDmove_down,2,FALSE()),FALSE()),AJ177,VLOOKUP(H177,NGPREVPRICES,4,FALSE()),HLOOKUP($H$3,GDVol,VLOOKUP(H177,move_down,2,FALSE()),FALSE()),HLOOKUP($H$3,GDVol,VLOOKUP(H177,move_down,2,FALSE()),FALSE()),HLOOKUP(E177,GDcorr,VLOOKUP(H177,CorMove,2,FALSE()),FALSE()),Q177-$AC$3,R177,$AI$5)*I177-AI177</f>
        <v>#N/A</v>
      </c>
      <c r="AG177" s="253" t="e">
        <f aca="false">xSPRDOPT(HLOOKUP($D$3,GDPrev,VLOOKUP(Q177,GDmove_down,2,FALSE()),FALSE()),HLOOKUP($E$3,GDPrev,VLOOKUP(Q177,GDmove_down,2,FALSE()),FALSE()),AJ177,VLOOKUP(H177,NGPREVPRICES,4,FALSE()),HLOOKUP($H$3,GDPrevVols,VLOOKUP(Q177,GDmove_down2,2,FALSE()),FALSE()),HLOOKUP($H$3,GDPrevVols,VLOOKUP(Q177,GDmove_down2,2,FALSE()),FALSE()),HLOOKUP(E177,GDcorr,VLOOKUP(H177,CorMove,2,FALSE()),FALSE()),Q177-$C$3,R177,$AI$5)*I177-AI177</f>
        <v>#N/A</v>
      </c>
      <c r="AH177" s="253" t="e">
        <f aca="false">SUM(AC177:AG177)</f>
        <v>#N/A</v>
      </c>
      <c r="AI177" s="253" t="e">
        <f aca="false">xSPRDOPT(HLOOKUP($D$3,GDPrev,VLOOKUP(Q177,GDmove_down,2,FALSE()),FALSE()),HLOOKUP($E$3,GDPrev,VLOOKUP(Q177,GDmove_down,2,FALSE()),FALSE()),AJ177,VLOOKUP(H177,NGPREVPRICES,4,FALSE()),HLOOKUP($H$3,GDPrevVols,VLOOKUP(Q177,GDmove_down2,2,FALSE()),FALSE()),HLOOKUP($H$3,GDPrevVols,VLOOKUP(Q177,GDmove_down2,2,FALSE()),FALSE()),HLOOKUP(E177,GDcorr,VLOOKUP(H177,CorMove,2,FALSE()),FALSE()),Q177-$AC$3,R177,$AI$5)*I177</f>
        <v>#N/A</v>
      </c>
      <c r="AJ177" s="254" t="e">
        <f aca="false">HLOOKUP(D177,PREVCURVES,VLOOKUP(H177,MOVE_DOWN2,2,FALSE()),FALSE())-HLOOKUP(E177,PREVCURVES,VLOOKUP(H177,MOVE_DOWN2,2,FALSE()),FALSE())</f>
        <v>#N/A</v>
      </c>
      <c r="AK177" s="253"/>
      <c r="AL177" s="0" t="str">
        <f aca="false">CONCATENATE(AB177,$AC$6)</f>
        <v>36678Curve Shift/Gamma</v>
      </c>
      <c r="AM177" s="0" t="str">
        <f aca="false">CONCATENATE($AB177,$AD$6)</f>
        <v>36678Rho</v>
      </c>
      <c r="AN177" s="0" t="str">
        <f aca="false">CONCATENATE($AB177,$AE$6)</f>
        <v>36678Drift</v>
      </c>
      <c r="AO177" s="0" t="str">
        <f aca="false">CONCATENATE($AB177,$AF$6)</f>
        <v>36678Vega</v>
      </c>
      <c r="AP177" s="0" t="str">
        <f aca="false">CONCATENATE($AB177,$AG$6)</f>
        <v>36678Theta</v>
      </c>
      <c r="BG177" s="285" t="n">
        <v>41671</v>
      </c>
      <c r="BH177" s="0" t="n">
        <v>0.985</v>
      </c>
      <c r="BJ177" s="285" t="n">
        <v>41671</v>
      </c>
      <c r="BK177" s="0" t="n">
        <v>174</v>
      </c>
    </row>
    <row r="178" customFormat="false" ht="12" hidden="false" customHeight="true" outlineLevel="0" collapsed="false">
      <c r="A178" s="267" t="s">
        <v>196</v>
      </c>
      <c r="B178" s="269" t="s">
        <v>192</v>
      </c>
      <c r="C178" s="269" t="s">
        <v>491</v>
      </c>
      <c r="D178" s="269" t="s">
        <v>137</v>
      </c>
      <c r="E178" s="7" t="s">
        <v>483</v>
      </c>
      <c r="F178" s="269" t="s">
        <v>131</v>
      </c>
      <c r="G178" s="269" t="s">
        <v>136</v>
      </c>
      <c r="H178" s="286" t="n">
        <v>36678</v>
      </c>
      <c r="I178" s="272" t="n">
        <v>-10000</v>
      </c>
      <c r="J178" s="125" t="n">
        <v>0.46</v>
      </c>
      <c r="K178" s="124" t="n">
        <f aca="false">HLOOKUP($D$3,GDPRICES,VLOOKUP(Q178,GDmove_down,2,FALSE()),FALSE())</f>
        <v>5.75</v>
      </c>
      <c r="L178" s="124" t="n">
        <f aca="false">HLOOKUP($E$3,GDPRICES,VLOOKUP(Q178,GDmove_down,2,FALSE()),FALSE())</f>
        <v>3.32</v>
      </c>
      <c r="M178" s="126" t="n">
        <v>1</v>
      </c>
      <c r="N178" s="7" t="n">
        <v>0.515</v>
      </c>
      <c r="O178" s="7" t="n">
        <v>0.515</v>
      </c>
      <c r="P178" s="249" t="e">
        <f aca="false">HLOOKUP(E178,GDcorr,VLOOKUP(H178,GDCorMove,2,FALSE()),FALSE())</f>
        <v>#N/A</v>
      </c>
      <c r="Q178" s="92" t="n">
        <v>36702</v>
      </c>
      <c r="R178" s="7" t="n">
        <f aca="false">IF(G178="P",0,1)</f>
        <v>1</v>
      </c>
      <c r="S178" s="130" t="e">
        <f aca="false">xSPRDOPT($K178,$L178,$J178,$M178,$N178,$O178,$P178,$Q178-$C$3,$R178,0)</f>
        <v>#NAME?</v>
      </c>
      <c r="T178" s="250" t="e">
        <f aca="false">xSPRDOPT($K178,$L178,$J178,$M178,$N178,$O178,$P178,$Q178-$C$3,$R178,1)*I178</f>
        <v>#NAME?</v>
      </c>
      <c r="U178" s="43" t="n">
        <v>-2850</v>
      </c>
      <c r="V178" s="250" t="e">
        <f aca="false">xSPRDOPT($K178,$L178,$J178,$M178,$N178,$O178,$P178,$Q178-$C$3,$R178,2)*I178</f>
        <v>#NAME?</v>
      </c>
      <c r="W178" s="250" t="e">
        <f aca="false">+V178+T178</f>
        <v>#NAME?</v>
      </c>
      <c r="X178" s="2" t="str">
        <f aca="false">CONCATENATE(H178,E178)</f>
        <v>36678IF-ELPO/SJ</v>
      </c>
      <c r="Y178" s="251" t="n">
        <f aca="false">I178/10000</f>
        <v>-1</v>
      </c>
      <c r="AB178" s="182" t="n">
        <f aca="false">H178</f>
        <v>36678</v>
      </c>
      <c r="AC178" s="253" t="e">
        <f aca="false">xSPRDOPT(HLOOKUP($D$3,GDPRICES,VLOOKUP(Q178,GDmove_down,2,FALSE()),FALSE()),HLOOKUP($E$3,GDPRICES,VLOOKUP(Q178,GDmove_down,2,FALSE()),FALSE()),J178,VLOOKUP(H178,NGPREVPRICES,4,FALSE()),HLOOKUP($H$3,GDPrevVols,VLOOKUP(Q178,GDmove_down2,2,FALSE()),FALSE()),HLOOKUP($H$3,GDPrevVols,VLOOKUP(Q178,GDmove_down2,2,FALSE()),FALSE()),HLOOKUP(E178,GDcorr,VLOOKUP(H178,CorMove,2,FALSE()),FALSE()),Q178-$AC$3,R178,$AC$5)*I178-AI178</f>
        <v>#N/A</v>
      </c>
      <c r="AD178" s="253" t="e">
        <f aca="false">xSPRDOPT(HLOOKUP($D$3,GDPrev,VLOOKUP(Q178,GDmove_down,2,FALSE()),FALSE()),HLOOKUP($E$3,GDPrev,VLOOKUP(Q178,GDmove_down,2,FALSE()),FALSE()),AJ178,VLOOKUP(H178,NGPrices,4,FALSE()),HLOOKUP($H$3,GDPrevVols,VLOOKUP(Q178,GDmove_down2,2,FALSE()),FALSE()),HLOOKUP($H$3,GDPrevVols,VLOOKUP(Q178,GDmove_down2,2,FALSE()),FALSE()),HLOOKUP(E178,GDcorr,VLOOKUP(H178,CorMove,2,FALSE()),FALSE()),Q178-$AC$3,R178,$AI$5)*I178-AI178</f>
        <v>#N/A</v>
      </c>
      <c r="AE178" s="132" t="e">
        <f aca="false">(AI178/VLOOKUP(AB178,discount,3,FALSE()))-(AI178/VLOOKUP(AB178,discount,2,FALSE()))</f>
        <v>#N/A</v>
      </c>
      <c r="AF178" s="253" t="e">
        <f aca="false">xSPRDOPT(HLOOKUP($D$3,GDPrev,VLOOKUP(Q178,GDmove_down,2,FALSE()),FALSE()),HLOOKUP($E$3,GDPrev,VLOOKUP(Q178,GDmove_down,2,FALSE()),FALSE()),AJ178,VLOOKUP(H178,NGPREVPRICES,4,FALSE()),HLOOKUP($H$3,GDVol,VLOOKUP(H178,move_down,2,FALSE()),FALSE()),HLOOKUP($H$3,GDVol,VLOOKUP(H178,move_down,2,FALSE()),FALSE()),HLOOKUP(E178,GDcorr,VLOOKUP(H178,CorMove,2,FALSE()),FALSE()),Q178-$AC$3,R178,$AI$5)*I178-AI178</f>
        <v>#N/A</v>
      </c>
      <c r="AG178" s="253" t="e">
        <f aca="false">xSPRDOPT(HLOOKUP($D$3,GDPrev,VLOOKUP(Q178,GDmove_down,2,FALSE()),FALSE()),HLOOKUP($E$3,GDPrev,VLOOKUP(Q178,GDmove_down,2,FALSE()),FALSE()),AJ178,VLOOKUP(H178,NGPREVPRICES,4,FALSE()),HLOOKUP($H$3,GDPrevVols,VLOOKUP(Q178,GDmove_down2,2,FALSE()),FALSE()),HLOOKUP($H$3,GDPrevVols,VLOOKUP(Q178,GDmove_down2,2,FALSE()),FALSE()),HLOOKUP(E178,GDcorr,VLOOKUP(H178,CorMove,2,FALSE()),FALSE()),Q178-$C$3,R178,$AI$5)*I178-AI178</f>
        <v>#N/A</v>
      </c>
      <c r="AH178" s="253" t="e">
        <f aca="false">SUM(AC178:AG178)</f>
        <v>#N/A</v>
      </c>
      <c r="AI178" s="253" t="e">
        <f aca="false">xSPRDOPT(HLOOKUP($D$3,GDPrev,VLOOKUP(Q178,GDmove_down,2,FALSE()),FALSE()),HLOOKUP($E$3,GDPrev,VLOOKUP(Q178,GDmove_down,2,FALSE()),FALSE()),AJ178,VLOOKUP(H178,NGPREVPRICES,4,FALSE()),HLOOKUP($H$3,GDPrevVols,VLOOKUP(Q178,GDmove_down2,2,FALSE()),FALSE()),HLOOKUP($H$3,GDPrevVols,VLOOKUP(Q178,GDmove_down2,2,FALSE()),FALSE()),HLOOKUP(E178,GDcorr,VLOOKUP(H178,CorMove,2,FALSE()),FALSE()),Q178-$AC$3,R178,$AI$5)*I178</f>
        <v>#N/A</v>
      </c>
      <c r="AJ178" s="254" t="e">
        <f aca="false">HLOOKUP(D178,PREVCURVES,VLOOKUP(H178,MOVE_DOWN2,2,FALSE()),FALSE())-HLOOKUP(E178,PREVCURVES,VLOOKUP(H178,MOVE_DOWN2,2,FALSE()),FALSE())</f>
        <v>#N/A</v>
      </c>
      <c r="AK178" s="253"/>
      <c r="AL178" s="0" t="str">
        <f aca="false">CONCATENATE(AB178,$AC$6)</f>
        <v>36678Curve Shift/Gamma</v>
      </c>
      <c r="AM178" s="0" t="str">
        <f aca="false">CONCATENATE($AB178,$AD$6)</f>
        <v>36678Rho</v>
      </c>
      <c r="AN178" s="0" t="str">
        <f aca="false">CONCATENATE($AB178,$AE$6)</f>
        <v>36678Drift</v>
      </c>
      <c r="AO178" s="0" t="str">
        <f aca="false">CONCATENATE($AB178,$AF$6)</f>
        <v>36678Vega</v>
      </c>
      <c r="AP178" s="0" t="str">
        <f aca="false">CONCATENATE($AB178,$AG$6)</f>
        <v>36678Theta</v>
      </c>
      <c r="BG178" s="285" t="n">
        <v>41699</v>
      </c>
      <c r="BH178" s="0" t="n">
        <v>0.985</v>
      </c>
      <c r="BJ178" s="285" t="n">
        <v>41699</v>
      </c>
      <c r="BK178" s="0" t="n">
        <v>175</v>
      </c>
    </row>
    <row r="179" customFormat="false" ht="12" hidden="false" customHeight="true" outlineLevel="0" collapsed="false">
      <c r="A179" s="267" t="s">
        <v>198</v>
      </c>
      <c r="B179" s="269" t="s">
        <v>192</v>
      </c>
      <c r="C179" s="269" t="s">
        <v>492</v>
      </c>
      <c r="D179" s="269" t="s">
        <v>137</v>
      </c>
      <c r="E179" s="7" t="s">
        <v>483</v>
      </c>
      <c r="F179" s="269" t="s">
        <v>131</v>
      </c>
      <c r="G179" s="269" t="s">
        <v>136</v>
      </c>
      <c r="H179" s="286" t="n">
        <v>36678</v>
      </c>
      <c r="I179" s="272" t="n">
        <v>50000</v>
      </c>
      <c r="J179" s="125" t="n">
        <v>0.46</v>
      </c>
      <c r="K179" s="124" t="n">
        <f aca="false">HLOOKUP($D$3,GDPRICES,VLOOKUP(Q179,GDmove_down,2,FALSE()),FALSE())</f>
        <v>5.75</v>
      </c>
      <c r="L179" s="124" t="n">
        <f aca="false">HLOOKUP($E$3,GDPRICES,VLOOKUP(Q179,GDmove_down,2,FALSE()),FALSE())</f>
        <v>3.32</v>
      </c>
      <c r="M179" s="126" t="n">
        <v>1</v>
      </c>
      <c r="N179" s="7" t="n">
        <v>0.515</v>
      </c>
      <c r="O179" s="7" t="n">
        <v>0.515</v>
      </c>
      <c r="P179" s="249" t="e">
        <f aca="false">HLOOKUP(E179,GDcorr,VLOOKUP(H179,GDCorMove,2,FALSE()),FALSE())</f>
        <v>#N/A</v>
      </c>
      <c r="Q179" s="92" t="n">
        <v>36702</v>
      </c>
      <c r="R179" s="7" t="n">
        <f aca="false">IF(G179="P",0,1)</f>
        <v>1</v>
      </c>
      <c r="S179" s="130" t="e">
        <f aca="false">xSPRDOPT($K179,$L179,$J179,$M179,$N179,$O179,$P179,$Q179-$C$3,$R179,0)</f>
        <v>#NAME?</v>
      </c>
      <c r="T179" s="250" t="e">
        <f aca="false">xSPRDOPT($K179,$L179,$J179,$M179,$N179,$O179,$P179,$Q179-$C$3,$R179,1)*I179</f>
        <v>#NAME?</v>
      </c>
      <c r="U179" s="43" t="n">
        <v>14250</v>
      </c>
      <c r="V179" s="250" t="e">
        <f aca="false">xSPRDOPT($K179,$L179,$J179,$M179,$N179,$O179,$P179,$Q179-$C$3,$R179,2)*I179</f>
        <v>#NAME?</v>
      </c>
      <c r="W179" s="250" t="e">
        <f aca="false">+V179+T179</f>
        <v>#NAME?</v>
      </c>
      <c r="X179" s="2" t="str">
        <f aca="false">CONCATENATE(H179,E179)</f>
        <v>36678IF-ELPO/SJ</v>
      </c>
      <c r="Y179" s="251" t="n">
        <f aca="false">I179/10000</f>
        <v>5</v>
      </c>
      <c r="AB179" s="182" t="n">
        <f aca="false">H179</f>
        <v>36678</v>
      </c>
      <c r="AC179" s="253" t="e">
        <f aca="false">xSPRDOPT(HLOOKUP($D$3,GDPRICES,VLOOKUP(Q179,GDmove_down,2,FALSE()),FALSE()),HLOOKUP($E$3,GDPRICES,VLOOKUP(Q179,GDmove_down,2,FALSE()),FALSE()),J179,VLOOKUP(H179,NGPREVPRICES,4,FALSE()),HLOOKUP($H$3,GDPrevVols,VLOOKUP(Q179,GDmove_down2,2,FALSE()),FALSE()),HLOOKUP($H$3,GDPrevVols,VLOOKUP(Q179,GDmove_down2,2,FALSE()),FALSE()),HLOOKUP(E179,GDcorr,VLOOKUP(H179,CorMove,2,FALSE()),FALSE()),Q179-$AC$3,R179,$AC$5)*I179-AI179</f>
        <v>#N/A</v>
      </c>
      <c r="AD179" s="253" t="e">
        <f aca="false">xSPRDOPT(HLOOKUP($D$3,GDPrev,VLOOKUP(Q179,GDmove_down,2,FALSE()),FALSE()),HLOOKUP($E$3,GDPrev,VLOOKUP(Q179,GDmove_down,2,FALSE()),FALSE()),AJ179,VLOOKUP(H179,NGPrices,4,FALSE()),HLOOKUP($H$3,GDPrevVols,VLOOKUP(Q179,GDmove_down2,2,FALSE()),FALSE()),HLOOKUP($H$3,GDPrevVols,VLOOKUP(Q179,GDmove_down2,2,FALSE()),FALSE()),HLOOKUP(E179,GDcorr,VLOOKUP(H179,CorMove,2,FALSE()),FALSE()),Q179-$AC$3,R179,$AI$5)*I179-AI179</f>
        <v>#N/A</v>
      </c>
      <c r="AE179" s="132" t="e">
        <f aca="false">(AI179/VLOOKUP(AB179,discount,3,FALSE()))-(AI179/VLOOKUP(AB179,discount,2,FALSE()))</f>
        <v>#N/A</v>
      </c>
      <c r="AF179" s="253" t="e">
        <f aca="false">xSPRDOPT(HLOOKUP($D$3,GDPrev,VLOOKUP(Q179,GDmove_down,2,FALSE()),FALSE()),HLOOKUP($E$3,GDPrev,VLOOKUP(Q179,GDmove_down,2,FALSE()),FALSE()),AJ179,VLOOKUP(H179,NGPREVPRICES,4,FALSE()),HLOOKUP($H$3,GDVol,VLOOKUP(H179,move_down,2,FALSE()),FALSE()),HLOOKUP($H$3,GDVol,VLOOKUP(H179,move_down,2,FALSE()),FALSE()),HLOOKUP(E179,GDcorr,VLOOKUP(H179,CorMove,2,FALSE()),FALSE()),Q179-$AC$3,R179,$AI$5)*I179-AI179</f>
        <v>#N/A</v>
      </c>
      <c r="AG179" s="253" t="e">
        <f aca="false">xSPRDOPT(HLOOKUP($D$3,GDPrev,VLOOKUP(Q179,GDmove_down,2,FALSE()),FALSE()),HLOOKUP($E$3,GDPrev,VLOOKUP(Q179,GDmove_down,2,FALSE()),FALSE()),AJ179,VLOOKUP(H179,NGPREVPRICES,4,FALSE()),HLOOKUP($H$3,GDPrevVols,VLOOKUP(Q179,GDmove_down2,2,FALSE()),FALSE()),HLOOKUP($H$3,GDPrevVols,VLOOKUP(Q179,GDmove_down2,2,FALSE()),FALSE()),HLOOKUP(E179,GDcorr,VLOOKUP(H179,CorMove,2,FALSE()),FALSE()),Q179-$C$3,R179,$AI$5)*I179-AI179</f>
        <v>#N/A</v>
      </c>
      <c r="AH179" s="253" t="e">
        <f aca="false">SUM(AC179:AG179)</f>
        <v>#N/A</v>
      </c>
      <c r="AI179" s="253" t="e">
        <f aca="false">xSPRDOPT(HLOOKUP($D$3,GDPrev,VLOOKUP(Q179,GDmove_down,2,FALSE()),FALSE()),HLOOKUP($E$3,GDPrev,VLOOKUP(Q179,GDmove_down,2,FALSE()),FALSE()),AJ179,VLOOKUP(H179,NGPREVPRICES,4,FALSE()),HLOOKUP($H$3,GDPrevVols,VLOOKUP(Q179,GDmove_down2,2,FALSE()),FALSE()),HLOOKUP($H$3,GDPrevVols,VLOOKUP(Q179,GDmove_down2,2,FALSE()),FALSE()),HLOOKUP(E179,GDcorr,VLOOKUP(H179,CorMove,2,FALSE()),FALSE()),Q179-$AC$3,R179,$AI$5)*I179</f>
        <v>#N/A</v>
      </c>
      <c r="AJ179" s="254" t="e">
        <f aca="false">HLOOKUP(D179,PREVCURVES,VLOOKUP(H179,MOVE_DOWN2,2,FALSE()),FALSE())-HLOOKUP(E179,PREVCURVES,VLOOKUP(H179,MOVE_DOWN2,2,FALSE()),FALSE())</f>
        <v>#N/A</v>
      </c>
      <c r="AK179" s="253"/>
      <c r="AL179" s="0" t="str">
        <f aca="false">CONCATENATE(AB179,$AC$6)</f>
        <v>36678Curve Shift/Gamma</v>
      </c>
      <c r="AM179" s="0" t="str">
        <f aca="false">CONCATENATE($AB179,$AD$6)</f>
        <v>36678Rho</v>
      </c>
      <c r="AN179" s="0" t="str">
        <f aca="false">CONCATENATE($AB179,$AE$6)</f>
        <v>36678Drift</v>
      </c>
      <c r="AO179" s="0" t="str">
        <f aca="false">CONCATENATE($AB179,$AF$6)</f>
        <v>36678Vega</v>
      </c>
      <c r="AP179" s="0" t="str">
        <f aca="false">CONCATENATE($AB179,$AG$6)</f>
        <v>36678Theta</v>
      </c>
      <c r="BG179" s="285" t="n">
        <v>41730</v>
      </c>
      <c r="BH179" s="0" t="n">
        <v>0.985</v>
      </c>
      <c r="BJ179" s="285" t="n">
        <v>41730</v>
      </c>
      <c r="BK179" s="0" t="n">
        <v>176</v>
      </c>
    </row>
    <row r="180" customFormat="false" ht="12" hidden="false" customHeight="true" outlineLevel="0" collapsed="false">
      <c r="A180" s="267" t="s">
        <v>198</v>
      </c>
      <c r="B180" s="269" t="s">
        <v>192</v>
      </c>
      <c r="C180" s="269" t="s">
        <v>493</v>
      </c>
      <c r="D180" s="269" t="s">
        <v>137</v>
      </c>
      <c r="E180" s="7" t="s">
        <v>483</v>
      </c>
      <c r="F180" s="269" t="s">
        <v>131</v>
      </c>
      <c r="G180" s="269" t="s">
        <v>136</v>
      </c>
      <c r="H180" s="286" t="n">
        <v>36678</v>
      </c>
      <c r="I180" s="272" t="n">
        <v>50000</v>
      </c>
      <c r="J180" s="125" t="n">
        <v>0.46</v>
      </c>
      <c r="K180" s="124" t="n">
        <f aca="false">HLOOKUP($D$3,GDPRICES,VLOOKUP(Q180,GDmove_down,2,FALSE()),FALSE())</f>
        <v>5.75</v>
      </c>
      <c r="L180" s="124" t="n">
        <f aca="false">HLOOKUP($E$3,GDPRICES,VLOOKUP(Q180,GDmove_down,2,FALSE()),FALSE())</f>
        <v>3.32</v>
      </c>
      <c r="M180" s="126" t="n">
        <v>1</v>
      </c>
      <c r="N180" s="7" t="n">
        <v>0.515</v>
      </c>
      <c r="O180" s="7" t="n">
        <v>0.515</v>
      </c>
      <c r="P180" s="249" t="e">
        <f aca="false">HLOOKUP(E180,GDcorr,VLOOKUP(H180,GDCorMove,2,FALSE()),FALSE())</f>
        <v>#N/A</v>
      </c>
      <c r="Q180" s="92" t="n">
        <v>36702</v>
      </c>
      <c r="R180" s="7" t="n">
        <f aca="false">IF(G180="P",0,1)</f>
        <v>1</v>
      </c>
      <c r="S180" s="130" t="e">
        <f aca="false">xSPRDOPT($K180,$L180,$J180,$M180,$N180,$O180,$P180,$Q180-$C$3,$R180,0)</f>
        <v>#NAME?</v>
      </c>
      <c r="T180" s="250" t="e">
        <f aca="false">xSPRDOPT($K180,$L180,$J180,$M180,$N180,$O180,$P180,$Q180-$C$3,$R180,1)*I180</f>
        <v>#NAME?</v>
      </c>
      <c r="U180" s="43" t="n">
        <v>14250</v>
      </c>
      <c r="V180" s="250" t="e">
        <f aca="false">xSPRDOPT($K180,$L180,$J180,$M180,$N180,$O180,$P180,$Q180-$C$3,$R180,2)*I180</f>
        <v>#NAME?</v>
      </c>
      <c r="W180" s="250" t="e">
        <f aca="false">+V180+T180</f>
        <v>#NAME?</v>
      </c>
      <c r="X180" s="2" t="str">
        <f aca="false">CONCATENATE(H180,E180)</f>
        <v>36678IF-ELPO/SJ</v>
      </c>
      <c r="Y180" s="251" t="n">
        <f aca="false">I180/10000</f>
        <v>5</v>
      </c>
      <c r="AB180" s="182" t="n">
        <f aca="false">H180</f>
        <v>36678</v>
      </c>
      <c r="AC180" s="253" t="e">
        <f aca="false">xSPRDOPT(HLOOKUP($D$3,GDPRICES,VLOOKUP(Q180,GDmove_down,2,FALSE()),FALSE()),HLOOKUP($E$3,GDPRICES,VLOOKUP(Q180,GDmove_down,2,FALSE()),FALSE()),J180,VLOOKUP(H180,NGPREVPRICES,4,FALSE()),HLOOKUP($H$3,GDPrevVols,VLOOKUP(Q180,GDmove_down2,2,FALSE()),FALSE()),HLOOKUP($H$3,GDPrevVols,VLOOKUP(Q180,GDmove_down2,2,FALSE()),FALSE()),HLOOKUP(E180,GDcorr,VLOOKUP(H180,CorMove,2,FALSE()),FALSE()),Q180-$AC$3,R180,$AC$5)*I180-AI180</f>
        <v>#N/A</v>
      </c>
      <c r="AD180" s="253" t="e">
        <f aca="false">xSPRDOPT(HLOOKUP($D$3,GDPrev,VLOOKUP(Q180,GDmove_down,2,FALSE()),FALSE()),HLOOKUP($E$3,GDPrev,VLOOKUP(Q180,GDmove_down,2,FALSE()),FALSE()),AJ180,VLOOKUP(H180,NGPrices,4,FALSE()),HLOOKUP($H$3,GDPrevVols,VLOOKUP(Q180,GDmove_down2,2,FALSE()),FALSE()),HLOOKUP($H$3,GDPrevVols,VLOOKUP(Q180,GDmove_down2,2,FALSE()),FALSE()),HLOOKUP(E180,GDcorr,VLOOKUP(H180,CorMove,2,FALSE()),FALSE()),Q180-$AC$3,R180,$AI$5)*I180-AI180</f>
        <v>#N/A</v>
      </c>
      <c r="AE180" s="132" t="e">
        <f aca="false">(AI180/VLOOKUP(AB180,discount,3,FALSE()))-(AI180/VLOOKUP(AB180,discount,2,FALSE()))</f>
        <v>#N/A</v>
      </c>
      <c r="AF180" s="253" t="e">
        <f aca="false">xSPRDOPT(HLOOKUP($D$3,GDPrev,VLOOKUP(Q180,GDmove_down,2,FALSE()),FALSE()),HLOOKUP($E$3,GDPrev,VLOOKUP(Q180,GDmove_down,2,FALSE()),FALSE()),AJ180,VLOOKUP(H180,NGPREVPRICES,4,FALSE()),HLOOKUP($H$3,GDVol,VLOOKUP(H180,move_down,2,FALSE()),FALSE()),HLOOKUP($H$3,GDVol,VLOOKUP(H180,move_down,2,FALSE()),FALSE()),HLOOKUP(E180,GDcorr,VLOOKUP(H180,CorMove,2,FALSE()),FALSE()),Q180-$AC$3,R180,$AI$5)*I180-AI180</f>
        <v>#N/A</v>
      </c>
      <c r="AG180" s="253" t="e">
        <f aca="false">xSPRDOPT(HLOOKUP($D$3,GDPrev,VLOOKUP(Q180,GDmove_down,2,FALSE()),FALSE()),HLOOKUP($E$3,GDPrev,VLOOKUP(Q180,GDmove_down,2,FALSE()),FALSE()),AJ180,VLOOKUP(H180,NGPREVPRICES,4,FALSE()),HLOOKUP($H$3,GDPrevVols,VLOOKUP(Q180,GDmove_down2,2,FALSE()),FALSE()),HLOOKUP($H$3,GDPrevVols,VLOOKUP(Q180,GDmove_down2,2,FALSE()),FALSE()),HLOOKUP(E180,GDcorr,VLOOKUP(H180,CorMove,2,FALSE()),FALSE()),Q180-$C$3,R180,$AI$5)*I180-AI180</f>
        <v>#N/A</v>
      </c>
      <c r="AH180" s="253" t="e">
        <f aca="false">SUM(AC180:AG180)</f>
        <v>#N/A</v>
      </c>
      <c r="AI180" s="253" t="e">
        <f aca="false">xSPRDOPT(HLOOKUP($D$3,GDPrev,VLOOKUP(Q180,GDmove_down,2,FALSE()),FALSE()),HLOOKUP($E$3,GDPrev,VLOOKUP(Q180,GDmove_down,2,FALSE()),FALSE()),AJ180,VLOOKUP(H180,NGPREVPRICES,4,FALSE()),HLOOKUP($H$3,GDPrevVols,VLOOKUP(Q180,GDmove_down2,2,FALSE()),FALSE()),HLOOKUP($H$3,GDPrevVols,VLOOKUP(Q180,GDmove_down2,2,FALSE()),FALSE()),HLOOKUP(E180,GDcorr,VLOOKUP(H180,CorMove,2,FALSE()),FALSE()),Q180-$AC$3,R180,$AI$5)*I180</f>
        <v>#N/A</v>
      </c>
      <c r="AJ180" s="254" t="e">
        <f aca="false">HLOOKUP(D180,PREVCURVES,VLOOKUP(H180,MOVE_DOWN2,2,FALSE()),FALSE())-HLOOKUP(E180,PREVCURVES,VLOOKUP(H180,MOVE_DOWN2,2,FALSE()),FALSE())</f>
        <v>#N/A</v>
      </c>
      <c r="AK180" s="253"/>
      <c r="AL180" s="0" t="str">
        <f aca="false">CONCATENATE(AB180,$AC$6)</f>
        <v>36678Curve Shift/Gamma</v>
      </c>
      <c r="AM180" s="0" t="str">
        <f aca="false">CONCATENATE($AB180,$AD$6)</f>
        <v>36678Rho</v>
      </c>
      <c r="AN180" s="0" t="str">
        <f aca="false">CONCATENATE($AB180,$AE$6)</f>
        <v>36678Drift</v>
      </c>
      <c r="AO180" s="0" t="str">
        <f aca="false">CONCATENATE($AB180,$AF$6)</f>
        <v>36678Vega</v>
      </c>
      <c r="AP180" s="0" t="str">
        <f aca="false">CONCATENATE($AB180,$AG$6)</f>
        <v>36678Theta</v>
      </c>
      <c r="BG180" s="285" t="n">
        <v>41760</v>
      </c>
      <c r="BH180" s="0" t="n">
        <v>0.985</v>
      </c>
      <c r="BJ180" s="285" t="n">
        <v>41760</v>
      </c>
      <c r="BK180" s="0" t="n">
        <v>177</v>
      </c>
    </row>
    <row r="181" customFormat="false" ht="12" hidden="false" customHeight="true" outlineLevel="0" collapsed="false">
      <c r="A181" s="267" t="s">
        <v>198</v>
      </c>
      <c r="B181" s="269" t="s">
        <v>192</v>
      </c>
      <c r="C181" s="269" t="s">
        <v>494</v>
      </c>
      <c r="D181" s="269" t="s">
        <v>137</v>
      </c>
      <c r="E181" s="7" t="s">
        <v>483</v>
      </c>
      <c r="F181" s="269" t="s">
        <v>131</v>
      </c>
      <c r="G181" s="269" t="s">
        <v>136</v>
      </c>
      <c r="H181" s="286" t="n">
        <v>36678</v>
      </c>
      <c r="I181" s="272" t="n">
        <v>-10000</v>
      </c>
      <c r="J181" s="125" t="n">
        <v>0.46</v>
      </c>
      <c r="K181" s="124" t="n">
        <f aca="false">HLOOKUP($D$3,GDPRICES,VLOOKUP(Q181,GDmove_down,2,FALSE()),FALSE())</f>
        <v>5.75</v>
      </c>
      <c r="L181" s="124" t="n">
        <f aca="false">HLOOKUP($E$3,GDPRICES,VLOOKUP(Q181,GDmove_down,2,FALSE()),FALSE())</f>
        <v>3.32</v>
      </c>
      <c r="M181" s="126" t="n">
        <v>1</v>
      </c>
      <c r="N181" s="7" t="n">
        <v>0.515</v>
      </c>
      <c r="O181" s="7" t="n">
        <v>0.515</v>
      </c>
      <c r="P181" s="249" t="e">
        <f aca="false">HLOOKUP(E181,GDcorr,VLOOKUP(H181,GDCorMove,2,FALSE()),FALSE())</f>
        <v>#N/A</v>
      </c>
      <c r="Q181" s="92" t="n">
        <v>36702</v>
      </c>
      <c r="R181" s="7" t="n">
        <f aca="false">IF(G181="P",0,1)</f>
        <v>1</v>
      </c>
      <c r="S181" s="130" t="e">
        <f aca="false">xSPRDOPT($K181,$L181,$J181,$M181,$N181,$O181,$P181,$Q181-$C$3,$R181,0)</f>
        <v>#NAME?</v>
      </c>
      <c r="T181" s="250" t="e">
        <f aca="false">xSPRDOPT($K181,$L181,$J181,$M181,$N181,$O181,$P181,$Q181-$C$3,$R181,1)*I181</f>
        <v>#NAME?</v>
      </c>
      <c r="U181" s="43" t="n">
        <v>-2850</v>
      </c>
      <c r="V181" s="250" t="e">
        <f aca="false">xSPRDOPT($K181,$L181,$J181,$M181,$N181,$O181,$P181,$Q181-$C$3,$R181,2)*I181</f>
        <v>#NAME?</v>
      </c>
      <c r="W181" s="250" t="e">
        <f aca="false">+V181+T181</f>
        <v>#NAME?</v>
      </c>
      <c r="X181" s="2" t="str">
        <f aca="false">CONCATENATE(H181,E181)</f>
        <v>36678IF-ELPO/SJ</v>
      </c>
      <c r="Y181" s="251" t="n">
        <f aca="false">I181/10000</f>
        <v>-1</v>
      </c>
      <c r="AB181" s="182" t="n">
        <f aca="false">H181</f>
        <v>36678</v>
      </c>
      <c r="AC181" s="253" t="e">
        <f aca="false">xSPRDOPT(HLOOKUP($D$3,GDPRICES,VLOOKUP(Q181,GDmove_down,2,FALSE()),FALSE()),HLOOKUP($E$3,GDPRICES,VLOOKUP(Q181,GDmove_down,2,FALSE()),FALSE()),J181,VLOOKUP(H181,NGPREVPRICES,4,FALSE()),HLOOKUP($H$3,GDPrevVols,VLOOKUP(Q181,GDmove_down2,2,FALSE()),FALSE()),HLOOKUP($H$3,GDPrevVols,VLOOKUP(Q181,GDmove_down2,2,FALSE()),FALSE()),HLOOKUP(E181,GDcorr,VLOOKUP(H181,CorMove,2,FALSE()),FALSE()),Q181-$AC$3,R181,$AC$5)*I181-AI181</f>
        <v>#N/A</v>
      </c>
      <c r="AD181" s="253" t="e">
        <f aca="false">xSPRDOPT(HLOOKUP($D$3,GDPrev,VLOOKUP(Q181,GDmove_down,2,FALSE()),FALSE()),HLOOKUP($E$3,GDPrev,VLOOKUP(Q181,GDmove_down,2,FALSE()),FALSE()),AJ181,VLOOKUP(H181,NGPrices,4,FALSE()),HLOOKUP($H$3,GDPrevVols,VLOOKUP(Q181,GDmove_down2,2,FALSE()),FALSE()),HLOOKUP($H$3,GDPrevVols,VLOOKUP(Q181,GDmove_down2,2,FALSE()),FALSE()),HLOOKUP(E181,GDcorr,VLOOKUP(H181,CorMove,2,FALSE()),FALSE()),Q181-$AC$3,R181,$AI$5)*I181-AI181</f>
        <v>#N/A</v>
      </c>
      <c r="AE181" s="132" t="e">
        <f aca="false">(AI181/VLOOKUP(AB181,discount,3,FALSE()))-(AI181/VLOOKUP(AB181,discount,2,FALSE()))</f>
        <v>#N/A</v>
      </c>
      <c r="AF181" s="253" t="e">
        <f aca="false">xSPRDOPT(HLOOKUP($D$3,GDPrev,VLOOKUP(Q181,GDmove_down,2,FALSE()),FALSE()),HLOOKUP($E$3,GDPrev,VLOOKUP(Q181,GDmove_down,2,FALSE()),FALSE()),AJ181,VLOOKUP(H181,NGPREVPRICES,4,FALSE()),HLOOKUP($H$3,GDVol,VLOOKUP(H181,move_down,2,FALSE()),FALSE()),HLOOKUP($H$3,GDVol,VLOOKUP(H181,move_down,2,FALSE()),FALSE()),HLOOKUP(E181,GDcorr,VLOOKUP(H181,CorMove,2,FALSE()),FALSE()),Q181-$AC$3,R181,$AI$5)*I181-AI181</f>
        <v>#N/A</v>
      </c>
      <c r="AG181" s="253" t="e">
        <f aca="false">xSPRDOPT(HLOOKUP($D$3,GDPrev,VLOOKUP(Q181,GDmove_down,2,FALSE()),FALSE()),HLOOKUP($E$3,GDPrev,VLOOKUP(Q181,GDmove_down,2,FALSE()),FALSE()),AJ181,VLOOKUP(H181,NGPREVPRICES,4,FALSE()),HLOOKUP($H$3,GDPrevVols,VLOOKUP(Q181,GDmove_down2,2,FALSE()),FALSE()),HLOOKUP($H$3,GDPrevVols,VLOOKUP(Q181,GDmove_down2,2,FALSE()),FALSE()),HLOOKUP(E181,GDcorr,VLOOKUP(H181,CorMove,2,FALSE()),FALSE()),Q181-$C$3,R181,$AI$5)*I181-AI181</f>
        <v>#N/A</v>
      </c>
      <c r="AH181" s="253" t="e">
        <f aca="false">SUM(AC181:AG181)</f>
        <v>#N/A</v>
      </c>
      <c r="AI181" s="253" t="e">
        <f aca="false">xSPRDOPT(HLOOKUP($D$3,GDPrev,VLOOKUP(Q181,GDmove_down,2,FALSE()),FALSE()),HLOOKUP($E$3,GDPrev,VLOOKUP(Q181,GDmove_down,2,FALSE()),FALSE()),AJ181,VLOOKUP(H181,NGPREVPRICES,4,FALSE()),HLOOKUP($H$3,GDPrevVols,VLOOKUP(Q181,GDmove_down2,2,FALSE()),FALSE()),HLOOKUP($H$3,GDPrevVols,VLOOKUP(Q181,GDmove_down2,2,FALSE()),FALSE()),HLOOKUP(E181,GDcorr,VLOOKUP(H181,CorMove,2,FALSE()),FALSE()),Q181-$AC$3,R181,$AI$5)*I181</f>
        <v>#N/A</v>
      </c>
      <c r="AJ181" s="254" t="e">
        <f aca="false">HLOOKUP(D181,PREVCURVES,VLOOKUP(H181,MOVE_DOWN2,2,FALSE()),FALSE())-HLOOKUP(E181,PREVCURVES,VLOOKUP(H181,MOVE_DOWN2,2,FALSE()),FALSE())</f>
        <v>#N/A</v>
      </c>
      <c r="AK181" s="253"/>
      <c r="AL181" s="0" t="str">
        <f aca="false">CONCATENATE(AB181,$AC$6)</f>
        <v>36678Curve Shift/Gamma</v>
      </c>
      <c r="AM181" s="0" t="str">
        <f aca="false">CONCATENATE($AB181,$AD$6)</f>
        <v>36678Rho</v>
      </c>
      <c r="AN181" s="0" t="str">
        <f aca="false">CONCATENATE($AB181,$AE$6)</f>
        <v>36678Drift</v>
      </c>
      <c r="AO181" s="0" t="str">
        <f aca="false">CONCATENATE($AB181,$AF$6)</f>
        <v>36678Vega</v>
      </c>
      <c r="AP181" s="0" t="str">
        <f aca="false">CONCATENATE($AB181,$AG$6)</f>
        <v>36678Theta</v>
      </c>
      <c r="BG181" s="285" t="n">
        <v>41791</v>
      </c>
      <c r="BH181" s="0" t="n">
        <v>0.985</v>
      </c>
      <c r="BJ181" s="285" t="n">
        <v>41791</v>
      </c>
      <c r="BK181" s="0" t="n">
        <v>178</v>
      </c>
    </row>
    <row r="182" customFormat="false" ht="12" hidden="false" customHeight="true" outlineLevel="0" collapsed="false">
      <c r="A182" s="265" t="s">
        <v>198</v>
      </c>
      <c r="B182" s="269" t="s">
        <v>192</v>
      </c>
      <c r="C182" s="269" t="s">
        <v>488</v>
      </c>
      <c r="D182" s="269" t="s">
        <v>137</v>
      </c>
      <c r="E182" s="7" t="s">
        <v>483</v>
      </c>
      <c r="F182" s="269" t="s">
        <v>131</v>
      </c>
      <c r="G182" s="269" t="s">
        <v>136</v>
      </c>
      <c r="H182" s="286" t="n">
        <v>36678</v>
      </c>
      <c r="I182" s="272" t="n">
        <v>-50000</v>
      </c>
      <c r="J182" s="125" t="n">
        <v>0.46</v>
      </c>
      <c r="K182" s="124" t="n">
        <f aca="false">HLOOKUP($D$3,GDPRICES,VLOOKUP(Q182,GDmove_down,2,FALSE()),FALSE())</f>
        <v>6.475</v>
      </c>
      <c r="L182" s="124" t="n">
        <f aca="false">HLOOKUP($E$3,GDPRICES,VLOOKUP(Q182,GDmove_down,2,FALSE()),FALSE())</f>
        <v>3.195</v>
      </c>
      <c r="M182" s="126" t="n">
        <v>1</v>
      </c>
      <c r="N182" s="7" t="n">
        <v>0.515</v>
      </c>
      <c r="O182" s="7" t="n">
        <v>0.515</v>
      </c>
      <c r="P182" s="249" t="e">
        <f aca="false">HLOOKUP(E182,GDcorr,VLOOKUP(H182,GDCorMove,2,FALSE()),FALSE())</f>
        <v>#N/A</v>
      </c>
      <c r="Q182" s="92" t="n">
        <v>36703</v>
      </c>
      <c r="R182" s="7" t="n">
        <f aca="false">IF(G182="P",0,1)</f>
        <v>1</v>
      </c>
      <c r="S182" s="130" t="e">
        <f aca="false">xSPRDOPT($K182,$L182,$J182,$M182,$N182,$O182,$P182,$Q182-$C$3,$R182,0)</f>
        <v>#NAME?</v>
      </c>
      <c r="T182" s="250" t="e">
        <f aca="false">xSPRDOPT($K182,$L182,$J182,$M182,$N182,$O182,$P182,$Q182-$C$3,$R182,1)*I182</f>
        <v>#NAME?</v>
      </c>
      <c r="U182" s="43" t="n">
        <v>-14250</v>
      </c>
      <c r="V182" s="250" t="e">
        <f aca="false">xSPRDOPT($K182,$L182,$J182,$M182,$N182,$O182,$P182,$Q182-$C$3,$R182,2)*I182</f>
        <v>#NAME?</v>
      </c>
      <c r="W182" s="250" t="e">
        <f aca="false">+V182+T182</f>
        <v>#NAME?</v>
      </c>
      <c r="X182" s="2" t="str">
        <f aca="false">CONCATENATE(H182,E182)</f>
        <v>36678IF-ELPO/SJ</v>
      </c>
      <c r="Y182" s="251" t="n">
        <f aca="false">I182/10000</f>
        <v>-5</v>
      </c>
      <c r="AB182" s="182" t="n">
        <f aca="false">H182</f>
        <v>36678</v>
      </c>
      <c r="AC182" s="253" t="e">
        <f aca="false">xSPRDOPT(HLOOKUP($D$3,GDPRICES,VLOOKUP(Q182,GDmove_down,2,FALSE()),FALSE()),HLOOKUP($E$3,GDPRICES,VLOOKUP(Q182,GDmove_down,2,FALSE()),FALSE()),J182,VLOOKUP(H182,NGPREVPRICES,4,FALSE()),HLOOKUP($H$3,GDPrevVols,VLOOKUP(Q182,GDmove_down2,2,FALSE()),FALSE()),HLOOKUP($H$3,GDPrevVols,VLOOKUP(Q182,GDmove_down2,2,FALSE()),FALSE()),HLOOKUP(E182,GDcorr,VLOOKUP(H182,CorMove,2,FALSE()),FALSE()),Q182-$AC$3,R182,$AC$5)*I182-AI182</f>
        <v>#N/A</v>
      </c>
      <c r="AD182" s="253" t="e">
        <f aca="false">xSPRDOPT(HLOOKUP($D$3,GDPrev,VLOOKUP(Q182,GDmove_down,2,FALSE()),FALSE()),HLOOKUP($E$3,GDPrev,VLOOKUP(Q182,GDmove_down,2,FALSE()),FALSE()),AJ182,VLOOKUP(H182,NGPrices,4,FALSE()),HLOOKUP($H$3,GDPrevVols,VLOOKUP(Q182,GDmove_down2,2,FALSE()),FALSE()),HLOOKUP($H$3,GDPrevVols,VLOOKUP(Q182,GDmove_down2,2,FALSE()),FALSE()),HLOOKUP(E182,GDcorr,VLOOKUP(H182,CorMove,2,FALSE()),FALSE()),Q182-$AC$3,R182,$AI$5)*I182-AI182</f>
        <v>#N/A</v>
      </c>
      <c r="AE182" s="132" t="e">
        <f aca="false">(AI182/VLOOKUP(AB182,discount,3,FALSE()))-(AI182/VLOOKUP(AB182,discount,2,FALSE()))</f>
        <v>#N/A</v>
      </c>
      <c r="AF182" s="253" t="e">
        <f aca="false">xSPRDOPT(HLOOKUP($D$3,GDPrev,VLOOKUP(Q182,GDmove_down,2,FALSE()),FALSE()),HLOOKUP($E$3,GDPrev,VLOOKUP(Q182,GDmove_down,2,FALSE()),FALSE()),AJ182,VLOOKUP(H182,NGPREVPRICES,4,FALSE()),HLOOKUP($H$3,GDVol,VLOOKUP(H182,move_down,2,FALSE()),FALSE()),HLOOKUP($H$3,GDVol,VLOOKUP(H182,move_down,2,FALSE()),FALSE()),HLOOKUP(E182,GDcorr,VLOOKUP(H182,CorMove,2,FALSE()),FALSE()),Q182-$AC$3,R182,$AI$5)*I182-AI182</f>
        <v>#N/A</v>
      </c>
      <c r="AG182" s="253" t="e">
        <f aca="false">xSPRDOPT(HLOOKUP($D$3,GDPrev,VLOOKUP(Q182,GDmove_down,2,FALSE()),FALSE()),HLOOKUP($E$3,GDPrev,VLOOKUP(Q182,GDmove_down,2,FALSE()),FALSE()),AJ182,VLOOKUP(H182,NGPREVPRICES,4,FALSE()),HLOOKUP($H$3,GDPrevVols,VLOOKUP(Q182,GDmove_down2,2,FALSE()),FALSE()),HLOOKUP($H$3,GDPrevVols,VLOOKUP(Q182,GDmove_down2,2,FALSE()),FALSE()),HLOOKUP(E182,GDcorr,VLOOKUP(H182,CorMove,2,FALSE()),FALSE()),Q182-$C$3,R182,$AI$5)*I182-AI182</f>
        <v>#N/A</v>
      </c>
      <c r="AH182" s="253" t="e">
        <f aca="false">SUM(AC182:AG182)</f>
        <v>#N/A</v>
      </c>
      <c r="AI182" s="253" t="e">
        <f aca="false">xSPRDOPT(HLOOKUP($D$3,GDPrev,VLOOKUP(Q182,GDmove_down,2,FALSE()),FALSE()),HLOOKUP($E$3,GDPrev,VLOOKUP(Q182,GDmove_down,2,FALSE()),FALSE()),AJ182,VLOOKUP(H182,NGPREVPRICES,4,FALSE()),HLOOKUP($H$3,GDPrevVols,VLOOKUP(Q182,GDmove_down2,2,FALSE()),FALSE()),HLOOKUP($H$3,GDPrevVols,VLOOKUP(Q182,GDmove_down2,2,FALSE()),FALSE()),HLOOKUP(E182,GDcorr,VLOOKUP(H182,CorMove,2,FALSE()),FALSE()),Q182-$AC$3,R182,$AI$5)*I182</f>
        <v>#N/A</v>
      </c>
      <c r="AJ182" s="254" t="e">
        <f aca="false">HLOOKUP(D182,PREVCURVES,VLOOKUP(H182,MOVE_DOWN2,2,FALSE()),FALSE())-HLOOKUP(E182,PREVCURVES,VLOOKUP(H182,MOVE_DOWN2,2,FALSE()),FALSE())</f>
        <v>#N/A</v>
      </c>
      <c r="AK182" s="253"/>
      <c r="AL182" s="0" t="str">
        <f aca="false">CONCATENATE(AB182,$AC$6)</f>
        <v>36678Curve Shift/Gamma</v>
      </c>
      <c r="AM182" s="0" t="str">
        <f aca="false">CONCATENATE($AB182,$AD$6)</f>
        <v>36678Rho</v>
      </c>
      <c r="AN182" s="0" t="str">
        <f aca="false">CONCATENATE($AB182,$AE$6)</f>
        <v>36678Drift</v>
      </c>
      <c r="AO182" s="0" t="str">
        <f aca="false">CONCATENATE($AB182,$AF$6)</f>
        <v>36678Vega</v>
      </c>
      <c r="AP182" s="0" t="str">
        <f aca="false">CONCATENATE($AB182,$AG$6)</f>
        <v>36678Theta</v>
      </c>
      <c r="BG182" s="285" t="n">
        <v>41821</v>
      </c>
      <c r="BH182" s="0" t="n">
        <v>0.985</v>
      </c>
      <c r="BJ182" s="285" t="n">
        <v>41821</v>
      </c>
      <c r="BK182" s="0" t="n">
        <v>179</v>
      </c>
    </row>
    <row r="183" customFormat="false" ht="12" hidden="false" customHeight="true" outlineLevel="0" collapsed="false">
      <c r="A183" s="265" t="s">
        <v>198</v>
      </c>
      <c r="B183" s="269" t="s">
        <v>192</v>
      </c>
      <c r="C183" s="269" t="s">
        <v>489</v>
      </c>
      <c r="D183" s="269" t="s">
        <v>137</v>
      </c>
      <c r="E183" s="7" t="s">
        <v>483</v>
      </c>
      <c r="F183" s="269" t="s">
        <v>131</v>
      </c>
      <c r="G183" s="269" t="s">
        <v>136</v>
      </c>
      <c r="H183" s="286" t="n">
        <v>36678</v>
      </c>
      <c r="I183" s="272" t="n">
        <v>10000</v>
      </c>
      <c r="J183" s="125" t="n">
        <v>0.46</v>
      </c>
      <c r="K183" s="124" t="n">
        <f aca="false">HLOOKUP($D$3,GDPRICES,VLOOKUP(Q183,GDmove_down,2,FALSE()),FALSE())</f>
        <v>6.475</v>
      </c>
      <c r="L183" s="124" t="n">
        <f aca="false">HLOOKUP($E$3,GDPRICES,VLOOKUP(Q183,GDmove_down,2,FALSE()),FALSE())</f>
        <v>3.195</v>
      </c>
      <c r="M183" s="126" t="n">
        <v>1</v>
      </c>
      <c r="N183" s="7" t="n">
        <v>0.515</v>
      </c>
      <c r="O183" s="7" t="n">
        <v>0.515</v>
      </c>
      <c r="P183" s="249" t="e">
        <f aca="false">HLOOKUP(E183,GDcorr,VLOOKUP(H183,GDCorMove,2,FALSE()),FALSE())</f>
        <v>#N/A</v>
      </c>
      <c r="Q183" s="92" t="n">
        <v>36703</v>
      </c>
      <c r="R183" s="7" t="n">
        <f aca="false">IF(G183="P",0,1)</f>
        <v>1</v>
      </c>
      <c r="S183" s="130" t="e">
        <f aca="false">xSPRDOPT($K183,$L183,$J183,$M183,$N183,$O183,$P183,$Q183-$C$3,$R183,0)</f>
        <v>#NAME?</v>
      </c>
      <c r="T183" s="250" t="e">
        <f aca="false">xSPRDOPT($K183,$L183,$J183,$M183,$N183,$O183,$P183,$Q183-$C$3,$R183,1)*I183</f>
        <v>#NAME?</v>
      </c>
      <c r="U183" s="43" t="n">
        <v>2850</v>
      </c>
      <c r="V183" s="250" t="e">
        <f aca="false">xSPRDOPT($K183,$L183,$J183,$M183,$N183,$O183,$P183,$Q183-$C$3,$R183,2)*I183</f>
        <v>#NAME?</v>
      </c>
      <c r="W183" s="250" t="e">
        <f aca="false">+V183+T183</f>
        <v>#NAME?</v>
      </c>
      <c r="X183" s="2" t="str">
        <f aca="false">CONCATENATE(H183,E183)</f>
        <v>36678IF-ELPO/SJ</v>
      </c>
      <c r="Y183" s="251" t="n">
        <f aca="false">I183/10000</f>
        <v>1</v>
      </c>
      <c r="AB183" s="182" t="n">
        <f aca="false">H183</f>
        <v>36678</v>
      </c>
      <c r="AC183" s="253" t="e">
        <f aca="false">xSPRDOPT(HLOOKUP($D$3,GDPRICES,VLOOKUP(Q183,GDmove_down,2,FALSE()),FALSE()),HLOOKUP($E$3,GDPRICES,VLOOKUP(Q183,GDmove_down,2,FALSE()),FALSE()),J183,VLOOKUP(H183,NGPREVPRICES,4,FALSE()),HLOOKUP($H$3,GDPrevVols,VLOOKUP(Q183,GDmove_down2,2,FALSE()),FALSE()),HLOOKUP($H$3,GDPrevVols,VLOOKUP(Q183,GDmove_down2,2,FALSE()),FALSE()),HLOOKUP(E183,GDcorr,VLOOKUP(H183,CorMove,2,FALSE()),FALSE()),Q183-$AC$3,R183,$AC$5)*I183-AI183</f>
        <v>#N/A</v>
      </c>
      <c r="AD183" s="253" t="e">
        <f aca="false">xSPRDOPT(HLOOKUP($D$3,GDPrev,VLOOKUP(Q183,GDmove_down,2,FALSE()),FALSE()),HLOOKUP($E$3,GDPrev,VLOOKUP(Q183,GDmove_down,2,FALSE()),FALSE()),AJ183,VLOOKUP(H183,NGPrices,4,FALSE()),HLOOKUP($H$3,GDPrevVols,VLOOKUP(Q183,GDmove_down2,2,FALSE()),FALSE()),HLOOKUP($H$3,GDPrevVols,VLOOKUP(Q183,GDmove_down2,2,FALSE()),FALSE()),HLOOKUP(E183,GDcorr,VLOOKUP(H183,CorMove,2,FALSE()),FALSE()),Q183-$AC$3,R183,$AI$5)*I183-AI183</f>
        <v>#N/A</v>
      </c>
      <c r="AE183" s="132" t="e">
        <f aca="false">(AI183/VLOOKUP(AB183,discount,3,FALSE()))-(AI183/VLOOKUP(AB183,discount,2,FALSE()))</f>
        <v>#N/A</v>
      </c>
      <c r="AF183" s="253" t="e">
        <f aca="false">xSPRDOPT(HLOOKUP($D$3,GDPrev,VLOOKUP(Q183,GDmove_down,2,FALSE()),FALSE()),HLOOKUP($E$3,GDPrev,VLOOKUP(Q183,GDmove_down,2,FALSE()),FALSE()),AJ183,VLOOKUP(H183,NGPREVPRICES,4,FALSE()),HLOOKUP($H$3,GDVol,VLOOKUP(H183,move_down,2,FALSE()),FALSE()),HLOOKUP($H$3,GDVol,VLOOKUP(H183,move_down,2,FALSE()),FALSE()),HLOOKUP(E183,GDcorr,VLOOKUP(H183,CorMove,2,FALSE()),FALSE()),Q183-$AC$3,R183,$AI$5)*I183-AI183</f>
        <v>#N/A</v>
      </c>
      <c r="AG183" s="253" t="e">
        <f aca="false">xSPRDOPT(HLOOKUP($D$3,GDPrev,VLOOKUP(Q183,GDmove_down,2,FALSE()),FALSE()),HLOOKUP($E$3,GDPrev,VLOOKUP(Q183,GDmove_down,2,FALSE()),FALSE()),AJ183,VLOOKUP(H183,NGPREVPRICES,4,FALSE()),HLOOKUP($H$3,GDPrevVols,VLOOKUP(Q183,GDmove_down2,2,FALSE()),FALSE()),HLOOKUP($H$3,GDPrevVols,VLOOKUP(Q183,GDmove_down2,2,FALSE()),FALSE()),HLOOKUP(E183,GDcorr,VLOOKUP(H183,CorMove,2,FALSE()),FALSE()),Q183-$C$3,R183,$AI$5)*I183-AI183</f>
        <v>#N/A</v>
      </c>
      <c r="AH183" s="253" t="e">
        <f aca="false">SUM(AC183:AG183)</f>
        <v>#N/A</v>
      </c>
      <c r="AI183" s="253" t="e">
        <f aca="false">xSPRDOPT(HLOOKUP($D$3,GDPrev,VLOOKUP(Q183,GDmove_down,2,FALSE()),FALSE()),HLOOKUP($E$3,GDPrev,VLOOKUP(Q183,GDmove_down,2,FALSE()),FALSE()),AJ183,VLOOKUP(H183,NGPREVPRICES,4,FALSE()),HLOOKUP($H$3,GDPrevVols,VLOOKUP(Q183,GDmove_down2,2,FALSE()),FALSE()),HLOOKUP($H$3,GDPrevVols,VLOOKUP(Q183,GDmove_down2,2,FALSE()),FALSE()),HLOOKUP(E183,GDcorr,VLOOKUP(H183,CorMove,2,FALSE()),FALSE()),Q183-$AC$3,R183,$AI$5)*I183</f>
        <v>#N/A</v>
      </c>
      <c r="AJ183" s="254" t="e">
        <f aca="false">HLOOKUP(D183,PREVCURVES,VLOOKUP(H183,MOVE_DOWN2,2,FALSE()),FALSE())-HLOOKUP(E183,PREVCURVES,VLOOKUP(H183,MOVE_DOWN2,2,FALSE()),FALSE())</f>
        <v>#N/A</v>
      </c>
      <c r="AK183" s="253"/>
      <c r="AL183" s="0" t="str">
        <f aca="false">CONCATENATE(AB183,$AC$6)</f>
        <v>36678Curve Shift/Gamma</v>
      </c>
      <c r="AM183" s="0" t="str">
        <f aca="false">CONCATENATE($AB183,$AD$6)</f>
        <v>36678Rho</v>
      </c>
      <c r="AN183" s="0" t="str">
        <f aca="false">CONCATENATE($AB183,$AE$6)</f>
        <v>36678Drift</v>
      </c>
      <c r="AO183" s="0" t="str">
        <f aca="false">CONCATENATE($AB183,$AF$6)</f>
        <v>36678Vega</v>
      </c>
      <c r="AP183" s="0" t="str">
        <f aca="false">CONCATENATE($AB183,$AG$6)</f>
        <v>36678Theta</v>
      </c>
      <c r="BG183" s="285" t="n">
        <v>41852</v>
      </c>
      <c r="BH183" s="0" t="n">
        <v>0.985</v>
      </c>
      <c r="BJ183" s="285" t="n">
        <v>41852</v>
      </c>
      <c r="BK183" s="0" t="n">
        <v>180</v>
      </c>
    </row>
    <row r="184" customFormat="false" ht="12" hidden="false" customHeight="true" outlineLevel="0" collapsed="false">
      <c r="A184" s="265" t="s">
        <v>198</v>
      </c>
      <c r="B184" s="269" t="s">
        <v>192</v>
      </c>
      <c r="C184" s="269" t="s">
        <v>490</v>
      </c>
      <c r="D184" s="269" t="s">
        <v>137</v>
      </c>
      <c r="E184" s="7" t="s">
        <v>483</v>
      </c>
      <c r="F184" s="269" t="s">
        <v>131</v>
      </c>
      <c r="G184" s="269" t="s">
        <v>136</v>
      </c>
      <c r="H184" s="286" t="n">
        <v>36678</v>
      </c>
      <c r="I184" s="272" t="n">
        <v>-333333</v>
      </c>
      <c r="J184" s="125" t="n">
        <v>0.46</v>
      </c>
      <c r="K184" s="124" t="n">
        <f aca="false">HLOOKUP($D$3,GDPRICES,VLOOKUP(Q184,GDmove_down,2,FALSE()),FALSE())</f>
        <v>6.475</v>
      </c>
      <c r="L184" s="124" t="n">
        <f aca="false">HLOOKUP($E$3,GDPRICES,VLOOKUP(Q184,GDmove_down,2,FALSE()),FALSE())</f>
        <v>3.195</v>
      </c>
      <c r="M184" s="126" t="n">
        <v>1</v>
      </c>
      <c r="N184" s="7" t="n">
        <v>0.515</v>
      </c>
      <c r="O184" s="7" t="n">
        <v>0.515</v>
      </c>
      <c r="P184" s="249" t="e">
        <f aca="false">HLOOKUP(E184,GDcorr,VLOOKUP(H184,GDCorMove,2,FALSE()),FALSE())</f>
        <v>#N/A</v>
      </c>
      <c r="Q184" s="92" t="n">
        <v>36703</v>
      </c>
      <c r="R184" s="7" t="n">
        <f aca="false">IF(G184="P",0,1)</f>
        <v>1</v>
      </c>
      <c r="S184" s="130" t="e">
        <f aca="false">xSPRDOPT($K184,$L184,$J184,$M184,$N184,$O184,$P184,$Q184-$C$3,$R184,0)</f>
        <v>#NAME?</v>
      </c>
      <c r="T184" s="250" t="e">
        <f aca="false">xSPRDOPT($K184,$L184,$J184,$M184,$N184,$O184,$P184,$Q184-$C$3,$R184,1)*I184</f>
        <v>#NAME?</v>
      </c>
      <c r="U184" s="43" t="n">
        <v>-94999.9049999999</v>
      </c>
      <c r="V184" s="250" t="e">
        <f aca="false">xSPRDOPT($K184,$L184,$J184,$M184,$N184,$O184,$P184,$Q184-$C$3,$R184,2)*I184</f>
        <v>#NAME?</v>
      </c>
      <c r="W184" s="250" t="e">
        <f aca="false">+V184+T184</f>
        <v>#NAME?</v>
      </c>
      <c r="X184" s="2" t="str">
        <f aca="false">CONCATENATE(H184,E184)</f>
        <v>36678IF-ELPO/SJ</v>
      </c>
      <c r="Y184" s="251" t="n">
        <f aca="false">I184/10000</f>
        <v>-33.3333</v>
      </c>
      <c r="Z184" s="2"/>
      <c r="AB184" s="182" t="n">
        <f aca="false">H184</f>
        <v>36678</v>
      </c>
      <c r="AC184" s="253" t="e">
        <f aca="false">xSPRDOPT(HLOOKUP($D$3,GDPRICES,VLOOKUP(Q184,GDmove_down,2,FALSE()),FALSE()),HLOOKUP($E$3,GDPRICES,VLOOKUP(Q184,GDmove_down,2,FALSE()),FALSE()),J184,VLOOKUP(H184,NGPREVPRICES,4,FALSE()),HLOOKUP($H$3,GDPrevVols,VLOOKUP(Q184,GDmove_down2,2,FALSE()),FALSE()),HLOOKUP($H$3,GDPrevVols,VLOOKUP(Q184,GDmove_down2,2,FALSE()),FALSE()),HLOOKUP(E184,GDcorr,VLOOKUP(H184,CorMove,2,FALSE()),FALSE()),Q184-$AC$3,R184,$AC$5)*I184-AI184</f>
        <v>#N/A</v>
      </c>
      <c r="AD184" s="253" t="e">
        <f aca="false">xSPRDOPT(HLOOKUP($D$3,GDPrev,VLOOKUP(Q184,GDmove_down,2,FALSE()),FALSE()),HLOOKUP($E$3,GDPrev,VLOOKUP(Q184,GDmove_down,2,FALSE()),FALSE()),AJ184,VLOOKUP(H184,NGPrices,4,FALSE()),HLOOKUP($H$3,GDPrevVols,VLOOKUP(Q184,GDmove_down2,2,FALSE()),FALSE()),HLOOKUP($H$3,GDPrevVols,VLOOKUP(Q184,GDmove_down2,2,FALSE()),FALSE()),HLOOKUP(E184,GDcorr,VLOOKUP(H184,CorMove,2,FALSE()),FALSE()),Q184-$AC$3,R184,$AI$5)*I184-AI184</f>
        <v>#N/A</v>
      </c>
      <c r="AE184" s="132" t="e">
        <f aca="false">(AI184/VLOOKUP(AB184,discount,3,FALSE()))-(AI184/VLOOKUP(AB184,discount,2,FALSE()))</f>
        <v>#N/A</v>
      </c>
      <c r="AF184" s="253" t="e">
        <f aca="false">xSPRDOPT(HLOOKUP($D$3,GDPrev,VLOOKUP(Q184,GDmove_down,2,FALSE()),FALSE()),HLOOKUP($E$3,GDPrev,VLOOKUP(Q184,GDmove_down,2,FALSE()),FALSE()),AJ184,VLOOKUP(H184,NGPREVPRICES,4,FALSE()),HLOOKUP($H$3,GDVol,VLOOKUP(H184,move_down,2,FALSE()),FALSE()),HLOOKUP($H$3,GDVol,VLOOKUP(H184,move_down,2,FALSE()),FALSE()),HLOOKUP(E184,GDcorr,VLOOKUP(H184,CorMove,2,FALSE()),FALSE()),Q184-$AC$3,R184,$AI$5)*I184-AI184</f>
        <v>#N/A</v>
      </c>
      <c r="AG184" s="253" t="e">
        <f aca="false">xSPRDOPT(HLOOKUP($D$3,GDPrev,VLOOKUP(Q184,GDmove_down,2,FALSE()),FALSE()),HLOOKUP($E$3,GDPrev,VLOOKUP(Q184,GDmove_down,2,FALSE()),FALSE()),AJ184,VLOOKUP(H184,NGPREVPRICES,4,FALSE()),HLOOKUP($H$3,GDPrevVols,VLOOKUP(Q184,GDmove_down2,2,FALSE()),FALSE()),HLOOKUP($H$3,GDPrevVols,VLOOKUP(Q184,GDmove_down2,2,FALSE()),FALSE()),HLOOKUP(E184,GDcorr,VLOOKUP(H184,CorMove,2,FALSE()),FALSE()),Q184-$C$3,R184,$AI$5)*I184-AI184</f>
        <v>#N/A</v>
      </c>
      <c r="AH184" s="253" t="e">
        <f aca="false">SUM(AC184:AG184)</f>
        <v>#N/A</v>
      </c>
      <c r="AI184" s="253" t="e">
        <f aca="false">xSPRDOPT(HLOOKUP($D$3,GDPrev,VLOOKUP(Q184,GDmove_down,2,FALSE()),FALSE()),HLOOKUP($E$3,GDPrev,VLOOKUP(Q184,GDmove_down,2,FALSE()),FALSE()),AJ184,VLOOKUP(H184,NGPREVPRICES,4,FALSE()),HLOOKUP($H$3,GDPrevVols,VLOOKUP(Q184,GDmove_down2,2,FALSE()),FALSE()),HLOOKUP($H$3,GDPrevVols,VLOOKUP(Q184,GDmove_down2,2,FALSE()),FALSE()),HLOOKUP(E184,GDcorr,VLOOKUP(H184,CorMove,2,FALSE()),FALSE()),Q184-$AC$3,R184,$AI$5)*I184</f>
        <v>#N/A</v>
      </c>
      <c r="AJ184" s="254" t="e">
        <f aca="false">HLOOKUP(D184,PREVCURVES,VLOOKUP(H184,MOVE_DOWN2,2,FALSE()),FALSE())-HLOOKUP(E184,PREVCURVES,VLOOKUP(H184,MOVE_DOWN2,2,FALSE()),FALSE())</f>
        <v>#N/A</v>
      </c>
      <c r="AK184" s="253"/>
      <c r="AL184" s="0" t="str">
        <f aca="false">CONCATENATE(AB184,$AC$6)</f>
        <v>36678Curve Shift/Gamma</v>
      </c>
      <c r="AM184" s="0" t="str">
        <f aca="false">CONCATENATE($AB184,$AD$6)</f>
        <v>36678Rho</v>
      </c>
      <c r="AN184" s="0" t="str">
        <f aca="false">CONCATENATE($AB184,$AE$6)</f>
        <v>36678Drift</v>
      </c>
      <c r="AO184" s="0" t="str">
        <f aca="false">CONCATENATE($AB184,$AF$6)</f>
        <v>36678Vega</v>
      </c>
      <c r="AP184" s="0" t="str">
        <f aca="false">CONCATENATE($AB184,$AG$6)</f>
        <v>36678Theta</v>
      </c>
      <c r="BG184" s="285" t="n">
        <v>41883</v>
      </c>
      <c r="BH184" s="0" t="n">
        <v>0.985</v>
      </c>
      <c r="BJ184" s="285" t="n">
        <v>41883</v>
      </c>
      <c r="BK184" s="0" t="n">
        <v>181</v>
      </c>
    </row>
    <row r="185" customFormat="false" ht="12" hidden="false" customHeight="true" outlineLevel="0" collapsed="false">
      <c r="A185" s="267" t="s">
        <v>196</v>
      </c>
      <c r="B185" s="269" t="s">
        <v>192</v>
      </c>
      <c r="C185" s="269" t="s">
        <v>491</v>
      </c>
      <c r="D185" s="269" t="s">
        <v>137</v>
      </c>
      <c r="E185" s="7" t="s">
        <v>483</v>
      </c>
      <c r="F185" s="269" t="s">
        <v>131</v>
      </c>
      <c r="G185" s="269" t="s">
        <v>136</v>
      </c>
      <c r="H185" s="286" t="n">
        <v>36678</v>
      </c>
      <c r="I185" s="272" t="n">
        <v>-10000</v>
      </c>
      <c r="J185" s="125" t="n">
        <v>0.46</v>
      </c>
      <c r="K185" s="124" t="n">
        <f aca="false">HLOOKUP($D$3,GDPRICES,VLOOKUP(Q185,GDmove_down,2,FALSE()),FALSE())</f>
        <v>6.475</v>
      </c>
      <c r="L185" s="124" t="n">
        <f aca="false">HLOOKUP($E$3,GDPRICES,VLOOKUP(Q185,GDmove_down,2,FALSE()),FALSE())</f>
        <v>3.195</v>
      </c>
      <c r="M185" s="126" t="n">
        <v>1</v>
      </c>
      <c r="N185" s="7" t="n">
        <v>0.515</v>
      </c>
      <c r="O185" s="7" t="n">
        <v>0.515</v>
      </c>
      <c r="P185" s="249" t="e">
        <f aca="false">HLOOKUP(E185,GDcorr,VLOOKUP(H185,GDCorMove,2,FALSE()),FALSE())</f>
        <v>#N/A</v>
      </c>
      <c r="Q185" s="92" t="n">
        <v>36703</v>
      </c>
      <c r="R185" s="7" t="n">
        <f aca="false">IF(G185="P",0,1)</f>
        <v>1</v>
      </c>
      <c r="S185" s="130" t="e">
        <f aca="false">xSPRDOPT($K185,$L185,$J185,$M185,$N185,$O185,$P185,$Q185-$C$3,$R185,0)</f>
        <v>#NAME?</v>
      </c>
      <c r="T185" s="250" t="e">
        <f aca="false">xSPRDOPT($K185,$L185,$J185,$M185,$N185,$O185,$P185,$Q185-$C$3,$R185,1)*I185</f>
        <v>#NAME?</v>
      </c>
      <c r="U185" s="43" t="n">
        <v>-2850</v>
      </c>
      <c r="V185" s="250" t="e">
        <f aca="false">xSPRDOPT($K185,$L185,$J185,$M185,$N185,$O185,$P185,$Q185-$C$3,$R185,2)*I185</f>
        <v>#NAME?</v>
      </c>
      <c r="W185" s="250" t="e">
        <f aca="false">+V185+T185</f>
        <v>#NAME?</v>
      </c>
      <c r="X185" s="2" t="str">
        <f aca="false">CONCATENATE(H185,E185)</f>
        <v>36678IF-ELPO/SJ</v>
      </c>
      <c r="Y185" s="251" t="n">
        <f aca="false">I185/10000</f>
        <v>-1</v>
      </c>
      <c r="Z185" s="2"/>
      <c r="AB185" s="182" t="n">
        <f aca="false">H185</f>
        <v>36678</v>
      </c>
      <c r="AC185" s="253" t="e">
        <f aca="false">xSPRDOPT(HLOOKUP($D$3,GDPRICES,VLOOKUP(Q185,GDmove_down,2,FALSE()),FALSE()),HLOOKUP($E$3,GDPRICES,VLOOKUP(Q185,GDmove_down,2,FALSE()),FALSE()),J185,VLOOKUP(H185,NGPREVPRICES,4,FALSE()),HLOOKUP($H$3,GDPrevVols,VLOOKUP(Q185,GDmove_down2,2,FALSE()),FALSE()),HLOOKUP($H$3,GDPrevVols,VLOOKUP(Q185,GDmove_down2,2,FALSE()),FALSE()),HLOOKUP(E185,GDcorr,VLOOKUP(H185,CorMove,2,FALSE()),FALSE()),Q185-$AC$3,R185,$AC$5)*I185-AI185</f>
        <v>#N/A</v>
      </c>
      <c r="AD185" s="253" t="e">
        <f aca="false">xSPRDOPT(HLOOKUP($D$3,GDPrev,VLOOKUP(Q185,GDmove_down,2,FALSE()),FALSE()),HLOOKUP($E$3,GDPrev,VLOOKUP(Q185,GDmove_down,2,FALSE()),FALSE()),AJ185,VLOOKUP(H185,NGPrices,4,FALSE()),HLOOKUP($H$3,GDPrevVols,VLOOKUP(Q185,GDmove_down2,2,FALSE()),FALSE()),HLOOKUP($H$3,GDPrevVols,VLOOKUP(Q185,GDmove_down2,2,FALSE()),FALSE()),HLOOKUP(E185,GDcorr,VLOOKUP(H185,CorMove,2,FALSE()),FALSE()),Q185-$AC$3,R185,$AI$5)*I185-AI185</f>
        <v>#N/A</v>
      </c>
      <c r="AE185" s="132" t="e">
        <f aca="false">(AI185/VLOOKUP(AB185,discount,3,FALSE()))-(AI185/VLOOKUP(AB185,discount,2,FALSE()))</f>
        <v>#N/A</v>
      </c>
      <c r="AF185" s="253" t="e">
        <f aca="false">xSPRDOPT(HLOOKUP($D$3,GDPrev,VLOOKUP(Q185,GDmove_down,2,FALSE()),FALSE()),HLOOKUP($E$3,GDPrev,VLOOKUP(Q185,GDmove_down,2,FALSE()),FALSE()),AJ185,VLOOKUP(H185,NGPREVPRICES,4,FALSE()),HLOOKUP($H$3,GDVol,VLOOKUP(H185,move_down,2,FALSE()),FALSE()),HLOOKUP($H$3,GDVol,VLOOKUP(H185,move_down,2,FALSE()),FALSE()),HLOOKUP(E185,GDcorr,VLOOKUP(H185,CorMove,2,FALSE()),FALSE()),Q185-$AC$3,R185,$AI$5)*I185-AI185</f>
        <v>#N/A</v>
      </c>
      <c r="AG185" s="253" t="e">
        <f aca="false">xSPRDOPT(HLOOKUP($D$3,GDPrev,VLOOKUP(Q185,GDmove_down,2,FALSE()),FALSE()),HLOOKUP($E$3,GDPrev,VLOOKUP(Q185,GDmove_down,2,FALSE()),FALSE()),AJ185,VLOOKUP(H185,NGPREVPRICES,4,FALSE()),HLOOKUP($H$3,GDPrevVols,VLOOKUP(Q185,GDmove_down2,2,FALSE()),FALSE()),HLOOKUP($H$3,GDPrevVols,VLOOKUP(Q185,GDmove_down2,2,FALSE()),FALSE()),HLOOKUP(E185,GDcorr,VLOOKUP(H185,CorMove,2,FALSE()),FALSE()),Q185-$C$3,R185,$AI$5)*I185-AI185</f>
        <v>#N/A</v>
      </c>
      <c r="AH185" s="253" t="e">
        <f aca="false">SUM(AC185:AG185)</f>
        <v>#N/A</v>
      </c>
      <c r="AI185" s="253" t="e">
        <f aca="false">xSPRDOPT(HLOOKUP($D$3,GDPrev,VLOOKUP(Q185,GDmove_down,2,FALSE()),FALSE()),HLOOKUP($E$3,GDPrev,VLOOKUP(Q185,GDmove_down,2,FALSE()),FALSE()),AJ185,VLOOKUP(H185,NGPREVPRICES,4,FALSE()),HLOOKUP($H$3,GDPrevVols,VLOOKUP(Q185,GDmove_down2,2,FALSE()),FALSE()),HLOOKUP($H$3,GDPrevVols,VLOOKUP(Q185,GDmove_down2,2,FALSE()),FALSE()),HLOOKUP(E185,GDcorr,VLOOKUP(H185,CorMove,2,FALSE()),FALSE()),Q185-$AC$3,R185,$AI$5)*I185</f>
        <v>#N/A</v>
      </c>
      <c r="AJ185" s="254" t="e">
        <f aca="false">HLOOKUP(D185,PREVCURVES,VLOOKUP(H185,MOVE_DOWN2,2,FALSE()),FALSE())-HLOOKUP(E185,PREVCURVES,VLOOKUP(H185,MOVE_DOWN2,2,FALSE()),FALSE())</f>
        <v>#N/A</v>
      </c>
      <c r="AK185" s="253"/>
      <c r="AL185" s="0" t="str">
        <f aca="false">CONCATENATE(AB185,$AC$6)</f>
        <v>36678Curve Shift/Gamma</v>
      </c>
      <c r="AM185" s="0" t="str">
        <f aca="false">CONCATENATE($AB185,$AD$6)</f>
        <v>36678Rho</v>
      </c>
      <c r="AN185" s="0" t="str">
        <f aca="false">CONCATENATE($AB185,$AE$6)</f>
        <v>36678Drift</v>
      </c>
      <c r="AO185" s="0" t="str">
        <f aca="false">CONCATENATE($AB185,$AF$6)</f>
        <v>36678Vega</v>
      </c>
      <c r="AP185" s="0" t="str">
        <f aca="false">CONCATENATE($AB185,$AG$6)</f>
        <v>36678Theta</v>
      </c>
      <c r="BG185" s="285" t="n">
        <v>41913</v>
      </c>
      <c r="BH185" s="0" t="n">
        <v>0.985</v>
      </c>
      <c r="BJ185" s="285" t="n">
        <v>41913</v>
      </c>
      <c r="BK185" s="0" t="n">
        <v>182</v>
      </c>
    </row>
    <row r="186" customFormat="false" ht="12" hidden="false" customHeight="true" outlineLevel="0" collapsed="false">
      <c r="A186" s="267" t="s">
        <v>198</v>
      </c>
      <c r="B186" s="269" t="s">
        <v>192</v>
      </c>
      <c r="C186" s="269" t="s">
        <v>492</v>
      </c>
      <c r="D186" s="269" t="s">
        <v>137</v>
      </c>
      <c r="E186" s="7" t="s">
        <v>483</v>
      </c>
      <c r="F186" s="269" t="s">
        <v>131</v>
      </c>
      <c r="G186" s="269" t="s">
        <v>136</v>
      </c>
      <c r="H186" s="286" t="n">
        <v>36678</v>
      </c>
      <c r="I186" s="272" t="n">
        <v>50000</v>
      </c>
      <c r="J186" s="125" t="n">
        <v>0.46</v>
      </c>
      <c r="K186" s="124" t="n">
        <f aca="false">HLOOKUP($D$3,GDPRICES,VLOOKUP(Q186,GDmove_down,2,FALSE()),FALSE())</f>
        <v>6.475</v>
      </c>
      <c r="L186" s="124" t="n">
        <f aca="false">HLOOKUP($E$3,GDPRICES,VLOOKUP(Q186,GDmove_down,2,FALSE()),FALSE())</f>
        <v>3.195</v>
      </c>
      <c r="M186" s="126" t="n">
        <v>1</v>
      </c>
      <c r="N186" s="7" t="n">
        <v>0.515</v>
      </c>
      <c r="O186" s="7" t="n">
        <v>0.515</v>
      </c>
      <c r="P186" s="249" t="e">
        <f aca="false">HLOOKUP(E186,GDcorr,VLOOKUP(H186,GDCorMove,2,FALSE()),FALSE())</f>
        <v>#N/A</v>
      </c>
      <c r="Q186" s="92" t="n">
        <v>36703</v>
      </c>
      <c r="R186" s="7" t="n">
        <f aca="false">IF(G186="P",0,1)</f>
        <v>1</v>
      </c>
      <c r="S186" s="130" t="e">
        <f aca="false">xSPRDOPT($K186,$L186,$J186,$M186,$N186,$O186,$P186,$Q186-$C$3,$R186,0)</f>
        <v>#NAME?</v>
      </c>
      <c r="T186" s="250" t="e">
        <f aca="false">xSPRDOPT($K186,$L186,$J186,$M186,$N186,$O186,$P186,$Q186-$C$3,$R186,1)*I186</f>
        <v>#NAME?</v>
      </c>
      <c r="U186" s="43" t="n">
        <v>14250</v>
      </c>
      <c r="V186" s="250" t="e">
        <f aca="false">xSPRDOPT($K186,$L186,$J186,$M186,$N186,$O186,$P186,$Q186-$C$3,$R186,2)*I186</f>
        <v>#NAME?</v>
      </c>
      <c r="W186" s="250" t="e">
        <f aca="false">+V186+T186</f>
        <v>#NAME?</v>
      </c>
      <c r="X186" s="2" t="str">
        <f aca="false">CONCATENATE(H186,E186)</f>
        <v>36678IF-ELPO/SJ</v>
      </c>
      <c r="Y186" s="251" t="n">
        <f aca="false">I186/10000</f>
        <v>5</v>
      </c>
      <c r="Z186" s="2"/>
      <c r="AB186" s="182" t="n">
        <f aca="false">H186</f>
        <v>36678</v>
      </c>
      <c r="AC186" s="253" t="e">
        <f aca="false">xSPRDOPT(HLOOKUP($D$3,GDPRICES,VLOOKUP(Q186,GDmove_down,2,FALSE()),FALSE()),HLOOKUP($E$3,GDPRICES,VLOOKUP(Q186,GDmove_down,2,FALSE()),FALSE()),J186,VLOOKUP(H186,NGPREVPRICES,4,FALSE()),HLOOKUP($H$3,GDPrevVols,VLOOKUP(Q186,GDmove_down2,2,FALSE()),FALSE()),HLOOKUP($H$3,GDPrevVols,VLOOKUP(Q186,GDmove_down2,2,FALSE()),FALSE()),HLOOKUP(E186,GDcorr,VLOOKUP(H186,CorMove,2,FALSE()),FALSE()),Q186-$AC$3,R186,$AC$5)*I186-AI186</f>
        <v>#N/A</v>
      </c>
      <c r="AD186" s="253" t="e">
        <f aca="false">xSPRDOPT(HLOOKUP($D$3,GDPrev,VLOOKUP(Q186,GDmove_down,2,FALSE()),FALSE()),HLOOKUP($E$3,GDPrev,VLOOKUP(Q186,GDmove_down,2,FALSE()),FALSE()),AJ186,VLOOKUP(H186,NGPrices,4,FALSE()),HLOOKUP($H$3,GDPrevVols,VLOOKUP(Q186,GDmove_down2,2,FALSE()),FALSE()),HLOOKUP($H$3,GDPrevVols,VLOOKUP(Q186,GDmove_down2,2,FALSE()),FALSE()),HLOOKUP(E186,GDcorr,VLOOKUP(H186,CorMove,2,FALSE()),FALSE()),Q186-$AC$3,R186,$AI$5)*I186-AI186</f>
        <v>#N/A</v>
      </c>
      <c r="AE186" s="132" t="e">
        <f aca="false">(AI186/VLOOKUP(AB186,discount,3,FALSE()))-(AI186/VLOOKUP(AB186,discount,2,FALSE()))</f>
        <v>#N/A</v>
      </c>
      <c r="AF186" s="253" t="e">
        <f aca="false">xSPRDOPT(HLOOKUP($D$3,GDPrev,VLOOKUP(Q186,GDmove_down,2,FALSE()),FALSE()),HLOOKUP($E$3,GDPrev,VLOOKUP(Q186,GDmove_down,2,FALSE()),FALSE()),AJ186,VLOOKUP(H186,NGPREVPRICES,4,FALSE()),HLOOKUP($H$3,GDVol,VLOOKUP(H186,move_down,2,FALSE()),FALSE()),HLOOKUP($H$3,GDVol,VLOOKUP(H186,move_down,2,FALSE()),FALSE()),HLOOKUP(E186,GDcorr,VLOOKUP(H186,CorMove,2,FALSE()),FALSE()),Q186-$AC$3,R186,$AI$5)*I186-AI186</f>
        <v>#N/A</v>
      </c>
      <c r="AG186" s="253" t="e">
        <f aca="false">xSPRDOPT(HLOOKUP($D$3,GDPrev,VLOOKUP(Q186,GDmove_down,2,FALSE()),FALSE()),HLOOKUP($E$3,GDPrev,VLOOKUP(Q186,GDmove_down,2,FALSE()),FALSE()),AJ186,VLOOKUP(H186,NGPREVPRICES,4,FALSE()),HLOOKUP($H$3,GDPrevVols,VLOOKUP(Q186,GDmove_down2,2,FALSE()),FALSE()),HLOOKUP($H$3,GDPrevVols,VLOOKUP(Q186,GDmove_down2,2,FALSE()),FALSE()),HLOOKUP(E186,GDcorr,VLOOKUP(H186,CorMove,2,FALSE()),FALSE()),Q186-$C$3,R186,$AI$5)*I186-AI186</f>
        <v>#N/A</v>
      </c>
      <c r="AH186" s="253" t="e">
        <f aca="false">SUM(AC186:AG186)</f>
        <v>#N/A</v>
      </c>
      <c r="AI186" s="253" t="e">
        <f aca="false">xSPRDOPT(HLOOKUP($D$3,GDPrev,VLOOKUP(Q186,GDmove_down,2,FALSE()),FALSE()),HLOOKUP($E$3,GDPrev,VLOOKUP(Q186,GDmove_down,2,FALSE()),FALSE()),AJ186,VLOOKUP(H186,NGPREVPRICES,4,FALSE()),HLOOKUP($H$3,GDPrevVols,VLOOKUP(Q186,GDmove_down2,2,FALSE()),FALSE()),HLOOKUP($H$3,GDPrevVols,VLOOKUP(Q186,GDmove_down2,2,FALSE()),FALSE()),HLOOKUP(E186,GDcorr,VLOOKUP(H186,CorMove,2,FALSE()),FALSE()),Q186-$AC$3,R186,$AI$5)*I186</f>
        <v>#N/A</v>
      </c>
      <c r="AJ186" s="254" t="e">
        <f aca="false">HLOOKUP(D186,PREVCURVES,VLOOKUP(H186,MOVE_DOWN2,2,FALSE()),FALSE())-HLOOKUP(E186,PREVCURVES,VLOOKUP(H186,MOVE_DOWN2,2,FALSE()),FALSE())</f>
        <v>#N/A</v>
      </c>
      <c r="AK186" s="253"/>
      <c r="AL186" s="0" t="str">
        <f aca="false">CONCATENATE(AB186,$AC$6)</f>
        <v>36678Curve Shift/Gamma</v>
      </c>
      <c r="AM186" s="0" t="str">
        <f aca="false">CONCATENATE($AB186,$AD$6)</f>
        <v>36678Rho</v>
      </c>
      <c r="AN186" s="0" t="str">
        <f aca="false">CONCATENATE($AB186,$AE$6)</f>
        <v>36678Drift</v>
      </c>
      <c r="AO186" s="0" t="str">
        <f aca="false">CONCATENATE($AB186,$AF$6)</f>
        <v>36678Vega</v>
      </c>
      <c r="AP186" s="0" t="str">
        <f aca="false">CONCATENATE($AB186,$AG$6)</f>
        <v>36678Theta</v>
      </c>
      <c r="BG186" s="285" t="n">
        <v>41944</v>
      </c>
      <c r="BH186" s="0" t="n">
        <v>0.970485</v>
      </c>
      <c r="BJ186" s="285" t="n">
        <v>41944</v>
      </c>
      <c r="BK186" s="0" t="n">
        <v>183</v>
      </c>
    </row>
    <row r="187" customFormat="false" ht="12" hidden="false" customHeight="true" outlineLevel="0" collapsed="false">
      <c r="A187" s="267" t="s">
        <v>198</v>
      </c>
      <c r="B187" s="269" t="s">
        <v>192</v>
      </c>
      <c r="C187" s="269" t="s">
        <v>493</v>
      </c>
      <c r="D187" s="269" t="s">
        <v>137</v>
      </c>
      <c r="E187" s="7" t="s">
        <v>483</v>
      </c>
      <c r="F187" s="269" t="s">
        <v>131</v>
      </c>
      <c r="G187" s="269" t="s">
        <v>136</v>
      </c>
      <c r="H187" s="286" t="n">
        <v>36678</v>
      </c>
      <c r="I187" s="272" t="n">
        <v>50000</v>
      </c>
      <c r="J187" s="125" t="n">
        <v>0.46</v>
      </c>
      <c r="K187" s="124" t="n">
        <f aca="false">HLOOKUP($D$3,GDPRICES,VLOOKUP(Q187,GDmove_down,2,FALSE()),FALSE())</f>
        <v>6.475</v>
      </c>
      <c r="L187" s="124" t="n">
        <f aca="false">HLOOKUP($E$3,GDPRICES,VLOOKUP(Q187,GDmove_down,2,FALSE()),FALSE())</f>
        <v>3.195</v>
      </c>
      <c r="M187" s="126" t="n">
        <v>1</v>
      </c>
      <c r="N187" s="7" t="n">
        <v>0.515</v>
      </c>
      <c r="O187" s="7" t="n">
        <v>0.515</v>
      </c>
      <c r="P187" s="249" t="e">
        <f aca="false">HLOOKUP(E187,GDcorr,VLOOKUP(H187,GDCorMove,2,FALSE()),FALSE())</f>
        <v>#N/A</v>
      </c>
      <c r="Q187" s="92" t="n">
        <v>36703</v>
      </c>
      <c r="R187" s="7" t="n">
        <f aca="false">IF(G187="P",0,1)</f>
        <v>1</v>
      </c>
      <c r="S187" s="130" t="e">
        <f aca="false">xSPRDOPT($K187,$L187,$J187,$M187,$N187,$O187,$P187,$Q187-$C$3,$R187,0)</f>
        <v>#NAME?</v>
      </c>
      <c r="T187" s="250" t="e">
        <f aca="false">xSPRDOPT($K187,$L187,$J187,$M187,$N187,$O187,$P187,$Q187-$C$3,$R187,1)*I187</f>
        <v>#NAME?</v>
      </c>
      <c r="U187" s="43" t="n">
        <v>14250</v>
      </c>
      <c r="V187" s="250" t="e">
        <f aca="false">xSPRDOPT($K187,$L187,$J187,$M187,$N187,$O187,$P187,$Q187-$C$3,$R187,2)*I187</f>
        <v>#NAME?</v>
      </c>
      <c r="W187" s="250" t="e">
        <f aca="false">+V187+T187</f>
        <v>#NAME?</v>
      </c>
      <c r="X187" s="2" t="str">
        <f aca="false">CONCATENATE(H187,E187)</f>
        <v>36678IF-ELPO/SJ</v>
      </c>
      <c r="Y187" s="251" t="n">
        <f aca="false">I187/10000</f>
        <v>5</v>
      </c>
      <c r="Z187" s="2"/>
      <c r="AB187" s="182"/>
      <c r="AC187" s="253"/>
      <c r="AD187" s="253"/>
      <c r="AE187" s="132"/>
      <c r="AF187" s="253"/>
      <c r="AG187" s="253"/>
      <c r="AH187" s="253"/>
      <c r="AI187" s="253"/>
      <c r="AJ187" s="254"/>
      <c r="BG187" s="285" t="n">
        <v>41974</v>
      </c>
      <c r="BH187" s="0" t="n">
        <v>0.970485</v>
      </c>
      <c r="BJ187" s="285" t="n">
        <v>41974</v>
      </c>
      <c r="BK187" s="0" t="n">
        <v>184</v>
      </c>
    </row>
    <row r="188" customFormat="false" ht="12" hidden="false" customHeight="true" outlineLevel="0" collapsed="false">
      <c r="A188" s="267" t="s">
        <v>198</v>
      </c>
      <c r="B188" s="269" t="s">
        <v>192</v>
      </c>
      <c r="C188" s="269" t="s">
        <v>494</v>
      </c>
      <c r="D188" s="269" t="s">
        <v>137</v>
      </c>
      <c r="E188" s="7" t="s">
        <v>483</v>
      </c>
      <c r="F188" s="269" t="s">
        <v>131</v>
      </c>
      <c r="G188" s="269" t="s">
        <v>136</v>
      </c>
      <c r="H188" s="286" t="n">
        <v>36678</v>
      </c>
      <c r="I188" s="272" t="n">
        <v>-10000</v>
      </c>
      <c r="J188" s="125" t="n">
        <v>0.46</v>
      </c>
      <c r="K188" s="124" t="n">
        <f aca="false">HLOOKUP($D$3,GDPRICES,VLOOKUP(Q188,GDmove_down,2,FALSE()),FALSE())</f>
        <v>6.475</v>
      </c>
      <c r="L188" s="124" t="n">
        <f aca="false">HLOOKUP($E$3,GDPRICES,VLOOKUP(Q188,GDmove_down,2,FALSE()),FALSE())</f>
        <v>3.195</v>
      </c>
      <c r="M188" s="126" t="n">
        <v>1</v>
      </c>
      <c r="N188" s="7" t="n">
        <v>0.515</v>
      </c>
      <c r="O188" s="7" t="n">
        <v>0.515</v>
      </c>
      <c r="P188" s="249" t="e">
        <f aca="false">HLOOKUP(E188,GDcorr,VLOOKUP(H188,GDCorMove,2,FALSE()),FALSE())</f>
        <v>#N/A</v>
      </c>
      <c r="Q188" s="92" t="n">
        <v>36703</v>
      </c>
      <c r="R188" s="7" t="n">
        <f aca="false">IF(G188="P",0,1)</f>
        <v>1</v>
      </c>
      <c r="S188" s="130" t="e">
        <f aca="false">xSPRDOPT($K188,$L188,$J188,$M188,$N188,$O188,$P188,$Q188-$C$3,$R188,0)</f>
        <v>#NAME?</v>
      </c>
      <c r="T188" s="250" t="e">
        <f aca="false">xSPRDOPT($K188,$L188,$J188,$M188,$N188,$O188,$P188,$Q188-$C$3,$R188,1)*I188</f>
        <v>#NAME?</v>
      </c>
      <c r="U188" s="43" t="n">
        <v>-2850</v>
      </c>
      <c r="V188" s="250" t="e">
        <f aca="false">xSPRDOPT($K188,$L188,$J188,$M188,$N188,$O188,$P188,$Q188-$C$3,$R188,2)*I188</f>
        <v>#NAME?</v>
      </c>
      <c r="W188" s="250" t="e">
        <f aca="false">+V188+T188</f>
        <v>#NAME?</v>
      </c>
      <c r="X188" s="2" t="str">
        <f aca="false">CONCATENATE(H188,E188)</f>
        <v>36678IF-ELPO/SJ</v>
      </c>
      <c r="Y188" s="251" t="n">
        <f aca="false">I188/10000</f>
        <v>-1</v>
      </c>
      <c r="AB188" s="182"/>
      <c r="AC188" s="253"/>
      <c r="AD188" s="253"/>
      <c r="AE188" s="132"/>
      <c r="AF188" s="253"/>
      <c r="AG188" s="253"/>
      <c r="AH188" s="253"/>
      <c r="AI188" s="253"/>
      <c r="AJ188" s="254"/>
      <c r="BG188" s="285" t="n">
        <v>42005</v>
      </c>
      <c r="BH188" s="0" t="n">
        <v>0.985</v>
      </c>
      <c r="BJ188" s="285" t="n">
        <v>42005</v>
      </c>
      <c r="BK188" s="0" t="n">
        <v>185</v>
      </c>
    </row>
    <row r="189" customFormat="false" ht="12" hidden="false" customHeight="true" outlineLevel="0" collapsed="false">
      <c r="A189" s="265" t="s">
        <v>198</v>
      </c>
      <c r="B189" s="269" t="s">
        <v>192</v>
      </c>
      <c r="C189" s="269" t="s">
        <v>488</v>
      </c>
      <c r="D189" s="269" t="s">
        <v>137</v>
      </c>
      <c r="E189" s="7" t="s">
        <v>483</v>
      </c>
      <c r="F189" s="269" t="s">
        <v>131</v>
      </c>
      <c r="G189" s="269" t="s">
        <v>136</v>
      </c>
      <c r="H189" s="286" t="n">
        <v>36678</v>
      </c>
      <c r="I189" s="272" t="n">
        <v>-50000</v>
      </c>
      <c r="J189" s="125" t="n">
        <v>0.46</v>
      </c>
      <c r="K189" s="124" t="n">
        <f aca="false">HLOOKUP($D$3,GDPRICES,VLOOKUP(Q189,GDmove_down,2,FALSE()),FALSE())</f>
        <v>6.475</v>
      </c>
      <c r="L189" s="124" t="n">
        <f aca="false">HLOOKUP($E$3,GDPRICES,VLOOKUP(Q189,GDmove_down,2,FALSE()),FALSE())</f>
        <v>3.195</v>
      </c>
      <c r="M189" s="126" t="n">
        <v>1</v>
      </c>
      <c r="N189" s="7" t="n">
        <v>0.515</v>
      </c>
      <c r="O189" s="7" t="n">
        <v>0.515</v>
      </c>
      <c r="P189" s="249" t="e">
        <f aca="false">HLOOKUP(E189,GDcorr,VLOOKUP(H189,GDCorMove,2,FALSE()),FALSE())</f>
        <v>#N/A</v>
      </c>
      <c r="Q189" s="92" t="n">
        <v>36704</v>
      </c>
      <c r="R189" s="7" t="n">
        <f aca="false">IF(G189="P",0,1)</f>
        <v>1</v>
      </c>
      <c r="S189" s="130" t="e">
        <f aca="false">xSPRDOPT($K189,$L189,$J189,$M189,$N189,$O189,$P189,$Q189-$C$3,$R189,0)</f>
        <v>#NAME?</v>
      </c>
      <c r="T189" s="250" t="e">
        <f aca="false">xSPRDOPT($K189,$L189,$J189,$M189,$N189,$O189,$P189,$Q189-$C$3,$R189,1)*I189</f>
        <v>#NAME?</v>
      </c>
      <c r="U189" s="43" t="n">
        <v>-16250</v>
      </c>
      <c r="V189" s="250" t="e">
        <f aca="false">xSPRDOPT($K189,$L189,$J189,$M189,$N189,$O189,$P189,$Q189-$C$3,$R189,2)*I189</f>
        <v>#NAME?</v>
      </c>
      <c r="W189" s="250" t="e">
        <f aca="false">+V189+T189</f>
        <v>#NAME?</v>
      </c>
      <c r="X189" s="2" t="str">
        <f aca="false">CONCATENATE(H189,E189)</f>
        <v>36678IF-ELPO/SJ</v>
      </c>
      <c r="Y189" s="251" t="n">
        <f aca="false">I189/10000</f>
        <v>-5</v>
      </c>
      <c r="AB189" s="182"/>
      <c r="AC189" s="253"/>
      <c r="AD189" s="253"/>
      <c r="AE189" s="132"/>
      <c r="AF189" s="253"/>
      <c r="AG189" s="253"/>
      <c r="AH189" s="253"/>
      <c r="AI189" s="253"/>
      <c r="AJ189" s="254"/>
      <c r="BG189" s="285" t="n">
        <v>42036</v>
      </c>
      <c r="BH189" s="0" t="n">
        <v>0.985</v>
      </c>
      <c r="BJ189" s="285" t="n">
        <v>42036</v>
      </c>
      <c r="BK189" s="0" t="n">
        <v>186</v>
      </c>
    </row>
    <row r="190" customFormat="false" ht="12" hidden="false" customHeight="true" outlineLevel="0" collapsed="false">
      <c r="A190" s="265" t="s">
        <v>198</v>
      </c>
      <c r="B190" s="269" t="s">
        <v>192</v>
      </c>
      <c r="C190" s="269" t="s">
        <v>489</v>
      </c>
      <c r="D190" s="269" t="s">
        <v>137</v>
      </c>
      <c r="E190" s="7" t="s">
        <v>483</v>
      </c>
      <c r="F190" s="269" t="s">
        <v>131</v>
      </c>
      <c r="G190" s="269" t="s">
        <v>136</v>
      </c>
      <c r="H190" s="286" t="n">
        <v>36678</v>
      </c>
      <c r="I190" s="272" t="n">
        <v>10000</v>
      </c>
      <c r="J190" s="125" t="n">
        <v>0.46</v>
      </c>
      <c r="K190" s="124" t="n">
        <f aca="false">HLOOKUP($D$3,GDPRICES,VLOOKUP(Q190,GDmove_down,2,FALSE()),FALSE())</f>
        <v>6.475</v>
      </c>
      <c r="L190" s="124" t="n">
        <f aca="false">HLOOKUP($E$3,GDPRICES,VLOOKUP(Q190,GDmove_down,2,FALSE()),FALSE())</f>
        <v>3.195</v>
      </c>
      <c r="M190" s="126" t="n">
        <v>1</v>
      </c>
      <c r="N190" s="7" t="n">
        <v>0.515</v>
      </c>
      <c r="O190" s="7" t="n">
        <v>0.515</v>
      </c>
      <c r="P190" s="249" t="e">
        <f aca="false">HLOOKUP(E190,GDcorr,VLOOKUP(H190,GDCorMove,2,FALSE()),FALSE())</f>
        <v>#N/A</v>
      </c>
      <c r="Q190" s="92" t="n">
        <v>36704</v>
      </c>
      <c r="R190" s="7" t="n">
        <f aca="false">IF(G190="P",0,1)</f>
        <v>1</v>
      </c>
      <c r="S190" s="130" t="e">
        <f aca="false">xSPRDOPT($K190,$L190,$J190,$M190,$N190,$O190,$P190,$Q190-$C$3,$R190,0)</f>
        <v>#NAME?</v>
      </c>
      <c r="T190" s="250" t="e">
        <f aca="false">xSPRDOPT($K190,$L190,$J190,$M190,$N190,$O190,$P190,$Q190-$C$3,$R190,1)*I190</f>
        <v>#NAME?</v>
      </c>
      <c r="U190" s="43" t="n">
        <v>3250</v>
      </c>
      <c r="V190" s="250" t="e">
        <f aca="false">xSPRDOPT($K190,$L190,$J190,$M190,$N190,$O190,$P190,$Q190-$C$3,$R190,2)*I190</f>
        <v>#NAME?</v>
      </c>
      <c r="W190" s="250" t="e">
        <f aca="false">+V190+T190</f>
        <v>#NAME?</v>
      </c>
      <c r="X190" s="2" t="str">
        <f aca="false">CONCATENATE(H190,E190)</f>
        <v>36678IF-ELPO/SJ</v>
      </c>
      <c r="Y190" s="251" t="n">
        <f aca="false">I190/10000</f>
        <v>1</v>
      </c>
      <c r="AB190" s="182"/>
      <c r="AC190" s="253"/>
      <c r="AD190" s="253"/>
      <c r="AE190" s="132"/>
      <c r="AF190" s="253"/>
      <c r="AG190" s="253"/>
      <c r="AH190" s="253"/>
      <c r="AI190" s="253"/>
      <c r="AJ190" s="254"/>
      <c r="BG190" s="285" t="n">
        <v>42064</v>
      </c>
      <c r="BH190" s="0" t="n">
        <v>0.985</v>
      </c>
      <c r="BJ190" s="285" t="n">
        <v>42064</v>
      </c>
      <c r="BK190" s="0" t="n">
        <v>187</v>
      </c>
    </row>
    <row r="191" customFormat="false" ht="12" hidden="false" customHeight="true" outlineLevel="0" collapsed="false">
      <c r="A191" s="265" t="s">
        <v>198</v>
      </c>
      <c r="B191" s="269" t="s">
        <v>192</v>
      </c>
      <c r="C191" s="269" t="s">
        <v>490</v>
      </c>
      <c r="D191" s="269" t="s">
        <v>137</v>
      </c>
      <c r="E191" s="7" t="s">
        <v>483</v>
      </c>
      <c r="F191" s="269" t="s">
        <v>131</v>
      </c>
      <c r="G191" s="269" t="s">
        <v>136</v>
      </c>
      <c r="H191" s="286" t="n">
        <v>36678</v>
      </c>
      <c r="I191" s="272" t="n">
        <v>-333333</v>
      </c>
      <c r="J191" s="125" t="n">
        <v>0.46</v>
      </c>
      <c r="K191" s="124" t="n">
        <f aca="false">HLOOKUP($D$3,GDPRICES,VLOOKUP(Q191,GDmove_down,2,FALSE()),FALSE())</f>
        <v>6.475</v>
      </c>
      <c r="L191" s="124" t="n">
        <f aca="false">HLOOKUP($E$3,GDPRICES,VLOOKUP(Q191,GDmove_down,2,FALSE()),FALSE())</f>
        <v>3.195</v>
      </c>
      <c r="M191" s="126" t="n">
        <v>1</v>
      </c>
      <c r="N191" s="7" t="n">
        <v>0.515</v>
      </c>
      <c r="O191" s="7" t="n">
        <v>0.515</v>
      </c>
      <c r="P191" s="249" t="e">
        <f aca="false">HLOOKUP(E191,GDcorr,VLOOKUP(H191,GDCorMove,2,FALSE()),FALSE())</f>
        <v>#N/A</v>
      </c>
      <c r="Q191" s="92" t="n">
        <v>36704</v>
      </c>
      <c r="R191" s="7" t="n">
        <f aca="false">IF(G191="P",0,1)</f>
        <v>1</v>
      </c>
      <c r="S191" s="130" t="e">
        <f aca="false">xSPRDOPT($K191,$L191,$J191,$M191,$N191,$O191,$P191,$Q191-$C$3,$R191,0)</f>
        <v>#NAME?</v>
      </c>
      <c r="T191" s="250" t="e">
        <f aca="false">xSPRDOPT($K191,$L191,$J191,$M191,$N191,$O191,$P191,$Q191-$C$3,$R191,1)*I191</f>
        <v>#NAME?</v>
      </c>
      <c r="U191" s="43" t="n">
        <v>-108333.225</v>
      </c>
      <c r="V191" s="250" t="e">
        <f aca="false">xSPRDOPT($K191,$L191,$J191,$M191,$N191,$O191,$P191,$Q191-$C$3,$R191,2)*I191</f>
        <v>#NAME?</v>
      </c>
      <c r="W191" s="250" t="e">
        <f aca="false">+V191+T191</f>
        <v>#NAME?</v>
      </c>
      <c r="X191" s="2" t="str">
        <f aca="false">CONCATENATE(H191,E191)</f>
        <v>36678IF-ELPO/SJ</v>
      </c>
      <c r="Y191" s="251" t="n">
        <f aca="false">I191/10000</f>
        <v>-33.3333</v>
      </c>
      <c r="Z191" s="2"/>
      <c r="AB191" s="182"/>
      <c r="AC191" s="253"/>
      <c r="AD191" s="253"/>
      <c r="AE191" s="132"/>
      <c r="AF191" s="253"/>
      <c r="AG191" s="253"/>
      <c r="AH191" s="253"/>
      <c r="AI191" s="253"/>
      <c r="AJ191" s="254"/>
      <c r="BG191" s="285" t="n">
        <v>42095</v>
      </c>
      <c r="BH191" s="0" t="n">
        <v>0.985</v>
      </c>
      <c r="BJ191" s="285" t="n">
        <v>42095</v>
      </c>
      <c r="BK191" s="0" t="n">
        <v>188</v>
      </c>
    </row>
    <row r="192" customFormat="false" ht="12" hidden="false" customHeight="true" outlineLevel="0" collapsed="false">
      <c r="A192" s="267" t="s">
        <v>196</v>
      </c>
      <c r="B192" s="269" t="s">
        <v>192</v>
      </c>
      <c r="C192" s="269" t="s">
        <v>491</v>
      </c>
      <c r="D192" s="269" t="s">
        <v>137</v>
      </c>
      <c r="E192" s="7" t="s">
        <v>483</v>
      </c>
      <c r="F192" s="269" t="s">
        <v>131</v>
      </c>
      <c r="G192" s="269" t="s">
        <v>136</v>
      </c>
      <c r="H192" s="286" t="n">
        <v>36678</v>
      </c>
      <c r="I192" s="272" t="n">
        <v>-10000</v>
      </c>
      <c r="J192" s="125" t="n">
        <v>0.46</v>
      </c>
      <c r="K192" s="124" t="n">
        <f aca="false">HLOOKUP($D$3,GDPRICES,VLOOKUP(Q192,GDmove_down,2,FALSE()),FALSE())</f>
        <v>6.475</v>
      </c>
      <c r="L192" s="124" t="n">
        <f aca="false">HLOOKUP($E$3,GDPRICES,VLOOKUP(Q192,GDmove_down,2,FALSE()),FALSE())</f>
        <v>3.195</v>
      </c>
      <c r="M192" s="126" t="n">
        <v>1</v>
      </c>
      <c r="N192" s="7" t="n">
        <v>0.515</v>
      </c>
      <c r="O192" s="7" t="n">
        <v>0.515</v>
      </c>
      <c r="P192" s="249" t="e">
        <f aca="false">HLOOKUP(E192,GDcorr,VLOOKUP(H192,GDCorMove,2,FALSE()),FALSE())</f>
        <v>#N/A</v>
      </c>
      <c r="Q192" s="92" t="n">
        <v>36704</v>
      </c>
      <c r="R192" s="7" t="n">
        <f aca="false">IF(G192="P",0,1)</f>
        <v>1</v>
      </c>
      <c r="S192" s="130" t="e">
        <f aca="false">xSPRDOPT($K192,$L192,$J192,$M192,$N192,$O192,$P192,$Q192-$C$3,$R192,0)</f>
        <v>#NAME?</v>
      </c>
      <c r="T192" s="250" t="e">
        <f aca="false">xSPRDOPT($K192,$L192,$J192,$M192,$N192,$O192,$P192,$Q192-$C$3,$R192,1)*I192</f>
        <v>#NAME?</v>
      </c>
      <c r="U192" s="43" t="n">
        <v>-3250</v>
      </c>
      <c r="V192" s="250" t="e">
        <f aca="false">xSPRDOPT($K192,$L192,$J192,$M192,$N192,$O192,$P192,$Q192-$C$3,$R192,2)*I192</f>
        <v>#NAME?</v>
      </c>
      <c r="W192" s="250" t="e">
        <f aca="false">+V192+T192</f>
        <v>#NAME?</v>
      </c>
      <c r="X192" s="2" t="str">
        <f aca="false">CONCATENATE(H192,E192)</f>
        <v>36678IF-ELPO/SJ</v>
      </c>
      <c r="Y192" s="251" t="n">
        <f aca="false">I192/10000</f>
        <v>-1</v>
      </c>
      <c r="Z192" s="2"/>
      <c r="AB192" s="182"/>
      <c r="AC192" s="253"/>
      <c r="AD192" s="253"/>
      <c r="AE192" s="132"/>
      <c r="AF192" s="253"/>
      <c r="AG192" s="253"/>
      <c r="AH192" s="253"/>
      <c r="AI192" s="253"/>
      <c r="AJ192" s="254"/>
      <c r="BG192" s="285" t="n">
        <v>42125</v>
      </c>
      <c r="BH192" s="0" t="n">
        <v>0.985</v>
      </c>
      <c r="BJ192" s="285" t="n">
        <v>42125</v>
      </c>
      <c r="BK192" s="0" t="n">
        <v>189</v>
      </c>
    </row>
    <row r="193" customFormat="false" ht="12" hidden="false" customHeight="true" outlineLevel="0" collapsed="false">
      <c r="A193" s="267" t="s">
        <v>198</v>
      </c>
      <c r="B193" s="269" t="s">
        <v>192</v>
      </c>
      <c r="C193" s="269" t="s">
        <v>492</v>
      </c>
      <c r="D193" s="269" t="s">
        <v>137</v>
      </c>
      <c r="E193" s="7" t="s">
        <v>483</v>
      </c>
      <c r="F193" s="269" t="s">
        <v>131</v>
      </c>
      <c r="G193" s="269" t="s">
        <v>136</v>
      </c>
      <c r="H193" s="286" t="n">
        <v>36678</v>
      </c>
      <c r="I193" s="272" t="n">
        <v>50000</v>
      </c>
      <c r="J193" s="125" t="n">
        <v>0.46</v>
      </c>
      <c r="K193" s="124" t="n">
        <f aca="false">HLOOKUP($D$3,GDPRICES,VLOOKUP(Q193,GDmove_down,2,FALSE()),FALSE())</f>
        <v>6.475</v>
      </c>
      <c r="L193" s="124" t="n">
        <f aca="false">HLOOKUP($E$3,GDPRICES,VLOOKUP(Q193,GDmove_down,2,FALSE()),FALSE())</f>
        <v>3.195</v>
      </c>
      <c r="M193" s="126" t="n">
        <v>1</v>
      </c>
      <c r="N193" s="7" t="n">
        <v>0.515</v>
      </c>
      <c r="O193" s="7" t="n">
        <v>0.515</v>
      </c>
      <c r="P193" s="249" t="e">
        <f aca="false">HLOOKUP(E193,GDcorr,VLOOKUP(H193,GDCorMove,2,FALSE()),FALSE())</f>
        <v>#N/A</v>
      </c>
      <c r="Q193" s="92" t="n">
        <v>36704</v>
      </c>
      <c r="R193" s="7" t="n">
        <f aca="false">IF(G193="P",0,1)</f>
        <v>1</v>
      </c>
      <c r="S193" s="130" t="e">
        <f aca="false">xSPRDOPT($K193,$L193,$J193,$M193,$N193,$O193,$P193,$Q193-$C$3,$R193,0)</f>
        <v>#NAME?</v>
      </c>
      <c r="T193" s="250" t="e">
        <f aca="false">xSPRDOPT($K193,$L193,$J193,$M193,$N193,$O193,$P193,$Q193-$C$3,$R193,1)*I193</f>
        <v>#NAME?</v>
      </c>
      <c r="U193" s="43" t="n">
        <v>16250</v>
      </c>
      <c r="V193" s="250" t="e">
        <f aca="false">xSPRDOPT($K193,$L193,$J193,$M193,$N193,$O193,$P193,$Q193-$C$3,$R193,2)*I193</f>
        <v>#NAME?</v>
      </c>
      <c r="W193" s="250" t="e">
        <f aca="false">+V193+T193</f>
        <v>#NAME?</v>
      </c>
      <c r="X193" s="2" t="str">
        <f aca="false">CONCATENATE(H193,E193)</f>
        <v>36678IF-ELPO/SJ</v>
      </c>
      <c r="Y193" s="251" t="n">
        <f aca="false">I193/10000</f>
        <v>5</v>
      </c>
      <c r="Z193" s="2"/>
      <c r="AB193" s="182"/>
      <c r="AC193" s="253"/>
      <c r="AD193" s="253"/>
      <c r="AE193" s="132"/>
      <c r="AF193" s="253"/>
      <c r="AG193" s="253"/>
      <c r="AH193" s="253"/>
      <c r="AI193" s="253"/>
      <c r="AJ193" s="254"/>
      <c r="BG193" s="285" t="n">
        <v>42156</v>
      </c>
      <c r="BH193" s="0" t="n">
        <v>0.985</v>
      </c>
      <c r="BJ193" s="285" t="n">
        <v>42156</v>
      </c>
      <c r="BK193" s="0" t="n">
        <v>190</v>
      </c>
    </row>
    <row r="194" customFormat="false" ht="12" hidden="false" customHeight="true" outlineLevel="0" collapsed="false">
      <c r="A194" s="267" t="s">
        <v>198</v>
      </c>
      <c r="B194" s="269" t="s">
        <v>192</v>
      </c>
      <c r="C194" s="269" t="s">
        <v>493</v>
      </c>
      <c r="D194" s="269" t="s">
        <v>137</v>
      </c>
      <c r="E194" s="7" t="s">
        <v>483</v>
      </c>
      <c r="F194" s="269" t="s">
        <v>131</v>
      </c>
      <c r="G194" s="269" t="s">
        <v>136</v>
      </c>
      <c r="H194" s="286" t="n">
        <v>36678</v>
      </c>
      <c r="I194" s="272" t="n">
        <v>50000</v>
      </c>
      <c r="J194" s="125" t="n">
        <v>0.46</v>
      </c>
      <c r="K194" s="124" t="n">
        <f aca="false">HLOOKUP($D$3,GDPRICES,VLOOKUP(Q194,GDmove_down,2,FALSE()),FALSE())</f>
        <v>6.475</v>
      </c>
      <c r="L194" s="124" t="n">
        <f aca="false">HLOOKUP($E$3,GDPRICES,VLOOKUP(Q194,GDmove_down,2,FALSE()),FALSE())</f>
        <v>3.195</v>
      </c>
      <c r="M194" s="126" t="n">
        <v>1</v>
      </c>
      <c r="N194" s="7" t="n">
        <v>0.515</v>
      </c>
      <c r="O194" s="7" t="n">
        <v>0.515</v>
      </c>
      <c r="P194" s="249" t="e">
        <f aca="false">HLOOKUP(E194,GDcorr,VLOOKUP(H194,GDCorMove,2,FALSE()),FALSE())</f>
        <v>#N/A</v>
      </c>
      <c r="Q194" s="92" t="n">
        <v>36704</v>
      </c>
      <c r="R194" s="7" t="n">
        <f aca="false">IF(G194="P",0,1)</f>
        <v>1</v>
      </c>
      <c r="S194" s="130" t="e">
        <f aca="false">xSPRDOPT($K194,$L194,$J194,$M194,$N194,$O194,$P194,$Q194-$C$3,$R194,0)</f>
        <v>#NAME?</v>
      </c>
      <c r="T194" s="250" t="e">
        <f aca="false">xSPRDOPT($K194,$L194,$J194,$M194,$N194,$O194,$P194,$Q194-$C$3,$R194,1)*I194</f>
        <v>#NAME?</v>
      </c>
      <c r="U194" s="43" t="n">
        <v>16250</v>
      </c>
      <c r="V194" s="250" t="e">
        <f aca="false">xSPRDOPT($K194,$L194,$J194,$M194,$N194,$O194,$P194,$Q194-$C$3,$R194,2)*I194</f>
        <v>#NAME?</v>
      </c>
      <c r="W194" s="250" t="e">
        <f aca="false">+V194+T194</f>
        <v>#NAME?</v>
      </c>
      <c r="X194" s="2" t="str">
        <f aca="false">CONCATENATE(H194,E194)</f>
        <v>36678IF-ELPO/SJ</v>
      </c>
      <c r="Y194" s="251" t="n">
        <f aca="false">I194/10000</f>
        <v>5</v>
      </c>
      <c r="Z194" s="2"/>
      <c r="AB194" s="182"/>
      <c r="AC194" s="253"/>
      <c r="AD194" s="253"/>
      <c r="AE194" s="132"/>
      <c r="AF194" s="253"/>
      <c r="AG194" s="253"/>
      <c r="AH194" s="253"/>
      <c r="AI194" s="253"/>
      <c r="AJ194" s="254"/>
      <c r="BG194" s="285" t="n">
        <v>42186</v>
      </c>
      <c r="BH194" s="0" t="n">
        <v>0.985</v>
      </c>
      <c r="BJ194" s="285" t="n">
        <v>42186</v>
      </c>
      <c r="BK194" s="0" t="n">
        <v>191</v>
      </c>
    </row>
    <row r="195" customFormat="false" ht="12" hidden="false" customHeight="true" outlineLevel="0" collapsed="false">
      <c r="A195" s="267" t="s">
        <v>198</v>
      </c>
      <c r="B195" s="269" t="s">
        <v>192</v>
      </c>
      <c r="C195" s="269" t="s">
        <v>494</v>
      </c>
      <c r="D195" s="269" t="s">
        <v>137</v>
      </c>
      <c r="E195" s="7" t="s">
        <v>483</v>
      </c>
      <c r="F195" s="269" t="s">
        <v>131</v>
      </c>
      <c r="G195" s="269" t="s">
        <v>136</v>
      </c>
      <c r="H195" s="286" t="n">
        <v>36678</v>
      </c>
      <c r="I195" s="272" t="n">
        <v>-10000</v>
      </c>
      <c r="J195" s="125" t="n">
        <v>0.46</v>
      </c>
      <c r="K195" s="124" t="n">
        <f aca="false">HLOOKUP($D$3,GDPRICES,VLOOKUP(Q195,GDmove_down,2,FALSE()),FALSE())</f>
        <v>6.475</v>
      </c>
      <c r="L195" s="124" t="n">
        <f aca="false">HLOOKUP($E$3,GDPRICES,VLOOKUP(Q195,GDmove_down,2,FALSE()),FALSE())</f>
        <v>3.195</v>
      </c>
      <c r="M195" s="126" t="n">
        <v>1</v>
      </c>
      <c r="N195" s="7" t="n">
        <v>0.515</v>
      </c>
      <c r="O195" s="7" t="n">
        <v>0.515</v>
      </c>
      <c r="P195" s="249" t="e">
        <f aca="false">HLOOKUP(E195,GDcorr,VLOOKUP(H195,GDCorMove,2,FALSE()),FALSE())</f>
        <v>#N/A</v>
      </c>
      <c r="Q195" s="92" t="n">
        <v>36704</v>
      </c>
      <c r="R195" s="7" t="n">
        <f aca="false">IF(G195="P",0,1)</f>
        <v>1</v>
      </c>
      <c r="S195" s="130" t="e">
        <f aca="false">xSPRDOPT($K195,$L195,$J195,$M195,$N195,$O195,$P195,$Q195-$C$3,$R195,0)</f>
        <v>#NAME?</v>
      </c>
      <c r="T195" s="250" t="e">
        <f aca="false">xSPRDOPT($K195,$L195,$J195,$M195,$N195,$O195,$P195,$Q195-$C$3,$R195,1)*I195</f>
        <v>#NAME?</v>
      </c>
      <c r="U195" s="43" t="n">
        <v>-3250</v>
      </c>
      <c r="V195" s="250" t="e">
        <f aca="false">xSPRDOPT($K195,$L195,$J195,$M195,$N195,$O195,$P195,$Q195-$C$3,$R195,2)*I195</f>
        <v>#NAME?</v>
      </c>
      <c r="W195" s="250" t="e">
        <f aca="false">+V195+T195</f>
        <v>#NAME?</v>
      </c>
      <c r="X195" s="2" t="str">
        <f aca="false">CONCATENATE(H195,E195)</f>
        <v>36678IF-ELPO/SJ</v>
      </c>
      <c r="Y195" s="251" t="n">
        <f aca="false">I195/10000</f>
        <v>-1</v>
      </c>
      <c r="Z195" s="2"/>
      <c r="AB195" s="182"/>
      <c r="AC195" s="253"/>
      <c r="AD195" s="253"/>
      <c r="AE195" s="132"/>
      <c r="AF195" s="253"/>
      <c r="AG195" s="253"/>
      <c r="AH195" s="253"/>
      <c r="AI195" s="253"/>
      <c r="AJ195" s="254"/>
      <c r="BG195" s="285" t="n">
        <v>42217</v>
      </c>
      <c r="BH195" s="0" t="n">
        <v>0.985</v>
      </c>
      <c r="BJ195" s="285" t="n">
        <v>42217</v>
      </c>
      <c r="BK195" s="0" t="n">
        <v>192</v>
      </c>
    </row>
    <row r="196" customFormat="false" ht="12" hidden="false" customHeight="true" outlineLevel="0" collapsed="false">
      <c r="A196" s="265" t="s">
        <v>198</v>
      </c>
      <c r="B196" s="269" t="s">
        <v>192</v>
      </c>
      <c r="C196" s="269" t="s">
        <v>488</v>
      </c>
      <c r="D196" s="269" t="s">
        <v>137</v>
      </c>
      <c r="E196" s="7" t="s">
        <v>483</v>
      </c>
      <c r="F196" s="269" t="s">
        <v>131</v>
      </c>
      <c r="G196" s="269" t="s">
        <v>136</v>
      </c>
      <c r="H196" s="286" t="n">
        <v>36678</v>
      </c>
      <c r="I196" s="272" t="n">
        <v>-50000</v>
      </c>
      <c r="J196" s="125" t="n">
        <v>0.46</v>
      </c>
      <c r="K196" s="124" t="n">
        <f aca="false">HLOOKUP($D$3,GDPRICES,VLOOKUP(Q196,GDmove_down,2,FALSE()),FALSE())</f>
        <v>6.475</v>
      </c>
      <c r="L196" s="124" t="n">
        <f aca="false">HLOOKUP($E$3,GDPRICES,VLOOKUP(Q196,GDmove_down,2,FALSE()),FALSE())</f>
        <v>3.195</v>
      </c>
      <c r="M196" s="126" t="n">
        <v>1</v>
      </c>
      <c r="N196" s="7" t="n">
        <v>0.515</v>
      </c>
      <c r="O196" s="7" t="n">
        <v>0.515</v>
      </c>
      <c r="P196" s="249" t="e">
        <f aca="false">HLOOKUP(E196,GDcorr,VLOOKUP(H196,GDCorMove,2,FALSE()),FALSE())</f>
        <v>#N/A</v>
      </c>
      <c r="Q196" s="92" t="n">
        <v>36705</v>
      </c>
      <c r="R196" s="7" t="n">
        <f aca="false">IF(G196="P",0,1)</f>
        <v>1</v>
      </c>
      <c r="S196" s="130" t="e">
        <f aca="false">xSPRDOPT($K196,$L196,$J196,$M196,$N196,$O196,$P196,$Q196-$C$3,$R196,0)</f>
        <v>#NAME?</v>
      </c>
      <c r="T196" s="250" t="e">
        <f aca="false">xSPRDOPT($K196,$L196,$J196,$M196,$N196,$O196,$P196,$Q196-$C$3,$R196,1)*I196</f>
        <v>#NAME?</v>
      </c>
      <c r="U196" s="43" t="n">
        <v>-20750</v>
      </c>
      <c r="V196" s="250" t="e">
        <f aca="false">xSPRDOPT($K196,$L196,$J196,$M196,$N196,$O196,$P196,$Q196-$C$3,$R196,2)*I196</f>
        <v>#NAME?</v>
      </c>
      <c r="W196" s="250" t="e">
        <f aca="false">+V196+T196</f>
        <v>#NAME?</v>
      </c>
      <c r="X196" s="2" t="str">
        <f aca="false">CONCATENATE(H196,E196)</f>
        <v>36678IF-ELPO/SJ</v>
      </c>
      <c r="Y196" s="251" t="n">
        <f aca="false">I196/10000</f>
        <v>-5</v>
      </c>
      <c r="Z196" s="2"/>
      <c r="AB196" s="182"/>
      <c r="AC196" s="253"/>
      <c r="AD196" s="253"/>
      <c r="AE196" s="132"/>
      <c r="AF196" s="253"/>
      <c r="AG196" s="253"/>
      <c r="AH196" s="253"/>
      <c r="AI196" s="253"/>
      <c r="AJ196" s="254"/>
      <c r="BG196" s="285" t="n">
        <v>42248</v>
      </c>
      <c r="BH196" s="0" t="n">
        <v>0.985</v>
      </c>
      <c r="BJ196" s="285" t="n">
        <v>42248</v>
      </c>
      <c r="BK196" s="0" t="n">
        <v>193</v>
      </c>
    </row>
    <row r="197" customFormat="false" ht="12" hidden="false" customHeight="true" outlineLevel="0" collapsed="false">
      <c r="A197" s="265" t="s">
        <v>198</v>
      </c>
      <c r="B197" s="269" t="s">
        <v>192</v>
      </c>
      <c r="C197" s="269" t="s">
        <v>489</v>
      </c>
      <c r="D197" s="269" t="s">
        <v>137</v>
      </c>
      <c r="E197" s="7" t="s">
        <v>483</v>
      </c>
      <c r="F197" s="269" t="s">
        <v>131</v>
      </c>
      <c r="G197" s="269" t="s">
        <v>136</v>
      </c>
      <c r="H197" s="286" t="n">
        <v>36678</v>
      </c>
      <c r="I197" s="272" t="n">
        <v>10000</v>
      </c>
      <c r="J197" s="125" t="n">
        <v>0.46</v>
      </c>
      <c r="K197" s="124" t="n">
        <f aca="false">HLOOKUP($D$3,GDPRICES,VLOOKUP(Q197,GDmove_down,2,FALSE()),FALSE())</f>
        <v>6.475</v>
      </c>
      <c r="L197" s="124" t="n">
        <f aca="false">HLOOKUP($E$3,GDPRICES,VLOOKUP(Q197,GDmove_down,2,FALSE()),FALSE())</f>
        <v>3.195</v>
      </c>
      <c r="M197" s="126" t="n">
        <v>1</v>
      </c>
      <c r="N197" s="7" t="n">
        <v>0.515</v>
      </c>
      <c r="O197" s="7" t="n">
        <v>0.515</v>
      </c>
      <c r="P197" s="249" t="e">
        <f aca="false">HLOOKUP(E197,GDcorr,VLOOKUP(H197,GDCorMove,2,FALSE()),FALSE())</f>
        <v>#N/A</v>
      </c>
      <c r="Q197" s="92" t="n">
        <v>36705</v>
      </c>
      <c r="R197" s="7" t="n">
        <f aca="false">IF(G197="P",0,1)</f>
        <v>1</v>
      </c>
      <c r="S197" s="130" t="e">
        <f aca="false">xSPRDOPT($K197,$L197,$J197,$M197,$N197,$O197,$P197,$Q197-$C$3,$R197,0)</f>
        <v>#NAME?</v>
      </c>
      <c r="T197" s="250" t="e">
        <f aca="false">xSPRDOPT($K197,$L197,$J197,$M197,$N197,$O197,$P197,$Q197-$C$3,$R197,1)*I197</f>
        <v>#NAME?</v>
      </c>
      <c r="U197" s="43" t="n">
        <v>4150</v>
      </c>
      <c r="V197" s="250" t="e">
        <f aca="false">xSPRDOPT($K197,$L197,$J197,$M197,$N197,$O197,$P197,$Q197-$C$3,$R197,2)*I197</f>
        <v>#NAME?</v>
      </c>
      <c r="W197" s="250" t="e">
        <f aca="false">+V197+T197</f>
        <v>#NAME?</v>
      </c>
      <c r="X197" s="2" t="str">
        <f aca="false">CONCATENATE(H197,E197)</f>
        <v>36678IF-ELPO/SJ</v>
      </c>
      <c r="Y197" s="251" t="n">
        <f aca="false">I197/10000</f>
        <v>1</v>
      </c>
      <c r="Z197" s="2"/>
      <c r="AB197" s="182"/>
      <c r="AC197" s="253"/>
      <c r="AD197" s="253"/>
      <c r="AE197" s="132"/>
      <c r="AF197" s="253"/>
      <c r="AG197" s="253"/>
      <c r="AH197" s="253"/>
      <c r="AI197" s="253"/>
      <c r="AJ197" s="254"/>
      <c r="BG197" s="285" t="n">
        <v>42278</v>
      </c>
      <c r="BH197" s="0" t="n">
        <v>0.985</v>
      </c>
      <c r="BJ197" s="285" t="n">
        <v>42278</v>
      </c>
      <c r="BK197" s="0" t="n">
        <v>194</v>
      </c>
    </row>
    <row r="198" customFormat="false" ht="12" hidden="false" customHeight="true" outlineLevel="0" collapsed="false">
      <c r="A198" s="265" t="s">
        <v>198</v>
      </c>
      <c r="B198" s="269" t="s">
        <v>192</v>
      </c>
      <c r="C198" s="269" t="s">
        <v>490</v>
      </c>
      <c r="D198" s="269" t="s">
        <v>137</v>
      </c>
      <c r="E198" s="7" t="s">
        <v>483</v>
      </c>
      <c r="F198" s="269" t="s">
        <v>131</v>
      </c>
      <c r="G198" s="269" t="s">
        <v>136</v>
      </c>
      <c r="H198" s="286" t="n">
        <v>36678</v>
      </c>
      <c r="I198" s="272" t="n">
        <v>-333333</v>
      </c>
      <c r="J198" s="125" t="n">
        <v>0.46</v>
      </c>
      <c r="K198" s="124" t="n">
        <f aca="false">HLOOKUP($D$3,GDPRICES,VLOOKUP(Q198,GDmove_down,2,FALSE()),FALSE())</f>
        <v>6.475</v>
      </c>
      <c r="L198" s="124" t="n">
        <f aca="false">HLOOKUP($E$3,GDPRICES,VLOOKUP(Q198,GDmove_down,2,FALSE()),FALSE())</f>
        <v>3.195</v>
      </c>
      <c r="M198" s="126" t="n">
        <v>1</v>
      </c>
      <c r="N198" s="7" t="n">
        <v>0.515</v>
      </c>
      <c r="O198" s="7" t="n">
        <v>0.515</v>
      </c>
      <c r="P198" s="249" t="e">
        <f aca="false">HLOOKUP(E198,GDcorr,VLOOKUP(H198,GDCorMove,2,FALSE()),FALSE())</f>
        <v>#N/A</v>
      </c>
      <c r="Q198" s="92" t="n">
        <v>36705</v>
      </c>
      <c r="R198" s="7" t="n">
        <f aca="false">IF(G198="P",0,1)</f>
        <v>1</v>
      </c>
      <c r="S198" s="130" t="e">
        <f aca="false">xSPRDOPT($K198,$L198,$J198,$M198,$N198,$O198,$P198,$Q198-$C$3,$R198,0)</f>
        <v>#NAME?</v>
      </c>
      <c r="T198" s="250" t="e">
        <f aca="false">xSPRDOPT($K198,$L198,$J198,$M198,$N198,$O198,$P198,$Q198-$C$3,$R198,1)*I198</f>
        <v>#NAME?</v>
      </c>
      <c r="U198" s="43" t="n">
        <v>-138333.195</v>
      </c>
      <c r="V198" s="250" t="e">
        <f aca="false">xSPRDOPT($K198,$L198,$J198,$M198,$N198,$O198,$P198,$Q198-$C$3,$R198,2)*I198</f>
        <v>#NAME?</v>
      </c>
      <c r="W198" s="250" t="e">
        <f aca="false">+V198+T198</f>
        <v>#NAME?</v>
      </c>
      <c r="X198" s="2" t="str">
        <f aca="false">CONCATENATE(H198,E198)</f>
        <v>36678IF-ELPO/SJ</v>
      </c>
      <c r="Y198" s="251" t="n">
        <f aca="false">I198/10000</f>
        <v>-33.3333</v>
      </c>
      <c r="AB198" s="182"/>
      <c r="AC198" s="253"/>
      <c r="AD198" s="253"/>
      <c r="AE198" s="132"/>
      <c r="AF198" s="253"/>
      <c r="AG198" s="253"/>
      <c r="AH198" s="253"/>
      <c r="AI198" s="253"/>
      <c r="AJ198" s="254"/>
      <c r="BG198" s="285" t="n">
        <v>42309</v>
      </c>
      <c r="BH198" s="0" t="n">
        <v>0.970485</v>
      </c>
      <c r="BJ198" s="285" t="n">
        <v>42309</v>
      </c>
      <c r="BK198" s="0" t="n">
        <v>195</v>
      </c>
    </row>
    <row r="199" customFormat="false" ht="12" hidden="false" customHeight="true" outlineLevel="0" collapsed="false">
      <c r="A199" s="267" t="s">
        <v>196</v>
      </c>
      <c r="B199" s="269" t="s">
        <v>192</v>
      </c>
      <c r="C199" s="269" t="s">
        <v>491</v>
      </c>
      <c r="D199" s="269" t="s">
        <v>137</v>
      </c>
      <c r="E199" s="7" t="s">
        <v>483</v>
      </c>
      <c r="F199" s="269" t="s">
        <v>131</v>
      </c>
      <c r="G199" s="269" t="s">
        <v>136</v>
      </c>
      <c r="H199" s="286" t="n">
        <v>36678</v>
      </c>
      <c r="I199" s="272" t="n">
        <v>-10000</v>
      </c>
      <c r="J199" s="125" t="n">
        <v>0.46</v>
      </c>
      <c r="K199" s="124" t="n">
        <f aca="false">HLOOKUP($D$3,GDPRICES,VLOOKUP(Q199,GDmove_down,2,FALSE()),FALSE())</f>
        <v>6.475</v>
      </c>
      <c r="L199" s="124" t="n">
        <f aca="false">HLOOKUP($E$3,GDPRICES,VLOOKUP(Q199,GDmove_down,2,FALSE()),FALSE())</f>
        <v>3.195</v>
      </c>
      <c r="M199" s="126" t="n">
        <v>1</v>
      </c>
      <c r="N199" s="7" t="n">
        <v>0.515</v>
      </c>
      <c r="O199" s="7" t="n">
        <v>0.515</v>
      </c>
      <c r="P199" s="249" t="e">
        <f aca="false">HLOOKUP(E199,GDcorr,VLOOKUP(H199,GDCorMove,2,FALSE()),FALSE())</f>
        <v>#N/A</v>
      </c>
      <c r="Q199" s="92" t="n">
        <v>36705</v>
      </c>
      <c r="R199" s="7" t="n">
        <f aca="false">IF(G199="P",0,1)</f>
        <v>1</v>
      </c>
      <c r="S199" s="130" t="e">
        <f aca="false">xSPRDOPT($K199,$L199,$J199,$M199,$N199,$O199,$P199,$Q199-$C$3,$R199,0)</f>
        <v>#NAME?</v>
      </c>
      <c r="T199" s="250" t="e">
        <f aca="false">xSPRDOPT($K199,$L199,$J199,$M199,$N199,$O199,$P199,$Q199-$C$3,$R199,1)*I199</f>
        <v>#NAME?</v>
      </c>
      <c r="U199" s="43" t="n">
        <v>-4150</v>
      </c>
      <c r="V199" s="250" t="e">
        <f aca="false">xSPRDOPT($K199,$L199,$J199,$M199,$N199,$O199,$P199,$Q199-$C$3,$R199,2)*I199</f>
        <v>#NAME?</v>
      </c>
      <c r="W199" s="250" t="e">
        <f aca="false">+V199+T199</f>
        <v>#NAME?</v>
      </c>
      <c r="X199" s="2" t="str">
        <f aca="false">CONCATENATE(H199,E199)</f>
        <v>36678IF-ELPO/SJ</v>
      </c>
      <c r="Y199" s="251" t="n">
        <f aca="false">I199/10000</f>
        <v>-1</v>
      </c>
      <c r="AB199" s="182"/>
      <c r="AC199" s="253"/>
      <c r="AD199" s="253"/>
      <c r="AE199" s="132"/>
      <c r="AF199" s="253"/>
      <c r="AG199" s="253"/>
      <c r="AH199" s="253"/>
      <c r="AI199" s="253"/>
      <c r="AJ199" s="254"/>
      <c r="BG199" s="285" t="n">
        <v>42339</v>
      </c>
      <c r="BH199" s="0" t="n">
        <v>0.970485</v>
      </c>
      <c r="BJ199" s="285" t="n">
        <v>42339</v>
      </c>
      <c r="BK199" s="0" t="n">
        <v>196</v>
      </c>
    </row>
    <row r="200" customFormat="false" ht="12" hidden="false" customHeight="true" outlineLevel="0" collapsed="false">
      <c r="A200" s="267" t="s">
        <v>198</v>
      </c>
      <c r="B200" s="269" t="s">
        <v>192</v>
      </c>
      <c r="C200" s="269" t="s">
        <v>492</v>
      </c>
      <c r="D200" s="269" t="s">
        <v>137</v>
      </c>
      <c r="E200" s="7" t="s">
        <v>483</v>
      </c>
      <c r="F200" s="269" t="s">
        <v>131</v>
      </c>
      <c r="G200" s="269" t="s">
        <v>136</v>
      </c>
      <c r="H200" s="286" t="n">
        <v>36678</v>
      </c>
      <c r="I200" s="272" t="n">
        <v>50000</v>
      </c>
      <c r="J200" s="125" t="n">
        <v>0.46</v>
      </c>
      <c r="K200" s="124" t="n">
        <f aca="false">HLOOKUP($D$3,GDPRICES,VLOOKUP(Q200,GDmove_down,2,FALSE()),FALSE())</f>
        <v>6.475</v>
      </c>
      <c r="L200" s="124" t="n">
        <f aca="false">HLOOKUP($E$3,GDPRICES,VLOOKUP(Q200,GDmove_down,2,FALSE()),FALSE())</f>
        <v>3.195</v>
      </c>
      <c r="M200" s="126" t="n">
        <v>1</v>
      </c>
      <c r="N200" s="7" t="n">
        <v>0.515</v>
      </c>
      <c r="O200" s="7" t="n">
        <v>0.515</v>
      </c>
      <c r="P200" s="249" t="e">
        <f aca="false">HLOOKUP(E200,GDcorr,VLOOKUP(H200,GDCorMove,2,FALSE()),FALSE())</f>
        <v>#N/A</v>
      </c>
      <c r="Q200" s="92" t="n">
        <v>36705</v>
      </c>
      <c r="R200" s="7" t="n">
        <f aca="false">IF(G200="P",0,1)</f>
        <v>1</v>
      </c>
      <c r="S200" s="130" t="e">
        <f aca="false">xSPRDOPT($K200,$L200,$J200,$M200,$N200,$O200,$P200,$Q200-$C$3,$R200,0)</f>
        <v>#NAME?</v>
      </c>
      <c r="T200" s="250" t="e">
        <f aca="false">xSPRDOPT($K200,$L200,$J200,$M200,$N200,$O200,$P200,$Q200-$C$3,$R200,1)*I200</f>
        <v>#NAME?</v>
      </c>
      <c r="U200" s="43" t="n">
        <v>20750</v>
      </c>
      <c r="V200" s="250" t="e">
        <f aca="false">xSPRDOPT($K200,$L200,$J200,$M200,$N200,$O200,$P200,$Q200-$C$3,$R200,2)*I200</f>
        <v>#NAME?</v>
      </c>
      <c r="W200" s="250" t="e">
        <f aca="false">+V200+T200</f>
        <v>#NAME?</v>
      </c>
      <c r="X200" s="2" t="str">
        <f aca="false">CONCATENATE(H200,E200)</f>
        <v>36678IF-ELPO/SJ</v>
      </c>
      <c r="Y200" s="251" t="n">
        <f aca="false">I200/10000</f>
        <v>5</v>
      </c>
      <c r="AB200" s="182"/>
      <c r="AC200" s="253"/>
      <c r="AD200" s="253"/>
      <c r="AE200" s="132"/>
      <c r="AF200" s="253"/>
      <c r="AG200" s="253"/>
      <c r="AH200" s="253"/>
      <c r="AI200" s="253"/>
      <c r="AJ200" s="254"/>
      <c r="BG200" s="285" t="n">
        <v>42370</v>
      </c>
      <c r="BH200" s="0" t="n">
        <v>0</v>
      </c>
      <c r="BJ200" s="285" t="n">
        <v>42370</v>
      </c>
      <c r="BK200" s="0" t="n">
        <v>197</v>
      </c>
    </row>
    <row r="201" customFormat="false" ht="12" hidden="false" customHeight="true" outlineLevel="0" collapsed="false">
      <c r="A201" s="267" t="s">
        <v>198</v>
      </c>
      <c r="B201" s="269" t="s">
        <v>192</v>
      </c>
      <c r="C201" s="269" t="s">
        <v>493</v>
      </c>
      <c r="D201" s="269" t="s">
        <v>137</v>
      </c>
      <c r="E201" s="7" t="s">
        <v>483</v>
      </c>
      <c r="F201" s="269" t="s">
        <v>131</v>
      </c>
      <c r="G201" s="269" t="s">
        <v>136</v>
      </c>
      <c r="H201" s="286" t="n">
        <v>36678</v>
      </c>
      <c r="I201" s="272" t="n">
        <v>50000</v>
      </c>
      <c r="J201" s="125" t="n">
        <v>0.46</v>
      </c>
      <c r="K201" s="124" t="n">
        <f aca="false">HLOOKUP($D$3,GDPRICES,VLOOKUP(Q201,GDmove_down,2,FALSE()),FALSE())</f>
        <v>6.475</v>
      </c>
      <c r="L201" s="124" t="n">
        <f aca="false">HLOOKUP($E$3,GDPRICES,VLOOKUP(Q201,GDmove_down,2,FALSE()),FALSE())</f>
        <v>3.195</v>
      </c>
      <c r="M201" s="126" t="n">
        <v>1</v>
      </c>
      <c r="N201" s="7" t="n">
        <v>0.515</v>
      </c>
      <c r="O201" s="7" t="n">
        <v>0.515</v>
      </c>
      <c r="P201" s="249" t="e">
        <f aca="false">HLOOKUP(E201,GDcorr,VLOOKUP(H201,GDCorMove,2,FALSE()),FALSE())</f>
        <v>#N/A</v>
      </c>
      <c r="Q201" s="92" t="n">
        <v>36705</v>
      </c>
      <c r="R201" s="7" t="n">
        <f aca="false">IF(G201="P",0,1)</f>
        <v>1</v>
      </c>
      <c r="S201" s="130" t="e">
        <f aca="false">xSPRDOPT($K201,$L201,$J201,$M201,$N201,$O201,$P201,$Q201-$C$3,$R201,0)</f>
        <v>#NAME?</v>
      </c>
      <c r="T201" s="250" t="e">
        <f aca="false">xSPRDOPT($K201,$L201,$J201,$M201,$N201,$O201,$P201,$Q201-$C$3,$R201,1)*I201</f>
        <v>#NAME?</v>
      </c>
      <c r="U201" s="43" t="n">
        <v>20750</v>
      </c>
      <c r="V201" s="250" t="e">
        <f aca="false">xSPRDOPT($K201,$L201,$J201,$M201,$N201,$O201,$P201,$Q201-$C$3,$R201,2)*I201</f>
        <v>#NAME?</v>
      </c>
      <c r="W201" s="250" t="e">
        <f aca="false">+V201+T201</f>
        <v>#NAME?</v>
      </c>
      <c r="X201" s="2" t="str">
        <f aca="false">CONCATENATE(H201,E201)</f>
        <v>36678IF-ELPO/SJ</v>
      </c>
      <c r="Y201" s="251" t="n">
        <f aca="false">I201/10000</f>
        <v>5</v>
      </c>
      <c r="AB201" s="182"/>
      <c r="AC201" s="253"/>
      <c r="AD201" s="253"/>
      <c r="AE201" s="132"/>
      <c r="AF201" s="253"/>
      <c r="AG201" s="253"/>
      <c r="AH201" s="253"/>
      <c r="AI201" s="253"/>
      <c r="AJ201" s="254"/>
      <c r="BG201" s="285" t="n">
        <v>42401</v>
      </c>
      <c r="BH201" s="0" t="n">
        <v>0</v>
      </c>
      <c r="BJ201" s="285" t="n">
        <v>42401</v>
      </c>
      <c r="BK201" s="0" t="n">
        <v>198</v>
      </c>
    </row>
    <row r="202" customFormat="false" ht="12" hidden="false" customHeight="true" outlineLevel="0" collapsed="false">
      <c r="A202" s="267" t="s">
        <v>198</v>
      </c>
      <c r="B202" s="269" t="s">
        <v>192</v>
      </c>
      <c r="C202" s="269" t="s">
        <v>494</v>
      </c>
      <c r="D202" s="269" t="s">
        <v>137</v>
      </c>
      <c r="E202" s="7" t="s">
        <v>483</v>
      </c>
      <c r="F202" s="269" t="s">
        <v>131</v>
      </c>
      <c r="G202" s="269" t="s">
        <v>136</v>
      </c>
      <c r="H202" s="286" t="n">
        <v>36678</v>
      </c>
      <c r="I202" s="272" t="n">
        <v>-10000</v>
      </c>
      <c r="J202" s="125" t="n">
        <v>0.46</v>
      </c>
      <c r="K202" s="124" t="n">
        <f aca="false">HLOOKUP($D$3,GDPRICES,VLOOKUP(Q202,GDmove_down,2,FALSE()),FALSE())</f>
        <v>6.475</v>
      </c>
      <c r="L202" s="124" t="n">
        <f aca="false">HLOOKUP($E$3,GDPRICES,VLOOKUP(Q202,GDmove_down,2,FALSE()),FALSE())</f>
        <v>3.195</v>
      </c>
      <c r="M202" s="126" t="n">
        <v>1</v>
      </c>
      <c r="N202" s="7" t="n">
        <v>0.515</v>
      </c>
      <c r="O202" s="7" t="n">
        <v>0.515</v>
      </c>
      <c r="P202" s="249" t="e">
        <f aca="false">HLOOKUP(E202,GDcorr,VLOOKUP(H202,GDCorMove,2,FALSE()),FALSE())</f>
        <v>#N/A</v>
      </c>
      <c r="Q202" s="92" t="n">
        <v>36705</v>
      </c>
      <c r="R202" s="7" t="n">
        <f aca="false">IF(G202="P",0,1)</f>
        <v>1</v>
      </c>
      <c r="S202" s="130" t="e">
        <f aca="false">xSPRDOPT($K202,$L202,$J202,$M202,$N202,$O202,$P202,$Q202-$C$3,$R202,0)</f>
        <v>#NAME?</v>
      </c>
      <c r="T202" s="250" t="e">
        <f aca="false">xSPRDOPT($K202,$L202,$J202,$M202,$N202,$O202,$P202,$Q202-$C$3,$R202,1)*I202</f>
        <v>#NAME?</v>
      </c>
      <c r="U202" s="43" t="n">
        <v>-4150</v>
      </c>
      <c r="V202" s="250" t="e">
        <f aca="false">xSPRDOPT($K202,$L202,$J202,$M202,$N202,$O202,$P202,$Q202-$C$3,$R202,2)*I202</f>
        <v>#NAME?</v>
      </c>
      <c r="W202" s="250" t="e">
        <f aca="false">+V202+T202</f>
        <v>#NAME?</v>
      </c>
      <c r="X202" s="2" t="str">
        <f aca="false">CONCATENATE(H202,E202)</f>
        <v>36678IF-ELPO/SJ</v>
      </c>
      <c r="Y202" s="251" t="n">
        <f aca="false">I202/10000</f>
        <v>-1</v>
      </c>
      <c r="Z202" s="2"/>
      <c r="AB202" s="182"/>
      <c r="AC202" s="253"/>
      <c r="AD202" s="253"/>
      <c r="AE202" s="132"/>
      <c r="AF202" s="253"/>
      <c r="AG202" s="253"/>
      <c r="AH202" s="253"/>
      <c r="AI202" s="253"/>
      <c r="AJ202" s="254"/>
      <c r="BG202" s="285" t="n">
        <v>42430</v>
      </c>
      <c r="BH202" s="0" t="n">
        <v>0</v>
      </c>
      <c r="BJ202" s="285" t="n">
        <v>42430</v>
      </c>
      <c r="BK202" s="0" t="n">
        <v>199</v>
      </c>
    </row>
    <row r="203" customFormat="false" ht="12" hidden="false" customHeight="true" outlineLevel="0" collapsed="false">
      <c r="A203" s="265" t="s">
        <v>198</v>
      </c>
      <c r="B203" s="269" t="s">
        <v>192</v>
      </c>
      <c r="C203" s="269" t="s">
        <v>488</v>
      </c>
      <c r="D203" s="269" t="s">
        <v>137</v>
      </c>
      <c r="E203" s="7" t="s">
        <v>483</v>
      </c>
      <c r="F203" s="269" t="s">
        <v>131</v>
      </c>
      <c r="G203" s="269" t="s">
        <v>136</v>
      </c>
      <c r="H203" s="286" t="n">
        <v>36678</v>
      </c>
      <c r="I203" s="272" t="n">
        <v>-50000</v>
      </c>
      <c r="J203" s="125" t="n">
        <v>0.46</v>
      </c>
      <c r="K203" s="124" t="n">
        <f aca="false">HLOOKUP($D$3,GDPRICES,VLOOKUP(Q203,GDmove_down,2,FALSE()),FALSE())</f>
        <v>6.94</v>
      </c>
      <c r="L203" s="124" t="n">
        <f aca="false">HLOOKUP($E$3,GDPRICES,VLOOKUP(Q203,GDmove_down,2,FALSE()),FALSE())</f>
        <v>3.29</v>
      </c>
      <c r="M203" s="126" t="n">
        <v>1</v>
      </c>
      <c r="N203" s="7" t="n">
        <v>0.515</v>
      </c>
      <c r="O203" s="7" t="n">
        <v>0.515</v>
      </c>
      <c r="P203" s="249" t="e">
        <f aca="false">HLOOKUP(E203,GDcorr,VLOOKUP(H203,GDCorMove,2,FALSE()),FALSE())</f>
        <v>#N/A</v>
      </c>
      <c r="Q203" s="92" t="n">
        <v>36706</v>
      </c>
      <c r="R203" s="7" t="n">
        <f aca="false">IF(G203="P",0,1)</f>
        <v>1</v>
      </c>
      <c r="S203" s="130" t="e">
        <f aca="false">xSPRDOPT($K203,$L203,$J203,$M203,$N203,$O203,$P203,$Q203-$C$3,$R203,0)</f>
        <v>#NAME?</v>
      </c>
      <c r="T203" s="250" t="e">
        <f aca="false">xSPRDOPT($K203,$L203,$J203,$M203,$N203,$O203,$P203,$Q203-$C$3,$R203,1)*I203</f>
        <v>#NAME?</v>
      </c>
      <c r="U203" s="43" t="n">
        <v>-24000</v>
      </c>
      <c r="V203" s="250" t="e">
        <f aca="false">xSPRDOPT($K203,$L203,$J203,$M203,$N203,$O203,$P203,$Q203-$C$3,$R203,2)*I203</f>
        <v>#NAME?</v>
      </c>
      <c r="W203" s="250" t="e">
        <f aca="false">+V203+T203</f>
        <v>#NAME?</v>
      </c>
      <c r="X203" s="2" t="str">
        <f aca="false">CONCATENATE(H203,E203)</f>
        <v>36678IF-ELPO/SJ</v>
      </c>
      <c r="Y203" s="251" t="n">
        <f aca="false">I203/10000</f>
        <v>-5</v>
      </c>
      <c r="Z203" s="2"/>
      <c r="AB203" s="182"/>
      <c r="AC203" s="253"/>
      <c r="AD203" s="253"/>
      <c r="AE203" s="132"/>
      <c r="AF203" s="253"/>
      <c r="AG203" s="253"/>
      <c r="AH203" s="253"/>
      <c r="AI203" s="253"/>
      <c r="AJ203" s="254"/>
      <c r="BG203" s="285" t="n">
        <v>42461</v>
      </c>
      <c r="BH203" s="0" t="n">
        <v>0</v>
      </c>
      <c r="BJ203" s="285" t="n">
        <v>42461</v>
      </c>
      <c r="BK203" s="0" t="n">
        <v>200</v>
      </c>
    </row>
    <row r="204" customFormat="false" ht="12" hidden="false" customHeight="true" outlineLevel="0" collapsed="false">
      <c r="A204" s="265" t="s">
        <v>198</v>
      </c>
      <c r="B204" s="269" t="s">
        <v>192</v>
      </c>
      <c r="C204" s="269" t="s">
        <v>489</v>
      </c>
      <c r="D204" s="269" t="s">
        <v>137</v>
      </c>
      <c r="E204" s="7" t="s">
        <v>483</v>
      </c>
      <c r="F204" s="269" t="s">
        <v>131</v>
      </c>
      <c r="G204" s="269" t="s">
        <v>136</v>
      </c>
      <c r="H204" s="286" t="n">
        <v>36678</v>
      </c>
      <c r="I204" s="272" t="n">
        <v>10000</v>
      </c>
      <c r="J204" s="125" t="n">
        <v>0.46</v>
      </c>
      <c r="K204" s="124" t="n">
        <f aca="false">HLOOKUP($D$3,GDPRICES,VLOOKUP(Q204,GDmove_down,2,FALSE()),FALSE())</f>
        <v>6.94</v>
      </c>
      <c r="L204" s="124" t="n">
        <f aca="false">HLOOKUP($E$3,GDPRICES,VLOOKUP(Q204,GDmove_down,2,FALSE()),FALSE())</f>
        <v>3.29</v>
      </c>
      <c r="M204" s="126" t="n">
        <v>1</v>
      </c>
      <c r="N204" s="7" t="n">
        <v>0.515</v>
      </c>
      <c r="O204" s="7" t="n">
        <v>0.515</v>
      </c>
      <c r="P204" s="249" t="e">
        <f aca="false">HLOOKUP(E204,GDcorr,VLOOKUP(H204,GDCorMove,2,FALSE()),FALSE())</f>
        <v>#N/A</v>
      </c>
      <c r="Q204" s="92" t="n">
        <v>36706</v>
      </c>
      <c r="R204" s="7" t="n">
        <f aca="false">IF(G204="P",0,1)</f>
        <v>1</v>
      </c>
      <c r="S204" s="130" t="e">
        <f aca="false">xSPRDOPT($K204,$L204,$J204,$M204,$N204,$O204,$P204,$Q204-$C$3,$R204,0)</f>
        <v>#NAME?</v>
      </c>
      <c r="T204" s="250" t="e">
        <f aca="false">xSPRDOPT($K204,$L204,$J204,$M204,$N204,$O204,$P204,$Q204-$C$3,$R204,1)*I204</f>
        <v>#NAME?</v>
      </c>
      <c r="U204" s="43" t="n">
        <v>4800</v>
      </c>
      <c r="V204" s="250" t="e">
        <f aca="false">xSPRDOPT($K204,$L204,$J204,$M204,$N204,$O204,$P204,$Q204-$C$3,$R204,2)*I204</f>
        <v>#NAME?</v>
      </c>
      <c r="W204" s="250" t="e">
        <f aca="false">+V204+T204</f>
        <v>#NAME?</v>
      </c>
      <c r="X204" s="2" t="str">
        <f aca="false">CONCATENATE(H204,E204)</f>
        <v>36678IF-ELPO/SJ</v>
      </c>
      <c r="Y204" s="251" t="n">
        <f aca="false">I204/10000</f>
        <v>1</v>
      </c>
      <c r="Z204" s="2"/>
      <c r="AB204" s="182"/>
      <c r="AC204" s="253"/>
      <c r="AD204" s="253"/>
      <c r="AE204" s="132"/>
      <c r="AF204" s="253"/>
      <c r="AG204" s="253"/>
      <c r="AH204" s="253"/>
      <c r="AI204" s="253"/>
      <c r="AJ204" s="254"/>
      <c r="BG204" s="285" t="n">
        <v>42491</v>
      </c>
      <c r="BH204" s="0" t="n">
        <v>0</v>
      </c>
      <c r="BJ204" s="285" t="n">
        <v>42491</v>
      </c>
      <c r="BK204" s="0" t="n">
        <v>201</v>
      </c>
    </row>
    <row r="205" customFormat="false" ht="12" hidden="false" customHeight="true" outlineLevel="0" collapsed="false">
      <c r="A205" s="265" t="s">
        <v>198</v>
      </c>
      <c r="B205" s="269" t="s">
        <v>192</v>
      </c>
      <c r="C205" s="269" t="s">
        <v>490</v>
      </c>
      <c r="D205" s="269" t="s">
        <v>137</v>
      </c>
      <c r="E205" s="7" t="s">
        <v>483</v>
      </c>
      <c r="F205" s="269" t="s">
        <v>131</v>
      </c>
      <c r="G205" s="269" t="s">
        <v>136</v>
      </c>
      <c r="H205" s="286" t="n">
        <v>36678</v>
      </c>
      <c r="I205" s="272" t="n">
        <v>-333333</v>
      </c>
      <c r="J205" s="125" t="n">
        <v>0.46</v>
      </c>
      <c r="K205" s="124" t="n">
        <f aca="false">HLOOKUP($D$3,GDPRICES,VLOOKUP(Q205,GDmove_down,2,FALSE()),FALSE())</f>
        <v>6.94</v>
      </c>
      <c r="L205" s="124" t="n">
        <f aca="false">HLOOKUP($E$3,GDPRICES,VLOOKUP(Q205,GDmove_down,2,FALSE()),FALSE())</f>
        <v>3.29</v>
      </c>
      <c r="M205" s="126" t="n">
        <v>1</v>
      </c>
      <c r="N205" s="7" t="n">
        <v>0.515</v>
      </c>
      <c r="O205" s="7" t="n">
        <v>0.515</v>
      </c>
      <c r="P205" s="249" t="e">
        <f aca="false">HLOOKUP(E205,GDcorr,VLOOKUP(H205,GDCorMove,2,FALSE()),FALSE())</f>
        <v>#N/A</v>
      </c>
      <c r="Q205" s="92" t="n">
        <v>36706</v>
      </c>
      <c r="R205" s="7" t="n">
        <f aca="false">IF(G205="P",0,1)</f>
        <v>1</v>
      </c>
      <c r="S205" s="130" t="e">
        <f aca="false">xSPRDOPT($K205,$L205,$J205,$M205,$N205,$O205,$P205,$Q205-$C$3,$R205,0)</f>
        <v>#NAME?</v>
      </c>
      <c r="T205" s="250" t="e">
        <f aca="false">xSPRDOPT($K205,$L205,$J205,$M205,$N205,$O205,$P205,$Q205-$C$3,$R205,1)*I205</f>
        <v>#NAME?</v>
      </c>
      <c r="U205" s="43" t="n">
        <v>-159999.84</v>
      </c>
      <c r="V205" s="250" t="e">
        <f aca="false">xSPRDOPT($K205,$L205,$J205,$M205,$N205,$O205,$P205,$Q205-$C$3,$R205,2)*I205</f>
        <v>#NAME?</v>
      </c>
      <c r="W205" s="250" t="e">
        <f aca="false">+V205+T205</f>
        <v>#NAME?</v>
      </c>
      <c r="X205" s="2" t="str">
        <f aca="false">CONCATENATE(H205,E205)</f>
        <v>36678IF-ELPO/SJ</v>
      </c>
      <c r="Y205" s="251" t="n">
        <f aca="false">I205/10000</f>
        <v>-33.3333</v>
      </c>
      <c r="Z205" s="2"/>
      <c r="AB205" s="182"/>
      <c r="AC205" s="253"/>
      <c r="AD205" s="253"/>
      <c r="AE205" s="132"/>
      <c r="AF205" s="253"/>
      <c r="AG205" s="253"/>
      <c r="AH205" s="253"/>
      <c r="AI205" s="253"/>
      <c r="AJ205" s="254"/>
      <c r="BG205" s="285" t="n">
        <v>42522</v>
      </c>
      <c r="BH205" s="0" t="n">
        <v>0</v>
      </c>
      <c r="BJ205" s="285" t="n">
        <v>42522</v>
      </c>
      <c r="BK205" s="0" t="n">
        <v>202</v>
      </c>
    </row>
    <row r="206" customFormat="false" ht="12" hidden="false" customHeight="true" outlineLevel="0" collapsed="false">
      <c r="A206" s="267" t="s">
        <v>196</v>
      </c>
      <c r="B206" s="269" t="s">
        <v>192</v>
      </c>
      <c r="C206" s="269" t="s">
        <v>491</v>
      </c>
      <c r="D206" s="269" t="s">
        <v>137</v>
      </c>
      <c r="E206" s="7" t="s">
        <v>483</v>
      </c>
      <c r="F206" s="269" t="s">
        <v>131</v>
      </c>
      <c r="G206" s="269" t="s">
        <v>136</v>
      </c>
      <c r="H206" s="286" t="n">
        <v>36678</v>
      </c>
      <c r="I206" s="272" t="n">
        <v>-10000</v>
      </c>
      <c r="J206" s="125" t="n">
        <v>0.46</v>
      </c>
      <c r="K206" s="124" t="n">
        <f aca="false">HLOOKUP($D$3,GDPRICES,VLOOKUP(Q206,GDmove_down,2,FALSE()),FALSE())</f>
        <v>6.94</v>
      </c>
      <c r="L206" s="124" t="n">
        <f aca="false">HLOOKUP($E$3,GDPRICES,VLOOKUP(Q206,GDmove_down,2,FALSE()),FALSE())</f>
        <v>3.29</v>
      </c>
      <c r="M206" s="126" t="n">
        <v>1</v>
      </c>
      <c r="N206" s="7" t="n">
        <v>0.515</v>
      </c>
      <c r="O206" s="7" t="n">
        <v>0.515</v>
      </c>
      <c r="P206" s="249" t="e">
        <f aca="false">HLOOKUP(E206,GDcorr,VLOOKUP(H206,GDCorMove,2,FALSE()),FALSE())</f>
        <v>#N/A</v>
      </c>
      <c r="Q206" s="92" t="n">
        <v>36706</v>
      </c>
      <c r="R206" s="7" t="n">
        <f aca="false">IF(G206="P",0,1)</f>
        <v>1</v>
      </c>
      <c r="S206" s="130" t="e">
        <f aca="false">xSPRDOPT($K206,$L206,$J206,$M206,$N206,$O206,$P206,$Q206-$C$3,$R206,0)</f>
        <v>#NAME?</v>
      </c>
      <c r="T206" s="250" t="e">
        <f aca="false">xSPRDOPT($K206,$L206,$J206,$M206,$N206,$O206,$P206,$Q206-$C$3,$R206,1)*I206</f>
        <v>#NAME?</v>
      </c>
      <c r="U206" s="43" t="n">
        <v>-4800</v>
      </c>
      <c r="V206" s="250" t="e">
        <f aca="false">xSPRDOPT($K206,$L206,$J206,$M206,$N206,$O206,$P206,$Q206-$C$3,$R206,2)*I206</f>
        <v>#NAME?</v>
      </c>
      <c r="W206" s="250" t="e">
        <f aca="false">+V206+T206</f>
        <v>#NAME?</v>
      </c>
      <c r="X206" s="2" t="str">
        <f aca="false">CONCATENATE(H206,E206)</f>
        <v>36678IF-ELPO/SJ</v>
      </c>
      <c r="Y206" s="251" t="n">
        <f aca="false">I206/10000</f>
        <v>-1</v>
      </c>
      <c r="Z206" s="2"/>
      <c r="AB206" s="182"/>
      <c r="AC206" s="253"/>
      <c r="AD206" s="253"/>
      <c r="AE206" s="132"/>
      <c r="AF206" s="253"/>
      <c r="AG206" s="253"/>
      <c r="AH206" s="253"/>
      <c r="AI206" s="253"/>
      <c r="AJ206" s="254"/>
      <c r="BG206" s="285" t="n">
        <v>42552</v>
      </c>
      <c r="BH206" s="0" t="n">
        <v>0</v>
      </c>
      <c r="BJ206" s="285" t="n">
        <v>42552</v>
      </c>
      <c r="BK206" s="0" t="n">
        <v>203</v>
      </c>
    </row>
    <row r="207" customFormat="false" ht="12" hidden="false" customHeight="true" outlineLevel="0" collapsed="false">
      <c r="A207" s="267" t="s">
        <v>198</v>
      </c>
      <c r="B207" s="269" t="s">
        <v>192</v>
      </c>
      <c r="C207" s="269" t="s">
        <v>492</v>
      </c>
      <c r="D207" s="269" t="s">
        <v>137</v>
      </c>
      <c r="E207" s="7" t="s">
        <v>483</v>
      </c>
      <c r="F207" s="269" t="s">
        <v>131</v>
      </c>
      <c r="G207" s="269" t="s">
        <v>136</v>
      </c>
      <c r="H207" s="286" t="n">
        <v>36678</v>
      </c>
      <c r="I207" s="272" t="n">
        <v>50000</v>
      </c>
      <c r="J207" s="125" t="n">
        <v>0.46</v>
      </c>
      <c r="K207" s="124" t="n">
        <f aca="false">HLOOKUP($D$3,GDPRICES,VLOOKUP(Q207,GDmove_down,2,FALSE()),FALSE())</f>
        <v>6.94</v>
      </c>
      <c r="L207" s="124" t="n">
        <f aca="false">HLOOKUP($E$3,GDPRICES,VLOOKUP(Q207,GDmove_down,2,FALSE()),FALSE())</f>
        <v>3.29</v>
      </c>
      <c r="M207" s="126" t="n">
        <v>1</v>
      </c>
      <c r="N207" s="7" t="n">
        <v>0.515</v>
      </c>
      <c r="O207" s="7" t="n">
        <v>0.515</v>
      </c>
      <c r="P207" s="249" t="e">
        <f aca="false">HLOOKUP(E207,GDcorr,VLOOKUP(H207,GDCorMove,2,FALSE()),FALSE())</f>
        <v>#N/A</v>
      </c>
      <c r="Q207" s="92" t="n">
        <v>36706</v>
      </c>
      <c r="R207" s="7" t="n">
        <f aca="false">IF(G207="P",0,1)</f>
        <v>1</v>
      </c>
      <c r="S207" s="130" t="e">
        <f aca="false">xSPRDOPT($K207,$L207,$J207,$M207,$N207,$O207,$P207,$Q207-$C$3,$R207,0)</f>
        <v>#NAME?</v>
      </c>
      <c r="T207" s="250" t="e">
        <f aca="false">xSPRDOPT($K207,$L207,$J207,$M207,$N207,$O207,$P207,$Q207-$C$3,$R207,1)*I207</f>
        <v>#NAME?</v>
      </c>
      <c r="U207" s="43" t="n">
        <v>24000</v>
      </c>
      <c r="V207" s="250" t="e">
        <f aca="false">xSPRDOPT($K207,$L207,$J207,$M207,$N207,$O207,$P207,$Q207-$C$3,$R207,2)*I207</f>
        <v>#NAME?</v>
      </c>
      <c r="W207" s="250" t="e">
        <f aca="false">+V207+T207</f>
        <v>#NAME?</v>
      </c>
      <c r="X207" s="2" t="str">
        <f aca="false">CONCATENATE(H207,E207)</f>
        <v>36678IF-ELPO/SJ</v>
      </c>
      <c r="Y207" s="251" t="n">
        <f aca="false">I207/10000</f>
        <v>5</v>
      </c>
      <c r="Z207" s="2"/>
      <c r="AB207" s="182"/>
      <c r="AC207" s="253"/>
      <c r="AD207" s="253"/>
      <c r="AE207" s="132"/>
      <c r="AF207" s="253"/>
      <c r="AG207" s="253"/>
      <c r="AH207" s="253"/>
      <c r="AI207" s="253"/>
      <c r="AJ207" s="254"/>
      <c r="BG207" s="285" t="n">
        <v>42583</v>
      </c>
      <c r="BH207" s="0" t="n">
        <v>0</v>
      </c>
      <c r="BJ207" s="285" t="n">
        <v>42583</v>
      </c>
      <c r="BK207" s="0" t="n">
        <v>204</v>
      </c>
    </row>
    <row r="208" customFormat="false" ht="12" hidden="false" customHeight="true" outlineLevel="0" collapsed="false">
      <c r="A208" s="267" t="s">
        <v>198</v>
      </c>
      <c r="B208" s="269" t="s">
        <v>192</v>
      </c>
      <c r="C208" s="269" t="s">
        <v>493</v>
      </c>
      <c r="D208" s="269" t="s">
        <v>137</v>
      </c>
      <c r="E208" s="7" t="s">
        <v>483</v>
      </c>
      <c r="F208" s="269" t="s">
        <v>131</v>
      </c>
      <c r="G208" s="269" t="s">
        <v>136</v>
      </c>
      <c r="H208" s="286" t="n">
        <v>36678</v>
      </c>
      <c r="I208" s="272" t="n">
        <v>50000</v>
      </c>
      <c r="J208" s="125" t="n">
        <v>0.46</v>
      </c>
      <c r="K208" s="124" t="n">
        <f aca="false">HLOOKUP($D$3,GDPRICES,VLOOKUP(Q208,GDmove_down,2,FALSE()),FALSE())</f>
        <v>6.94</v>
      </c>
      <c r="L208" s="124" t="n">
        <f aca="false">HLOOKUP($E$3,GDPRICES,VLOOKUP(Q208,GDmove_down,2,FALSE()),FALSE())</f>
        <v>3.29</v>
      </c>
      <c r="M208" s="126" t="n">
        <v>1</v>
      </c>
      <c r="N208" s="7" t="n">
        <v>0.515</v>
      </c>
      <c r="O208" s="7" t="n">
        <v>0.515</v>
      </c>
      <c r="P208" s="249" t="e">
        <f aca="false">HLOOKUP(E208,GDcorr,VLOOKUP(H208,GDCorMove,2,FALSE()),FALSE())</f>
        <v>#N/A</v>
      </c>
      <c r="Q208" s="92" t="n">
        <v>36706</v>
      </c>
      <c r="R208" s="7" t="n">
        <f aca="false">IF(G208="P",0,1)</f>
        <v>1</v>
      </c>
      <c r="S208" s="130" t="e">
        <f aca="false">xSPRDOPT($K208,$L208,$J208,$M208,$N208,$O208,$P208,$Q208-$C$3,$R208,0)</f>
        <v>#NAME?</v>
      </c>
      <c r="T208" s="250" t="e">
        <f aca="false">xSPRDOPT($K208,$L208,$J208,$M208,$N208,$O208,$P208,$Q208-$C$3,$R208,1)*I208</f>
        <v>#NAME?</v>
      </c>
      <c r="U208" s="43" t="n">
        <v>24000</v>
      </c>
      <c r="V208" s="250" t="e">
        <f aca="false">xSPRDOPT($K208,$L208,$J208,$M208,$N208,$O208,$P208,$Q208-$C$3,$R208,2)*I208</f>
        <v>#NAME?</v>
      </c>
      <c r="W208" s="250" t="e">
        <f aca="false">+V208+T208</f>
        <v>#NAME?</v>
      </c>
      <c r="X208" s="2" t="str">
        <f aca="false">CONCATENATE(H208,E208)</f>
        <v>36678IF-ELPO/SJ</v>
      </c>
      <c r="Y208" s="251" t="n">
        <f aca="false">I208/10000</f>
        <v>5</v>
      </c>
      <c r="Z208" s="2"/>
      <c r="AB208" s="182"/>
      <c r="AC208" s="253"/>
      <c r="AD208" s="253"/>
      <c r="AE208" s="132"/>
      <c r="AF208" s="253"/>
      <c r="AG208" s="253"/>
      <c r="AH208" s="253"/>
      <c r="AI208" s="253"/>
      <c r="AJ208" s="254"/>
      <c r="BG208" s="285" t="n">
        <v>42614</v>
      </c>
      <c r="BH208" s="0" t="n">
        <v>0</v>
      </c>
      <c r="BJ208" s="285" t="n">
        <v>42614</v>
      </c>
      <c r="BK208" s="0" t="n">
        <v>205</v>
      </c>
    </row>
    <row r="209" customFormat="false" ht="12" hidden="false" customHeight="true" outlineLevel="0" collapsed="false">
      <c r="A209" s="267" t="s">
        <v>198</v>
      </c>
      <c r="B209" s="269" t="s">
        <v>192</v>
      </c>
      <c r="C209" s="269" t="s">
        <v>494</v>
      </c>
      <c r="D209" s="269" t="s">
        <v>137</v>
      </c>
      <c r="E209" s="7" t="s">
        <v>483</v>
      </c>
      <c r="F209" s="269" t="s">
        <v>131</v>
      </c>
      <c r="G209" s="269" t="s">
        <v>136</v>
      </c>
      <c r="H209" s="286" t="n">
        <v>36678</v>
      </c>
      <c r="I209" s="272" t="n">
        <v>-10000</v>
      </c>
      <c r="J209" s="125" t="n">
        <v>0.46</v>
      </c>
      <c r="K209" s="124" t="n">
        <f aca="false">HLOOKUP($D$3,GDPRICES,VLOOKUP(Q209,GDmove_down,2,FALSE()),FALSE())</f>
        <v>6.94</v>
      </c>
      <c r="L209" s="124" t="n">
        <f aca="false">HLOOKUP($E$3,GDPRICES,VLOOKUP(Q209,GDmove_down,2,FALSE()),FALSE())</f>
        <v>3.29</v>
      </c>
      <c r="M209" s="126" t="n">
        <v>1</v>
      </c>
      <c r="N209" s="7" t="n">
        <v>0.515</v>
      </c>
      <c r="O209" s="7" t="n">
        <v>0.515</v>
      </c>
      <c r="P209" s="249" t="e">
        <f aca="false">HLOOKUP(E209,GDcorr,VLOOKUP(H209,GDCorMove,2,FALSE()),FALSE())</f>
        <v>#N/A</v>
      </c>
      <c r="Q209" s="92" t="n">
        <v>36706</v>
      </c>
      <c r="R209" s="7" t="n">
        <f aca="false">IF(G209="P",0,1)</f>
        <v>1</v>
      </c>
      <c r="S209" s="130" t="e">
        <f aca="false">xSPRDOPT($K209,$L209,$J209,$M209,$N209,$O209,$P209,$Q209-$C$3,$R209,0)</f>
        <v>#NAME?</v>
      </c>
      <c r="T209" s="250" t="e">
        <f aca="false">xSPRDOPT($K209,$L209,$J209,$M209,$N209,$O209,$P209,$Q209-$C$3,$R209,1)*I209</f>
        <v>#NAME?</v>
      </c>
      <c r="U209" s="43" t="n">
        <v>-4800</v>
      </c>
      <c r="V209" s="250" t="e">
        <f aca="false">xSPRDOPT($K209,$L209,$J209,$M209,$N209,$O209,$P209,$Q209-$C$3,$R209,2)*I209</f>
        <v>#NAME?</v>
      </c>
      <c r="W209" s="250" t="e">
        <f aca="false">+V209+T209</f>
        <v>#NAME?</v>
      </c>
      <c r="X209" s="2" t="str">
        <f aca="false">CONCATENATE(H209,E209)</f>
        <v>36678IF-ELPO/SJ</v>
      </c>
      <c r="Y209" s="251" t="n">
        <f aca="false">I209/10000</f>
        <v>-1</v>
      </c>
      <c r="AB209" s="182"/>
      <c r="AC209" s="253"/>
      <c r="AD209" s="253"/>
      <c r="AE209" s="132"/>
      <c r="AF209" s="253"/>
      <c r="AG209" s="253"/>
      <c r="AH209" s="253"/>
      <c r="AI209" s="253"/>
      <c r="AJ209" s="254"/>
      <c r="BG209" s="285" t="n">
        <v>42644</v>
      </c>
      <c r="BH209" s="0" t="n">
        <v>0</v>
      </c>
      <c r="BJ209" s="285" t="n">
        <v>42644</v>
      </c>
      <c r="BK209" s="0" t="n">
        <v>206</v>
      </c>
    </row>
    <row r="210" customFormat="false" ht="12" hidden="false" customHeight="true" outlineLevel="0" collapsed="false">
      <c r="A210" s="265" t="s">
        <v>198</v>
      </c>
      <c r="B210" s="269" t="s">
        <v>192</v>
      </c>
      <c r="C210" s="269" t="s">
        <v>488</v>
      </c>
      <c r="D210" s="269" t="s">
        <v>137</v>
      </c>
      <c r="E210" s="7" t="s">
        <v>483</v>
      </c>
      <c r="F210" s="269" t="s">
        <v>131</v>
      </c>
      <c r="G210" s="269" t="s">
        <v>136</v>
      </c>
      <c r="H210" s="286" t="n">
        <v>36678</v>
      </c>
      <c r="I210" s="272" t="n">
        <v>-50000</v>
      </c>
      <c r="J210" s="125" t="n">
        <v>0.46</v>
      </c>
      <c r="K210" s="124" t="n">
        <f aca="false">HLOOKUP($D$3,GDPRICES,VLOOKUP(Q210,GDmove_down,2,FALSE()),FALSE())</f>
        <v>7.24</v>
      </c>
      <c r="L210" s="124" t="n">
        <f aca="false">HLOOKUP($E$3,GDPRICES,VLOOKUP(Q210,GDmove_down,2,FALSE()),FALSE())</f>
        <v>3.34</v>
      </c>
      <c r="M210" s="126" t="n">
        <v>1</v>
      </c>
      <c r="N210" s="7" t="n">
        <v>0.515</v>
      </c>
      <c r="O210" s="7" t="n">
        <v>0.515</v>
      </c>
      <c r="P210" s="249" t="e">
        <f aca="false">HLOOKUP(E210,GDcorr,VLOOKUP(H210,GDCorMove,2,FALSE()),FALSE())</f>
        <v>#N/A</v>
      </c>
      <c r="Q210" s="92" t="n">
        <v>36707</v>
      </c>
      <c r="R210" s="7" t="n">
        <f aca="false">IF(G210="P",0,1)</f>
        <v>1</v>
      </c>
      <c r="S210" s="130" t="e">
        <f aca="false">xSPRDOPT($K210,$L210,$J210,$M210,$N210,$O210,$P210,$Q210-$C$3,$R210,0)</f>
        <v>#NAME?</v>
      </c>
      <c r="T210" s="250" t="e">
        <f aca="false">xSPRDOPT($K210,$L210,$J210,$M210,$N210,$O210,$P210,$Q210-$C$3,$R210,1)*I210</f>
        <v>#NAME?</v>
      </c>
      <c r="U210" s="43" t="n">
        <v>-22750</v>
      </c>
      <c r="V210" s="250" t="e">
        <f aca="false">xSPRDOPT($K210,$L210,$J210,$M210,$N210,$O210,$P210,$Q210-$C$3,$R210,2)*I210</f>
        <v>#NAME?</v>
      </c>
      <c r="W210" s="250" t="e">
        <f aca="false">+V210+T210</f>
        <v>#NAME?</v>
      </c>
      <c r="X210" s="2" t="str">
        <f aca="false">CONCATENATE(H210,E210)</f>
        <v>36678IF-ELPO/SJ</v>
      </c>
      <c r="Y210" s="251" t="n">
        <f aca="false">I210/10000</f>
        <v>-5</v>
      </c>
      <c r="AB210" s="182"/>
      <c r="AC210" s="253"/>
      <c r="AD210" s="253"/>
      <c r="AE210" s="132"/>
      <c r="AF210" s="253"/>
      <c r="AG210" s="253"/>
      <c r="AH210" s="253"/>
      <c r="AI210" s="253"/>
      <c r="AJ210" s="254"/>
      <c r="BG210" s="285" t="n">
        <v>42675</v>
      </c>
      <c r="BH210" s="0" t="n">
        <v>0</v>
      </c>
      <c r="BJ210" s="285" t="n">
        <v>42675</v>
      </c>
      <c r="BK210" s="0" t="n">
        <v>207</v>
      </c>
    </row>
    <row r="211" customFormat="false" ht="12" hidden="false" customHeight="true" outlineLevel="0" collapsed="false">
      <c r="A211" s="265" t="s">
        <v>198</v>
      </c>
      <c r="B211" s="269" t="s">
        <v>192</v>
      </c>
      <c r="C211" s="269" t="s">
        <v>489</v>
      </c>
      <c r="D211" s="269" t="s">
        <v>137</v>
      </c>
      <c r="E211" s="7" t="s">
        <v>483</v>
      </c>
      <c r="F211" s="269" t="s">
        <v>131</v>
      </c>
      <c r="G211" s="269" t="s">
        <v>136</v>
      </c>
      <c r="H211" s="286" t="n">
        <v>36678</v>
      </c>
      <c r="I211" s="272" t="n">
        <v>10000</v>
      </c>
      <c r="J211" s="125" t="n">
        <v>0.46</v>
      </c>
      <c r="K211" s="124" t="n">
        <f aca="false">HLOOKUP($D$3,GDPRICES,VLOOKUP(Q211,GDmove_down,2,FALSE()),FALSE())</f>
        <v>7.24</v>
      </c>
      <c r="L211" s="124" t="n">
        <f aca="false">HLOOKUP($E$3,GDPRICES,VLOOKUP(Q211,GDmove_down,2,FALSE()),FALSE())</f>
        <v>3.34</v>
      </c>
      <c r="M211" s="126" t="n">
        <v>1</v>
      </c>
      <c r="N211" s="7" t="n">
        <v>0.515</v>
      </c>
      <c r="O211" s="7" t="n">
        <v>0.515</v>
      </c>
      <c r="P211" s="249" t="e">
        <f aca="false">HLOOKUP(E211,GDcorr,VLOOKUP(H211,GDCorMove,2,FALSE()),FALSE())</f>
        <v>#N/A</v>
      </c>
      <c r="Q211" s="92" t="n">
        <v>36707</v>
      </c>
      <c r="R211" s="7" t="n">
        <f aca="false">IF(G211="P",0,1)</f>
        <v>1</v>
      </c>
      <c r="S211" s="130" t="e">
        <f aca="false">xSPRDOPT($K211,$L211,$J211,$M211,$N211,$O211,$P211,$Q211-$C$3,$R211,0)</f>
        <v>#NAME?</v>
      </c>
      <c r="T211" s="250" t="e">
        <f aca="false">xSPRDOPT($K211,$L211,$J211,$M211,$N211,$O211,$P211,$Q211-$C$3,$R211,1)*I211</f>
        <v>#NAME?</v>
      </c>
      <c r="U211" s="43" t="n">
        <v>4550</v>
      </c>
      <c r="V211" s="250" t="e">
        <f aca="false">xSPRDOPT($K211,$L211,$J211,$M211,$N211,$O211,$P211,$Q211-$C$3,$R211,2)*I211</f>
        <v>#NAME?</v>
      </c>
      <c r="W211" s="250" t="e">
        <f aca="false">+V211+T211</f>
        <v>#NAME?</v>
      </c>
      <c r="X211" s="2" t="str">
        <f aca="false">CONCATENATE(H211,E211)</f>
        <v>36678IF-ELPO/SJ</v>
      </c>
      <c r="Y211" s="251" t="n">
        <f aca="false">I211/10000</f>
        <v>1</v>
      </c>
      <c r="AB211" s="182"/>
      <c r="AC211" s="253"/>
      <c r="AD211" s="253"/>
      <c r="AE211" s="132"/>
      <c r="AF211" s="253"/>
      <c r="AG211" s="253"/>
      <c r="AH211" s="253"/>
      <c r="AI211" s="253"/>
      <c r="AJ211" s="254"/>
      <c r="BG211" s="285" t="n">
        <v>42705</v>
      </c>
      <c r="BH211" s="0" t="n">
        <v>0</v>
      </c>
      <c r="BJ211" s="285" t="n">
        <v>42705</v>
      </c>
      <c r="BK211" s="0" t="n">
        <v>208</v>
      </c>
    </row>
    <row r="212" customFormat="false" ht="12" hidden="false" customHeight="true" outlineLevel="0" collapsed="false">
      <c r="A212" s="265" t="s">
        <v>198</v>
      </c>
      <c r="B212" s="269" t="s">
        <v>192</v>
      </c>
      <c r="C212" s="269" t="s">
        <v>490</v>
      </c>
      <c r="D212" s="269" t="s">
        <v>137</v>
      </c>
      <c r="E212" s="7" t="s">
        <v>483</v>
      </c>
      <c r="F212" s="269" t="s">
        <v>131</v>
      </c>
      <c r="G212" s="269" t="s">
        <v>136</v>
      </c>
      <c r="H212" s="286" t="n">
        <v>36678</v>
      </c>
      <c r="I212" s="272" t="n">
        <v>-333333</v>
      </c>
      <c r="J212" s="125" t="n">
        <v>0.46</v>
      </c>
      <c r="K212" s="124" t="n">
        <f aca="false">HLOOKUP($D$3,GDPRICES,VLOOKUP(Q212,GDmove_down,2,FALSE()),FALSE())</f>
        <v>7.24</v>
      </c>
      <c r="L212" s="124" t="n">
        <f aca="false">HLOOKUP($E$3,GDPRICES,VLOOKUP(Q212,GDmove_down,2,FALSE()),FALSE())</f>
        <v>3.34</v>
      </c>
      <c r="M212" s="126" t="n">
        <v>1</v>
      </c>
      <c r="N212" s="7" t="n">
        <v>0.515</v>
      </c>
      <c r="O212" s="7" t="n">
        <v>0.515</v>
      </c>
      <c r="P212" s="249" t="e">
        <f aca="false">HLOOKUP(E212,GDcorr,VLOOKUP(H212,GDCorMove,2,FALSE()),FALSE())</f>
        <v>#N/A</v>
      </c>
      <c r="Q212" s="92" t="n">
        <v>36707</v>
      </c>
      <c r="R212" s="7" t="n">
        <f aca="false">IF(G212="P",0,1)</f>
        <v>1</v>
      </c>
      <c r="S212" s="130" t="e">
        <f aca="false">xSPRDOPT($K212,$L212,$J212,$M212,$N212,$O212,$P212,$Q212-$C$3,$R212,0)</f>
        <v>#NAME?</v>
      </c>
      <c r="T212" s="250" t="e">
        <f aca="false">xSPRDOPT($K212,$L212,$J212,$M212,$N212,$O212,$P212,$Q212-$C$3,$R212,1)*I212</f>
        <v>#NAME?</v>
      </c>
      <c r="U212" s="43" t="n">
        <v>-151666.515</v>
      </c>
      <c r="V212" s="250" t="e">
        <f aca="false">xSPRDOPT($K212,$L212,$J212,$M212,$N212,$O212,$P212,$Q212-$C$3,$R212,2)*I212</f>
        <v>#NAME?</v>
      </c>
      <c r="W212" s="250" t="e">
        <f aca="false">+V212+T212</f>
        <v>#NAME?</v>
      </c>
      <c r="X212" s="2" t="str">
        <f aca="false">CONCATENATE(H212,E212)</f>
        <v>36678IF-ELPO/SJ</v>
      </c>
      <c r="Y212" s="251" t="n">
        <f aca="false">I212/10000</f>
        <v>-33.3333</v>
      </c>
      <c r="Z212" s="2"/>
      <c r="AB212" s="182"/>
      <c r="AC212" s="253"/>
      <c r="AD212" s="253"/>
      <c r="AE212" s="132"/>
      <c r="AF212" s="253"/>
      <c r="AG212" s="253"/>
      <c r="AH212" s="253"/>
      <c r="AI212" s="253"/>
      <c r="AJ212" s="254"/>
      <c r="BG212" s="285" t="n">
        <v>42736</v>
      </c>
      <c r="BH212" s="0" t="n">
        <v>0</v>
      </c>
      <c r="BJ212" s="285" t="n">
        <v>42736</v>
      </c>
      <c r="BK212" s="0" t="n">
        <v>209</v>
      </c>
    </row>
    <row r="213" customFormat="false" ht="12" hidden="false" customHeight="true" outlineLevel="0" collapsed="false">
      <c r="A213" s="267" t="s">
        <v>196</v>
      </c>
      <c r="B213" s="269" t="s">
        <v>192</v>
      </c>
      <c r="C213" s="269" t="s">
        <v>491</v>
      </c>
      <c r="D213" s="269" t="s">
        <v>137</v>
      </c>
      <c r="E213" s="7" t="s">
        <v>483</v>
      </c>
      <c r="F213" s="269" t="s">
        <v>131</v>
      </c>
      <c r="G213" s="269" t="s">
        <v>136</v>
      </c>
      <c r="H213" s="286" t="n">
        <v>36678</v>
      </c>
      <c r="I213" s="272" t="n">
        <v>-10000</v>
      </c>
      <c r="J213" s="125" t="n">
        <v>0.46</v>
      </c>
      <c r="K213" s="124" t="n">
        <f aca="false">HLOOKUP($D$3,GDPRICES,VLOOKUP(Q213,GDmove_down,2,FALSE()),FALSE())</f>
        <v>7.24</v>
      </c>
      <c r="L213" s="124" t="n">
        <f aca="false">HLOOKUP($E$3,GDPRICES,VLOOKUP(Q213,GDmove_down,2,FALSE()),FALSE())</f>
        <v>3.34</v>
      </c>
      <c r="M213" s="126" t="n">
        <v>1</v>
      </c>
      <c r="N213" s="7" t="n">
        <v>0.515</v>
      </c>
      <c r="O213" s="7" t="n">
        <v>0.515</v>
      </c>
      <c r="P213" s="249" t="e">
        <f aca="false">HLOOKUP(E213,GDcorr,VLOOKUP(H213,GDCorMove,2,FALSE()),FALSE())</f>
        <v>#N/A</v>
      </c>
      <c r="Q213" s="92" t="n">
        <v>36707</v>
      </c>
      <c r="R213" s="7" t="n">
        <f aca="false">IF(G213="P",0,1)</f>
        <v>1</v>
      </c>
      <c r="S213" s="130" t="e">
        <f aca="false">xSPRDOPT($K213,$L213,$J213,$M213,$N213,$O213,$P213,$Q213-$C$3,$R213,0)</f>
        <v>#NAME?</v>
      </c>
      <c r="T213" s="250" t="e">
        <f aca="false">xSPRDOPT($K213,$L213,$J213,$M213,$N213,$O213,$P213,$Q213-$C$3,$R213,1)*I213</f>
        <v>#NAME?</v>
      </c>
      <c r="U213" s="43" t="n">
        <v>-4550</v>
      </c>
      <c r="V213" s="250" t="e">
        <f aca="false">xSPRDOPT($K213,$L213,$J213,$M213,$N213,$O213,$P213,$Q213-$C$3,$R213,2)*I213</f>
        <v>#NAME?</v>
      </c>
      <c r="W213" s="250" t="e">
        <f aca="false">+V213+T213</f>
        <v>#NAME?</v>
      </c>
      <c r="X213" s="2" t="str">
        <f aca="false">CONCATENATE(H213,E213)</f>
        <v>36678IF-ELPO/SJ</v>
      </c>
      <c r="Y213" s="251" t="n">
        <f aca="false">I213/10000</f>
        <v>-1</v>
      </c>
      <c r="Z213" s="2"/>
      <c r="AB213" s="182"/>
      <c r="AC213" s="253"/>
      <c r="AD213" s="253"/>
      <c r="AE213" s="132"/>
      <c r="AF213" s="253"/>
      <c r="AG213" s="253"/>
      <c r="AH213" s="253"/>
      <c r="AI213" s="253"/>
      <c r="AJ213" s="254"/>
      <c r="BG213" s="285" t="n">
        <v>42767</v>
      </c>
      <c r="BH213" s="0" t="n">
        <v>0</v>
      </c>
      <c r="BJ213" s="285" t="n">
        <v>42767</v>
      </c>
      <c r="BK213" s="0" t="n">
        <v>210</v>
      </c>
    </row>
    <row r="214" customFormat="false" ht="12" hidden="false" customHeight="true" outlineLevel="0" collapsed="false">
      <c r="A214" s="267" t="s">
        <v>198</v>
      </c>
      <c r="B214" s="269" t="s">
        <v>192</v>
      </c>
      <c r="C214" s="269" t="s">
        <v>492</v>
      </c>
      <c r="D214" s="269" t="s">
        <v>137</v>
      </c>
      <c r="E214" s="7" t="s">
        <v>483</v>
      </c>
      <c r="F214" s="269" t="s">
        <v>131</v>
      </c>
      <c r="G214" s="269" t="s">
        <v>136</v>
      </c>
      <c r="H214" s="286" t="n">
        <v>36678</v>
      </c>
      <c r="I214" s="272" t="n">
        <v>50000</v>
      </c>
      <c r="J214" s="125" t="n">
        <v>0.46</v>
      </c>
      <c r="K214" s="124" t="n">
        <f aca="false">HLOOKUP($D$3,GDPRICES,VLOOKUP(Q214,GDmove_down,2,FALSE()),FALSE())</f>
        <v>7.24</v>
      </c>
      <c r="L214" s="124" t="n">
        <f aca="false">HLOOKUP($E$3,GDPRICES,VLOOKUP(Q214,GDmove_down,2,FALSE()),FALSE())</f>
        <v>3.34</v>
      </c>
      <c r="M214" s="126" t="n">
        <v>1</v>
      </c>
      <c r="N214" s="7" t="n">
        <v>0.515</v>
      </c>
      <c r="O214" s="7" t="n">
        <v>0.515</v>
      </c>
      <c r="P214" s="249" t="e">
        <f aca="false">HLOOKUP(E214,GDcorr,VLOOKUP(H214,GDCorMove,2,FALSE()),FALSE())</f>
        <v>#N/A</v>
      </c>
      <c r="Q214" s="92" t="n">
        <v>36707</v>
      </c>
      <c r="R214" s="7" t="n">
        <f aca="false">IF(G214="P",0,1)</f>
        <v>1</v>
      </c>
      <c r="S214" s="130" t="e">
        <f aca="false">xSPRDOPT($K214,$L214,$J214,$M214,$N214,$O214,$P214,$Q214-$C$3,$R214,0)</f>
        <v>#NAME?</v>
      </c>
      <c r="T214" s="250" t="e">
        <f aca="false">xSPRDOPT($K214,$L214,$J214,$M214,$N214,$O214,$P214,$Q214-$C$3,$R214,1)*I214</f>
        <v>#NAME?</v>
      </c>
      <c r="U214" s="43" t="n">
        <v>22750</v>
      </c>
      <c r="V214" s="250" t="e">
        <f aca="false">xSPRDOPT($K214,$L214,$J214,$M214,$N214,$O214,$P214,$Q214-$C$3,$R214,2)*I214</f>
        <v>#NAME?</v>
      </c>
      <c r="W214" s="250" t="e">
        <f aca="false">+V214+T214</f>
        <v>#NAME?</v>
      </c>
      <c r="X214" s="2" t="str">
        <f aca="false">CONCATENATE(H214,E214)</f>
        <v>36678IF-ELPO/SJ</v>
      </c>
      <c r="Y214" s="251" t="n">
        <f aca="false">I214/10000</f>
        <v>5</v>
      </c>
      <c r="Z214" s="2"/>
      <c r="AB214" s="182"/>
      <c r="AC214" s="253"/>
      <c r="AD214" s="253"/>
      <c r="AE214" s="132"/>
      <c r="AF214" s="253"/>
      <c r="AG214" s="253"/>
      <c r="AH214" s="253"/>
      <c r="AI214" s="253"/>
      <c r="AJ214" s="254"/>
      <c r="BG214" s="285" t="n">
        <v>42795</v>
      </c>
      <c r="BH214" s="0" t="n">
        <v>0</v>
      </c>
      <c r="BJ214" s="285" t="n">
        <v>42795</v>
      </c>
      <c r="BK214" s="0" t="n">
        <v>211</v>
      </c>
    </row>
    <row r="215" customFormat="false" ht="12" hidden="false" customHeight="true" outlineLevel="0" collapsed="false">
      <c r="A215" s="267" t="s">
        <v>198</v>
      </c>
      <c r="B215" s="269" t="s">
        <v>192</v>
      </c>
      <c r="C215" s="269" t="s">
        <v>493</v>
      </c>
      <c r="D215" s="269" t="s">
        <v>137</v>
      </c>
      <c r="E215" s="7" t="s">
        <v>483</v>
      </c>
      <c r="F215" s="269" t="s">
        <v>131</v>
      </c>
      <c r="G215" s="269" t="s">
        <v>136</v>
      </c>
      <c r="H215" s="286" t="n">
        <v>36678</v>
      </c>
      <c r="I215" s="272" t="n">
        <v>50000</v>
      </c>
      <c r="J215" s="125" t="n">
        <v>0.46</v>
      </c>
      <c r="K215" s="124" t="n">
        <f aca="false">HLOOKUP($D$3,GDPRICES,VLOOKUP(Q215,GDmove_down,2,FALSE()),FALSE())</f>
        <v>7.24</v>
      </c>
      <c r="L215" s="124" t="n">
        <f aca="false">HLOOKUP($E$3,GDPRICES,VLOOKUP(Q215,GDmove_down,2,FALSE()),FALSE())</f>
        <v>3.34</v>
      </c>
      <c r="M215" s="126" t="n">
        <v>1</v>
      </c>
      <c r="N215" s="7" t="n">
        <v>0.515</v>
      </c>
      <c r="O215" s="7" t="n">
        <v>0.515</v>
      </c>
      <c r="P215" s="249" t="e">
        <f aca="false">HLOOKUP(E215,GDcorr,VLOOKUP(H215,GDCorMove,2,FALSE()),FALSE())</f>
        <v>#N/A</v>
      </c>
      <c r="Q215" s="92" t="n">
        <v>36707</v>
      </c>
      <c r="R215" s="7" t="n">
        <f aca="false">IF(G215="P",0,1)</f>
        <v>1</v>
      </c>
      <c r="S215" s="130" t="e">
        <f aca="false">xSPRDOPT($K215,$L215,$J215,$M215,$N215,$O215,$P215,$Q215-$C$3,$R215,0)</f>
        <v>#NAME?</v>
      </c>
      <c r="T215" s="250" t="e">
        <f aca="false">xSPRDOPT($K215,$L215,$J215,$M215,$N215,$O215,$P215,$Q215-$C$3,$R215,1)*I215</f>
        <v>#NAME?</v>
      </c>
      <c r="U215" s="43" t="n">
        <v>22750</v>
      </c>
      <c r="V215" s="250" t="e">
        <f aca="false">xSPRDOPT($K215,$L215,$J215,$M215,$N215,$O215,$P215,$Q215-$C$3,$R215,2)*I215</f>
        <v>#NAME?</v>
      </c>
      <c r="W215" s="250" t="e">
        <f aca="false">+V215+T215</f>
        <v>#NAME?</v>
      </c>
      <c r="X215" s="2" t="str">
        <f aca="false">CONCATENATE(H215,E215)</f>
        <v>36678IF-ELPO/SJ</v>
      </c>
      <c r="Y215" s="251" t="n">
        <f aca="false">I215/10000</f>
        <v>5</v>
      </c>
      <c r="Z215" s="2"/>
      <c r="AB215" s="182"/>
      <c r="AC215" s="253"/>
      <c r="AD215" s="253"/>
      <c r="AE215" s="132"/>
      <c r="AF215" s="253"/>
      <c r="AG215" s="253"/>
      <c r="AH215" s="253"/>
      <c r="AI215" s="253"/>
      <c r="AJ215" s="254"/>
      <c r="BG215" s="285" t="n">
        <v>42826</v>
      </c>
      <c r="BH215" s="0" t="n">
        <v>0</v>
      </c>
      <c r="BJ215" s="285" t="n">
        <v>42826</v>
      </c>
      <c r="BK215" s="0" t="n">
        <v>212</v>
      </c>
    </row>
    <row r="216" customFormat="false" ht="12" hidden="false" customHeight="true" outlineLevel="0" collapsed="false">
      <c r="A216" s="267" t="s">
        <v>198</v>
      </c>
      <c r="B216" s="269" t="s">
        <v>192</v>
      </c>
      <c r="C216" s="269" t="s">
        <v>494</v>
      </c>
      <c r="D216" s="269" t="s">
        <v>137</v>
      </c>
      <c r="E216" s="7" t="s">
        <v>483</v>
      </c>
      <c r="F216" s="269" t="s">
        <v>131</v>
      </c>
      <c r="G216" s="269" t="s">
        <v>136</v>
      </c>
      <c r="H216" s="286" t="n">
        <v>36678</v>
      </c>
      <c r="I216" s="272" t="n">
        <v>-10000</v>
      </c>
      <c r="J216" s="125" t="n">
        <v>0.46</v>
      </c>
      <c r="K216" s="124" t="n">
        <f aca="false">HLOOKUP($D$3,GDPRICES,VLOOKUP(Q216,GDmove_down,2,FALSE()),FALSE())</f>
        <v>7.24</v>
      </c>
      <c r="L216" s="124" t="n">
        <f aca="false">HLOOKUP($E$3,GDPRICES,VLOOKUP(Q216,GDmove_down,2,FALSE()),FALSE())</f>
        <v>3.34</v>
      </c>
      <c r="M216" s="126" t="n">
        <v>1</v>
      </c>
      <c r="N216" s="7" t="n">
        <v>0.515</v>
      </c>
      <c r="O216" s="7" t="n">
        <v>0.515</v>
      </c>
      <c r="P216" s="249" t="e">
        <f aca="false">HLOOKUP(E216,GDcorr,VLOOKUP(H216,GDCorMove,2,FALSE()),FALSE())</f>
        <v>#N/A</v>
      </c>
      <c r="Q216" s="92" t="n">
        <v>36707</v>
      </c>
      <c r="R216" s="7" t="n">
        <f aca="false">IF(G216="P",0,1)</f>
        <v>1</v>
      </c>
      <c r="S216" s="130" t="e">
        <f aca="false">xSPRDOPT($K216,$L216,$J216,$M216,$N216,$O216,$P216,$Q216-$C$3,$R216,0)</f>
        <v>#NAME?</v>
      </c>
      <c r="T216" s="250" t="e">
        <f aca="false">xSPRDOPT($K216,$L216,$J216,$M216,$N216,$O216,$P216,$Q216-$C$3,$R216,1)*I216</f>
        <v>#NAME?</v>
      </c>
      <c r="U216" s="43" t="n">
        <v>-4550</v>
      </c>
      <c r="V216" s="250" t="e">
        <f aca="false">xSPRDOPT($K216,$L216,$J216,$M216,$N216,$O216,$P216,$Q216-$C$3,$R216,2)*I216</f>
        <v>#NAME?</v>
      </c>
      <c r="W216" s="250" t="e">
        <f aca="false">+V216+T216</f>
        <v>#NAME?</v>
      </c>
      <c r="X216" s="2" t="str">
        <f aca="false">CONCATENATE(H216,E216)</f>
        <v>36678IF-ELPO/SJ</v>
      </c>
      <c r="Y216" s="251" t="n">
        <f aca="false">I216/10000</f>
        <v>-1</v>
      </c>
      <c r="Z216" s="2"/>
      <c r="AB216" s="182"/>
      <c r="AC216" s="253"/>
      <c r="AD216" s="253"/>
      <c r="AE216" s="132"/>
      <c r="AF216" s="253"/>
      <c r="AG216" s="253"/>
      <c r="AH216" s="253"/>
      <c r="AI216" s="253"/>
      <c r="AJ216" s="254"/>
      <c r="BG216" s="285" t="n">
        <v>42856</v>
      </c>
      <c r="BH216" s="0" t="n">
        <v>0</v>
      </c>
      <c r="BJ216" s="285" t="n">
        <v>42856</v>
      </c>
      <c r="BK216" s="0" t="n">
        <v>213</v>
      </c>
    </row>
    <row r="217" customFormat="false" ht="12" hidden="false" customHeight="true" outlineLevel="0" collapsed="false">
      <c r="A217" s="267" t="s">
        <v>206</v>
      </c>
      <c r="B217" s="269" t="s">
        <v>192</v>
      </c>
      <c r="C217" s="269" t="s">
        <v>495</v>
      </c>
      <c r="D217" s="269" t="s">
        <v>496</v>
      </c>
      <c r="E217" s="7" t="s">
        <v>497</v>
      </c>
      <c r="F217" s="269" t="s">
        <v>131</v>
      </c>
      <c r="G217" s="269" t="s">
        <v>132</v>
      </c>
      <c r="H217" s="287" t="n">
        <v>36831</v>
      </c>
      <c r="I217" s="272" t="n">
        <v>500000</v>
      </c>
      <c r="J217" s="125" t="n">
        <v>0.5</v>
      </c>
      <c r="K217" s="124" t="n">
        <f aca="false">(Curves!$BI18)</f>
        <v>5.506</v>
      </c>
      <c r="L217" s="124" t="n">
        <f aca="false">(Curves!$BJ18)</f>
        <v>4.697</v>
      </c>
      <c r="M217" s="288" t="n">
        <v>0.6125</v>
      </c>
      <c r="N217" s="289" t="n">
        <v>0.515</v>
      </c>
      <c r="O217" s="289" t="n">
        <v>0.515</v>
      </c>
      <c r="P217" s="290" t="n">
        <v>0.936179927816795</v>
      </c>
      <c r="Q217" s="92" t="n">
        <v>36860</v>
      </c>
      <c r="R217" s="7" t="n">
        <f aca="false">IF(G217="P",0,1)</f>
        <v>0</v>
      </c>
      <c r="S217" s="130" t="e">
        <f aca="false">xSPRDOPT($K217,$L217,$J217,$M217,$N217,$O217,$P217,$Q217-$C$3,$R217,0)</f>
        <v>#NAME?</v>
      </c>
      <c r="T217" s="250" t="e">
        <f aca="false">xSPRDOPT($K217,$L217,$J217,$M217,$N217,$O217,$P217,$Q217-$C$3,$R217,1)*I217</f>
        <v>#NAME?</v>
      </c>
      <c r="U217" s="43" t="e">
        <f aca="false">S217*I217*0+55000</f>
        <v>#NAME?</v>
      </c>
      <c r="V217" s="250" t="e">
        <f aca="false">xSPRDOPT($K217,$L217,$J217,$M217,$N217,$O217,$P217,$Q217-$C$3,$R217,2)*I217</f>
        <v>#NAME?</v>
      </c>
      <c r="W217" s="250" t="e">
        <f aca="false">+V217+T217</f>
        <v>#NAME?</v>
      </c>
      <c r="X217" s="2" t="str">
        <f aca="false">CONCATENATE(H217,E217)</f>
        <v>36831GDP-HEHUB</v>
      </c>
      <c r="Y217" s="251" t="n">
        <f aca="false">I217/10000</f>
        <v>50</v>
      </c>
      <c r="Z217" s="2"/>
      <c r="AB217" s="182"/>
      <c r="AC217" s="253"/>
      <c r="AD217" s="253"/>
      <c r="AE217" s="132"/>
      <c r="AF217" s="253"/>
      <c r="AG217" s="253"/>
      <c r="AH217" s="253"/>
      <c r="AI217" s="253"/>
      <c r="AJ217" s="254"/>
      <c r="BG217" s="285" t="n">
        <v>42887</v>
      </c>
      <c r="BH217" s="0" t="n">
        <v>0</v>
      </c>
      <c r="BJ217" s="285" t="n">
        <v>42887</v>
      </c>
      <c r="BK217" s="0" t="n">
        <v>214</v>
      </c>
    </row>
    <row r="218" customFormat="false" ht="12" hidden="false" customHeight="true" outlineLevel="0" collapsed="false">
      <c r="A218" s="267" t="s">
        <v>206</v>
      </c>
      <c r="B218" s="269" t="s">
        <v>192</v>
      </c>
      <c r="C218" s="269" t="s">
        <v>495</v>
      </c>
      <c r="D218" s="269" t="s">
        <v>496</v>
      </c>
      <c r="E218" s="7" t="s">
        <v>497</v>
      </c>
      <c r="F218" s="269" t="s">
        <v>131</v>
      </c>
      <c r="G218" s="269" t="s">
        <v>132</v>
      </c>
      <c r="H218" s="287" t="n">
        <v>36861</v>
      </c>
      <c r="I218" s="272" t="n">
        <v>500000</v>
      </c>
      <c r="J218" s="125" t="n">
        <v>0.5</v>
      </c>
      <c r="K218" s="124" t="n">
        <f aca="false">(Curves!$BI19)</f>
        <v>6.445</v>
      </c>
      <c r="L218" s="124" t="n">
        <f aca="false">(Curves!$BJ19)</f>
        <v>4.741</v>
      </c>
      <c r="M218" s="288" t="n">
        <v>0.6125</v>
      </c>
      <c r="N218" s="289" t="n">
        <v>0.515</v>
      </c>
      <c r="O218" s="289" t="n">
        <v>0.515</v>
      </c>
      <c r="P218" s="290" t="n">
        <v>0.937243858102198</v>
      </c>
      <c r="Q218" s="92" t="n">
        <v>36891</v>
      </c>
      <c r="R218" s="7" t="n">
        <f aca="false">IF(G218="P",0,1)</f>
        <v>0</v>
      </c>
      <c r="S218" s="130" t="e">
        <f aca="false">xSPRDOPT($K218,$L218,$J218,$M218,$N218,$O218,$P218,$Q218-$C$3,$R218,0)</f>
        <v>#NAME?</v>
      </c>
      <c r="T218" s="250" t="e">
        <f aca="false">xSPRDOPT($K218,$L218,$J218,$M218,$N218,$O218,$P218,$Q218-$C$3,$R218,1)*I218</f>
        <v>#NAME?</v>
      </c>
      <c r="U218" s="43" t="e">
        <f aca="false">S218*I218*0+55000</f>
        <v>#NAME?</v>
      </c>
      <c r="V218" s="250" t="e">
        <f aca="false">xSPRDOPT($K218,$L218,$J218,$M218,$N218,$O218,$P218,$Q218-$C$3,$R218,2)*I218</f>
        <v>#NAME?</v>
      </c>
      <c r="W218" s="250" t="e">
        <f aca="false">+V218+T218</f>
        <v>#NAME?</v>
      </c>
      <c r="X218" s="2" t="str">
        <f aca="false">CONCATENATE(H218,E218)</f>
        <v>36861GDP-HEHUB</v>
      </c>
      <c r="Y218" s="251" t="n">
        <f aca="false">I218/10000</f>
        <v>50</v>
      </c>
      <c r="AB218" s="182"/>
      <c r="AC218" s="253"/>
      <c r="AD218" s="253"/>
      <c r="AE218" s="132"/>
      <c r="AF218" s="253"/>
      <c r="AG218" s="253"/>
      <c r="AH218" s="253"/>
      <c r="AI218" s="253"/>
      <c r="AJ218" s="254"/>
      <c r="BG218" s="285" t="n">
        <v>42917</v>
      </c>
      <c r="BH218" s="0" t="n">
        <v>0</v>
      </c>
      <c r="BJ218" s="285" t="n">
        <v>42917</v>
      </c>
      <c r="BK218" s="0" t="n">
        <v>215</v>
      </c>
    </row>
    <row r="219" customFormat="false" ht="12" hidden="false" customHeight="true" outlineLevel="0" collapsed="false">
      <c r="A219" s="267" t="s">
        <v>206</v>
      </c>
      <c r="B219" s="269" t="s">
        <v>192</v>
      </c>
      <c r="C219" s="269" t="s">
        <v>495</v>
      </c>
      <c r="D219" s="269" t="s">
        <v>496</v>
      </c>
      <c r="E219" s="7" t="s">
        <v>497</v>
      </c>
      <c r="F219" s="269" t="s">
        <v>131</v>
      </c>
      <c r="G219" s="269" t="s">
        <v>132</v>
      </c>
      <c r="H219" s="287" t="n">
        <v>36892</v>
      </c>
      <c r="I219" s="272" t="n">
        <v>500000</v>
      </c>
      <c r="J219" s="125" t="n">
        <v>0.5</v>
      </c>
      <c r="K219" s="124" t="n">
        <f aca="false">(Curves!$BI20)</f>
        <v>6.914</v>
      </c>
      <c r="L219" s="124" t="n">
        <f aca="false">(Curves!$BJ20)</f>
        <v>4.805</v>
      </c>
      <c r="M219" s="288" t="n">
        <v>0.6125</v>
      </c>
      <c r="N219" s="289" t="n">
        <v>0.515</v>
      </c>
      <c r="O219" s="289" t="n">
        <v>0.515</v>
      </c>
      <c r="P219" s="290" t="n">
        <v>0.937243858102198</v>
      </c>
      <c r="Q219" s="92" t="n">
        <v>36922</v>
      </c>
      <c r="R219" s="7" t="n">
        <f aca="false">IF(G219="P",0,1)</f>
        <v>0</v>
      </c>
      <c r="S219" s="130" t="e">
        <f aca="false">xSPRDOPT($K219,$L219,$J219,$M219,$N219,$O219,$P219,$Q219-$C$3,$R219,0)</f>
        <v>#NAME?</v>
      </c>
      <c r="T219" s="250" t="e">
        <f aca="false">xSPRDOPT($K219,$L219,$J219,$M219,$N219,$O219,$P219,$Q219-$C$3,$R219,1)*I219</f>
        <v>#NAME?</v>
      </c>
      <c r="U219" s="43" t="e">
        <f aca="false">S219*I219*0+55000</f>
        <v>#NAME?</v>
      </c>
      <c r="V219" s="250" t="e">
        <f aca="false">xSPRDOPT($K219,$L219,$J219,$M219,$N219,$O219,$P219,$Q219-$C$3,$R219,2)*I219</f>
        <v>#NAME?</v>
      </c>
      <c r="W219" s="250" t="e">
        <f aca="false">+V219+T219</f>
        <v>#NAME?</v>
      </c>
      <c r="X219" s="2" t="str">
        <f aca="false">CONCATENATE(H219,E219)</f>
        <v>36892GDP-HEHUB</v>
      </c>
      <c r="Y219" s="251" t="n">
        <f aca="false">I219/10000</f>
        <v>50</v>
      </c>
      <c r="Z219" s="2"/>
      <c r="AB219" s="182"/>
      <c r="AC219" s="253"/>
      <c r="AD219" s="253"/>
      <c r="AE219" s="132"/>
      <c r="AF219" s="253"/>
      <c r="AG219" s="253"/>
      <c r="AH219" s="253"/>
      <c r="AI219" s="253"/>
      <c r="AJ219" s="254"/>
      <c r="BG219" s="285" t="n">
        <v>42948</v>
      </c>
      <c r="BH219" s="0" t="n">
        <v>0</v>
      </c>
      <c r="BJ219" s="285" t="n">
        <v>42948</v>
      </c>
      <c r="BK219" s="0" t="n">
        <v>216</v>
      </c>
    </row>
    <row r="220" customFormat="false" ht="12" hidden="false" customHeight="true" outlineLevel="0" collapsed="false">
      <c r="A220" s="267" t="s">
        <v>206</v>
      </c>
      <c r="B220" s="269" t="s">
        <v>192</v>
      </c>
      <c r="C220" s="269" t="s">
        <v>495</v>
      </c>
      <c r="D220" s="269" t="s">
        <v>496</v>
      </c>
      <c r="E220" s="7" t="s">
        <v>497</v>
      </c>
      <c r="F220" s="269" t="s">
        <v>131</v>
      </c>
      <c r="G220" s="269" t="s">
        <v>132</v>
      </c>
      <c r="H220" s="287" t="n">
        <v>36923</v>
      </c>
      <c r="I220" s="272" t="n">
        <v>500000</v>
      </c>
      <c r="J220" s="125" t="n">
        <v>0.5</v>
      </c>
      <c r="K220" s="124" t="n">
        <f aca="false">(Curves!$BI21)</f>
        <v>6.57</v>
      </c>
      <c r="L220" s="124" t="n">
        <f aca="false">(Curves!$BJ21)</f>
        <v>4.749</v>
      </c>
      <c r="M220" s="288" t="n">
        <v>0.6125</v>
      </c>
      <c r="N220" s="289" t="n">
        <v>0.515</v>
      </c>
      <c r="O220" s="289" t="n">
        <v>0.515</v>
      </c>
      <c r="P220" s="290" t="n">
        <v>0.937243858102198</v>
      </c>
      <c r="Q220" s="92" t="n">
        <v>36950</v>
      </c>
      <c r="R220" s="7" t="n">
        <f aca="false">IF(G220="P",0,1)</f>
        <v>0</v>
      </c>
      <c r="S220" s="130" t="e">
        <f aca="false">xSPRDOPT($K220,$L220,$J220,$M220,$N220,$O220,$P220,$Q220-$C$3,$R220,0)</f>
        <v>#NAME?</v>
      </c>
      <c r="T220" s="250" t="e">
        <f aca="false">xSPRDOPT($K220,$L220,$J220,$M220,$N220,$O220,$P220,$Q220-$C$3,$R220,1)*I220</f>
        <v>#NAME?</v>
      </c>
      <c r="U220" s="43" t="e">
        <f aca="false">S220*I220*0+55000</f>
        <v>#NAME?</v>
      </c>
      <c r="V220" s="250" t="e">
        <f aca="false">xSPRDOPT($K220,$L220,$J220,$M220,$N220,$O220,$P220,$Q220-$C$3,$R220,2)*I220</f>
        <v>#NAME?</v>
      </c>
      <c r="W220" s="250" t="e">
        <f aca="false">+V220+T220</f>
        <v>#NAME?</v>
      </c>
      <c r="X220" s="2" t="str">
        <f aca="false">CONCATENATE(H220,E220)</f>
        <v>36923GDP-HEHUB</v>
      </c>
      <c r="Y220" s="251" t="n">
        <f aca="false">I220/10000</f>
        <v>50</v>
      </c>
      <c r="Z220" s="2"/>
      <c r="AB220" s="182"/>
      <c r="AC220" s="253"/>
      <c r="AD220" s="253"/>
      <c r="AE220" s="132"/>
      <c r="AF220" s="253"/>
      <c r="AG220" s="253"/>
      <c r="AH220" s="253"/>
      <c r="AI220" s="253"/>
      <c r="AJ220" s="254"/>
      <c r="BG220" s="285" t="n">
        <v>42979</v>
      </c>
      <c r="BH220" s="0" t="n">
        <v>0</v>
      </c>
      <c r="BJ220" s="285" t="n">
        <v>42979</v>
      </c>
      <c r="BK220" s="0" t="n">
        <v>217</v>
      </c>
    </row>
    <row r="221" customFormat="false" ht="12" hidden="false" customHeight="true" outlineLevel="0" collapsed="false">
      <c r="A221" s="267" t="s">
        <v>206</v>
      </c>
      <c r="B221" s="269" t="s">
        <v>192</v>
      </c>
      <c r="C221" s="269" t="s">
        <v>495</v>
      </c>
      <c r="D221" s="269" t="s">
        <v>496</v>
      </c>
      <c r="E221" s="7" t="s">
        <v>497</v>
      </c>
      <c r="F221" s="269" t="s">
        <v>131</v>
      </c>
      <c r="G221" s="269" t="s">
        <v>132</v>
      </c>
      <c r="H221" s="287" t="n">
        <v>36951</v>
      </c>
      <c r="I221" s="272" t="n">
        <v>500000</v>
      </c>
      <c r="J221" s="125" t="n">
        <v>0.5</v>
      </c>
      <c r="K221" s="124" t="n">
        <f aca="false">(Curves!$BI22)</f>
        <v>5.288</v>
      </c>
      <c r="L221" s="124" t="n">
        <f aca="false">(Curves!$BJ22)</f>
        <v>4.485</v>
      </c>
      <c r="M221" s="288" t="n">
        <v>0.6125</v>
      </c>
      <c r="N221" s="289" t="n">
        <v>0.515</v>
      </c>
      <c r="O221" s="289" t="n">
        <v>0.515</v>
      </c>
      <c r="P221" s="290" t="n">
        <v>0.937243858102198</v>
      </c>
      <c r="Q221" s="92" t="n">
        <v>36981</v>
      </c>
      <c r="R221" s="7" t="n">
        <f aca="false">IF(G221="P",0,1)</f>
        <v>0</v>
      </c>
      <c r="S221" s="130" t="e">
        <f aca="false">xSPRDOPT($K221,$L221,$J221,$M221,$N221,$O221,$P221,$Q221-$C$3,$R221,0)</f>
        <v>#NAME?</v>
      </c>
      <c r="T221" s="250" t="e">
        <f aca="false">xSPRDOPT($K221,$L221,$J221,$M221,$N221,$O221,$P221,$Q221-$C$3,$R221,1)*I221</f>
        <v>#NAME?</v>
      </c>
      <c r="U221" s="43" t="e">
        <f aca="false">S221*I221*0+55000</f>
        <v>#NAME?</v>
      </c>
      <c r="V221" s="250" t="e">
        <f aca="false">xSPRDOPT($K221,$L221,$J221,$M221,$N221,$O221,$P221,$Q221-$C$3,$R221,2)*I221</f>
        <v>#NAME?</v>
      </c>
      <c r="W221" s="250" t="e">
        <f aca="false">+V221+T221</f>
        <v>#NAME?</v>
      </c>
      <c r="X221" s="2" t="str">
        <f aca="false">CONCATENATE(H221,E221)</f>
        <v>36951GDP-HEHUB</v>
      </c>
      <c r="Y221" s="251" t="n">
        <f aca="false">I221/10000</f>
        <v>50</v>
      </c>
      <c r="Z221" s="2"/>
      <c r="AB221" s="182"/>
      <c r="AC221" s="253"/>
      <c r="AD221" s="253"/>
      <c r="AE221" s="132"/>
      <c r="AF221" s="253"/>
      <c r="AG221" s="253"/>
      <c r="AH221" s="253"/>
      <c r="AI221" s="253"/>
      <c r="AJ221" s="254"/>
      <c r="BG221" s="285" t="n">
        <v>43009</v>
      </c>
      <c r="BH221" s="0" t="n">
        <v>0</v>
      </c>
      <c r="BJ221" s="285" t="n">
        <v>43009</v>
      </c>
      <c r="BK221" s="0" t="n">
        <v>218</v>
      </c>
    </row>
    <row r="222" customFormat="false" ht="12" hidden="false" customHeight="true" outlineLevel="0" collapsed="false">
      <c r="E222" s="7"/>
      <c r="H222" s="92"/>
      <c r="I222" s="248"/>
      <c r="K222" s="124"/>
      <c r="L222" s="7"/>
      <c r="M222" s="126"/>
      <c r="N222" s="7"/>
      <c r="O222" s="7"/>
      <c r="P222" s="249"/>
      <c r="Q222" s="92"/>
      <c r="R222" s="7"/>
      <c r="S222" s="130"/>
      <c r="T222" s="250"/>
      <c r="U222" s="43"/>
      <c r="V222" s="250"/>
      <c r="W222" s="250"/>
      <c r="X222" s="2"/>
      <c r="Y222" s="251"/>
      <c r="Z222" s="2"/>
      <c r="AB222" s="182"/>
      <c r="AC222" s="253"/>
      <c r="AD222" s="253"/>
      <c r="AE222" s="132"/>
      <c r="AF222" s="253"/>
      <c r="AG222" s="253"/>
      <c r="AH222" s="253"/>
      <c r="AI222" s="253"/>
      <c r="AJ222" s="254"/>
      <c r="BG222" s="285" t="n">
        <v>43040</v>
      </c>
      <c r="BH222" s="0" t="n">
        <v>0</v>
      </c>
      <c r="BJ222" s="285" t="n">
        <v>43040</v>
      </c>
      <c r="BK222" s="0" t="n">
        <v>219</v>
      </c>
    </row>
    <row r="223" customFormat="false" ht="12" hidden="false" customHeight="true" outlineLevel="0" collapsed="false">
      <c r="E223" s="7"/>
      <c r="H223" s="92"/>
      <c r="I223" s="248"/>
      <c r="K223" s="124"/>
      <c r="L223" s="7"/>
      <c r="M223" s="126"/>
      <c r="N223" s="7"/>
      <c r="O223" s="7"/>
      <c r="P223" s="249"/>
      <c r="Q223" s="92"/>
      <c r="R223" s="7"/>
      <c r="S223" s="130"/>
      <c r="T223" s="250"/>
      <c r="U223" s="43"/>
      <c r="V223" s="250"/>
      <c r="W223" s="250"/>
      <c r="X223" s="2"/>
      <c r="Y223" s="251"/>
      <c r="AB223" s="182"/>
      <c r="AC223" s="253"/>
      <c r="AD223" s="253"/>
      <c r="AE223" s="132"/>
      <c r="AF223" s="253"/>
      <c r="AG223" s="253"/>
      <c r="AH223" s="253"/>
      <c r="AI223" s="253"/>
      <c r="AJ223" s="254"/>
      <c r="BG223" s="285" t="n">
        <v>43070</v>
      </c>
      <c r="BH223" s="0" t="n">
        <v>0</v>
      </c>
      <c r="BJ223" s="285" t="n">
        <v>43070</v>
      </c>
      <c r="BK223" s="0" t="n">
        <v>220</v>
      </c>
    </row>
    <row r="224" customFormat="false" ht="12" hidden="false" customHeight="true" outlineLevel="0" collapsed="false">
      <c r="E224" s="7"/>
      <c r="H224" s="92"/>
      <c r="I224" s="248"/>
      <c r="K224" s="124"/>
      <c r="L224" s="7"/>
      <c r="M224" s="126"/>
      <c r="N224" s="7"/>
      <c r="O224" s="7"/>
      <c r="P224" s="249"/>
      <c r="Q224" s="92"/>
      <c r="R224" s="7"/>
      <c r="S224" s="130"/>
      <c r="T224" s="250"/>
      <c r="U224" s="43"/>
      <c r="V224" s="250"/>
      <c r="W224" s="250"/>
      <c r="X224" s="2"/>
      <c r="Y224" s="251"/>
      <c r="AB224" s="182"/>
      <c r="AC224" s="253"/>
      <c r="AD224" s="253"/>
      <c r="AE224" s="132"/>
      <c r="AF224" s="253"/>
      <c r="AG224" s="253"/>
      <c r="AH224" s="253"/>
      <c r="AI224" s="253"/>
      <c r="AJ224" s="254"/>
      <c r="BG224" s="285" t="n">
        <v>43101</v>
      </c>
      <c r="BH224" s="0" t="n">
        <v>0</v>
      </c>
      <c r="BJ224" s="285" t="n">
        <v>43101</v>
      </c>
      <c r="BK224" s="0" t="n">
        <v>221</v>
      </c>
    </row>
    <row r="225" customFormat="false" ht="12" hidden="false" customHeight="true" outlineLevel="0" collapsed="false">
      <c r="E225" s="7"/>
      <c r="H225" s="92"/>
      <c r="I225" s="248"/>
      <c r="K225" s="124"/>
      <c r="L225" s="7"/>
      <c r="M225" s="126"/>
      <c r="N225" s="7"/>
      <c r="O225" s="7"/>
      <c r="P225" s="249"/>
      <c r="Q225" s="92"/>
      <c r="R225" s="7"/>
      <c r="S225" s="130"/>
      <c r="T225" s="250"/>
      <c r="U225" s="43"/>
      <c r="V225" s="250"/>
      <c r="W225" s="250"/>
      <c r="X225" s="2"/>
      <c r="Y225" s="251"/>
      <c r="AB225" s="182"/>
      <c r="AC225" s="253"/>
      <c r="AD225" s="253"/>
      <c r="AE225" s="132"/>
      <c r="AF225" s="253"/>
      <c r="AG225" s="253"/>
      <c r="AH225" s="253"/>
      <c r="AI225" s="253"/>
      <c r="AJ225" s="254"/>
      <c r="BG225" s="285" t="n">
        <v>43132</v>
      </c>
      <c r="BH225" s="0" t="n">
        <v>0</v>
      </c>
      <c r="BJ225" s="285" t="n">
        <v>43132</v>
      </c>
      <c r="BK225" s="0" t="n">
        <v>222</v>
      </c>
    </row>
    <row r="226" customFormat="false" ht="12" hidden="false" customHeight="true" outlineLevel="0" collapsed="false">
      <c r="E226" s="7"/>
      <c r="H226" s="92"/>
      <c r="I226" s="248"/>
      <c r="K226" s="124"/>
      <c r="L226" s="7"/>
      <c r="M226" s="126"/>
      <c r="N226" s="7"/>
      <c r="O226" s="7"/>
      <c r="P226" s="249"/>
      <c r="Q226" s="92"/>
      <c r="R226" s="7"/>
      <c r="S226" s="130"/>
      <c r="T226" s="250"/>
      <c r="U226" s="43"/>
      <c r="V226" s="250"/>
      <c r="W226" s="250"/>
      <c r="X226" s="2"/>
      <c r="Y226" s="251"/>
      <c r="AB226" s="182"/>
      <c r="AC226" s="253"/>
      <c r="AD226" s="253"/>
      <c r="AE226" s="132"/>
      <c r="AF226" s="253"/>
      <c r="AG226" s="253"/>
      <c r="AH226" s="253"/>
      <c r="AI226" s="253"/>
      <c r="AJ226" s="254"/>
      <c r="BG226" s="285" t="n">
        <v>43160</v>
      </c>
      <c r="BH226" s="0" t="n">
        <v>0</v>
      </c>
      <c r="BJ226" s="285" t="n">
        <v>43160</v>
      </c>
      <c r="BK226" s="0" t="n">
        <v>223</v>
      </c>
    </row>
    <row r="227" customFormat="false" ht="12" hidden="false" customHeight="true" outlineLevel="0" collapsed="false">
      <c r="E227" s="7"/>
      <c r="H227" s="92"/>
      <c r="I227" s="248"/>
      <c r="K227" s="124"/>
      <c r="L227" s="7"/>
      <c r="M227" s="126"/>
      <c r="N227" s="7"/>
      <c r="O227" s="7"/>
      <c r="P227" s="249"/>
      <c r="Q227" s="92"/>
      <c r="R227" s="7"/>
      <c r="S227" s="130"/>
      <c r="T227" s="250"/>
      <c r="U227" s="43"/>
      <c r="V227" s="250"/>
      <c r="W227" s="250"/>
      <c r="X227" s="2"/>
      <c r="Y227" s="251"/>
      <c r="Z227" s="2"/>
      <c r="AB227" s="182"/>
      <c r="AC227" s="253"/>
      <c r="AD227" s="253"/>
      <c r="AE227" s="132"/>
      <c r="AF227" s="253"/>
      <c r="AG227" s="253"/>
      <c r="AH227" s="253"/>
      <c r="AI227" s="253"/>
      <c r="AJ227" s="254"/>
      <c r="BG227" s="285" t="n">
        <v>43191</v>
      </c>
      <c r="BH227" s="0" t="n">
        <v>0</v>
      </c>
      <c r="BJ227" s="285" t="n">
        <v>43191</v>
      </c>
      <c r="BK227" s="0" t="n">
        <v>224</v>
      </c>
    </row>
    <row r="228" customFormat="false" ht="12" hidden="false" customHeight="true" outlineLevel="0" collapsed="false">
      <c r="E228" s="7"/>
      <c r="H228" s="92"/>
      <c r="I228" s="248"/>
      <c r="K228" s="124"/>
      <c r="L228" s="7"/>
      <c r="M228" s="126"/>
      <c r="N228" s="7"/>
      <c r="O228" s="7"/>
      <c r="P228" s="249"/>
      <c r="Q228" s="92"/>
      <c r="R228" s="7"/>
      <c r="S228" s="130"/>
      <c r="T228" s="250"/>
      <c r="U228" s="43"/>
      <c r="V228" s="250"/>
      <c r="W228" s="250"/>
      <c r="X228" s="2"/>
      <c r="Y228" s="251"/>
      <c r="Z228" s="2"/>
      <c r="AB228" s="182"/>
      <c r="AC228" s="253"/>
      <c r="AD228" s="253"/>
      <c r="AE228" s="132"/>
      <c r="AF228" s="253"/>
      <c r="AG228" s="253"/>
      <c r="AH228" s="253"/>
      <c r="AI228" s="253"/>
      <c r="AJ228" s="254"/>
      <c r="BG228" s="285" t="n">
        <v>43221</v>
      </c>
      <c r="BH228" s="0" t="n">
        <v>0</v>
      </c>
      <c r="BJ228" s="285" t="n">
        <v>43221</v>
      </c>
      <c r="BK228" s="0" t="n">
        <v>225</v>
      </c>
    </row>
    <row r="229" customFormat="false" ht="12" hidden="false" customHeight="true" outlineLevel="0" collapsed="false">
      <c r="E229" s="7"/>
      <c r="H229" s="92"/>
      <c r="I229" s="248"/>
      <c r="K229" s="124"/>
      <c r="L229" s="7"/>
      <c r="M229" s="126"/>
      <c r="N229" s="7"/>
      <c r="O229" s="7"/>
      <c r="P229" s="249"/>
      <c r="Q229" s="92"/>
      <c r="R229" s="7"/>
      <c r="S229" s="130"/>
      <c r="T229" s="250"/>
      <c r="U229" s="43"/>
      <c r="V229" s="250"/>
      <c r="W229" s="250"/>
      <c r="X229" s="2"/>
      <c r="Y229" s="251"/>
      <c r="Z229" s="2"/>
      <c r="AB229" s="182"/>
      <c r="AC229" s="253"/>
      <c r="AD229" s="253"/>
      <c r="AE229" s="132"/>
      <c r="AF229" s="253"/>
      <c r="AG229" s="253"/>
      <c r="AH229" s="253"/>
      <c r="AI229" s="253"/>
      <c r="AJ229" s="254"/>
      <c r="BG229" s="285" t="n">
        <v>43252</v>
      </c>
      <c r="BH229" s="0" t="n">
        <v>0</v>
      </c>
      <c r="BJ229" s="285" t="n">
        <v>43252</v>
      </c>
      <c r="BK229" s="0" t="n">
        <v>226</v>
      </c>
    </row>
    <row r="230" customFormat="false" ht="12" hidden="false" customHeight="true" outlineLevel="0" collapsed="false">
      <c r="E230" s="7"/>
      <c r="H230" s="92"/>
      <c r="I230" s="248"/>
      <c r="K230" s="124"/>
      <c r="L230" s="7"/>
      <c r="M230" s="126"/>
      <c r="N230" s="7"/>
      <c r="O230" s="7"/>
      <c r="P230" s="249"/>
      <c r="Q230" s="92"/>
      <c r="R230" s="7"/>
      <c r="S230" s="130"/>
      <c r="T230" s="250"/>
      <c r="U230" s="43"/>
      <c r="V230" s="250"/>
      <c r="W230" s="250"/>
      <c r="X230" s="2"/>
      <c r="Y230" s="251"/>
      <c r="Z230" s="2"/>
      <c r="AB230" s="182"/>
      <c r="AC230" s="253"/>
      <c r="AD230" s="253"/>
      <c r="AE230" s="132"/>
      <c r="AF230" s="253"/>
      <c r="AG230" s="253"/>
      <c r="AH230" s="253"/>
      <c r="AI230" s="253"/>
      <c r="AJ230" s="254"/>
      <c r="BG230" s="285" t="n">
        <v>43282</v>
      </c>
      <c r="BH230" s="0" t="n">
        <v>0</v>
      </c>
      <c r="BJ230" s="285" t="n">
        <v>43282</v>
      </c>
      <c r="BK230" s="0" t="n">
        <v>227</v>
      </c>
    </row>
    <row r="231" customFormat="false" ht="12" hidden="false" customHeight="true" outlineLevel="0" collapsed="false">
      <c r="A231" s="265"/>
      <c r="E231" s="7"/>
      <c r="H231" s="92"/>
      <c r="I231" s="248"/>
      <c r="K231" s="124"/>
      <c r="L231" s="7"/>
      <c r="M231" s="126"/>
      <c r="N231" s="7"/>
      <c r="O231" s="7"/>
      <c r="P231" s="249"/>
      <c r="Q231" s="92"/>
      <c r="R231" s="7"/>
      <c r="S231" s="130"/>
      <c r="T231" s="250"/>
      <c r="U231" s="43"/>
      <c r="V231" s="250"/>
      <c r="W231" s="250"/>
      <c r="X231" s="2"/>
      <c r="Y231" s="251"/>
      <c r="Z231" s="2"/>
      <c r="AB231" s="182"/>
      <c r="AC231" s="253"/>
      <c r="AD231" s="253"/>
      <c r="AE231" s="132"/>
      <c r="AF231" s="253"/>
      <c r="AG231" s="253"/>
      <c r="AH231" s="253"/>
      <c r="AI231" s="253"/>
      <c r="AJ231" s="254"/>
      <c r="BG231" s="285" t="n">
        <v>43313</v>
      </c>
      <c r="BH231" s="0" t="n">
        <v>0</v>
      </c>
      <c r="BJ231" s="285" t="n">
        <v>43313</v>
      </c>
      <c r="BK231" s="0" t="n">
        <v>228</v>
      </c>
    </row>
    <row r="232" customFormat="false" ht="12" hidden="false" customHeight="true" outlineLevel="0" collapsed="false">
      <c r="A232" s="265"/>
      <c r="E232" s="7"/>
      <c r="H232" s="92"/>
      <c r="I232" s="248"/>
      <c r="K232" s="124"/>
      <c r="L232" s="7"/>
      <c r="M232" s="126"/>
      <c r="N232" s="7"/>
      <c r="O232" s="7"/>
      <c r="P232" s="249"/>
      <c r="Q232" s="92"/>
      <c r="R232" s="7"/>
      <c r="S232" s="130"/>
      <c r="T232" s="250"/>
      <c r="U232" s="43"/>
      <c r="V232" s="250"/>
      <c r="W232" s="250"/>
      <c r="X232" s="2"/>
      <c r="Y232" s="251"/>
      <c r="AB232" s="182"/>
      <c r="AC232" s="253"/>
      <c r="AD232" s="253"/>
      <c r="AE232" s="132"/>
      <c r="AF232" s="253"/>
      <c r="AG232" s="253"/>
      <c r="AH232" s="253"/>
      <c r="AI232" s="253"/>
      <c r="AJ232" s="254"/>
      <c r="BG232" s="285" t="n">
        <v>43344</v>
      </c>
      <c r="BH232" s="0" t="n">
        <v>0</v>
      </c>
      <c r="BJ232" s="285" t="n">
        <v>43344</v>
      </c>
      <c r="BK232" s="0" t="n">
        <v>229</v>
      </c>
    </row>
    <row r="233" customFormat="false" ht="12" hidden="false" customHeight="true" outlineLevel="0" collapsed="false">
      <c r="A233" s="265"/>
      <c r="E233" s="7"/>
      <c r="H233" s="92"/>
      <c r="I233" s="248"/>
      <c r="K233" s="124"/>
      <c r="L233" s="7"/>
      <c r="M233" s="126"/>
      <c r="N233" s="7"/>
      <c r="O233" s="7"/>
      <c r="P233" s="249"/>
      <c r="Q233" s="92"/>
      <c r="R233" s="7"/>
      <c r="S233" s="130"/>
      <c r="T233" s="250"/>
      <c r="U233" s="43"/>
      <c r="V233" s="250"/>
      <c r="W233" s="250"/>
      <c r="X233" s="2"/>
      <c r="Y233" s="251"/>
      <c r="AB233" s="182"/>
      <c r="AC233" s="253"/>
      <c r="AD233" s="253"/>
      <c r="AE233" s="132"/>
      <c r="AF233" s="253"/>
      <c r="AG233" s="253"/>
      <c r="AH233" s="253"/>
      <c r="AI233" s="253"/>
      <c r="AJ233" s="254"/>
      <c r="BG233" s="285" t="n">
        <v>43374</v>
      </c>
      <c r="BH233" s="0" t="n">
        <v>0</v>
      </c>
      <c r="BJ233" s="285" t="n">
        <v>43374</v>
      </c>
      <c r="BK233" s="0" t="n">
        <v>230</v>
      </c>
    </row>
    <row r="234" customFormat="false" ht="12" hidden="false" customHeight="true" outlineLevel="0" collapsed="false">
      <c r="A234" s="265"/>
      <c r="E234" s="7"/>
      <c r="H234" s="92"/>
      <c r="I234" s="248"/>
      <c r="K234" s="124"/>
      <c r="L234" s="7"/>
      <c r="M234" s="126"/>
      <c r="N234" s="7"/>
      <c r="O234" s="7"/>
      <c r="P234" s="249"/>
      <c r="Q234" s="92"/>
      <c r="R234" s="7"/>
      <c r="S234" s="130"/>
      <c r="T234" s="250"/>
      <c r="U234" s="43"/>
      <c r="V234" s="250"/>
      <c r="W234" s="250"/>
      <c r="X234" s="2"/>
      <c r="Y234" s="251"/>
      <c r="AB234" s="182"/>
      <c r="AC234" s="253"/>
      <c r="AD234" s="253"/>
      <c r="AE234" s="132"/>
      <c r="AF234" s="253"/>
      <c r="AG234" s="253"/>
      <c r="AH234" s="253"/>
      <c r="AI234" s="253"/>
      <c r="AJ234" s="254"/>
      <c r="BG234" s="285" t="n">
        <v>43405</v>
      </c>
      <c r="BH234" s="0" t="n">
        <v>0</v>
      </c>
      <c r="BJ234" s="285" t="n">
        <v>43405</v>
      </c>
      <c r="BK234" s="0" t="n">
        <v>231</v>
      </c>
    </row>
    <row r="235" customFormat="false" ht="12" hidden="false" customHeight="true" outlineLevel="0" collapsed="false">
      <c r="A235" s="265"/>
      <c r="E235" s="7"/>
      <c r="H235" s="92"/>
      <c r="I235" s="248"/>
      <c r="K235" s="124"/>
      <c r="L235" s="7"/>
      <c r="M235" s="126"/>
      <c r="N235" s="7"/>
      <c r="O235" s="7"/>
      <c r="P235" s="249"/>
      <c r="Q235" s="92"/>
      <c r="R235" s="7"/>
      <c r="S235" s="130"/>
      <c r="T235" s="250"/>
      <c r="U235" s="43"/>
      <c r="V235" s="250"/>
      <c r="W235" s="250"/>
      <c r="X235" s="2"/>
      <c r="Y235" s="251"/>
      <c r="AB235" s="182"/>
      <c r="AC235" s="253"/>
      <c r="AD235" s="253"/>
      <c r="AE235" s="132"/>
      <c r="AF235" s="253"/>
      <c r="AG235" s="253"/>
      <c r="AH235" s="253"/>
      <c r="AI235" s="253"/>
      <c r="AJ235" s="254"/>
      <c r="BG235" s="285" t="n">
        <v>43435</v>
      </c>
      <c r="BH235" s="0" t="n">
        <v>0</v>
      </c>
      <c r="BJ235" s="285" t="n">
        <v>43435</v>
      </c>
      <c r="BK235" s="0" t="n">
        <v>232</v>
      </c>
    </row>
    <row r="236" customFormat="false" ht="12" hidden="false" customHeight="true" outlineLevel="0" collapsed="false">
      <c r="A236" s="265"/>
      <c r="E236" s="7"/>
      <c r="H236" s="92"/>
      <c r="I236" s="248"/>
      <c r="K236" s="124"/>
      <c r="L236" s="7"/>
      <c r="M236" s="126"/>
      <c r="N236" s="7"/>
      <c r="O236" s="7"/>
      <c r="P236" s="249"/>
      <c r="Q236" s="92"/>
      <c r="R236" s="7"/>
      <c r="S236" s="130"/>
      <c r="T236" s="250"/>
      <c r="U236" s="43"/>
      <c r="V236" s="250"/>
      <c r="W236" s="250"/>
      <c r="X236" s="2"/>
      <c r="Y236" s="251"/>
      <c r="AB236" s="182"/>
      <c r="AC236" s="253"/>
      <c r="AD236" s="253"/>
      <c r="AE236" s="132"/>
      <c r="AF236" s="253"/>
      <c r="AG236" s="253"/>
      <c r="AH236" s="253"/>
      <c r="AI236" s="253"/>
      <c r="AJ236" s="254"/>
      <c r="BG236" s="285" t="n">
        <v>43466</v>
      </c>
      <c r="BH236" s="0" t="n">
        <v>0</v>
      </c>
      <c r="BJ236" s="285" t="n">
        <v>43466</v>
      </c>
      <c r="BK236" s="0" t="n">
        <v>233</v>
      </c>
    </row>
    <row r="237" customFormat="false" ht="12" hidden="false" customHeight="true" outlineLevel="0" collapsed="false">
      <c r="A237" s="265"/>
      <c r="E237" s="7"/>
      <c r="H237" s="92"/>
      <c r="I237" s="248"/>
      <c r="K237" s="124"/>
      <c r="L237" s="7"/>
      <c r="M237" s="126"/>
      <c r="N237" s="7"/>
      <c r="O237" s="7"/>
      <c r="P237" s="249"/>
      <c r="Q237" s="92"/>
      <c r="R237" s="7"/>
      <c r="S237" s="130"/>
      <c r="T237" s="250"/>
      <c r="U237" s="43"/>
      <c r="V237" s="250"/>
      <c r="W237" s="250"/>
      <c r="X237" s="2"/>
      <c r="Y237" s="251"/>
      <c r="Z237" s="2"/>
      <c r="AB237" s="182"/>
      <c r="AC237" s="253"/>
      <c r="AD237" s="253"/>
      <c r="AE237" s="132"/>
      <c r="AF237" s="253"/>
      <c r="AG237" s="253"/>
      <c r="AH237" s="253"/>
      <c r="AI237" s="253"/>
      <c r="AJ237" s="254"/>
      <c r="BG237" s="285" t="n">
        <v>43497</v>
      </c>
      <c r="BH237" s="0" t="n">
        <v>0</v>
      </c>
      <c r="BJ237" s="285" t="n">
        <v>43497</v>
      </c>
      <c r="BK237" s="0" t="n">
        <v>234</v>
      </c>
    </row>
    <row r="238" customFormat="false" ht="12" hidden="false" customHeight="true" outlineLevel="0" collapsed="false">
      <c r="A238" s="265"/>
      <c r="E238" s="7"/>
      <c r="H238" s="92"/>
      <c r="I238" s="248"/>
      <c r="K238" s="124"/>
      <c r="L238" s="7"/>
      <c r="M238" s="126"/>
      <c r="N238" s="7"/>
      <c r="O238" s="7"/>
      <c r="P238" s="249"/>
      <c r="Q238" s="92"/>
      <c r="R238" s="7"/>
      <c r="S238" s="130"/>
      <c r="T238" s="250"/>
      <c r="U238" s="43"/>
      <c r="V238" s="250"/>
      <c r="W238" s="250"/>
      <c r="X238" s="2"/>
      <c r="Y238" s="251"/>
      <c r="AB238" s="182"/>
      <c r="AC238" s="253"/>
      <c r="AD238" s="253"/>
      <c r="AE238" s="132"/>
      <c r="AF238" s="253"/>
      <c r="AG238" s="253"/>
      <c r="AH238" s="253"/>
      <c r="AI238" s="253"/>
      <c r="AJ238" s="254"/>
      <c r="BG238" s="285" t="n">
        <v>43525</v>
      </c>
      <c r="BH238" s="0" t="n">
        <v>0</v>
      </c>
      <c r="BJ238" s="285" t="n">
        <v>43525</v>
      </c>
      <c r="BK238" s="0" t="n">
        <v>235</v>
      </c>
    </row>
    <row r="239" customFormat="false" ht="12" hidden="false" customHeight="true" outlineLevel="0" collapsed="false">
      <c r="A239" s="265"/>
      <c r="E239" s="7"/>
      <c r="H239" s="92"/>
      <c r="I239" s="248"/>
      <c r="K239" s="124"/>
      <c r="L239" s="7"/>
      <c r="M239" s="126"/>
      <c r="N239" s="7"/>
      <c r="O239" s="7"/>
      <c r="P239" s="249"/>
      <c r="Q239" s="92"/>
      <c r="R239" s="7"/>
      <c r="S239" s="130"/>
      <c r="T239" s="250"/>
      <c r="U239" s="43"/>
      <c r="V239" s="250"/>
      <c r="W239" s="250"/>
      <c r="X239" s="2"/>
      <c r="Y239" s="251"/>
      <c r="AB239" s="182"/>
      <c r="AC239" s="253"/>
      <c r="AD239" s="253"/>
      <c r="AE239" s="132"/>
      <c r="AF239" s="253"/>
      <c r="AG239" s="253"/>
      <c r="AH239" s="253"/>
      <c r="AI239" s="253"/>
      <c r="AJ239" s="254"/>
      <c r="BG239" s="285" t="n">
        <v>43556</v>
      </c>
      <c r="BH239" s="0" t="n">
        <v>0</v>
      </c>
      <c r="BJ239" s="285" t="n">
        <v>43556</v>
      </c>
      <c r="BK239" s="0" t="n">
        <v>236</v>
      </c>
    </row>
    <row r="240" customFormat="false" ht="12" hidden="false" customHeight="true" outlineLevel="0" collapsed="false">
      <c r="A240" s="265"/>
      <c r="E240" s="7"/>
      <c r="H240" s="92"/>
      <c r="I240" s="248"/>
      <c r="K240" s="124"/>
      <c r="L240" s="7"/>
      <c r="M240" s="126"/>
      <c r="N240" s="7"/>
      <c r="O240" s="7"/>
      <c r="P240" s="249"/>
      <c r="Q240" s="92"/>
      <c r="R240" s="7"/>
      <c r="S240" s="130"/>
      <c r="T240" s="250"/>
      <c r="U240" s="43"/>
      <c r="V240" s="250"/>
      <c r="W240" s="250"/>
      <c r="X240" s="2"/>
      <c r="Y240" s="251"/>
      <c r="AB240" s="182"/>
      <c r="AC240" s="253"/>
      <c r="AD240" s="253"/>
      <c r="AE240" s="132"/>
      <c r="AF240" s="253"/>
      <c r="AG240" s="253"/>
      <c r="AH240" s="253"/>
      <c r="AI240" s="253"/>
      <c r="AJ240" s="254"/>
      <c r="BG240" s="285" t="n">
        <v>43586</v>
      </c>
      <c r="BH240" s="0" t="n">
        <v>0</v>
      </c>
      <c r="BJ240" s="285" t="n">
        <v>43586</v>
      </c>
      <c r="BK240" s="0" t="n">
        <v>237</v>
      </c>
    </row>
    <row r="241" customFormat="false" ht="12" hidden="false" customHeight="true" outlineLevel="0" collapsed="false">
      <c r="A241" s="265"/>
      <c r="E241" s="7"/>
      <c r="H241" s="92"/>
      <c r="I241" s="248"/>
      <c r="K241" s="124"/>
      <c r="L241" s="7"/>
      <c r="M241" s="126"/>
      <c r="N241" s="7"/>
      <c r="O241" s="7"/>
      <c r="P241" s="249"/>
      <c r="Q241" s="92"/>
      <c r="R241" s="7"/>
      <c r="S241" s="130"/>
      <c r="T241" s="250"/>
      <c r="U241" s="43"/>
      <c r="V241" s="250"/>
      <c r="W241" s="250"/>
      <c r="X241" s="2"/>
      <c r="Y241" s="251"/>
      <c r="AB241" s="182"/>
      <c r="AC241" s="253"/>
      <c r="AD241" s="253"/>
      <c r="AE241" s="132"/>
      <c r="AF241" s="253"/>
      <c r="AG241" s="253"/>
      <c r="AH241" s="253"/>
      <c r="AI241" s="253"/>
      <c r="AJ241" s="254"/>
      <c r="BG241" s="285" t="n">
        <v>43617</v>
      </c>
      <c r="BH241" s="0" t="n">
        <v>0</v>
      </c>
      <c r="BJ241" s="285" t="n">
        <v>43617</v>
      </c>
      <c r="BK241" s="0" t="n">
        <v>238</v>
      </c>
    </row>
    <row r="242" customFormat="false" ht="12" hidden="false" customHeight="true" outlineLevel="0" collapsed="false">
      <c r="A242" s="265"/>
      <c r="E242" s="7"/>
      <c r="H242" s="92"/>
      <c r="I242" s="248"/>
      <c r="K242" s="124"/>
      <c r="L242" s="7"/>
      <c r="M242" s="126"/>
      <c r="N242" s="7"/>
      <c r="O242" s="7"/>
      <c r="P242" s="249"/>
      <c r="Q242" s="92"/>
      <c r="R242" s="7"/>
      <c r="S242" s="130"/>
      <c r="T242" s="250"/>
      <c r="U242" s="43"/>
      <c r="V242" s="250"/>
      <c r="W242" s="250"/>
      <c r="X242" s="2"/>
      <c r="Y242" s="251"/>
      <c r="AB242" s="182"/>
      <c r="AC242" s="253"/>
      <c r="AD242" s="253"/>
      <c r="AE242" s="132"/>
      <c r="AF242" s="253"/>
      <c r="AG242" s="253"/>
      <c r="AH242" s="253"/>
      <c r="AI242" s="253"/>
      <c r="AJ242" s="254"/>
      <c r="BG242" s="285" t="n">
        <v>43647</v>
      </c>
      <c r="BH242" s="0" t="n">
        <v>0</v>
      </c>
      <c r="BJ242" s="285" t="n">
        <v>43647</v>
      </c>
      <c r="BK242" s="0" t="n">
        <v>239</v>
      </c>
    </row>
    <row r="243" customFormat="false" ht="12" hidden="false" customHeight="true" outlineLevel="0" collapsed="false">
      <c r="A243" s="265"/>
      <c r="E243" s="7"/>
      <c r="H243" s="92"/>
      <c r="I243" s="248"/>
      <c r="K243" s="124"/>
      <c r="L243" s="7"/>
      <c r="M243" s="126"/>
      <c r="N243" s="7"/>
      <c r="O243" s="7"/>
      <c r="P243" s="249"/>
      <c r="Q243" s="92"/>
      <c r="R243" s="7"/>
      <c r="S243" s="130"/>
      <c r="T243" s="250"/>
      <c r="U243" s="43"/>
      <c r="V243" s="250"/>
      <c r="W243" s="250"/>
      <c r="X243" s="2"/>
      <c r="Y243" s="251"/>
      <c r="AB243" s="182"/>
      <c r="AC243" s="253"/>
      <c r="AD243" s="253"/>
      <c r="AE243" s="132"/>
      <c r="AF243" s="253"/>
      <c r="AG243" s="253"/>
      <c r="AH243" s="253"/>
      <c r="AI243" s="253"/>
      <c r="AJ243" s="254"/>
      <c r="BG243" s="285" t="n">
        <v>43678</v>
      </c>
      <c r="BH243" s="0" t="n">
        <v>0</v>
      </c>
      <c r="BJ243" s="285" t="n">
        <v>43678</v>
      </c>
      <c r="BK243" s="0" t="n">
        <v>240</v>
      </c>
    </row>
    <row r="244" customFormat="false" ht="12" hidden="false" customHeight="true" outlineLevel="0" collapsed="false">
      <c r="A244" s="265"/>
      <c r="E244" s="7"/>
      <c r="H244" s="92"/>
      <c r="I244" s="248"/>
      <c r="K244" s="124"/>
      <c r="L244" s="7"/>
      <c r="M244" s="126"/>
      <c r="N244" s="7"/>
      <c r="O244" s="7"/>
      <c r="P244" s="249"/>
      <c r="Q244" s="92"/>
      <c r="R244" s="7"/>
      <c r="S244" s="130"/>
      <c r="T244" s="250"/>
      <c r="U244" s="43"/>
      <c r="V244" s="250"/>
      <c r="W244" s="250"/>
      <c r="X244" s="2"/>
      <c r="Y244" s="251"/>
      <c r="AB244" s="182"/>
      <c r="AC244" s="253"/>
      <c r="AD244" s="253"/>
      <c r="AE244" s="132"/>
      <c r="AF244" s="253"/>
      <c r="AG244" s="253"/>
      <c r="AH244" s="253"/>
      <c r="AI244" s="253"/>
      <c r="AJ244" s="254"/>
      <c r="BG244" s="285" t="n">
        <v>43709</v>
      </c>
      <c r="BH244" s="0" t="n">
        <v>0</v>
      </c>
      <c r="BJ244" s="285" t="n">
        <v>43709</v>
      </c>
      <c r="BK244" s="0" t="n">
        <v>241</v>
      </c>
    </row>
    <row r="245" customFormat="false" ht="12" hidden="false" customHeight="true" outlineLevel="0" collapsed="false">
      <c r="E245" s="7"/>
      <c r="H245" s="92"/>
      <c r="I245" s="248"/>
      <c r="K245" s="124"/>
      <c r="L245" s="7"/>
      <c r="M245" s="126"/>
      <c r="N245" s="7"/>
      <c r="O245" s="7"/>
      <c r="P245" s="249"/>
      <c r="Q245" s="92"/>
      <c r="R245" s="7"/>
      <c r="S245" s="130"/>
      <c r="T245" s="250"/>
      <c r="U245" s="43"/>
      <c r="V245" s="250"/>
      <c r="W245" s="250"/>
      <c r="X245" s="2"/>
      <c r="Y245" s="251"/>
      <c r="AB245" s="182"/>
      <c r="AC245" s="253"/>
      <c r="AD245" s="253"/>
      <c r="AE245" s="132"/>
      <c r="AF245" s="253"/>
      <c r="AG245" s="253"/>
      <c r="AH245" s="253"/>
      <c r="AI245" s="253"/>
      <c r="AJ245" s="254"/>
      <c r="BG245" s="285" t="n">
        <v>43739</v>
      </c>
      <c r="BH245" s="0" t="n">
        <v>0</v>
      </c>
      <c r="BJ245" s="285" t="n">
        <v>43739</v>
      </c>
      <c r="BK245" s="0" t="n">
        <v>242</v>
      </c>
    </row>
    <row r="246" customFormat="false" ht="12" hidden="false" customHeight="true" outlineLevel="0" collapsed="false">
      <c r="E246" s="7"/>
      <c r="H246" s="92"/>
      <c r="I246" s="248"/>
      <c r="K246" s="124"/>
      <c r="L246" s="7"/>
      <c r="M246" s="126"/>
      <c r="N246" s="7"/>
      <c r="O246" s="7"/>
      <c r="P246" s="249"/>
      <c r="Q246" s="92"/>
      <c r="R246" s="7"/>
      <c r="S246" s="130"/>
      <c r="T246" s="250"/>
      <c r="U246" s="43"/>
      <c r="V246" s="250"/>
      <c r="W246" s="250"/>
      <c r="X246" s="2"/>
      <c r="Y246" s="251"/>
      <c r="AB246" s="182"/>
      <c r="AC246" s="253"/>
      <c r="AD246" s="253"/>
      <c r="AE246" s="132"/>
      <c r="AF246" s="253"/>
      <c r="AG246" s="253"/>
      <c r="AH246" s="253"/>
      <c r="AI246" s="253"/>
      <c r="AJ246" s="254"/>
      <c r="BG246" s="285" t="n">
        <v>43770</v>
      </c>
      <c r="BH246" s="0" t="n">
        <v>0</v>
      </c>
      <c r="BJ246" s="285" t="n">
        <v>43770</v>
      </c>
      <c r="BK246" s="0" t="n">
        <v>243</v>
      </c>
    </row>
    <row r="247" customFormat="false" ht="12.75" hidden="false" customHeight="false" outlineLevel="0" collapsed="false">
      <c r="E247" s="7"/>
      <c r="H247" s="92"/>
      <c r="I247" s="248"/>
      <c r="K247" s="124"/>
      <c r="L247" s="7"/>
      <c r="M247" s="126"/>
      <c r="N247" s="7"/>
      <c r="O247" s="7"/>
      <c r="P247" s="249"/>
      <c r="Q247" s="92"/>
      <c r="R247" s="7"/>
      <c r="S247" s="130"/>
      <c r="T247" s="250"/>
      <c r="U247" s="43"/>
      <c r="V247" s="250"/>
      <c r="W247" s="250"/>
      <c r="X247" s="2"/>
      <c r="Y247" s="251"/>
      <c r="AB247" s="182"/>
      <c r="AC247" s="253"/>
      <c r="AD247" s="253"/>
      <c r="AE247" s="132"/>
      <c r="AF247" s="253"/>
      <c r="AG247" s="253"/>
      <c r="AH247" s="253"/>
      <c r="AI247" s="253"/>
      <c r="AJ247" s="254"/>
      <c r="BG247" s="285" t="n">
        <v>43800</v>
      </c>
      <c r="BH247" s="0" t="n">
        <v>0</v>
      </c>
      <c r="BJ247" s="285" t="n">
        <v>43800</v>
      </c>
      <c r="BK247" s="0" t="n">
        <v>244</v>
      </c>
    </row>
    <row r="248" customFormat="false" ht="12.75" hidden="false" customHeight="false" outlineLevel="0" collapsed="false">
      <c r="E248" s="7"/>
      <c r="H248" s="92"/>
      <c r="I248" s="248"/>
      <c r="K248" s="124"/>
      <c r="L248" s="7"/>
      <c r="M248" s="126"/>
      <c r="N248" s="7"/>
      <c r="O248" s="7"/>
      <c r="P248" s="249"/>
      <c r="Q248" s="92"/>
      <c r="R248" s="7"/>
      <c r="S248" s="130"/>
      <c r="T248" s="250"/>
      <c r="U248" s="43"/>
      <c r="V248" s="250"/>
      <c r="W248" s="250"/>
      <c r="X248" s="2"/>
      <c r="Y248" s="251"/>
      <c r="AB248" s="182"/>
      <c r="AC248" s="253"/>
      <c r="AD248" s="253"/>
      <c r="AE248" s="132"/>
      <c r="AF248" s="253"/>
      <c r="AG248" s="253"/>
      <c r="AH248" s="253"/>
      <c r="AI248" s="253"/>
      <c r="AJ248" s="254"/>
      <c r="BG248" s="285" t="n">
        <v>43831</v>
      </c>
      <c r="BH248" s="0" t="n">
        <v>0</v>
      </c>
      <c r="BJ248" s="285" t="n">
        <v>43831</v>
      </c>
      <c r="BK248" s="0" t="n">
        <v>245</v>
      </c>
    </row>
    <row r="249" customFormat="false" ht="12.75" hidden="false" customHeight="false" outlineLevel="0" collapsed="false">
      <c r="E249" s="7"/>
      <c r="H249" s="92"/>
      <c r="I249" s="248"/>
      <c r="K249" s="124"/>
      <c r="L249" s="7"/>
      <c r="M249" s="126"/>
      <c r="N249" s="7"/>
      <c r="O249" s="7"/>
      <c r="P249" s="249"/>
      <c r="Q249" s="92"/>
      <c r="R249" s="7"/>
      <c r="S249" s="130"/>
      <c r="T249" s="250"/>
      <c r="U249" s="43"/>
      <c r="V249" s="250"/>
      <c r="W249" s="250"/>
      <c r="X249" s="2"/>
      <c r="Y249" s="251"/>
      <c r="AB249" s="182"/>
      <c r="AC249" s="253"/>
      <c r="AD249" s="253"/>
      <c r="AE249" s="132"/>
      <c r="AF249" s="253"/>
      <c r="AG249" s="253"/>
      <c r="AH249" s="253"/>
      <c r="AI249" s="253"/>
      <c r="AJ249" s="254"/>
      <c r="BG249" s="285" t="n">
        <v>43862</v>
      </c>
      <c r="BH249" s="0" t="n">
        <v>0</v>
      </c>
      <c r="BJ249" s="285" t="n">
        <v>43862</v>
      </c>
      <c r="BK249" s="0" t="n">
        <v>246</v>
      </c>
    </row>
    <row r="250" customFormat="false" ht="12.75" hidden="false" customHeight="false" outlineLevel="0" collapsed="false">
      <c r="A250" s="265"/>
      <c r="E250" s="7"/>
      <c r="H250" s="92"/>
      <c r="I250" s="248"/>
      <c r="K250" s="124"/>
      <c r="L250" s="7"/>
      <c r="M250" s="126"/>
      <c r="N250" s="7"/>
      <c r="O250" s="7"/>
      <c r="P250" s="249"/>
      <c r="Q250" s="92"/>
      <c r="R250" s="7"/>
      <c r="S250" s="130"/>
      <c r="T250" s="250"/>
      <c r="U250" s="43"/>
      <c r="V250" s="250"/>
      <c r="W250" s="250"/>
      <c r="X250" s="2"/>
      <c r="Y250" s="251"/>
      <c r="AB250" s="182"/>
      <c r="AC250" s="253"/>
      <c r="AD250" s="253"/>
      <c r="AE250" s="132"/>
      <c r="AF250" s="253"/>
      <c r="AG250" s="253"/>
      <c r="AH250" s="253"/>
      <c r="AI250" s="253"/>
      <c r="AJ250" s="254"/>
      <c r="BG250" s="285" t="n">
        <v>43891</v>
      </c>
      <c r="BH250" s="0" t="n">
        <v>0</v>
      </c>
      <c r="BJ250" s="285" t="n">
        <v>43891</v>
      </c>
      <c r="BK250" s="0" t="n">
        <v>247</v>
      </c>
    </row>
    <row r="251" customFormat="false" ht="12.75" hidden="false" customHeight="false" outlineLevel="0" collapsed="false">
      <c r="A251" s="265"/>
      <c r="E251" s="7"/>
      <c r="H251" s="92"/>
      <c r="I251" s="248"/>
      <c r="K251" s="124"/>
      <c r="L251" s="7"/>
      <c r="M251" s="126"/>
      <c r="N251" s="7"/>
      <c r="O251" s="7"/>
      <c r="P251" s="249"/>
      <c r="Q251" s="92"/>
      <c r="R251" s="7"/>
      <c r="S251" s="130"/>
      <c r="T251" s="250"/>
      <c r="U251" s="43"/>
      <c r="V251" s="250"/>
      <c r="W251" s="250"/>
      <c r="X251" s="2"/>
      <c r="Y251" s="251"/>
      <c r="AB251" s="182"/>
      <c r="AC251" s="253"/>
      <c r="AD251" s="253"/>
      <c r="AE251" s="132"/>
      <c r="AF251" s="253"/>
      <c r="AG251" s="253"/>
      <c r="AH251" s="253"/>
      <c r="AI251" s="253"/>
      <c r="AJ251" s="254"/>
      <c r="BG251" s="285" t="n">
        <v>43922</v>
      </c>
      <c r="BH251" s="0" t="n">
        <v>0</v>
      </c>
      <c r="BJ251" s="285" t="n">
        <v>43922</v>
      </c>
      <c r="BK251" s="0" t="n">
        <v>248</v>
      </c>
    </row>
    <row r="252" customFormat="false" ht="12.75" hidden="false" customHeight="false" outlineLevel="0" collapsed="false">
      <c r="A252" s="265"/>
      <c r="E252" s="7"/>
      <c r="H252" s="92"/>
      <c r="I252" s="248"/>
      <c r="K252" s="124"/>
      <c r="L252" s="7"/>
      <c r="M252" s="126"/>
      <c r="N252" s="7"/>
      <c r="O252" s="7"/>
      <c r="P252" s="249"/>
      <c r="Q252" s="92"/>
      <c r="R252" s="7"/>
      <c r="S252" s="130"/>
      <c r="T252" s="250"/>
      <c r="U252" s="43"/>
      <c r="V252" s="250"/>
      <c r="W252" s="250"/>
      <c r="X252" s="2"/>
      <c r="Y252" s="251"/>
      <c r="AB252" s="182"/>
      <c r="AC252" s="253"/>
      <c r="AD252" s="253"/>
      <c r="AE252" s="132"/>
      <c r="AF252" s="253"/>
      <c r="AG252" s="253"/>
      <c r="AH252" s="253"/>
      <c r="AI252" s="253"/>
      <c r="AJ252" s="254"/>
      <c r="BG252" s="285" t="n">
        <v>43952</v>
      </c>
      <c r="BH252" s="0" t="n">
        <v>0</v>
      </c>
      <c r="BJ252" s="285" t="n">
        <v>43952</v>
      </c>
      <c r="BK252" s="0" t="n">
        <v>249</v>
      </c>
    </row>
    <row r="253" customFormat="false" ht="12.75" hidden="false" customHeight="false" outlineLevel="0" collapsed="false">
      <c r="A253" s="265"/>
      <c r="E253" s="7"/>
      <c r="H253" s="92"/>
      <c r="I253" s="248"/>
      <c r="K253" s="124"/>
      <c r="L253" s="7"/>
      <c r="M253" s="126"/>
      <c r="N253" s="7"/>
      <c r="O253" s="7"/>
      <c r="P253" s="249"/>
      <c r="Q253" s="92"/>
      <c r="R253" s="7"/>
      <c r="S253" s="130"/>
      <c r="T253" s="250"/>
      <c r="U253" s="43"/>
      <c r="V253" s="250"/>
      <c r="W253" s="250"/>
      <c r="X253" s="2"/>
      <c r="Y253" s="251"/>
      <c r="AB253" s="182"/>
      <c r="AC253" s="253"/>
      <c r="AD253" s="253"/>
      <c r="AE253" s="132"/>
      <c r="AF253" s="253"/>
      <c r="AG253" s="253"/>
      <c r="AH253" s="253"/>
      <c r="AI253" s="253"/>
      <c r="AJ253" s="254"/>
      <c r="BG253" s="285" t="n">
        <v>43983</v>
      </c>
      <c r="BH253" s="0" t="n">
        <v>0</v>
      </c>
      <c r="BJ253" s="285" t="n">
        <v>43983</v>
      </c>
      <c r="BK253" s="0" t="n">
        <v>250</v>
      </c>
    </row>
    <row r="254" customFormat="false" ht="12.75" hidden="false" customHeight="false" outlineLevel="0" collapsed="false">
      <c r="A254" s="265"/>
      <c r="E254" s="7"/>
      <c r="H254" s="92"/>
      <c r="I254" s="248"/>
      <c r="K254" s="124"/>
      <c r="L254" s="7"/>
      <c r="M254" s="126"/>
      <c r="N254" s="7"/>
      <c r="O254" s="7"/>
      <c r="P254" s="249"/>
      <c r="Q254" s="92"/>
      <c r="R254" s="7"/>
      <c r="S254" s="130"/>
      <c r="T254" s="250"/>
      <c r="U254" s="43"/>
      <c r="V254" s="250"/>
      <c r="W254" s="250"/>
      <c r="X254" s="2"/>
      <c r="Y254" s="251"/>
      <c r="AB254" s="182"/>
      <c r="AC254" s="253"/>
      <c r="AD254" s="253"/>
      <c r="AE254" s="132"/>
      <c r="AF254" s="253"/>
      <c r="AG254" s="253"/>
      <c r="AH254" s="253"/>
      <c r="AI254" s="253"/>
      <c r="AJ254" s="254"/>
      <c r="BG254" s="285" t="n">
        <v>44013</v>
      </c>
      <c r="BH254" s="0" t="n">
        <v>0</v>
      </c>
      <c r="BJ254" s="285" t="n">
        <v>44013</v>
      </c>
      <c r="BK254" s="0" t="n">
        <v>251</v>
      </c>
    </row>
    <row r="255" customFormat="false" ht="12.75" hidden="false" customHeight="false" outlineLevel="0" collapsed="false">
      <c r="A255" s="265"/>
      <c r="E255" s="7"/>
      <c r="H255" s="92"/>
      <c r="I255" s="248"/>
      <c r="K255" s="124"/>
      <c r="L255" s="7"/>
      <c r="M255" s="126"/>
      <c r="N255" s="7"/>
      <c r="O255" s="7"/>
      <c r="P255" s="249"/>
      <c r="Q255" s="92"/>
      <c r="R255" s="7"/>
      <c r="S255" s="130"/>
      <c r="T255" s="250"/>
      <c r="U255" s="43"/>
      <c r="V255" s="250"/>
      <c r="W255" s="250"/>
      <c r="X255" s="2"/>
      <c r="Y255" s="251"/>
      <c r="AB255" s="182"/>
      <c r="AC255" s="253"/>
      <c r="AD255" s="253"/>
      <c r="AE255" s="132"/>
      <c r="AF255" s="253"/>
      <c r="AG255" s="253"/>
      <c r="AH255" s="253"/>
      <c r="AI255" s="253"/>
      <c r="AJ255" s="254"/>
      <c r="BG255" s="285" t="n">
        <v>44044</v>
      </c>
      <c r="BH255" s="0" t="n">
        <v>0</v>
      </c>
      <c r="BJ255" s="285" t="n">
        <v>44044</v>
      </c>
      <c r="BK255" s="0" t="n">
        <v>252</v>
      </c>
    </row>
    <row r="256" customFormat="false" ht="12.75" hidden="false" customHeight="false" outlineLevel="0" collapsed="false">
      <c r="A256" s="265"/>
      <c r="E256" s="7"/>
      <c r="H256" s="92"/>
      <c r="I256" s="248"/>
      <c r="K256" s="124"/>
      <c r="L256" s="7"/>
      <c r="M256" s="126"/>
      <c r="N256" s="7"/>
      <c r="O256" s="7"/>
      <c r="P256" s="249"/>
      <c r="Q256" s="92"/>
      <c r="R256" s="7"/>
      <c r="S256" s="130"/>
      <c r="T256" s="250"/>
      <c r="U256" s="43"/>
      <c r="V256" s="250"/>
      <c r="W256" s="250"/>
      <c r="X256" s="2"/>
      <c r="Y256" s="251"/>
      <c r="AB256" s="182"/>
      <c r="AC256" s="253"/>
      <c r="AD256" s="253"/>
      <c r="AE256" s="132"/>
      <c r="AF256" s="253"/>
      <c r="AG256" s="253"/>
      <c r="AH256" s="253"/>
      <c r="AI256" s="253"/>
      <c r="AJ256" s="254"/>
      <c r="BG256" s="285" t="n">
        <v>44075</v>
      </c>
      <c r="BH256" s="0" t="n">
        <v>0</v>
      </c>
      <c r="BJ256" s="285" t="n">
        <v>44075</v>
      </c>
      <c r="BK256" s="0" t="n">
        <v>253</v>
      </c>
    </row>
    <row r="257" customFormat="false" ht="12.75" hidden="false" customHeight="false" outlineLevel="0" collapsed="false">
      <c r="A257" s="265"/>
      <c r="E257" s="7"/>
      <c r="H257" s="92"/>
      <c r="I257" s="248"/>
      <c r="K257" s="124"/>
      <c r="L257" s="7"/>
      <c r="M257" s="126"/>
      <c r="N257" s="7"/>
      <c r="O257" s="7"/>
      <c r="P257" s="249"/>
      <c r="Q257" s="92"/>
      <c r="R257" s="7"/>
      <c r="S257" s="130"/>
      <c r="T257" s="250"/>
      <c r="U257" s="43"/>
      <c r="V257" s="250"/>
      <c r="W257" s="250"/>
      <c r="X257" s="2"/>
      <c r="Y257" s="251"/>
      <c r="AB257" s="182"/>
      <c r="AC257" s="253"/>
      <c r="AD257" s="253"/>
      <c r="AE257" s="132"/>
      <c r="AF257" s="253"/>
      <c r="AG257" s="253"/>
      <c r="AH257" s="253"/>
      <c r="AI257" s="253"/>
      <c r="AJ257" s="254"/>
      <c r="BG257" s="285" t="n">
        <v>44105</v>
      </c>
      <c r="BH257" s="0" t="n">
        <v>0</v>
      </c>
      <c r="BJ257" s="285" t="n">
        <v>44105</v>
      </c>
      <c r="BK257" s="0" t="n">
        <v>254</v>
      </c>
    </row>
    <row r="258" customFormat="false" ht="12.75" hidden="false" customHeight="false" outlineLevel="0" collapsed="false">
      <c r="A258" s="265"/>
      <c r="E258" s="7"/>
      <c r="H258" s="92"/>
      <c r="I258" s="248"/>
      <c r="K258" s="124"/>
      <c r="L258" s="7"/>
      <c r="M258" s="126"/>
      <c r="N258" s="7"/>
      <c r="O258" s="7"/>
      <c r="P258" s="249"/>
      <c r="Q258" s="92"/>
      <c r="R258" s="7"/>
      <c r="S258" s="130"/>
      <c r="T258" s="250"/>
      <c r="U258" s="43"/>
      <c r="V258" s="250"/>
      <c r="W258" s="250"/>
      <c r="X258" s="2"/>
      <c r="Y258" s="251"/>
      <c r="AB258" s="182"/>
      <c r="AC258" s="253"/>
      <c r="AD258" s="253"/>
      <c r="AE258" s="132"/>
      <c r="AF258" s="253"/>
      <c r="AG258" s="253"/>
      <c r="AH258" s="253"/>
      <c r="AI258" s="253"/>
      <c r="AJ258" s="254"/>
      <c r="BG258" s="285" t="n">
        <v>44136</v>
      </c>
      <c r="BH258" s="0" t="n">
        <v>0</v>
      </c>
      <c r="BJ258" s="285" t="n">
        <v>44136</v>
      </c>
      <c r="BK258" s="0" t="n">
        <v>255</v>
      </c>
    </row>
    <row r="259" customFormat="false" ht="12.75" hidden="false" customHeight="false" outlineLevel="0" collapsed="false">
      <c r="A259" s="265"/>
      <c r="E259" s="7"/>
      <c r="H259" s="92"/>
      <c r="I259" s="248"/>
      <c r="K259" s="124"/>
      <c r="L259" s="7"/>
      <c r="M259" s="126"/>
      <c r="N259" s="7"/>
      <c r="O259" s="7"/>
      <c r="P259" s="249"/>
      <c r="Q259" s="92"/>
      <c r="R259" s="7"/>
      <c r="S259" s="130"/>
      <c r="T259" s="250"/>
      <c r="U259" s="43"/>
      <c r="V259" s="250"/>
      <c r="W259" s="250"/>
      <c r="X259" s="2"/>
      <c r="Y259" s="251"/>
      <c r="AB259" s="182"/>
      <c r="AC259" s="253"/>
      <c r="AD259" s="253"/>
      <c r="AE259" s="132"/>
      <c r="AF259" s="253"/>
      <c r="AG259" s="253"/>
      <c r="AH259" s="253"/>
      <c r="AI259" s="253"/>
      <c r="AJ259" s="254"/>
      <c r="BG259" s="285" t="n">
        <v>44166</v>
      </c>
      <c r="BH259" s="0" t="n">
        <v>0</v>
      </c>
      <c r="BJ259" s="285" t="n">
        <v>44166</v>
      </c>
      <c r="BK259" s="0" t="n">
        <v>256</v>
      </c>
    </row>
    <row r="260" customFormat="false" ht="12.75" hidden="false" customHeight="false" outlineLevel="0" collapsed="false">
      <c r="A260" s="265"/>
      <c r="E260" s="7"/>
      <c r="H260" s="92"/>
      <c r="I260" s="248"/>
      <c r="K260" s="124"/>
      <c r="L260" s="7"/>
      <c r="M260" s="126"/>
      <c r="N260" s="7"/>
      <c r="O260" s="7"/>
      <c r="P260" s="249"/>
      <c r="Q260" s="92"/>
      <c r="R260" s="7"/>
      <c r="S260" s="130"/>
      <c r="T260" s="250"/>
      <c r="U260" s="43"/>
      <c r="V260" s="250"/>
      <c r="W260" s="250"/>
      <c r="X260" s="2"/>
      <c r="Y260" s="251"/>
      <c r="AB260" s="182"/>
      <c r="AC260" s="253"/>
      <c r="AD260" s="253"/>
      <c r="AE260" s="132"/>
      <c r="AF260" s="253"/>
      <c r="AG260" s="253"/>
      <c r="AH260" s="253"/>
      <c r="AI260" s="253"/>
      <c r="AJ260" s="254"/>
      <c r="BG260" s="285" t="n">
        <v>44197</v>
      </c>
      <c r="BH260" s="0" t="n">
        <v>0</v>
      </c>
      <c r="BJ260" s="285" t="n">
        <v>44197</v>
      </c>
      <c r="BK260" s="0" t="n">
        <v>257</v>
      </c>
    </row>
    <row r="261" customFormat="false" ht="12.75" hidden="false" customHeight="false" outlineLevel="0" collapsed="false">
      <c r="A261" s="265"/>
      <c r="E261" s="7"/>
      <c r="H261" s="92"/>
      <c r="I261" s="248"/>
      <c r="K261" s="124"/>
      <c r="L261" s="7"/>
      <c r="M261" s="126"/>
      <c r="N261" s="7"/>
      <c r="O261" s="7"/>
      <c r="P261" s="249"/>
      <c r="Q261" s="92"/>
      <c r="R261" s="7"/>
      <c r="S261" s="130"/>
      <c r="T261" s="250"/>
      <c r="U261" s="43"/>
      <c r="V261" s="250"/>
      <c r="W261" s="250"/>
      <c r="X261" s="2"/>
      <c r="Y261" s="251"/>
      <c r="AB261" s="182"/>
      <c r="AC261" s="253"/>
      <c r="AD261" s="253"/>
      <c r="AE261" s="132"/>
      <c r="AF261" s="253"/>
      <c r="AG261" s="253"/>
      <c r="AH261" s="253"/>
      <c r="AI261" s="253"/>
      <c r="AJ261" s="254"/>
      <c r="BG261" s="285" t="n">
        <v>44228</v>
      </c>
      <c r="BH261" s="0" t="n">
        <v>0</v>
      </c>
      <c r="BJ261" s="285" t="n">
        <v>44228</v>
      </c>
      <c r="BK261" s="0" t="n">
        <v>258</v>
      </c>
    </row>
    <row r="262" customFormat="false" ht="12.75" hidden="false" customHeight="false" outlineLevel="0" collapsed="false">
      <c r="A262" s="265"/>
      <c r="E262" s="7"/>
      <c r="H262" s="92"/>
      <c r="I262" s="248"/>
      <c r="K262" s="124"/>
      <c r="L262" s="7"/>
      <c r="M262" s="126"/>
      <c r="N262" s="7"/>
      <c r="O262" s="7"/>
      <c r="P262" s="249"/>
      <c r="Q262" s="92"/>
      <c r="R262" s="7"/>
      <c r="S262" s="130"/>
      <c r="T262" s="250"/>
      <c r="U262" s="43"/>
      <c r="V262" s="250"/>
      <c r="W262" s="250"/>
      <c r="X262" s="2"/>
      <c r="Y262" s="251"/>
      <c r="AB262" s="182"/>
      <c r="AC262" s="253"/>
      <c r="AD262" s="253"/>
      <c r="AE262" s="132"/>
      <c r="AF262" s="253"/>
      <c r="AG262" s="253"/>
      <c r="AH262" s="253"/>
      <c r="AI262" s="253"/>
      <c r="AJ262" s="254"/>
      <c r="BG262" s="285" t="n">
        <v>44256</v>
      </c>
      <c r="BH262" s="0" t="n">
        <v>0</v>
      </c>
      <c r="BJ262" s="285" t="n">
        <v>44256</v>
      </c>
      <c r="BK262" s="0" t="n">
        <v>259</v>
      </c>
    </row>
    <row r="263" customFormat="false" ht="12.75" hidden="false" customHeight="false" outlineLevel="0" collapsed="false">
      <c r="A263" s="265"/>
      <c r="E263" s="7"/>
      <c r="H263" s="92"/>
      <c r="I263" s="248"/>
      <c r="K263" s="124"/>
      <c r="L263" s="7"/>
      <c r="M263" s="126"/>
      <c r="N263" s="7"/>
      <c r="O263" s="7"/>
      <c r="P263" s="249"/>
      <c r="Q263" s="92"/>
      <c r="R263" s="7"/>
      <c r="S263" s="130"/>
      <c r="T263" s="250"/>
      <c r="U263" s="43"/>
      <c r="V263" s="250"/>
      <c r="W263" s="250"/>
      <c r="X263" s="2"/>
      <c r="Y263" s="251"/>
      <c r="AB263" s="182"/>
      <c r="AC263" s="253"/>
      <c r="AD263" s="253"/>
      <c r="AE263" s="132"/>
      <c r="AF263" s="253"/>
      <c r="AG263" s="253"/>
      <c r="AH263" s="253"/>
      <c r="AI263" s="253"/>
      <c r="AJ263" s="254"/>
      <c r="BG263" s="285" t="n">
        <v>44287</v>
      </c>
      <c r="BH263" s="0" t="n">
        <v>0</v>
      </c>
      <c r="BJ263" s="285" t="n">
        <v>44287</v>
      </c>
      <c r="BK263" s="0" t="n">
        <v>260</v>
      </c>
    </row>
    <row r="264" customFormat="false" ht="12.75" hidden="false" customHeight="false" outlineLevel="0" collapsed="false">
      <c r="A264" s="265"/>
      <c r="E264" s="7"/>
      <c r="H264" s="92"/>
      <c r="I264" s="248"/>
      <c r="K264" s="124"/>
      <c r="L264" s="7"/>
      <c r="M264" s="126"/>
      <c r="N264" s="7"/>
      <c r="O264" s="7"/>
      <c r="P264" s="249"/>
      <c r="Q264" s="92"/>
      <c r="R264" s="7"/>
      <c r="S264" s="130"/>
      <c r="T264" s="250"/>
      <c r="U264" s="43"/>
      <c r="V264" s="250"/>
      <c r="W264" s="250"/>
      <c r="X264" s="2"/>
      <c r="Y264" s="251"/>
      <c r="AB264" s="182"/>
      <c r="AC264" s="253"/>
      <c r="AD264" s="253"/>
      <c r="AE264" s="132"/>
      <c r="AF264" s="253"/>
      <c r="AG264" s="253"/>
      <c r="AH264" s="253"/>
      <c r="AI264" s="253"/>
      <c r="AJ264" s="254"/>
      <c r="BG264" s="285" t="n">
        <v>44317</v>
      </c>
      <c r="BH264" s="0" t="n">
        <v>0</v>
      </c>
      <c r="BJ264" s="285" t="n">
        <v>44317</v>
      </c>
      <c r="BK264" s="0" t="n">
        <v>261</v>
      </c>
    </row>
    <row r="265" customFormat="false" ht="12.75" hidden="false" customHeight="false" outlineLevel="0" collapsed="false">
      <c r="A265" s="265"/>
      <c r="E265" s="7"/>
      <c r="H265" s="92"/>
      <c r="I265" s="248"/>
      <c r="K265" s="124"/>
      <c r="L265" s="7"/>
      <c r="M265" s="126"/>
      <c r="N265" s="7"/>
      <c r="O265" s="7"/>
      <c r="P265" s="249"/>
      <c r="Q265" s="92"/>
      <c r="R265" s="7"/>
      <c r="S265" s="130"/>
      <c r="T265" s="250"/>
      <c r="U265" s="43"/>
      <c r="V265" s="250"/>
      <c r="W265" s="250"/>
      <c r="X265" s="2"/>
      <c r="Y265" s="251"/>
      <c r="AB265" s="182"/>
      <c r="AC265" s="253"/>
      <c r="AD265" s="253"/>
      <c r="AE265" s="132"/>
      <c r="AF265" s="253"/>
      <c r="AG265" s="253"/>
      <c r="AH265" s="253"/>
      <c r="AI265" s="253"/>
      <c r="AJ265" s="254"/>
      <c r="BG265" s="285" t="n">
        <v>44348</v>
      </c>
      <c r="BH265" s="0" t="n">
        <v>0</v>
      </c>
      <c r="BJ265" s="285" t="n">
        <v>44348</v>
      </c>
      <c r="BK265" s="0" t="n">
        <v>262</v>
      </c>
    </row>
    <row r="266" customFormat="false" ht="12.75" hidden="false" customHeight="false" outlineLevel="0" collapsed="false">
      <c r="A266" s="265"/>
      <c r="E266" s="7"/>
      <c r="H266" s="92"/>
      <c r="I266" s="248"/>
      <c r="K266" s="124"/>
      <c r="L266" s="7"/>
      <c r="M266" s="126"/>
      <c r="N266" s="7"/>
      <c r="O266" s="7"/>
      <c r="P266" s="249"/>
      <c r="Q266" s="92"/>
      <c r="R266" s="7"/>
      <c r="S266" s="130"/>
      <c r="T266" s="250"/>
      <c r="U266" s="43"/>
      <c r="V266" s="250"/>
      <c r="W266" s="250"/>
      <c r="X266" s="2"/>
      <c r="Y266" s="251"/>
      <c r="AB266" s="182"/>
      <c r="AC266" s="253"/>
      <c r="AD266" s="253"/>
      <c r="AE266" s="132"/>
      <c r="AF266" s="253"/>
      <c r="AG266" s="253"/>
      <c r="AH266" s="253"/>
      <c r="AI266" s="253"/>
      <c r="AJ266" s="254"/>
      <c r="BG266" s="285" t="n">
        <v>44378</v>
      </c>
      <c r="BH266" s="0" t="n">
        <v>0</v>
      </c>
      <c r="BJ266" s="285" t="n">
        <v>44378</v>
      </c>
      <c r="BK266" s="0" t="n">
        <v>263</v>
      </c>
    </row>
    <row r="267" customFormat="false" ht="12.75" hidden="false" customHeight="false" outlineLevel="0" collapsed="false">
      <c r="A267" s="265"/>
      <c r="E267" s="7"/>
      <c r="H267" s="92"/>
      <c r="I267" s="248"/>
      <c r="K267" s="124"/>
      <c r="L267" s="7"/>
      <c r="M267" s="126"/>
      <c r="N267" s="7"/>
      <c r="O267" s="7"/>
      <c r="P267" s="249"/>
      <c r="Q267" s="92"/>
      <c r="R267" s="7"/>
      <c r="S267" s="130"/>
      <c r="T267" s="250"/>
      <c r="U267" s="43"/>
      <c r="V267" s="250"/>
      <c r="W267" s="250"/>
      <c r="X267" s="2"/>
      <c r="Y267" s="251"/>
      <c r="AB267" s="182"/>
      <c r="AC267" s="253"/>
      <c r="AD267" s="253"/>
      <c r="AE267" s="132"/>
      <c r="AF267" s="253"/>
      <c r="AG267" s="253"/>
      <c r="AH267" s="253"/>
      <c r="AI267" s="253"/>
      <c r="AJ267" s="254"/>
      <c r="BG267" s="285" t="n">
        <v>44409</v>
      </c>
      <c r="BH267" s="0" t="n">
        <v>0</v>
      </c>
      <c r="BJ267" s="285" t="n">
        <v>44409</v>
      </c>
      <c r="BK267" s="0" t="n">
        <v>264</v>
      </c>
    </row>
    <row r="268" customFormat="false" ht="12.75" hidden="false" customHeight="false" outlineLevel="0" collapsed="false">
      <c r="A268" s="265"/>
      <c r="E268" s="7"/>
      <c r="H268" s="92"/>
      <c r="I268" s="248"/>
      <c r="K268" s="124"/>
      <c r="L268" s="7"/>
      <c r="M268" s="126"/>
      <c r="N268" s="7"/>
      <c r="O268" s="7"/>
      <c r="P268" s="249"/>
      <c r="Q268" s="92"/>
      <c r="R268" s="7"/>
      <c r="S268" s="130"/>
      <c r="T268" s="250"/>
      <c r="U268" s="43"/>
      <c r="V268" s="250"/>
      <c r="W268" s="250"/>
      <c r="X268" s="2"/>
      <c r="Y268" s="251"/>
      <c r="AB268" s="182"/>
      <c r="AC268" s="253"/>
      <c r="AD268" s="253"/>
      <c r="AE268" s="132"/>
      <c r="AF268" s="253"/>
      <c r="AG268" s="253"/>
      <c r="AH268" s="253"/>
      <c r="AI268" s="253"/>
      <c r="AJ268" s="254"/>
      <c r="BG268" s="285" t="n">
        <v>44440</v>
      </c>
      <c r="BH268" s="0" t="n">
        <v>0</v>
      </c>
      <c r="BJ268" s="285" t="n">
        <v>44440</v>
      </c>
      <c r="BK268" s="0" t="n">
        <v>265</v>
      </c>
    </row>
    <row r="269" customFormat="false" ht="12.75" hidden="false" customHeight="false" outlineLevel="0" collapsed="false">
      <c r="A269" s="265"/>
      <c r="E269" s="7"/>
      <c r="H269" s="92"/>
      <c r="I269" s="248"/>
      <c r="K269" s="124"/>
      <c r="L269" s="7"/>
      <c r="M269" s="126"/>
      <c r="N269" s="7"/>
      <c r="O269" s="7"/>
      <c r="P269" s="249"/>
      <c r="Q269" s="92"/>
      <c r="R269" s="7"/>
      <c r="S269" s="130"/>
      <c r="T269" s="250"/>
      <c r="U269" s="43"/>
      <c r="V269" s="250"/>
      <c r="W269" s="250"/>
      <c r="X269" s="2"/>
      <c r="Y269" s="251"/>
      <c r="AB269" s="182"/>
      <c r="AC269" s="253"/>
      <c r="AD269" s="253"/>
      <c r="AE269" s="132"/>
      <c r="AF269" s="253"/>
      <c r="AG269" s="253"/>
      <c r="AH269" s="253"/>
      <c r="AI269" s="253"/>
      <c r="AJ269" s="254"/>
      <c r="BG269" s="285" t="n">
        <v>44470</v>
      </c>
      <c r="BH269" s="0" t="n">
        <v>0</v>
      </c>
      <c r="BJ269" s="285" t="n">
        <v>44470</v>
      </c>
      <c r="BK269" s="0" t="n">
        <v>266</v>
      </c>
    </row>
    <row r="270" customFormat="false" ht="12.75" hidden="false" customHeight="false" outlineLevel="0" collapsed="false">
      <c r="A270" s="265"/>
      <c r="E270" s="7"/>
      <c r="H270" s="92"/>
      <c r="I270" s="248"/>
      <c r="K270" s="124"/>
      <c r="L270" s="7"/>
      <c r="M270" s="126"/>
      <c r="N270" s="7"/>
      <c r="O270" s="7"/>
      <c r="P270" s="249"/>
      <c r="Q270" s="92"/>
      <c r="R270" s="7"/>
      <c r="S270" s="130"/>
      <c r="T270" s="250"/>
      <c r="U270" s="43"/>
      <c r="V270" s="250"/>
      <c r="W270" s="250"/>
      <c r="X270" s="2"/>
      <c r="Y270" s="251"/>
      <c r="AB270" s="182"/>
      <c r="AC270" s="253"/>
      <c r="AD270" s="253"/>
      <c r="AE270" s="132"/>
      <c r="AF270" s="253"/>
      <c r="AG270" s="253"/>
      <c r="AH270" s="253"/>
      <c r="AI270" s="253"/>
      <c r="AJ270" s="254"/>
      <c r="BG270" s="285" t="n">
        <v>44501</v>
      </c>
      <c r="BH270" s="0" t="n">
        <v>0</v>
      </c>
      <c r="BJ270" s="285" t="n">
        <v>44501</v>
      </c>
      <c r="BK270" s="0" t="n">
        <v>267</v>
      </c>
    </row>
    <row r="271" customFormat="false" ht="12.75" hidden="false" customHeight="false" outlineLevel="0" collapsed="false">
      <c r="A271" s="265"/>
      <c r="E271" s="7"/>
      <c r="H271" s="92"/>
      <c r="I271" s="248"/>
      <c r="K271" s="124"/>
      <c r="L271" s="7"/>
      <c r="M271" s="126"/>
      <c r="N271" s="7"/>
      <c r="O271" s="7"/>
      <c r="P271" s="249"/>
      <c r="Q271" s="92"/>
      <c r="R271" s="7"/>
      <c r="S271" s="130"/>
      <c r="T271" s="250"/>
      <c r="U271" s="43"/>
      <c r="V271" s="250"/>
      <c r="W271" s="250"/>
      <c r="X271" s="2"/>
      <c r="Y271" s="251"/>
      <c r="AB271" s="182"/>
      <c r="AC271" s="253"/>
      <c r="AD271" s="253"/>
      <c r="AE271" s="132"/>
      <c r="AF271" s="253"/>
      <c r="AG271" s="253"/>
      <c r="AH271" s="253"/>
      <c r="AI271" s="253"/>
      <c r="AJ271" s="254"/>
      <c r="BG271" s="285" t="n">
        <v>44531</v>
      </c>
      <c r="BH271" s="0" t="n">
        <v>0</v>
      </c>
      <c r="BJ271" s="285" t="n">
        <v>44531</v>
      </c>
      <c r="BK271" s="0" t="n">
        <v>268</v>
      </c>
    </row>
    <row r="272" customFormat="false" ht="12.75" hidden="false" customHeight="false" outlineLevel="0" collapsed="false">
      <c r="A272" s="265"/>
      <c r="E272" s="7"/>
      <c r="H272" s="92"/>
      <c r="I272" s="248"/>
      <c r="K272" s="124"/>
      <c r="L272" s="7"/>
      <c r="M272" s="126"/>
      <c r="N272" s="7"/>
      <c r="O272" s="7"/>
      <c r="P272" s="249"/>
      <c r="Q272" s="92"/>
      <c r="R272" s="7"/>
      <c r="S272" s="130"/>
      <c r="T272" s="250"/>
      <c r="U272" s="43"/>
      <c r="V272" s="250"/>
      <c r="W272" s="250"/>
      <c r="X272" s="2"/>
      <c r="Y272" s="251"/>
      <c r="AB272" s="182"/>
      <c r="AC272" s="253"/>
      <c r="AD272" s="253"/>
      <c r="AE272" s="132"/>
      <c r="AF272" s="253"/>
      <c r="AG272" s="253"/>
      <c r="AH272" s="253"/>
      <c r="AI272" s="253"/>
      <c r="AJ272" s="254"/>
      <c r="BG272" s="285" t="n">
        <v>44562</v>
      </c>
      <c r="BH272" s="0" t="n">
        <v>0</v>
      </c>
      <c r="BJ272" s="285" t="n">
        <v>44562</v>
      </c>
      <c r="BK272" s="0" t="n">
        <v>269</v>
      </c>
    </row>
    <row r="273" customFormat="false" ht="12.75" hidden="false" customHeight="false" outlineLevel="0" collapsed="false">
      <c r="A273" s="265"/>
      <c r="E273" s="7"/>
      <c r="H273" s="92"/>
      <c r="I273" s="248"/>
      <c r="K273" s="124"/>
      <c r="L273" s="7"/>
      <c r="M273" s="126"/>
      <c r="N273" s="7"/>
      <c r="O273" s="7"/>
      <c r="P273" s="249"/>
      <c r="Q273" s="92"/>
      <c r="R273" s="7"/>
      <c r="S273" s="130"/>
      <c r="T273" s="250"/>
      <c r="U273" s="43"/>
      <c r="V273" s="250"/>
      <c r="W273" s="250"/>
      <c r="X273" s="2"/>
      <c r="Y273" s="251"/>
      <c r="AB273" s="182"/>
      <c r="AC273" s="253"/>
      <c r="AD273" s="253"/>
      <c r="AE273" s="132"/>
      <c r="AF273" s="253"/>
      <c r="AG273" s="253"/>
      <c r="AH273" s="253"/>
      <c r="AI273" s="253"/>
      <c r="AJ273" s="254"/>
      <c r="BG273" s="285" t="n">
        <v>44593</v>
      </c>
      <c r="BH273" s="0" t="n">
        <v>0</v>
      </c>
      <c r="BJ273" s="285" t="n">
        <v>44593</v>
      </c>
      <c r="BK273" s="0" t="n">
        <v>270</v>
      </c>
    </row>
    <row r="274" customFormat="false" ht="12.75" hidden="false" customHeight="false" outlineLevel="0" collapsed="false">
      <c r="A274" s="265"/>
      <c r="E274" s="7"/>
      <c r="H274" s="92"/>
      <c r="I274" s="248"/>
      <c r="K274" s="124"/>
      <c r="L274" s="7"/>
      <c r="M274" s="126"/>
      <c r="N274" s="7"/>
      <c r="O274" s="7"/>
      <c r="P274" s="249"/>
      <c r="Q274" s="92"/>
      <c r="R274" s="7"/>
      <c r="S274" s="130"/>
      <c r="T274" s="250"/>
      <c r="U274" s="43"/>
      <c r="V274" s="250"/>
      <c r="W274" s="250"/>
      <c r="X274" s="2"/>
      <c r="Y274" s="251"/>
      <c r="AB274" s="182"/>
      <c r="AC274" s="253"/>
      <c r="AD274" s="253"/>
      <c r="AE274" s="132"/>
      <c r="AF274" s="253"/>
      <c r="AG274" s="253"/>
      <c r="AH274" s="253"/>
      <c r="AI274" s="253"/>
      <c r="AJ274" s="254"/>
      <c r="BG274" s="285" t="n">
        <v>44621</v>
      </c>
      <c r="BH274" s="0" t="n">
        <v>0</v>
      </c>
      <c r="BJ274" s="285" t="n">
        <v>44621</v>
      </c>
      <c r="BK274" s="0" t="n">
        <v>271</v>
      </c>
    </row>
    <row r="275" customFormat="false" ht="12.75" hidden="false" customHeight="false" outlineLevel="0" collapsed="false">
      <c r="A275" s="265"/>
      <c r="E275" s="7"/>
      <c r="H275" s="92"/>
      <c r="I275" s="248"/>
      <c r="K275" s="124"/>
      <c r="L275" s="7"/>
      <c r="M275" s="126"/>
      <c r="N275" s="7"/>
      <c r="O275" s="7"/>
      <c r="P275" s="249"/>
      <c r="Q275" s="92"/>
      <c r="R275" s="7"/>
      <c r="S275" s="130"/>
      <c r="T275" s="250"/>
      <c r="U275" s="43"/>
      <c r="V275" s="250"/>
      <c r="W275" s="250"/>
      <c r="X275" s="2"/>
      <c r="Y275" s="251"/>
      <c r="AB275" s="182"/>
      <c r="AC275" s="253"/>
      <c r="AD275" s="253"/>
      <c r="AE275" s="132"/>
      <c r="AF275" s="253"/>
      <c r="AG275" s="253"/>
      <c r="AH275" s="253"/>
      <c r="AI275" s="253"/>
      <c r="AJ275" s="254"/>
      <c r="BG275" s="285" t="n">
        <v>44652</v>
      </c>
      <c r="BH275" s="0" t="n">
        <v>0</v>
      </c>
      <c r="BJ275" s="285" t="n">
        <v>44652</v>
      </c>
      <c r="BK275" s="0" t="n">
        <v>272</v>
      </c>
    </row>
    <row r="276" customFormat="false" ht="12.75" hidden="false" customHeight="false" outlineLevel="0" collapsed="false">
      <c r="E276" s="7"/>
      <c r="H276" s="92"/>
      <c r="I276" s="248"/>
      <c r="K276" s="124"/>
      <c r="L276" s="7"/>
      <c r="M276" s="126"/>
      <c r="N276" s="7"/>
      <c r="O276" s="7"/>
      <c r="P276" s="249"/>
      <c r="Q276" s="92"/>
      <c r="R276" s="7"/>
      <c r="S276" s="130"/>
      <c r="T276" s="250"/>
      <c r="U276" s="43"/>
      <c r="V276" s="250"/>
      <c r="W276" s="250"/>
      <c r="X276" s="2"/>
      <c r="Y276" s="251"/>
      <c r="AB276" s="182"/>
      <c r="AC276" s="253"/>
      <c r="AD276" s="253"/>
      <c r="AE276" s="132"/>
      <c r="AF276" s="253"/>
      <c r="AG276" s="253"/>
      <c r="AH276" s="253"/>
      <c r="AI276" s="253"/>
      <c r="AJ276" s="254"/>
      <c r="BG276" s="285" t="n">
        <v>44682</v>
      </c>
      <c r="BH276" s="0" t="n">
        <v>0</v>
      </c>
      <c r="BJ276" s="285" t="n">
        <v>44682</v>
      </c>
      <c r="BK276" s="0" t="n">
        <v>273</v>
      </c>
    </row>
    <row r="277" customFormat="false" ht="12.75" hidden="false" customHeight="false" outlineLevel="0" collapsed="false">
      <c r="A277" s="265"/>
      <c r="E277" s="7"/>
      <c r="H277" s="92"/>
      <c r="I277" s="248"/>
      <c r="K277" s="124"/>
      <c r="L277" s="7"/>
      <c r="M277" s="126"/>
      <c r="N277" s="7"/>
      <c r="O277" s="7"/>
      <c r="P277" s="249"/>
      <c r="Q277" s="92"/>
      <c r="R277" s="7"/>
      <c r="S277" s="130"/>
      <c r="T277" s="250"/>
      <c r="U277" s="43"/>
      <c r="V277" s="250"/>
      <c r="W277" s="250"/>
      <c r="X277" s="2"/>
      <c r="Y277" s="251"/>
      <c r="BG277" s="285" t="n">
        <v>44713</v>
      </c>
      <c r="BH277" s="0" t="n">
        <v>0</v>
      </c>
      <c r="BJ277" s="285" t="n">
        <v>44713</v>
      </c>
      <c r="BK277" s="0" t="n">
        <v>274</v>
      </c>
    </row>
    <row r="278" customFormat="false" ht="12.75" hidden="false" customHeight="false" outlineLevel="0" collapsed="false">
      <c r="BG278" s="285" t="n">
        <v>44743</v>
      </c>
      <c r="BH278" s="0" t="n">
        <v>0</v>
      </c>
      <c r="BJ278" s="285" t="n">
        <v>44743</v>
      </c>
      <c r="BK278" s="0" t="n">
        <v>275</v>
      </c>
    </row>
    <row r="279" customFormat="false" ht="12.75" hidden="false" customHeight="false" outlineLevel="0" collapsed="false">
      <c r="BG279" s="285" t="n">
        <v>44774</v>
      </c>
      <c r="BH279" s="0" t="n">
        <v>0</v>
      </c>
      <c r="BJ279" s="285" t="n">
        <v>44774</v>
      </c>
      <c r="BK279" s="0" t="n">
        <v>276</v>
      </c>
    </row>
    <row r="280" customFormat="false" ht="12.75" hidden="false" customHeight="false" outlineLevel="0" collapsed="false">
      <c r="BG280" s="285" t="n">
        <v>44805</v>
      </c>
      <c r="BH280" s="0" t="n">
        <v>0</v>
      </c>
      <c r="BJ280" s="285" t="n">
        <v>44805</v>
      </c>
      <c r="BK280" s="0" t="n">
        <v>277</v>
      </c>
    </row>
    <row r="281" customFormat="false" ht="12.75" hidden="false" customHeight="false" outlineLevel="0" collapsed="false">
      <c r="BG281" s="285" t="n">
        <v>44835</v>
      </c>
      <c r="BH281" s="0" t="n">
        <v>0</v>
      </c>
      <c r="BJ281" s="285" t="n">
        <v>44835</v>
      </c>
      <c r="BK281" s="0" t="n">
        <v>278</v>
      </c>
    </row>
    <row r="282" customFormat="false" ht="12.75" hidden="false" customHeight="false" outlineLevel="0" collapsed="false">
      <c r="BG282" s="285" t="n">
        <v>44866</v>
      </c>
      <c r="BH282" s="0" t="n">
        <v>0</v>
      </c>
      <c r="BJ282" s="285" t="n">
        <v>44866</v>
      </c>
      <c r="BK282" s="0" t="n">
        <v>279</v>
      </c>
    </row>
    <row r="283" customFormat="false" ht="12.75" hidden="false" customHeight="false" outlineLevel="0" collapsed="false">
      <c r="BG283" s="285" t="n">
        <v>44896</v>
      </c>
      <c r="BH283" s="0" t="n">
        <v>0</v>
      </c>
      <c r="BJ283" s="285" t="n">
        <v>44896</v>
      </c>
      <c r="BK283" s="0" t="n">
        <v>280</v>
      </c>
    </row>
    <row r="284" customFormat="false" ht="12.75" hidden="false" customHeight="false" outlineLevel="0" collapsed="false">
      <c r="BG284" s="285" t="n">
        <v>44927</v>
      </c>
      <c r="BH284" s="0" t="n">
        <v>0</v>
      </c>
      <c r="BJ284" s="285" t="n">
        <v>44927</v>
      </c>
      <c r="BK284" s="0" t="n">
        <v>281</v>
      </c>
    </row>
    <row r="285" customFormat="false" ht="12.75" hidden="false" customHeight="false" outlineLevel="0" collapsed="false">
      <c r="BG285" s="285" t="n">
        <v>44958</v>
      </c>
      <c r="BH285" s="0" t="n">
        <v>0</v>
      </c>
      <c r="BJ285" s="285" t="n">
        <v>44958</v>
      </c>
      <c r="BK285" s="0" t="n">
        <v>282</v>
      </c>
    </row>
    <row r="286" customFormat="false" ht="12.75" hidden="false" customHeight="false" outlineLevel="0" collapsed="false">
      <c r="BG286" s="285" t="n">
        <v>44986</v>
      </c>
      <c r="BH286" s="0" t="n">
        <v>0</v>
      </c>
      <c r="BJ286" s="285" t="n">
        <v>44986</v>
      </c>
      <c r="BK286" s="0" t="n">
        <v>283</v>
      </c>
    </row>
    <row r="287" customFormat="false" ht="12.75" hidden="false" customHeight="false" outlineLevel="0" collapsed="false">
      <c r="BG287" s="285" t="n">
        <v>45017</v>
      </c>
      <c r="BH287" s="0" t="n">
        <v>0</v>
      </c>
      <c r="BJ287" s="285" t="n">
        <v>45017</v>
      </c>
      <c r="BK287" s="0" t="n">
        <v>284</v>
      </c>
    </row>
    <row r="288" customFormat="false" ht="12.75" hidden="false" customHeight="false" outlineLevel="0" collapsed="false">
      <c r="BG288" s="285" t="n">
        <v>45047</v>
      </c>
      <c r="BH288" s="0" t="n">
        <v>0</v>
      </c>
      <c r="BJ288" s="285" t="n">
        <v>45047</v>
      </c>
      <c r="BK288" s="0" t="n">
        <v>285</v>
      </c>
    </row>
    <row r="289" customFormat="false" ht="12.75" hidden="false" customHeight="false" outlineLevel="0" collapsed="false">
      <c r="BG289" s="285" t="n">
        <v>45078</v>
      </c>
      <c r="BH289" s="0" t="n">
        <v>0</v>
      </c>
      <c r="BJ289" s="285" t="n">
        <v>45078</v>
      </c>
      <c r="BK289" s="0" t="n">
        <v>286</v>
      </c>
    </row>
    <row r="290" customFormat="false" ht="12.75" hidden="false" customHeight="false" outlineLevel="0" collapsed="false">
      <c r="BG290" s="285" t="n">
        <v>45108</v>
      </c>
      <c r="BH290" s="0" t="n">
        <v>0</v>
      </c>
      <c r="BJ290" s="285" t="n">
        <v>45108</v>
      </c>
      <c r="BK290" s="0" t="n">
        <v>287</v>
      </c>
    </row>
    <row r="291" customFormat="false" ht="12.75" hidden="false" customHeight="false" outlineLevel="0" collapsed="false">
      <c r="BG291" s="285" t="n">
        <v>45139</v>
      </c>
      <c r="BH291" s="0" t="n">
        <v>0</v>
      </c>
      <c r="BJ291" s="285" t="n">
        <v>45139</v>
      </c>
      <c r="BK291" s="0" t="n">
        <v>288</v>
      </c>
    </row>
    <row r="292" customFormat="false" ht="12.75" hidden="false" customHeight="false" outlineLevel="0" collapsed="false">
      <c r="BG292" s="285" t="n">
        <v>45170</v>
      </c>
      <c r="BH292" s="0" t="n">
        <v>0</v>
      </c>
      <c r="BJ292" s="285" t="n">
        <v>45170</v>
      </c>
      <c r="BK292" s="0" t="n">
        <v>289</v>
      </c>
    </row>
    <row r="293" customFormat="false" ht="12.75" hidden="false" customHeight="false" outlineLevel="0" collapsed="false">
      <c r="BG293" s="285" t="n">
        <v>45200</v>
      </c>
      <c r="BH293" s="0" t="n">
        <v>0</v>
      </c>
      <c r="BJ293" s="285" t="n">
        <v>45200</v>
      </c>
      <c r="BK293" s="0" t="n">
        <v>290</v>
      </c>
    </row>
    <row r="294" customFormat="false" ht="12.75" hidden="false" customHeight="false" outlineLevel="0" collapsed="false">
      <c r="BG294" s="285" t="n">
        <v>45231</v>
      </c>
      <c r="BH294" s="0" t="n">
        <v>0</v>
      </c>
      <c r="BJ294" s="285" t="n">
        <v>45231</v>
      </c>
      <c r="BK294" s="0" t="n">
        <v>291</v>
      </c>
    </row>
    <row r="295" customFormat="false" ht="12.75" hidden="false" customHeight="false" outlineLevel="0" collapsed="false">
      <c r="BG295" s="285" t="n">
        <v>45261</v>
      </c>
      <c r="BH295" s="0" t="n">
        <v>0</v>
      </c>
      <c r="BJ295" s="285" t="n">
        <v>45261</v>
      </c>
      <c r="BK295" s="0" t="n">
        <v>292</v>
      </c>
    </row>
    <row r="296" customFormat="false" ht="12.75" hidden="false" customHeight="false" outlineLevel="0" collapsed="false">
      <c r="BG296" s="285" t="n">
        <v>45292</v>
      </c>
      <c r="BH296" s="0" t="n">
        <v>0</v>
      </c>
      <c r="BJ296" s="285" t="n">
        <v>45292</v>
      </c>
      <c r="BK296" s="0" t="n">
        <v>293</v>
      </c>
    </row>
    <row r="297" customFormat="false" ht="12.75" hidden="false" customHeight="false" outlineLevel="0" collapsed="false">
      <c r="BG297" s="285" t="n">
        <v>45323</v>
      </c>
      <c r="BH297" s="0" t="n">
        <v>0</v>
      </c>
      <c r="BJ297" s="285" t="n">
        <v>45323</v>
      </c>
      <c r="BK297" s="0" t="n">
        <v>294</v>
      </c>
    </row>
    <row r="298" customFormat="false" ht="12.75" hidden="false" customHeight="false" outlineLevel="0" collapsed="false">
      <c r="BG298" s="285" t="n">
        <v>45352</v>
      </c>
      <c r="BH298" s="0" t="n">
        <v>0</v>
      </c>
      <c r="BJ298" s="285" t="n">
        <v>45352</v>
      </c>
      <c r="BK298" s="0" t="n">
        <v>295</v>
      </c>
    </row>
    <row r="299" customFormat="false" ht="12.75" hidden="false" customHeight="false" outlineLevel="0" collapsed="false">
      <c r="BG299" s="285" t="n">
        <v>45383</v>
      </c>
      <c r="BH299" s="0" t="n">
        <v>0</v>
      </c>
      <c r="BJ299" s="285" t="n">
        <v>45383</v>
      </c>
      <c r="BK299" s="0" t="n">
        <v>296</v>
      </c>
    </row>
    <row r="300" customFormat="false" ht="12.75" hidden="false" customHeight="false" outlineLevel="0" collapsed="false">
      <c r="BG300" s="285" t="n">
        <v>45413</v>
      </c>
      <c r="BH300" s="0" t="n">
        <v>0</v>
      </c>
      <c r="BJ300" s="285" t="n">
        <v>45413</v>
      </c>
      <c r="BK300" s="0" t="n">
        <v>297</v>
      </c>
    </row>
    <row r="301" customFormat="false" ht="12.75" hidden="false" customHeight="false" outlineLevel="0" collapsed="false">
      <c r="BG301" s="285" t="n">
        <v>45444</v>
      </c>
      <c r="BH301" s="0" t="n">
        <v>0</v>
      </c>
      <c r="BJ301" s="285" t="n">
        <v>45444</v>
      </c>
      <c r="BK301" s="0" t="n">
        <v>298</v>
      </c>
    </row>
    <row r="302" customFormat="false" ht="12.75" hidden="false" customHeight="false" outlineLevel="0" collapsed="false">
      <c r="BG302" s="285" t="n">
        <v>45474</v>
      </c>
      <c r="BH302" s="0" t="n">
        <v>0</v>
      </c>
      <c r="BJ302" s="285" t="n">
        <v>45474</v>
      </c>
      <c r="BK302" s="0" t="n">
        <v>299</v>
      </c>
    </row>
    <row r="303" customFormat="false" ht="12.75" hidden="false" customHeight="false" outlineLevel="0" collapsed="false">
      <c r="BG303" s="285" t="n">
        <v>45505</v>
      </c>
      <c r="BH303" s="0" t="n">
        <v>0</v>
      </c>
      <c r="BJ303" s="285" t="n">
        <v>45505</v>
      </c>
      <c r="BK303" s="0" t="n">
        <v>300</v>
      </c>
    </row>
    <row r="304" customFormat="false" ht="12.75" hidden="false" customHeight="false" outlineLevel="0" collapsed="false">
      <c r="BG304" s="285" t="n">
        <v>45536</v>
      </c>
      <c r="BH304" s="0" t="n">
        <v>0</v>
      </c>
      <c r="BJ304" s="285" t="n">
        <v>45536</v>
      </c>
      <c r="BK304" s="0" t="n">
        <v>301</v>
      </c>
    </row>
    <row r="305" customFormat="false" ht="12.75" hidden="false" customHeight="false" outlineLevel="0" collapsed="false">
      <c r="BG305" s="285" t="n">
        <v>45566</v>
      </c>
      <c r="BH305" s="0" t="n">
        <v>0</v>
      </c>
      <c r="BJ305" s="285" t="n">
        <v>45566</v>
      </c>
      <c r="BK305" s="0" t="n">
        <v>302</v>
      </c>
    </row>
    <row r="306" customFormat="false" ht="12.75" hidden="false" customHeight="false" outlineLevel="0" collapsed="false">
      <c r="BG306" s="285" t="n">
        <v>45597</v>
      </c>
      <c r="BH306" s="0" t="n">
        <v>0</v>
      </c>
      <c r="BJ306" s="285" t="n">
        <v>45597</v>
      </c>
      <c r="BK306" s="0" t="n">
        <v>303</v>
      </c>
    </row>
    <row r="307" customFormat="false" ht="12.75" hidden="false" customHeight="false" outlineLevel="0" collapsed="false">
      <c r="BG307" s="285" t="n">
        <v>45627</v>
      </c>
      <c r="BH307" s="0" t="n">
        <v>0</v>
      </c>
      <c r="BJ307" s="285" t="n">
        <v>45627</v>
      </c>
      <c r="BK307" s="0" t="n">
        <v>304</v>
      </c>
    </row>
    <row r="308" customFormat="false" ht="12.75" hidden="false" customHeight="false" outlineLevel="0" collapsed="false">
      <c r="BH308" s="0" t="n">
        <v>0</v>
      </c>
    </row>
    <row r="309" customFormat="false" ht="12.75" hidden="false" customHeight="false" outlineLevel="0" collapsed="false">
      <c r="BH309" s="0" t="n">
        <v>0</v>
      </c>
    </row>
    <row r="310" customFormat="false" ht="12.75" hidden="false" customHeight="false" outlineLevel="0" collapsed="false">
      <c r="BH310" s="0" t="n">
        <v>0</v>
      </c>
    </row>
    <row r="311" customFormat="false" ht="12.75" hidden="false" customHeight="false" outlineLevel="0" collapsed="false">
      <c r="BH311" s="0" t="n">
        <v>0</v>
      </c>
    </row>
    <row r="312" customFormat="false" ht="12.75" hidden="false" customHeight="false" outlineLevel="0" collapsed="false">
      <c r="BH312" s="0" t="n">
        <v>0</v>
      </c>
    </row>
    <row r="313" customFormat="false" ht="12.75" hidden="false" customHeight="false" outlineLevel="0" collapsed="false">
      <c r="BH313" s="0" t="n">
        <v>0</v>
      </c>
    </row>
    <row r="314" customFormat="false" ht="12.75" hidden="false" customHeight="false" outlineLevel="0" collapsed="false">
      <c r="BH314" s="0" t="n">
        <v>0</v>
      </c>
    </row>
    <row r="315" customFormat="false" ht="12.75" hidden="false" customHeight="false" outlineLevel="0" collapsed="false">
      <c r="BH315" s="0" t="n">
        <v>0</v>
      </c>
    </row>
    <row r="316" customFormat="false" ht="12.75" hidden="false" customHeight="false" outlineLevel="0" collapsed="false">
      <c r="BH316" s="0" t="n">
        <v>0</v>
      </c>
    </row>
    <row r="317" customFormat="false" ht="12.75" hidden="false" customHeight="false" outlineLevel="0" collapsed="false">
      <c r="BH317" s="0" t="n">
        <v>0</v>
      </c>
    </row>
    <row r="318" customFormat="false" ht="12.75" hidden="false" customHeight="false" outlineLevel="0" collapsed="false">
      <c r="BH318" s="0" t="n">
        <v>0</v>
      </c>
    </row>
    <row r="319" customFormat="false" ht="12.75" hidden="false" customHeight="false" outlineLevel="0" collapsed="false">
      <c r="BH319" s="0" t="n">
        <v>0</v>
      </c>
    </row>
    <row r="320" customFormat="false" ht="12.75" hidden="false" customHeight="false" outlineLevel="0" collapsed="false">
      <c r="BH320" s="0" t="n">
        <v>0</v>
      </c>
    </row>
    <row r="321" customFormat="false" ht="12.75" hidden="false" customHeight="false" outlineLevel="0" collapsed="false">
      <c r="BH321" s="0" t="n">
        <v>0</v>
      </c>
    </row>
    <row r="322" customFormat="false" ht="12.75" hidden="false" customHeight="false" outlineLevel="0" collapsed="false">
      <c r="BH322" s="0" t="n">
        <v>0</v>
      </c>
    </row>
    <row r="323" customFormat="false" ht="12.75" hidden="false" customHeight="false" outlineLevel="0" collapsed="false">
      <c r="BH323" s="0" t="n">
        <v>0</v>
      </c>
    </row>
    <row r="324" customFormat="false" ht="12.75" hidden="false" customHeight="false" outlineLevel="0" collapsed="false">
      <c r="BH324" s="0" t="n">
        <v>0</v>
      </c>
    </row>
    <row r="325" customFormat="false" ht="12.75" hidden="false" customHeight="false" outlineLevel="0" collapsed="false">
      <c r="BH325" s="0" t="n">
        <v>0</v>
      </c>
    </row>
    <row r="326" customFormat="false" ht="12.75" hidden="false" customHeight="false" outlineLevel="0" collapsed="false">
      <c r="BH326" s="0" t="n">
        <v>0</v>
      </c>
    </row>
    <row r="327" customFormat="false" ht="12.75" hidden="false" customHeight="false" outlineLevel="0" collapsed="false">
      <c r="BH327" s="0" t="n">
        <v>0</v>
      </c>
    </row>
    <row r="328" customFormat="false" ht="12.75" hidden="false" customHeight="false" outlineLevel="0" collapsed="false">
      <c r="BH328" s="0" t="n">
        <v>0</v>
      </c>
    </row>
    <row r="329" customFormat="false" ht="12.75" hidden="false" customHeight="false" outlineLevel="0" collapsed="false">
      <c r="BH329" s="0" t="n">
        <v>0</v>
      </c>
    </row>
    <row r="330" customFormat="false" ht="12.75" hidden="false" customHeight="false" outlineLevel="0" collapsed="false">
      <c r="BH330" s="0" t="n">
        <v>0</v>
      </c>
    </row>
    <row r="331" customFormat="false" ht="12.75" hidden="false" customHeight="false" outlineLevel="0" collapsed="false">
      <c r="BH331" s="0" t="n">
        <v>0</v>
      </c>
    </row>
    <row r="332" customFormat="false" ht="12.75" hidden="false" customHeight="false" outlineLevel="0" collapsed="false">
      <c r="BH332" s="0" t="n">
        <v>0</v>
      </c>
    </row>
    <row r="333" customFormat="false" ht="12.75" hidden="false" customHeight="false" outlineLevel="0" collapsed="false">
      <c r="BH333" s="0" t="n">
        <v>0</v>
      </c>
    </row>
    <row r="334" customFormat="false" ht="12.75" hidden="false" customHeight="false" outlineLevel="0" collapsed="false">
      <c r="BH334" s="0" t="n">
        <v>0</v>
      </c>
    </row>
    <row r="335" customFormat="false" ht="12.75" hidden="false" customHeight="false" outlineLevel="0" collapsed="false">
      <c r="BH335" s="0" t="n">
        <v>0</v>
      </c>
    </row>
    <row r="336" customFormat="false" ht="12.75" hidden="false" customHeight="false" outlineLevel="0" collapsed="false">
      <c r="BH336" s="0" t="n">
        <v>0</v>
      </c>
    </row>
    <row r="337" customFormat="false" ht="12.75" hidden="false" customHeight="false" outlineLevel="0" collapsed="false">
      <c r="BH337" s="0" t="n">
        <v>0</v>
      </c>
    </row>
    <row r="338" customFormat="false" ht="12.75" hidden="false" customHeight="false" outlineLevel="0" collapsed="false">
      <c r="BH338" s="0" t="n">
        <v>0</v>
      </c>
    </row>
    <row r="339" customFormat="false" ht="12.75" hidden="false" customHeight="false" outlineLevel="0" collapsed="false">
      <c r="BH339" s="0" t="n">
        <v>0</v>
      </c>
    </row>
    <row r="340" customFormat="false" ht="12.75" hidden="false" customHeight="false" outlineLevel="0" collapsed="false">
      <c r="BH340" s="0" t="n">
        <v>0</v>
      </c>
    </row>
    <row r="341" customFormat="false" ht="12.75" hidden="false" customHeight="false" outlineLevel="0" collapsed="false">
      <c r="BH341" s="0" t="n">
        <v>0</v>
      </c>
    </row>
    <row r="342" customFormat="false" ht="12.75" hidden="false" customHeight="false" outlineLevel="0" collapsed="false">
      <c r="BH342" s="0" t="n">
        <v>0</v>
      </c>
    </row>
    <row r="343" customFormat="false" ht="12.75" hidden="false" customHeight="false" outlineLevel="0" collapsed="false">
      <c r="BH343" s="0" t="n">
        <v>0</v>
      </c>
    </row>
    <row r="344" customFormat="false" ht="12.75" hidden="false" customHeight="false" outlineLevel="0" collapsed="false">
      <c r="BH344" s="0" t="n">
        <v>0</v>
      </c>
    </row>
    <row r="345" customFormat="false" ht="12.75" hidden="false" customHeight="false" outlineLevel="0" collapsed="false">
      <c r="BH345" s="0" t="n">
        <v>0</v>
      </c>
    </row>
    <row r="346" customFormat="false" ht="12.75" hidden="false" customHeight="false" outlineLevel="0" collapsed="false">
      <c r="BH346" s="0" t="n">
        <v>0</v>
      </c>
    </row>
    <row r="347" customFormat="false" ht="12.75" hidden="false" customHeight="false" outlineLevel="0" collapsed="false">
      <c r="BH347" s="0" t="n">
        <v>0</v>
      </c>
    </row>
    <row r="348" customFormat="false" ht="12.75" hidden="false" customHeight="false" outlineLevel="0" collapsed="false">
      <c r="BH348" s="0" t="n">
        <v>0</v>
      </c>
    </row>
    <row r="349" customFormat="false" ht="12.75" hidden="false" customHeight="false" outlineLevel="0" collapsed="false">
      <c r="BH349" s="0" t="n">
        <v>0</v>
      </c>
    </row>
    <row r="350" customFormat="false" ht="12.75" hidden="false" customHeight="false" outlineLevel="0" collapsed="false">
      <c r="BH350" s="0" t="n">
        <v>0</v>
      </c>
    </row>
    <row r="351" customFormat="false" ht="12.75" hidden="false" customHeight="false" outlineLevel="0" collapsed="false">
      <c r="BH351" s="0" t="n">
        <v>0</v>
      </c>
    </row>
    <row r="352" customFormat="false" ht="12.75" hidden="false" customHeight="false" outlineLevel="0" collapsed="false">
      <c r="BH352" s="0" t="n">
        <v>0</v>
      </c>
    </row>
    <row r="353" customFormat="false" ht="12.75" hidden="false" customHeight="false" outlineLevel="0" collapsed="false">
      <c r="BH353" s="0" t="n">
        <v>0</v>
      </c>
    </row>
    <row r="354" customFormat="false" ht="12.75" hidden="false" customHeight="false" outlineLevel="0" collapsed="false">
      <c r="BH354" s="0" t="n">
        <v>0</v>
      </c>
    </row>
    <row r="355" customFormat="false" ht="12.75" hidden="false" customHeight="false" outlineLevel="0" collapsed="false">
      <c r="BH355" s="0" t="n">
        <v>0</v>
      </c>
    </row>
    <row r="356" customFormat="false" ht="12.75" hidden="false" customHeight="false" outlineLevel="0" collapsed="false">
      <c r="BH356" s="0" t="n">
        <v>0</v>
      </c>
    </row>
    <row r="357" customFormat="false" ht="12.75" hidden="false" customHeight="false" outlineLevel="0" collapsed="false">
      <c r="BH357" s="0" t="n">
        <v>0</v>
      </c>
    </row>
    <row r="358" customFormat="false" ht="12.75" hidden="false" customHeight="false" outlineLevel="0" collapsed="false">
      <c r="BH358" s="0" t="n">
        <v>0</v>
      </c>
    </row>
    <row r="359" customFormat="false" ht="12.75" hidden="false" customHeight="false" outlineLevel="0" collapsed="false">
      <c r="BH359" s="0" t="n">
        <v>0</v>
      </c>
    </row>
    <row r="360" customFormat="false" ht="12.75" hidden="false" customHeight="false" outlineLevel="0" collapsed="false">
      <c r="BH360" s="0" t="n">
        <v>0</v>
      </c>
    </row>
    <row r="361" customFormat="false" ht="12.75" hidden="false" customHeight="false" outlineLevel="0" collapsed="false">
      <c r="BH361" s="0" t="n">
        <v>0</v>
      </c>
    </row>
    <row r="362" customFormat="false" ht="12.75" hidden="false" customHeight="false" outlineLevel="0" collapsed="false">
      <c r="BH362" s="0" t="n">
        <v>0</v>
      </c>
    </row>
    <row r="363" customFormat="false" ht="12.75" hidden="false" customHeight="false" outlineLevel="0" collapsed="false">
      <c r="BH363" s="0" t="n">
        <v>0</v>
      </c>
    </row>
    <row r="364" customFormat="false" ht="12.75" hidden="false" customHeight="false" outlineLevel="0" collapsed="false">
      <c r="BH364" s="0" t="n">
        <v>0</v>
      </c>
    </row>
    <row r="365" customFormat="false" ht="12.75" hidden="false" customHeight="false" outlineLevel="0" collapsed="false">
      <c r="BH365" s="0" t="n">
        <v>0</v>
      </c>
    </row>
    <row r="366" customFormat="false" ht="12.75" hidden="false" customHeight="false" outlineLevel="0" collapsed="false">
      <c r="BH366" s="0" t="n">
        <v>0</v>
      </c>
    </row>
    <row r="367" customFormat="false" ht="12.75" hidden="false" customHeight="false" outlineLevel="0" collapsed="false">
      <c r="BH367" s="0" t="n">
        <v>0</v>
      </c>
    </row>
    <row r="368" customFormat="false" ht="12.75" hidden="false" customHeight="false" outlineLevel="0" collapsed="false">
      <c r="BH368" s="0" t="n">
        <v>0</v>
      </c>
    </row>
    <row r="369" customFormat="false" ht="12.75" hidden="false" customHeight="false" outlineLevel="0" collapsed="false">
      <c r="BH369" s="0" t="n">
        <v>0</v>
      </c>
    </row>
    <row r="370" customFormat="false" ht="12.75" hidden="false" customHeight="false" outlineLevel="0" collapsed="false">
      <c r="BH370" s="0" t="n">
        <v>0</v>
      </c>
    </row>
    <row r="371" customFormat="false" ht="12.75" hidden="false" customHeight="false" outlineLevel="0" collapsed="false">
      <c r="BH371" s="0" t="n">
        <v>0</v>
      </c>
    </row>
    <row r="372" customFormat="false" ht="12.75" hidden="false" customHeight="false" outlineLevel="0" collapsed="false">
      <c r="BH372" s="0" t="n">
        <v>0</v>
      </c>
    </row>
    <row r="373" customFormat="false" ht="12.75" hidden="false" customHeight="false" outlineLevel="0" collapsed="false">
      <c r="BH373" s="0" t="n">
        <v>0</v>
      </c>
    </row>
    <row r="374" customFormat="false" ht="12.75" hidden="false" customHeight="false" outlineLevel="0" collapsed="false">
      <c r="BH374" s="0" t="n">
        <v>0</v>
      </c>
    </row>
    <row r="375" customFormat="false" ht="12.75" hidden="false" customHeight="false" outlineLevel="0" collapsed="false">
      <c r="BH375" s="0" t="n">
        <v>0</v>
      </c>
    </row>
    <row r="376" customFormat="false" ht="12.75" hidden="false" customHeight="false" outlineLevel="0" collapsed="false">
      <c r="BH376" s="0" t="n">
        <v>0</v>
      </c>
    </row>
    <row r="377" customFormat="false" ht="12.75" hidden="false" customHeight="false" outlineLevel="0" collapsed="false">
      <c r="BH377" s="0" t="n">
        <v>0</v>
      </c>
    </row>
    <row r="378" customFormat="false" ht="12.75" hidden="false" customHeight="false" outlineLevel="0" collapsed="false">
      <c r="BH378" s="0" t="n">
        <v>0</v>
      </c>
    </row>
    <row r="379" customFormat="false" ht="12.75" hidden="false" customHeight="false" outlineLevel="0" collapsed="false">
      <c r="BH379" s="0" t="n">
        <v>0</v>
      </c>
    </row>
    <row r="407" customFormat="false" ht="12.75" hidden="false" customHeight="false" outlineLevel="0" collapsed="false">
      <c r="X407" s="17"/>
    </row>
    <row r="408" customFormat="false" ht="12.75" hidden="false" customHeight="false" outlineLevel="0" collapsed="false">
      <c r="X408" s="17"/>
    </row>
    <row r="409" customFormat="false" ht="12.75" hidden="false" customHeight="false" outlineLevel="0" collapsed="false">
      <c r="X409" s="17"/>
    </row>
    <row r="410" customFormat="false" ht="12.75" hidden="false" customHeight="false" outlineLevel="0" collapsed="false">
      <c r="X410" s="17"/>
    </row>
    <row r="411" customFormat="false" ht="12.75" hidden="false" customHeight="false" outlineLevel="0" collapsed="false">
      <c r="X411" s="17"/>
    </row>
    <row r="412" customFormat="false" ht="12.75" hidden="false" customHeight="false" outlineLevel="0" collapsed="false">
      <c r="X412" s="17"/>
    </row>
    <row r="413" customFormat="false" ht="12.75" hidden="false" customHeight="false" outlineLevel="0" collapsed="false">
      <c r="X413" s="17"/>
    </row>
    <row r="414" customFormat="false" ht="12.75" hidden="false" customHeight="false" outlineLevel="0" collapsed="false">
      <c r="X414" s="17"/>
    </row>
    <row r="415" customFormat="false" ht="12.75" hidden="false" customHeight="false" outlineLevel="0" collapsed="false">
      <c r="X415" s="17"/>
    </row>
    <row r="416" customFormat="false" ht="12.75" hidden="false" customHeight="false" outlineLevel="0" collapsed="false">
      <c r="X416" s="17"/>
    </row>
    <row r="417" customFormat="false" ht="12.75" hidden="false" customHeight="false" outlineLevel="0" collapsed="false">
      <c r="X417" s="17"/>
    </row>
  </sheetData>
  <mergeCells count="3">
    <mergeCell ref="A4:J4"/>
    <mergeCell ref="K4:U4"/>
    <mergeCell ref="AZ5:BA5"/>
  </mergeCells>
  <printOptions headings="false" gridLines="false" gridLinesSet="true" horizontalCentered="false" verticalCentered="false"/>
  <pageMargins left="0.2" right="0.329861111111111" top="0.84027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56"/>
    <col collapsed="false" customWidth="true" hidden="false" outlineLevel="0" max="2" min="2" style="0" width="9.28"/>
    <col collapsed="false" customWidth="true" hidden="false" outlineLevel="0" max="3" min="3" style="0" width="10.99"/>
    <col collapsed="false" customWidth="true" hidden="false" outlineLevel="0" max="7" min="5" style="0" width="9.28"/>
    <col collapsed="false" customWidth="true" hidden="false" outlineLevel="0" max="8" min="8" style="0" width="11.7"/>
    <col collapsed="false" customWidth="true" hidden="false" outlineLevel="0" max="17" min="9" style="0" width="9.28"/>
    <col collapsed="false" customWidth="true" hidden="false" outlineLevel="0" max="18" min="18" style="0" width="10.56"/>
    <col collapsed="false" customWidth="true" hidden="false" outlineLevel="0" max="19" min="19" style="0" width="13.7"/>
    <col collapsed="false" customWidth="true" hidden="false" outlineLevel="0" max="24" min="24" style="0" width="10.28"/>
    <col collapsed="false" customWidth="true" hidden="false" outlineLevel="0" max="26" min="25" style="0" width="9.28"/>
    <col collapsed="false" customWidth="true" hidden="false" outlineLevel="0" max="28" min="28" style="0" width="10.28"/>
  </cols>
  <sheetData>
    <row r="1" customFormat="false" ht="15.75" hidden="false" customHeight="false" outlineLevel="0" collapsed="false">
      <c r="A1" s="291" t="s">
        <v>498</v>
      </c>
      <c r="B1" s="292"/>
    </row>
    <row r="3" customFormat="false" ht="12.75" hidden="false" customHeight="false" outlineLevel="0" collapsed="false">
      <c r="A3" s="106" t="s">
        <v>28</v>
      </c>
      <c r="B3" s="293" t="n">
        <f aca="false">Summary!P1</f>
        <v>36767</v>
      </c>
      <c r="R3" s="0" t="s">
        <v>499</v>
      </c>
      <c r="S3" s="132" t="n">
        <f aca="false">SUM(S7:S191)</f>
        <v>0</v>
      </c>
    </row>
    <row r="4" customFormat="false" ht="15.75" hidden="false" customHeight="false" outlineLevel="0" collapsed="false">
      <c r="A4" s="89" t="s">
        <v>33</v>
      </c>
      <c r="B4" s="89"/>
      <c r="C4" s="89"/>
      <c r="D4" s="89"/>
      <c r="E4" s="89"/>
      <c r="F4" s="89"/>
      <c r="G4" s="89"/>
      <c r="H4" s="89"/>
      <c r="I4" s="89"/>
      <c r="J4" s="90" t="s">
        <v>34</v>
      </c>
      <c r="K4" s="90"/>
      <c r="L4" s="90"/>
      <c r="M4" s="90"/>
      <c r="N4" s="90"/>
      <c r="O4" s="90"/>
      <c r="P4" s="90"/>
      <c r="Q4" s="90"/>
      <c r="R4" s="90"/>
      <c r="S4" s="90"/>
    </row>
    <row r="5" customFormat="false" ht="12.75" hidden="false" customHeight="false" outlineLevel="0" collapsed="false">
      <c r="A5" s="93"/>
      <c r="B5" s="93"/>
      <c r="C5" s="93"/>
      <c r="D5" s="93" t="s">
        <v>116</v>
      </c>
      <c r="E5" s="93"/>
      <c r="F5" s="93" t="s">
        <v>38</v>
      </c>
      <c r="G5" s="93" t="s">
        <v>500</v>
      </c>
      <c r="H5" s="93" t="s">
        <v>500</v>
      </c>
      <c r="I5" s="94" t="s">
        <v>501</v>
      </c>
      <c r="J5" s="95" t="s">
        <v>41</v>
      </c>
      <c r="K5" s="95"/>
      <c r="L5" s="95" t="s">
        <v>29</v>
      </c>
      <c r="M5" s="95" t="s">
        <v>42</v>
      </c>
      <c r="N5" s="95" t="s">
        <v>43</v>
      </c>
      <c r="O5" s="95" t="s">
        <v>45</v>
      </c>
      <c r="P5" s="95" t="s">
        <v>502</v>
      </c>
      <c r="Q5" s="95"/>
      <c r="R5" s="95"/>
      <c r="S5" s="93"/>
      <c r="T5" s="0" t="s">
        <v>503</v>
      </c>
      <c r="W5" s="294" t="s">
        <v>79</v>
      </c>
      <c r="X5" s="295"/>
      <c r="Y5" s="295"/>
      <c r="Z5" s="295"/>
      <c r="AA5" s="295"/>
      <c r="AB5" s="295"/>
    </row>
    <row r="6" customFormat="false" ht="14.25" hidden="false" customHeight="true" outlineLevel="0" collapsed="false">
      <c r="A6" s="107" t="s">
        <v>53</v>
      </c>
      <c r="B6" s="107" t="s">
        <v>54</v>
      </c>
      <c r="C6" s="107" t="s">
        <v>55</v>
      </c>
      <c r="D6" s="107" t="s">
        <v>124</v>
      </c>
      <c r="E6" s="107" t="s">
        <v>18</v>
      </c>
      <c r="F6" s="107" t="s">
        <v>57</v>
      </c>
      <c r="G6" s="107" t="s">
        <v>60</v>
      </c>
      <c r="H6" s="107" t="s">
        <v>504</v>
      </c>
      <c r="I6" s="107" t="s">
        <v>58</v>
      </c>
      <c r="J6" s="107" t="s">
        <v>58</v>
      </c>
      <c r="K6" s="107" t="s">
        <v>59</v>
      </c>
      <c r="L6" s="107" t="s">
        <v>58</v>
      </c>
      <c r="M6" s="107" t="s">
        <v>60</v>
      </c>
      <c r="N6" s="107" t="s">
        <v>61</v>
      </c>
      <c r="O6" s="107" t="s">
        <v>63</v>
      </c>
      <c r="P6" s="107" t="s">
        <v>505</v>
      </c>
      <c r="Q6" s="107" t="s">
        <v>66</v>
      </c>
      <c r="R6" s="107" t="s">
        <v>67</v>
      </c>
      <c r="S6" s="107" t="s">
        <v>8</v>
      </c>
      <c r="T6" s="0" t="s">
        <v>127</v>
      </c>
      <c r="W6" s="295"/>
      <c r="X6" s="294" t="s">
        <v>483</v>
      </c>
      <c r="Y6" s="294" t="s">
        <v>506</v>
      </c>
      <c r="Z6" s="75" t="s">
        <v>135</v>
      </c>
      <c r="AA6" s="294"/>
      <c r="AB6" s="294" t="s">
        <v>507</v>
      </c>
    </row>
    <row r="7" customFormat="false" ht="12.75" hidden="false" customHeight="false" outlineLevel="0" collapsed="false">
      <c r="A7" s="0" t="s">
        <v>508</v>
      </c>
      <c r="B7" s="0" t="s">
        <v>509</v>
      </c>
      <c r="C7" s="0" t="s">
        <v>506</v>
      </c>
      <c r="D7" s="0" t="s">
        <v>510</v>
      </c>
      <c r="E7" s="73" t="n">
        <v>36647</v>
      </c>
      <c r="F7" s="0" t="n">
        <v>-77500</v>
      </c>
      <c r="G7" s="0" t="n">
        <v>0.135</v>
      </c>
      <c r="H7" s="0" t="n">
        <v>0.135</v>
      </c>
      <c r="I7" s="0" t="n">
        <v>2.45</v>
      </c>
      <c r="J7" s="124" t="s">
        <v>511</v>
      </c>
      <c r="K7" s="125" t="s">
        <v>512</v>
      </c>
      <c r="L7" s="125" t="s">
        <v>513</v>
      </c>
      <c r="M7" s="126" t="s">
        <v>514</v>
      </c>
      <c r="N7" s="127" t="n">
        <f aca="false">WORKDAY(E7,-3)-B$3</f>
        <v>-125</v>
      </c>
      <c r="O7" s="7" t="s">
        <v>515</v>
      </c>
      <c r="P7" s="7" t="n">
        <f aca="false">IF(D7="C",1,0)</f>
        <v>0</v>
      </c>
      <c r="Q7" s="0" t="n">
        <v>0</v>
      </c>
      <c r="R7" s="0" t="n">
        <v>0</v>
      </c>
      <c r="S7" s="132" t="n">
        <v>0</v>
      </c>
      <c r="T7" s="0" t="n">
        <f aca="false">R7*F7</f>
        <v>-0</v>
      </c>
      <c r="U7" s="0" t="str">
        <f aca="false">E7&amp;C7</f>
        <v>36647IF-ANR/OK</v>
      </c>
      <c r="W7" s="296" t="n">
        <f aca="false">EOMONTH(B3,0)+1</f>
        <v>36770</v>
      </c>
      <c r="X7" s="297" t="n">
        <f aca="false">SUMIF($U$7:$U$92,$W7&amp;$X$6,$T$7:$T$91)</f>
        <v>0</v>
      </c>
      <c r="Y7" s="298" t="n">
        <f aca="false">SUMIF($U$7:$U$92,$W7&amp;$Y$6,$T$7:$T$91)</f>
        <v>0</v>
      </c>
      <c r="Z7" s="298" t="n">
        <f aca="false">SUMIF($U$7:$U$92,$W7&amp;$Z$6,$T$7:$T$91)</f>
        <v>0</v>
      </c>
      <c r="AA7" s="298"/>
      <c r="AB7" s="299" t="n">
        <f aca="false">SUM(X7:AA7)</f>
        <v>0</v>
      </c>
    </row>
    <row r="8" customFormat="false" ht="12.75" hidden="false" customHeight="false" outlineLevel="0" collapsed="false">
      <c r="E8" s="73"/>
      <c r="J8" s="124"/>
      <c r="K8" s="125"/>
      <c r="L8" s="125"/>
      <c r="M8" s="126"/>
      <c r="N8" s="127"/>
      <c r="O8" s="7"/>
      <c r="P8" s="7"/>
      <c r="Q8" s="0" t="s">
        <v>516</v>
      </c>
      <c r="R8" s="0" t="s">
        <v>517</v>
      </c>
      <c r="S8" s="132" t="s">
        <v>518</v>
      </c>
      <c r="W8" s="300" t="n">
        <f aca="false">EOMONTH(W7,0)+1</f>
        <v>36800</v>
      </c>
      <c r="X8" s="301" t="n">
        <f aca="false">SUMIF($U$7:$U$92,$W8&amp;$X$6,$T$7:$T$91)</f>
        <v>0</v>
      </c>
      <c r="Y8" s="302" t="n">
        <f aca="false">SUMIF($U$7:$U$92,$W8&amp;$Y$6,$T$7:$T$91)</f>
        <v>0</v>
      </c>
      <c r="Z8" s="302" t="n">
        <f aca="false">SUMIF($U$7:$U$92,$W8&amp;$Z$6,$T$7:$T$91)</f>
        <v>0</v>
      </c>
      <c r="AA8" s="302"/>
      <c r="AB8" s="303" t="n">
        <f aca="false">SUM(X8:AA8)</f>
        <v>0</v>
      </c>
    </row>
    <row r="9" customFormat="false" ht="12.75" hidden="false" customHeight="false" outlineLevel="0" collapsed="false">
      <c r="E9" s="73"/>
      <c r="J9" s="124"/>
      <c r="K9" s="125"/>
      <c r="L9" s="125"/>
      <c r="M9" s="126"/>
      <c r="N9" s="127"/>
      <c r="O9" s="7"/>
      <c r="P9" s="7"/>
      <c r="S9" s="132"/>
      <c r="U9" s="0" t="str">
        <f aca="false">E8&amp;C8</f>
        <v/>
      </c>
      <c r="W9" s="300" t="n">
        <f aca="false">EOMONTH(W8,0)+1</f>
        <v>36831</v>
      </c>
      <c r="X9" s="301" t="n">
        <f aca="false">SUMIF($U$7:$U$92,$W9&amp;$X$6,$T$7:$T$91)</f>
        <v>0</v>
      </c>
      <c r="Y9" s="302" t="n">
        <f aca="false">SUMIF($U$7:$U$92,$W9&amp;$Y$6,$T$7:$T$91)</f>
        <v>0</v>
      </c>
      <c r="Z9" s="302" t="n">
        <f aca="false">SUMIF($U$7:$U$92,$W9&amp;$Z$6,$T$7:$T$91)</f>
        <v>0</v>
      </c>
      <c r="AA9" s="302"/>
      <c r="AB9" s="303" t="n">
        <f aca="false">SUM(X9:AA9)</f>
        <v>0</v>
      </c>
    </row>
    <row r="10" customFormat="false" ht="12.75" hidden="false" customHeight="false" outlineLevel="0" collapsed="false">
      <c r="E10" s="73"/>
      <c r="J10" s="124"/>
      <c r="K10" s="125"/>
      <c r="L10" s="125"/>
      <c r="M10" s="126"/>
      <c r="N10" s="127"/>
      <c r="O10" s="7"/>
      <c r="P10" s="7"/>
      <c r="S10" s="132"/>
      <c r="U10" s="0" t="str">
        <f aca="false">E9&amp;C9</f>
        <v/>
      </c>
      <c r="W10" s="300" t="n">
        <f aca="false">EOMONTH(W9,0)+1</f>
        <v>36861</v>
      </c>
      <c r="X10" s="301" t="n">
        <f aca="false">SUMIF($U$7:$U$92,$W10&amp;$X$6,$T$7:$T$91)</f>
        <v>0</v>
      </c>
      <c r="Y10" s="302" t="n">
        <f aca="false">SUMIF($U$7:$U$92,$W10&amp;$Y$6,$T$7:$T$91)</f>
        <v>0</v>
      </c>
      <c r="Z10" s="302" t="n">
        <f aca="false">SUMIF($U$7:$U$92,$W10&amp;$Z$6,$T$7:$T$91)</f>
        <v>0</v>
      </c>
      <c r="AA10" s="302"/>
      <c r="AB10" s="303" t="n">
        <f aca="false">SUM(X10:AA10)</f>
        <v>0</v>
      </c>
    </row>
    <row r="11" customFormat="false" ht="12.75" hidden="false" customHeight="false" outlineLevel="0" collapsed="false">
      <c r="U11" s="0" t="str">
        <f aca="false">E10&amp;C10</f>
        <v/>
      </c>
      <c r="W11" s="300" t="n">
        <f aca="false">EOMONTH(W10,0)+1</f>
        <v>36892</v>
      </c>
      <c r="X11" s="301" t="n">
        <f aca="false">SUMIF($U$7:$U$92,$W11&amp;$X$6,$T$7:$T$91)</f>
        <v>0</v>
      </c>
      <c r="Y11" s="302" t="n">
        <f aca="false">SUMIF($U$7:$U$92,$W11&amp;$Y$6,$T$7:$T$91)</f>
        <v>0</v>
      </c>
      <c r="Z11" s="302" t="n">
        <f aca="false">SUMIF($U$7:$U$92,$W11&amp;$Z$6,$T$7:$T$91)</f>
        <v>0</v>
      </c>
      <c r="AA11" s="302"/>
      <c r="AB11" s="303" t="n">
        <f aca="false">SUM(X11:AA11)</f>
        <v>0</v>
      </c>
    </row>
    <row r="12" customFormat="false" ht="12.75" hidden="false" customHeight="false" outlineLevel="0" collapsed="false">
      <c r="W12" s="300" t="n">
        <f aca="false">EOMONTH(W11,0)+1</f>
        <v>36923</v>
      </c>
      <c r="X12" s="301" t="n">
        <f aca="false">SUMIF($U$7:$U$92,$W12&amp;$X$6,$T$7:$T$91)</f>
        <v>0</v>
      </c>
      <c r="Y12" s="302" t="n">
        <f aca="false">SUMIF($U$7:$U$92,$W12&amp;$Y$6,$T$7:$T$91)</f>
        <v>0</v>
      </c>
      <c r="Z12" s="302" t="n">
        <f aca="false">SUMIF($U$7:$U$92,$W12&amp;$Z$6,$T$7:$T$91)</f>
        <v>0</v>
      </c>
      <c r="AA12" s="302"/>
      <c r="AB12" s="303" t="n">
        <f aca="false">SUM(X12:AA12)</f>
        <v>0</v>
      </c>
    </row>
    <row r="13" customFormat="false" ht="12.75" hidden="false" customHeight="false" outlineLevel="0" collapsed="false">
      <c r="W13" s="300" t="n">
        <f aca="false">EOMONTH(W12,0)+1</f>
        <v>36951</v>
      </c>
      <c r="X13" s="301" t="n">
        <f aca="false">SUMIF($U$7:$U$92,$W13&amp;$X$6,$T$7:$T$91)</f>
        <v>0</v>
      </c>
      <c r="Y13" s="302" t="n">
        <f aca="false">SUMIF($U$7:$U$92,$W13&amp;$Y$6,$T$7:$T$91)</f>
        <v>0</v>
      </c>
      <c r="Z13" s="302" t="n">
        <f aca="false">SUMIF($U$7:$U$92,$W13&amp;$Z$6,$T$7:$T$91)</f>
        <v>0</v>
      </c>
      <c r="AA13" s="302"/>
      <c r="AB13" s="303" t="n">
        <f aca="false">SUM(X13:AA13)</f>
        <v>0</v>
      </c>
    </row>
    <row r="14" customFormat="false" ht="12.75" hidden="false" customHeight="false" outlineLevel="0" collapsed="false">
      <c r="W14" s="300" t="n">
        <f aca="false">EOMONTH(W13,0)+1</f>
        <v>36982</v>
      </c>
      <c r="X14" s="301" t="n">
        <f aca="false">SUMIF($U$7:$U$92,$W14&amp;$X$6,$T$7:$T$91)</f>
        <v>0</v>
      </c>
      <c r="Y14" s="302" t="n">
        <f aca="false">SUMIF($U$7:$U$92,$W14&amp;$Y$6,$T$7:$T$91)</f>
        <v>0</v>
      </c>
      <c r="Z14" s="302" t="n">
        <f aca="false">SUMIF($U$7:$U$92,$W14&amp;$Z$6,$T$7:$T$91)</f>
        <v>0</v>
      </c>
      <c r="AA14" s="302"/>
      <c r="AB14" s="303" t="n">
        <f aca="false">SUM(X14:AA14)</f>
        <v>0</v>
      </c>
    </row>
    <row r="15" customFormat="false" ht="12.75" hidden="false" customHeight="false" outlineLevel="0" collapsed="false">
      <c r="W15" s="300" t="n">
        <f aca="false">EOMONTH(W14,0)+1</f>
        <v>37012</v>
      </c>
      <c r="X15" s="301" t="n">
        <f aca="false">SUMIF($U$7:$U$92,$W15&amp;$X$6,$T$7:$T$91)</f>
        <v>0</v>
      </c>
      <c r="Y15" s="302" t="n">
        <f aca="false">SUMIF($U$7:$U$92,$W15&amp;$Y$6,$T$7:$T$91)</f>
        <v>0</v>
      </c>
      <c r="Z15" s="302" t="n">
        <f aca="false">SUMIF($U$7:$U$92,$W15&amp;$Z$6,$T$7:$T$91)</f>
        <v>0</v>
      </c>
      <c r="AA15" s="302"/>
      <c r="AB15" s="303" t="n">
        <f aca="false">SUM(X15:AA15)</f>
        <v>0</v>
      </c>
    </row>
    <row r="16" customFormat="false" ht="12.75" hidden="false" customHeight="false" outlineLevel="0" collapsed="false">
      <c r="W16" s="300" t="n">
        <f aca="false">EOMONTH(W15,0)+1</f>
        <v>37043</v>
      </c>
      <c r="X16" s="301" t="n">
        <f aca="false">SUMIF($U$7:$U$92,$W16&amp;$X$6,$T$7:$T$91)</f>
        <v>0</v>
      </c>
      <c r="Y16" s="302" t="n">
        <f aca="false">SUMIF($U$7:$U$92,$W16&amp;$Y$6,$T$7:$T$91)</f>
        <v>0</v>
      </c>
      <c r="Z16" s="302" t="n">
        <f aca="false">SUMIF($U$7:$U$92,$W16&amp;$Z$6,$T$7:$T$91)</f>
        <v>0</v>
      </c>
      <c r="AA16" s="302"/>
      <c r="AB16" s="303" t="n">
        <f aca="false">SUM(X16:AA16)</f>
        <v>0</v>
      </c>
    </row>
    <row r="17" customFormat="false" ht="12.75" hidden="false" customHeight="false" outlineLevel="0" collapsed="false">
      <c r="W17" s="300" t="n">
        <f aca="false">EOMONTH(W16,0)+1</f>
        <v>37073</v>
      </c>
      <c r="X17" s="301" t="n">
        <f aca="false">SUMIF($U$7:$U$92,$W17&amp;$X$6,$T$7:$T$91)</f>
        <v>0</v>
      </c>
      <c r="Y17" s="302" t="n">
        <f aca="false">SUMIF($U$7:$U$92,$W17&amp;$Y$6,$T$7:$T$91)</f>
        <v>0</v>
      </c>
      <c r="Z17" s="302" t="n">
        <f aca="false">SUMIF($U$7:$U$92,$W17&amp;$Z$6,$T$7:$T$91)</f>
        <v>0</v>
      </c>
      <c r="AA17" s="302"/>
      <c r="AB17" s="303" t="n">
        <f aca="false">SUM(X17:AA17)</f>
        <v>0</v>
      </c>
    </row>
    <row r="18" customFormat="false" ht="12.75" hidden="false" customHeight="false" outlineLevel="0" collapsed="false">
      <c r="W18" s="300" t="n">
        <f aca="false">EOMONTH(W17,0)+1</f>
        <v>37104</v>
      </c>
      <c r="X18" s="301" t="n">
        <f aca="false">SUMIF($U$7:$U$92,$W18&amp;$X$6,$T$7:$T$91)</f>
        <v>0</v>
      </c>
      <c r="Y18" s="302" t="n">
        <f aca="false">SUMIF($U$7:$U$92,$W18&amp;$Y$6,$T$7:$T$91)</f>
        <v>0</v>
      </c>
      <c r="Z18" s="302" t="n">
        <f aca="false">SUMIF($U$7:$U$92,$W18&amp;$Z$6,$T$7:$T$91)</f>
        <v>0</v>
      </c>
      <c r="AA18" s="302"/>
      <c r="AB18" s="303" t="n">
        <f aca="false">SUM(X18:AA18)</f>
        <v>0</v>
      </c>
    </row>
    <row r="19" customFormat="false" ht="12.75" hidden="false" customHeight="false" outlineLevel="0" collapsed="false">
      <c r="W19" s="300" t="n">
        <f aca="false">EOMONTH(W18,0)+1</f>
        <v>37135</v>
      </c>
      <c r="X19" s="301" t="n">
        <f aca="false">SUMIF($U$7:$U$92,$W19&amp;$X$6,$T$7:$T$91)</f>
        <v>0</v>
      </c>
      <c r="Y19" s="302" t="n">
        <f aca="false">SUMIF($U$7:$U$92,$W19&amp;$Y$6,$T$7:$T$91)</f>
        <v>0</v>
      </c>
      <c r="Z19" s="302" t="n">
        <f aca="false">SUMIF($U$7:$U$92,$W19&amp;$Z$6,$T$7:$T$91)</f>
        <v>0</v>
      </c>
      <c r="AA19" s="302"/>
      <c r="AB19" s="303" t="n">
        <f aca="false">SUM(X19:AA19)</f>
        <v>0</v>
      </c>
    </row>
    <row r="20" customFormat="false" ht="13.5" hidden="false" customHeight="false" outlineLevel="0" collapsed="false">
      <c r="W20" s="304" t="n">
        <f aca="false">EOMONTH(W19,0)+1</f>
        <v>37165</v>
      </c>
      <c r="X20" s="305" t="n">
        <f aca="false">SUMIF($U$7:$U$92,$W20&amp;$X$6,$T$7:$T$91)</f>
        <v>0</v>
      </c>
      <c r="Y20" s="306" t="n">
        <f aca="false">SUMIF($U$7:$U$92,$W20&amp;$Y$6,$T$7:$T$91)</f>
        <v>0</v>
      </c>
      <c r="Z20" s="306" t="n">
        <f aca="false">SUMIF($U$7:$U$92,$W20&amp;$Z$6,$T$7:$T$91)</f>
        <v>0</v>
      </c>
      <c r="AA20" s="306"/>
      <c r="AB20" s="307" t="n">
        <f aca="false">SUM(X20:AA20)</f>
        <v>0</v>
      </c>
    </row>
  </sheetData>
  <mergeCells count="2">
    <mergeCell ref="A4:I4"/>
    <mergeCell ref="J4:S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U39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L1" activeCellId="0" sqref="L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95" width="3.56"/>
    <col collapsed="false" customWidth="true" hidden="false" outlineLevel="0" max="13" min="3" style="0" width="11.28"/>
    <col collapsed="false" customWidth="true" hidden="false" outlineLevel="0" max="14" min="14" style="0" width="12.85"/>
    <col collapsed="false" customWidth="true" hidden="false" outlineLevel="0" max="15" min="15" style="295" width="1.28"/>
    <col collapsed="false" customWidth="true" hidden="false" outlineLevel="0" max="17" min="17" style="0" width="10.85"/>
    <col collapsed="false" customWidth="true" hidden="false" outlineLevel="0" max="18" min="18" style="0" width="10.41"/>
    <col collapsed="false" customWidth="true" hidden="false" outlineLevel="0" max="19" min="19" style="0" width="14.99"/>
    <col collapsed="false" customWidth="true" hidden="false" outlineLevel="0" max="20" min="20" style="0" width="11.99"/>
    <col collapsed="false" customWidth="true" hidden="false" outlineLevel="0" max="21" min="21" style="0" width="17.99"/>
    <col collapsed="false" customWidth="true" hidden="false" outlineLevel="0" max="22" min="22" style="295" width="9.14"/>
  </cols>
  <sheetData>
    <row r="1" customFormat="false" ht="12.75" hidden="false" customHeight="false" outlineLevel="0" collapsed="false"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P1" s="295"/>
      <c r="Q1" s="295"/>
      <c r="R1" s="295"/>
      <c r="S1" s="295"/>
      <c r="T1" s="295"/>
      <c r="U1" s="295"/>
    </row>
    <row r="2" customFormat="false" ht="13.5" hidden="false" customHeight="false" outlineLevel="0" collapsed="false"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P2" s="295"/>
      <c r="Q2" s="295"/>
      <c r="R2" s="295"/>
      <c r="S2" s="295"/>
      <c r="T2" s="295"/>
      <c r="U2" s="295"/>
    </row>
    <row r="3" customFormat="false" ht="34.5" hidden="false" customHeight="true" outlineLevel="0" collapsed="false">
      <c r="B3" s="308" t="s">
        <v>6</v>
      </c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10"/>
      <c r="P3" s="311" t="s">
        <v>519</v>
      </c>
      <c r="Q3" s="312"/>
      <c r="R3" s="313"/>
      <c r="S3" s="314" t="s">
        <v>520</v>
      </c>
      <c r="T3" s="315" t="s">
        <v>521</v>
      </c>
      <c r="U3" s="316" t="s">
        <v>522</v>
      </c>
    </row>
    <row r="4" customFormat="false" ht="13.5" hidden="false" customHeight="false" outlineLevel="0" collapsed="false">
      <c r="B4" s="317"/>
      <c r="C4" s="318" t="s">
        <v>149</v>
      </c>
      <c r="D4" s="318" t="s">
        <v>150</v>
      </c>
      <c r="E4" s="318" t="s">
        <v>151</v>
      </c>
      <c r="F4" s="318" t="s">
        <v>153</v>
      </c>
      <c r="G4" s="318" t="s">
        <v>155</v>
      </c>
      <c r="H4" s="318" t="s">
        <v>152</v>
      </c>
      <c r="I4" s="318" t="s">
        <v>137</v>
      </c>
      <c r="J4" s="318" t="s">
        <v>68</v>
      </c>
      <c r="K4" s="318" t="s">
        <v>156</v>
      </c>
      <c r="L4" s="318" t="s">
        <v>157</v>
      </c>
      <c r="M4" s="318" t="s">
        <v>158</v>
      </c>
      <c r="N4" s="319" t="s">
        <v>15</v>
      </c>
      <c r="P4" s="313"/>
      <c r="Q4" s="320" t="s">
        <v>506</v>
      </c>
      <c r="R4" s="308"/>
      <c r="S4" s="309"/>
      <c r="T4" s="309"/>
      <c r="U4" s="310"/>
    </row>
    <row r="5" customFormat="false" ht="12.75" hidden="false" customHeight="false" outlineLevel="0" collapsed="false">
      <c r="B5" s="321" t="n">
        <v>36770</v>
      </c>
      <c r="C5" s="322" t="e">
        <f aca="false">SUMIF('Basis Options'!$X$7:$X$1006,CONCATENATE(CashFlows!$B5,CashFlows!C$4),'Basis Options'!$U$7:$U$1006)</f>
        <v>#NAME?</v>
      </c>
      <c r="D5" s="322" t="e">
        <f aca="false">SUMIF('Basis Options'!$X$7:$X$1006,CONCATENATE(CashFlows!$B5,CashFlows!D$4),'Basis Options'!$U$7:$U$1006)</f>
        <v>#NAME?</v>
      </c>
      <c r="E5" s="322" t="e">
        <f aca="false">SUMIF('Basis Options'!$X$7:$X$1006,CONCATENATE(CashFlows!$B5,CashFlows!E$4),'Basis Options'!$U$7:$U$1006)</f>
        <v>#NAME?</v>
      </c>
      <c r="F5" s="322" t="e">
        <f aca="false">SUMIF('Basis Options'!$X$7:$X$1006,CONCATENATE(CashFlows!$B5,CashFlows!F$4),'Basis Options'!$U$7:$U$1006)</f>
        <v>#NAME?</v>
      </c>
      <c r="G5" s="322" t="e">
        <f aca="false">SUMIF('Basis Options'!$X$7:$X$1006,CONCATENATE(CashFlows!$B5,CashFlows!G$4),'Basis Options'!$U$7:$U$1006)</f>
        <v>#NAME?</v>
      </c>
      <c r="H5" s="322" t="n">
        <f aca="false">SUMIF('Basis Options'!$X$7:$X$1006,CONCATENATE(CashFlows!$B5,CashFlows!H$4),'Basis Options'!$U$7:$U$1006)</f>
        <v>0</v>
      </c>
      <c r="I5" s="322" t="e">
        <f aca="false">SUMIF('Basis Options'!$X$7:$X$1006,CONCATENATE(CashFlows!$B5,CashFlows!I$4),'Basis Options'!$U$7:$U$1006)</f>
        <v>#NAME?</v>
      </c>
      <c r="J5" s="322" t="n">
        <f aca="false">SUMIF('Basis Options'!$X$7:$X$1006,CONCATENATE(CashFlows!$B5,CashFlows!J$4),'Basis Options'!$U$7:$U$1006)</f>
        <v>0</v>
      </c>
      <c r="K5" s="322" t="n">
        <f aca="false">SUMIF('Basis Options'!$X$7:$X$1006,CONCATENATE(CashFlows!$B5,CashFlows!K$4),'Basis Options'!$U$7:$U$1006)</f>
        <v>0</v>
      </c>
      <c r="L5" s="322" t="n">
        <f aca="false">SUMIF('Basis Options'!$X$7:$X$1006,CONCATENATE(CashFlows!$B5,CashFlows!L$4),'Basis Options'!$U$7:$U$1006)</f>
        <v>0</v>
      </c>
      <c r="M5" s="322" t="n">
        <f aca="false">SUMIF('Basis Options'!$X$7:$X$1006,CONCATENATE(CashFlows!$B5,CashFlows!M$4),'Basis Options'!$U$7:$U$1006)</f>
        <v>0</v>
      </c>
      <c r="N5" s="323" t="e">
        <f aca="false">SUM(C5:M5)</f>
        <v>#NAME?</v>
      </c>
      <c r="P5" s="324" t="n">
        <v>36678</v>
      </c>
      <c r="Q5" s="325" t="n">
        <f aca="false">SUMIF(Digital!U7:U11,CONCATENATE(CashFlows!P5,CashFlows!Q4),Digital!S7:S10)</f>
        <v>0</v>
      </c>
      <c r="R5" s="324" t="n">
        <f aca="false">B5</f>
        <v>36770</v>
      </c>
      <c r="S5" s="326" t="e">
        <f aca="false">N5+Q5</f>
        <v>#NAME?</v>
      </c>
      <c r="T5" s="66" t="n">
        <f aca="false">INDEX(discount,MATCH(B5,discountmonths,0),3)</f>
        <v>0.999453820329713</v>
      </c>
      <c r="U5" s="327" t="e">
        <f aca="false">S5/T5</f>
        <v>#NAME?</v>
      </c>
    </row>
    <row r="6" customFormat="false" ht="12.75" hidden="false" customHeight="false" outlineLevel="0" collapsed="false">
      <c r="B6" s="324" t="n">
        <f aca="false">EOMONTH(B5,0)+1</f>
        <v>36800</v>
      </c>
      <c r="C6" s="328" t="e">
        <f aca="false">SUMIF('Basis Options'!$X$7:$X$1006,CONCATENATE(CashFlows!$B6,CashFlows!C$4),'Basis Options'!$U$7:$U$1006)</f>
        <v>#NAME?</v>
      </c>
      <c r="D6" s="328" t="e">
        <f aca="false">SUMIF('Basis Options'!$X$7:$X$1006,CONCATENATE(CashFlows!$B6,CashFlows!D$4),'Basis Options'!$U$7:$U$1006)</f>
        <v>#NAME?</v>
      </c>
      <c r="E6" s="328" t="e">
        <f aca="false">SUMIF('Basis Options'!$X$7:$X$1006,CONCATENATE(CashFlows!$B6,CashFlows!E$4),'Basis Options'!$U$7:$U$1006)</f>
        <v>#NAME?</v>
      </c>
      <c r="F6" s="328" t="e">
        <f aca="false">SUMIF('Basis Options'!$X$7:$X$1006,CONCATENATE(CashFlows!$B6,CashFlows!F$4),'Basis Options'!$U$7:$U$1006)</f>
        <v>#NAME?</v>
      </c>
      <c r="G6" s="328" t="e">
        <f aca="false">SUMIF('Basis Options'!$X$7:$X$1006,CONCATENATE(CashFlows!$B6,CashFlows!G$4),'Basis Options'!$U$7:$U$1006)</f>
        <v>#NAME?</v>
      </c>
      <c r="H6" s="328" t="n">
        <f aca="false">SUMIF('Basis Options'!$X$7:$X$1006,CONCATENATE(CashFlows!$B6,CashFlows!H$4),'Basis Options'!$U$7:$U$1006)</f>
        <v>0</v>
      </c>
      <c r="I6" s="328" t="e">
        <f aca="false">SUMIF('Basis Options'!$X$7:$X$1006,CONCATENATE(CashFlows!$B6,CashFlows!I$4),'Basis Options'!$U$7:$U$1006)</f>
        <v>#NAME?</v>
      </c>
      <c r="J6" s="328" t="n">
        <f aca="false">SUMIF('Basis Options'!$X$7:$X$1006,CONCATENATE(CashFlows!$B6,CashFlows!J$4),'Basis Options'!$U$7:$U$1006)</f>
        <v>0</v>
      </c>
      <c r="K6" s="328" t="n">
        <f aca="false">SUMIF('Basis Options'!$X$7:$X$1006,CONCATENATE(CashFlows!$B6,CashFlows!K$4),'Basis Options'!$U$7:$U$1006)</f>
        <v>0</v>
      </c>
      <c r="L6" s="328" t="n">
        <f aca="false">SUMIF('Basis Options'!$X$7:$X$1006,CONCATENATE(CashFlows!$B6,CashFlows!L$4),'Basis Options'!$U$7:$U$1006)</f>
        <v>0</v>
      </c>
      <c r="M6" s="328" t="n">
        <f aca="false">SUMIF('Basis Options'!$X$7:$X$1006,CONCATENATE(CashFlows!$B6,CashFlows!M$4),'Basis Options'!$U$7:$U$1006)</f>
        <v>0</v>
      </c>
      <c r="N6" s="325" t="e">
        <f aca="false">SUM(C6:M6)</f>
        <v>#NAME?</v>
      </c>
      <c r="P6" s="324" t="n">
        <f aca="false">EOMONTH(P5,0)+1</f>
        <v>36708</v>
      </c>
      <c r="Q6" s="325" t="n">
        <f aca="false">SUMIF(Digital!U7:U12,CONCATENATE(CashFlows!P6,CashFlows!Q5),Digital!S7:S11)</f>
        <v>0</v>
      </c>
      <c r="R6" s="324" t="n">
        <f aca="false">B6</f>
        <v>36800</v>
      </c>
      <c r="S6" s="326" t="e">
        <f aca="false">N6+Q6</f>
        <v>#NAME?</v>
      </c>
      <c r="T6" s="66" t="n">
        <f aca="false">INDEX(discount,MATCH(B6,discountmonths,0),3)</f>
        <v>0.993971732363147</v>
      </c>
      <c r="U6" s="327" t="e">
        <f aca="false">S6/T6</f>
        <v>#NAME?</v>
      </c>
    </row>
    <row r="7" customFormat="false" ht="12.75" hidden="false" customHeight="false" outlineLevel="0" collapsed="false">
      <c r="B7" s="324" t="n">
        <f aca="false">EOMONTH(B6,0)+1</f>
        <v>36831</v>
      </c>
      <c r="C7" s="328" t="e">
        <f aca="false">SUMIF('Basis Options'!$X$7:$X$1006,CONCATENATE(CashFlows!$B7,CashFlows!C$4),'Basis Options'!$U$7:$U$1006)</f>
        <v>#NAME?</v>
      </c>
      <c r="D7" s="328" t="e">
        <f aca="false">SUMIF('Basis Options'!$X$7:$X$1006,CONCATENATE(CashFlows!$B7,CashFlows!D$4),'Basis Options'!$U$7:$U$1006)</f>
        <v>#NAME?</v>
      </c>
      <c r="E7" s="328" t="e">
        <f aca="false">SUMIF('Basis Options'!$X$7:$X$1006,CONCATENATE(CashFlows!$B7,CashFlows!E$4),'Basis Options'!$U$7:$U$1006)</f>
        <v>#NAME?</v>
      </c>
      <c r="F7" s="328" t="e">
        <f aca="false">SUMIF('Basis Options'!$X$7:$X$1006,CONCATENATE(CashFlows!$B7,CashFlows!F$4),'Basis Options'!$U$7:$U$1006)</f>
        <v>#NAME?</v>
      </c>
      <c r="G7" s="328" t="n">
        <f aca="false">SUMIF('Basis Options'!$X$7:$X$1006,CONCATENATE(CashFlows!$B7,CashFlows!G$4),'Basis Options'!$U$7:$U$1006)</f>
        <v>0</v>
      </c>
      <c r="H7" s="328" t="e">
        <f aca="false">SUMIF('Basis Options'!$X$7:$X$1006,CONCATENATE(CashFlows!$B7,CashFlows!H$4),'Basis Options'!$U$7:$U$1006)</f>
        <v>#NAME?</v>
      </c>
      <c r="I7" s="328" t="e">
        <f aca="false">SUMIF('Basis Options'!$X$7:$X$1006,CONCATENATE(CashFlows!$B7,CashFlows!I$4),'Basis Options'!$U$7:$U$1006)</f>
        <v>#NAME?</v>
      </c>
      <c r="J7" s="328" t="e">
        <f aca="false">SUMIF('Basis Options'!$X$7:$X$1006,CONCATENATE(CashFlows!$B7,CashFlows!J$4),'Basis Options'!$U$7:$U$1006)</f>
        <v>#NAME?</v>
      </c>
      <c r="K7" s="328" t="e">
        <f aca="false">SUMIF('Basis Options'!$X$7:$X$1006,CONCATENATE(CashFlows!$B7,CashFlows!K$4),'Basis Options'!$U$7:$U$1006)</f>
        <v>#NAME?</v>
      </c>
      <c r="L7" s="328" t="e">
        <f aca="false">SUMIF('Basis Options'!$X$7:$X$1006,CONCATENATE(CashFlows!$B7,CashFlows!L$4),'Basis Options'!$U$7:$U$1006)</f>
        <v>#NAME?</v>
      </c>
      <c r="M7" s="328" t="e">
        <f aca="false">SUMIF('Basis Options'!$X$7:$X$1006,CONCATENATE(CashFlows!$B7,CashFlows!M$4),'Basis Options'!$U$7:$U$1006)</f>
        <v>#NAME?</v>
      </c>
      <c r="N7" s="325" t="e">
        <f aca="false">SUM(C7:M7)</f>
        <v>#NAME?</v>
      </c>
      <c r="P7" s="324" t="n">
        <f aca="false">EOMONTH(P6,0)+1</f>
        <v>36739</v>
      </c>
      <c r="Q7" s="325" t="n">
        <f aca="false">SUMIF(Digital!U7:U13,CONCATENATE(CashFlows!P7,CashFlows!Q6),Digital!S7:S12)</f>
        <v>0</v>
      </c>
      <c r="R7" s="324" t="n">
        <f aca="false">B7</f>
        <v>36831</v>
      </c>
      <c r="S7" s="326" t="e">
        <f aca="false">N7+Q7</f>
        <v>#NAME?</v>
      </c>
      <c r="T7" s="66" t="n">
        <f aca="false">INDEX(discount,MATCH(B7,discountmonths,0),3)</f>
        <v>0.988323092711876</v>
      </c>
      <c r="U7" s="327" t="e">
        <f aca="false">S7/T7</f>
        <v>#NAME?</v>
      </c>
    </row>
    <row r="8" customFormat="false" ht="12.75" hidden="false" customHeight="false" outlineLevel="0" collapsed="false">
      <c r="B8" s="324" t="n">
        <f aca="false">EOMONTH(B7,0)+1</f>
        <v>36861</v>
      </c>
      <c r="C8" s="328" t="e">
        <f aca="false">SUMIF('Basis Options'!$X$7:$X$1006,CONCATENATE(CashFlows!$B8,CashFlows!C$4),'Basis Options'!$U$7:$U$1006)</f>
        <v>#NAME?</v>
      </c>
      <c r="D8" s="328" t="e">
        <f aca="false">SUMIF('Basis Options'!$X$7:$X$1006,CONCATENATE(CashFlows!$B8,CashFlows!D$4),'Basis Options'!$U$7:$U$1006)</f>
        <v>#NAME?</v>
      </c>
      <c r="E8" s="328" t="e">
        <f aca="false">SUMIF('Basis Options'!$X$7:$X$1006,CONCATENATE(CashFlows!$B8,CashFlows!E$4),'Basis Options'!$U$7:$U$1006)</f>
        <v>#NAME?</v>
      </c>
      <c r="F8" s="328" t="e">
        <f aca="false">SUMIF('Basis Options'!$X$7:$X$1006,CONCATENATE(CashFlows!$B8,CashFlows!F$4),'Basis Options'!$U$7:$U$1006)</f>
        <v>#NAME?</v>
      </c>
      <c r="G8" s="328" t="n">
        <f aca="false">SUMIF('Basis Options'!$X$7:$X$1006,CONCATENATE(CashFlows!$B8,CashFlows!G$4),'Basis Options'!$U$7:$U$1006)</f>
        <v>0</v>
      </c>
      <c r="H8" s="328" t="e">
        <f aca="false">SUMIF('Basis Options'!$X$7:$X$1006,CONCATENATE(CashFlows!$B8,CashFlows!H$4),'Basis Options'!$U$7:$U$1006)</f>
        <v>#NAME?</v>
      </c>
      <c r="I8" s="328" t="e">
        <f aca="false">SUMIF('Basis Options'!$X$7:$X$1006,CONCATENATE(CashFlows!$B8,CashFlows!I$4),'Basis Options'!$U$7:$U$1006)</f>
        <v>#NAME?</v>
      </c>
      <c r="J8" s="328" t="e">
        <f aca="false">SUMIF('Basis Options'!$X$7:$X$1006,CONCATENATE(CashFlows!$B8,CashFlows!J$4),'Basis Options'!$U$7:$U$1006)</f>
        <v>#NAME?</v>
      </c>
      <c r="K8" s="328" t="e">
        <f aca="false">SUMIF('Basis Options'!$X$7:$X$1006,CONCATENATE(CashFlows!$B8,CashFlows!K$4),'Basis Options'!$U$7:$U$1006)</f>
        <v>#NAME?</v>
      </c>
      <c r="L8" s="328" t="e">
        <f aca="false">SUMIF('Basis Options'!$X$7:$X$1006,CONCATENATE(CashFlows!$B8,CashFlows!L$4),'Basis Options'!$U$7:$U$1006)</f>
        <v>#NAME?</v>
      </c>
      <c r="M8" s="328" t="e">
        <f aca="false">SUMIF('Basis Options'!$X$7:$X$1006,CONCATENATE(CashFlows!$B8,CashFlows!M$4),'Basis Options'!$U$7:$U$1006)</f>
        <v>#NAME?</v>
      </c>
      <c r="N8" s="325" t="e">
        <f aca="false">SUM(C8:M8)</f>
        <v>#NAME?</v>
      </c>
      <c r="P8" s="324" t="n">
        <f aca="false">EOMONTH(P7,0)+1</f>
        <v>36770</v>
      </c>
      <c r="Q8" s="325" t="n">
        <f aca="false">SUMIF(Digital!U7:U14,CONCATENATE(CashFlows!P8,CashFlows!Q7),Digital!S7:S13)</f>
        <v>0</v>
      </c>
      <c r="R8" s="324" t="n">
        <f aca="false">B8</f>
        <v>36861</v>
      </c>
      <c r="S8" s="326" t="e">
        <f aca="false">N8+Q8</f>
        <v>#NAME?</v>
      </c>
      <c r="T8" s="66" t="n">
        <f aca="false">INDEX(discount,MATCH(B8,discountmonths,0),3)</f>
        <v>0.982842850033739</v>
      </c>
      <c r="U8" s="327" t="e">
        <f aca="false">S8/T8</f>
        <v>#NAME?</v>
      </c>
    </row>
    <row r="9" customFormat="false" ht="12.75" hidden="false" customHeight="false" outlineLevel="0" collapsed="false">
      <c r="B9" s="324" t="n">
        <f aca="false">EOMONTH(B8,0)+1</f>
        <v>36892</v>
      </c>
      <c r="C9" s="328" t="e">
        <f aca="false">SUMIF('Basis Options'!$X$7:$X$1006,CONCATENATE(CashFlows!$B9,CashFlows!C$4),'Basis Options'!$U$7:$U$1006)</f>
        <v>#NAME?</v>
      </c>
      <c r="D9" s="328" t="e">
        <f aca="false">SUMIF('Basis Options'!$X$7:$X$1006,CONCATENATE(CashFlows!$B9,CashFlows!D$4),'Basis Options'!$U$7:$U$1006)</f>
        <v>#NAME?</v>
      </c>
      <c r="E9" s="328" t="e">
        <f aca="false">SUMIF('Basis Options'!$X$7:$X$1006,CONCATENATE(CashFlows!$B9,CashFlows!E$4),'Basis Options'!$U$7:$U$1006)</f>
        <v>#NAME?</v>
      </c>
      <c r="F9" s="328" t="e">
        <f aca="false">SUMIF('Basis Options'!$X$7:$X$1006,CONCATENATE(CashFlows!$B9,CashFlows!F$4),'Basis Options'!$U$7:$U$1006)</f>
        <v>#NAME?</v>
      </c>
      <c r="G9" s="328" t="n">
        <f aca="false">SUMIF('Basis Options'!$X$7:$X$1006,CONCATENATE(CashFlows!$B9,CashFlows!G$4),'Basis Options'!$U$7:$U$1006)</f>
        <v>0</v>
      </c>
      <c r="H9" s="328" t="e">
        <f aca="false">SUMIF('Basis Options'!$X$7:$X$1006,CONCATENATE(CashFlows!$B9,CashFlows!H$4),'Basis Options'!$U$7:$U$1006)</f>
        <v>#NAME?</v>
      </c>
      <c r="I9" s="328" t="e">
        <f aca="false">SUMIF('Basis Options'!$X$7:$X$1006,CONCATENATE(CashFlows!$B9,CashFlows!I$4),'Basis Options'!$U$7:$U$1006)</f>
        <v>#NAME?</v>
      </c>
      <c r="J9" s="328" t="e">
        <f aca="false">SUMIF('Basis Options'!$X$7:$X$1006,CONCATENATE(CashFlows!$B9,CashFlows!J$4),'Basis Options'!$U$7:$U$1006)</f>
        <v>#NAME?</v>
      </c>
      <c r="K9" s="328" t="e">
        <f aca="false">SUMIF('Basis Options'!$X$7:$X$1006,CONCATENATE(CashFlows!$B9,CashFlows!K$4),'Basis Options'!$U$7:$U$1006)</f>
        <v>#NAME?</v>
      </c>
      <c r="L9" s="328" t="e">
        <f aca="false">SUMIF('Basis Options'!$X$7:$X$1006,CONCATENATE(CashFlows!$B9,CashFlows!L$4),'Basis Options'!$U$7:$U$1006)</f>
        <v>#NAME?</v>
      </c>
      <c r="M9" s="328" t="e">
        <f aca="false">SUMIF('Basis Options'!$X$7:$X$1006,CONCATENATE(CashFlows!$B9,CashFlows!M$4),'Basis Options'!$U$7:$U$1006)</f>
        <v>#NAME?</v>
      </c>
      <c r="N9" s="325" t="e">
        <f aca="false">SUM(C9:M9)</f>
        <v>#NAME?</v>
      </c>
      <c r="P9" s="324" t="n">
        <f aca="false">EOMONTH(P8,0)+1</f>
        <v>36800</v>
      </c>
      <c r="Q9" s="325" t="n">
        <f aca="false">SUMIF(Digital!U7:U15,CONCATENATE(CashFlows!P9,CashFlows!Q8),Digital!S7:S14)</f>
        <v>0</v>
      </c>
      <c r="R9" s="324" t="n">
        <f aca="false">B9</f>
        <v>36892</v>
      </c>
      <c r="S9" s="326" t="e">
        <f aca="false">N9+Q9</f>
        <v>#NAME?</v>
      </c>
      <c r="T9" s="66" t="n">
        <f aca="false">INDEX(discount,MATCH(B9,discountmonths,0),3)</f>
        <v>0.97724582324272</v>
      </c>
      <c r="U9" s="327" t="e">
        <f aca="false">S9/T9</f>
        <v>#NAME?</v>
      </c>
    </row>
    <row r="10" customFormat="false" ht="12.75" hidden="false" customHeight="false" outlineLevel="0" collapsed="false">
      <c r="B10" s="324" t="n">
        <f aca="false">EOMONTH(B9,0)+1</f>
        <v>36923</v>
      </c>
      <c r="C10" s="328" t="e">
        <f aca="false">SUMIF('Basis Options'!$X$7:$X$1006,CONCATENATE(CashFlows!$B10,CashFlows!C$4),'Basis Options'!$U$7:$U$1006)</f>
        <v>#NAME?</v>
      </c>
      <c r="D10" s="328" t="e">
        <f aca="false">SUMIF('Basis Options'!$X$7:$X$1006,CONCATENATE(CashFlows!$B10,CashFlows!D$4),'Basis Options'!$U$7:$U$1006)</f>
        <v>#NAME?</v>
      </c>
      <c r="E10" s="328" t="e">
        <f aca="false">SUMIF('Basis Options'!$X$7:$X$1006,CONCATENATE(CashFlows!$B10,CashFlows!E$4),'Basis Options'!$U$7:$U$1006)</f>
        <v>#NAME?</v>
      </c>
      <c r="F10" s="328" t="e">
        <f aca="false">SUMIF('Basis Options'!$X$7:$X$1006,CONCATENATE(CashFlows!$B10,CashFlows!F$4),'Basis Options'!$U$7:$U$1006)</f>
        <v>#NAME?</v>
      </c>
      <c r="G10" s="328" t="n">
        <f aca="false">SUMIF('Basis Options'!$X$7:$X$1006,CONCATENATE(CashFlows!$B10,CashFlows!G$4),'Basis Options'!$U$7:$U$1006)</f>
        <v>0</v>
      </c>
      <c r="H10" s="328" t="e">
        <f aca="false">SUMIF('Basis Options'!$X$7:$X$1006,CONCATENATE(CashFlows!$B10,CashFlows!H$4),'Basis Options'!$U$7:$U$1006)</f>
        <v>#NAME?</v>
      </c>
      <c r="I10" s="328" t="e">
        <f aca="false">SUMIF('Basis Options'!$X$7:$X$1006,CONCATENATE(CashFlows!$B10,CashFlows!I$4),'Basis Options'!$U$7:$U$1006)</f>
        <v>#NAME?</v>
      </c>
      <c r="J10" s="328" t="e">
        <f aca="false">SUMIF('Basis Options'!$X$7:$X$1006,CONCATENATE(CashFlows!$B10,CashFlows!J$4),'Basis Options'!$U$7:$U$1006)</f>
        <v>#NAME?</v>
      </c>
      <c r="K10" s="328" t="e">
        <f aca="false">SUMIF('Basis Options'!$X$7:$X$1006,CONCATENATE(CashFlows!$B10,CashFlows!K$4),'Basis Options'!$U$7:$U$1006)</f>
        <v>#NAME?</v>
      </c>
      <c r="L10" s="328" t="e">
        <f aca="false">SUMIF('Basis Options'!$X$7:$X$1006,CONCATENATE(CashFlows!$B10,CashFlows!L$4),'Basis Options'!$U$7:$U$1006)</f>
        <v>#NAME?</v>
      </c>
      <c r="M10" s="328" t="e">
        <f aca="false">SUMIF('Basis Options'!$X$7:$X$1006,CONCATENATE(CashFlows!$B10,CashFlows!M$4),'Basis Options'!$U$7:$U$1006)</f>
        <v>#NAME?</v>
      </c>
      <c r="N10" s="325" t="e">
        <f aca="false">SUM(C10:M10)</f>
        <v>#NAME?</v>
      </c>
      <c r="P10" s="324" t="n">
        <f aca="false">EOMONTH(P9,0)+1</f>
        <v>36831</v>
      </c>
      <c r="Q10" s="325" t="n">
        <f aca="false">SUMIF(Digital!U7:U16,CONCATENATE(CashFlows!P10,CashFlows!Q9),Digital!S7:S15)</f>
        <v>0</v>
      </c>
      <c r="R10" s="324" t="n">
        <f aca="false">B10</f>
        <v>36923</v>
      </c>
      <c r="S10" s="326" t="e">
        <f aca="false">N10+Q10</f>
        <v>#NAME?</v>
      </c>
      <c r="T10" s="66" t="n">
        <f aca="false">INDEX(discount,MATCH(B10,discountmonths,0),3)</f>
        <v>0.971587680835653</v>
      </c>
      <c r="U10" s="327" t="e">
        <f aca="false">S10/T10</f>
        <v>#NAME?</v>
      </c>
    </row>
    <row r="11" customFormat="false" ht="12.75" hidden="false" customHeight="false" outlineLevel="0" collapsed="false">
      <c r="B11" s="324" t="n">
        <f aca="false">EOMONTH(B10,0)+1</f>
        <v>36951</v>
      </c>
      <c r="C11" s="328" t="e">
        <f aca="false">SUMIF('Basis Options'!$X$7:$X$1006,CONCATENATE(CashFlows!$B11,CashFlows!C$4),'Basis Options'!$U$7:$U$1006)</f>
        <v>#NAME?</v>
      </c>
      <c r="D11" s="328" t="e">
        <f aca="false">SUMIF('Basis Options'!$X$7:$X$1006,CONCATENATE(CashFlows!$B11,CashFlows!D$4),'Basis Options'!$U$7:$U$1006)</f>
        <v>#NAME?</v>
      </c>
      <c r="E11" s="328" t="e">
        <f aca="false">SUMIF('Basis Options'!$X$7:$X$1006,CONCATENATE(CashFlows!$B11,CashFlows!E$4),'Basis Options'!$U$7:$U$1006)</f>
        <v>#NAME?</v>
      </c>
      <c r="F11" s="328" t="e">
        <f aca="false">SUMIF('Basis Options'!$X$7:$X$1006,CONCATENATE(CashFlows!$B11,CashFlows!F$4),'Basis Options'!$U$7:$U$1006)</f>
        <v>#NAME?</v>
      </c>
      <c r="G11" s="328" t="n">
        <f aca="false">SUMIF('Basis Options'!$X$7:$X$1006,CONCATENATE(CashFlows!$B11,CashFlows!G$4),'Basis Options'!$U$7:$U$1006)</f>
        <v>0</v>
      </c>
      <c r="H11" s="328" t="e">
        <f aca="false">SUMIF('Basis Options'!$X$7:$X$1006,CONCATENATE(CashFlows!$B11,CashFlows!H$4),'Basis Options'!$U$7:$U$1006)</f>
        <v>#NAME?</v>
      </c>
      <c r="I11" s="328" t="e">
        <f aca="false">SUMIF('Basis Options'!$X$7:$X$1006,CONCATENATE(CashFlows!$B11,CashFlows!I$4),'Basis Options'!$U$7:$U$1006)</f>
        <v>#NAME?</v>
      </c>
      <c r="J11" s="328" t="e">
        <f aca="false">SUMIF('Basis Options'!$X$7:$X$1006,CONCATENATE(CashFlows!$B11,CashFlows!J$4),'Basis Options'!$U$7:$U$1006)</f>
        <v>#NAME?</v>
      </c>
      <c r="K11" s="328" t="e">
        <f aca="false">SUMIF('Basis Options'!$X$7:$X$1006,CONCATENATE(CashFlows!$B11,CashFlows!K$4),'Basis Options'!$U$7:$U$1006)</f>
        <v>#NAME?</v>
      </c>
      <c r="L11" s="328" t="e">
        <f aca="false">SUMIF('Basis Options'!$X$7:$X$1006,CONCATENATE(CashFlows!$B11,CashFlows!L$4),'Basis Options'!$U$7:$U$1006)</f>
        <v>#NAME?</v>
      </c>
      <c r="M11" s="328" t="e">
        <f aca="false">SUMIF('Basis Options'!$X$7:$X$1006,CONCATENATE(CashFlows!$B11,CashFlows!M$4),'Basis Options'!$U$7:$U$1006)</f>
        <v>#NAME?</v>
      </c>
      <c r="N11" s="325" t="e">
        <f aca="false">SUM(C11:M11)</f>
        <v>#NAME?</v>
      </c>
      <c r="P11" s="324" t="n">
        <f aca="false">EOMONTH(P10,0)+1</f>
        <v>36861</v>
      </c>
      <c r="Q11" s="325" t="n">
        <f aca="false">SUMIF(Digital!U8:U17,CONCATENATE(CashFlows!P11,CashFlows!Q10),Digital!S8:S16)</f>
        <v>0</v>
      </c>
      <c r="R11" s="324" t="n">
        <f aca="false">B11</f>
        <v>36951</v>
      </c>
      <c r="S11" s="326" t="e">
        <f aca="false">N11+Q11</f>
        <v>#NAME?</v>
      </c>
      <c r="T11" s="66" t="n">
        <f aca="false">INDEX(discount,MATCH(B11,discountmonths,0),3)</f>
        <v>0.966472759410716</v>
      </c>
      <c r="U11" s="327" t="e">
        <f aca="false">S11/T11</f>
        <v>#NAME?</v>
      </c>
    </row>
    <row r="12" customFormat="false" ht="12.75" hidden="false" customHeight="false" outlineLevel="0" collapsed="false">
      <c r="B12" s="324" t="n">
        <f aca="false">EOMONTH(B11,0)+1</f>
        <v>36982</v>
      </c>
      <c r="C12" s="328" t="e">
        <f aca="false">SUMIF('Basis Options'!$X$7:$X$1006,CONCATENATE(CashFlows!$B12,CashFlows!C$4),'Basis Options'!$U$7:$U$1006)</f>
        <v>#NAME?</v>
      </c>
      <c r="D12" s="328" t="n">
        <f aca="false">SUMIF('Basis Options'!$X$7:$X$1006,CONCATENATE(CashFlows!$B12,CashFlows!D$4),'Basis Options'!$U$7:$U$1006)</f>
        <v>0</v>
      </c>
      <c r="E12" s="328" t="n">
        <f aca="false">SUMIF('Basis Options'!$X$7:$X$1006,CONCATENATE(CashFlows!$B12,CashFlows!E$4),'Basis Options'!$U$7:$U$1006)</f>
        <v>0</v>
      </c>
      <c r="F12" s="328" t="n">
        <f aca="false">SUMIF('Basis Options'!$X$7:$X$1006,CONCATENATE(CashFlows!$B12,CashFlows!F$4),'Basis Options'!$U$7:$U$1006)</f>
        <v>0</v>
      </c>
      <c r="G12" s="328" t="e">
        <f aca="false">SUMIF('Basis Options'!$X$7:$X$1006,CONCATENATE(CashFlows!$B12,CashFlows!G$4),'Basis Options'!$U$7:$U$1006)</f>
        <v>#NAME?</v>
      </c>
      <c r="H12" s="328" t="n">
        <f aca="false">SUMIF('Basis Options'!$X$7:$X$1006,CONCATENATE(CashFlows!$B12,CashFlows!H$4),'Basis Options'!$U$7:$U$1006)</f>
        <v>0</v>
      </c>
      <c r="I12" s="328" t="e">
        <f aca="false">SUMIF('Basis Options'!$X$7:$X$1006,CONCATENATE(CashFlows!$B12,CashFlows!I$4),'Basis Options'!$U$7:$U$1006)</f>
        <v>#NAME?</v>
      </c>
      <c r="J12" s="328" t="n">
        <f aca="false">SUMIF('Basis Options'!$X$7:$X$1006,CONCATENATE(CashFlows!$B12,CashFlows!J$4),'Basis Options'!$U$7:$U$1006)</f>
        <v>0</v>
      </c>
      <c r="K12" s="328" t="n">
        <f aca="false">SUMIF('Basis Options'!$X$7:$X$1006,CONCATENATE(CashFlows!$B12,CashFlows!K$4),'Basis Options'!$U$7:$U$1006)</f>
        <v>0</v>
      </c>
      <c r="L12" s="328" t="n">
        <f aca="false">SUMIF('Basis Options'!$X$7:$X$1006,CONCATENATE(CashFlows!$B12,CashFlows!L$4),'Basis Options'!$U$7:$U$1006)</f>
        <v>0</v>
      </c>
      <c r="M12" s="328" t="n">
        <f aca="false">SUMIF('Basis Options'!$X$7:$X$1006,CONCATENATE(CashFlows!$B12,CashFlows!M$4),'Basis Options'!$U$7:$U$1006)</f>
        <v>0</v>
      </c>
      <c r="N12" s="325" t="e">
        <f aca="false">SUM(C12:M12)</f>
        <v>#NAME?</v>
      </c>
      <c r="P12" s="324" t="n">
        <f aca="false">EOMONTH(P11,0)+1</f>
        <v>36892</v>
      </c>
      <c r="Q12" s="325" t="n">
        <f aca="false">SUMIF(Digital!U9:U18,CONCATENATE(CashFlows!P12,CashFlows!Q11),Digital!S8:S17)</f>
        <v>0</v>
      </c>
      <c r="R12" s="324" t="n">
        <f aca="false">B12</f>
        <v>36982</v>
      </c>
      <c r="S12" s="326" t="e">
        <f aca="false">N12+Q12</f>
        <v>#NAME?</v>
      </c>
      <c r="T12" s="66" t="n">
        <f aca="false">INDEX(discount,MATCH(B12,discountmonths,0),3)</f>
        <v>0.960846900868722</v>
      </c>
      <c r="U12" s="327" t="e">
        <f aca="false">S12/T12</f>
        <v>#NAME?</v>
      </c>
    </row>
    <row r="13" customFormat="false" ht="12.75" hidden="false" customHeight="false" outlineLevel="0" collapsed="false">
      <c r="B13" s="324" t="n">
        <f aca="false">EOMONTH(B12,0)+1</f>
        <v>37012</v>
      </c>
      <c r="C13" s="328" t="e">
        <f aca="false">SUMIF('Basis Options'!$X$7:$X$1006,CONCATENATE(CashFlows!$B13,CashFlows!C$4),'Basis Options'!$U$7:$U$1006)</f>
        <v>#NAME?</v>
      </c>
      <c r="D13" s="328" t="n">
        <f aca="false">SUMIF('Basis Options'!$X$7:$X$1006,CONCATENATE(CashFlows!$B13,CashFlows!D$4),'Basis Options'!$U$7:$U$1006)</f>
        <v>0</v>
      </c>
      <c r="E13" s="328" t="n">
        <f aca="false">SUMIF('Basis Options'!$X$7:$X$1006,CONCATENATE(CashFlows!$B13,CashFlows!E$4),'Basis Options'!$U$7:$U$1006)</f>
        <v>0</v>
      </c>
      <c r="F13" s="328" t="n">
        <f aca="false">SUMIF('Basis Options'!$X$7:$X$1006,CONCATENATE(CashFlows!$B13,CashFlows!F$4),'Basis Options'!$U$7:$U$1006)</f>
        <v>0</v>
      </c>
      <c r="G13" s="328" t="e">
        <f aca="false">SUMIF('Basis Options'!$X$7:$X$1006,CONCATENATE(CashFlows!$B13,CashFlows!G$4),'Basis Options'!$U$7:$U$1006)</f>
        <v>#NAME?</v>
      </c>
      <c r="H13" s="328" t="n">
        <f aca="false">SUMIF('Basis Options'!$X$7:$X$1006,CONCATENATE(CashFlows!$B13,CashFlows!H$4),'Basis Options'!$U$7:$U$1006)</f>
        <v>0</v>
      </c>
      <c r="I13" s="328" t="e">
        <f aca="false">SUMIF('Basis Options'!$X$7:$X$1006,CONCATENATE(CashFlows!$B13,CashFlows!I$4),'Basis Options'!$U$7:$U$1006)</f>
        <v>#NAME?</v>
      </c>
      <c r="J13" s="328" t="n">
        <f aca="false">SUMIF('Basis Options'!$X$7:$X$1006,CONCATENATE(CashFlows!$B13,CashFlows!J$4),'Basis Options'!$U$7:$U$1006)</f>
        <v>0</v>
      </c>
      <c r="K13" s="328" t="n">
        <f aca="false">SUMIF('Basis Options'!$X$7:$X$1006,CONCATENATE(CashFlows!$B13,CashFlows!K$4),'Basis Options'!$U$7:$U$1006)</f>
        <v>0</v>
      </c>
      <c r="L13" s="328" t="n">
        <f aca="false">SUMIF('Basis Options'!$X$7:$X$1006,CONCATENATE(CashFlows!$B13,CashFlows!L$4),'Basis Options'!$U$7:$U$1006)</f>
        <v>0</v>
      </c>
      <c r="M13" s="328" t="n">
        <f aca="false">SUMIF('Basis Options'!$X$7:$X$1006,CONCATENATE(CashFlows!$B13,CashFlows!M$4),'Basis Options'!$U$7:$U$1006)</f>
        <v>0</v>
      </c>
      <c r="N13" s="325" t="e">
        <f aca="false">SUM(C13:M13)</f>
        <v>#NAME?</v>
      </c>
      <c r="P13" s="324" t="n">
        <f aca="false">EOMONTH(P12,0)+1</f>
        <v>36923</v>
      </c>
      <c r="Q13" s="325" t="n">
        <f aca="false">SUMIF(Digital!U10:U19,CONCATENATE(CashFlows!P13,CashFlows!Q12),Digital!S9:S18)</f>
        <v>0</v>
      </c>
      <c r="R13" s="324" t="n">
        <f aca="false">B13</f>
        <v>37012</v>
      </c>
      <c r="S13" s="326" t="e">
        <f aca="false">N13+Q13</f>
        <v>#NAME?</v>
      </c>
      <c r="T13" s="66" t="n">
        <f aca="false">INDEX(discount,MATCH(B13,discountmonths,0),3)</f>
        <v>0.955486569389945</v>
      </c>
      <c r="U13" s="327" t="e">
        <f aca="false">S13/T13</f>
        <v>#NAME?</v>
      </c>
    </row>
    <row r="14" customFormat="false" ht="12.75" hidden="false" customHeight="false" outlineLevel="0" collapsed="false">
      <c r="B14" s="324" t="n">
        <f aca="false">EOMONTH(B13,0)+1</f>
        <v>37043</v>
      </c>
      <c r="C14" s="328" t="e">
        <f aca="false">SUMIF('Basis Options'!$X$7:$X$1006,CONCATENATE(CashFlows!$B14,CashFlows!C$4),'Basis Options'!$U$7:$U$1006)</f>
        <v>#NAME?</v>
      </c>
      <c r="D14" s="328" t="n">
        <f aca="false">SUMIF('Basis Options'!$X$7:$X$1006,CONCATENATE(CashFlows!$B14,CashFlows!D$4),'Basis Options'!$U$7:$U$1006)</f>
        <v>0</v>
      </c>
      <c r="E14" s="328" t="n">
        <f aca="false">SUMIF('Basis Options'!$X$7:$X$1006,CONCATENATE(CashFlows!$B14,CashFlows!E$4),'Basis Options'!$U$7:$U$1006)</f>
        <v>0</v>
      </c>
      <c r="F14" s="328" t="n">
        <f aca="false">SUMIF('Basis Options'!$X$7:$X$1006,CONCATENATE(CashFlows!$B14,CashFlows!F$4),'Basis Options'!$U$7:$U$1006)</f>
        <v>0</v>
      </c>
      <c r="G14" s="328" t="e">
        <f aca="false">SUMIF('Basis Options'!$X$7:$X$1006,CONCATENATE(CashFlows!$B14,CashFlows!G$4),'Basis Options'!$U$7:$U$1006)</f>
        <v>#NAME?</v>
      </c>
      <c r="H14" s="328" t="n">
        <f aca="false">SUMIF('Basis Options'!$X$7:$X$1006,CONCATENATE(CashFlows!$B14,CashFlows!H$4),'Basis Options'!$U$7:$U$1006)</f>
        <v>0</v>
      </c>
      <c r="I14" s="328" t="e">
        <f aca="false">SUMIF('Basis Options'!$X$7:$X$1006,CONCATENATE(CashFlows!$B14,CashFlows!I$4),'Basis Options'!$U$7:$U$1006)</f>
        <v>#NAME?</v>
      </c>
      <c r="J14" s="328" t="n">
        <f aca="false">SUMIF('Basis Options'!$X$7:$X$1006,CONCATENATE(CashFlows!$B14,CashFlows!J$4),'Basis Options'!$U$7:$U$1006)</f>
        <v>0</v>
      </c>
      <c r="K14" s="328" t="n">
        <f aca="false">SUMIF('Basis Options'!$X$7:$X$1006,CONCATENATE(CashFlows!$B14,CashFlows!K$4),'Basis Options'!$U$7:$U$1006)</f>
        <v>0</v>
      </c>
      <c r="L14" s="328" t="n">
        <f aca="false">SUMIF('Basis Options'!$X$7:$X$1006,CONCATENATE(CashFlows!$B14,CashFlows!L$4),'Basis Options'!$U$7:$U$1006)</f>
        <v>0</v>
      </c>
      <c r="M14" s="328" t="n">
        <f aca="false">SUMIF('Basis Options'!$X$7:$X$1006,CONCATENATE(CashFlows!$B14,CashFlows!M$4),'Basis Options'!$U$7:$U$1006)</f>
        <v>0</v>
      </c>
      <c r="N14" s="325" t="e">
        <f aca="false">SUM(C14:M14)</f>
        <v>#NAME?</v>
      </c>
      <c r="P14" s="324" t="n">
        <f aca="false">EOMONTH(P13,0)+1</f>
        <v>36951</v>
      </c>
      <c r="Q14" s="325" t="n">
        <f aca="false">SUMIF(Digital!U11:U20,CONCATENATE(CashFlows!P14,CashFlows!Q13),Digital!S10:S19)</f>
        <v>0</v>
      </c>
      <c r="R14" s="324" t="n">
        <f aca="false">B14</f>
        <v>37043</v>
      </c>
      <c r="S14" s="326" t="e">
        <f aca="false">N14+Q14</f>
        <v>#NAME?</v>
      </c>
      <c r="T14" s="66" t="n">
        <f aca="false">INDEX(discount,MATCH(B14,discountmonths,0),3)</f>
        <v>0.949973762156036</v>
      </c>
      <c r="U14" s="327" t="e">
        <f aca="false">S14/T14</f>
        <v>#NAME?</v>
      </c>
    </row>
    <row r="15" customFormat="false" ht="12.75" hidden="false" customHeight="false" outlineLevel="0" collapsed="false">
      <c r="B15" s="324" t="n">
        <f aca="false">EOMONTH(B14,0)+1</f>
        <v>37073</v>
      </c>
      <c r="C15" s="328" t="e">
        <f aca="false">SUMIF('Basis Options'!$X$7:$X$1006,CONCATENATE(CashFlows!$B15,CashFlows!C$4),'Basis Options'!$U$7:$U$1006)</f>
        <v>#NAME?</v>
      </c>
      <c r="D15" s="328" t="n">
        <f aca="false">SUMIF('Basis Options'!$X$7:$X$1006,CONCATENATE(CashFlows!$B15,CashFlows!D$4),'Basis Options'!$U$7:$U$1006)</f>
        <v>0</v>
      </c>
      <c r="E15" s="328" t="n">
        <f aca="false">SUMIF('Basis Options'!$X$7:$X$1006,CONCATENATE(CashFlows!$B15,CashFlows!E$4),'Basis Options'!$U$7:$U$1006)</f>
        <v>0</v>
      </c>
      <c r="F15" s="328" t="n">
        <f aca="false">SUMIF('Basis Options'!$X$7:$X$1006,CONCATENATE(CashFlows!$B15,CashFlows!F$4),'Basis Options'!$U$7:$U$1006)</f>
        <v>0</v>
      </c>
      <c r="G15" s="328" t="e">
        <f aca="false">SUMIF('Basis Options'!$X$7:$X$1006,CONCATENATE(CashFlows!$B15,CashFlows!G$4),'Basis Options'!$U$7:$U$1006)</f>
        <v>#NAME?</v>
      </c>
      <c r="H15" s="328" t="n">
        <f aca="false">SUMIF('Basis Options'!$X$7:$X$1006,CONCATENATE(CashFlows!$B15,CashFlows!H$4),'Basis Options'!$U$7:$U$1006)</f>
        <v>0</v>
      </c>
      <c r="I15" s="328" t="e">
        <f aca="false">SUMIF('Basis Options'!$X$7:$X$1006,CONCATENATE(CashFlows!$B15,CashFlows!I$4),'Basis Options'!$U$7:$U$1006)</f>
        <v>#NAME?</v>
      </c>
      <c r="J15" s="328" t="n">
        <f aca="false">SUMIF('Basis Options'!$X$7:$X$1006,CONCATENATE(CashFlows!$B15,CashFlows!J$4),'Basis Options'!$U$7:$U$1006)</f>
        <v>0</v>
      </c>
      <c r="K15" s="328" t="n">
        <f aca="false">SUMIF('Basis Options'!$X$7:$X$1006,CONCATENATE(CashFlows!$B15,CashFlows!K$4),'Basis Options'!$U$7:$U$1006)</f>
        <v>0</v>
      </c>
      <c r="L15" s="328" t="n">
        <f aca="false">SUMIF('Basis Options'!$X$7:$X$1006,CONCATENATE(CashFlows!$B15,CashFlows!L$4),'Basis Options'!$U$7:$U$1006)</f>
        <v>0</v>
      </c>
      <c r="M15" s="328" t="n">
        <f aca="false">SUMIF('Basis Options'!$X$7:$X$1006,CONCATENATE(CashFlows!$B15,CashFlows!M$4),'Basis Options'!$U$7:$U$1006)</f>
        <v>0</v>
      </c>
      <c r="N15" s="325" t="e">
        <f aca="false">SUM(C15:M15)</f>
        <v>#NAME?</v>
      </c>
      <c r="P15" s="324" t="n">
        <f aca="false">EOMONTH(P14,0)+1</f>
        <v>36982</v>
      </c>
      <c r="Q15" s="325" t="n">
        <f aca="false">SUMIF(Digital!U12:U21,CONCATENATE(CashFlows!P15,CashFlows!Q14),Digital!S11:S20)</f>
        <v>0</v>
      </c>
      <c r="R15" s="324" t="n">
        <f aca="false">B15</f>
        <v>37073</v>
      </c>
      <c r="S15" s="326" t="e">
        <f aca="false">N15+Q15</f>
        <v>#NAME?</v>
      </c>
      <c r="T15" s="66" t="n">
        <f aca="false">INDEX(discount,MATCH(B15,discountmonths,0),3)</f>
        <v>0.944666278408808</v>
      </c>
      <c r="U15" s="327" t="e">
        <f aca="false">S15/T15</f>
        <v>#NAME?</v>
      </c>
    </row>
    <row r="16" customFormat="false" ht="12.75" hidden="false" customHeight="false" outlineLevel="0" collapsed="false">
      <c r="B16" s="324" t="n">
        <f aca="false">EOMONTH(B15,0)+1</f>
        <v>37104</v>
      </c>
      <c r="C16" s="328" t="e">
        <f aca="false">SUMIF('Basis Options'!$X$7:$X$1006,CONCATENATE(CashFlows!$B16,CashFlows!C$4),'Basis Options'!$U$7:$U$1006)</f>
        <v>#NAME?</v>
      </c>
      <c r="D16" s="328" t="n">
        <f aca="false">SUMIF('Basis Options'!$X$7:$X$1006,CONCATENATE(CashFlows!$B16,CashFlows!D$4),'Basis Options'!$U$7:$U$1006)</f>
        <v>0</v>
      </c>
      <c r="E16" s="328" t="n">
        <f aca="false">SUMIF('Basis Options'!$X$7:$X$1006,CONCATENATE(CashFlows!$B16,CashFlows!E$4),'Basis Options'!$U$7:$U$1006)</f>
        <v>0</v>
      </c>
      <c r="F16" s="328" t="n">
        <f aca="false">SUMIF('Basis Options'!$X$7:$X$1006,CONCATENATE(CashFlows!$B16,CashFlows!F$4),'Basis Options'!$U$7:$U$1006)</f>
        <v>0</v>
      </c>
      <c r="G16" s="328" t="e">
        <f aca="false">SUMIF('Basis Options'!$X$7:$X$1006,CONCATENATE(CashFlows!$B16,CashFlows!G$4),'Basis Options'!$U$7:$U$1006)</f>
        <v>#NAME?</v>
      </c>
      <c r="H16" s="328" t="n">
        <f aca="false">SUMIF('Basis Options'!$X$7:$X$1006,CONCATENATE(CashFlows!$B16,CashFlows!H$4),'Basis Options'!$U$7:$U$1006)</f>
        <v>0</v>
      </c>
      <c r="I16" s="328" t="e">
        <f aca="false">SUMIF('Basis Options'!$X$7:$X$1006,CONCATENATE(CashFlows!$B16,CashFlows!I$4),'Basis Options'!$U$7:$U$1006)</f>
        <v>#NAME?</v>
      </c>
      <c r="J16" s="328" t="n">
        <f aca="false">SUMIF('Basis Options'!$X$7:$X$1006,CONCATENATE(CashFlows!$B16,CashFlows!J$4),'Basis Options'!$U$7:$U$1006)</f>
        <v>0</v>
      </c>
      <c r="K16" s="328" t="n">
        <f aca="false">SUMIF('Basis Options'!$X$7:$X$1006,CONCATENATE(CashFlows!$B16,CashFlows!K$4),'Basis Options'!$U$7:$U$1006)</f>
        <v>0</v>
      </c>
      <c r="L16" s="328" t="n">
        <f aca="false">SUMIF('Basis Options'!$X$7:$X$1006,CONCATENATE(CashFlows!$B16,CashFlows!L$4),'Basis Options'!$U$7:$U$1006)</f>
        <v>0</v>
      </c>
      <c r="M16" s="328" t="n">
        <f aca="false">SUMIF('Basis Options'!$X$7:$X$1006,CONCATENATE(CashFlows!$B16,CashFlows!M$4),'Basis Options'!$U$7:$U$1006)</f>
        <v>0</v>
      </c>
      <c r="N16" s="325" t="e">
        <f aca="false">SUM(C16:M16)</f>
        <v>#NAME?</v>
      </c>
      <c r="P16" s="324" t="n">
        <f aca="false">EOMONTH(P15,0)+1</f>
        <v>37012</v>
      </c>
      <c r="Q16" s="325" t="n">
        <f aca="false">SUMIF(Digital!U13:U22,CONCATENATE(CashFlows!P16,CashFlows!Q15),Digital!S12:S21)</f>
        <v>0</v>
      </c>
      <c r="R16" s="324" t="n">
        <f aca="false">B16</f>
        <v>37104</v>
      </c>
      <c r="S16" s="326" t="e">
        <f aca="false">N16+Q16</f>
        <v>#NAME?</v>
      </c>
      <c r="T16" s="66" t="n">
        <f aca="false">INDEX(discount,MATCH(B16,discountmonths,0),3)</f>
        <v>0.939212890930308</v>
      </c>
      <c r="U16" s="327" t="e">
        <f aca="false">S16/T16</f>
        <v>#NAME?</v>
      </c>
    </row>
    <row r="17" customFormat="false" ht="12.75" hidden="false" customHeight="false" outlineLevel="0" collapsed="false">
      <c r="B17" s="324" t="n">
        <f aca="false">EOMONTH(B16,0)+1</f>
        <v>37135</v>
      </c>
      <c r="C17" s="328" t="e">
        <f aca="false">SUMIF('Basis Options'!$X$7:$X$1006,CONCATENATE(CashFlows!$B17,CashFlows!C$4),'Basis Options'!$U$7:$U$1006)</f>
        <v>#NAME?</v>
      </c>
      <c r="D17" s="328" t="n">
        <f aca="false">SUMIF('Basis Options'!$X$7:$X$1006,CONCATENATE(CashFlows!$B17,CashFlows!D$4),'Basis Options'!$U$7:$U$1006)</f>
        <v>0</v>
      </c>
      <c r="E17" s="328" t="n">
        <f aca="false">SUMIF('Basis Options'!$X$7:$X$1006,CONCATENATE(CashFlows!$B17,CashFlows!E$4),'Basis Options'!$U$7:$U$1006)</f>
        <v>0</v>
      </c>
      <c r="F17" s="328" t="n">
        <f aca="false">SUMIF('Basis Options'!$X$7:$X$1006,CONCATENATE(CashFlows!$B17,CashFlows!F$4),'Basis Options'!$U$7:$U$1006)</f>
        <v>0</v>
      </c>
      <c r="G17" s="328" t="e">
        <f aca="false">SUMIF('Basis Options'!$X$7:$X$1006,CONCATENATE(CashFlows!$B17,CashFlows!G$4),'Basis Options'!$U$7:$U$1006)</f>
        <v>#NAME?</v>
      </c>
      <c r="H17" s="328" t="n">
        <f aca="false">SUMIF('Basis Options'!$X$7:$X$1006,CONCATENATE(CashFlows!$B17,CashFlows!H$4),'Basis Options'!$U$7:$U$1006)</f>
        <v>0</v>
      </c>
      <c r="I17" s="328" t="e">
        <f aca="false">SUMIF('Basis Options'!$X$7:$X$1006,CONCATENATE(CashFlows!$B17,CashFlows!I$4),'Basis Options'!$U$7:$U$1006)</f>
        <v>#NAME?</v>
      </c>
      <c r="J17" s="328" t="n">
        <f aca="false">SUMIF('Basis Options'!$X$7:$X$1006,CONCATENATE(CashFlows!$B17,CashFlows!J$4),'Basis Options'!$U$7:$U$1006)</f>
        <v>0</v>
      </c>
      <c r="K17" s="328" t="n">
        <f aca="false">SUMIF('Basis Options'!$X$7:$X$1006,CONCATENATE(CashFlows!$B17,CashFlows!K$4),'Basis Options'!$U$7:$U$1006)</f>
        <v>0</v>
      </c>
      <c r="L17" s="328" t="n">
        <f aca="false">SUMIF('Basis Options'!$X$7:$X$1006,CONCATENATE(CashFlows!$B17,CashFlows!L$4),'Basis Options'!$U$7:$U$1006)</f>
        <v>0</v>
      </c>
      <c r="M17" s="328" t="n">
        <f aca="false">SUMIF('Basis Options'!$X$7:$X$1006,CONCATENATE(CashFlows!$B17,CashFlows!M$4),'Basis Options'!$U$7:$U$1006)</f>
        <v>0</v>
      </c>
      <c r="N17" s="325" t="e">
        <f aca="false">SUM(C17:M17)</f>
        <v>#NAME?</v>
      </c>
      <c r="P17" s="324" t="n">
        <f aca="false">EOMONTH(P16,0)+1</f>
        <v>37043</v>
      </c>
      <c r="Q17" s="329" t="n">
        <f aca="false">SUMIF(Digital!U14:U23,CONCATENATE(CashFlows!P17,CashFlows!Q16),Digital!S13:S22)</f>
        <v>0</v>
      </c>
      <c r="R17" s="324" t="n">
        <f aca="false">B17</f>
        <v>37135</v>
      </c>
      <c r="S17" s="326" t="e">
        <f aca="false">N17+Q17</f>
        <v>#NAME?</v>
      </c>
      <c r="T17" s="66" t="n">
        <f aca="false">INDEX(discount,MATCH(B17,discountmonths,0),3)</f>
        <v>0.933787071590421</v>
      </c>
      <c r="U17" s="327" t="e">
        <f aca="false">S17/T17</f>
        <v>#NAME?</v>
      </c>
    </row>
    <row r="18" customFormat="false" ht="12.75" hidden="false" customHeight="false" outlineLevel="0" collapsed="false">
      <c r="B18" s="324" t="n">
        <f aca="false">EOMONTH(B17,0)+1</f>
        <v>37165</v>
      </c>
      <c r="C18" s="328" t="e">
        <f aca="false">SUMIF('Basis Options'!$X$7:$X$1006,CONCATENATE(CashFlows!$B18,CashFlows!C$4),'Basis Options'!$U$7:$U$1006)</f>
        <v>#NAME?</v>
      </c>
      <c r="D18" s="328" t="n">
        <f aca="false">SUMIF('Basis Options'!$X$7:$X$1006,CONCATENATE(CashFlows!$B18,CashFlows!D$4),'Basis Options'!$U$7:$U$1006)</f>
        <v>0</v>
      </c>
      <c r="E18" s="328" t="n">
        <f aca="false">SUMIF('Basis Options'!$X$7:$X$1006,CONCATENATE(CashFlows!$B18,CashFlows!E$4),'Basis Options'!$U$7:$U$1006)</f>
        <v>0</v>
      </c>
      <c r="F18" s="328" t="n">
        <f aca="false">SUMIF('Basis Options'!$X$7:$X$1006,CONCATENATE(CashFlows!$B18,CashFlows!F$4),'Basis Options'!$U$7:$U$1006)</f>
        <v>0</v>
      </c>
      <c r="G18" s="328" t="e">
        <f aca="false">SUMIF('Basis Options'!$X$7:$X$1006,CONCATENATE(CashFlows!$B18,CashFlows!G$4),'Basis Options'!$U$7:$U$1006)</f>
        <v>#NAME?</v>
      </c>
      <c r="H18" s="328" t="n">
        <f aca="false">SUMIF('Basis Options'!$X$7:$X$1006,CONCATENATE(CashFlows!$B18,CashFlows!H$4),'Basis Options'!$U$7:$U$1006)</f>
        <v>0</v>
      </c>
      <c r="I18" s="328" t="e">
        <f aca="false">SUMIF('Basis Options'!$X$7:$X$1006,CONCATENATE(CashFlows!$B18,CashFlows!I$4),'Basis Options'!$U$7:$U$1006)</f>
        <v>#NAME?</v>
      </c>
      <c r="J18" s="328" t="n">
        <f aca="false">SUMIF('Basis Options'!$X$7:$X$1006,CONCATENATE(CashFlows!$B18,CashFlows!J$4),'Basis Options'!$U$7:$U$1006)</f>
        <v>0</v>
      </c>
      <c r="K18" s="328" t="n">
        <f aca="false">SUMIF('Basis Options'!$X$7:$X$1006,CONCATENATE(CashFlows!$B18,CashFlows!K$4),'Basis Options'!$U$7:$U$1006)</f>
        <v>0</v>
      </c>
      <c r="L18" s="328" t="n">
        <f aca="false">SUMIF('Basis Options'!$X$7:$X$1006,CONCATENATE(CashFlows!$B18,CashFlows!L$4),'Basis Options'!$U$7:$U$1006)</f>
        <v>0</v>
      </c>
      <c r="M18" s="328" t="n">
        <f aca="false">SUMIF('Basis Options'!$X$7:$X$1006,CONCATENATE(CashFlows!$B18,CashFlows!M$4),'Basis Options'!$U$7:$U$1006)</f>
        <v>0</v>
      </c>
      <c r="N18" s="325" t="e">
        <f aca="false">SUM(C18:M18)</f>
        <v>#NAME?</v>
      </c>
      <c r="P18" s="324" t="n">
        <f aca="false">EOMONTH(P17,0)+1</f>
        <v>37073</v>
      </c>
      <c r="Q18" s="330"/>
      <c r="R18" s="324" t="n">
        <f aca="false">B18</f>
        <v>37165</v>
      </c>
      <c r="S18" s="326" t="e">
        <f aca="false">N18+Q18</f>
        <v>#NAME?</v>
      </c>
      <c r="T18" s="66" t="n">
        <f aca="false">INDEX(discount,MATCH(B18,discountmonths,0),3)</f>
        <v>0.928565063350762</v>
      </c>
      <c r="U18" s="327" t="e">
        <f aca="false">S18/T18</f>
        <v>#NAME?</v>
      </c>
    </row>
    <row r="19" customFormat="false" ht="12.75" hidden="false" customHeight="false" outlineLevel="0" collapsed="false">
      <c r="B19" s="324" t="n">
        <f aca="false">EOMONTH(B18,0)+1</f>
        <v>37196</v>
      </c>
      <c r="C19" s="328" t="e">
        <f aca="false">SUMIF('Basis Options'!$X$7:$X$1006,CONCATENATE(CashFlows!$B19,CashFlows!C$4),'Basis Options'!$U$7:$U$1006)</f>
        <v>#NAME?</v>
      </c>
      <c r="D19" s="328" t="n">
        <f aca="false">SUMIF('Basis Options'!$X$7:$X$1006,CONCATENATE(CashFlows!$B19,CashFlows!D$4),'Basis Options'!$U$7:$U$1006)</f>
        <v>0</v>
      </c>
      <c r="E19" s="328" t="n">
        <f aca="false">SUMIF('Basis Options'!$X$7:$X$1006,CONCATENATE(CashFlows!$B19,CashFlows!E$4),'Basis Options'!$U$7:$U$1006)</f>
        <v>0</v>
      </c>
      <c r="F19" s="328" t="n">
        <f aca="false">SUMIF('Basis Options'!$X$7:$X$1006,CONCATENATE(CashFlows!$B19,CashFlows!F$4),'Basis Options'!$U$7:$U$1006)</f>
        <v>0</v>
      </c>
      <c r="G19" s="328" t="n">
        <f aca="false">SUMIF('Basis Options'!$X$7:$X$1006,CONCATENATE(CashFlows!$B19,CashFlows!G$4),'Basis Options'!$U$7:$U$1006)</f>
        <v>0</v>
      </c>
      <c r="H19" s="328" t="n">
        <f aca="false">SUMIF('Basis Options'!$X$7:$X$1006,CONCATENATE(CashFlows!$B19,CashFlows!H$4),'Basis Options'!$U$7:$U$1006)</f>
        <v>0</v>
      </c>
      <c r="I19" s="328" t="n">
        <f aca="false">SUMIF('Basis Options'!$X$7:$X$1006,CONCATENATE(CashFlows!$B19,CashFlows!I$4),'Basis Options'!$U$7:$U$1006)</f>
        <v>0</v>
      </c>
      <c r="J19" s="328" t="n">
        <f aca="false">SUMIF('Basis Options'!$X$7:$X$1006,CONCATENATE(CashFlows!$B19,CashFlows!J$4),'Basis Options'!$U$7:$U$1006)</f>
        <v>0</v>
      </c>
      <c r="K19" s="328" t="n">
        <f aca="false">SUMIF('Basis Options'!$X$7:$X$1006,CONCATENATE(CashFlows!$B19,CashFlows!K$4),'Basis Options'!$U$7:$U$1006)</f>
        <v>0</v>
      </c>
      <c r="L19" s="328" t="n">
        <f aca="false">SUMIF('Basis Options'!$X$7:$X$1006,CONCATENATE(CashFlows!$B19,CashFlows!L$4),'Basis Options'!$U$7:$U$1006)</f>
        <v>0</v>
      </c>
      <c r="M19" s="328" t="n">
        <f aca="false">SUMIF('Basis Options'!$X$7:$X$1006,CONCATENATE(CashFlows!$B19,CashFlows!M$4),'Basis Options'!$U$7:$U$1006)</f>
        <v>0</v>
      </c>
      <c r="N19" s="325" t="e">
        <f aca="false">SUM(C19:M19)</f>
        <v>#NAME?</v>
      </c>
      <c r="P19" s="324" t="n">
        <f aca="false">EOMONTH(P18,0)+1</f>
        <v>37104</v>
      </c>
      <c r="Q19" s="330"/>
      <c r="R19" s="324" t="n">
        <f aca="false">B19</f>
        <v>37196</v>
      </c>
      <c r="S19" s="326" t="e">
        <f aca="false">N19+Q19</f>
        <v>#NAME?</v>
      </c>
      <c r="T19" s="66" t="n">
        <f aca="false">INDEX(discount,MATCH(B19,discountmonths,0),3)</f>
        <v>0.923200908585566</v>
      </c>
      <c r="U19" s="327" t="e">
        <f aca="false">S19/T19</f>
        <v>#NAME?</v>
      </c>
    </row>
    <row r="20" customFormat="false" ht="12.75" hidden="false" customHeight="false" outlineLevel="0" collapsed="false">
      <c r="B20" s="324" t="n">
        <f aca="false">EOMONTH(B19,0)+1</f>
        <v>37226</v>
      </c>
      <c r="C20" s="328" t="e">
        <f aca="false">SUMIF('Basis Options'!$X$7:$X$1006,CONCATENATE(CashFlows!$B20,CashFlows!C$4),'Basis Options'!$U$7:$U$1006)</f>
        <v>#NAME?</v>
      </c>
      <c r="D20" s="328" t="n">
        <f aca="false">SUMIF('Basis Options'!$X$7:$X$1006,CONCATENATE(CashFlows!$B20,CashFlows!D$4),'Basis Options'!$U$7:$U$1006)</f>
        <v>0</v>
      </c>
      <c r="E20" s="328" t="n">
        <f aca="false">SUMIF('Basis Options'!$X$7:$X$1006,CONCATENATE(CashFlows!$B20,CashFlows!E$4),'Basis Options'!$U$7:$U$1006)</f>
        <v>0</v>
      </c>
      <c r="F20" s="328" t="n">
        <f aca="false">SUMIF('Basis Options'!$X$7:$X$1006,CONCATENATE(CashFlows!$B20,CashFlows!F$4),'Basis Options'!$U$7:$U$1006)</f>
        <v>0</v>
      </c>
      <c r="G20" s="328" t="n">
        <f aca="false">SUMIF('Basis Options'!$X$7:$X$1006,CONCATENATE(CashFlows!$B20,CashFlows!G$4),'Basis Options'!$U$7:$U$1006)</f>
        <v>0</v>
      </c>
      <c r="H20" s="328" t="n">
        <f aca="false">SUMIF('Basis Options'!$X$7:$X$1006,CONCATENATE(CashFlows!$B20,CashFlows!H$4),'Basis Options'!$U$7:$U$1006)</f>
        <v>0</v>
      </c>
      <c r="I20" s="328" t="n">
        <f aca="false">SUMIF('Basis Options'!$X$7:$X$1006,CONCATENATE(CashFlows!$B20,CashFlows!I$4),'Basis Options'!$U$7:$U$1006)</f>
        <v>0</v>
      </c>
      <c r="J20" s="328" t="n">
        <f aca="false">SUMIF('Basis Options'!$X$7:$X$1006,CONCATENATE(CashFlows!$B20,CashFlows!J$4),'Basis Options'!$U$7:$U$1006)</f>
        <v>0</v>
      </c>
      <c r="K20" s="328" t="n">
        <f aca="false">SUMIF('Basis Options'!$X$7:$X$1006,CONCATENATE(CashFlows!$B20,CashFlows!K$4),'Basis Options'!$U$7:$U$1006)</f>
        <v>0</v>
      </c>
      <c r="L20" s="328" t="n">
        <f aca="false">SUMIF('Basis Options'!$X$7:$X$1006,CONCATENATE(CashFlows!$B20,CashFlows!L$4),'Basis Options'!$U$7:$U$1006)</f>
        <v>0</v>
      </c>
      <c r="M20" s="328" t="n">
        <f aca="false">SUMIF('Basis Options'!$X$7:$X$1006,CONCATENATE(CashFlows!$B20,CashFlows!M$4),'Basis Options'!$U$7:$U$1006)</f>
        <v>0</v>
      </c>
      <c r="N20" s="325" t="e">
        <f aca="false">SUM(C20:M20)</f>
        <v>#NAME?</v>
      </c>
      <c r="P20" s="324" t="n">
        <f aca="false">EOMONTH(P19,0)+1</f>
        <v>37135</v>
      </c>
      <c r="Q20" s="330"/>
      <c r="R20" s="324" t="n">
        <f aca="false">B20</f>
        <v>37226</v>
      </c>
      <c r="S20" s="326" t="e">
        <f aca="false">N20+Q20</f>
        <v>#NAME?</v>
      </c>
      <c r="T20" s="66" t="n">
        <f aca="false">INDEX(discount,MATCH(B20,discountmonths,0),3)</f>
        <v>0.918036668825787</v>
      </c>
      <c r="U20" s="327" t="e">
        <f aca="false">S20/T20</f>
        <v>#NAME?</v>
      </c>
    </row>
    <row r="21" customFormat="false" ht="12.75" hidden="false" customHeight="false" outlineLevel="0" collapsed="false">
      <c r="B21" s="324" t="n">
        <f aca="false">EOMONTH(B20,0)+1</f>
        <v>37257</v>
      </c>
      <c r="C21" s="328" t="e">
        <f aca="false">SUMIF('Basis Options'!$X$7:$X$1006,CONCATENATE(CashFlows!$B21,CashFlows!C$4),'Basis Options'!$U$7:$U$1006)</f>
        <v>#NAME?</v>
      </c>
      <c r="D21" s="328" t="n">
        <f aca="false">SUMIF('Basis Options'!$X$7:$X$1006,CONCATENATE(CashFlows!$B21,CashFlows!D$4),'Basis Options'!$U$7:$U$1006)</f>
        <v>0</v>
      </c>
      <c r="E21" s="328" t="n">
        <f aca="false">SUMIF('Basis Options'!$X$7:$X$1006,CONCATENATE(CashFlows!$B21,CashFlows!E$4),'Basis Options'!$U$7:$U$1006)</f>
        <v>0</v>
      </c>
      <c r="F21" s="328" t="n">
        <f aca="false">SUMIF('Basis Options'!$X$7:$X$1006,CONCATENATE(CashFlows!$B21,CashFlows!F$4),'Basis Options'!$U$7:$U$1006)</f>
        <v>0</v>
      </c>
      <c r="G21" s="328" t="n">
        <f aca="false">SUMIF('Basis Options'!$X$7:$X$1006,CONCATENATE(CashFlows!$B21,CashFlows!G$4),'Basis Options'!$U$7:$U$1006)</f>
        <v>0</v>
      </c>
      <c r="H21" s="328" t="n">
        <f aca="false">SUMIF('Basis Options'!$X$7:$X$1006,CONCATENATE(CashFlows!$B21,CashFlows!H$4),'Basis Options'!$U$7:$U$1006)</f>
        <v>0</v>
      </c>
      <c r="I21" s="328" t="n">
        <f aca="false">SUMIF('Basis Options'!$X$7:$X$1006,CONCATENATE(CashFlows!$B21,CashFlows!I$4),'Basis Options'!$U$7:$U$1006)</f>
        <v>0</v>
      </c>
      <c r="J21" s="328" t="n">
        <f aca="false">SUMIF('Basis Options'!$X$7:$X$1006,CONCATENATE(CashFlows!$B21,CashFlows!J$4),'Basis Options'!$U$7:$U$1006)</f>
        <v>0</v>
      </c>
      <c r="K21" s="328" t="n">
        <f aca="false">SUMIF('Basis Options'!$X$7:$X$1006,CONCATENATE(CashFlows!$B21,CashFlows!K$4),'Basis Options'!$U$7:$U$1006)</f>
        <v>0</v>
      </c>
      <c r="L21" s="328" t="n">
        <f aca="false">SUMIF('Basis Options'!$X$7:$X$1006,CONCATENATE(CashFlows!$B21,CashFlows!L$4),'Basis Options'!$U$7:$U$1006)</f>
        <v>0</v>
      </c>
      <c r="M21" s="328" t="n">
        <f aca="false">SUMIF('Basis Options'!$X$7:$X$1006,CONCATENATE(CashFlows!$B21,CashFlows!M$4),'Basis Options'!$U$7:$U$1006)</f>
        <v>0</v>
      </c>
      <c r="N21" s="325" t="e">
        <f aca="false">SUM(C21:M21)</f>
        <v>#NAME?</v>
      </c>
      <c r="P21" s="324" t="n">
        <f aca="false">EOMONTH(P20,0)+1</f>
        <v>37165</v>
      </c>
      <c r="Q21" s="330"/>
      <c r="R21" s="324" t="n">
        <f aca="false">B21</f>
        <v>37257</v>
      </c>
      <c r="S21" s="326" t="e">
        <f aca="false">N21+Q21</f>
        <v>#NAME?</v>
      </c>
      <c r="T21" s="66" t="n">
        <f aca="false">INDEX(discount,MATCH(B21,discountmonths,0),3)</f>
        <v>0.91272036623204</v>
      </c>
      <c r="U21" s="327" t="e">
        <f aca="false">S21/T21</f>
        <v>#NAME?</v>
      </c>
    </row>
    <row r="22" customFormat="false" ht="12.75" hidden="false" customHeight="false" outlineLevel="0" collapsed="false">
      <c r="B22" s="324" t="n">
        <f aca="false">EOMONTH(B21,0)+1</f>
        <v>37288</v>
      </c>
      <c r="C22" s="328" t="e">
        <f aca="false">SUMIF('Basis Options'!$X$7:$X$1006,CONCATENATE(CashFlows!$B22,CashFlows!C$4),'Basis Options'!$U$7:$U$1006)</f>
        <v>#NAME?</v>
      </c>
      <c r="D22" s="328" t="n">
        <f aca="false">SUMIF('Basis Options'!$X$7:$X$1006,CONCATENATE(CashFlows!$B22,CashFlows!D$4),'Basis Options'!$U$7:$U$1006)</f>
        <v>0</v>
      </c>
      <c r="E22" s="328" t="n">
        <f aca="false">SUMIF('Basis Options'!$X$7:$X$1006,CONCATENATE(CashFlows!$B22,CashFlows!E$4),'Basis Options'!$U$7:$U$1006)</f>
        <v>0</v>
      </c>
      <c r="F22" s="328" t="n">
        <f aca="false">SUMIF('Basis Options'!$X$7:$X$1006,CONCATENATE(CashFlows!$B22,CashFlows!F$4),'Basis Options'!$U$7:$U$1006)</f>
        <v>0</v>
      </c>
      <c r="G22" s="328" t="n">
        <f aca="false">SUMIF('Basis Options'!$X$7:$X$1006,CONCATENATE(CashFlows!$B22,CashFlows!G$4),'Basis Options'!$U$7:$U$1006)</f>
        <v>0</v>
      </c>
      <c r="H22" s="328" t="n">
        <f aca="false">SUMIF('Basis Options'!$X$7:$X$1006,CONCATENATE(CashFlows!$B22,CashFlows!H$4),'Basis Options'!$U$7:$U$1006)</f>
        <v>0</v>
      </c>
      <c r="I22" s="328" t="n">
        <f aca="false">SUMIF('Basis Options'!$X$7:$X$1006,CONCATENATE(CashFlows!$B22,CashFlows!I$4),'Basis Options'!$U$7:$U$1006)</f>
        <v>0</v>
      </c>
      <c r="J22" s="328" t="n">
        <f aca="false">SUMIF('Basis Options'!$X$7:$X$1006,CONCATENATE(CashFlows!$B22,CashFlows!J$4),'Basis Options'!$U$7:$U$1006)</f>
        <v>0</v>
      </c>
      <c r="K22" s="328" t="n">
        <f aca="false">SUMIF('Basis Options'!$X$7:$X$1006,CONCATENATE(CashFlows!$B22,CashFlows!K$4),'Basis Options'!$U$7:$U$1006)</f>
        <v>0</v>
      </c>
      <c r="L22" s="328" t="n">
        <f aca="false">SUMIF('Basis Options'!$X$7:$X$1006,CONCATENATE(CashFlows!$B22,CashFlows!L$4),'Basis Options'!$U$7:$U$1006)</f>
        <v>0</v>
      </c>
      <c r="M22" s="328" t="n">
        <f aca="false">SUMIF('Basis Options'!$X$7:$X$1006,CONCATENATE(CashFlows!$B22,CashFlows!M$4),'Basis Options'!$U$7:$U$1006)</f>
        <v>0</v>
      </c>
      <c r="N22" s="325" t="e">
        <f aca="false">SUM(C22:M22)</f>
        <v>#NAME?</v>
      </c>
      <c r="P22" s="324" t="n">
        <f aca="false">EOMONTH(P21,0)+1</f>
        <v>37196</v>
      </c>
      <c r="Q22" s="330"/>
      <c r="R22" s="324" t="n">
        <f aca="false">B22</f>
        <v>37288</v>
      </c>
      <c r="S22" s="326" t="e">
        <f aca="false">N22+Q22</f>
        <v>#NAME?</v>
      </c>
      <c r="T22" s="66" t="n">
        <f aca="false">INDEX(discount,MATCH(B22,discountmonths,0),3)</f>
        <v>0.907420093286639</v>
      </c>
      <c r="U22" s="327" t="e">
        <f aca="false">S22/T22</f>
        <v>#NAME?</v>
      </c>
    </row>
    <row r="23" customFormat="false" ht="12.75" hidden="false" customHeight="false" outlineLevel="0" collapsed="false">
      <c r="B23" s="324" t="n">
        <f aca="false">EOMONTH(B22,0)+1</f>
        <v>37316</v>
      </c>
      <c r="C23" s="328" t="e">
        <f aca="false">SUMIF('Basis Options'!$X$7:$X$1006,CONCATENATE(CashFlows!$B23,CashFlows!C$4),'Basis Options'!$U$7:$U$1006)</f>
        <v>#NAME?</v>
      </c>
      <c r="D23" s="328" t="n">
        <f aca="false">SUMIF('Basis Options'!$X$7:$X$1006,CONCATENATE(CashFlows!$B23,CashFlows!D$4),'Basis Options'!$U$7:$U$1006)</f>
        <v>0</v>
      </c>
      <c r="E23" s="328" t="n">
        <f aca="false">SUMIF('Basis Options'!$X$7:$X$1006,CONCATENATE(CashFlows!$B23,CashFlows!E$4),'Basis Options'!$U$7:$U$1006)</f>
        <v>0</v>
      </c>
      <c r="F23" s="328" t="n">
        <f aca="false">SUMIF('Basis Options'!$X$7:$X$1006,CONCATENATE(CashFlows!$B23,CashFlows!F$4),'Basis Options'!$U$7:$U$1006)</f>
        <v>0</v>
      </c>
      <c r="G23" s="328" t="n">
        <f aca="false">SUMIF('Basis Options'!$X$7:$X$1006,CONCATENATE(CashFlows!$B23,CashFlows!G$4),'Basis Options'!$U$7:$U$1006)</f>
        <v>0</v>
      </c>
      <c r="H23" s="328" t="n">
        <f aca="false">SUMIF('Basis Options'!$X$7:$X$1006,CONCATENATE(CashFlows!$B23,CashFlows!H$4),'Basis Options'!$U$7:$U$1006)</f>
        <v>0</v>
      </c>
      <c r="I23" s="328" t="n">
        <f aca="false">SUMIF('Basis Options'!$X$7:$X$1006,CONCATENATE(CashFlows!$B23,CashFlows!I$4),'Basis Options'!$U$7:$U$1006)</f>
        <v>0</v>
      </c>
      <c r="J23" s="328" t="n">
        <f aca="false">SUMIF('Basis Options'!$X$7:$X$1006,CONCATENATE(CashFlows!$B23,CashFlows!J$4),'Basis Options'!$U$7:$U$1006)</f>
        <v>0</v>
      </c>
      <c r="K23" s="328" t="n">
        <f aca="false">SUMIF('Basis Options'!$X$7:$X$1006,CONCATENATE(CashFlows!$B23,CashFlows!K$4),'Basis Options'!$U$7:$U$1006)</f>
        <v>0</v>
      </c>
      <c r="L23" s="328" t="n">
        <f aca="false">SUMIF('Basis Options'!$X$7:$X$1006,CONCATENATE(CashFlows!$B23,CashFlows!L$4),'Basis Options'!$U$7:$U$1006)</f>
        <v>0</v>
      </c>
      <c r="M23" s="328" t="n">
        <f aca="false">SUMIF('Basis Options'!$X$7:$X$1006,CONCATENATE(CashFlows!$B23,CashFlows!M$4),'Basis Options'!$U$7:$U$1006)</f>
        <v>0</v>
      </c>
      <c r="N23" s="325" t="e">
        <f aca="false">SUM(C23:M23)</f>
        <v>#NAME?</v>
      </c>
      <c r="P23" s="324" t="n">
        <f aca="false">EOMONTH(P22,0)+1</f>
        <v>37226</v>
      </c>
      <c r="Q23" s="330"/>
      <c r="R23" s="324" t="n">
        <f aca="false">B23</f>
        <v>37316</v>
      </c>
      <c r="S23" s="326" t="e">
        <f aca="false">N23+Q23</f>
        <v>#NAME?</v>
      </c>
      <c r="T23" s="66" t="n">
        <f aca="false">INDEX(discount,MATCH(B23,discountmonths,0),3)</f>
        <v>0.902654936903426</v>
      </c>
      <c r="U23" s="327" t="e">
        <f aca="false">S23/T23</f>
        <v>#NAME?</v>
      </c>
    </row>
    <row r="24" customFormat="false" ht="12.75" hidden="false" customHeight="false" outlineLevel="0" collapsed="false">
      <c r="B24" s="324" t="n">
        <f aca="false">EOMONTH(B23,0)+1</f>
        <v>37347</v>
      </c>
      <c r="C24" s="328" t="n">
        <f aca="false">SUMIF('Basis Options'!$X$7:$X$1006,CONCATENATE(CashFlows!$B24,CashFlows!C$4),'Basis Options'!$U$7:$U$1006)</f>
        <v>0</v>
      </c>
      <c r="D24" s="328" t="n">
        <f aca="false">SUMIF('Basis Options'!$X$7:$X$1006,CONCATENATE(CashFlows!$B24,CashFlows!D$4),'Basis Options'!$U$7:$U$1006)</f>
        <v>0</v>
      </c>
      <c r="E24" s="328" t="n">
        <f aca="false">SUMIF('Basis Options'!$X$7:$X$1006,CONCATENATE(CashFlows!$B24,CashFlows!E$4),'Basis Options'!$U$7:$U$1006)</f>
        <v>0</v>
      </c>
      <c r="F24" s="328" t="n">
        <f aca="false">SUMIF('Basis Options'!$X$7:$X$1006,CONCATENATE(CashFlows!$B24,CashFlows!F$4),'Basis Options'!$U$7:$U$1006)</f>
        <v>0</v>
      </c>
      <c r="G24" s="328" t="n">
        <f aca="false">SUMIF('Basis Options'!$X$7:$X$1006,CONCATENATE(CashFlows!$B24,CashFlows!G$4),'Basis Options'!$U$7:$U$1006)</f>
        <v>0</v>
      </c>
      <c r="H24" s="328" t="n">
        <f aca="false">SUMIF('Basis Options'!$X$7:$X$1006,CONCATENATE(CashFlows!$B24,CashFlows!H$4),'Basis Options'!$U$7:$U$1006)</f>
        <v>0</v>
      </c>
      <c r="I24" s="328" t="n">
        <f aca="false">SUMIF('Basis Options'!$X$7:$X$1006,CONCATENATE(CashFlows!$B24,CashFlows!I$4),'Basis Options'!$U$7:$U$1006)</f>
        <v>0</v>
      </c>
      <c r="J24" s="328" t="n">
        <f aca="false">SUMIF('Basis Options'!$X$7:$X$1006,CONCATENATE(CashFlows!$B24,CashFlows!J$4),'Basis Options'!$U$7:$U$1006)</f>
        <v>0</v>
      </c>
      <c r="K24" s="328" t="n">
        <f aca="false">SUMIF('Basis Options'!$X$7:$X$1006,CONCATENATE(CashFlows!$B24,CashFlows!K$4),'Basis Options'!$U$7:$U$1006)</f>
        <v>0</v>
      </c>
      <c r="L24" s="328" t="n">
        <f aca="false">SUMIF('Basis Options'!$X$7:$X$1006,CONCATENATE(CashFlows!$B24,CashFlows!L$4),'Basis Options'!$U$7:$U$1006)</f>
        <v>0</v>
      </c>
      <c r="M24" s="328" t="n">
        <f aca="false">SUMIF('Basis Options'!$X$7:$X$1006,CONCATENATE(CashFlows!$B24,CashFlows!M$4),'Basis Options'!$U$7:$U$1006)</f>
        <v>0</v>
      </c>
      <c r="N24" s="325" t="n">
        <f aca="false">SUM(C24:M24)</f>
        <v>0</v>
      </c>
      <c r="P24" s="324" t="n">
        <f aca="false">EOMONTH(P23,0)+1</f>
        <v>37257</v>
      </c>
      <c r="Q24" s="330"/>
      <c r="R24" s="324" t="n">
        <f aca="false">B24</f>
        <v>37347</v>
      </c>
      <c r="S24" s="326" t="n">
        <f aca="false">N24+Q24</f>
        <v>0</v>
      </c>
      <c r="T24" s="66" t="n">
        <f aca="false">INDEX(discount,MATCH(B24,discountmonths,0),3)</f>
        <v>0.897427183165733</v>
      </c>
      <c r="U24" s="327" t="n">
        <f aca="false">S24/T24</f>
        <v>0</v>
      </c>
    </row>
    <row r="25" customFormat="false" ht="12.75" hidden="false" customHeight="false" outlineLevel="0" collapsed="false">
      <c r="B25" s="324" t="n">
        <f aca="false">EOMONTH(B24,0)+1</f>
        <v>37377</v>
      </c>
      <c r="C25" s="328" t="n">
        <f aca="false">SUMIF('Basis Options'!$X$7:$X$1006,CONCATENATE(CashFlows!$B25,CashFlows!C$4),'Basis Options'!$U$7:$U$1006)</f>
        <v>0</v>
      </c>
      <c r="D25" s="328" t="n">
        <f aca="false">SUMIF('Basis Options'!$X$7:$X$1006,CONCATENATE(CashFlows!$B25,CashFlows!D$4),'Basis Options'!$U$7:$U$1006)</f>
        <v>0</v>
      </c>
      <c r="E25" s="328" t="n">
        <f aca="false">SUMIF('Basis Options'!$X$7:$X$1006,CONCATENATE(CashFlows!$B25,CashFlows!E$4),'Basis Options'!$U$7:$U$1006)</f>
        <v>0</v>
      </c>
      <c r="F25" s="328" t="n">
        <f aca="false">SUMIF('Basis Options'!$X$7:$X$1006,CONCATENATE(CashFlows!$B25,CashFlows!F$4),'Basis Options'!$U$7:$U$1006)</f>
        <v>0</v>
      </c>
      <c r="G25" s="328" t="n">
        <f aca="false">SUMIF('Basis Options'!$X$7:$X$1006,CONCATENATE(CashFlows!$B25,CashFlows!G$4),'Basis Options'!$U$7:$U$1006)</f>
        <v>0</v>
      </c>
      <c r="H25" s="328" t="n">
        <f aca="false">SUMIF('Basis Options'!$X$7:$X$1006,CONCATENATE(CashFlows!$B25,CashFlows!H$4),'Basis Options'!$U$7:$U$1006)</f>
        <v>0</v>
      </c>
      <c r="I25" s="328" t="n">
        <f aca="false">SUMIF('Basis Options'!$X$7:$X$1006,CONCATENATE(CashFlows!$B25,CashFlows!I$4),'Basis Options'!$U$7:$U$1006)</f>
        <v>0</v>
      </c>
      <c r="J25" s="328" t="n">
        <f aca="false">SUMIF('Basis Options'!$X$7:$X$1006,CONCATENATE(CashFlows!$B25,CashFlows!J$4),'Basis Options'!$U$7:$U$1006)</f>
        <v>0</v>
      </c>
      <c r="K25" s="328" t="n">
        <f aca="false">SUMIF('Basis Options'!$X$7:$X$1006,CONCATENATE(CashFlows!$B25,CashFlows!K$4),'Basis Options'!$U$7:$U$1006)</f>
        <v>0</v>
      </c>
      <c r="L25" s="328" t="n">
        <f aca="false">SUMIF('Basis Options'!$X$7:$X$1006,CONCATENATE(CashFlows!$B25,CashFlows!L$4),'Basis Options'!$U$7:$U$1006)</f>
        <v>0</v>
      </c>
      <c r="M25" s="328" t="n">
        <f aca="false">SUMIF('Basis Options'!$X$7:$X$1006,CONCATENATE(CashFlows!$B25,CashFlows!M$4),'Basis Options'!$U$7:$U$1006)</f>
        <v>0</v>
      </c>
      <c r="N25" s="325" t="n">
        <f aca="false">SUM(C25:M25)</f>
        <v>0</v>
      </c>
      <c r="P25" s="324" t="n">
        <f aca="false">EOMONTH(P24,0)+1</f>
        <v>37288</v>
      </c>
      <c r="Q25" s="330"/>
      <c r="R25" s="324" t="n">
        <f aca="false">B25</f>
        <v>37377</v>
      </c>
      <c r="S25" s="326" t="n">
        <f aca="false">N25+Q25</f>
        <v>0</v>
      </c>
      <c r="T25" s="66" t="n">
        <f aca="false">INDEX(discount,MATCH(B25,discountmonths,0),3)</f>
        <v>0.892430762843339</v>
      </c>
      <c r="U25" s="327" t="n">
        <f aca="false">S25/T25</f>
        <v>0</v>
      </c>
    </row>
    <row r="26" customFormat="false" ht="12.75" hidden="false" customHeight="false" outlineLevel="0" collapsed="false">
      <c r="B26" s="324" t="n">
        <f aca="false">EOMONTH(B25,0)+1</f>
        <v>37408</v>
      </c>
      <c r="C26" s="328" t="n">
        <f aca="false">SUMIF('Basis Options'!$X$7:$X$1006,CONCATENATE(CashFlows!$B26,CashFlows!C$4),'Basis Options'!$U$7:$U$1006)</f>
        <v>0</v>
      </c>
      <c r="D26" s="328" t="n">
        <f aca="false">SUMIF('Basis Options'!$X$7:$X$1006,CONCATENATE(CashFlows!$B26,CashFlows!D$4),'Basis Options'!$U$7:$U$1006)</f>
        <v>0</v>
      </c>
      <c r="E26" s="328" t="n">
        <f aca="false">SUMIF('Basis Options'!$X$7:$X$1006,CONCATENATE(CashFlows!$B26,CashFlows!E$4),'Basis Options'!$U$7:$U$1006)</f>
        <v>0</v>
      </c>
      <c r="F26" s="328" t="n">
        <f aca="false">SUMIF('Basis Options'!$X$7:$X$1006,CONCATENATE(CashFlows!$B26,CashFlows!F$4),'Basis Options'!$U$7:$U$1006)</f>
        <v>0</v>
      </c>
      <c r="G26" s="328" t="n">
        <f aca="false">SUMIF('Basis Options'!$X$7:$X$1006,CONCATENATE(CashFlows!$B26,CashFlows!G$4),'Basis Options'!$U$7:$U$1006)</f>
        <v>0</v>
      </c>
      <c r="H26" s="328" t="n">
        <f aca="false">SUMIF('Basis Options'!$X$7:$X$1006,CONCATENATE(CashFlows!$B26,CashFlows!H$4),'Basis Options'!$U$7:$U$1006)</f>
        <v>0</v>
      </c>
      <c r="I26" s="328" t="n">
        <f aca="false">SUMIF('Basis Options'!$X$7:$X$1006,CONCATENATE(CashFlows!$B26,CashFlows!I$4),'Basis Options'!$U$7:$U$1006)</f>
        <v>0</v>
      </c>
      <c r="J26" s="328" t="n">
        <f aca="false">SUMIF('Basis Options'!$X$7:$X$1006,CONCATENATE(CashFlows!$B26,CashFlows!J$4),'Basis Options'!$U$7:$U$1006)</f>
        <v>0</v>
      </c>
      <c r="K26" s="328" t="n">
        <f aca="false">SUMIF('Basis Options'!$X$7:$X$1006,CONCATENATE(CashFlows!$B26,CashFlows!K$4),'Basis Options'!$U$7:$U$1006)</f>
        <v>0</v>
      </c>
      <c r="L26" s="328" t="n">
        <f aca="false">SUMIF('Basis Options'!$X$7:$X$1006,CONCATENATE(CashFlows!$B26,CashFlows!L$4),'Basis Options'!$U$7:$U$1006)</f>
        <v>0</v>
      </c>
      <c r="M26" s="328" t="n">
        <f aca="false">SUMIF('Basis Options'!$X$7:$X$1006,CONCATENATE(CashFlows!$B26,CashFlows!M$4),'Basis Options'!$U$7:$U$1006)</f>
        <v>0</v>
      </c>
      <c r="N26" s="325" t="n">
        <f aca="false">SUM(C26:M26)</f>
        <v>0</v>
      </c>
      <c r="P26" s="324" t="n">
        <f aca="false">EOMONTH(P25,0)+1</f>
        <v>37316</v>
      </c>
      <c r="Q26" s="330"/>
      <c r="R26" s="324" t="n">
        <f aca="false">B26</f>
        <v>37408</v>
      </c>
      <c r="S26" s="326" t="n">
        <f aca="false">N26+Q26</f>
        <v>0</v>
      </c>
      <c r="T26" s="66" t="n">
        <f aca="false">INDEX(discount,MATCH(B26,discountmonths,0),3)</f>
        <v>0.88729836570373</v>
      </c>
      <c r="U26" s="327" t="n">
        <f aca="false">S26/T26</f>
        <v>0</v>
      </c>
    </row>
    <row r="27" customFormat="false" ht="12.75" hidden="false" customHeight="false" outlineLevel="0" collapsed="false">
      <c r="B27" s="324" t="n">
        <f aca="false">EOMONTH(B26,0)+1</f>
        <v>37438</v>
      </c>
      <c r="C27" s="328" t="n">
        <f aca="false">SUMIF('Basis Options'!$X$7:$X$1006,CONCATENATE(CashFlows!$B27,CashFlows!C$4),'Basis Options'!$U$7:$U$1006)</f>
        <v>0</v>
      </c>
      <c r="D27" s="328" t="n">
        <f aca="false">SUMIF('Basis Options'!$X$7:$X$1006,CONCATENATE(CashFlows!$B27,CashFlows!D$4),'Basis Options'!$U$7:$U$1006)</f>
        <v>0</v>
      </c>
      <c r="E27" s="328" t="n">
        <f aca="false">SUMIF('Basis Options'!$X$7:$X$1006,CONCATENATE(CashFlows!$B27,CashFlows!E$4),'Basis Options'!$U$7:$U$1006)</f>
        <v>0</v>
      </c>
      <c r="F27" s="328" t="n">
        <f aca="false">SUMIF('Basis Options'!$X$7:$X$1006,CONCATENATE(CashFlows!$B27,CashFlows!F$4),'Basis Options'!$U$7:$U$1006)</f>
        <v>0</v>
      </c>
      <c r="G27" s="328" t="n">
        <f aca="false">SUMIF('Basis Options'!$X$7:$X$1006,CONCATENATE(CashFlows!$B27,CashFlows!G$4),'Basis Options'!$U$7:$U$1006)</f>
        <v>0</v>
      </c>
      <c r="H27" s="328" t="n">
        <f aca="false">SUMIF('Basis Options'!$X$7:$X$1006,CONCATENATE(CashFlows!$B27,CashFlows!H$4),'Basis Options'!$U$7:$U$1006)</f>
        <v>0</v>
      </c>
      <c r="I27" s="328" t="n">
        <f aca="false">SUMIF('Basis Options'!$X$7:$X$1006,CONCATENATE(CashFlows!$B27,CashFlows!I$4),'Basis Options'!$U$7:$U$1006)</f>
        <v>0</v>
      </c>
      <c r="J27" s="328" t="n">
        <f aca="false">SUMIF('Basis Options'!$X$7:$X$1006,CONCATENATE(CashFlows!$B27,CashFlows!J$4),'Basis Options'!$U$7:$U$1006)</f>
        <v>0</v>
      </c>
      <c r="K27" s="328" t="n">
        <f aca="false">SUMIF('Basis Options'!$X$7:$X$1006,CONCATENATE(CashFlows!$B27,CashFlows!K$4),'Basis Options'!$U$7:$U$1006)</f>
        <v>0</v>
      </c>
      <c r="L27" s="328" t="n">
        <f aca="false">SUMIF('Basis Options'!$X$7:$X$1006,CONCATENATE(CashFlows!$B27,CashFlows!L$4),'Basis Options'!$U$7:$U$1006)</f>
        <v>0</v>
      </c>
      <c r="M27" s="328" t="n">
        <f aca="false">SUMIF('Basis Options'!$X$7:$X$1006,CONCATENATE(CashFlows!$B27,CashFlows!M$4),'Basis Options'!$U$7:$U$1006)</f>
        <v>0</v>
      </c>
      <c r="N27" s="325" t="n">
        <f aca="false">SUM(C27:M27)</f>
        <v>0</v>
      </c>
      <c r="P27" s="324" t="n">
        <f aca="false">EOMONTH(P26,0)+1</f>
        <v>37347</v>
      </c>
      <c r="Q27" s="330"/>
      <c r="R27" s="324" t="n">
        <f aca="false">B27</f>
        <v>37438</v>
      </c>
      <c r="S27" s="326" t="n">
        <f aca="false">N27+Q27</f>
        <v>0</v>
      </c>
      <c r="T27" s="66" t="n">
        <f aca="false">INDEX(discount,MATCH(B27,discountmonths,0),3)</f>
        <v>0.882363087825349</v>
      </c>
      <c r="U27" s="327" t="n">
        <f aca="false">S27/T27</f>
        <v>0</v>
      </c>
    </row>
    <row r="28" customFormat="false" ht="12.75" hidden="false" customHeight="false" outlineLevel="0" collapsed="false">
      <c r="B28" s="324" t="n">
        <f aca="false">EOMONTH(B27,0)+1</f>
        <v>37469</v>
      </c>
      <c r="C28" s="328" t="n">
        <f aca="false">SUMIF('Basis Options'!$X$7:$X$1006,CONCATENATE(CashFlows!$B28,CashFlows!C$4),'Basis Options'!$U$7:$U$1006)</f>
        <v>0</v>
      </c>
      <c r="D28" s="328" t="n">
        <f aca="false">SUMIF('Basis Options'!$X$7:$X$1006,CONCATENATE(CashFlows!$B28,CashFlows!D$4),'Basis Options'!$U$7:$U$1006)</f>
        <v>0</v>
      </c>
      <c r="E28" s="328" t="n">
        <f aca="false">SUMIF('Basis Options'!$X$7:$X$1006,CONCATENATE(CashFlows!$B28,CashFlows!E$4),'Basis Options'!$U$7:$U$1006)</f>
        <v>0</v>
      </c>
      <c r="F28" s="328" t="n">
        <f aca="false">SUMIF('Basis Options'!$X$7:$X$1006,CONCATENATE(CashFlows!$B28,CashFlows!F$4),'Basis Options'!$U$7:$U$1006)</f>
        <v>0</v>
      </c>
      <c r="G28" s="328" t="n">
        <f aca="false">SUMIF('Basis Options'!$X$7:$X$1006,CONCATENATE(CashFlows!$B28,CashFlows!G$4),'Basis Options'!$U$7:$U$1006)</f>
        <v>0</v>
      </c>
      <c r="H28" s="328" t="n">
        <f aca="false">SUMIF('Basis Options'!$X$7:$X$1006,CONCATENATE(CashFlows!$B28,CashFlows!H$4),'Basis Options'!$U$7:$U$1006)</f>
        <v>0</v>
      </c>
      <c r="I28" s="328" t="n">
        <f aca="false">SUMIF('Basis Options'!$X$7:$X$1006,CONCATENATE(CashFlows!$B28,CashFlows!I$4),'Basis Options'!$U$7:$U$1006)</f>
        <v>0</v>
      </c>
      <c r="J28" s="328" t="n">
        <f aca="false">SUMIF('Basis Options'!$X$7:$X$1006,CONCATENATE(CashFlows!$B28,CashFlows!J$4),'Basis Options'!$U$7:$U$1006)</f>
        <v>0</v>
      </c>
      <c r="K28" s="328" t="n">
        <f aca="false">SUMIF('Basis Options'!$X$7:$X$1006,CONCATENATE(CashFlows!$B28,CashFlows!K$4),'Basis Options'!$U$7:$U$1006)</f>
        <v>0</v>
      </c>
      <c r="L28" s="328" t="n">
        <f aca="false">SUMIF('Basis Options'!$X$7:$X$1006,CONCATENATE(CashFlows!$B28,CashFlows!L$4),'Basis Options'!$U$7:$U$1006)</f>
        <v>0</v>
      </c>
      <c r="M28" s="328" t="n">
        <f aca="false">SUMIF('Basis Options'!$X$7:$X$1006,CONCATENATE(CashFlows!$B28,CashFlows!M$4),'Basis Options'!$U$7:$U$1006)</f>
        <v>0</v>
      </c>
      <c r="N28" s="325" t="n">
        <f aca="false">SUM(C28:M28)</f>
        <v>0</v>
      </c>
      <c r="P28" s="324" t="n">
        <f aca="false">EOMONTH(P27,0)+1</f>
        <v>37377</v>
      </c>
      <c r="Q28" s="330"/>
      <c r="R28" s="324" t="n">
        <f aca="false">B28</f>
        <v>37469</v>
      </c>
      <c r="S28" s="326" t="n">
        <f aca="false">N28+Q28</f>
        <v>0</v>
      </c>
      <c r="T28" s="66" t="n">
        <f aca="false">INDEX(discount,MATCH(B28,discountmonths,0),3)</f>
        <v>0.877297361809273</v>
      </c>
      <c r="U28" s="327" t="n">
        <f aca="false">S28/T28</f>
        <v>0</v>
      </c>
    </row>
    <row r="29" customFormat="false" ht="12.75" hidden="false" customHeight="false" outlineLevel="0" collapsed="false">
      <c r="B29" s="324" t="n">
        <f aca="false">EOMONTH(B28,0)+1</f>
        <v>37500</v>
      </c>
      <c r="C29" s="328" t="n">
        <f aca="false">SUMIF('Basis Options'!$X$7:$X$1006,CONCATENATE(CashFlows!$B29,CashFlows!C$4),'Basis Options'!$U$7:$U$1006)</f>
        <v>0</v>
      </c>
      <c r="D29" s="328" t="n">
        <f aca="false">SUMIF('Basis Options'!$X$7:$X$1006,CONCATENATE(CashFlows!$B29,CashFlows!D$4),'Basis Options'!$U$7:$U$1006)</f>
        <v>0</v>
      </c>
      <c r="E29" s="328" t="n">
        <f aca="false">SUMIF('Basis Options'!$X$7:$X$1006,CONCATENATE(CashFlows!$B29,CashFlows!E$4),'Basis Options'!$U$7:$U$1006)</f>
        <v>0</v>
      </c>
      <c r="F29" s="328" t="n">
        <f aca="false">SUMIF('Basis Options'!$X$7:$X$1006,CONCATENATE(CashFlows!$B29,CashFlows!F$4),'Basis Options'!$U$7:$U$1006)</f>
        <v>0</v>
      </c>
      <c r="G29" s="328" t="n">
        <f aca="false">SUMIF('Basis Options'!$X$7:$X$1006,CONCATENATE(CashFlows!$B29,CashFlows!G$4),'Basis Options'!$U$7:$U$1006)</f>
        <v>0</v>
      </c>
      <c r="H29" s="328" t="n">
        <f aca="false">SUMIF('Basis Options'!$X$7:$X$1006,CONCATENATE(CashFlows!$B29,CashFlows!H$4),'Basis Options'!$U$7:$U$1006)</f>
        <v>0</v>
      </c>
      <c r="I29" s="328" t="n">
        <f aca="false">SUMIF('Basis Options'!$X$7:$X$1006,CONCATENATE(CashFlows!$B29,CashFlows!I$4),'Basis Options'!$U$7:$U$1006)</f>
        <v>0</v>
      </c>
      <c r="J29" s="328" t="n">
        <f aca="false">SUMIF('Basis Options'!$X$7:$X$1006,CONCATENATE(CashFlows!$B29,CashFlows!J$4),'Basis Options'!$U$7:$U$1006)</f>
        <v>0</v>
      </c>
      <c r="K29" s="328" t="n">
        <f aca="false">SUMIF('Basis Options'!$X$7:$X$1006,CONCATENATE(CashFlows!$B29,CashFlows!K$4),'Basis Options'!$U$7:$U$1006)</f>
        <v>0</v>
      </c>
      <c r="L29" s="328" t="n">
        <f aca="false">SUMIF('Basis Options'!$X$7:$X$1006,CONCATENATE(CashFlows!$B29,CashFlows!L$4),'Basis Options'!$U$7:$U$1006)</f>
        <v>0</v>
      </c>
      <c r="M29" s="328" t="n">
        <f aca="false">SUMIF('Basis Options'!$X$7:$X$1006,CONCATENATE(CashFlows!$B29,CashFlows!M$4),'Basis Options'!$U$7:$U$1006)</f>
        <v>0</v>
      </c>
      <c r="N29" s="325" t="n">
        <f aca="false">SUM(C29:M29)</f>
        <v>0</v>
      </c>
      <c r="P29" s="324" t="n">
        <f aca="false">EOMONTH(P28,0)+1</f>
        <v>37408</v>
      </c>
      <c r="Q29" s="330"/>
      <c r="R29" s="324" t="n">
        <f aca="false">B29</f>
        <v>37500</v>
      </c>
      <c r="S29" s="326" t="n">
        <f aca="false">N29+Q29</f>
        <v>0</v>
      </c>
      <c r="T29" s="66" t="n">
        <f aca="false">INDEX(discount,MATCH(B29,discountmonths,0),3)</f>
        <v>0.872262593433841</v>
      </c>
      <c r="U29" s="327" t="n">
        <f aca="false">S29/T29</f>
        <v>0</v>
      </c>
    </row>
    <row r="30" customFormat="false" ht="12.75" hidden="false" customHeight="false" outlineLevel="0" collapsed="false">
      <c r="B30" s="324" t="n">
        <f aca="false">EOMONTH(B29,0)+1</f>
        <v>37530</v>
      </c>
      <c r="C30" s="328" t="n">
        <f aca="false">SUMIF('Basis Options'!$X$7:$X$1006,CONCATENATE(CashFlows!$B30,CashFlows!C$4),'Basis Options'!$U$7:$U$1006)</f>
        <v>0</v>
      </c>
      <c r="D30" s="328" t="n">
        <f aca="false">SUMIF('Basis Options'!$X$7:$X$1006,CONCATENATE(CashFlows!$B30,CashFlows!D$4),'Basis Options'!$U$7:$U$1006)</f>
        <v>0</v>
      </c>
      <c r="E30" s="328" t="n">
        <f aca="false">SUMIF('Basis Options'!$X$7:$X$1006,CONCATENATE(CashFlows!$B30,CashFlows!E$4),'Basis Options'!$U$7:$U$1006)</f>
        <v>0</v>
      </c>
      <c r="F30" s="328" t="n">
        <f aca="false">SUMIF('Basis Options'!$X$7:$X$1006,CONCATENATE(CashFlows!$B30,CashFlows!F$4),'Basis Options'!$U$7:$U$1006)</f>
        <v>0</v>
      </c>
      <c r="G30" s="328" t="n">
        <f aca="false">SUMIF('Basis Options'!$X$7:$X$1006,CONCATENATE(CashFlows!$B30,CashFlows!G$4),'Basis Options'!$U$7:$U$1006)</f>
        <v>0</v>
      </c>
      <c r="H30" s="328" t="n">
        <f aca="false">SUMIF('Basis Options'!$X$7:$X$1006,CONCATENATE(CashFlows!$B30,CashFlows!H$4),'Basis Options'!$U$7:$U$1006)</f>
        <v>0</v>
      </c>
      <c r="I30" s="328" t="n">
        <f aca="false">SUMIF('Basis Options'!$X$7:$X$1006,CONCATENATE(CashFlows!$B30,CashFlows!I$4),'Basis Options'!$U$7:$U$1006)</f>
        <v>0</v>
      </c>
      <c r="J30" s="328" t="n">
        <f aca="false">SUMIF('Basis Options'!$X$7:$X$1006,CONCATENATE(CashFlows!$B30,CashFlows!J$4),'Basis Options'!$U$7:$U$1006)</f>
        <v>0</v>
      </c>
      <c r="K30" s="328" t="n">
        <f aca="false">SUMIF('Basis Options'!$X$7:$X$1006,CONCATENATE(CashFlows!$B30,CashFlows!K$4),'Basis Options'!$U$7:$U$1006)</f>
        <v>0</v>
      </c>
      <c r="L30" s="328" t="n">
        <f aca="false">SUMIF('Basis Options'!$X$7:$X$1006,CONCATENATE(CashFlows!$B30,CashFlows!L$4),'Basis Options'!$U$7:$U$1006)</f>
        <v>0</v>
      </c>
      <c r="M30" s="328" t="n">
        <f aca="false">SUMIF('Basis Options'!$X$7:$X$1006,CONCATENATE(CashFlows!$B30,CashFlows!M$4),'Basis Options'!$U$7:$U$1006)</f>
        <v>0</v>
      </c>
      <c r="N30" s="325" t="n">
        <f aca="false">SUM(C30:M30)</f>
        <v>0</v>
      </c>
      <c r="P30" s="324" t="n">
        <f aca="false">EOMONTH(P29,0)+1</f>
        <v>37438</v>
      </c>
      <c r="Q30" s="330"/>
      <c r="R30" s="324" t="n">
        <f aca="false">B30</f>
        <v>37530</v>
      </c>
      <c r="S30" s="326" t="n">
        <f aca="false">N30+Q30</f>
        <v>0</v>
      </c>
      <c r="T30" s="66" t="n">
        <f aca="false">INDEX(discount,MATCH(B30,discountmonths,0),3)</f>
        <v>0.867420046503826</v>
      </c>
      <c r="U30" s="327" t="n">
        <f aca="false">S30/T30</f>
        <v>0</v>
      </c>
    </row>
    <row r="31" customFormat="false" ht="12.75" hidden="false" customHeight="false" outlineLevel="0" collapsed="false">
      <c r="B31" s="324" t="n">
        <f aca="false">EOMONTH(B30,0)+1</f>
        <v>37561</v>
      </c>
      <c r="C31" s="328" t="n">
        <f aca="false">SUMIF('Basis Options'!$X$7:$X$1006,CONCATENATE(CashFlows!$B31,CashFlows!C$4),'Basis Options'!$U$7:$U$1006)</f>
        <v>0</v>
      </c>
      <c r="D31" s="328" t="n">
        <f aca="false">SUMIF('Basis Options'!$X$7:$X$1006,CONCATENATE(CashFlows!$B31,CashFlows!D$4),'Basis Options'!$U$7:$U$1006)</f>
        <v>0</v>
      </c>
      <c r="E31" s="328" t="n">
        <f aca="false">SUMIF('Basis Options'!$X$7:$X$1006,CONCATENATE(CashFlows!$B31,CashFlows!E$4),'Basis Options'!$U$7:$U$1006)</f>
        <v>0</v>
      </c>
      <c r="F31" s="328" t="n">
        <f aca="false">SUMIF('Basis Options'!$X$7:$X$1006,CONCATENATE(CashFlows!$B31,CashFlows!F$4),'Basis Options'!$U$7:$U$1006)</f>
        <v>0</v>
      </c>
      <c r="G31" s="328" t="n">
        <f aca="false">SUMIF('Basis Options'!$X$7:$X$1006,CONCATENATE(CashFlows!$B31,CashFlows!G$4),'Basis Options'!$U$7:$U$1006)</f>
        <v>0</v>
      </c>
      <c r="H31" s="328" t="e">
        <f aca="false">SUMIF('Basis Options'!$X$7:$X$1006,CONCATENATE(CashFlows!$B31,CashFlows!H$4),'Basis Options'!$U$7:$U$1006)</f>
        <v>#NAME?</v>
      </c>
      <c r="I31" s="328" t="n">
        <f aca="false">SUMIF('Basis Options'!$X$7:$X$1006,CONCATENATE(CashFlows!$B31,CashFlows!I$4),'Basis Options'!$U$7:$U$1006)</f>
        <v>0</v>
      </c>
      <c r="J31" s="328" t="n">
        <f aca="false">SUMIF('Basis Options'!$X$7:$X$1006,CONCATENATE(CashFlows!$B31,CashFlows!J$4),'Basis Options'!$U$7:$U$1006)</f>
        <v>0</v>
      </c>
      <c r="K31" s="328" t="n">
        <f aca="false">SUMIF('Basis Options'!$X$7:$X$1006,CONCATENATE(CashFlows!$B31,CashFlows!K$4),'Basis Options'!$U$7:$U$1006)</f>
        <v>0</v>
      </c>
      <c r="L31" s="328" t="n">
        <f aca="false">SUMIF('Basis Options'!$X$7:$X$1006,CONCATENATE(CashFlows!$B31,CashFlows!L$4),'Basis Options'!$U$7:$U$1006)</f>
        <v>0</v>
      </c>
      <c r="M31" s="328" t="n">
        <f aca="false">SUMIF('Basis Options'!$X$7:$X$1006,CONCATENATE(CashFlows!$B31,CashFlows!M$4),'Basis Options'!$U$7:$U$1006)</f>
        <v>0</v>
      </c>
      <c r="N31" s="325" t="e">
        <f aca="false">SUM(C31:M31)</f>
        <v>#NAME?</v>
      </c>
      <c r="P31" s="324" t="n">
        <f aca="false">EOMONTH(P30,0)+1</f>
        <v>37469</v>
      </c>
      <c r="Q31" s="330"/>
      <c r="R31" s="324" t="n">
        <f aca="false">B31</f>
        <v>37561</v>
      </c>
      <c r="S31" s="326" t="e">
        <f aca="false">N31+Q31</f>
        <v>#NAME?</v>
      </c>
      <c r="T31" s="66" t="n">
        <f aca="false">INDEX(discount,MATCH(B31,discountmonths,0),3)</f>
        <v>0.862446963991048</v>
      </c>
      <c r="U31" s="327" t="e">
        <f aca="false">S31/T31</f>
        <v>#NAME?</v>
      </c>
    </row>
    <row r="32" customFormat="false" ht="12.75" hidden="false" customHeight="false" outlineLevel="0" collapsed="false">
      <c r="B32" s="324" t="n">
        <f aca="false">EOMONTH(B31,0)+1</f>
        <v>37591</v>
      </c>
      <c r="C32" s="328" t="n">
        <f aca="false">SUMIF('Basis Options'!$X$7:$X$1006,CONCATENATE(CashFlows!$B32,CashFlows!C$4),'Basis Options'!$U$7:$U$1006)</f>
        <v>0</v>
      </c>
      <c r="D32" s="328" t="n">
        <f aca="false">SUMIF('Basis Options'!$X$7:$X$1006,CONCATENATE(CashFlows!$B32,CashFlows!D$4),'Basis Options'!$U$7:$U$1006)</f>
        <v>0</v>
      </c>
      <c r="E32" s="328" t="n">
        <f aca="false">SUMIF('Basis Options'!$X$7:$X$1006,CONCATENATE(CashFlows!$B32,CashFlows!E$4),'Basis Options'!$U$7:$U$1006)</f>
        <v>0</v>
      </c>
      <c r="F32" s="328" t="n">
        <f aca="false">SUMIF('Basis Options'!$X$7:$X$1006,CONCATENATE(CashFlows!$B32,CashFlows!F$4),'Basis Options'!$U$7:$U$1006)</f>
        <v>0</v>
      </c>
      <c r="G32" s="328" t="n">
        <f aca="false">SUMIF('Basis Options'!$X$7:$X$1006,CONCATENATE(CashFlows!$B32,CashFlows!G$4),'Basis Options'!$U$7:$U$1006)</f>
        <v>0</v>
      </c>
      <c r="H32" s="328" t="e">
        <f aca="false">SUMIF('Basis Options'!$X$7:$X$1006,CONCATENATE(CashFlows!$B32,CashFlows!H$4),'Basis Options'!$U$7:$U$1006)</f>
        <v>#NAME?</v>
      </c>
      <c r="I32" s="328" t="n">
        <f aca="false">SUMIF('Basis Options'!$X$7:$X$1006,CONCATENATE(CashFlows!$B32,CashFlows!I$4),'Basis Options'!$U$7:$U$1006)</f>
        <v>0</v>
      </c>
      <c r="J32" s="328" t="n">
        <f aca="false">SUMIF('Basis Options'!$X$7:$X$1006,CONCATENATE(CashFlows!$B32,CashFlows!J$4),'Basis Options'!$U$7:$U$1006)</f>
        <v>0</v>
      </c>
      <c r="K32" s="328" t="n">
        <f aca="false">SUMIF('Basis Options'!$X$7:$X$1006,CONCATENATE(CashFlows!$B32,CashFlows!K$4),'Basis Options'!$U$7:$U$1006)</f>
        <v>0</v>
      </c>
      <c r="L32" s="328" t="n">
        <f aca="false">SUMIF('Basis Options'!$X$7:$X$1006,CONCATENATE(CashFlows!$B32,CashFlows!L$4),'Basis Options'!$U$7:$U$1006)</f>
        <v>0</v>
      </c>
      <c r="M32" s="328" t="n">
        <f aca="false">SUMIF('Basis Options'!$X$7:$X$1006,CONCATENATE(CashFlows!$B32,CashFlows!M$4),'Basis Options'!$U$7:$U$1006)</f>
        <v>0</v>
      </c>
      <c r="N32" s="325" t="e">
        <f aca="false">SUM(C32:M32)</f>
        <v>#NAME?</v>
      </c>
      <c r="P32" s="324" t="n">
        <f aca="false">EOMONTH(P31,0)+1</f>
        <v>37500</v>
      </c>
      <c r="Q32" s="330"/>
      <c r="R32" s="324" t="n">
        <f aca="false">B32</f>
        <v>37591</v>
      </c>
      <c r="S32" s="326" t="e">
        <f aca="false">N32+Q32</f>
        <v>#NAME?</v>
      </c>
      <c r="T32" s="66" t="n">
        <f aca="false">INDEX(discount,MATCH(B32,discountmonths,0),3)</f>
        <v>0.857663305778379</v>
      </c>
      <c r="U32" s="327" t="e">
        <f aca="false">S32/T32</f>
        <v>#NAME?</v>
      </c>
    </row>
    <row r="33" customFormat="false" ht="12.75" hidden="false" customHeight="false" outlineLevel="0" collapsed="false">
      <c r="B33" s="324" t="n">
        <f aca="false">EOMONTH(B32,0)+1</f>
        <v>37622</v>
      </c>
      <c r="C33" s="328" t="n">
        <f aca="false">SUMIF('Basis Options'!$X$7:$X$1006,CONCATENATE(CashFlows!$B33,CashFlows!C$4),'Basis Options'!$U$7:$U$1006)</f>
        <v>0</v>
      </c>
      <c r="D33" s="328" t="n">
        <f aca="false">SUMIF('Basis Options'!$X$7:$X$1006,CONCATENATE(CashFlows!$B33,CashFlows!D$4),'Basis Options'!$U$7:$U$1006)</f>
        <v>0</v>
      </c>
      <c r="E33" s="328" t="n">
        <f aca="false">SUMIF('Basis Options'!$X$7:$X$1006,CONCATENATE(CashFlows!$B33,CashFlows!E$4),'Basis Options'!$U$7:$U$1006)</f>
        <v>0</v>
      </c>
      <c r="F33" s="328" t="n">
        <f aca="false">SUMIF('Basis Options'!$X$7:$X$1006,CONCATENATE(CashFlows!$B33,CashFlows!F$4),'Basis Options'!$U$7:$U$1006)</f>
        <v>0</v>
      </c>
      <c r="G33" s="328" t="n">
        <f aca="false">SUMIF('Basis Options'!$X$7:$X$1006,CONCATENATE(CashFlows!$B33,CashFlows!G$4),'Basis Options'!$U$7:$U$1006)</f>
        <v>0</v>
      </c>
      <c r="H33" s="328" t="e">
        <f aca="false">SUMIF('Basis Options'!$X$7:$X$1006,CONCATENATE(CashFlows!$B33,CashFlows!H$4),'Basis Options'!$U$7:$U$1006)</f>
        <v>#NAME?</v>
      </c>
      <c r="I33" s="328" t="n">
        <f aca="false">SUMIF('Basis Options'!$X$7:$X$1006,CONCATENATE(CashFlows!$B33,CashFlows!I$4),'Basis Options'!$U$7:$U$1006)</f>
        <v>0</v>
      </c>
      <c r="J33" s="328" t="n">
        <f aca="false">SUMIF('Basis Options'!$X$7:$X$1006,CONCATENATE(CashFlows!$B33,CashFlows!J$4),'Basis Options'!$U$7:$U$1006)</f>
        <v>0</v>
      </c>
      <c r="K33" s="328" t="n">
        <f aca="false">SUMIF('Basis Options'!$X$7:$X$1006,CONCATENATE(CashFlows!$B33,CashFlows!K$4),'Basis Options'!$U$7:$U$1006)</f>
        <v>0</v>
      </c>
      <c r="L33" s="328" t="n">
        <f aca="false">SUMIF('Basis Options'!$X$7:$X$1006,CONCATENATE(CashFlows!$B33,CashFlows!L$4),'Basis Options'!$U$7:$U$1006)</f>
        <v>0</v>
      </c>
      <c r="M33" s="328" t="n">
        <f aca="false">SUMIF('Basis Options'!$X$7:$X$1006,CONCATENATE(CashFlows!$B33,CashFlows!M$4),'Basis Options'!$U$7:$U$1006)</f>
        <v>0</v>
      </c>
      <c r="N33" s="325" t="e">
        <f aca="false">SUM(C33:M33)</f>
        <v>#NAME?</v>
      </c>
      <c r="P33" s="324" t="n">
        <f aca="false">EOMONTH(P32,0)+1</f>
        <v>37530</v>
      </c>
      <c r="Q33" s="330"/>
      <c r="R33" s="324" t="n">
        <f aca="false">B33</f>
        <v>37622</v>
      </c>
      <c r="S33" s="326" t="e">
        <f aca="false">N33+Q33</f>
        <v>#NAME?</v>
      </c>
      <c r="T33" s="66" t="n">
        <f aca="false">INDEX(discount,MATCH(B33,discountmonths,0),3)</f>
        <v>0.852732871007331</v>
      </c>
      <c r="U33" s="327" t="e">
        <f aca="false">S33/T33</f>
        <v>#NAME?</v>
      </c>
    </row>
    <row r="34" customFormat="false" ht="12.75" hidden="false" customHeight="false" outlineLevel="0" collapsed="false">
      <c r="B34" s="324" t="n">
        <f aca="false">EOMONTH(B33,0)+1</f>
        <v>37653</v>
      </c>
      <c r="C34" s="328" t="n">
        <f aca="false">SUMIF('Basis Options'!$X$7:$X$1006,CONCATENATE(CashFlows!$B34,CashFlows!C$4),'Basis Options'!$U$7:$U$1006)</f>
        <v>0</v>
      </c>
      <c r="D34" s="328" t="n">
        <f aca="false">SUMIF('Basis Options'!$X$7:$X$1006,CONCATENATE(CashFlows!$B34,CashFlows!D$4),'Basis Options'!$U$7:$U$1006)</f>
        <v>0</v>
      </c>
      <c r="E34" s="328" t="n">
        <f aca="false">SUMIF('Basis Options'!$X$7:$X$1006,CONCATENATE(CashFlows!$B34,CashFlows!E$4),'Basis Options'!$U$7:$U$1006)</f>
        <v>0</v>
      </c>
      <c r="F34" s="328" t="n">
        <f aca="false">SUMIF('Basis Options'!$X$7:$X$1006,CONCATENATE(CashFlows!$B34,CashFlows!F$4),'Basis Options'!$U$7:$U$1006)</f>
        <v>0</v>
      </c>
      <c r="G34" s="328" t="n">
        <f aca="false">SUMIF('Basis Options'!$X$7:$X$1006,CONCATENATE(CashFlows!$B34,CashFlows!G$4),'Basis Options'!$U$7:$U$1006)</f>
        <v>0</v>
      </c>
      <c r="H34" s="328" t="e">
        <f aca="false">SUMIF('Basis Options'!$X$7:$X$1006,CONCATENATE(CashFlows!$B34,CashFlows!H$4),'Basis Options'!$U$7:$U$1006)</f>
        <v>#NAME?</v>
      </c>
      <c r="I34" s="328" t="n">
        <f aca="false">SUMIF('Basis Options'!$X$7:$X$1006,CONCATENATE(CashFlows!$B34,CashFlows!I$4),'Basis Options'!$U$7:$U$1006)</f>
        <v>0</v>
      </c>
      <c r="J34" s="328" t="n">
        <f aca="false">SUMIF('Basis Options'!$X$7:$X$1006,CONCATENATE(CashFlows!$B34,CashFlows!J$4),'Basis Options'!$U$7:$U$1006)</f>
        <v>0</v>
      </c>
      <c r="K34" s="328" t="n">
        <f aca="false">SUMIF('Basis Options'!$X$7:$X$1006,CONCATENATE(CashFlows!$B34,CashFlows!K$4),'Basis Options'!$U$7:$U$1006)</f>
        <v>0</v>
      </c>
      <c r="L34" s="328" t="n">
        <f aca="false">SUMIF('Basis Options'!$X$7:$X$1006,CONCATENATE(CashFlows!$B34,CashFlows!L$4),'Basis Options'!$U$7:$U$1006)</f>
        <v>0</v>
      </c>
      <c r="M34" s="328" t="n">
        <f aca="false">SUMIF('Basis Options'!$X$7:$X$1006,CONCATENATE(CashFlows!$B34,CashFlows!M$4),'Basis Options'!$U$7:$U$1006)</f>
        <v>0</v>
      </c>
      <c r="N34" s="325" t="e">
        <f aca="false">SUM(C34:M34)</f>
        <v>#NAME?</v>
      </c>
      <c r="P34" s="324" t="n">
        <f aca="false">EOMONTH(P33,0)+1</f>
        <v>37561</v>
      </c>
      <c r="Q34" s="330"/>
      <c r="R34" s="324" t="n">
        <f aca="false">B34</f>
        <v>37653</v>
      </c>
      <c r="S34" s="326" t="e">
        <f aca="false">N34+Q34</f>
        <v>#NAME?</v>
      </c>
      <c r="T34" s="66" t="n">
        <f aca="false">INDEX(discount,MATCH(B34,discountmonths,0),3)</f>
        <v>0.847810080258525</v>
      </c>
      <c r="U34" s="327" t="e">
        <f aca="false">S34/T34</f>
        <v>#NAME?</v>
      </c>
    </row>
    <row r="35" customFormat="false" ht="12.75" hidden="false" customHeight="false" outlineLevel="0" collapsed="false">
      <c r="B35" s="324" t="n">
        <f aca="false">EOMONTH(B34,0)+1</f>
        <v>37681</v>
      </c>
      <c r="C35" s="328" t="n">
        <f aca="false">SUMIF('Basis Options'!$X$7:$X$1006,CONCATENATE(CashFlows!$B35,CashFlows!C$4),'Basis Options'!$U$7:$U$1006)</f>
        <v>0</v>
      </c>
      <c r="D35" s="328" t="n">
        <f aca="false">SUMIF('Basis Options'!$X$7:$X$1006,CONCATENATE(CashFlows!$B35,CashFlows!D$4),'Basis Options'!$U$7:$U$1006)</f>
        <v>0</v>
      </c>
      <c r="E35" s="328" t="n">
        <f aca="false">SUMIF('Basis Options'!$X$7:$X$1006,CONCATENATE(CashFlows!$B35,CashFlows!E$4),'Basis Options'!$U$7:$U$1006)</f>
        <v>0</v>
      </c>
      <c r="F35" s="328" t="n">
        <f aca="false">SUMIF('Basis Options'!$X$7:$X$1006,CONCATENATE(CashFlows!$B35,CashFlows!F$4),'Basis Options'!$U$7:$U$1006)</f>
        <v>0</v>
      </c>
      <c r="G35" s="328" t="n">
        <f aca="false">SUMIF('Basis Options'!$X$7:$X$1006,CONCATENATE(CashFlows!$B35,CashFlows!G$4),'Basis Options'!$U$7:$U$1006)</f>
        <v>0</v>
      </c>
      <c r="H35" s="328" t="e">
        <f aca="false">SUMIF('Basis Options'!$X$7:$X$1006,CONCATENATE(CashFlows!$B35,CashFlows!H$4),'Basis Options'!$U$7:$U$1006)</f>
        <v>#NAME?</v>
      </c>
      <c r="I35" s="328" t="n">
        <f aca="false">SUMIF('Basis Options'!$X$7:$X$1006,CONCATENATE(CashFlows!$B35,CashFlows!I$4),'Basis Options'!$U$7:$U$1006)</f>
        <v>0</v>
      </c>
      <c r="J35" s="328" t="n">
        <f aca="false">SUMIF('Basis Options'!$X$7:$X$1006,CONCATENATE(CashFlows!$B35,CashFlows!J$4),'Basis Options'!$U$7:$U$1006)</f>
        <v>0</v>
      </c>
      <c r="K35" s="328" t="n">
        <f aca="false">SUMIF('Basis Options'!$X$7:$X$1006,CONCATENATE(CashFlows!$B35,CashFlows!K$4),'Basis Options'!$U$7:$U$1006)</f>
        <v>0</v>
      </c>
      <c r="L35" s="328" t="n">
        <f aca="false">SUMIF('Basis Options'!$X$7:$X$1006,CONCATENATE(CashFlows!$B35,CashFlows!L$4),'Basis Options'!$U$7:$U$1006)</f>
        <v>0</v>
      </c>
      <c r="M35" s="328" t="n">
        <f aca="false">SUMIF('Basis Options'!$X$7:$X$1006,CONCATENATE(CashFlows!$B35,CashFlows!M$4),'Basis Options'!$U$7:$U$1006)</f>
        <v>0</v>
      </c>
      <c r="N35" s="325" t="e">
        <f aca="false">SUM(C35:M35)</f>
        <v>#NAME?</v>
      </c>
      <c r="P35" s="324" t="n">
        <f aca="false">EOMONTH(P34,0)+1</f>
        <v>37591</v>
      </c>
      <c r="Q35" s="330"/>
      <c r="R35" s="324" t="n">
        <f aca="false">B35</f>
        <v>37681</v>
      </c>
      <c r="S35" s="326" t="e">
        <f aca="false">N35+Q35</f>
        <v>#NAME?</v>
      </c>
      <c r="T35" s="66" t="n">
        <f aca="false">INDEX(discount,MATCH(B35,discountmonths,0),3)</f>
        <v>0.843387431528529</v>
      </c>
      <c r="U35" s="327" t="e">
        <f aca="false">S35/T35</f>
        <v>#NAME?</v>
      </c>
    </row>
    <row r="36" customFormat="false" ht="12.75" hidden="false" customHeight="false" outlineLevel="0" collapsed="false">
      <c r="B36" s="324" t="n">
        <f aca="false">EOMONTH(B35,0)+1</f>
        <v>37712</v>
      </c>
      <c r="C36" s="328" t="n">
        <f aca="false">SUMIF('Basis Options'!$X$7:$X$1006,CONCATENATE(CashFlows!$B36,CashFlows!C$4),'Basis Options'!$U$7:$U$1006)</f>
        <v>0</v>
      </c>
      <c r="D36" s="328" t="n">
        <f aca="false">SUMIF('Basis Options'!$X$7:$X$1006,CONCATENATE(CashFlows!$B36,CashFlows!D$4),'Basis Options'!$U$7:$U$1006)</f>
        <v>0</v>
      </c>
      <c r="E36" s="328" t="n">
        <f aca="false">SUMIF('Basis Options'!$X$7:$X$1006,CONCATENATE(CashFlows!$B36,CashFlows!E$4),'Basis Options'!$U$7:$U$1006)</f>
        <v>0</v>
      </c>
      <c r="F36" s="328" t="n">
        <f aca="false">SUMIF('Basis Options'!$X$7:$X$1006,CONCATENATE(CashFlows!$B36,CashFlows!F$4),'Basis Options'!$U$7:$U$1006)</f>
        <v>0</v>
      </c>
      <c r="G36" s="328" t="n">
        <f aca="false">SUMIF('Basis Options'!$X$7:$X$1006,CONCATENATE(CashFlows!$B36,CashFlows!G$4),'Basis Options'!$U$7:$U$1006)</f>
        <v>0</v>
      </c>
      <c r="H36" s="328" t="n">
        <f aca="false">SUMIF('Basis Options'!$X$7:$X$1006,CONCATENATE(CashFlows!$B36,CashFlows!H$4),'Basis Options'!$U$7:$U$1006)</f>
        <v>0</v>
      </c>
      <c r="I36" s="328" t="n">
        <f aca="false">SUMIF('Basis Options'!$X$7:$X$1006,CONCATENATE(CashFlows!$B36,CashFlows!I$4),'Basis Options'!$U$7:$U$1006)</f>
        <v>0</v>
      </c>
      <c r="J36" s="328" t="n">
        <f aca="false">SUMIF('Basis Options'!$X$7:$X$1006,CONCATENATE(CashFlows!$B36,CashFlows!J$4),'Basis Options'!$U$7:$U$1006)</f>
        <v>0</v>
      </c>
      <c r="K36" s="328" t="n">
        <f aca="false">SUMIF('Basis Options'!$X$7:$X$1006,CONCATENATE(CashFlows!$B36,CashFlows!K$4),'Basis Options'!$U$7:$U$1006)</f>
        <v>0</v>
      </c>
      <c r="L36" s="328" t="n">
        <f aca="false">SUMIF('Basis Options'!$X$7:$X$1006,CONCATENATE(CashFlows!$B36,CashFlows!L$4),'Basis Options'!$U$7:$U$1006)</f>
        <v>0</v>
      </c>
      <c r="M36" s="328" t="n">
        <f aca="false">SUMIF('Basis Options'!$X$7:$X$1006,CONCATENATE(CashFlows!$B36,CashFlows!M$4),'Basis Options'!$U$7:$U$1006)</f>
        <v>0</v>
      </c>
      <c r="N36" s="325" t="n">
        <f aca="false">SUM(C36:M36)</f>
        <v>0</v>
      </c>
      <c r="P36" s="324" t="n">
        <f aca="false">EOMONTH(P35,0)+1</f>
        <v>37622</v>
      </c>
      <c r="Q36" s="330"/>
      <c r="R36" s="324" t="n">
        <f aca="false">B36</f>
        <v>37712</v>
      </c>
      <c r="S36" s="326" t="n">
        <f aca="false">N36+Q36</f>
        <v>0</v>
      </c>
      <c r="T36" s="66" t="n">
        <f aca="false">INDEX(discount,MATCH(B36,discountmonths,0),3)</f>
        <v>0.838534873403753</v>
      </c>
      <c r="U36" s="327" t="n">
        <f aca="false">S36/T36</f>
        <v>0</v>
      </c>
    </row>
    <row r="37" customFormat="false" ht="13.5" hidden="false" customHeight="false" outlineLevel="0" collapsed="false">
      <c r="B37" s="331" t="n">
        <f aca="false">EOMONTH(B36,0)+1</f>
        <v>37742</v>
      </c>
      <c r="C37" s="332" t="n">
        <f aca="false">SUMIF('Basis Options'!$X$7:$X$1006,CONCATENATE(CashFlows!$B37,CashFlows!C$4),'Basis Options'!$U$7:$U$1006)</f>
        <v>0</v>
      </c>
      <c r="D37" s="332" t="n">
        <f aca="false">SUMIF('Basis Options'!$X$7:$X$1006,CONCATENATE(CashFlows!$B37,CashFlows!D$4),'Basis Options'!$U$7:$U$1006)</f>
        <v>0</v>
      </c>
      <c r="E37" s="332" t="n">
        <f aca="false">SUMIF('Basis Options'!$X$7:$X$1006,CONCATENATE(CashFlows!$B37,CashFlows!E$4),'Basis Options'!$U$7:$U$1006)</f>
        <v>0</v>
      </c>
      <c r="F37" s="332" t="n">
        <f aca="false">SUMIF('Basis Options'!$X$7:$X$1006,CONCATENATE(CashFlows!$B37,CashFlows!F$4),'Basis Options'!$U$7:$U$1006)</f>
        <v>0</v>
      </c>
      <c r="G37" s="332" t="n">
        <f aca="false">SUMIF('Basis Options'!$X$7:$X$1006,CONCATENATE(CashFlows!$B37,CashFlows!G$4),'Basis Options'!$U$7:$U$1006)</f>
        <v>0</v>
      </c>
      <c r="H37" s="332" t="n">
        <f aca="false">SUMIF('Basis Options'!$X$7:$X$1006,CONCATENATE(CashFlows!$B37,CashFlows!H$4),'Basis Options'!$U$7:$U$1006)</f>
        <v>0</v>
      </c>
      <c r="I37" s="332" t="n">
        <f aca="false">SUMIF('Basis Options'!$X$7:$X$1006,CONCATENATE(CashFlows!$B37,CashFlows!I$4),'Basis Options'!$U$7:$U$1006)</f>
        <v>0</v>
      </c>
      <c r="J37" s="332" t="n">
        <f aca="false">SUMIF('Basis Options'!$X$7:$X$1006,CONCATENATE(CashFlows!$B37,CashFlows!J$4),'Basis Options'!$U$7:$U$1006)</f>
        <v>0</v>
      </c>
      <c r="K37" s="332" t="n">
        <f aca="false">SUMIF('Basis Options'!$X$7:$X$1006,CONCATENATE(CashFlows!$B37,CashFlows!K$4),'Basis Options'!$U$7:$U$1006)</f>
        <v>0</v>
      </c>
      <c r="L37" s="332" t="n">
        <f aca="false">SUMIF('Basis Options'!$X$7:$X$1006,CONCATENATE(CashFlows!$B37,CashFlows!L$4),'Basis Options'!$U$7:$U$1006)</f>
        <v>0</v>
      </c>
      <c r="M37" s="332" t="n">
        <f aca="false">SUMIF('Basis Options'!$X$7:$X$1006,CONCATENATE(CashFlows!$B37,CashFlows!M$4),'Basis Options'!$U$7:$U$1006)</f>
        <v>0</v>
      </c>
      <c r="N37" s="333" t="n">
        <f aca="false">SUM(C37:M37)</f>
        <v>0</v>
      </c>
      <c r="P37" s="331" t="n">
        <f aca="false">EOMONTH(P36,0)+1</f>
        <v>37653</v>
      </c>
      <c r="Q37" s="334"/>
      <c r="R37" s="331" t="n">
        <f aca="false">B37</f>
        <v>37742</v>
      </c>
      <c r="S37" s="335" t="n">
        <f aca="false">N37+Q37</f>
        <v>0</v>
      </c>
      <c r="T37" s="318" t="n">
        <f aca="false">INDEX(discount,MATCH(B37,discountmonths,0),3)</f>
        <v>0.833889918694512</v>
      </c>
      <c r="U37" s="336" t="n">
        <f aca="false">S37/T37</f>
        <v>0</v>
      </c>
    </row>
    <row r="38" customFormat="false" ht="12.75" hidden="false" customHeight="false" outlineLevel="0" collapsed="false">
      <c r="B38" s="73"/>
    </row>
    <row r="39" customFormat="false" ht="12.75" hidden="false" customHeight="false" outlineLevel="0" collapsed="false">
      <c r="B39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Module8.RhoDrift">
                <anchor moveWithCells="true" sizeWithCells="false">
                  <from>
                    <xdr:col>13</xdr:col>
                    <xdr:colOff>573840</xdr:colOff>
                    <xdr:row>0</xdr:row>
                    <xdr:rowOff>37800</xdr:rowOff>
                  </from>
                  <to>
                    <xdr:col>15</xdr:col>
                    <xdr:colOff>628560</xdr:colOff>
                    <xdr:row>1</xdr:row>
                    <xdr:rowOff>95040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229"/>
  <sheetViews>
    <sheetView showFormulas="false" showGridLines="false" showRowColHeaders="true" showZeros="true" rightToLeft="false" tabSelected="false" showOutlineSymbols="true" defaultGridColor="true" view="normal" topLeftCell="A3" colorId="64" zoomScale="100" zoomScaleNormal="100" zoomScalePageLayoutView="100" workbookViewId="0">
      <pane xSplit="1" ySplit="1" topLeftCell="F8" activePane="bottomRight" state="frozen"/>
      <selection pane="topLeft" activeCell="A3" activeCellId="0" sqref="A3"/>
      <selection pane="topRight" activeCell="F3" activeCellId="0" sqref="F3"/>
      <selection pane="bottomLeft" activeCell="A8" activeCellId="0" sqref="A8"/>
      <selection pane="bottomRight" activeCell="K31" activeCellId="0" sqref="K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4.56"/>
    <col collapsed="false" customWidth="true" hidden="false" outlineLevel="0" max="3" min="3" style="0" width="18.7"/>
    <col collapsed="false" customWidth="true" hidden="false" outlineLevel="0" max="4" min="4" style="0" width="14.99"/>
    <col collapsed="false" customWidth="true" hidden="false" outlineLevel="0" max="6" min="5" style="0" width="20.41"/>
    <col collapsed="false" customWidth="true" hidden="false" outlineLevel="0" max="10" min="7" style="0" width="17.85"/>
    <col collapsed="false" customWidth="true" hidden="false" outlineLevel="0" max="14" min="11" style="0" width="15.56"/>
    <col collapsed="false" customWidth="true" hidden="false" outlineLevel="0" max="16" min="16" style="0" width="12.56"/>
    <col collapsed="false" customWidth="true" hidden="false" outlineLevel="0" max="17" min="17" style="0" width="10.85"/>
    <col collapsed="false" customWidth="true" hidden="false" outlineLevel="0" max="24" min="23" style="0" width="11.99"/>
    <col collapsed="false" customWidth="true" hidden="false" outlineLevel="0" max="27" min="27" style="0" width="12.56"/>
    <col collapsed="false" customWidth="true" hidden="false" outlineLevel="0" max="28" min="28" style="0" width="16.28"/>
    <col collapsed="false" customWidth="true" hidden="false" outlineLevel="0" max="29" min="29" style="0" width="12.85"/>
    <col collapsed="false" customWidth="true" hidden="false" outlineLevel="0" max="30" min="30" style="0" width="18.7"/>
    <col collapsed="false" customWidth="true" hidden="false" outlineLevel="0" max="31" min="31" style="0" width="13.85"/>
    <col collapsed="false" customWidth="true" hidden="false" outlineLevel="0" max="32" min="32" style="0" width="16.13"/>
    <col collapsed="false" customWidth="true" hidden="false" outlineLevel="0" max="33" min="33" style="0" width="14.56"/>
  </cols>
  <sheetData>
    <row r="1" customFormat="false" ht="20.25" hidden="false" customHeight="false" outlineLevel="0" collapsed="false">
      <c r="A1" s="1" t="s">
        <v>523</v>
      </c>
      <c r="B1" s="1"/>
    </row>
    <row r="2" customFormat="false" ht="15" hidden="false" customHeight="false" outlineLevel="0" collapsed="false">
      <c r="A2" s="337"/>
      <c r="B2" s="338"/>
      <c r="C2" s="339" t="s">
        <v>524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W2" s="0" t="s">
        <v>525</v>
      </c>
      <c r="X2" s="0" t="s">
        <v>526</v>
      </c>
    </row>
    <row r="3" customFormat="false" ht="15" hidden="false" customHeight="false" outlineLevel="0" collapsed="false">
      <c r="A3" s="340" t="s">
        <v>527</v>
      </c>
      <c r="B3" s="341" t="s">
        <v>154</v>
      </c>
      <c r="C3" s="342" t="s">
        <v>74</v>
      </c>
      <c r="D3" s="343" t="s">
        <v>68</v>
      </c>
      <c r="E3" s="343" t="s">
        <v>151</v>
      </c>
      <c r="F3" s="343" t="s">
        <v>158</v>
      </c>
      <c r="G3" s="343" t="s">
        <v>152</v>
      </c>
      <c r="H3" s="343" t="s">
        <v>150</v>
      </c>
      <c r="I3" s="343" t="s">
        <v>149</v>
      </c>
      <c r="J3" s="343" t="s">
        <v>153</v>
      </c>
      <c r="K3" s="343" t="s">
        <v>137</v>
      </c>
      <c r="L3" s="344" t="s">
        <v>155</v>
      </c>
      <c r="M3" s="344" t="s">
        <v>156</v>
      </c>
      <c r="N3" s="345" t="s">
        <v>157</v>
      </c>
      <c r="P3" s="346" t="s">
        <v>528</v>
      </c>
      <c r="Q3" s="346"/>
      <c r="U3" s="0" t="s">
        <v>529</v>
      </c>
      <c r="W3" s="0" t="n">
        <v>0.963232674640991</v>
      </c>
      <c r="X3" s="0" t="n">
        <v>0.991814218213645</v>
      </c>
    </row>
    <row r="4" customFormat="false" ht="12.75" hidden="false" customHeight="false" outlineLevel="0" collapsed="false">
      <c r="A4" s="347" t="n">
        <v>36192</v>
      </c>
      <c r="B4" s="348" t="n">
        <f aca="false">C4</f>
        <v>0.984974303204383</v>
      </c>
      <c r="C4" s="349" t="n">
        <v>0.984974303204383</v>
      </c>
      <c r="D4" s="349" t="n">
        <v>0.995</v>
      </c>
      <c r="E4" s="349" t="n">
        <v>0.693669524024795</v>
      </c>
      <c r="F4" s="349"/>
      <c r="G4" s="349" t="n">
        <v>0.984107647518451</v>
      </c>
      <c r="H4" s="349" t="n">
        <v>0.963232674640991</v>
      </c>
      <c r="I4" s="349" t="n">
        <v>0.905775860471433</v>
      </c>
      <c r="J4" s="349" t="n">
        <v>0.9925</v>
      </c>
      <c r="K4" s="349" t="n">
        <v>0.98</v>
      </c>
      <c r="L4" s="348" t="n">
        <v>0.905775860471433</v>
      </c>
      <c r="M4" s="348" t="n">
        <v>1.005</v>
      </c>
      <c r="N4" s="350" t="n">
        <v>0.99</v>
      </c>
      <c r="P4" s="351" t="n">
        <f aca="false">A4</f>
        <v>36192</v>
      </c>
      <c r="Q4" s="352" t="n">
        <v>2</v>
      </c>
      <c r="U4" s="0" t="s">
        <v>530</v>
      </c>
      <c r="W4" s="0" t="n">
        <v>0.905775860471433</v>
      </c>
      <c r="X4" s="0" t="n">
        <v>0.980420749757432</v>
      </c>
    </row>
    <row r="5" customFormat="false" ht="12.75" hidden="false" customHeight="false" outlineLevel="0" collapsed="false">
      <c r="A5" s="353" t="n">
        <v>36220</v>
      </c>
      <c r="B5" s="348" t="n">
        <f aca="false">C5</f>
        <v>0.984974303204383</v>
      </c>
      <c r="C5" s="348" t="n">
        <v>0.984974303204383</v>
      </c>
      <c r="D5" s="348" t="n">
        <v>0.995</v>
      </c>
      <c r="E5" s="348" t="n">
        <v>0.693669524024795</v>
      </c>
      <c r="F5" s="348"/>
      <c r="G5" s="348" t="n">
        <v>0.984107647518451</v>
      </c>
      <c r="H5" s="348" t="n">
        <v>0.963232674640991</v>
      </c>
      <c r="I5" s="348" t="n">
        <v>0.905775860471433</v>
      </c>
      <c r="J5" s="348" t="n">
        <v>0.9925</v>
      </c>
      <c r="K5" s="348" t="n">
        <v>0.98</v>
      </c>
      <c r="L5" s="348" t="n">
        <v>0.905775860471433</v>
      </c>
      <c r="M5" s="348" t="n">
        <v>1.005</v>
      </c>
      <c r="N5" s="354" t="n">
        <v>0.99</v>
      </c>
      <c r="P5" s="355" t="n">
        <f aca="false">A5</f>
        <v>36220</v>
      </c>
      <c r="Q5" s="356" t="n">
        <f aca="false">Q4+1</f>
        <v>3</v>
      </c>
      <c r="U5" s="0" t="s">
        <v>531</v>
      </c>
      <c r="W5" s="0" t="n">
        <v>0.693669524024795</v>
      </c>
      <c r="X5" s="0" t="n">
        <v>0.61248355663804</v>
      </c>
    </row>
    <row r="6" customFormat="false" ht="12.75" hidden="false" customHeight="false" outlineLevel="0" collapsed="false">
      <c r="A6" s="353" t="n">
        <v>36251</v>
      </c>
      <c r="B6" s="348" t="n">
        <f aca="false">C6</f>
        <v>0.998309156840132</v>
      </c>
      <c r="C6" s="348" t="n">
        <v>0.998309156840132</v>
      </c>
      <c r="D6" s="348" t="n">
        <v>0.995</v>
      </c>
      <c r="E6" s="348" t="n">
        <v>0.61248355663804</v>
      </c>
      <c r="F6" s="348"/>
      <c r="G6" s="348" t="n">
        <v>0.994071440191916</v>
      </c>
      <c r="H6" s="348" t="n">
        <v>0.991814218213645</v>
      </c>
      <c r="I6" s="348" t="n">
        <v>0.980420749757432</v>
      </c>
      <c r="J6" s="348" t="n">
        <v>0.9925</v>
      </c>
      <c r="K6" s="348" t="n">
        <v>0.98</v>
      </c>
      <c r="L6" s="348" t="n">
        <v>0.980420749757432</v>
      </c>
      <c r="M6" s="348" t="n">
        <v>1.005</v>
      </c>
      <c r="N6" s="354" t="n">
        <v>0.99</v>
      </c>
      <c r="P6" s="355" t="n">
        <f aca="false">A6</f>
        <v>36251</v>
      </c>
      <c r="Q6" s="356" t="n">
        <f aca="false">Q5+1</f>
        <v>4</v>
      </c>
      <c r="U6" s="0" t="s">
        <v>532</v>
      </c>
      <c r="W6" s="0" t="n">
        <v>0.974958650283294</v>
      </c>
      <c r="X6" s="0" t="n">
        <v>0.993201700561559</v>
      </c>
    </row>
    <row r="7" customFormat="false" ht="12.75" hidden="false" customHeight="false" outlineLevel="0" collapsed="false">
      <c r="A7" s="353" t="n">
        <v>36281</v>
      </c>
      <c r="B7" s="348" t="n">
        <f aca="false">C7</f>
        <v>0.998309156840132</v>
      </c>
      <c r="C7" s="348" t="n">
        <v>0.998309156840132</v>
      </c>
      <c r="D7" s="348" t="n">
        <v>0.995</v>
      </c>
      <c r="E7" s="348" t="n">
        <v>0.61248355663804</v>
      </c>
      <c r="F7" s="348"/>
      <c r="G7" s="348" t="n">
        <v>0.994071440191916</v>
      </c>
      <c r="H7" s="348" t="n">
        <v>0.991814218213645</v>
      </c>
      <c r="I7" s="348" t="n">
        <v>0.980420749757432</v>
      </c>
      <c r="J7" s="348" t="n">
        <v>0.9925</v>
      </c>
      <c r="K7" s="348" t="n">
        <v>0.98</v>
      </c>
      <c r="L7" s="348" t="n">
        <v>0.980420749757432</v>
      </c>
      <c r="M7" s="348" t="n">
        <v>1.005</v>
      </c>
      <c r="N7" s="354" t="n">
        <v>0.99</v>
      </c>
      <c r="P7" s="355" t="n">
        <f aca="false">A7</f>
        <v>36281</v>
      </c>
      <c r="Q7" s="356" t="n">
        <f aca="false">Q6+1</f>
        <v>5</v>
      </c>
      <c r="U7" s="0" t="s">
        <v>533</v>
      </c>
      <c r="W7" s="0" t="n">
        <v>0.984107647518451</v>
      </c>
      <c r="X7" s="0" t="n">
        <v>0.994071440191916</v>
      </c>
    </row>
    <row r="8" customFormat="false" ht="12.75" hidden="false" customHeight="false" outlineLevel="0" collapsed="false">
      <c r="A8" s="353" t="n">
        <v>36312</v>
      </c>
      <c r="B8" s="348" t="n">
        <f aca="false">C8</f>
        <v>0.998309156840132</v>
      </c>
      <c r="C8" s="348" t="n">
        <v>0.998309156840132</v>
      </c>
      <c r="D8" s="348" t="n">
        <v>0.995</v>
      </c>
      <c r="E8" s="348" t="n">
        <v>0.61248355663804</v>
      </c>
      <c r="F8" s="348"/>
      <c r="G8" s="348" t="n">
        <v>0.994071440191916</v>
      </c>
      <c r="H8" s="348" t="n">
        <v>0.991814218213645</v>
      </c>
      <c r="I8" s="348" t="n">
        <v>0.980420749757432</v>
      </c>
      <c r="J8" s="348" t="n">
        <v>0.9925</v>
      </c>
      <c r="K8" s="348" t="n">
        <v>0.98</v>
      </c>
      <c r="L8" s="348" t="n">
        <v>0.980420749757432</v>
      </c>
      <c r="M8" s="348" t="n">
        <v>1.005</v>
      </c>
      <c r="N8" s="354" t="n">
        <v>0.99</v>
      </c>
      <c r="P8" s="355" t="n">
        <f aca="false">A8</f>
        <v>36312</v>
      </c>
      <c r="Q8" s="356" t="n">
        <f aca="false">Q7+1</f>
        <v>6</v>
      </c>
      <c r="U8" s="0" t="s">
        <v>534</v>
      </c>
      <c r="W8" s="0" t="n">
        <v>0.984974303204383</v>
      </c>
      <c r="X8" s="0" t="n">
        <v>0.998309156840132</v>
      </c>
    </row>
    <row r="9" customFormat="false" ht="12.75" hidden="false" customHeight="false" outlineLevel="0" collapsed="false">
      <c r="A9" s="353" t="n">
        <v>36342</v>
      </c>
      <c r="B9" s="348" t="n">
        <f aca="false">C9</f>
        <v>0.998309156840132</v>
      </c>
      <c r="C9" s="348" t="n">
        <v>0.998309156840132</v>
      </c>
      <c r="D9" s="348" t="n">
        <v>0.995</v>
      </c>
      <c r="E9" s="348" t="n">
        <v>0.61248355663804</v>
      </c>
      <c r="F9" s="348"/>
      <c r="G9" s="348" t="n">
        <v>0.994071440191916</v>
      </c>
      <c r="H9" s="348" t="n">
        <v>0.991814218213645</v>
      </c>
      <c r="I9" s="348" t="n">
        <v>0.980420749757432</v>
      </c>
      <c r="J9" s="348" t="n">
        <v>0.9925</v>
      </c>
      <c r="K9" s="348" t="n">
        <v>0.98</v>
      </c>
      <c r="L9" s="348" t="n">
        <v>0.980420749757432</v>
      </c>
      <c r="M9" s="348" t="n">
        <v>1.005</v>
      </c>
      <c r="N9" s="354" t="n">
        <v>0.99</v>
      </c>
      <c r="P9" s="355" t="n">
        <f aca="false">A9</f>
        <v>36342</v>
      </c>
      <c r="Q9" s="356" t="n">
        <f aca="false">Q8+1</f>
        <v>7</v>
      </c>
      <c r="U9" s="0" t="s">
        <v>535</v>
      </c>
      <c r="W9" s="0" t="n">
        <v>0.912831726506223</v>
      </c>
      <c r="X9" s="0" t="n">
        <v>0.970306930534223</v>
      </c>
    </row>
    <row r="10" customFormat="false" ht="12.75" hidden="false" customHeight="false" outlineLevel="0" collapsed="false">
      <c r="A10" s="353" t="n">
        <v>36373</v>
      </c>
      <c r="B10" s="348" t="n">
        <f aca="false">C10</f>
        <v>0.998309156840132</v>
      </c>
      <c r="C10" s="348" t="n">
        <v>0.998309156840132</v>
      </c>
      <c r="D10" s="348" t="n">
        <v>0.995</v>
      </c>
      <c r="E10" s="348" t="n">
        <v>0.61248355663804</v>
      </c>
      <c r="F10" s="348"/>
      <c r="G10" s="348" t="n">
        <v>0.994071440191916</v>
      </c>
      <c r="H10" s="348" t="n">
        <v>0.991814218213645</v>
      </c>
      <c r="I10" s="348" t="n">
        <v>0.980420749757432</v>
      </c>
      <c r="J10" s="348" t="n">
        <v>0.9925</v>
      </c>
      <c r="K10" s="348" t="n">
        <v>0.98</v>
      </c>
      <c r="L10" s="348" t="n">
        <v>0.980420749757432</v>
      </c>
      <c r="M10" s="348" t="n">
        <v>1.005</v>
      </c>
      <c r="N10" s="354" t="n">
        <v>0.99</v>
      </c>
      <c r="P10" s="355" t="n">
        <f aca="false">A10</f>
        <v>36373</v>
      </c>
      <c r="Q10" s="356" t="n">
        <f aca="false">Q9+1</f>
        <v>8</v>
      </c>
    </row>
    <row r="11" customFormat="false" ht="12.75" hidden="false" customHeight="false" outlineLevel="0" collapsed="false">
      <c r="A11" s="353" t="n">
        <v>36404</v>
      </c>
      <c r="B11" s="348" t="n">
        <f aca="false">C11</f>
        <v>0.998309156840132</v>
      </c>
      <c r="C11" s="348" t="n">
        <v>0.998309156840132</v>
      </c>
      <c r="D11" s="348" t="n">
        <v>0.995</v>
      </c>
      <c r="E11" s="348" t="n">
        <v>0.61248355663804</v>
      </c>
      <c r="F11" s="348"/>
      <c r="G11" s="348" t="n">
        <v>0.994071440191916</v>
      </c>
      <c r="H11" s="348" t="n">
        <v>0.991814218213645</v>
      </c>
      <c r="I11" s="348" t="n">
        <v>0.980420749757432</v>
      </c>
      <c r="J11" s="348" t="n">
        <v>0.9925</v>
      </c>
      <c r="K11" s="348" t="n">
        <v>0.98</v>
      </c>
      <c r="L11" s="348" t="n">
        <v>0.980420749757432</v>
      </c>
      <c r="M11" s="348" t="n">
        <v>1.005</v>
      </c>
      <c r="N11" s="354" t="n">
        <v>0.99</v>
      </c>
      <c r="P11" s="355" t="n">
        <f aca="false">A11</f>
        <v>36404</v>
      </c>
      <c r="Q11" s="356" t="n">
        <f aca="false">Q10+1</f>
        <v>9</v>
      </c>
    </row>
    <row r="12" customFormat="false" ht="12.75" hidden="false" customHeight="false" outlineLevel="0" collapsed="false">
      <c r="A12" s="353" t="n">
        <v>36434</v>
      </c>
      <c r="B12" s="348" t="n">
        <f aca="false">C12</f>
        <v>0.998309156840132</v>
      </c>
      <c r="C12" s="348" t="n">
        <v>0.998309156840132</v>
      </c>
      <c r="D12" s="348" t="n">
        <v>0.995</v>
      </c>
      <c r="E12" s="348" t="n">
        <v>0.61248355663804</v>
      </c>
      <c r="F12" s="348"/>
      <c r="G12" s="348" t="n">
        <v>0.994071440191916</v>
      </c>
      <c r="H12" s="348" t="n">
        <v>0.991814218213645</v>
      </c>
      <c r="I12" s="348" t="n">
        <v>0.980420749757432</v>
      </c>
      <c r="J12" s="348" t="n">
        <v>0.9925</v>
      </c>
      <c r="K12" s="348" t="n">
        <v>0.98</v>
      </c>
      <c r="L12" s="348" t="n">
        <v>0.980420749757432</v>
      </c>
      <c r="M12" s="348" t="n">
        <v>1.005</v>
      </c>
      <c r="N12" s="354" t="n">
        <v>0.99</v>
      </c>
      <c r="P12" s="355" t="n">
        <f aca="false">A12</f>
        <v>36434</v>
      </c>
      <c r="Q12" s="356" t="n">
        <f aca="false">Q11+1</f>
        <v>10</v>
      </c>
    </row>
    <row r="13" customFormat="false" ht="12.75" hidden="false" customHeight="false" outlineLevel="0" collapsed="false">
      <c r="A13" s="353" t="n">
        <v>36465</v>
      </c>
      <c r="B13" s="348" t="n">
        <f aca="false">C13</f>
        <v>0.984974303204383</v>
      </c>
      <c r="C13" s="348" t="n">
        <v>0.984974303204383</v>
      </c>
      <c r="D13" s="348" t="n">
        <v>0.995</v>
      </c>
      <c r="E13" s="348" t="n">
        <v>0.935</v>
      </c>
      <c r="F13" s="348"/>
      <c r="G13" s="348" t="n">
        <v>0.94199</v>
      </c>
      <c r="H13" s="348" t="n">
        <v>0.963232674640991</v>
      </c>
      <c r="I13" s="348" t="n">
        <v>0.905775860471433</v>
      </c>
      <c r="J13" s="348" t="n">
        <v>0.9925</v>
      </c>
      <c r="K13" s="348" t="n">
        <v>0.98</v>
      </c>
      <c r="L13" s="348" t="n">
        <v>0.905775860471433</v>
      </c>
      <c r="M13" s="348" t="n">
        <v>1.005</v>
      </c>
      <c r="N13" s="354" t="n">
        <v>0.99</v>
      </c>
      <c r="P13" s="355" t="n">
        <f aca="false">A13</f>
        <v>36465</v>
      </c>
      <c r="Q13" s="356" t="n">
        <f aca="false">Q12+1</f>
        <v>11</v>
      </c>
    </row>
    <row r="14" customFormat="false" ht="12.75" hidden="false" customHeight="false" outlineLevel="0" collapsed="false">
      <c r="A14" s="353" t="n">
        <v>36495</v>
      </c>
      <c r="B14" s="348" t="n">
        <f aca="false">C14</f>
        <v>0.984974303204383</v>
      </c>
      <c r="C14" s="348" t="n">
        <v>0.984974303204383</v>
      </c>
      <c r="D14" s="348" t="n">
        <v>0.995</v>
      </c>
      <c r="E14" s="348" t="n">
        <v>0.935</v>
      </c>
      <c r="F14" s="348"/>
      <c r="G14" s="348" t="n">
        <v>0.9844</v>
      </c>
      <c r="H14" s="348" t="n">
        <v>0.963232674640991</v>
      </c>
      <c r="I14" s="348" t="n">
        <v>0.905775860471433</v>
      </c>
      <c r="J14" s="348" t="n">
        <v>0.9925</v>
      </c>
      <c r="K14" s="348" t="n">
        <v>0.98</v>
      </c>
      <c r="L14" s="348" t="n">
        <v>0.905775860471433</v>
      </c>
      <c r="M14" s="348" t="n">
        <v>1.005</v>
      </c>
      <c r="N14" s="354" t="n">
        <v>0.99</v>
      </c>
      <c r="P14" s="355" t="n">
        <f aca="false">A14</f>
        <v>36495</v>
      </c>
      <c r="Q14" s="356" t="n">
        <f aca="false">Q13+1</f>
        <v>12</v>
      </c>
    </row>
    <row r="15" customFormat="false" ht="12.75" hidden="false" customHeight="false" outlineLevel="0" collapsed="false">
      <c r="A15" s="353" t="n">
        <v>36526</v>
      </c>
      <c r="B15" s="348" t="n">
        <f aca="false">C15</f>
        <v>0.984974303204383</v>
      </c>
      <c r="C15" s="348" t="n">
        <v>0.984974303204383</v>
      </c>
      <c r="D15" s="348" t="n">
        <v>0.995</v>
      </c>
      <c r="E15" s="348" t="n">
        <v>0.935</v>
      </c>
      <c r="F15" s="348"/>
      <c r="G15" s="348" t="n">
        <v>0.9844</v>
      </c>
      <c r="H15" s="348" t="n">
        <v>0.963232674640991</v>
      </c>
      <c r="I15" s="348" t="n">
        <v>0.905775860471433</v>
      </c>
      <c r="J15" s="348" t="n">
        <v>0.9925</v>
      </c>
      <c r="K15" s="348" t="n">
        <v>0.98</v>
      </c>
      <c r="L15" s="348" t="n">
        <v>0.905775860471433</v>
      </c>
      <c r="M15" s="348" t="n">
        <v>1.005</v>
      </c>
      <c r="N15" s="354" t="n">
        <v>0.99</v>
      </c>
      <c r="P15" s="355" t="n">
        <f aca="false">A15</f>
        <v>36526</v>
      </c>
      <c r="Q15" s="356" t="n">
        <f aca="false">Q14+1</f>
        <v>13</v>
      </c>
    </row>
    <row r="16" customFormat="false" ht="12.75" hidden="false" customHeight="false" outlineLevel="0" collapsed="false">
      <c r="A16" s="353" t="n">
        <v>36557</v>
      </c>
      <c r="B16" s="348" t="n">
        <f aca="false">C16</f>
        <v>0.984974303204383</v>
      </c>
      <c r="C16" s="348" t="n">
        <v>0.984974303204383</v>
      </c>
      <c r="D16" s="348" t="n">
        <v>0.995</v>
      </c>
      <c r="E16" s="348" t="n">
        <v>0.935</v>
      </c>
      <c r="F16" s="348"/>
      <c r="G16" s="348" t="n">
        <v>0.9844</v>
      </c>
      <c r="H16" s="348" t="n">
        <v>0.963232674640991</v>
      </c>
      <c r="I16" s="348" t="n">
        <v>0.905775860471433</v>
      </c>
      <c r="J16" s="348" t="n">
        <v>0.9925</v>
      </c>
      <c r="K16" s="348" t="n">
        <v>0.98</v>
      </c>
      <c r="L16" s="348" t="n">
        <v>0.905775860471433</v>
      </c>
      <c r="M16" s="348" t="n">
        <v>1.005</v>
      </c>
      <c r="N16" s="354" t="n">
        <v>0.99</v>
      </c>
      <c r="P16" s="355" t="n">
        <f aca="false">A16</f>
        <v>36557</v>
      </c>
      <c r="Q16" s="356" t="n">
        <f aca="false">Q15+1</f>
        <v>14</v>
      </c>
    </row>
    <row r="17" customFormat="false" ht="12.75" hidden="false" customHeight="false" outlineLevel="0" collapsed="false">
      <c r="A17" s="353" t="n">
        <v>36586</v>
      </c>
      <c r="B17" s="348" t="n">
        <f aca="false">C17</f>
        <v>0.984974303204383</v>
      </c>
      <c r="C17" s="348" t="n">
        <v>0.984974303204383</v>
      </c>
      <c r="D17" s="348" t="n">
        <v>0.995</v>
      </c>
      <c r="E17" s="348" t="n">
        <v>0.935</v>
      </c>
      <c r="F17" s="348"/>
      <c r="G17" s="348" t="n">
        <v>0.9844</v>
      </c>
      <c r="H17" s="348" t="n">
        <v>0.963232674640991</v>
      </c>
      <c r="I17" s="348" t="n">
        <v>0.2</v>
      </c>
      <c r="J17" s="348" t="n">
        <v>0.9925</v>
      </c>
      <c r="K17" s="348" t="n">
        <v>0.98</v>
      </c>
      <c r="L17" s="348" t="n">
        <v>0.2</v>
      </c>
      <c r="M17" s="348" t="n">
        <v>1.005</v>
      </c>
      <c r="N17" s="354" t="n">
        <v>0.99</v>
      </c>
      <c r="P17" s="355" t="n">
        <f aca="false">A17</f>
        <v>36586</v>
      </c>
      <c r="Q17" s="356" t="n">
        <f aca="false">Q16+1</f>
        <v>15</v>
      </c>
    </row>
    <row r="18" customFormat="false" ht="12.75" hidden="false" customHeight="false" outlineLevel="0" collapsed="false">
      <c r="A18" s="353" t="n">
        <v>36617</v>
      </c>
      <c r="B18" s="357" t="n">
        <f aca="false">C18</f>
        <v>0.998309156840132</v>
      </c>
      <c r="C18" s="357" t="n">
        <v>0.998309156840132</v>
      </c>
      <c r="D18" s="357" t="n">
        <v>0.995</v>
      </c>
      <c r="E18" s="357" t="n">
        <v>0.61248355663804</v>
      </c>
      <c r="F18" s="357" t="n">
        <v>0.61248355663804</v>
      </c>
      <c r="G18" s="357" t="n">
        <v>0.994071440191916</v>
      </c>
      <c r="H18" s="357" t="n">
        <v>0.995</v>
      </c>
      <c r="I18" s="357" t="n">
        <v>0.9638</v>
      </c>
      <c r="J18" s="357" t="n">
        <v>0.9925</v>
      </c>
      <c r="K18" s="357" t="n">
        <v>0.98</v>
      </c>
      <c r="L18" s="357" t="n">
        <v>0.98379</v>
      </c>
      <c r="M18" s="357" t="n">
        <v>1.005</v>
      </c>
      <c r="N18" s="357" t="n">
        <v>0.99</v>
      </c>
      <c r="P18" s="355" t="n">
        <f aca="false">A18</f>
        <v>36617</v>
      </c>
      <c r="Q18" s="356" t="n">
        <f aca="false">Q17+1</f>
        <v>16</v>
      </c>
    </row>
    <row r="19" customFormat="false" ht="12.75" hidden="false" customHeight="false" outlineLevel="0" collapsed="false">
      <c r="A19" s="353" t="n">
        <v>36647</v>
      </c>
      <c r="B19" s="357" t="n">
        <f aca="false">C19</f>
        <v>0.998309156840132</v>
      </c>
      <c r="C19" s="357" t="n">
        <v>0.998309156840132</v>
      </c>
      <c r="D19" s="357" t="n">
        <v>0.995</v>
      </c>
      <c r="E19" s="357" t="n">
        <v>0.96</v>
      </c>
      <c r="F19" s="357" t="n">
        <v>0.96</v>
      </c>
      <c r="G19" s="357" t="n">
        <v>0.994071440191916</v>
      </c>
      <c r="H19" s="357" t="n">
        <v>0.995</v>
      </c>
      <c r="I19" s="357" t="n">
        <v>0.99</v>
      </c>
      <c r="J19" s="357" t="n">
        <v>0.9925</v>
      </c>
      <c r="K19" s="357" t="n">
        <v>0.98</v>
      </c>
      <c r="L19" s="357" t="n">
        <v>0.99</v>
      </c>
      <c r="M19" s="357" t="n">
        <v>1.005</v>
      </c>
      <c r="N19" s="357" t="n">
        <v>0.99</v>
      </c>
      <c r="P19" s="355" t="n">
        <f aca="false">A19</f>
        <v>36647</v>
      </c>
      <c r="Q19" s="356" t="n">
        <f aca="false">Q18+1</f>
        <v>17</v>
      </c>
    </row>
    <row r="20" customFormat="false" ht="12.75" hidden="false" customHeight="false" outlineLevel="0" collapsed="false">
      <c r="A20" s="353" t="n">
        <v>36678</v>
      </c>
      <c r="B20" s="357" t="n">
        <f aca="false">C20</f>
        <v>0.998309156840132</v>
      </c>
      <c r="C20" s="357" t="n">
        <v>0.998309156840132</v>
      </c>
      <c r="D20" s="357" t="n">
        <v>0.995</v>
      </c>
      <c r="E20" s="357" t="n">
        <v>0.96</v>
      </c>
      <c r="F20" s="357" t="n">
        <v>0.96</v>
      </c>
      <c r="G20" s="357" t="n">
        <v>0.994071440191916</v>
      </c>
      <c r="H20" s="357" t="n">
        <v>0.995</v>
      </c>
      <c r="I20" s="357" t="n">
        <v>0.9925</v>
      </c>
      <c r="J20" s="357" t="n">
        <v>0.9925</v>
      </c>
      <c r="K20" s="357" t="n">
        <v>0.98</v>
      </c>
      <c r="L20" s="357" t="n">
        <v>0.9925</v>
      </c>
      <c r="M20" s="357" t="n">
        <v>1.005</v>
      </c>
      <c r="N20" s="357" t="n">
        <v>0.99</v>
      </c>
      <c r="P20" s="355" t="n">
        <f aca="false">A20</f>
        <v>36678</v>
      </c>
      <c r="Q20" s="356" t="n">
        <f aca="false">Q19+1</f>
        <v>18</v>
      </c>
    </row>
    <row r="21" customFormat="false" ht="12.75" hidden="false" customHeight="false" outlineLevel="0" collapsed="false">
      <c r="A21" s="353" t="n">
        <v>36708</v>
      </c>
      <c r="B21" s="357" t="n">
        <f aca="false">C21</f>
        <v>0.998309156840132</v>
      </c>
      <c r="C21" s="357" t="n">
        <v>0.998309156840132</v>
      </c>
      <c r="D21" s="357" t="n">
        <v>0.995</v>
      </c>
      <c r="E21" s="357" t="n">
        <v>0.96</v>
      </c>
      <c r="F21" s="357" t="n">
        <v>0.96</v>
      </c>
      <c r="G21" s="357" t="n">
        <v>0.994071440191916</v>
      </c>
      <c r="H21" s="357" t="n">
        <v>0.995</v>
      </c>
      <c r="I21" s="357" t="n">
        <v>0.9925</v>
      </c>
      <c r="J21" s="357" t="n">
        <v>0.9925</v>
      </c>
      <c r="K21" s="357" t="n">
        <v>0.97</v>
      </c>
      <c r="L21" s="357" t="n">
        <v>0.9925</v>
      </c>
      <c r="M21" s="357" t="n">
        <v>1.005</v>
      </c>
      <c r="N21" s="357" t="n">
        <v>0.99</v>
      </c>
      <c r="P21" s="355" t="n">
        <f aca="false">A21</f>
        <v>36708</v>
      </c>
      <c r="Q21" s="356" t="n">
        <f aca="false">Q20+1</f>
        <v>19</v>
      </c>
    </row>
    <row r="22" customFormat="false" ht="12.75" hidden="false" customHeight="false" outlineLevel="0" collapsed="false">
      <c r="A22" s="353" t="n">
        <v>36739</v>
      </c>
      <c r="B22" s="357" t="n">
        <f aca="false">C22</f>
        <v>0.998309156840132</v>
      </c>
      <c r="C22" s="357" t="n">
        <v>0.998309156840132</v>
      </c>
      <c r="D22" s="357" t="n">
        <v>0.995</v>
      </c>
      <c r="E22" s="357" t="n">
        <v>0.96</v>
      </c>
      <c r="F22" s="357" t="n">
        <v>0.96</v>
      </c>
      <c r="G22" s="357" t="n">
        <v>0.994071440191916</v>
      </c>
      <c r="H22" s="357" t="n">
        <v>0.995</v>
      </c>
      <c r="I22" s="357" t="n">
        <v>0.9925</v>
      </c>
      <c r="J22" s="357" t="n">
        <v>0.9925</v>
      </c>
      <c r="K22" s="357" t="n">
        <v>0.97</v>
      </c>
      <c r="L22" s="357" t="n">
        <v>0.9925</v>
      </c>
      <c r="M22" s="357" t="n">
        <v>1.005</v>
      </c>
      <c r="N22" s="357" t="n">
        <v>0.99</v>
      </c>
      <c r="P22" s="355" t="n">
        <f aca="false">A22</f>
        <v>36739</v>
      </c>
      <c r="Q22" s="356" t="n">
        <f aca="false">Q21+1</f>
        <v>20</v>
      </c>
    </row>
    <row r="23" customFormat="false" ht="12.75" hidden="false" customHeight="false" outlineLevel="0" collapsed="false">
      <c r="A23" s="353" t="n">
        <v>36770</v>
      </c>
      <c r="B23" s="357" t="n">
        <f aca="false">C23</f>
        <v>0.998309156840132</v>
      </c>
      <c r="C23" s="357" t="n">
        <v>0.998309156840132</v>
      </c>
      <c r="D23" s="357" t="n">
        <v>0.995</v>
      </c>
      <c r="E23" s="357" t="n">
        <v>0.84</v>
      </c>
      <c r="F23" s="357" t="n">
        <v>0.84</v>
      </c>
      <c r="G23" s="357" t="n">
        <v>0.994071440191916</v>
      </c>
      <c r="H23" s="357" t="n">
        <v>0.995</v>
      </c>
      <c r="I23" s="357" t="n">
        <v>0.9925</v>
      </c>
      <c r="J23" s="357" t="n">
        <v>0.9975</v>
      </c>
      <c r="K23" s="357" t="n">
        <v>0.83</v>
      </c>
      <c r="L23" s="357" t="n">
        <v>0.9925</v>
      </c>
      <c r="M23" s="357" t="n">
        <v>1.005</v>
      </c>
      <c r="N23" s="357" t="n">
        <v>0.99</v>
      </c>
      <c r="P23" s="355" t="n">
        <f aca="false">A23</f>
        <v>36770</v>
      </c>
      <c r="Q23" s="356" t="n">
        <f aca="false">Q22+1</f>
        <v>21</v>
      </c>
    </row>
    <row r="24" customFormat="false" ht="12.75" hidden="false" customHeight="false" outlineLevel="0" collapsed="false">
      <c r="A24" s="353" t="n">
        <v>36800</v>
      </c>
      <c r="B24" s="357" t="n">
        <f aca="false">C24</f>
        <v>0.998309156840132</v>
      </c>
      <c r="C24" s="357" t="n">
        <v>0.998309156840132</v>
      </c>
      <c r="D24" s="357" t="n">
        <v>0.995</v>
      </c>
      <c r="E24" s="357" t="n">
        <v>0.84</v>
      </c>
      <c r="F24" s="357" t="n">
        <v>0.84</v>
      </c>
      <c r="G24" s="357" t="n">
        <v>0.994071440191916</v>
      </c>
      <c r="H24" s="357" t="n">
        <v>0.995</v>
      </c>
      <c r="I24" s="357" t="n">
        <v>0.9925</v>
      </c>
      <c r="J24" s="357" t="n">
        <v>0.9975</v>
      </c>
      <c r="K24" s="357" t="n">
        <v>0.83</v>
      </c>
      <c r="L24" s="357" t="n">
        <v>0.9925</v>
      </c>
      <c r="M24" s="357" t="n">
        <v>1.005</v>
      </c>
      <c r="N24" s="357" t="n">
        <v>0.99</v>
      </c>
      <c r="P24" s="355" t="n">
        <f aca="false">A24</f>
        <v>36800</v>
      </c>
      <c r="Q24" s="356" t="n">
        <f aca="false">Q23+1</f>
        <v>22</v>
      </c>
    </row>
    <row r="25" customFormat="false" ht="12.75" hidden="false" customHeight="false" outlineLevel="0" collapsed="false">
      <c r="A25" s="353" t="n">
        <v>36831</v>
      </c>
      <c r="B25" s="348" t="n">
        <f aca="false">C25</f>
        <v>0.984974303204383</v>
      </c>
      <c r="C25" s="348" t="n">
        <v>0.984974303204383</v>
      </c>
      <c r="D25" s="348" t="n">
        <v>0.995</v>
      </c>
      <c r="E25" s="348" t="n">
        <v>0.93</v>
      </c>
      <c r="F25" s="348" t="n">
        <v>0.93</v>
      </c>
      <c r="G25" s="348" t="n">
        <v>0.997</v>
      </c>
      <c r="H25" s="348" t="n">
        <v>0.99</v>
      </c>
      <c r="I25" s="348" t="n">
        <v>0.89</v>
      </c>
      <c r="J25" s="348" t="n">
        <v>0.9975</v>
      </c>
      <c r="K25" s="348" t="n">
        <v>0.85</v>
      </c>
      <c r="L25" s="348" t="n">
        <v>0.99</v>
      </c>
      <c r="M25" s="348" t="n">
        <v>0.995</v>
      </c>
      <c r="N25" s="354" t="n">
        <v>0.995</v>
      </c>
      <c r="P25" s="355" t="n">
        <f aca="false">A25</f>
        <v>36831</v>
      </c>
      <c r="Q25" s="356" t="n">
        <f aca="false">Q24+1</f>
        <v>23</v>
      </c>
    </row>
    <row r="26" customFormat="false" ht="12.75" hidden="false" customHeight="false" outlineLevel="0" collapsed="false">
      <c r="A26" s="353" t="n">
        <v>36861</v>
      </c>
      <c r="B26" s="348" t="n">
        <f aca="false">C26</f>
        <v>0.984974303204383</v>
      </c>
      <c r="C26" s="348" t="n">
        <v>0.984974303204383</v>
      </c>
      <c r="D26" s="348" t="n">
        <v>0.995</v>
      </c>
      <c r="E26" s="348" t="n">
        <v>0.93</v>
      </c>
      <c r="F26" s="348" t="n">
        <v>0.93</v>
      </c>
      <c r="G26" s="348" t="n">
        <v>0.997</v>
      </c>
      <c r="H26" s="348" t="n">
        <v>0.99</v>
      </c>
      <c r="I26" s="348" t="n">
        <v>0.83</v>
      </c>
      <c r="J26" s="348" t="n">
        <v>0.9975</v>
      </c>
      <c r="K26" s="348" t="n">
        <v>0.85</v>
      </c>
      <c r="L26" s="348" t="n">
        <v>0.99</v>
      </c>
      <c r="M26" s="348" t="n">
        <v>0.995</v>
      </c>
      <c r="N26" s="354" t="n">
        <v>0.995</v>
      </c>
      <c r="P26" s="355" t="n">
        <f aca="false">A26</f>
        <v>36861</v>
      </c>
      <c r="Q26" s="356" t="n">
        <f aca="false">Q25+1</f>
        <v>24</v>
      </c>
    </row>
    <row r="27" customFormat="false" ht="12.75" hidden="false" customHeight="false" outlineLevel="0" collapsed="false">
      <c r="A27" s="353" t="n">
        <v>36892</v>
      </c>
      <c r="B27" s="348" t="n">
        <f aca="false">C27</f>
        <v>0.984974303204383</v>
      </c>
      <c r="C27" s="348" t="n">
        <v>0.984974303204383</v>
      </c>
      <c r="D27" s="348" t="n">
        <v>0.995</v>
      </c>
      <c r="E27" s="348" t="n">
        <v>0.93</v>
      </c>
      <c r="F27" s="348" t="n">
        <v>0.93</v>
      </c>
      <c r="G27" s="348" t="n">
        <v>0.997</v>
      </c>
      <c r="H27" s="348" t="n">
        <v>0.99</v>
      </c>
      <c r="I27" s="348" t="n">
        <v>0.83</v>
      </c>
      <c r="J27" s="348" t="n">
        <v>0.9975</v>
      </c>
      <c r="K27" s="348" t="n">
        <v>0.85</v>
      </c>
      <c r="L27" s="348" t="n">
        <v>0.99</v>
      </c>
      <c r="M27" s="348" t="n">
        <v>0.995</v>
      </c>
      <c r="N27" s="354" t="n">
        <v>0.995</v>
      </c>
      <c r="P27" s="355" t="n">
        <f aca="false">A27</f>
        <v>36892</v>
      </c>
      <c r="Q27" s="356" t="n">
        <f aca="false">Q26+1</f>
        <v>25</v>
      </c>
    </row>
    <row r="28" customFormat="false" ht="12.75" hidden="false" customHeight="false" outlineLevel="0" collapsed="false">
      <c r="A28" s="353" t="n">
        <v>36923</v>
      </c>
      <c r="B28" s="348" t="n">
        <f aca="false">C28</f>
        <v>0.984974303204383</v>
      </c>
      <c r="C28" s="348" t="n">
        <v>0.984974303204383</v>
      </c>
      <c r="D28" s="348" t="n">
        <v>0.995</v>
      </c>
      <c r="E28" s="348" t="n">
        <v>0.93</v>
      </c>
      <c r="F28" s="348" t="n">
        <v>0.93</v>
      </c>
      <c r="G28" s="348" t="n">
        <v>0.997</v>
      </c>
      <c r="H28" s="348" t="n">
        <v>0.99</v>
      </c>
      <c r="I28" s="348" t="n">
        <v>0.83</v>
      </c>
      <c r="J28" s="348" t="n">
        <v>0.9975</v>
      </c>
      <c r="K28" s="348" t="n">
        <v>0.85</v>
      </c>
      <c r="L28" s="348" t="n">
        <v>0.99</v>
      </c>
      <c r="M28" s="348" t="n">
        <v>0.995</v>
      </c>
      <c r="N28" s="354" t="n">
        <v>0.995</v>
      </c>
      <c r="P28" s="355" t="n">
        <f aca="false">A28</f>
        <v>36923</v>
      </c>
      <c r="Q28" s="356" t="n">
        <f aca="false">Q27+1</f>
        <v>26</v>
      </c>
    </row>
    <row r="29" customFormat="false" ht="12.75" hidden="false" customHeight="false" outlineLevel="0" collapsed="false">
      <c r="A29" s="353" t="n">
        <v>36951</v>
      </c>
      <c r="B29" s="348" t="n">
        <f aca="false">C29</f>
        <v>0.984974303204383</v>
      </c>
      <c r="C29" s="348" t="n">
        <v>0.984974303204383</v>
      </c>
      <c r="D29" s="348" t="n">
        <v>0.995</v>
      </c>
      <c r="E29" s="348" t="n">
        <v>0.93</v>
      </c>
      <c r="F29" s="348" t="n">
        <v>0.93</v>
      </c>
      <c r="G29" s="348" t="n">
        <v>0.997</v>
      </c>
      <c r="H29" s="348" t="n">
        <v>0.99</v>
      </c>
      <c r="I29" s="348" t="n">
        <v>0.83</v>
      </c>
      <c r="J29" s="348" t="n">
        <v>0.9975</v>
      </c>
      <c r="K29" s="348" t="n">
        <v>0.85</v>
      </c>
      <c r="L29" s="348" t="n">
        <v>0.99</v>
      </c>
      <c r="M29" s="348" t="n">
        <v>0.995</v>
      </c>
      <c r="N29" s="354" t="n">
        <v>0.995</v>
      </c>
      <c r="P29" s="355" t="n">
        <f aca="false">A29</f>
        <v>36951</v>
      </c>
      <c r="Q29" s="356" t="n">
        <f aca="false">Q28+1</f>
        <v>27</v>
      </c>
    </row>
    <row r="30" customFormat="false" ht="12.75" hidden="false" customHeight="false" outlineLevel="0" collapsed="false">
      <c r="A30" s="353" t="n">
        <v>36982</v>
      </c>
      <c r="B30" s="357" t="n">
        <f aca="false">C30</f>
        <v>0.998309156840132</v>
      </c>
      <c r="C30" s="357" t="n">
        <v>0.998309156840132</v>
      </c>
      <c r="D30" s="357" t="n">
        <v>0.995</v>
      </c>
      <c r="E30" s="357" t="n">
        <v>0.96</v>
      </c>
      <c r="F30" s="357" t="n">
        <v>0.96</v>
      </c>
      <c r="G30" s="357" t="n">
        <v>0.994071440191916</v>
      </c>
      <c r="H30" s="357" t="n">
        <v>0.99</v>
      </c>
      <c r="I30" s="357" t="n">
        <v>0.9738</v>
      </c>
      <c r="J30" s="357" t="n">
        <v>0.995</v>
      </c>
      <c r="K30" s="357" t="n">
        <v>0.88</v>
      </c>
      <c r="L30" s="357" t="n">
        <v>0.99</v>
      </c>
      <c r="M30" s="357" t="n">
        <v>1.005</v>
      </c>
      <c r="N30" s="357" t="n">
        <v>0.99</v>
      </c>
      <c r="P30" s="355" t="n">
        <f aca="false">A30</f>
        <v>36982</v>
      </c>
      <c r="Q30" s="356" t="n">
        <f aca="false">Q29+1</f>
        <v>28</v>
      </c>
    </row>
    <row r="31" customFormat="false" ht="12.75" hidden="false" customHeight="false" outlineLevel="0" collapsed="false">
      <c r="A31" s="353" t="n">
        <v>37012</v>
      </c>
      <c r="B31" s="357" t="n">
        <f aca="false">C31</f>
        <v>0.998309156840132</v>
      </c>
      <c r="C31" s="357" t="n">
        <v>0.998309156840132</v>
      </c>
      <c r="D31" s="357" t="n">
        <v>0.995</v>
      </c>
      <c r="E31" s="357" t="n">
        <v>0.96</v>
      </c>
      <c r="F31" s="357" t="n">
        <v>0.96</v>
      </c>
      <c r="G31" s="357" t="n">
        <v>0.994071440191916</v>
      </c>
      <c r="H31" s="357" t="n">
        <v>0.99</v>
      </c>
      <c r="I31" s="357" t="n">
        <v>0.9738</v>
      </c>
      <c r="J31" s="357" t="n">
        <v>0.995</v>
      </c>
      <c r="K31" s="357" t="n">
        <v>0.88</v>
      </c>
      <c r="L31" s="357" t="n">
        <v>0.99</v>
      </c>
      <c r="M31" s="357" t="n">
        <v>1.005</v>
      </c>
      <c r="N31" s="357" t="n">
        <v>0.99</v>
      </c>
      <c r="P31" s="355" t="n">
        <f aca="false">A31</f>
        <v>37012</v>
      </c>
      <c r="Q31" s="356" t="n">
        <f aca="false">Q30+1</f>
        <v>29</v>
      </c>
    </row>
    <row r="32" customFormat="false" ht="12.75" hidden="false" customHeight="false" outlineLevel="0" collapsed="false">
      <c r="A32" s="353" t="n">
        <v>37043</v>
      </c>
      <c r="B32" s="357" t="n">
        <f aca="false">C32</f>
        <v>0.998309156840132</v>
      </c>
      <c r="C32" s="357" t="n">
        <v>0.998309156840132</v>
      </c>
      <c r="D32" s="357" t="n">
        <v>0.995</v>
      </c>
      <c r="E32" s="357" t="n">
        <v>0.96</v>
      </c>
      <c r="F32" s="357" t="n">
        <v>0.96</v>
      </c>
      <c r="G32" s="357" t="n">
        <v>0.994071440191916</v>
      </c>
      <c r="H32" s="357" t="n">
        <v>0.99</v>
      </c>
      <c r="I32" s="357" t="n">
        <v>0.9738</v>
      </c>
      <c r="J32" s="357" t="n">
        <v>0.995</v>
      </c>
      <c r="K32" s="357" t="n">
        <v>0.88</v>
      </c>
      <c r="L32" s="357" t="n">
        <v>0.99</v>
      </c>
      <c r="M32" s="357" t="n">
        <v>1.005</v>
      </c>
      <c r="N32" s="357" t="n">
        <v>0.99</v>
      </c>
      <c r="P32" s="355" t="n">
        <f aca="false">A32</f>
        <v>37043</v>
      </c>
      <c r="Q32" s="356" t="n">
        <f aca="false">Q31+1</f>
        <v>30</v>
      </c>
    </row>
    <row r="33" customFormat="false" ht="12.75" hidden="false" customHeight="false" outlineLevel="0" collapsed="false">
      <c r="A33" s="353" t="n">
        <v>37073</v>
      </c>
      <c r="B33" s="357" t="n">
        <f aca="false">C33</f>
        <v>0.998309156840132</v>
      </c>
      <c r="C33" s="357" t="n">
        <v>0.998309156840132</v>
      </c>
      <c r="D33" s="357" t="n">
        <v>0.995</v>
      </c>
      <c r="E33" s="357" t="n">
        <v>0.96</v>
      </c>
      <c r="F33" s="357" t="n">
        <v>0.96</v>
      </c>
      <c r="G33" s="357" t="n">
        <v>0.994071440191916</v>
      </c>
      <c r="H33" s="357" t="n">
        <v>0.99</v>
      </c>
      <c r="I33" s="357" t="n">
        <v>0.9738</v>
      </c>
      <c r="J33" s="357" t="n">
        <v>0.995</v>
      </c>
      <c r="K33" s="357" t="n">
        <v>0.88</v>
      </c>
      <c r="L33" s="357" t="n">
        <v>0.99</v>
      </c>
      <c r="M33" s="357" t="n">
        <v>1.005</v>
      </c>
      <c r="N33" s="357" t="n">
        <v>0.99</v>
      </c>
      <c r="P33" s="355" t="n">
        <f aca="false">A33</f>
        <v>37073</v>
      </c>
      <c r="Q33" s="356" t="n">
        <f aca="false">Q32+1</f>
        <v>31</v>
      </c>
    </row>
    <row r="34" customFormat="false" ht="12.75" hidden="false" customHeight="false" outlineLevel="0" collapsed="false">
      <c r="A34" s="353" t="n">
        <v>37104</v>
      </c>
      <c r="B34" s="357" t="n">
        <f aca="false">C34</f>
        <v>0.998309156840132</v>
      </c>
      <c r="C34" s="357" t="n">
        <v>0.998309156840132</v>
      </c>
      <c r="D34" s="357" t="n">
        <v>0.995</v>
      </c>
      <c r="E34" s="357" t="n">
        <v>0.96</v>
      </c>
      <c r="F34" s="357" t="n">
        <v>0.96</v>
      </c>
      <c r="G34" s="357" t="n">
        <v>0.994071440191916</v>
      </c>
      <c r="H34" s="357" t="n">
        <v>0.99</v>
      </c>
      <c r="I34" s="357" t="n">
        <v>0.9738</v>
      </c>
      <c r="J34" s="357" t="n">
        <v>0.995</v>
      </c>
      <c r="K34" s="357" t="n">
        <v>0.88</v>
      </c>
      <c r="L34" s="357" t="n">
        <v>0.99</v>
      </c>
      <c r="M34" s="357" t="n">
        <v>1.005</v>
      </c>
      <c r="N34" s="357" t="n">
        <v>0.99</v>
      </c>
      <c r="P34" s="355" t="n">
        <f aca="false">A34</f>
        <v>37104</v>
      </c>
      <c r="Q34" s="356" t="n">
        <f aca="false">Q33+1</f>
        <v>32</v>
      </c>
    </row>
    <row r="35" customFormat="false" ht="12.75" hidden="false" customHeight="false" outlineLevel="0" collapsed="false">
      <c r="A35" s="353" t="n">
        <v>37135</v>
      </c>
      <c r="B35" s="357" t="n">
        <f aca="false">C35</f>
        <v>0.998309156840132</v>
      </c>
      <c r="C35" s="357" t="n">
        <v>0.998309156840132</v>
      </c>
      <c r="D35" s="357" t="n">
        <v>0.995</v>
      </c>
      <c r="E35" s="357" t="n">
        <v>0.96</v>
      </c>
      <c r="F35" s="357" t="n">
        <v>0.96</v>
      </c>
      <c r="G35" s="357" t="n">
        <v>0.994071440191916</v>
      </c>
      <c r="H35" s="357" t="n">
        <v>0.99</v>
      </c>
      <c r="I35" s="357" t="n">
        <v>0.9738</v>
      </c>
      <c r="J35" s="357" t="n">
        <v>0.995</v>
      </c>
      <c r="K35" s="357" t="n">
        <v>0.88</v>
      </c>
      <c r="L35" s="357" t="n">
        <v>0.99</v>
      </c>
      <c r="M35" s="357" t="n">
        <v>1.005</v>
      </c>
      <c r="N35" s="357" t="n">
        <v>0.99</v>
      </c>
      <c r="P35" s="355" t="n">
        <f aca="false">A35</f>
        <v>37135</v>
      </c>
      <c r="Q35" s="356" t="n">
        <f aca="false">Q34+1</f>
        <v>33</v>
      </c>
    </row>
    <row r="36" customFormat="false" ht="12.75" hidden="false" customHeight="false" outlineLevel="0" collapsed="false">
      <c r="A36" s="353" t="n">
        <v>37165</v>
      </c>
      <c r="B36" s="357" t="n">
        <f aca="false">C36</f>
        <v>0.998309156840132</v>
      </c>
      <c r="C36" s="357" t="n">
        <v>0.998309156840132</v>
      </c>
      <c r="D36" s="357" t="n">
        <v>0.995</v>
      </c>
      <c r="E36" s="357" t="n">
        <v>0.96</v>
      </c>
      <c r="F36" s="357" t="n">
        <v>0.96</v>
      </c>
      <c r="G36" s="357" t="n">
        <v>0.994071440191916</v>
      </c>
      <c r="H36" s="357" t="n">
        <v>0.99</v>
      </c>
      <c r="I36" s="357" t="n">
        <v>0.9738</v>
      </c>
      <c r="J36" s="357" t="n">
        <v>0.995</v>
      </c>
      <c r="K36" s="357" t="n">
        <v>0.88</v>
      </c>
      <c r="L36" s="357" t="n">
        <v>0.99</v>
      </c>
      <c r="M36" s="357" t="n">
        <v>1.005</v>
      </c>
      <c r="N36" s="357" t="n">
        <v>0.99</v>
      </c>
      <c r="P36" s="355" t="n">
        <f aca="false">A36</f>
        <v>37165</v>
      </c>
      <c r="Q36" s="356" t="n">
        <f aca="false">Q35+1</f>
        <v>34</v>
      </c>
    </row>
    <row r="37" customFormat="false" ht="12.75" hidden="false" customHeight="false" outlineLevel="0" collapsed="false">
      <c r="A37" s="353" t="n">
        <v>37196</v>
      </c>
      <c r="B37" s="348" t="n">
        <f aca="false">C37</f>
        <v>0.984974303204383</v>
      </c>
      <c r="C37" s="348" t="n">
        <v>0.984974303204383</v>
      </c>
      <c r="D37" s="348" t="n">
        <v>0.995</v>
      </c>
      <c r="E37" s="348" t="n">
        <v>0.96</v>
      </c>
      <c r="F37" s="348" t="n">
        <v>0.96</v>
      </c>
      <c r="G37" s="348" t="n">
        <v>0.984107647518451</v>
      </c>
      <c r="H37" s="348" t="n">
        <v>0.99</v>
      </c>
      <c r="I37" s="348" t="n">
        <v>0.95</v>
      </c>
      <c r="J37" s="348" t="n">
        <v>0.995</v>
      </c>
      <c r="K37" s="348" t="n">
        <v>0.98</v>
      </c>
      <c r="L37" s="348" t="n">
        <v>0.99</v>
      </c>
      <c r="M37" s="348" t="n">
        <v>1.005</v>
      </c>
      <c r="N37" s="354" t="n">
        <v>0.99</v>
      </c>
      <c r="P37" s="355" t="n">
        <f aca="false">A37</f>
        <v>37196</v>
      </c>
      <c r="Q37" s="356" t="n">
        <f aca="false">Q36+1</f>
        <v>35</v>
      </c>
    </row>
    <row r="38" customFormat="false" ht="12.75" hidden="false" customHeight="false" outlineLevel="0" collapsed="false">
      <c r="A38" s="353" t="n">
        <v>37226</v>
      </c>
      <c r="B38" s="348" t="n">
        <f aca="false">C38</f>
        <v>0.984974303204383</v>
      </c>
      <c r="C38" s="348" t="n">
        <v>0.984974303204383</v>
      </c>
      <c r="D38" s="348" t="n">
        <v>0.995</v>
      </c>
      <c r="E38" s="348" t="n">
        <v>0.96</v>
      </c>
      <c r="F38" s="348" t="n">
        <v>0.96</v>
      </c>
      <c r="G38" s="348" t="n">
        <v>0.984107647518451</v>
      </c>
      <c r="H38" s="348" t="n">
        <v>0.99</v>
      </c>
      <c r="I38" s="348" t="n">
        <v>0.95</v>
      </c>
      <c r="J38" s="348" t="n">
        <v>0.995</v>
      </c>
      <c r="K38" s="348" t="n">
        <v>0.98</v>
      </c>
      <c r="L38" s="348" t="n">
        <v>0.99</v>
      </c>
      <c r="M38" s="348" t="n">
        <v>1.005</v>
      </c>
      <c r="N38" s="354" t="n">
        <v>0.99</v>
      </c>
      <c r="P38" s="355" t="n">
        <f aca="false">A38</f>
        <v>37226</v>
      </c>
      <c r="Q38" s="356" t="n">
        <f aca="false">Q37+1</f>
        <v>36</v>
      </c>
    </row>
    <row r="39" customFormat="false" ht="12.75" hidden="false" customHeight="false" outlineLevel="0" collapsed="false">
      <c r="A39" s="353" t="n">
        <v>37257</v>
      </c>
      <c r="B39" s="348" t="n">
        <f aca="false">C39</f>
        <v>0.984974303204383</v>
      </c>
      <c r="C39" s="348" t="n">
        <v>0.984974303204383</v>
      </c>
      <c r="D39" s="348" t="n">
        <v>0.995</v>
      </c>
      <c r="E39" s="348" t="n">
        <v>0.96</v>
      </c>
      <c r="F39" s="348" t="n">
        <v>0.96</v>
      </c>
      <c r="G39" s="348" t="n">
        <v>0.984107647518451</v>
      </c>
      <c r="H39" s="348" t="n">
        <v>0.99</v>
      </c>
      <c r="I39" s="348" t="n">
        <v>0.95</v>
      </c>
      <c r="J39" s="348" t="n">
        <v>0.995</v>
      </c>
      <c r="K39" s="348" t="n">
        <v>0.98</v>
      </c>
      <c r="L39" s="348" t="n">
        <v>0.99</v>
      </c>
      <c r="M39" s="348" t="n">
        <v>1.005</v>
      </c>
      <c r="N39" s="354" t="n">
        <v>0.99</v>
      </c>
      <c r="P39" s="355" t="n">
        <f aca="false">A39</f>
        <v>37257</v>
      </c>
      <c r="Q39" s="356" t="n">
        <f aca="false">Q38+1</f>
        <v>37</v>
      </c>
    </row>
    <row r="40" customFormat="false" ht="12.75" hidden="false" customHeight="false" outlineLevel="0" collapsed="false">
      <c r="A40" s="353" t="n">
        <v>37288</v>
      </c>
      <c r="B40" s="348" t="n">
        <f aca="false">C40</f>
        <v>0.984974303204383</v>
      </c>
      <c r="C40" s="348" t="n">
        <v>0.984974303204383</v>
      </c>
      <c r="D40" s="348" t="n">
        <v>0.995</v>
      </c>
      <c r="E40" s="348" t="n">
        <v>0.96</v>
      </c>
      <c r="F40" s="348" t="n">
        <v>0.96</v>
      </c>
      <c r="G40" s="348" t="n">
        <v>0.984107647518451</v>
      </c>
      <c r="H40" s="348" t="n">
        <v>0.99</v>
      </c>
      <c r="I40" s="348" t="n">
        <v>0.95</v>
      </c>
      <c r="J40" s="348" t="n">
        <v>0.995</v>
      </c>
      <c r="K40" s="348" t="n">
        <v>0.98</v>
      </c>
      <c r="L40" s="348" t="n">
        <v>0.99</v>
      </c>
      <c r="M40" s="348" t="n">
        <v>1.005</v>
      </c>
      <c r="N40" s="354" t="n">
        <v>0.99</v>
      </c>
      <c r="P40" s="355" t="n">
        <f aca="false">A40</f>
        <v>37288</v>
      </c>
      <c r="Q40" s="356" t="n">
        <f aca="false">Q39+1</f>
        <v>38</v>
      </c>
    </row>
    <row r="41" customFormat="false" ht="12.75" hidden="false" customHeight="false" outlineLevel="0" collapsed="false">
      <c r="A41" s="353" t="n">
        <v>37316</v>
      </c>
      <c r="B41" s="348" t="n">
        <f aca="false">C41</f>
        <v>0.984974303204383</v>
      </c>
      <c r="C41" s="348" t="n">
        <v>0.984974303204383</v>
      </c>
      <c r="D41" s="348" t="n">
        <v>0.995</v>
      </c>
      <c r="E41" s="348" t="n">
        <v>0.96</v>
      </c>
      <c r="F41" s="348" t="n">
        <v>0.96</v>
      </c>
      <c r="G41" s="348" t="n">
        <v>0.984107647518451</v>
      </c>
      <c r="H41" s="348" t="n">
        <v>0.99</v>
      </c>
      <c r="I41" s="348" t="n">
        <v>0.95</v>
      </c>
      <c r="J41" s="348" t="n">
        <v>0.995</v>
      </c>
      <c r="K41" s="348" t="n">
        <v>0.98</v>
      </c>
      <c r="L41" s="348" t="n">
        <v>0.99</v>
      </c>
      <c r="M41" s="348" t="n">
        <v>1.005</v>
      </c>
      <c r="N41" s="354" t="n">
        <v>0.99</v>
      </c>
      <c r="P41" s="355" t="n">
        <f aca="false">A41</f>
        <v>37316</v>
      </c>
      <c r="Q41" s="356" t="n">
        <f aca="false">Q40+1</f>
        <v>39</v>
      </c>
    </row>
    <row r="42" customFormat="false" ht="12.75" hidden="false" customHeight="false" outlineLevel="0" collapsed="false">
      <c r="A42" s="353" t="n">
        <v>37347</v>
      </c>
      <c r="B42" s="357" t="n">
        <f aca="false">C42</f>
        <v>0.998309156840132</v>
      </c>
      <c r="C42" s="357" t="n">
        <v>0.998309156840132</v>
      </c>
      <c r="D42" s="357" t="n">
        <v>0.995</v>
      </c>
      <c r="E42" s="357" t="n">
        <v>0.96</v>
      </c>
      <c r="F42" s="357" t="n">
        <v>0.96</v>
      </c>
      <c r="G42" s="357" t="n">
        <v>0.994071440191916</v>
      </c>
      <c r="H42" s="357" t="n">
        <v>0.99</v>
      </c>
      <c r="I42" s="357" t="n">
        <v>0.980420749757432</v>
      </c>
      <c r="J42" s="357" t="n">
        <v>0.995</v>
      </c>
      <c r="K42" s="357" t="n">
        <v>0.98</v>
      </c>
      <c r="L42" s="357" t="n">
        <v>0.99</v>
      </c>
      <c r="M42" s="357" t="n">
        <v>1.005</v>
      </c>
      <c r="N42" s="357" t="n">
        <v>0.99</v>
      </c>
      <c r="P42" s="355" t="n">
        <f aca="false">A42</f>
        <v>37347</v>
      </c>
      <c r="Q42" s="356" t="n">
        <f aca="false">Q41+1</f>
        <v>40</v>
      </c>
    </row>
    <row r="43" customFormat="false" ht="12.75" hidden="false" customHeight="false" outlineLevel="0" collapsed="false">
      <c r="A43" s="353" t="n">
        <v>37377</v>
      </c>
      <c r="B43" s="357" t="n">
        <f aca="false">C43</f>
        <v>0.998309156840132</v>
      </c>
      <c r="C43" s="357" t="n">
        <v>0.998309156840132</v>
      </c>
      <c r="D43" s="357" t="n">
        <v>0.995</v>
      </c>
      <c r="E43" s="357" t="n">
        <v>0.96</v>
      </c>
      <c r="F43" s="357" t="n">
        <v>0.96</v>
      </c>
      <c r="G43" s="357" t="n">
        <v>0.994071440191916</v>
      </c>
      <c r="H43" s="357" t="n">
        <v>0.99</v>
      </c>
      <c r="I43" s="357" t="n">
        <v>0.980420749757432</v>
      </c>
      <c r="J43" s="357" t="n">
        <v>0.995</v>
      </c>
      <c r="K43" s="357" t="n">
        <v>0.98</v>
      </c>
      <c r="L43" s="357" t="n">
        <v>0.99</v>
      </c>
      <c r="M43" s="357" t="n">
        <v>1.005</v>
      </c>
      <c r="N43" s="357" t="n">
        <v>0.99</v>
      </c>
      <c r="P43" s="355" t="n">
        <f aca="false">A43</f>
        <v>37377</v>
      </c>
      <c r="Q43" s="356" t="n">
        <f aca="false">Q42+1</f>
        <v>41</v>
      </c>
    </row>
    <row r="44" customFormat="false" ht="12.75" hidden="false" customHeight="false" outlineLevel="0" collapsed="false">
      <c r="A44" s="353" t="n">
        <v>37408</v>
      </c>
      <c r="B44" s="357" t="n">
        <f aca="false">C44</f>
        <v>0.998309156840132</v>
      </c>
      <c r="C44" s="357" t="n">
        <v>0.998309156840132</v>
      </c>
      <c r="D44" s="357" t="n">
        <v>0.995</v>
      </c>
      <c r="E44" s="357" t="n">
        <v>0.96</v>
      </c>
      <c r="F44" s="357" t="n">
        <v>0.96</v>
      </c>
      <c r="G44" s="357" t="n">
        <v>0.994071440191916</v>
      </c>
      <c r="H44" s="357" t="n">
        <v>0.99</v>
      </c>
      <c r="I44" s="357" t="n">
        <v>0.980420749757432</v>
      </c>
      <c r="J44" s="357" t="n">
        <v>0.995</v>
      </c>
      <c r="K44" s="357" t="n">
        <v>0.98</v>
      </c>
      <c r="L44" s="357" t="n">
        <v>0.99</v>
      </c>
      <c r="M44" s="357" t="n">
        <v>1.005</v>
      </c>
      <c r="N44" s="357" t="n">
        <v>0.99</v>
      </c>
      <c r="P44" s="355" t="n">
        <f aca="false">A44</f>
        <v>37408</v>
      </c>
      <c r="Q44" s="356" t="n">
        <f aca="false">Q43+1</f>
        <v>42</v>
      </c>
    </row>
    <row r="45" customFormat="false" ht="12.75" hidden="false" customHeight="false" outlineLevel="0" collapsed="false">
      <c r="A45" s="353" t="n">
        <v>37438</v>
      </c>
      <c r="B45" s="357" t="n">
        <f aca="false">C45</f>
        <v>0.998309156840132</v>
      </c>
      <c r="C45" s="357" t="n">
        <v>0.998309156840132</v>
      </c>
      <c r="D45" s="357" t="n">
        <v>0.995</v>
      </c>
      <c r="E45" s="357" t="n">
        <v>0.96</v>
      </c>
      <c r="F45" s="357" t="n">
        <v>0.96</v>
      </c>
      <c r="G45" s="357" t="n">
        <v>0.994071440191916</v>
      </c>
      <c r="H45" s="357" t="n">
        <v>0.99</v>
      </c>
      <c r="I45" s="357" t="n">
        <v>0.980420749757432</v>
      </c>
      <c r="J45" s="357" t="n">
        <v>0.995</v>
      </c>
      <c r="K45" s="357" t="n">
        <v>0.98</v>
      </c>
      <c r="L45" s="357" t="n">
        <v>0.99</v>
      </c>
      <c r="M45" s="357" t="n">
        <v>1.005</v>
      </c>
      <c r="N45" s="357" t="n">
        <v>0.99</v>
      </c>
      <c r="P45" s="355" t="n">
        <f aca="false">A45</f>
        <v>37438</v>
      </c>
      <c r="Q45" s="356" t="n">
        <f aca="false">Q44+1</f>
        <v>43</v>
      </c>
    </row>
    <row r="46" customFormat="false" ht="12.75" hidden="false" customHeight="false" outlineLevel="0" collapsed="false">
      <c r="A46" s="353" t="n">
        <v>37469</v>
      </c>
      <c r="B46" s="357" t="n">
        <f aca="false">C46</f>
        <v>0.998309156840132</v>
      </c>
      <c r="C46" s="357" t="n">
        <v>0.998309156840132</v>
      </c>
      <c r="D46" s="357" t="n">
        <v>0.995</v>
      </c>
      <c r="E46" s="357" t="n">
        <v>0.96</v>
      </c>
      <c r="F46" s="357" t="n">
        <v>0.96</v>
      </c>
      <c r="G46" s="357" t="n">
        <v>0.994071440191916</v>
      </c>
      <c r="H46" s="357" t="n">
        <v>0.99</v>
      </c>
      <c r="I46" s="357" t="n">
        <v>0.980420749757432</v>
      </c>
      <c r="J46" s="357" t="n">
        <v>0.995</v>
      </c>
      <c r="K46" s="357" t="n">
        <v>0.98</v>
      </c>
      <c r="L46" s="357" t="n">
        <v>0.99</v>
      </c>
      <c r="M46" s="357" t="n">
        <v>1.005</v>
      </c>
      <c r="N46" s="357" t="n">
        <v>0.99</v>
      </c>
      <c r="P46" s="355" t="n">
        <f aca="false">A46</f>
        <v>37469</v>
      </c>
      <c r="Q46" s="356" t="n">
        <f aca="false">Q45+1</f>
        <v>44</v>
      </c>
    </row>
    <row r="47" customFormat="false" ht="12.75" hidden="false" customHeight="false" outlineLevel="0" collapsed="false">
      <c r="A47" s="353" t="n">
        <v>37500</v>
      </c>
      <c r="B47" s="357" t="n">
        <f aca="false">C47</f>
        <v>0.998309156840132</v>
      </c>
      <c r="C47" s="357" t="n">
        <v>0.998309156840132</v>
      </c>
      <c r="D47" s="357" t="n">
        <v>0.995</v>
      </c>
      <c r="E47" s="357" t="n">
        <v>0.96</v>
      </c>
      <c r="F47" s="357" t="n">
        <v>0.96</v>
      </c>
      <c r="G47" s="357" t="n">
        <v>0.994071440191916</v>
      </c>
      <c r="H47" s="357" t="n">
        <v>0.99</v>
      </c>
      <c r="I47" s="357" t="n">
        <v>0.980420749757432</v>
      </c>
      <c r="J47" s="357" t="n">
        <v>0.995</v>
      </c>
      <c r="K47" s="357" t="n">
        <v>0.98</v>
      </c>
      <c r="L47" s="357" t="n">
        <v>0.99</v>
      </c>
      <c r="M47" s="357" t="n">
        <v>1.005</v>
      </c>
      <c r="N47" s="357" t="n">
        <v>0.99</v>
      </c>
      <c r="P47" s="355" t="n">
        <f aca="false">A47</f>
        <v>37500</v>
      </c>
      <c r="Q47" s="356" t="n">
        <f aca="false">Q46+1</f>
        <v>45</v>
      </c>
    </row>
    <row r="48" customFormat="false" ht="12.75" hidden="false" customHeight="false" outlineLevel="0" collapsed="false">
      <c r="A48" s="353" t="n">
        <v>37530</v>
      </c>
      <c r="B48" s="357" t="n">
        <f aca="false">C48</f>
        <v>0.998309156840132</v>
      </c>
      <c r="C48" s="357" t="n">
        <v>0.998309156840132</v>
      </c>
      <c r="D48" s="357" t="n">
        <v>0.995</v>
      </c>
      <c r="E48" s="357" t="n">
        <v>0.96</v>
      </c>
      <c r="F48" s="357" t="n">
        <v>0.96</v>
      </c>
      <c r="G48" s="357" t="n">
        <v>0.994071440191916</v>
      </c>
      <c r="H48" s="357" t="n">
        <v>0.99</v>
      </c>
      <c r="I48" s="357" t="n">
        <v>0.980420749757432</v>
      </c>
      <c r="J48" s="357" t="n">
        <v>0.995</v>
      </c>
      <c r="K48" s="357" t="n">
        <v>0.98</v>
      </c>
      <c r="L48" s="357" t="n">
        <v>0.99</v>
      </c>
      <c r="M48" s="357" t="n">
        <v>1.005</v>
      </c>
      <c r="N48" s="357" t="n">
        <v>0.99</v>
      </c>
      <c r="P48" s="355" t="n">
        <f aca="false">A48</f>
        <v>37530</v>
      </c>
      <c r="Q48" s="356" t="n">
        <f aca="false">Q47+1</f>
        <v>46</v>
      </c>
    </row>
    <row r="49" customFormat="false" ht="12.75" hidden="false" customHeight="false" outlineLevel="0" collapsed="false">
      <c r="A49" s="353" t="n">
        <v>37561</v>
      </c>
      <c r="B49" s="348" t="n">
        <f aca="false">C49</f>
        <v>0.984974303204383</v>
      </c>
      <c r="C49" s="348" t="n">
        <v>0.984974303204383</v>
      </c>
      <c r="D49" s="348" t="n">
        <v>0.995</v>
      </c>
      <c r="E49" s="348" t="n">
        <v>0.96</v>
      </c>
      <c r="F49" s="348" t="n">
        <v>0.96</v>
      </c>
      <c r="G49" s="348" t="n">
        <v>0.984107647518451</v>
      </c>
      <c r="H49" s="348" t="n">
        <v>0.99</v>
      </c>
      <c r="I49" s="348" t="n">
        <v>0.905775860471433</v>
      </c>
      <c r="J49" s="348" t="n">
        <v>0.995</v>
      </c>
      <c r="K49" s="348" t="n">
        <v>0.98</v>
      </c>
      <c r="L49" s="348" t="n">
        <v>0.99</v>
      </c>
      <c r="M49" s="348" t="n">
        <v>1.005</v>
      </c>
      <c r="N49" s="354" t="n">
        <v>0.99</v>
      </c>
      <c r="P49" s="355" t="n">
        <f aca="false">A49</f>
        <v>37561</v>
      </c>
      <c r="Q49" s="356" t="n">
        <f aca="false">Q48+1</f>
        <v>47</v>
      </c>
    </row>
    <row r="50" customFormat="false" ht="12.75" hidden="false" customHeight="false" outlineLevel="0" collapsed="false">
      <c r="A50" s="353" t="n">
        <v>37591</v>
      </c>
      <c r="B50" s="348" t="n">
        <f aca="false">C50</f>
        <v>0.984974303204383</v>
      </c>
      <c r="C50" s="348" t="n">
        <v>0.984974303204383</v>
      </c>
      <c r="D50" s="348" t="n">
        <v>0.995</v>
      </c>
      <c r="E50" s="348" t="n">
        <v>0.96</v>
      </c>
      <c r="F50" s="348" t="n">
        <v>0.96</v>
      </c>
      <c r="G50" s="348" t="n">
        <v>0.984107647518451</v>
      </c>
      <c r="H50" s="348" t="n">
        <v>0.99</v>
      </c>
      <c r="I50" s="348" t="n">
        <v>0.905775860471433</v>
      </c>
      <c r="J50" s="348" t="n">
        <v>0.995</v>
      </c>
      <c r="K50" s="348" t="n">
        <v>0.98</v>
      </c>
      <c r="L50" s="348" t="n">
        <v>0.99</v>
      </c>
      <c r="M50" s="348" t="n">
        <v>1.005</v>
      </c>
      <c r="N50" s="354" t="n">
        <v>0.99</v>
      </c>
      <c r="P50" s="355" t="n">
        <f aca="false">A50</f>
        <v>37591</v>
      </c>
      <c r="Q50" s="356" t="n">
        <f aca="false">Q49+1</f>
        <v>48</v>
      </c>
    </row>
    <row r="51" customFormat="false" ht="12.75" hidden="false" customHeight="false" outlineLevel="0" collapsed="false">
      <c r="A51" s="353" t="n">
        <v>37622</v>
      </c>
      <c r="B51" s="348" t="n">
        <f aca="false">C51</f>
        <v>0.984974303204383</v>
      </c>
      <c r="C51" s="348" t="n">
        <v>0.984974303204383</v>
      </c>
      <c r="D51" s="348" t="n">
        <v>0.995</v>
      </c>
      <c r="E51" s="348" t="n">
        <v>0.96</v>
      </c>
      <c r="F51" s="348" t="n">
        <v>0.96</v>
      </c>
      <c r="G51" s="348" t="n">
        <v>0.984107647518451</v>
      </c>
      <c r="H51" s="348" t="n">
        <v>0.99</v>
      </c>
      <c r="I51" s="348" t="n">
        <v>0.905775860471433</v>
      </c>
      <c r="J51" s="348" t="n">
        <v>0.995</v>
      </c>
      <c r="K51" s="348" t="n">
        <v>0.98</v>
      </c>
      <c r="L51" s="348" t="n">
        <v>0.99</v>
      </c>
      <c r="M51" s="348" t="n">
        <v>1.005</v>
      </c>
      <c r="N51" s="354" t="n">
        <v>0.99</v>
      </c>
      <c r="P51" s="355" t="n">
        <f aca="false">A51</f>
        <v>37622</v>
      </c>
      <c r="Q51" s="356" t="n">
        <f aca="false">Q50+1</f>
        <v>49</v>
      </c>
    </row>
    <row r="52" customFormat="false" ht="12.75" hidden="false" customHeight="false" outlineLevel="0" collapsed="false">
      <c r="A52" s="353" t="n">
        <v>37653</v>
      </c>
      <c r="B52" s="348" t="n">
        <f aca="false">C52</f>
        <v>0.984974303204383</v>
      </c>
      <c r="C52" s="348" t="n">
        <v>0.984974303204383</v>
      </c>
      <c r="D52" s="348" t="n">
        <v>0.995</v>
      </c>
      <c r="E52" s="348" t="n">
        <v>0.96</v>
      </c>
      <c r="F52" s="348" t="n">
        <v>0.96</v>
      </c>
      <c r="G52" s="348" t="n">
        <v>0.984107647518451</v>
      </c>
      <c r="H52" s="348" t="n">
        <v>0.99</v>
      </c>
      <c r="I52" s="348" t="n">
        <v>0.905775860471433</v>
      </c>
      <c r="J52" s="348" t="n">
        <v>0.995</v>
      </c>
      <c r="K52" s="348" t="n">
        <v>0.98</v>
      </c>
      <c r="L52" s="348" t="n">
        <v>0.99</v>
      </c>
      <c r="M52" s="348" t="n">
        <v>1.005</v>
      </c>
      <c r="N52" s="354" t="n">
        <v>0.99</v>
      </c>
      <c r="P52" s="355" t="n">
        <f aca="false">A52</f>
        <v>37653</v>
      </c>
      <c r="Q52" s="356" t="n">
        <f aca="false">Q51+1</f>
        <v>50</v>
      </c>
    </row>
    <row r="53" customFormat="false" ht="12.75" hidden="false" customHeight="false" outlineLevel="0" collapsed="false">
      <c r="A53" s="353" t="n">
        <v>37681</v>
      </c>
      <c r="B53" s="348" t="n">
        <f aca="false">C53</f>
        <v>0.984974303204383</v>
      </c>
      <c r="C53" s="348" t="n">
        <v>0.984974303204383</v>
      </c>
      <c r="D53" s="348" t="n">
        <v>0.995</v>
      </c>
      <c r="E53" s="348" t="n">
        <v>0.96</v>
      </c>
      <c r="F53" s="348" t="n">
        <v>0.96</v>
      </c>
      <c r="G53" s="348" t="n">
        <v>0.984107647518451</v>
      </c>
      <c r="H53" s="348" t="n">
        <v>0.99</v>
      </c>
      <c r="I53" s="348" t="n">
        <v>0.905775860471433</v>
      </c>
      <c r="J53" s="348" t="n">
        <v>0.995</v>
      </c>
      <c r="K53" s="348" t="n">
        <v>0.98</v>
      </c>
      <c r="L53" s="348" t="n">
        <v>0.99</v>
      </c>
      <c r="M53" s="348" t="n">
        <v>1.005</v>
      </c>
      <c r="N53" s="354" t="n">
        <v>0.99</v>
      </c>
      <c r="P53" s="355" t="n">
        <f aca="false">A53</f>
        <v>37681</v>
      </c>
      <c r="Q53" s="356" t="n">
        <f aca="false">Q52+1</f>
        <v>51</v>
      </c>
    </row>
    <row r="54" customFormat="false" ht="12.75" hidden="false" customHeight="false" outlineLevel="0" collapsed="false">
      <c r="A54" s="353" t="n">
        <v>37712</v>
      </c>
      <c r="B54" s="357" t="n">
        <f aca="false">C54</f>
        <v>0.998309156840132</v>
      </c>
      <c r="C54" s="357" t="n">
        <v>0.998309156840132</v>
      </c>
      <c r="D54" s="357" t="n">
        <v>0.995</v>
      </c>
      <c r="E54" s="357" t="n">
        <v>0.96</v>
      </c>
      <c r="F54" s="357" t="n">
        <v>0.96</v>
      </c>
      <c r="G54" s="357" t="n">
        <v>0.994071440191916</v>
      </c>
      <c r="H54" s="357" t="n">
        <v>0.99</v>
      </c>
      <c r="I54" s="357" t="n">
        <v>0.980420749757432</v>
      </c>
      <c r="J54" s="357" t="n">
        <v>0.995</v>
      </c>
      <c r="K54" s="357" t="n">
        <v>0.98</v>
      </c>
      <c r="L54" s="357" t="n">
        <v>0.99</v>
      </c>
      <c r="M54" s="357" t="n">
        <v>1.005</v>
      </c>
      <c r="N54" s="357" t="n">
        <v>0.99</v>
      </c>
      <c r="P54" s="355" t="n">
        <f aca="false">A54</f>
        <v>37712</v>
      </c>
      <c r="Q54" s="356" t="n">
        <f aca="false">Q53+1</f>
        <v>52</v>
      </c>
    </row>
    <row r="55" customFormat="false" ht="12.75" hidden="false" customHeight="false" outlineLevel="0" collapsed="false">
      <c r="A55" s="353" t="n">
        <v>37742</v>
      </c>
      <c r="B55" s="357" t="n">
        <f aca="false">C55</f>
        <v>0.998309156840132</v>
      </c>
      <c r="C55" s="357" t="n">
        <v>0.998309156840132</v>
      </c>
      <c r="D55" s="357" t="n">
        <v>0.995</v>
      </c>
      <c r="E55" s="357" t="n">
        <v>0.96</v>
      </c>
      <c r="F55" s="357" t="n">
        <v>0.96</v>
      </c>
      <c r="G55" s="357" t="n">
        <v>0.994071440191916</v>
      </c>
      <c r="H55" s="357" t="n">
        <v>0.99</v>
      </c>
      <c r="I55" s="357" t="n">
        <v>0.980420749757432</v>
      </c>
      <c r="J55" s="357" t="n">
        <v>0.995</v>
      </c>
      <c r="K55" s="357" t="n">
        <v>0.98</v>
      </c>
      <c r="L55" s="357" t="n">
        <v>0.99</v>
      </c>
      <c r="M55" s="357" t="n">
        <v>1.005</v>
      </c>
      <c r="N55" s="357" t="n">
        <v>0.99</v>
      </c>
      <c r="P55" s="355" t="n">
        <f aca="false">A55</f>
        <v>37742</v>
      </c>
      <c r="Q55" s="356" t="n">
        <f aca="false">Q54+1</f>
        <v>53</v>
      </c>
    </row>
    <row r="56" customFormat="false" ht="12.75" hidden="false" customHeight="false" outlineLevel="0" collapsed="false">
      <c r="A56" s="353" t="n">
        <v>37773</v>
      </c>
      <c r="B56" s="357" t="n">
        <f aca="false">C56</f>
        <v>0.998309156840132</v>
      </c>
      <c r="C56" s="357" t="n">
        <v>0.998309156840132</v>
      </c>
      <c r="D56" s="357" t="n">
        <v>0.995</v>
      </c>
      <c r="E56" s="357" t="n">
        <v>0.96</v>
      </c>
      <c r="F56" s="357" t="n">
        <v>0.96</v>
      </c>
      <c r="G56" s="357" t="n">
        <v>0.994071440191916</v>
      </c>
      <c r="H56" s="357" t="n">
        <v>0.99</v>
      </c>
      <c r="I56" s="357" t="n">
        <v>0.980420749757432</v>
      </c>
      <c r="J56" s="357" t="n">
        <v>0.995</v>
      </c>
      <c r="K56" s="357" t="n">
        <v>0.98</v>
      </c>
      <c r="L56" s="357" t="n">
        <v>0.99</v>
      </c>
      <c r="M56" s="357" t="n">
        <v>1.005</v>
      </c>
      <c r="N56" s="357" t="n">
        <v>0.99</v>
      </c>
      <c r="P56" s="355" t="n">
        <f aca="false">A56</f>
        <v>37773</v>
      </c>
      <c r="Q56" s="356" t="n">
        <f aca="false">Q55+1</f>
        <v>54</v>
      </c>
    </row>
    <row r="57" customFormat="false" ht="12.75" hidden="false" customHeight="false" outlineLevel="0" collapsed="false">
      <c r="A57" s="353" t="n">
        <v>37803</v>
      </c>
      <c r="B57" s="357" t="n">
        <f aca="false">C57</f>
        <v>0.998309156840132</v>
      </c>
      <c r="C57" s="357" t="n">
        <v>0.998309156840132</v>
      </c>
      <c r="D57" s="357" t="n">
        <v>0.995</v>
      </c>
      <c r="E57" s="357" t="n">
        <v>0.96</v>
      </c>
      <c r="F57" s="357" t="n">
        <v>0.96</v>
      </c>
      <c r="G57" s="357" t="n">
        <v>0.994071440191916</v>
      </c>
      <c r="H57" s="357" t="n">
        <v>0.99</v>
      </c>
      <c r="I57" s="357" t="n">
        <v>0.980420749757432</v>
      </c>
      <c r="J57" s="357" t="n">
        <v>0.995</v>
      </c>
      <c r="K57" s="357" t="n">
        <v>0.98</v>
      </c>
      <c r="L57" s="357" t="n">
        <v>0.99</v>
      </c>
      <c r="M57" s="357" t="n">
        <v>1.005</v>
      </c>
      <c r="N57" s="357" t="n">
        <v>0.99</v>
      </c>
      <c r="P57" s="355" t="n">
        <f aca="false">A57</f>
        <v>37803</v>
      </c>
      <c r="Q57" s="356" t="n">
        <f aca="false">Q56+1</f>
        <v>55</v>
      </c>
    </row>
    <row r="58" customFormat="false" ht="12.75" hidden="false" customHeight="false" outlineLevel="0" collapsed="false">
      <c r="A58" s="353" t="n">
        <v>37834</v>
      </c>
      <c r="B58" s="357" t="n">
        <f aca="false">C58</f>
        <v>0.998309156840132</v>
      </c>
      <c r="C58" s="357" t="n">
        <v>0.998309156840132</v>
      </c>
      <c r="D58" s="357" t="n">
        <v>0.995</v>
      </c>
      <c r="E58" s="357" t="n">
        <v>0.96</v>
      </c>
      <c r="F58" s="357" t="n">
        <v>0.96</v>
      </c>
      <c r="G58" s="357" t="n">
        <v>0.994071440191916</v>
      </c>
      <c r="H58" s="357" t="n">
        <v>0.99</v>
      </c>
      <c r="I58" s="357" t="n">
        <v>0.980420749757432</v>
      </c>
      <c r="J58" s="357" t="n">
        <v>0.995</v>
      </c>
      <c r="K58" s="357" t="n">
        <v>0.98</v>
      </c>
      <c r="L58" s="357" t="n">
        <v>0.99</v>
      </c>
      <c r="M58" s="357" t="n">
        <v>1.005</v>
      </c>
      <c r="N58" s="357" t="n">
        <v>0.99</v>
      </c>
      <c r="P58" s="355" t="n">
        <f aca="false">A58</f>
        <v>37834</v>
      </c>
      <c r="Q58" s="356" t="n">
        <f aca="false">Q57+1</f>
        <v>56</v>
      </c>
    </row>
    <row r="59" customFormat="false" ht="12.75" hidden="false" customHeight="false" outlineLevel="0" collapsed="false">
      <c r="A59" s="353" t="n">
        <v>37865</v>
      </c>
      <c r="B59" s="357" t="n">
        <f aca="false">C59</f>
        <v>0.998309156840132</v>
      </c>
      <c r="C59" s="357" t="n">
        <v>0.998309156840132</v>
      </c>
      <c r="D59" s="357" t="n">
        <v>0.995</v>
      </c>
      <c r="E59" s="357" t="n">
        <v>0.96</v>
      </c>
      <c r="F59" s="357" t="n">
        <v>0.96</v>
      </c>
      <c r="G59" s="357" t="n">
        <v>0.994071440191916</v>
      </c>
      <c r="H59" s="357" t="n">
        <v>0.99</v>
      </c>
      <c r="I59" s="357" t="n">
        <v>0.980420749757432</v>
      </c>
      <c r="J59" s="357" t="n">
        <v>0.995</v>
      </c>
      <c r="K59" s="357" t="n">
        <v>0.98</v>
      </c>
      <c r="L59" s="357" t="n">
        <v>0.99</v>
      </c>
      <c r="M59" s="357" t="n">
        <v>1.005</v>
      </c>
      <c r="N59" s="357" t="n">
        <v>0.99</v>
      </c>
      <c r="P59" s="355" t="n">
        <f aca="false">A59</f>
        <v>37865</v>
      </c>
      <c r="Q59" s="356" t="n">
        <f aca="false">Q58+1</f>
        <v>57</v>
      </c>
    </row>
    <row r="60" customFormat="false" ht="12.75" hidden="false" customHeight="false" outlineLevel="0" collapsed="false">
      <c r="A60" s="353" t="n">
        <v>37895</v>
      </c>
      <c r="B60" s="357" t="n">
        <f aca="false">C60</f>
        <v>0.998309156840132</v>
      </c>
      <c r="C60" s="357" t="n">
        <v>0.998309156840132</v>
      </c>
      <c r="D60" s="357" t="n">
        <v>0.995</v>
      </c>
      <c r="E60" s="357" t="n">
        <v>0.96</v>
      </c>
      <c r="F60" s="357" t="n">
        <v>0.96</v>
      </c>
      <c r="G60" s="357" t="n">
        <v>0.994071440191916</v>
      </c>
      <c r="H60" s="357" t="n">
        <v>0.99</v>
      </c>
      <c r="I60" s="357" t="n">
        <v>0.980420749757432</v>
      </c>
      <c r="J60" s="357" t="n">
        <v>0.995</v>
      </c>
      <c r="K60" s="357" t="n">
        <v>0.98</v>
      </c>
      <c r="L60" s="357" t="n">
        <v>0.99</v>
      </c>
      <c r="M60" s="357" t="n">
        <v>1.005</v>
      </c>
      <c r="N60" s="357" t="n">
        <v>0.99</v>
      </c>
      <c r="P60" s="355" t="n">
        <f aca="false">A60</f>
        <v>37895</v>
      </c>
      <c r="Q60" s="356" t="n">
        <f aca="false">Q59+1</f>
        <v>58</v>
      </c>
    </row>
    <row r="61" customFormat="false" ht="12.75" hidden="false" customHeight="false" outlineLevel="0" collapsed="false">
      <c r="A61" s="353" t="n">
        <v>37926</v>
      </c>
      <c r="B61" s="348" t="n">
        <f aca="false">C61</f>
        <v>0.984974303204383</v>
      </c>
      <c r="C61" s="348" t="n">
        <v>0.984974303204383</v>
      </c>
      <c r="D61" s="348" t="n">
        <v>0.995</v>
      </c>
      <c r="E61" s="348" t="n">
        <v>0.96</v>
      </c>
      <c r="F61" s="348" t="n">
        <v>0.96</v>
      </c>
      <c r="G61" s="348" t="n">
        <v>0.984107647518451</v>
      </c>
      <c r="H61" s="348" t="n">
        <v>0.99</v>
      </c>
      <c r="I61" s="348" t="n">
        <v>0.905775860471433</v>
      </c>
      <c r="J61" s="348" t="n">
        <v>0.995</v>
      </c>
      <c r="K61" s="348" t="n">
        <v>0.98</v>
      </c>
      <c r="L61" s="348" t="n">
        <v>0.99</v>
      </c>
      <c r="M61" s="348" t="n">
        <v>1.005</v>
      </c>
      <c r="N61" s="354" t="n">
        <v>0.99</v>
      </c>
      <c r="P61" s="355" t="n">
        <f aca="false">A61</f>
        <v>37926</v>
      </c>
      <c r="Q61" s="356" t="n">
        <f aca="false">Q60+1</f>
        <v>59</v>
      </c>
    </row>
    <row r="62" customFormat="false" ht="12.75" hidden="false" customHeight="false" outlineLevel="0" collapsed="false">
      <c r="A62" s="353" t="n">
        <v>37956</v>
      </c>
      <c r="B62" s="348" t="n">
        <f aca="false">C62</f>
        <v>0.984974303204383</v>
      </c>
      <c r="C62" s="348" t="n">
        <v>0.984974303204383</v>
      </c>
      <c r="D62" s="348" t="n">
        <v>0.995</v>
      </c>
      <c r="E62" s="348" t="n">
        <v>0.96</v>
      </c>
      <c r="F62" s="348" t="n">
        <v>0.96</v>
      </c>
      <c r="G62" s="348" t="n">
        <v>0.984107647518451</v>
      </c>
      <c r="H62" s="348" t="n">
        <v>0.99</v>
      </c>
      <c r="I62" s="348" t="n">
        <v>0.905775860471433</v>
      </c>
      <c r="J62" s="348" t="n">
        <v>0.995</v>
      </c>
      <c r="K62" s="348" t="n">
        <v>0.98</v>
      </c>
      <c r="L62" s="348" t="n">
        <v>0.99</v>
      </c>
      <c r="M62" s="348" t="n">
        <v>1.005</v>
      </c>
      <c r="N62" s="354" t="n">
        <v>0.99</v>
      </c>
      <c r="P62" s="355" t="n">
        <f aca="false">A62</f>
        <v>37956</v>
      </c>
      <c r="Q62" s="356" t="n">
        <f aca="false">Q61+1</f>
        <v>60</v>
      </c>
    </row>
    <row r="63" customFormat="false" ht="12.75" hidden="false" customHeight="false" outlineLevel="0" collapsed="false">
      <c r="A63" s="353" t="n">
        <v>37987</v>
      </c>
      <c r="B63" s="348" t="n">
        <f aca="false">C63</f>
        <v>0.984974303204383</v>
      </c>
      <c r="C63" s="348" t="n">
        <v>0.984974303204383</v>
      </c>
      <c r="D63" s="348" t="n">
        <v>0.995</v>
      </c>
      <c r="E63" s="348" t="n">
        <v>0.96</v>
      </c>
      <c r="F63" s="348" t="n">
        <v>0.96</v>
      </c>
      <c r="G63" s="348" t="n">
        <v>0.984107647518451</v>
      </c>
      <c r="H63" s="348" t="n">
        <v>0.99</v>
      </c>
      <c r="I63" s="348" t="n">
        <v>0.905775860471433</v>
      </c>
      <c r="J63" s="348" t="n">
        <v>0.995</v>
      </c>
      <c r="K63" s="348" t="n">
        <v>0.98</v>
      </c>
      <c r="L63" s="348" t="n">
        <v>0.99</v>
      </c>
      <c r="M63" s="348" t="n">
        <v>1.005</v>
      </c>
      <c r="N63" s="354" t="n">
        <v>0.99</v>
      </c>
      <c r="P63" s="355" t="n">
        <f aca="false">A63</f>
        <v>37987</v>
      </c>
      <c r="Q63" s="356" t="n">
        <f aca="false">Q62+1</f>
        <v>61</v>
      </c>
    </row>
    <row r="64" customFormat="false" ht="12.75" hidden="false" customHeight="false" outlineLevel="0" collapsed="false">
      <c r="A64" s="353" t="n">
        <v>38018</v>
      </c>
      <c r="B64" s="348" t="n">
        <f aca="false">C64</f>
        <v>0.984974303204383</v>
      </c>
      <c r="C64" s="348" t="n">
        <v>0.984974303204383</v>
      </c>
      <c r="D64" s="348" t="n">
        <v>0.995</v>
      </c>
      <c r="E64" s="348" t="n">
        <v>0.96</v>
      </c>
      <c r="F64" s="348" t="n">
        <v>0.96</v>
      </c>
      <c r="G64" s="348" t="n">
        <v>0.984107647518451</v>
      </c>
      <c r="H64" s="348" t="n">
        <v>0.99</v>
      </c>
      <c r="I64" s="348" t="n">
        <v>0.905775860471433</v>
      </c>
      <c r="J64" s="348" t="n">
        <v>0.995</v>
      </c>
      <c r="K64" s="348" t="n">
        <v>0.98</v>
      </c>
      <c r="L64" s="348" t="n">
        <v>0.99</v>
      </c>
      <c r="M64" s="348" t="n">
        <v>1.005</v>
      </c>
      <c r="N64" s="354" t="n">
        <v>0.99</v>
      </c>
      <c r="P64" s="355" t="n">
        <f aca="false">A64</f>
        <v>38018</v>
      </c>
      <c r="Q64" s="356" t="n">
        <f aca="false">Q63+1</f>
        <v>62</v>
      </c>
    </row>
    <row r="65" customFormat="false" ht="12.75" hidden="false" customHeight="false" outlineLevel="0" collapsed="false">
      <c r="A65" s="353" t="n">
        <v>38047</v>
      </c>
      <c r="B65" s="348" t="n">
        <f aca="false">C65</f>
        <v>0.984974303204383</v>
      </c>
      <c r="C65" s="348" t="n">
        <v>0.984974303204383</v>
      </c>
      <c r="D65" s="348" t="n">
        <v>0.995</v>
      </c>
      <c r="E65" s="348" t="n">
        <v>0.96</v>
      </c>
      <c r="F65" s="348" t="n">
        <v>0.96</v>
      </c>
      <c r="G65" s="348" t="n">
        <v>0.984107647518451</v>
      </c>
      <c r="H65" s="348" t="n">
        <v>0.99</v>
      </c>
      <c r="I65" s="348" t="n">
        <v>0.905775860471433</v>
      </c>
      <c r="J65" s="348" t="n">
        <v>0.995</v>
      </c>
      <c r="K65" s="348" t="n">
        <v>0.98</v>
      </c>
      <c r="L65" s="348" t="n">
        <v>0.99</v>
      </c>
      <c r="M65" s="348" t="n">
        <v>1.005</v>
      </c>
      <c r="N65" s="354" t="n">
        <v>0.99</v>
      </c>
      <c r="P65" s="355" t="n">
        <f aca="false">A65</f>
        <v>38047</v>
      </c>
      <c r="Q65" s="356" t="n">
        <f aca="false">Q64+1</f>
        <v>63</v>
      </c>
    </row>
    <row r="66" customFormat="false" ht="12.75" hidden="false" customHeight="false" outlineLevel="0" collapsed="false">
      <c r="A66" s="353" t="n">
        <v>38078</v>
      </c>
      <c r="B66" s="348" t="n">
        <f aca="false">C66</f>
        <v>0.998309156840132</v>
      </c>
      <c r="C66" s="348" t="n">
        <v>0.998309156840132</v>
      </c>
      <c r="D66" s="348" t="n">
        <v>0.995</v>
      </c>
      <c r="E66" s="348" t="n">
        <v>0.96</v>
      </c>
      <c r="F66" s="348" t="n">
        <v>0.96</v>
      </c>
      <c r="G66" s="348" t="n">
        <v>0.994071440191916</v>
      </c>
      <c r="H66" s="348" t="n">
        <v>0.99</v>
      </c>
      <c r="I66" s="348" t="n">
        <v>0.980420749757432</v>
      </c>
      <c r="J66" s="348" t="n">
        <v>0.995</v>
      </c>
      <c r="K66" s="348" t="n">
        <v>0.98</v>
      </c>
      <c r="L66" s="348" t="n">
        <v>0.99</v>
      </c>
      <c r="M66" s="348" t="n">
        <v>1.005</v>
      </c>
      <c r="N66" s="354" t="n">
        <v>0.99</v>
      </c>
      <c r="P66" s="355" t="n">
        <f aca="false">A66</f>
        <v>38078</v>
      </c>
      <c r="Q66" s="356" t="n">
        <f aca="false">Q65+1</f>
        <v>64</v>
      </c>
    </row>
    <row r="67" customFormat="false" ht="12.75" hidden="false" customHeight="false" outlineLevel="0" collapsed="false">
      <c r="A67" s="353" t="n">
        <v>38108</v>
      </c>
      <c r="B67" s="348" t="n">
        <f aca="false">C67</f>
        <v>0.998309156840132</v>
      </c>
      <c r="C67" s="348" t="n">
        <v>0.998309156840132</v>
      </c>
      <c r="D67" s="348" t="n">
        <v>0.995</v>
      </c>
      <c r="E67" s="348" t="n">
        <v>0.96</v>
      </c>
      <c r="F67" s="348" t="n">
        <v>0.96</v>
      </c>
      <c r="G67" s="348" t="n">
        <v>0.994071440191916</v>
      </c>
      <c r="H67" s="348" t="n">
        <v>0.99</v>
      </c>
      <c r="I67" s="348" t="n">
        <v>0.980420749757432</v>
      </c>
      <c r="J67" s="348" t="n">
        <v>0.995</v>
      </c>
      <c r="K67" s="348" t="n">
        <v>0.98</v>
      </c>
      <c r="L67" s="348" t="n">
        <v>0.99</v>
      </c>
      <c r="M67" s="348" t="n">
        <v>1.005</v>
      </c>
      <c r="N67" s="354" t="n">
        <v>0.99</v>
      </c>
      <c r="P67" s="355" t="n">
        <f aca="false">A67</f>
        <v>38108</v>
      </c>
      <c r="Q67" s="356" t="n">
        <f aca="false">Q66+1</f>
        <v>65</v>
      </c>
    </row>
    <row r="68" customFormat="false" ht="12.75" hidden="false" customHeight="false" outlineLevel="0" collapsed="false">
      <c r="A68" s="353" t="n">
        <v>38139</v>
      </c>
      <c r="B68" s="348" t="n">
        <f aca="false">C68</f>
        <v>0.998309156840132</v>
      </c>
      <c r="C68" s="348" t="n">
        <v>0.998309156840132</v>
      </c>
      <c r="D68" s="348" t="n">
        <v>0.995</v>
      </c>
      <c r="E68" s="348" t="n">
        <v>0.96</v>
      </c>
      <c r="F68" s="348" t="n">
        <v>0.96</v>
      </c>
      <c r="G68" s="348" t="n">
        <v>0.994071440191916</v>
      </c>
      <c r="H68" s="348" t="n">
        <v>0.99</v>
      </c>
      <c r="I68" s="348" t="n">
        <v>0.980420749757432</v>
      </c>
      <c r="J68" s="348" t="n">
        <v>0.995</v>
      </c>
      <c r="K68" s="348" t="n">
        <v>0.98</v>
      </c>
      <c r="L68" s="348" t="n">
        <v>0.99</v>
      </c>
      <c r="M68" s="348" t="n">
        <v>1.005</v>
      </c>
      <c r="N68" s="354" t="n">
        <v>0.99</v>
      </c>
      <c r="P68" s="355" t="n">
        <f aca="false">A68</f>
        <v>38139</v>
      </c>
      <c r="Q68" s="356" t="n">
        <f aca="false">Q67+1</f>
        <v>66</v>
      </c>
    </row>
    <row r="69" customFormat="false" ht="12.75" hidden="false" customHeight="false" outlineLevel="0" collapsed="false">
      <c r="A69" s="353" t="n">
        <v>38169</v>
      </c>
      <c r="B69" s="348" t="n">
        <f aca="false">C69</f>
        <v>0.998309156840132</v>
      </c>
      <c r="C69" s="348" t="n">
        <v>0.998309156840132</v>
      </c>
      <c r="D69" s="348" t="n">
        <v>0.995</v>
      </c>
      <c r="E69" s="348" t="n">
        <v>0.96</v>
      </c>
      <c r="F69" s="348" t="n">
        <v>0.96</v>
      </c>
      <c r="G69" s="348" t="n">
        <v>0.994071440191916</v>
      </c>
      <c r="H69" s="348" t="n">
        <v>0.99</v>
      </c>
      <c r="I69" s="348" t="n">
        <v>0.980420749757432</v>
      </c>
      <c r="J69" s="348" t="n">
        <v>0.995</v>
      </c>
      <c r="K69" s="348" t="n">
        <v>0.98</v>
      </c>
      <c r="L69" s="348" t="n">
        <v>0.99</v>
      </c>
      <c r="M69" s="348" t="n">
        <v>1.005</v>
      </c>
      <c r="N69" s="354" t="n">
        <v>0.99</v>
      </c>
      <c r="P69" s="355" t="n">
        <f aca="false">A69</f>
        <v>38169</v>
      </c>
      <c r="Q69" s="356" t="n">
        <f aca="false">Q68+1</f>
        <v>67</v>
      </c>
    </row>
    <row r="70" customFormat="false" ht="12.75" hidden="false" customHeight="false" outlineLevel="0" collapsed="false">
      <c r="A70" s="353" t="n">
        <v>38200</v>
      </c>
      <c r="B70" s="348" t="n">
        <f aca="false">C70</f>
        <v>0.998309156840132</v>
      </c>
      <c r="C70" s="348" t="n">
        <v>0.998309156840132</v>
      </c>
      <c r="D70" s="348" t="n">
        <v>0.995</v>
      </c>
      <c r="E70" s="348" t="n">
        <v>0.96</v>
      </c>
      <c r="F70" s="348" t="n">
        <v>0.96</v>
      </c>
      <c r="G70" s="348" t="n">
        <v>0.994071440191916</v>
      </c>
      <c r="H70" s="348" t="n">
        <v>0.99</v>
      </c>
      <c r="I70" s="348" t="n">
        <v>0.980420749757432</v>
      </c>
      <c r="J70" s="348" t="n">
        <v>0.995</v>
      </c>
      <c r="K70" s="348" t="n">
        <v>0.98</v>
      </c>
      <c r="L70" s="348" t="n">
        <v>0.99</v>
      </c>
      <c r="M70" s="348" t="n">
        <v>1.005</v>
      </c>
      <c r="N70" s="354" t="n">
        <v>0.99</v>
      </c>
      <c r="P70" s="355" t="n">
        <f aca="false">A70</f>
        <v>38200</v>
      </c>
      <c r="Q70" s="356" t="n">
        <f aca="false">Q69+1</f>
        <v>68</v>
      </c>
    </row>
    <row r="71" customFormat="false" ht="12.75" hidden="false" customHeight="false" outlineLevel="0" collapsed="false">
      <c r="A71" s="353" t="n">
        <v>38231</v>
      </c>
      <c r="B71" s="348" t="n">
        <f aca="false">C71</f>
        <v>0.998309156840132</v>
      </c>
      <c r="C71" s="348" t="n">
        <v>0.998309156840132</v>
      </c>
      <c r="D71" s="348" t="n">
        <v>0.995</v>
      </c>
      <c r="E71" s="348" t="n">
        <v>0.96</v>
      </c>
      <c r="F71" s="348" t="n">
        <v>0.96</v>
      </c>
      <c r="G71" s="348" t="n">
        <v>0.994071440191916</v>
      </c>
      <c r="H71" s="348" t="n">
        <v>0.99</v>
      </c>
      <c r="I71" s="348" t="n">
        <v>0.980420749757432</v>
      </c>
      <c r="J71" s="348" t="n">
        <v>0.995</v>
      </c>
      <c r="K71" s="348" t="n">
        <v>0.98</v>
      </c>
      <c r="L71" s="348" t="n">
        <v>0.99</v>
      </c>
      <c r="M71" s="348" t="n">
        <v>1.005</v>
      </c>
      <c r="N71" s="354" t="n">
        <v>0.99</v>
      </c>
      <c r="P71" s="355" t="n">
        <f aca="false">A71</f>
        <v>38231</v>
      </c>
      <c r="Q71" s="356" t="n">
        <f aca="false">Q70+1</f>
        <v>69</v>
      </c>
    </row>
    <row r="72" customFormat="false" ht="12.75" hidden="false" customHeight="false" outlineLevel="0" collapsed="false">
      <c r="A72" s="353" t="n">
        <v>38261</v>
      </c>
      <c r="B72" s="348" t="n">
        <f aca="false">C72</f>
        <v>0.998309156840132</v>
      </c>
      <c r="C72" s="348" t="n">
        <v>0.998309156840132</v>
      </c>
      <c r="D72" s="348" t="n">
        <v>0.995</v>
      </c>
      <c r="E72" s="348" t="n">
        <v>0.96</v>
      </c>
      <c r="F72" s="348" t="n">
        <v>0.96</v>
      </c>
      <c r="G72" s="348" t="n">
        <v>0.994071440191916</v>
      </c>
      <c r="H72" s="348" t="n">
        <v>0.99</v>
      </c>
      <c r="I72" s="348" t="n">
        <v>0.980420749757432</v>
      </c>
      <c r="J72" s="348" t="n">
        <v>0.995</v>
      </c>
      <c r="K72" s="348" t="n">
        <v>0.98</v>
      </c>
      <c r="L72" s="348" t="n">
        <v>0.99</v>
      </c>
      <c r="M72" s="348" t="n">
        <v>1.005</v>
      </c>
      <c r="N72" s="354" t="n">
        <v>0.99</v>
      </c>
      <c r="P72" s="355" t="n">
        <f aca="false">A72</f>
        <v>38261</v>
      </c>
      <c r="Q72" s="356" t="n">
        <f aca="false">Q71+1</f>
        <v>70</v>
      </c>
    </row>
    <row r="73" customFormat="false" ht="12.75" hidden="false" customHeight="false" outlineLevel="0" collapsed="false">
      <c r="A73" s="353" t="n">
        <v>38292</v>
      </c>
      <c r="B73" s="348" t="n">
        <f aca="false">C73</f>
        <v>0.984974303204383</v>
      </c>
      <c r="C73" s="348" t="n">
        <v>0.984974303204383</v>
      </c>
      <c r="D73" s="348" t="n">
        <v>0.995</v>
      </c>
      <c r="E73" s="348" t="n">
        <v>0.96</v>
      </c>
      <c r="F73" s="348" t="n">
        <v>0.96</v>
      </c>
      <c r="G73" s="348" t="n">
        <v>0.984107647518451</v>
      </c>
      <c r="H73" s="348" t="n">
        <v>0.99</v>
      </c>
      <c r="I73" s="348" t="n">
        <v>0.905775860471433</v>
      </c>
      <c r="J73" s="348" t="n">
        <v>0.995</v>
      </c>
      <c r="K73" s="348" t="n">
        <v>0.98</v>
      </c>
      <c r="L73" s="348" t="n">
        <v>0.99</v>
      </c>
      <c r="M73" s="348" t="n">
        <v>1.005</v>
      </c>
      <c r="N73" s="354" t="n">
        <v>0.99</v>
      </c>
      <c r="P73" s="355" t="n">
        <f aca="false">A73</f>
        <v>38292</v>
      </c>
      <c r="Q73" s="356" t="n">
        <f aca="false">Q72+1</f>
        <v>71</v>
      </c>
    </row>
    <row r="74" customFormat="false" ht="12.75" hidden="false" customHeight="false" outlineLevel="0" collapsed="false">
      <c r="A74" s="353" t="n">
        <v>38322</v>
      </c>
      <c r="B74" s="348" t="n">
        <f aca="false">C74</f>
        <v>0.984974303204383</v>
      </c>
      <c r="C74" s="348" t="n">
        <v>0.984974303204383</v>
      </c>
      <c r="D74" s="348" t="n">
        <v>0.995</v>
      </c>
      <c r="E74" s="348" t="n">
        <v>0.96</v>
      </c>
      <c r="F74" s="348" t="n">
        <v>0.96</v>
      </c>
      <c r="G74" s="348" t="n">
        <v>0.984107647518451</v>
      </c>
      <c r="H74" s="348" t="n">
        <v>0.99</v>
      </c>
      <c r="I74" s="348" t="n">
        <v>0.905775860471433</v>
      </c>
      <c r="J74" s="348" t="n">
        <v>0.995</v>
      </c>
      <c r="K74" s="348" t="n">
        <v>0.98</v>
      </c>
      <c r="L74" s="348" t="n">
        <v>0.99</v>
      </c>
      <c r="M74" s="348" t="n">
        <v>1.005</v>
      </c>
      <c r="N74" s="354" t="n">
        <v>0.99</v>
      </c>
      <c r="P74" s="355" t="n">
        <f aca="false">A74</f>
        <v>38322</v>
      </c>
      <c r="Q74" s="356" t="n">
        <f aca="false">Q73+1</f>
        <v>72</v>
      </c>
    </row>
    <row r="75" customFormat="false" ht="12.75" hidden="false" customHeight="false" outlineLevel="0" collapsed="false">
      <c r="A75" s="353" t="n">
        <v>38353</v>
      </c>
      <c r="B75" s="348" t="n">
        <f aca="false">C75</f>
        <v>0.984974303204383</v>
      </c>
      <c r="C75" s="348" t="n">
        <v>0.984974303204383</v>
      </c>
      <c r="D75" s="348" t="n">
        <v>0.995</v>
      </c>
      <c r="E75" s="348" t="n">
        <v>0.96</v>
      </c>
      <c r="F75" s="348" t="n">
        <v>0.96</v>
      </c>
      <c r="G75" s="348" t="n">
        <v>0.984107647518451</v>
      </c>
      <c r="H75" s="348" t="n">
        <v>0.99</v>
      </c>
      <c r="I75" s="348" t="n">
        <v>0.905775860471433</v>
      </c>
      <c r="J75" s="348" t="n">
        <v>0.995</v>
      </c>
      <c r="K75" s="348" t="n">
        <v>0.98</v>
      </c>
      <c r="L75" s="348" t="n">
        <v>0.99</v>
      </c>
      <c r="M75" s="348" t="n">
        <v>1.005</v>
      </c>
      <c r="N75" s="354" t="n">
        <v>0.99</v>
      </c>
      <c r="P75" s="355" t="n">
        <f aca="false">A75</f>
        <v>38353</v>
      </c>
      <c r="Q75" s="356" t="n">
        <f aca="false">Q74+1</f>
        <v>73</v>
      </c>
    </row>
    <row r="76" customFormat="false" ht="12.75" hidden="false" customHeight="false" outlineLevel="0" collapsed="false">
      <c r="A76" s="353" t="n">
        <v>38384</v>
      </c>
      <c r="B76" s="348" t="n">
        <f aca="false">C76</f>
        <v>0.984974303204383</v>
      </c>
      <c r="C76" s="348" t="n">
        <v>0.984974303204383</v>
      </c>
      <c r="D76" s="348" t="n">
        <v>0.995</v>
      </c>
      <c r="E76" s="348" t="n">
        <v>0.96</v>
      </c>
      <c r="F76" s="348" t="n">
        <v>0.96</v>
      </c>
      <c r="G76" s="348" t="n">
        <v>0.984107647518451</v>
      </c>
      <c r="H76" s="348" t="n">
        <v>0.99</v>
      </c>
      <c r="I76" s="348" t="n">
        <v>0.905775860471433</v>
      </c>
      <c r="J76" s="348" t="n">
        <v>0.995</v>
      </c>
      <c r="K76" s="348" t="n">
        <v>0.98</v>
      </c>
      <c r="L76" s="348" t="n">
        <v>0.99</v>
      </c>
      <c r="M76" s="348" t="n">
        <v>1.005</v>
      </c>
      <c r="N76" s="354" t="n">
        <v>0.99</v>
      </c>
      <c r="P76" s="355" t="n">
        <f aca="false">A76</f>
        <v>38384</v>
      </c>
      <c r="Q76" s="356" t="n">
        <f aca="false">Q75+1</f>
        <v>74</v>
      </c>
    </row>
    <row r="77" customFormat="false" ht="12.75" hidden="false" customHeight="false" outlineLevel="0" collapsed="false">
      <c r="A77" s="353" t="n">
        <v>38412</v>
      </c>
      <c r="B77" s="348" t="n">
        <f aca="false">C77</f>
        <v>0.984974303204383</v>
      </c>
      <c r="C77" s="348" t="n">
        <v>0.984974303204383</v>
      </c>
      <c r="D77" s="348" t="n">
        <v>0.995</v>
      </c>
      <c r="E77" s="348" t="n">
        <v>0.96</v>
      </c>
      <c r="F77" s="348" t="n">
        <v>0.96</v>
      </c>
      <c r="G77" s="348" t="n">
        <v>0.984107647518451</v>
      </c>
      <c r="H77" s="348" t="n">
        <v>0.99</v>
      </c>
      <c r="I77" s="348" t="n">
        <v>0.905775860471433</v>
      </c>
      <c r="J77" s="348" t="n">
        <v>0.995</v>
      </c>
      <c r="K77" s="348" t="n">
        <v>0.98</v>
      </c>
      <c r="L77" s="348" t="n">
        <v>0.99</v>
      </c>
      <c r="M77" s="348" t="n">
        <v>1.005</v>
      </c>
      <c r="N77" s="354" t="n">
        <v>0.99</v>
      </c>
      <c r="P77" s="355" t="n">
        <f aca="false">A77</f>
        <v>38412</v>
      </c>
      <c r="Q77" s="356" t="n">
        <f aca="false">Q76+1</f>
        <v>75</v>
      </c>
    </row>
    <row r="78" customFormat="false" ht="12.75" hidden="false" customHeight="false" outlineLevel="0" collapsed="false">
      <c r="A78" s="353" t="n">
        <v>38443</v>
      </c>
      <c r="B78" s="348" t="n">
        <f aca="false">C78</f>
        <v>0.998309156840132</v>
      </c>
      <c r="C78" s="348" t="n">
        <v>0.998309156840132</v>
      </c>
      <c r="D78" s="348" t="n">
        <v>0.995</v>
      </c>
      <c r="E78" s="348" t="n">
        <v>0.96</v>
      </c>
      <c r="F78" s="348" t="n">
        <v>0.96</v>
      </c>
      <c r="G78" s="348" t="n">
        <v>0.994071440191916</v>
      </c>
      <c r="H78" s="348" t="n">
        <v>0.99</v>
      </c>
      <c r="I78" s="348" t="n">
        <v>0.980420749757432</v>
      </c>
      <c r="J78" s="348" t="n">
        <v>0.995</v>
      </c>
      <c r="K78" s="348" t="n">
        <v>0.98</v>
      </c>
      <c r="L78" s="348" t="n">
        <v>0.99</v>
      </c>
      <c r="M78" s="348" t="n">
        <v>1.005</v>
      </c>
      <c r="N78" s="354" t="n">
        <v>0.99</v>
      </c>
      <c r="P78" s="355" t="n">
        <f aca="false">A78</f>
        <v>38443</v>
      </c>
      <c r="Q78" s="356" t="n">
        <f aca="false">Q77+1</f>
        <v>76</v>
      </c>
    </row>
    <row r="79" customFormat="false" ht="12.75" hidden="false" customHeight="false" outlineLevel="0" collapsed="false">
      <c r="A79" s="353" t="n">
        <v>38473</v>
      </c>
      <c r="B79" s="348" t="n">
        <f aca="false">C79</f>
        <v>0.998309156840132</v>
      </c>
      <c r="C79" s="348" t="n">
        <v>0.998309156840132</v>
      </c>
      <c r="D79" s="348" t="n">
        <v>0.995</v>
      </c>
      <c r="E79" s="348" t="n">
        <v>0.96</v>
      </c>
      <c r="F79" s="348" t="n">
        <v>0.96</v>
      </c>
      <c r="G79" s="348" t="n">
        <v>0.994071440191916</v>
      </c>
      <c r="H79" s="348" t="n">
        <v>0.99</v>
      </c>
      <c r="I79" s="348" t="n">
        <v>0.980420749757432</v>
      </c>
      <c r="J79" s="348" t="n">
        <v>0.995</v>
      </c>
      <c r="K79" s="348" t="n">
        <v>0.98</v>
      </c>
      <c r="L79" s="348" t="n">
        <v>0.99</v>
      </c>
      <c r="M79" s="348" t="n">
        <v>1.005</v>
      </c>
      <c r="N79" s="354" t="n">
        <v>0.99</v>
      </c>
      <c r="P79" s="355" t="n">
        <f aca="false">A79</f>
        <v>38473</v>
      </c>
      <c r="Q79" s="356" t="n">
        <f aca="false">Q78+1</f>
        <v>77</v>
      </c>
    </row>
    <row r="80" customFormat="false" ht="12.75" hidden="false" customHeight="false" outlineLevel="0" collapsed="false">
      <c r="A80" s="353" t="n">
        <v>38504</v>
      </c>
      <c r="B80" s="348" t="n">
        <f aca="false">C80</f>
        <v>0.998309156840132</v>
      </c>
      <c r="C80" s="348" t="n">
        <v>0.998309156840132</v>
      </c>
      <c r="D80" s="348" t="n">
        <v>0.995</v>
      </c>
      <c r="E80" s="348" t="n">
        <v>0.96</v>
      </c>
      <c r="F80" s="348" t="n">
        <v>0.96</v>
      </c>
      <c r="G80" s="348" t="n">
        <v>0.994071440191916</v>
      </c>
      <c r="H80" s="348" t="n">
        <v>0.99</v>
      </c>
      <c r="I80" s="348" t="n">
        <v>0.980420749757432</v>
      </c>
      <c r="J80" s="348" t="n">
        <v>0.995</v>
      </c>
      <c r="K80" s="348" t="n">
        <v>0.98</v>
      </c>
      <c r="L80" s="348" t="n">
        <v>0.99</v>
      </c>
      <c r="M80" s="348" t="n">
        <v>1.005</v>
      </c>
      <c r="N80" s="354" t="n">
        <v>0.99</v>
      </c>
      <c r="P80" s="355" t="n">
        <f aca="false">A80</f>
        <v>38504</v>
      </c>
      <c r="Q80" s="356" t="n">
        <f aca="false">Q79+1</f>
        <v>78</v>
      </c>
    </row>
    <row r="81" customFormat="false" ht="12.75" hidden="false" customHeight="false" outlineLevel="0" collapsed="false">
      <c r="A81" s="353" t="n">
        <v>38534</v>
      </c>
      <c r="B81" s="348" t="n">
        <f aca="false">C81</f>
        <v>0.998309156840132</v>
      </c>
      <c r="C81" s="348" t="n">
        <v>0.998309156840132</v>
      </c>
      <c r="D81" s="348" t="n">
        <v>0.995</v>
      </c>
      <c r="E81" s="348" t="n">
        <v>0.96</v>
      </c>
      <c r="F81" s="348" t="n">
        <v>0.96</v>
      </c>
      <c r="G81" s="348" t="n">
        <v>0.994071440191916</v>
      </c>
      <c r="H81" s="348" t="n">
        <v>0.99</v>
      </c>
      <c r="I81" s="348" t="n">
        <v>0.980420749757432</v>
      </c>
      <c r="J81" s="348" t="n">
        <v>0.995</v>
      </c>
      <c r="K81" s="348" t="n">
        <v>0.98</v>
      </c>
      <c r="L81" s="348" t="n">
        <v>0.99</v>
      </c>
      <c r="M81" s="348" t="n">
        <v>1.005</v>
      </c>
      <c r="N81" s="354" t="n">
        <v>0.99</v>
      </c>
      <c r="P81" s="355" t="n">
        <f aca="false">A81</f>
        <v>38534</v>
      </c>
      <c r="Q81" s="356" t="n">
        <f aca="false">Q80+1</f>
        <v>79</v>
      </c>
    </row>
    <row r="82" customFormat="false" ht="12.75" hidden="false" customHeight="false" outlineLevel="0" collapsed="false">
      <c r="A82" s="353" t="n">
        <v>38565</v>
      </c>
      <c r="B82" s="348" t="n">
        <f aca="false">C82</f>
        <v>0.998309156840132</v>
      </c>
      <c r="C82" s="348" t="n">
        <v>0.998309156840132</v>
      </c>
      <c r="D82" s="348" t="n">
        <v>0.995</v>
      </c>
      <c r="E82" s="348" t="n">
        <v>0.96</v>
      </c>
      <c r="F82" s="348" t="n">
        <v>0.96</v>
      </c>
      <c r="G82" s="348" t="n">
        <v>0.994071440191916</v>
      </c>
      <c r="H82" s="348" t="n">
        <v>0.99</v>
      </c>
      <c r="I82" s="348" t="n">
        <v>0.980420749757432</v>
      </c>
      <c r="J82" s="348" t="n">
        <v>0.995</v>
      </c>
      <c r="K82" s="348" t="n">
        <v>0.98</v>
      </c>
      <c r="L82" s="348" t="n">
        <v>0.99</v>
      </c>
      <c r="M82" s="348" t="n">
        <v>1.005</v>
      </c>
      <c r="N82" s="354" t="n">
        <v>0.99</v>
      </c>
      <c r="P82" s="355" t="n">
        <f aca="false">A82</f>
        <v>38565</v>
      </c>
      <c r="Q82" s="356" t="n">
        <f aca="false">Q81+1</f>
        <v>80</v>
      </c>
    </row>
    <row r="83" customFormat="false" ht="12.75" hidden="false" customHeight="false" outlineLevel="0" collapsed="false">
      <c r="A83" s="353" t="n">
        <v>38596</v>
      </c>
      <c r="B83" s="348" t="n">
        <f aca="false">C83</f>
        <v>0.998309156840132</v>
      </c>
      <c r="C83" s="348" t="n">
        <v>0.998309156840132</v>
      </c>
      <c r="D83" s="348" t="n">
        <v>0.995</v>
      </c>
      <c r="E83" s="348" t="n">
        <v>0.96</v>
      </c>
      <c r="F83" s="348" t="n">
        <v>0.96</v>
      </c>
      <c r="G83" s="348" t="n">
        <v>0.994071440191916</v>
      </c>
      <c r="H83" s="348" t="n">
        <v>0.99</v>
      </c>
      <c r="I83" s="348" t="n">
        <v>0.980420749757432</v>
      </c>
      <c r="J83" s="348" t="n">
        <v>0.995</v>
      </c>
      <c r="K83" s="348" t="n">
        <v>0.98</v>
      </c>
      <c r="L83" s="348" t="n">
        <v>0.99</v>
      </c>
      <c r="M83" s="348" t="n">
        <v>1.005</v>
      </c>
      <c r="N83" s="354" t="n">
        <v>0.99</v>
      </c>
      <c r="P83" s="355" t="n">
        <f aca="false">A83</f>
        <v>38596</v>
      </c>
      <c r="Q83" s="356" t="n">
        <f aca="false">Q82+1</f>
        <v>81</v>
      </c>
    </row>
    <row r="84" customFormat="false" ht="12.75" hidden="false" customHeight="false" outlineLevel="0" collapsed="false">
      <c r="A84" s="353" t="n">
        <v>38626</v>
      </c>
      <c r="B84" s="348" t="n">
        <f aca="false">C84</f>
        <v>0.998309156840132</v>
      </c>
      <c r="C84" s="348" t="n">
        <v>0.998309156840132</v>
      </c>
      <c r="D84" s="348" t="n">
        <v>0.995</v>
      </c>
      <c r="E84" s="348" t="n">
        <v>0.96</v>
      </c>
      <c r="F84" s="348" t="n">
        <v>0.96</v>
      </c>
      <c r="G84" s="348" t="n">
        <v>0.994071440191916</v>
      </c>
      <c r="H84" s="348" t="n">
        <v>0.99</v>
      </c>
      <c r="I84" s="348" t="n">
        <v>0.980420749757432</v>
      </c>
      <c r="J84" s="348" t="n">
        <v>0.995</v>
      </c>
      <c r="K84" s="348" t="n">
        <v>0.98</v>
      </c>
      <c r="L84" s="348" t="n">
        <v>0.99</v>
      </c>
      <c r="M84" s="348" t="n">
        <v>1.005</v>
      </c>
      <c r="N84" s="354" t="n">
        <v>0.99</v>
      </c>
      <c r="P84" s="355" t="n">
        <f aca="false">A84</f>
        <v>38626</v>
      </c>
      <c r="Q84" s="356" t="n">
        <f aca="false">Q83+1</f>
        <v>82</v>
      </c>
    </row>
    <row r="85" customFormat="false" ht="12.75" hidden="false" customHeight="false" outlineLevel="0" collapsed="false">
      <c r="A85" s="353" t="n">
        <v>38657</v>
      </c>
      <c r="B85" s="348" t="n">
        <f aca="false">C85</f>
        <v>0.984974303204383</v>
      </c>
      <c r="C85" s="348" t="n">
        <v>0.984974303204383</v>
      </c>
      <c r="D85" s="348" t="n">
        <v>0.995</v>
      </c>
      <c r="E85" s="348" t="n">
        <v>0.96</v>
      </c>
      <c r="F85" s="348" t="n">
        <v>0.96</v>
      </c>
      <c r="G85" s="348" t="n">
        <v>0.984107647518451</v>
      </c>
      <c r="H85" s="348" t="n">
        <v>0.99</v>
      </c>
      <c r="I85" s="348" t="n">
        <v>0.905775860471433</v>
      </c>
      <c r="J85" s="348" t="n">
        <v>0.995</v>
      </c>
      <c r="K85" s="348" t="n">
        <v>0.98</v>
      </c>
      <c r="L85" s="348" t="n">
        <v>0.99</v>
      </c>
      <c r="M85" s="348" t="n">
        <v>1.005</v>
      </c>
      <c r="N85" s="354" t="n">
        <v>0.99</v>
      </c>
      <c r="P85" s="355" t="n">
        <f aca="false">A85</f>
        <v>38657</v>
      </c>
      <c r="Q85" s="356" t="n">
        <f aca="false">Q84+1</f>
        <v>83</v>
      </c>
    </row>
    <row r="86" customFormat="false" ht="12.75" hidden="false" customHeight="false" outlineLevel="0" collapsed="false">
      <c r="A86" s="353" t="n">
        <v>38687</v>
      </c>
      <c r="B86" s="348" t="n">
        <f aca="false">C86</f>
        <v>0.984974303204383</v>
      </c>
      <c r="C86" s="348" t="n">
        <v>0.984974303204383</v>
      </c>
      <c r="D86" s="348" t="n">
        <v>0.995</v>
      </c>
      <c r="E86" s="348" t="n">
        <v>0.96</v>
      </c>
      <c r="F86" s="348" t="n">
        <v>0.96</v>
      </c>
      <c r="G86" s="348" t="n">
        <v>0.984107647518451</v>
      </c>
      <c r="H86" s="348" t="n">
        <v>0.99</v>
      </c>
      <c r="I86" s="348" t="n">
        <v>0.905775860471433</v>
      </c>
      <c r="J86" s="348" t="n">
        <v>0.995</v>
      </c>
      <c r="K86" s="348" t="n">
        <v>0.98</v>
      </c>
      <c r="L86" s="348" t="n">
        <v>0.99</v>
      </c>
      <c r="M86" s="348" t="n">
        <v>1.005</v>
      </c>
      <c r="N86" s="354" t="n">
        <v>0.99</v>
      </c>
      <c r="P86" s="355" t="n">
        <f aca="false">A86</f>
        <v>38687</v>
      </c>
      <c r="Q86" s="356" t="n">
        <f aca="false">Q85+1</f>
        <v>84</v>
      </c>
    </row>
    <row r="87" customFormat="false" ht="12.75" hidden="false" customHeight="false" outlineLevel="0" collapsed="false">
      <c r="A87" s="353" t="n">
        <v>38718</v>
      </c>
      <c r="B87" s="348" t="n">
        <f aca="false">C87</f>
        <v>0.984974303204383</v>
      </c>
      <c r="C87" s="348" t="n">
        <v>0.984974303204383</v>
      </c>
      <c r="D87" s="348" t="n">
        <v>0.995</v>
      </c>
      <c r="E87" s="348" t="n">
        <v>0.96</v>
      </c>
      <c r="F87" s="348" t="n">
        <v>0.96</v>
      </c>
      <c r="G87" s="348" t="n">
        <v>0.984107647518451</v>
      </c>
      <c r="H87" s="348" t="n">
        <v>0.99</v>
      </c>
      <c r="I87" s="348" t="n">
        <v>0.905775860471433</v>
      </c>
      <c r="J87" s="348" t="n">
        <v>0.995</v>
      </c>
      <c r="K87" s="348" t="n">
        <v>0.98</v>
      </c>
      <c r="L87" s="348" t="n">
        <v>0.99</v>
      </c>
      <c r="M87" s="348" t="n">
        <v>1.005</v>
      </c>
      <c r="N87" s="354" t="n">
        <v>0.99</v>
      </c>
      <c r="P87" s="355" t="n">
        <f aca="false">A87</f>
        <v>38718</v>
      </c>
      <c r="Q87" s="356" t="n">
        <f aca="false">Q86+1</f>
        <v>85</v>
      </c>
    </row>
    <row r="88" customFormat="false" ht="12.75" hidden="false" customHeight="false" outlineLevel="0" collapsed="false">
      <c r="A88" s="353" t="n">
        <v>38749</v>
      </c>
      <c r="B88" s="348" t="n">
        <f aca="false">C88</f>
        <v>0.984974303204383</v>
      </c>
      <c r="C88" s="348" t="n">
        <v>0.984974303204383</v>
      </c>
      <c r="D88" s="348" t="n">
        <v>0.995</v>
      </c>
      <c r="E88" s="348" t="n">
        <v>0.96</v>
      </c>
      <c r="F88" s="348" t="n">
        <v>0.96</v>
      </c>
      <c r="G88" s="348" t="n">
        <v>0.984107647518451</v>
      </c>
      <c r="H88" s="348" t="n">
        <v>0.99</v>
      </c>
      <c r="I88" s="348" t="n">
        <v>0.905775860471433</v>
      </c>
      <c r="J88" s="348" t="n">
        <v>0.995</v>
      </c>
      <c r="K88" s="348" t="n">
        <v>0.98</v>
      </c>
      <c r="L88" s="348" t="n">
        <v>0.99</v>
      </c>
      <c r="M88" s="348" t="n">
        <v>1.005</v>
      </c>
      <c r="N88" s="354" t="n">
        <v>0.99</v>
      </c>
      <c r="P88" s="355" t="n">
        <f aca="false">A88</f>
        <v>38749</v>
      </c>
      <c r="Q88" s="356" t="n">
        <f aca="false">Q87+1</f>
        <v>86</v>
      </c>
    </row>
    <row r="89" customFormat="false" ht="12.75" hidden="false" customHeight="false" outlineLevel="0" collapsed="false">
      <c r="A89" s="353" t="n">
        <v>38777</v>
      </c>
      <c r="B89" s="348" t="n">
        <f aca="false">C89</f>
        <v>0.984974303204383</v>
      </c>
      <c r="C89" s="348" t="n">
        <v>0.984974303204383</v>
      </c>
      <c r="D89" s="348" t="n">
        <v>0.995</v>
      </c>
      <c r="E89" s="348" t="n">
        <v>0.96</v>
      </c>
      <c r="F89" s="348" t="n">
        <v>0.96</v>
      </c>
      <c r="G89" s="348" t="n">
        <v>0.984107647518451</v>
      </c>
      <c r="H89" s="348" t="n">
        <v>0.99</v>
      </c>
      <c r="I89" s="348" t="n">
        <v>0.905775860471433</v>
      </c>
      <c r="J89" s="348" t="n">
        <v>0.995</v>
      </c>
      <c r="K89" s="348" t="n">
        <v>0.98</v>
      </c>
      <c r="L89" s="348" t="n">
        <v>0.99</v>
      </c>
      <c r="M89" s="348" t="n">
        <v>1.005</v>
      </c>
      <c r="N89" s="354" t="n">
        <v>0.99</v>
      </c>
      <c r="P89" s="355" t="n">
        <f aca="false">A89</f>
        <v>38777</v>
      </c>
      <c r="Q89" s="356" t="n">
        <f aca="false">Q88+1</f>
        <v>87</v>
      </c>
    </row>
    <row r="90" customFormat="false" ht="12.75" hidden="false" customHeight="false" outlineLevel="0" collapsed="false">
      <c r="A90" s="353" t="n">
        <v>38808</v>
      </c>
      <c r="B90" s="348" t="n">
        <f aca="false">C90</f>
        <v>0.998309156840132</v>
      </c>
      <c r="C90" s="348" t="n">
        <v>0.998309156840132</v>
      </c>
      <c r="D90" s="348" t="n">
        <v>0.995</v>
      </c>
      <c r="E90" s="348" t="n">
        <v>0.96</v>
      </c>
      <c r="F90" s="348" t="n">
        <v>0.96</v>
      </c>
      <c r="G90" s="348" t="n">
        <v>0.994071440191916</v>
      </c>
      <c r="H90" s="348" t="n">
        <v>0.99</v>
      </c>
      <c r="I90" s="348" t="n">
        <v>0.980420749757432</v>
      </c>
      <c r="J90" s="348" t="n">
        <v>0.995</v>
      </c>
      <c r="K90" s="348" t="n">
        <v>0.98</v>
      </c>
      <c r="L90" s="348" t="n">
        <v>0.99</v>
      </c>
      <c r="M90" s="348" t="n">
        <v>1.005</v>
      </c>
      <c r="N90" s="354" t="n">
        <v>0.99</v>
      </c>
      <c r="P90" s="355" t="n">
        <f aca="false">A90</f>
        <v>38808</v>
      </c>
      <c r="Q90" s="356" t="n">
        <f aca="false">Q89+1</f>
        <v>88</v>
      </c>
    </row>
    <row r="91" customFormat="false" ht="12.75" hidden="false" customHeight="false" outlineLevel="0" collapsed="false">
      <c r="A91" s="353" t="n">
        <v>38838</v>
      </c>
      <c r="B91" s="348" t="n">
        <f aca="false">C91</f>
        <v>0.998309156840132</v>
      </c>
      <c r="C91" s="348" t="n">
        <v>0.998309156840132</v>
      </c>
      <c r="D91" s="348" t="n">
        <v>0.995</v>
      </c>
      <c r="E91" s="348" t="n">
        <v>0.96</v>
      </c>
      <c r="F91" s="348" t="n">
        <v>0.96</v>
      </c>
      <c r="G91" s="348" t="n">
        <v>0.994071440191916</v>
      </c>
      <c r="H91" s="348" t="n">
        <v>0.99</v>
      </c>
      <c r="I91" s="348" t="n">
        <v>0.980420749757432</v>
      </c>
      <c r="J91" s="348" t="n">
        <v>0.995</v>
      </c>
      <c r="K91" s="348" t="n">
        <v>0.98</v>
      </c>
      <c r="L91" s="348" t="n">
        <v>0.99</v>
      </c>
      <c r="M91" s="348" t="n">
        <v>1.005</v>
      </c>
      <c r="N91" s="354" t="n">
        <v>0.99</v>
      </c>
      <c r="P91" s="355" t="n">
        <f aca="false">A91</f>
        <v>38838</v>
      </c>
      <c r="Q91" s="356" t="n">
        <f aca="false">Q90+1</f>
        <v>89</v>
      </c>
    </row>
    <row r="92" customFormat="false" ht="12.75" hidden="false" customHeight="false" outlineLevel="0" collapsed="false">
      <c r="A92" s="353" t="n">
        <v>38869</v>
      </c>
      <c r="B92" s="348" t="n">
        <f aca="false">C92</f>
        <v>0.998309156840132</v>
      </c>
      <c r="C92" s="348" t="n">
        <v>0.998309156840132</v>
      </c>
      <c r="D92" s="348" t="n">
        <v>0.995</v>
      </c>
      <c r="E92" s="348" t="n">
        <v>0.96</v>
      </c>
      <c r="F92" s="348" t="n">
        <v>0.96</v>
      </c>
      <c r="G92" s="348" t="n">
        <v>0.994071440191916</v>
      </c>
      <c r="H92" s="348" t="n">
        <v>0.99</v>
      </c>
      <c r="I92" s="348" t="n">
        <v>0.980420749757432</v>
      </c>
      <c r="J92" s="348" t="n">
        <v>0.995</v>
      </c>
      <c r="K92" s="348" t="n">
        <v>0.98</v>
      </c>
      <c r="L92" s="348" t="n">
        <v>0.99</v>
      </c>
      <c r="M92" s="348" t="n">
        <v>1.005</v>
      </c>
      <c r="N92" s="354" t="n">
        <v>0.99</v>
      </c>
      <c r="P92" s="355" t="n">
        <f aca="false">A92</f>
        <v>38869</v>
      </c>
      <c r="Q92" s="356" t="n">
        <f aca="false">Q91+1</f>
        <v>90</v>
      </c>
    </row>
    <row r="93" customFormat="false" ht="12.75" hidden="false" customHeight="false" outlineLevel="0" collapsed="false">
      <c r="A93" s="353" t="n">
        <v>38899</v>
      </c>
      <c r="B93" s="348" t="n">
        <f aca="false">C93</f>
        <v>0.998309156840132</v>
      </c>
      <c r="C93" s="348" t="n">
        <v>0.998309156840132</v>
      </c>
      <c r="D93" s="348" t="n">
        <v>0.995</v>
      </c>
      <c r="E93" s="348" t="n">
        <v>0.96</v>
      </c>
      <c r="F93" s="348" t="n">
        <v>0.96</v>
      </c>
      <c r="G93" s="348" t="n">
        <v>0.994071440191916</v>
      </c>
      <c r="H93" s="348" t="n">
        <v>0.99</v>
      </c>
      <c r="I93" s="348" t="n">
        <v>0.980420749757432</v>
      </c>
      <c r="J93" s="348" t="n">
        <v>0.995</v>
      </c>
      <c r="K93" s="348" t="n">
        <v>0.98</v>
      </c>
      <c r="L93" s="348" t="n">
        <v>0.99</v>
      </c>
      <c r="M93" s="348" t="n">
        <v>1.005</v>
      </c>
      <c r="N93" s="354" t="n">
        <v>0.99</v>
      </c>
      <c r="P93" s="355" t="n">
        <f aca="false">A93</f>
        <v>38899</v>
      </c>
      <c r="Q93" s="356" t="n">
        <f aca="false">Q92+1</f>
        <v>91</v>
      </c>
    </row>
    <row r="94" customFormat="false" ht="12.75" hidden="false" customHeight="false" outlineLevel="0" collapsed="false">
      <c r="A94" s="353" t="n">
        <v>38930</v>
      </c>
      <c r="B94" s="348" t="n">
        <f aca="false">C94</f>
        <v>0.998309156840132</v>
      </c>
      <c r="C94" s="348" t="n">
        <v>0.998309156840132</v>
      </c>
      <c r="D94" s="348" t="n">
        <v>0.995</v>
      </c>
      <c r="E94" s="348" t="n">
        <v>0.96</v>
      </c>
      <c r="F94" s="348" t="n">
        <v>0.96</v>
      </c>
      <c r="G94" s="348" t="n">
        <v>0.994071440191916</v>
      </c>
      <c r="H94" s="348" t="n">
        <v>0.99</v>
      </c>
      <c r="I94" s="348" t="n">
        <v>0.980420749757432</v>
      </c>
      <c r="J94" s="348" t="n">
        <v>0.995</v>
      </c>
      <c r="K94" s="348" t="n">
        <v>0.98</v>
      </c>
      <c r="L94" s="348" t="n">
        <v>0.99</v>
      </c>
      <c r="M94" s="348" t="n">
        <v>1.005</v>
      </c>
      <c r="N94" s="354" t="n">
        <v>0.99</v>
      </c>
      <c r="P94" s="355" t="n">
        <f aca="false">A94</f>
        <v>38930</v>
      </c>
      <c r="Q94" s="356" t="n">
        <f aca="false">Q93+1</f>
        <v>92</v>
      </c>
    </row>
    <row r="95" customFormat="false" ht="12.75" hidden="false" customHeight="false" outlineLevel="0" collapsed="false">
      <c r="A95" s="353" t="n">
        <v>38961</v>
      </c>
      <c r="B95" s="348" t="n">
        <f aca="false">C95</f>
        <v>0.998309156840132</v>
      </c>
      <c r="C95" s="348" t="n">
        <v>0.998309156840132</v>
      </c>
      <c r="D95" s="348" t="n">
        <v>0.995</v>
      </c>
      <c r="E95" s="348" t="n">
        <v>0.96</v>
      </c>
      <c r="F95" s="348" t="n">
        <v>0.96</v>
      </c>
      <c r="G95" s="348" t="n">
        <v>0.994071440191916</v>
      </c>
      <c r="H95" s="348" t="n">
        <v>0.99</v>
      </c>
      <c r="I95" s="348" t="n">
        <v>0.980420749757432</v>
      </c>
      <c r="J95" s="348" t="n">
        <v>0.995</v>
      </c>
      <c r="K95" s="348" t="n">
        <v>0.98</v>
      </c>
      <c r="L95" s="348" t="n">
        <v>0.99</v>
      </c>
      <c r="M95" s="348" t="n">
        <v>1.005</v>
      </c>
      <c r="N95" s="354" t="n">
        <v>0.99</v>
      </c>
      <c r="P95" s="355" t="n">
        <f aca="false">A95</f>
        <v>38961</v>
      </c>
      <c r="Q95" s="356" t="n">
        <f aca="false">Q94+1</f>
        <v>93</v>
      </c>
    </row>
    <row r="96" customFormat="false" ht="12.75" hidden="false" customHeight="false" outlineLevel="0" collapsed="false">
      <c r="A96" s="353" t="n">
        <v>38991</v>
      </c>
      <c r="B96" s="348" t="n">
        <f aca="false">C96</f>
        <v>0.998309156840132</v>
      </c>
      <c r="C96" s="348" t="n">
        <v>0.998309156840132</v>
      </c>
      <c r="D96" s="348" t="n">
        <v>0.995</v>
      </c>
      <c r="E96" s="348" t="n">
        <v>0.96</v>
      </c>
      <c r="F96" s="348" t="n">
        <v>0.96</v>
      </c>
      <c r="G96" s="348" t="n">
        <v>0.994071440191916</v>
      </c>
      <c r="H96" s="348" t="n">
        <v>0.99</v>
      </c>
      <c r="I96" s="348" t="n">
        <v>0.980420749757432</v>
      </c>
      <c r="J96" s="348" t="n">
        <v>0.995</v>
      </c>
      <c r="K96" s="348" t="n">
        <v>0.98</v>
      </c>
      <c r="L96" s="348" t="n">
        <v>0.99</v>
      </c>
      <c r="M96" s="348" t="n">
        <v>1.005</v>
      </c>
      <c r="N96" s="354" t="n">
        <v>0.99</v>
      </c>
      <c r="P96" s="355" t="n">
        <f aca="false">A96</f>
        <v>38991</v>
      </c>
      <c r="Q96" s="356" t="n">
        <f aca="false">Q95+1</f>
        <v>94</v>
      </c>
    </row>
    <row r="97" customFormat="false" ht="12.75" hidden="false" customHeight="false" outlineLevel="0" collapsed="false">
      <c r="A97" s="353" t="n">
        <v>39022</v>
      </c>
      <c r="B97" s="348" t="n">
        <f aca="false">C97</f>
        <v>0.984974303204383</v>
      </c>
      <c r="C97" s="348" t="n">
        <v>0.984974303204383</v>
      </c>
      <c r="D97" s="348" t="n">
        <v>0.995</v>
      </c>
      <c r="E97" s="348" t="n">
        <v>0.96</v>
      </c>
      <c r="F97" s="348" t="n">
        <v>0.96</v>
      </c>
      <c r="G97" s="348" t="n">
        <v>0.984107647518451</v>
      </c>
      <c r="H97" s="348" t="n">
        <v>0.99</v>
      </c>
      <c r="I97" s="348" t="n">
        <v>0.905775860471433</v>
      </c>
      <c r="J97" s="348" t="n">
        <v>0.995</v>
      </c>
      <c r="K97" s="348" t="n">
        <v>0.98</v>
      </c>
      <c r="L97" s="348" t="n">
        <v>0.99</v>
      </c>
      <c r="M97" s="348" t="n">
        <v>1.005</v>
      </c>
      <c r="N97" s="354" t="n">
        <v>0.99</v>
      </c>
      <c r="P97" s="355" t="n">
        <f aca="false">A97</f>
        <v>39022</v>
      </c>
      <c r="Q97" s="356" t="n">
        <f aca="false">Q96+1</f>
        <v>95</v>
      </c>
    </row>
    <row r="98" customFormat="false" ht="12.75" hidden="false" customHeight="false" outlineLevel="0" collapsed="false">
      <c r="A98" s="353" t="n">
        <v>39052</v>
      </c>
      <c r="B98" s="348" t="n">
        <f aca="false">C98</f>
        <v>0.984974303204383</v>
      </c>
      <c r="C98" s="348" t="n">
        <v>0.984974303204383</v>
      </c>
      <c r="D98" s="348" t="n">
        <v>0.995</v>
      </c>
      <c r="E98" s="348" t="n">
        <v>0.96</v>
      </c>
      <c r="F98" s="348" t="n">
        <v>0.96</v>
      </c>
      <c r="G98" s="348" t="n">
        <v>0.984107647518451</v>
      </c>
      <c r="H98" s="348" t="n">
        <v>0.99</v>
      </c>
      <c r="I98" s="348" t="n">
        <v>0.905775860471433</v>
      </c>
      <c r="J98" s="348" t="n">
        <v>0.995</v>
      </c>
      <c r="K98" s="348" t="n">
        <v>0.98</v>
      </c>
      <c r="L98" s="348" t="n">
        <v>0.99</v>
      </c>
      <c r="M98" s="348" t="n">
        <v>1.005</v>
      </c>
      <c r="N98" s="354" t="n">
        <v>0.99</v>
      </c>
      <c r="P98" s="355" t="n">
        <f aca="false">A98</f>
        <v>39052</v>
      </c>
      <c r="Q98" s="356" t="n">
        <f aca="false">Q97+1</f>
        <v>96</v>
      </c>
    </row>
    <row r="99" customFormat="false" ht="12.75" hidden="false" customHeight="false" outlineLevel="0" collapsed="false">
      <c r="A99" s="353" t="n">
        <v>39083</v>
      </c>
      <c r="B99" s="348" t="n">
        <f aca="false">C99</f>
        <v>0.984974303204383</v>
      </c>
      <c r="C99" s="348" t="n">
        <v>0.984974303204383</v>
      </c>
      <c r="D99" s="348" t="n">
        <v>0.995</v>
      </c>
      <c r="E99" s="348" t="n">
        <v>0.96</v>
      </c>
      <c r="F99" s="348" t="n">
        <v>0.96</v>
      </c>
      <c r="G99" s="348" t="n">
        <v>0.984107647518451</v>
      </c>
      <c r="H99" s="348" t="n">
        <v>0.99</v>
      </c>
      <c r="I99" s="348" t="n">
        <v>0.905775860471433</v>
      </c>
      <c r="J99" s="348" t="n">
        <v>0.995</v>
      </c>
      <c r="K99" s="348" t="n">
        <v>0.98</v>
      </c>
      <c r="L99" s="348" t="n">
        <v>0.99</v>
      </c>
      <c r="M99" s="348" t="n">
        <v>1.005</v>
      </c>
      <c r="N99" s="354" t="n">
        <v>0.99</v>
      </c>
      <c r="P99" s="355" t="n">
        <f aca="false">A99</f>
        <v>39083</v>
      </c>
      <c r="Q99" s="356" t="n">
        <f aca="false">Q98+1</f>
        <v>97</v>
      </c>
    </row>
    <row r="100" customFormat="false" ht="12.75" hidden="false" customHeight="false" outlineLevel="0" collapsed="false">
      <c r="A100" s="353" t="n">
        <v>39114</v>
      </c>
      <c r="B100" s="348" t="n">
        <f aca="false">C100</f>
        <v>0.984974303204383</v>
      </c>
      <c r="C100" s="348" t="n">
        <v>0.984974303204383</v>
      </c>
      <c r="D100" s="348" t="n">
        <v>0.995</v>
      </c>
      <c r="E100" s="348" t="n">
        <v>0.96</v>
      </c>
      <c r="F100" s="348" t="n">
        <v>0.96</v>
      </c>
      <c r="G100" s="348" t="n">
        <v>0.984107647518451</v>
      </c>
      <c r="H100" s="348" t="n">
        <v>0.99</v>
      </c>
      <c r="I100" s="348" t="n">
        <v>0.905775860471433</v>
      </c>
      <c r="J100" s="348" t="n">
        <v>0.995</v>
      </c>
      <c r="K100" s="348" t="n">
        <v>0.98</v>
      </c>
      <c r="L100" s="348" t="n">
        <v>0.99</v>
      </c>
      <c r="M100" s="348" t="n">
        <v>1.005</v>
      </c>
      <c r="N100" s="354" t="n">
        <v>0.99</v>
      </c>
      <c r="P100" s="355" t="n">
        <f aca="false">A100</f>
        <v>39114</v>
      </c>
      <c r="Q100" s="356" t="n">
        <f aca="false">Q99+1</f>
        <v>98</v>
      </c>
    </row>
    <row r="101" customFormat="false" ht="12.75" hidden="false" customHeight="false" outlineLevel="0" collapsed="false">
      <c r="A101" s="353" t="n">
        <v>39142</v>
      </c>
      <c r="B101" s="348" t="n">
        <f aca="false">C101</f>
        <v>0.984974303204383</v>
      </c>
      <c r="C101" s="348" t="n">
        <v>0.984974303204383</v>
      </c>
      <c r="D101" s="348" t="n">
        <v>0.995</v>
      </c>
      <c r="E101" s="348" t="n">
        <v>0.96</v>
      </c>
      <c r="F101" s="348" t="n">
        <v>0.96</v>
      </c>
      <c r="G101" s="348" t="n">
        <v>0.984107647518451</v>
      </c>
      <c r="H101" s="348" t="n">
        <v>0.99</v>
      </c>
      <c r="I101" s="348" t="n">
        <v>0.905775860471433</v>
      </c>
      <c r="J101" s="348" t="n">
        <v>0.995</v>
      </c>
      <c r="K101" s="348" t="n">
        <v>0.98</v>
      </c>
      <c r="L101" s="348" t="n">
        <v>0.99</v>
      </c>
      <c r="M101" s="348" t="n">
        <v>1.005</v>
      </c>
      <c r="N101" s="354" t="n">
        <v>0.99</v>
      </c>
      <c r="P101" s="355" t="n">
        <f aca="false">A101</f>
        <v>39142</v>
      </c>
      <c r="Q101" s="356" t="n">
        <f aca="false">Q100+1</f>
        <v>99</v>
      </c>
    </row>
    <row r="102" customFormat="false" ht="12.75" hidden="false" customHeight="false" outlineLevel="0" collapsed="false">
      <c r="A102" s="353" t="n">
        <v>39173</v>
      </c>
      <c r="B102" s="348" t="n">
        <f aca="false">C102</f>
        <v>0.9306</v>
      </c>
      <c r="C102" s="348" t="n">
        <v>0.9306</v>
      </c>
      <c r="D102" s="348" t="n">
        <v>0.995</v>
      </c>
      <c r="E102" s="348" t="n">
        <v>0.96</v>
      </c>
      <c r="F102" s="348" t="n">
        <v>0.96</v>
      </c>
      <c r="G102" s="348" t="n">
        <v>0.9306</v>
      </c>
      <c r="H102" s="348" t="n">
        <v>0.99</v>
      </c>
      <c r="I102" s="348" t="n">
        <v>0.9306</v>
      </c>
      <c r="J102" s="348" t="n">
        <v>0.995</v>
      </c>
      <c r="K102" s="348" t="n">
        <v>0.98</v>
      </c>
      <c r="L102" s="348" t="n">
        <v>0.99</v>
      </c>
      <c r="M102" s="348" t="n">
        <v>1.005</v>
      </c>
      <c r="N102" s="354" t="n">
        <v>0.99</v>
      </c>
      <c r="P102" s="355" t="n">
        <f aca="false">A102</f>
        <v>39173</v>
      </c>
      <c r="Q102" s="356" t="n">
        <f aca="false">Q101+1</f>
        <v>100</v>
      </c>
    </row>
    <row r="103" customFormat="false" ht="12.75" hidden="false" customHeight="false" outlineLevel="0" collapsed="false">
      <c r="A103" s="353" t="n">
        <v>39203</v>
      </c>
      <c r="B103" s="348" t="n">
        <f aca="false">C103</f>
        <v>0.9306</v>
      </c>
      <c r="C103" s="348" t="n">
        <v>0.9306</v>
      </c>
      <c r="D103" s="348" t="n">
        <v>0.995</v>
      </c>
      <c r="E103" s="348" t="n">
        <v>0.96</v>
      </c>
      <c r="F103" s="348" t="n">
        <v>0.96</v>
      </c>
      <c r="G103" s="348" t="n">
        <v>0.9306</v>
      </c>
      <c r="H103" s="348" t="n">
        <v>0.99</v>
      </c>
      <c r="I103" s="348" t="n">
        <v>0.9306</v>
      </c>
      <c r="J103" s="348" t="n">
        <v>0.995</v>
      </c>
      <c r="K103" s="348" t="n">
        <v>0.98</v>
      </c>
      <c r="L103" s="348" t="n">
        <v>0.99</v>
      </c>
      <c r="M103" s="348" t="n">
        <v>1.005</v>
      </c>
      <c r="N103" s="354" t="n">
        <v>0.99</v>
      </c>
      <c r="P103" s="355" t="n">
        <f aca="false">A103</f>
        <v>39203</v>
      </c>
      <c r="Q103" s="356" t="n">
        <f aca="false">Q102+1</f>
        <v>101</v>
      </c>
    </row>
    <row r="104" customFormat="false" ht="12.75" hidden="false" customHeight="false" outlineLevel="0" collapsed="false">
      <c r="A104" s="353" t="n">
        <v>39234</v>
      </c>
      <c r="B104" s="348" t="n">
        <f aca="false">C104</f>
        <v>0.9306</v>
      </c>
      <c r="C104" s="348" t="n">
        <v>0.9306</v>
      </c>
      <c r="D104" s="348" t="n">
        <v>0.995</v>
      </c>
      <c r="E104" s="348" t="n">
        <v>0.96</v>
      </c>
      <c r="F104" s="348" t="n">
        <v>0.96</v>
      </c>
      <c r="G104" s="348" t="n">
        <v>0.9306</v>
      </c>
      <c r="H104" s="348" t="n">
        <v>0.99</v>
      </c>
      <c r="I104" s="348" t="n">
        <v>0.9306</v>
      </c>
      <c r="J104" s="348" t="n">
        <v>0.995</v>
      </c>
      <c r="K104" s="348" t="n">
        <v>0.98</v>
      </c>
      <c r="L104" s="348" t="n">
        <v>0.99</v>
      </c>
      <c r="M104" s="348" t="n">
        <v>1.005</v>
      </c>
      <c r="N104" s="354" t="n">
        <v>0.99</v>
      </c>
      <c r="P104" s="355" t="n">
        <f aca="false">A104</f>
        <v>39234</v>
      </c>
      <c r="Q104" s="356" t="n">
        <f aca="false">Q103+1</f>
        <v>102</v>
      </c>
    </row>
    <row r="105" customFormat="false" ht="12.75" hidden="false" customHeight="false" outlineLevel="0" collapsed="false">
      <c r="A105" s="353" t="n">
        <v>39264</v>
      </c>
      <c r="B105" s="348" t="n">
        <f aca="false">C105</f>
        <v>0.9306</v>
      </c>
      <c r="C105" s="348" t="n">
        <v>0.9306</v>
      </c>
      <c r="D105" s="348" t="n">
        <v>0.995</v>
      </c>
      <c r="E105" s="348" t="n">
        <v>0.96</v>
      </c>
      <c r="F105" s="348" t="n">
        <v>0.96</v>
      </c>
      <c r="G105" s="348" t="n">
        <v>0.9306</v>
      </c>
      <c r="H105" s="348" t="n">
        <v>0.99</v>
      </c>
      <c r="I105" s="348" t="n">
        <v>0.9306</v>
      </c>
      <c r="J105" s="348" t="n">
        <v>0.995</v>
      </c>
      <c r="K105" s="348" t="n">
        <v>0.98</v>
      </c>
      <c r="L105" s="348" t="n">
        <v>0.99</v>
      </c>
      <c r="M105" s="348" t="n">
        <v>1.005</v>
      </c>
      <c r="N105" s="354" t="n">
        <v>0.99</v>
      </c>
      <c r="P105" s="355" t="n">
        <f aca="false">A105</f>
        <v>39264</v>
      </c>
      <c r="Q105" s="356" t="n">
        <f aca="false">Q104+1</f>
        <v>103</v>
      </c>
    </row>
    <row r="106" customFormat="false" ht="12.75" hidden="false" customHeight="false" outlineLevel="0" collapsed="false">
      <c r="A106" s="353" t="n">
        <v>39295</v>
      </c>
      <c r="B106" s="348" t="n">
        <f aca="false">C106</f>
        <v>0.9306</v>
      </c>
      <c r="C106" s="348" t="n">
        <v>0.9306</v>
      </c>
      <c r="D106" s="348" t="n">
        <v>0.995</v>
      </c>
      <c r="E106" s="348" t="n">
        <v>0.96</v>
      </c>
      <c r="F106" s="348" t="n">
        <v>0.96</v>
      </c>
      <c r="G106" s="348" t="n">
        <v>0.9306</v>
      </c>
      <c r="H106" s="348" t="n">
        <v>0.99</v>
      </c>
      <c r="I106" s="348" t="n">
        <v>0.9306</v>
      </c>
      <c r="J106" s="348" t="n">
        <v>0.995</v>
      </c>
      <c r="K106" s="348" t="n">
        <v>0.98</v>
      </c>
      <c r="L106" s="348" t="n">
        <v>0.99</v>
      </c>
      <c r="M106" s="348" t="n">
        <v>1.005</v>
      </c>
      <c r="N106" s="354" t="n">
        <v>0.99</v>
      </c>
      <c r="P106" s="355" t="n">
        <f aca="false">A106</f>
        <v>39295</v>
      </c>
      <c r="Q106" s="356" t="n">
        <f aca="false">Q105+1</f>
        <v>104</v>
      </c>
    </row>
    <row r="107" customFormat="false" ht="12.75" hidden="false" customHeight="false" outlineLevel="0" collapsed="false">
      <c r="A107" s="353" t="n">
        <v>39326</v>
      </c>
      <c r="B107" s="348" t="n">
        <f aca="false">C107</f>
        <v>0.9306</v>
      </c>
      <c r="C107" s="348" t="n">
        <v>0.9306</v>
      </c>
      <c r="D107" s="348" t="n">
        <v>0.995</v>
      </c>
      <c r="E107" s="348" t="n">
        <v>0.96</v>
      </c>
      <c r="F107" s="348" t="n">
        <v>0.96</v>
      </c>
      <c r="G107" s="348" t="n">
        <v>0.9306</v>
      </c>
      <c r="H107" s="348" t="n">
        <v>0.99</v>
      </c>
      <c r="I107" s="348" t="n">
        <v>0.9306</v>
      </c>
      <c r="J107" s="348" t="n">
        <v>0.995</v>
      </c>
      <c r="K107" s="348" t="n">
        <v>0.98</v>
      </c>
      <c r="L107" s="348" t="n">
        <v>0.99</v>
      </c>
      <c r="M107" s="348" t="n">
        <v>1.005</v>
      </c>
      <c r="N107" s="354" t="n">
        <v>0.99</v>
      </c>
      <c r="P107" s="355" t="n">
        <f aca="false">A107</f>
        <v>39326</v>
      </c>
      <c r="Q107" s="356" t="n">
        <f aca="false">Q106+1</f>
        <v>105</v>
      </c>
    </row>
    <row r="108" customFormat="false" ht="12.75" hidden="false" customHeight="false" outlineLevel="0" collapsed="false">
      <c r="A108" s="353" t="n">
        <v>39356</v>
      </c>
      <c r="B108" s="348" t="n">
        <f aca="false">C108</f>
        <v>0.9306</v>
      </c>
      <c r="C108" s="348" t="n">
        <v>0.9306</v>
      </c>
      <c r="D108" s="348" t="n">
        <v>0.995</v>
      </c>
      <c r="E108" s="348" t="n">
        <v>0.96</v>
      </c>
      <c r="F108" s="348" t="n">
        <v>0.96</v>
      </c>
      <c r="G108" s="348" t="n">
        <v>0.9306</v>
      </c>
      <c r="H108" s="348" t="n">
        <v>0.99</v>
      </c>
      <c r="I108" s="348" t="n">
        <v>0.9306</v>
      </c>
      <c r="J108" s="348" t="n">
        <v>0.995</v>
      </c>
      <c r="K108" s="348" t="n">
        <v>0.98</v>
      </c>
      <c r="L108" s="348" t="n">
        <v>0.99</v>
      </c>
      <c r="M108" s="348" t="n">
        <v>1.005</v>
      </c>
      <c r="N108" s="354" t="n">
        <v>0.99</v>
      </c>
      <c r="P108" s="355" t="n">
        <f aca="false">A108</f>
        <v>39356</v>
      </c>
      <c r="Q108" s="356" t="n">
        <f aca="false">Q107+1</f>
        <v>106</v>
      </c>
    </row>
    <row r="109" customFormat="false" ht="12.75" hidden="false" customHeight="false" outlineLevel="0" collapsed="false">
      <c r="A109" s="353" t="n">
        <v>39387</v>
      </c>
      <c r="B109" s="348" t="n">
        <f aca="false">C109</f>
        <v>0.9306</v>
      </c>
      <c r="C109" s="348" t="n">
        <v>0.9306</v>
      </c>
      <c r="D109" s="348" t="n">
        <v>0.995</v>
      </c>
      <c r="E109" s="348" t="n">
        <v>0.96</v>
      </c>
      <c r="F109" s="348" t="n">
        <v>0.96</v>
      </c>
      <c r="G109" s="348" t="n">
        <v>0.9306</v>
      </c>
      <c r="H109" s="348" t="n">
        <v>0.99</v>
      </c>
      <c r="I109" s="348" t="n">
        <v>0.9306</v>
      </c>
      <c r="J109" s="348" t="n">
        <v>0.995</v>
      </c>
      <c r="K109" s="348" t="n">
        <v>0.98</v>
      </c>
      <c r="L109" s="348" t="n">
        <v>0.99</v>
      </c>
      <c r="M109" s="348" t="n">
        <v>1.005</v>
      </c>
      <c r="N109" s="354" t="n">
        <v>0.99</v>
      </c>
      <c r="P109" s="355" t="n">
        <f aca="false">A109</f>
        <v>39387</v>
      </c>
      <c r="Q109" s="356" t="n">
        <f aca="false">Q108+1</f>
        <v>107</v>
      </c>
    </row>
    <row r="110" customFormat="false" ht="12.75" hidden="false" customHeight="false" outlineLevel="0" collapsed="false">
      <c r="A110" s="353" t="n">
        <v>39417</v>
      </c>
      <c r="B110" s="348" t="n">
        <f aca="false">C110</f>
        <v>0.9306</v>
      </c>
      <c r="C110" s="348" t="n">
        <v>0.9306</v>
      </c>
      <c r="D110" s="348" t="n">
        <v>0.995</v>
      </c>
      <c r="E110" s="348" t="n">
        <v>0.96</v>
      </c>
      <c r="F110" s="348" t="n">
        <v>0.96</v>
      </c>
      <c r="G110" s="348" t="n">
        <v>0.9306</v>
      </c>
      <c r="H110" s="348" t="n">
        <v>0.99</v>
      </c>
      <c r="I110" s="348" t="n">
        <v>0.9306</v>
      </c>
      <c r="J110" s="348" t="n">
        <v>0.995</v>
      </c>
      <c r="K110" s="348" t="n">
        <v>0.98</v>
      </c>
      <c r="L110" s="348" t="n">
        <v>0.99</v>
      </c>
      <c r="M110" s="348" t="n">
        <v>1.005</v>
      </c>
      <c r="N110" s="354" t="n">
        <v>0.99</v>
      </c>
      <c r="P110" s="355" t="n">
        <f aca="false">A110</f>
        <v>39417</v>
      </c>
      <c r="Q110" s="356" t="n">
        <f aca="false">Q109+1</f>
        <v>108</v>
      </c>
    </row>
    <row r="111" customFormat="false" ht="12.75" hidden="false" customHeight="false" outlineLevel="0" collapsed="false">
      <c r="A111" s="353" t="n">
        <v>39448</v>
      </c>
      <c r="B111" s="348" t="n">
        <f aca="false">C111</f>
        <v>0.9306</v>
      </c>
      <c r="C111" s="348" t="n">
        <v>0.9306</v>
      </c>
      <c r="D111" s="348" t="n">
        <v>0.995</v>
      </c>
      <c r="E111" s="348" t="n">
        <v>0.96</v>
      </c>
      <c r="F111" s="348" t="n">
        <v>0.96</v>
      </c>
      <c r="G111" s="348" t="n">
        <v>0.9306</v>
      </c>
      <c r="H111" s="348" t="n">
        <v>0.99</v>
      </c>
      <c r="I111" s="348" t="n">
        <v>0.9306</v>
      </c>
      <c r="J111" s="348" t="n">
        <v>0.995</v>
      </c>
      <c r="K111" s="348" t="n">
        <v>0.98</v>
      </c>
      <c r="L111" s="348" t="n">
        <v>0.99</v>
      </c>
      <c r="M111" s="348" t="n">
        <v>1.005</v>
      </c>
      <c r="N111" s="354" t="n">
        <v>0.99</v>
      </c>
      <c r="P111" s="355" t="n">
        <f aca="false">A111</f>
        <v>39448</v>
      </c>
      <c r="Q111" s="356" t="n">
        <f aca="false">Q110+1</f>
        <v>109</v>
      </c>
    </row>
    <row r="112" customFormat="false" ht="12.75" hidden="false" customHeight="false" outlineLevel="0" collapsed="false">
      <c r="A112" s="353" t="n">
        <v>39479</v>
      </c>
      <c r="B112" s="348" t="n">
        <f aca="false">C112</f>
        <v>0.9306</v>
      </c>
      <c r="C112" s="348" t="n">
        <v>0.9306</v>
      </c>
      <c r="D112" s="348" t="n">
        <v>0.995</v>
      </c>
      <c r="E112" s="348" t="n">
        <v>0.96</v>
      </c>
      <c r="F112" s="348" t="n">
        <v>0.96</v>
      </c>
      <c r="G112" s="348" t="n">
        <v>0.9306</v>
      </c>
      <c r="H112" s="348" t="n">
        <v>0.99</v>
      </c>
      <c r="I112" s="348" t="n">
        <v>0.9306</v>
      </c>
      <c r="J112" s="348" t="n">
        <v>0.995</v>
      </c>
      <c r="K112" s="348" t="n">
        <v>0.98</v>
      </c>
      <c r="L112" s="348" t="n">
        <v>0.99</v>
      </c>
      <c r="M112" s="348" t="n">
        <v>1.005</v>
      </c>
      <c r="N112" s="354" t="n">
        <v>0.99</v>
      </c>
      <c r="P112" s="355" t="n">
        <f aca="false">A112</f>
        <v>39479</v>
      </c>
      <c r="Q112" s="356" t="n">
        <f aca="false">Q111+1</f>
        <v>110</v>
      </c>
    </row>
    <row r="113" customFormat="false" ht="12.75" hidden="false" customHeight="false" outlineLevel="0" collapsed="false">
      <c r="A113" s="353" t="n">
        <v>39508</v>
      </c>
      <c r="B113" s="348" t="n">
        <f aca="false">C113</f>
        <v>0.9306</v>
      </c>
      <c r="C113" s="348" t="n">
        <v>0.9306</v>
      </c>
      <c r="D113" s="348" t="n">
        <v>0.995</v>
      </c>
      <c r="E113" s="348" t="n">
        <v>0.96</v>
      </c>
      <c r="F113" s="348" t="n">
        <v>0.96</v>
      </c>
      <c r="G113" s="348" t="n">
        <v>0.9306</v>
      </c>
      <c r="H113" s="348" t="n">
        <v>0.99</v>
      </c>
      <c r="I113" s="348" t="n">
        <v>0.9306</v>
      </c>
      <c r="J113" s="348" t="n">
        <v>0.995</v>
      </c>
      <c r="K113" s="348" t="n">
        <v>0.98</v>
      </c>
      <c r="L113" s="348" t="n">
        <v>0.99</v>
      </c>
      <c r="M113" s="348" t="n">
        <v>1.005</v>
      </c>
      <c r="N113" s="354" t="n">
        <v>0.99</v>
      </c>
      <c r="P113" s="355" t="n">
        <f aca="false">A113</f>
        <v>39508</v>
      </c>
      <c r="Q113" s="356" t="n">
        <f aca="false">Q112+1</f>
        <v>111</v>
      </c>
    </row>
    <row r="114" customFormat="false" ht="12.75" hidden="false" customHeight="false" outlineLevel="0" collapsed="false">
      <c r="A114" s="353" t="n">
        <v>39539</v>
      </c>
      <c r="B114" s="348" t="n">
        <f aca="false">C114</f>
        <v>0.9306</v>
      </c>
      <c r="C114" s="348" t="n">
        <v>0.9306</v>
      </c>
      <c r="D114" s="348" t="n">
        <v>0.995</v>
      </c>
      <c r="E114" s="348" t="n">
        <v>0.96</v>
      </c>
      <c r="F114" s="348" t="n">
        <v>0.96</v>
      </c>
      <c r="G114" s="348" t="n">
        <v>0.9306</v>
      </c>
      <c r="H114" s="348" t="n">
        <v>0.99</v>
      </c>
      <c r="I114" s="348" t="n">
        <v>0.9306</v>
      </c>
      <c r="J114" s="348" t="n">
        <v>0.995</v>
      </c>
      <c r="K114" s="348" t="n">
        <v>0.98</v>
      </c>
      <c r="L114" s="348" t="n">
        <v>0.99</v>
      </c>
      <c r="M114" s="348" t="n">
        <v>1.005</v>
      </c>
      <c r="N114" s="354" t="n">
        <v>0.99</v>
      </c>
      <c r="P114" s="355" t="n">
        <f aca="false">A114</f>
        <v>39539</v>
      </c>
      <c r="Q114" s="356" t="n">
        <f aca="false">Q113+1</f>
        <v>112</v>
      </c>
    </row>
    <row r="115" customFormat="false" ht="12.75" hidden="false" customHeight="false" outlineLevel="0" collapsed="false">
      <c r="A115" s="353" t="n">
        <v>39569</v>
      </c>
      <c r="B115" s="348" t="n">
        <f aca="false">C115</f>
        <v>0.9306</v>
      </c>
      <c r="C115" s="348" t="n">
        <v>0.9306</v>
      </c>
      <c r="D115" s="348" t="n">
        <v>0.995</v>
      </c>
      <c r="E115" s="348" t="n">
        <v>0.96</v>
      </c>
      <c r="F115" s="348" t="n">
        <v>0.96</v>
      </c>
      <c r="G115" s="348" t="n">
        <v>0.9306</v>
      </c>
      <c r="H115" s="348" t="n">
        <v>0.99</v>
      </c>
      <c r="I115" s="348" t="n">
        <v>0.9306</v>
      </c>
      <c r="J115" s="348" t="n">
        <v>0.995</v>
      </c>
      <c r="K115" s="348" t="n">
        <v>0.98</v>
      </c>
      <c r="L115" s="348" t="n">
        <v>0.99</v>
      </c>
      <c r="M115" s="348" t="n">
        <v>1.005</v>
      </c>
      <c r="N115" s="354" t="n">
        <v>0.99</v>
      </c>
      <c r="P115" s="355" t="n">
        <f aca="false">A115</f>
        <v>39569</v>
      </c>
      <c r="Q115" s="356" t="n">
        <f aca="false">Q114+1</f>
        <v>113</v>
      </c>
    </row>
    <row r="116" customFormat="false" ht="12.75" hidden="false" customHeight="false" outlineLevel="0" collapsed="false">
      <c r="A116" s="353" t="n">
        <v>39600</v>
      </c>
      <c r="B116" s="348" t="n">
        <f aca="false">C116</f>
        <v>0.9306</v>
      </c>
      <c r="C116" s="348" t="n">
        <v>0.9306</v>
      </c>
      <c r="D116" s="348" t="n">
        <v>0.995</v>
      </c>
      <c r="E116" s="348" t="n">
        <v>0.96</v>
      </c>
      <c r="F116" s="348" t="n">
        <v>0.96</v>
      </c>
      <c r="G116" s="348" t="n">
        <v>0.9306</v>
      </c>
      <c r="H116" s="348" t="n">
        <v>0.99</v>
      </c>
      <c r="I116" s="348" t="n">
        <v>0.9306</v>
      </c>
      <c r="J116" s="348" t="n">
        <v>0.995</v>
      </c>
      <c r="K116" s="348" t="n">
        <v>0.98</v>
      </c>
      <c r="L116" s="348" t="n">
        <v>0.99</v>
      </c>
      <c r="M116" s="348" t="n">
        <v>1.005</v>
      </c>
      <c r="N116" s="354" t="n">
        <v>0.99</v>
      </c>
      <c r="P116" s="355" t="n">
        <f aca="false">A116</f>
        <v>39600</v>
      </c>
      <c r="Q116" s="356" t="n">
        <f aca="false">Q115+1</f>
        <v>114</v>
      </c>
    </row>
    <row r="117" customFormat="false" ht="12.75" hidden="false" customHeight="false" outlineLevel="0" collapsed="false">
      <c r="A117" s="353" t="n">
        <v>39630</v>
      </c>
      <c r="B117" s="348" t="n">
        <f aca="false">C117</f>
        <v>0.9306</v>
      </c>
      <c r="C117" s="348" t="n">
        <v>0.9306</v>
      </c>
      <c r="D117" s="348" t="n">
        <v>0.995</v>
      </c>
      <c r="E117" s="348" t="n">
        <v>0.96</v>
      </c>
      <c r="F117" s="348" t="n">
        <v>0.96</v>
      </c>
      <c r="G117" s="348" t="n">
        <v>0.9306</v>
      </c>
      <c r="H117" s="348" t="n">
        <v>0.99</v>
      </c>
      <c r="I117" s="348" t="n">
        <v>0.9306</v>
      </c>
      <c r="J117" s="348" t="n">
        <v>0.995</v>
      </c>
      <c r="K117" s="348" t="n">
        <v>0.98</v>
      </c>
      <c r="L117" s="348" t="n">
        <v>0.99</v>
      </c>
      <c r="M117" s="348" t="n">
        <v>1.005</v>
      </c>
      <c r="N117" s="354" t="n">
        <v>0.99</v>
      </c>
      <c r="P117" s="355" t="n">
        <f aca="false">A117</f>
        <v>39630</v>
      </c>
      <c r="Q117" s="356" t="n">
        <f aca="false">Q116+1</f>
        <v>115</v>
      </c>
    </row>
    <row r="118" customFormat="false" ht="12.75" hidden="false" customHeight="false" outlineLevel="0" collapsed="false">
      <c r="A118" s="353" t="n">
        <v>39661</v>
      </c>
      <c r="B118" s="348" t="n">
        <f aca="false">C118</f>
        <v>0.9306</v>
      </c>
      <c r="C118" s="348" t="n">
        <v>0.9306</v>
      </c>
      <c r="D118" s="348" t="n">
        <v>0.995</v>
      </c>
      <c r="E118" s="348" t="n">
        <v>0.96</v>
      </c>
      <c r="F118" s="348" t="n">
        <v>0.96</v>
      </c>
      <c r="G118" s="348" t="n">
        <v>0.9306</v>
      </c>
      <c r="H118" s="348" t="n">
        <v>0.99</v>
      </c>
      <c r="I118" s="348" t="n">
        <v>0.9306</v>
      </c>
      <c r="J118" s="348" t="n">
        <v>0.995</v>
      </c>
      <c r="K118" s="348" t="n">
        <v>0.98</v>
      </c>
      <c r="L118" s="348" t="n">
        <v>0.99</v>
      </c>
      <c r="M118" s="348" t="n">
        <v>1.005</v>
      </c>
      <c r="N118" s="354" t="n">
        <v>0.99</v>
      </c>
      <c r="P118" s="355" t="n">
        <f aca="false">A118</f>
        <v>39661</v>
      </c>
      <c r="Q118" s="356" t="n">
        <f aca="false">Q117+1</f>
        <v>116</v>
      </c>
    </row>
    <row r="119" customFormat="false" ht="12.75" hidden="false" customHeight="false" outlineLevel="0" collapsed="false">
      <c r="A119" s="353" t="n">
        <v>39692</v>
      </c>
      <c r="B119" s="348" t="n">
        <f aca="false">C119</f>
        <v>0.9306</v>
      </c>
      <c r="C119" s="348" t="n">
        <v>0.9306</v>
      </c>
      <c r="D119" s="348" t="n">
        <v>0.995</v>
      </c>
      <c r="E119" s="348" t="n">
        <v>0.96</v>
      </c>
      <c r="F119" s="348" t="n">
        <v>0.96</v>
      </c>
      <c r="G119" s="348" t="n">
        <v>0.9306</v>
      </c>
      <c r="H119" s="348" t="n">
        <v>0.99</v>
      </c>
      <c r="I119" s="348" t="n">
        <v>0.9306</v>
      </c>
      <c r="J119" s="348" t="n">
        <v>0.995</v>
      </c>
      <c r="K119" s="348" t="n">
        <v>0.98</v>
      </c>
      <c r="L119" s="348" t="n">
        <v>0.99</v>
      </c>
      <c r="M119" s="348" t="n">
        <v>1.005</v>
      </c>
      <c r="N119" s="354" t="n">
        <v>0.99</v>
      </c>
      <c r="P119" s="355" t="n">
        <f aca="false">A119</f>
        <v>39692</v>
      </c>
      <c r="Q119" s="356" t="n">
        <f aca="false">Q118+1</f>
        <v>117</v>
      </c>
    </row>
    <row r="120" customFormat="false" ht="12.75" hidden="false" customHeight="false" outlineLevel="0" collapsed="false">
      <c r="A120" s="353" t="n">
        <v>39722</v>
      </c>
      <c r="B120" s="348" t="n">
        <f aca="false">C120</f>
        <v>0.9306</v>
      </c>
      <c r="C120" s="348" t="n">
        <v>0.9306</v>
      </c>
      <c r="D120" s="348" t="n">
        <v>0.995</v>
      </c>
      <c r="E120" s="348" t="n">
        <v>0.96</v>
      </c>
      <c r="F120" s="348" t="n">
        <v>0.96</v>
      </c>
      <c r="G120" s="348" t="n">
        <v>0.9306</v>
      </c>
      <c r="H120" s="348" t="n">
        <v>0.99</v>
      </c>
      <c r="I120" s="348" t="n">
        <v>0.9306</v>
      </c>
      <c r="J120" s="348" t="n">
        <v>0.995</v>
      </c>
      <c r="K120" s="348" t="n">
        <v>0.98</v>
      </c>
      <c r="L120" s="348" t="n">
        <v>0.99</v>
      </c>
      <c r="M120" s="348" t="n">
        <v>1.005</v>
      </c>
      <c r="N120" s="354" t="n">
        <v>0.99</v>
      </c>
      <c r="P120" s="355" t="n">
        <f aca="false">A120</f>
        <v>39722</v>
      </c>
      <c r="Q120" s="356" t="n">
        <f aca="false">Q119+1</f>
        <v>118</v>
      </c>
    </row>
    <row r="121" customFormat="false" ht="12.75" hidden="false" customHeight="false" outlineLevel="0" collapsed="false">
      <c r="A121" s="353" t="n">
        <v>39753</v>
      </c>
      <c r="B121" s="348" t="n">
        <f aca="false">C121</f>
        <v>0.9306</v>
      </c>
      <c r="C121" s="348" t="n">
        <v>0.9306</v>
      </c>
      <c r="D121" s="348" t="n">
        <v>0.995</v>
      </c>
      <c r="E121" s="348" t="n">
        <v>0.96</v>
      </c>
      <c r="F121" s="348" t="n">
        <v>0.96</v>
      </c>
      <c r="G121" s="348" t="n">
        <v>0.9306</v>
      </c>
      <c r="H121" s="348" t="n">
        <v>0.99</v>
      </c>
      <c r="I121" s="348" t="n">
        <v>0.9306</v>
      </c>
      <c r="J121" s="348" t="n">
        <v>0.995</v>
      </c>
      <c r="K121" s="348" t="n">
        <v>0.98</v>
      </c>
      <c r="L121" s="348" t="n">
        <v>0.99</v>
      </c>
      <c r="M121" s="348" t="n">
        <v>1.005</v>
      </c>
      <c r="N121" s="354" t="n">
        <v>0.99</v>
      </c>
      <c r="P121" s="355" t="n">
        <f aca="false">A121</f>
        <v>39753</v>
      </c>
      <c r="Q121" s="356" t="n">
        <f aca="false">Q120+1</f>
        <v>119</v>
      </c>
    </row>
    <row r="122" customFormat="false" ht="12.75" hidden="false" customHeight="false" outlineLevel="0" collapsed="false">
      <c r="A122" s="353" t="n">
        <v>39783</v>
      </c>
      <c r="B122" s="348" t="n">
        <f aca="false">C122</f>
        <v>0.9306</v>
      </c>
      <c r="C122" s="348" t="n">
        <v>0.9306</v>
      </c>
      <c r="D122" s="348" t="n">
        <v>0.995</v>
      </c>
      <c r="E122" s="348" t="n">
        <v>0.96</v>
      </c>
      <c r="F122" s="348" t="n">
        <v>0.96</v>
      </c>
      <c r="G122" s="348" t="n">
        <v>0.9306</v>
      </c>
      <c r="H122" s="348" t="n">
        <v>0.99</v>
      </c>
      <c r="I122" s="348" t="n">
        <v>0.9306</v>
      </c>
      <c r="J122" s="348" t="n">
        <v>0.995</v>
      </c>
      <c r="K122" s="348" t="n">
        <v>0.98</v>
      </c>
      <c r="L122" s="348" t="n">
        <v>0.99</v>
      </c>
      <c r="M122" s="348" t="n">
        <v>1.005</v>
      </c>
      <c r="N122" s="354" t="n">
        <v>0.99</v>
      </c>
      <c r="P122" s="355" t="n">
        <f aca="false">A122</f>
        <v>39783</v>
      </c>
      <c r="Q122" s="356" t="n">
        <f aca="false">Q121+1</f>
        <v>120</v>
      </c>
    </row>
    <row r="123" customFormat="false" ht="12.75" hidden="false" customHeight="false" outlineLevel="0" collapsed="false">
      <c r="A123" s="353" t="n">
        <v>39814</v>
      </c>
      <c r="B123" s="348" t="n">
        <f aca="false">C123</f>
        <v>0.9306</v>
      </c>
      <c r="C123" s="348" t="n">
        <v>0.9306</v>
      </c>
      <c r="D123" s="348" t="n">
        <v>0.995</v>
      </c>
      <c r="E123" s="348" t="n">
        <v>0.96</v>
      </c>
      <c r="F123" s="348" t="n">
        <v>0.96</v>
      </c>
      <c r="G123" s="348" t="n">
        <v>0.9306</v>
      </c>
      <c r="H123" s="348" t="n">
        <v>0.99</v>
      </c>
      <c r="I123" s="348" t="n">
        <v>0.9306</v>
      </c>
      <c r="J123" s="348" t="n">
        <v>0.995</v>
      </c>
      <c r="K123" s="348" t="n">
        <v>0.98</v>
      </c>
      <c r="L123" s="348" t="n">
        <v>0.99</v>
      </c>
      <c r="M123" s="348" t="n">
        <v>1.005</v>
      </c>
      <c r="N123" s="354" t="n">
        <v>0.99</v>
      </c>
      <c r="P123" s="355" t="n">
        <f aca="false">A123</f>
        <v>39814</v>
      </c>
      <c r="Q123" s="356" t="n">
        <f aca="false">Q122+1</f>
        <v>121</v>
      </c>
    </row>
    <row r="124" customFormat="false" ht="12.75" hidden="false" customHeight="false" outlineLevel="0" collapsed="false">
      <c r="A124" s="353" t="n">
        <v>39845</v>
      </c>
      <c r="B124" s="348" t="n">
        <f aca="false">C124</f>
        <v>0.9306</v>
      </c>
      <c r="C124" s="348" t="n">
        <v>0.9306</v>
      </c>
      <c r="D124" s="348" t="n">
        <v>0.995</v>
      </c>
      <c r="E124" s="348" t="n">
        <v>0.96</v>
      </c>
      <c r="F124" s="348" t="n">
        <v>0.96</v>
      </c>
      <c r="G124" s="348" t="n">
        <v>0.9306</v>
      </c>
      <c r="H124" s="348" t="n">
        <v>0.99</v>
      </c>
      <c r="I124" s="348" t="n">
        <v>0.9306</v>
      </c>
      <c r="J124" s="348" t="n">
        <v>0.995</v>
      </c>
      <c r="K124" s="348" t="n">
        <v>0.98</v>
      </c>
      <c r="L124" s="348" t="n">
        <v>0.99</v>
      </c>
      <c r="M124" s="348" t="n">
        <v>1.005</v>
      </c>
      <c r="N124" s="354" t="n">
        <v>0.99</v>
      </c>
      <c r="P124" s="355" t="n">
        <f aca="false">A124</f>
        <v>39845</v>
      </c>
      <c r="Q124" s="356" t="n">
        <f aca="false">Q123+1</f>
        <v>122</v>
      </c>
    </row>
    <row r="125" customFormat="false" ht="12.75" hidden="false" customHeight="false" outlineLevel="0" collapsed="false">
      <c r="A125" s="353" t="n">
        <v>39873</v>
      </c>
      <c r="B125" s="348" t="n">
        <f aca="false">C125</f>
        <v>0.9306</v>
      </c>
      <c r="C125" s="348" t="n">
        <v>0.9306</v>
      </c>
      <c r="D125" s="348" t="n">
        <v>0.995</v>
      </c>
      <c r="E125" s="348" t="n">
        <v>0.96</v>
      </c>
      <c r="F125" s="348" t="n">
        <v>0.96</v>
      </c>
      <c r="G125" s="348" t="n">
        <v>0.9306</v>
      </c>
      <c r="H125" s="348" t="n">
        <v>0.99</v>
      </c>
      <c r="I125" s="348" t="n">
        <v>0.9306</v>
      </c>
      <c r="J125" s="348" t="n">
        <v>0.995</v>
      </c>
      <c r="K125" s="348" t="n">
        <v>0.98</v>
      </c>
      <c r="L125" s="348" t="n">
        <v>0.99</v>
      </c>
      <c r="M125" s="348" t="n">
        <v>1.005</v>
      </c>
      <c r="N125" s="354" t="n">
        <v>0.99</v>
      </c>
      <c r="P125" s="355" t="n">
        <f aca="false">A125</f>
        <v>39873</v>
      </c>
      <c r="Q125" s="356" t="n">
        <f aca="false">Q124+1</f>
        <v>123</v>
      </c>
    </row>
    <row r="126" customFormat="false" ht="12.75" hidden="false" customHeight="false" outlineLevel="0" collapsed="false">
      <c r="A126" s="353" t="n">
        <v>39904</v>
      </c>
      <c r="B126" s="348" t="n">
        <f aca="false">C126</f>
        <v>0.9306</v>
      </c>
      <c r="C126" s="348" t="n">
        <v>0.9306</v>
      </c>
      <c r="D126" s="348" t="n">
        <v>0.995</v>
      </c>
      <c r="E126" s="348" t="n">
        <v>0.96</v>
      </c>
      <c r="F126" s="348" t="n">
        <v>0.96</v>
      </c>
      <c r="G126" s="348" t="n">
        <v>0.9306</v>
      </c>
      <c r="H126" s="348" t="n">
        <v>0.99</v>
      </c>
      <c r="I126" s="348" t="n">
        <v>0.9306</v>
      </c>
      <c r="J126" s="348" t="n">
        <v>0.995</v>
      </c>
      <c r="K126" s="348" t="n">
        <v>0.98</v>
      </c>
      <c r="L126" s="348" t="n">
        <v>0.99</v>
      </c>
      <c r="M126" s="348" t="n">
        <v>1.005</v>
      </c>
      <c r="N126" s="354" t="n">
        <v>0.99</v>
      </c>
      <c r="P126" s="355" t="n">
        <f aca="false">A126</f>
        <v>39904</v>
      </c>
      <c r="Q126" s="356" t="n">
        <f aca="false">Q125+1</f>
        <v>124</v>
      </c>
    </row>
    <row r="127" customFormat="false" ht="12.75" hidden="false" customHeight="false" outlineLevel="0" collapsed="false">
      <c r="A127" s="353" t="n">
        <v>39934</v>
      </c>
      <c r="B127" s="348" t="n">
        <f aca="false">C127</f>
        <v>0.9306</v>
      </c>
      <c r="C127" s="348" t="n">
        <v>0.9306</v>
      </c>
      <c r="D127" s="348" t="n">
        <v>0.995</v>
      </c>
      <c r="E127" s="348" t="n">
        <v>0.96</v>
      </c>
      <c r="F127" s="348" t="n">
        <v>0.96</v>
      </c>
      <c r="G127" s="348" t="n">
        <v>0.9306</v>
      </c>
      <c r="H127" s="348" t="n">
        <v>0.99</v>
      </c>
      <c r="I127" s="348" t="n">
        <v>0.9306</v>
      </c>
      <c r="J127" s="348" t="n">
        <v>0.995</v>
      </c>
      <c r="K127" s="348" t="n">
        <v>0.98</v>
      </c>
      <c r="L127" s="348" t="n">
        <v>0.99</v>
      </c>
      <c r="M127" s="348" t="n">
        <v>1.005</v>
      </c>
      <c r="N127" s="354" t="n">
        <v>0.99</v>
      </c>
      <c r="P127" s="355" t="n">
        <f aca="false">A127</f>
        <v>39934</v>
      </c>
      <c r="Q127" s="356" t="n">
        <f aca="false">Q126+1</f>
        <v>125</v>
      </c>
    </row>
    <row r="128" customFormat="false" ht="12.75" hidden="false" customHeight="false" outlineLevel="0" collapsed="false">
      <c r="A128" s="353" t="n">
        <v>39965</v>
      </c>
      <c r="B128" s="348" t="n">
        <f aca="false">C128</f>
        <v>0.9306</v>
      </c>
      <c r="C128" s="348" t="n">
        <v>0.9306</v>
      </c>
      <c r="D128" s="348" t="n">
        <v>0.995</v>
      </c>
      <c r="E128" s="348" t="n">
        <v>0.96</v>
      </c>
      <c r="F128" s="348" t="n">
        <v>0.96</v>
      </c>
      <c r="G128" s="348" t="n">
        <v>0.9306</v>
      </c>
      <c r="H128" s="348" t="n">
        <v>0.99</v>
      </c>
      <c r="I128" s="348" t="n">
        <v>0.9306</v>
      </c>
      <c r="J128" s="348" t="n">
        <v>0.995</v>
      </c>
      <c r="K128" s="348" t="n">
        <v>0.98</v>
      </c>
      <c r="L128" s="348" t="n">
        <v>0.99</v>
      </c>
      <c r="M128" s="348" t="n">
        <v>1.005</v>
      </c>
      <c r="N128" s="354" t="n">
        <v>0.99</v>
      </c>
      <c r="P128" s="355" t="n">
        <f aca="false">A128</f>
        <v>39965</v>
      </c>
      <c r="Q128" s="356" t="n">
        <f aca="false">Q127+1</f>
        <v>126</v>
      </c>
    </row>
    <row r="129" customFormat="false" ht="12.75" hidden="false" customHeight="false" outlineLevel="0" collapsed="false">
      <c r="A129" s="353" t="n">
        <v>39995</v>
      </c>
      <c r="B129" s="348" t="n">
        <f aca="false">C129</f>
        <v>0.9306</v>
      </c>
      <c r="C129" s="348" t="n">
        <v>0.9306</v>
      </c>
      <c r="D129" s="348" t="n">
        <v>0.995</v>
      </c>
      <c r="E129" s="348" t="n">
        <v>0.96</v>
      </c>
      <c r="F129" s="348" t="n">
        <v>0.96</v>
      </c>
      <c r="G129" s="348" t="n">
        <v>0.9306</v>
      </c>
      <c r="H129" s="348" t="n">
        <v>0.99</v>
      </c>
      <c r="I129" s="348" t="n">
        <v>0.9306</v>
      </c>
      <c r="J129" s="348" t="n">
        <v>0.995</v>
      </c>
      <c r="K129" s="348" t="n">
        <v>0.98</v>
      </c>
      <c r="L129" s="348" t="n">
        <v>0.99</v>
      </c>
      <c r="M129" s="348" t="n">
        <v>1.005</v>
      </c>
      <c r="N129" s="354" t="n">
        <v>0.99</v>
      </c>
      <c r="P129" s="355" t="n">
        <f aca="false">A129</f>
        <v>39995</v>
      </c>
      <c r="Q129" s="356" t="n">
        <f aca="false">Q128+1</f>
        <v>127</v>
      </c>
    </row>
    <row r="130" customFormat="false" ht="12.75" hidden="false" customHeight="false" outlineLevel="0" collapsed="false">
      <c r="A130" s="353" t="n">
        <v>40026</v>
      </c>
      <c r="B130" s="348" t="n">
        <f aca="false">C130</f>
        <v>0.9306</v>
      </c>
      <c r="C130" s="348" t="n">
        <v>0.9306</v>
      </c>
      <c r="D130" s="348" t="n">
        <v>0.995</v>
      </c>
      <c r="E130" s="348" t="n">
        <v>0.96</v>
      </c>
      <c r="F130" s="348" t="n">
        <v>0.96</v>
      </c>
      <c r="G130" s="348" t="n">
        <v>0.9306</v>
      </c>
      <c r="H130" s="348" t="n">
        <v>0.99</v>
      </c>
      <c r="I130" s="348" t="n">
        <v>0.9306</v>
      </c>
      <c r="J130" s="348" t="n">
        <v>0.995</v>
      </c>
      <c r="K130" s="348" t="n">
        <v>0.98</v>
      </c>
      <c r="L130" s="348" t="n">
        <v>0.99</v>
      </c>
      <c r="M130" s="348" t="n">
        <v>1.005</v>
      </c>
      <c r="N130" s="354" t="n">
        <v>0.99</v>
      </c>
      <c r="P130" s="355" t="n">
        <f aca="false">A130</f>
        <v>40026</v>
      </c>
      <c r="Q130" s="356" t="n">
        <f aca="false">Q129+1</f>
        <v>128</v>
      </c>
    </row>
    <row r="131" customFormat="false" ht="12.75" hidden="false" customHeight="false" outlineLevel="0" collapsed="false">
      <c r="A131" s="353" t="n">
        <v>40057</v>
      </c>
      <c r="B131" s="348" t="n">
        <f aca="false">C131</f>
        <v>0.9306</v>
      </c>
      <c r="C131" s="348" t="n">
        <v>0.9306</v>
      </c>
      <c r="D131" s="348" t="n">
        <v>0.995</v>
      </c>
      <c r="E131" s="348" t="n">
        <v>0.96</v>
      </c>
      <c r="F131" s="348" t="n">
        <v>0.96</v>
      </c>
      <c r="G131" s="348" t="n">
        <v>0.9306</v>
      </c>
      <c r="H131" s="348" t="n">
        <v>0.99</v>
      </c>
      <c r="I131" s="348" t="n">
        <v>0.9306</v>
      </c>
      <c r="J131" s="348" t="n">
        <v>0.995</v>
      </c>
      <c r="K131" s="348" t="n">
        <v>0.98</v>
      </c>
      <c r="L131" s="348" t="n">
        <v>0.99</v>
      </c>
      <c r="M131" s="348" t="n">
        <v>1.005</v>
      </c>
      <c r="N131" s="354" t="n">
        <v>0.99</v>
      </c>
      <c r="P131" s="355" t="n">
        <f aca="false">A131</f>
        <v>40057</v>
      </c>
      <c r="Q131" s="356" t="n">
        <f aca="false">Q130+1</f>
        <v>129</v>
      </c>
    </row>
    <row r="132" customFormat="false" ht="12.75" hidden="false" customHeight="false" outlineLevel="0" collapsed="false">
      <c r="A132" s="353" t="n">
        <v>40087</v>
      </c>
      <c r="B132" s="348" t="n">
        <f aca="false">C132</f>
        <v>0.9306</v>
      </c>
      <c r="C132" s="348" t="n">
        <v>0.9306</v>
      </c>
      <c r="D132" s="348" t="n">
        <v>0.995</v>
      </c>
      <c r="E132" s="348" t="n">
        <v>0.96</v>
      </c>
      <c r="F132" s="348" t="n">
        <v>0.96</v>
      </c>
      <c r="G132" s="348" t="n">
        <v>0.9306</v>
      </c>
      <c r="H132" s="348" t="n">
        <v>0.99</v>
      </c>
      <c r="I132" s="348" t="n">
        <v>0.9306</v>
      </c>
      <c r="J132" s="348" t="n">
        <v>0.995</v>
      </c>
      <c r="K132" s="348" t="n">
        <v>0.98</v>
      </c>
      <c r="L132" s="348" t="n">
        <v>0.99</v>
      </c>
      <c r="M132" s="348" t="n">
        <v>1.005</v>
      </c>
      <c r="N132" s="354" t="n">
        <v>0.99</v>
      </c>
      <c r="P132" s="355" t="n">
        <f aca="false">A132</f>
        <v>40087</v>
      </c>
      <c r="Q132" s="356" t="n">
        <f aca="false">Q131+1</f>
        <v>130</v>
      </c>
    </row>
    <row r="133" customFormat="false" ht="12.75" hidden="false" customHeight="false" outlineLevel="0" collapsed="false">
      <c r="A133" s="353" t="n">
        <v>40118</v>
      </c>
      <c r="B133" s="348" t="n">
        <f aca="false">C133</f>
        <v>0.9306</v>
      </c>
      <c r="C133" s="348" t="n">
        <v>0.9306</v>
      </c>
      <c r="D133" s="348" t="n">
        <v>0.995</v>
      </c>
      <c r="E133" s="348" t="n">
        <v>0.96</v>
      </c>
      <c r="F133" s="348" t="n">
        <v>0.96</v>
      </c>
      <c r="G133" s="348" t="n">
        <v>0.9306</v>
      </c>
      <c r="H133" s="348" t="n">
        <v>0.99</v>
      </c>
      <c r="I133" s="348" t="n">
        <v>0.9306</v>
      </c>
      <c r="J133" s="348" t="n">
        <v>0.995</v>
      </c>
      <c r="K133" s="348" t="n">
        <v>0.98</v>
      </c>
      <c r="L133" s="348" t="n">
        <v>0.99</v>
      </c>
      <c r="M133" s="348" t="n">
        <v>1.005</v>
      </c>
      <c r="N133" s="354" t="n">
        <v>0.99</v>
      </c>
      <c r="P133" s="355" t="n">
        <f aca="false">A133</f>
        <v>40118</v>
      </c>
      <c r="Q133" s="356" t="n">
        <f aca="false">Q132+1</f>
        <v>131</v>
      </c>
    </row>
    <row r="134" customFormat="false" ht="12.75" hidden="false" customHeight="false" outlineLevel="0" collapsed="false">
      <c r="A134" s="353" t="n">
        <v>40148</v>
      </c>
      <c r="B134" s="348" t="n">
        <f aca="false">C134</f>
        <v>0.9306</v>
      </c>
      <c r="C134" s="348" t="n">
        <v>0.9306</v>
      </c>
      <c r="D134" s="348" t="n">
        <v>0.995</v>
      </c>
      <c r="E134" s="348" t="n">
        <v>0.96</v>
      </c>
      <c r="F134" s="348" t="n">
        <v>0.96</v>
      </c>
      <c r="G134" s="348" t="n">
        <v>0.9306</v>
      </c>
      <c r="H134" s="348" t="n">
        <v>0.99</v>
      </c>
      <c r="I134" s="348" t="n">
        <v>0.9306</v>
      </c>
      <c r="J134" s="348" t="n">
        <v>0.995</v>
      </c>
      <c r="K134" s="348" t="n">
        <v>0.98</v>
      </c>
      <c r="L134" s="348" t="n">
        <v>0.99</v>
      </c>
      <c r="M134" s="348" t="n">
        <v>1.005</v>
      </c>
      <c r="N134" s="354" t="n">
        <v>0.99</v>
      </c>
      <c r="P134" s="355" t="n">
        <f aca="false">A134</f>
        <v>40148</v>
      </c>
      <c r="Q134" s="356" t="n">
        <f aca="false">Q133+1</f>
        <v>132</v>
      </c>
    </row>
    <row r="135" customFormat="false" ht="12.75" hidden="false" customHeight="false" outlineLevel="0" collapsed="false">
      <c r="A135" s="353" t="n">
        <v>40179</v>
      </c>
      <c r="B135" s="348" t="n">
        <f aca="false">C135</f>
        <v>0.9306</v>
      </c>
      <c r="C135" s="348" t="n">
        <v>0.9306</v>
      </c>
      <c r="D135" s="348" t="n">
        <v>0.995</v>
      </c>
      <c r="E135" s="348" t="n">
        <v>0.96</v>
      </c>
      <c r="F135" s="348" t="n">
        <v>0.96</v>
      </c>
      <c r="G135" s="348" t="n">
        <v>0.9306</v>
      </c>
      <c r="H135" s="348" t="n">
        <v>0.99</v>
      </c>
      <c r="I135" s="348" t="n">
        <v>0.9306</v>
      </c>
      <c r="J135" s="348" t="n">
        <v>0.995</v>
      </c>
      <c r="K135" s="348" t="n">
        <v>0.98</v>
      </c>
      <c r="L135" s="348" t="n">
        <v>0.99</v>
      </c>
      <c r="M135" s="348" t="n">
        <v>1.005</v>
      </c>
      <c r="N135" s="354" t="n">
        <v>0.99</v>
      </c>
      <c r="P135" s="355" t="n">
        <f aca="false">A135</f>
        <v>40179</v>
      </c>
      <c r="Q135" s="356" t="n">
        <f aca="false">Q134+1</f>
        <v>133</v>
      </c>
    </row>
    <row r="136" customFormat="false" ht="12.75" hidden="false" customHeight="false" outlineLevel="0" collapsed="false">
      <c r="A136" s="353" t="n">
        <v>40210</v>
      </c>
      <c r="B136" s="348" t="n">
        <f aca="false">C136</f>
        <v>0.9306</v>
      </c>
      <c r="C136" s="348" t="n">
        <v>0.9306</v>
      </c>
      <c r="D136" s="348" t="n">
        <v>0.995</v>
      </c>
      <c r="E136" s="348" t="n">
        <v>0.96</v>
      </c>
      <c r="F136" s="348" t="n">
        <v>0.96</v>
      </c>
      <c r="G136" s="348" t="n">
        <v>0.9306</v>
      </c>
      <c r="H136" s="348" t="n">
        <v>0.99</v>
      </c>
      <c r="I136" s="348" t="n">
        <v>0.9306</v>
      </c>
      <c r="J136" s="348" t="n">
        <v>0.995</v>
      </c>
      <c r="K136" s="348" t="n">
        <v>0.98</v>
      </c>
      <c r="L136" s="348" t="n">
        <v>0.99</v>
      </c>
      <c r="M136" s="348" t="n">
        <v>1.005</v>
      </c>
      <c r="N136" s="354" t="n">
        <v>0.99</v>
      </c>
      <c r="P136" s="355" t="n">
        <f aca="false">A136</f>
        <v>40210</v>
      </c>
      <c r="Q136" s="356" t="n">
        <f aca="false">Q135+1</f>
        <v>134</v>
      </c>
    </row>
    <row r="137" customFormat="false" ht="12.75" hidden="false" customHeight="false" outlineLevel="0" collapsed="false">
      <c r="A137" s="353" t="n">
        <v>40238</v>
      </c>
      <c r="B137" s="348" t="n">
        <f aca="false">C137</f>
        <v>0.9306</v>
      </c>
      <c r="C137" s="348" t="n">
        <v>0.9306</v>
      </c>
      <c r="D137" s="348" t="n">
        <v>0.995</v>
      </c>
      <c r="E137" s="348" t="n">
        <v>0.96</v>
      </c>
      <c r="F137" s="348" t="n">
        <v>0.96</v>
      </c>
      <c r="G137" s="348" t="n">
        <v>0.9306</v>
      </c>
      <c r="H137" s="348" t="n">
        <v>0.99</v>
      </c>
      <c r="I137" s="348" t="n">
        <v>0.9306</v>
      </c>
      <c r="J137" s="348" t="n">
        <v>0.995</v>
      </c>
      <c r="K137" s="348" t="n">
        <v>0.98</v>
      </c>
      <c r="L137" s="348" t="n">
        <v>0.99</v>
      </c>
      <c r="M137" s="348" t="n">
        <v>1.005</v>
      </c>
      <c r="N137" s="354" t="n">
        <v>0.99</v>
      </c>
      <c r="P137" s="355" t="n">
        <f aca="false">A137</f>
        <v>40238</v>
      </c>
      <c r="Q137" s="356" t="n">
        <f aca="false">Q136+1</f>
        <v>135</v>
      </c>
    </row>
    <row r="138" customFormat="false" ht="12.75" hidden="false" customHeight="false" outlineLevel="0" collapsed="false">
      <c r="A138" s="353" t="n">
        <v>40269</v>
      </c>
      <c r="B138" s="348" t="n">
        <f aca="false">C138</f>
        <v>0.9306</v>
      </c>
      <c r="C138" s="348" t="n">
        <v>0.9306</v>
      </c>
      <c r="D138" s="348" t="n">
        <v>0.995</v>
      </c>
      <c r="E138" s="348" t="n">
        <v>0.96</v>
      </c>
      <c r="F138" s="348" t="n">
        <v>0.96</v>
      </c>
      <c r="G138" s="348" t="n">
        <v>0.9306</v>
      </c>
      <c r="H138" s="348" t="n">
        <v>0.99</v>
      </c>
      <c r="I138" s="348" t="n">
        <v>0.9306</v>
      </c>
      <c r="J138" s="348" t="n">
        <v>0.995</v>
      </c>
      <c r="K138" s="348" t="n">
        <v>0.98</v>
      </c>
      <c r="L138" s="348" t="n">
        <v>0.99</v>
      </c>
      <c r="M138" s="348" t="n">
        <v>1.005</v>
      </c>
      <c r="N138" s="354" t="n">
        <v>0.99</v>
      </c>
      <c r="P138" s="355" t="n">
        <f aca="false">A138</f>
        <v>40269</v>
      </c>
      <c r="Q138" s="356" t="n">
        <f aca="false">Q137+1</f>
        <v>136</v>
      </c>
    </row>
    <row r="139" customFormat="false" ht="12.75" hidden="false" customHeight="false" outlineLevel="0" collapsed="false">
      <c r="A139" s="353" t="n">
        <v>40299</v>
      </c>
      <c r="B139" s="348" t="n">
        <f aca="false">C139</f>
        <v>0.9306</v>
      </c>
      <c r="C139" s="348" t="n">
        <v>0.9306</v>
      </c>
      <c r="D139" s="348" t="n">
        <v>0.995</v>
      </c>
      <c r="E139" s="348" t="n">
        <v>0.96</v>
      </c>
      <c r="F139" s="348" t="n">
        <v>0.96</v>
      </c>
      <c r="G139" s="348" t="n">
        <v>0.9306</v>
      </c>
      <c r="H139" s="348" t="n">
        <v>0.99</v>
      </c>
      <c r="I139" s="348" t="n">
        <v>0.9306</v>
      </c>
      <c r="J139" s="348" t="n">
        <v>0.995</v>
      </c>
      <c r="K139" s="348" t="n">
        <v>0.98</v>
      </c>
      <c r="L139" s="348" t="n">
        <v>0.99</v>
      </c>
      <c r="M139" s="348" t="n">
        <v>1.005</v>
      </c>
      <c r="N139" s="354" t="n">
        <v>0.99</v>
      </c>
      <c r="P139" s="355" t="n">
        <f aca="false">A139</f>
        <v>40299</v>
      </c>
      <c r="Q139" s="356" t="n">
        <f aca="false">Q138+1</f>
        <v>137</v>
      </c>
    </row>
    <row r="140" customFormat="false" ht="12.75" hidden="false" customHeight="false" outlineLevel="0" collapsed="false">
      <c r="A140" s="353" t="n">
        <v>40330</v>
      </c>
      <c r="B140" s="348" t="n">
        <f aca="false">C140</f>
        <v>0.9306</v>
      </c>
      <c r="C140" s="348" t="n">
        <v>0.9306</v>
      </c>
      <c r="D140" s="348" t="n">
        <v>0.995</v>
      </c>
      <c r="E140" s="348" t="n">
        <v>0.96</v>
      </c>
      <c r="F140" s="348" t="n">
        <v>0.96</v>
      </c>
      <c r="G140" s="348" t="n">
        <v>0.9306</v>
      </c>
      <c r="H140" s="348" t="n">
        <v>0.99</v>
      </c>
      <c r="I140" s="348" t="n">
        <v>0.9306</v>
      </c>
      <c r="J140" s="348" t="n">
        <v>0.995</v>
      </c>
      <c r="K140" s="348" t="n">
        <v>0.98</v>
      </c>
      <c r="L140" s="348" t="n">
        <v>0.99</v>
      </c>
      <c r="M140" s="348" t="n">
        <v>1.005</v>
      </c>
      <c r="N140" s="354" t="n">
        <v>0.99</v>
      </c>
      <c r="P140" s="355" t="n">
        <f aca="false">A140</f>
        <v>40330</v>
      </c>
      <c r="Q140" s="356" t="n">
        <f aca="false">Q139+1</f>
        <v>138</v>
      </c>
    </row>
    <row r="141" customFormat="false" ht="12.75" hidden="false" customHeight="false" outlineLevel="0" collapsed="false">
      <c r="A141" s="353" t="n">
        <v>40360</v>
      </c>
      <c r="B141" s="348" t="n">
        <f aca="false">C141</f>
        <v>0.9306</v>
      </c>
      <c r="C141" s="348" t="n">
        <v>0.9306</v>
      </c>
      <c r="D141" s="348" t="n">
        <v>0.995</v>
      </c>
      <c r="E141" s="348" t="n">
        <v>0.96</v>
      </c>
      <c r="F141" s="348" t="n">
        <v>0.96</v>
      </c>
      <c r="G141" s="348" t="n">
        <v>0.9306</v>
      </c>
      <c r="H141" s="348" t="n">
        <v>0.99</v>
      </c>
      <c r="I141" s="348" t="n">
        <v>0.9306</v>
      </c>
      <c r="J141" s="348" t="n">
        <v>0.995</v>
      </c>
      <c r="K141" s="348" t="n">
        <v>0.98</v>
      </c>
      <c r="L141" s="348" t="n">
        <v>0.99</v>
      </c>
      <c r="M141" s="348" t="n">
        <v>1.005</v>
      </c>
      <c r="N141" s="354" t="n">
        <v>0.99</v>
      </c>
      <c r="P141" s="355" t="n">
        <f aca="false">A141</f>
        <v>40360</v>
      </c>
      <c r="Q141" s="356" t="n">
        <f aca="false">Q140+1</f>
        <v>139</v>
      </c>
    </row>
    <row r="142" customFormat="false" ht="12.75" hidden="false" customHeight="false" outlineLevel="0" collapsed="false">
      <c r="A142" s="353" t="n">
        <v>40391</v>
      </c>
      <c r="B142" s="348" t="n">
        <f aca="false">C142</f>
        <v>0.9306</v>
      </c>
      <c r="C142" s="348" t="n">
        <v>0.9306</v>
      </c>
      <c r="D142" s="348" t="n">
        <v>0.995</v>
      </c>
      <c r="E142" s="348" t="n">
        <v>0.96</v>
      </c>
      <c r="F142" s="348" t="n">
        <v>0.96</v>
      </c>
      <c r="G142" s="348" t="n">
        <v>0.9306</v>
      </c>
      <c r="H142" s="348" t="n">
        <v>0.99</v>
      </c>
      <c r="I142" s="348" t="n">
        <v>0.9306</v>
      </c>
      <c r="J142" s="348" t="n">
        <v>0.995</v>
      </c>
      <c r="K142" s="348" t="n">
        <v>0.98</v>
      </c>
      <c r="L142" s="348" t="n">
        <v>0.99</v>
      </c>
      <c r="M142" s="348" t="n">
        <v>1.005</v>
      </c>
      <c r="N142" s="354" t="n">
        <v>0.99</v>
      </c>
      <c r="P142" s="355" t="n">
        <f aca="false">A142</f>
        <v>40391</v>
      </c>
      <c r="Q142" s="356" t="n">
        <f aca="false">Q141+1</f>
        <v>140</v>
      </c>
    </row>
    <row r="143" customFormat="false" ht="12.75" hidden="false" customHeight="false" outlineLevel="0" collapsed="false">
      <c r="A143" s="353" t="n">
        <v>40422</v>
      </c>
      <c r="B143" s="348" t="n">
        <f aca="false">C143</f>
        <v>0.9306</v>
      </c>
      <c r="C143" s="348" t="n">
        <v>0.9306</v>
      </c>
      <c r="D143" s="348" t="n">
        <v>0.995</v>
      </c>
      <c r="E143" s="348" t="n">
        <v>0.96</v>
      </c>
      <c r="F143" s="348" t="n">
        <v>0.96</v>
      </c>
      <c r="G143" s="348" t="n">
        <v>0.9306</v>
      </c>
      <c r="H143" s="348" t="n">
        <v>0.99</v>
      </c>
      <c r="I143" s="348" t="n">
        <v>0.9306</v>
      </c>
      <c r="J143" s="348" t="n">
        <v>0.995</v>
      </c>
      <c r="K143" s="348" t="n">
        <v>0.98</v>
      </c>
      <c r="L143" s="348" t="n">
        <v>0.99</v>
      </c>
      <c r="M143" s="348" t="n">
        <v>1.005</v>
      </c>
      <c r="N143" s="354" t="n">
        <v>0.99</v>
      </c>
      <c r="P143" s="355" t="n">
        <f aca="false">A143</f>
        <v>40422</v>
      </c>
      <c r="Q143" s="356" t="n">
        <f aca="false">Q142+1</f>
        <v>141</v>
      </c>
    </row>
    <row r="144" customFormat="false" ht="12.75" hidden="false" customHeight="false" outlineLevel="0" collapsed="false">
      <c r="A144" s="353" t="n">
        <v>40452</v>
      </c>
      <c r="B144" s="348" t="n">
        <f aca="false">C144</f>
        <v>0.9306</v>
      </c>
      <c r="C144" s="348" t="n">
        <v>0.9306</v>
      </c>
      <c r="D144" s="348" t="n">
        <v>0.995</v>
      </c>
      <c r="E144" s="348" t="n">
        <v>0.96</v>
      </c>
      <c r="F144" s="348" t="n">
        <v>0.96</v>
      </c>
      <c r="G144" s="348" t="n">
        <v>0.9306</v>
      </c>
      <c r="H144" s="348" t="n">
        <v>0.99</v>
      </c>
      <c r="I144" s="348" t="n">
        <v>0.9306</v>
      </c>
      <c r="J144" s="348" t="n">
        <v>0.995</v>
      </c>
      <c r="K144" s="348" t="n">
        <v>0.98</v>
      </c>
      <c r="L144" s="348" t="n">
        <v>0.99</v>
      </c>
      <c r="M144" s="348" t="n">
        <v>1.005</v>
      </c>
      <c r="N144" s="354" t="n">
        <v>0.99</v>
      </c>
      <c r="P144" s="355" t="n">
        <f aca="false">A144</f>
        <v>40452</v>
      </c>
      <c r="Q144" s="356" t="n">
        <f aca="false">Q143+1</f>
        <v>142</v>
      </c>
    </row>
    <row r="145" customFormat="false" ht="12.75" hidden="false" customHeight="false" outlineLevel="0" collapsed="false">
      <c r="A145" s="353" t="n">
        <v>40483</v>
      </c>
      <c r="B145" s="348" t="n">
        <f aca="false">C145</f>
        <v>0.9306</v>
      </c>
      <c r="C145" s="348" t="n">
        <v>0.9306</v>
      </c>
      <c r="D145" s="348" t="n">
        <v>0.995</v>
      </c>
      <c r="E145" s="348" t="n">
        <v>0.96</v>
      </c>
      <c r="F145" s="348" t="n">
        <v>0.96</v>
      </c>
      <c r="G145" s="348" t="n">
        <v>0.9306</v>
      </c>
      <c r="H145" s="348" t="n">
        <v>0.99</v>
      </c>
      <c r="I145" s="348" t="n">
        <v>0.9306</v>
      </c>
      <c r="J145" s="348" t="n">
        <v>0.995</v>
      </c>
      <c r="K145" s="348" t="n">
        <v>0.98</v>
      </c>
      <c r="L145" s="348" t="n">
        <v>0.99</v>
      </c>
      <c r="M145" s="348" t="n">
        <v>1.005</v>
      </c>
      <c r="N145" s="354" t="n">
        <v>0.99</v>
      </c>
      <c r="P145" s="355" t="n">
        <f aca="false">A145</f>
        <v>40483</v>
      </c>
      <c r="Q145" s="356" t="n">
        <f aca="false">Q144+1</f>
        <v>143</v>
      </c>
    </row>
    <row r="146" customFormat="false" ht="12.75" hidden="false" customHeight="false" outlineLevel="0" collapsed="false">
      <c r="A146" s="353" t="n">
        <v>40513</v>
      </c>
      <c r="B146" s="348" t="n">
        <f aca="false">C146</f>
        <v>0.9306</v>
      </c>
      <c r="C146" s="348" t="n">
        <v>0.9306</v>
      </c>
      <c r="D146" s="348" t="n">
        <v>0.995</v>
      </c>
      <c r="E146" s="348" t="n">
        <v>0.96</v>
      </c>
      <c r="F146" s="348" t="n">
        <v>0.96</v>
      </c>
      <c r="G146" s="348" t="n">
        <v>0.9306</v>
      </c>
      <c r="H146" s="348" t="n">
        <v>0.99</v>
      </c>
      <c r="I146" s="348" t="n">
        <v>0.9306</v>
      </c>
      <c r="J146" s="348" t="n">
        <v>0.995</v>
      </c>
      <c r="K146" s="348" t="n">
        <v>0.98</v>
      </c>
      <c r="L146" s="348" t="n">
        <v>0.99</v>
      </c>
      <c r="M146" s="348" t="n">
        <v>1.005</v>
      </c>
      <c r="N146" s="354" t="n">
        <v>0.99</v>
      </c>
      <c r="P146" s="355" t="n">
        <f aca="false">A146</f>
        <v>40513</v>
      </c>
      <c r="Q146" s="356" t="n">
        <f aca="false">Q145+1</f>
        <v>144</v>
      </c>
    </row>
    <row r="147" customFormat="false" ht="12.75" hidden="false" customHeight="false" outlineLevel="0" collapsed="false">
      <c r="A147" s="353" t="n">
        <v>40544</v>
      </c>
      <c r="B147" s="348" t="n">
        <f aca="false">C147</f>
        <v>0.9306</v>
      </c>
      <c r="C147" s="348" t="n">
        <v>0.9306</v>
      </c>
      <c r="D147" s="348" t="n">
        <v>0.995</v>
      </c>
      <c r="E147" s="348" t="n">
        <v>0.96</v>
      </c>
      <c r="F147" s="348" t="n">
        <v>0.96</v>
      </c>
      <c r="G147" s="348" t="n">
        <v>0.9306</v>
      </c>
      <c r="H147" s="348" t="n">
        <v>0.99</v>
      </c>
      <c r="I147" s="348" t="n">
        <v>0.9306</v>
      </c>
      <c r="J147" s="348" t="n">
        <v>0.995</v>
      </c>
      <c r="K147" s="348" t="n">
        <v>0.98</v>
      </c>
      <c r="L147" s="348" t="n">
        <v>0.99</v>
      </c>
      <c r="M147" s="348" t="n">
        <v>1.005</v>
      </c>
      <c r="N147" s="354" t="n">
        <v>0.99</v>
      </c>
      <c r="P147" s="355" t="n">
        <f aca="false">A147</f>
        <v>40544</v>
      </c>
      <c r="Q147" s="356" t="n">
        <f aca="false">Q146+1</f>
        <v>145</v>
      </c>
    </row>
    <row r="148" customFormat="false" ht="12.75" hidden="false" customHeight="false" outlineLevel="0" collapsed="false">
      <c r="A148" s="353" t="n">
        <v>40575</v>
      </c>
      <c r="B148" s="348" t="n">
        <f aca="false">C148</f>
        <v>0.9306</v>
      </c>
      <c r="C148" s="348" t="n">
        <v>0.9306</v>
      </c>
      <c r="D148" s="348" t="n">
        <v>0.995</v>
      </c>
      <c r="E148" s="348" t="n">
        <v>0.96</v>
      </c>
      <c r="F148" s="348" t="n">
        <v>0.96</v>
      </c>
      <c r="G148" s="348" t="n">
        <v>0.9306</v>
      </c>
      <c r="H148" s="348" t="n">
        <v>0.99</v>
      </c>
      <c r="I148" s="348" t="n">
        <v>0.9306</v>
      </c>
      <c r="J148" s="348" t="n">
        <v>0.995</v>
      </c>
      <c r="K148" s="348" t="n">
        <v>0.98</v>
      </c>
      <c r="L148" s="348" t="n">
        <v>0.99</v>
      </c>
      <c r="M148" s="348" t="n">
        <v>1.005</v>
      </c>
      <c r="N148" s="354" t="n">
        <v>0.99</v>
      </c>
      <c r="P148" s="355" t="n">
        <f aca="false">A148</f>
        <v>40575</v>
      </c>
      <c r="Q148" s="356" t="n">
        <f aca="false">Q147+1</f>
        <v>146</v>
      </c>
    </row>
    <row r="149" customFormat="false" ht="12.75" hidden="false" customHeight="false" outlineLevel="0" collapsed="false">
      <c r="A149" s="353" t="n">
        <v>40603</v>
      </c>
      <c r="B149" s="348" t="n">
        <f aca="false">C149</f>
        <v>0.9306</v>
      </c>
      <c r="C149" s="348" t="n">
        <v>0.9306</v>
      </c>
      <c r="D149" s="348" t="n">
        <v>0.995</v>
      </c>
      <c r="E149" s="348" t="n">
        <v>0.96</v>
      </c>
      <c r="F149" s="348" t="n">
        <v>0.96</v>
      </c>
      <c r="G149" s="348" t="n">
        <v>0.9306</v>
      </c>
      <c r="H149" s="348" t="n">
        <v>0.99</v>
      </c>
      <c r="I149" s="348" t="n">
        <v>0.9306</v>
      </c>
      <c r="J149" s="348" t="n">
        <v>0.995</v>
      </c>
      <c r="K149" s="348" t="n">
        <v>0.98</v>
      </c>
      <c r="L149" s="348" t="n">
        <v>0.99</v>
      </c>
      <c r="M149" s="348" t="n">
        <v>1.005</v>
      </c>
      <c r="N149" s="354" t="n">
        <v>0.99</v>
      </c>
      <c r="P149" s="355" t="n">
        <f aca="false">A149</f>
        <v>40603</v>
      </c>
      <c r="Q149" s="356" t="n">
        <f aca="false">Q148+1</f>
        <v>147</v>
      </c>
    </row>
    <row r="150" customFormat="false" ht="12.75" hidden="false" customHeight="false" outlineLevel="0" collapsed="false">
      <c r="A150" s="353" t="n">
        <v>40634</v>
      </c>
      <c r="B150" s="348" t="n">
        <f aca="false">C150</f>
        <v>0.9306</v>
      </c>
      <c r="C150" s="348" t="n">
        <v>0.9306</v>
      </c>
      <c r="D150" s="348" t="n">
        <v>0.995</v>
      </c>
      <c r="E150" s="348" t="n">
        <v>0.96</v>
      </c>
      <c r="F150" s="348" t="n">
        <v>0.96</v>
      </c>
      <c r="G150" s="348" t="n">
        <v>0.9306</v>
      </c>
      <c r="H150" s="348" t="n">
        <v>0.99</v>
      </c>
      <c r="I150" s="348" t="n">
        <v>0.9306</v>
      </c>
      <c r="J150" s="348" t="n">
        <v>0.995</v>
      </c>
      <c r="K150" s="348" t="n">
        <v>0.98</v>
      </c>
      <c r="L150" s="348" t="n">
        <v>0.99</v>
      </c>
      <c r="M150" s="348" t="n">
        <v>1.005</v>
      </c>
      <c r="N150" s="354" t="n">
        <v>0.99</v>
      </c>
      <c r="P150" s="355" t="n">
        <f aca="false">A150</f>
        <v>40634</v>
      </c>
      <c r="Q150" s="356" t="n">
        <f aca="false">Q149+1</f>
        <v>148</v>
      </c>
    </row>
    <row r="151" customFormat="false" ht="12.75" hidden="false" customHeight="false" outlineLevel="0" collapsed="false">
      <c r="A151" s="353" t="n">
        <v>40664</v>
      </c>
      <c r="B151" s="348" t="n">
        <f aca="false">C151</f>
        <v>0.9306</v>
      </c>
      <c r="C151" s="348" t="n">
        <v>0.9306</v>
      </c>
      <c r="D151" s="348" t="n">
        <v>0.995</v>
      </c>
      <c r="E151" s="348" t="n">
        <v>0.96</v>
      </c>
      <c r="F151" s="348" t="n">
        <v>0.96</v>
      </c>
      <c r="G151" s="348" t="n">
        <v>0.9306</v>
      </c>
      <c r="H151" s="348" t="n">
        <v>0.99</v>
      </c>
      <c r="I151" s="348" t="n">
        <v>0.9306</v>
      </c>
      <c r="J151" s="348" t="n">
        <v>0.995</v>
      </c>
      <c r="K151" s="348" t="n">
        <v>0.98</v>
      </c>
      <c r="L151" s="348" t="n">
        <v>0.99</v>
      </c>
      <c r="M151" s="348" t="n">
        <v>1.005</v>
      </c>
      <c r="N151" s="354" t="n">
        <v>0.99</v>
      </c>
      <c r="P151" s="355" t="n">
        <f aca="false">A151</f>
        <v>40664</v>
      </c>
      <c r="Q151" s="356" t="n">
        <f aca="false">Q150+1</f>
        <v>149</v>
      </c>
    </row>
    <row r="152" customFormat="false" ht="12.75" hidden="false" customHeight="false" outlineLevel="0" collapsed="false">
      <c r="A152" s="353" t="n">
        <v>40695</v>
      </c>
      <c r="B152" s="348" t="n">
        <f aca="false">C152</f>
        <v>0.9306</v>
      </c>
      <c r="C152" s="348" t="n">
        <v>0.9306</v>
      </c>
      <c r="D152" s="348" t="n">
        <v>0.995</v>
      </c>
      <c r="E152" s="348" t="n">
        <v>0.96</v>
      </c>
      <c r="F152" s="348" t="n">
        <v>0.96</v>
      </c>
      <c r="G152" s="348" t="n">
        <v>0.9306</v>
      </c>
      <c r="H152" s="348" t="n">
        <v>0.99</v>
      </c>
      <c r="I152" s="348" t="n">
        <v>0.9306</v>
      </c>
      <c r="J152" s="348" t="n">
        <v>0.995</v>
      </c>
      <c r="K152" s="348" t="n">
        <v>0.98</v>
      </c>
      <c r="L152" s="348" t="n">
        <v>0.99</v>
      </c>
      <c r="M152" s="348" t="n">
        <v>1.005</v>
      </c>
      <c r="N152" s="354" t="n">
        <v>0.99</v>
      </c>
      <c r="P152" s="355" t="n">
        <f aca="false">A152</f>
        <v>40695</v>
      </c>
      <c r="Q152" s="356" t="n">
        <f aca="false">Q151+1</f>
        <v>150</v>
      </c>
    </row>
    <row r="153" customFormat="false" ht="12.75" hidden="false" customHeight="false" outlineLevel="0" collapsed="false">
      <c r="A153" s="353" t="n">
        <v>40725</v>
      </c>
      <c r="B153" s="348" t="n">
        <f aca="false">C153</f>
        <v>0.9306</v>
      </c>
      <c r="C153" s="348" t="n">
        <v>0.9306</v>
      </c>
      <c r="D153" s="348" t="n">
        <v>0.995</v>
      </c>
      <c r="E153" s="348" t="n">
        <v>0.96</v>
      </c>
      <c r="F153" s="348" t="n">
        <v>0.96</v>
      </c>
      <c r="G153" s="348" t="n">
        <v>0.9306</v>
      </c>
      <c r="H153" s="348" t="n">
        <v>0.99</v>
      </c>
      <c r="I153" s="348" t="n">
        <v>0.9306</v>
      </c>
      <c r="J153" s="348" t="n">
        <v>0.995</v>
      </c>
      <c r="K153" s="348" t="n">
        <v>0.98</v>
      </c>
      <c r="L153" s="348" t="n">
        <v>0.99</v>
      </c>
      <c r="M153" s="348" t="n">
        <v>1.005</v>
      </c>
      <c r="N153" s="354" t="n">
        <v>0.99</v>
      </c>
      <c r="P153" s="355" t="n">
        <f aca="false">A153</f>
        <v>40725</v>
      </c>
      <c r="Q153" s="356" t="n">
        <f aca="false">Q152+1</f>
        <v>151</v>
      </c>
    </row>
    <row r="154" customFormat="false" ht="12.75" hidden="false" customHeight="false" outlineLevel="0" collapsed="false">
      <c r="A154" s="353" t="n">
        <v>40756</v>
      </c>
      <c r="B154" s="348" t="n">
        <f aca="false">C154</f>
        <v>0.9306</v>
      </c>
      <c r="C154" s="348" t="n">
        <v>0.9306</v>
      </c>
      <c r="D154" s="348" t="n">
        <v>0.995</v>
      </c>
      <c r="E154" s="348" t="n">
        <v>0.96</v>
      </c>
      <c r="F154" s="348" t="n">
        <v>0.96</v>
      </c>
      <c r="G154" s="348" t="n">
        <v>0.9306</v>
      </c>
      <c r="H154" s="348" t="n">
        <v>0.99</v>
      </c>
      <c r="I154" s="348" t="n">
        <v>0.9306</v>
      </c>
      <c r="J154" s="348" t="n">
        <v>0.995</v>
      </c>
      <c r="K154" s="348" t="n">
        <v>0.98</v>
      </c>
      <c r="L154" s="348" t="n">
        <v>0.99</v>
      </c>
      <c r="M154" s="348" t="n">
        <v>1.005</v>
      </c>
      <c r="N154" s="354" t="n">
        <v>0.99</v>
      </c>
      <c r="P154" s="355" t="n">
        <f aca="false">A154</f>
        <v>40756</v>
      </c>
      <c r="Q154" s="356" t="n">
        <f aca="false">Q153+1</f>
        <v>152</v>
      </c>
    </row>
    <row r="155" customFormat="false" ht="12.75" hidden="false" customHeight="false" outlineLevel="0" collapsed="false">
      <c r="A155" s="353" t="n">
        <v>40787</v>
      </c>
      <c r="B155" s="348" t="n">
        <f aca="false">C155</f>
        <v>0.9306</v>
      </c>
      <c r="C155" s="348" t="n">
        <v>0.9306</v>
      </c>
      <c r="D155" s="348" t="n">
        <v>0.995</v>
      </c>
      <c r="E155" s="348" t="n">
        <v>0.96</v>
      </c>
      <c r="F155" s="348" t="n">
        <v>0.96</v>
      </c>
      <c r="G155" s="348" t="n">
        <v>0.9306</v>
      </c>
      <c r="H155" s="348" t="n">
        <v>0.99</v>
      </c>
      <c r="I155" s="348" t="n">
        <v>0.9306</v>
      </c>
      <c r="J155" s="348" t="n">
        <v>0.995</v>
      </c>
      <c r="K155" s="348" t="n">
        <v>0.98</v>
      </c>
      <c r="L155" s="348" t="n">
        <v>0.99</v>
      </c>
      <c r="M155" s="348" t="n">
        <v>1.005</v>
      </c>
      <c r="N155" s="354" t="n">
        <v>0.99</v>
      </c>
      <c r="P155" s="355" t="n">
        <f aca="false">A155</f>
        <v>40787</v>
      </c>
      <c r="Q155" s="356" t="n">
        <f aca="false">Q154+1</f>
        <v>153</v>
      </c>
    </row>
    <row r="156" customFormat="false" ht="12.75" hidden="false" customHeight="false" outlineLevel="0" collapsed="false">
      <c r="A156" s="353" t="n">
        <v>40817</v>
      </c>
      <c r="B156" s="348" t="n">
        <f aca="false">C156</f>
        <v>0.9306</v>
      </c>
      <c r="C156" s="348" t="n">
        <v>0.9306</v>
      </c>
      <c r="D156" s="348" t="n">
        <v>0.995</v>
      </c>
      <c r="E156" s="348" t="n">
        <v>0.96</v>
      </c>
      <c r="F156" s="348" t="n">
        <v>0.96</v>
      </c>
      <c r="G156" s="348" t="n">
        <v>0.9306</v>
      </c>
      <c r="H156" s="348" t="n">
        <v>0.99</v>
      </c>
      <c r="I156" s="348" t="n">
        <v>0.9306</v>
      </c>
      <c r="J156" s="348" t="n">
        <v>0.995</v>
      </c>
      <c r="K156" s="348" t="n">
        <v>0.98</v>
      </c>
      <c r="L156" s="348" t="n">
        <v>0.99</v>
      </c>
      <c r="M156" s="348" t="n">
        <v>1.005</v>
      </c>
      <c r="N156" s="354" t="n">
        <v>0.99</v>
      </c>
      <c r="P156" s="355" t="n">
        <f aca="false">A156</f>
        <v>40817</v>
      </c>
      <c r="Q156" s="356" t="n">
        <f aca="false">Q155+1</f>
        <v>154</v>
      </c>
    </row>
    <row r="157" customFormat="false" ht="12.75" hidden="false" customHeight="false" outlineLevel="0" collapsed="false">
      <c r="A157" s="353" t="n">
        <v>40848</v>
      </c>
      <c r="B157" s="348" t="n">
        <f aca="false">C157</f>
        <v>0.9306</v>
      </c>
      <c r="C157" s="348" t="n">
        <v>0.9306</v>
      </c>
      <c r="D157" s="348" t="n">
        <v>0.995</v>
      </c>
      <c r="E157" s="348" t="n">
        <v>0.96</v>
      </c>
      <c r="F157" s="348" t="n">
        <v>0.96</v>
      </c>
      <c r="G157" s="348" t="n">
        <v>0.9306</v>
      </c>
      <c r="H157" s="348" t="n">
        <v>0.99</v>
      </c>
      <c r="I157" s="348" t="n">
        <v>0.9306</v>
      </c>
      <c r="J157" s="348" t="n">
        <v>0.995</v>
      </c>
      <c r="K157" s="348" t="n">
        <v>0.98</v>
      </c>
      <c r="L157" s="348" t="n">
        <v>0.99</v>
      </c>
      <c r="M157" s="348" t="n">
        <v>1.005</v>
      </c>
      <c r="N157" s="354" t="n">
        <v>0.99</v>
      </c>
      <c r="P157" s="355" t="n">
        <f aca="false">A157</f>
        <v>40848</v>
      </c>
      <c r="Q157" s="356" t="n">
        <f aca="false">Q156+1</f>
        <v>155</v>
      </c>
    </row>
    <row r="158" customFormat="false" ht="12.75" hidden="false" customHeight="false" outlineLevel="0" collapsed="false">
      <c r="A158" s="353" t="n">
        <v>40878</v>
      </c>
      <c r="B158" s="348" t="n">
        <f aca="false">C158</f>
        <v>0.9306</v>
      </c>
      <c r="C158" s="348" t="n">
        <v>0.9306</v>
      </c>
      <c r="D158" s="348" t="n">
        <v>0.995</v>
      </c>
      <c r="E158" s="348" t="n">
        <v>0.96</v>
      </c>
      <c r="F158" s="348" t="n">
        <v>0.96</v>
      </c>
      <c r="G158" s="348" t="n">
        <v>0.9306</v>
      </c>
      <c r="H158" s="348" t="n">
        <v>0.99</v>
      </c>
      <c r="I158" s="348" t="n">
        <v>0.9306</v>
      </c>
      <c r="J158" s="348" t="n">
        <v>0.995</v>
      </c>
      <c r="K158" s="348" t="n">
        <v>0.98</v>
      </c>
      <c r="L158" s="348" t="n">
        <v>0.99</v>
      </c>
      <c r="M158" s="348" t="n">
        <v>1.005</v>
      </c>
      <c r="N158" s="354" t="n">
        <v>0.99</v>
      </c>
      <c r="P158" s="355" t="n">
        <f aca="false">A158</f>
        <v>40878</v>
      </c>
      <c r="Q158" s="356" t="n">
        <f aca="false">Q157+1</f>
        <v>156</v>
      </c>
    </row>
    <row r="159" customFormat="false" ht="12.75" hidden="false" customHeight="false" outlineLevel="0" collapsed="false">
      <c r="A159" s="353" t="n">
        <v>40909</v>
      </c>
      <c r="B159" s="348" t="n">
        <f aca="false">C159</f>
        <v>0.9306</v>
      </c>
      <c r="C159" s="348" t="n">
        <v>0.9306</v>
      </c>
      <c r="D159" s="348" t="n">
        <v>0.995</v>
      </c>
      <c r="E159" s="348" t="n">
        <v>0.96</v>
      </c>
      <c r="F159" s="348" t="n">
        <v>0.96</v>
      </c>
      <c r="G159" s="348" t="n">
        <v>0.9306</v>
      </c>
      <c r="H159" s="348" t="n">
        <v>0.99</v>
      </c>
      <c r="I159" s="348" t="n">
        <v>0.9306</v>
      </c>
      <c r="J159" s="348" t="n">
        <v>0.995</v>
      </c>
      <c r="K159" s="348" t="n">
        <v>0.98</v>
      </c>
      <c r="L159" s="348" t="n">
        <v>0.99</v>
      </c>
      <c r="M159" s="348" t="n">
        <v>1.005</v>
      </c>
      <c r="N159" s="354" t="n">
        <v>0.99</v>
      </c>
      <c r="P159" s="355" t="n">
        <f aca="false">A159</f>
        <v>40909</v>
      </c>
      <c r="Q159" s="356" t="n">
        <f aca="false">Q158+1</f>
        <v>157</v>
      </c>
    </row>
    <row r="160" customFormat="false" ht="12.75" hidden="false" customHeight="false" outlineLevel="0" collapsed="false">
      <c r="A160" s="353" t="n">
        <v>40940</v>
      </c>
      <c r="B160" s="348" t="n">
        <f aca="false">C160</f>
        <v>0.9306</v>
      </c>
      <c r="C160" s="348" t="n">
        <v>0.9306</v>
      </c>
      <c r="D160" s="348" t="n">
        <v>0.995</v>
      </c>
      <c r="E160" s="348" t="n">
        <v>0.96</v>
      </c>
      <c r="F160" s="348" t="n">
        <v>0.96</v>
      </c>
      <c r="G160" s="348" t="n">
        <v>0.9306</v>
      </c>
      <c r="H160" s="348" t="n">
        <v>0.99</v>
      </c>
      <c r="I160" s="348" t="n">
        <v>0.9306</v>
      </c>
      <c r="J160" s="348" t="n">
        <v>0.995</v>
      </c>
      <c r="K160" s="348" t="n">
        <v>0.98</v>
      </c>
      <c r="L160" s="348" t="n">
        <v>0.99</v>
      </c>
      <c r="M160" s="348" t="n">
        <v>1.005</v>
      </c>
      <c r="N160" s="354" t="n">
        <v>0.99</v>
      </c>
      <c r="P160" s="355" t="n">
        <f aca="false">A160</f>
        <v>40940</v>
      </c>
      <c r="Q160" s="356" t="n">
        <f aca="false">Q159+1</f>
        <v>158</v>
      </c>
    </row>
    <row r="161" customFormat="false" ht="12.75" hidden="false" customHeight="false" outlineLevel="0" collapsed="false">
      <c r="A161" s="353" t="n">
        <v>40969</v>
      </c>
      <c r="B161" s="348" t="n">
        <f aca="false">C161</f>
        <v>0.9306</v>
      </c>
      <c r="C161" s="348" t="n">
        <v>0.9306</v>
      </c>
      <c r="D161" s="348" t="n">
        <v>0.995</v>
      </c>
      <c r="E161" s="348" t="n">
        <v>0.96</v>
      </c>
      <c r="F161" s="348" t="n">
        <v>0.96</v>
      </c>
      <c r="G161" s="348" t="n">
        <v>0.9306</v>
      </c>
      <c r="H161" s="348" t="n">
        <v>0.99</v>
      </c>
      <c r="I161" s="348" t="n">
        <v>0.9306</v>
      </c>
      <c r="J161" s="348" t="n">
        <v>0.995</v>
      </c>
      <c r="K161" s="348" t="n">
        <v>0.98</v>
      </c>
      <c r="L161" s="348" t="n">
        <v>0.99</v>
      </c>
      <c r="M161" s="348" t="n">
        <v>1.005</v>
      </c>
      <c r="N161" s="354" t="n">
        <v>0.99</v>
      </c>
      <c r="P161" s="355" t="n">
        <f aca="false">A161</f>
        <v>40969</v>
      </c>
      <c r="Q161" s="356" t="n">
        <f aca="false">Q160+1</f>
        <v>159</v>
      </c>
    </row>
    <row r="162" customFormat="false" ht="12.75" hidden="false" customHeight="false" outlineLevel="0" collapsed="false">
      <c r="A162" s="353" t="n">
        <v>41000</v>
      </c>
      <c r="B162" s="348" t="n">
        <f aca="false">C162</f>
        <v>0.9306</v>
      </c>
      <c r="C162" s="348" t="n">
        <v>0.9306</v>
      </c>
      <c r="D162" s="348" t="n">
        <v>0.995</v>
      </c>
      <c r="E162" s="348" t="n">
        <v>0.96</v>
      </c>
      <c r="F162" s="348" t="n">
        <v>0.96</v>
      </c>
      <c r="G162" s="348" t="n">
        <v>0.9306</v>
      </c>
      <c r="H162" s="348" t="n">
        <v>0.99</v>
      </c>
      <c r="I162" s="348" t="n">
        <v>0.9306</v>
      </c>
      <c r="J162" s="348" t="n">
        <v>0.995</v>
      </c>
      <c r="K162" s="348" t="n">
        <v>0.98</v>
      </c>
      <c r="L162" s="348" t="n">
        <v>0.99</v>
      </c>
      <c r="M162" s="348" t="n">
        <v>1.005</v>
      </c>
      <c r="N162" s="354" t="n">
        <v>0.99</v>
      </c>
      <c r="P162" s="355" t="n">
        <f aca="false">A162</f>
        <v>41000</v>
      </c>
      <c r="Q162" s="356" t="n">
        <f aca="false">Q161+1</f>
        <v>160</v>
      </c>
    </row>
    <row r="163" customFormat="false" ht="12.75" hidden="false" customHeight="false" outlineLevel="0" collapsed="false">
      <c r="A163" s="353" t="n">
        <v>41030</v>
      </c>
      <c r="B163" s="348" t="n">
        <f aca="false">C163</f>
        <v>0.9306</v>
      </c>
      <c r="C163" s="348" t="n">
        <v>0.9306</v>
      </c>
      <c r="D163" s="348" t="n">
        <v>0.995</v>
      </c>
      <c r="E163" s="348" t="n">
        <v>0.96</v>
      </c>
      <c r="F163" s="348" t="n">
        <v>0.96</v>
      </c>
      <c r="G163" s="348" t="n">
        <v>0.9306</v>
      </c>
      <c r="H163" s="348" t="n">
        <v>0.99</v>
      </c>
      <c r="I163" s="348" t="n">
        <v>0.9306</v>
      </c>
      <c r="J163" s="348" t="n">
        <v>0.995</v>
      </c>
      <c r="K163" s="348" t="n">
        <v>0.98</v>
      </c>
      <c r="L163" s="348" t="n">
        <v>0.99</v>
      </c>
      <c r="M163" s="348" t="n">
        <v>1.005</v>
      </c>
      <c r="N163" s="354" t="n">
        <v>0.99</v>
      </c>
      <c r="P163" s="355" t="n">
        <f aca="false">A163</f>
        <v>41030</v>
      </c>
      <c r="Q163" s="356" t="n">
        <f aca="false">Q162+1</f>
        <v>161</v>
      </c>
    </row>
    <row r="164" customFormat="false" ht="12.75" hidden="false" customHeight="false" outlineLevel="0" collapsed="false">
      <c r="A164" s="353" t="n">
        <v>41061</v>
      </c>
      <c r="B164" s="348" t="n">
        <f aca="false">C164</f>
        <v>0.9306</v>
      </c>
      <c r="C164" s="348" t="n">
        <v>0.9306</v>
      </c>
      <c r="D164" s="348" t="n">
        <v>0.995</v>
      </c>
      <c r="E164" s="348" t="n">
        <v>0.96</v>
      </c>
      <c r="F164" s="348" t="n">
        <v>0.96</v>
      </c>
      <c r="G164" s="348" t="n">
        <v>0.9306</v>
      </c>
      <c r="H164" s="348" t="n">
        <v>0.99</v>
      </c>
      <c r="I164" s="348" t="n">
        <v>0.9306</v>
      </c>
      <c r="J164" s="348" t="n">
        <v>0.995</v>
      </c>
      <c r="K164" s="348" t="n">
        <v>0.98</v>
      </c>
      <c r="L164" s="348" t="n">
        <v>0.99</v>
      </c>
      <c r="M164" s="348" t="n">
        <v>1.005</v>
      </c>
      <c r="N164" s="354" t="n">
        <v>0.99</v>
      </c>
      <c r="P164" s="355" t="n">
        <f aca="false">A164</f>
        <v>41061</v>
      </c>
      <c r="Q164" s="356" t="n">
        <f aca="false">Q163+1</f>
        <v>162</v>
      </c>
    </row>
    <row r="165" customFormat="false" ht="12.75" hidden="false" customHeight="false" outlineLevel="0" collapsed="false">
      <c r="A165" s="353" t="n">
        <v>41091</v>
      </c>
      <c r="B165" s="348" t="n">
        <f aca="false">C165</f>
        <v>0.9306</v>
      </c>
      <c r="C165" s="348" t="n">
        <v>0.9306</v>
      </c>
      <c r="D165" s="348" t="n">
        <v>0.995</v>
      </c>
      <c r="E165" s="348" t="n">
        <v>0.96</v>
      </c>
      <c r="F165" s="348" t="n">
        <v>0.96</v>
      </c>
      <c r="G165" s="348" t="n">
        <v>0.9306</v>
      </c>
      <c r="H165" s="348" t="n">
        <v>0.99</v>
      </c>
      <c r="I165" s="348" t="n">
        <v>0.9306</v>
      </c>
      <c r="J165" s="348" t="n">
        <v>0.995</v>
      </c>
      <c r="K165" s="348" t="n">
        <v>0.98</v>
      </c>
      <c r="L165" s="348" t="n">
        <v>0.99</v>
      </c>
      <c r="M165" s="348" t="n">
        <v>1.005</v>
      </c>
      <c r="N165" s="354" t="n">
        <v>0.99</v>
      </c>
      <c r="P165" s="355" t="n">
        <f aca="false">A165</f>
        <v>41091</v>
      </c>
      <c r="Q165" s="356" t="n">
        <f aca="false">Q164+1</f>
        <v>163</v>
      </c>
    </row>
    <row r="166" customFormat="false" ht="12.75" hidden="false" customHeight="false" outlineLevel="0" collapsed="false">
      <c r="A166" s="353" t="n">
        <v>41122</v>
      </c>
      <c r="B166" s="348" t="n">
        <f aca="false">C166</f>
        <v>0.9306</v>
      </c>
      <c r="C166" s="348" t="n">
        <v>0.9306</v>
      </c>
      <c r="D166" s="348" t="n">
        <v>0.995</v>
      </c>
      <c r="E166" s="348" t="n">
        <v>0.96</v>
      </c>
      <c r="F166" s="348" t="n">
        <v>0.96</v>
      </c>
      <c r="G166" s="348" t="n">
        <v>0.9306</v>
      </c>
      <c r="H166" s="348" t="n">
        <v>0.99</v>
      </c>
      <c r="I166" s="348" t="n">
        <v>0.9306</v>
      </c>
      <c r="J166" s="348" t="n">
        <v>0.995</v>
      </c>
      <c r="K166" s="348" t="n">
        <v>0.98</v>
      </c>
      <c r="L166" s="348" t="n">
        <v>0.99</v>
      </c>
      <c r="M166" s="348" t="n">
        <v>1.005</v>
      </c>
      <c r="N166" s="354" t="n">
        <v>0.99</v>
      </c>
      <c r="P166" s="355" t="n">
        <f aca="false">A166</f>
        <v>41122</v>
      </c>
      <c r="Q166" s="356" t="n">
        <f aca="false">Q165+1</f>
        <v>164</v>
      </c>
    </row>
    <row r="167" customFormat="false" ht="12.75" hidden="false" customHeight="false" outlineLevel="0" collapsed="false">
      <c r="A167" s="353" t="n">
        <v>41153</v>
      </c>
      <c r="B167" s="348" t="n">
        <f aca="false">C167</f>
        <v>0.9306</v>
      </c>
      <c r="C167" s="348" t="n">
        <v>0.9306</v>
      </c>
      <c r="D167" s="348" t="n">
        <v>0.995</v>
      </c>
      <c r="E167" s="348" t="n">
        <v>0.96</v>
      </c>
      <c r="F167" s="348" t="n">
        <v>0.96</v>
      </c>
      <c r="G167" s="348" t="n">
        <v>0.9306</v>
      </c>
      <c r="H167" s="348" t="n">
        <v>0.99</v>
      </c>
      <c r="I167" s="348" t="n">
        <v>0.9306</v>
      </c>
      <c r="J167" s="348" t="n">
        <v>0.995</v>
      </c>
      <c r="K167" s="348" t="n">
        <v>0.98</v>
      </c>
      <c r="L167" s="348" t="n">
        <v>0.99</v>
      </c>
      <c r="M167" s="348" t="n">
        <v>1.005</v>
      </c>
      <c r="N167" s="354" t="n">
        <v>0.99</v>
      </c>
      <c r="P167" s="355" t="n">
        <f aca="false">A167</f>
        <v>41153</v>
      </c>
      <c r="Q167" s="356" t="n">
        <f aca="false">Q166+1</f>
        <v>165</v>
      </c>
    </row>
    <row r="168" customFormat="false" ht="12.75" hidden="false" customHeight="false" outlineLevel="0" collapsed="false">
      <c r="A168" s="353" t="n">
        <v>41183</v>
      </c>
      <c r="B168" s="348" t="n">
        <f aca="false">C168</f>
        <v>0.9306</v>
      </c>
      <c r="C168" s="348" t="n">
        <v>0.9306</v>
      </c>
      <c r="D168" s="348" t="n">
        <v>0.995</v>
      </c>
      <c r="E168" s="348" t="n">
        <v>0.96</v>
      </c>
      <c r="F168" s="348" t="n">
        <v>0.96</v>
      </c>
      <c r="G168" s="348" t="n">
        <v>0.9306</v>
      </c>
      <c r="H168" s="348" t="n">
        <v>0.99</v>
      </c>
      <c r="I168" s="348" t="n">
        <v>0.9306</v>
      </c>
      <c r="J168" s="348" t="n">
        <v>0.995</v>
      </c>
      <c r="K168" s="348" t="n">
        <v>0.98</v>
      </c>
      <c r="L168" s="348" t="n">
        <v>0.99</v>
      </c>
      <c r="M168" s="348" t="n">
        <v>1.005</v>
      </c>
      <c r="N168" s="354" t="n">
        <v>0.99</v>
      </c>
      <c r="P168" s="355" t="n">
        <f aca="false">A168</f>
        <v>41183</v>
      </c>
      <c r="Q168" s="356" t="n">
        <f aca="false">Q167+1</f>
        <v>166</v>
      </c>
    </row>
    <row r="169" customFormat="false" ht="12.75" hidden="false" customHeight="false" outlineLevel="0" collapsed="false">
      <c r="A169" s="353" t="n">
        <v>41214</v>
      </c>
      <c r="B169" s="348" t="n">
        <f aca="false">C169</f>
        <v>0.9306</v>
      </c>
      <c r="C169" s="348" t="n">
        <v>0.9306</v>
      </c>
      <c r="D169" s="348" t="n">
        <v>0.995</v>
      </c>
      <c r="E169" s="348" t="n">
        <v>0.96</v>
      </c>
      <c r="F169" s="348" t="n">
        <v>0.96</v>
      </c>
      <c r="G169" s="348" t="n">
        <v>0.9306</v>
      </c>
      <c r="H169" s="348" t="n">
        <v>0.99</v>
      </c>
      <c r="I169" s="348" t="n">
        <v>0.9306</v>
      </c>
      <c r="J169" s="348" t="n">
        <v>0.995</v>
      </c>
      <c r="K169" s="348" t="n">
        <v>0.98</v>
      </c>
      <c r="L169" s="348" t="n">
        <v>0.99</v>
      </c>
      <c r="M169" s="348" t="n">
        <v>1.005</v>
      </c>
      <c r="N169" s="354" t="n">
        <v>0.99</v>
      </c>
      <c r="P169" s="355" t="n">
        <f aca="false">A169</f>
        <v>41214</v>
      </c>
      <c r="Q169" s="356" t="n">
        <f aca="false">Q168+1</f>
        <v>167</v>
      </c>
    </row>
    <row r="170" customFormat="false" ht="12.75" hidden="false" customHeight="false" outlineLevel="0" collapsed="false">
      <c r="A170" s="353" t="n">
        <v>41244</v>
      </c>
      <c r="B170" s="348" t="n">
        <f aca="false">C170</f>
        <v>0.9306</v>
      </c>
      <c r="C170" s="348" t="n">
        <v>0.9306</v>
      </c>
      <c r="D170" s="348" t="n">
        <v>0.995</v>
      </c>
      <c r="E170" s="348" t="n">
        <v>0.96</v>
      </c>
      <c r="F170" s="348" t="n">
        <v>0.96</v>
      </c>
      <c r="G170" s="348" t="n">
        <v>0.9306</v>
      </c>
      <c r="H170" s="348" t="n">
        <v>0.99</v>
      </c>
      <c r="I170" s="348" t="n">
        <v>0.9306</v>
      </c>
      <c r="J170" s="348" t="n">
        <v>0.995</v>
      </c>
      <c r="K170" s="348" t="n">
        <v>0.98</v>
      </c>
      <c r="L170" s="348" t="n">
        <v>0.99</v>
      </c>
      <c r="M170" s="348" t="n">
        <v>1.005</v>
      </c>
      <c r="N170" s="354" t="n">
        <v>0.99</v>
      </c>
      <c r="P170" s="355" t="n">
        <f aca="false">A170</f>
        <v>41244</v>
      </c>
      <c r="Q170" s="356" t="n">
        <f aca="false">Q169+1</f>
        <v>168</v>
      </c>
    </row>
    <row r="171" customFormat="false" ht="12.75" hidden="false" customHeight="false" outlineLevel="0" collapsed="false">
      <c r="A171" s="353" t="n">
        <v>41275</v>
      </c>
      <c r="B171" s="348" t="n">
        <f aca="false">C171</f>
        <v>0.9306</v>
      </c>
      <c r="C171" s="348" t="n">
        <v>0.9306</v>
      </c>
      <c r="D171" s="348" t="n">
        <v>0.995</v>
      </c>
      <c r="E171" s="348" t="n">
        <v>0.96</v>
      </c>
      <c r="F171" s="348" t="n">
        <v>0.96</v>
      </c>
      <c r="G171" s="348" t="n">
        <v>0.9306</v>
      </c>
      <c r="H171" s="348" t="n">
        <v>0.99</v>
      </c>
      <c r="I171" s="348" t="n">
        <v>0.9306</v>
      </c>
      <c r="J171" s="348" t="n">
        <v>0.995</v>
      </c>
      <c r="K171" s="348" t="n">
        <v>0.98</v>
      </c>
      <c r="L171" s="348" t="n">
        <v>0.99</v>
      </c>
      <c r="M171" s="348" t="n">
        <v>1.005</v>
      </c>
      <c r="N171" s="354" t="n">
        <v>0.99</v>
      </c>
      <c r="P171" s="355" t="n">
        <f aca="false">A171</f>
        <v>41275</v>
      </c>
      <c r="Q171" s="356" t="n">
        <f aca="false">Q170+1</f>
        <v>169</v>
      </c>
    </row>
    <row r="172" customFormat="false" ht="12.75" hidden="false" customHeight="false" outlineLevel="0" collapsed="false">
      <c r="A172" s="353" t="n">
        <v>41306</v>
      </c>
      <c r="B172" s="348" t="n">
        <f aca="false">C172</f>
        <v>0.9306</v>
      </c>
      <c r="C172" s="348" t="n">
        <v>0.9306</v>
      </c>
      <c r="D172" s="348" t="n">
        <v>0.995</v>
      </c>
      <c r="E172" s="348" t="n">
        <v>0.96</v>
      </c>
      <c r="F172" s="348" t="n">
        <v>0.96</v>
      </c>
      <c r="G172" s="348" t="n">
        <v>0.9306</v>
      </c>
      <c r="H172" s="348" t="n">
        <v>0.99</v>
      </c>
      <c r="I172" s="348" t="n">
        <v>0.9306</v>
      </c>
      <c r="J172" s="348" t="n">
        <v>0.995</v>
      </c>
      <c r="K172" s="348" t="n">
        <v>0.98</v>
      </c>
      <c r="L172" s="348" t="n">
        <v>0.99</v>
      </c>
      <c r="M172" s="348" t="n">
        <v>1.005</v>
      </c>
      <c r="N172" s="354" t="n">
        <v>0.99</v>
      </c>
      <c r="P172" s="355" t="n">
        <f aca="false">A172</f>
        <v>41306</v>
      </c>
      <c r="Q172" s="356" t="n">
        <f aca="false">Q171+1</f>
        <v>170</v>
      </c>
    </row>
    <row r="173" customFormat="false" ht="12.75" hidden="false" customHeight="false" outlineLevel="0" collapsed="false">
      <c r="A173" s="353" t="n">
        <v>41334</v>
      </c>
      <c r="B173" s="348" t="n">
        <f aca="false">C173</f>
        <v>0.9306</v>
      </c>
      <c r="C173" s="348" t="n">
        <v>0.9306</v>
      </c>
      <c r="D173" s="348" t="n">
        <v>0.995</v>
      </c>
      <c r="E173" s="348" t="n">
        <v>0.96</v>
      </c>
      <c r="F173" s="348" t="n">
        <v>0.96</v>
      </c>
      <c r="G173" s="348" t="n">
        <v>0.9306</v>
      </c>
      <c r="H173" s="348" t="n">
        <v>0.99</v>
      </c>
      <c r="I173" s="348" t="n">
        <v>0.9306</v>
      </c>
      <c r="J173" s="348" t="n">
        <v>0.995</v>
      </c>
      <c r="K173" s="348" t="n">
        <v>0.98</v>
      </c>
      <c r="L173" s="348" t="n">
        <v>0.99</v>
      </c>
      <c r="M173" s="348" t="n">
        <v>1.005</v>
      </c>
      <c r="N173" s="354" t="n">
        <v>0.99</v>
      </c>
      <c r="P173" s="355" t="n">
        <f aca="false">A173</f>
        <v>41334</v>
      </c>
      <c r="Q173" s="356" t="n">
        <f aca="false">Q172+1</f>
        <v>171</v>
      </c>
    </row>
    <row r="174" customFormat="false" ht="12.75" hidden="false" customHeight="false" outlineLevel="0" collapsed="false">
      <c r="A174" s="353" t="n">
        <v>41365</v>
      </c>
      <c r="B174" s="348" t="n">
        <f aca="false">C174</f>
        <v>0.9306</v>
      </c>
      <c r="C174" s="348" t="n">
        <v>0.9306</v>
      </c>
      <c r="D174" s="348" t="n">
        <v>0.995</v>
      </c>
      <c r="E174" s="348" t="n">
        <v>0.96</v>
      </c>
      <c r="F174" s="348" t="n">
        <v>0.96</v>
      </c>
      <c r="G174" s="348" t="n">
        <v>0.9306</v>
      </c>
      <c r="H174" s="348" t="n">
        <v>0.99</v>
      </c>
      <c r="I174" s="348" t="n">
        <v>0.9306</v>
      </c>
      <c r="J174" s="348" t="n">
        <v>0.995</v>
      </c>
      <c r="K174" s="348" t="n">
        <v>0.98</v>
      </c>
      <c r="L174" s="348" t="n">
        <v>0.99</v>
      </c>
      <c r="M174" s="348" t="n">
        <v>1.005</v>
      </c>
      <c r="N174" s="354" t="n">
        <v>0.99</v>
      </c>
      <c r="P174" s="355" t="n">
        <f aca="false">A174</f>
        <v>41365</v>
      </c>
      <c r="Q174" s="356" t="n">
        <f aca="false">Q173+1</f>
        <v>172</v>
      </c>
    </row>
    <row r="175" customFormat="false" ht="12.75" hidden="false" customHeight="false" outlineLevel="0" collapsed="false">
      <c r="A175" s="353" t="n">
        <v>41395</v>
      </c>
      <c r="B175" s="348" t="n">
        <f aca="false">C175</f>
        <v>0.9306</v>
      </c>
      <c r="C175" s="348" t="n">
        <v>0.9306</v>
      </c>
      <c r="D175" s="348" t="n">
        <v>0.995</v>
      </c>
      <c r="E175" s="348" t="n">
        <v>0.96</v>
      </c>
      <c r="F175" s="348" t="n">
        <v>0.96</v>
      </c>
      <c r="G175" s="348" t="n">
        <v>0.9306</v>
      </c>
      <c r="H175" s="348" t="n">
        <v>0.99</v>
      </c>
      <c r="I175" s="348" t="n">
        <v>0.9306</v>
      </c>
      <c r="J175" s="348" t="n">
        <v>0.995</v>
      </c>
      <c r="K175" s="348" t="n">
        <v>0.98</v>
      </c>
      <c r="L175" s="348" t="n">
        <v>0.99</v>
      </c>
      <c r="M175" s="348" t="n">
        <v>1.005</v>
      </c>
      <c r="N175" s="354" t="n">
        <v>0.99</v>
      </c>
      <c r="P175" s="355" t="n">
        <f aca="false">A175</f>
        <v>41395</v>
      </c>
      <c r="Q175" s="356" t="n">
        <f aca="false">Q174+1</f>
        <v>173</v>
      </c>
    </row>
    <row r="176" customFormat="false" ht="12.75" hidden="false" customHeight="false" outlineLevel="0" collapsed="false">
      <c r="A176" s="353" t="n">
        <v>41426</v>
      </c>
      <c r="B176" s="348" t="n">
        <f aca="false">C176</f>
        <v>0.9306</v>
      </c>
      <c r="C176" s="348" t="n">
        <v>0.9306</v>
      </c>
      <c r="D176" s="348" t="n">
        <v>0.995</v>
      </c>
      <c r="E176" s="348" t="n">
        <v>0.96</v>
      </c>
      <c r="F176" s="348" t="n">
        <v>0.96</v>
      </c>
      <c r="G176" s="348" t="n">
        <v>0.9306</v>
      </c>
      <c r="H176" s="348" t="n">
        <v>0.99</v>
      </c>
      <c r="I176" s="348" t="n">
        <v>0.9306</v>
      </c>
      <c r="J176" s="348" t="n">
        <v>0.995</v>
      </c>
      <c r="K176" s="348" t="n">
        <v>0.98</v>
      </c>
      <c r="L176" s="348" t="n">
        <v>0.99</v>
      </c>
      <c r="M176" s="348" t="n">
        <v>1.005</v>
      </c>
      <c r="N176" s="354" t="n">
        <v>0.99</v>
      </c>
      <c r="P176" s="355" t="n">
        <f aca="false">A176</f>
        <v>41426</v>
      </c>
      <c r="Q176" s="356" t="n">
        <f aca="false">Q175+1</f>
        <v>174</v>
      </c>
    </row>
    <row r="177" customFormat="false" ht="12.75" hidden="false" customHeight="false" outlineLevel="0" collapsed="false">
      <c r="A177" s="353" t="n">
        <v>41456</v>
      </c>
      <c r="B177" s="348" t="n">
        <f aca="false">C177</f>
        <v>0.9306</v>
      </c>
      <c r="C177" s="348" t="n">
        <v>0.9306</v>
      </c>
      <c r="D177" s="348" t="n">
        <v>0.995</v>
      </c>
      <c r="E177" s="348" t="n">
        <v>0.96</v>
      </c>
      <c r="F177" s="348" t="n">
        <v>0.96</v>
      </c>
      <c r="G177" s="348" t="n">
        <v>0.9306</v>
      </c>
      <c r="H177" s="348" t="n">
        <v>0.99</v>
      </c>
      <c r="I177" s="348" t="n">
        <v>0.9306</v>
      </c>
      <c r="J177" s="348" t="n">
        <v>0.995</v>
      </c>
      <c r="K177" s="348" t="n">
        <v>0.98</v>
      </c>
      <c r="L177" s="348" t="n">
        <v>0.99</v>
      </c>
      <c r="M177" s="348" t="n">
        <v>1.005</v>
      </c>
      <c r="N177" s="354" t="n">
        <v>0.99</v>
      </c>
      <c r="P177" s="355" t="n">
        <f aca="false">A177</f>
        <v>41456</v>
      </c>
      <c r="Q177" s="356" t="n">
        <f aca="false">Q176+1</f>
        <v>175</v>
      </c>
    </row>
    <row r="178" customFormat="false" ht="12.75" hidden="false" customHeight="false" outlineLevel="0" collapsed="false">
      <c r="A178" s="353" t="n">
        <v>41487</v>
      </c>
      <c r="B178" s="348" t="n">
        <f aca="false">C178</f>
        <v>0.9306</v>
      </c>
      <c r="C178" s="348" t="n">
        <v>0.9306</v>
      </c>
      <c r="D178" s="348" t="n">
        <v>0.995</v>
      </c>
      <c r="E178" s="348" t="n">
        <v>0.96</v>
      </c>
      <c r="F178" s="348" t="n">
        <v>0.96</v>
      </c>
      <c r="G178" s="348" t="n">
        <v>0.9306</v>
      </c>
      <c r="H178" s="348" t="n">
        <v>0.99</v>
      </c>
      <c r="I178" s="348" t="n">
        <v>0.9306</v>
      </c>
      <c r="J178" s="348" t="n">
        <v>0.995</v>
      </c>
      <c r="K178" s="348" t="n">
        <v>0.98</v>
      </c>
      <c r="L178" s="348" t="n">
        <v>0.99</v>
      </c>
      <c r="M178" s="348" t="n">
        <v>1.005</v>
      </c>
      <c r="N178" s="354" t="n">
        <v>0.99</v>
      </c>
      <c r="P178" s="355" t="n">
        <f aca="false">A178</f>
        <v>41487</v>
      </c>
      <c r="Q178" s="356" t="n">
        <f aca="false">Q177+1</f>
        <v>176</v>
      </c>
    </row>
    <row r="179" customFormat="false" ht="12.75" hidden="false" customHeight="false" outlineLevel="0" collapsed="false">
      <c r="A179" s="353" t="n">
        <v>41518</v>
      </c>
      <c r="B179" s="348" t="n">
        <f aca="false">C179</f>
        <v>0.9306</v>
      </c>
      <c r="C179" s="348" t="n">
        <v>0.9306</v>
      </c>
      <c r="D179" s="348" t="n">
        <v>0.995</v>
      </c>
      <c r="E179" s="348" t="n">
        <v>0.96</v>
      </c>
      <c r="F179" s="348" t="n">
        <v>0.96</v>
      </c>
      <c r="G179" s="348" t="n">
        <v>0.9306</v>
      </c>
      <c r="H179" s="348" t="n">
        <v>0.99</v>
      </c>
      <c r="I179" s="348" t="n">
        <v>0.9306</v>
      </c>
      <c r="J179" s="348" t="n">
        <v>0.995</v>
      </c>
      <c r="K179" s="348" t="n">
        <v>0.98</v>
      </c>
      <c r="L179" s="348" t="n">
        <v>0.99</v>
      </c>
      <c r="M179" s="348" t="n">
        <v>1.005</v>
      </c>
      <c r="N179" s="354" t="n">
        <v>0.99</v>
      </c>
      <c r="P179" s="355" t="n">
        <f aca="false">A179</f>
        <v>41518</v>
      </c>
      <c r="Q179" s="356" t="n">
        <f aca="false">Q178+1</f>
        <v>177</v>
      </c>
    </row>
    <row r="180" customFormat="false" ht="12.75" hidden="false" customHeight="false" outlineLevel="0" collapsed="false">
      <c r="A180" s="353" t="n">
        <v>41548</v>
      </c>
      <c r="B180" s="348" t="n">
        <f aca="false">C180</f>
        <v>0.9306</v>
      </c>
      <c r="C180" s="348" t="n">
        <v>0.9306</v>
      </c>
      <c r="D180" s="348" t="n">
        <v>0.995</v>
      </c>
      <c r="E180" s="348" t="n">
        <v>0.96</v>
      </c>
      <c r="F180" s="348" t="n">
        <v>0.96</v>
      </c>
      <c r="G180" s="348" t="n">
        <v>0.9306</v>
      </c>
      <c r="H180" s="348" t="n">
        <v>0.99</v>
      </c>
      <c r="I180" s="348" t="n">
        <v>0.9306</v>
      </c>
      <c r="J180" s="348" t="n">
        <v>0.995</v>
      </c>
      <c r="K180" s="348" t="n">
        <v>0.98</v>
      </c>
      <c r="L180" s="348" t="n">
        <v>0.99</v>
      </c>
      <c r="M180" s="348" t="n">
        <v>1.005</v>
      </c>
      <c r="N180" s="354" t="n">
        <v>0.99</v>
      </c>
      <c r="P180" s="355" t="n">
        <f aca="false">A180</f>
        <v>41548</v>
      </c>
      <c r="Q180" s="356" t="n">
        <f aca="false">Q179+1</f>
        <v>178</v>
      </c>
    </row>
    <row r="181" customFormat="false" ht="12.75" hidden="false" customHeight="false" outlineLevel="0" collapsed="false">
      <c r="A181" s="353" t="n">
        <v>41579</v>
      </c>
      <c r="B181" s="348" t="n">
        <f aca="false">C181</f>
        <v>0.9306</v>
      </c>
      <c r="C181" s="348" t="n">
        <v>0.9306</v>
      </c>
      <c r="D181" s="348" t="n">
        <v>0.995</v>
      </c>
      <c r="E181" s="348" t="n">
        <v>0.96</v>
      </c>
      <c r="F181" s="348" t="n">
        <v>0.96</v>
      </c>
      <c r="G181" s="348" t="n">
        <v>0.9306</v>
      </c>
      <c r="H181" s="348" t="n">
        <v>0.99</v>
      </c>
      <c r="I181" s="348" t="n">
        <v>0.9306</v>
      </c>
      <c r="J181" s="348" t="n">
        <v>0.995</v>
      </c>
      <c r="K181" s="348" t="n">
        <v>0.98</v>
      </c>
      <c r="L181" s="348" t="n">
        <v>0.99</v>
      </c>
      <c r="M181" s="348" t="n">
        <v>1.005</v>
      </c>
      <c r="N181" s="354" t="n">
        <v>0.99</v>
      </c>
      <c r="P181" s="355" t="n">
        <f aca="false">A181</f>
        <v>41579</v>
      </c>
      <c r="Q181" s="356" t="n">
        <f aca="false">Q180+1</f>
        <v>179</v>
      </c>
    </row>
    <row r="182" customFormat="false" ht="12.75" hidden="false" customHeight="false" outlineLevel="0" collapsed="false">
      <c r="A182" s="353" t="n">
        <v>41609</v>
      </c>
      <c r="B182" s="348" t="n">
        <f aca="false">C182</f>
        <v>0.9306</v>
      </c>
      <c r="C182" s="348" t="n">
        <v>0.9306</v>
      </c>
      <c r="D182" s="348" t="n">
        <v>0.995</v>
      </c>
      <c r="E182" s="348" t="n">
        <v>0.96</v>
      </c>
      <c r="F182" s="348" t="n">
        <v>0.96</v>
      </c>
      <c r="G182" s="348" t="n">
        <v>0.9306</v>
      </c>
      <c r="H182" s="348" t="n">
        <v>0.99</v>
      </c>
      <c r="I182" s="348" t="n">
        <v>0.9306</v>
      </c>
      <c r="J182" s="348" t="n">
        <v>0.995</v>
      </c>
      <c r="K182" s="348" t="n">
        <v>0.98</v>
      </c>
      <c r="L182" s="348" t="n">
        <v>0.99</v>
      </c>
      <c r="M182" s="348" t="n">
        <v>1.005</v>
      </c>
      <c r="N182" s="354" t="n">
        <v>0.99</v>
      </c>
      <c r="P182" s="355" t="n">
        <f aca="false">A182</f>
        <v>41609</v>
      </c>
      <c r="Q182" s="356" t="n">
        <f aca="false">Q181+1</f>
        <v>180</v>
      </c>
    </row>
    <row r="183" customFormat="false" ht="12.75" hidden="false" customHeight="false" outlineLevel="0" collapsed="false">
      <c r="A183" s="353" t="n">
        <v>41640</v>
      </c>
      <c r="B183" s="348" t="n">
        <f aca="false">C183</f>
        <v>0.9306</v>
      </c>
      <c r="C183" s="348" t="n">
        <v>0.9306</v>
      </c>
      <c r="D183" s="348" t="n">
        <v>0.995</v>
      </c>
      <c r="E183" s="348" t="n">
        <v>0.96</v>
      </c>
      <c r="F183" s="348" t="n">
        <v>0.96</v>
      </c>
      <c r="G183" s="348" t="n">
        <v>0.9306</v>
      </c>
      <c r="H183" s="348" t="n">
        <v>0.99</v>
      </c>
      <c r="I183" s="348" t="n">
        <v>0.9306</v>
      </c>
      <c r="J183" s="348" t="n">
        <v>0.995</v>
      </c>
      <c r="K183" s="348" t="n">
        <v>0.98</v>
      </c>
      <c r="L183" s="348" t="n">
        <v>0.99</v>
      </c>
      <c r="M183" s="348" t="n">
        <v>1.005</v>
      </c>
      <c r="N183" s="354" t="n">
        <v>0.99</v>
      </c>
      <c r="P183" s="355" t="n">
        <f aca="false">A183</f>
        <v>41640</v>
      </c>
      <c r="Q183" s="356" t="n">
        <f aca="false">Q182+1</f>
        <v>181</v>
      </c>
    </row>
    <row r="184" customFormat="false" ht="12.75" hidden="false" customHeight="false" outlineLevel="0" collapsed="false">
      <c r="A184" s="353" t="n">
        <v>41671</v>
      </c>
      <c r="B184" s="348" t="n">
        <f aca="false">C184</f>
        <v>0.9306</v>
      </c>
      <c r="C184" s="348" t="n">
        <v>0.9306</v>
      </c>
      <c r="D184" s="348" t="n">
        <v>0.995</v>
      </c>
      <c r="E184" s="348" t="n">
        <v>0.96</v>
      </c>
      <c r="F184" s="348" t="n">
        <v>0.96</v>
      </c>
      <c r="G184" s="348" t="n">
        <v>0.9306</v>
      </c>
      <c r="H184" s="348" t="n">
        <v>0.99</v>
      </c>
      <c r="I184" s="348" t="n">
        <v>0.9306</v>
      </c>
      <c r="J184" s="348" t="n">
        <v>0.995</v>
      </c>
      <c r="K184" s="348" t="n">
        <v>0.98</v>
      </c>
      <c r="L184" s="348" t="n">
        <v>0.99</v>
      </c>
      <c r="M184" s="348" t="n">
        <v>1.005</v>
      </c>
      <c r="N184" s="354" t="n">
        <v>0.99</v>
      </c>
      <c r="P184" s="355" t="n">
        <f aca="false">A184</f>
        <v>41671</v>
      </c>
      <c r="Q184" s="356" t="n">
        <f aca="false">Q183+1</f>
        <v>182</v>
      </c>
    </row>
    <row r="185" customFormat="false" ht="12.75" hidden="false" customHeight="false" outlineLevel="0" collapsed="false">
      <c r="A185" s="353" t="n">
        <v>41699</v>
      </c>
      <c r="B185" s="348" t="n">
        <f aca="false">C185</f>
        <v>0.9306</v>
      </c>
      <c r="C185" s="348" t="n">
        <v>0.9306</v>
      </c>
      <c r="D185" s="348" t="n">
        <v>0.995</v>
      </c>
      <c r="E185" s="348" t="n">
        <v>0.96</v>
      </c>
      <c r="F185" s="348" t="n">
        <v>0.96</v>
      </c>
      <c r="G185" s="348" t="n">
        <v>0.9306</v>
      </c>
      <c r="H185" s="348" t="n">
        <v>0.99</v>
      </c>
      <c r="I185" s="348" t="n">
        <v>0.9306</v>
      </c>
      <c r="J185" s="348" t="n">
        <v>0.995</v>
      </c>
      <c r="K185" s="348" t="n">
        <v>0.98</v>
      </c>
      <c r="L185" s="348" t="n">
        <v>0.99</v>
      </c>
      <c r="M185" s="348" t="n">
        <v>1.005</v>
      </c>
      <c r="N185" s="354" t="n">
        <v>0.99</v>
      </c>
      <c r="P185" s="355" t="n">
        <f aca="false">A185</f>
        <v>41699</v>
      </c>
      <c r="Q185" s="356" t="n">
        <f aca="false">Q184+1</f>
        <v>183</v>
      </c>
    </row>
    <row r="186" customFormat="false" ht="12.75" hidden="false" customHeight="false" outlineLevel="0" collapsed="false">
      <c r="A186" s="353" t="n">
        <v>41730</v>
      </c>
      <c r="B186" s="348" t="n">
        <f aca="false">C186</f>
        <v>0.9306</v>
      </c>
      <c r="C186" s="348" t="n">
        <v>0.9306</v>
      </c>
      <c r="D186" s="348" t="n">
        <v>0.995</v>
      </c>
      <c r="E186" s="348" t="n">
        <v>0.96</v>
      </c>
      <c r="F186" s="348" t="n">
        <v>0.96</v>
      </c>
      <c r="G186" s="348" t="n">
        <v>0.9306</v>
      </c>
      <c r="H186" s="348" t="n">
        <v>0.99</v>
      </c>
      <c r="I186" s="348" t="n">
        <v>0.9306</v>
      </c>
      <c r="J186" s="348" t="n">
        <v>0.995</v>
      </c>
      <c r="K186" s="348" t="n">
        <v>0.98</v>
      </c>
      <c r="L186" s="348" t="n">
        <v>0.99</v>
      </c>
      <c r="M186" s="348" t="n">
        <v>1.005</v>
      </c>
      <c r="N186" s="354" t="n">
        <v>0.99</v>
      </c>
      <c r="P186" s="355" t="n">
        <f aca="false">A186</f>
        <v>41730</v>
      </c>
      <c r="Q186" s="356" t="n">
        <f aca="false">Q185+1</f>
        <v>184</v>
      </c>
    </row>
    <row r="187" customFormat="false" ht="12.75" hidden="false" customHeight="false" outlineLevel="0" collapsed="false">
      <c r="A187" s="353" t="n">
        <v>41760</v>
      </c>
      <c r="B187" s="348" t="n">
        <f aca="false">C187</f>
        <v>0.9306</v>
      </c>
      <c r="C187" s="348" t="n">
        <v>0.9306</v>
      </c>
      <c r="D187" s="348" t="n">
        <v>0.995</v>
      </c>
      <c r="E187" s="348" t="n">
        <v>0.96</v>
      </c>
      <c r="F187" s="348" t="n">
        <v>0.96</v>
      </c>
      <c r="G187" s="348" t="n">
        <v>0.9306</v>
      </c>
      <c r="H187" s="348" t="n">
        <v>0.99</v>
      </c>
      <c r="I187" s="348" t="n">
        <v>0.9306</v>
      </c>
      <c r="J187" s="348" t="n">
        <v>0.995</v>
      </c>
      <c r="K187" s="348" t="n">
        <v>0.98</v>
      </c>
      <c r="L187" s="348" t="n">
        <v>0.99</v>
      </c>
      <c r="M187" s="348" t="n">
        <v>1.005</v>
      </c>
      <c r="N187" s="354" t="n">
        <v>0.99</v>
      </c>
      <c r="P187" s="355" t="n">
        <f aca="false">A187</f>
        <v>41760</v>
      </c>
      <c r="Q187" s="356" t="n">
        <f aca="false">Q186+1</f>
        <v>185</v>
      </c>
    </row>
    <row r="188" customFormat="false" ht="12.75" hidden="false" customHeight="false" outlineLevel="0" collapsed="false">
      <c r="A188" s="353" t="n">
        <v>41791</v>
      </c>
      <c r="B188" s="348" t="n">
        <f aca="false">C188</f>
        <v>0.9306</v>
      </c>
      <c r="C188" s="348" t="n">
        <v>0.9306</v>
      </c>
      <c r="D188" s="348" t="n">
        <v>0.995</v>
      </c>
      <c r="E188" s="348" t="n">
        <v>0.96</v>
      </c>
      <c r="F188" s="348" t="n">
        <v>0.96</v>
      </c>
      <c r="G188" s="348" t="n">
        <v>0.9306</v>
      </c>
      <c r="H188" s="348" t="n">
        <v>0.99</v>
      </c>
      <c r="I188" s="348" t="n">
        <v>0.9306</v>
      </c>
      <c r="J188" s="348" t="n">
        <v>0.995</v>
      </c>
      <c r="K188" s="348" t="n">
        <v>0.98</v>
      </c>
      <c r="L188" s="348" t="n">
        <v>0.99</v>
      </c>
      <c r="M188" s="348" t="n">
        <v>1.005</v>
      </c>
      <c r="N188" s="354" t="n">
        <v>0.99</v>
      </c>
      <c r="P188" s="355" t="n">
        <f aca="false">A188</f>
        <v>41791</v>
      </c>
      <c r="Q188" s="356" t="n">
        <f aca="false">Q187+1</f>
        <v>186</v>
      </c>
    </row>
    <row r="189" customFormat="false" ht="12.75" hidden="false" customHeight="false" outlineLevel="0" collapsed="false">
      <c r="A189" s="353" t="n">
        <v>41821</v>
      </c>
      <c r="B189" s="348" t="n">
        <f aca="false">C189</f>
        <v>0.9306</v>
      </c>
      <c r="C189" s="348" t="n">
        <v>0.9306</v>
      </c>
      <c r="D189" s="348" t="n">
        <v>0.995</v>
      </c>
      <c r="E189" s="348" t="n">
        <v>0.96</v>
      </c>
      <c r="F189" s="348" t="n">
        <v>0.96</v>
      </c>
      <c r="G189" s="348" t="n">
        <v>0.9306</v>
      </c>
      <c r="H189" s="348" t="n">
        <v>0.99</v>
      </c>
      <c r="I189" s="348" t="n">
        <v>0.9306</v>
      </c>
      <c r="J189" s="348" t="n">
        <v>0.995</v>
      </c>
      <c r="K189" s="348" t="n">
        <v>0.98</v>
      </c>
      <c r="L189" s="348" t="n">
        <v>0.99</v>
      </c>
      <c r="M189" s="348" t="n">
        <v>1.005</v>
      </c>
      <c r="N189" s="354" t="n">
        <v>0.99</v>
      </c>
      <c r="P189" s="355" t="n">
        <f aca="false">A189</f>
        <v>41821</v>
      </c>
      <c r="Q189" s="356" t="n">
        <f aca="false">Q188+1</f>
        <v>187</v>
      </c>
    </row>
    <row r="190" customFormat="false" ht="12.75" hidden="false" customHeight="false" outlineLevel="0" collapsed="false">
      <c r="A190" s="353" t="n">
        <v>41852</v>
      </c>
      <c r="B190" s="348" t="n">
        <f aca="false">C190</f>
        <v>0.9306</v>
      </c>
      <c r="C190" s="348" t="n">
        <v>0.9306</v>
      </c>
      <c r="D190" s="348" t="n">
        <v>0.995</v>
      </c>
      <c r="E190" s="348" t="n">
        <v>0.96</v>
      </c>
      <c r="F190" s="348" t="n">
        <v>0.96</v>
      </c>
      <c r="G190" s="348" t="n">
        <v>0.9306</v>
      </c>
      <c r="H190" s="348" t="n">
        <v>0.99</v>
      </c>
      <c r="I190" s="348" t="n">
        <v>0.9306</v>
      </c>
      <c r="J190" s="348" t="n">
        <v>0.995</v>
      </c>
      <c r="K190" s="348" t="n">
        <v>0.98</v>
      </c>
      <c r="L190" s="348" t="n">
        <v>0.99</v>
      </c>
      <c r="M190" s="348" t="n">
        <v>1.005</v>
      </c>
      <c r="N190" s="354" t="n">
        <v>0.99</v>
      </c>
      <c r="P190" s="355" t="n">
        <f aca="false">A190</f>
        <v>41852</v>
      </c>
      <c r="Q190" s="356" t="n">
        <f aca="false">Q189+1</f>
        <v>188</v>
      </c>
    </row>
    <row r="191" customFormat="false" ht="12.75" hidden="false" customHeight="false" outlineLevel="0" collapsed="false">
      <c r="A191" s="353" t="n">
        <v>41883</v>
      </c>
      <c r="B191" s="348" t="n">
        <f aca="false">C191</f>
        <v>0.9306</v>
      </c>
      <c r="C191" s="348" t="n">
        <v>0.9306</v>
      </c>
      <c r="D191" s="348" t="n">
        <v>0.995</v>
      </c>
      <c r="E191" s="348" t="n">
        <v>0.96</v>
      </c>
      <c r="F191" s="348" t="n">
        <v>0.96</v>
      </c>
      <c r="G191" s="348" t="n">
        <v>0.9306</v>
      </c>
      <c r="H191" s="348" t="n">
        <v>0.99</v>
      </c>
      <c r="I191" s="348" t="n">
        <v>0.9306</v>
      </c>
      <c r="J191" s="348" t="n">
        <v>0.995</v>
      </c>
      <c r="K191" s="348" t="n">
        <v>0.98</v>
      </c>
      <c r="L191" s="348" t="n">
        <v>0.99</v>
      </c>
      <c r="M191" s="348" t="n">
        <v>1.005</v>
      </c>
      <c r="N191" s="354" t="n">
        <v>0.99</v>
      </c>
      <c r="P191" s="355" t="n">
        <f aca="false">A191</f>
        <v>41883</v>
      </c>
      <c r="Q191" s="356" t="n">
        <f aca="false">Q190+1</f>
        <v>189</v>
      </c>
    </row>
    <row r="192" customFormat="false" ht="12.75" hidden="false" customHeight="false" outlineLevel="0" collapsed="false">
      <c r="A192" s="353" t="n">
        <v>41913</v>
      </c>
      <c r="B192" s="348" t="n">
        <f aca="false">C192</f>
        <v>0.9306</v>
      </c>
      <c r="C192" s="348" t="n">
        <v>0.9306</v>
      </c>
      <c r="D192" s="348" t="n">
        <v>0.995</v>
      </c>
      <c r="E192" s="348" t="n">
        <v>0.96</v>
      </c>
      <c r="F192" s="348" t="n">
        <v>0.96</v>
      </c>
      <c r="G192" s="348" t="n">
        <v>0.9306</v>
      </c>
      <c r="H192" s="348" t="n">
        <v>0.99</v>
      </c>
      <c r="I192" s="348" t="n">
        <v>0.9306</v>
      </c>
      <c r="J192" s="348" t="n">
        <v>0.995</v>
      </c>
      <c r="K192" s="348" t="n">
        <v>0.98</v>
      </c>
      <c r="L192" s="348" t="n">
        <v>0.99</v>
      </c>
      <c r="M192" s="348" t="n">
        <v>1.005</v>
      </c>
      <c r="N192" s="354" t="n">
        <v>0.99</v>
      </c>
      <c r="P192" s="355" t="n">
        <f aca="false">A192</f>
        <v>41913</v>
      </c>
      <c r="Q192" s="356" t="n">
        <f aca="false">Q191+1</f>
        <v>190</v>
      </c>
    </row>
    <row r="193" customFormat="false" ht="12.75" hidden="false" customHeight="false" outlineLevel="0" collapsed="false">
      <c r="A193" s="353" t="n">
        <v>41944</v>
      </c>
      <c r="B193" s="348" t="n">
        <f aca="false">C193</f>
        <v>0.9306</v>
      </c>
      <c r="C193" s="348" t="n">
        <v>0.9306</v>
      </c>
      <c r="D193" s="348" t="n">
        <v>0.995</v>
      </c>
      <c r="E193" s="348" t="n">
        <v>0.96</v>
      </c>
      <c r="F193" s="348" t="n">
        <v>0.96</v>
      </c>
      <c r="G193" s="348" t="n">
        <v>0.9306</v>
      </c>
      <c r="H193" s="348" t="n">
        <v>0.99</v>
      </c>
      <c r="I193" s="348" t="n">
        <v>0.9306</v>
      </c>
      <c r="J193" s="348" t="n">
        <v>0.995</v>
      </c>
      <c r="K193" s="348" t="n">
        <v>0.98</v>
      </c>
      <c r="L193" s="348" t="n">
        <v>0.99</v>
      </c>
      <c r="M193" s="348" t="n">
        <v>1.005</v>
      </c>
      <c r="N193" s="354" t="n">
        <v>0.99</v>
      </c>
      <c r="P193" s="355" t="n">
        <f aca="false">A193</f>
        <v>41944</v>
      </c>
      <c r="Q193" s="356" t="n">
        <f aca="false">Q192+1</f>
        <v>191</v>
      </c>
    </row>
    <row r="194" customFormat="false" ht="12.75" hidden="false" customHeight="false" outlineLevel="0" collapsed="false">
      <c r="A194" s="353" t="n">
        <v>41974</v>
      </c>
      <c r="B194" s="348" t="n">
        <f aca="false">C194</f>
        <v>0.9306</v>
      </c>
      <c r="C194" s="348" t="n">
        <v>0.9306</v>
      </c>
      <c r="D194" s="348" t="n">
        <v>0.995</v>
      </c>
      <c r="E194" s="348" t="n">
        <v>0.96</v>
      </c>
      <c r="F194" s="348" t="n">
        <v>0.96</v>
      </c>
      <c r="G194" s="348" t="n">
        <v>0.9306</v>
      </c>
      <c r="H194" s="348" t="n">
        <v>0.99</v>
      </c>
      <c r="I194" s="348" t="n">
        <v>0.9306</v>
      </c>
      <c r="J194" s="348" t="n">
        <v>0.995</v>
      </c>
      <c r="K194" s="348" t="n">
        <v>0.98</v>
      </c>
      <c r="L194" s="348" t="n">
        <v>0.99</v>
      </c>
      <c r="M194" s="348" t="n">
        <v>1.005</v>
      </c>
      <c r="N194" s="354" t="n">
        <v>0.99</v>
      </c>
      <c r="P194" s="355" t="n">
        <f aca="false">A194</f>
        <v>41974</v>
      </c>
      <c r="Q194" s="356" t="n">
        <f aca="false">Q193+1</f>
        <v>192</v>
      </c>
    </row>
    <row r="195" customFormat="false" ht="12.75" hidden="false" customHeight="false" outlineLevel="0" collapsed="false">
      <c r="A195" s="353" t="n">
        <v>42005</v>
      </c>
      <c r="B195" s="348" t="n">
        <f aca="false">C195</f>
        <v>0.9306</v>
      </c>
      <c r="C195" s="348" t="n">
        <v>0.9306</v>
      </c>
      <c r="D195" s="348" t="n">
        <v>0.995</v>
      </c>
      <c r="E195" s="348" t="n">
        <v>0.96</v>
      </c>
      <c r="F195" s="348" t="n">
        <v>0.96</v>
      </c>
      <c r="G195" s="348" t="n">
        <v>0.9306</v>
      </c>
      <c r="H195" s="348" t="n">
        <v>0.99</v>
      </c>
      <c r="I195" s="348" t="n">
        <v>0.9306</v>
      </c>
      <c r="J195" s="348" t="n">
        <v>0.995</v>
      </c>
      <c r="K195" s="348" t="n">
        <v>0.98</v>
      </c>
      <c r="L195" s="348" t="n">
        <v>0.99</v>
      </c>
      <c r="M195" s="348" t="n">
        <v>1.005</v>
      </c>
      <c r="N195" s="354" t="n">
        <v>0.99</v>
      </c>
      <c r="P195" s="355" t="n">
        <f aca="false">A195</f>
        <v>42005</v>
      </c>
      <c r="Q195" s="356" t="n">
        <f aca="false">Q194+1</f>
        <v>193</v>
      </c>
    </row>
    <row r="196" customFormat="false" ht="12.75" hidden="false" customHeight="false" outlineLevel="0" collapsed="false">
      <c r="A196" s="353" t="n">
        <v>42036</v>
      </c>
      <c r="B196" s="348" t="n">
        <f aca="false">C196</f>
        <v>0.9306</v>
      </c>
      <c r="C196" s="348" t="n">
        <v>0.9306</v>
      </c>
      <c r="D196" s="348" t="n">
        <v>0.995</v>
      </c>
      <c r="E196" s="348" t="n">
        <v>0.96</v>
      </c>
      <c r="F196" s="348" t="n">
        <v>0.96</v>
      </c>
      <c r="G196" s="348" t="n">
        <v>0.9306</v>
      </c>
      <c r="H196" s="348" t="n">
        <v>0.99</v>
      </c>
      <c r="I196" s="348" t="n">
        <v>0.9306</v>
      </c>
      <c r="J196" s="348" t="n">
        <v>0.995</v>
      </c>
      <c r="K196" s="348" t="n">
        <v>0.98</v>
      </c>
      <c r="L196" s="348" t="n">
        <v>0.99</v>
      </c>
      <c r="M196" s="348" t="n">
        <v>1.005</v>
      </c>
      <c r="N196" s="354" t="n">
        <v>0.99</v>
      </c>
      <c r="P196" s="355" t="n">
        <f aca="false">A196</f>
        <v>42036</v>
      </c>
      <c r="Q196" s="356" t="n">
        <f aca="false">Q195+1</f>
        <v>194</v>
      </c>
    </row>
    <row r="197" customFormat="false" ht="12.75" hidden="false" customHeight="false" outlineLevel="0" collapsed="false">
      <c r="A197" s="353" t="n">
        <v>42064</v>
      </c>
      <c r="B197" s="348" t="n">
        <f aca="false">C197</f>
        <v>0.9306</v>
      </c>
      <c r="C197" s="348" t="n">
        <v>0.9306</v>
      </c>
      <c r="D197" s="348" t="n">
        <v>0.995</v>
      </c>
      <c r="E197" s="348" t="n">
        <v>0.96</v>
      </c>
      <c r="F197" s="348" t="n">
        <v>0.96</v>
      </c>
      <c r="G197" s="348" t="n">
        <v>0.9306</v>
      </c>
      <c r="H197" s="348" t="n">
        <v>0.99</v>
      </c>
      <c r="I197" s="348" t="n">
        <v>0.9306</v>
      </c>
      <c r="J197" s="348" t="n">
        <v>0.995</v>
      </c>
      <c r="K197" s="348" t="n">
        <v>0.98</v>
      </c>
      <c r="L197" s="348" t="n">
        <v>0.99</v>
      </c>
      <c r="M197" s="348" t="n">
        <v>1.005</v>
      </c>
      <c r="N197" s="354" t="n">
        <v>0.99</v>
      </c>
      <c r="P197" s="355" t="n">
        <f aca="false">A197</f>
        <v>42064</v>
      </c>
      <c r="Q197" s="356" t="n">
        <f aca="false">Q196+1</f>
        <v>195</v>
      </c>
    </row>
    <row r="198" customFormat="false" ht="12.75" hidden="false" customHeight="false" outlineLevel="0" collapsed="false">
      <c r="A198" s="353" t="n">
        <v>42095</v>
      </c>
      <c r="B198" s="348" t="n">
        <f aca="false">C198</f>
        <v>0.9306</v>
      </c>
      <c r="C198" s="348" t="n">
        <v>0.9306</v>
      </c>
      <c r="D198" s="348" t="n">
        <v>0.995</v>
      </c>
      <c r="E198" s="348" t="n">
        <v>0.96</v>
      </c>
      <c r="F198" s="348" t="n">
        <v>0.96</v>
      </c>
      <c r="G198" s="348" t="n">
        <v>0.9306</v>
      </c>
      <c r="H198" s="348" t="n">
        <v>0.99</v>
      </c>
      <c r="I198" s="348" t="n">
        <v>0.9306</v>
      </c>
      <c r="J198" s="348" t="n">
        <v>0.995</v>
      </c>
      <c r="K198" s="348" t="n">
        <v>0.98</v>
      </c>
      <c r="L198" s="348" t="n">
        <v>0.99</v>
      </c>
      <c r="M198" s="348" t="n">
        <v>1.005</v>
      </c>
      <c r="N198" s="354" t="n">
        <v>0.99</v>
      </c>
      <c r="P198" s="355" t="n">
        <f aca="false">A198</f>
        <v>42095</v>
      </c>
      <c r="Q198" s="356" t="n">
        <f aca="false">Q197+1</f>
        <v>196</v>
      </c>
    </row>
    <row r="199" customFormat="false" ht="12.75" hidden="false" customHeight="false" outlineLevel="0" collapsed="false">
      <c r="A199" s="353" t="n">
        <v>42125</v>
      </c>
      <c r="B199" s="348" t="n">
        <f aca="false">C199</f>
        <v>0.9306</v>
      </c>
      <c r="C199" s="348" t="n">
        <v>0.9306</v>
      </c>
      <c r="D199" s="348" t="n">
        <v>0.995</v>
      </c>
      <c r="E199" s="348" t="n">
        <v>0.96</v>
      </c>
      <c r="F199" s="348" t="n">
        <v>0.96</v>
      </c>
      <c r="G199" s="348" t="n">
        <v>0.9306</v>
      </c>
      <c r="H199" s="348" t="n">
        <v>0.99</v>
      </c>
      <c r="I199" s="348" t="n">
        <v>0.9306</v>
      </c>
      <c r="J199" s="348" t="n">
        <v>0.995</v>
      </c>
      <c r="K199" s="348" t="n">
        <v>0.98</v>
      </c>
      <c r="L199" s="348" t="n">
        <v>0.99</v>
      </c>
      <c r="M199" s="348" t="n">
        <v>1.005</v>
      </c>
      <c r="N199" s="354" t="n">
        <v>0.99</v>
      </c>
      <c r="P199" s="355" t="n">
        <f aca="false">A199</f>
        <v>42125</v>
      </c>
      <c r="Q199" s="356" t="n">
        <f aca="false">Q198+1</f>
        <v>197</v>
      </c>
    </row>
    <row r="200" customFormat="false" ht="12.75" hidden="false" customHeight="false" outlineLevel="0" collapsed="false">
      <c r="A200" s="353" t="n">
        <v>42156</v>
      </c>
      <c r="B200" s="348" t="n">
        <f aca="false">C200</f>
        <v>0.9306</v>
      </c>
      <c r="C200" s="348" t="n">
        <v>0.9306</v>
      </c>
      <c r="D200" s="348" t="n">
        <v>0.995</v>
      </c>
      <c r="E200" s="348" t="n">
        <v>0.96</v>
      </c>
      <c r="F200" s="348" t="n">
        <v>0.96</v>
      </c>
      <c r="G200" s="348" t="n">
        <v>0.9306</v>
      </c>
      <c r="H200" s="348" t="n">
        <v>0.99</v>
      </c>
      <c r="I200" s="348" t="n">
        <v>0.9306</v>
      </c>
      <c r="J200" s="348" t="n">
        <v>0.995</v>
      </c>
      <c r="K200" s="348" t="n">
        <v>0.98</v>
      </c>
      <c r="L200" s="348" t="n">
        <v>0.99</v>
      </c>
      <c r="M200" s="348" t="n">
        <v>1.005</v>
      </c>
      <c r="N200" s="354" t="n">
        <v>0.99</v>
      </c>
      <c r="P200" s="355" t="n">
        <f aca="false">A200</f>
        <v>42156</v>
      </c>
      <c r="Q200" s="356" t="n">
        <f aca="false">Q199+1</f>
        <v>198</v>
      </c>
    </row>
    <row r="201" customFormat="false" ht="12.75" hidden="false" customHeight="false" outlineLevel="0" collapsed="false">
      <c r="A201" s="353" t="n">
        <v>42186</v>
      </c>
      <c r="B201" s="348" t="n">
        <f aca="false">C201</f>
        <v>0.9306</v>
      </c>
      <c r="C201" s="348" t="n">
        <v>0.9306</v>
      </c>
      <c r="D201" s="348" t="n">
        <v>0.995</v>
      </c>
      <c r="E201" s="348" t="n">
        <v>0.96</v>
      </c>
      <c r="F201" s="348" t="n">
        <v>0.96</v>
      </c>
      <c r="G201" s="348" t="n">
        <v>0.9306</v>
      </c>
      <c r="H201" s="348" t="n">
        <v>0.99</v>
      </c>
      <c r="I201" s="348" t="n">
        <v>0.9306</v>
      </c>
      <c r="J201" s="348" t="n">
        <v>0.995</v>
      </c>
      <c r="K201" s="348" t="n">
        <v>0.98</v>
      </c>
      <c r="L201" s="348" t="n">
        <v>0.99</v>
      </c>
      <c r="M201" s="348" t="n">
        <v>1.005</v>
      </c>
      <c r="N201" s="354" t="n">
        <v>0.99</v>
      </c>
      <c r="P201" s="355" t="n">
        <f aca="false">A201</f>
        <v>42186</v>
      </c>
      <c r="Q201" s="356" t="n">
        <f aca="false">Q200+1</f>
        <v>199</v>
      </c>
    </row>
    <row r="202" customFormat="false" ht="12.75" hidden="false" customHeight="false" outlineLevel="0" collapsed="false">
      <c r="A202" s="353" t="n">
        <v>42217</v>
      </c>
      <c r="B202" s="348" t="n">
        <f aca="false">C202</f>
        <v>0.9306</v>
      </c>
      <c r="C202" s="348" t="n">
        <v>0.9306</v>
      </c>
      <c r="D202" s="348" t="n">
        <v>0.995</v>
      </c>
      <c r="E202" s="348" t="n">
        <v>0.96</v>
      </c>
      <c r="F202" s="348" t="n">
        <v>0.96</v>
      </c>
      <c r="G202" s="348" t="n">
        <v>0.9306</v>
      </c>
      <c r="H202" s="348" t="n">
        <v>0.99</v>
      </c>
      <c r="I202" s="348" t="n">
        <v>0.9306</v>
      </c>
      <c r="J202" s="348" t="n">
        <v>0.995</v>
      </c>
      <c r="K202" s="348" t="n">
        <v>0.98</v>
      </c>
      <c r="L202" s="348" t="n">
        <v>0.99</v>
      </c>
      <c r="M202" s="348" t="n">
        <v>1.005</v>
      </c>
      <c r="N202" s="354" t="n">
        <v>0.99</v>
      </c>
      <c r="P202" s="355" t="n">
        <f aca="false">A202</f>
        <v>42217</v>
      </c>
      <c r="Q202" s="356" t="n">
        <f aca="false">Q201+1</f>
        <v>200</v>
      </c>
    </row>
    <row r="203" customFormat="false" ht="12.75" hidden="false" customHeight="false" outlineLevel="0" collapsed="false">
      <c r="A203" s="353" t="n">
        <v>42248</v>
      </c>
      <c r="B203" s="348" t="n">
        <f aca="false">C203</f>
        <v>0.9306</v>
      </c>
      <c r="C203" s="348" t="n">
        <v>0.9306</v>
      </c>
      <c r="D203" s="348" t="n">
        <v>0.995</v>
      </c>
      <c r="E203" s="348" t="n">
        <v>0.96</v>
      </c>
      <c r="F203" s="348" t="n">
        <v>0.96</v>
      </c>
      <c r="G203" s="348" t="n">
        <v>0.9306</v>
      </c>
      <c r="H203" s="348" t="n">
        <v>0.99</v>
      </c>
      <c r="I203" s="348" t="n">
        <v>0.9306</v>
      </c>
      <c r="J203" s="348" t="n">
        <v>0.995</v>
      </c>
      <c r="K203" s="348" t="n">
        <v>0.98</v>
      </c>
      <c r="L203" s="348" t="n">
        <v>0.99</v>
      </c>
      <c r="M203" s="348" t="n">
        <v>1.005</v>
      </c>
      <c r="N203" s="354" t="n">
        <v>0.99</v>
      </c>
      <c r="P203" s="355" t="n">
        <f aca="false">A203</f>
        <v>42248</v>
      </c>
      <c r="Q203" s="356" t="n">
        <f aca="false">Q202+1</f>
        <v>201</v>
      </c>
    </row>
    <row r="204" customFormat="false" ht="12.75" hidden="false" customHeight="false" outlineLevel="0" collapsed="false">
      <c r="A204" s="353" t="n">
        <v>42278</v>
      </c>
      <c r="B204" s="348" t="n">
        <f aca="false">C204</f>
        <v>0.9306</v>
      </c>
      <c r="C204" s="348" t="n">
        <v>0.9306</v>
      </c>
      <c r="D204" s="348" t="n">
        <v>0.995</v>
      </c>
      <c r="E204" s="348" t="n">
        <v>0.96</v>
      </c>
      <c r="F204" s="348" t="n">
        <v>0.96</v>
      </c>
      <c r="G204" s="348" t="n">
        <v>0.9306</v>
      </c>
      <c r="H204" s="348" t="n">
        <v>0.99</v>
      </c>
      <c r="I204" s="348" t="n">
        <v>0.9306</v>
      </c>
      <c r="J204" s="348" t="n">
        <v>0.995</v>
      </c>
      <c r="K204" s="348" t="n">
        <v>0.98</v>
      </c>
      <c r="L204" s="348" t="n">
        <v>0.99</v>
      </c>
      <c r="M204" s="348" t="n">
        <v>1.005</v>
      </c>
      <c r="N204" s="354" t="n">
        <v>0.99</v>
      </c>
      <c r="P204" s="355" t="n">
        <f aca="false">A204</f>
        <v>42278</v>
      </c>
      <c r="Q204" s="356" t="n">
        <f aca="false">Q203+1</f>
        <v>202</v>
      </c>
    </row>
    <row r="205" customFormat="false" ht="12.75" hidden="false" customHeight="false" outlineLevel="0" collapsed="false">
      <c r="A205" s="353" t="n">
        <v>42309</v>
      </c>
      <c r="B205" s="348" t="n">
        <f aca="false">C205</f>
        <v>0.9306</v>
      </c>
      <c r="C205" s="348" t="n">
        <v>0.9306</v>
      </c>
      <c r="D205" s="348" t="n">
        <v>0.995</v>
      </c>
      <c r="E205" s="348" t="n">
        <v>0.96</v>
      </c>
      <c r="F205" s="348" t="n">
        <v>0.96</v>
      </c>
      <c r="G205" s="348" t="n">
        <v>0.9306</v>
      </c>
      <c r="H205" s="348" t="n">
        <v>0.99</v>
      </c>
      <c r="I205" s="348" t="n">
        <v>0.9306</v>
      </c>
      <c r="J205" s="348" t="n">
        <v>0.995</v>
      </c>
      <c r="K205" s="348" t="n">
        <v>0.98</v>
      </c>
      <c r="L205" s="348" t="n">
        <v>0.99</v>
      </c>
      <c r="M205" s="348" t="n">
        <v>1.005</v>
      </c>
      <c r="N205" s="354" t="n">
        <v>0.99</v>
      </c>
      <c r="P205" s="355" t="n">
        <f aca="false">A205</f>
        <v>42309</v>
      </c>
      <c r="Q205" s="356" t="n">
        <f aca="false">Q204+1</f>
        <v>203</v>
      </c>
    </row>
    <row r="206" customFormat="false" ht="12.75" hidden="false" customHeight="false" outlineLevel="0" collapsed="false">
      <c r="A206" s="353" t="n">
        <v>42339</v>
      </c>
      <c r="B206" s="348" t="n">
        <f aca="false">C206</f>
        <v>0.9306</v>
      </c>
      <c r="C206" s="348" t="n">
        <v>0.9306</v>
      </c>
      <c r="D206" s="348" t="n">
        <v>0.995</v>
      </c>
      <c r="E206" s="348" t="n">
        <v>0.96</v>
      </c>
      <c r="F206" s="348" t="n">
        <v>0.96</v>
      </c>
      <c r="G206" s="348" t="n">
        <v>0.9306</v>
      </c>
      <c r="H206" s="348" t="n">
        <v>0.99</v>
      </c>
      <c r="I206" s="348" t="n">
        <v>0.9306</v>
      </c>
      <c r="J206" s="348" t="n">
        <v>0.995</v>
      </c>
      <c r="K206" s="348" t="n">
        <v>0.98</v>
      </c>
      <c r="L206" s="348" t="n">
        <v>0.99</v>
      </c>
      <c r="M206" s="348" t="n">
        <v>1.005</v>
      </c>
      <c r="N206" s="354" t="n">
        <v>0.99</v>
      </c>
      <c r="P206" s="355" t="n">
        <f aca="false">A206</f>
        <v>42339</v>
      </c>
      <c r="Q206" s="356" t="n">
        <f aca="false">Q205+1</f>
        <v>204</v>
      </c>
    </row>
    <row r="207" customFormat="false" ht="12.75" hidden="false" customHeight="false" outlineLevel="0" collapsed="false">
      <c r="A207" s="353" t="n">
        <v>42370</v>
      </c>
      <c r="B207" s="348" t="n">
        <f aca="false">C207</f>
        <v>0.9306</v>
      </c>
      <c r="C207" s="348" t="n">
        <v>0.9306</v>
      </c>
      <c r="D207" s="348" t="n">
        <v>0.995</v>
      </c>
      <c r="E207" s="348" t="n">
        <v>0.96</v>
      </c>
      <c r="F207" s="348" t="n">
        <v>0.96</v>
      </c>
      <c r="G207" s="348" t="n">
        <v>0.9306</v>
      </c>
      <c r="H207" s="348" t="n">
        <v>0.99</v>
      </c>
      <c r="I207" s="348" t="n">
        <v>0.9306</v>
      </c>
      <c r="J207" s="348" t="n">
        <v>0.995</v>
      </c>
      <c r="K207" s="348" t="n">
        <v>0.98</v>
      </c>
      <c r="L207" s="348" t="n">
        <v>0.99</v>
      </c>
      <c r="M207" s="348" t="n">
        <v>1.005</v>
      </c>
      <c r="N207" s="354" t="n">
        <v>0.99</v>
      </c>
      <c r="P207" s="355" t="n">
        <f aca="false">A207</f>
        <v>42370</v>
      </c>
      <c r="Q207" s="356" t="n">
        <f aca="false">Q206+1</f>
        <v>205</v>
      </c>
    </row>
    <row r="208" customFormat="false" ht="12.75" hidden="false" customHeight="false" outlineLevel="0" collapsed="false">
      <c r="A208" s="353" t="n">
        <v>42401</v>
      </c>
      <c r="B208" s="348" t="n">
        <f aca="false">C208</f>
        <v>0.9306</v>
      </c>
      <c r="C208" s="348" t="n">
        <v>0.9306</v>
      </c>
      <c r="D208" s="348" t="n">
        <v>0.995</v>
      </c>
      <c r="E208" s="348" t="n">
        <v>0.96</v>
      </c>
      <c r="F208" s="348" t="n">
        <v>0.96</v>
      </c>
      <c r="G208" s="348" t="n">
        <v>0.9306</v>
      </c>
      <c r="H208" s="348" t="n">
        <v>0.99</v>
      </c>
      <c r="I208" s="348" t="n">
        <v>0.9306</v>
      </c>
      <c r="J208" s="348" t="n">
        <v>0.995</v>
      </c>
      <c r="K208" s="348" t="n">
        <v>0.98</v>
      </c>
      <c r="L208" s="348" t="n">
        <v>0.99</v>
      </c>
      <c r="M208" s="348" t="n">
        <v>1.005</v>
      </c>
      <c r="N208" s="354" t="n">
        <v>0.99</v>
      </c>
      <c r="P208" s="355" t="n">
        <f aca="false">A208</f>
        <v>42401</v>
      </c>
      <c r="Q208" s="356" t="n">
        <f aca="false">Q207+1</f>
        <v>206</v>
      </c>
    </row>
    <row r="209" customFormat="false" ht="12.75" hidden="false" customHeight="false" outlineLevel="0" collapsed="false">
      <c r="A209" s="353" t="n">
        <v>42430</v>
      </c>
      <c r="B209" s="348" t="n">
        <f aca="false">C209</f>
        <v>0.9306</v>
      </c>
      <c r="C209" s="348" t="n">
        <v>0.9306</v>
      </c>
      <c r="D209" s="348" t="n">
        <v>0.995</v>
      </c>
      <c r="E209" s="348" t="n">
        <v>0.96</v>
      </c>
      <c r="F209" s="348" t="n">
        <v>0.96</v>
      </c>
      <c r="G209" s="348" t="n">
        <v>0.9306</v>
      </c>
      <c r="H209" s="348" t="n">
        <v>0.99</v>
      </c>
      <c r="I209" s="348" t="n">
        <v>0.9306</v>
      </c>
      <c r="J209" s="348" t="n">
        <v>0.995</v>
      </c>
      <c r="K209" s="348" t="n">
        <v>0.98</v>
      </c>
      <c r="L209" s="348" t="n">
        <v>0.99</v>
      </c>
      <c r="M209" s="348" t="n">
        <v>1.005</v>
      </c>
      <c r="N209" s="354" t="n">
        <v>0.99</v>
      </c>
      <c r="P209" s="355" t="n">
        <f aca="false">A209</f>
        <v>42430</v>
      </c>
      <c r="Q209" s="356" t="n">
        <f aca="false">Q208+1</f>
        <v>207</v>
      </c>
    </row>
    <row r="210" customFormat="false" ht="12.75" hidden="false" customHeight="false" outlineLevel="0" collapsed="false">
      <c r="A210" s="353" t="n">
        <v>42461</v>
      </c>
      <c r="B210" s="348" t="n">
        <f aca="false">C210</f>
        <v>0.9306</v>
      </c>
      <c r="C210" s="348" t="n">
        <v>0.9306</v>
      </c>
      <c r="D210" s="348" t="n">
        <v>0.995</v>
      </c>
      <c r="E210" s="348" t="n">
        <v>0.96</v>
      </c>
      <c r="F210" s="348" t="n">
        <v>0.96</v>
      </c>
      <c r="G210" s="348" t="n">
        <v>0.9306</v>
      </c>
      <c r="H210" s="348" t="n">
        <v>0.99</v>
      </c>
      <c r="I210" s="348" t="n">
        <v>0.9306</v>
      </c>
      <c r="J210" s="348" t="n">
        <v>0.995</v>
      </c>
      <c r="K210" s="348" t="n">
        <v>0.98</v>
      </c>
      <c r="L210" s="348" t="n">
        <v>0.99</v>
      </c>
      <c r="M210" s="348" t="n">
        <v>1.005</v>
      </c>
      <c r="N210" s="354" t="n">
        <v>0.99</v>
      </c>
      <c r="P210" s="355" t="n">
        <f aca="false">A210</f>
        <v>42461</v>
      </c>
      <c r="Q210" s="356" t="n">
        <f aca="false">Q209+1</f>
        <v>208</v>
      </c>
    </row>
    <row r="211" customFormat="false" ht="12.75" hidden="false" customHeight="false" outlineLevel="0" collapsed="false">
      <c r="A211" s="353" t="n">
        <v>42491</v>
      </c>
      <c r="B211" s="348" t="n">
        <f aca="false">C211</f>
        <v>0.9306</v>
      </c>
      <c r="C211" s="348" t="n">
        <v>0.9306</v>
      </c>
      <c r="D211" s="348" t="n">
        <v>0.995</v>
      </c>
      <c r="E211" s="348" t="n">
        <v>0.96</v>
      </c>
      <c r="F211" s="348" t="n">
        <v>0.96</v>
      </c>
      <c r="G211" s="348" t="n">
        <v>0.9306</v>
      </c>
      <c r="H211" s="348" t="n">
        <v>0.99</v>
      </c>
      <c r="I211" s="348" t="n">
        <v>0.9306</v>
      </c>
      <c r="J211" s="348" t="n">
        <v>0.995</v>
      </c>
      <c r="K211" s="348" t="n">
        <v>0.98</v>
      </c>
      <c r="L211" s="348" t="n">
        <v>0.99</v>
      </c>
      <c r="M211" s="348" t="n">
        <v>1.005</v>
      </c>
      <c r="N211" s="354" t="n">
        <v>0.99</v>
      </c>
      <c r="P211" s="355" t="n">
        <f aca="false">A211</f>
        <v>42491</v>
      </c>
      <c r="Q211" s="356" t="n">
        <f aca="false">Q210+1</f>
        <v>209</v>
      </c>
    </row>
    <row r="212" customFormat="false" ht="12.75" hidden="false" customHeight="false" outlineLevel="0" collapsed="false">
      <c r="A212" s="353" t="n">
        <v>42522</v>
      </c>
      <c r="B212" s="348" t="n">
        <f aca="false">C212</f>
        <v>0.9306</v>
      </c>
      <c r="C212" s="348" t="n">
        <v>0.9306</v>
      </c>
      <c r="D212" s="348" t="n">
        <v>0.995</v>
      </c>
      <c r="E212" s="348" t="n">
        <v>0.96</v>
      </c>
      <c r="F212" s="348" t="n">
        <v>0.96</v>
      </c>
      <c r="G212" s="348" t="n">
        <v>0.9306</v>
      </c>
      <c r="H212" s="348" t="n">
        <v>0.99</v>
      </c>
      <c r="I212" s="348" t="n">
        <v>0.9306</v>
      </c>
      <c r="J212" s="348" t="n">
        <v>0.995</v>
      </c>
      <c r="K212" s="348" t="n">
        <v>0.98</v>
      </c>
      <c r="L212" s="348" t="n">
        <v>0.99</v>
      </c>
      <c r="M212" s="348" t="n">
        <v>1.005</v>
      </c>
      <c r="N212" s="354" t="n">
        <v>0.99</v>
      </c>
      <c r="P212" s="355" t="n">
        <f aca="false">A212</f>
        <v>42522</v>
      </c>
      <c r="Q212" s="356" t="n">
        <f aca="false">Q211+1</f>
        <v>210</v>
      </c>
    </row>
    <row r="213" customFormat="false" ht="12.75" hidden="false" customHeight="false" outlineLevel="0" collapsed="false">
      <c r="A213" s="353" t="n">
        <v>42552</v>
      </c>
      <c r="B213" s="348" t="n">
        <f aca="false">C213</f>
        <v>0.9306</v>
      </c>
      <c r="C213" s="348" t="n">
        <v>0.9306</v>
      </c>
      <c r="D213" s="348" t="n">
        <v>0.995</v>
      </c>
      <c r="E213" s="348" t="n">
        <v>0.96</v>
      </c>
      <c r="F213" s="348" t="n">
        <v>0.96</v>
      </c>
      <c r="G213" s="348" t="n">
        <v>0.9306</v>
      </c>
      <c r="H213" s="348" t="n">
        <v>0.99</v>
      </c>
      <c r="I213" s="348" t="n">
        <v>0.9306</v>
      </c>
      <c r="J213" s="348" t="n">
        <v>0.995</v>
      </c>
      <c r="K213" s="348" t="n">
        <v>0.98</v>
      </c>
      <c r="L213" s="348" t="n">
        <v>0.99</v>
      </c>
      <c r="M213" s="348" t="n">
        <v>1.005</v>
      </c>
      <c r="N213" s="354" t="n">
        <v>0.99</v>
      </c>
      <c r="P213" s="355" t="n">
        <f aca="false">A213</f>
        <v>42552</v>
      </c>
      <c r="Q213" s="356" t="n">
        <f aca="false">Q212+1</f>
        <v>211</v>
      </c>
    </row>
    <row r="214" customFormat="false" ht="12.75" hidden="false" customHeight="false" outlineLevel="0" collapsed="false">
      <c r="A214" s="353" t="n">
        <v>42583</v>
      </c>
      <c r="B214" s="348" t="n">
        <f aca="false">C214</f>
        <v>0.9306</v>
      </c>
      <c r="C214" s="348" t="n">
        <v>0.9306</v>
      </c>
      <c r="D214" s="348" t="n">
        <v>0.995</v>
      </c>
      <c r="E214" s="348" t="n">
        <v>0.96</v>
      </c>
      <c r="F214" s="348" t="n">
        <v>0.96</v>
      </c>
      <c r="G214" s="348" t="n">
        <v>0.9306</v>
      </c>
      <c r="H214" s="348" t="n">
        <v>0.99</v>
      </c>
      <c r="I214" s="348" t="n">
        <v>0.9306</v>
      </c>
      <c r="J214" s="348" t="n">
        <v>0.995</v>
      </c>
      <c r="K214" s="348" t="n">
        <v>0.98</v>
      </c>
      <c r="L214" s="348" t="n">
        <v>0.99</v>
      </c>
      <c r="M214" s="348" t="n">
        <v>1.005</v>
      </c>
      <c r="N214" s="354" t="n">
        <v>0.99</v>
      </c>
      <c r="P214" s="355" t="n">
        <f aca="false">A214</f>
        <v>42583</v>
      </c>
      <c r="Q214" s="356" t="n">
        <f aca="false">Q213+1</f>
        <v>212</v>
      </c>
    </row>
    <row r="215" customFormat="false" ht="12.75" hidden="false" customHeight="false" outlineLevel="0" collapsed="false">
      <c r="A215" s="353" t="n">
        <v>42614</v>
      </c>
      <c r="B215" s="348" t="n">
        <f aca="false">C215</f>
        <v>0.9306</v>
      </c>
      <c r="C215" s="348" t="n">
        <v>0.9306</v>
      </c>
      <c r="D215" s="348" t="n">
        <v>0.995</v>
      </c>
      <c r="E215" s="348" t="n">
        <v>0.96</v>
      </c>
      <c r="F215" s="348" t="n">
        <v>0.96</v>
      </c>
      <c r="G215" s="348" t="n">
        <v>0.9306</v>
      </c>
      <c r="H215" s="348" t="n">
        <v>0.99</v>
      </c>
      <c r="I215" s="348" t="n">
        <v>0.9306</v>
      </c>
      <c r="J215" s="348" t="n">
        <v>0.995</v>
      </c>
      <c r="K215" s="348" t="n">
        <v>0.98</v>
      </c>
      <c r="L215" s="348" t="n">
        <v>0.99</v>
      </c>
      <c r="M215" s="348" t="n">
        <v>1.005</v>
      </c>
      <c r="N215" s="354" t="n">
        <v>0.99</v>
      </c>
      <c r="P215" s="355" t="n">
        <f aca="false">A215</f>
        <v>42614</v>
      </c>
      <c r="Q215" s="356" t="n">
        <f aca="false">Q214+1</f>
        <v>213</v>
      </c>
    </row>
    <row r="216" customFormat="false" ht="12.75" hidden="false" customHeight="false" outlineLevel="0" collapsed="false">
      <c r="A216" s="353" t="n">
        <v>42644</v>
      </c>
      <c r="B216" s="348" t="n">
        <f aca="false">C216</f>
        <v>0.9306</v>
      </c>
      <c r="C216" s="348" t="n">
        <v>0.9306</v>
      </c>
      <c r="D216" s="348" t="n">
        <v>0.995</v>
      </c>
      <c r="E216" s="348" t="n">
        <v>0.96</v>
      </c>
      <c r="F216" s="348" t="n">
        <v>0.96</v>
      </c>
      <c r="G216" s="348" t="n">
        <v>0.9306</v>
      </c>
      <c r="H216" s="348" t="n">
        <v>0.99</v>
      </c>
      <c r="I216" s="348" t="n">
        <v>0.9306</v>
      </c>
      <c r="J216" s="348" t="n">
        <v>0.995</v>
      </c>
      <c r="K216" s="348" t="n">
        <v>0.98</v>
      </c>
      <c r="L216" s="348" t="n">
        <v>0.99</v>
      </c>
      <c r="M216" s="348" t="n">
        <v>1.005</v>
      </c>
      <c r="N216" s="354" t="n">
        <v>0.99</v>
      </c>
      <c r="P216" s="355" t="n">
        <f aca="false">A216</f>
        <v>42644</v>
      </c>
      <c r="Q216" s="356" t="n">
        <f aca="false">Q215+1</f>
        <v>214</v>
      </c>
    </row>
    <row r="217" customFormat="false" ht="12.75" hidden="false" customHeight="false" outlineLevel="0" collapsed="false">
      <c r="A217" s="353" t="n">
        <v>42675</v>
      </c>
      <c r="B217" s="348" t="n">
        <f aca="false">C217</f>
        <v>0.9306</v>
      </c>
      <c r="C217" s="348" t="n">
        <v>0.9306</v>
      </c>
      <c r="D217" s="348" t="n">
        <v>0.995</v>
      </c>
      <c r="E217" s="348" t="n">
        <v>0.96</v>
      </c>
      <c r="F217" s="348" t="n">
        <v>0.96</v>
      </c>
      <c r="G217" s="348" t="n">
        <v>0.9306</v>
      </c>
      <c r="H217" s="348" t="n">
        <v>0.99</v>
      </c>
      <c r="I217" s="348" t="n">
        <v>0.9306</v>
      </c>
      <c r="J217" s="348" t="n">
        <v>0.995</v>
      </c>
      <c r="K217" s="348" t="n">
        <v>0.98</v>
      </c>
      <c r="L217" s="348" t="n">
        <v>0.99</v>
      </c>
      <c r="M217" s="348" t="n">
        <v>1.005</v>
      </c>
      <c r="N217" s="354" t="n">
        <v>0.99</v>
      </c>
      <c r="P217" s="355" t="n">
        <f aca="false">A217</f>
        <v>42675</v>
      </c>
      <c r="Q217" s="356" t="n">
        <f aca="false">Q216+1</f>
        <v>215</v>
      </c>
    </row>
    <row r="218" customFormat="false" ht="12.75" hidden="false" customHeight="false" outlineLevel="0" collapsed="false">
      <c r="A218" s="353" t="n">
        <v>42705</v>
      </c>
      <c r="B218" s="348" t="n">
        <f aca="false">C218</f>
        <v>0.9306</v>
      </c>
      <c r="C218" s="348" t="n">
        <v>0.9306</v>
      </c>
      <c r="D218" s="348" t="n">
        <v>0.995</v>
      </c>
      <c r="E218" s="348" t="n">
        <v>0.96</v>
      </c>
      <c r="F218" s="348" t="n">
        <v>0.96</v>
      </c>
      <c r="G218" s="348" t="n">
        <v>0.9306</v>
      </c>
      <c r="H218" s="348" t="n">
        <v>0.99</v>
      </c>
      <c r="I218" s="348" t="n">
        <v>0.9306</v>
      </c>
      <c r="J218" s="348" t="n">
        <v>0.995</v>
      </c>
      <c r="K218" s="348" t="n">
        <v>0.98</v>
      </c>
      <c r="L218" s="348" t="n">
        <v>0.99</v>
      </c>
      <c r="M218" s="348" t="n">
        <v>1.005</v>
      </c>
      <c r="N218" s="354" t="n">
        <v>0.99</v>
      </c>
      <c r="P218" s="355" t="n">
        <f aca="false">A218</f>
        <v>42705</v>
      </c>
      <c r="Q218" s="356" t="n">
        <f aca="false">Q217+1</f>
        <v>216</v>
      </c>
    </row>
    <row r="219" customFormat="false" ht="12.75" hidden="false" customHeight="false" outlineLevel="0" collapsed="false">
      <c r="A219" s="353" t="n">
        <v>42736</v>
      </c>
      <c r="B219" s="348" t="n">
        <f aca="false">C219</f>
        <v>0.9306</v>
      </c>
      <c r="C219" s="348" t="n">
        <v>0.9306</v>
      </c>
      <c r="D219" s="348" t="n">
        <v>0.995</v>
      </c>
      <c r="E219" s="348" t="n">
        <v>0.96</v>
      </c>
      <c r="F219" s="348" t="n">
        <v>0.96</v>
      </c>
      <c r="G219" s="348" t="n">
        <v>0.9306</v>
      </c>
      <c r="H219" s="348" t="n">
        <v>0.99</v>
      </c>
      <c r="I219" s="348" t="n">
        <v>0.9306</v>
      </c>
      <c r="J219" s="348" t="n">
        <v>0.995</v>
      </c>
      <c r="K219" s="348" t="n">
        <v>0.98</v>
      </c>
      <c r="L219" s="348" t="n">
        <v>0.99</v>
      </c>
      <c r="M219" s="348" t="n">
        <v>1.005</v>
      </c>
      <c r="N219" s="354" t="n">
        <v>0.99</v>
      </c>
      <c r="P219" s="355" t="n">
        <f aca="false">A219</f>
        <v>42736</v>
      </c>
      <c r="Q219" s="356" t="n">
        <f aca="false">Q218+1</f>
        <v>217</v>
      </c>
    </row>
    <row r="220" customFormat="false" ht="12.75" hidden="false" customHeight="false" outlineLevel="0" collapsed="false">
      <c r="A220" s="353" t="n">
        <v>42767</v>
      </c>
      <c r="B220" s="348" t="n">
        <f aca="false">C220</f>
        <v>0.9306</v>
      </c>
      <c r="C220" s="348" t="n">
        <v>0.9306</v>
      </c>
      <c r="D220" s="348" t="n">
        <v>0.995</v>
      </c>
      <c r="E220" s="348" t="n">
        <v>0.96</v>
      </c>
      <c r="F220" s="348" t="n">
        <v>0.96</v>
      </c>
      <c r="G220" s="348" t="n">
        <v>0.9306</v>
      </c>
      <c r="H220" s="348" t="n">
        <v>0.99</v>
      </c>
      <c r="I220" s="348" t="n">
        <v>0.9306</v>
      </c>
      <c r="J220" s="348" t="n">
        <v>0.995</v>
      </c>
      <c r="K220" s="348" t="n">
        <v>0.98</v>
      </c>
      <c r="L220" s="348" t="n">
        <v>0.99</v>
      </c>
      <c r="M220" s="348" t="n">
        <v>1.005</v>
      </c>
      <c r="N220" s="354" t="n">
        <v>0.99</v>
      </c>
      <c r="P220" s="355" t="n">
        <f aca="false">A220</f>
        <v>42767</v>
      </c>
      <c r="Q220" s="356" t="n">
        <f aca="false">Q219+1</f>
        <v>218</v>
      </c>
    </row>
    <row r="221" customFormat="false" ht="12.75" hidden="false" customHeight="false" outlineLevel="0" collapsed="false">
      <c r="A221" s="353" t="n">
        <v>42795</v>
      </c>
      <c r="B221" s="348" t="n">
        <f aca="false">C221</f>
        <v>0.9306</v>
      </c>
      <c r="C221" s="348" t="n">
        <v>0.9306</v>
      </c>
      <c r="D221" s="348" t="n">
        <v>0.995</v>
      </c>
      <c r="E221" s="348" t="n">
        <v>0.96</v>
      </c>
      <c r="F221" s="348" t="n">
        <v>0.96</v>
      </c>
      <c r="G221" s="348" t="n">
        <v>0.9306</v>
      </c>
      <c r="H221" s="348" t="n">
        <v>0.99</v>
      </c>
      <c r="I221" s="348" t="n">
        <v>0.9306</v>
      </c>
      <c r="J221" s="348" t="n">
        <v>0.995</v>
      </c>
      <c r="K221" s="348" t="n">
        <v>0.98</v>
      </c>
      <c r="L221" s="348" t="n">
        <v>0.99</v>
      </c>
      <c r="M221" s="348" t="n">
        <v>1.005</v>
      </c>
      <c r="N221" s="354" t="n">
        <v>0.99</v>
      </c>
      <c r="P221" s="355" t="n">
        <f aca="false">A221</f>
        <v>42795</v>
      </c>
      <c r="Q221" s="356" t="n">
        <f aca="false">Q220+1</f>
        <v>219</v>
      </c>
    </row>
    <row r="222" customFormat="false" ht="12.75" hidden="false" customHeight="false" outlineLevel="0" collapsed="false">
      <c r="A222" s="353" t="n">
        <v>42826</v>
      </c>
      <c r="B222" s="348" t="n">
        <f aca="false">C222</f>
        <v>0.9306</v>
      </c>
      <c r="C222" s="348" t="n">
        <v>0.9306</v>
      </c>
      <c r="D222" s="348" t="n">
        <v>0.995</v>
      </c>
      <c r="E222" s="348" t="n">
        <v>0.96</v>
      </c>
      <c r="F222" s="348" t="n">
        <v>0.96</v>
      </c>
      <c r="G222" s="348" t="n">
        <v>0.9306</v>
      </c>
      <c r="H222" s="348" t="n">
        <v>0.99</v>
      </c>
      <c r="I222" s="348" t="n">
        <v>0.9306</v>
      </c>
      <c r="J222" s="348" t="n">
        <v>0.995</v>
      </c>
      <c r="K222" s="348" t="n">
        <v>0.98</v>
      </c>
      <c r="L222" s="348" t="n">
        <v>0.99</v>
      </c>
      <c r="M222" s="348" t="n">
        <v>1.005</v>
      </c>
      <c r="N222" s="354" t="n">
        <v>0.99</v>
      </c>
      <c r="P222" s="355" t="n">
        <f aca="false">A222</f>
        <v>42826</v>
      </c>
      <c r="Q222" s="356" t="n">
        <f aca="false">Q221+1</f>
        <v>220</v>
      </c>
    </row>
    <row r="223" customFormat="false" ht="12.75" hidden="false" customHeight="false" outlineLevel="0" collapsed="false">
      <c r="A223" s="353" t="n">
        <v>42856</v>
      </c>
      <c r="B223" s="348" t="n">
        <f aca="false">C223</f>
        <v>0.9306</v>
      </c>
      <c r="C223" s="348" t="n">
        <v>0.9306</v>
      </c>
      <c r="D223" s="348" t="n">
        <v>0.995</v>
      </c>
      <c r="E223" s="348" t="n">
        <v>0.96</v>
      </c>
      <c r="F223" s="348" t="n">
        <v>0.96</v>
      </c>
      <c r="G223" s="348" t="n">
        <v>0.9306</v>
      </c>
      <c r="H223" s="348" t="n">
        <v>0.99</v>
      </c>
      <c r="I223" s="348" t="n">
        <v>0.9306</v>
      </c>
      <c r="J223" s="348" t="n">
        <v>0.995</v>
      </c>
      <c r="K223" s="348" t="n">
        <v>0.98</v>
      </c>
      <c r="L223" s="348" t="n">
        <v>0.99</v>
      </c>
      <c r="M223" s="348" t="n">
        <v>1.005</v>
      </c>
      <c r="N223" s="354" t="n">
        <v>0.99</v>
      </c>
      <c r="P223" s="355" t="n">
        <f aca="false">A223</f>
        <v>42856</v>
      </c>
      <c r="Q223" s="356" t="n">
        <f aca="false">Q222+1</f>
        <v>221</v>
      </c>
    </row>
    <row r="224" customFormat="false" ht="12.75" hidden="false" customHeight="false" outlineLevel="0" collapsed="false">
      <c r="A224" s="353" t="n">
        <v>42887</v>
      </c>
      <c r="B224" s="348" t="n">
        <f aca="false">C224</f>
        <v>0.9306</v>
      </c>
      <c r="C224" s="348" t="n">
        <v>0.9306</v>
      </c>
      <c r="D224" s="348" t="n">
        <v>0.995</v>
      </c>
      <c r="E224" s="348" t="n">
        <v>0.96</v>
      </c>
      <c r="F224" s="348" t="n">
        <v>0.96</v>
      </c>
      <c r="G224" s="348" t="n">
        <v>0.9306</v>
      </c>
      <c r="H224" s="348" t="n">
        <v>0.99</v>
      </c>
      <c r="I224" s="348" t="n">
        <v>0.9306</v>
      </c>
      <c r="J224" s="348" t="n">
        <v>0.995</v>
      </c>
      <c r="K224" s="348" t="n">
        <v>0.98</v>
      </c>
      <c r="L224" s="348" t="n">
        <v>0.99</v>
      </c>
      <c r="M224" s="348" t="n">
        <v>1.005</v>
      </c>
      <c r="N224" s="354" t="n">
        <v>0.99</v>
      </c>
      <c r="P224" s="355" t="n">
        <f aca="false">A224</f>
        <v>42887</v>
      </c>
      <c r="Q224" s="356" t="n">
        <f aca="false">Q223+1</f>
        <v>222</v>
      </c>
    </row>
    <row r="225" customFormat="false" ht="12.75" hidden="false" customHeight="false" outlineLevel="0" collapsed="false">
      <c r="A225" s="353" t="n">
        <v>42917</v>
      </c>
      <c r="B225" s="348" t="n">
        <f aca="false">C225</f>
        <v>0.9306</v>
      </c>
      <c r="C225" s="348" t="n">
        <v>0.9306</v>
      </c>
      <c r="D225" s="348" t="n">
        <v>0.995</v>
      </c>
      <c r="E225" s="348" t="n">
        <v>0.96</v>
      </c>
      <c r="F225" s="348" t="n">
        <v>0.96</v>
      </c>
      <c r="G225" s="348" t="n">
        <v>0.9306</v>
      </c>
      <c r="H225" s="348" t="n">
        <v>0.99</v>
      </c>
      <c r="I225" s="348" t="n">
        <v>0.9306</v>
      </c>
      <c r="J225" s="348" t="n">
        <v>0.995</v>
      </c>
      <c r="K225" s="348" t="n">
        <v>0.98</v>
      </c>
      <c r="L225" s="348" t="n">
        <v>0.99</v>
      </c>
      <c r="M225" s="348" t="n">
        <v>1.005</v>
      </c>
      <c r="N225" s="354" t="n">
        <v>0.99</v>
      </c>
      <c r="P225" s="355" t="n">
        <f aca="false">A225</f>
        <v>42917</v>
      </c>
      <c r="Q225" s="356" t="n">
        <f aca="false">Q224+1</f>
        <v>223</v>
      </c>
    </row>
    <row r="226" customFormat="false" ht="12.75" hidden="false" customHeight="false" outlineLevel="0" collapsed="false">
      <c r="A226" s="353" t="n">
        <v>42948</v>
      </c>
      <c r="B226" s="348" t="n">
        <f aca="false">C226</f>
        <v>0.9306</v>
      </c>
      <c r="C226" s="348" t="n">
        <v>0.9306</v>
      </c>
      <c r="D226" s="348" t="n">
        <v>0.995</v>
      </c>
      <c r="E226" s="348" t="n">
        <v>0.96</v>
      </c>
      <c r="F226" s="348" t="n">
        <v>0.96</v>
      </c>
      <c r="G226" s="348" t="n">
        <v>0.9306</v>
      </c>
      <c r="H226" s="348" t="n">
        <v>0.99</v>
      </c>
      <c r="I226" s="348" t="n">
        <v>0.9306</v>
      </c>
      <c r="J226" s="348" t="n">
        <v>0.995</v>
      </c>
      <c r="K226" s="348" t="n">
        <v>0.98</v>
      </c>
      <c r="L226" s="348" t="n">
        <v>0.99</v>
      </c>
      <c r="M226" s="348" t="n">
        <v>1.005</v>
      </c>
      <c r="N226" s="354" t="n">
        <v>0.99</v>
      </c>
      <c r="P226" s="355" t="n">
        <f aca="false">A226</f>
        <v>42948</v>
      </c>
      <c r="Q226" s="356" t="n">
        <f aca="false">Q225+1</f>
        <v>224</v>
      </c>
    </row>
    <row r="227" customFormat="false" ht="12.75" hidden="false" customHeight="false" outlineLevel="0" collapsed="false">
      <c r="A227" s="353" t="n">
        <v>42979</v>
      </c>
      <c r="B227" s="348" t="n">
        <f aca="false">C227</f>
        <v>0.9306</v>
      </c>
      <c r="C227" s="348" t="n">
        <v>0.9306</v>
      </c>
      <c r="D227" s="348" t="n">
        <v>0.995</v>
      </c>
      <c r="E227" s="348" t="n">
        <v>0.96</v>
      </c>
      <c r="F227" s="348" t="n">
        <v>0.96</v>
      </c>
      <c r="G227" s="348" t="n">
        <v>0.9306</v>
      </c>
      <c r="H227" s="348" t="n">
        <v>0.99</v>
      </c>
      <c r="I227" s="348" t="n">
        <v>0.9306</v>
      </c>
      <c r="J227" s="348" t="n">
        <v>0.995</v>
      </c>
      <c r="K227" s="348" t="n">
        <v>0.98</v>
      </c>
      <c r="L227" s="348" t="n">
        <v>0.99</v>
      </c>
      <c r="M227" s="348" t="n">
        <v>1.005</v>
      </c>
      <c r="N227" s="354" t="n">
        <v>0.99</v>
      </c>
      <c r="P227" s="355" t="n">
        <f aca="false">A227</f>
        <v>42979</v>
      </c>
      <c r="Q227" s="356" t="n">
        <f aca="false">Q226+1</f>
        <v>225</v>
      </c>
    </row>
    <row r="228" customFormat="false" ht="12.75" hidden="false" customHeight="false" outlineLevel="0" collapsed="false">
      <c r="A228" s="353" t="n">
        <v>43009</v>
      </c>
      <c r="B228" s="348" t="n">
        <f aca="false">C228</f>
        <v>0.9306</v>
      </c>
      <c r="C228" s="348" t="n">
        <v>0.9306</v>
      </c>
      <c r="D228" s="348" t="n">
        <v>0.995</v>
      </c>
      <c r="E228" s="348" t="n">
        <v>0.96</v>
      </c>
      <c r="F228" s="348" t="n">
        <v>0.96</v>
      </c>
      <c r="G228" s="348" t="n">
        <v>0.9306</v>
      </c>
      <c r="H228" s="348" t="n">
        <v>0.99</v>
      </c>
      <c r="I228" s="348" t="n">
        <v>0.9306</v>
      </c>
      <c r="J228" s="348" t="n">
        <v>0.995</v>
      </c>
      <c r="K228" s="348" t="n">
        <v>0.98</v>
      </c>
      <c r="L228" s="348" t="n">
        <v>0.99</v>
      </c>
      <c r="M228" s="348" t="n">
        <v>1.005</v>
      </c>
      <c r="N228" s="354" t="n">
        <v>0.99</v>
      </c>
      <c r="P228" s="355" t="n">
        <f aca="false">A228</f>
        <v>43009</v>
      </c>
      <c r="Q228" s="356" t="n">
        <f aca="false">Q227+1</f>
        <v>226</v>
      </c>
    </row>
    <row r="229" customFormat="false" ht="12.75" hidden="false" customHeight="false" outlineLevel="0" collapsed="false">
      <c r="A229" s="358" t="n">
        <v>43040</v>
      </c>
      <c r="B229" s="359" t="n">
        <f aca="false">C229</f>
        <v>0.9306</v>
      </c>
      <c r="C229" s="359" t="n">
        <v>0.9306</v>
      </c>
      <c r="D229" s="359" t="n">
        <v>0.995</v>
      </c>
      <c r="E229" s="359" t="n">
        <v>0.96</v>
      </c>
      <c r="F229" s="359" t="n">
        <v>0.96</v>
      </c>
      <c r="G229" s="359" t="n">
        <v>0.9306</v>
      </c>
      <c r="H229" s="359" t="n">
        <v>0.99</v>
      </c>
      <c r="I229" s="359" t="n">
        <v>0.9306</v>
      </c>
      <c r="J229" s="359" t="n">
        <v>0.995</v>
      </c>
      <c r="K229" s="359" t="n">
        <v>0.98</v>
      </c>
      <c r="L229" s="359" t="n">
        <v>0.99</v>
      </c>
      <c r="M229" s="359" t="n">
        <v>1.005</v>
      </c>
      <c r="N229" s="360" t="n">
        <v>0.99</v>
      </c>
      <c r="P229" s="361" t="n">
        <f aca="false">A229</f>
        <v>43040</v>
      </c>
      <c r="Q229" s="362" t="n">
        <f aca="false">Q228+1</f>
        <v>227</v>
      </c>
    </row>
  </sheetData>
  <mergeCells count="2">
    <mergeCell ref="C2:N2"/>
    <mergeCell ref="P3:Q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AA272"/>
  <sheetViews>
    <sheetView showFormulas="false" showGridLines="true" showRowColHeaders="true" showZeros="true" rightToLeft="false" tabSelected="false" showOutlineSymbols="true" defaultGridColor="true" view="normal" topLeftCell="I1" colorId="64" zoomScale="100" zoomScaleNormal="100" zoomScalePageLayoutView="100" workbookViewId="0">
      <selection pane="topLeft" activeCell="S42" activeCellId="0" sqref="R3:S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13"/>
    <col collapsed="false" customWidth="true" hidden="false" outlineLevel="0" max="2" min="2" style="0" width="12.99"/>
    <col collapsed="false" customWidth="true" hidden="false" outlineLevel="0" max="3" min="3" style="0" width="15.28"/>
    <col collapsed="false" customWidth="true" hidden="false" outlineLevel="0" max="4" min="4" style="0" width="12.28"/>
    <col collapsed="false" customWidth="true" hidden="false" outlineLevel="0" max="5" min="5" style="0" width="14.56"/>
    <col collapsed="false" customWidth="true" hidden="false" outlineLevel="0" max="6" min="6" style="0" width="15.7"/>
    <col collapsed="false" customWidth="true" hidden="false" outlineLevel="0" max="8" min="7" style="0" width="14.56"/>
    <col collapsed="false" customWidth="true" hidden="false" outlineLevel="0" max="9" min="9" style="0" width="18.7"/>
    <col collapsed="false" customWidth="true" hidden="false" outlineLevel="0" max="10" min="10" style="0" width="13.14"/>
    <col collapsed="false" customWidth="true" hidden="false" outlineLevel="0" max="15" min="12" style="0" width="12.56"/>
    <col collapsed="false" customWidth="true" hidden="false" outlineLevel="0" max="17" min="17" style="0" width="11.85"/>
    <col collapsed="false" customWidth="true" hidden="false" outlineLevel="0" max="18" min="18" style="0" width="14.41"/>
    <col collapsed="false" customWidth="true" hidden="false" outlineLevel="0" max="19" min="19" style="0" width="10.99"/>
  </cols>
  <sheetData>
    <row r="1" customFormat="false" ht="12.75" hidden="false" customHeight="false" outlineLevel="0" collapsed="false">
      <c r="V1" s="0" t="s">
        <v>536</v>
      </c>
    </row>
    <row r="2" customFormat="false" ht="13.5" hidden="false" customHeight="false" outlineLevel="0" collapsed="false">
      <c r="B2" s="106" t="s">
        <v>537</v>
      </c>
    </row>
    <row r="3" customFormat="false" ht="13.5" hidden="false" customHeight="false" outlineLevel="0" collapsed="false">
      <c r="B3" s="363"/>
      <c r="C3" s="364" t="s">
        <v>538</v>
      </c>
      <c r="D3" s="364"/>
      <c r="E3" s="364"/>
      <c r="F3" s="364"/>
      <c r="G3" s="364"/>
      <c r="H3" s="364"/>
      <c r="I3" s="364"/>
      <c r="J3" s="365" t="s">
        <v>507</v>
      </c>
      <c r="R3" s="366" t="s">
        <v>539</v>
      </c>
      <c r="S3" s="320"/>
    </row>
    <row r="4" customFormat="false" ht="13.5" hidden="false" customHeight="false" outlineLevel="0" collapsed="false">
      <c r="B4" s="367" t="s">
        <v>79</v>
      </c>
      <c r="C4" s="368" t="str">
        <f aca="false">'Extendible Collars'!AA6</f>
        <v>IF-PAN/TX/OK</v>
      </c>
      <c r="D4" s="368" t="str">
        <f aca="false">'Extendible Collars'!AB6</f>
        <v>IF-SONAT/LA</v>
      </c>
      <c r="E4" s="368" t="str">
        <f aca="false">'Extendible Collars'!AC6</f>
        <v>IF-COLGULF/LA</v>
      </c>
      <c r="F4" s="368" t="str">
        <f aca="false">'Extendible Collars'!AD6</f>
        <v>IF-TRANSCO/Z1</v>
      </c>
      <c r="G4" s="368" t="str">
        <f aca="false">'Extendible Collars'!AE6</f>
        <v>IF-TRANSCO/Z2</v>
      </c>
      <c r="H4" s="368" t="str">
        <f aca="false">'Extendible Collars'!AF6</f>
        <v>IF-TRANSCO/Z3</v>
      </c>
      <c r="I4" s="368" t="str">
        <f aca="false">'Extendible Collars'!AG6</f>
        <v>IF-HPL/SHPCHAN</v>
      </c>
      <c r="J4" s="369" t="s">
        <v>540</v>
      </c>
      <c r="R4" s="370"/>
      <c r="S4" s="371" t="s">
        <v>541</v>
      </c>
    </row>
    <row r="5" customFormat="false" ht="13.5" hidden="false" customHeight="false" outlineLevel="0" collapsed="false">
      <c r="B5" s="372" t="n">
        <f aca="false">'Extendible Collars'!Z16</f>
        <v>36465</v>
      </c>
      <c r="C5" s="373" t="n">
        <f aca="false">'Extendible Collars'!AA16/10000</f>
        <v>0</v>
      </c>
      <c r="D5" s="374" t="n">
        <f aca="false">'Extendible Collars'!AB16/10000</f>
        <v>0</v>
      </c>
      <c r="E5" s="374" t="n">
        <f aca="false">'Extendible Collars'!AC16/10000</f>
        <v>0</v>
      </c>
      <c r="F5" s="374" t="n">
        <f aca="false">'Extendible Collars'!AD16/10000</f>
        <v>0</v>
      </c>
      <c r="G5" s="374" t="n">
        <f aca="false">'Extendible Collars'!AE16/10000</f>
        <v>0</v>
      </c>
      <c r="H5" s="374" t="n">
        <f aca="false">'Extendible Collars'!AF16/10000</f>
        <v>0</v>
      </c>
      <c r="I5" s="374" t="n">
        <f aca="false">'Extendible Collars'!AG16/10000</f>
        <v>0</v>
      </c>
      <c r="J5" s="375" t="n">
        <f aca="false">SUM(C5:I5)</f>
        <v>0</v>
      </c>
      <c r="R5" s="317"/>
      <c r="S5" s="369" t="s">
        <v>542</v>
      </c>
      <c r="Y5" s="106" t="s">
        <v>543</v>
      </c>
    </row>
    <row r="6" customFormat="false" ht="12.75" hidden="false" customHeight="false" outlineLevel="0" collapsed="false">
      <c r="B6" s="372" t="n">
        <f aca="false">'Extendible Collars'!Z17</f>
        <v>36495</v>
      </c>
      <c r="C6" s="373" t="n">
        <f aca="false">'Extendible Collars'!AA17/10000</f>
        <v>0</v>
      </c>
      <c r="D6" s="374" t="n">
        <f aca="false">'Extendible Collars'!AB17/10000</f>
        <v>0</v>
      </c>
      <c r="E6" s="374" t="n">
        <f aca="false">'Extendible Collars'!AC17/10000</f>
        <v>0</v>
      </c>
      <c r="F6" s="374" t="n">
        <f aca="false">'Extendible Collars'!AD17/10000</f>
        <v>0</v>
      </c>
      <c r="G6" s="374" t="n">
        <f aca="false">'Extendible Collars'!AE17/10000</f>
        <v>0</v>
      </c>
      <c r="H6" s="374" t="n">
        <f aca="false">'Extendible Collars'!AF17/10000</f>
        <v>0</v>
      </c>
      <c r="I6" s="374" t="n">
        <f aca="false">'Extendible Collars'!AG17/10000</f>
        <v>0</v>
      </c>
      <c r="J6" s="375" t="n">
        <f aca="false">SUM(C6:I6)</f>
        <v>0</v>
      </c>
      <c r="R6" s="376" t="n">
        <v>36739</v>
      </c>
      <c r="S6" s="377" t="n">
        <f aca="false">P36</f>
        <v>0</v>
      </c>
      <c r="Y6" s="378" t="s">
        <v>544</v>
      </c>
      <c r="Z6" s="379"/>
      <c r="AA6" s="380" t="n">
        <f aca="false">COUNT(B5:J5)</f>
        <v>9</v>
      </c>
    </row>
    <row r="7" customFormat="false" ht="12.75" hidden="false" customHeight="false" outlineLevel="0" collapsed="false">
      <c r="B7" s="372" t="n">
        <f aca="false">'Extendible Collars'!Z18</f>
        <v>36526</v>
      </c>
      <c r="C7" s="373" t="n">
        <f aca="false">'Extendible Collars'!AA18/10000</f>
        <v>0</v>
      </c>
      <c r="D7" s="374" t="n">
        <f aca="false">'Extendible Collars'!AB18/10000</f>
        <v>0</v>
      </c>
      <c r="E7" s="374" t="n">
        <f aca="false">'Extendible Collars'!AC18/10000</f>
        <v>0</v>
      </c>
      <c r="F7" s="374" t="n">
        <f aca="false">'Extendible Collars'!AD18/10000</f>
        <v>0</v>
      </c>
      <c r="G7" s="374" t="n">
        <f aca="false">'Extendible Collars'!AE18/10000</f>
        <v>0</v>
      </c>
      <c r="H7" s="374" t="n">
        <f aca="false">'Extendible Collars'!AF18/10000</f>
        <v>0</v>
      </c>
      <c r="I7" s="374" t="n">
        <f aca="false">'Extendible Collars'!AG18/10000</f>
        <v>0</v>
      </c>
      <c r="J7" s="375" t="n">
        <f aca="false">SUM(C7:I7)</f>
        <v>0</v>
      </c>
      <c r="R7" s="376" t="n">
        <f aca="false">B37</f>
        <v>36770</v>
      </c>
      <c r="S7" s="377" t="e">
        <f aca="false">INDEX(extendiblecollarpos,MATCH(R7,extendiblecollarmonths),extdcollarcount)+INDEX(basisoptpos,MATCH(R7,basisoptmonths),basisoptcount)+INDEX(basketoptpos,MATCH(R7,basketoptmonths),basketoptcount)+INDEX(digitaloptpos,MATCH(R7,digitaloptmonths),digitaloptcount)+INDEX(gdspreadoptpos,MATCH(R7,gdspreadoptmonths),gdspreadoptcount)</f>
        <v>#NAME?</v>
      </c>
      <c r="Y7" s="381" t="s">
        <v>545</v>
      </c>
      <c r="Z7" s="382"/>
      <c r="AA7" s="383" t="n">
        <f aca="false">COUNT(B36:P36)</f>
        <v>15</v>
      </c>
    </row>
    <row r="8" customFormat="false" ht="12.75" hidden="false" customHeight="false" outlineLevel="0" collapsed="false">
      <c r="B8" s="372" t="n">
        <f aca="false">'Extendible Collars'!Z19</f>
        <v>36557</v>
      </c>
      <c r="C8" s="373" t="n">
        <f aca="false">'Extendible Collars'!AA19/10000</f>
        <v>0</v>
      </c>
      <c r="D8" s="374" t="n">
        <f aca="false">'Extendible Collars'!AB19/10000</f>
        <v>0</v>
      </c>
      <c r="E8" s="374" t="n">
        <f aca="false">'Extendible Collars'!AC19/10000</f>
        <v>0</v>
      </c>
      <c r="F8" s="374" t="n">
        <f aca="false">'Extendible Collars'!AD19/10000</f>
        <v>0</v>
      </c>
      <c r="G8" s="374" t="n">
        <f aca="false">'Extendible Collars'!AE19/10000</f>
        <v>0</v>
      </c>
      <c r="H8" s="374" t="n">
        <f aca="false">'Extendible Collars'!AF19/10000</f>
        <v>0</v>
      </c>
      <c r="I8" s="374" t="n">
        <f aca="false">'Extendible Collars'!AG19/10000</f>
        <v>0</v>
      </c>
      <c r="J8" s="375" t="n">
        <f aca="false">SUM(C8:I8)</f>
        <v>0</v>
      </c>
      <c r="R8" s="376" t="n">
        <f aca="false">B38</f>
        <v>36800</v>
      </c>
      <c r="S8" s="377" t="e">
        <f aca="false">INDEX(extendiblecollarpos,MATCH(R8,extendiblecollarmonths),extdcollarcount)+INDEX(basisoptpos,MATCH(R8,basisoptmonths),basisoptcount)+INDEX(basketoptpos,MATCH(R8,basketoptmonths),basketoptcount)+INDEX(digitaloptpos,MATCH(R8,digitaloptmonths),digitaloptcount)+INDEX(gdspreadoptpos,MATCH(R8,gdspreadoptmonths),gdspreadoptcount)</f>
        <v>#NAME?</v>
      </c>
      <c r="Y8" s="381" t="s">
        <v>546</v>
      </c>
      <c r="Z8" s="382"/>
      <c r="AA8" s="383" t="n">
        <f aca="false">COUNT(B83:C83)</f>
        <v>2</v>
      </c>
    </row>
    <row r="9" customFormat="false" ht="12.75" hidden="false" customHeight="false" outlineLevel="0" collapsed="false">
      <c r="B9" s="372" t="n">
        <f aca="false">'Extendible Collars'!Z20</f>
        <v>36586</v>
      </c>
      <c r="C9" s="373" t="n">
        <f aca="false">'Extendible Collars'!AA20/10000</f>
        <v>0</v>
      </c>
      <c r="D9" s="374" t="n">
        <f aca="false">'Extendible Collars'!AB20/10000</f>
        <v>0</v>
      </c>
      <c r="E9" s="374" t="n">
        <f aca="false">'Extendible Collars'!AC20/10000</f>
        <v>0</v>
      </c>
      <c r="F9" s="374" t="n">
        <f aca="false">'Extendible Collars'!AD20/10000</f>
        <v>0</v>
      </c>
      <c r="G9" s="374" t="n">
        <f aca="false">'Extendible Collars'!AE20/10000</f>
        <v>0</v>
      </c>
      <c r="H9" s="374" t="n">
        <f aca="false">'Extendible Collars'!AF20/10000</f>
        <v>0</v>
      </c>
      <c r="I9" s="374" t="n">
        <f aca="false">'Extendible Collars'!AG20/10000</f>
        <v>0</v>
      </c>
      <c r="J9" s="375" t="n">
        <f aca="false">SUM(C9:I9)</f>
        <v>0</v>
      </c>
      <c r="R9" s="376" t="n">
        <f aca="false">B39</f>
        <v>36831</v>
      </c>
      <c r="S9" s="377" t="e">
        <f aca="false">INDEX(extendiblecollarpos,MATCH(R9,extendiblecollarmonths),extdcollarcount)+INDEX(basisoptpos,MATCH(R9,basisoptmonths),basisoptcount)+INDEX(basketoptpos,MATCH(R9,basketoptmonths),basketoptcount)+INDEX(digitaloptpos,MATCH(R9,digitaloptmonths),digitaloptcount)+INDEX(gdspreadoptpos,MATCH(R9,gdspreadoptmonths),gdspreadoptcount)</f>
        <v>#NAME?</v>
      </c>
      <c r="Y9" s="381" t="s">
        <v>547</v>
      </c>
      <c r="Z9" s="382"/>
      <c r="AA9" s="383" t="n">
        <f aca="false">COUNT(K83:L83)</f>
        <v>2</v>
      </c>
    </row>
    <row r="10" customFormat="false" ht="13.5" hidden="false" customHeight="false" outlineLevel="0" collapsed="false">
      <c r="B10" s="372" t="n">
        <f aca="false">'Extendible Collars'!Z21</f>
        <v>36617</v>
      </c>
      <c r="C10" s="373" t="n">
        <f aca="false">'Extendible Collars'!AA21/10000</f>
        <v>0</v>
      </c>
      <c r="D10" s="374" t="n">
        <f aca="false">'Extendible Collars'!AB21/10000</f>
        <v>0</v>
      </c>
      <c r="E10" s="374" t="n">
        <f aca="false">'Extendible Collars'!AC21/10000</f>
        <v>0</v>
      </c>
      <c r="F10" s="374" t="n">
        <f aca="false">'Extendible Collars'!AD21/10000</f>
        <v>0</v>
      </c>
      <c r="G10" s="374" t="n">
        <f aca="false">'Extendible Collars'!AE21/10000</f>
        <v>0</v>
      </c>
      <c r="H10" s="374" t="n">
        <f aca="false">'Extendible Collars'!AF21/10000</f>
        <v>0</v>
      </c>
      <c r="I10" s="374" t="n">
        <f aca="false">'Extendible Collars'!AG21/10000</f>
        <v>0</v>
      </c>
      <c r="J10" s="375" t="n">
        <f aca="false">SUM(C10:I10)</f>
        <v>0</v>
      </c>
      <c r="R10" s="376" t="n">
        <f aca="false">B40</f>
        <v>36861</v>
      </c>
      <c r="S10" s="377" t="e">
        <f aca="false">INDEX(extendiblecollarpos,MATCH(R10,extendiblecollarmonths),extdcollarcount)+INDEX(basisoptpos,MATCH(R10,basisoptmonths),basisoptcount)+INDEX(basketoptpos,MATCH(R10,basketoptmonths),basketoptcount)+INDEX(digitaloptpos,MATCH(R10,digitaloptmonths),digitaloptcount)+INDEX(gdspreadoptpos,MATCH(R10,gdspreadoptmonths),gdspreadoptcount)</f>
        <v>#NAME?</v>
      </c>
      <c r="Y10" s="384" t="s">
        <v>548</v>
      </c>
      <c r="Z10" s="385"/>
      <c r="AA10" s="386" t="n">
        <f aca="false">COUNT(E83:I83)</f>
        <v>5</v>
      </c>
    </row>
    <row r="11" customFormat="false" ht="12.75" hidden="false" customHeight="false" outlineLevel="0" collapsed="false">
      <c r="B11" s="372" t="n">
        <f aca="false">'Extendible Collars'!Z22</f>
        <v>36647</v>
      </c>
      <c r="C11" s="373" t="n">
        <f aca="false">'Extendible Collars'!AA22/10000</f>
        <v>0</v>
      </c>
      <c r="D11" s="374" t="n">
        <f aca="false">'Extendible Collars'!AB22/10000</f>
        <v>0</v>
      </c>
      <c r="E11" s="374" t="n">
        <f aca="false">'Extendible Collars'!AC22/10000</f>
        <v>0</v>
      </c>
      <c r="F11" s="374" t="n">
        <f aca="false">'Extendible Collars'!AD22/10000</f>
        <v>0</v>
      </c>
      <c r="G11" s="374" t="n">
        <f aca="false">'Extendible Collars'!AE22/10000</f>
        <v>0</v>
      </c>
      <c r="H11" s="374" t="n">
        <f aca="false">'Extendible Collars'!AF22/10000</f>
        <v>0</v>
      </c>
      <c r="I11" s="374" t="n">
        <f aca="false">'Extendible Collars'!AG22/10000</f>
        <v>0</v>
      </c>
      <c r="J11" s="375" t="n">
        <f aca="false">SUM(C11:I11)</f>
        <v>0</v>
      </c>
      <c r="R11" s="376" t="n">
        <f aca="false">B41</f>
        <v>36892</v>
      </c>
      <c r="S11" s="377" t="e">
        <f aca="false">INDEX(extendiblecollarpos,MATCH(R11,extendiblecollarmonths),extdcollarcount)+INDEX(basisoptpos,MATCH(R11,basisoptmonths),basisoptcount)+INDEX(basketoptpos,MATCH(R11,basketoptmonths),basketoptcount)+INDEX(digitaloptpos,MATCH(R11,digitaloptmonths),digitaloptcount)+INDEX(gdspreadoptpos,MATCH(R11,gdspreadoptmonths),gdspreadoptcount)</f>
        <v>#NAME?</v>
      </c>
    </row>
    <row r="12" customFormat="false" ht="12.75" hidden="false" customHeight="false" outlineLevel="0" collapsed="false">
      <c r="B12" s="372" t="n">
        <f aca="false">'Extendible Collars'!Z23</f>
        <v>36678</v>
      </c>
      <c r="C12" s="373" t="n">
        <f aca="false">'Extendible Collars'!AA23/10000</f>
        <v>0</v>
      </c>
      <c r="D12" s="374" t="n">
        <f aca="false">'Extendible Collars'!AB23/10000</f>
        <v>0</v>
      </c>
      <c r="E12" s="374" t="n">
        <f aca="false">'Extendible Collars'!AC23/10000</f>
        <v>0</v>
      </c>
      <c r="F12" s="374" t="n">
        <f aca="false">'Extendible Collars'!AD23/10000</f>
        <v>0</v>
      </c>
      <c r="G12" s="374" t="n">
        <f aca="false">'Extendible Collars'!AE23/10000</f>
        <v>0</v>
      </c>
      <c r="H12" s="374" t="n">
        <f aca="false">'Extendible Collars'!AF23/10000</f>
        <v>0</v>
      </c>
      <c r="I12" s="374" t="n">
        <f aca="false">'Extendible Collars'!AG23/10000</f>
        <v>0</v>
      </c>
      <c r="J12" s="375" t="n">
        <f aca="false">SUM(C12:I12)</f>
        <v>0</v>
      </c>
      <c r="R12" s="376" t="n">
        <f aca="false">B42</f>
        <v>36923</v>
      </c>
      <c r="S12" s="377" t="e">
        <f aca="false">INDEX(extendiblecollarpos,MATCH(R12,extendiblecollarmonths),extdcollarcount)+INDEX(basisoptpos,MATCH(R12,basisoptmonths),basisoptcount)+INDEX(basketoptpos,MATCH(R12,basketoptmonths),basketoptcount)+INDEX(digitaloptpos,MATCH(R12,digitaloptmonths),digitaloptcount)+INDEX(gdspreadoptpos,MATCH(R12,gdspreadoptmonths),gdspreadoptcount)</f>
        <v>#NAME?</v>
      </c>
    </row>
    <row r="13" customFormat="false" ht="12.75" hidden="false" customHeight="false" outlineLevel="0" collapsed="false">
      <c r="B13" s="372" t="n">
        <f aca="false">'Extendible Collars'!Z26</f>
        <v>36708</v>
      </c>
      <c r="C13" s="373" t="n">
        <f aca="false">'Extendible Collars'!AA26/10000</f>
        <v>0</v>
      </c>
      <c r="D13" s="374" t="n">
        <f aca="false">'Extendible Collars'!AB26/10000</f>
        <v>0</v>
      </c>
      <c r="E13" s="374" t="n">
        <f aca="false">'Extendible Collars'!AC26/10000</f>
        <v>0</v>
      </c>
      <c r="F13" s="374" t="n">
        <f aca="false">'Extendible Collars'!AD26/10000</f>
        <v>0</v>
      </c>
      <c r="G13" s="374" t="n">
        <f aca="false">'Extendible Collars'!AE26/10000</f>
        <v>0</v>
      </c>
      <c r="H13" s="374" t="n">
        <f aca="false">'Extendible Collars'!AF26/10000</f>
        <v>0</v>
      </c>
      <c r="I13" s="374" t="n">
        <f aca="false">'Extendible Collars'!AG26/10000</f>
        <v>0</v>
      </c>
      <c r="J13" s="375" t="n">
        <f aca="false">SUM(C13:I13)</f>
        <v>0</v>
      </c>
      <c r="R13" s="376" t="n">
        <f aca="false">B43</f>
        <v>36951</v>
      </c>
      <c r="S13" s="377" t="e">
        <f aca="false">INDEX(extendiblecollarpos,MATCH(R13,extendiblecollarmonths),extdcollarcount)+INDEX(basisoptpos,MATCH(R13,basisoptmonths),basisoptcount)+INDEX(basketoptpos,MATCH(R13,basketoptmonths),basketoptcount)+INDEX(digitaloptpos,MATCH(R13,digitaloptmonths),digitaloptcount)+INDEX(gdspreadoptpos,MATCH(R13,gdspreadoptmonths),gdspreadoptcount)</f>
        <v>#NAME?</v>
      </c>
    </row>
    <row r="14" customFormat="false" ht="12.75" hidden="false" customHeight="false" outlineLevel="0" collapsed="false">
      <c r="B14" s="372" t="n">
        <f aca="false">'Extendible Collars'!Z27</f>
        <v>36739</v>
      </c>
      <c r="C14" s="373" t="n">
        <f aca="false">'Extendible Collars'!AA27/10000</f>
        <v>0</v>
      </c>
      <c r="D14" s="374" t="n">
        <f aca="false">'Extendible Collars'!AB27/10000</f>
        <v>0</v>
      </c>
      <c r="E14" s="374" t="n">
        <f aca="false">'Extendible Collars'!AC27/10000</f>
        <v>0</v>
      </c>
      <c r="F14" s="374" t="n">
        <f aca="false">'Extendible Collars'!AD27/10000</f>
        <v>0</v>
      </c>
      <c r="G14" s="374" t="n">
        <f aca="false">'Extendible Collars'!AE27/10000</f>
        <v>0</v>
      </c>
      <c r="H14" s="374" t="n">
        <f aca="false">'Extendible Collars'!AF27/10000</f>
        <v>0</v>
      </c>
      <c r="I14" s="374" t="n">
        <f aca="false">'Extendible Collars'!AG27/10000</f>
        <v>0</v>
      </c>
      <c r="J14" s="375" t="n">
        <f aca="false">SUM(C14:I14)</f>
        <v>0</v>
      </c>
      <c r="R14" s="376" t="n">
        <f aca="false">B44</f>
        <v>36982</v>
      </c>
      <c r="S14" s="377" t="e">
        <f aca="false">INDEX(extendiblecollarpos,MATCH(R14,extendiblecollarmonths),extdcollarcount)+INDEX(basisoptpos,MATCH(R14,basisoptmonths),basisoptcount)+INDEX(basketoptpos,MATCH(R14,basketoptmonths),basketoptcount)+INDEX(digitaloptpos,MATCH(R14,digitaloptmonths),digitaloptcount)+INDEX(gdspreadoptpos,MATCH(R14,gdspreadoptmonths),gdspreadoptcount)</f>
        <v>#NAME?</v>
      </c>
    </row>
    <row r="15" customFormat="false" ht="12.75" hidden="false" customHeight="false" outlineLevel="0" collapsed="false">
      <c r="B15" s="372" t="n">
        <f aca="false">'Extendible Collars'!Z28</f>
        <v>36770</v>
      </c>
      <c r="C15" s="373" t="n">
        <f aca="false">'Extendible Collars'!AA28/10000</f>
        <v>0</v>
      </c>
      <c r="D15" s="374" t="n">
        <f aca="false">'Extendible Collars'!AB28/10000</f>
        <v>0</v>
      </c>
      <c r="E15" s="374" t="n">
        <f aca="false">'Extendible Collars'!AC28/10000</f>
        <v>0</v>
      </c>
      <c r="F15" s="374" t="n">
        <f aca="false">'Extendible Collars'!AD28/10000</f>
        <v>0</v>
      </c>
      <c r="G15" s="374" t="n">
        <f aca="false">'Extendible Collars'!AE28/10000</f>
        <v>0</v>
      </c>
      <c r="H15" s="374" t="n">
        <f aca="false">'Extendible Collars'!AF28/10000</f>
        <v>0</v>
      </c>
      <c r="I15" s="374" t="n">
        <f aca="false">'Extendible Collars'!AG28/10000</f>
        <v>0</v>
      </c>
      <c r="J15" s="375" t="n">
        <f aca="false">SUM(C15:I15)</f>
        <v>0</v>
      </c>
      <c r="R15" s="376" t="n">
        <f aca="false">B45</f>
        <v>37012</v>
      </c>
      <c r="S15" s="377" t="e">
        <f aca="false">INDEX(extendiblecollarpos,MATCH(R15,extendiblecollarmonths),extdcollarcount)+INDEX(basisoptpos,MATCH(R15,basisoptmonths),basisoptcount)+INDEX(basketoptpos,MATCH(R15,basketoptmonths),basketoptcount)+INDEX(digitaloptpos,MATCH(R15,digitaloptmonths),digitaloptcount)+INDEX(gdspreadoptpos,MATCH(R15,gdspreadoptmonths),gdspreadoptcount)</f>
        <v>#NAME?</v>
      </c>
    </row>
    <row r="16" customFormat="false" ht="12.75" hidden="false" customHeight="false" outlineLevel="0" collapsed="false">
      <c r="B16" s="372" t="n">
        <f aca="false">'Extendible Collars'!Z29</f>
        <v>36800</v>
      </c>
      <c r="C16" s="373" t="n">
        <f aca="false">'Extendible Collars'!AA29/10000</f>
        <v>0</v>
      </c>
      <c r="D16" s="374" t="n">
        <f aca="false">'Extendible Collars'!AB29/10000</f>
        <v>0</v>
      </c>
      <c r="E16" s="374" t="n">
        <f aca="false">'Extendible Collars'!AC29/10000</f>
        <v>0</v>
      </c>
      <c r="F16" s="374" t="n">
        <f aca="false">'Extendible Collars'!AD29/10000</f>
        <v>0</v>
      </c>
      <c r="G16" s="374" t="n">
        <f aca="false">'Extendible Collars'!AE29/10000</f>
        <v>0</v>
      </c>
      <c r="H16" s="374" t="n">
        <f aca="false">'Extendible Collars'!AF29/10000</f>
        <v>0</v>
      </c>
      <c r="I16" s="374" t="n">
        <f aca="false">'Extendible Collars'!AG29/10000</f>
        <v>0</v>
      </c>
      <c r="J16" s="375" t="n">
        <f aca="false">SUM(C16:I16)</f>
        <v>0</v>
      </c>
      <c r="R16" s="376" t="n">
        <f aca="false">B46</f>
        <v>37043</v>
      </c>
      <c r="S16" s="377" t="e">
        <f aca="false">INDEX(extendiblecollarpos,MATCH(R16,extendiblecollarmonths),extdcollarcount)+INDEX(basisoptpos,MATCH(R16,basisoptmonths),basisoptcount)+INDEX(basketoptpos,MATCH(R16,basketoptmonths),basketoptcount)+INDEX(digitaloptpos,MATCH(R16,digitaloptmonths),digitaloptcount)+INDEX(gdspreadoptpos,MATCH(R16,gdspreadoptmonths),gdspreadoptcount)</f>
        <v>#NAME?</v>
      </c>
    </row>
    <row r="17" customFormat="false" ht="12.75" hidden="false" customHeight="false" outlineLevel="0" collapsed="false">
      <c r="B17" s="372" t="n">
        <f aca="false">'Extendible Collars'!Z30</f>
        <v>36831</v>
      </c>
      <c r="C17" s="373" t="n">
        <f aca="false">'Extendible Collars'!AA30/10000</f>
        <v>0</v>
      </c>
      <c r="D17" s="374" t="n">
        <f aca="false">'Extendible Collars'!AB30/10000</f>
        <v>0</v>
      </c>
      <c r="E17" s="374" t="n">
        <f aca="false">'Extendible Collars'!AC30/10000</f>
        <v>0</v>
      </c>
      <c r="F17" s="374" t="n">
        <f aca="false">'Extendible Collars'!AD30/10000</f>
        <v>0</v>
      </c>
      <c r="G17" s="374" t="n">
        <f aca="false">'Extendible Collars'!AE30/10000</f>
        <v>0</v>
      </c>
      <c r="H17" s="374" t="n">
        <f aca="false">'Extendible Collars'!AF30/10000</f>
        <v>0</v>
      </c>
      <c r="I17" s="374" t="n">
        <f aca="false">'Extendible Collars'!AG30/10000</f>
        <v>0</v>
      </c>
      <c r="J17" s="375" t="n">
        <f aca="false">SUM(C17:I17)</f>
        <v>0</v>
      </c>
      <c r="R17" s="376" t="n">
        <f aca="false">B47</f>
        <v>37073</v>
      </c>
      <c r="S17" s="377" t="e">
        <f aca="false">INDEX(extendiblecollarpos,MATCH(R17,extendiblecollarmonths),extdcollarcount)+INDEX(basisoptpos,MATCH(R17,basisoptmonths),basisoptcount)+INDEX(basketoptpos,MATCH(R17,basketoptmonths),basketoptcount)+INDEX(digitaloptpos,MATCH(R17,digitaloptmonths),digitaloptcount)+INDEX(gdspreadoptpos,MATCH(R17,gdspreadoptmonths),gdspreadoptcount)</f>
        <v>#NAME?</v>
      </c>
    </row>
    <row r="18" customFormat="false" ht="12.75" hidden="false" customHeight="false" outlineLevel="0" collapsed="false">
      <c r="B18" s="372" t="n">
        <f aca="false">'Extendible Collars'!Z31</f>
        <v>36861</v>
      </c>
      <c r="C18" s="373" t="n">
        <f aca="false">'Extendible Collars'!AA31/10000</f>
        <v>0</v>
      </c>
      <c r="D18" s="374" t="n">
        <f aca="false">'Extendible Collars'!AB31/10000</f>
        <v>0</v>
      </c>
      <c r="E18" s="374" t="n">
        <f aca="false">'Extendible Collars'!AC31/10000</f>
        <v>0</v>
      </c>
      <c r="F18" s="374" t="n">
        <f aca="false">'Extendible Collars'!AD31/10000</f>
        <v>0</v>
      </c>
      <c r="G18" s="374" t="n">
        <f aca="false">'Extendible Collars'!AE31/10000</f>
        <v>0</v>
      </c>
      <c r="H18" s="374" t="n">
        <f aca="false">'Extendible Collars'!AF31/10000</f>
        <v>0</v>
      </c>
      <c r="I18" s="374" t="n">
        <f aca="false">'Extendible Collars'!AG31/10000</f>
        <v>0</v>
      </c>
      <c r="J18" s="375" t="n">
        <f aca="false">SUM(C18:I18)</f>
        <v>0</v>
      </c>
      <c r="R18" s="376" t="n">
        <f aca="false">B48</f>
        <v>37104</v>
      </c>
      <c r="S18" s="377" t="e">
        <f aca="false">INDEX(extendiblecollarpos,MATCH(R18,extendiblecollarmonths),extdcollarcount)+INDEX(basisoptpos,MATCH(R18,basisoptmonths),basisoptcount)+INDEX(basketoptpos,MATCH(R18,basketoptmonths),basketoptcount)+INDEX(digitaloptpos,MATCH(R18,digitaloptmonths),digitaloptcount)+INDEX(gdspreadoptpos,MATCH(R18,gdspreadoptmonths),gdspreadoptcount)</f>
        <v>#NAME?</v>
      </c>
    </row>
    <row r="19" customFormat="false" ht="12.75" hidden="false" customHeight="false" outlineLevel="0" collapsed="false">
      <c r="B19" s="372" t="n">
        <f aca="false">'Extendible Collars'!Z32</f>
        <v>36892</v>
      </c>
      <c r="C19" s="373" t="n">
        <f aca="false">'Extendible Collars'!AA32/10000</f>
        <v>0</v>
      </c>
      <c r="D19" s="374" t="n">
        <f aca="false">'Extendible Collars'!AB32/10000</f>
        <v>0</v>
      </c>
      <c r="E19" s="374" t="n">
        <f aca="false">'Extendible Collars'!AC32/10000</f>
        <v>0</v>
      </c>
      <c r="F19" s="374" t="n">
        <f aca="false">'Extendible Collars'!AD32/10000</f>
        <v>0</v>
      </c>
      <c r="G19" s="374" t="n">
        <f aca="false">'Extendible Collars'!AE32/10000</f>
        <v>0</v>
      </c>
      <c r="H19" s="374" t="n">
        <f aca="false">'Extendible Collars'!AF32/10000</f>
        <v>0</v>
      </c>
      <c r="I19" s="374" t="n">
        <f aca="false">'Extendible Collars'!AG32/10000</f>
        <v>0</v>
      </c>
      <c r="J19" s="375" t="n">
        <f aca="false">SUM(C19:I19)</f>
        <v>0</v>
      </c>
      <c r="R19" s="376" t="n">
        <f aca="false">B49</f>
        <v>37135</v>
      </c>
      <c r="S19" s="377" t="e">
        <f aca="false">INDEX(extendiblecollarpos,MATCH(R19,extendiblecollarmonths),extdcollarcount)+INDEX(basisoptpos,MATCH(R19,basisoptmonths),basisoptcount)+INDEX(basketoptpos,MATCH(R19,basketoptmonths),basketoptcount)+INDEX(digitaloptpos,MATCH(R19,digitaloptmonths),digitaloptcount)+INDEX(gdspreadoptpos,MATCH(R19,gdspreadoptmonths),gdspreadoptcount)</f>
        <v>#NAME?</v>
      </c>
    </row>
    <row r="20" customFormat="false" ht="12.75" hidden="false" customHeight="false" outlineLevel="0" collapsed="false">
      <c r="B20" s="372" t="n">
        <f aca="false">'Extendible Collars'!Z33</f>
        <v>36923</v>
      </c>
      <c r="C20" s="373" t="n">
        <f aca="false">'Extendible Collars'!AA33/10000</f>
        <v>0</v>
      </c>
      <c r="D20" s="374" t="n">
        <f aca="false">'Extendible Collars'!AB33/10000</f>
        <v>0</v>
      </c>
      <c r="E20" s="374" t="n">
        <f aca="false">'Extendible Collars'!AC33/10000</f>
        <v>0</v>
      </c>
      <c r="F20" s="374" t="n">
        <f aca="false">'Extendible Collars'!AD33/10000</f>
        <v>0</v>
      </c>
      <c r="G20" s="374" t="n">
        <f aca="false">'Extendible Collars'!AE33/10000</f>
        <v>0</v>
      </c>
      <c r="H20" s="374" t="n">
        <f aca="false">'Extendible Collars'!AF33/10000</f>
        <v>0</v>
      </c>
      <c r="I20" s="374" t="n">
        <f aca="false">'Extendible Collars'!AG33/10000</f>
        <v>0</v>
      </c>
      <c r="J20" s="375" t="n">
        <f aca="false">SUM(C20:I20)</f>
        <v>0</v>
      </c>
      <c r="R20" s="376" t="n">
        <f aca="false">B50</f>
        <v>37165</v>
      </c>
      <c r="S20" s="377" t="e">
        <f aca="false">INDEX(extendiblecollarpos,MATCH(R20,extendiblecollarmonths),extdcollarcount)+INDEX(basisoptpos,MATCH(R20,basisoptmonths),basisoptcount)+INDEX(basketoptpos,MATCH(R20,basketoptmonths),basketoptcount)+INDEX(digitaloptpos,MATCH(R20,digitaloptmonths),digitaloptcount)+INDEX(gdspreadoptpos,MATCH(R20,gdspreadoptmonths),gdspreadoptcount)</f>
        <v>#NAME?</v>
      </c>
    </row>
    <row r="21" customFormat="false" ht="12.75" hidden="false" customHeight="false" outlineLevel="0" collapsed="false">
      <c r="B21" s="372" t="n">
        <f aca="false">'Extendible Collars'!Z34</f>
        <v>36951</v>
      </c>
      <c r="C21" s="373" t="n">
        <f aca="false">'Extendible Collars'!AA34/10000</f>
        <v>0</v>
      </c>
      <c r="D21" s="374" t="n">
        <f aca="false">'Extendible Collars'!AB34/10000</f>
        <v>0</v>
      </c>
      <c r="E21" s="374" t="n">
        <f aca="false">'Extendible Collars'!AC34/10000</f>
        <v>0</v>
      </c>
      <c r="F21" s="374" t="n">
        <f aca="false">'Extendible Collars'!AD34/10000</f>
        <v>0</v>
      </c>
      <c r="G21" s="374" t="n">
        <f aca="false">'Extendible Collars'!AE34/10000</f>
        <v>0</v>
      </c>
      <c r="H21" s="374" t="n">
        <f aca="false">'Extendible Collars'!AF34/10000</f>
        <v>0</v>
      </c>
      <c r="I21" s="374" t="n">
        <f aca="false">'Extendible Collars'!AG34/10000</f>
        <v>0</v>
      </c>
      <c r="J21" s="375" t="n">
        <f aca="false">SUM(C21:I21)</f>
        <v>0</v>
      </c>
      <c r="R21" s="376" t="n">
        <f aca="false">B51</f>
        <v>37196</v>
      </c>
      <c r="S21" s="377" t="e">
        <f aca="false">INDEX(extendiblecollarpos,MATCH(R21,extendiblecollarmonths),extdcollarcount)+INDEX(basisoptpos,MATCH(R21,basisoptmonths),basisoptcount)+INDEX(basketoptpos,MATCH(R21,basketoptmonths),basketoptcount)+INDEX(digitaloptpos,MATCH(R21,digitaloptmonths),digitaloptcount)+INDEX(gdspreadoptpos,MATCH(R21,gdspreadoptmonths),gdspreadoptcount)</f>
        <v>#NAME?</v>
      </c>
    </row>
    <row r="22" customFormat="false" ht="12.75" hidden="false" customHeight="false" outlineLevel="0" collapsed="false">
      <c r="B22" s="372" t="n">
        <f aca="false">'Extendible Collars'!Z35</f>
        <v>36982</v>
      </c>
      <c r="C22" s="373" t="n">
        <f aca="false">'Extendible Collars'!AA35/10000</f>
        <v>0</v>
      </c>
      <c r="D22" s="374" t="n">
        <f aca="false">'Extendible Collars'!AB35/10000</f>
        <v>0</v>
      </c>
      <c r="E22" s="374" t="n">
        <f aca="false">'Extendible Collars'!AC35/10000</f>
        <v>0</v>
      </c>
      <c r="F22" s="374" t="n">
        <f aca="false">'Extendible Collars'!AD35/10000</f>
        <v>0</v>
      </c>
      <c r="G22" s="374" t="n">
        <f aca="false">'Extendible Collars'!AE35/10000</f>
        <v>0</v>
      </c>
      <c r="H22" s="374" t="n">
        <f aca="false">'Extendible Collars'!AF35/10000</f>
        <v>0</v>
      </c>
      <c r="I22" s="374" t="n">
        <f aca="false">'Extendible Collars'!AG35/10000</f>
        <v>0</v>
      </c>
      <c r="J22" s="375" t="n">
        <f aca="false">SUM(C22:I22)</f>
        <v>0</v>
      </c>
      <c r="R22" s="376" t="n">
        <f aca="false">B52</f>
        <v>37226</v>
      </c>
      <c r="S22" s="377" t="e">
        <f aca="false">INDEX(extendiblecollarpos,MATCH(R22,extendiblecollarmonths),extdcollarcount)+INDEX(basisoptpos,MATCH(R22,basisoptmonths),basisoptcount)+INDEX(basketoptpos,MATCH(R22,basketoptmonths),basketoptcount)+INDEX(digitaloptpos,MATCH(R22,digitaloptmonths),digitaloptcount)+INDEX(gdspreadoptpos,MATCH(R22,gdspreadoptmonths),gdspreadoptcount)</f>
        <v>#NAME?</v>
      </c>
    </row>
    <row r="23" customFormat="false" ht="12.75" hidden="false" customHeight="false" outlineLevel="0" collapsed="false">
      <c r="B23" s="372" t="n">
        <f aca="false">'Extendible Collars'!Z36</f>
        <v>37012</v>
      </c>
      <c r="C23" s="373" t="n">
        <f aca="false">'Extendible Collars'!AA36/10000</f>
        <v>0</v>
      </c>
      <c r="D23" s="374" t="n">
        <f aca="false">'Extendible Collars'!AB36/10000</f>
        <v>0</v>
      </c>
      <c r="E23" s="374" t="n">
        <f aca="false">'Extendible Collars'!AC36/10000</f>
        <v>0</v>
      </c>
      <c r="F23" s="374" t="n">
        <f aca="false">'Extendible Collars'!AD36/10000</f>
        <v>0</v>
      </c>
      <c r="G23" s="374" t="n">
        <f aca="false">'Extendible Collars'!AE36/10000</f>
        <v>0</v>
      </c>
      <c r="H23" s="374" t="n">
        <f aca="false">'Extendible Collars'!AF36/10000</f>
        <v>0</v>
      </c>
      <c r="I23" s="374" t="n">
        <f aca="false">'Extendible Collars'!AG36/10000</f>
        <v>0</v>
      </c>
      <c r="J23" s="375" t="n">
        <f aca="false">SUM(C23:I23)</f>
        <v>0</v>
      </c>
      <c r="R23" s="376" t="n">
        <f aca="false">B53</f>
        <v>37257</v>
      </c>
      <c r="S23" s="377" t="e">
        <f aca="false">INDEX(extendiblecollarpos,MATCH(R23,extendiblecollarmonths),extdcollarcount)+INDEX(basisoptpos,MATCH(R23,basisoptmonths),basisoptcount)+INDEX(basketoptpos,MATCH(R23,basketoptmonths),basketoptcount)+INDEX(digitaloptpos,MATCH(R23,digitaloptmonths),digitaloptcount)+INDEX(gdspreadoptpos,MATCH(R23,gdspreadoptmonths),gdspreadoptcount)</f>
        <v>#NAME?</v>
      </c>
    </row>
    <row r="24" customFormat="false" ht="12.75" hidden="false" customHeight="false" outlineLevel="0" collapsed="false">
      <c r="B24" s="372" t="n">
        <f aca="false">'Extendible Collars'!Z37</f>
        <v>37043</v>
      </c>
      <c r="C24" s="373" t="n">
        <f aca="false">'Extendible Collars'!AA37/10000</f>
        <v>0</v>
      </c>
      <c r="D24" s="374" t="n">
        <f aca="false">'Extendible Collars'!AB37/10000</f>
        <v>0</v>
      </c>
      <c r="E24" s="374" t="n">
        <f aca="false">'Extendible Collars'!AC37/10000</f>
        <v>0</v>
      </c>
      <c r="F24" s="374" t="n">
        <f aca="false">'Extendible Collars'!AD37/10000</f>
        <v>0</v>
      </c>
      <c r="G24" s="374" t="n">
        <f aca="false">'Extendible Collars'!AE37/10000</f>
        <v>0</v>
      </c>
      <c r="H24" s="374" t="n">
        <f aca="false">'Extendible Collars'!AF37/10000</f>
        <v>0</v>
      </c>
      <c r="I24" s="374" t="n">
        <f aca="false">'Extendible Collars'!AG37/10000</f>
        <v>0</v>
      </c>
      <c r="J24" s="375" t="n">
        <f aca="false">SUM(C24:I24)</f>
        <v>0</v>
      </c>
      <c r="R24" s="376" t="n">
        <f aca="false">B54</f>
        <v>37288</v>
      </c>
      <c r="S24" s="377" t="e">
        <f aca="false">INDEX(extendiblecollarpos,MATCH(R24,extendiblecollarmonths),extdcollarcount)+INDEX(basisoptpos,MATCH(R24,basisoptmonths),basisoptcount)+INDEX(basketoptpos,MATCH(R24,basketoptmonths),basketoptcount)+INDEX(digitaloptpos,MATCH(R24,digitaloptmonths),digitaloptcount)+INDEX(gdspreadoptpos,MATCH(R24,gdspreadoptmonths),gdspreadoptcount)</f>
        <v>#NAME?</v>
      </c>
    </row>
    <row r="25" customFormat="false" ht="12.75" hidden="false" customHeight="false" outlineLevel="0" collapsed="false">
      <c r="B25" s="372" t="n">
        <f aca="false">'Extendible Collars'!Z38</f>
        <v>37073</v>
      </c>
      <c r="C25" s="373" t="n">
        <f aca="false">'Extendible Collars'!AA38/10000</f>
        <v>0</v>
      </c>
      <c r="D25" s="374" t="n">
        <f aca="false">'Extendible Collars'!AB38/10000</f>
        <v>0</v>
      </c>
      <c r="E25" s="374" t="n">
        <f aca="false">'Extendible Collars'!AC38/10000</f>
        <v>0</v>
      </c>
      <c r="F25" s="374" t="n">
        <f aca="false">'Extendible Collars'!AD38/10000</f>
        <v>0</v>
      </c>
      <c r="G25" s="374" t="n">
        <f aca="false">'Extendible Collars'!AE38/10000</f>
        <v>0</v>
      </c>
      <c r="H25" s="374" t="n">
        <f aca="false">'Extendible Collars'!AF38/10000</f>
        <v>0</v>
      </c>
      <c r="I25" s="374" t="n">
        <f aca="false">'Extendible Collars'!AG38/10000</f>
        <v>0</v>
      </c>
      <c r="J25" s="375" t="n">
        <f aca="false">SUM(C25:I25)</f>
        <v>0</v>
      </c>
      <c r="R25" s="376" t="n">
        <f aca="false">B55</f>
        <v>37316</v>
      </c>
      <c r="S25" s="377" t="e">
        <f aca="false">INDEX(extendiblecollarpos,MATCH(R25,extendiblecollarmonths),extdcollarcount)+INDEX(basisoptpos,MATCH(R25,basisoptmonths),basisoptcount)+INDEX(basketoptpos,MATCH(R25,basketoptmonths),basketoptcount)+INDEX(digitaloptpos,MATCH(R25,digitaloptmonths),digitaloptcount)+INDEX(gdspreadoptpos,MATCH(R25,gdspreadoptmonths),gdspreadoptcount)</f>
        <v>#NAME?</v>
      </c>
    </row>
    <row r="26" customFormat="false" ht="12.75" hidden="false" customHeight="false" outlineLevel="0" collapsed="false">
      <c r="B26" s="372" t="n">
        <f aca="false">'Extendible Collars'!Z39</f>
        <v>37104</v>
      </c>
      <c r="C26" s="373" t="n">
        <f aca="false">'Extendible Collars'!AA39/10000</f>
        <v>0</v>
      </c>
      <c r="D26" s="374" t="n">
        <f aca="false">'Extendible Collars'!AB39/10000</f>
        <v>0</v>
      </c>
      <c r="E26" s="374" t="n">
        <f aca="false">'Extendible Collars'!AC39/10000</f>
        <v>0</v>
      </c>
      <c r="F26" s="374" t="n">
        <f aca="false">'Extendible Collars'!AD39/10000</f>
        <v>0</v>
      </c>
      <c r="G26" s="374" t="n">
        <f aca="false">'Extendible Collars'!AE39/10000</f>
        <v>0</v>
      </c>
      <c r="H26" s="374" t="n">
        <f aca="false">'Extendible Collars'!AF39/10000</f>
        <v>0</v>
      </c>
      <c r="I26" s="374" t="n">
        <f aca="false">'Extendible Collars'!AG39/10000</f>
        <v>0</v>
      </c>
      <c r="J26" s="375" t="n">
        <f aca="false">SUM(C26:I26)</f>
        <v>0</v>
      </c>
      <c r="R26" s="376" t="n">
        <f aca="false">B56</f>
        <v>37347</v>
      </c>
      <c r="S26" s="377" t="n">
        <f aca="false">INDEX(extendiblecollarpos,MATCH(R26,extendiblecollarmonths),extdcollarcount)+INDEX(basisoptpos,MATCH(R26,basisoptmonths),basisoptcount)+INDEX(basketoptpos,MATCH(R26,basketoptmonths),basketoptcount)+INDEX(digitaloptpos,MATCH(R26,digitaloptmonths),digitaloptcount)+INDEX(gdspreadoptpos,MATCH(R26,gdspreadoptmonths),gdspreadoptcount)</f>
        <v>0</v>
      </c>
    </row>
    <row r="27" customFormat="false" ht="12.75" hidden="false" customHeight="false" outlineLevel="0" collapsed="false">
      <c r="B27" s="372" t="n">
        <f aca="false">'Extendible Collars'!Z40</f>
        <v>37135</v>
      </c>
      <c r="C27" s="373" t="n">
        <f aca="false">'Extendible Collars'!AA40/10000</f>
        <v>0</v>
      </c>
      <c r="D27" s="374" t="n">
        <f aca="false">'Extendible Collars'!AB40/10000</f>
        <v>0</v>
      </c>
      <c r="E27" s="374" t="n">
        <f aca="false">'Extendible Collars'!AC40/10000</f>
        <v>0</v>
      </c>
      <c r="F27" s="374" t="n">
        <f aca="false">'Extendible Collars'!AD40/10000</f>
        <v>0</v>
      </c>
      <c r="G27" s="374" t="n">
        <f aca="false">'Extendible Collars'!AE40/10000</f>
        <v>0</v>
      </c>
      <c r="H27" s="374" t="n">
        <f aca="false">'Extendible Collars'!AF40/10000</f>
        <v>0</v>
      </c>
      <c r="I27" s="374" t="n">
        <f aca="false">'Extendible Collars'!AG40/10000</f>
        <v>0</v>
      </c>
      <c r="J27" s="375" t="n">
        <f aca="false">SUM(C27:I27)</f>
        <v>0</v>
      </c>
      <c r="R27" s="376" t="n">
        <f aca="false">B57</f>
        <v>37377</v>
      </c>
      <c r="S27" s="377" t="n">
        <f aca="false">INDEX(extendiblecollarpos,MATCH(R27,extendiblecollarmonths),extdcollarcount)+INDEX(basisoptpos,MATCH(R27,basisoptmonths),basisoptcount)+INDEX(basketoptpos,MATCH(R27,basketoptmonths),basketoptcount)+INDEX(digitaloptpos,MATCH(R27,digitaloptmonths),digitaloptcount)+INDEX(gdspreadoptpos,MATCH(R27,gdspreadoptmonths),gdspreadoptcount)</f>
        <v>0</v>
      </c>
    </row>
    <row r="28" customFormat="false" ht="12.75" hidden="false" customHeight="false" outlineLevel="0" collapsed="false">
      <c r="B28" s="372" t="n">
        <f aca="false">'Extendible Collars'!Z41</f>
        <v>37165</v>
      </c>
      <c r="C28" s="373" t="n">
        <f aca="false">'Extendible Collars'!AA41/10000</f>
        <v>0</v>
      </c>
      <c r="D28" s="374" t="n">
        <f aca="false">'Extendible Collars'!AB41/10000</f>
        <v>0</v>
      </c>
      <c r="E28" s="374" t="n">
        <f aca="false">'Extendible Collars'!AC41/10000</f>
        <v>0</v>
      </c>
      <c r="F28" s="374" t="n">
        <f aca="false">'Extendible Collars'!AD41/10000</f>
        <v>0</v>
      </c>
      <c r="G28" s="374" t="n">
        <f aca="false">'Extendible Collars'!AE41/10000</f>
        <v>0</v>
      </c>
      <c r="H28" s="374" t="n">
        <f aca="false">'Extendible Collars'!AF41/10000</f>
        <v>0</v>
      </c>
      <c r="I28" s="374" t="n">
        <f aca="false">'Extendible Collars'!AG41/10000</f>
        <v>0</v>
      </c>
      <c r="J28" s="375" t="n">
        <f aca="false">SUM(C28:I28)</f>
        <v>0</v>
      </c>
      <c r="R28" s="376" t="n">
        <f aca="false">B58</f>
        <v>37408</v>
      </c>
      <c r="S28" s="377" t="n">
        <f aca="false">INDEX(extendiblecollarpos,MATCH(R28,extendiblecollarmonths),extdcollarcount)+INDEX(basisoptpos,MATCH(R28,basisoptmonths),basisoptcount)+INDEX(basketoptpos,MATCH(R28,basketoptmonths),basketoptcount)+INDEX(digitaloptpos,MATCH(R28,digitaloptmonths),digitaloptcount)+INDEX(gdspreadoptpos,MATCH(R28,gdspreadoptmonths),gdspreadoptcount)</f>
        <v>0</v>
      </c>
    </row>
    <row r="29" customFormat="false" ht="12.75" hidden="false" customHeight="false" outlineLevel="0" collapsed="false">
      <c r="B29" s="372" t="n">
        <f aca="false">'Extendible Collars'!Z42</f>
        <v>37196</v>
      </c>
      <c r="C29" s="373" t="n">
        <f aca="false">'Extendible Collars'!AA42/10000</f>
        <v>0</v>
      </c>
      <c r="D29" s="374" t="n">
        <f aca="false">'Extendible Collars'!AB42/10000</f>
        <v>0</v>
      </c>
      <c r="E29" s="374" t="n">
        <f aca="false">'Extendible Collars'!AC42/10000</f>
        <v>0</v>
      </c>
      <c r="F29" s="374" t="n">
        <f aca="false">'Extendible Collars'!AD42/10000</f>
        <v>0</v>
      </c>
      <c r="G29" s="374" t="n">
        <f aca="false">'Extendible Collars'!AE42/10000</f>
        <v>0</v>
      </c>
      <c r="H29" s="374" t="n">
        <f aca="false">'Extendible Collars'!AF42/10000</f>
        <v>0</v>
      </c>
      <c r="I29" s="374" t="n">
        <f aca="false">'Extendible Collars'!AG42/10000</f>
        <v>0</v>
      </c>
      <c r="J29" s="375" t="n">
        <f aca="false">SUM(C29:I29)</f>
        <v>0</v>
      </c>
      <c r="R29" s="376" t="n">
        <f aca="false">B59</f>
        <v>37438</v>
      </c>
      <c r="S29" s="377" t="n">
        <f aca="false">INDEX(extendiblecollarpos,MATCH(R29,extendiblecollarmonths),extdcollarcount)+INDEX(basisoptpos,MATCH(R29,basisoptmonths),basisoptcount)+INDEX(basketoptpos,MATCH(R29,basketoptmonths),basketoptcount)+INDEX(digitaloptpos,MATCH(R29,digitaloptmonths),digitaloptcount)+INDEX(gdspreadoptpos,MATCH(R29,gdspreadoptmonths),gdspreadoptcount)</f>
        <v>0</v>
      </c>
    </row>
    <row r="30" customFormat="false" ht="13.5" hidden="false" customHeight="false" outlineLevel="0" collapsed="false">
      <c r="B30" s="372" t="n">
        <f aca="false">'Extendible Collars'!Z43</f>
        <v>37226</v>
      </c>
      <c r="C30" s="387" t="n">
        <f aca="false">'Extendible Collars'!AA43/10000</f>
        <v>0</v>
      </c>
      <c r="D30" s="388" t="n">
        <f aca="false">'Extendible Collars'!AB43/10000</f>
        <v>0</v>
      </c>
      <c r="E30" s="388" t="n">
        <f aca="false">'Extendible Collars'!AC43/10000</f>
        <v>0</v>
      </c>
      <c r="F30" s="388" t="n">
        <f aca="false">'Extendible Collars'!AD43/10000</f>
        <v>0</v>
      </c>
      <c r="G30" s="388" t="n">
        <f aca="false">'Extendible Collars'!AE43/10000</f>
        <v>0</v>
      </c>
      <c r="H30" s="388" t="n">
        <f aca="false">'Extendible Collars'!AF43/10000</f>
        <v>0</v>
      </c>
      <c r="I30" s="388" t="n">
        <f aca="false">'Extendible Collars'!AG43/10000</f>
        <v>0</v>
      </c>
      <c r="J30" s="389" t="n">
        <f aca="false">SUM(C30:I30)</f>
        <v>0</v>
      </c>
      <c r="R30" s="376" t="n">
        <f aca="false">B60</f>
        <v>37469</v>
      </c>
      <c r="S30" s="377" t="n">
        <f aca="false">INDEX(extendiblecollarpos,MATCH(R30,extendiblecollarmonths),extdcollarcount)+INDEX(basisoptpos,MATCH(R30,basisoptmonths),basisoptcount)+INDEX(basketoptpos,MATCH(R30,basketoptmonths),basketoptcount)+INDEX(digitaloptpos,MATCH(R30,digitaloptmonths),digitaloptcount)+INDEX(gdspreadoptpos,MATCH(R30,gdspreadoptmonths),gdspreadoptcount)</f>
        <v>0</v>
      </c>
    </row>
    <row r="31" customFormat="false" ht="13.5" hidden="false" customHeight="false" outlineLevel="0" collapsed="false">
      <c r="B31" s="390" t="s">
        <v>507</v>
      </c>
      <c r="C31" s="391" t="n">
        <f aca="false">SUM(C5:C30)</f>
        <v>0</v>
      </c>
      <c r="D31" s="392" t="n">
        <f aca="false">SUM(D5:D30)</f>
        <v>0</v>
      </c>
      <c r="E31" s="392" t="n">
        <f aca="false">SUM(E5:E30)</f>
        <v>0</v>
      </c>
      <c r="F31" s="392" t="n">
        <f aca="false">SUM(F5:F30)</f>
        <v>0</v>
      </c>
      <c r="G31" s="392" t="n">
        <f aca="false">SUM(G5:G30)</f>
        <v>0</v>
      </c>
      <c r="H31" s="392" t="n">
        <f aca="false">SUM(H5:H30)</f>
        <v>0</v>
      </c>
      <c r="I31" s="392" t="n">
        <f aca="false">SUM(I5:I30)</f>
        <v>0</v>
      </c>
      <c r="J31" s="393" t="n">
        <f aca="false">SUM(J5:J30)</f>
        <v>0</v>
      </c>
      <c r="R31" s="376" t="n">
        <f aca="false">B61</f>
        <v>37500</v>
      </c>
      <c r="S31" s="377" t="n">
        <f aca="false">INDEX(extendiblecollarpos,MATCH(R31,extendiblecollarmonths),extdcollarcount)+INDEX(basisoptpos,MATCH(R31,basisoptmonths),basisoptcount)+INDEX(basketoptpos,MATCH(R31,basketoptmonths),basketoptcount)+INDEX(digitaloptpos,MATCH(R31,digitaloptmonths),digitaloptcount)+INDEX(gdspreadoptpos,MATCH(R31,gdspreadoptmonths),gdspreadoptcount)</f>
        <v>0</v>
      </c>
    </row>
    <row r="32" customFormat="false" ht="13.5" hidden="false" customHeight="false" outlineLevel="0" collapsed="false">
      <c r="R32" s="376" t="n">
        <f aca="false">B62</f>
        <v>37530</v>
      </c>
      <c r="S32" s="377" t="n">
        <f aca="false">INDEX(extendiblecollarpos,MATCH(R32,extendiblecollarmonths),extdcollarcount)+INDEX(basisoptpos,MATCH(R32,basisoptmonths),basisoptcount)+INDEX(basketoptpos,MATCH(R32,basketoptmonths),basketoptcount)+INDEX(digitaloptpos,MATCH(R32,digitaloptmonths),digitaloptcount)+INDEX(gdspreadoptpos,MATCH(R32,gdspreadoptmonths),gdspreadoptcount)</f>
        <v>0</v>
      </c>
    </row>
    <row r="33" customFormat="false" ht="13.5" hidden="false" customHeight="false" outlineLevel="0" collapsed="false">
      <c r="B33" s="311"/>
      <c r="C33" s="394"/>
      <c r="D33" s="394"/>
      <c r="E33" s="394"/>
      <c r="F33" s="394" t="s">
        <v>549</v>
      </c>
      <c r="G33" s="394"/>
      <c r="H33" s="394"/>
      <c r="I33" s="394"/>
      <c r="J33" s="394"/>
      <c r="K33" s="394"/>
      <c r="L33" s="394"/>
      <c r="M33" s="394"/>
      <c r="N33" s="394"/>
      <c r="O33" s="394"/>
      <c r="P33" s="312"/>
      <c r="R33" s="376" t="n">
        <f aca="false">B63</f>
        <v>37561</v>
      </c>
      <c r="S33" s="377" t="e">
        <f aca="false">INDEX(extendiblecollarpos,MATCH(R33,extendiblecollarmonths),extdcollarcount)+INDEX(basisoptpos,MATCH(R33,basisoptmonths),basisoptcount)+INDEX(basketoptpos,MATCH(R33,basketoptmonths),basketoptcount)+INDEX(digitaloptpos,MATCH(R33,digitaloptmonths),digitaloptcount)+INDEX(gdspreadoptpos,MATCH(R33,gdspreadoptmonths),gdspreadoptcount)</f>
        <v>#NAME?</v>
      </c>
    </row>
    <row r="34" customFormat="false" ht="12.75" hidden="false" customHeight="false" outlineLevel="0" collapsed="false">
      <c r="B34" s="395"/>
      <c r="C34" s="396"/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71" t="s">
        <v>507</v>
      </c>
      <c r="R34" s="376" t="n">
        <f aca="false">B64</f>
        <v>37591</v>
      </c>
      <c r="S34" s="377" t="e">
        <f aca="false">INDEX(extendiblecollarpos,MATCH(R34,extendiblecollarmonths),extdcollarcount)+INDEX(basisoptpos,MATCH(R34,basisoptmonths),basisoptcount)+INDEX(basketoptpos,MATCH(R34,basketoptmonths),basketoptcount)+INDEX(digitaloptpos,MATCH(R34,digitaloptmonths),digitaloptcount)+INDEX(gdspreadoptpos,MATCH(R34,gdspreadoptmonths),gdspreadoptcount)</f>
        <v>#NAME?</v>
      </c>
    </row>
    <row r="35" customFormat="false" ht="12.75" hidden="false" customHeight="true" outlineLevel="0" collapsed="false">
      <c r="B35" s="367" t="s">
        <v>79</v>
      </c>
      <c r="C35" s="368" t="str">
        <f aca="false">'Basis Options'!AO6</f>
        <v>IF-TRANSCO/Z6</v>
      </c>
      <c r="D35" s="368" t="str">
        <f aca="false">'Basis Options'!AP6</f>
        <v>IF-CGT/APPALAC</v>
      </c>
      <c r="E35" s="368" t="str">
        <f aca="false">'Basis Options'!AQ6</f>
        <v>IF-NWPL_ROCKY_M</v>
      </c>
      <c r="F35" s="368" t="str">
        <f aca="false">'Basis Options'!AR6</f>
        <v>NGI/CHI. GATE</v>
      </c>
      <c r="G35" s="368" t="str">
        <f aca="false">'Basis Options'!AS6</f>
        <v>IF-HPL/SHPCHAN</v>
      </c>
      <c r="H35" s="368" t="s">
        <v>137</v>
      </c>
      <c r="I35" s="368" t="s">
        <v>550</v>
      </c>
      <c r="J35" s="397" t="s">
        <v>154</v>
      </c>
      <c r="K35" s="397" t="s">
        <v>155</v>
      </c>
      <c r="L35" s="397" t="s">
        <v>68</v>
      </c>
      <c r="M35" s="397" t="s">
        <v>156</v>
      </c>
      <c r="N35" s="397" t="s">
        <v>157</v>
      </c>
      <c r="O35" s="397" t="s">
        <v>158</v>
      </c>
      <c r="P35" s="369" t="s">
        <v>540</v>
      </c>
      <c r="R35" s="376" t="n">
        <f aca="false">B65</f>
        <v>37622</v>
      </c>
      <c r="S35" s="377" t="e">
        <f aca="false">INDEX(extendiblecollarpos,MATCH(R35,extendiblecollarmonths),extdcollarcount)+INDEX(basisoptpos,MATCH(R35,basisoptmonths),basisoptcount)+INDEX(basketoptpos,MATCH(R35,basketoptmonths),basketoptcount)+INDEX(digitaloptpos,MATCH(R35,digitaloptmonths),digitaloptcount)+INDEX(gdspreadoptpos,MATCH(R35,gdspreadoptmonths),gdspreadoptcount)</f>
        <v>#NAME?</v>
      </c>
    </row>
    <row r="36" customFormat="false" ht="12.75" hidden="false" customHeight="false" outlineLevel="0" collapsed="false">
      <c r="B36" s="372" t="n">
        <f aca="false">'Basis Options'!BE7</f>
        <v>36739</v>
      </c>
      <c r="C36" s="374" t="n">
        <f aca="false">'Basis Options'!BF7/10000</f>
        <v>0</v>
      </c>
      <c r="D36" s="374" t="n">
        <f aca="false">'Basis Options'!BG7/10000</f>
        <v>0</v>
      </c>
      <c r="E36" s="374" t="n">
        <f aca="false">'Basis Options'!BH7/10000</f>
        <v>0</v>
      </c>
      <c r="F36" s="374" t="n">
        <f aca="false">'Basis Options'!BI7/10000</f>
        <v>0</v>
      </c>
      <c r="G36" s="374" t="n">
        <f aca="false">'Basis Options'!BJ7/10000</f>
        <v>0</v>
      </c>
      <c r="H36" s="374" t="n">
        <f aca="false">'Basis Options'!BK7/10000</f>
        <v>0</v>
      </c>
      <c r="I36" s="374" t="n">
        <f aca="false">'Basis Options'!BL7/10000</f>
        <v>0</v>
      </c>
      <c r="J36" s="374" t="n">
        <f aca="false">'Basis Options'!BM7/10000</f>
        <v>0</v>
      </c>
      <c r="K36" s="374" t="n">
        <f aca="false">'Basis Options'!BN7/10000</f>
        <v>0</v>
      </c>
      <c r="L36" s="374" t="n">
        <f aca="false">'Basis Options'!BO7/10000</f>
        <v>0</v>
      </c>
      <c r="M36" s="374" t="n">
        <f aca="false">'Basis Options'!BP7/10000</f>
        <v>0</v>
      </c>
      <c r="N36" s="374" t="n">
        <f aca="false">'Basis Options'!BQ7/10000</f>
        <v>0</v>
      </c>
      <c r="O36" s="374" t="n">
        <f aca="false">'Basis Options'!BR7/10000</f>
        <v>0</v>
      </c>
      <c r="P36" s="375" t="n">
        <f aca="false">SUM(C36:O36)</f>
        <v>0</v>
      </c>
      <c r="R36" s="376" t="n">
        <f aca="false">B66</f>
        <v>37653</v>
      </c>
      <c r="S36" s="377" t="e">
        <f aca="false">INDEX(extendiblecollarpos,MATCH(R36,extendiblecollarmonths),extdcollarcount)+INDEX(basisoptpos,MATCH(R36,basisoptmonths),basisoptcount)+INDEX(basketoptpos,MATCH(R36,basketoptmonths),basketoptcount)+INDEX(digitaloptpos,MATCH(R36,digitaloptmonths),digitaloptcount)+INDEX(gdspreadoptpos,MATCH(R36,gdspreadoptmonths),gdspreadoptcount)</f>
        <v>#NAME?</v>
      </c>
    </row>
    <row r="37" customFormat="false" ht="12.75" hidden="false" customHeight="false" outlineLevel="0" collapsed="false">
      <c r="B37" s="372" t="n">
        <f aca="false">'Basis Options'!BE8</f>
        <v>36770</v>
      </c>
      <c r="C37" s="374" t="e">
        <f aca="false">'Basis Options'!BF8/10000</f>
        <v>#NAME?</v>
      </c>
      <c r="D37" s="374" t="e">
        <f aca="false">'Basis Options'!BG8/10000</f>
        <v>#NAME?</v>
      </c>
      <c r="E37" s="374" t="e">
        <f aca="false">'Basis Options'!BH8/10000</f>
        <v>#NAME?</v>
      </c>
      <c r="F37" s="374" t="n">
        <f aca="false">'Basis Options'!BI8/10000</f>
        <v>0</v>
      </c>
      <c r="G37" s="374" t="n">
        <f aca="false">'Basis Options'!BJ8/10000</f>
        <v>0</v>
      </c>
      <c r="H37" s="374" t="e">
        <f aca="false">'Basis Options'!BK8/10000</f>
        <v>#NAME?</v>
      </c>
      <c r="I37" s="374" t="e">
        <f aca="false">'Basis Options'!BL8/10000</f>
        <v>#NAME?</v>
      </c>
      <c r="J37" s="374" t="n">
        <f aca="false">'Basis Options'!BM8/10000</f>
        <v>0</v>
      </c>
      <c r="K37" s="374" t="e">
        <f aca="false">'Basis Options'!BN8/10000</f>
        <v>#NAME?</v>
      </c>
      <c r="L37" s="374" t="n">
        <f aca="false">'Basis Options'!BO8/10000</f>
        <v>0</v>
      </c>
      <c r="M37" s="374" t="n">
        <f aca="false">'Basis Options'!BP8/10000</f>
        <v>0</v>
      </c>
      <c r="N37" s="374" t="n">
        <f aca="false">'Basis Options'!BQ8/10000</f>
        <v>0</v>
      </c>
      <c r="O37" s="374" t="n">
        <f aca="false">'Basis Options'!BR8/10000</f>
        <v>0</v>
      </c>
      <c r="P37" s="375" t="e">
        <f aca="false">SUM(C37:O37)</f>
        <v>#NAME?</v>
      </c>
      <c r="R37" s="376" t="n">
        <f aca="false">B67</f>
        <v>37681</v>
      </c>
      <c r="S37" s="377" t="e">
        <f aca="false">INDEX(extendiblecollarpos,MATCH(R37,extendiblecollarmonths),extdcollarcount)+INDEX(basisoptpos,MATCH(R37,basisoptmonths),basisoptcount)+INDEX(basketoptpos,MATCH(R37,basketoptmonths),basketoptcount)+INDEX(digitaloptpos,MATCH(R37,digitaloptmonths),digitaloptcount)+INDEX(gdspreadoptpos,MATCH(R37,gdspreadoptmonths),gdspreadoptcount)</f>
        <v>#NAME?</v>
      </c>
    </row>
    <row r="38" customFormat="false" ht="12.75" hidden="false" customHeight="false" outlineLevel="0" collapsed="false">
      <c r="B38" s="372" t="n">
        <f aca="false">'Basis Options'!BE9</f>
        <v>36800</v>
      </c>
      <c r="C38" s="374" t="e">
        <f aca="false">'Basis Options'!BF9/10000</f>
        <v>#NAME?</v>
      </c>
      <c r="D38" s="374" t="e">
        <f aca="false">'Basis Options'!BG9/10000</f>
        <v>#NAME?</v>
      </c>
      <c r="E38" s="374" t="e">
        <f aca="false">'Basis Options'!BH9/10000</f>
        <v>#NAME?</v>
      </c>
      <c r="F38" s="374" t="n">
        <f aca="false">'Basis Options'!BI9/10000</f>
        <v>0</v>
      </c>
      <c r="G38" s="374" t="n">
        <f aca="false">'Basis Options'!BJ9/10000</f>
        <v>0</v>
      </c>
      <c r="H38" s="374" t="e">
        <f aca="false">'Basis Options'!BK9/10000</f>
        <v>#NAME?</v>
      </c>
      <c r="I38" s="374" t="e">
        <f aca="false">'Basis Options'!BL9/10000</f>
        <v>#NAME?</v>
      </c>
      <c r="J38" s="374" t="n">
        <f aca="false">'Basis Options'!BM9/10000</f>
        <v>0</v>
      </c>
      <c r="K38" s="374" t="e">
        <f aca="false">'Basis Options'!BN9/10000</f>
        <v>#NAME?</v>
      </c>
      <c r="L38" s="374" t="n">
        <f aca="false">'Basis Options'!BO9/10000</f>
        <v>0</v>
      </c>
      <c r="M38" s="374" t="n">
        <f aca="false">'Basis Options'!BP9/10000</f>
        <v>0</v>
      </c>
      <c r="N38" s="374" t="n">
        <f aca="false">'Basis Options'!BQ9/10000</f>
        <v>0</v>
      </c>
      <c r="O38" s="374" t="n">
        <f aca="false">'Basis Options'!BR9/10000</f>
        <v>0</v>
      </c>
      <c r="P38" s="375" t="e">
        <f aca="false">SUM(C38:O38)</f>
        <v>#NAME?</v>
      </c>
      <c r="R38" s="376" t="n">
        <f aca="false">B68</f>
        <v>37712</v>
      </c>
      <c r="S38" s="377" t="n">
        <f aca="false">INDEX(extendiblecollarpos,MATCH(R38,extendiblecollarmonths),extdcollarcount)+INDEX(basisoptpos,MATCH(R38,basisoptmonths),basisoptcount)+INDEX(basketoptpos,MATCH(R38,basketoptmonths),basketoptcount)+INDEX(digitaloptpos,MATCH(R38,digitaloptmonths),digitaloptcount)+INDEX(gdspreadoptpos,MATCH(R38,gdspreadoptmonths),gdspreadoptcount)</f>
        <v>0</v>
      </c>
    </row>
    <row r="39" customFormat="false" ht="12.75" hidden="false" customHeight="false" outlineLevel="0" collapsed="false">
      <c r="B39" s="372" t="n">
        <f aca="false">'Basis Options'!BE10</f>
        <v>36831</v>
      </c>
      <c r="C39" s="374" t="e">
        <f aca="false">'Basis Options'!BF10/10000</f>
        <v>#NAME?</v>
      </c>
      <c r="D39" s="374" t="e">
        <f aca="false">'Basis Options'!BG10/10000</f>
        <v>#NAME?</v>
      </c>
      <c r="E39" s="374" t="e">
        <f aca="false">'Basis Options'!BH10/10000</f>
        <v>#NAME?</v>
      </c>
      <c r="F39" s="374" t="e">
        <f aca="false">'Basis Options'!BI10/10000</f>
        <v>#NAME?</v>
      </c>
      <c r="G39" s="374" t="n">
        <f aca="false">'Basis Options'!BJ10/10000</f>
        <v>0</v>
      </c>
      <c r="H39" s="374" t="e">
        <f aca="false">'Basis Options'!BK10/10000</f>
        <v>#NAME?</v>
      </c>
      <c r="I39" s="374" t="e">
        <f aca="false">'Basis Options'!BL10/10000</f>
        <v>#NAME?</v>
      </c>
      <c r="J39" s="374" t="n">
        <f aca="false">'Basis Options'!BM10/10000</f>
        <v>0</v>
      </c>
      <c r="K39" s="374" t="n">
        <f aca="false">'Basis Options'!BN10/10000</f>
        <v>0</v>
      </c>
      <c r="L39" s="374" t="e">
        <f aca="false">'Basis Options'!BO10/10000</f>
        <v>#NAME?</v>
      </c>
      <c r="M39" s="374" t="e">
        <f aca="false">'Basis Options'!BP10/10000</f>
        <v>#NAME?</v>
      </c>
      <c r="N39" s="374" t="e">
        <f aca="false">'Basis Options'!BQ10/10000</f>
        <v>#NAME?</v>
      </c>
      <c r="O39" s="374" t="e">
        <f aca="false">'Basis Options'!BR10/10000</f>
        <v>#NAME?</v>
      </c>
      <c r="P39" s="375" t="e">
        <f aca="false">SUM(C39:O39)</f>
        <v>#NAME?</v>
      </c>
      <c r="R39" s="376" t="n">
        <f aca="false">B69</f>
        <v>37742</v>
      </c>
      <c r="S39" s="377" t="n">
        <f aca="false">INDEX(extendiblecollarpos,MATCH(R39,extendiblecollarmonths),extdcollarcount)+INDEX(basisoptpos,MATCH(R39,basisoptmonths),basisoptcount)+INDEX(basketoptpos,MATCH(R39,basketoptmonths),basketoptcount)+INDEX(digitaloptpos,MATCH(R39,digitaloptmonths),digitaloptcount)+INDEX(gdspreadoptpos,MATCH(R39,gdspreadoptmonths),gdspreadoptcount)</f>
        <v>0</v>
      </c>
    </row>
    <row r="40" customFormat="false" ht="12.75" hidden="false" customHeight="false" outlineLevel="0" collapsed="false">
      <c r="B40" s="372" t="n">
        <f aca="false">'Basis Options'!BE11</f>
        <v>36861</v>
      </c>
      <c r="C40" s="374" t="e">
        <f aca="false">'Basis Options'!BF11/10000</f>
        <v>#NAME?</v>
      </c>
      <c r="D40" s="374" t="e">
        <f aca="false">'Basis Options'!BG11/10000</f>
        <v>#NAME?</v>
      </c>
      <c r="E40" s="374" t="e">
        <f aca="false">'Basis Options'!BH11/10000</f>
        <v>#NAME?</v>
      </c>
      <c r="F40" s="374" t="e">
        <f aca="false">'Basis Options'!BI11/10000</f>
        <v>#NAME?</v>
      </c>
      <c r="G40" s="374" t="n">
        <f aca="false">'Basis Options'!BJ11/10000</f>
        <v>0</v>
      </c>
      <c r="H40" s="374" t="e">
        <f aca="false">'Basis Options'!BK11/10000</f>
        <v>#NAME?</v>
      </c>
      <c r="I40" s="374" t="e">
        <f aca="false">'Basis Options'!BL11/10000</f>
        <v>#NAME?</v>
      </c>
      <c r="J40" s="374" t="n">
        <f aca="false">'Basis Options'!BM11/10000</f>
        <v>0</v>
      </c>
      <c r="K40" s="374" t="n">
        <f aca="false">'Basis Options'!BN11/10000</f>
        <v>0</v>
      </c>
      <c r="L40" s="374" t="e">
        <f aca="false">'Basis Options'!BO11/10000</f>
        <v>#NAME?</v>
      </c>
      <c r="M40" s="374" t="e">
        <f aca="false">'Basis Options'!BP11/10000</f>
        <v>#NAME?</v>
      </c>
      <c r="N40" s="374" t="e">
        <f aca="false">'Basis Options'!BQ11/10000</f>
        <v>#NAME?</v>
      </c>
      <c r="O40" s="374" t="e">
        <f aca="false">'Basis Options'!BR11/10000</f>
        <v>#NAME?</v>
      </c>
      <c r="P40" s="375" t="e">
        <f aca="false">SUM(C40:O40)</f>
        <v>#NAME?</v>
      </c>
      <c r="R40" s="376" t="n">
        <f aca="false">B70</f>
        <v>37773</v>
      </c>
      <c r="S40" s="377" t="n">
        <f aca="false">INDEX(extendiblecollarpos,MATCH(R40,extendiblecollarmonths),extdcollarcount)+INDEX(basisoptpos,MATCH(R40,basisoptmonths),basisoptcount)+INDEX(basketoptpos,MATCH(R40,basketoptmonths),basketoptcount)+INDEX(digitaloptpos,MATCH(R40,digitaloptmonths),digitaloptcount)+INDEX(gdspreadoptpos,MATCH(R40,gdspreadoptmonths),gdspreadoptcount)</f>
        <v>0</v>
      </c>
    </row>
    <row r="41" customFormat="false" ht="13.5" hidden="false" customHeight="false" outlineLevel="0" collapsed="false">
      <c r="B41" s="372" t="n">
        <f aca="false">'Basis Options'!BE12</f>
        <v>36892</v>
      </c>
      <c r="C41" s="374" t="e">
        <f aca="false">'Basis Options'!BF12/10000</f>
        <v>#NAME?</v>
      </c>
      <c r="D41" s="374" t="e">
        <f aca="false">'Basis Options'!BG12/10000</f>
        <v>#NAME?</v>
      </c>
      <c r="E41" s="374" t="e">
        <f aca="false">'Basis Options'!BH12/10000</f>
        <v>#NAME?</v>
      </c>
      <c r="F41" s="374" t="e">
        <f aca="false">'Basis Options'!BI12/10000</f>
        <v>#NAME?</v>
      </c>
      <c r="G41" s="374" t="n">
        <f aca="false">'Basis Options'!BJ12/10000</f>
        <v>0</v>
      </c>
      <c r="H41" s="374" t="e">
        <f aca="false">'Basis Options'!BK12/10000</f>
        <v>#NAME?</v>
      </c>
      <c r="I41" s="374" t="e">
        <f aca="false">'Basis Options'!BL12/10000</f>
        <v>#NAME?</v>
      </c>
      <c r="J41" s="374" t="n">
        <f aca="false">'Basis Options'!BM12/10000</f>
        <v>0</v>
      </c>
      <c r="K41" s="374" t="n">
        <f aca="false">'Basis Options'!BN12/10000</f>
        <v>0</v>
      </c>
      <c r="L41" s="374" t="e">
        <f aca="false">'Basis Options'!BO12/10000</f>
        <v>#NAME?</v>
      </c>
      <c r="M41" s="374" t="e">
        <f aca="false">'Basis Options'!BP12/10000</f>
        <v>#NAME?</v>
      </c>
      <c r="N41" s="374" t="e">
        <f aca="false">'Basis Options'!BQ12/10000</f>
        <v>#NAME?</v>
      </c>
      <c r="O41" s="374" t="e">
        <f aca="false">'Basis Options'!BR12/10000</f>
        <v>#NAME?</v>
      </c>
      <c r="P41" s="375" t="e">
        <f aca="false">SUM(C41:O41)</f>
        <v>#NAME?</v>
      </c>
      <c r="R41" s="376" t="n">
        <f aca="false">B71</f>
        <v>37803</v>
      </c>
      <c r="S41" s="377" t="n">
        <f aca="false">INDEX(extendiblecollarpos,MATCH(R41,extendiblecollarmonths),extdcollarcount)+INDEX(basisoptpos,MATCH(R41,basisoptmonths),basisoptcount)+INDEX(basketoptpos,MATCH(R41,basketoptmonths),basketoptcount)+INDEX(digitaloptpos,MATCH(R41,digitaloptmonths),digitaloptcount)+INDEX(gdspreadoptpos,MATCH(R41,gdspreadoptmonths),gdspreadoptcount)</f>
        <v>0</v>
      </c>
    </row>
    <row r="42" customFormat="false" ht="13.5" hidden="false" customHeight="false" outlineLevel="0" collapsed="false">
      <c r="B42" s="372" t="n">
        <f aca="false">'Basis Options'!BE13</f>
        <v>36923</v>
      </c>
      <c r="C42" s="374" t="e">
        <f aca="false">'Basis Options'!BF13/10000</f>
        <v>#NAME?</v>
      </c>
      <c r="D42" s="374" t="e">
        <f aca="false">'Basis Options'!BG13/10000</f>
        <v>#NAME?</v>
      </c>
      <c r="E42" s="374" t="e">
        <f aca="false">'Basis Options'!BH13/10000</f>
        <v>#NAME?</v>
      </c>
      <c r="F42" s="374" t="e">
        <f aca="false">'Basis Options'!BI13/10000</f>
        <v>#NAME?</v>
      </c>
      <c r="G42" s="374" t="n">
        <f aca="false">'Basis Options'!BJ13/10000</f>
        <v>0</v>
      </c>
      <c r="H42" s="374" t="e">
        <f aca="false">'Basis Options'!BK13/10000</f>
        <v>#NAME?</v>
      </c>
      <c r="I42" s="374" t="e">
        <f aca="false">'Basis Options'!BL13/10000</f>
        <v>#NAME?</v>
      </c>
      <c r="J42" s="374" t="n">
        <f aca="false">'Basis Options'!BM13/10000</f>
        <v>0</v>
      </c>
      <c r="K42" s="374" t="n">
        <f aca="false">'Basis Options'!BN13/10000</f>
        <v>0</v>
      </c>
      <c r="L42" s="374" t="e">
        <f aca="false">'Basis Options'!BO13/10000</f>
        <v>#NAME?</v>
      </c>
      <c r="M42" s="374" t="e">
        <f aca="false">'Basis Options'!BP13/10000</f>
        <v>#NAME?</v>
      </c>
      <c r="N42" s="374" t="e">
        <f aca="false">'Basis Options'!BQ13/10000</f>
        <v>#NAME?</v>
      </c>
      <c r="O42" s="374" t="e">
        <f aca="false">'Basis Options'!BR13/10000</f>
        <v>#NAME?</v>
      </c>
      <c r="P42" s="375" t="e">
        <f aca="false">SUM(C42:O42)</f>
        <v>#NAME?</v>
      </c>
      <c r="R42" s="398" t="s">
        <v>507</v>
      </c>
      <c r="S42" s="399" t="e">
        <f aca="false">SUM(S6:S41)</f>
        <v>#NAME?</v>
      </c>
    </row>
    <row r="43" customFormat="false" ht="12.75" hidden="false" customHeight="false" outlineLevel="0" collapsed="false">
      <c r="B43" s="372" t="n">
        <f aca="false">'Basis Options'!BE14</f>
        <v>36951</v>
      </c>
      <c r="C43" s="374" t="e">
        <f aca="false">'Basis Options'!BF14/10000</f>
        <v>#NAME?</v>
      </c>
      <c r="D43" s="374" t="e">
        <f aca="false">'Basis Options'!BG14/10000</f>
        <v>#NAME?</v>
      </c>
      <c r="E43" s="374" t="e">
        <f aca="false">'Basis Options'!BH14/10000</f>
        <v>#NAME?</v>
      </c>
      <c r="F43" s="374" t="e">
        <f aca="false">'Basis Options'!BI14/10000</f>
        <v>#NAME?</v>
      </c>
      <c r="G43" s="374" t="n">
        <f aca="false">'Basis Options'!BJ14/10000</f>
        <v>0</v>
      </c>
      <c r="H43" s="374" t="e">
        <f aca="false">'Basis Options'!BK14/10000</f>
        <v>#NAME?</v>
      </c>
      <c r="I43" s="374" t="e">
        <f aca="false">'Basis Options'!BL14/10000</f>
        <v>#NAME?</v>
      </c>
      <c r="J43" s="374" t="n">
        <f aca="false">'Basis Options'!BM14/10000</f>
        <v>0</v>
      </c>
      <c r="K43" s="374" t="n">
        <f aca="false">'Basis Options'!BN14/10000</f>
        <v>0</v>
      </c>
      <c r="L43" s="374" t="e">
        <f aca="false">'Basis Options'!BO14/10000</f>
        <v>#NAME?</v>
      </c>
      <c r="M43" s="374" t="e">
        <f aca="false">'Basis Options'!BP14/10000</f>
        <v>#NAME?</v>
      </c>
      <c r="N43" s="374" t="e">
        <f aca="false">'Basis Options'!BQ14/10000</f>
        <v>#NAME?</v>
      </c>
      <c r="O43" s="374" t="e">
        <f aca="false">'Basis Options'!BR14/10000</f>
        <v>#NAME?</v>
      </c>
      <c r="P43" s="375" t="e">
        <f aca="false">SUM(C43:O43)</f>
        <v>#NAME?</v>
      </c>
    </row>
    <row r="44" customFormat="false" ht="12.75" hidden="false" customHeight="false" outlineLevel="0" collapsed="false">
      <c r="B44" s="372" t="n">
        <f aca="false">'Basis Options'!BE15</f>
        <v>36982</v>
      </c>
      <c r="C44" s="374" t="e">
        <f aca="false">'Basis Options'!BF15/10000</f>
        <v>#NAME?</v>
      </c>
      <c r="D44" s="374" t="n">
        <f aca="false">'Basis Options'!BG15/10000</f>
        <v>0</v>
      </c>
      <c r="E44" s="374" t="n">
        <f aca="false">'Basis Options'!BH15/10000</f>
        <v>0</v>
      </c>
      <c r="F44" s="374" t="n">
        <f aca="false">'Basis Options'!BI15/10000</f>
        <v>0</v>
      </c>
      <c r="G44" s="374" t="n">
        <f aca="false">'Basis Options'!BJ15/10000</f>
        <v>0</v>
      </c>
      <c r="H44" s="374" t="e">
        <f aca="false">'Basis Options'!BK15/10000</f>
        <v>#NAME?</v>
      </c>
      <c r="I44" s="374" t="n">
        <f aca="false">'Basis Options'!BL15/10000</f>
        <v>0</v>
      </c>
      <c r="J44" s="374" t="n">
        <f aca="false">'Basis Options'!BM15/10000</f>
        <v>0</v>
      </c>
      <c r="K44" s="374" t="e">
        <f aca="false">'Basis Options'!BN15/10000</f>
        <v>#NAME?</v>
      </c>
      <c r="L44" s="374" t="n">
        <f aca="false">'Basis Options'!BO15/10000</f>
        <v>0</v>
      </c>
      <c r="M44" s="374" t="n">
        <f aca="false">'Basis Options'!BP15/10000</f>
        <v>0</v>
      </c>
      <c r="N44" s="374" t="n">
        <f aca="false">'Basis Options'!BQ15/10000</f>
        <v>0</v>
      </c>
      <c r="O44" s="374" t="n">
        <f aca="false">'Basis Options'!BR15/10000</f>
        <v>0</v>
      </c>
      <c r="P44" s="375" t="e">
        <f aca="false">SUM(C44:O44)</f>
        <v>#NAME?</v>
      </c>
    </row>
    <row r="45" customFormat="false" ht="12.75" hidden="false" customHeight="false" outlineLevel="0" collapsed="false">
      <c r="B45" s="372" t="n">
        <f aca="false">'Basis Options'!BE16</f>
        <v>37012</v>
      </c>
      <c r="C45" s="374" t="e">
        <f aca="false">'Basis Options'!BF16/10000</f>
        <v>#NAME?</v>
      </c>
      <c r="D45" s="374" t="n">
        <f aca="false">'Basis Options'!BG16/10000</f>
        <v>0</v>
      </c>
      <c r="E45" s="374" t="n">
        <f aca="false">'Basis Options'!BH16/10000</f>
        <v>0</v>
      </c>
      <c r="F45" s="374" t="n">
        <f aca="false">'Basis Options'!BI16/10000</f>
        <v>0</v>
      </c>
      <c r="G45" s="374" t="n">
        <f aca="false">'Basis Options'!BJ16/10000</f>
        <v>0</v>
      </c>
      <c r="H45" s="374" t="e">
        <f aca="false">'Basis Options'!BK16/10000</f>
        <v>#NAME?</v>
      </c>
      <c r="I45" s="374" t="n">
        <f aca="false">'Basis Options'!BL16/10000</f>
        <v>0</v>
      </c>
      <c r="J45" s="374" t="n">
        <f aca="false">'Basis Options'!BM16/10000</f>
        <v>0</v>
      </c>
      <c r="K45" s="374" t="e">
        <f aca="false">'Basis Options'!BN16/10000</f>
        <v>#NAME?</v>
      </c>
      <c r="L45" s="374" t="n">
        <f aca="false">'Basis Options'!BO16/10000</f>
        <v>0</v>
      </c>
      <c r="M45" s="374" t="n">
        <f aca="false">'Basis Options'!BP16/10000</f>
        <v>0</v>
      </c>
      <c r="N45" s="374" t="n">
        <f aca="false">'Basis Options'!BQ16/10000</f>
        <v>0</v>
      </c>
      <c r="O45" s="374" t="n">
        <f aca="false">'Basis Options'!BR16/10000</f>
        <v>0</v>
      </c>
      <c r="P45" s="375" t="e">
        <f aca="false">SUM(C45:O45)</f>
        <v>#NAME?</v>
      </c>
    </row>
    <row r="46" customFormat="false" ht="12.75" hidden="false" customHeight="false" outlineLevel="0" collapsed="false">
      <c r="B46" s="372" t="n">
        <f aca="false">'Basis Options'!BE17</f>
        <v>37043</v>
      </c>
      <c r="C46" s="374" t="e">
        <f aca="false">'Basis Options'!BF17/10000</f>
        <v>#NAME?</v>
      </c>
      <c r="D46" s="374" t="n">
        <f aca="false">'Basis Options'!BG17/10000</f>
        <v>0</v>
      </c>
      <c r="E46" s="374" t="n">
        <f aca="false">'Basis Options'!BH17/10000</f>
        <v>0</v>
      </c>
      <c r="F46" s="374" t="n">
        <f aca="false">'Basis Options'!BI17/10000</f>
        <v>0</v>
      </c>
      <c r="G46" s="374" t="n">
        <f aca="false">'Basis Options'!BJ17/10000</f>
        <v>0</v>
      </c>
      <c r="H46" s="374" t="e">
        <f aca="false">'Basis Options'!BK17/10000</f>
        <v>#NAME?</v>
      </c>
      <c r="I46" s="374" t="n">
        <f aca="false">'Basis Options'!BL17/10000</f>
        <v>0</v>
      </c>
      <c r="J46" s="374" t="n">
        <f aca="false">'Basis Options'!BM17/10000</f>
        <v>0</v>
      </c>
      <c r="K46" s="374" t="e">
        <f aca="false">'Basis Options'!BN17/10000</f>
        <v>#NAME?</v>
      </c>
      <c r="L46" s="374" t="n">
        <f aca="false">'Basis Options'!BO17/10000</f>
        <v>0</v>
      </c>
      <c r="M46" s="374" t="n">
        <f aca="false">'Basis Options'!BP17/10000</f>
        <v>0</v>
      </c>
      <c r="N46" s="374" t="n">
        <f aca="false">'Basis Options'!BQ17/10000</f>
        <v>0</v>
      </c>
      <c r="O46" s="374" t="n">
        <f aca="false">'Basis Options'!BR17/10000</f>
        <v>0</v>
      </c>
      <c r="P46" s="375" t="e">
        <f aca="false">SUM(C46:O46)</f>
        <v>#NAME?</v>
      </c>
    </row>
    <row r="47" customFormat="false" ht="12.75" hidden="false" customHeight="false" outlineLevel="0" collapsed="false">
      <c r="B47" s="372" t="n">
        <f aca="false">'Basis Options'!BE18</f>
        <v>37073</v>
      </c>
      <c r="C47" s="374" t="e">
        <f aca="false">'Basis Options'!BF18/10000</f>
        <v>#NAME?</v>
      </c>
      <c r="D47" s="374" t="n">
        <f aca="false">'Basis Options'!BG18/10000</f>
        <v>0</v>
      </c>
      <c r="E47" s="374" t="n">
        <f aca="false">'Basis Options'!BH18/10000</f>
        <v>0</v>
      </c>
      <c r="F47" s="374" t="n">
        <f aca="false">'Basis Options'!BI18/10000</f>
        <v>0</v>
      </c>
      <c r="G47" s="374" t="n">
        <f aca="false">'Basis Options'!BJ18/10000</f>
        <v>0</v>
      </c>
      <c r="H47" s="374" t="e">
        <f aca="false">'Basis Options'!BK18/10000</f>
        <v>#NAME?</v>
      </c>
      <c r="I47" s="374" t="n">
        <f aca="false">'Basis Options'!BL18/10000</f>
        <v>0</v>
      </c>
      <c r="J47" s="374" t="n">
        <f aca="false">'Basis Options'!BM18/10000</f>
        <v>0</v>
      </c>
      <c r="K47" s="374" t="e">
        <f aca="false">'Basis Options'!BN18/10000</f>
        <v>#NAME?</v>
      </c>
      <c r="L47" s="374" t="n">
        <f aca="false">'Basis Options'!BO18/10000</f>
        <v>0</v>
      </c>
      <c r="M47" s="374" t="n">
        <f aca="false">'Basis Options'!BP18/10000</f>
        <v>0</v>
      </c>
      <c r="N47" s="374" t="n">
        <f aca="false">'Basis Options'!BQ18/10000</f>
        <v>0</v>
      </c>
      <c r="O47" s="374" t="n">
        <f aca="false">'Basis Options'!BR18/10000</f>
        <v>0</v>
      </c>
      <c r="P47" s="375" t="e">
        <f aca="false">SUM(C47:O47)</f>
        <v>#NAME?</v>
      </c>
    </row>
    <row r="48" customFormat="false" ht="12.75" hidden="false" customHeight="false" outlineLevel="0" collapsed="false">
      <c r="B48" s="372" t="n">
        <f aca="false">'Basis Options'!BE19</f>
        <v>37104</v>
      </c>
      <c r="C48" s="374" t="e">
        <f aca="false">'Basis Options'!BF19/10000</f>
        <v>#NAME?</v>
      </c>
      <c r="D48" s="374" t="n">
        <f aca="false">'Basis Options'!BG19/10000</f>
        <v>0</v>
      </c>
      <c r="E48" s="374" t="n">
        <f aca="false">'Basis Options'!BH19/10000</f>
        <v>0</v>
      </c>
      <c r="F48" s="374" t="n">
        <f aca="false">'Basis Options'!BI19/10000</f>
        <v>0</v>
      </c>
      <c r="G48" s="374" t="n">
        <f aca="false">'Basis Options'!BJ19/10000</f>
        <v>0</v>
      </c>
      <c r="H48" s="374" t="e">
        <f aca="false">'Basis Options'!BK19/10000</f>
        <v>#NAME?</v>
      </c>
      <c r="I48" s="374" t="n">
        <f aca="false">'Basis Options'!BL19/10000</f>
        <v>0</v>
      </c>
      <c r="J48" s="374" t="n">
        <f aca="false">'Basis Options'!BM19/10000</f>
        <v>0</v>
      </c>
      <c r="K48" s="374" t="e">
        <f aca="false">'Basis Options'!BN19/10000</f>
        <v>#NAME?</v>
      </c>
      <c r="L48" s="374" t="n">
        <f aca="false">'Basis Options'!BO19/10000</f>
        <v>0</v>
      </c>
      <c r="M48" s="374" t="n">
        <f aca="false">'Basis Options'!BP19/10000</f>
        <v>0</v>
      </c>
      <c r="N48" s="374" t="n">
        <f aca="false">'Basis Options'!BQ19/10000</f>
        <v>0</v>
      </c>
      <c r="O48" s="374" t="n">
        <f aca="false">'Basis Options'!BR19/10000</f>
        <v>0</v>
      </c>
      <c r="P48" s="375" t="e">
        <f aca="false">SUM(C48:O48)</f>
        <v>#NAME?</v>
      </c>
    </row>
    <row r="49" customFormat="false" ht="12.75" hidden="false" customHeight="false" outlineLevel="0" collapsed="false">
      <c r="B49" s="372" t="n">
        <f aca="false">'Basis Options'!BE20</f>
        <v>37135</v>
      </c>
      <c r="C49" s="374" t="e">
        <f aca="false">'Basis Options'!BF20/10000</f>
        <v>#NAME?</v>
      </c>
      <c r="D49" s="374" t="n">
        <f aca="false">'Basis Options'!BG20/10000</f>
        <v>0</v>
      </c>
      <c r="E49" s="374" t="n">
        <f aca="false">'Basis Options'!BH20/10000</f>
        <v>0</v>
      </c>
      <c r="F49" s="374" t="n">
        <f aca="false">'Basis Options'!BI20/10000</f>
        <v>0</v>
      </c>
      <c r="G49" s="374" t="n">
        <f aca="false">'Basis Options'!BJ20/10000</f>
        <v>0</v>
      </c>
      <c r="H49" s="374" t="e">
        <f aca="false">'Basis Options'!BK20/10000</f>
        <v>#NAME?</v>
      </c>
      <c r="I49" s="374" t="n">
        <f aca="false">'Basis Options'!BL20/10000</f>
        <v>0</v>
      </c>
      <c r="J49" s="374" t="n">
        <f aca="false">'Basis Options'!BM20/10000</f>
        <v>0</v>
      </c>
      <c r="K49" s="374" t="e">
        <f aca="false">'Basis Options'!BN20/10000</f>
        <v>#NAME?</v>
      </c>
      <c r="L49" s="374" t="n">
        <f aca="false">'Basis Options'!BO20/10000</f>
        <v>0</v>
      </c>
      <c r="M49" s="374" t="n">
        <f aca="false">'Basis Options'!BP20/10000</f>
        <v>0</v>
      </c>
      <c r="N49" s="374" t="n">
        <f aca="false">'Basis Options'!BQ20/10000</f>
        <v>0</v>
      </c>
      <c r="O49" s="374" t="n">
        <f aca="false">'Basis Options'!BR20/10000</f>
        <v>0</v>
      </c>
      <c r="P49" s="375" t="e">
        <f aca="false">SUM(C49:O49)</f>
        <v>#NAME?</v>
      </c>
    </row>
    <row r="50" customFormat="false" ht="12.75" hidden="false" customHeight="false" outlineLevel="0" collapsed="false">
      <c r="B50" s="372" t="n">
        <f aca="false">'Basis Options'!BE21</f>
        <v>37165</v>
      </c>
      <c r="C50" s="374" t="e">
        <f aca="false">'Basis Options'!BF21/10000</f>
        <v>#NAME?</v>
      </c>
      <c r="D50" s="374" t="n">
        <f aca="false">'Basis Options'!BG21/10000</f>
        <v>0</v>
      </c>
      <c r="E50" s="374" t="n">
        <f aca="false">'Basis Options'!BH21/10000</f>
        <v>0</v>
      </c>
      <c r="F50" s="374" t="n">
        <f aca="false">'Basis Options'!BI21/10000</f>
        <v>0</v>
      </c>
      <c r="G50" s="374" t="n">
        <f aca="false">'Basis Options'!BJ21/10000</f>
        <v>0</v>
      </c>
      <c r="H50" s="374" t="e">
        <f aca="false">'Basis Options'!BK21/10000</f>
        <v>#NAME?</v>
      </c>
      <c r="I50" s="374" t="n">
        <f aca="false">'Basis Options'!BL21/10000</f>
        <v>0</v>
      </c>
      <c r="J50" s="374" t="n">
        <f aca="false">'Basis Options'!BM21/10000</f>
        <v>0</v>
      </c>
      <c r="K50" s="374" t="e">
        <f aca="false">'Basis Options'!BN21/10000</f>
        <v>#NAME?</v>
      </c>
      <c r="L50" s="374" t="n">
        <f aca="false">'Basis Options'!BO21/10000</f>
        <v>0</v>
      </c>
      <c r="M50" s="374" t="n">
        <f aca="false">'Basis Options'!BP21/10000</f>
        <v>0</v>
      </c>
      <c r="N50" s="374" t="n">
        <f aca="false">'Basis Options'!BQ21/10000</f>
        <v>0</v>
      </c>
      <c r="O50" s="374" t="n">
        <f aca="false">'Basis Options'!BR21/10000</f>
        <v>0</v>
      </c>
      <c r="P50" s="375" t="e">
        <f aca="false">SUM(C50:O50)</f>
        <v>#NAME?</v>
      </c>
    </row>
    <row r="51" customFormat="false" ht="12.75" hidden="false" customHeight="false" outlineLevel="0" collapsed="false">
      <c r="B51" s="372" t="n">
        <f aca="false">'Basis Options'!BE22</f>
        <v>37196</v>
      </c>
      <c r="C51" s="374" t="e">
        <f aca="false">'Basis Options'!BF22/10000</f>
        <v>#NAME?</v>
      </c>
      <c r="D51" s="374" t="n">
        <f aca="false">'Basis Options'!BG22/10000</f>
        <v>0</v>
      </c>
      <c r="E51" s="374" t="n">
        <f aca="false">'Basis Options'!BH22/10000</f>
        <v>0</v>
      </c>
      <c r="F51" s="374" t="n">
        <f aca="false">'Basis Options'!BI22/10000</f>
        <v>0</v>
      </c>
      <c r="G51" s="374" t="n">
        <f aca="false">'Basis Options'!BJ22/10000</f>
        <v>0</v>
      </c>
      <c r="H51" s="374" t="n">
        <f aca="false">'Basis Options'!BK22/10000</f>
        <v>0</v>
      </c>
      <c r="I51" s="374" t="n">
        <f aca="false">'Basis Options'!BL22/10000</f>
        <v>0</v>
      </c>
      <c r="J51" s="374" t="n">
        <f aca="false">'Basis Options'!BM22/10000</f>
        <v>0</v>
      </c>
      <c r="K51" s="374" t="n">
        <f aca="false">'Basis Options'!BN22/10000</f>
        <v>0</v>
      </c>
      <c r="L51" s="374" t="n">
        <f aca="false">'Basis Options'!BO22/10000</f>
        <v>0</v>
      </c>
      <c r="M51" s="374" t="n">
        <f aca="false">'Basis Options'!BP22/10000</f>
        <v>0</v>
      </c>
      <c r="N51" s="374" t="n">
        <f aca="false">'Basis Options'!BQ22/10000</f>
        <v>0</v>
      </c>
      <c r="O51" s="374" t="n">
        <f aca="false">'Basis Options'!BR22/10000</f>
        <v>0</v>
      </c>
      <c r="P51" s="375" t="e">
        <f aca="false">SUM(C51:O51)</f>
        <v>#NAME?</v>
      </c>
    </row>
    <row r="52" customFormat="false" ht="12.75" hidden="false" customHeight="false" outlineLevel="0" collapsed="false">
      <c r="B52" s="372" t="n">
        <f aca="false">'Basis Options'!BE23</f>
        <v>37226</v>
      </c>
      <c r="C52" s="374" t="e">
        <f aca="false">'Basis Options'!BF23/10000</f>
        <v>#NAME?</v>
      </c>
      <c r="D52" s="374" t="n">
        <f aca="false">'Basis Options'!BG23/10000</f>
        <v>0</v>
      </c>
      <c r="E52" s="374" t="n">
        <f aca="false">'Basis Options'!BH23/10000</f>
        <v>0</v>
      </c>
      <c r="F52" s="374" t="n">
        <f aca="false">'Basis Options'!BI23/10000</f>
        <v>0</v>
      </c>
      <c r="G52" s="374" t="n">
        <f aca="false">'Basis Options'!BJ23/10000</f>
        <v>0</v>
      </c>
      <c r="H52" s="374" t="n">
        <f aca="false">'Basis Options'!BK23/10000</f>
        <v>0</v>
      </c>
      <c r="I52" s="374" t="n">
        <f aca="false">'Basis Options'!BL23/10000</f>
        <v>0</v>
      </c>
      <c r="J52" s="374" t="n">
        <f aca="false">'Basis Options'!BM23/10000</f>
        <v>0</v>
      </c>
      <c r="K52" s="374" t="n">
        <f aca="false">'Basis Options'!BN23/10000</f>
        <v>0</v>
      </c>
      <c r="L52" s="374" t="n">
        <f aca="false">'Basis Options'!BO23/10000</f>
        <v>0</v>
      </c>
      <c r="M52" s="374" t="n">
        <f aca="false">'Basis Options'!BP23/10000</f>
        <v>0</v>
      </c>
      <c r="N52" s="374" t="n">
        <f aca="false">'Basis Options'!BQ23/10000</f>
        <v>0</v>
      </c>
      <c r="O52" s="374" t="n">
        <f aca="false">'Basis Options'!BR23/10000</f>
        <v>0</v>
      </c>
      <c r="P52" s="375" t="e">
        <f aca="false">SUM(C52:O52)</f>
        <v>#NAME?</v>
      </c>
    </row>
    <row r="53" customFormat="false" ht="12.75" hidden="false" customHeight="false" outlineLevel="0" collapsed="false">
      <c r="B53" s="372" t="n">
        <f aca="false">'Basis Options'!BE24</f>
        <v>37257</v>
      </c>
      <c r="C53" s="374" t="e">
        <f aca="false">'Basis Options'!BF24/10000</f>
        <v>#NAME?</v>
      </c>
      <c r="D53" s="374" t="n">
        <f aca="false">'Basis Options'!BG24/10000</f>
        <v>0</v>
      </c>
      <c r="E53" s="374" t="n">
        <f aca="false">'Basis Options'!BH24/10000</f>
        <v>0</v>
      </c>
      <c r="F53" s="374" t="n">
        <f aca="false">'Basis Options'!BI24/10000</f>
        <v>0</v>
      </c>
      <c r="G53" s="374" t="n">
        <f aca="false">'Basis Options'!BJ24/10000</f>
        <v>0</v>
      </c>
      <c r="H53" s="374" t="n">
        <f aca="false">'Basis Options'!BK24/10000</f>
        <v>0</v>
      </c>
      <c r="I53" s="374" t="n">
        <f aca="false">'Basis Options'!BL24/10000</f>
        <v>0</v>
      </c>
      <c r="J53" s="374" t="n">
        <f aca="false">'Basis Options'!BM24/10000</f>
        <v>0</v>
      </c>
      <c r="K53" s="374" t="n">
        <f aca="false">'Basis Options'!BN24/10000</f>
        <v>0</v>
      </c>
      <c r="L53" s="374" t="n">
        <f aca="false">'Basis Options'!BO24/10000</f>
        <v>0</v>
      </c>
      <c r="M53" s="374" t="n">
        <f aca="false">'Basis Options'!BP24/10000</f>
        <v>0</v>
      </c>
      <c r="N53" s="374" t="n">
        <f aca="false">'Basis Options'!BQ24/10000</f>
        <v>0</v>
      </c>
      <c r="O53" s="374" t="n">
        <f aca="false">'Basis Options'!BR24/10000</f>
        <v>0</v>
      </c>
      <c r="P53" s="375" t="e">
        <f aca="false">SUM(C53:O53)</f>
        <v>#NAME?</v>
      </c>
    </row>
    <row r="54" customFormat="false" ht="12.75" hidden="false" customHeight="false" outlineLevel="0" collapsed="false">
      <c r="B54" s="372" t="n">
        <f aca="false">'Basis Options'!BE25</f>
        <v>37288</v>
      </c>
      <c r="C54" s="374" t="e">
        <f aca="false">'Basis Options'!BF25/10000</f>
        <v>#NAME?</v>
      </c>
      <c r="D54" s="374" t="n">
        <f aca="false">'Basis Options'!BG25/10000</f>
        <v>0</v>
      </c>
      <c r="E54" s="374" t="n">
        <f aca="false">'Basis Options'!BH25/10000</f>
        <v>0</v>
      </c>
      <c r="F54" s="374" t="n">
        <f aca="false">'Basis Options'!BI25/10000</f>
        <v>0</v>
      </c>
      <c r="G54" s="374" t="n">
        <f aca="false">'Basis Options'!BJ25/10000</f>
        <v>0</v>
      </c>
      <c r="H54" s="374" t="n">
        <f aca="false">'Basis Options'!BK25/10000</f>
        <v>0</v>
      </c>
      <c r="I54" s="374" t="n">
        <f aca="false">'Basis Options'!BL25/10000</f>
        <v>0</v>
      </c>
      <c r="J54" s="374" t="n">
        <f aca="false">'Basis Options'!BM25/10000</f>
        <v>0</v>
      </c>
      <c r="K54" s="374" t="n">
        <f aca="false">'Basis Options'!BN25/10000</f>
        <v>0</v>
      </c>
      <c r="L54" s="374" t="n">
        <f aca="false">'Basis Options'!BO25/10000</f>
        <v>0</v>
      </c>
      <c r="M54" s="374" t="n">
        <f aca="false">'Basis Options'!BP25/10000</f>
        <v>0</v>
      </c>
      <c r="N54" s="374" t="n">
        <f aca="false">'Basis Options'!BQ25/10000</f>
        <v>0</v>
      </c>
      <c r="O54" s="374" t="n">
        <f aca="false">'Basis Options'!BR25/10000</f>
        <v>0</v>
      </c>
      <c r="P54" s="375" t="e">
        <f aca="false">SUM(C54:O54)</f>
        <v>#NAME?</v>
      </c>
    </row>
    <row r="55" customFormat="false" ht="12.75" hidden="false" customHeight="false" outlineLevel="0" collapsed="false">
      <c r="B55" s="372" t="n">
        <f aca="false">'Basis Options'!BE26</f>
        <v>37316</v>
      </c>
      <c r="C55" s="374" t="e">
        <f aca="false">'Basis Options'!BF26/10000</f>
        <v>#NAME?</v>
      </c>
      <c r="D55" s="374" t="n">
        <f aca="false">'Basis Options'!BG26/10000</f>
        <v>0</v>
      </c>
      <c r="E55" s="374" t="n">
        <f aca="false">'Basis Options'!BH26/10000</f>
        <v>0</v>
      </c>
      <c r="F55" s="374" t="n">
        <f aca="false">'Basis Options'!BI26/10000</f>
        <v>0</v>
      </c>
      <c r="G55" s="374" t="n">
        <f aca="false">'Basis Options'!BJ26/10000</f>
        <v>0</v>
      </c>
      <c r="H55" s="374" t="n">
        <f aca="false">'Basis Options'!BK26/10000</f>
        <v>0</v>
      </c>
      <c r="I55" s="374" t="n">
        <f aca="false">'Basis Options'!BL26/10000</f>
        <v>0</v>
      </c>
      <c r="J55" s="374" t="n">
        <f aca="false">'Basis Options'!BM26/10000</f>
        <v>0</v>
      </c>
      <c r="K55" s="374" t="n">
        <f aca="false">'Basis Options'!BN26/10000</f>
        <v>0</v>
      </c>
      <c r="L55" s="374" t="n">
        <f aca="false">'Basis Options'!BO26/10000</f>
        <v>0</v>
      </c>
      <c r="M55" s="374" t="n">
        <f aca="false">'Basis Options'!BP26/10000</f>
        <v>0</v>
      </c>
      <c r="N55" s="374" t="n">
        <f aca="false">'Basis Options'!BQ26/10000</f>
        <v>0</v>
      </c>
      <c r="O55" s="374" t="n">
        <f aca="false">'Basis Options'!BR26/10000</f>
        <v>0</v>
      </c>
      <c r="P55" s="375" t="e">
        <f aca="false">SUM(C55:O55)</f>
        <v>#NAME?</v>
      </c>
    </row>
    <row r="56" customFormat="false" ht="12.75" hidden="false" customHeight="false" outlineLevel="0" collapsed="false">
      <c r="B56" s="372" t="n">
        <f aca="false">'Basis Options'!BE27</f>
        <v>37347</v>
      </c>
      <c r="C56" s="374" t="n">
        <f aca="false">'Basis Options'!BF27/10000</f>
        <v>0</v>
      </c>
      <c r="D56" s="374" t="n">
        <f aca="false">'Basis Options'!BG27/10000</f>
        <v>0</v>
      </c>
      <c r="E56" s="374" t="n">
        <f aca="false">'Basis Options'!BH27/10000</f>
        <v>0</v>
      </c>
      <c r="F56" s="374" t="n">
        <f aca="false">'Basis Options'!BI27/10000</f>
        <v>0</v>
      </c>
      <c r="G56" s="374" t="n">
        <f aca="false">'Basis Options'!BJ27/10000</f>
        <v>0</v>
      </c>
      <c r="H56" s="374" t="n">
        <f aca="false">'Basis Options'!BK27/10000</f>
        <v>0</v>
      </c>
      <c r="I56" s="374" t="n">
        <f aca="false">'Basis Options'!BL27/10000</f>
        <v>0</v>
      </c>
      <c r="J56" s="374" t="n">
        <f aca="false">'Basis Options'!BM27/10000</f>
        <v>0</v>
      </c>
      <c r="K56" s="374" t="n">
        <f aca="false">'Basis Options'!BN27/10000</f>
        <v>0</v>
      </c>
      <c r="L56" s="374" t="n">
        <f aca="false">'Basis Options'!BO27/10000</f>
        <v>0</v>
      </c>
      <c r="M56" s="374" t="n">
        <f aca="false">'Basis Options'!BP27/10000</f>
        <v>0</v>
      </c>
      <c r="N56" s="374" t="n">
        <f aca="false">'Basis Options'!BQ27/10000</f>
        <v>0</v>
      </c>
      <c r="O56" s="374" t="n">
        <f aca="false">'Basis Options'!BR27/10000</f>
        <v>0</v>
      </c>
      <c r="P56" s="375" t="n">
        <f aca="false">SUM(C56:O56)</f>
        <v>0</v>
      </c>
    </row>
    <row r="57" customFormat="false" ht="12.75" hidden="false" customHeight="false" outlineLevel="0" collapsed="false">
      <c r="B57" s="372" t="n">
        <f aca="false">'Basis Options'!BE28</f>
        <v>37377</v>
      </c>
      <c r="C57" s="374" t="n">
        <f aca="false">'Basis Options'!BF28/10000</f>
        <v>0</v>
      </c>
      <c r="D57" s="374" t="n">
        <f aca="false">'Basis Options'!BG28/10000</f>
        <v>0</v>
      </c>
      <c r="E57" s="374" t="n">
        <f aca="false">'Basis Options'!BH28/10000</f>
        <v>0</v>
      </c>
      <c r="F57" s="374" t="n">
        <f aca="false">'Basis Options'!BI28/10000</f>
        <v>0</v>
      </c>
      <c r="G57" s="374" t="n">
        <f aca="false">'Basis Options'!BJ28/10000</f>
        <v>0</v>
      </c>
      <c r="H57" s="374" t="n">
        <f aca="false">'Basis Options'!BK28/10000</f>
        <v>0</v>
      </c>
      <c r="I57" s="374" t="n">
        <f aca="false">'Basis Options'!BL28/10000</f>
        <v>0</v>
      </c>
      <c r="J57" s="374" t="n">
        <f aca="false">'Basis Options'!BM28/10000</f>
        <v>0</v>
      </c>
      <c r="K57" s="374" t="n">
        <f aca="false">'Basis Options'!BN28/10000</f>
        <v>0</v>
      </c>
      <c r="L57" s="374" t="n">
        <f aca="false">'Basis Options'!BO28/10000</f>
        <v>0</v>
      </c>
      <c r="M57" s="374" t="n">
        <f aca="false">'Basis Options'!BP28/10000</f>
        <v>0</v>
      </c>
      <c r="N57" s="374" t="n">
        <f aca="false">'Basis Options'!BQ28/10000</f>
        <v>0</v>
      </c>
      <c r="O57" s="374" t="n">
        <f aca="false">'Basis Options'!BR28/10000</f>
        <v>0</v>
      </c>
      <c r="P57" s="375" t="n">
        <f aca="false">SUM(C57:O57)</f>
        <v>0</v>
      </c>
    </row>
    <row r="58" customFormat="false" ht="12.75" hidden="false" customHeight="false" outlineLevel="0" collapsed="false">
      <c r="B58" s="372" t="n">
        <f aca="false">'Basis Options'!BE29</f>
        <v>37408</v>
      </c>
      <c r="C58" s="374" t="n">
        <f aca="false">'Basis Options'!BF29/10000</f>
        <v>0</v>
      </c>
      <c r="D58" s="374" t="n">
        <f aca="false">'Basis Options'!BG29/10000</f>
        <v>0</v>
      </c>
      <c r="E58" s="374" t="n">
        <f aca="false">'Basis Options'!BH29/10000</f>
        <v>0</v>
      </c>
      <c r="F58" s="374" t="n">
        <f aca="false">'Basis Options'!BI29/10000</f>
        <v>0</v>
      </c>
      <c r="G58" s="374" t="n">
        <f aca="false">'Basis Options'!BJ29/10000</f>
        <v>0</v>
      </c>
      <c r="H58" s="374" t="n">
        <f aca="false">'Basis Options'!BK29/10000</f>
        <v>0</v>
      </c>
      <c r="I58" s="374" t="n">
        <f aca="false">'Basis Options'!BL29/10000</f>
        <v>0</v>
      </c>
      <c r="J58" s="374" t="n">
        <f aca="false">'Basis Options'!BM29/10000</f>
        <v>0</v>
      </c>
      <c r="K58" s="374" t="n">
        <f aca="false">'Basis Options'!BN29/10000</f>
        <v>0</v>
      </c>
      <c r="L58" s="374" t="n">
        <f aca="false">'Basis Options'!BO29/10000</f>
        <v>0</v>
      </c>
      <c r="M58" s="374" t="n">
        <f aca="false">'Basis Options'!BP29/10000</f>
        <v>0</v>
      </c>
      <c r="N58" s="374" t="n">
        <f aca="false">'Basis Options'!BQ29/10000</f>
        <v>0</v>
      </c>
      <c r="O58" s="374" t="n">
        <f aca="false">'Basis Options'!BR29/10000</f>
        <v>0</v>
      </c>
      <c r="P58" s="375" t="n">
        <f aca="false">SUM(C58:O58)</f>
        <v>0</v>
      </c>
    </row>
    <row r="59" customFormat="false" ht="12.75" hidden="false" customHeight="false" outlineLevel="0" collapsed="false">
      <c r="B59" s="372" t="n">
        <f aca="false">'Basis Options'!BE30</f>
        <v>37438</v>
      </c>
      <c r="C59" s="374" t="n">
        <f aca="false">'Basis Options'!BF30/10000</f>
        <v>0</v>
      </c>
      <c r="D59" s="374" t="n">
        <f aca="false">'Basis Options'!BG30/10000</f>
        <v>0</v>
      </c>
      <c r="E59" s="374" t="n">
        <f aca="false">'Basis Options'!BH30/10000</f>
        <v>0</v>
      </c>
      <c r="F59" s="374" t="n">
        <f aca="false">'Basis Options'!BI30/10000</f>
        <v>0</v>
      </c>
      <c r="G59" s="374" t="n">
        <f aca="false">'Basis Options'!BJ30/10000</f>
        <v>0</v>
      </c>
      <c r="H59" s="374" t="n">
        <f aca="false">'Basis Options'!BK30/10000</f>
        <v>0</v>
      </c>
      <c r="I59" s="374" t="n">
        <f aca="false">'Basis Options'!BL30/10000</f>
        <v>0</v>
      </c>
      <c r="J59" s="374" t="n">
        <f aca="false">'Basis Options'!BM30/10000</f>
        <v>0</v>
      </c>
      <c r="K59" s="374" t="n">
        <f aca="false">'Basis Options'!BN30/10000</f>
        <v>0</v>
      </c>
      <c r="L59" s="374" t="n">
        <f aca="false">'Basis Options'!BO30/10000</f>
        <v>0</v>
      </c>
      <c r="M59" s="374" t="n">
        <f aca="false">'Basis Options'!BP30/10000</f>
        <v>0</v>
      </c>
      <c r="N59" s="374" t="n">
        <f aca="false">'Basis Options'!BQ30/10000</f>
        <v>0</v>
      </c>
      <c r="O59" s="374" t="n">
        <f aca="false">'Basis Options'!BR30/10000</f>
        <v>0</v>
      </c>
      <c r="P59" s="375" t="n">
        <f aca="false">SUM(C59:O59)</f>
        <v>0</v>
      </c>
    </row>
    <row r="60" customFormat="false" ht="12.75" hidden="false" customHeight="false" outlineLevel="0" collapsed="false">
      <c r="B60" s="372" t="n">
        <f aca="false">'Basis Options'!BE31</f>
        <v>37469</v>
      </c>
      <c r="C60" s="374" t="n">
        <f aca="false">'Basis Options'!BF31/10000</f>
        <v>0</v>
      </c>
      <c r="D60" s="374" t="n">
        <f aca="false">'Basis Options'!BG31/10000</f>
        <v>0</v>
      </c>
      <c r="E60" s="374" t="n">
        <f aca="false">'Basis Options'!BH31/10000</f>
        <v>0</v>
      </c>
      <c r="F60" s="374" t="n">
        <f aca="false">'Basis Options'!BI31/10000</f>
        <v>0</v>
      </c>
      <c r="G60" s="374" t="n">
        <f aca="false">'Basis Options'!BJ31/10000</f>
        <v>0</v>
      </c>
      <c r="H60" s="374" t="n">
        <f aca="false">'Basis Options'!BK31/10000</f>
        <v>0</v>
      </c>
      <c r="I60" s="374" t="n">
        <f aca="false">'Basis Options'!BL31/10000</f>
        <v>0</v>
      </c>
      <c r="J60" s="374" t="n">
        <f aca="false">'Basis Options'!BM31/10000</f>
        <v>0</v>
      </c>
      <c r="K60" s="374" t="n">
        <f aca="false">'Basis Options'!BN31/10000</f>
        <v>0</v>
      </c>
      <c r="L60" s="374" t="n">
        <f aca="false">'Basis Options'!BO31/10000</f>
        <v>0</v>
      </c>
      <c r="M60" s="374" t="n">
        <f aca="false">'Basis Options'!BP31/10000</f>
        <v>0</v>
      </c>
      <c r="N60" s="374" t="n">
        <f aca="false">'Basis Options'!BQ31/10000</f>
        <v>0</v>
      </c>
      <c r="O60" s="374" t="n">
        <f aca="false">'Basis Options'!BR31/10000</f>
        <v>0</v>
      </c>
      <c r="P60" s="375" t="n">
        <f aca="false">SUM(C60:O60)</f>
        <v>0</v>
      </c>
    </row>
    <row r="61" customFormat="false" ht="12.75" hidden="false" customHeight="false" outlineLevel="0" collapsed="false">
      <c r="B61" s="372" t="n">
        <f aca="false">'Basis Options'!BE32</f>
        <v>37500</v>
      </c>
      <c r="C61" s="374" t="n">
        <f aca="false">'Basis Options'!BF32/10000</f>
        <v>0</v>
      </c>
      <c r="D61" s="374" t="n">
        <f aca="false">'Basis Options'!BG32/10000</f>
        <v>0</v>
      </c>
      <c r="E61" s="374" t="n">
        <f aca="false">'Basis Options'!BH32/10000</f>
        <v>0</v>
      </c>
      <c r="F61" s="374" t="n">
        <f aca="false">'Basis Options'!BI32/10000</f>
        <v>0</v>
      </c>
      <c r="G61" s="374" t="n">
        <f aca="false">'Basis Options'!BJ32/10000</f>
        <v>0</v>
      </c>
      <c r="H61" s="374" t="n">
        <f aca="false">'Basis Options'!BK32/10000</f>
        <v>0</v>
      </c>
      <c r="I61" s="374" t="n">
        <f aca="false">'Basis Options'!BL32/10000</f>
        <v>0</v>
      </c>
      <c r="J61" s="374" t="n">
        <f aca="false">'Basis Options'!BM32/10000</f>
        <v>0</v>
      </c>
      <c r="K61" s="374" t="n">
        <f aca="false">'Basis Options'!BN32/10000</f>
        <v>0</v>
      </c>
      <c r="L61" s="374" t="n">
        <f aca="false">'Basis Options'!BO32/10000</f>
        <v>0</v>
      </c>
      <c r="M61" s="374" t="n">
        <f aca="false">'Basis Options'!BP32/10000</f>
        <v>0</v>
      </c>
      <c r="N61" s="374" t="n">
        <f aca="false">'Basis Options'!BQ32/10000</f>
        <v>0</v>
      </c>
      <c r="O61" s="374" t="n">
        <f aca="false">'Basis Options'!BR32/10000</f>
        <v>0</v>
      </c>
      <c r="P61" s="375" t="n">
        <f aca="false">SUM(C61:O61)</f>
        <v>0</v>
      </c>
    </row>
    <row r="62" customFormat="false" ht="12.75" hidden="false" customHeight="false" outlineLevel="0" collapsed="false">
      <c r="B62" s="372" t="n">
        <f aca="false">'Basis Options'!BE33</f>
        <v>37530</v>
      </c>
      <c r="C62" s="374" t="n">
        <f aca="false">'Basis Options'!BF33/10000</f>
        <v>0</v>
      </c>
      <c r="D62" s="374" t="n">
        <f aca="false">'Basis Options'!BG33/10000</f>
        <v>0</v>
      </c>
      <c r="E62" s="374" t="n">
        <f aca="false">'Basis Options'!BH33/10000</f>
        <v>0</v>
      </c>
      <c r="F62" s="374" t="n">
        <f aca="false">'Basis Options'!BI33/10000</f>
        <v>0</v>
      </c>
      <c r="G62" s="374" t="n">
        <f aca="false">'Basis Options'!BJ33/10000</f>
        <v>0</v>
      </c>
      <c r="H62" s="374" t="n">
        <f aca="false">'Basis Options'!BK33/10000</f>
        <v>0</v>
      </c>
      <c r="I62" s="374" t="n">
        <f aca="false">'Basis Options'!BL33/10000</f>
        <v>0</v>
      </c>
      <c r="J62" s="374" t="n">
        <f aca="false">'Basis Options'!BM33/10000</f>
        <v>0</v>
      </c>
      <c r="K62" s="374" t="n">
        <f aca="false">'Basis Options'!BN33/10000</f>
        <v>0</v>
      </c>
      <c r="L62" s="374" t="n">
        <f aca="false">'Basis Options'!BO33/10000</f>
        <v>0</v>
      </c>
      <c r="M62" s="374" t="n">
        <f aca="false">'Basis Options'!BP33/10000</f>
        <v>0</v>
      </c>
      <c r="N62" s="374" t="n">
        <f aca="false">'Basis Options'!BQ33/10000</f>
        <v>0</v>
      </c>
      <c r="O62" s="374" t="n">
        <f aca="false">'Basis Options'!BR33/10000</f>
        <v>0</v>
      </c>
      <c r="P62" s="375" t="n">
        <f aca="false">SUM(C62:O62)</f>
        <v>0</v>
      </c>
    </row>
    <row r="63" customFormat="false" ht="12.75" hidden="false" customHeight="false" outlineLevel="0" collapsed="false">
      <c r="B63" s="372" t="n">
        <f aca="false">'Basis Options'!BE34</f>
        <v>37561</v>
      </c>
      <c r="C63" s="374" t="n">
        <f aca="false">'Basis Options'!BF34/10000</f>
        <v>0</v>
      </c>
      <c r="D63" s="374" t="n">
        <f aca="false">'Basis Options'!BG34/10000</f>
        <v>0</v>
      </c>
      <c r="E63" s="374" t="n">
        <f aca="false">'Basis Options'!BH34/10000</f>
        <v>0</v>
      </c>
      <c r="F63" s="374" t="e">
        <f aca="false">'Basis Options'!BI34/10000</f>
        <v>#NAME?</v>
      </c>
      <c r="G63" s="374" t="n">
        <f aca="false">'Basis Options'!BJ34/10000</f>
        <v>0</v>
      </c>
      <c r="H63" s="374" t="n">
        <f aca="false">'Basis Options'!BK34/10000</f>
        <v>0</v>
      </c>
      <c r="I63" s="374" t="n">
        <f aca="false">'Basis Options'!BL34/10000</f>
        <v>0</v>
      </c>
      <c r="J63" s="374" t="n">
        <f aca="false">'Basis Options'!BM34/10000</f>
        <v>0</v>
      </c>
      <c r="K63" s="374" t="n">
        <f aca="false">'Basis Options'!BN34/10000</f>
        <v>0</v>
      </c>
      <c r="L63" s="374" t="n">
        <f aca="false">'Basis Options'!BO34/10000</f>
        <v>0</v>
      </c>
      <c r="M63" s="374" t="n">
        <f aca="false">'Basis Options'!BP34/10000</f>
        <v>0</v>
      </c>
      <c r="N63" s="374" t="n">
        <f aca="false">'Basis Options'!BQ34/10000</f>
        <v>0</v>
      </c>
      <c r="O63" s="374" t="n">
        <f aca="false">'Basis Options'!BR34/10000</f>
        <v>0</v>
      </c>
      <c r="P63" s="375" t="e">
        <f aca="false">SUM(C63:O63)</f>
        <v>#NAME?</v>
      </c>
    </row>
    <row r="64" customFormat="false" ht="12.75" hidden="false" customHeight="false" outlineLevel="0" collapsed="false">
      <c r="B64" s="372" t="n">
        <f aca="false">'Basis Options'!BE35</f>
        <v>37591</v>
      </c>
      <c r="C64" s="374" t="n">
        <f aca="false">'Basis Options'!BF35/10000</f>
        <v>0</v>
      </c>
      <c r="D64" s="374" t="n">
        <f aca="false">'Basis Options'!BG35/10000</f>
        <v>0</v>
      </c>
      <c r="E64" s="374" t="n">
        <f aca="false">'Basis Options'!BH35/10000</f>
        <v>0</v>
      </c>
      <c r="F64" s="374" t="e">
        <f aca="false">'Basis Options'!BI35/10000</f>
        <v>#NAME?</v>
      </c>
      <c r="G64" s="374" t="n">
        <f aca="false">'Basis Options'!BJ35/10000</f>
        <v>0</v>
      </c>
      <c r="H64" s="374" t="n">
        <f aca="false">'Basis Options'!BK35/10000</f>
        <v>0</v>
      </c>
      <c r="I64" s="374" t="n">
        <f aca="false">'Basis Options'!BL35/10000</f>
        <v>0</v>
      </c>
      <c r="J64" s="374" t="n">
        <f aca="false">'Basis Options'!BM35/10000</f>
        <v>0</v>
      </c>
      <c r="K64" s="374" t="n">
        <f aca="false">'Basis Options'!BN35/10000</f>
        <v>0</v>
      </c>
      <c r="L64" s="374" t="n">
        <f aca="false">'Basis Options'!BO35/10000</f>
        <v>0</v>
      </c>
      <c r="M64" s="374" t="n">
        <f aca="false">'Basis Options'!BP35/10000</f>
        <v>0</v>
      </c>
      <c r="N64" s="374" t="n">
        <f aca="false">'Basis Options'!BQ35/10000</f>
        <v>0</v>
      </c>
      <c r="O64" s="374" t="n">
        <f aca="false">'Basis Options'!BR35/10000</f>
        <v>0</v>
      </c>
      <c r="P64" s="375" t="e">
        <f aca="false">SUM(C64:O64)</f>
        <v>#NAME?</v>
      </c>
    </row>
    <row r="65" customFormat="false" ht="12.75" hidden="false" customHeight="false" outlineLevel="0" collapsed="false">
      <c r="B65" s="372" t="n">
        <f aca="false">'Basis Options'!BE36</f>
        <v>37622</v>
      </c>
      <c r="C65" s="374" t="n">
        <f aca="false">'Basis Options'!BF36/10000</f>
        <v>0</v>
      </c>
      <c r="D65" s="374" t="n">
        <f aca="false">'Basis Options'!BG36/10000</f>
        <v>0</v>
      </c>
      <c r="E65" s="374" t="n">
        <f aca="false">'Basis Options'!BH36/10000</f>
        <v>0</v>
      </c>
      <c r="F65" s="374" t="e">
        <f aca="false">'Basis Options'!BI36/10000</f>
        <v>#NAME?</v>
      </c>
      <c r="G65" s="374" t="n">
        <f aca="false">'Basis Options'!BJ36/10000</f>
        <v>0</v>
      </c>
      <c r="H65" s="374" t="n">
        <f aca="false">'Basis Options'!BK36/10000</f>
        <v>0</v>
      </c>
      <c r="I65" s="374" t="n">
        <f aca="false">'Basis Options'!BL36/10000</f>
        <v>0</v>
      </c>
      <c r="J65" s="374" t="n">
        <f aca="false">'Basis Options'!BM36/10000</f>
        <v>0</v>
      </c>
      <c r="K65" s="374" t="n">
        <f aca="false">'Basis Options'!BN36/10000</f>
        <v>0</v>
      </c>
      <c r="L65" s="374" t="n">
        <f aca="false">'Basis Options'!BO36/10000</f>
        <v>0</v>
      </c>
      <c r="M65" s="374" t="n">
        <f aca="false">'Basis Options'!BP36/10000</f>
        <v>0</v>
      </c>
      <c r="N65" s="374" t="n">
        <f aca="false">'Basis Options'!BQ36/10000</f>
        <v>0</v>
      </c>
      <c r="O65" s="374" t="n">
        <f aca="false">'Basis Options'!BR36/10000</f>
        <v>0</v>
      </c>
      <c r="P65" s="375" t="e">
        <f aca="false">SUM(C65:O65)</f>
        <v>#NAME?</v>
      </c>
    </row>
    <row r="66" customFormat="false" ht="12.75" hidden="false" customHeight="false" outlineLevel="0" collapsed="false">
      <c r="B66" s="372" t="n">
        <f aca="false">'Basis Options'!BE37</f>
        <v>37653</v>
      </c>
      <c r="C66" s="374" t="n">
        <f aca="false">'Basis Options'!BF37/10000</f>
        <v>0</v>
      </c>
      <c r="D66" s="374" t="n">
        <f aca="false">'Basis Options'!BG37/10000</f>
        <v>0</v>
      </c>
      <c r="E66" s="374" t="n">
        <f aca="false">'Basis Options'!BH37/10000</f>
        <v>0</v>
      </c>
      <c r="F66" s="374" t="e">
        <f aca="false">'Basis Options'!BI37/10000</f>
        <v>#NAME?</v>
      </c>
      <c r="G66" s="374" t="n">
        <f aca="false">'Basis Options'!BJ37/10000</f>
        <v>0</v>
      </c>
      <c r="H66" s="374" t="n">
        <f aca="false">'Basis Options'!BK37/10000</f>
        <v>0</v>
      </c>
      <c r="I66" s="374" t="n">
        <f aca="false">'Basis Options'!BL37/10000</f>
        <v>0</v>
      </c>
      <c r="J66" s="374" t="n">
        <f aca="false">'Basis Options'!BM37/10000</f>
        <v>0</v>
      </c>
      <c r="K66" s="374" t="n">
        <f aca="false">'Basis Options'!BN37/10000</f>
        <v>0</v>
      </c>
      <c r="L66" s="374" t="n">
        <f aca="false">'Basis Options'!BO37/10000</f>
        <v>0</v>
      </c>
      <c r="M66" s="374" t="n">
        <f aca="false">'Basis Options'!BP37/10000</f>
        <v>0</v>
      </c>
      <c r="N66" s="374" t="n">
        <f aca="false">'Basis Options'!BQ37/10000</f>
        <v>0</v>
      </c>
      <c r="O66" s="374" t="n">
        <f aca="false">'Basis Options'!BR37/10000</f>
        <v>0</v>
      </c>
      <c r="P66" s="375" t="e">
        <f aca="false">SUM(C66:O66)</f>
        <v>#NAME?</v>
      </c>
    </row>
    <row r="67" customFormat="false" ht="12.75" hidden="false" customHeight="false" outlineLevel="0" collapsed="false">
      <c r="B67" s="372" t="n">
        <f aca="false">'Basis Options'!BE38</f>
        <v>37681</v>
      </c>
      <c r="C67" s="374" t="n">
        <f aca="false">'Basis Options'!BF38/10000</f>
        <v>0</v>
      </c>
      <c r="D67" s="374" t="n">
        <f aca="false">'Basis Options'!BG38/10000</f>
        <v>0</v>
      </c>
      <c r="E67" s="374" t="n">
        <f aca="false">'Basis Options'!BH38/10000</f>
        <v>0</v>
      </c>
      <c r="F67" s="374" t="e">
        <f aca="false">'Basis Options'!BI38/10000</f>
        <v>#NAME?</v>
      </c>
      <c r="G67" s="374" t="n">
        <f aca="false">'Basis Options'!BJ38/10000</f>
        <v>0</v>
      </c>
      <c r="H67" s="374" t="n">
        <f aca="false">'Basis Options'!BK38/10000</f>
        <v>0</v>
      </c>
      <c r="I67" s="374" t="n">
        <f aca="false">'Basis Options'!BL38/10000</f>
        <v>0</v>
      </c>
      <c r="J67" s="374" t="n">
        <f aca="false">'Basis Options'!BM38/10000</f>
        <v>0</v>
      </c>
      <c r="K67" s="374" t="n">
        <f aca="false">'Basis Options'!BN38/10000</f>
        <v>0</v>
      </c>
      <c r="L67" s="374" t="n">
        <f aca="false">'Basis Options'!BO38/10000</f>
        <v>0</v>
      </c>
      <c r="M67" s="374" t="n">
        <f aca="false">'Basis Options'!BP38/10000</f>
        <v>0</v>
      </c>
      <c r="N67" s="374" t="n">
        <f aca="false">'Basis Options'!BQ38/10000</f>
        <v>0</v>
      </c>
      <c r="O67" s="374" t="n">
        <f aca="false">'Basis Options'!BR38/10000</f>
        <v>0</v>
      </c>
      <c r="P67" s="375" t="e">
        <f aca="false">SUM(C67:O67)</f>
        <v>#NAME?</v>
      </c>
    </row>
    <row r="68" customFormat="false" ht="12.75" hidden="false" customHeight="false" outlineLevel="0" collapsed="false">
      <c r="B68" s="372" t="n">
        <f aca="false">'Basis Options'!BE39</f>
        <v>37712</v>
      </c>
      <c r="C68" s="374" t="n">
        <f aca="false">'Basis Options'!BF39/10000</f>
        <v>0</v>
      </c>
      <c r="D68" s="374" t="n">
        <f aca="false">'Basis Options'!BG39/10000</f>
        <v>0</v>
      </c>
      <c r="E68" s="374" t="n">
        <f aca="false">'Basis Options'!BH39/10000</f>
        <v>0</v>
      </c>
      <c r="F68" s="374" t="n">
        <f aca="false">'Basis Options'!BI39/10000</f>
        <v>0</v>
      </c>
      <c r="G68" s="374" t="n">
        <f aca="false">'Basis Options'!BJ39/10000</f>
        <v>0</v>
      </c>
      <c r="H68" s="374" t="n">
        <f aca="false">'Basis Options'!BK39/10000</f>
        <v>0</v>
      </c>
      <c r="I68" s="374" t="n">
        <f aca="false">'Basis Options'!BL39/10000</f>
        <v>0</v>
      </c>
      <c r="J68" s="374" t="n">
        <f aca="false">'Basis Options'!BM39/10000</f>
        <v>0</v>
      </c>
      <c r="K68" s="374" t="n">
        <f aca="false">'Basis Options'!BN39/10000</f>
        <v>0</v>
      </c>
      <c r="L68" s="374" t="n">
        <f aca="false">'Basis Options'!BO39/10000</f>
        <v>0</v>
      </c>
      <c r="M68" s="374" t="n">
        <f aca="false">'Basis Options'!BP39/10000</f>
        <v>0</v>
      </c>
      <c r="N68" s="374" t="n">
        <f aca="false">'Basis Options'!BQ39/10000</f>
        <v>0</v>
      </c>
      <c r="O68" s="374" t="n">
        <f aca="false">'Basis Options'!BR39/10000</f>
        <v>0</v>
      </c>
      <c r="P68" s="375" t="n">
        <f aca="false">SUM(C68:O68)</f>
        <v>0</v>
      </c>
    </row>
    <row r="69" customFormat="false" ht="12.75" hidden="false" customHeight="false" outlineLevel="0" collapsed="false">
      <c r="B69" s="372" t="n">
        <f aca="false">'Basis Options'!BE40</f>
        <v>37742</v>
      </c>
      <c r="C69" s="374" t="n">
        <f aca="false">'Basis Options'!BF40/10000</f>
        <v>0</v>
      </c>
      <c r="D69" s="374" t="n">
        <f aca="false">'Basis Options'!BG40/10000</f>
        <v>0</v>
      </c>
      <c r="E69" s="374" t="n">
        <f aca="false">'Basis Options'!BH40/10000</f>
        <v>0</v>
      </c>
      <c r="F69" s="374" t="n">
        <f aca="false">'Basis Options'!BI40/10000</f>
        <v>0</v>
      </c>
      <c r="G69" s="374" t="n">
        <f aca="false">'Basis Options'!BJ40/10000</f>
        <v>0</v>
      </c>
      <c r="H69" s="374" t="n">
        <f aca="false">'Basis Options'!BK40/10000</f>
        <v>0</v>
      </c>
      <c r="I69" s="374" t="n">
        <f aca="false">'Basis Options'!BL40/10000</f>
        <v>0</v>
      </c>
      <c r="J69" s="374" t="n">
        <f aca="false">'Basis Options'!BM40/10000</f>
        <v>0</v>
      </c>
      <c r="K69" s="374" t="n">
        <f aca="false">'Basis Options'!BN40/10000</f>
        <v>0</v>
      </c>
      <c r="L69" s="374" t="n">
        <f aca="false">'Basis Options'!BO40/10000</f>
        <v>0</v>
      </c>
      <c r="M69" s="374" t="n">
        <f aca="false">'Basis Options'!BP40/10000</f>
        <v>0</v>
      </c>
      <c r="N69" s="374" t="n">
        <f aca="false">'Basis Options'!BQ40/10000</f>
        <v>0</v>
      </c>
      <c r="O69" s="374" t="n">
        <f aca="false">'Basis Options'!BR40/10000</f>
        <v>0</v>
      </c>
      <c r="P69" s="375" t="n">
        <f aca="false">SUM(C69:O69)</f>
        <v>0</v>
      </c>
    </row>
    <row r="70" customFormat="false" ht="12.75" hidden="false" customHeight="false" outlineLevel="0" collapsed="false">
      <c r="B70" s="372" t="n">
        <f aca="false">'Basis Options'!BE41</f>
        <v>37773</v>
      </c>
      <c r="C70" s="374" t="n">
        <f aca="false">'Basis Options'!BF41/10000</f>
        <v>0</v>
      </c>
      <c r="D70" s="374" t="n">
        <f aca="false">'Basis Options'!BG41/10000</f>
        <v>0</v>
      </c>
      <c r="E70" s="374" t="n">
        <f aca="false">'Basis Options'!BH41/10000</f>
        <v>0</v>
      </c>
      <c r="F70" s="374" t="n">
        <f aca="false">'Basis Options'!BI41/10000</f>
        <v>0</v>
      </c>
      <c r="G70" s="374" t="n">
        <f aca="false">'Basis Options'!BJ41/10000</f>
        <v>0</v>
      </c>
      <c r="H70" s="374" t="n">
        <f aca="false">'Basis Options'!BK41/10000</f>
        <v>0</v>
      </c>
      <c r="I70" s="374" t="n">
        <f aca="false">'Basis Options'!BL41/10000</f>
        <v>0</v>
      </c>
      <c r="J70" s="374" t="n">
        <f aca="false">'Basis Options'!BM41/10000</f>
        <v>0</v>
      </c>
      <c r="K70" s="374" t="n">
        <f aca="false">'Basis Options'!BN41/10000</f>
        <v>0</v>
      </c>
      <c r="L70" s="374" t="n">
        <f aca="false">'Basis Options'!BO41/10000</f>
        <v>0</v>
      </c>
      <c r="M70" s="374" t="n">
        <f aca="false">'Basis Options'!BP41/10000</f>
        <v>0</v>
      </c>
      <c r="N70" s="374" t="n">
        <f aca="false">'Basis Options'!BQ41/10000</f>
        <v>0</v>
      </c>
      <c r="O70" s="374" t="n">
        <f aca="false">'Basis Options'!BR41/10000</f>
        <v>0</v>
      </c>
      <c r="P70" s="375" t="n">
        <f aca="false">SUM(C70:O70)</f>
        <v>0</v>
      </c>
    </row>
    <row r="71" customFormat="false" ht="12.75" hidden="false" customHeight="false" outlineLevel="0" collapsed="false">
      <c r="B71" s="372" t="n">
        <f aca="false">'Basis Options'!BE42</f>
        <v>37803</v>
      </c>
      <c r="C71" s="374" t="n">
        <f aca="false">'Basis Options'!BF42/10000</f>
        <v>0</v>
      </c>
      <c r="D71" s="374" t="n">
        <f aca="false">'Basis Options'!BG42/10000</f>
        <v>0</v>
      </c>
      <c r="E71" s="374" t="n">
        <f aca="false">'Basis Options'!BH42/10000</f>
        <v>0</v>
      </c>
      <c r="F71" s="374" t="n">
        <f aca="false">'Basis Options'!BI42/10000</f>
        <v>0</v>
      </c>
      <c r="G71" s="374" t="n">
        <f aca="false">'Basis Options'!BJ42/10000</f>
        <v>0</v>
      </c>
      <c r="H71" s="374" t="n">
        <f aca="false">'Basis Options'!BK42/10000</f>
        <v>0</v>
      </c>
      <c r="I71" s="374" t="n">
        <f aca="false">'Basis Options'!BL42/10000</f>
        <v>0</v>
      </c>
      <c r="J71" s="374" t="n">
        <f aca="false">'Basis Options'!BM42/10000</f>
        <v>0</v>
      </c>
      <c r="K71" s="374" t="n">
        <f aca="false">'Basis Options'!BN42/10000</f>
        <v>0</v>
      </c>
      <c r="L71" s="374" t="n">
        <f aca="false">'Basis Options'!BO42/10000</f>
        <v>0</v>
      </c>
      <c r="M71" s="374" t="n">
        <f aca="false">'Basis Options'!BP42/10000</f>
        <v>0</v>
      </c>
      <c r="N71" s="374" t="n">
        <f aca="false">'Basis Options'!BQ42/10000</f>
        <v>0</v>
      </c>
      <c r="O71" s="374" t="n">
        <f aca="false">'Basis Options'!BR42/10000</f>
        <v>0</v>
      </c>
      <c r="P71" s="375" t="n">
        <f aca="false">SUM(C71:O71)</f>
        <v>0</v>
      </c>
    </row>
    <row r="72" customFormat="false" ht="12.75" hidden="false" customHeight="false" outlineLevel="0" collapsed="false">
      <c r="B72" s="372" t="n">
        <f aca="false">'Basis Options'!BE43</f>
        <v>37834</v>
      </c>
      <c r="C72" s="374" t="n">
        <f aca="false">'Basis Options'!BF43/10000</f>
        <v>0</v>
      </c>
      <c r="D72" s="374" t="n">
        <f aca="false">'Basis Options'!BG43/10000</f>
        <v>0</v>
      </c>
      <c r="E72" s="374" t="n">
        <f aca="false">'Basis Options'!BH43/10000</f>
        <v>0</v>
      </c>
      <c r="F72" s="374" t="n">
        <f aca="false">'Basis Options'!BI43/10000</f>
        <v>0</v>
      </c>
      <c r="G72" s="374" t="n">
        <f aca="false">'Basis Options'!BJ43/10000</f>
        <v>0</v>
      </c>
      <c r="H72" s="374" t="n">
        <f aca="false">'Basis Options'!BK43/10000</f>
        <v>0</v>
      </c>
      <c r="I72" s="374" t="n">
        <f aca="false">'Basis Options'!BL43/10000</f>
        <v>0</v>
      </c>
      <c r="J72" s="374" t="n">
        <f aca="false">'Basis Options'!BM43/10000</f>
        <v>0</v>
      </c>
      <c r="K72" s="374" t="n">
        <f aca="false">'Basis Options'!BN43/10000</f>
        <v>0</v>
      </c>
      <c r="L72" s="374" t="n">
        <f aca="false">'Basis Options'!BO43/10000</f>
        <v>0</v>
      </c>
      <c r="M72" s="374" t="n">
        <f aca="false">'Basis Options'!BP43/10000</f>
        <v>0</v>
      </c>
      <c r="N72" s="374" t="n">
        <f aca="false">'Basis Options'!BQ43/10000</f>
        <v>0</v>
      </c>
      <c r="O72" s="374" t="n">
        <f aca="false">'Basis Options'!BR43/10000</f>
        <v>0</v>
      </c>
      <c r="P72" s="375" t="n">
        <f aca="false">SUM(C72:O72)</f>
        <v>0</v>
      </c>
    </row>
    <row r="73" customFormat="false" ht="12.75" hidden="false" customHeight="false" outlineLevel="0" collapsed="false">
      <c r="B73" s="372" t="n">
        <f aca="false">'Basis Options'!BE44</f>
        <v>37865</v>
      </c>
      <c r="C73" s="374" t="n">
        <f aca="false">'Basis Options'!BF44/10000</f>
        <v>0</v>
      </c>
      <c r="D73" s="374" t="n">
        <f aca="false">'Basis Options'!BG44/10000</f>
        <v>0</v>
      </c>
      <c r="E73" s="374" t="n">
        <f aca="false">'Basis Options'!BH44/10000</f>
        <v>0</v>
      </c>
      <c r="F73" s="374" t="n">
        <f aca="false">'Basis Options'!BI44/10000</f>
        <v>0</v>
      </c>
      <c r="G73" s="374" t="n">
        <f aca="false">'Basis Options'!BJ44/10000</f>
        <v>0</v>
      </c>
      <c r="H73" s="374" t="n">
        <f aca="false">'Basis Options'!BK44/10000</f>
        <v>0</v>
      </c>
      <c r="I73" s="374" t="n">
        <f aca="false">'Basis Options'!BL44/10000</f>
        <v>0</v>
      </c>
      <c r="J73" s="374" t="n">
        <f aca="false">'Basis Options'!BM44/10000</f>
        <v>0</v>
      </c>
      <c r="K73" s="374" t="n">
        <f aca="false">'Basis Options'!BN44/10000</f>
        <v>0</v>
      </c>
      <c r="L73" s="374" t="n">
        <f aca="false">'Basis Options'!BO44/10000</f>
        <v>0</v>
      </c>
      <c r="M73" s="374" t="n">
        <f aca="false">'Basis Options'!BP44/10000</f>
        <v>0</v>
      </c>
      <c r="N73" s="374" t="n">
        <f aca="false">'Basis Options'!BQ44/10000</f>
        <v>0</v>
      </c>
      <c r="O73" s="374" t="n">
        <f aca="false">'Basis Options'!BR44/10000</f>
        <v>0</v>
      </c>
      <c r="P73" s="375" t="n">
        <f aca="false">SUM(C73:O73)</f>
        <v>0</v>
      </c>
    </row>
    <row r="74" customFormat="false" ht="12.75" hidden="false" customHeight="false" outlineLevel="0" collapsed="false">
      <c r="B74" s="372" t="n">
        <f aca="false">'Basis Options'!BE45</f>
        <v>37895</v>
      </c>
      <c r="C74" s="374" t="n">
        <f aca="false">'Basis Options'!BF45/10000</f>
        <v>0</v>
      </c>
      <c r="D74" s="374" t="n">
        <f aca="false">'Basis Options'!BG45/10000</f>
        <v>0</v>
      </c>
      <c r="E74" s="374" t="n">
        <f aca="false">'Basis Options'!BH45/10000</f>
        <v>0</v>
      </c>
      <c r="F74" s="374" t="n">
        <f aca="false">'Basis Options'!BI45/10000</f>
        <v>0</v>
      </c>
      <c r="G74" s="374" t="n">
        <f aca="false">'Basis Options'!BJ45/10000</f>
        <v>0</v>
      </c>
      <c r="H74" s="374" t="n">
        <f aca="false">'Basis Options'!BK45/10000</f>
        <v>0</v>
      </c>
      <c r="I74" s="374" t="n">
        <f aca="false">'Basis Options'!BL45/10000</f>
        <v>0</v>
      </c>
      <c r="J74" s="374" t="n">
        <f aca="false">'Basis Options'!BM45/10000</f>
        <v>0</v>
      </c>
      <c r="K74" s="374" t="n">
        <f aca="false">'Basis Options'!BN45/10000</f>
        <v>0</v>
      </c>
      <c r="L74" s="374" t="n">
        <f aca="false">'Basis Options'!BO45/10000</f>
        <v>0</v>
      </c>
      <c r="M74" s="374" t="n">
        <f aca="false">'Basis Options'!BP45/10000</f>
        <v>0</v>
      </c>
      <c r="N74" s="374" t="n">
        <f aca="false">'Basis Options'!BQ45/10000</f>
        <v>0</v>
      </c>
      <c r="O74" s="374" t="n">
        <f aca="false">'Basis Options'!BR45/10000</f>
        <v>0</v>
      </c>
      <c r="P74" s="375" t="n">
        <f aca="false">SUM(C74:O74)</f>
        <v>0</v>
      </c>
    </row>
    <row r="75" customFormat="false" ht="12.75" hidden="false" customHeight="false" outlineLevel="0" collapsed="false">
      <c r="B75" s="372" t="n">
        <f aca="false">'Basis Options'!BE46</f>
        <v>37926</v>
      </c>
      <c r="C75" s="374" t="n">
        <f aca="false">'Basis Options'!BF46/10000</f>
        <v>0</v>
      </c>
      <c r="D75" s="374" t="n">
        <f aca="false">'Basis Options'!BG46/10000</f>
        <v>0</v>
      </c>
      <c r="E75" s="374" t="n">
        <f aca="false">'Basis Options'!BH46/10000</f>
        <v>0</v>
      </c>
      <c r="F75" s="374" t="n">
        <f aca="false">'Basis Options'!BI46/10000</f>
        <v>0</v>
      </c>
      <c r="G75" s="374" t="n">
        <f aca="false">'Basis Options'!BJ46/10000</f>
        <v>0</v>
      </c>
      <c r="H75" s="374" t="n">
        <f aca="false">'Basis Options'!BK46/10000</f>
        <v>0</v>
      </c>
      <c r="I75" s="374" t="n">
        <f aca="false">'Basis Options'!BL46/10000</f>
        <v>0</v>
      </c>
      <c r="J75" s="374" t="n">
        <f aca="false">'Basis Options'!BM46/10000</f>
        <v>0</v>
      </c>
      <c r="K75" s="374" t="n">
        <f aca="false">'Basis Options'!BN46/10000</f>
        <v>0</v>
      </c>
      <c r="L75" s="374" t="n">
        <f aca="false">'Basis Options'!BO46/10000</f>
        <v>0</v>
      </c>
      <c r="M75" s="374" t="n">
        <f aca="false">'Basis Options'!BP46/10000</f>
        <v>0</v>
      </c>
      <c r="N75" s="374" t="n">
        <f aca="false">'Basis Options'!BQ46/10000</f>
        <v>0</v>
      </c>
      <c r="O75" s="374" t="n">
        <f aca="false">'Basis Options'!BR46/10000</f>
        <v>0</v>
      </c>
      <c r="P75" s="375" t="n">
        <f aca="false">SUM(C75:O75)</f>
        <v>0</v>
      </c>
    </row>
    <row r="76" customFormat="false" ht="12.75" hidden="false" customHeight="false" outlineLevel="0" collapsed="false">
      <c r="B76" s="372" t="n">
        <f aca="false">'Basis Options'!BE47</f>
        <v>37956</v>
      </c>
      <c r="C76" s="374" t="n">
        <f aca="false">'Basis Options'!BF47/10000</f>
        <v>0</v>
      </c>
      <c r="D76" s="374" t="n">
        <f aca="false">'Basis Options'!BG47/10000</f>
        <v>0</v>
      </c>
      <c r="E76" s="374" t="n">
        <f aca="false">'Basis Options'!BH47/10000</f>
        <v>0</v>
      </c>
      <c r="F76" s="374" t="n">
        <f aca="false">'Basis Options'!BI47/10000</f>
        <v>0</v>
      </c>
      <c r="G76" s="374" t="n">
        <f aca="false">'Basis Options'!BJ47/10000</f>
        <v>0</v>
      </c>
      <c r="H76" s="374" t="n">
        <f aca="false">'Basis Options'!BK47/10000</f>
        <v>0</v>
      </c>
      <c r="I76" s="374" t="n">
        <f aca="false">'Basis Options'!BL47/10000</f>
        <v>0</v>
      </c>
      <c r="J76" s="374" t="n">
        <f aca="false">'Basis Options'!BM47/10000</f>
        <v>0</v>
      </c>
      <c r="K76" s="374" t="n">
        <f aca="false">'Basis Options'!BN47/10000</f>
        <v>0</v>
      </c>
      <c r="L76" s="374" t="n">
        <f aca="false">'Basis Options'!BO47/10000</f>
        <v>0</v>
      </c>
      <c r="M76" s="374" t="n">
        <f aca="false">'Basis Options'!BP47/10000</f>
        <v>0</v>
      </c>
      <c r="N76" s="374" t="n">
        <f aca="false">'Basis Options'!BQ47/10000</f>
        <v>0</v>
      </c>
      <c r="O76" s="374" t="n">
        <f aca="false">'Basis Options'!BR47/10000</f>
        <v>0</v>
      </c>
      <c r="P76" s="375" t="n">
        <f aca="false">SUM(C76:O76)</f>
        <v>0</v>
      </c>
    </row>
    <row r="77" customFormat="false" ht="13.5" hidden="false" customHeight="false" outlineLevel="0" collapsed="false">
      <c r="B77" s="372" t="n">
        <f aca="false">'Basis Options'!BE48</f>
        <v>37987</v>
      </c>
      <c r="C77" s="374" t="n">
        <f aca="false">'Basis Options'!BF48/10000</f>
        <v>0</v>
      </c>
      <c r="D77" s="374" t="n">
        <f aca="false">'Basis Options'!BG48/10000</f>
        <v>0</v>
      </c>
      <c r="E77" s="374" t="n">
        <f aca="false">'Basis Options'!BH48/10000</f>
        <v>0</v>
      </c>
      <c r="F77" s="374" t="n">
        <f aca="false">'Basis Options'!BI48/10000</f>
        <v>0</v>
      </c>
      <c r="G77" s="374" t="n">
        <f aca="false">'Basis Options'!BJ48/10000</f>
        <v>0</v>
      </c>
      <c r="H77" s="374" t="n">
        <f aca="false">'Basis Options'!BK48/10000</f>
        <v>0</v>
      </c>
      <c r="I77" s="374" t="n">
        <f aca="false">'Basis Options'!BL48/10000</f>
        <v>0</v>
      </c>
      <c r="J77" s="374" t="n">
        <f aca="false">'Basis Options'!BM48/10000</f>
        <v>0</v>
      </c>
      <c r="K77" s="374" t="n">
        <f aca="false">'Basis Options'!BN48/10000</f>
        <v>0</v>
      </c>
      <c r="L77" s="374" t="n">
        <f aca="false">'Basis Options'!BO48/10000</f>
        <v>0</v>
      </c>
      <c r="M77" s="374" t="n">
        <f aca="false">'Basis Options'!BP48/10000</f>
        <v>0</v>
      </c>
      <c r="N77" s="374" t="n">
        <f aca="false">'Basis Options'!BQ48/10000</f>
        <v>0</v>
      </c>
      <c r="O77" s="374" t="n">
        <f aca="false">'Basis Options'!BR48/10000</f>
        <v>0</v>
      </c>
      <c r="P77" s="375" t="n">
        <f aca="false">SUM(C77:O77)</f>
        <v>0</v>
      </c>
    </row>
    <row r="78" customFormat="false" ht="13.5" hidden="false" customHeight="false" outlineLevel="0" collapsed="false">
      <c r="B78" s="400" t="s">
        <v>507</v>
      </c>
      <c r="C78" s="401" t="e">
        <f aca="false">SUM(C36:C77)</f>
        <v>#NAME?</v>
      </c>
      <c r="D78" s="401" t="e">
        <f aca="false">SUM(D36:D77)</f>
        <v>#NAME?</v>
      </c>
      <c r="E78" s="401" t="e">
        <f aca="false">SUM(E36:E77)</f>
        <v>#NAME?</v>
      </c>
      <c r="F78" s="401" t="e">
        <f aca="false">SUM(F36:F77)</f>
        <v>#NAME?</v>
      </c>
      <c r="G78" s="401" t="n">
        <f aca="false">SUM(G36:G77)</f>
        <v>0</v>
      </c>
      <c r="H78" s="401" t="e">
        <f aca="false">SUM(H36:H77)</f>
        <v>#NAME?</v>
      </c>
      <c r="I78" s="401" t="e">
        <f aca="false">SUM(I36:I77)</f>
        <v>#NAME?</v>
      </c>
      <c r="J78" s="401" t="n">
        <f aca="false">SUM(J36:J77)</f>
        <v>0</v>
      </c>
      <c r="K78" s="401" t="e">
        <f aca="false">SUM(K36:K77)</f>
        <v>#NAME?</v>
      </c>
      <c r="L78" s="401" t="e">
        <f aca="false">SUM(L36:L77)</f>
        <v>#NAME?</v>
      </c>
      <c r="M78" s="401" t="e">
        <f aca="false">SUM(M36:M77)</f>
        <v>#NAME?</v>
      </c>
      <c r="N78" s="401" t="e">
        <f aca="false">SUM(N36:N77)</f>
        <v>#NAME?</v>
      </c>
      <c r="O78" s="401"/>
      <c r="P78" s="402" t="e">
        <f aca="false">SUM(C78:N78)</f>
        <v>#NAME?</v>
      </c>
    </row>
    <row r="79" customFormat="false" ht="13.5" hidden="false" customHeight="false" outlineLevel="0" collapsed="false">
      <c r="K79" s="403"/>
      <c r="L79" s="403"/>
      <c r="M79" s="403"/>
      <c r="N79" s="403"/>
      <c r="O79" s="403"/>
    </row>
    <row r="80" customFormat="false" ht="12.75" hidden="false" customHeight="false" outlineLevel="0" collapsed="false">
      <c r="B80" s="363" t="s">
        <v>551</v>
      </c>
      <c r="C80" s="365"/>
      <c r="E80" s="363" t="s">
        <v>498</v>
      </c>
      <c r="F80" s="364"/>
      <c r="G80" s="364"/>
      <c r="H80" s="364"/>
      <c r="I80" s="365"/>
      <c r="K80" s="363" t="s">
        <v>12</v>
      </c>
      <c r="L80" s="365"/>
      <c r="M80" s="396"/>
      <c r="N80" s="396"/>
      <c r="O80" s="396"/>
    </row>
    <row r="81" customFormat="false" ht="12.75" hidden="false" customHeight="false" outlineLevel="0" collapsed="false">
      <c r="B81" s="395"/>
      <c r="C81" s="371" t="s">
        <v>507</v>
      </c>
      <c r="E81" s="395"/>
      <c r="F81" s="396"/>
      <c r="G81" s="396"/>
      <c r="H81" s="396"/>
      <c r="I81" s="371"/>
      <c r="K81" s="395"/>
      <c r="L81" s="371" t="s">
        <v>507</v>
      </c>
      <c r="M81" s="396"/>
      <c r="N81" s="396"/>
      <c r="O81" s="396"/>
    </row>
    <row r="82" customFormat="false" ht="13.5" hidden="false" customHeight="false" outlineLevel="0" collapsed="false">
      <c r="B82" s="367" t="s">
        <v>79</v>
      </c>
      <c r="C82" s="369" t="s">
        <v>540</v>
      </c>
      <c r="E82" s="367" t="s">
        <v>79</v>
      </c>
      <c r="F82" s="368" t="s">
        <v>483</v>
      </c>
      <c r="G82" s="368" t="s">
        <v>506</v>
      </c>
      <c r="H82" s="368" t="s">
        <v>135</v>
      </c>
      <c r="I82" s="369" t="s">
        <v>507</v>
      </c>
      <c r="K82" s="367" t="s">
        <v>79</v>
      </c>
      <c r="L82" s="369" t="s">
        <v>540</v>
      </c>
      <c r="M82" s="396"/>
      <c r="N82" s="396"/>
      <c r="O82" s="396"/>
    </row>
    <row r="83" customFormat="false" ht="12.75" hidden="false" customHeight="false" outlineLevel="0" collapsed="false">
      <c r="B83" s="372" t="n">
        <f aca="false">'Basket Options'!S14</f>
        <v>36434</v>
      </c>
      <c r="C83" s="404" t="n">
        <f aca="false">'Basket Options'!T14/10000</f>
        <v>0</v>
      </c>
      <c r="E83" s="405" t="n">
        <f aca="false">Digital!W7</f>
        <v>36770</v>
      </c>
      <c r="F83" s="406" t="n">
        <f aca="false">Digital!X7/10000</f>
        <v>0</v>
      </c>
      <c r="G83" s="406" t="n">
        <f aca="false">Digital!Y7/10000</f>
        <v>0</v>
      </c>
      <c r="H83" s="407" t="n">
        <f aca="false">Digital!Z7/10000</f>
        <v>0</v>
      </c>
      <c r="I83" s="408" t="n">
        <f aca="false">SUM(F83:H83)</f>
        <v>0</v>
      </c>
      <c r="K83" s="372" t="n">
        <f aca="false">'GD Spread Options'!AZ19</f>
        <v>36526</v>
      </c>
      <c r="L83" s="404" t="n">
        <f aca="false">'GD Spread Options'!BA19/10000</f>
        <v>0</v>
      </c>
      <c r="M83" s="409"/>
      <c r="N83" s="410"/>
      <c r="O83" s="410"/>
    </row>
    <row r="84" customFormat="false" ht="12" hidden="false" customHeight="true" outlineLevel="0" collapsed="false">
      <c r="B84" s="372" t="n">
        <f aca="false">'Basket Options'!S15</f>
        <v>36465</v>
      </c>
      <c r="C84" s="404" t="n">
        <f aca="false">'Basket Options'!T15/10000</f>
        <v>0</v>
      </c>
      <c r="E84" s="405" t="n">
        <f aca="false">Digital!W8</f>
        <v>36800</v>
      </c>
      <c r="F84" s="406" t="n">
        <f aca="false">Digital!X8/10000</f>
        <v>0</v>
      </c>
      <c r="G84" s="406" t="n">
        <f aca="false">Digital!Y8/10000</f>
        <v>0</v>
      </c>
      <c r="H84" s="407" t="n">
        <f aca="false">Digital!Z8/10000</f>
        <v>0</v>
      </c>
      <c r="I84" s="408" t="n">
        <f aca="false">SUM(F84:H84)</f>
        <v>0</v>
      </c>
      <c r="K84" s="372" t="n">
        <f aca="false">'GD Spread Options'!AZ20</f>
        <v>36557</v>
      </c>
      <c r="L84" s="404" t="n">
        <f aca="false">'GD Spread Options'!BA20/10000</f>
        <v>0</v>
      </c>
      <c r="M84" s="409"/>
      <c r="N84" s="410"/>
      <c r="O84" s="410"/>
    </row>
    <row r="85" customFormat="false" ht="12.75" hidden="false" customHeight="false" outlineLevel="0" collapsed="false">
      <c r="B85" s="372" t="n">
        <f aca="false">'Basket Options'!S16</f>
        <v>36495</v>
      </c>
      <c r="C85" s="404" t="n">
        <f aca="false">'Basket Options'!T16/10000</f>
        <v>0</v>
      </c>
      <c r="E85" s="405" t="n">
        <f aca="false">Digital!W9</f>
        <v>36831</v>
      </c>
      <c r="F85" s="406" t="n">
        <f aca="false">Digital!X9/10000</f>
        <v>0</v>
      </c>
      <c r="G85" s="406" t="n">
        <f aca="false">Digital!Y9/10000</f>
        <v>0</v>
      </c>
      <c r="H85" s="407" t="n">
        <f aca="false">Digital!Z9/10000</f>
        <v>0</v>
      </c>
      <c r="I85" s="408" t="n">
        <f aca="false">SUM(F85:H85)</f>
        <v>0</v>
      </c>
      <c r="K85" s="372" t="n">
        <f aca="false">'GD Spread Options'!AZ21</f>
        <v>36586</v>
      </c>
      <c r="L85" s="404" t="n">
        <f aca="false">'GD Spread Options'!BA21/10000</f>
        <v>0</v>
      </c>
      <c r="M85" s="409"/>
      <c r="N85" s="410"/>
      <c r="O85" s="410"/>
    </row>
    <row r="86" customFormat="false" ht="12.75" hidden="false" customHeight="false" outlineLevel="0" collapsed="false">
      <c r="B86" s="372" t="n">
        <f aca="false">'Basket Options'!S17</f>
        <v>36526</v>
      </c>
      <c r="C86" s="404" t="n">
        <f aca="false">'Basket Options'!T17/10000</f>
        <v>0</v>
      </c>
      <c r="E86" s="405" t="n">
        <f aca="false">Digital!W10</f>
        <v>36861</v>
      </c>
      <c r="F86" s="406" t="n">
        <f aca="false">Digital!X10/10000</f>
        <v>0</v>
      </c>
      <c r="G86" s="406" t="n">
        <f aca="false">Digital!Y10/10000</f>
        <v>0</v>
      </c>
      <c r="H86" s="407" t="n">
        <f aca="false">Digital!Z10/10000</f>
        <v>0</v>
      </c>
      <c r="I86" s="408" t="n">
        <f aca="false">SUM(F86:H86)</f>
        <v>0</v>
      </c>
      <c r="K86" s="372" t="n">
        <f aca="false">'GD Spread Options'!AZ22</f>
        <v>36617</v>
      </c>
      <c r="L86" s="404" t="n">
        <f aca="false">'GD Spread Options'!BA22/10000</f>
        <v>0</v>
      </c>
      <c r="M86" s="409"/>
      <c r="N86" s="410"/>
      <c r="O86" s="410"/>
    </row>
    <row r="87" customFormat="false" ht="12.75" hidden="false" customHeight="false" outlineLevel="0" collapsed="false">
      <c r="B87" s="372" t="n">
        <f aca="false">'Basket Options'!S18</f>
        <v>36557</v>
      </c>
      <c r="C87" s="404" t="n">
        <f aca="false">'Basket Options'!T18/10000</f>
        <v>0</v>
      </c>
      <c r="E87" s="405" t="n">
        <f aca="false">Digital!W11</f>
        <v>36892</v>
      </c>
      <c r="F87" s="406" t="n">
        <f aca="false">Digital!X11/10000</f>
        <v>0</v>
      </c>
      <c r="G87" s="406" t="n">
        <f aca="false">Digital!Y11/10000</f>
        <v>0</v>
      </c>
      <c r="H87" s="407" t="n">
        <f aca="false">Digital!Z11/10000</f>
        <v>0</v>
      </c>
      <c r="I87" s="408" t="n">
        <f aca="false">SUM(F87:H87)</f>
        <v>0</v>
      </c>
      <c r="K87" s="372" t="n">
        <f aca="false">'GD Spread Options'!AZ23</f>
        <v>36647</v>
      </c>
      <c r="L87" s="404" t="n">
        <f aca="false">'GD Spread Options'!BA23/10000</f>
        <v>0</v>
      </c>
      <c r="M87" s="409"/>
      <c r="N87" s="410"/>
      <c r="O87" s="410"/>
    </row>
    <row r="88" customFormat="false" ht="12.75" hidden="false" customHeight="false" outlineLevel="0" collapsed="false">
      <c r="B88" s="372" t="n">
        <f aca="false">'Basket Options'!S19</f>
        <v>36586</v>
      </c>
      <c r="C88" s="404" t="n">
        <f aca="false">'Basket Options'!T19/10000</f>
        <v>0</v>
      </c>
      <c r="E88" s="405" t="n">
        <f aca="false">Digital!W12</f>
        <v>36923</v>
      </c>
      <c r="F88" s="406" t="n">
        <f aca="false">Digital!X12/10000</f>
        <v>0</v>
      </c>
      <c r="G88" s="406" t="n">
        <f aca="false">Digital!Y12/10000</f>
        <v>0</v>
      </c>
      <c r="H88" s="407" t="n">
        <f aca="false">Digital!Z12/10000</f>
        <v>0</v>
      </c>
      <c r="I88" s="408" t="n">
        <f aca="false">SUM(F88:H88)</f>
        <v>0</v>
      </c>
      <c r="K88" s="372" t="n">
        <f aca="false">'GD Spread Options'!AZ24</f>
        <v>36678</v>
      </c>
      <c r="L88" s="404" t="e">
        <f aca="false">'GD Spread Options'!BA24/10000</f>
        <v>#NAME?</v>
      </c>
      <c r="M88" s="409"/>
      <c r="N88" s="410"/>
      <c r="O88" s="410"/>
    </row>
    <row r="89" customFormat="false" ht="12.75" hidden="false" customHeight="false" outlineLevel="0" collapsed="false">
      <c r="B89" s="372" t="n">
        <f aca="false">'Basket Options'!S20</f>
        <v>36617</v>
      </c>
      <c r="C89" s="404" t="n">
        <f aca="false">'Basket Options'!T20/10000</f>
        <v>0</v>
      </c>
      <c r="E89" s="405" t="n">
        <f aca="false">Digital!W13</f>
        <v>36951</v>
      </c>
      <c r="F89" s="406" t="n">
        <f aca="false">Digital!X13/10000</f>
        <v>0</v>
      </c>
      <c r="G89" s="406" t="n">
        <f aca="false">Digital!Y13/10000</f>
        <v>0</v>
      </c>
      <c r="H89" s="407" t="n">
        <f aca="false">Digital!Z13/10000</f>
        <v>0</v>
      </c>
      <c r="I89" s="408" t="n">
        <f aca="false">SUM(F89:H89)</f>
        <v>0</v>
      </c>
      <c r="K89" s="372" t="n">
        <f aca="false">'GD Spread Options'!AZ25</f>
        <v>36708</v>
      </c>
      <c r="L89" s="404" t="n">
        <f aca="false">'GD Spread Options'!BA25/10000</f>
        <v>0</v>
      </c>
      <c r="M89" s="409"/>
      <c r="N89" s="410"/>
      <c r="O89" s="410"/>
    </row>
    <row r="90" customFormat="false" ht="12.75" hidden="false" customHeight="false" outlineLevel="0" collapsed="false">
      <c r="B90" s="372" t="n">
        <f aca="false">'Basket Options'!S21</f>
        <v>36647</v>
      </c>
      <c r="C90" s="404" t="n">
        <f aca="false">'Basket Options'!T21/10000</f>
        <v>0</v>
      </c>
      <c r="E90" s="405" t="n">
        <f aca="false">Digital!W14</f>
        <v>36982</v>
      </c>
      <c r="F90" s="406" t="n">
        <f aca="false">Digital!X14/10000</f>
        <v>0</v>
      </c>
      <c r="G90" s="406" t="n">
        <f aca="false">Digital!Y14/10000</f>
        <v>0</v>
      </c>
      <c r="H90" s="407" t="n">
        <f aca="false">Digital!Z14/10000</f>
        <v>0</v>
      </c>
      <c r="I90" s="408" t="n">
        <f aca="false">SUM(F90:H90)</f>
        <v>0</v>
      </c>
      <c r="K90" s="372" t="n">
        <f aca="false">'GD Spread Options'!AZ26</f>
        <v>36739</v>
      </c>
      <c r="L90" s="404" t="n">
        <f aca="false">'GD Spread Options'!BA26/10000</f>
        <v>0</v>
      </c>
      <c r="M90" s="409"/>
      <c r="N90" s="410"/>
      <c r="O90" s="410"/>
    </row>
    <row r="91" customFormat="false" ht="12.75" hidden="false" customHeight="false" outlineLevel="0" collapsed="false">
      <c r="B91" s="372" t="n">
        <f aca="false">'Basket Options'!S22</f>
        <v>36678</v>
      </c>
      <c r="C91" s="404" t="e">
        <f aca="false">'Basket Options'!T22/10000</f>
        <v>#NAME?</v>
      </c>
      <c r="E91" s="405" t="n">
        <f aca="false">Digital!W15</f>
        <v>37012</v>
      </c>
      <c r="F91" s="406" t="n">
        <f aca="false">Digital!X15/10000</f>
        <v>0</v>
      </c>
      <c r="G91" s="406" t="n">
        <f aca="false">Digital!Y15/10000</f>
        <v>0</v>
      </c>
      <c r="H91" s="407" t="n">
        <f aca="false">Digital!Z15/10000</f>
        <v>0</v>
      </c>
      <c r="I91" s="408" t="n">
        <f aca="false">SUM(F91:H91)</f>
        <v>0</v>
      </c>
      <c r="K91" s="372" t="n">
        <f aca="false">'GD Spread Options'!AZ27</f>
        <v>36770</v>
      </c>
      <c r="L91" s="404" t="n">
        <f aca="false">'GD Spread Options'!BA27/10000</f>
        <v>0</v>
      </c>
      <c r="M91" s="409"/>
      <c r="N91" s="410"/>
      <c r="O91" s="410"/>
    </row>
    <row r="92" customFormat="false" ht="12.75" hidden="false" customHeight="false" outlineLevel="0" collapsed="false">
      <c r="B92" s="372" t="n">
        <f aca="false">'Basket Options'!S23</f>
        <v>36708</v>
      </c>
      <c r="C92" s="404" t="n">
        <f aca="false">'Basket Options'!T23/10000</f>
        <v>0</v>
      </c>
      <c r="E92" s="405" t="n">
        <f aca="false">Digital!W16</f>
        <v>37043</v>
      </c>
      <c r="F92" s="406" t="n">
        <f aca="false">Digital!X16/10000</f>
        <v>0</v>
      </c>
      <c r="G92" s="406" t="n">
        <f aca="false">Digital!Y16/10000</f>
        <v>0</v>
      </c>
      <c r="H92" s="407" t="n">
        <f aca="false">Digital!Z16/10000</f>
        <v>0</v>
      </c>
      <c r="I92" s="408" t="n">
        <f aca="false">SUM(F92:H92)</f>
        <v>0</v>
      </c>
      <c r="K92" s="372" t="n">
        <f aca="false">'GD Spread Options'!AZ28</f>
        <v>36800</v>
      </c>
      <c r="L92" s="404" t="n">
        <f aca="false">'GD Spread Options'!BA28/10000</f>
        <v>0</v>
      </c>
      <c r="M92" s="409"/>
      <c r="N92" s="410"/>
      <c r="O92" s="410"/>
    </row>
    <row r="93" customFormat="false" ht="12.75" hidden="false" customHeight="false" outlineLevel="0" collapsed="false">
      <c r="B93" s="372" t="n">
        <f aca="false">'Basket Options'!S24</f>
        <v>36739</v>
      </c>
      <c r="C93" s="404" t="n">
        <f aca="false">'Basket Options'!T24/10000</f>
        <v>0</v>
      </c>
      <c r="E93" s="405" t="n">
        <f aca="false">Digital!W17</f>
        <v>37073</v>
      </c>
      <c r="F93" s="406" t="n">
        <f aca="false">Digital!X17/10000</f>
        <v>0</v>
      </c>
      <c r="G93" s="406" t="n">
        <f aca="false">Digital!Y17/10000</f>
        <v>0</v>
      </c>
      <c r="H93" s="407" t="n">
        <f aca="false">Digital!Z17/10000</f>
        <v>0</v>
      </c>
      <c r="I93" s="408" t="n">
        <f aca="false">SUM(F93:H93)</f>
        <v>0</v>
      </c>
      <c r="K93" s="372" t="n">
        <f aca="false">'GD Spread Options'!AZ29</f>
        <v>36831</v>
      </c>
      <c r="L93" s="404" t="n">
        <f aca="false">'GD Spread Options'!BA29/10000</f>
        <v>0</v>
      </c>
      <c r="M93" s="409"/>
      <c r="N93" s="410"/>
      <c r="O93" s="410"/>
    </row>
    <row r="94" customFormat="false" ht="12.75" hidden="false" customHeight="false" outlineLevel="0" collapsed="false">
      <c r="B94" s="372" t="n">
        <f aca="false">'Basket Options'!S25</f>
        <v>36770</v>
      </c>
      <c r="C94" s="404" t="n">
        <f aca="false">'Basket Options'!T25/10000</f>
        <v>0</v>
      </c>
      <c r="E94" s="405" t="n">
        <f aca="false">Digital!W18</f>
        <v>37104</v>
      </c>
      <c r="F94" s="406" t="n">
        <f aca="false">Digital!X18/10000</f>
        <v>0</v>
      </c>
      <c r="G94" s="406" t="n">
        <f aca="false">Digital!Y18/10000</f>
        <v>0</v>
      </c>
      <c r="H94" s="407" t="n">
        <f aca="false">Digital!Z18/10000</f>
        <v>0</v>
      </c>
      <c r="I94" s="408" t="n">
        <f aca="false">SUM(F94:H94)</f>
        <v>0</v>
      </c>
      <c r="K94" s="372" t="n">
        <f aca="false">'GD Spread Options'!AZ30</f>
        <v>36861</v>
      </c>
      <c r="L94" s="404" t="n">
        <f aca="false">'GD Spread Options'!BA30/10000</f>
        <v>0</v>
      </c>
      <c r="M94" s="409"/>
      <c r="N94" s="410"/>
      <c r="O94" s="410"/>
    </row>
    <row r="95" customFormat="false" ht="12.75" hidden="false" customHeight="false" outlineLevel="0" collapsed="false">
      <c r="B95" s="372" t="n">
        <f aca="false">'Basket Options'!S26</f>
        <v>36800</v>
      </c>
      <c r="C95" s="404" t="n">
        <f aca="false">'Basket Options'!T26/10000</f>
        <v>0</v>
      </c>
      <c r="E95" s="405" t="n">
        <f aca="false">Digital!W19</f>
        <v>37135</v>
      </c>
      <c r="F95" s="406" t="n">
        <f aca="false">Digital!X19/10000</f>
        <v>0</v>
      </c>
      <c r="G95" s="406" t="n">
        <f aca="false">Digital!Y19/10000</f>
        <v>0</v>
      </c>
      <c r="H95" s="407" t="n">
        <f aca="false">Digital!Z19/10000</f>
        <v>0</v>
      </c>
      <c r="I95" s="408" t="n">
        <f aca="false">SUM(F95:H95)</f>
        <v>0</v>
      </c>
      <c r="K95" s="372" t="n">
        <f aca="false">'GD Spread Options'!AZ31</f>
        <v>36892</v>
      </c>
      <c r="L95" s="404" t="n">
        <f aca="false">'GD Spread Options'!BA31/10000</f>
        <v>0</v>
      </c>
      <c r="M95" s="409"/>
      <c r="N95" s="410"/>
      <c r="O95" s="410"/>
    </row>
    <row r="96" customFormat="false" ht="12.75" hidden="false" customHeight="false" outlineLevel="0" collapsed="false">
      <c r="B96" s="372" t="n">
        <f aca="false">'Basket Options'!S27</f>
        <v>36831</v>
      </c>
      <c r="C96" s="404" t="n">
        <f aca="false">'Basket Options'!T27/10000</f>
        <v>0</v>
      </c>
      <c r="E96" s="405" t="n">
        <f aca="false">Digital!W20</f>
        <v>37165</v>
      </c>
      <c r="F96" s="406" t="n">
        <f aca="false">Digital!X20/10000</f>
        <v>0</v>
      </c>
      <c r="G96" s="406" t="n">
        <f aca="false">Digital!Y20/10000</f>
        <v>0</v>
      </c>
      <c r="H96" s="407" t="n">
        <f aca="false">Digital!Z20/10000</f>
        <v>0</v>
      </c>
      <c r="I96" s="408" t="n">
        <f aca="false">SUM(F96:H96)</f>
        <v>0</v>
      </c>
      <c r="K96" s="372" t="n">
        <f aca="false">'GD Spread Options'!AZ32</f>
        <v>36923</v>
      </c>
      <c r="L96" s="404" t="n">
        <f aca="false">'GD Spread Options'!BA32/10000</f>
        <v>0</v>
      </c>
      <c r="M96" s="409"/>
      <c r="N96" s="410"/>
      <c r="O96" s="410"/>
    </row>
    <row r="97" customFormat="false" ht="12.75" hidden="false" customHeight="false" outlineLevel="0" collapsed="false">
      <c r="B97" s="372" t="n">
        <f aca="false">'Basket Options'!S28</f>
        <v>36861</v>
      </c>
      <c r="C97" s="404" t="n">
        <f aca="false">'Basket Options'!T28/10000</f>
        <v>0</v>
      </c>
      <c r="E97" s="405"/>
      <c r="F97" s="406"/>
      <c r="G97" s="406"/>
      <c r="H97" s="407"/>
      <c r="I97" s="408"/>
      <c r="K97" s="372" t="n">
        <f aca="false">'GD Spread Options'!AZ33</f>
        <v>36951</v>
      </c>
      <c r="L97" s="404" t="n">
        <f aca="false">'GD Spread Options'!BA33/10000</f>
        <v>0</v>
      </c>
      <c r="M97" s="409"/>
      <c r="N97" s="410"/>
      <c r="O97" s="410"/>
    </row>
    <row r="98" customFormat="false" ht="12.75" hidden="false" customHeight="false" outlineLevel="0" collapsed="false">
      <c r="B98" s="372" t="n">
        <f aca="false">'Basket Options'!S29</f>
        <v>36892</v>
      </c>
      <c r="C98" s="404" t="n">
        <f aca="false">'Basket Options'!T29/10000</f>
        <v>0</v>
      </c>
      <c r="E98" s="405"/>
      <c r="F98" s="406"/>
      <c r="G98" s="406"/>
      <c r="H98" s="407"/>
      <c r="I98" s="408"/>
      <c r="K98" s="372" t="n">
        <f aca="false">'GD Spread Options'!AZ34</f>
        <v>36982</v>
      </c>
      <c r="L98" s="404" t="n">
        <f aca="false">'GD Spread Options'!BA34/10000</f>
        <v>0</v>
      </c>
      <c r="M98" s="409"/>
      <c r="N98" s="410"/>
      <c r="O98" s="410"/>
    </row>
    <row r="99" customFormat="false" ht="12.75" hidden="false" customHeight="false" outlineLevel="0" collapsed="false">
      <c r="B99" s="372" t="n">
        <f aca="false">'Basket Options'!S30</f>
        <v>36923</v>
      </c>
      <c r="C99" s="404" t="n">
        <f aca="false">'Basket Options'!T30/10000</f>
        <v>0</v>
      </c>
      <c r="E99" s="405"/>
      <c r="F99" s="406"/>
      <c r="G99" s="406"/>
      <c r="H99" s="407"/>
      <c r="I99" s="408"/>
      <c r="K99" s="372" t="n">
        <f aca="false">'GD Spread Options'!AZ35</f>
        <v>37012</v>
      </c>
      <c r="L99" s="404" t="n">
        <f aca="false">'GD Spread Options'!BA35/10000</f>
        <v>0</v>
      </c>
      <c r="M99" s="409"/>
      <c r="N99" s="410"/>
      <c r="O99" s="410"/>
    </row>
    <row r="100" customFormat="false" ht="12.75" hidden="false" customHeight="false" outlineLevel="0" collapsed="false">
      <c r="B100" s="372" t="n">
        <f aca="false">'Basket Options'!S31</f>
        <v>36951</v>
      </c>
      <c r="C100" s="404" t="n">
        <f aca="false">'Basket Options'!T31/10000</f>
        <v>0</v>
      </c>
      <c r="E100" s="405"/>
      <c r="F100" s="406"/>
      <c r="G100" s="406"/>
      <c r="H100" s="407"/>
      <c r="I100" s="408"/>
      <c r="K100" s="372" t="n">
        <f aca="false">'GD Spread Options'!AZ36</f>
        <v>37043</v>
      </c>
      <c r="L100" s="404" t="n">
        <f aca="false">'GD Spread Options'!BA36/10000</f>
        <v>0</v>
      </c>
      <c r="M100" s="409"/>
      <c r="N100" s="410"/>
      <c r="O100" s="410"/>
    </row>
    <row r="101" customFormat="false" ht="12.75" hidden="false" customHeight="false" outlineLevel="0" collapsed="false">
      <c r="B101" s="372" t="n">
        <f aca="false">'Basket Options'!S32</f>
        <v>36982</v>
      </c>
      <c r="C101" s="404" t="n">
        <f aca="false">'Basket Options'!T32/10000</f>
        <v>0</v>
      </c>
      <c r="E101" s="405"/>
      <c r="F101" s="406"/>
      <c r="G101" s="406"/>
      <c r="H101" s="407"/>
      <c r="I101" s="408"/>
      <c r="K101" s="372" t="n">
        <f aca="false">'GD Spread Options'!AZ37</f>
        <v>37073</v>
      </c>
      <c r="L101" s="404" t="n">
        <f aca="false">'GD Spread Options'!BA37/10000</f>
        <v>0</v>
      </c>
      <c r="M101" s="409"/>
      <c r="N101" s="410"/>
      <c r="O101" s="410"/>
    </row>
    <row r="102" customFormat="false" ht="12.75" hidden="false" customHeight="false" outlineLevel="0" collapsed="false">
      <c r="B102" s="372" t="n">
        <f aca="false">'Basket Options'!S33</f>
        <v>37012</v>
      </c>
      <c r="C102" s="404" t="n">
        <f aca="false">'Basket Options'!T33/10000</f>
        <v>0</v>
      </c>
      <c r="E102" s="405"/>
      <c r="F102" s="406"/>
      <c r="G102" s="406"/>
      <c r="H102" s="407"/>
      <c r="I102" s="408"/>
      <c r="K102" s="372" t="n">
        <f aca="false">'GD Spread Options'!AZ38</f>
        <v>37104</v>
      </c>
      <c r="L102" s="404" t="n">
        <f aca="false">'GD Spread Options'!BA38/10000</f>
        <v>0</v>
      </c>
      <c r="M102" s="409"/>
      <c r="N102" s="410"/>
      <c r="O102" s="410"/>
    </row>
    <row r="103" customFormat="false" ht="12.75" hidden="false" customHeight="false" outlineLevel="0" collapsed="false">
      <c r="B103" s="372" t="n">
        <f aca="false">'Basket Options'!S34</f>
        <v>37043</v>
      </c>
      <c r="C103" s="404" t="n">
        <f aca="false">'Basket Options'!T34/10000</f>
        <v>0</v>
      </c>
      <c r="E103" s="405"/>
      <c r="F103" s="406"/>
      <c r="G103" s="406"/>
      <c r="H103" s="407"/>
      <c r="I103" s="408"/>
      <c r="K103" s="372" t="n">
        <f aca="false">'GD Spread Options'!AZ39</f>
        <v>37135</v>
      </c>
      <c r="L103" s="404" t="n">
        <f aca="false">'GD Spread Options'!BA39/10000</f>
        <v>0</v>
      </c>
      <c r="M103" s="409"/>
      <c r="N103" s="410"/>
      <c r="O103" s="410"/>
    </row>
    <row r="104" customFormat="false" ht="12.75" hidden="false" customHeight="false" outlineLevel="0" collapsed="false">
      <c r="B104" s="372" t="n">
        <f aca="false">'Basket Options'!S35</f>
        <v>37073</v>
      </c>
      <c r="C104" s="404" t="n">
        <f aca="false">'Basket Options'!T35/10000</f>
        <v>0</v>
      </c>
      <c r="E104" s="405"/>
      <c r="F104" s="406"/>
      <c r="G104" s="406"/>
      <c r="H104" s="407"/>
      <c r="I104" s="408"/>
      <c r="K104" s="372" t="n">
        <f aca="false">'GD Spread Options'!AZ40</f>
        <v>37165</v>
      </c>
      <c r="L104" s="404" t="n">
        <f aca="false">'GD Spread Options'!BA40/10000</f>
        <v>0</v>
      </c>
      <c r="M104" s="409"/>
      <c r="N104" s="410"/>
      <c r="O104" s="410"/>
    </row>
    <row r="105" customFormat="false" ht="12.75" hidden="false" customHeight="false" outlineLevel="0" collapsed="false">
      <c r="B105" s="372" t="n">
        <f aca="false">'Basket Options'!S36</f>
        <v>37104</v>
      </c>
      <c r="C105" s="404" t="n">
        <f aca="false">'Basket Options'!T36/10000</f>
        <v>0</v>
      </c>
      <c r="E105" s="405"/>
      <c r="F105" s="406"/>
      <c r="G105" s="406"/>
      <c r="H105" s="407"/>
      <c r="I105" s="408"/>
      <c r="K105" s="372" t="n">
        <f aca="false">'GD Spread Options'!AZ41</f>
        <v>37196</v>
      </c>
      <c r="L105" s="404" t="n">
        <f aca="false">'GD Spread Options'!BA41/10000</f>
        <v>0</v>
      </c>
      <c r="M105" s="409"/>
      <c r="N105" s="410"/>
      <c r="O105" s="410"/>
    </row>
    <row r="106" customFormat="false" ht="12.75" hidden="false" customHeight="false" outlineLevel="0" collapsed="false">
      <c r="B106" s="372" t="n">
        <f aca="false">'Basket Options'!S37</f>
        <v>37135</v>
      </c>
      <c r="C106" s="404" t="n">
        <f aca="false">'Basket Options'!T37/10000</f>
        <v>0</v>
      </c>
      <c r="E106" s="405"/>
      <c r="F106" s="406"/>
      <c r="G106" s="406"/>
      <c r="H106" s="407"/>
      <c r="I106" s="408"/>
      <c r="K106" s="372" t="n">
        <f aca="false">'GD Spread Options'!AZ42</f>
        <v>37226</v>
      </c>
      <c r="L106" s="404" t="n">
        <f aca="false">'GD Spread Options'!BA42/10000</f>
        <v>0</v>
      </c>
      <c r="M106" s="409"/>
      <c r="N106" s="410"/>
      <c r="O106" s="410"/>
    </row>
    <row r="107" customFormat="false" ht="12.75" hidden="false" customHeight="false" outlineLevel="0" collapsed="false">
      <c r="B107" s="372" t="n">
        <f aca="false">'Basket Options'!S38</f>
        <v>37165</v>
      </c>
      <c r="C107" s="404" t="n">
        <f aca="false">'Basket Options'!T38/10000</f>
        <v>0</v>
      </c>
      <c r="E107" s="405"/>
      <c r="F107" s="406"/>
      <c r="G107" s="406"/>
      <c r="H107" s="407"/>
      <c r="I107" s="408"/>
      <c r="K107" s="372" t="n">
        <f aca="false">'GD Spread Options'!AZ43</f>
        <v>37257</v>
      </c>
      <c r="L107" s="404" t="n">
        <f aca="false">'GD Spread Options'!BA43/10000</f>
        <v>0</v>
      </c>
      <c r="M107" s="409"/>
      <c r="N107" s="410"/>
      <c r="O107" s="410"/>
    </row>
    <row r="108" customFormat="false" ht="12.75" hidden="false" customHeight="false" outlineLevel="0" collapsed="false">
      <c r="B108" s="372" t="n">
        <f aca="false">'Basket Options'!S39</f>
        <v>37196</v>
      </c>
      <c r="C108" s="404" t="n">
        <f aca="false">'Basket Options'!T39/10000</f>
        <v>0</v>
      </c>
      <c r="E108" s="405"/>
      <c r="F108" s="406"/>
      <c r="G108" s="406"/>
      <c r="H108" s="407"/>
      <c r="I108" s="408"/>
      <c r="K108" s="372" t="n">
        <f aca="false">'GD Spread Options'!AZ44</f>
        <v>37288</v>
      </c>
      <c r="L108" s="404" t="n">
        <f aca="false">'GD Spread Options'!BA44/10000</f>
        <v>0</v>
      </c>
      <c r="M108" s="409"/>
      <c r="N108" s="410"/>
      <c r="O108" s="410"/>
    </row>
    <row r="109" customFormat="false" ht="13.5" hidden="false" customHeight="false" outlineLevel="0" collapsed="false">
      <c r="B109" s="372" t="n">
        <f aca="false">'Basket Options'!S40</f>
        <v>37226</v>
      </c>
      <c r="C109" s="404" t="n">
        <f aca="false">'Basket Options'!T40/10000</f>
        <v>0</v>
      </c>
      <c r="E109" s="405"/>
      <c r="F109" s="406"/>
      <c r="G109" s="406"/>
      <c r="H109" s="411"/>
      <c r="I109" s="408"/>
      <c r="K109" s="372" t="n">
        <f aca="false">'GD Spread Options'!AZ45</f>
        <v>37316</v>
      </c>
      <c r="L109" s="404" t="n">
        <f aca="false">'GD Spread Options'!BA45/10000</f>
        <v>0</v>
      </c>
      <c r="M109" s="409"/>
      <c r="N109" s="410"/>
      <c r="O109" s="410"/>
    </row>
    <row r="110" customFormat="false" ht="13.5" hidden="false" customHeight="false" outlineLevel="0" collapsed="false">
      <c r="B110" s="400" t="s">
        <v>507</v>
      </c>
      <c r="C110" s="412" t="e">
        <f aca="false">SUM(C83:C109)</f>
        <v>#NAME?</v>
      </c>
      <c r="E110" s="366" t="s">
        <v>507</v>
      </c>
      <c r="F110" s="413" t="n">
        <f aca="false">SUM(F83:F109)</f>
        <v>0</v>
      </c>
      <c r="G110" s="413" t="n">
        <f aca="false">SUM(G83:G109)</f>
        <v>0</v>
      </c>
      <c r="H110" s="413"/>
      <c r="I110" s="414" t="n">
        <f aca="false">SUM(I83:I109)</f>
        <v>0</v>
      </c>
      <c r="K110" s="400" t="s">
        <v>507</v>
      </c>
      <c r="L110" s="412" t="e">
        <f aca="false">SUM(L83:L109)</f>
        <v>#NAME?</v>
      </c>
      <c r="M110" s="409"/>
      <c r="N110" s="410"/>
      <c r="O110" s="410"/>
    </row>
    <row r="111" customFormat="false" ht="12.75" hidden="false" customHeight="false" outlineLevel="0" collapsed="false">
      <c r="K111" s="73"/>
      <c r="L111" s="254"/>
      <c r="M111" s="254"/>
      <c r="N111" s="254"/>
      <c r="O111" s="254"/>
    </row>
    <row r="112" customFormat="false" ht="12.75" hidden="false" customHeight="false" outlineLevel="0" collapsed="false">
      <c r="K112" s="73"/>
      <c r="L112" s="254"/>
      <c r="M112" s="254"/>
      <c r="N112" s="254"/>
      <c r="O112" s="254"/>
    </row>
    <row r="116" customFormat="false" ht="13.5" hidden="false" customHeight="false" outlineLevel="0" collapsed="false"/>
    <row r="117" customFormat="false" ht="13.5" hidden="false" customHeight="false" outlineLevel="0" collapsed="false">
      <c r="B117" s="366" t="s">
        <v>18</v>
      </c>
      <c r="C117" s="415" t="s">
        <v>48</v>
      </c>
    </row>
    <row r="118" customFormat="false" ht="12.75" hidden="false" customHeight="false" outlineLevel="0" collapsed="false">
      <c r="B118" s="376" t="n">
        <v>36434</v>
      </c>
      <c r="C118" s="416" t="e">
        <f aca="false">VLOOKUP(B118,TotalPos,9)</f>
        <v>#N/A</v>
      </c>
    </row>
    <row r="119" customFormat="false" ht="12.75" hidden="false" customHeight="false" outlineLevel="0" collapsed="false">
      <c r="B119" s="376" t="n">
        <v>36465</v>
      </c>
      <c r="C119" s="416" t="e">
        <f aca="false">VLOOKUP(B119,TotalPos,9)</f>
        <v>#N/A</v>
      </c>
    </row>
    <row r="120" customFormat="false" ht="12.75" hidden="false" customHeight="false" outlineLevel="0" collapsed="false">
      <c r="B120" s="376" t="n">
        <v>36495</v>
      </c>
      <c r="C120" s="416" t="e">
        <f aca="false">VLOOKUP(B120,TotalPos,9)</f>
        <v>#N/A</v>
      </c>
    </row>
    <row r="121" customFormat="false" ht="12.75" hidden="false" customHeight="false" outlineLevel="0" collapsed="false">
      <c r="B121" s="376" t="n">
        <v>36526</v>
      </c>
      <c r="C121" s="416" t="e">
        <f aca="false">VLOOKUP(B121,TotalPos,9)</f>
        <v>#N/A</v>
      </c>
    </row>
    <row r="122" customFormat="false" ht="12.75" hidden="false" customHeight="false" outlineLevel="0" collapsed="false">
      <c r="B122" s="376" t="n">
        <v>36557</v>
      </c>
      <c r="C122" s="416" t="e">
        <f aca="false">VLOOKUP(B122,TotalPos,9)</f>
        <v>#N/A</v>
      </c>
    </row>
    <row r="123" customFormat="false" ht="12.75" hidden="false" customHeight="false" outlineLevel="0" collapsed="false">
      <c r="B123" s="376" t="n">
        <v>36586</v>
      </c>
      <c r="C123" s="416" t="e">
        <f aca="false">VLOOKUP(B123,TotalPos,9)</f>
        <v>#N/A</v>
      </c>
    </row>
    <row r="124" customFormat="false" ht="12.75" hidden="false" customHeight="false" outlineLevel="0" collapsed="false">
      <c r="B124" s="376" t="n">
        <v>36617</v>
      </c>
      <c r="C124" s="416" t="e">
        <f aca="false">VLOOKUP(B124,TotalPos,9)</f>
        <v>#N/A</v>
      </c>
    </row>
    <row r="125" customFormat="false" ht="12.75" hidden="false" customHeight="false" outlineLevel="0" collapsed="false">
      <c r="B125" s="376" t="n">
        <v>36647</v>
      </c>
      <c r="C125" s="416" t="e">
        <f aca="false">VLOOKUP(B125,TotalPos,9)</f>
        <v>#N/A</v>
      </c>
    </row>
    <row r="126" customFormat="false" ht="12.75" hidden="false" customHeight="false" outlineLevel="0" collapsed="false">
      <c r="B126" s="376" t="n">
        <v>36678</v>
      </c>
      <c r="C126" s="416" t="n">
        <f aca="false">VLOOKUP(B126,TotalPos,9)</f>
        <v>0</v>
      </c>
    </row>
    <row r="127" customFormat="false" ht="12.75" hidden="false" customHeight="false" outlineLevel="0" collapsed="false">
      <c r="B127" s="376" t="n">
        <v>36708</v>
      </c>
      <c r="C127" s="416" t="n">
        <f aca="false">VLOOKUP(B127,TotalPos,9)</f>
        <v>0</v>
      </c>
    </row>
    <row r="128" customFormat="false" ht="12.75" hidden="false" customHeight="false" outlineLevel="0" collapsed="false">
      <c r="B128" s="376" t="n">
        <v>36739</v>
      </c>
      <c r="C128" s="416" t="n">
        <f aca="false">VLOOKUP(B128,TotalPos,9)</f>
        <v>0</v>
      </c>
    </row>
    <row r="129" customFormat="false" ht="12.75" hidden="false" customHeight="false" outlineLevel="0" collapsed="false">
      <c r="B129" s="376" t="n">
        <v>36770</v>
      </c>
      <c r="C129" s="416" t="e">
        <f aca="false">VLOOKUP(B129,TotalPos,9)</f>
        <v>#NAME?</v>
      </c>
    </row>
    <row r="130" customFormat="false" ht="12.75" hidden="false" customHeight="false" outlineLevel="0" collapsed="false">
      <c r="B130" s="376" t="n">
        <v>36800</v>
      </c>
      <c r="C130" s="416" t="e">
        <f aca="false">VLOOKUP(B130,TotalPos,9)</f>
        <v>#NAME?</v>
      </c>
    </row>
    <row r="131" customFormat="false" ht="12.75" hidden="false" customHeight="false" outlineLevel="0" collapsed="false">
      <c r="B131" s="376" t="n">
        <v>36831</v>
      </c>
      <c r="C131" s="416" t="e">
        <f aca="false">VLOOKUP(B131,TotalPos,9)</f>
        <v>#NAME?</v>
      </c>
    </row>
    <row r="132" customFormat="false" ht="12.75" hidden="false" customHeight="false" outlineLevel="0" collapsed="false">
      <c r="B132" s="376" t="n">
        <v>36861</v>
      </c>
      <c r="C132" s="416" t="e">
        <f aca="false">VLOOKUP(B132,TotalPos,9)</f>
        <v>#NAME?</v>
      </c>
    </row>
    <row r="133" customFormat="false" ht="12.75" hidden="false" customHeight="false" outlineLevel="0" collapsed="false">
      <c r="B133" s="376" t="n">
        <v>36892</v>
      </c>
      <c r="C133" s="416" t="e">
        <f aca="false">VLOOKUP(B133,TotalPos,9)</f>
        <v>#NAME?</v>
      </c>
    </row>
    <row r="134" customFormat="false" ht="12.75" hidden="false" customHeight="false" outlineLevel="0" collapsed="false">
      <c r="B134" s="376" t="n">
        <v>36923</v>
      </c>
      <c r="C134" s="416" t="e">
        <f aca="false">VLOOKUP(B134,TotalPos,9)</f>
        <v>#NAME?</v>
      </c>
    </row>
    <row r="135" customFormat="false" ht="12.75" hidden="false" customHeight="false" outlineLevel="0" collapsed="false">
      <c r="B135" s="376" t="n">
        <v>36951</v>
      </c>
      <c r="C135" s="416" t="e">
        <f aca="false">VLOOKUP(B135,TotalPos,9)</f>
        <v>#NAME?</v>
      </c>
    </row>
    <row r="136" customFormat="false" ht="12.75" hidden="false" customHeight="false" outlineLevel="0" collapsed="false">
      <c r="B136" s="376" t="n">
        <v>36982</v>
      </c>
      <c r="C136" s="416" t="e">
        <f aca="false">VLOOKUP(B136,TotalPos,9)</f>
        <v>#NAME?</v>
      </c>
    </row>
    <row r="137" customFormat="false" ht="12.75" hidden="false" customHeight="false" outlineLevel="0" collapsed="false">
      <c r="B137" s="376" t="n">
        <v>37012</v>
      </c>
      <c r="C137" s="416" t="e">
        <f aca="false">VLOOKUP(B137,TotalPos,9)</f>
        <v>#NAME?</v>
      </c>
    </row>
    <row r="138" customFormat="false" ht="12.75" hidden="false" customHeight="false" outlineLevel="0" collapsed="false">
      <c r="B138" s="376" t="n">
        <v>37043</v>
      </c>
      <c r="C138" s="416" t="e">
        <f aca="false">VLOOKUP(B138,TotalPos,9)</f>
        <v>#NAME?</v>
      </c>
    </row>
    <row r="139" customFormat="false" ht="12.75" hidden="false" customHeight="false" outlineLevel="0" collapsed="false">
      <c r="B139" s="376" t="n">
        <v>37073</v>
      </c>
      <c r="C139" s="416" t="e">
        <f aca="false">VLOOKUP(B139,TotalPos,9)</f>
        <v>#NAME?</v>
      </c>
    </row>
    <row r="140" customFormat="false" ht="12.75" hidden="false" customHeight="false" outlineLevel="0" collapsed="false">
      <c r="B140" s="376" t="n">
        <v>37104</v>
      </c>
      <c r="C140" s="416" t="e">
        <f aca="false">VLOOKUP(B140,TotalPos,9)</f>
        <v>#NAME?</v>
      </c>
    </row>
    <row r="141" customFormat="false" ht="12.75" hidden="false" customHeight="false" outlineLevel="0" collapsed="false">
      <c r="B141" s="376" t="n">
        <v>37135</v>
      </c>
      <c r="C141" s="416" t="e">
        <f aca="false">VLOOKUP(B141,TotalPos,9)</f>
        <v>#NAME?</v>
      </c>
    </row>
    <row r="142" customFormat="false" ht="12.75" hidden="false" customHeight="false" outlineLevel="0" collapsed="false">
      <c r="B142" s="376" t="n">
        <v>37165</v>
      </c>
      <c r="C142" s="416" t="e">
        <f aca="false">VLOOKUP(B142,TotalPos,9)</f>
        <v>#NAME?</v>
      </c>
    </row>
    <row r="143" customFormat="false" ht="12.75" hidden="false" customHeight="false" outlineLevel="0" collapsed="false">
      <c r="B143" s="376" t="n">
        <v>37196</v>
      </c>
      <c r="C143" s="416" t="e">
        <f aca="false">VLOOKUP(B143,TotalPos,9)</f>
        <v>#NAME?</v>
      </c>
    </row>
    <row r="144" customFormat="false" ht="12.75" hidden="false" customHeight="false" outlineLevel="0" collapsed="false">
      <c r="B144" s="376" t="n">
        <v>37226</v>
      </c>
      <c r="C144" s="416" t="e">
        <f aca="false">VLOOKUP(B144,TotalPos,9)</f>
        <v>#NAME?</v>
      </c>
    </row>
    <row r="145" customFormat="false" ht="12.75" hidden="false" customHeight="false" outlineLevel="0" collapsed="false">
      <c r="B145" s="376" t="n">
        <v>37257</v>
      </c>
      <c r="C145" s="416" t="e">
        <f aca="false">VLOOKUP(B145,TotalPos,9)</f>
        <v>#NAME?</v>
      </c>
    </row>
    <row r="146" customFormat="false" ht="12.75" hidden="false" customHeight="false" outlineLevel="0" collapsed="false">
      <c r="B146" s="376" t="n">
        <v>37288</v>
      </c>
      <c r="C146" s="416" t="e">
        <f aca="false">VLOOKUP(B146,TotalPos,9)</f>
        <v>#NAME?</v>
      </c>
    </row>
    <row r="147" customFormat="false" ht="12.75" hidden="false" customHeight="false" outlineLevel="0" collapsed="false">
      <c r="B147" s="376" t="n">
        <v>37316</v>
      </c>
      <c r="C147" s="416" t="e">
        <f aca="false">VLOOKUP(B147,TotalPos,9)</f>
        <v>#NAME?</v>
      </c>
    </row>
    <row r="148" customFormat="false" ht="12.75" hidden="false" customHeight="false" outlineLevel="0" collapsed="false">
      <c r="B148" s="376" t="n">
        <v>37347</v>
      </c>
      <c r="C148" s="416" t="n">
        <f aca="false">VLOOKUP(B148,TotalPos,9)</f>
        <v>0</v>
      </c>
    </row>
    <row r="149" customFormat="false" ht="12.75" hidden="false" customHeight="false" outlineLevel="0" collapsed="false">
      <c r="B149" s="376" t="n">
        <v>37377</v>
      </c>
      <c r="C149" s="416" t="n">
        <f aca="false">VLOOKUP(B149,TotalPos,9)</f>
        <v>0</v>
      </c>
    </row>
    <row r="150" customFormat="false" ht="12.75" hidden="false" customHeight="false" outlineLevel="0" collapsed="false">
      <c r="B150" s="376" t="n">
        <v>37408</v>
      </c>
      <c r="C150" s="416" t="n">
        <f aca="false">VLOOKUP(B150,TotalPos,9)</f>
        <v>0</v>
      </c>
    </row>
    <row r="151" customFormat="false" ht="12.75" hidden="false" customHeight="false" outlineLevel="0" collapsed="false">
      <c r="B151" s="376" t="n">
        <v>37438</v>
      </c>
      <c r="C151" s="416" t="n">
        <f aca="false">VLOOKUP(B151,TotalPos,9)</f>
        <v>0</v>
      </c>
    </row>
    <row r="152" customFormat="false" ht="12.75" hidden="false" customHeight="false" outlineLevel="0" collapsed="false">
      <c r="B152" s="376" t="n">
        <v>37469</v>
      </c>
      <c r="C152" s="416" t="n">
        <f aca="false">VLOOKUP(B152,TotalPos,9)</f>
        <v>0</v>
      </c>
    </row>
    <row r="153" customFormat="false" ht="12.75" hidden="false" customHeight="false" outlineLevel="0" collapsed="false">
      <c r="B153" s="376" t="n">
        <v>37500</v>
      </c>
      <c r="C153" s="416" t="n">
        <f aca="false">VLOOKUP(B153,TotalPos,9)</f>
        <v>0</v>
      </c>
    </row>
    <row r="154" customFormat="false" ht="12.75" hidden="false" customHeight="false" outlineLevel="0" collapsed="false">
      <c r="B154" s="376" t="n">
        <v>37530</v>
      </c>
      <c r="C154" s="416" t="n">
        <f aca="false">VLOOKUP(B154,TotalPos,9)</f>
        <v>0</v>
      </c>
    </row>
    <row r="155" customFormat="false" ht="12.75" hidden="false" customHeight="false" outlineLevel="0" collapsed="false">
      <c r="B155" s="376" t="n">
        <v>37561</v>
      </c>
      <c r="C155" s="416" t="e">
        <f aca="false">VLOOKUP(B155,TotalPos,9)</f>
        <v>#NAME?</v>
      </c>
    </row>
    <row r="156" customFormat="false" ht="12.75" hidden="false" customHeight="false" outlineLevel="0" collapsed="false">
      <c r="B156" s="376" t="n">
        <v>37591</v>
      </c>
      <c r="C156" s="416" t="e">
        <f aca="false">VLOOKUP(B156,TotalPos,9)</f>
        <v>#NAME?</v>
      </c>
    </row>
    <row r="157" customFormat="false" ht="12.75" hidden="false" customHeight="false" outlineLevel="0" collapsed="false">
      <c r="B157" s="376" t="n">
        <v>37622</v>
      </c>
      <c r="C157" s="416" t="e">
        <f aca="false">VLOOKUP(B157,TotalPos,9)</f>
        <v>#NAME?</v>
      </c>
    </row>
    <row r="158" customFormat="false" ht="12.75" hidden="false" customHeight="false" outlineLevel="0" collapsed="false">
      <c r="B158" s="376" t="n">
        <v>37653</v>
      </c>
      <c r="C158" s="416" t="e">
        <f aca="false">VLOOKUP(B158,TotalPos,9)</f>
        <v>#NAME?</v>
      </c>
    </row>
    <row r="159" customFormat="false" ht="12.75" hidden="false" customHeight="false" outlineLevel="0" collapsed="false">
      <c r="B159" s="376" t="n">
        <v>37681</v>
      </c>
      <c r="C159" s="416" t="e">
        <f aca="false">VLOOKUP(B159,TotalPos,9)</f>
        <v>#NAME?</v>
      </c>
    </row>
    <row r="160" customFormat="false" ht="12.75" hidden="false" customHeight="false" outlineLevel="0" collapsed="false">
      <c r="B160" s="376" t="n">
        <v>37712</v>
      </c>
      <c r="C160" s="416" t="n">
        <f aca="false">VLOOKUP(B160,TotalPos,9)</f>
        <v>0</v>
      </c>
    </row>
    <row r="161" customFormat="false" ht="12.75" hidden="false" customHeight="false" outlineLevel="0" collapsed="false">
      <c r="B161" s="376" t="n">
        <v>37742</v>
      </c>
      <c r="C161" s="416" t="n">
        <f aca="false">VLOOKUP(B161,TotalPos,9)</f>
        <v>0</v>
      </c>
    </row>
    <row r="162" customFormat="false" ht="12.75" hidden="false" customHeight="false" outlineLevel="0" collapsed="false">
      <c r="B162" s="376" t="n">
        <v>37773</v>
      </c>
      <c r="C162" s="416" t="n">
        <f aca="false">VLOOKUP(B162,TotalPos,9)</f>
        <v>0</v>
      </c>
    </row>
    <row r="163" customFormat="false" ht="12.75" hidden="false" customHeight="false" outlineLevel="0" collapsed="false">
      <c r="B163" s="376" t="n">
        <v>37803</v>
      </c>
      <c r="C163" s="416" t="n">
        <f aca="false">VLOOKUP(B163,TotalPos,9)</f>
        <v>0</v>
      </c>
    </row>
    <row r="164" customFormat="false" ht="12.75" hidden="false" customHeight="false" outlineLevel="0" collapsed="false">
      <c r="B164" s="376" t="n">
        <v>37834</v>
      </c>
      <c r="C164" s="416" t="n">
        <f aca="false">VLOOKUP(B164,TotalPos,9)</f>
        <v>0</v>
      </c>
    </row>
    <row r="165" customFormat="false" ht="12.75" hidden="false" customHeight="false" outlineLevel="0" collapsed="false">
      <c r="B165" s="376" t="n">
        <v>37865</v>
      </c>
      <c r="C165" s="416" t="n">
        <f aca="false">VLOOKUP(B165,TotalPos,9)</f>
        <v>0</v>
      </c>
    </row>
    <row r="166" customFormat="false" ht="12.75" hidden="false" customHeight="false" outlineLevel="0" collapsed="false">
      <c r="B166" s="376" t="n">
        <v>37895</v>
      </c>
      <c r="C166" s="416" t="n">
        <f aca="false">VLOOKUP(B166,TotalPos,9)</f>
        <v>0</v>
      </c>
    </row>
    <row r="167" customFormat="false" ht="12.75" hidden="false" customHeight="false" outlineLevel="0" collapsed="false">
      <c r="B167" s="376" t="n">
        <v>37926</v>
      </c>
      <c r="C167" s="416" t="n">
        <f aca="false">VLOOKUP(B167,TotalPos,9)</f>
        <v>0</v>
      </c>
    </row>
    <row r="168" customFormat="false" ht="12.75" hidden="false" customHeight="false" outlineLevel="0" collapsed="false">
      <c r="B168" s="376" t="n">
        <v>37956</v>
      </c>
      <c r="C168" s="416" t="n">
        <f aca="false">VLOOKUP(B168,TotalPos,9)</f>
        <v>0</v>
      </c>
    </row>
    <row r="169" customFormat="false" ht="12.75" hidden="false" customHeight="false" outlineLevel="0" collapsed="false">
      <c r="B169" s="376" t="n">
        <v>37987</v>
      </c>
      <c r="C169" s="416" t="n">
        <f aca="false">VLOOKUP(B169,TotalPos,9)</f>
        <v>0</v>
      </c>
    </row>
    <row r="170" customFormat="false" ht="12.75" hidden="false" customHeight="false" outlineLevel="0" collapsed="false">
      <c r="B170" s="376" t="n">
        <v>38018</v>
      </c>
      <c r="C170" s="416" t="n">
        <f aca="false">VLOOKUP(B170,TotalPos,9)</f>
        <v>0</v>
      </c>
    </row>
    <row r="171" customFormat="false" ht="12.75" hidden="false" customHeight="false" outlineLevel="0" collapsed="false">
      <c r="B171" s="376" t="n">
        <v>38047</v>
      </c>
      <c r="C171" s="416" t="n">
        <f aca="false">VLOOKUP(B171,TotalPos,9)</f>
        <v>0</v>
      </c>
    </row>
    <row r="172" customFormat="false" ht="12.75" hidden="false" customHeight="false" outlineLevel="0" collapsed="false">
      <c r="B172" s="376" t="n">
        <v>38078</v>
      </c>
      <c r="C172" s="416" t="n">
        <f aca="false">VLOOKUP(B172,TotalPos,9)</f>
        <v>0</v>
      </c>
    </row>
    <row r="173" customFormat="false" ht="12.75" hidden="false" customHeight="false" outlineLevel="0" collapsed="false">
      <c r="B173" s="376" t="n">
        <v>38108</v>
      </c>
      <c r="C173" s="416" t="n">
        <f aca="false">VLOOKUP(B173,TotalPos,9)</f>
        <v>0</v>
      </c>
    </row>
    <row r="174" customFormat="false" ht="12.75" hidden="false" customHeight="false" outlineLevel="0" collapsed="false">
      <c r="B174" s="376" t="n">
        <v>38139</v>
      </c>
      <c r="C174" s="416" t="n">
        <f aca="false">VLOOKUP(B174,TotalPos,9)</f>
        <v>0</v>
      </c>
    </row>
    <row r="175" customFormat="false" ht="12.75" hidden="false" customHeight="false" outlineLevel="0" collapsed="false">
      <c r="B175" s="376" t="n">
        <v>38169</v>
      </c>
      <c r="C175" s="416" t="n">
        <f aca="false">VLOOKUP(B175,TotalPos,9)</f>
        <v>0</v>
      </c>
    </row>
    <row r="176" customFormat="false" ht="12.75" hidden="false" customHeight="false" outlineLevel="0" collapsed="false">
      <c r="B176" s="376" t="n">
        <v>38200</v>
      </c>
      <c r="C176" s="416" t="n">
        <f aca="false">VLOOKUP(B176,TotalPos,9)</f>
        <v>0</v>
      </c>
    </row>
    <row r="177" customFormat="false" ht="12.75" hidden="false" customHeight="false" outlineLevel="0" collapsed="false">
      <c r="B177" s="376" t="n">
        <v>38231</v>
      </c>
      <c r="C177" s="416" t="n">
        <f aca="false">VLOOKUP(B177,TotalPos,9)</f>
        <v>0</v>
      </c>
    </row>
    <row r="178" customFormat="false" ht="12.75" hidden="false" customHeight="false" outlineLevel="0" collapsed="false">
      <c r="B178" s="376" t="n">
        <v>38261</v>
      </c>
      <c r="C178" s="416" t="n">
        <f aca="false">VLOOKUP(B178,TotalPos,9)</f>
        <v>0</v>
      </c>
    </row>
    <row r="179" customFormat="false" ht="12.75" hidden="false" customHeight="false" outlineLevel="0" collapsed="false">
      <c r="B179" s="376" t="n">
        <v>38292</v>
      </c>
      <c r="C179" s="416" t="n">
        <f aca="false">VLOOKUP(B179,TotalPos,9)</f>
        <v>0</v>
      </c>
    </row>
    <row r="180" customFormat="false" ht="12.75" hidden="false" customHeight="false" outlineLevel="0" collapsed="false">
      <c r="B180" s="376" t="n">
        <v>38322</v>
      </c>
      <c r="C180" s="416" t="n">
        <f aca="false">VLOOKUP(B180,TotalPos,9)</f>
        <v>0</v>
      </c>
    </row>
    <row r="181" customFormat="false" ht="12.75" hidden="false" customHeight="false" outlineLevel="0" collapsed="false">
      <c r="B181" s="376" t="n">
        <v>38353</v>
      </c>
      <c r="C181" s="416" t="n">
        <f aca="false">VLOOKUP(B181,TotalPos,9)</f>
        <v>0</v>
      </c>
    </row>
    <row r="182" customFormat="false" ht="12.75" hidden="false" customHeight="false" outlineLevel="0" collapsed="false">
      <c r="B182" s="376" t="n">
        <v>38384</v>
      </c>
      <c r="C182" s="416" t="n">
        <f aca="false">VLOOKUP(B182,TotalPos,9)</f>
        <v>0</v>
      </c>
    </row>
    <row r="183" customFormat="false" ht="12.75" hidden="false" customHeight="false" outlineLevel="0" collapsed="false">
      <c r="B183" s="376" t="n">
        <v>38412</v>
      </c>
      <c r="C183" s="416" t="n">
        <f aca="false">VLOOKUP(B183,TotalPos,9)</f>
        <v>0</v>
      </c>
    </row>
    <row r="184" customFormat="false" ht="12.75" hidden="false" customHeight="false" outlineLevel="0" collapsed="false">
      <c r="B184" s="376" t="n">
        <v>38443</v>
      </c>
      <c r="C184" s="416" t="n">
        <f aca="false">VLOOKUP(B184,TotalPos,9)</f>
        <v>0</v>
      </c>
    </row>
    <row r="185" customFormat="false" ht="12.75" hidden="false" customHeight="false" outlineLevel="0" collapsed="false">
      <c r="B185" s="376" t="n">
        <v>38473</v>
      </c>
      <c r="C185" s="416" t="n">
        <f aca="false">VLOOKUP(B185,TotalPos,9)</f>
        <v>0</v>
      </c>
    </row>
    <row r="186" customFormat="false" ht="12.75" hidden="false" customHeight="false" outlineLevel="0" collapsed="false">
      <c r="B186" s="376" t="n">
        <v>38504</v>
      </c>
      <c r="C186" s="416" t="n">
        <f aca="false">VLOOKUP(B186,TotalPos,9)</f>
        <v>0</v>
      </c>
    </row>
    <row r="187" customFormat="false" ht="12.75" hidden="false" customHeight="false" outlineLevel="0" collapsed="false">
      <c r="B187" s="376" t="n">
        <v>38534</v>
      </c>
      <c r="C187" s="416" t="n">
        <f aca="false">VLOOKUP(B187,TotalPos,9)</f>
        <v>0</v>
      </c>
    </row>
    <row r="188" customFormat="false" ht="12.75" hidden="false" customHeight="false" outlineLevel="0" collapsed="false">
      <c r="B188" s="376" t="n">
        <v>38565</v>
      </c>
      <c r="C188" s="416" t="n">
        <f aca="false">VLOOKUP(B188,TotalPos,9)</f>
        <v>0</v>
      </c>
    </row>
    <row r="189" customFormat="false" ht="12.75" hidden="false" customHeight="false" outlineLevel="0" collapsed="false">
      <c r="B189" s="376" t="n">
        <v>38596</v>
      </c>
      <c r="C189" s="416" t="n">
        <f aca="false">VLOOKUP(B189,TotalPos,9)</f>
        <v>0</v>
      </c>
    </row>
    <row r="190" customFormat="false" ht="12.75" hidden="false" customHeight="false" outlineLevel="0" collapsed="false">
      <c r="B190" s="376" t="n">
        <v>38626</v>
      </c>
      <c r="C190" s="416" t="n">
        <f aca="false">VLOOKUP(B190,TotalPos,9)</f>
        <v>0</v>
      </c>
    </row>
    <row r="191" customFormat="false" ht="12.75" hidden="false" customHeight="false" outlineLevel="0" collapsed="false">
      <c r="B191" s="376" t="n">
        <v>38657</v>
      </c>
      <c r="C191" s="416" t="n">
        <f aca="false">VLOOKUP(B191,TotalPos,9)</f>
        <v>0</v>
      </c>
    </row>
    <row r="192" customFormat="false" ht="12.75" hidden="false" customHeight="false" outlineLevel="0" collapsed="false">
      <c r="B192" s="376" t="n">
        <v>38687</v>
      </c>
      <c r="C192" s="416" t="n">
        <f aca="false">VLOOKUP(B192,TotalPos,9)</f>
        <v>0</v>
      </c>
    </row>
    <row r="193" customFormat="false" ht="12.75" hidden="false" customHeight="false" outlineLevel="0" collapsed="false">
      <c r="B193" s="376" t="n">
        <v>38718</v>
      </c>
      <c r="C193" s="416" t="n">
        <f aca="false">VLOOKUP(B193,TotalPos,9)</f>
        <v>0</v>
      </c>
    </row>
    <row r="194" customFormat="false" ht="12.75" hidden="false" customHeight="false" outlineLevel="0" collapsed="false">
      <c r="B194" s="376" t="n">
        <v>38749</v>
      </c>
      <c r="C194" s="416" t="n">
        <f aca="false">VLOOKUP(B194,TotalPos,9)</f>
        <v>0</v>
      </c>
    </row>
    <row r="195" customFormat="false" ht="12.75" hidden="false" customHeight="false" outlineLevel="0" collapsed="false">
      <c r="B195" s="376" t="n">
        <v>38777</v>
      </c>
      <c r="C195" s="416" t="n">
        <f aca="false">VLOOKUP(B195,TotalPos,9)</f>
        <v>0</v>
      </c>
    </row>
    <row r="196" customFormat="false" ht="12.75" hidden="false" customHeight="false" outlineLevel="0" collapsed="false">
      <c r="B196" s="376" t="n">
        <v>38808</v>
      </c>
      <c r="C196" s="416" t="n">
        <f aca="false">VLOOKUP(B196,TotalPos,9)</f>
        <v>0</v>
      </c>
    </row>
    <row r="197" customFormat="false" ht="12.75" hidden="false" customHeight="false" outlineLevel="0" collapsed="false">
      <c r="B197" s="376" t="n">
        <v>38838</v>
      </c>
      <c r="C197" s="416" t="n">
        <f aca="false">VLOOKUP(B197,TotalPos,9)</f>
        <v>0</v>
      </c>
    </row>
    <row r="198" customFormat="false" ht="12.75" hidden="false" customHeight="false" outlineLevel="0" collapsed="false">
      <c r="B198" s="376" t="n">
        <v>38869</v>
      </c>
      <c r="C198" s="416" t="n">
        <f aca="false">VLOOKUP(B198,TotalPos,9)</f>
        <v>0</v>
      </c>
    </row>
    <row r="199" customFormat="false" ht="12.75" hidden="false" customHeight="false" outlineLevel="0" collapsed="false">
      <c r="B199" s="376" t="n">
        <v>38899</v>
      </c>
      <c r="C199" s="416" t="n">
        <f aca="false">VLOOKUP(B199,TotalPos,9)</f>
        <v>0</v>
      </c>
    </row>
    <row r="200" customFormat="false" ht="12.75" hidden="false" customHeight="false" outlineLevel="0" collapsed="false">
      <c r="B200" s="376" t="n">
        <v>38930</v>
      </c>
      <c r="C200" s="416" t="n">
        <f aca="false">VLOOKUP(B200,TotalPos,9)</f>
        <v>0</v>
      </c>
    </row>
    <row r="201" customFormat="false" ht="12.75" hidden="false" customHeight="false" outlineLevel="0" collapsed="false">
      <c r="B201" s="376" t="n">
        <v>38961</v>
      </c>
      <c r="C201" s="416" t="n">
        <f aca="false">VLOOKUP(B201,TotalPos,9)</f>
        <v>0</v>
      </c>
    </row>
    <row r="202" customFormat="false" ht="12.75" hidden="false" customHeight="false" outlineLevel="0" collapsed="false">
      <c r="B202" s="376" t="n">
        <v>38991</v>
      </c>
      <c r="C202" s="416" t="n">
        <f aca="false">VLOOKUP(B202,TotalPos,9)</f>
        <v>0</v>
      </c>
    </row>
    <row r="203" customFormat="false" ht="12.75" hidden="false" customHeight="false" outlineLevel="0" collapsed="false">
      <c r="B203" s="376" t="n">
        <v>39022</v>
      </c>
      <c r="C203" s="416" t="n">
        <f aca="false">VLOOKUP(B203,TotalPos,9)</f>
        <v>0</v>
      </c>
    </row>
    <row r="204" customFormat="false" ht="12.75" hidden="false" customHeight="false" outlineLevel="0" collapsed="false">
      <c r="B204" s="376" t="n">
        <v>39052</v>
      </c>
      <c r="C204" s="416" t="n">
        <f aca="false">VLOOKUP(B204,TotalPos,9)</f>
        <v>0</v>
      </c>
    </row>
    <row r="205" customFormat="false" ht="12.75" hidden="false" customHeight="false" outlineLevel="0" collapsed="false">
      <c r="B205" s="376" t="n">
        <v>39083</v>
      </c>
      <c r="C205" s="416" t="n">
        <f aca="false">VLOOKUP(B205,TotalPos,9)</f>
        <v>0</v>
      </c>
    </row>
    <row r="206" customFormat="false" ht="12.75" hidden="false" customHeight="false" outlineLevel="0" collapsed="false">
      <c r="B206" s="376" t="n">
        <v>39114</v>
      </c>
      <c r="C206" s="416" t="n">
        <f aca="false">VLOOKUP(B206,TotalPos,9)</f>
        <v>0</v>
      </c>
    </row>
    <row r="207" customFormat="false" ht="12.75" hidden="false" customHeight="false" outlineLevel="0" collapsed="false">
      <c r="B207" s="376" t="n">
        <v>39142</v>
      </c>
      <c r="C207" s="416" t="n">
        <f aca="false">VLOOKUP(B207,TotalPos,9)</f>
        <v>0</v>
      </c>
    </row>
    <row r="208" customFormat="false" ht="12.75" hidden="false" customHeight="false" outlineLevel="0" collapsed="false">
      <c r="B208" s="376" t="n">
        <v>39173</v>
      </c>
      <c r="C208" s="416" t="n">
        <f aca="false">VLOOKUP(B208,TotalPos,9)</f>
        <v>0</v>
      </c>
    </row>
    <row r="209" customFormat="false" ht="12.75" hidden="false" customHeight="false" outlineLevel="0" collapsed="false">
      <c r="B209" s="376" t="n">
        <v>39203</v>
      </c>
      <c r="C209" s="416" t="n">
        <f aca="false">VLOOKUP(B209,TotalPos,9)</f>
        <v>0</v>
      </c>
    </row>
    <row r="210" customFormat="false" ht="12.75" hidden="false" customHeight="false" outlineLevel="0" collapsed="false">
      <c r="B210" s="376" t="n">
        <v>39234</v>
      </c>
      <c r="C210" s="416" t="n">
        <f aca="false">VLOOKUP(B210,TotalPos,9)</f>
        <v>0</v>
      </c>
    </row>
    <row r="211" customFormat="false" ht="12.75" hidden="false" customHeight="false" outlineLevel="0" collapsed="false">
      <c r="B211" s="376" t="n">
        <v>39264</v>
      </c>
      <c r="C211" s="416" t="n">
        <f aca="false">VLOOKUP(B211,TotalPos,9)</f>
        <v>0</v>
      </c>
    </row>
    <row r="212" customFormat="false" ht="12.75" hidden="false" customHeight="false" outlineLevel="0" collapsed="false">
      <c r="B212" s="376" t="n">
        <v>39295</v>
      </c>
      <c r="C212" s="416" t="n">
        <f aca="false">VLOOKUP(B212,TotalPos,9)</f>
        <v>0</v>
      </c>
    </row>
    <row r="213" customFormat="false" ht="12.75" hidden="false" customHeight="false" outlineLevel="0" collapsed="false">
      <c r="B213" s="376" t="n">
        <v>39326</v>
      </c>
      <c r="C213" s="416" t="n">
        <f aca="false">VLOOKUP(B213,TotalPos,9)</f>
        <v>0</v>
      </c>
    </row>
    <row r="214" customFormat="false" ht="12.75" hidden="false" customHeight="false" outlineLevel="0" collapsed="false">
      <c r="B214" s="376" t="n">
        <v>39356</v>
      </c>
      <c r="C214" s="416" t="n">
        <f aca="false">VLOOKUP(B214,TotalPos,9)</f>
        <v>0</v>
      </c>
    </row>
    <row r="215" customFormat="false" ht="12.75" hidden="false" customHeight="false" outlineLevel="0" collapsed="false">
      <c r="B215" s="376" t="n">
        <v>39387</v>
      </c>
      <c r="C215" s="416" t="n">
        <f aca="false">VLOOKUP(B215,TotalPos,9)</f>
        <v>0</v>
      </c>
    </row>
    <row r="216" customFormat="false" ht="12.75" hidden="false" customHeight="false" outlineLevel="0" collapsed="false">
      <c r="B216" s="376" t="n">
        <v>39417</v>
      </c>
      <c r="C216" s="416" t="n">
        <f aca="false">VLOOKUP(B216,TotalPos,9)</f>
        <v>0</v>
      </c>
    </row>
    <row r="217" customFormat="false" ht="12.75" hidden="false" customHeight="false" outlineLevel="0" collapsed="false">
      <c r="B217" s="376" t="n">
        <v>39448</v>
      </c>
      <c r="C217" s="416" t="n">
        <f aca="false">VLOOKUP(B217,TotalPos,9)</f>
        <v>0</v>
      </c>
    </row>
    <row r="218" customFormat="false" ht="12.75" hidden="false" customHeight="false" outlineLevel="0" collapsed="false">
      <c r="B218" s="376" t="n">
        <v>39479</v>
      </c>
      <c r="C218" s="416" t="n">
        <f aca="false">VLOOKUP(B218,TotalPos,9)</f>
        <v>0</v>
      </c>
    </row>
    <row r="219" customFormat="false" ht="12.75" hidden="false" customHeight="false" outlineLevel="0" collapsed="false">
      <c r="B219" s="376" t="n">
        <v>39508</v>
      </c>
      <c r="C219" s="416" t="n">
        <f aca="false">VLOOKUP(B219,TotalPos,9)</f>
        <v>0</v>
      </c>
    </row>
    <row r="220" customFormat="false" ht="12.75" hidden="false" customHeight="false" outlineLevel="0" collapsed="false">
      <c r="B220" s="376" t="n">
        <v>39539</v>
      </c>
      <c r="C220" s="416" t="n">
        <f aca="false">VLOOKUP(B220,TotalPos,9)</f>
        <v>0</v>
      </c>
    </row>
    <row r="221" customFormat="false" ht="12.75" hidden="false" customHeight="false" outlineLevel="0" collapsed="false">
      <c r="B221" s="376" t="n">
        <v>39569</v>
      </c>
      <c r="C221" s="416" t="n">
        <f aca="false">VLOOKUP(B221,TotalPos,9)</f>
        <v>0</v>
      </c>
    </row>
    <row r="222" customFormat="false" ht="12.75" hidden="false" customHeight="false" outlineLevel="0" collapsed="false">
      <c r="B222" s="376" t="n">
        <v>39600</v>
      </c>
      <c r="C222" s="416" t="n">
        <f aca="false">VLOOKUP(B222,TotalPos,9)</f>
        <v>0</v>
      </c>
    </row>
    <row r="223" customFormat="false" ht="12.75" hidden="false" customHeight="false" outlineLevel="0" collapsed="false">
      <c r="B223" s="376" t="n">
        <v>39630</v>
      </c>
      <c r="C223" s="416" t="n">
        <f aca="false">VLOOKUP(B223,TotalPos,9)</f>
        <v>0</v>
      </c>
    </row>
    <row r="224" customFormat="false" ht="12.75" hidden="false" customHeight="false" outlineLevel="0" collapsed="false">
      <c r="B224" s="376" t="n">
        <v>39661</v>
      </c>
      <c r="C224" s="416" t="n">
        <f aca="false">VLOOKUP(B224,TotalPos,9)</f>
        <v>0</v>
      </c>
    </row>
    <row r="225" customFormat="false" ht="12.75" hidden="false" customHeight="false" outlineLevel="0" collapsed="false">
      <c r="B225" s="376" t="n">
        <v>39692</v>
      </c>
      <c r="C225" s="416" t="n">
        <f aca="false">VLOOKUP(B225,TotalPos,9)</f>
        <v>0</v>
      </c>
    </row>
    <row r="226" customFormat="false" ht="12.75" hidden="false" customHeight="false" outlineLevel="0" collapsed="false">
      <c r="B226" s="376" t="n">
        <v>39722</v>
      </c>
      <c r="C226" s="416" t="n">
        <f aca="false">VLOOKUP(B226,TotalPos,9)</f>
        <v>0</v>
      </c>
    </row>
    <row r="227" customFormat="false" ht="12.75" hidden="false" customHeight="false" outlineLevel="0" collapsed="false">
      <c r="B227" s="376" t="n">
        <v>39753</v>
      </c>
      <c r="C227" s="416" t="n">
        <f aca="false">VLOOKUP(B227,TotalPos,9)</f>
        <v>0</v>
      </c>
    </row>
    <row r="228" customFormat="false" ht="12.75" hidden="false" customHeight="false" outlineLevel="0" collapsed="false">
      <c r="B228" s="376" t="n">
        <v>39783</v>
      </c>
      <c r="C228" s="416" t="n">
        <f aca="false">VLOOKUP(B228,TotalPos,9)</f>
        <v>0</v>
      </c>
    </row>
    <row r="229" customFormat="false" ht="12.75" hidden="false" customHeight="false" outlineLevel="0" collapsed="false">
      <c r="B229" s="376" t="n">
        <v>39814</v>
      </c>
      <c r="C229" s="416" t="n">
        <f aca="false">VLOOKUP(B229,TotalPos,9)</f>
        <v>0</v>
      </c>
    </row>
    <row r="230" customFormat="false" ht="12.75" hidden="false" customHeight="false" outlineLevel="0" collapsed="false">
      <c r="B230" s="376" t="n">
        <v>39845</v>
      </c>
      <c r="C230" s="416" t="n">
        <f aca="false">VLOOKUP(B230,TotalPos,9)</f>
        <v>0</v>
      </c>
    </row>
    <row r="231" customFormat="false" ht="12.75" hidden="false" customHeight="false" outlineLevel="0" collapsed="false">
      <c r="B231" s="376" t="n">
        <v>39873</v>
      </c>
      <c r="C231" s="416" t="n">
        <f aca="false">VLOOKUP(B231,TotalPos,9)</f>
        <v>0</v>
      </c>
    </row>
    <row r="232" customFormat="false" ht="12.75" hidden="false" customHeight="false" outlineLevel="0" collapsed="false">
      <c r="B232" s="376" t="n">
        <v>39904</v>
      </c>
      <c r="C232" s="416" t="n">
        <f aca="false">VLOOKUP(B232,TotalPos,9)</f>
        <v>0</v>
      </c>
    </row>
    <row r="233" customFormat="false" ht="12.75" hidden="false" customHeight="false" outlineLevel="0" collapsed="false">
      <c r="B233" s="376" t="n">
        <v>39934</v>
      </c>
      <c r="C233" s="416" t="n">
        <f aca="false">VLOOKUP(B233,TotalPos,9)</f>
        <v>0</v>
      </c>
    </row>
    <row r="234" customFormat="false" ht="12.75" hidden="false" customHeight="false" outlineLevel="0" collapsed="false">
      <c r="B234" s="376" t="n">
        <v>39965</v>
      </c>
      <c r="C234" s="416" t="n">
        <f aca="false">VLOOKUP(B234,TotalPos,9)</f>
        <v>0</v>
      </c>
    </row>
    <row r="235" customFormat="false" ht="12.75" hidden="false" customHeight="false" outlineLevel="0" collapsed="false">
      <c r="B235" s="376" t="n">
        <v>39995</v>
      </c>
      <c r="C235" s="416" t="n">
        <f aca="false">VLOOKUP(B235,TotalPos,9)</f>
        <v>0</v>
      </c>
    </row>
    <row r="236" customFormat="false" ht="12.75" hidden="false" customHeight="false" outlineLevel="0" collapsed="false">
      <c r="B236" s="376" t="n">
        <v>40026</v>
      </c>
      <c r="C236" s="416" t="n">
        <f aca="false">VLOOKUP(B236,TotalPos,9)</f>
        <v>0</v>
      </c>
    </row>
    <row r="237" customFormat="false" ht="12.75" hidden="false" customHeight="false" outlineLevel="0" collapsed="false">
      <c r="B237" s="376" t="n">
        <v>40057</v>
      </c>
      <c r="C237" s="416" t="n">
        <f aca="false">VLOOKUP(B237,TotalPos,9)</f>
        <v>0</v>
      </c>
    </row>
    <row r="238" customFormat="false" ht="12.75" hidden="false" customHeight="false" outlineLevel="0" collapsed="false">
      <c r="B238" s="376" t="n">
        <v>40087</v>
      </c>
      <c r="C238" s="416" t="n">
        <f aca="false">VLOOKUP(B238,TotalPos,9)</f>
        <v>0</v>
      </c>
    </row>
    <row r="239" customFormat="false" ht="12.75" hidden="false" customHeight="false" outlineLevel="0" collapsed="false">
      <c r="B239" s="376" t="n">
        <v>40118</v>
      </c>
      <c r="C239" s="416" t="n">
        <f aca="false">VLOOKUP(B239,TotalPos,9)</f>
        <v>0</v>
      </c>
    </row>
    <row r="240" customFormat="false" ht="12.75" hidden="false" customHeight="false" outlineLevel="0" collapsed="false">
      <c r="B240" s="376" t="n">
        <v>40148</v>
      </c>
      <c r="C240" s="416" t="n">
        <f aca="false">VLOOKUP(B240,TotalPos,9)</f>
        <v>0</v>
      </c>
    </row>
    <row r="241" customFormat="false" ht="12.75" hidden="false" customHeight="false" outlineLevel="0" collapsed="false">
      <c r="B241" s="376" t="n">
        <v>40179</v>
      </c>
      <c r="C241" s="416" t="n">
        <f aca="false">VLOOKUP(B241,TotalPos,9)</f>
        <v>0</v>
      </c>
    </row>
    <row r="242" customFormat="false" ht="12.75" hidden="false" customHeight="false" outlineLevel="0" collapsed="false">
      <c r="B242" s="376" t="n">
        <v>40210</v>
      </c>
      <c r="C242" s="416" t="n">
        <f aca="false">VLOOKUP(B242,TotalPos,9)</f>
        <v>0</v>
      </c>
    </row>
    <row r="243" customFormat="false" ht="12.75" hidden="false" customHeight="false" outlineLevel="0" collapsed="false">
      <c r="B243" s="376" t="n">
        <v>40238</v>
      </c>
      <c r="C243" s="416" t="n">
        <f aca="false">VLOOKUP(B243,TotalPos,9)</f>
        <v>0</v>
      </c>
    </row>
    <row r="244" customFormat="false" ht="12.75" hidden="false" customHeight="false" outlineLevel="0" collapsed="false">
      <c r="B244" s="376" t="n">
        <v>40269</v>
      </c>
      <c r="C244" s="416" t="n">
        <f aca="false">VLOOKUP(B244,TotalPos,9)</f>
        <v>0</v>
      </c>
    </row>
    <row r="245" customFormat="false" ht="12.75" hidden="false" customHeight="false" outlineLevel="0" collapsed="false">
      <c r="B245" s="376" t="n">
        <v>40299</v>
      </c>
      <c r="C245" s="416" t="n">
        <f aca="false">VLOOKUP(B245,TotalPos,9)</f>
        <v>0</v>
      </c>
    </row>
    <row r="246" customFormat="false" ht="12.75" hidden="false" customHeight="false" outlineLevel="0" collapsed="false">
      <c r="B246" s="376" t="n">
        <v>40330</v>
      </c>
      <c r="C246" s="416" t="n">
        <f aca="false">VLOOKUP(B246,TotalPos,9)</f>
        <v>0</v>
      </c>
    </row>
    <row r="247" customFormat="false" ht="12.75" hidden="false" customHeight="false" outlineLevel="0" collapsed="false">
      <c r="B247" s="376" t="n">
        <v>40360</v>
      </c>
      <c r="C247" s="416" t="n">
        <f aca="false">VLOOKUP(B247,TotalPos,9)</f>
        <v>0</v>
      </c>
    </row>
    <row r="248" customFormat="false" ht="12.75" hidden="false" customHeight="false" outlineLevel="0" collapsed="false">
      <c r="B248" s="376" t="n">
        <v>40391</v>
      </c>
      <c r="C248" s="416" t="n">
        <f aca="false">VLOOKUP(B248,TotalPos,9)</f>
        <v>0</v>
      </c>
    </row>
    <row r="249" customFormat="false" ht="12.75" hidden="false" customHeight="false" outlineLevel="0" collapsed="false">
      <c r="B249" s="376" t="n">
        <v>40422</v>
      </c>
      <c r="C249" s="416" t="n">
        <f aca="false">VLOOKUP(B249,TotalPos,9)</f>
        <v>0</v>
      </c>
    </row>
    <row r="250" customFormat="false" ht="12.75" hidden="false" customHeight="false" outlineLevel="0" collapsed="false">
      <c r="B250" s="376" t="n">
        <v>40452</v>
      </c>
      <c r="C250" s="416" t="n">
        <f aca="false">VLOOKUP(B250,TotalPos,9)</f>
        <v>0</v>
      </c>
    </row>
    <row r="251" customFormat="false" ht="12.75" hidden="false" customHeight="false" outlineLevel="0" collapsed="false">
      <c r="B251" s="376" t="n">
        <v>40483</v>
      </c>
      <c r="C251" s="416" t="n">
        <f aca="false">VLOOKUP(B251,TotalPos,9)</f>
        <v>0</v>
      </c>
    </row>
    <row r="252" customFormat="false" ht="12.75" hidden="false" customHeight="false" outlineLevel="0" collapsed="false">
      <c r="B252" s="376" t="n">
        <v>40513</v>
      </c>
      <c r="C252" s="416" t="n">
        <f aca="false">VLOOKUP(B252,TotalPos,9)</f>
        <v>0</v>
      </c>
    </row>
    <row r="253" customFormat="false" ht="12.75" hidden="false" customHeight="false" outlineLevel="0" collapsed="false">
      <c r="B253" s="376" t="n">
        <v>40544</v>
      </c>
      <c r="C253" s="416" t="n">
        <f aca="false">VLOOKUP(B253,TotalPos,9)</f>
        <v>0</v>
      </c>
    </row>
    <row r="254" customFormat="false" ht="12.75" hidden="false" customHeight="false" outlineLevel="0" collapsed="false">
      <c r="B254" s="376" t="n">
        <v>40575</v>
      </c>
      <c r="C254" s="416" t="n">
        <f aca="false">VLOOKUP(B254,TotalPos,9)</f>
        <v>0</v>
      </c>
    </row>
    <row r="255" customFormat="false" ht="12.75" hidden="false" customHeight="false" outlineLevel="0" collapsed="false">
      <c r="B255" s="376" t="n">
        <v>40603</v>
      </c>
      <c r="C255" s="416" t="n">
        <f aca="false">VLOOKUP(B255,TotalPos,9)</f>
        <v>0</v>
      </c>
    </row>
    <row r="256" customFormat="false" ht="12.75" hidden="false" customHeight="false" outlineLevel="0" collapsed="false">
      <c r="B256" s="376" t="n">
        <v>40634</v>
      </c>
      <c r="C256" s="416" t="n">
        <f aca="false">VLOOKUP(B256,TotalPos,9)</f>
        <v>0</v>
      </c>
    </row>
    <row r="257" customFormat="false" ht="12.75" hidden="false" customHeight="false" outlineLevel="0" collapsed="false">
      <c r="B257" s="376" t="n">
        <v>40664</v>
      </c>
      <c r="C257" s="416" t="n">
        <f aca="false">VLOOKUP(B257,TotalPos,9)</f>
        <v>0</v>
      </c>
    </row>
    <row r="258" customFormat="false" ht="12.75" hidden="false" customHeight="false" outlineLevel="0" collapsed="false">
      <c r="B258" s="376" t="n">
        <v>40695</v>
      </c>
      <c r="C258" s="416" t="n">
        <f aca="false">VLOOKUP(B258,TotalPos,9)</f>
        <v>0</v>
      </c>
    </row>
    <row r="259" customFormat="false" ht="12.75" hidden="false" customHeight="false" outlineLevel="0" collapsed="false">
      <c r="B259" s="376" t="n">
        <v>40725</v>
      </c>
      <c r="C259" s="416" t="n">
        <f aca="false">VLOOKUP(B259,TotalPos,9)</f>
        <v>0</v>
      </c>
    </row>
    <row r="260" customFormat="false" ht="12.75" hidden="false" customHeight="false" outlineLevel="0" collapsed="false">
      <c r="B260" s="376" t="n">
        <v>40756</v>
      </c>
      <c r="C260" s="416" t="n">
        <f aca="false">VLOOKUP(B260,TotalPos,9)</f>
        <v>0</v>
      </c>
    </row>
    <row r="261" customFormat="false" ht="12.75" hidden="false" customHeight="false" outlineLevel="0" collapsed="false">
      <c r="B261" s="376" t="n">
        <v>40787</v>
      </c>
      <c r="C261" s="416" t="n">
        <f aca="false">VLOOKUP(B261,TotalPos,9)</f>
        <v>0</v>
      </c>
    </row>
    <row r="262" customFormat="false" ht="12.75" hidden="false" customHeight="false" outlineLevel="0" collapsed="false">
      <c r="B262" s="376" t="n">
        <v>40817</v>
      </c>
      <c r="C262" s="416" t="n">
        <f aca="false">VLOOKUP(B262,TotalPos,9)</f>
        <v>0</v>
      </c>
    </row>
    <row r="263" customFormat="false" ht="12.75" hidden="false" customHeight="false" outlineLevel="0" collapsed="false">
      <c r="B263" s="376" t="n">
        <v>40848</v>
      </c>
      <c r="C263" s="416" t="n">
        <f aca="false">VLOOKUP(B263,TotalPos,9)</f>
        <v>0</v>
      </c>
    </row>
    <row r="264" customFormat="false" ht="12.75" hidden="false" customHeight="false" outlineLevel="0" collapsed="false">
      <c r="B264" s="376" t="n">
        <v>40878</v>
      </c>
      <c r="C264" s="416" t="n">
        <f aca="false">VLOOKUP(B264,TotalPos,9)</f>
        <v>0</v>
      </c>
    </row>
    <row r="265" customFormat="false" ht="12.75" hidden="false" customHeight="false" outlineLevel="0" collapsed="false">
      <c r="B265" s="376" t="n">
        <v>40909</v>
      </c>
      <c r="C265" s="416" t="n">
        <f aca="false">VLOOKUP(B265,TotalPos,9)</f>
        <v>0</v>
      </c>
    </row>
    <row r="266" customFormat="false" ht="12.75" hidden="false" customHeight="false" outlineLevel="0" collapsed="false">
      <c r="B266" s="376" t="n">
        <v>40940</v>
      </c>
      <c r="C266" s="416" t="n">
        <f aca="false">VLOOKUP(B266,TotalPos,9)</f>
        <v>0</v>
      </c>
    </row>
    <row r="267" customFormat="false" ht="12.75" hidden="false" customHeight="false" outlineLevel="0" collapsed="false">
      <c r="B267" s="376" t="n">
        <v>40969</v>
      </c>
      <c r="C267" s="416" t="n">
        <f aca="false">VLOOKUP(B267,TotalPos,9)</f>
        <v>0</v>
      </c>
    </row>
    <row r="268" customFormat="false" ht="12.75" hidden="false" customHeight="false" outlineLevel="0" collapsed="false">
      <c r="B268" s="376" t="n">
        <v>41000</v>
      </c>
      <c r="C268" s="416" t="n">
        <f aca="false">VLOOKUP(B268,TotalPos,9)</f>
        <v>0</v>
      </c>
    </row>
    <row r="269" customFormat="false" ht="12.75" hidden="false" customHeight="false" outlineLevel="0" collapsed="false">
      <c r="B269" s="376" t="n">
        <v>41030</v>
      </c>
      <c r="C269" s="416" t="n">
        <f aca="false">VLOOKUP(B269,TotalPos,9)</f>
        <v>0</v>
      </c>
    </row>
    <row r="270" customFormat="false" ht="12.75" hidden="false" customHeight="false" outlineLevel="0" collapsed="false">
      <c r="B270" s="376" t="n">
        <v>41061</v>
      </c>
      <c r="C270" s="416" t="n">
        <f aca="false">VLOOKUP(B270,TotalPos,9)</f>
        <v>0</v>
      </c>
    </row>
    <row r="271" customFormat="false" ht="12.75" hidden="false" customHeight="false" outlineLevel="0" collapsed="false">
      <c r="B271" s="376" t="n">
        <v>41091</v>
      </c>
      <c r="C271" s="416" t="n">
        <f aca="false">VLOOKUP(B271,TotalPos,9)</f>
        <v>0</v>
      </c>
    </row>
    <row r="272" customFormat="false" ht="13.5" hidden="false" customHeight="false" outlineLevel="0" collapsed="false">
      <c r="B272" s="417" t="n">
        <v>41122</v>
      </c>
      <c r="C272" s="416" t="n">
        <f aca="false">VLOOKUP(B272,TotalPos,9)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5">
              <controlPr defaultSize="0" print="false" autoFill="0" autoPict="0" macro="xls.Module2.PRINTEXOTIC">
                <anchor moveWithCells="true" sizeWithCells="false">
                  <from>
                    <xdr:col>19</xdr:col>
                    <xdr:colOff>189360</xdr:colOff>
                    <xdr:row>2</xdr:row>
                    <xdr:rowOff>85680</xdr:rowOff>
                  </from>
                  <to>
                    <xdr:col>22</xdr:col>
                    <xdr:colOff>200160</xdr:colOff>
                    <xdr:row>5</xdr:row>
                    <xdr:rowOff>152280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N3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ColWidth="9.13671875" defaultRowHeight="12" customHeight="true" zeroHeight="false" outlineLevelRow="0" outlineLevelCol="0"/>
  <cols>
    <col collapsed="false" customWidth="true" hidden="false" outlineLevel="0" max="1" min="1" style="418" width="9.85"/>
    <col collapsed="false" customWidth="true" hidden="false" outlineLevel="0" max="2" min="2" style="419" width="11.56"/>
    <col collapsed="false" customWidth="true" hidden="false" outlineLevel="0" max="3" min="3" style="420" width="19.56"/>
    <col collapsed="false" customWidth="true" hidden="false" outlineLevel="0" max="4" min="4" style="420" width="7.7"/>
    <col collapsed="false" customWidth="true" hidden="false" outlineLevel="0" max="5" min="5" style="420" width="10.41"/>
    <col collapsed="false" customWidth="true" hidden="false" outlineLevel="0" max="6" min="6" style="420" width="8.99"/>
    <col collapsed="false" customWidth="true" hidden="false" outlineLevel="0" max="7" min="7" style="420" width="13.85"/>
    <col collapsed="false" customWidth="true" hidden="false" outlineLevel="0" max="8" min="8" style="420" width="11.7"/>
    <col collapsed="false" customWidth="true" hidden="false" outlineLevel="0" max="9" min="9" style="420" width="11.99"/>
    <col collapsed="false" customWidth="true" hidden="false" outlineLevel="0" max="10" min="10" style="420" width="13.99"/>
    <col collapsed="false" customWidth="true" hidden="false" outlineLevel="0" max="11" min="11" style="420" width="15.13"/>
    <col collapsed="false" customWidth="true" hidden="false" outlineLevel="0" max="13" min="12" style="420" width="12.56"/>
    <col collapsed="false" customWidth="true" hidden="false" outlineLevel="0" max="15" min="14" style="420" width="16.28"/>
    <col collapsed="false" customWidth="true" hidden="false" outlineLevel="0" max="16" min="16" style="420" width="12.56"/>
    <col collapsed="false" customWidth="true" hidden="false" outlineLevel="0" max="17" min="17" style="420" width="10.85"/>
    <col collapsed="false" customWidth="true" hidden="false" outlineLevel="0" max="18" min="18" style="418" width="12.7"/>
    <col collapsed="false" customWidth="true" hidden="false" outlineLevel="0" max="19" min="19" style="418" width="9.7"/>
    <col collapsed="false" customWidth="true" hidden="false" outlineLevel="0" max="21" min="20" style="418" width="10.99"/>
    <col collapsed="false" customWidth="true" hidden="false" outlineLevel="0" max="22" min="22" style="418" width="10.13"/>
    <col collapsed="false" customWidth="true" hidden="false" outlineLevel="0" max="23" min="23" style="418" width="14.85"/>
    <col collapsed="false" customWidth="true" hidden="false" outlineLevel="0" max="24" min="24" style="418" width="12.56"/>
    <col collapsed="false" customWidth="false" hidden="false" outlineLevel="0" max="25" min="25" style="418" width="9.14"/>
    <col collapsed="false" customWidth="true" hidden="false" outlineLevel="0" max="26" min="26" style="418" width="9.7"/>
    <col collapsed="false" customWidth="true" hidden="false" outlineLevel="0" max="27" min="27" style="418" width="10.99"/>
    <col collapsed="false" customWidth="true" hidden="false" outlineLevel="0" max="28" min="28" style="418" width="10.41"/>
    <col collapsed="false" customWidth="true" hidden="false" outlineLevel="0" max="31" min="29" style="418" width="11.99"/>
    <col collapsed="false" customWidth="true" hidden="false" outlineLevel="0" max="32" min="32" style="418" width="13.85"/>
    <col collapsed="false" customWidth="true" hidden="false" outlineLevel="0" max="33" min="33" style="418" width="14.14"/>
    <col collapsed="false" customWidth="true" hidden="false" outlineLevel="0" max="35" min="34" style="418" width="17.99"/>
    <col collapsed="false" customWidth="true" hidden="false" outlineLevel="0" max="36" min="36" style="418" width="13.14"/>
    <col collapsed="false" customWidth="true" hidden="false" outlineLevel="0" max="37" min="37" style="418" width="15.56"/>
    <col collapsed="false" customWidth="true" hidden="false" outlineLevel="0" max="38" min="38" style="418" width="16.99"/>
    <col collapsed="false" customWidth="true" hidden="false" outlineLevel="0" max="39" min="39" style="418" width="14.14"/>
    <col collapsed="false" customWidth="true" hidden="false" outlineLevel="0" max="40" min="40" style="418" width="13.99"/>
    <col collapsed="false" customWidth="true" hidden="false" outlineLevel="0" max="41" min="41" style="418" width="12.99"/>
    <col collapsed="false" customWidth="false" hidden="false" outlineLevel="0" max="42" min="42" style="418" width="9.14"/>
    <col collapsed="false" customWidth="true" hidden="false" outlineLevel="0" max="43" min="43" style="418" width="9.7"/>
    <col collapsed="false" customWidth="true" hidden="false" outlineLevel="0" max="44" min="44" style="418" width="16.13"/>
    <col collapsed="false" customWidth="true" hidden="false" outlineLevel="0" max="45" min="45" style="418" width="11.99"/>
    <col collapsed="false" customWidth="true" hidden="false" outlineLevel="0" max="46" min="46" style="418" width="8.99"/>
    <col collapsed="false" customWidth="true" hidden="false" outlineLevel="0" max="47" min="47" style="418" width="9.28"/>
    <col collapsed="false" customWidth="true" hidden="false" outlineLevel="0" max="48" min="48" style="418" width="11.13"/>
    <col collapsed="false" customWidth="true" hidden="false" outlineLevel="0" max="49" min="49" style="418" width="10.41"/>
    <col collapsed="false" customWidth="false" hidden="false" outlineLevel="0" max="50" min="50" style="418" width="9.14"/>
    <col collapsed="false" customWidth="true" hidden="false" outlineLevel="0" max="52" min="51" style="418" width="14.14"/>
    <col collapsed="false" customWidth="true" hidden="false" outlineLevel="0" max="53" min="53" style="418" width="12.28"/>
    <col collapsed="false" customWidth="true" hidden="false" outlineLevel="0" max="54" min="54" style="418" width="7.85"/>
    <col collapsed="false" customWidth="true" hidden="false" outlineLevel="0" max="55" min="55" style="418" width="17.7"/>
    <col collapsed="false" customWidth="true" hidden="false" outlineLevel="0" max="56" min="56" style="418" width="15.56"/>
    <col collapsed="false" customWidth="false" hidden="false" outlineLevel="0" max="57" min="57" style="418" width="9.14"/>
    <col collapsed="false" customWidth="true" hidden="false" outlineLevel="0" max="58" min="58" style="418" width="7.85"/>
    <col collapsed="false" customWidth="true" hidden="false" outlineLevel="0" max="59" min="59" style="418" width="3.56"/>
    <col collapsed="false" customWidth="false" hidden="false" outlineLevel="0" max="257" min="60" style="418" width="9.14"/>
  </cols>
  <sheetData>
    <row r="1" customFormat="false" ht="12" hidden="false" customHeight="false" outlineLevel="0" collapsed="false">
      <c r="A1" s="418" t="s">
        <v>552</v>
      </c>
      <c r="B1" s="421" t="s">
        <v>553</v>
      </c>
      <c r="C1" s="422" t="s">
        <v>554</v>
      </c>
    </row>
    <row r="2" customFormat="false" ht="12" hidden="false" customHeight="false" outlineLevel="0" collapsed="false">
      <c r="A2" s="418" t="s">
        <v>555</v>
      </c>
      <c r="B2" s="421" t="s">
        <v>553</v>
      </c>
      <c r="C2" s="422" t="s">
        <v>556</v>
      </c>
    </row>
    <row r="3" customFormat="false" ht="12" hidden="false" customHeight="false" outlineLevel="0" collapsed="false">
      <c r="A3" s="418" t="s">
        <v>557</v>
      </c>
      <c r="B3" s="421" t="s">
        <v>558</v>
      </c>
      <c r="C3" s="422" t="s">
        <v>559</v>
      </c>
      <c r="AF3" s="423"/>
      <c r="AG3" s="423"/>
    </row>
    <row r="4" customFormat="false" ht="12.75" hidden="false" customHeight="false" outlineLevel="0" collapsed="false">
      <c r="B4" s="421"/>
      <c r="C4" s="422"/>
      <c r="AF4" s="421"/>
      <c r="AG4" s="421"/>
      <c r="BD4" s="424"/>
      <c r="BE4" s="424"/>
      <c r="BF4" s="424"/>
    </row>
    <row r="5" customFormat="false" ht="12.75" hidden="false" customHeight="false" outlineLevel="0" collapsed="false">
      <c r="A5" s="418" t="s">
        <v>560</v>
      </c>
      <c r="B5" s="425" t="n">
        <v>36767</v>
      </c>
      <c r="C5" s="422" t="s">
        <v>561</v>
      </c>
      <c r="AF5" s="424"/>
      <c r="AG5" s="424"/>
      <c r="BD5" s="426"/>
      <c r="BE5" s="426"/>
      <c r="BF5" s="426"/>
    </row>
    <row r="6" customFormat="false" ht="12.75" hidden="false" customHeight="false" outlineLevel="0" collapsed="false">
      <c r="B6" s="421"/>
      <c r="C6" s="422"/>
      <c r="G6" s="427"/>
      <c r="AF6" s="426"/>
      <c r="AG6" s="426"/>
      <c r="BD6" s="426"/>
      <c r="BE6" s="426"/>
      <c r="BF6" s="426"/>
    </row>
    <row r="7" customFormat="false" ht="12.75" hidden="false" customHeight="false" outlineLevel="0" collapsed="false">
      <c r="B7" s="421"/>
      <c r="C7" s="422"/>
      <c r="G7" s="427"/>
      <c r="AF7" s="426"/>
      <c r="AG7" s="426"/>
    </row>
    <row r="8" customFormat="false" ht="12" hidden="false" customHeight="false" outlineLevel="0" collapsed="false">
      <c r="C8" s="428"/>
    </row>
    <row r="10" customFormat="false" ht="12" hidden="false" customHeight="false" outlineLevel="0" collapsed="false">
      <c r="C10" s="429" t="n">
        <v>1</v>
      </c>
      <c r="D10" s="420" t="n">
        <v>2</v>
      </c>
      <c r="E10" s="420" t="n">
        <v>3</v>
      </c>
      <c r="F10" s="420" t="n">
        <v>4</v>
      </c>
      <c r="G10" s="420" t="n">
        <v>5</v>
      </c>
      <c r="H10" s="420" t="n">
        <v>6</v>
      </c>
      <c r="I10" s="420" t="n">
        <v>7</v>
      </c>
      <c r="J10" s="420" t="n">
        <v>8</v>
      </c>
      <c r="K10" s="420" t="n">
        <v>9</v>
      </c>
      <c r="L10" s="420" t="n">
        <v>10</v>
      </c>
      <c r="M10" s="420" t="n">
        <v>11</v>
      </c>
      <c r="N10" s="420" t="n">
        <v>12</v>
      </c>
      <c r="O10" s="420" t="n">
        <v>13</v>
      </c>
      <c r="P10" s="420" t="n">
        <v>14</v>
      </c>
      <c r="Q10" s="420" t="n">
        <v>15</v>
      </c>
      <c r="R10" s="420" t="n">
        <v>16</v>
      </c>
      <c r="S10" s="420" t="n">
        <v>17</v>
      </c>
      <c r="T10" s="420" t="n">
        <v>18</v>
      </c>
      <c r="U10" s="420" t="n">
        <v>19</v>
      </c>
      <c r="V10" s="420" t="n">
        <v>20</v>
      </c>
      <c r="W10" s="420" t="n">
        <v>21</v>
      </c>
      <c r="X10" s="420" t="n">
        <v>22</v>
      </c>
      <c r="Y10" s="420" t="n">
        <v>23</v>
      </c>
      <c r="Z10" s="420" t="n">
        <v>24</v>
      </c>
      <c r="AA10" s="420" t="n">
        <v>25</v>
      </c>
      <c r="AB10" s="420" t="n">
        <v>26</v>
      </c>
      <c r="AC10" s="420" t="n">
        <v>27</v>
      </c>
      <c r="AD10" s="420" t="n">
        <v>28</v>
      </c>
      <c r="AE10" s="420" t="n">
        <v>29</v>
      </c>
      <c r="AF10" s="420" t="n">
        <v>30</v>
      </c>
      <c r="AG10" s="420" t="n">
        <v>31</v>
      </c>
      <c r="AH10" s="420" t="n">
        <v>32</v>
      </c>
      <c r="AI10" s="420" t="n">
        <v>33</v>
      </c>
      <c r="AJ10" s="420" t="n">
        <v>34</v>
      </c>
      <c r="AK10" s="420" t="n">
        <v>35</v>
      </c>
      <c r="AL10" s="420" t="n">
        <v>36</v>
      </c>
      <c r="AM10" s="420" t="n">
        <v>37</v>
      </c>
      <c r="AN10" s="420" t="n">
        <v>38</v>
      </c>
      <c r="AO10" s="420" t="n">
        <v>39</v>
      </c>
      <c r="AP10" s="420" t="n">
        <v>40</v>
      </c>
      <c r="AQ10" s="420" t="n">
        <v>41</v>
      </c>
      <c r="AR10" s="420" t="n">
        <v>42</v>
      </c>
      <c r="AS10" s="420" t="n">
        <v>43</v>
      </c>
      <c r="AT10" s="420" t="n">
        <v>44</v>
      </c>
      <c r="AU10" s="420" t="n">
        <v>45</v>
      </c>
      <c r="AV10" s="420" t="n">
        <v>46</v>
      </c>
      <c r="AW10" s="420" t="n">
        <v>47</v>
      </c>
      <c r="AX10" s="420"/>
      <c r="AY10" s="420"/>
      <c r="AZ10" s="420"/>
      <c r="BA10" s="420"/>
      <c r="BB10" s="420"/>
      <c r="BI10" s="418" t="s">
        <v>562</v>
      </c>
      <c r="BJ10" s="418" t="s">
        <v>563</v>
      </c>
    </row>
    <row r="11" customFormat="false" ht="12" hidden="false" customHeight="false" outlineLevel="0" collapsed="false">
      <c r="B11" s="430" t="s">
        <v>564</v>
      </c>
      <c r="C11" s="423" t="n">
        <f aca="false">EffDt</f>
        <v>36767</v>
      </c>
      <c r="D11" s="423" t="n">
        <f aca="false">EffDt</f>
        <v>36767</v>
      </c>
      <c r="E11" s="423" t="n">
        <f aca="false">EffDt</f>
        <v>36767</v>
      </c>
      <c r="F11" s="423" t="n">
        <f aca="false">EffDt</f>
        <v>36767</v>
      </c>
      <c r="G11" s="423" t="n">
        <f aca="false">EffDt</f>
        <v>36767</v>
      </c>
      <c r="H11" s="423" t="n">
        <f aca="false">EffDt</f>
        <v>36767</v>
      </c>
      <c r="I11" s="423" t="n">
        <f aca="false">EffDt</f>
        <v>36767</v>
      </c>
      <c r="J11" s="423" t="n">
        <f aca="false">EffDt</f>
        <v>36767</v>
      </c>
      <c r="K11" s="423" t="n">
        <f aca="false">EffDt</f>
        <v>36767</v>
      </c>
      <c r="L11" s="423" t="n">
        <f aca="false">EffDt</f>
        <v>36767</v>
      </c>
      <c r="M11" s="423" t="n">
        <f aca="false">EffDt</f>
        <v>36767</v>
      </c>
      <c r="N11" s="423" t="n">
        <f aca="false">EffDt</f>
        <v>36767</v>
      </c>
      <c r="O11" s="423" t="n">
        <f aca="false">EffDt</f>
        <v>36767</v>
      </c>
      <c r="P11" s="423" t="n">
        <f aca="false">EffDt</f>
        <v>36767</v>
      </c>
      <c r="Q11" s="423" t="n">
        <f aca="false">EffDt</f>
        <v>36767</v>
      </c>
      <c r="R11" s="423" t="n">
        <f aca="false">EffDt</f>
        <v>36767</v>
      </c>
      <c r="S11" s="423" t="n">
        <f aca="false">EffDt</f>
        <v>36767</v>
      </c>
      <c r="T11" s="423" t="n">
        <f aca="false">EffDt</f>
        <v>36767</v>
      </c>
      <c r="U11" s="423" t="n">
        <f aca="false">EffDt</f>
        <v>36767</v>
      </c>
      <c r="V11" s="423" t="n">
        <f aca="false">EffDt</f>
        <v>36767</v>
      </c>
      <c r="W11" s="423" t="n">
        <f aca="false">EffDt</f>
        <v>36767</v>
      </c>
      <c r="X11" s="423" t="n">
        <f aca="false">EffDt</f>
        <v>36767</v>
      </c>
      <c r="Y11" s="423" t="n">
        <f aca="false">EffDt</f>
        <v>36767</v>
      </c>
      <c r="Z11" s="423" t="n">
        <f aca="false">EffDt</f>
        <v>36767</v>
      </c>
      <c r="AA11" s="423" t="n">
        <f aca="false">EffDt</f>
        <v>36767</v>
      </c>
      <c r="AB11" s="423" t="n">
        <f aca="false">EffDt</f>
        <v>36767</v>
      </c>
      <c r="AC11" s="423" t="n">
        <f aca="false">EffDt</f>
        <v>36767</v>
      </c>
      <c r="AD11" s="423" t="n">
        <f aca="false">EffDt</f>
        <v>36767</v>
      </c>
      <c r="AE11" s="423" t="n">
        <f aca="false">EffDt</f>
        <v>36767</v>
      </c>
      <c r="AF11" s="423" t="n">
        <f aca="false">EffDt</f>
        <v>36767</v>
      </c>
      <c r="AG11" s="423" t="n">
        <f aca="false">EffDt</f>
        <v>36767</v>
      </c>
      <c r="AH11" s="423" t="n">
        <f aca="false">EffDt</f>
        <v>36767</v>
      </c>
      <c r="AI11" s="423" t="n">
        <f aca="false">EffDt</f>
        <v>36767</v>
      </c>
      <c r="AJ11" s="423" t="n">
        <f aca="false">EffDt</f>
        <v>36767</v>
      </c>
      <c r="AK11" s="423" t="n">
        <f aca="false">EffDt</f>
        <v>36767</v>
      </c>
      <c r="AL11" s="423" t="n">
        <f aca="false">EffDt</f>
        <v>36767</v>
      </c>
      <c r="AM11" s="423" t="n">
        <f aca="false">EffDt</f>
        <v>36767</v>
      </c>
      <c r="AN11" s="423" t="n">
        <f aca="false">EffDt</f>
        <v>36767</v>
      </c>
      <c r="AO11" s="423" t="n">
        <f aca="false">EffDt</f>
        <v>36767</v>
      </c>
      <c r="AP11" s="423" t="n">
        <f aca="false">EffDt</f>
        <v>36767</v>
      </c>
      <c r="AQ11" s="423" t="n">
        <f aca="false">EffDt</f>
        <v>36767</v>
      </c>
      <c r="AR11" s="423" t="n">
        <f aca="false">EffDt</f>
        <v>36767</v>
      </c>
      <c r="AS11" s="423" t="n">
        <f aca="false">EffDt</f>
        <v>36767</v>
      </c>
      <c r="AT11" s="423" t="n">
        <f aca="false">EffDt</f>
        <v>36767</v>
      </c>
      <c r="AU11" s="423" t="n">
        <f aca="false">EffDt</f>
        <v>36767</v>
      </c>
      <c r="AV11" s="423" t="n">
        <f aca="false">EffDt</f>
        <v>36767</v>
      </c>
      <c r="AW11" s="423" t="n">
        <f aca="false">WORKDAY(AT11,-3)</f>
        <v>36762</v>
      </c>
      <c r="AX11" s="423"/>
      <c r="AY11" s="423" t="n">
        <f aca="false">EffDt</f>
        <v>36767</v>
      </c>
      <c r="AZ11" s="423" t="n">
        <f aca="false">EffDt</f>
        <v>36767</v>
      </c>
      <c r="BA11" s="423" t="n">
        <f aca="false">EffDt</f>
        <v>36767</v>
      </c>
      <c r="BB11" s="423"/>
      <c r="BC11" s="423" t="n">
        <f aca="false">EffDt-1</f>
        <v>36766</v>
      </c>
      <c r="BD11" s="423" t="n">
        <f aca="false">EffDt</f>
        <v>36767</v>
      </c>
      <c r="BI11" s="418" t="s">
        <v>565</v>
      </c>
      <c r="BJ11" s="418" t="s">
        <v>566</v>
      </c>
    </row>
    <row r="12" customFormat="false" ht="12" hidden="false" customHeight="false" outlineLevel="0" collapsed="false">
      <c r="B12" s="430" t="s">
        <v>567</v>
      </c>
      <c r="C12" s="421" t="n">
        <f aca="false">EOMONTH(C11,0)+1</f>
        <v>36770</v>
      </c>
      <c r="D12" s="421" t="n">
        <f aca="false">EOMONTH(D11,0)+1</f>
        <v>36770</v>
      </c>
      <c r="E12" s="421" t="n">
        <f aca="false">EOMONTH(E11,0)+1</f>
        <v>36770</v>
      </c>
      <c r="F12" s="421" t="n">
        <f aca="false">EOMONTH(F11,0)+1</f>
        <v>36770</v>
      </c>
      <c r="G12" s="421" t="n">
        <f aca="false">EOMONTH(G11,0)+1</f>
        <v>36770</v>
      </c>
      <c r="H12" s="421" t="n">
        <f aca="false">EOMONTH(H11,0)+1</f>
        <v>36770</v>
      </c>
      <c r="I12" s="421" t="n">
        <f aca="false">EOMONTH(I11,0)+1</f>
        <v>36770</v>
      </c>
      <c r="J12" s="421" t="n">
        <f aca="false">EOMONTH(J11,0)+1</f>
        <v>36770</v>
      </c>
      <c r="K12" s="421" t="n">
        <f aca="false">EOMONTH(K11,0)+1</f>
        <v>36770</v>
      </c>
      <c r="L12" s="421" t="n">
        <f aca="false">EOMONTH(L11,0)+1</f>
        <v>36770</v>
      </c>
      <c r="M12" s="421" t="n">
        <f aca="false">EOMONTH(M11,0)+1</f>
        <v>36770</v>
      </c>
      <c r="N12" s="421" t="n">
        <f aca="false">EOMONTH(N11,0)+1</f>
        <v>36770</v>
      </c>
      <c r="O12" s="421" t="n">
        <f aca="false">EOMONTH(O11,0)+1</f>
        <v>36770</v>
      </c>
      <c r="P12" s="421" t="n">
        <f aca="false">EOMONTH(P11,0)+1</f>
        <v>36770</v>
      </c>
      <c r="Q12" s="421" t="n">
        <f aca="false">EOMONTH(Q11,0)+1</f>
        <v>36770</v>
      </c>
      <c r="R12" s="421" t="n">
        <f aca="false">EOMONTH(R11,0)+1</f>
        <v>36770</v>
      </c>
      <c r="S12" s="421" t="n">
        <f aca="false">EOMONTH(S11,0)+1</f>
        <v>36770</v>
      </c>
      <c r="T12" s="421" t="n">
        <f aca="false">EOMONTH(T11,0)+1</f>
        <v>36770</v>
      </c>
      <c r="U12" s="421" t="n">
        <f aca="false">EOMONTH(U11,0)+1</f>
        <v>36770</v>
      </c>
      <c r="V12" s="421" t="n">
        <f aca="false">EOMONTH(V11,0)+1</f>
        <v>36770</v>
      </c>
      <c r="W12" s="421" t="n">
        <f aca="false">EOMONTH(W11,0)+1</f>
        <v>36770</v>
      </c>
      <c r="X12" s="421" t="n">
        <f aca="false">EOMONTH(X11,0)+1</f>
        <v>36770</v>
      </c>
      <c r="Y12" s="421" t="n">
        <f aca="false">EOMONTH(Y11,0)+1</f>
        <v>36770</v>
      </c>
      <c r="Z12" s="421" t="n">
        <f aca="false">EOMONTH(Z11,0)+1</f>
        <v>36770</v>
      </c>
      <c r="AA12" s="421" t="n">
        <f aca="false">EOMONTH(AA11,0)+1</f>
        <v>36770</v>
      </c>
      <c r="AB12" s="421" t="n">
        <f aca="false">EOMONTH(AB11,0)+1</f>
        <v>36770</v>
      </c>
      <c r="AC12" s="421" t="n">
        <f aca="false">EOMONTH(AC11,0)+1</f>
        <v>36770</v>
      </c>
      <c r="AD12" s="421" t="n">
        <f aca="false">EOMONTH(AD11,0)+1</f>
        <v>36770</v>
      </c>
      <c r="AE12" s="421" t="n">
        <f aca="false">EOMONTH(AE11,0)+1</f>
        <v>36770</v>
      </c>
      <c r="AF12" s="421" t="n">
        <f aca="false">EOMONTH(AF11,0)+1</f>
        <v>36770</v>
      </c>
      <c r="AG12" s="421" t="n">
        <f aca="false">EOMONTH(AG11,0)+1</f>
        <v>36770</v>
      </c>
      <c r="AH12" s="421" t="n">
        <f aca="false">EOMONTH(AH11,0)+1</f>
        <v>36770</v>
      </c>
      <c r="AI12" s="421" t="n">
        <f aca="false">EOMONTH(AI11,0)+1</f>
        <v>36770</v>
      </c>
      <c r="AJ12" s="421" t="n">
        <f aca="false">EOMONTH(AJ11,0)+1</f>
        <v>36770</v>
      </c>
      <c r="AK12" s="421" t="n">
        <f aca="false">EOMONTH(AK11,0)+1</f>
        <v>36770</v>
      </c>
      <c r="AL12" s="421" t="n">
        <f aca="false">EOMONTH(AL11,0)+1</f>
        <v>36770</v>
      </c>
      <c r="AM12" s="421" t="n">
        <f aca="false">EOMONTH(AM11,0)+1</f>
        <v>36770</v>
      </c>
      <c r="AN12" s="421" t="n">
        <f aca="false">EOMONTH(AN11,0)+1</f>
        <v>36770</v>
      </c>
      <c r="AO12" s="421" t="n">
        <f aca="false">EOMONTH(AO11,0)+1</f>
        <v>36770</v>
      </c>
      <c r="AP12" s="421" t="n">
        <f aca="false">EOMONTH(AP11,0)+1</f>
        <v>36770</v>
      </c>
      <c r="AQ12" s="421" t="n">
        <f aca="false">EOMONTH(AQ11,0)+1</f>
        <v>36770</v>
      </c>
      <c r="AR12" s="421" t="n">
        <f aca="false">EOMONTH(AR11,0)+1</f>
        <v>36770</v>
      </c>
      <c r="AS12" s="421" t="n">
        <f aca="false">EOMONTH(AS11,0)+1</f>
        <v>36770</v>
      </c>
      <c r="AT12" s="421" t="n">
        <f aca="false">EOMONTH(AT11,0)+1</f>
        <v>36770</v>
      </c>
      <c r="AU12" s="421" t="n">
        <f aca="false">EOMONTH(AU11,0)+1</f>
        <v>36770</v>
      </c>
      <c r="AV12" s="421" t="n">
        <f aca="false">EOMONTH(AV11,0)+1</f>
        <v>36770</v>
      </c>
      <c r="AW12" s="421" t="n">
        <f aca="false">EOMONTH(AW11,0)+1</f>
        <v>36770</v>
      </c>
      <c r="AX12" s="421"/>
      <c r="AY12" s="421" t="n">
        <f aca="false">EOMONTH(AY11,0)+1</f>
        <v>36770</v>
      </c>
      <c r="AZ12" s="421" t="n">
        <f aca="false">EOMONTH(AZ11,0)+1</f>
        <v>36770</v>
      </c>
      <c r="BA12" s="421" t="n">
        <f aca="false">EOMONTH(BA11,0)+1</f>
        <v>36770</v>
      </c>
      <c r="BB12" s="421"/>
    </row>
    <row r="13" customFormat="false" ht="12.75" hidden="false" customHeight="false" outlineLevel="0" collapsed="false">
      <c r="B13" s="430" t="s">
        <v>568</v>
      </c>
      <c r="C13" s="420" t="s">
        <v>569</v>
      </c>
      <c r="D13" s="431" t="s">
        <v>569</v>
      </c>
      <c r="E13" s="431" t="s">
        <v>570</v>
      </c>
      <c r="F13" s="431" t="s">
        <v>506</v>
      </c>
      <c r="G13" s="431" t="s">
        <v>74</v>
      </c>
      <c r="H13" s="431" t="s">
        <v>68</v>
      </c>
      <c r="I13" s="431" t="s">
        <v>152</v>
      </c>
      <c r="J13" s="431" t="s">
        <v>150</v>
      </c>
      <c r="K13" s="431" t="s">
        <v>157</v>
      </c>
      <c r="L13" s="431" t="s">
        <v>71</v>
      </c>
      <c r="M13" s="432" t="s">
        <v>72</v>
      </c>
      <c r="N13" s="431" t="s">
        <v>151</v>
      </c>
      <c r="O13" s="431" t="s">
        <v>158</v>
      </c>
      <c r="P13" s="431" t="s">
        <v>73</v>
      </c>
      <c r="Q13" s="431" t="s">
        <v>69</v>
      </c>
      <c r="R13" s="431" t="s">
        <v>70</v>
      </c>
      <c r="S13" s="431" t="s">
        <v>130</v>
      </c>
      <c r="T13" s="431" t="s">
        <v>153</v>
      </c>
      <c r="U13" s="431" t="s">
        <v>133</v>
      </c>
      <c r="V13" s="431" t="s">
        <v>134</v>
      </c>
      <c r="W13" s="431" t="s">
        <v>135</v>
      </c>
      <c r="X13" s="431" t="s">
        <v>149</v>
      </c>
      <c r="Y13" s="424" t="s">
        <v>154</v>
      </c>
      <c r="Z13" s="424" t="s">
        <v>483</v>
      </c>
      <c r="AA13" s="424" t="s">
        <v>571</v>
      </c>
      <c r="AB13" s="424" t="s">
        <v>137</v>
      </c>
      <c r="AC13" s="424" t="s">
        <v>155</v>
      </c>
      <c r="AD13" s="424" t="s">
        <v>156</v>
      </c>
      <c r="AE13" s="424" t="s">
        <v>156</v>
      </c>
      <c r="AF13" s="431" t="s">
        <v>74</v>
      </c>
      <c r="AG13" s="424" t="s">
        <v>149</v>
      </c>
      <c r="AH13" s="424" t="s">
        <v>151</v>
      </c>
      <c r="AI13" s="431" t="s">
        <v>158</v>
      </c>
      <c r="AJ13" s="424" t="s">
        <v>152</v>
      </c>
      <c r="AK13" s="424" t="s">
        <v>150</v>
      </c>
      <c r="AL13" s="424" t="s">
        <v>157</v>
      </c>
      <c r="AM13" s="424" t="s">
        <v>73</v>
      </c>
      <c r="AN13" s="424" t="s">
        <v>70</v>
      </c>
      <c r="AO13" s="424" t="s">
        <v>68</v>
      </c>
      <c r="AP13" s="424" t="s">
        <v>154</v>
      </c>
      <c r="AQ13" s="424" t="s">
        <v>483</v>
      </c>
      <c r="AR13" s="424" t="s">
        <v>135</v>
      </c>
      <c r="AS13" s="424" t="s">
        <v>153</v>
      </c>
      <c r="AT13" s="433" t="s">
        <v>506</v>
      </c>
      <c r="AU13" s="433" t="s">
        <v>137</v>
      </c>
      <c r="AV13" s="433" t="s">
        <v>155</v>
      </c>
      <c r="AW13" s="431" t="s">
        <v>570</v>
      </c>
      <c r="AX13" s="433"/>
      <c r="AY13" s="424" t="s">
        <v>71</v>
      </c>
      <c r="AZ13" s="424" t="s">
        <v>72</v>
      </c>
      <c r="BA13" s="424" t="s">
        <v>69</v>
      </c>
      <c r="BB13" s="424"/>
      <c r="BC13" s="434" t="s">
        <v>572</v>
      </c>
      <c r="BD13" s="434" t="s">
        <v>573</v>
      </c>
      <c r="BE13" s="431"/>
      <c r="BF13" s="424"/>
      <c r="BG13" s="424"/>
      <c r="BH13" s="424"/>
      <c r="BI13" s="424"/>
      <c r="BJ13" s="424"/>
      <c r="BK13" s="424"/>
      <c r="BL13" s="424"/>
      <c r="BM13" s="424"/>
      <c r="BN13" s="424"/>
    </row>
    <row r="14" customFormat="false" ht="12.75" hidden="false" customHeight="false" outlineLevel="0" collapsed="false">
      <c r="B14" s="430" t="s">
        <v>574</v>
      </c>
      <c r="C14" s="420" t="s">
        <v>575</v>
      </c>
      <c r="D14" s="420" t="s">
        <v>576</v>
      </c>
      <c r="E14" s="420" t="s">
        <v>577</v>
      </c>
      <c r="F14" s="420" t="s">
        <v>575</v>
      </c>
      <c r="G14" s="420" t="s">
        <v>575</v>
      </c>
      <c r="H14" s="420" t="s">
        <v>575</v>
      </c>
      <c r="I14" s="420" t="s">
        <v>575</v>
      </c>
      <c r="J14" s="420" t="s">
        <v>575</v>
      </c>
      <c r="K14" s="420" t="s">
        <v>575</v>
      </c>
      <c r="L14" s="420" t="s">
        <v>575</v>
      </c>
      <c r="M14" s="420" t="s">
        <v>575</v>
      </c>
      <c r="N14" s="420" t="s">
        <v>575</v>
      </c>
      <c r="O14" s="420" t="s">
        <v>575</v>
      </c>
      <c r="P14" s="420" t="s">
        <v>575</v>
      </c>
      <c r="Q14" s="420" t="s">
        <v>575</v>
      </c>
      <c r="R14" s="420" t="s">
        <v>575</v>
      </c>
      <c r="S14" s="420" t="s">
        <v>575</v>
      </c>
      <c r="T14" s="420" t="s">
        <v>575</v>
      </c>
      <c r="U14" s="420" t="s">
        <v>575</v>
      </c>
      <c r="V14" s="420" t="s">
        <v>575</v>
      </c>
      <c r="W14" s="420" t="s">
        <v>575</v>
      </c>
      <c r="X14" s="420" t="s">
        <v>575</v>
      </c>
      <c r="Y14" s="426" t="s">
        <v>575</v>
      </c>
      <c r="Z14" s="426" t="s">
        <v>575</v>
      </c>
      <c r="AA14" s="426" t="s">
        <v>575</v>
      </c>
      <c r="AB14" s="426" t="s">
        <v>575</v>
      </c>
      <c r="AC14" s="426" t="s">
        <v>575</v>
      </c>
      <c r="AD14" s="426" t="s">
        <v>575</v>
      </c>
      <c r="AE14" s="420" t="s">
        <v>576</v>
      </c>
      <c r="AF14" s="420" t="s">
        <v>576</v>
      </c>
      <c r="AG14" s="426" t="s">
        <v>576</v>
      </c>
      <c r="AH14" s="426" t="s">
        <v>576</v>
      </c>
      <c r="AI14" s="426" t="s">
        <v>576</v>
      </c>
      <c r="AJ14" s="426" t="s">
        <v>576</v>
      </c>
      <c r="AK14" s="426" t="s">
        <v>576</v>
      </c>
      <c r="AL14" s="426" t="s">
        <v>576</v>
      </c>
      <c r="AM14" s="426" t="s">
        <v>576</v>
      </c>
      <c r="AN14" s="426" t="s">
        <v>576</v>
      </c>
      <c r="AO14" s="426" t="s">
        <v>576</v>
      </c>
      <c r="AP14" s="426" t="s">
        <v>576</v>
      </c>
      <c r="AQ14" s="426" t="s">
        <v>576</v>
      </c>
      <c r="AR14" s="426" t="s">
        <v>576</v>
      </c>
      <c r="AS14" s="426" t="s">
        <v>576</v>
      </c>
      <c r="AT14" s="420" t="s">
        <v>576</v>
      </c>
      <c r="AU14" s="420" t="s">
        <v>576</v>
      </c>
      <c r="AV14" s="420" t="s">
        <v>576</v>
      </c>
      <c r="AW14" s="420" t="s">
        <v>577</v>
      </c>
      <c r="AX14" s="420"/>
      <c r="AY14" s="426" t="s">
        <v>576</v>
      </c>
      <c r="AZ14" s="426" t="s">
        <v>576</v>
      </c>
      <c r="BA14" s="426" t="s">
        <v>576</v>
      </c>
      <c r="BB14" s="426"/>
      <c r="BE14" s="420"/>
      <c r="BF14" s="426"/>
      <c r="BG14" s="426"/>
      <c r="BH14" s="426"/>
      <c r="BI14" s="426"/>
      <c r="BJ14" s="426"/>
      <c r="BK14" s="426"/>
      <c r="BL14" s="426"/>
      <c r="BM14" s="426"/>
      <c r="BN14" s="426"/>
    </row>
    <row r="15" customFormat="false" ht="13.5" hidden="false" customHeight="false" outlineLevel="0" collapsed="false">
      <c r="B15" s="430" t="s">
        <v>578</v>
      </c>
      <c r="C15" s="420" t="s">
        <v>132</v>
      </c>
      <c r="D15" s="420" t="s">
        <v>132</v>
      </c>
      <c r="E15" s="420" t="s">
        <v>579</v>
      </c>
      <c r="F15" s="420" t="s">
        <v>580</v>
      </c>
      <c r="G15" s="420" t="s">
        <v>580</v>
      </c>
      <c r="H15" s="420" t="s">
        <v>580</v>
      </c>
      <c r="I15" s="420" t="s">
        <v>580</v>
      </c>
      <c r="J15" s="420" t="s">
        <v>580</v>
      </c>
      <c r="K15" s="420" t="s">
        <v>580</v>
      </c>
      <c r="L15" s="420" t="s">
        <v>580</v>
      </c>
      <c r="M15" s="420" t="s">
        <v>580</v>
      </c>
      <c r="N15" s="420" t="s">
        <v>580</v>
      </c>
      <c r="O15" s="420" t="s">
        <v>580</v>
      </c>
      <c r="P15" s="420" t="s">
        <v>580</v>
      </c>
      <c r="Q15" s="420" t="s">
        <v>580</v>
      </c>
      <c r="R15" s="420" t="s">
        <v>580</v>
      </c>
      <c r="S15" s="420" t="s">
        <v>580</v>
      </c>
      <c r="T15" s="420" t="s">
        <v>580</v>
      </c>
      <c r="U15" s="420" t="s">
        <v>580</v>
      </c>
      <c r="V15" s="420" t="s">
        <v>580</v>
      </c>
      <c r="W15" s="420" t="s">
        <v>580</v>
      </c>
      <c r="X15" s="420" t="s">
        <v>580</v>
      </c>
      <c r="Y15" s="426" t="s">
        <v>580</v>
      </c>
      <c r="Z15" s="426" t="s">
        <v>580</v>
      </c>
      <c r="AA15" s="426" t="s">
        <v>580</v>
      </c>
      <c r="AB15" s="426" t="s">
        <v>580</v>
      </c>
      <c r="AC15" s="426" t="s">
        <v>580</v>
      </c>
      <c r="AD15" s="426" t="s">
        <v>580</v>
      </c>
      <c r="AE15" s="420" t="s">
        <v>132</v>
      </c>
      <c r="AF15" s="420" t="s">
        <v>132</v>
      </c>
      <c r="AG15" s="426" t="s">
        <v>132</v>
      </c>
      <c r="AH15" s="426" t="s">
        <v>132</v>
      </c>
      <c r="AI15" s="426" t="s">
        <v>132</v>
      </c>
      <c r="AJ15" s="426" t="s">
        <v>132</v>
      </c>
      <c r="AK15" s="426" t="s">
        <v>132</v>
      </c>
      <c r="AL15" s="426" t="s">
        <v>132</v>
      </c>
      <c r="AM15" s="426" t="s">
        <v>132</v>
      </c>
      <c r="AN15" s="426" t="s">
        <v>132</v>
      </c>
      <c r="AO15" s="426" t="s">
        <v>132</v>
      </c>
      <c r="AP15" s="426" t="s">
        <v>132</v>
      </c>
      <c r="AQ15" s="426" t="s">
        <v>132</v>
      </c>
      <c r="AR15" s="426" t="s">
        <v>132</v>
      </c>
      <c r="AS15" s="426" t="s">
        <v>132</v>
      </c>
      <c r="AT15" s="420" t="s">
        <v>132</v>
      </c>
      <c r="AU15" s="420" t="s">
        <v>132</v>
      </c>
      <c r="AV15" s="420" t="s">
        <v>132</v>
      </c>
      <c r="AW15" s="420" t="s">
        <v>579</v>
      </c>
      <c r="AX15" s="420"/>
      <c r="AY15" s="426" t="s">
        <v>132</v>
      </c>
      <c r="AZ15" s="426" t="s">
        <v>132</v>
      </c>
      <c r="BA15" s="426" t="s">
        <v>132</v>
      </c>
      <c r="BB15" s="426"/>
      <c r="BE15" s="420"/>
      <c r="BF15" s="426"/>
      <c r="BG15" s="426"/>
      <c r="BH15" s="426"/>
      <c r="BI15" s="426"/>
      <c r="BJ15" s="426"/>
      <c r="BK15" s="426"/>
      <c r="BL15" s="426"/>
      <c r="BM15" s="426"/>
      <c r="BN15" s="426"/>
    </row>
    <row r="16" customFormat="false" ht="12" hidden="false" customHeight="false" outlineLevel="0" collapsed="false">
      <c r="B16" s="419" t="n">
        <f aca="false">EOMONTH(EffDt,0)+1</f>
        <v>36770</v>
      </c>
      <c r="C16" s="420" t="n">
        <v>4.685</v>
      </c>
      <c r="D16" s="420" t="n">
        <v>0.4</v>
      </c>
      <c r="E16" s="420" t="n">
        <v>0.067216196212185</v>
      </c>
      <c r="F16" s="420" t="n">
        <v>-0.14</v>
      </c>
      <c r="G16" s="435" t="n">
        <v>0</v>
      </c>
      <c r="H16" s="420" t="n">
        <v>-0.14</v>
      </c>
      <c r="I16" s="435" t="n">
        <v>0.05</v>
      </c>
      <c r="J16" s="420" t="n">
        <v>0.17</v>
      </c>
      <c r="K16" s="420" t="n">
        <v>0.2</v>
      </c>
      <c r="L16" s="420" t="n">
        <v>-0.06</v>
      </c>
      <c r="M16" s="420" t="n">
        <v>-0.0475</v>
      </c>
      <c r="N16" s="420" t="n">
        <v>-1.24</v>
      </c>
      <c r="O16" s="420" t="n">
        <v>-1.24</v>
      </c>
      <c r="P16" s="420" t="n">
        <v>-0.0075</v>
      </c>
      <c r="Q16" s="420" t="n">
        <v>-0.0125</v>
      </c>
      <c r="R16" s="418" t="n">
        <v>-0.0325</v>
      </c>
      <c r="S16" s="436" t="n">
        <v>-0.075</v>
      </c>
      <c r="T16" s="418" t="n">
        <v>-0.11</v>
      </c>
      <c r="U16" s="418" t="n">
        <v>-0.0375</v>
      </c>
      <c r="V16" s="418" t="n">
        <v>-0.135</v>
      </c>
      <c r="W16" s="418" t="n">
        <v>-0.165</v>
      </c>
      <c r="X16" s="418" t="n">
        <v>0.315</v>
      </c>
      <c r="Y16" s="418" t="n">
        <v>-0.0075</v>
      </c>
      <c r="Z16" s="418" t="n">
        <v>-1.24</v>
      </c>
      <c r="AA16" s="418" t="n">
        <v>-0.03</v>
      </c>
      <c r="AB16" s="437" t="n">
        <v>2.5</v>
      </c>
      <c r="AC16" s="437" t="n">
        <v>0.305</v>
      </c>
      <c r="AD16" s="437" t="n">
        <v>0.11</v>
      </c>
      <c r="AE16" s="438" t="n">
        <v>0.4</v>
      </c>
      <c r="AF16" s="438" t="n">
        <v>0.4</v>
      </c>
      <c r="AG16" s="438" t="n">
        <v>0.392</v>
      </c>
      <c r="AH16" s="438" t="n">
        <v>0.384</v>
      </c>
      <c r="AI16" s="438" t="n">
        <v>0.408</v>
      </c>
      <c r="AJ16" s="438" t="n">
        <v>0.4</v>
      </c>
      <c r="AK16" s="438" t="n">
        <v>0.392</v>
      </c>
      <c r="AL16" s="438" t="n">
        <v>0.392</v>
      </c>
      <c r="AM16" s="438" t="n">
        <v>0.4</v>
      </c>
      <c r="AN16" s="438" t="n">
        <v>0.4</v>
      </c>
      <c r="AO16" s="438" t="n">
        <v>0.4</v>
      </c>
      <c r="AP16" s="439" t="n">
        <v>0.4</v>
      </c>
      <c r="AQ16" s="439" t="n">
        <v>0.384</v>
      </c>
      <c r="AR16" s="439" t="n">
        <v>0.4</v>
      </c>
      <c r="AS16" s="439" t="n">
        <v>0.4</v>
      </c>
      <c r="AT16" s="438" t="n">
        <v>0.4</v>
      </c>
      <c r="AU16" s="438" t="n">
        <v>0.376</v>
      </c>
      <c r="AV16" s="438" t="n">
        <v>0.392</v>
      </c>
      <c r="AW16" s="440" t="n">
        <v>0.067633985079411</v>
      </c>
      <c r="AX16" s="440"/>
      <c r="AY16" s="437" t="n">
        <f aca="false">AG16</f>
        <v>0.392</v>
      </c>
      <c r="AZ16" s="437" t="n">
        <f aca="false">AG16</f>
        <v>0.392</v>
      </c>
      <c r="BA16" s="441" t="n">
        <f aca="false">AG16</f>
        <v>0.392</v>
      </c>
      <c r="BB16" s="442" t="n">
        <f aca="false">B16</f>
        <v>36770</v>
      </c>
      <c r="BC16" s="437" t="n">
        <f aca="false">(1+$AW16/2)^(-2*($B16-$BC$11)/365.25)</f>
        <v>0.999271826739272</v>
      </c>
      <c r="BD16" s="437" t="n">
        <f aca="false">(1+$AW16/2)^(-2*($B16-$BD$11)/365.25)</f>
        <v>0.999453820329713</v>
      </c>
      <c r="BF16" s="442" t="n">
        <f aca="false">B16</f>
        <v>36770</v>
      </c>
      <c r="BG16" s="418" t="n">
        <v>4</v>
      </c>
      <c r="BI16" s="443" t="n">
        <f aca="false">$C16+X16</f>
        <v>5</v>
      </c>
      <c r="BJ16" s="444" t="n">
        <f aca="false">$C16+Y16</f>
        <v>4.6775</v>
      </c>
    </row>
    <row r="17" customFormat="false" ht="12" hidden="false" customHeight="false" outlineLevel="0" collapsed="false">
      <c r="B17" s="419" t="n">
        <f aca="false">EOMONTH(B16,0)+1</f>
        <v>36800</v>
      </c>
      <c r="C17" s="420" t="n">
        <v>4.692</v>
      </c>
      <c r="D17" s="420" t="n">
        <v>0.575</v>
      </c>
      <c r="E17" s="420" t="n">
        <v>0.068050789414654</v>
      </c>
      <c r="F17" s="420" t="n">
        <v>-0.1475</v>
      </c>
      <c r="G17" s="435" t="n">
        <v>-0.01</v>
      </c>
      <c r="H17" s="420" t="n">
        <v>-0.1475</v>
      </c>
      <c r="I17" s="420" t="n">
        <v>0.055</v>
      </c>
      <c r="J17" s="420" t="n">
        <v>0.185</v>
      </c>
      <c r="K17" s="420" t="n">
        <v>0.24</v>
      </c>
      <c r="L17" s="420" t="n">
        <v>-0.07</v>
      </c>
      <c r="M17" s="420" t="n">
        <v>-0.04</v>
      </c>
      <c r="N17" s="420" t="n">
        <v>-0.805</v>
      </c>
      <c r="O17" s="420" t="n">
        <v>-0.55</v>
      </c>
      <c r="P17" s="420" t="n">
        <v>0</v>
      </c>
      <c r="Q17" s="420" t="n">
        <v>-0.01</v>
      </c>
      <c r="R17" s="418" t="n">
        <v>-0.0275</v>
      </c>
      <c r="S17" s="418" t="n">
        <v>-0.075</v>
      </c>
      <c r="T17" s="418" t="n">
        <v>-0.09</v>
      </c>
      <c r="U17" s="418" t="n">
        <v>-0.03</v>
      </c>
      <c r="V17" s="418" t="n">
        <v>-0.135</v>
      </c>
      <c r="W17" s="418" t="n">
        <v>-0.17</v>
      </c>
      <c r="X17" s="418" t="n">
        <v>0.415</v>
      </c>
      <c r="Y17" s="418" t="n">
        <v>0</v>
      </c>
      <c r="Z17" s="418" t="n">
        <v>-0.805</v>
      </c>
      <c r="AA17" s="418" t="n">
        <v>-0.0275</v>
      </c>
      <c r="AB17" s="437" t="n">
        <v>1.99</v>
      </c>
      <c r="AC17" s="437" t="n">
        <v>0.36</v>
      </c>
      <c r="AD17" s="437" t="n">
        <v>0.115</v>
      </c>
      <c r="AE17" s="438" t="n">
        <v>0.575</v>
      </c>
      <c r="AF17" s="438" t="n">
        <v>0.575</v>
      </c>
      <c r="AG17" s="438" t="n">
        <v>0.564</v>
      </c>
      <c r="AH17" s="438" t="n">
        <v>0.552</v>
      </c>
      <c r="AI17" s="438" t="n">
        <v>0.587</v>
      </c>
      <c r="AJ17" s="438" t="n">
        <v>0.575</v>
      </c>
      <c r="AK17" s="438" t="n">
        <v>0.564</v>
      </c>
      <c r="AL17" s="438" t="n">
        <v>0.564</v>
      </c>
      <c r="AM17" s="438" t="n">
        <v>0.575</v>
      </c>
      <c r="AN17" s="438" t="n">
        <v>0.575</v>
      </c>
      <c r="AO17" s="438" t="n">
        <v>0.575</v>
      </c>
      <c r="AP17" s="439" t="n">
        <v>0.575</v>
      </c>
      <c r="AQ17" s="439" t="n">
        <v>0.552</v>
      </c>
      <c r="AR17" s="439" t="n">
        <v>0.575</v>
      </c>
      <c r="AS17" s="439" t="n">
        <v>0.575</v>
      </c>
      <c r="AT17" s="438" t="n">
        <v>0.575</v>
      </c>
      <c r="AU17" s="438" t="n">
        <v>0.541</v>
      </c>
      <c r="AV17" s="438" t="n">
        <v>0.564</v>
      </c>
      <c r="AW17" s="440" t="n">
        <v>0.068056178914903</v>
      </c>
      <c r="AX17" s="440"/>
      <c r="AY17" s="437" t="n">
        <f aca="false">AG17</f>
        <v>0.564</v>
      </c>
      <c r="AZ17" s="437" t="n">
        <f aca="false">AG17</f>
        <v>0.564</v>
      </c>
      <c r="BA17" s="441" t="n">
        <f aca="false">AG17</f>
        <v>0.564</v>
      </c>
      <c r="BB17" s="442" t="n">
        <f aca="false">B17</f>
        <v>36800</v>
      </c>
      <c r="BC17" s="437" t="n">
        <f aca="false">(1+$AW17/2)^(-2*($B17-$BC$11)/365.25)</f>
        <v>0.99378962598621</v>
      </c>
      <c r="BD17" s="437" t="n">
        <f aca="false">(1+$AW17/2)^(-2*($B17-$BD$11)/365.25)</f>
        <v>0.993971732363147</v>
      </c>
      <c r="BF17" s="442" t="n">
        <f aca="false">B17</f>
        <v>36800</v>
      </c>
      <c r="BG17" s="418" t="n">
        <v>5</v>
      </c>
      <c r="BI17" s="445" t="n">
        <f aca="false">$C17+X17</f>
        <v>5.107</v>
      </c>
      <c r="BJ17" s="446" t="n">
        <f aca="false">$C16+Y17</f>
        <v>4.685</v>
      </c>
    </row>
    <row r="18" customFormat="false" ht="12" hidden="false" customHeight="false" outlineLevel="0" collapsed="false">
      <c r="B18" s="447" t="n">
        <f aca="false">EOMONTH(B17,0)+1</f>
        <v>36831</v>
      </c>
      <c r="C18" s="420" t="n">
        <v>4.736</v>
      </c>
      <c r="D18" s="420" t="n">
        <v>0.595</v>
      </c>
      <c r="E18" s="420" t="n">
        <v>0.06810675983792</v>
      </c>
      <c r="F18" s="420" t="n">
        <v>-0.1425</v>
      </c>
      <c r="G18" s="420" t="n">
        <v>-0.03</v>
      </c>
      <c r="H18" s="420" t="n">
        <v>-0.1425</v>
      </c>
      <c r="I18" s="420" t="n">
        <v>0.0875</v>
      </c>
      <c r="J18" s="420" t="n">
        <v>0.265</v>
      </c>
      <c r="K18" s="420" t="n">
        <v>0.3215</v>
      </c>
      <c r="L18" s="420" t="n">
        <v>-0.08</v>
      </c>
      <c r="M18" s="420" t="n">
        <v>-0.0225</v>
      </c>
      <c r="N18" s="420" t="n">
        <v>-0.4675</v>
      </c>
      <c r="O18" s="420" t="n">
        <v>-0.175</v>
      </c>
      <c r="P18" s="420" t="n">
        <v>0.0125</v>
      </c>
      <c r="Q18" s="420" t="n">
        <v>-0.02</v>
      </c>
      <c r="R18" s="418" t="n">
        <v>-0.0275</v>
      </c>
      <c r="S18" s="418" t="n">
        <v>-0.075</v>
      </c>
      <c r="T18" s="418" t="n">
        <v>-0.0025</v>
      </c>
      <c r="U18" s="418" t="n">
        <v>-0.04</v>
      </c>
      <c r="V18" s="418" t="n">
        <v>-0.1125</v>
      </c>
      <c r="W18" s="418" t="n">
        <v>-0.185</v>
      </c>
      <c r="X18" s="418" t="n">
        <v>0.77</v>
      </c>
      <c r="Y18" s="418" t="n">
        <v>0.005</v>
      </c>
      <c r="Z18" s="418" t="n">
        <v>-0.4</v>
      </c>
      <c r="AA18" s="418" t="n">
        <v>-0.0275</v>
      </c>
      <c r="AB18" s="437" t="n">
        <v>1.545</v>
      </c>
      <c r="AC18" s="437" t="n">
        <v>0.5</v>
      </c>
      <c r="AD18" s="437" t="n">
        <v>0.17</v>
      </c>
      <c r="AE18" s="438" t="n">
        <v>0.595</v>
      </c>
      <c r="AF18" s="438" t="n">
        <v>0.595</v>
      </c>
      <c r="AG18" s="438" t="n">
        <v>0.625</v>
      </c>
      <c r="AH18" s="438" t="n">
        <v>0.571</v>
      </c>
      <c r="AI18" s="438" t="n">
        <v>0.607</v>
      </c>
      <c r="AJ18" s="438" t="n">
        <v>0.595</v>
      </c>
      <c r="AK18" s="438" t="n">
        <v>0.595</v>
      </c>
      <c r="AL18" s="438" t="n">
        <v>0.595</v>
      </c>
      <c r="AM18" s="438" t="n">
        <v>0.595</v>
      </c>
      <c r="AN18" s="438" t="n">
        <v>0.595</v>
      </c>
      <c r="AO18" s="438" t="n">
        <v>0.595</v>
      </c>
      <c r="AP18" s="439" t="n">
        <v>0.595</v>
      </c>
      <c r="AQ18" s="439" t="n">
        <v>0.571</v>
      </c>
      <c r="AR18" s="439" t="n">
        <v>0.595</v>
      </c>
      <c r="AS18" s="439" t="n">
        <v>0.625</v>
      </c>
      <c r="AT18" s="438" t="n">
        <v>0.595</v>
      </c>
      <c r="AU18" s="438" t="n">
        <v>0.577</v>
      </c>
      <c r="AV18" s="438" t="n">
        <v>0.655</v>
      </c>
      <c r="AW18" s="440" t="n">
        <v>0.068168606297117</v>
      </c>
      <c r="AX18" s="440"/>
      <c r="AY18" s="437" t="n">
        <f aca="false">AG18</f>
        <v>0.625</v>
      </c>
      <c r="AZ18" s="437" t="n">
        <f aca="false">AG18</f>
        <v>0.625</v>
      </c>
      <c r="BA18" s="441" t="n">
        <f aca="false">AG18</f>
        <v>0.625</v>
      </c>
      <c r="BB18" s="442" t="n">
        <f aca="false">B18</f>
        <v>36831</v>
      </c>
      <c r="BC18" s="448" t="n">
        <f aca="false">(1+$AW18/2)^(-2*($B18-$BC$11)/365.25)</f>
        <v>0.988141727084849</v>
      </c>
      <c r="BD18" s="449" t="n">
        <f aca="false">(1+$AW18/2)^(-2*($B18-$BD$11)/365.25)</f>
        <v>0.988323092711876</v>
      </c>
      <c r="BF18" s="442" t="n">
        <f aca="false">B18</f>
        <v>36831</v>
      </c>
      <c r="BG18" s="418" t="n">
        <v>6</v>
      </c>
      <c r="BI18" s="450" t="n">
        <f aca="false">$C18+X18</f>
        <v>5.506</v>
      </c>
      <c r="BJ18" s="446" t="n">
        <f aca="false">$C17+Y18</f>
        <v>4.697</v>
      </c>
    </row>
    <row r="19" customFormat="false" ht="12" hidden="false" customHeight="false" outlineLevel="0" collapsed="false">
      <c r="B19" s="419" t="n">
        <f aca="false">EOMONTH(B18,0)+1</f>
        <v>36861</v>
      </c>
      <c r="C19" s="420" t="n">
        <v>4.8</v>
      </c>
      <c r="D19" s="420" t="n">
        <v>0.6</v>
      </c>
      <c r="E19" s="420" t="n">
        <v>0.068314027999354</v>
      </c>
      <c r="F19" s="420" t="n">
        <v>-0.1525</v>
      </c>
      <c r="G19" s="435" t="n">
        <v>-0.065</v>
      </c>
      <c r="H19" s="420" t="n">
        <v>-0.1525</v>
      </c>
      <c r="I19" s="420" t="n">
        <v>0.1</v>
      </c>
      <c r="J19" s="420" t="n">
        <v>0.295</v>
      </c>
      <c r="K19" s="420" t="n">
        <v>0.375</v>
      </c>
      <c r="L19" s="420" t="n">
        <v>-0.08</v>
      </c>
      <c r="M19" s="420" t="n">
        <v>-0.0225</v>
      </c>
      <c r="N19" s="420" t="n">
        <v>-0.3575</v>
      </c>
      <c r="O19" s="420" t="n">
        <v>0.53</v>
      </c>
      <c r="P19" s="420" t="n">
        <v>0.0125</v>
      </c>
      <c r="Q19" s="420" t="n">
        <v>-0.02</v>
      </c>
      <c r="R19" s="418" t="n">
        <v>-0.0275</v>
      </c>
      <c r="S19" s="418" t="n">
        <v>-0.075</v>
      </c>
      <c r="T19" s="418" t="n">
        <v>0.0175</v>
      </c>
      <c r="U19" s="418" t="n">
        <v>-0.04</v>
      </c>
      <c r="V19" s="418" t="n">
        <v>-0.1475</v>
      </c>
      <c r="W19" s="418" t="n">
        <v>-0.18</v>
      </c>
      <c r="X19" s="418" t="n">
        <v>1.645</v>
      </c>
      <c r="Y19" s="418" t="n">
        <v>0.005</v>
      </c>
      <c r="Z19" s="418" t="n">
        <v>-0.3525</v>
      </c>
      <c r="AA19" s="418" t="n">
        <v>-0.0275</v>
      </c>
      <c r="AB19" s="437" t="n">
        <v>1.005</v>
      </c>
      <c r="AC19" s="437" t="n">
        <v>0.83</v>
      </c>
      <c r="AD19" s="437" t="n">
        <v>0.1925</v>
      </c>
      <c r="AE19" s="438" t="n">
        <v>0.6</v>
      </c>
      <c r="AF19" s="438" t="n">
        <v>0.6</v>
      </c>
      <c r="AG19" s="438" t="n">
        <v>0.69</v>
      </c>
      <c r="AH19" s="438" t="n">
        <v>0.576</v>
      </c>
      <c r="AI19" s="438" t="n">
        <v>0.612</v>
      </c>
      <c r="AJ19" s="438" t="n">
        <v>0.6</v>
      </c>
      <c r="AK19" s="438" t="n">
        <v>0.6</v>
      </c>
      <c r="AL19" s="438" t="n">
        <v>0.6</v>
      </c>
      <c r="AM19" s="438" t="n">
        <v>0.6</v>
      </c>
      <c r="AN19" s="438" t="n">
        <v>0.6</v>
      </c>
      <c r="AO19" s="438" t="n">
        <v>0.6</v>
      </c>
      <c r="AP19" s="439" t="n">
        <v>0.6</v>
      </c>
      <c r="AQ19" s="439" t="n">
        <v>0.576</v>
      </c>
      <c r="AR19" s="439" t="n">
        <v>0.6</v>
      </c>
      <c r="AS19" s="439" t="n">
        <v>0.63</v>
      </c>
      <c r="AT19" s="438" t="n">
        <v>0.6</v>
      </c>
      <c r="AU19" s="438" t="n">
        <v>0.582</v>
      </c>
      <c r="AV19" s="438" t="n">
        <v>0.66</v>
      </c>
      <c r="AW19" s="440" t="n">
        <v>0.068388259024859</v>
      </c>
      <c r="AX19" s="440"/>
      <c r="AY19" s="437" t="n">
        <f aca="false">AG19</f>
        <v>0.69</v>
      </c>
      <c r="AZ19" s="437" t="n">
        <f aca="false">AG19</f>
        <v>0.69</v>
      </c>
      <c r="BA19" s="441" t="n">
        <f aca="false">AG19</f>
        <v>0.69</v>
      </c>
      <c r="BB19" s="442" t="n">
        <f aca="false">B19</f>
        <v>36861</v>
      </c>
      <c r="BC19" s="437" t="n">
        <f aca="false">(1+$AW19/2)^(-2*($B19-$BC$11)/365.25)</f>
        <v>0.982661918636191</v>
      </c>
      <c r="BD19" s="437" t="n">
        <f aca="false">(1+$AW19/2)^(-2*($B19-$BD$11)/365.25)</f>
        <v>0.982842850033739</v>
      </c>
      <c r="BF19" s="442" t="n">
        <f aca="false">B19</f>
        <v>36861</v>
      </c>
      <c r="BG19" s="418" t="n">
        <v>7</v>
      </c>
      <c r="BI19" s="450" t="n">
        <f aca="false">$C19+X19</f>
        <v>6.445</v>
      </c>
      <c r="BJ19" s="446" t="n">
        <f aca="false">$C18+Y19</f>
        <v>4.741</v>
      </c>
    </row>
    <row r="20" customFormat="false" ht="12" hidden="false" customHeight="false" outlineLevel="0" collapsed="false">
      <c r="B20" s="419" t="n">
        <f aca="false">EOMONTH(B19,0)+1</f>
        <v>36892</v>
      </c>
      <c r="C20" s="420" t="n">
        <v>4.744</v>
      </c>
      <c r="D20" s="420" t="n">
        <v>0.605</v>
      </c>
      <c r="E20" s="420" t="n">
        <v>0.068374831148491</v>
      </c>
      <c r="F20" s="420" t="n">
        <v>-0.16</v>
      </c>
      <c r="G20" s="420" t="n">
        <v>-0.07</v>
      </c>
      <c r="H20" s="420" t="n">
        <v>-0.16</v>
      </c>
      <c r="I20" s="420" t="n">
        <v>0.1275</v>
      </c>
      <c r="J20" s="420" t="n">
        <v>0.3</v>
      </c>
      <c r="K20" s="420" t="n">
        <v>0.455</v>
      </c>
      <c r="L20" s="420" t="n">
        <v>-0.08</v>
      </c>
      <c r="M20" s="420" t="n">
        <v>-0.0225</v>
      </c>
      <c r="N20" s="420" t="n">
        <v>-0.3675</v>
      </c>
      <c r="O20" s="420" t="n">
        <v>0.53</v>
      </c>
      <c r="P20" s="420" t="n">
        <v>0.0125</v>
      </c>
      <c r="Q20" s="420" t="n">
        <v>-0.02</v>
      </c>
      <c r="R20" s="418" t="n">
        <v>-0.0275</v>
      </c>
      <c r="S20" s="418" t="n">
        <v>-0.075</v>
      </c>
      <c r="T20" s="418" t="n">
        <v>0.03</v>
      </c>
      <c r="U20" s="418" t="n">
        <v>-0.04</v>
      </c>
      <c r="V20" s="418" t="n">
        <v>-0.1525</v>
      </c>
      <c r="W20" s="418" t="n">
        <v>-0.18</v>
      </c>
      <c r="X20" s="418" t="n">
        <v>2.17</v>
      </c>
      <c r="Y20" s="418" t="n">
        <v>0.005</v>
      </c>
      <c r="Z20" s="418" t="n">
        <v>-0.3375</v>
      </c>
      <c r="AA20" s="418" t="n">
        <v>-0.0275</v>
      </c>
      <c r="AB20" s="437" t="n">
        <v>0.7675</v>
      </c>
      <c r="AC20" s="437" t="n">
        <v>1.05</v>
      </c>
      <c r="AD20" s="437" t="n">
        <v>0.22</v>
      </c>
      <c r="AE20" s="438" t="n">
        <v>0.605</v>
      </c>
      <c r="AF20" s="438" t="n">
        <v>0.605</v>
      </c>
      <c r="AG20" s="438" t="n">
        <v>0.696</v>
      </c>
      <c r="AH20" s="438" t="n">
        <v>0.581</v>
      </c>
      <c r="AI20" s="438" t="n">
        <v>0.617</v>
      </c>
      <c r="AJ20" s="438" t="n">
        <v>0.605</v>
      </c>
      <c r="AK20" s="438" t="n">
        <v>0.605</v>
      </c>
      <c r="AL20" s="438" t="n">
        <v>0.605</v>
      </c>
      <c r="AM20" s="438" t="n">
        <v>0.605</v>
      </c>
      <c r="AN20" s="438" t="n">
        <v>0.605</v>
      </c>
      <c r="AO20" s="438" t="n">
        <v>0.605</v>
      </c>
      <c r="AP20" s="439" t="n">
        <v>0.605</v>
      </c>
      <c r="AQ20" s="439" t="n">
        <v>0.581</v>
      </c>
      <c r="AR20" s="439" t="n">
        <v>0.605</v>
      </c>
      <c r="AS20" s="439" t="n">
        <v>0.635</v>
      </c>
      <c r="AT20" s="438" t="n">
        <v>0.605</v>
      </c>
      <c r="AU20" s="438" t="n">
        <v>0.587</v>
      </c>
      <c r="AV20" s="438" t="n">
        <v>0.605</v>
      </c>
      <c r="AW20" s="440" t="n">
        <v>0.068399434497721</v>
      </c>
      <c r="AX20" s="440"/>
      <c r="AY20" s="437" t="n">
        <f aca="false">AG20</f>
        <v>0.696</v>
      </c>
      <c r="AZ20" s="437" t="n">
        <f aca="false">AG20</f>
        <v>0.696</v>
      </c>
      <c r="BA20" s="441" t="n">
        <f aca="false">AG20</f>
        <v>0.696</v>
      </c>
      <c r="BB20" s="442" t="n">
        <f aca="false">B20</f>
        <v>36892</v>
      </c>
      <c r="BC20" s="437" t="n">
        <f aca="false">(1+$AW20/2)^(-2*($B20-$BC$11)/365.25)</f>
        <v>0.977065893294469</v>
      </c>
      <c r="BD20" s="437" t="n">
        <f aca="false">(1+$AW20/2)^(-2*($B20-$BD$11)/365.25)</f>
        <v>0.97724582324272</v>
      </c>
      <c r="BF20" s="442" t="n">
        <f aca="false">B20</f>
        <v>36892</v>
      </c>
      <c r="BG20" s="418" t="n">
        <v>8</v>
      </c>
      <c r="BI20" s="450" t="n">
        <f aca="false">$C20+X20</f>
        <v>6.914</v>
      </c>
      <c r="BJ20" s="446" t="n">
        <f aca="false">$C19+Y20</f>
        <v>4.805</v>
      </c>
    </row>
    <row r="21" customFormat="false" ht="12" hidden="false" customHeight="false" outlineLevel="0" collapsed="false">
      <c r="B21" s="419" t="n">
        <f aca="false">EOMONTH(B20,0)+1</f>
        <v>36923</v>
      </c>
      <c r="C21" s="420" t="n">
        <v>4.48</v>
      </c>
      <c r="D21" s="420" t="n">
        <v>0.5925</v>
      </c>
      <c r="E21" s="420" t="n">
        <v>0.068640161611372</v>
      </c>
      <c r="F21" s="420" t="n">
        <v>-0.145</v>
      </c>
      <c r="G21" s="420" t="n">
        <v>-0.0525</v>
      </c>
      <c r="H21" s="420" t="n">
        <v>-0.145</v>
      </c>
      <c r="I21" s="420" t="n">
        <v>0.1375</v>
      </c>
      <c r="J21" s="420" t="n">
        <v>0.295</v>
      </c>
      <c r="K21" s="420" t="n">
        <v>0.415</v>
      </c>
      <c r="L21" s="420" t="n">
        <v>-0.08</v>
      </c>
      <c r="M21" s="420" t="n">
        <v>-0.0225</v>
      </c>
      <c r="N21" s="420" t="n">
        <v>-0.3875</v>
      </c>
      <c r="O21" s="420" t="n">
        <v>0.345</v>
      </c>
      <c r="P21" s="420" t="n">
        <v>0.0125</v>
      </c>
      <c r="Q21" s="420" t="n">
        <v>-0.02</v>
      </c>
      <c r="R21" s="418" t="n">
        <v>-0.0275</v>
      </c>
      <c r="S21" s="418" t="n">
        <v>-0.075</v>
      </c>
      <c r="T21" s="436" t="n">
        <v>0.035</v>
      </c>
      <c r="U21" s="418" t="n">
        <v>-0.04</v>
      </c>
      <c r="V21" s="418" t="n">
        <v>-0.135</v>
      </c>
      <c r="W21" s="418" t="n">
        <v>-0.18</v>
      </c>
      <c r="X21" s="418" t="n">
        <v>2.09</v>
      </c>
      <c r="Y21" s="418" t="n">
        <v>0.005</v>
      </c>
      <c r="Z21" s="418" t="n">
        <v>-0.3425</v>
      </c>
      <c r="AA21" s="418" t="n">
        <v>-0.0275</v>
      </c>
      <c r="AB21" s="437" t="n">
        <v>0.6175</v>
      </c>
      <c r="AC21" s="437" t="n">
        <v>1.05</v>
      </c>
      <c r="AD21" s="437" t="n">
        <v>0.24</v>
      </c>
      <c r="AE21" s="438" t="n">
        <v>0.593</v>
      </c>
      <c r="AF21" s="438" t="n">
        <v>0.593</v>
      </c>
      <c r="AG21" s="438" t="n">
        <v>0.681</v>
      </c>
      <c r="AH21" s="438" t="n">
        <v>0.569</v>
      </c>
      <c r="AI21" s="438" t="n">
        <v>0.604</v>
      </c>
      <c r="AJ21" s="438" t="n">
        <v>0.593</v>
      </c>
      <c r="AK21" s="438" t="n">
        <v>0.593</v>
      </c>
      <c r="AL21" s="438" t="n">
        <v>0.593</v>
      </c>
      <c r="AM21" s="438" t="n">
        <v>0.593</v>
      </c>
      <c r="AN21" s="438" t="n">
        <v>0.593</v>
      </c>
      <c r="AO21" s="438" t="n">
        <v>0.593</v>
      </c>
      <c r="AP21" s="439" t="n">
        <v>0.593</v>
      </c>
      <c r="AQ21" s="439" t="n">
        <v>0.569</v>
      </c>
      <c r="AR21" s="439" t="n">
        <v>0.593</v>
      </c>
      <c r="AS21" s="439" t="n">
        <v>0.622</v>
      </c>
      <c r="AT21" s="438" t="n">
        <v>0.593</v>
      </c>
      <c r="AU21" s="438" t="n">
        <v>0.575</v>
      </c>
      <c r="AV21" s="438" t="n">
        <v>0.652</v>
      </c>
      <c r="AW21" s="440" t="n">
        <v>0.068637921506616</v>
      </c>
      <c r="AX21" s="440"/>
      <c r="AY21" s="437" t="n">
        <f aca="false">AG21</f>
        <v>0.681</v>
      </c>
      <c r="AZ21" s="437" t="n">
        <f aca="false">AG21</f>
        <v>0.681</v>
      </c>
      <c r="BA21" s="441" t="n">
        <f aca="false">AG21</f>
        <v>0.681</v>
      </c>
      <c r="BB21" s="442" t="n">
        <f aca="false">B21</f>
        <v>36923</v>
      </c>
      <c r="BC21" s="437" t="n">
        <f aca="false">(1+$AW21/2)^(-2*($B21-$BC$11)/365.25)</f>
        <v>0.971408179398126</v>
      </c>
      <c r="BD21" s="437" t="n">
        <f aca="false">(1+$AW21/2)^(-2*($B21-$BD$11)/365.25)</f>
        <v>0.971587680835653</v>
      </c>
      <c r="BF21" s="442" t="n">
        <f aca="false">B21</f>
        <v>36923</v>
      </c>
      <c r="BG21" s="418" t="n">
        <v>9</v>
      </c>
      <c r="BI21" s="450" t="n">
        <f aca="false">$C21+X21</f>
        <v>6.57</v>
      </c>
      <c r="BJ21" s="446" t="n">
        <f aca="false">$C20+Y21</f>
        <v>4.749</v>
      </c>
    </row>
    <row r="22" customFormat="false" ht="12" hidden="false" customHeight="false" outlineLevel="0" collapsed="false">
      <c r="B22" s="419" t="n">
        <f aca="false">EOMONTH(B21,0)+1</f>
        <v>36951</v>
      </c>
      <c r="C22" s="420" t="n">
        <v>4.213</v>
      </c>
      <c r="D22" s="420" t="n">
        <v>0.5325</v>
      </c>
      <c r="E22" s="420" t="n">
        <v>0.068879814952707</v>
      </c>
      <c r="F22" s="420" t="n">
        <v>-0.1375</v>
      </c>
      <c r="G22" s="420" t="n">
        <v>-0.035</v>
      </c>
      <c r="H22" s="420" t="n">
        <v>-0.1375</v>
      </c>
      <c r="I22" s="420" t="n">
        <v>0.1225</v>
      </c>
      <c r="J22" s="420" t="n">
        <v>0.27</v>
      </c>
      <c r="K22" s="420" t="n">
        <v>0.36</v>
      </c>
      <c r="L22" s="420" t="n">
        <v>-0.08</v>
      </c>
      <c r="M22" s="420" t="n">
        <v>-0.0225</v>
      </c>
      <c r="N22" s="420" t="n">
        <v>-0.3975</v>
      </c>
      <c r="O22" s="420" t="n">
        <v>-0.03</v>
      </c>
      <c r="P22" s="420" t="n">
        <v>0.0125</v>
      </c>
      <c r="Q22" s="420" t="n">
        <v>-0.02</v>
      </c>
      <c r="R22" s="418" t="n">
        <v>-0.0275</v>
      </c>
      <c r="S22" s="418" t="n">
        <v>-0.075</v>
      </c>
      <c r="T22" s="418" t="n">
        <v>0.0325</v>
      </c>
      <c r="U22" s="418" t="n">
        <v>-0.04</v>
      </c>
      <c r="V22" s="418" t="n">
        <v>-0.1175</v>
      </c>
      <c r="W22" s="418" t="n">
        <v>-0.185</v>
      </c>
      <c r="X22" s="418" t="n">
        <v>1.075</v>
      </c>
      <c r="Y22" s="418" t="n">
        <v>0.005</v>
      </c>
      <c r="Z22" s="418" t="n">
        <v>-0.415</v>
      </c>
      <c r="AA22" s="418" t="n">
        <v>-0.0275</v>
      </c>
      <c r="AB22" s="437" t="n">
        <v>0.5975</v>
      </c>
      <c r="AC22" s="437" t="n">
        <v>0.72</v>
      </c>
      <c r="AD22" s="437" t="n">
        <v>0.2275</v>
      </c>
      <c r="AE22" s="438" t="n">
        <v>0.533</v>
      </c>
      <c r="AF22" s="438" t="n">
        <v>0.533</v>
      </c>
      <c r="AG22" s="438" t="n">
        <v>0.612</v>
      </c>
      <c r="AH22" s="438" t="n">
        <v>0.511</v>
      </c>
      <c r="AI22" s="438" t="n">
        <v>0.543</v>
      </c>
      <c r="AJ22" s="438" t="n">
        <v>0.533</v>
      </c>
      <c r="AK22" s="438" t="n">
        <v>0.533</v>
      </c>
      <c r="AL22" s="438" t="n">
        <v>0.533</v>
      </c>
      <c r="AM22" s="438" t="n">
        <v>0.533</v>
      </c>
      <c r="AN22" s="438" t="n">
        <v>0.533</v>
      </c>
      <c r="AO22" s="438" t="n">
        <v>0.533</v>
      </c>
      <c r="AP22" s="439" t="n">
        <v>0.533</v>
      </c>
      <c r="AQ22" s="439" t="n">
        <v>0.511</v>
      </c>
      <c r="AR22" s="439" t="n">
        <v>0.533</v>
      </c>
      <c r="AS22" s="439" t="n">
        <v>0.559</v>
      </c>
      <c r="AT22" s="438" t="n">
        <v>0.533</v>
      </c>
      <c r="AU22" s="438" t="n">
        <v>0.517</v>
      </c>
      <c r="AV22" s="438" t="n">
        <v>0.586</v>
      </c>
      <c r="AW22" s="440" t="n">
        <v>0.068853329143729</v>
      </c>
      <c r="AX22" s="440"/>
      <c r="AY22" s="437" t="n">
        <f aca="false">AG22</f>
        <v>0.612</v>
      </c>
      <c r="AZ22" s="437" t="n">
        <f aca="false">AG22</f>
        <v>0.612</v>
      </c>
      <c r="BA22" s="441" t="n">
        <f aca="false">AG22</f>
        <v>0.612</v>
      </c>
      <c r="BB22" s="442" t="n">
        <f aca="false">B22</f>
        <v>36951</v>
      </c>
      <c r="BC22" s="437" t="n">
        <f aca="false">(1+$AW22/2)^(-2*($B22-$BC$11)/365.25)</f>
        <v>0.966293652019774</v>
      </c>
      <c r="BD22" s="437" t="n">
        <f aca="false">(1+$AW22/2)^(-2*($B22-$BD$11)/365.25)</f>
        <v>0.966472759410716</v>
      </c>
      <c r="BF22" s="442" t="n">
        <f aca="false">B22</f>
        <v>36951</v>
      </c>
      <c r="BG22" s="418" t="n">
        <v>10</v>
      </c>
      <c r="BI22" s="450" t="n">
        <f aca="false">$C22+X22</f>
        <v>5.288</v>
      </c>
      <c r="BJ22" s="446" t="n">
        <f aca="false">$C21+Y22</f>
        <v>4.485</v>
      </c>
    </row>
    <row r="23" customFormat="false" ht="12" hidden="false" customHeight="false" outlineLevel="0" collapsed="false">
      <c r="B23" s="419" t="n">
        <f aca="false">EOMONTH(B22,0)+1</f>
        <v>36982</v>
      </c>
      <c r="C23" s="420" t="n">
        <v>3.938</v>
      </c>
      <c r="D23" s="420" t="n">
        <v>0.4425</v>
      </c>
      <c r="E23" s="420" t="n">
        <v>0.069061726541121</v>
      </c>
      <c r="F23" s="420" t="n">
        <v>-0.1525</v>
      </c>
      <c r="G23" s="420" t="n">
        <v>0.005</v>
      </c>
      <c r="H23" s="420" t="n">
        <v>-0.1525</v>
      </c>
      <c r="I23" s="420" t="n">
        <v>0.065</v>
      </c>
      <c r="J23" s="420" t="n">
        <v>0.195</v>
      </c>
      <c r="K23" s="420" t="n">
        <v>0.23</v>
      </c>
      <c r="L23" s="420" t="n">
        <v>-0.078</v>
      </c>
      <c r="M23" s="420" t="n">
        <v>-0.03</v>
      </c>
      <c r="N23" s="420" t="n">
        <v>-0.65</v>
      </c>
      <c r="O23" s="420" t="n">
        <v>-0.375</v>
      </c>
      <c r="P23" s="420" t="n">
        <v>0.005</v>
      </c>
      <c r="Q23" s="420" t="n">
        <v>-0.0075</v>
      </c>
      <c r="R23" s="418" t="n">
        <v>-0.025</v>
      </c>
      <c r="S23" s="418" t="n">
        <v>-0.06</v>
      </c>
      <c r="T23" s="418" t="n">
        <v>-0.1175</v>
      </c>
      <c r="U23" s="418" t="n">
        <v>-0.0225</v>
      </c>
      <c r="V23" s="418" t="n">
        <v>-0.11</v>
      </c>
      <c r="W23" s="418" t="n">
        <v>-0.14</v>
      </c>
      <c r="X23" s="418" t="n">
        <v>0.52</v>
      </c>
      <c r="Y23" s="418" t="n">
        <v>0.005</v>
      </c>
      <c r="Z23" s="418" t="n">
        <v>-0.4425</v>
      </c>
      <c r="AA23" s="418" t="n">
        <v>-0.025</v>
      </c>
      <c r="AB23" s="437" t="n">
        <v>0.59</v>
      </c>
      <c r="AC23" s="437" t="n">
        <v>0.3775</v>
      </c>
      <c r="AD23" s="437" t="n">
        <v>0.1375</v>
      </c>
      <c r="AE23" s="438" t="n">
        <v>0.443</v>
      </c>
      <c r="AF23" s="438" t="n">
        <v>0.443</v>
      </c>
      <c r="AG23" s="438" t="n">
        <v>0.434</v>
      </c>
      <c r="AH23" s="438" t="n">
        <v>0.429</v>
      </c>
      <c r="AI23" s="438" t="n">
        <v>0.451</v>
      </c>
      <c r="AJ23" s="438" t="n">
        <v>0.443</v>
      </c>
      <c r="AK23" s="438" t="n">
        <v>0.434</v>
      </c>
      <c r="AL23" s="438" t="n">
        <v>0.434</v>
      </c>
      <c r="AM23" s="438" t="n">
        <v>0.443</v>
      </c>
      <c r="AN23" s="438" t="n">
        <v>0.443</v>
      </c>
      <c r="AO23" s="438" t="n">
        <v>0.443</v>
      </c>
      <c r="AP23" s="439" t="n">
        <v>0.443</v>
      </c>
      <c r="AQ23" s="439" t="n">
        <v>0.429</v>
      </c>
      <c r="AR23" s="439" t="n">
        <v>0.443</v>
      </c>
      <c r="AS23" s="439" t="n">
        <v>0.443</v>
      </c>
      <c r="AT23" s="438" t="n">
        <v>0.443</v>
      </c>
      <c r="AU23" s="438" t="n">
        <v>0.443</v>
      </c>
      <c r="AV23" s="438" t="n">
        <v>0.434</v>
      </c>
      <c r="AW23" s="440" t="n">
        <v>0.069015986222381</v>
      </c>
      <c r="AX23" s="440"/>
      <c r="AY23" s="437" t="n">
        <f aca="false">AG23</f>
        <v>0.434</v>
      </c>
      <c r="AZ23" s="437" t="n">
        <f aca="false">AG23</f>
        <v>0.434</v>
      </c>
      <c r="BA23" s="441" t="n">
        <f aca="false">AG23</f>
        <v>0.434</v>
      </c>
      <c r="BB23" s="442" t="n">
        <f aca="false">B23</f>
        <v>36982</v>
      </c>
      <c r="BC23" s="437" t="n">
        <f aca="false">(1+$AW23/2)^(-2*($B23-$BC$11)/365.25)</f>
        <v>0.960668422504724</v>
      </c>
      <c r="BD23" s="437" t="n">
        <f aca="false">(1+$AW23/2)^(-2*($B23-$BD$11)/365.25)</f>
        <v>0.960846900868722</v>
      </c>
      <c r="BF23" s="442" t="n">
        <f aca="false">B23</f>
        <v>36982</v>
      </c>
      <c r="BG23" s="418" t="n">
        <v>11</v>
      </c>
      <c r="BI23" s="445" t="n">
        <f aca="false">$C23+X23</f>
        <v>4.458</v>
      </c>
      <c r="BJ23" s="446" t="n">
        <f aca="false">$C22+Y23</f>
        <v>4.218</v>
      </c>
    </row>
    <row r="24" customFormat="false" ht="12" hidden="false" customHeight="false" outlineLevel="0" collapsed="false">
      <c r="B24" s="419" t="n">
        <f aca="false">EOMONTH(B23,0)+1</f>
        <v>37012</v>
      </c>
      <c r="C24" s="420" t="n">
        <v>3.838</v>
      </c>
      <c r="D24" s="420" t="n">
        <v>0.405</v>
      </c>
      <c r="E24" s="420" t="n">
        <v>0.069101151219</v>
      </c>
      <c r="F24" s="420" t="n">
        <v>-0.1475</v>
      </c>
      <c r="G24" s="420" t="n">
        <v>0.0075</v>
      </c>
      <c r="H24" s="420" t="n">
        <v>-0.1475</v>
      </c>
      <c r="I24" s="420" t="n">
        <v>0.0525</v>
      </c>
      <c r="J24" s="420" t="n">
        <v>0.185</v>
      </c>
      <c r="K24" s="420" t="n">
        <v>0.22</v>
      </c>
      <c r="L24" s="420" t="n">
        <v>-0.078</v>
      </c>
      <c r="M24" s="420" t="n">
        <v>-0.03</v>
      </c>
      <c r="N24" s="420" t="n">
        <v>-0.65</v>
      </c>
      <c r="O24" s="420" t="n">
        <v>-0.375</v>
      </c>
      <c r="P24" s="420" t="n">
        <v>0.005</v>
      </c>
      <c r="Q24" s="420" t="n">
        <v>-0.0075</v>
      </c>
      <c r="R24" s="418" t="n">
        <v>-0.025</v>
      </c>
      <c r="S24" s="418" t="n">
        <v>-0.06</v>
      </c>
      <c r="T24" s="418" t="n">
        <v>-0.1125</v>
      </c>
      <c r="U24" s="418" t="n">
        <v>-0.02275</v>
      </c>
      <c r="V24" s="418" t="n">
        <v>-0.1075</v>
      </c>
      <c r="W24" s="418" t="n">
        <v>-0.14</v>
      </c>
      <c r="X24" s="418" t="n">
        <v>0.405</v>
      </c>
      <c r="Y24" s="418" t="n">
        <v>0.005</v>
      </c>
      <c r="Z24" s="418" t="n">
        <v>-0.4425</v>
      </c>
      <c r="AA24" s="418" t="n">
        <v>-0.025</v>
      </c>
      <c r="AB24" s="437" t="n">
        <v>0.6</v>
      </c>
      <c r="AC24" s="437" t="n">
        <v>0.315</v>
      </c>
      <c r="AD24" s="437" t="n">
        <v>0.125</v>
      </c>
      <c r="AE24" s="438" t="n">
        <v>0.405</v>
      </c>
      <c r="AF24" s="438" t="n">
        <v>0.405</v>
      </c>
      <c r="AG24" s="438" t="n">
        <v>0.397</v>
      </c>
      <c r="AH24" s="438" t="n">
        <v>0.393</v>
      </c>
      <c r="AI24" s="438" t="n">
        <v>0.413</v>
      </c>
      <c r="AJ24" s="438" t="n">
        <v>0.405</v>
      </c>
      <c r="AK24" s="438" t="n">
        <v>0.397</v>
      </c>
      <c r="AL24" s="438" t="n">
        <v>0.397</v>
      </c>
      <c r="AM24" s="438" t="n">
        <v>0.405</v>
      </c>
      <c r="AN24" s="438" t="n">
        <v>0.405</v>
      </c>
      <c r="AO24" s="438" t="n">
        <v>0.405</v>
      </c>
      <c r="AP24" s="439" t="n">
        <v>0.405</v>
      </c>
      <c r="AQ24" s="439" t="n">
        <v>0.393</v>
      </c>
      <c r="AR24" s="439" t="n">
        <v>0.405</v>
      </c>
      <c r="AS24" s="439" t="n">
        <v>0.405</v>
      </c>
      <c r="AT24" s="438" t="n">
        <v>0.405</v>
      </c>
      <c r="AU24" s="438" t="n">
        <v>0.405</v>
      </c>
      <c r="AV24" s="438" t="n">
        <v>0.397</v>
      </c>
      <c r="AW24" s="440" t="n">
        <v>0.06904887678972</v>
      </c>
      <c r="AX24" s="440"/>
      <c r="AY24" s="437" t="n">
        <f aca="false">AG24</f>
        <v>0.397</v>
      </c>
      <c r="AZ24" s="437" t="n">
        <f aca="false">AG24</f>
        <v>0.397</v>
      </c>
      <c r="BA24" s="441" t="n">
        <f aca="false">AG24</f>
        <v>0.397</v>
      </c>
      <c r="BB24" s="442" t="n">
        <f aca="false">B24</f>
        <v>37012</v>
      </c>
      <c r="BC24" s="437" t="n">
        <f aca="false">(1+$AW24/2)^(-2*($B24-$BC$11)/365.25)</f>
        <v>0.955309003558512</v>
      </c>
      <c r="BD24" s="437" t="n">
        <f aca="false">(1+$AW24/2)^(-2*($B24-$BD$11)/365.25)</f>
        <v>0.955486569389945</v>
      </c>
      <c r="BF24" s="442" t="n">
        <f aca="false">B24</f>
        <v>37012</v>
      </c>
      <c r="BG24" s="418" t="n">
        <v>12</v>
      </c>
      <c r="BI24" s="445" t="n">
        <f aca="false">$C24+X24</f>
        <v>4.243</v>
      </c>
      <c r="BJ24" s="446" t="n">
        <f aca="false">$C23+Y24</f>
        <v>3.943</v>
      </c>
    </row>
    <row r="25" customFormat="false" ht="12" hidden="false" customHeight="false" outlineLevel="0" collapsed="false">
      <c r="B25" s="419" t="n">
        <f aca="false">EOMONTH(B24,0)+1</f>
        <v>37043</v>
      </c>
      <c r="C25" s="420" t="n">
        <v>3.818</v>
      </c>
      <c r="D25" s="420" t="n">
        <v>0.4</v>
      </c>
      <c r="E25" s="420" t="n">
        <v>0.069141890053328</v>
      </c>
      <c r="F25" s="420" t="n">
        <v>-0.1425</v>
      </c>
      <c r="G25" s="420" t="n">
        <v>0.015</v>
      </c>
      <c r="H25" s="420" t="n">
        <v>-0.1425</v>
      </c>
      <c r="I25" s="420" t="n">
        <v>0.05</v>
      </c>
      <c r="J25" s="420" t="n">
        <v>0.185</v>
      </c>
      <c r="K25" s="420" t="n">
        <v>0.22</v>
      </c>
      <c r="L25" s="420" t="n">
        <v>-0.094</v>
      </c>
      <c r="M25" s="420" t="n">
        <v>-0.03</v>
      </c>
      <c r="N25" s="420" t="n">
        <v>-0.65</v>
      </c>
      <c r="O25" s="420" t="n">
        <v>-0.375</v>
      </c>
      <c r="P25" s="420" t="n">
        <v>0.005</v>
      </c>
      <c r="Q25" s="420" t="n">
        <v>-0.0075</v>
      </c>
      <c r="R25" s="418" t="n">
        <v>-0.025</v>
      </c>
      <c r="S25" s="418" t="n">
        <v>-0.06</v>
      </c>
      <c r="T25" s="418" t="n">
        <v>-0.1075</v>
      </c>
      <c r="U25" s="418" t="n">
        <v>-0.02275</v>
      </c>
      <c r="V25" s="418" t="n">
        <v>-0.1</v>
      </c>
      <c r="W25" s="418" t="n">
        <v>-0.14</v>
      </c>
      <c r="X25" s="418" t="n">
        <v>0.395</v>
      </c>
      <c r="Y25" s="418" t="n">
        <v>0.005</v>
      </c>
      <c r="Z25" s="418" t="n">
        <v>-0.4425</v>
      </c>
      <c r="AA25" s="418" t="n">
        <v>-0.025</v>
      </c>
      <c r="AB25" s="437" t="n">
        <v>0.62</v>
      </c>
      <c r="AC25" s="437" t="n">
        <v>0.315</v>
      </c>
      <c r="AD25" s="437" t="n">
        <v>0.12</v>
      </c>
      <c r="AE25" s="438" t="n">
        <v>0.4</v>
      </c>
      <c r="AF25" s="438" t="n">
        <v>0.4</v>
      </c>
      <c r="AG25" s="438" t="n">
        <v>0.392</v>
      </c>
      <c r="AH25" s="438" t="n">
        <v>0.388</v>
      </c>
      <c r="AI25" s="438" t="n">
        <v>0.408</v>
      </c>
      <c r="AJ25" s="438" t="n">
        <v>0.4</v>
      </c>
      <c r="AK25" s="438" t="n">
        <v>0.392</v>
      </c>
      <c r="AL25" s="438" t="n">
        <v>0.392</v>
      </c>
      <c r="AM25" s="438" t="n">
        <v>0.4</v>
      </c>
      <c r="AN25" s="438" t="n">
        <v>0.4</v>
      </c>
      <c r="AO25" s="438" t="n">
        <v>0.4</v>
      </c>
      <c r="AP25" s="439" t="n">
        <v>0.4</v>
      </c>
      <c r="AQ25" s="439" t="n">
        <v>0.388</v>
      </c>
      <c r="AR25" s="439" t="n">
        <v>0.4</v>
      </c>
      <c r="AS25" s="439" t="n">
        <v>0.4</v>
      </c>
      <c r="AT25" s="438" t="n">
        <v>0.4</v>
      </c>
      <c r="AU25" s="438" t="n">
        <v>0.4</v>
      </c>
      <c r="AV25" s="438" t="n">
        <v>0.392</v>
      </c>
      <c r="AW25" s="440" t="n">
        <v>0.069082863709679</v>
      </c>
      <c r="AX25" s="440"/>
      <c r="AY25" s="437" t="n">
        <f aca="false">AG25</f>
        <v>0.392</v>
      </c>
      <c r="AZ25" s="437" t="n">
        <f aca="false">AG25</f>
        <v>0.392</v>
      </c>
      <c r="BA25" s="441" t="n">
        <f aca="false">AG25</f>
        <v>0.392</v>
      </c>
      <c r="BB25" s="442" t="n">
        <f aca="false">B25</f>
        <v>37043</v>
      </c>
      <c r="BC25" s="437" t="n">
        <f aca="false">(1+$AW25/2)^(-2*($B25-$BC$11)/365.25)</f>
        <v>0.949797135384803</v>
      </c>
      <c r="BD25" s="437" t="n">
        <f aca="false">(1+$AW25/2)^(-2*($B25-$BD$11)/365.25)</f>
        <v>0.949973762156036</v>
      </c>
      <c r="BF25" s="442" t="n">
        <f aca="false">B25</f>
        <v>37043</v>
      </c>
      <c r="BG25" s="418" t="n">
        <v>13</v>
      </c>
      <c r="BI25" s="445" t="n">
        <f aca="false">$C25+X25</f>
        <v>4.213</v>
      </c>
      <c r="BJ25" s="446" t="n">
        <f aca="false">$C24+Y25</f>
        <v>3.843</v>
      </c>
    </row>
    <row r="26" customFormat="false" ht="12" hidden="false" customHeight="false" outlineLevel="0" collapsed="false">
      <c r="B26" s="419" t="n">
        <f aca="false">EOMONTH(B25,0)+1</f>
        <v>37073</v>
      </c>
      <c r="C26" s="420" t="n">
        <v>3.803</v>
      </c>
      <c r="D26" s="420" t="n">
        <v>0.4</v>
      </c>
      <c r="E26" s="420" t="n">
        <v>0.069181571268568</v>
      </c>
      <c r="F26" s="420" t="n">
        <v>-0.1375</v>
      </c>
      <c r="G26" s="420" t="n">
        <v>0.02</v>
      </c>
      <c r="H26" s="420" t="n">
        <v>-0.1375</v>
      </c>
      <c r="I26" s="420" t="n">
        <v>0.04</v>
      </c>
      <c r="J26" s="420" t="n">
        <v>0.185</v>
      </c>
      <c r="K26" s="420" t="n">
        <v>0.2325</v>
      </c>
      <c r="L26" s="420" t="n">
        <v>-0.087</v>
      </c>
      <c r="M26" s="420" t="n">
        <v>-0.03</v>
      </c>
      <c r="N26" s="420" t="n">
        <v>-0.685</v>
      </c>
      <c r="O26" s="420" t="n">
        <v>-0.375</v>
      </c>
      <c r="P26" s="420" t="n">
        <v>0.005</v>
      </c>
      <c r="Q26" s="420" t="n">
        <v>-0.0075</v>
      </c>
      <c r="R26" s="418" t="n">
        <v>-0.025</v>
      </c>
      <c r="S26" s="418" t="n">
        <v>-0.06</v>
      </c>
      <c r="T26" s="418" t="n">
        <v>-0.1025</v>
      </c>
      <c r="U26" s="418" t="n">
        <v>-0.02275</v>
      </c>
      <c r="V26" s="418" t="n">
        <v>-0.095</v>
      </c>
      <c r="W26" s="418" t="n">
        <v>-0.14</v>
      </c>
      <c r="X26" s="418" t="n">
        <v>0.46</v>
      </c>
      <c r="Y26" s="418" t="n">
        <v>0.005</v>
      </c>
      <c r="Z26" s="418" t="n">
        <v>-0.4425</v>
      </c>
      <c r="AA26" s="418" t="n">
        <v>-0.025</v>
      </c>
      <c r="AB26" s="437" t="n">
        <v>1.225</v>
      </c>
      <c r="AC26" s="437" t="n">
        <v>0.3275</v>
      </c>
      <c r="AD26" s="437" t="n">
        <v>0.1125</v>
      </c>
      <c r="AE26" s="438" t="n">
        <v>0.4</v>
      </c>
      <c r="AF26" s="438" t="n">
        <v>0.4</v>
      </c>
      <c r="AG26" s="438" t="n">
        <v>0.392</v>
      </c>
      <c r="AH26" s="438" t="n">
        <v>0.388</v>
      </c>
      <c r="AI26" s="438" t="n">
        <v>0.408</v>
      </c>
      <c r="AJ26" s="438" t="n">
        <v>0.4</v>
      </c>
      <c r="AK26" s="438" t="n">
        <v>0.392</v>
      </c>
      <c r="AL26" s="438" t="n">
        <v>0.392</v>
      </c>
      <c r="AM26" s="438" t="n">
        <v>0.4</v>
      </c>
      <c r="AN26" s="438" t="n">
        <v>0.4</v>
      </c>
      <c r="AO26" s="438" t="n">
        <v>0.4</v>
      </c>
      <c r="AP26" s="439" t="n">
        <v>0.4</v>
      </c>
      <c r="AQ26" s="439" t="n">
        <v>0.388</v>
      </c>
      <c r="AR26" s="439" t="n">
        <v>0.4</v>
      </c>
      <c r="AS26" s="439" t="n">
        <v>0.4</v>
      </c>
      <c r="AT26" s="438" t="n">
        <v>0.4</v>
      </c>
      <c r="AU26" s="438" t="n">
        <v>0.4</v>
      </c>
      <c r="AV26" s="438" t="n">
        <v>0.392</v>
      </c>
      <c r="AW26" s="440" t="n">
        <v>0.069112852033843</v>
      </c>
      <c r="AX26" s="440"/>
      <c r="AY26" s="437" t="n">
        <f aca="false">AG26</f>
        <v>0.392</v>
      </c>
      <c r="AZ26" s="437" t="n">
        <f aca="false">AG26</f>
        <v>0.392</v>
      </c>
      <c r="BA26" s="441" t="n">
        <f aca="false">AG26</f>
        <v>0.392</v>
      </c>
      <c r="BB26" s="442" t="n">
        <f aca="false">B26</f>
        <v>37073</v>
      </c>
      <c r="BC26" s="437" t="n">
        <f aca="false">(1+$AW26/2)^(-2*($B26-$BC$11)/365.25)</f>
        <v>0.944490563491315</v>
      </c>
      <c r="BD26" s="437" t="n">
        <f aca="false">(1+$AW26/2)^(-2*($B26-$BD$11)/365.25)</f>
        <v>0.944666278408808</v>
      </c>
      <c r="BF26" s="442" t="n">
        <f aca="false">B26</f>
        <v>37073</v>
      </c>
      <c r="BG26" s="418" t="n">
        <v>14</v>
      </c>
      <c r="BI26" s="445" t="n">
        <f aca="false">$C26+X26</f>
        <v>4.263</v>
      </c>
      <c r="BJ26" s="446" t="n">
        <f aca="false">$C25+Y26</f>
        <v>3.823</v>
      </c>
    </row>
    <row r="27" customFormat="false" ht="12" hidden="false" customHeight="false" outlineLevel="0" collapsed="false">
      <c r="B27" s="419" t="n">
        <f aca="false">EOMONTH(B26,0)+1</f>
        <v>37104</v>
      </c>
      <c r="C27" s="420" t="n">
        <v>3.808</v>
      </c>
      <c r="D27" s="420" t="n">
        <v>0.4</v>
      </c>
      <c r="E27" s="420" t="n">
        <v>0.069223060737755</v>
      </c>
      <c r="F27" s="420" t="n">
        <v>-0.1325</v>
      </c>
      <c r="G27" s="435" t="n">
        <v>0.02</v>
      </c>
      <c r="H27" s="420" t="n">
        <v>-0.1325</v>
      </c>
      <c r="I27" s="420" t="n">
        <v>0.0525</v>
      </c>
      <c r="J27" s="420" t="n">
        <v>0.185</v>
      </c>
      <c r="K27" s="420" t="n">
        <v>0.2325</v>
      </c>
      <c r="L27" s="420" t="n">
        <v>-0.078</v>
      </c>
      <c r="M27" s="420" t="n">
        <v>-0.03</v>
      </c>
      <c r="N27" s="420" t="n">
        <v>-0.685</v>
      </c>
      <c r="O27" s="420" t="n">
        <v>-0.375</v>
      </c>
      <c r="P27" s="420" t="n">
        <v>0.005</v>
      </c>
      <c r="Q27" s="420" t="n">
        <v>-0.0075</v>
      </c>
      <c r="R27" s="418" t="n">
        <v>-0.025</v>
      </c>
      <c r="S27" s="418" t="n">
        <v>-0.06</v>
      </c>
      <c r="T27" s="418" t="n">
        <v>-0.0975</v>
      </c>
      <c r="U27" s="418" t="n">
        <v>-0.02275</v>
      </c>
      <c r="V27" s="418" t="n">
        <v>-0.095</v>
      </c>
      <c r="W27" s="418" t="n">
        <v>-0.14</v>
      </c>
      <c r="X27" s="418" t="n">
        <v>0.46</v>
      </c>
      <c r="Y27" s="418" t="n">
        <v>0.005</v>
      </c>
      <c r="Z27" s="418" t="n">
        <v>-0.4425</v>
      </c>
      <c r="AA27" s="418" t="n">
        <v>-0.025</v>
      </c>
      <c r="AB27" s="437" t="n">
        <v>1.275</v>
      </c>
      <c r="AC27" s="437" t="n">
        <v>0.3275</v>
      </c>
      <c r="AD27" s="437" t="n">
        <v>0.11</v>
      </c>
      <c r="AE27" s="438" t="n">
        <v>0.4</v>
      </c>
      <c r="AF27" s="438" t="n">
        <v>0.4</v>
      </c>
      <c r="AG27" s="438" t="n">
        <v>0.392</v>
      </c>
      <c r="AH27" s="438" t="n">
        <v>0.388</v>
      </c>
      <c r="AI27" s="438" t="n">
        <v>0.408</v>
      </c>
      <c r="AJ27" s="438" t="n">
        <v>0.4</v>
      </c>
      <c r="AK27" s="438" t="n">
        <v>0.392</v>
      </c>
      <c r="AL27" s="438" t="n">
        <v>0.392</v>
      </c>
      <c r="AM27" s="438" t="n">
        <v>0.4</v>
      </c>
      <c r="AN27" s="438" t="n">
        <v>0.4</v>
      </c>
      <c r="AO27" s="438" t="n">
        <v>0.4</v>
      </c>
      <c r="AP27" s="439" t="n">
        <v>0.4</v>
      </c>
      <c r="AQ27" s="439" t="n">
        <v>0.388</v>
      </c>
      <c r="AR27" s="439" t="n">
        <v>0.4</v>
      </c>
      <c r="AS27" s="439" t="n">
        <v>0.4</v>
      </c>
      <c r="AT27" s="438" t="n">
        <v>0.4</v>
      </c>
      <c r="AU27" s="438" t="n">
        <v>0.4</v>
      </c>
      <c r="AV27" s="438" t="n">
        <v>0.392</v>
      </c>
      <c r="AW27" s="440" t="n">
        <v>0.069138395475162</v>
      </c>
      <c r="AX27" s="440"/>
      <c r="AY27" s="437" t="n">
        <f aca="false">AG27</f>
        <v>0.392</v>
      </c>
      <c r="AZ27" s="437" t="n">
        <f aca="false">AG27</f>
        <v>0.392</v>
      </c>
      <c r="BA27" s="441" t="n">
        <f aca="false">AG27</f>
        <v>0.392</v>
      </c>
      <c r="BB27" s="442" t="n">
        <f aca="false">B27</f>
        <v>37104</v>
      </c>
      <c r="BC27" s="437" t="n">
        <f aca="false">(1+$AW27/2)^(-2*($B27-$BC$11)/365.25)</f>
        <v>0.939038126906358</v>
      </c>
      <c r="BD27" s="437" t="n">
        <f aca="false">(1+$AW27/2)^(-2*($B27-$BD$11)/365.25)</f>
        <v>0.939212890930308</v>
      </c>
      <c r="BF27" s="442" t="n">
        <f aca="false">B27</f>
        <v>37104</v>
      </c>
      <c r="BG27" s="418" t="n">
        <v>15</v>
      </c>
      <c r="BI27" s="445" t="n">
        <f aca="false">$C27+X27</f>
        <v>4.268</v>
      </c>
      <c r="BJ27" s="446" t="n">
        <f aca="false">$C26+Y27</f>
        <v>3.808</v>
      </c>
    </row>
    <row r="28" customFormat="false" ht="12" hidden="false" customHeight="false" outlineLevel="0" collapsed="false">
      <c r="B28" s="419" t="n">
        <f aca="false">EOMONTH(B27,0)+1</f>
        <v>37135</v>
      </c>
      <c r="C28" s="420" t="n">
        <v>3.788</v>
      </c>
      <c r="D28" s="420" t="n">
        <v>0.4</v>
      </c>
      <c r="E28" s="420" t="n">
        <v>0.069264550207512</v>
      </c>
      <c r="F28" s="420" t="n">
        <v>-0.1275</v>
      </c>
      <c r="G28" s="420" t="n">
        <v>0.015</v>
      </c>
      <c r="H28" s="420" t="n">
        <v>-0.1275</v>
      </c>
      <c r="I28" s="420" t="n">
        <v>0.0525</v>
      </c>
      <c r="J28" s="420" t="n">
        <v>0.18</v>
      </c>
      <c r="K28" s="420" t="n">
        <v>0.21</v>
      </c>
      <c r="L28" s="420" t="n">
        <v>-0.058</v>
      </c>
      <c r="M28" s="420" t="n">
        <v>-0.03</v>
      </c>
      <c r="N28" s="420" t="n">
        <v>-0.685</v>
      </c>
      <c r="O28" s="420" t="n">
        <v>-0.375</v>
      </c>
      <c r="P28" s="420" t="n">
        <v>0.005</v>
      </c>
      <c r="Q28" s="420" t="n">
        <v>-0.0075</v>
      </c>
      <c r="R28" s="418" t="n">
        <v>-0.025</v>
      </c>
      <c r="S28" s="418" t="n">
        <v>-0.06</v>
      </c>
      <c r="T28" s="418" t="n">
        <v>-0.0925</v>
      </c>
      <c r="U28" s="418" t="n">
        <v>-0.02275</v>
      </c>
      <c r="V28" s="418" t="n">
        <v>-0.11</v>
      </c>
      <c r="W28" s="418" t="n">
        <v>-0.14</v>
      </c>
      <c r="X28" s="418" t="n">
        <v>0.395</v>
      </c>
      <c r="Y28" s="418" t="n">
        <v>0.005</v>
      </c>
      <c r="Z28" s="418" t="n">
        <v>-0.4425</v>
      </c>
      <c r="AA28" s="418" t="n">
        <v>-0.025</v>
      </c>
      <c r="AB28" s="437" t="n">
        <v>1.2525</v>
      </c>
      <c r="AC28" s="437" t="n">
        <v>0.3175</v>
      </c>
      <c r="AD28" s="437" t="n">
        <v>0.11</v>
      </c>
      <c r="AE28" s="438" t="n">
        <v>0.4</v>
      </c>
      <c r="AF28" s="438" t="n">
        <v>0.4</v>
      </c>
      <c r="AG28" s="438" t="n">
        <v>0.392</v>
      </c>
      <c r="AH28" s="438" t="n">
        <v>0.388</v>
      </c>
      <c r="AI28" s="438" t="n">
        <v>0.408</v>
      </c>
      <c r="AJ28" s="438" t="n">
        <v>0.4</v>
      </c>
      <c r="AK28" s="438" t="n">
        <v>0.392</v>
      </c>
      <c r="AL28" s="438" t="n">
        <v>0.392</v>
      </c>
      <c r="AM28" s="438" t="n">
        <v>0.4</v>
      </c>
      <c r="AN28" s="438" t="n">
        <v>0.4</v>
      </c>
      <c r="AO28" s="438" t="n">
        <v>0.4</v>
      </c>
      <c r="AP28" s="439" t="n">
        <v>0.4</v>
      </c>
      <c r="AQ28" s="439" t="n">
        <v>0.388</v>
      </c>
      <c r="AR28" s="439" t="n">
        <v>0.4</v>
      </c>
      <c r="AS28" s="439" t="n">
        <v>0.4</v>
      </c>
      <c r="AT28" s="438" t="n">
        <v>0.4</v>
      </c>
      <c r="AU28" s="438" t="n">
        <v>0.4</v>
      </c>
      <c r="AV28" s="438" t="n">
        <v>0.392</v>
      </c>
      <c r="AW28" s="440" t="n">
        <v>0.069163938916697</v>
      </c>
      <c r="AX28" s="440"/>
      <c r="AY28" s="437" t="n">
        <f aca="false">AG28</f>
        <v>0.392</v>
      </c>
      <c r="AZ28" s="437" t="n">
        <f aca="false">AG28</f>
        <v>0.392</v>
      </c>
      <c r="BA28" s="441" t="n">
        <f aca="false">AG28</f>
        <v>0.392</v>
      </c>
      <c r="BB28" s="442" t="n">
        <f aca="false">B28</f>
        <v>37135</v>
      </c>
      <c r="BC28" s="437" t="n">
        <f aca="false">(1+$AW28/2)^(-2*($B28-$BC$11)/365.25)</f>
        <v>0.93361325406633</v>
      </c>
      <c r="BD28" s="437" t="n">
        <f aca="false">(1+$AW28/2)^(-2*($B28-$BD$11)/365.25)</f>
        <v>0.933787071590421</v>
      </c>
      <c r="BF28" s="442" t="n">
        <f aca="false">B28</f>
        <v>37135</v>
      </c>
      <c r="BG28" s="418" t="n">
        <v>16</v>
      </c>
      <c r="BI28" s="445" t="n">
        <f aca="false">$C28+X28</f>
        <v>4.183</v>
      </c>
      <c r="BJ28" s="446" t="n">
        <f aca="false">$C27+Y28</f>
        <v>3.813</v>
      </c>
    </row>
    <row r="29" customFormat="false" ht="12" hidden="false" customHeight="false" outlineLevel="0" collapsed="false">
      <c r="B29" s="419" t="n">
        <f aca="false">EOMONTH(B28,0)+1</f>
        <v>37165</v>
      </c>
      <c r="C29" s="420" t="n">
        <v>3.773</v>
      </c>
      <c r="D29" s="420" t="n">
        <v>0.4025</v>
      </c>
      <c r="E29" s="420" t="n">
        <v>0.069300944538364</v>
      </c>
      <c r="F29" s="420" t="n">
        <v>-0.1225</v>
      </c>
      <c r="G29" s="420" t="n">
        <v>0.005</v>
      </c>
      <c r="H29" s="420" t="n">
        <v>-0.1225</v>
      </c>
      <c r="I29" s="420" t="n">
        <v>0.0725</v>
      </c>
      <c r="J29" s="420" t="n">
        <v>0.185</v>
      </c>
      <c r="K29" s="420" t="n">
        <v>0.23</v>
      </c>
      <c r="L29" s="420" t="n">
        <v>-0.068</v>
      </c>
      <c r="M29" s="420" t="n">
        <v>-0.03</v>
      </c>
      <c r="N29" s="420" t="n">
        <v>-0.685</v>
      </c>
      <c r="O29" s="420" t="n">
        <v>-0.375</v>
      </c>
      <c r="P29" s="420" t="n">
        <v>0.005</v>
      </c>
      <c r="Q29" s="420" t="n">
        <v>-0.0075</v>
      </c>
      <c r="R29" s="418" t="n">
        <v>-0.025</v>
      </c>
      <c r="S29" s="418" t="n">
        <v>-0.06</v>
      </c>
      <c r="T29" s="418" t="n">
        <v>-0.0875</v>
      </c>
      <c r="U29" s="418" t="n">
        <v>-0.02275</v>
      </c>
      <c r="V29" s="418" t="n">
        <v>-0.1125</v>
      </c>
      <c r="W29" s="418" t="n">
        <v>-0.14</v>
      </c>
      <c r="X29" s="418" t="n">
        <v>0.461</v>
      </c>
      <c r="Y29" s="418" t="n">
        <v>0.005</v>
      </c>
      <c r="Z29" s="418" t="n">
        <v>-0.4425</v>
      </c>
      <c r="AA29" s="418" t="n">
        <v>-0.025</v>
      </c>
      <c r="AB29" s="437" t="n">
        <v>0.7475</v>
      </c>
      <c r="AC29" s="437" t="n">
        <v>0.33</v>
      </c>
      <c r="AD29" s="437" t="n">
        <v>0.125</v>
      </c>
      <c r="AE29" s="438" t="n">
        <v>0.403</v>
      </c>
      <c r="AF29" s="438" t="n">
        <v>0.403</v>
      </c>
      <c r="AG29" s="438" t="n">
        <v>0.394</v>
      </c>
      <c r="AH29" s="438" t="n">
        <v>0.39</v>
      </c>
      <c r="AI29" s="438" t="n">
        <v>0.411</v>
      </c>
      <c r="AJ29" s="438" t="n">
        <v>0.403</v>
      </c>
      <c r="AK29" s="438" t="n">
        <v>0.394</v>
      </c>
      <c r="AL29" s="438" t="n">
        <v>0.394</v>
      </c>
      <c r="AM29" s="438" t="n">
        <v>0.403</v>
      </c>
      <c r="AN29" s="438" t="n">
        <v>0.403</v>
      </c>
      <c r="AO29" s="438" t="n">
        <v>0.403</v>
      </c>
      <c r="AP29" s="439" t="n">
        <v>0.403</v>
      </c>
      <c r="AQ29" s="439" t="n">
        <v>0.39</v>
      </c>
      <c r="AR29" s="439" t="n">
        <v>0.403</v>
      </c>
      <c r="AS29" s="439" t="n">
        <v>0.403</v>
      </c>
      <c r="AT29" s="438" t="n">
        <v>0.403</v>
      </c>
      <c r="AU29" s="438" t="n">
        <v>0.403</v>
      </c>
      <c r="AV29" s="438" t="n">
        <v>0.394</v>
      </c>
      <c r="AW29" s="440" t="n">
        <v>0.069185955527669</v>
      </c>
      <c r="AX29" s="440"/>
      <c r="AY29" s="437" t="n">
        <f aca="false">AG29</f>
        <v>0.394</v>
      </c>
      <c r="AZ29" s="437" t="n">
        <f aca="false">AG29</f>
        <v>0.394</v>
      </c>
      <c r="BA29" s="441" t="n">
        <f aca="false">AG29</f>
        <v>0.394</v>
      </c>
      <c r="BB29" s="442" t="n">
        <f aca="false">B29</f>
        <v>37165</v>
      </c>
      <c r="BC29" s="437" t="n">
        <f aca="false">(1+$AW29/2)^(-2*($B29-$BC$11)/365.25)</f>
        <v>0.92839216377376</v>
      </c>
      <c r="BD29" s="437" t="n">
        <f aca="false">(1+$AW29/2)^(-2*($B29-$BD$11)/365.25)</f>
        <v>0.928565063350762</v>
      </c>
      <c r="BF29" s="442" t="n">
        <f aca="false">B29</f>
        <v>37165</v>
      </c>
      <c r="BG29" s="418" t="n">
        <v>17</v>
      </c>
      <c r="BI29" s="445" t="n">
        <f aca="false">$C29+X29</f>
        <v>4.234</v>
      </c>
      <c r="BJ29" s="446" t="n">
        <f aca="false">$C28+Y29</f>
        <v>3.793</v>
      </c>
    </row>
    <row r="30" customFormat="false" ht="12" hidden="false" customHeight="false" outlineLevel="0" collapsed="false">
      <c r="B30" s="419" t="n">
        <f aca="false">EOMONTH(B29,0)+1</f>
        <v>37196</v>
      </c>
      <c r="C30" s="420" t="n">
        <v>3.878</v>
      </c>
      <c r="D30" s="420" t="n">
        <v>0.4025</v>
      </c>
      <c r="E30" s="420" t="n">
        <v>0.069332408860559</v>
      </c>
      <c r="F30" s="420" t="n">
        <v>-0.13</v>
      </c>
      <c r="G30" s="420" t="n">
        <v>-0.0425</v>
      </c>
      <c r="H30" s="420" t="n">
        <v>-0.13</v>
      </c>
      <c r="I30" s="420" t="n">
        <v>0.09</v>
      </c>
      <c r="J30" s="420" t="n">
        <v>0.2675</v>
      </c>
      <c r="K30" s="420" t="n">
        <v>0.285</v>
      </c>
      <c r="L30" s="420" t="n">
        <v>-0.085</v>
      </c>
      <c r="M30" s="420" t="n">
        <v>-0.0225</v>
      </c>
      <c r="N30" s="420" t="n">
        <v>-0.33</v>
      </c>
      <c r="O30" s="420" t="n">
        <v>0.19</v>
      </c>
      <c r="P30" s="420" t="n">
        <v>0.0125</v>
      </c>
      <c r="Q30" s="420" t="n">
        <v>-0.0175</v>
      </c>
      <c r="R30" s="418" t="n">
        <v>-0.028</v>
      </c>
      <c r="S30" s="418" t="n">
        <v>-0.0775</v>
      </c>
      <c r="T30" s="418" t="n">
        <v>0.0025</v>
      </c>
      <c r="U30" s="418" t="n">
        <v>-0.0375</v>
      </c>
      <c r="V30" s="418" t="n">
        <v>-0.11</v>
      </c>
      <c r="W30" s="418" t="n">
        <v>-0.14</v>
      </c>
      <c r="X30" s="418" t="n">
        <v>0.89</v>
      </c>
      <c r="Y30" s="418" t="n">
        <v>0.005</v>
      </c>
      <c r="Z30" s="418" t="n">
        <v>-0.2675</v>
      </c>
      <c r="AA30" s="418" t="n">
        <v>-0.0265</v>
      </c>
      <c r="AB30" s="437" t="n">
        <v>-1.0225</v>
      </c>
      <c r="AC30" s="437" t="n">
        <v>0.55</v>
      </c>
      <c r="AD30" s="437" t="n">
        <v>0.18</v>
      </c>
      <c r="AE30" s="438" t="n">
        <v>0.403</v>
      </c>
      <c r="AF30" s="438" t="n">
        <v>0.403</v>
      </c>
      <c r="AG30" s="438" t="n">
        <v>0.443</v>
      </c>
      <c r="AH30" s="438" t="n">
        <v>0.39</v>
      </c>
      <c r="AI30" s="438" t="n">
        <v>0.411</v>
      </c>
      <c r="AJ30" s="438" t="n">
        <v>0.403</v>
      </c>
      <c r="AK30" s="438" t="n">
        <v>0.403</v>
      </c>
      <c r="AL30" s="438" t="n">
        <v>0.403</v>
      </c>
      <c r="AM30" s="438" t="n">
        <v>0.403</v>
      </c>
      <c r="AN30" s="438" t="n">
        <v>0.403</v>
      </c>
      <c r="AO30" s="438" t="n">
        <v>0.403</v>
      </c>
      <c r="AP30" s="439" t="n">
        <v>0.403</v>
      </c>
      <c r="AQ30" s="439" t="n">
        <v>0.39</v>
      </c>
      <c r="AR30" s="439" t="n">
        <v>0.403</v>
      </c>
      <c r="AS30" s="439" t="n">
        <v>0.403</v>
      </c>
      <c r="AT30" s="438" t="n">
        <v>0.403</v>
      </c>
      <c r="AU30" s="438" t="n">
        <v>0.403</v>
      </c>
      <c r="AV30" s="438" t="n">
        <v>0.443</v>
      </c>
      <c r="AW30" s="440" t="n">
        <v>0.069204285342738</v>
      </c>
      <c r="AX30" s="440"/>
      <c r="AY30" s="437" t="n">
        <f aca="false">AG30</f>
        <v>0.443</v>
      </c>
      <c r="AZ30" s="437" t="n">
        <f aca="false">AG30</f>
        <v>0.443</v>
      </c>
      <c r="BA30" s="441" t="n">
        <f aca="false">AG30</f>
        <v>0.443</v>
      </c>
      <c r="BB30" s="442" t="n">
        <f aca="false">B30</f>
        <v>37196</v>
      </c>
      <c r="BC30" s="437" t="n">
        <f aca="false">(1+$AW30/2)^(-2*($B30-$BC$11)/365.25)</f>
        <v>0.923028963046043</v>
      </c>
      <c r="BD30" s="437" t="n">
        <f aca="false">(1+$AW30/2)^(-2*($B30-$BD$11)/365.25)</f>
        <v>0.923200908585566</v>
      </c>
      <c r="BF30" s="442" t="n">
        <f aca="false">B30</f>
        <v>37196</v>
      </c>
      <c r="BG30" s="418" t="n">
        <v>18</v>
      </c>
      <c r="BI30" s="445" t="n">
        <f aca="false">$C30+X30</f>
        <v>4.768</v>
      </c>
      <c r="BJ30" s="446" t="n">
        <f aca="false">$C29+Y30</f>
        <v>3.778</v>
      </c>
    </row>
    <row r="31" customFormat="false" ht="12" hidden="false" customHeight="false" outlineLevel="0" collapsed="false">
      <c r="B31" s="419" t="n">
        <f aca="false">EOMONTH(B30,0)+1</f>
        <v>37226</v>
      </c>
      <c r="C31" s="420" t="n">
        <v>3.968</v>
      </c>
      <c r="D31" s="420" t="n">
        <v>0.4075</v>
      </c>
      <c r="E31" s="420" t="n">
        <v>0.069362858204931</v>
      </c>
      <c r="F31" s="420" t="n">
        <v>-0.1325</v>
      </c>
      <c r="G31" s="420" t="n">
        <v>-0.065</v>
      </c>
      <c r="H31" s="420" t="n">
        <v>-0.1325</v>
      </c>
      <c r="I31" s="420" t="n">
        <v>0.13</v>
      </c>
      <c r="J31" s="420" t="n">
        <v>0.3025</v>
      </c>
      <c r="K31" s="420" t="n">
        <v>0.375</v>
      </c>
      <c r="L31" s="420" t="n">
        <v>-0.085</v>
      </c>
      <c r="M31" s="420" t="n">
        <v>-0.0225</v>
      </c>
      <c r="N31" s="420" t="n">
        <v>-0.33</v>
      </c>
      <c r="O31" s="420" t="n">
        <v>0.29</v>
      </c>
      <c r="P31" s="420" t="n">
        <v>0.0125</v>
      </c>
      <c r="Q31" s="420" t="n">
        <v>-0.0175</v>
      </c>
      <c r="R31" s="418" t="n">
        <v>-0.0255</v>
      </c>
      <c r="S31" s="418" t="n">
        <v>-0.0775</v>
      </c>
      <c r="T31" s="418" t="n">
        <v>0.0225</v>
      </c>
      <c r="U31" s="418" t="n">
        <v>-0.0375</v>
      </c>
      <c r="V31" s="418" t="n">
        <v>-0.145</v>
      </c>
      <c r="W31" s="418" t="n">
        <v>-0.135</v>
      </c>
      <c r="X31" s="418" t="n">
        <v>1.31</v>
      </c>
      <c r="Y31" s="418" t="n">
        <v>0.005</v>
      </c>
      <c r="Z31" s="418" t="n">
        <v>-0.2675</v>
      </c>
      <c r="AA31" s="418" t="n">
        <v>-0.0265</v>
      </c>
      <c r="AB31" s="437" t="n">
        <v>-1.0225</v>
      </c>
      <c r="AC31" s="437" t="n">
        <v>0.87</v>
      </c>
      <c r="AD31" s="437" t="n">
        <v>0.22</v>
      </c>
      <c r="AE31" s="438" t="n">
        <v>0.408</v>
      </c>
      <c r="AF31" s="438" t="n">
        <v>0.408</v>
      </c>
      <c r="AG31" s="438" t="n">
        <v>0.448</v>
      </c>
      <c r="AH31" s="438" t="n">
        <v>0.395</v>
      </c>
      <c r="AI31" s="438" t="n">
        <v>0.416</v>
      </c>
      <c r="AJ31" s="438" t="n">
        <v>0.408</v>
      </c>
      <c r="AK31" s="438" t="n">
        <v>0.408</v>
      </c>
      <c r="AL31" s="438" t="n">
        <v>0.408</v>
      </c>
      <c r="AM31" s="438" t="n">
        <v>0.408</v>
      </c>
      <c r="AN31" s="438" t="n">
        <v>0.408</v>
      </c>
      <c r="AO31" s="438" t="n">
        <v>0.408</v>
      </c>
      <c r="AP31" s="439" t="n">
        <v>0.408</v>
      </c>
      <c r="AQ31" s="439" t="n">
        <v>0.395</v>
      </c>
      <c r="AR31" s="439" t="n">
        <v>0.408</v>
      </c>
      <c r="AS31" s="439" t="n">
        <v>0.408</v>
      </c>
      <c r="AT31" s="438" t="n">
        <v>0.408</v>
      </c>
      <c r="AU31" s="438" t="n">
        <v>0.408</v>
      </c>
      <c r="AV31" s="438" t="n">
        <v>0.448</v>
      </c>
      <c r="AW31" s="440" t="n">
        <v>0.069222023873555</v>
      </c>
      <c r="AX31" s="440"/>
      <c r="AY31" s="437" t="n">
        <f aca="false">AG31</f>
        <v>0.448</v>
      </c>
      <c r="AZ31" s="437" t="n">
        <f aca="false">AG31</f>
        <v>0.448</v>
      </c>
      <c r="BA31" s="441" t="n">
        <f aca="false">AG31</f>
        <v>0.448</v>
      </c>
      <c r="BB31" s="442" t="n">
        <f aca="false">B31</f>
        <v>37226</v>
      </c>
      <c r="BC31" s="437" t="n">
        <f aca="false">(1+$AW31/2)^(-2*($B31-$BC$11)/365.25)</f>
        <v>0.91786564203688</v>
      </c>
      <c r="BD31" s="437" t="n">
        <f aca="false">(1+$AW31/2)^(-2*($B31-$BD$11)/365.25)</f>
        <v>0.918036668825787</v>
      </c>
      <c r="BF31" s="442" t="n">
        <f aca="false">B31</f>
        <v>37226</v>
      </c>
      <c r="BG31" s="418" t="n">
        <v>19</v>
      </c>
      <c r="BI31" s="445" t="n">
        <f aca="false">$C31+X31</f>
        <v>5.278</v>
      </c>
      <c r="BJ31" s="446" t="n">
        <f aca="false">$C30+Y31</f>
        <v>3.883</v>
      </c>
    </row>
    <row r="32" customFormat="false" ht="12" hidden="false" customHeight="false" outlineLevel="0" collapsed="false">
      <c r="B32" s="419" t="n">
        <f aca="false">EOMONTH(B31,0)+1</f>
        <v>37257</v>
      </c>
      <c r="C32" s="420" t="n">
        <v>3.94</v>
      </c>
      <c r="D32" s="420" t="n">
        <v>0.4125</v>
      </c>
      <c r="E32" s="420" t="n">
        <v>0.069402566234751</v>
      </c>
      <c r="F32" s="420" t="n">
        <v>-0.135</v>
      </c>
      <c r="G32" s="420" t="n">
        <v>-0.0675</v>
      </c>
      <c r="H32" s="420" t="n">
        <v>-0.135</v>
      </c>
      <c r="I32" s="420" t="n">
        <v>0.1425</v>
      </c>
      <c r="J32" s="420" t="n">
        <v>0.3075</v>
      </c>
      <c r="K32" s="420" t="n">
        <v>0.455</v>
      </c>
      <c r="L32" s="420" t="n">
        <v>-0.085</v>
      </c>
      <c r="M32" s="420" t="n">
        <v>-0.0205</v>
      </c>
      <c r="N32" s="420" t="n">
        <v>-0.33</v>
      </c>
      <c r="O32" s="420" t="n">
        <v>0.3</v>
      </c>
      <c r="P32" s="420" t="n">
        <v>0.0125</v>
      </c>
      <c r="Q32" s="420" t="n">
        <v>-0.0175</v>
      </c>
      <c r="R32" s="418" t="n">
        <v>-0.0255</v>
      </c>
      <c r="S32" s="418" t="n">
        <v>-0.0775</v>
      </c>
      <c r="T32" s="418" t="n">
        <v>0.035</v>
      </c>
      <c r="U32" s="418" t="n">
        <v>-0.0375</v>
      </c>
      <c r="V32" s="418" t="n">
        <v>-0.15</v>
      </c>
      <c r="W32" s="418" t="n">
        <v>-0.135</v>
      </c>
      <c r="X32" s="418" t="n">
        <v>1.56</v>
      </c>
      <c r="Y32" s="418" t="n">
        <v>0.005</v>
      </c>
      <c r="Z32" s="418" t="n">
        <v>-0.2675</v>
      </c>
      <c r="AA32" s="418" t="n">
        <v>-0.0265</v>
      </c>
      <c r="AB32" s="437" t="n">
        <v>1.0625</v>
      </c>
      <c r="AC32" s="437" t="n">
        <v>1.02</v>
      </c>
      <c r="AD32" s="437" t="n">
        <v>0.2325</v>
      </c>
      <c r="AE32" s="438" t="n">
        <v>0.413</v>
      </c>
      <c r="AF32" s="438" t="n">
        <v>0.413</v>
      </c>
      <c r="AG32" s="438" t="n">
        <v>0.454</v>
      </c>
      <c r="AH32" s="438" t="n">
        <v>0.4</v>
      </c>
      <c r="AI32" s="438" t="n">
        <v>0.421</v>
      </c>
      <c r="AJ32" s="438" t="n">
        <v>0.413</v>
      </c>
      <c r="AK32" s="438" t="n">
        <v>0.413</v>
      </c>
      <c r="AL32" s="438" t="n">
        <v>0.413</v>
      </c>
      <c r="AM32" s="438" t="n">
        <v>0.413</v>
      </c>
      <c r="AN32" s="438" t="n">
        <v>0.413</v>
      </c>
      <c r="AO32" s="438" t="n">
        <v>0.413</v>
      </c>
      <c r="AP32" s="439" t="n">
        <v>0.413</v>
      </c>
      <c r="AQ32" s="439" t="n">
        <v>0.4</v>
      </c>
      <c r="AR32" s="439" t="n">
        <v>0.413</v>
      </c>
      <c r="AS32" s="439" t="n">
        <v>0.413</v>
      </c>
      <c r="AT32" s="438" t="n">
        <v>0.413</v>
      </c>
      <c r="AU32" s="438" t="n">
        <v>0.413</v>
      </c>
      <c r="AV32" s="438" t="n">
        <v>0.413</v>
      </c>
      <c r="AW32" s="440" t="n">
        <v>0.069246747982448</v>
      </c>
      <c r="AX32" s="440"/>
      <c r="AY32" s="437" t="n">
        <f aca="false">AG32</f>
        <v>0.454</v>
      </c>
      <c r="AZ32" s="437" t="n">
        <f aca="false">AG32</f>
        <v>0.454</v>
      </c>
      <c r="BA32" s="441" t="n">
        <f aca="false">AG32</f>
        <v>0.454</v>
      </c>
      <c r="BB32" s="442" t="n">
        <f aca="false">B32</f>
        <v>37257</v>
      </c>
      <c r="BC32" s="437" t="n">
        <f aca="false">(1+$AW32/2)^(-2*($B32-$BC$11)/365.25)</f>
        <v>0.912550270145805</v>
      </c>
      <c r="BD32" s="437" t="n">
        <f aca="false">(1+$AW32/2)^(-2*($B32-$BD$11)/365.25)</f>
        <v>0.91272036623204</v>
      </c>
      <c r="BF32" s="442" t="n">
        <f aca="false">B32</f>
        <v>37257</v>
      </c>
      <c r="BG32" s="418" t="n">
        <v>20</v>
      </c>
      <c r="BI32" s="445" t="n">
        <f aca="false">$C32+X32</f>
        <v>5.5</v>
      </c>
      <c r="BJ32" s="446" t="n">
        <f aca="false">$C31+Y32</f>
        <v>3.973</v>
      </c>
    </row>
    <row r="33" customFormat="false" ht="12" hidden="false" customHeight="false" outlineLevel="0" collapsed="false">
      <c r="B33" s="419" t="n">
        <f aca="false">EOMONTH(B32,0)+1</f>
        <v>37288</v>
      </c>
      <c r="C33" s="420" t="n">
        <v>3.77</v>
      </c>
      <c r="D33" s="420" t="n">
        <v>0.395</v>
      </c>
      <c r="E33" s="420" t="n">
        <v>0.069453688628792</v>
      </c>
      <c r="F33" s="420" t="n">
        <v>-0.1375</v>
      </c>
      <c r="G33" s="420" t="n">
        <v>-0.05</v>
      </c>
      <c r="H33" s="420" t="n">
        <v>-0.1375</v>
      </c>
      <c r="I33" s="420" t="n">
        <v>0.12</v>
      </c>
      <c r="J33" s="420" t="n">
        <v>0.3075</v>
      </c>
      <c r="K33" s="420" t="n">
        <v>0.45</v>
      </c>
      <c r="L33" s="420" t="n">
        <v>-0.085</v>
      </c>
      <c r="M33" s="420" t="n">
        <v>-0.0205</v>
      </c>
      <c r="N33" s="420" t="n">
        <v>-0.33</v>
      </c>
      <c r="O33" s="420" t="n">
        <v>0.22</v>
      </c>
      <c r="P33" s="420" t="n">
        <v>0.0125</v>
      </c>
      <c r="Q33" s="420" t="n">
        <v>-0.0175</v>
      </c>
      <c r="R33" s="418" t="n">
        <v>-0.0255</v>
      </c>
      <c r="S33" s="418" t="n">
        <v>-0.0775</v>
      </c>
      <c r="T33" s="418" t="n">
        <v>0.04</v>
      </c>
      <c r="U33" s="418" t="n">
        <v>-0.0375</v>
      </c>
      <c r="V33" s="418" t="n">
        <v>-0.1325</v>
      </c>
      <c r="W33" s="418" t="n">
        <v>-0.135</v>
      </c>
      <c r="X33" s="418" t="n">
        <v>1.56</v>
      </c>
      <c r="Y33" s="418" t="n">
        <v>0.005</v>
      </c>
      <c r="Z33" s="418" t="n">
        <v>-0.2675</v>
      </c>
      <c r="AA33" s="418" t="n">
        <v>-0.0265</v>
      </c>
      <c r="AB33" s="437" t="n">
        <v>1.0625</v>
      </c>
      <c r="AC33" s="437" t="n">
        <v>1.02</v>
      </c>
      <c r="AD33" s="437" t="n">
        <v>0.21</v>
      </c>
      <c r="AE33" s="438" t="n">
        <v>0.395</v>
      </c>
      <c r="AF33" s="438" t="n">
        <v>0.395</v>
      </c>
      <c r="AG33" s="438" t="n">
        <v>0.435</v>
      </c>
      <c r="AH33" s="438" t="n">
        <v>0.383</v>
      </c>
      <c r="AI33" s="438" t="n">
        <v>0.403</v>
      </c>
      <c r="AJ33" s="438" t="n">
        <v>0.395</v>
      </c>
      <c r="AK33" s="438" t="n">
        <v>0.395</v>
      </c>
      <c r="AL33" s="438" t="n">
        <v>0.395</v>
      </c>
      <c r="AM33" s="438" t="n">
        <v>0.395</v>
      </c>
      <c r="AN33" s="438" t="n">
        <v>0.395</v>
      </c>
      <c r="AO33" s="438" t="n">
        <v>0.395</v>
      </c>
      <c r="AP33" s="439" t="n">
        <v>0.395</v>
      </c>
      <c r="AQ33" s="439" t="n">
        <v>0.383</v>
      </c>
      <c r="AR33" s="439" t="n">
        <v>0.395</v>
      </c>
      <c r="AS33" s="439" t="n">
        <v>0.395</v>
      </c>
      <c r="AT33" s="438" t="n">
        <v>0.395</v>
      </c>
      <c r="AU33" s="438" t="n">
        <v>0.395</v>
      </c>
      <c r="AV33" s="438" t="n">
        <v>0.435</v>
      </c>
      <c r="AW33" s="440" t="n">
        <v>0.069280325728939</v>
      </c>
      <c r="AX33" s="440"/>
      <c r="AY33" s="437" t="n">
        <f aca="false">AG33</f>
        <v>0.435</v>
      </c>
      <c r="AZ33" s="437" t="n">
        <f aca="false">AG33</f>
        <v>0.435</v>
      </c>
      <c r="BA33" s="441" t="n">
        <f aca="false">AG33</f>
        <v>0.435</v>
      </c>
      <c r="BB33" s="442" t="n">
        <f aca="false">B33</f>
        <v>37288</v>
      </c>
      <c r="BC33" s="437" t="n">
        <f aca="false">(1+$AW33/2)^(-2*($B33-$BC$11)/365.25)</f>
        <v>0.907250904355488</v>
      </c>
      <c r="BD33" s="437" t="n">
        <f aca="false">(1+$AW33/2)^(-2*($B33-$BD$11)/365.25)</f>
        <v>0.907420093286639</v>
      </c>
      <c r="BF33" s="442" t="n">
        <f aca="false">B33</f>
        <v>37288</v>
      </c>
      <c r="BG33" s="418" t="n">
        <v>21</v>
      </c>
      <c r="BI33" s="445" t="n">
        <f aca="false">$C33+X33</f>
        <v>5.33</v>
      </c>
      <c r="BJ33" s="446" t="n">
        <f aca="false">$C32+Y33</f>
        <v>3.945</v>
      </c>
    </row>
    <row r="34" customFormat="false" ht="12" hidden="false" customHeight="false" outlineLevel="0" collapsed="false">
      <c r="B34" s="419" t="n">
        <f aca="false">EOMONTH(B33,0)+1</f>
        <v>37316</v>
      </c>
      <c r="C34" s="420" t="n">
        <v>3.605</v>
      </c>
      <c r="D34" s="420" t="n">
        <v>0.365</v>
      </c>
      <c r="E34" s="420" t="n">
        <v>0.069499863695119</v>
      </c>
      <c r="F34" s="420" t="n">
        <v>-0.14</v>
      </c>
      <c r="G34" s="420" t="n">
        <v>-0.0375</v>
      </c>
      <c r="H34" s="420" t="n">
        <v>-0.14</v>
      </c>
      <c r="I34" s="420" t="n">
        <v>0.1175</v>
      </c>
      <c r="J34" s="420" t="n">
        <v>0.2665</v>
      </c>
      <c r="K34" s="420" t="n">
        <v>0.34</v>
      </c>
      <c r="L34" s="420" t="n">
        <v>-0.085</v>
      </c>
      <c r="M34" s="420" t="n">
        <v>-0.0205</v>
      </c>
      <c r="N34" s="420" t="n">
        <v>-0.33</v>
      </c>
      <c r="O34" s="420" t="n">
        <v>0</v>
      </c>
      <c r="P34" s="420" t="n">
        <v>0.0125</v>
      </c>
      <c r="Q34" s="420" t="n">
        <v>-0.0175</v>
      </c>
      <c r="R34" s="418" t="n">
        <v>-0.0255</v>
      </c>
      <c r="S34" s="418" t="n">
        <v>-0.0775</v>
      </c>
      <c r="T34" s="418" t="n">
        <v>0.0375</v>
      </c>
      <c r="U34" s="418" t="n">
        <v>-0.0375</v>
      </c>
      <c r="V34" s="418" t="n">
        <v>-0.115</v>
      </c>
      <c r="W34" s="418" t="n">
        <v>-0.14</v>
      </c>
      <c r="X34" s="418" t="n">
        <v>0.99</v>
      </c>
      <c r="Y34" s="418" t="n">
        <v>0.005</v>
      </c>
      <c r="Z34" s="418" t="n">
        <v>-0.2675</v>
      </c>
      <c r="AA34" s="418" t="n">
        <v>-0.0265</v>
      </c>
      <c r="AB34" s="437" t="n">
        <v>1.0625</v>
      </c>
      <c r="AC34" s="437" t="n">
        <v>0.7025</v>
      </c>
      <c r="AD34" s="437" t="n">
        <v>0.2075</v>
      </c>
      <c r="AE34" s="438" t="n">
        <v>0.365</v>
      </c>
      <c r="AF34" s="438" t="n">
        <v>0.365</v>
      </c>
      <c r="AG34" s="438" t="n">
        <v>0.402</v>
      </c>
      <c r="AH34" s="438" t="n">
        <v>0.354</v>
      </c>
      <c r="AI34" s="438" t="n">
        <v>0.372</v>
      </c>
      <c r="AJ34" s="438" t="n">
        <v>0.365</v>
      </c>
      <c r="AK34" s="438" t="n">
        <v>0.365</v>
      </c>
      <c r="AL34" s="438" t="n">
        <v>0.365</v>
      </c>
      <c r="AM34" s="438" t="n">
        <v>0.365</v>
      </c>
      <c r="AN34" s="438" t="n">
        <v>0.365</v>
      </c>
      <c r="AO34" s="438" t="n">
        <v>0.365</v>
      </c>
      <c r="AP34" s="439" t="n">
        <v>0.365</v>
      </c>
      <c r="AQ34" s="439" t="n">
        <v>0.354</v>
      </c>
      <c r="AR34" s="439" t="n">
        <v>0.365</v>
      </c>
      <c r="AS34" s="439" t="n">
        <v>0.365</v>
      </c>
      <c r="AT34" s="438" t="n">
        <v>0.365</v>
      </c>
      <c r="AU34" s="438" t="n">
        <v>0.365</v>
      </c>
      <c r="AV34" s="438" t="n">
        <v>0.402</v>
      </c>
      <c r="AW34" s="440" t="n">
        <v>0.069310654016413</v>
      </c>
      <c r="AX34" s="440"/>
      <c r="AY34" s="437" t="n">
        <f aca="false">AG34</f>
        <v>0.402</v>
      </c>
      <c r="AZ34" s="437" t="n">
        <f aca="false">AG34</f>
        <v>0.402</v>
      </c>
      <c r="BA34" s="441" t="n">
        <f aca="false">AG34</f>
        <v>0.402</v>
      </c>
      <c r="BB34" s="442" t="n">
        <f aca="false">B34</f>
        <v>37316</v>
      </c>
      <c r="BC34" s="437" t="n">
        <f aca="false">(1+$AW34/2)^(-2*($B34-$BC$11)/365.25)</f>
        <v>0.902486564010168</v>
      </c>
      <c r="BD34" s="437" t="n">
        <f aca="false">(1+$AW34/2)^(-2*($B34-$BD$11)/365.25)</f>
        <v>0.902654936903426</v>
      </c>
      <c r="BF34" s="442" t="n">
        <f aca="false">B34</f>
        <v>37316</v>
      </c>
      <c r="BG34" s="418" t="n">
        <v>22</v>
      </c>
      <c r="BI34" s="445" t="n">
        <f aca="false">$C34+X34</f>
        <v>4.595</v>
      </c>
      <c r="BJ34" s="446" t="n">
        <f aca="false">$C33+Y34</f>
        <v>3.775</v>
      </c>
    </row>
    <row r="35" customFormat="false" ht="12" hidden="false" customHeight="false" outlineLevel="0" collapsed="false">
      <c r="B35" s="419" t="n">
        <f aca="false">EOMONTH(B34,0)+1</f>
        <v>37347</v>
      </c>
      <c r="C35" s="420" t="n">
        <v>3.43</v>
      </c>
      <c r="D35" s="420" t="n">
        <v>0.3</v>
      </c>
      <c r="E35" s="420" t="n">
        <v>0.069530816323869</v>
      </c>
      <c r="F35" s="420" t="n">
        <v>-0.1325</v>
      </c>
      <c r="G35" s="420" t="n">
        <v>0.015</v>
      </c>
      <c r="H35" s="420" t="n">
        <v>-0.1325</v>
      </c>
      <c r="I35" s="420" t="n">
        <v>0.0675</v>
      </c>
      <c r="J35" s="420" t="n">
        <v>0.195</v>
      </c>
      <c r="K35" s="420" t="n">
        <v>0.25</v>
      </c>
      <c r="L35" s="420" t="n">
        <v>-0.078</v>
      </c>
      <c r="M35" s="420" t="n">
        <v>-0.028</v>
      </c>
      <c r="N35" s="420" t="n">
        <v>-0.52</v>
      </c>
      <c r="O35" s="420" t="n">
        <v>-0.385</v>
      </c>
      <c r="P35" s="420" t="n">
        <v>0.006</v>
      </c>
      <c r="Q35" s="420" t="n">
        <v>-0.0075</v>
      </c>
      <c r="R35" s="418" t="n">
        <v>-0.025</v>
      </c>
      <c r="S35" s="418" t="n">
        <v>-0.06</v>
      </c>
      <c r="T35" s="418" t="n">
        <v>-0.06</v>
      </c>
      <c r="U35" s="418" t="n">
        <v>-0.02</v>
      </c>
      <c r="V35" s="418" t="n">
        <v>-0.1075</v>
      </c>
      <c r="W35" s="418" t="n">
        <v>-0.1275</v>
      </c>
      <c r="X35" s="418" t="n">
        <v>0.45</v>
      </c>
      <c r="Y35" s="418" t="n">
        <v>0.006</v>
      </c>
      <c r="Z35" s="418" t="n">
        <v>-0.25</v>
      </c>
      <c r="AA35" s="418" t="n">
        <v>-0.024</v>
      </c>
      <c r="AB35" s="437" t="n">
        <v>-0.32</v>
      </c>
      <c r="AC35" s="437" t="n">
        <v>0.335</v>
      </c>
      <c r="AD35" s="437" t="n">
        <v>0.1375</v>
      </c>
      <c r="AE35" s="438" t="n">
        <v>0.3</v>
      </c>
      <c r="AF35" s="438" t="n">
        <v>0.3</v>
      </c>
      <c r="AG35" s="438" t="n">
        <v>0.294</v>
      </c>
      <c r="AH35" s="438" t="n">
        <v>0.3</v>
      </c>
      <c r="AI35" s="438" t="n">
        <v>0.306</v>
      </c>
      <c r="AJ35" s="438" t="n">
        <v>0.3</v>
      </c>
      <c r="AK35" s="438" t="n">
        <v>0.294</v>
      </c>
      <c r="AL35" s="438" t="n">
        <v>0.294</v>
      </c>
      <c r="AM35" s="438" t="n">
        <v>0.3</v>
      </c>
      <c r="AN35" s="438" t="n">
        <v>0.3</v>
      </c>
      <c r="AO35" s="438" t="n">
        <v>0.3</v>
      </c>
      <c r="AP35" s="439" t="n">
        <v>0.3</v>
      </c>
      <c r="AQ35" s="439" t="n">
        <v>0.3</v>
      </c>
      <c r="AR35" s="439" t="n">
        <v>0.3</v>
      </c>
      <c r="AS35" s="439" t="n">
        <v>0.3</v>
      </c>
      <c r="AT35" s="438" t="n">
        <v>0.3</v>
      </c>
      <c r="AU35" s="438" t="n">
        <v>0.3</v>
      </c>
      <c r="AV35" s="438" t="n">
        <v>0.294</v>
      </c>
      <c r="AW35" s="440" t="n">
        <v>0.069327187093251</v>
      </c>
      <c r="AX35" s="440"/>
      <c r="AY35" s="437" t="n">
        <f aca="false">AG35</f>
        <v>0.294</v>
      </c>
      <c r="AZ35" s="437" t="n">
        <f aca="false">AG35</f>
        <v>0.294</v>
      </c>
      <c r="BA35" s="441" t="n">
        <f aca="false">AG35</f>
        <v>0.294</v>
      </c>
      <c r="BB35" s="442" t="n">
        <f aca="false">B35</f>
        <v>37347</v>
      </c>
      <c r="BC35" s="437" t="n">
        <f aca="false">(1+$AW35/2)^(-2*($B35-$BC$11)/365.25)</f>
        <v>0.89725974615522</v>
      </c>
      <c r="BD35" s="437" t="n">
        <f aca="false">(1+$AW35/2)^(-2*($B35-$BD$11)/365.25)</f>
        <v>0.897427183165733</v>
      </c>
      <c r="BF35" s="442" t="n">
        <f aca="false">B35</f>
        <v>37347</v>
      </c>
      <c r="BG35" s="418" t="n">
        <v>23</v>
      </c>
      <c r="BI35" s="445" t="n">
        <f aca="false">$C35+X35</f>
        <v>3.88</v>
      </c>
      <c r="BJ35" s="446" t="n">
        <f aca="false">$C34+Y35</f>
        <v>3.611</v>
      </c>
    </row>
    <row r="36" customFormat="false" ht="12" hidden="false" customHeight="false" outlineLevel="0" collapsed="false">
      <c r="B36" s="419" t="n">
        <f aca="false">EOMONTH(B35,0)+1</f>
        <v>37377</v>
      </c>
      <c r="C36" s="420" t="n">
        <v>3.348</v>
      </c>
      <c r="D36" s="420" t="n">
        <v>0.285</v>
      </c>
      <c r="E36" s="420" t="n">
        <v>0.069531303989146</v>
      </c>
      <c r="F36" s="420" t="n">
        <v>-0.1325</v>
      </c>
      <c r="G36" s="420" t="n">
        <v>0.015</v>
      </c>
      <c r="H36" s="420" t="n">
        <v>-0.1325</v>
      </c>
      <c r="I36" s="420" t="n">
        <v>0.0575</v>
      </c>
      <c r="J36" s="420" t="n">
        <v>0.1825</v>
      </c>
      <c r="K36" s="420" t="n">
        <v>0.2025</v>
      </c>
      <c r="L36" s="420" t="n">
        <v>-0.078</v>
      </c>
      <c r="M36" s="420" t="n">
        <v>-0.028</v>
      </c>
      <c r="N36" s="420" t="n">
        <v>-0.52</v>
      </c>
      <c r="O36" s="420" t="n">
        <v>-0.385</v>
      </c>
      <c r="P36" s="420" t="n">
        <v>0.006</v>
      </c>
      <c r="Q36" s="420" t="n">
        <v>-0.0075</v>
      </c>
      <c r="R36" s="418" t="n">
        <v>-0.025</v>
      </c>
      <c r="S36" s="418" t="n">
        <v>-0.06</v>
      </c>
      <c r="T36" s="418" t="n">
        <v>-0.075</v>
      </c>
      <c r="U36" s="418" t="n">
        <v>-0.02025</v>
      </c>
      <c r="V36" s="418" t="n">
        <v>-0.1075</v>
      </c>
      <c r="W36" s="418" t="n">
        <v>-0.1275</v>
      </c>
      <c r="X36" s="418" t="n">
        <v>0.405</v>
      </c>
      <c r="Y36" s="418" t="n">
        <v>0.006</v>
      </c>
      <c r="Z36" s="418" t="n">
        <v>-0.25</v>
      </c>
      <c r="AA36" s="418" t="n">
        <v>-0.024</v>
      </c>
      <c r="AB36" s="437" t="n">
        <v>-0.32</v>
      </c>
      <c r="AC36" s="437" t="n">
        <v>0.2675</v>
      </c>
      <c r="AD36" s="437" t="n">
        <v>0.1275</v>
      </c>
      <c r="AE36" s="438" t="n">
        <v>0.285</v>
      </c>
      <c r="AF36" s="438" t="n">
        <v>0.285</v>
      </c>
      <c r="AG36" s="438" t="n">
        <v>0.279</v>
      </c>
      <c r="AH36" s="438" t="n">
        <v>0.285</v>
      </c>
      <c r="AI36" s="438" t="n">
        <v>0.291</v>
      </c>
      <c r="AJ36" s="438" t="n">
        <v>0.285</v>
      </c>
      <c r="AK36" s="438" t="n">
        <v>0.279</v>
      </c>
      <c r="AL36" s="438" t="n">
        <v>0.279</v>
      </c>
      <c r="AM36" s="438" t="n">
        <v>0.285</v>
      </c>
      <c r="AN36" s="438" t="n">
        <v>0.285</v>
      </c>
      <c r="AO36" s="438" t="n">
        <v>0.285</v>
      </c>
      <c r="AP36" s="439" t="n">
        <v>0.285</v>
      </c>
      <c r="AQ36" s="439" t="n">
        <v>0.285</v>
      </c>
      <c r="AR36" s="439" t="n">
        <v>0.285</v>
      </c>
      <c r="AS36" s="439" t="n">
        <v>0.285</v>
      </c>
      <c r="AT36" s="438" t="n">
        <v>0.285</v>
      </c>
      <c r="AU36" s="438" t="n">
        <v>0.285</v>
      </c>
      <c r="AV36" s="438" t="n">
        <v>0.279</v>
      </c>
      <c r="AW36" s="440" t="n">
        <v>0.06931807604022</v>
      </c>
      <c r="AX36" s="440"/>
      <c r="AY36" s="437" t="n">
        <f aca="false">AG36</f>
        <v>0.279</v>
      </c>
      <c r="AZ36" s="437" t="n">
        <f aca="false">AG36</f>
        <v>0.279</v>
      </c>
      <c r="BA36" s="441" t="n">
        <f aca="false">AG36</f>
        <v>0.279</v>
      </c>
      <c r="BB36" s="442" t="n">
        <f aca="false">B36</f>
        <v>37377</v>
      </c>
      <c r="BC36" s="437" t="n">
        <f aca="false">(1+$AW36/2)^(-2*($B36-$BC$11)/365.25)</f>
        <v>0.892264279548998</v>
      </c>
      <c r="BD36" s="437" t="n">
        <f aca="false">(1+$AW36/2)^(-2*($B36-$BD$11)/365.25)</f>
        <v>0.892430762843339</v>
      </c>
      <c r="BF36" s="442" t="n">
        <f aca="false">B36</f>
        <v>37377</v>
      </c>
      <c r="BG36" s="418" t="n">
        <v>24</v>
      </c>
      <c r="BI36" s="445" t="n">
        <f aca="false">$C36+X36</f>
        <v>3.753</v>
      </c>
      <c r="BJ36" s="446" t="n">
        <f aca="false">$C35+Y36</f>
        <v>3.436</v>
      </c>
    </row>
    <row r="37" customFormat="false" ht="12" hidden="false" customHeight="false" outlineLevel="0" collapsed="false">
      <c r="B37" s="419" t="n">
        <f aca="false">EOMONTH(B36,0)+1</f>
        <v>37408</v>
      </c>
      <c r="C37" s="420" t="n">
        <v>3.325</v>
      </c>
      <c r="D37" s="420" t="n">
        <v>0.2825</v>
      </c>
      <c r="E37" s="420" t="n">
        <v>0.069531807909932</v>
      </c>
      <c r="F37" s="420" t="n">
        <v>-0.1325</v>
      </c>
      <c r="G37" s="420" t="n">
        <v>0.02</v>
      </c>
      <c r="H37" s="420" t="n">
        <v>-0.1325</v>
      </c>
      <c r="I37" s="420" t="n">
        <v>0.0525</v>
      </c>
      <c r="J37" s="420" t="n">
        <v>0.1825</v>
      </c>
      <c r="K37" s="420" t="n">
        <v>0.2025</v>
      </c>
      <c r="L37" s="420" t="n">
        <v>-0.094</v>
      </c>
      <c r="M37" s="420" t="n">
        <v>-0.028</v>
      </c>
      <c r="N37" s="420" t="n">
        <v>-0.52</v>
      </c>
      <c r="O37" s="420" t="n">
        <v>-0.385</v>
      </c>
      <c r="P37" s="420" t="n">
        <v>0.006</v>
      </c>
      <c r="Q37" s="420" t="n">
        <v>-0.0075</v>
      </c>
      <c r="R37" s="418" t="n">
        <v>-0.025</v>
      </c>
      <c r="S37" s="418" t="n">
        <v>-0.06</v>
      </c>
      <c r="T37" s="418" t="n">
        <v>-0.085</v>
      </c>
      <c r="U37" s="418" t="n">
        <v>-0.02025</v>
      </c>
      <c r="V37" s="418" t="n">
        <v>-0.0975</v>
      </c>
      <c r="W37" s="418" t="n">
        <v>-0.1275</v>
      </c>
      <c r="X37" s="418" t="n">
        <v>0.395</v>
      </c>
      <c r="Y37" s="418" t="n">
        <v>0.006</v>
      </c>
      <c r="Z37" s="418" t="n">
        <v>-0.25</v>
      </c>
      <c r="AA37" s="418" t="n">
        <v>-0.024</v>
      </c>
      <c r="AB37" s="437" t="n">
        <v>-0.32</v>
      </c>
      <c r="AC37" s="437" t="n">
        <v>0.2675</v>
      </c>
      <c r="AD37" s="437" t="n">
        <v>0.1225</v>
      </c>
      <c r="AE37" s="438" t="n">
        <v>0.283</v>
      </c>
      <c r="AF37" s="438" t="n">
        <v>0.283</v>
      </c>
      <c r="AG37" s="438" t="n">
        <v>0.277</v>
      </c>
      <c r="AH37" s="438" t="n">
        <v>0.283</v>
      </c>
      <c r="AI37" s="438" t="n">
        <v>0.288</v>
      </c>
      <c r="AJ37" s="438" t="n">
        <v>0.283</v>
      </c>
      <c r="AK37" s="438" t="n">
        <v>0.277</v>
      </c>
      <c r="AL37" s="438" t="n">
        <v>0.277</v>
      </c>
      <c r="AM37" s="438" t="n">
        <v>0.283</v>
      </c>
      <c r="AN37" s="438" t="n">
        <v>0.283</v>
      </c>
      <c r="AO37" s="438" t="n">
        <v>0.283</v>
      </c>
      <c r="AP37" s="439" t="n">
        <v>0.283</v>
      </c>
      <c r="AQ37" s="439" t="n">
        <v>0.283</v>
      </c>
      <c r="AR37" s="439" t="n">
        <v>0.283</v>
      </c>
      <c r="AS37" s="439" t="n">
        <v>0.283</v>
      </c>
      <c r="AT37" s="438" t="n">
        <v>0.283</v>
      </c>
      <c r="AU37" s="438" t="n">
        <v>0.283</v>
      </c>
      <c r="AV37" s="438" t="n">
        <v>0.277</v>
      </c>
      <c r="AW37" s="440" t="n">
        <v>0.06930866128545</v>
      </c>
      <c r="AX37" s="440"/>
      <c r="AY37" s="437" t="n">
        <f aca="false">AG37</f>
        <v>0.277</v>
      </c>
      <c r="AZ37" s="437" t="n">
        <f aca="false">AG37</f>
        <v>0.277</v>
      </c>
      <c r="BA37" s="441" t="n">
        <f aca="false">AG37</f>
        <v>0.277</v>
      </c>
      <c r="BB37" s="442" t="n">
        <f aca="false">B37</f>
        <v>37408</v>
      </c>
      <c r="BC37" s="437" t="n">
        <f aca="false">(1+$AW37/2)^(-2*($B37-$BC$11)/365.25)</f>
        <v>0.887132861960967</v>
      </c>
      <c r="BD37" s="437" t="n">
        <f aca="false">(1+$AW37/2)^(-2*($B37-$BD$11)/365.25)</f>
        <v>0.88729836570373</v>
      </c>
      <c r="BF37" s="442" t="n">
        <f aca="false">B37</f>
        <v>37408</v>
      </c>
      <c r="BG37" s="418" t="n">
        <v>25</v>
      </c>
      <c r="BI37" s="445" t="n">
        <f aca="false">$C37+X37</f>
        <v>3.72</v>
      </c>
      <c r="BJ37" s="446" t="n">
        <f aca="false">$C36+Y37</f>
        <v>3.354</v>
      </c>
    </row>
    <row r="38" customFormat="false" ht="12" hidden="false" customHeight="false" outlineLevel="0" collapsed="false">
      <c r="B38" s="419" t="n">
        <f aca="false">EOMONTH(B37,0)+1</f>
        <v>37438</v>
      </c>
      <c r="C38" s="420" t="n">
        <v>3.313</v>
      </c>
      <c r="D38" s="420" t="n">
        <v>0.2825</v>
      </c>
      <c r="E38" s="420" t="n">
        <v>0.069530816511165</v>
      </c>
      <c r="F38" s="420" t="n">
        <v>-0.1325</v>
      </c>
      <c r="G38" s="420" t="n">
        <v>0.0225</v>
      </c>
      <c r="H38" s="420" t="n">
        <v>-0.1325</v>
      </c>
      <c r="I38" s="420" t="n">
        <v>0.0425</v>
      </c>
      <c r="J38" s="420" t="n">
        <v>0.1825</v>
      </c>
      <c r="K38" s="420" t="n">
        <v>0.215</v>
      </c>
      <c r="L38" s="420" t="n">
        <v>-0.087</v>
      </c>
      <c r="M38" s="420" t="n">
        <v>-0.028</v>
      </c>
      <c r="N38" s="420" t="n">
        <v>-0.52</v>
      </c>
      <c r="O38" s="420" t="n">
        <v>-0.385</v>
      </c>
      <c r="P38" s="420" t="n">
        <v>0.006</v>
      </c>
      <c r="Q38" s="420" t="n">
        <v>-0.0075</v>
      </c>
      <c r="R38" s="418" t="n">
        <v>-0.025</v>
      </c>
      <c r="S38" s="418" t="n">
        <v>-0.06</v>
      </c>
      <c r="T38" s="418" t="n">
        <v>-0.085</v>
      </c>
      <c r="U38" s="418" t="n">
        <v>-0.02025</v>
      </c>
      <c r="V38" s="418" t="n">
        <v>-0.0925</v>
      </c>
      <c r="W38" s="418" t="n">
        <v>-0.1275</v>
      </c>
      <c r="X38" s="418" t="n">
        <v>0.43</v>
      </c>
      <c r="Y38" s="418" t="n">
        <v>0.006</v>
      </c>
      <c r="Z38" s="418" t="n">
        <v>-0.25</v>
      </c>
      <c r="AA38" s="418" t="n">
        <v>-0.024</v>
      </c>
      <c r="AB38" s="437" t="n">
        <v>-0.32</v>
      </c>
      <c r="AC38" s="437" t="n">
        <v>0.28</v>
      </c>
      <c r="AD38" s="437" t="n">
        <v>0.1125</v>
      </c>
      <c r="AE38" s="438" t="n">
        <v>0.283</v>
      </c>
      <c r="AF38" s="438" t="n">
        <v>0.283</v>
      </c>
      <c r="AG38" s="438" t="n">
        <v>0.277</v>
      </c>
      <c r="AH38" s="438" t="n">
        <v>0.283</v>
      </c>
      <c r="AI38" s="438" t="n">
        <v>0.288</v>
      </c>
      <c r="AJ38" s="438" t="n">
        <v>0.283</v>
      </c>
      <c r="AK38" s="438" t="n">
        <v>0.277</v>
      </c>
      <c r="AL38" s="438" t="n">
        <v>0.277</v>
      </c>
      <c r="AM38" s="438" t="n">
        <v>0.283</v>
      </c>
      <c r="AN38" s="438" t="n">
        <v>0.283</v>
      </c>
      <c r="AO38" s="438" t="n">
        <v>0.283</v>
      </c>
      <c r="AP38" s="439" t="n">
        <v>0.283</v>
      </c>
      <c r="AQ38" s="439" t="n">
        <v>0.283</v>
      </c>
      <c r="AR38" s="439" t="n">
        <v>0.283</v>
      </c>
      <c r="AS38" s="439" t="n">
        <v>0.283</v>
      </c>
      <c r="AT38" s="438" t="n">
        <v>0.283</v>
      </c>
      <c r="AU38" s="438" t="n">
        <v>0.283</v>
      </c>
      <c r="AV38" s="438" t="n">
        <v>0.277</v>
      </c>
      <c r="AW38" s="440" t="n">
        <v>0.069298174796184</v>
      </c>
      <c r="AX38" s="440"/>
      <c r="AY38" s="437" t="n">
        <f aca="false">AG38</f>
        <v>0.277</v>
      </c>
      <c r="AZ38" s="437" t="n">
        <f aca="false">AG38</f>
        <v>0.277</v>
      </c>
      <c r="BA38" s="441" t="n">
        <f aca="false">AG38</f>
        <v>0.277</v>
      </c>
      <c r="BB38" s="442" t="n">
        <f aca="false">B38</f>
        <v>37438</v>
      </c>
      <c r="BC38" s="437" t="n">
        <f aca="false">(1+$AW38/2)^(-2*($B38-$BC$11)/365.25)</f>
        <v>0.882198529117636</v>
      </c>
      <c r="BD38" s="437" t="n">
        <f aca="false">(1+$AW38/2)^(-2*($B38-$BD$11)/365.25)</f>
        <v>0.882363087825349</v>
      </c>
      <c r="BF38" s="442" t="n">
        <f aca="false">B38</f>
        <v>37438</v>
      </c>
      <c r="BG38" s="418" t="n">
        <v>26</v>
      </c>
      <c r="BI38" s="445" t="n">
        <f aca="false">$C38+X38</f>
        <v>3.743</v>
      </c>
      <c r="BJ38" s="446" t="n">
        <f aca="false">$C37+Y38</f>
        <v>3.331</v>
      </c>
    </row>
    <row r="39" customFormat="false" ht="12" hidden="false" customHeight="false" outlineLevel="0" collapsed="false">
      <c r="B39" s="419" t="n">
        <f aca="false">EOMONTH(B38,0)+1</f>
        <v>37469</v>
      </c>
      <c r="C39" s="420" t="n">
        <v>3.318</v>
      </c>
      <c r="D39" s="420" t="n">
        <v>0.2825</v>
      </c>
      <c r="E39" s="420" t="n">
        <v>0.069527358699475</v>
      </c>
      <c r="F39" s="420" t="n">
        <v>-0.1325</v>
      </c>
      <c r="G39" s="420" t="n">
        <v>0.025</v>
      </c>
      <c r="H39" s="420" t="n">
        <v>-0.1325</v>
      </c>
      <c r="I39" s="420" t="n">
        <v>0.04</v>
      </c>
      <c r="J39" s="420" t="n">
        <v>0.1825</v>
      </c>
      <c r="K39" s="420" t="n">
        <v>0.215</v>
      </c>
      <c r="L39" s="420" t="n">
        <v>-0.078</v>
      </c>
      <c r="M39" s="420" t="n">
        <v>-0.028</v>
      </c>
      <c r="N39" s="420" t="n">
        <v>-0.52</v>
      </c>
      <c r="O39" s="420" t="n">
        <v>-0.385</v>
      </c>
      <c r="P39" s="420" t="n">
        <v>0.006</v>
      </c>
      <c r="Q39" s="420" t="n">
        <v>-0.0075</v>
      </c>
      <c r="R39" s="418" t="n">
        <v>-0.025</v>
      </c>
      <c r="S39" s="418" t="n">
        <v>-0.06</v>
      </c>
      <c r="T39" s="418" t="n">
        <v>-0.085</v>
      </c>
      <c r="U39" s="418" t="n">
        <v>-0.02025</v>
      </c>
      <c r="V39" s="418" t="n">
        <v>-0.0925</v>
      </c>
      <c r="W39" s="418" t="n">
        <v>-0.1275</v>
      </c>
      <c r="X39" s="418" t="n">
        <v>0.495</v>
      </c>
      <c r="Y39" s="418" t="n">
        <v>0.006</v>
      </c>
      <c r="Z39" s="418" t="n">
        <v>-0.25</v>
      </c>
      <c r="AA39" s="418" t="n">
        <v>-0.024</v>
      </c>
      <c r="AB39" s="437" t="n">
        <v>-0.32</v>
      </c>
      <c r="AC39" s="437" t="n">
        <v>0.28</v>
      </c>
      <c r="AD39" s="437" t="n">
        <v>0.11</v>
      </c>
      <c r="AE39" s="438" t="n">
        <v>0.283</v>
      </c>
      <c r="AF39" s="438" t="n">
        <v>0.283</v>
      </c>
      <c r="AG39" s="438" t="n">
        <v>0.277</v>
      </c>
      <c r="AH39" s="438" t="n">
        <v>0.283</v>
      </c>
      <c r="AI39" s="438" t="n">
        <v>0.288</v>
      </c>
      <c r="AJ39" s="438" t="n">
        <v>0.283</v>
      </c>
      <c r="AK39" s="438" t="n">
        <v>0.277</v>
      </c>
      <c r="AL39" s="438" t="n">
        <v>0.277</v>
      </c>
      <c r="AM39" s="438" t="n">
        <v>0.283</v>
      </c>
      <c r="AN39" s="438" t="n">
        <v>0.283</v>
      </c>
      <c r="AO39" s="438" t="n">
        <v>0.283</v>
      </c>
      <c r="AP39" s="439" t="n">
        <v>0.283</v>
      </c>
      <c r="AQ39" s="439" t="n">
        <v>0.283</v>
      </c>
      <c r="AR39" s="439" t="n">
        <v>0.283</v>
      </c>
      <c r="AS39" s="439" t="n">
        <v>0.283</v>
      </c>
      <c r="AT39" s="438" t="n">
        <v>0.283</v>
      </c>
      <c r="AU39" s="438" t="n">
        <v>0.283</v>
      </c>
      <c r="AV39" s="438" t="n">
        <v>0.277</v>
      </c>
      <c r="AW39" s="440" t="n">
        <v>0.069285074601954</v>
      </c>
      <c r="AX39" s="440"/>
      <c r="AY39" s="437" t="n">
        <f aca="false">AG39</f>
        <v>0.277</v>
      </c>
      <c r="AZ39" s="437" t="n">
        <f aca="false">AG39</f>
        <v>0.277</v>
      </c>
      <c r="BA39" s="441" t="n">
        <f aca="false">AG39</f>
        <v>0.277</v>
      </c>
      <c r="BB39" s="442" t="n">
        <f aca="false">B39</f>
        <v>37469</v>
      </c>
      <c r="BC39" s="437" t="n">
        <f aca="false">(1+$AW39/2)^(-2*($B39-$BC$11)/365.25)</f>
        <v>0.877133778254098</v>
      </c>
      <c r="BD39" s="437" t="n">
        <f aca="false">(1+$AW39/2)^(-2*($B39-$BD$11)/365.25)</f>
        <v>0.877297361809273</v>
      </c>
      <c r="BF39" s="442" t="n">
        <f aca="false">B39</f>
        <v>37469</v>
      </c>
      <c r="BG39" s="418" t="n">
        <v>27</v>
      </c>
      <c r="BI39" s="445" t="n">
        <f aca="false">$C39+X39</f>
        <v>3.813</v>
      </c>
      <c r="BJ39" s="446" t="n">
        <f aca="false">$C38+Y39</f>
        <v>3.319</v>
      </c>
    </row>
    <row r="40" customFormat="false" ht="12" hidden="false" customHeight="false" outlineLevel="0" collapsed="false">
      <c r="B40" s="419" t="n">
        <f aca="false">EOMONTH(B39,0)+1</f>
        <v>37500</v>
      </c>
      <c r="C40" s="420" t="n">
        <v>3.311</v>
      </c>
      <c r="D40" s="420" t="n">
        <v>0.2825</v>
      </c>
      <c r="E40" s="420" t="n">
        <v>0.06952390088779</v>
      </c>
      <c r="F40" s="420" t="n">
        <v>-0.1325</v>
      </c>
      <c r="G40" s="420" t="n">
        <v>0.0175</v>
      </c>
      <c r="H40" s="420" t="n">
        <v>-0.1325</v>
      </c>
      <c r="I40" s="420" t="n">
        <v>0.0375</v>
      </c>
      <c r="J40" s="420" t="n">
        <v>0.1825</v>
      </c>
      <c r="K40" s="420" t="n">
        <v>0.195</v>
      </c>
      <c r="L40" s="420" t="n">
        <v>-0.058</v>
      </c>
      <c r="M40" s="420" t="n">
        <v>-0.028</v>
      </c>
      <c r="N40" s="420" t="n">
        <v>-0.52</v>
      </c>
      <c r="O40" s="420" t="n">
        <v>-0.385</v>
      </c>
      <c r="P40" s="420" t="n">
        <v>0.006</v>
      </c>
      <c r="Q40" s="420" t="n">
        <v>-0.0075</v>
      </c>
      <c r="R40" s="418" t="n">
        <v>-0.025</v>
      </c>
      <c r="S40" s="418" t="n">
        <v>-0.06</v>
      </c>
      <c r="T40" s="418" t="n">
        <v>-0.075</v>
      </c>
      <c r="U40" s="418" t="n">
        <v>-0.02025</v>
      </c>
      <c r="V40" s="418" t="n">
        <v>-0.1075</v>
      </c>
      <c r="W40" s="418" t="n">
        <v>-0.1275</v>
      </c>
      <c r="X40" s="418" t="n">
        <v>0.395</v>
      </c>
      <c r="Y40" s="418" t="n">
        <v>0.006</v>
      </c>
      <c r="Z40" s="418" t="n">
        <v>-0.25</v>
      </c>
      <c r="AA40" s="418" t="n">
        <v>-0.024</v>
      </c>
      <c r="AB40" s="437" t="n">
        <v>-0.32</v>
      </c>
      <c r="AC40" s="437" t="n">
        <v>0.27</v>
      </c>
      <c r="AD40" s="437" t="n">
        <v>0.1075</v>
      </c>
      <c r="AE40" s="438" t="n">
        <v>0.283</v>
      </c>
      <c r="AF40" s="438" t="n">
        <v>0.283</v>
      </c>
      <c r="AG40" s="438" t="n">
        <v>0.277</v>
      </c>
      <c r="AH40" s="438" t="n">
        <v>0.283</v>
      </c>
      <c r="AI40" s="438" t="n">
        <v>0.288</v>
      </c>
      <c r="AJ40" s="438" t="n">
        <v>0.283</v>
      </c>
      <c r="AK40" s="438" t="n">
        <v>0.277</v>
      </c>
      <c r="AL40" s="438" t="n">
        <v>0.277</v>
      </c>
      <c r="AM40" s="438" t="n">
        <v>0.283</v>
      </c>
      <c r="AN40" s="438" t="n">
        <v>0.283</v>
      </c>
      <c r="AO40" s="438" t="n">
        <v>0.283</v>
      </c>
      <c r="AP40" s="439" t="n">
        <v>0.283</v>
      </c>
      <c r="AQ40" s="439" t="n">
        <v>0.283</v>
      </c>
      <c r="AR40" s="439" t="n">
        <v>0.283</v>
      </c>
      <c r="AS40" s="439" t="n">
        <v>0.283</v>
      </c>
      <c r="AT40" s="438" t="n">
        <v>0.283</v>
      </c>
      <c r="AU40" s="438" t="n">
        <v>0.283</v>
      </c>
      <c r="AV40" s="438" t="n">
        <v>0.277</v>
      </c>
      <c r="AW40" s="440" t="n">
        <v>0.06927197440778</v>
      </c>
      <c r="AX40" s="440"/>
      <c r="AY40" s="437" t="n">
        <f aca="false">AG40</f>
        <v>0.277</v>
      </c>
      <c r="AZ40" s="437" t="n">
        <f aca="false">AG40</f>
        <v>0.277</v>
      </c>
      <c r="BA40" s="441" t="n">
        <f aca="false">AG40</f>
        <v>0.277</v>
      </c>
      <c r="BB40" s="442" t="n">
        <f aca="false">B40</f>
        <v>37500</v>
      </c>
      <c r="BC40" s="437" t="n">
        <f aca="false">(1+$AW40/2)^(-2*($B40-$BC$11)/365.25)</f>
        <v>0.872099978908866</v>
      </c>
      <c r="BD40" s="437" t="n">
        <f aca="false">(1+$AW40/2)^(-2*($B40-$BD$11)/365.25)</f>
        <v>0.872262593433841</v>
      </c>
      <c r="BF40" s="442" t="n">
        <f aca="false">B40</f>
        <v>37500</v>
      </c>
      <c r="BG40" s="418" t="n">
        <v>28</v>
      </c>
      <c r="BI40" s="445" t="n">
        <f aca="false">$C40+X40</f>
        <v>3.706</v>
      </c>
      <c r="BJ40" s="446" t="n">
        <f aca="false">$C39+Y40</f>
        <v>3.324</v>
      </c>
    </row>
    <row r="41" customFormat="false" ht="12" hidden="false" customHeight="false" outlineLevel="0" collapsed="false">
      <c r="B41" s="419" t="n">
        <f aca="false">EOMONTH(B40,0)+1</f>
        <v>37530</v>
      </c>
      <c r="C41" s="420" t="n">
        <v>3.326</v>
      </c>
      <c r="D41" s="420" t="n">
        <v>0.285</v>
      </c>
      <c r="E41" s="420" t="n">
        <v>0.069518630269067</v>
      </c>
      <c r="F41" s="420" t="n">
        <v>-0.1325</v>
      </c>
      <c r="G41" s="420" t="n">
        <v>0.0075</v>
      </c>
      <c r="H41" s="420" t="n">
        <v>-0.1325</v>
      </c>
      <c r="I41" s="420" t="n">
        <v>0.0525</v>
      </c>
      <c r="J41" s="420" t="n">
        <v>0.1875</v>
      </c>
      <c r="K41" s="420" t="n">
        <v>0.215</v>
      </c>
      <c r="L41" s="420" t="n">
        <v>-0.068</v>
      </c>
      <c r="M41" s="420" t="n">
        <v>-0.028</v>
      </c>
      <c r="N41" s="420" t="n">
        <v>-0.52</v>
      </c>
      <c r="O41" s="420" t="n">
        <v>-0.385</v>
      </c>
      <c r="P41" s="420" t="n">
        <v>0.006</v>
      </c>
      <c r="Q41" s="420" t="n">
        <v>-0.0075</v>
      </c>
      <c r="R41" s="418" t="n">
        <v>-0.025</v>
      </c>
      <c r="S41" s="418" t="n">
        <v>-0.06</v>
      </c>
      <c r="T41" s="418" t="n">
        <v>-0.06</v>
      </c>
      <c r="U41" s="418" t="n">
        <v>-0.02025</v>
      </c>
      <c r="V41" s="418" t="n">
        <v>-0.11</v>
      </c>
      <c r="W41" s="418" t="n">
        <v>-0.1275</v>
      </c>
      <c r="X41" s="418" t="n">
        <v>0.461</v>
      </c>
      <c r="Y41" s="418" t="n">
        <v>0.006</v>
      </c>
      <c r="Z41" s="418" t="n">
        <v>-0.25</v>
      </c>
      <c r="AA41" s="418" t="n">
        <v>-0.024</v>
      </c>
      <c r="AB41" s="437" t="n">
        <v>-0.32</v>
      </c>
      <c r="AC41" s="437" t="n">
        <v>0.3425</v>
      </c>
      <c r="AD41" s="437" t="n">
        <v>0.1225</v>
      </c>
      <c r="AE41" s="438" t="n">
        <v>0.285</v>
      </c>
      <c r="AF41" s="438" t="n">
        <v>0.285</v>
      </c>
      <c r="AG41" s="438" t="n">
        <v>0.279</v>
      </c>
      <c r="AH41" s="438" t="n">
        <v>0.285</v>
      </c>
      <c r="AI41" s="438" t="n">
        <v>0.291</v>
      </c>
      <c r="AJ41" s="438" t="n">
        <v>0.285</v>
      </c>
      <c r="AK41" s="438" t="n">
        <v>0.279</v>
      </c>
      <c r="AL41" s="438" t="n">
        <v>0.279</v>
      </c>
      <c r="AM41" s="438" t="n">
        <v>0.285</v>
      </c>
      <c r="AN41" s="438" t="n">
        <v>0.285</v>
      </c>
      <c r="AO41" s="438" t="n">
        <v>0.285</v>
      </c>
      <c r="AP41" s="439" t="n">
        <v>0.285</v>
      </c>
      <c r="AQ41" s="439" t="n">
        <v>0.285</v>
      </c>
      <c r="AR41" s="439" t="n">
        <v>0.285</v>
      </c>
      <c r="AS41" s="439" t="n">
        <v>0.285</v>
      </c>
      <c r="AT41" s="438" t="n">
        <v>0.285</v>
      </c>
      <c r="AU41" s="438" t="n">
        <v>0.285</v>
      </c>
      <c r="AV41" s="438" t="n">
        <v>0.279</v>
      </c>
      <c r="AW41" s="440" t="n">
        <v>0.069258999075703</v>
      </c>
      <c r="AX41" s="440"/>
      <c r="AY41" s="437" t="n">
        <f aca="false">AG41</f>
        <v>0.279</v>
      </c>
      <c r="AZ41" s="437" t="n">
        <f aca="false">AG41</f>
        <v>0.279</v>
      </c>
      <c r="BA41" s="441" t="n">
        <f aca="false">AG41</f>
        <v>0.279</v>
      </c>
      <c r="BB41" s="442" t="n">
        <f aca="false">B41</f>
        <v>37530</v>
      </c>
      <c r="BC41" s="437" t="n">
        <f aca="false">(1+$AW41/2)^(-2*($B41-$BC$11)/365.25)</f>
        <v>0.867258364544814</v>
      </c>
      <c r="BD41" s="437" t="n">
        <f aca="false">(1+$AW41/2)^(-2*($B41-$BD$11)/365.25)</f>
        <v>0.867420046503826</v>
      </c>
      <c r="BF41" s="442" t="n">
        <f aca="false">B41</f>
        <v>37530</v>
      </c>
      <c r="BG41" s="418" t="n">
        <v>29</v>
      </c>
      <c r="BI41" s="445" t="n">
        <f aca="false">$C41+X41</f>
        <v>3.787</v>
      </c>
      <c r="BJ41" s="446" t="n">
        <f aca="false">$C40+Y41</f>
        <v>3.317</v>
      </c>
    </row>
    <row r="42" customFormat="false" ht="12" hidden="false" customHeight="false" outlineLevel="0" collapsed="false">
      <c r="B42" s="419" t="n">
        <f aca="false">EOMONTH(B41,0)+1</f>
        <v>37561</v>
      </c>
      <c r="C42" s="420" t="n">
        <v>3.418</v>
      </c>
      <c r="D42" s="420" t="n">
        <v>0.2925</v>
      </c>
      <c r="E42" s="420" t="n">
        <v>0.069510422951367</v>
      </c>
      <c r="F42" s="420" t="n">
        <v>-0.125</v>
      </c>
      <c r="G42" s="420" t="n">
        <v>-0.0325</v>
      </c>
      <c r="H42" s="420" t="n">
        <v>-0.125</v>
      </c>
      <c r="I42" s="420" t="n">
        <v>0.0925</v>
      </c>
      <c r="J42" s="420" t="n">
        <v>0.27</v>
      </c>
      <c r="K42" s="420" t="n">
        <v>0.2875</v>
      </c>
      <c r="L42" s="420" t="n">
        <v>-0.083</v>
      </c>
      <c r="M42" s="420" t="n">
        <v>-0.0205</v>
      </c>
      <c r="N42" s="420" t="n">
        <v>-0.295</v>
      </c>
      <c r="O42" s="420" t="n">
        <v>0</v>
      </c>
      <c r="P42" s="420" t="n">
        <v>0.0125</v>
      </c>
      <c r="Q42" s="420" t="n">
        <v>-0.0155</v>
      </c>
      <c r="R42" s="418" t="n">
        <v>-0.028</v>
      </c>
      <c r="S42" s="418" t="n">
        <v>-0.06</v>
      </c>
      <c r="T42" s="418" t="n">
        <v>-0.005</v>
      </c>
      <c r="U42" s="418" t="n">
        <v>-0.04</v>
      </c>
      <c r="V42" s="418" t="n">
        <v>-0.1075</v>
      </c>
      <c r="W42" s="418" t="n">
        <v>-0.14</v>
      </c>
      <c r="X42" s="418" t="n">
        <v>0.7525</v>
      </c>
      <c r="Y42" s="418" t="n">
        <v>0.006</v>
      </c>
      <c r="Z42" s="418" t="n">
        <v>-0.2</v>
      </c>
      <c r="AA42" s="418" t="n">
        <v>-0.0255</v>
      </c>
      <c r="AB42" s="437" t="n">
        <v>0.955</v>
      </c>
      <c r="AC42" s="437" t="n">
        <v>0.47</v>
      </c>
      <c r="AD42" s="437" t="n">
        <v>0.1875</v>
      </c>
      <c r="AE42" s="438" t="n">
        <v>0.293</v>
      </c>
      <c r="AF42" s="438" t="n">
        <v>0.293</v>
      </c>
      <c r="AG42" s="438" t="n">
        <v>0.322</v>
      </c>
      <c r="AH42" s="438" t="n">
        <v>0.293</v>
      </c>
      <c r="AI42" s="438" t="n">
        <v>0.298</v>
      </c>
      <c r="AJ42" s="438" t="n">
        <v>0.293</v>
      </c>
      <c r="AK42" s="438" t="n">
        <v>0.293</v>
      </c>
      <c r="AL42" s="438" t="n">
        <v>0.293</v>
      </c>
      <c r="AM42" s="438" t="n">
        <v>0.293</v>
      </c>
      <c r="AN42" s="438" t="n">
        <v>0.293</v>
      </c>
      <c r="AO42" s="438" t="n">
        <v>0.293</v>
      </c>
      <c r="AP42" s="439" t="n">
        <v>0.293</v>
      </c>
      <c r="AQ42" s="439" t="n">
        <v>0.293</v>
      </c>
      <c r="AR42" s="439" t="n">
        <v>0.293</v>
      </c>
      <c r="AS42" s="439" t="n">
        <v>0.293</v>
      </c>
      <c r="AT42" s="438" t="n">
        <v>0.293</v>
      </c>
      <c r="AU42" s="438" t="n">
        <v>0.293</v>
      </c>
      <c r="AV42" s="438" t="n">
        <v>0.322</v>
      </c>
      <c r="AW42" s="440" t="n">
        <v>0.069245164042116</v>
      </c>
      <c r="AX42" s="440"/>
      <c r="AY42" s="437" t="n">
        <f aca="false">AG42</f>
        <v>0.322</v>
      </c>
      <c r="AZ42" s="437" t="n">
        <f aca="false">AG42</f>
        <v>0.322</v>
      </c>
      <c r="BA42" s="441" t="n">
        <f aca="false">AG42</f>
        <v>0.322</v>
      </c>
      <c r="BB42" s="442" t="n">
        <f aca="false">B42</f>
        <v>37561</v>
      </c>
      <c r="BC42" s="437" t="n">
        <f aca="false">(1+$AW42/2)^(-2*($B42-$BC$11)/365.25)</f>
        <v>0.862286240553959</v>
      </c>
      <c r="BD42" s="437" t="n">
        <f aca="false">(1+$AW42/2)^(-2*($B42-$BD$11)/365.25)</f>
        <v>0.862446963991048</v>
      </c>
      <c r="BF42" s="442" t="n">
        <f aca="false">B42</f>
        <v>37561</v>
      </c>
      <c r="BG42" s="418" t="n">
        <v>30</v>
      </c>
      <c r="BI42" s="445" t="n">
        <f aca="false">$C42+X42</f>
        <v>4.1705</v>
      </c>
      <c r="BJ42" s="446" t="n">
        <f aca="false">$C41+Y42</f>
        <v>3.332</v>
      </c>
    </row>
    <row r="43" customFormat="false" ht="12" hidden="false" customHeight="false" outlineLevel="0" collapsed="false">
      <c r="B43" s="419" t="n">
        <f aca="false">EOMONTH(B42,0)+1</f>
        <v>37591</v>
      </c>
      <c r="C43" s="420" t="n">
        <v>3.504</v>
      </c>
      <c r="D43" s="420" t="n">
        <v>0.295</v>
      </c>
      <c r="E43" s="420" t="n">
        <v>0.069502480385871</v>
      </c>
      <c r="F43" s="420" t="n">
        <v>-0.1275</v>
      </c>
      <c r="G43" s="420" t="n">
        <v>-0.055</v>
      </c>
      <c r="H43" s="420" t="n">
        <v>-0.1275</v>
      </c>
      <c r="I43" s="420" t="n">
        <v>0.1325</v>
      </c>
      <c r="J43" s="420" t="n">
        <v>0.305</v>
      </c>
      <c r="K43" s="420" t="n">
        <v>0.3375</v>
      </c>
      <c r="L43" s="420" t="n">
        <v>-0.083</v>
      </c>
      <c r="M43" s="420" t="n">
        <v>-0.0205</v>
      </c>
      <c r="N43" s="420" t="n">
        <v>-0.295</v>
      </c>
      <c r="O43" s="420" t="n">
        <v>0.06</v>
      </c>
      <c r="P43" s="420" t="n">
        <v>0.0125</v>
      </c>
      <c r="Q43" s="420" t="n">
        <v>-0.0155</v>
      </c>
      <c r="R43" s="418" t="n">
        <v>-0.028</v>
      </c>
      <c r="S43" s="418" t="n">
        <v>-0.06</v>
      </c>
      <c r="T43" s="418" t="n">
        <v>0.0025</v>
      </c>
      <c r="U43" s="418" t="n">
        <v>-0.04</v>
      </c>
      <c r="V43" s="418" t="n">
        <v>-0.1425</v>
      </c>
      <c r="W43" s="418" t="n">
        <v>-0.135</v>
      </c>
      <c r="X43" s="418" t="n">
        <v>1.16</v>
      </c>
      <c r="Y43" s="418" t="n">
        <v>0.006</v>
      </c>
      <c r="Z43" s="418" t="n">
        <v>-0.2</v>
      </c>
      <c r="AA43" s="418" t="n">
        <v>-0.0255</v>
      </c>
      <c r="AB43" s="437" t="n">
        <v>0.955</v>
      </c>
      <c r="AC43" s="437" t="n">
        <v>0.81</v>
      </c>
      <c r="AD43" s="437" t="n">
        <v>0.2275</v>
      </c>
      <c r="AE43" s="438" t="n">
        <v>0.295</v>
      </c>
      <c r="AF43" s="438" t="n">
        <v>0.295</v>
      </c>
      <c r="AG43" s="438" t="n">
        <v>0.325</v>
      </c>
      <c r="AH43" s="438" t="n">
        <v>0.295</v>
      </c>
      <c r="AI43" s="438" t="n">
        <v>0.301</v>
      </c>
      <c r="AJ43" s="438" t="n">
        <v>0.295</v>
      </c>
      <c r="AK43" s="438" t="n">
        <v>0.295</v>
      </c>
      <c r="AL43" s="438" t="n">
        <v>0.295</v>
      </c>
      <c r="AM43" s="438" t="n">
        <v>0.295</v>
      </c>
      <c r="AN43" s="438" t="n">
        <v>0.295</v>
      </c>
      <c r="AO43" s="438" t="n">
        <v>0.295</v>
      </c>
      <c r="AP43" s="439" t="n">
        <v>0.295</v>
      </c>
      <c r="AQ43" s="439" t="n">
        <v>0.295</v>
      </c>
      <c r="AR43" s="439" t="n">
        <v>0.295</v>
      </c>
      <c r="AS43" s="439" t="n">
        <v>0.295</v>
      </c>
      <c r="AT43" s="438" t="n">
        <v>0.295</v>
      </c>
      <c r="AU43" s="438" t="n">
        <v>0.295</v>
      </c>
      <c r="AV43" s="438" t="n">
        <v>0.325</v>
      </c>
      <c r="AW43" s="440" t="n">
        <v>0.0692317753</v>
      </c>
      <c r="AX43" s="440"/>
      <c r="AY43" s="437" t="n">
        <f aca="false">AG43</f>
        <v>0.325</v>
      </c>
      <c r="AZ43" s="437" t="n">
        <f aca="false">AG43</f>
        <v>0.325</v>
      </c>
      <c r="BA43" s="441" t="n">
        <f aca="false">AG43</f>
        <v>0.325</v>
      </c>
      <c r="BB43" s="442" t="n">
        <f aca="false">B43</f>
        <v>37591</v>
      </c>
      <c r="BC43" s="437" t="n">
        <f aca="false">(1+$AW43/2)^(-2*($B43-$BC$11)/365.25)</f>
        <v>0.857503504192946</v>
      </c>
      <c r="BD43" s="437" t="n">
        <f aca="false">(1+$AW43/2)^(-2*($B43-$BD$11)/365.25)</f>
        <v>0.857663305778379</v>
      </c>
      <c r="BF43" s="442" t="n">
        <f aca="false">B43</f>
        <v>37591</v>
      </c>
      <c r="BG43" s="418" t="n">
        <v>31</v>
      </c>
      <c r="BI43" s="445" t="n">
        <f aca="false">$C43+X43</f>
        <v>4.664</v>
      </c>
      <c r="BJ43" s="446" t="n">
        <f aca="false">$C42+Y43</f>
        <v>3.424</v>
      </c>
    </row>
    <row r="44" customFormat="false" ht="12" hidden="false" customHeight="false" outlineLevel="0" collapsed="false">
      <c r="B44" s="419" t="n">
        <f aca="false">EOMONTH(B43,0)+1</f>
        <v>37622</v>
      </c>
      <c r="C44" s="420" t="n">
        <v>3.497</v>
      </c>
      <c r="D44" s="420" t="n">
        <v>0.2825</v>
      </c>
      <c r="E44" s="420" t="n">
        <v>0.069501922465244</v>
      </c>
      <c r="F44" s="420" t="n">
        <v>-0.13</v>
      </c>
      <c r="G44" s="420" t="n">
        <v>-0.0575</v>
      </c>
      <c r="H44" s="420" t="n">
        <v>-0.13</v>
      </c>
      <c r="I44" s="420" t="n">
        <v>0.145</v>
      </c>
      <c r="J44" s="420" t="n">
        <v>0.305</v>
      </c>
      <c r="K44" s="420" t="n">
        <v>0.4375</v>
      </c>
      <c r="L44" s="420" t="n">
        <v>-0.083</v>
      </c>
      <c r="M44" s="420" t="n">
        <v>-0.0185</v>
      </c>
      <c r="N44" s="420" t="n">
        <v>-0.295</v>
      </c>
      <c r="O44" s="420" t="n">
        <v>0.13</v>
      </c>
      <c r="P44" s="420" t="n">
        <v>0.0125</v>
      </c>
      <c r="Q44" s="420" t="n">
        <v>-0.0155</v>
      </c>
      <c r="R44" s="418" t="n">
        <v>-0.0255</v>
      </c>
      <c r="S44" s="418" t="n">
        <v>-0.06</v>
      </c>
      <c r="T44" s="418" t="n">
        <v>0.0175</v>
      </c>
      <c r="U44" s="418" t="n">
        <v>-0.04</v>
      </c>
      <c r="V44" s="418" t="n">
        <v>-0.1475</v>
      </c>
      <c r="W44" s="418" t="n">
        <v>-0.135</v>
      </c>
      <c r="X44" s="418" t="n">
        <v>1.48</v>
      </c>
      <c r="Y44" s="418" t="n">
        <v>0.005</v>
      </c>
      <c r="Z44" s="418" t="n">
        <v>-0.2</v>
      </c>
      <c r="AA44" s="418" t="n">
        <v>-0.0255</v>
      </c>
      <c r="AB44" s="437" t="n">
        <v>-0.435</v>
      </c>
      <c r="AC44" s="437" t="n">
        <v>0.97</v>
      </c>
      <c r="AD44" s="437" t="n">
        <v>0.24</v>
      </c>
      <c r="AE44" s="438" t="n">
        <v>0.283</v>
      </c>
      <c r="AF44" s="438" t="n">
        <v>0.283</v>
      </c>
      <c r="AG44" s="438" t="n">
        <v>0.311</v>
      </c>
      <c r="AH44" s="438" t="n">
        <v>0.283</v>
      </c>
      <c r="AI44" s="438" t="n">
        <v>0.288</v>
      </c>
      <c r="AJ44" s="438" t="n">
        <v>0.283</v>
      </c>
      <c r="AK44" s="438" t="n">
        <v>0.283</v>
      </c>
      <c r="AL44" s="438" t="n">
        <v>0.283</v>
      </c>
      <c r="AM44" s="438" t="n">
        <v>0.283</v>
      </c>
      <c r="AN44" s="438" t="n">
        <v>0.283</v>
      </c>
      <c r="AO44" s="438" t="n">
        <v>0.283</v>
      </c>
      <c r="AP44" s="439" t="n">
        <v>0.283</v>
      </c>
      <c r="AQ44" s="439" t="n">
        <v>0.283</v>
      </c>
      <c r="AR44" s="439" t="n">
        <v>0.283</v>
      </c>
      <c r="AS44" s="439" t="n">
        <v>0.283</v>
      </c>
      <c r="AT44" s="438" t="n">
        <v>0.283</v>
      </c>
      <c r="AU44" s="438" t="n">
        <v>0.283</v>
      </c>
      <c r="AV44" s="438" t="n">
        <v>0.311</v>
      </c>
      <c r="AW44" s="440" t="n">
        <v>0.069226802546413</v>
      </c>
      <c r="AX44" s="440"/>
      <c r="AY44" s="437" t="n">
        <f aca="false">AG44</f>
        <v>0.311</v>
      </c>
      <c r="AZ44" s="437" t="n">
        <f aca="false">AG44</f>
        <v>0.311</v>
      </c>
      <c r="BA44" s="441" t="n">
        <f aca="false">AG44</f>
        <v>0.311</v>
      </c>
      <c r="BB44" s="442" t="n">
        <f aca="false">B44</f>
        <v>37622</v>
      </c>
      <c r="BC44" s="437" t="n">
        <f aca="false">(1+$AW44/2)^(-2*($B44-$BC$11)/365.25)</f>
        <v>0.852573999289767</v>
      </c>
      <c r="BD44" s="437" t="n">
        <f aca="false">(1+$AW44/2)^(-2*($B44-$BD$11)/365.25)</f>
        <v>0.852732871007331</v>
      </c>
      <c r="BF44" s="442" t="n">
        <f aca="false">B44</f>
        <v>37622</v>
      </c>
      <c r="BG44" s="418" t="n">
        <v>32</v>
      </c>
      <c r="BI44" s="445" t="n">
        <f aca="false">$C44+X44</f>
        <v>4.977</v>
      </c>
      <c r="BJ44" s="446" t="n">
        <f aca="false">$C43+Y44</f>
        <v>3.509</v>
      </c>
    </row>
    <row r="45" customFormat="false" ht="12" hidden="false" customHeight="false" outlineLevel="0" collapsed="false">
      <c r="B45" s="419" t="n">
        <f aca="false">EOMONTH(B44,0)+1</f>
        <v>37653</v>
      </c>
      <c r="C45" s="420" t="n">
        <v>3.355</v>
      </c>
      <c r="D45" s="420" t="n">
        <v>0.2825</v>
      </c>
      <c r="E45" s="420" t="n">
        <v>0.06951065309818</v>
      </c>
      <c r="F45" s="420" t="n">
        <v>-0.1325</v>
      </c>
      <c r="G45" s="420" t="n">
        <v>-0.04</v>
      </c>
      <c r="H45" s="420" t="n">
        <v>-0.1325</v>
      </c>
      <c r="I45" s="420" t="n">
        <v>0.1225</v>
      </c>
      <c r="J45" s="420" t="n">
        <v>0.305</v>
      </c>
      <c r="K45" s="420" t="n">
        <v>0.435</v>
      </c>
      <c r="L45" s="420" t="n">
        <v>-0.083</v>
      </c>
      <c r="M45" s="420" t="n">
        <v>-0.0185</v>
      </c>
      <c r="N45" s="420" t="n">
        <v>-0.295</v>
      </c>
      <c r="O45" s="420" t="n">
        <v>0</v>
      </c>
      <c r="P45" s="420" t="n">
        <v>0.0125</v>
      </c>
      <c r="Q45" s="420" t="n">
        <v>-0.0155</v>
      </c>
      <c r="R45" s="418" t="n">
        <v>-0.0255</v>
      </c>
      <c r="S45" s="418" t="n">
        <v>-0.06</v>
      </c>
      <c r="T45" s="418" t="n">
        <v>0.0175</v>
      </c>
      <c r="U45" s="418" t="n">
        <v>-0.04</v>
      </c>
      <c r="V45" s="418" t="n">
        <v>-0.13</v>
      </c>
      <c r="W45" s="418" t="n">
        <v>-0.135</v>
      </c>
      <c r="X45" s="418" t="n">
        <v>1.41</v>
      </c>
      <c r="Y45" s="418" t="n">
        <v>0.005</v>
      </c>
      <c r="Z45" s="418" t="n">
        <v>-0.2</v>
      </c>
      <c r="AA45" s="418" t="n">
        <v>-0.0255</v>
      </c>
      <c r="AB45" s="437" t="n">
        <v>-0.435</v>
      </c>
      <c r="AC45" s="437" t="n">
        <v>0.97</v>
      </c>
      <c r="AD45" s="437" t="n">
        <v>0.2175</v>
      </c>
      <c r="AE45" s="438" t="n">
        <v>0.283</v>
      </c>
      <c r="AF45" s="438" t="n">
        <v>0.283</v>
      </c>
      <c r="AG45" s="438" t="n">
        <v>0.311</v>
      </c>
      <c r="AH45" s="438" t="n">
        <v>0.283</v>
      </c>
      <c r="AI45" s="438" t="n">
        <v>0.288</v>
      </c>
      <c r="AJ45" s="438" t="n">
        <v>0.283</v>
      </c>
      <c r="AK45" s="438" t="n">
        <v>0.283</v>
      </c>
      <c r="AL45" s="438" t="n">
        <v>0.283</v>
      </c>
      <c r="AM45" s="438" t="n">
        <v>0.283</v>
      </c>
      <c r="AN45" s="438" t="n">
        <v>0.283</v>
      </c>
      <c r="AO45" s="438" t="n">
        <v>0.283</v>
      </c>
      <c r="AP45" s="439" t="n">
        <v>0.283</v>
      </c>
      <c r="AQ45" s="439" t="n">
        <v>0.283</v>
      </c>
      <c r="AR45" s="439" t="n">
        <v>0.283</v>
      </c>
      <c r="AS45" s="439" t="n">
        <v>0.283</v>
      </c>
      <c r="AT45" s="438" t="n">
        <v>0.283</v>
      </c>
      <c r="AU45" s="438" t="n">
        <v>0.283</v>
      </c>
      <c r="AV45" s="438" t="n">
        <v>0.311</v>
      </c>
      <c r="AW45" s="440" t="n">
        <v>0.069232591132706</v>
      </c>
      <c r="AX45" s="440"/>
      <c r="AY45" s="437" t="n">
        <f aca="false">AG45</f>
        <v>0.311</v>
      </c>
      <c r="AZ45" s="437" t="n">
        <f aca="false">AG45</f>
        <v>0.311</v>
      </c>
      <c r="BA45" s="441" t="n">
        <f aca="false">AG45</f>
        <v>0.311</v>
      </c>
      <c r="BB45" s="442" t="n">
        <f aca="false">B45</f>
        <v>37653</v>
      </c>
      <c r="BC45" s="437" t="n">
        <f aca="false">(1+$AW45/2)^(-2*($B45-$BC$11)/365.25)</f>
        <v>0.847652112716278</v>
      </c>
      <c r="BD45" s="437" t="n">
        <f aca="false">(1+$AW45/2)^(-2*($B45-$BD$11)/365.25)</f>
        <v>0.847810080258525</v>
      </c>
      <c r="BF45" s="442" t="n">
        <f aca="false">B45</f>
        <v>37653</v>
      </c>
      <c r="BG45" s="418" t="n">
        <v>33</v>
      </c>
      <c r="BI45" s="445" t="n">
        <f aca="false">$C45+X45</f>
        <v>4.765</v>
      </c>
      <c r="BJ45" s="446" t="n">
        <f aca="false">$C44+Y45</f>
        <v>3.502</v>
      </c>
    </row>
    <row r="46" customFormat="false" ht="12" hidden="false" customHeight="false" outlineLevel="0" collapsed="false">
      <c r="B46" s="419" t="n">
        <f aca="false">EOMONTH(B45,0)+1</f>
        <v>37681</v>
      </c>
      <c r="C46" s="420" t="n">
        <v>3.185</v>
      </c>
      <c r="D46" s="420" t="n">
        <v>0.2725</v>
      </c>
      <c r="E46" s="420" t="n">
        <v>0.069518538831175</v>
      </c>
      <c r="F46" s="420" t="n">
        <v>-0.135</v>
      </c>
      <c r="G46" s="420" t="n">
        <v>-0.0275</v>
      </c>
      <c r="H46" s="420" t="n">
        <v>-0.135</v>
      </c>
      <c r="I46" s="420" t="n">
        <v>0.12</v>
      </c>
      <c r="J46" s="420" t="n">
        <v>0.265</v>
      </c>
      <c r="K46" s="420" t="n">
        <v>0.3025</v>
      </c>
      <c r="L46" s="420" t="n">
        <v>-0.083</v>
      </c>
      <c r="M46" s="420" t="n">
        <v>-0.0185</v>
      </c>
      <c r="N46" s="420" t="n">
        <v>-0.295</v>
      </c>
      <c r="O46" s="420" t="n">
        <v>-0.2</v>
      </c>
      <c r="P46" s="420" t="n">
        <v>0.0125</v>
      </c>
      <c r="Q46" s="420" t="n">
        <v>-0.0155</v>
      </c>
      <c r="R46" s="418" t="n">
        <v>-0.0255</v>
      </c>
      <c r="S46" s="418" t="n">
        <v>-0.06</v>
      </c>
      <c r="T46" s="418" t="n">
        <v>0.0175</v>
      </c>
      <c r="U46" s="418" t="n">
        <v>-0.04</v>
      </c>
      <c r="V46" s="418" t="n">
        <v>-0.1125</v>
      </c>
      <c r="W46" s="418" t="n">
        <v>-0.14</v>
      </c>
      <c r="X46" s="418" t="n">
        <v>0.82</v>
      </c>
      <c r="Y46" s="418" t="n">
        <v>0.005</v>
      </c>
      <c r="Z46" s="418" t="n">
        <v>-0.2</v>
      </c>
      <c r="AA46" s="418" t="n">
        <v>-0.0255</v>
      </c>
      <c r="AB46" s="437" t="n">
        <v>-0.435</v>
      </c>
      <c r="AC46" s="437" t="n">
        <v>0.6325</v>
      </c>
      <c r="AD46" s="437" t="n">
        <v>0.215</v>
      </c>
      <c r="AE46" s="438" t="n">
        <v>0.273</v>
      </c>
      <c r="AF46" s="438" t="n">
        <v>0.273</v>
      </c>
      <c r="AG46" s="438" t="n">
        <v>0.3</v>
      </c>
      <c r="AH46" s="438" t="n">
        <v>0.273</v>
      </c>
      <c r="AI46" s="438" t="n">
        <v>0.278</v>
      </c>
      <c r="AJ46" s="438" t="n">
        <v>0.273</v>
      </c>
      <c r="AK46" s="438" t="n">
        <v>0.273</v>
      </c>
      <c r="AL46" s="438" t="n">
        <v>0.273</v>
      </c>
      <c r="AM46" s="438" t="n">
        <v>0.273</v>
      </c>
      <c r="AN46" s="438" t="n">
        <v>0.273</v>
      </c>
      <c r="AO46" s="438" t="n">
        <v>0.273</v>
      </c>
      <c r="AP46" s="439" t="n">
        <v>0.273</v>
      </c>
      <c r="AQ46" s="439" t="n">
        <v>0.273</v>
      </c>
      <c r="AR46" s="439" t="n">
        <v>0.273</v>
      </c>
      <c r="AS46" s="439" t="n">
        <v>0.273</v>
      </c>
      <c r="AT46" s="438" t="n">
        <v>0.273</v>
      </c>
      <c r="AU46" s="438" t="n">
        <v>0.273</v>
      </c>
      <c r="AV46" s="438" t="n">
        <v>0.3</v>
      </c>
      <c r="AW46" s="440" t="n">
        <v>0.069237819533238</v>
      </c>
      <c r="AX46" s="440"/>
      <c r="AY46" s="437" t="n">
        <f aca="false">AG46</f>
        <v>0.3</v>
      </c>
      <c r="AZ46" s="437" t="n">
        <f aca="false">AG46</f>
        <v>0.3</v>
      </c>
      <c r="BA46" s="441" t="n">
        <f aca="false">AG46</f>
        <v>0.3</v>
      </c>
      <c r="BB46" s="442" t="n">
        <f aca="false">B46</f>
        <v>37681</v>
      </c>
      <c r="BC46" s="437" t="n">
        <f aca="false">(1+$AW46/2)^(-2*($B46-$BC$11)/365.25)</f>
        <v>0.843230276366189</v>
      </c>
      <c r="BD46" s="437" t="n">
        <f aca="false">(1+$AW46/2)^(-2*($B46-$BD$11)/365.25)</f>
        <v>0.843387431528529</v>
      </c>
      <c r="BF46" s="442" t="n">
        <f aca="false">B46</f>
        <v>37681</v>
      </c>
      <c r="BG46" s="418" t="n">
        <v>34</v>
      </c>
      <c r="BI46" s="445" t="n">
        <f aca="false">$C46+X46</f>
        <v>4.005</v>
      </c>
      <c r="BJ46" s="446" t="n">
        <f aca="false">$C45+Y46</f>
        <v>3.36</v>
      </c>
    </row>
    <row r="47" customFormat="false" ht="12" hidden="false" customHeight="false" outlineLevel="0" collapsed="false">
      <c r="B47" s="419" t="n">
        <f aca="false">EOMONTH(B46,0)+1</f>
        <v>37712</v>
      </c>
      <c r="C47" s="420" t="n">
        <v>3.007</v>
      </c>
      <c r="D47" s="420" t="n">
        <v>0.2625</v>
      </c>
      <c r="E47" s="420" t="n">
        <v>0.069517808408011</v>
      </c>
      <c r="F47" s="420" t="n">
        <v>-0.185</v>
      </c>
      <c r="G47" s="420" t="n">
        <v>0.015</v>
      </c>
      <c r="H47" s="420" t="n">
        <v>-0.185</v>
      </c>
      <c r="I47" s="420" t="n">
        <v>0.07</v>
      </c>
      <c r="J47" s="420" t="n">
        <v>0.195</v>
      </c>
      <c r="K47" s="420" t="n">
        <v>0.25</v>
      </c>
      <c r="L47" s="420" t="n">
        <v>-0.076</v>
      </c>
      <c r="M47" s="420" t="n">
        <v>-0.026</v>
      </c>
      <c r="N47" s="420" t="n">
        <v>-0.36</v>
      </c>
      <c r="O47" s="420" t="n">
        <v>-0.34</v>
      </c>
      <c r="P47" s="420" t="n">
        <v>0.006</v>
      </c>
      <c r="Q47" s="420" t="n">
        <v>-0.0055</v>
      </c>
      <c r="R47" s="418" t="n">
        <v>-0.025</v>
      </c>
      <c r="S47" s="418" t="n">
        <v>-0.0575</v>
      </c>
      <c r="T47" s="418" t="n">
        <v>-0.065</v>
      </c>
      <c r="U47" s="418" t="n">
        <v>-0.02</v>
      </c>
      <c r="V47" s="418" t="n">
        <v>-0.105</v>
      </c>
      <c r="W47" s="418" t="n">
        <v>-0.125</v>
      </c>
      <c r="X47" s="418" t="n">
        <v>0.45</v>
      </c>
      <c r="Y47" s="418" t="n">
        <v>0.005</v>
      </c>
      <c r="Z47" s="418" t="n">
        <v>-0.205</v>
      </c>
      <c r="AA47" s="418" t="n">
        <v>-0.023</v>
      </c>
      <c r="AB47" s="437" t="n">
        <v>0.295</v>
      </c>
      <c r="AC47" s="437" t="n">
        <v>0.355</v>
      </c>
      <c r="AD47" s="437" t="n">
        <v>0.165</v>
      </c>
      <c r="AE47" s="438" t="n">
        <v>0.263</v>
      </c>
      <c r="AF47" s="438" t="n">
        <v>0.263</v>
      </c>
      <c r="AG47" s="438" t="n">
        <v>0.257</v>
      </c>
      <c r="AH47" s="438" t="n">
        <v>0.263</v>
      </c>
      <c r="AI47" s="438" t="n">
        <v>0.268</v>
      </c>
      <c r="AJ47" s="438" t="n">
        <v>0.263</v>
      </c>
      <c r="AK47" s="438" t="n">
        <v>0.257</v>
      </c>
      <c r="AL47" s="438" t="n">
        <v>0.257</v>
      </c>
      <c r="AM47" s="438" t="n">
        <v>0.263</v>
      </c>
      <c r="AN47" s="438" t="n">
        <v>0.263</v>
      </c>
      <c r="AO47" s="438" t="n">
        <v>0.263</v>
      </c>
      <c r="AP47" s="439" t="n">
        <v>0.263</v>
      </c>
      <c r="AQ47" s="439" t="n">
        <v>0.263</v>
      </c>
      <c r="AR47" s="439" t="n">
        <v>0.263</v>
      </c>
      <c r="AS47" s="439" t="n">
        <v>0.263</v>
      </c>
      <c r="AT47" s="438" t="n">
        <v>0.263</v>
      </c>
      <c r="AU47" s="438" t="n">
        <v>0.263</v>
      </c>
      <c r="AV47" s="438" t="n">
        <v>0.257</v>
      </c>
      <c r="AW47" s="440" t="n">
        <v>0.069235120641373</v>
      </c>
      <c r="AX47" s="440"/>
      <c r="AY47" s="437" t="n">
        <f aca="false">AG47</f>
        <v>0.257</v>
      </c>
      <c r="AZ47" s="437" t="n">
        <f aca="false">AG47</f>
        <v>0.257</v>
      </c>
      <c r="BA47" s="441" t="n">
        <f aca="false">AG47</f>
        <v>0.257</v>
      </c>
      <c r="BB47" s="442" t="n">
        <f aca="false">B47</f>
        <v>37712</v>
      </c>
      <c r="BC47" s="437" t="n">
        <f aca="false">(1+$AW47/2)^(-2*($B47-$BC$11)/365.25)</f>
        <v>0.838378628445226</v>
      </c>
      <c r="BD47" s="437" t="n">
        <f aca="false">(1+$AW47/2)^(-2*($B47-$BD$11)/365.25)</f>
        <v>0.838534873403753</v>
      </c>
      <c r="BF47" s="442" t="n">
        <f aca="false">B47</f>
        <v>37712</v>
      </c>
      <c r="BG47" s="418" t="n">
        <v>35</v>
      </c>
      <c r="BI47" s="445" t="n">
        <f aca="false">$C47+X47</f>
        <v>3.457</v>
      </c>
      <c r="BJ47" s="446" t="n">
        <f aca="false">$C46+Y47</f>
        <v>3.19</v>
      </c>
    </row>
    <row r="48" customFormat="false" ht="12" hidden="false" customHeight="false" outlineLevel="0" collapsed="false">
      <c r="B48" s="419" t="n">
        <f aca="false">EOMONTH(B47,0)+1</f>
        <v>37742</v>
      </c>
      <c r="C48" s="420" t="n">
        <v>2.995</v>
      </c>
      <c r="D48" s="420" t="n">
        <v>0.2575</v>
      </c>
      <c r="E48" s="420" t="n">
        <v>0.069504716741151</v>
      </c>
      <c r="F48" s="420" t="n">
        <v>-0.185</v>
      </c>
      <c r="G48" s="420" t="n">
        <v>0.015</v>
      </c>
      <c r="H48" s="420" t="n">
        <v>-0.185</v>
      </c>
      <c r="I48" s="420" t="n">
        <v>0.06</v>
      </c>
      <c r="J48" s="420" t="n">
        <v>0.1825</v>
      </c>
      <c r="K48" s="420" t="n">
        <v>0.2025</v>
      </c>
      <c r="L48" s="420" t="n">
        <v>-0.076</v>
      </c>
      <c r="M48" s="420" t="n">
        <v>-0.026</v>
      </c>
      <c r="N48" s="420" t="n">
        <v>-0.36</v>
      </c>
      <c r="O48" s="420" t="n">
        <v>-0.34</v>
      </c>
      <c r="P48" s="420" t="n">
        <v>0.006</v>
      </c>
      <c r="Q48" s="420" t="n">
        <v>-0.0055</v>
      </c>
      <c r="R48" s="418" t="n">
        <v>-0.025</v>
      </c>
      <c r="S48" s="418" t="n">
        <v>-0.0575</v>
      </c>
      <c r="T48" s="418" t="n">
        <v>-0.08</v>
      </c>
      <c r="U48" s="418" t="n">
        <v>-0.02025</v>
      </c>
      <c r="V48" s="418" t="n">
        <v>-0.105</v>
      </c>
      <c r="W48" s="418" t="n">
        <v>-0.125</v>
      </c>
      <c r="X48" s="418" t="n">
        <v>0.405</v>
      </c>
      <c r="Y48" s="418" t="n">
        <v>0.005</v>
      </c>
      <c r="Z48" s="418" t="n">
        <v>-0.205</v>
      </c>
      <c r="AA48" s="418" t="n">
        <v>-0.023</v>
      </c>
      <c r="AB48" s="437" t="n">
        <v>0.295</v>
      </c>
      <c r="AC48" s="437" t="n">
        <v>0.2875</v>
      </c>
      <c r="AD48" s="437" t="n">
        <v>0.155</v>
      </c>
      <c r="AE48" s="438" t="n">
        <v>0.258</v>
      </c>
      <c r="AF48" s="438" t="n">
        <v>0.258</v>
      </c>
      <c r="AG48" s="438" t="n">
        <v>0.252</v>
      </c>
      <c r="AH48" s="438" t="n">
        <v>0.258</v>
      </c>
      <c r="AI48" s="438" t="n">
        <v>0.263</v>
      </c>
      <c r="AJ48" s="438" t="n">
        <v>0.258</v>
      </c>
      <c r="AK48" s="438" t="n">
        <v>0.252</v>
      </c>
      <c r="AL48" s="438" t="n">
        <v>0.252</v>
      </c>
      <c r="AM48" s="438" t="n">
        <v>0.258</v>
      </c>
      <c r="AN48" s="438" t="n">
        <v>0.258</v>
      </c>
      <c r="AO48" s="438" t="n">
        <v>0.258</v>
      </c>
      <c r="AP48" s="439" t="n">
        <v>0.258</v>
      </c>
      <c r="AQ48" s="439" t="n">
        <v>0.258</v>
      </c>
      <c r="AR48" s="439" t="n">
        <v>0.258</v>
      </c>
      <c r="AS48" s="439" t="n">
        <v>0.258</v>
      </c>
      <c r="AT48" s="438" t="n">
        <v>0.258</v>
      </c>
      <c r="AU48" s="438" t="n">
        <v>0.258</v>
      </c>
      <c r="AV48" s="438" t="n">
        <v>0.252</v>
      </c>
      <c r="AW48" s="440" t="n">
        <v>0.069221292115571</v>
      </c>
      <c r="AX48" s="440"/>
      <c r="AY48" s="437" t="n">
        <f aca="false">AG48</f>
        <v>0.252</v>
      </c>
      <c r="AZ48" s="437" t="n">
        <f aca="false">AG48</f>
        <v>0.252</v>
      </c>
      <c r="BA48" s="441" t="n">
        <f aca="false">AG48</f>
        <v>0.252</v>
      </c>
      <c r="BB48" s="442" t="n">
        <f aca="false">B48</f>
        <v>37742</v>
      </c>
      <c r="BC48" s="437" t="n">
        <f aca="false">(1+$AW48/2)^(-2*($B48-$BC$11)/365.25)</f>
        <v>0.83373456974408</v>
      </c>
      <c r="BD48" s="437" t="n">
        <f aca="false">(1+$AW48/2)^(-2*($B48-$BD$11)/365.25)</f>
        <v>0.833889918694512</v>
      </c>
      <c r="BF48" s="442" t="n">
        <f aca="false">B48</f>
        <v>37742</v>
      </c>
      <c r="BG48" s="418" t="n">
        <v>36</v>
      </c>
      <c r="BI48" s="445" t="n">
        <f aca="false">$C48+X48</f>
        <v>3.4</v>
      </c>
      <c r="BJ48" s="446" t="n">
        <f aca="false">$C47+Y48</f>
        <v>3.012</v>
      </c>
    </row>
    <row r="49" customFormat="false" ht="12" hidden="false" customHeight="false" outlineLevel="0" collapsed="false">
      <c r="B49" s="419" t="n">
        <f aca="false">EOMONTH(B48,0)+1</f>
        <v>37773</v>
      </c>
      <c r="C49" s="420" t="n">
        <v>3.015</v>
      </c>
      <c r="D49" s="420" t="n">
        <v>0.255</v>
      </c>
      <c r="E49" s="420" t="n">
        <v>0.069491188685456</v>
      </c>
      <c r="F49" s="420" t="n">
        <v>-0.185</v>
      </c>
      <c r="G49" s="420" t="n">
        <v>0.02</v>
      </c>
      <c r="H49" s="420" t="n">
        <v>-0.185</v>
      </c>
      <c r="I49" s="420" t="n">
        <v>0.055</v>
      </c>
      <c r="J49" s="420" t="n">
        <v>0.1825</v>
      </c>
      <c r="K49" s="420" t="n">
        <v>0.2025</v>
      </c>
      <c r="L49" s="420" t="n">
        <v>-0.092</v>
      </c>
      <c r="M49" s="420" t="n">
        <v>-0.026</v>
      </c>
      <c r="N49" s="420" t="n">
        <v>-0.36</v>
      </c>
      <c r="O49" s="420" t="n">
        <v>-0.34</v>
      </c>
      <c r="P49" s="420" t="n">
        <v>0.006</v>
      </c>
      <c r="Q49" s="420" t="n">
        <v>-0.0055</v>
      </c>
      <c r="R49" s="418" t="n">
        <v>-0.025</v>
      </c>
      <c r="S49" s="418" t="n">
        <v>-0.0575</v>
      </c>
      <c r="T49" s="418" t="n">
        <v>-0.09</v>
      </c>
      <c r="U49" s="418" t="n">
        <v>-0.02025</v>
      </c>
      <c r="V49" s="418" t="n">
        <v>-0.095</v>
      </c>
      <c r="W49" s="418" t="n">
        <v>-0.125</v>
      </c>
      <c r="X49" s="418" t="n">
        <v>0.395</v>
      </c>
      <c r="Y49" s="418" t="n">
        <v>0.005</v>
      </c>
      <c r="Z49" s="418" t="n">
        <v>-0.205</v>
      </c>
      <c r="AA49" s="418" t="n">
        <v>-0.023</v>
      </c>
      <c r="AB49" s="437" t="n">
        <v>0.295</v>
      </c>
      <c r="AC49" s="437" t="n">
        <v>0.2875</v>
      </c>
      <c r="AD49" s="437" t="n">
        <v>0.15</v>
      </c>
      <c r="AE49" s="438" t="n">
        <v>0.255</v>
      </c>
      <c r="AF49" s="438" t="n">
        <v>0.255</v>
      </c>
      <c r="AG49" s="438" t="n">
        <v>0.25</v>
      </c>
      <c r="AH49" s="438" t="n">
        <v>0.255</v>
      </c>
      <c r="AI49" s="438" t="n">
        <v>0.26</v>
      </c>
      <c r="AJ49" s="438" t="n">
        <v>0.255</v>
      </c>
      <c r="AK49" s="438" t="n">
        <v>0.25</v>
      </c>
      <c r="AL49" s="438" t="n">
        <v>0.25</v>
      </c>
      <c r="AM49" s="438" t="n">
        <v>0.255</v>
      </c>
      <c r="AN49" s="438" t="n">
        <v>0.255</v>
      </c>
      <c r="AO49" s="438" t="n">
        <v>0.255</v>
      </c>
      <c r="AP49" s="439" t="n">
        <v>0.255</v>
      </c>
      <c r="AQ49" s="439" t="n">
        <v>0.255</v>
      </c>
      <c r="AR49" s="439" t="n">
        <v>0.255</v>
      </c>
      <c r="AS49" s="439" t="n">
        <v>0.255</v>
      </c>
      <c r="AT49" s="438" t="n">
        <v>0.255</v>
      </c>
      <c r="AU49" s="438" t="n">
        <v>0.255</v>
      </c>
      <c r="AV49" s="438" t="n">
        <v>0.25</v>
      </c>
      <c r="AW49" s="440" t="n">
        <v>0.069207002638976</v>
      </c>
      <c r="AX49" s="440"/>
      <c r="AY49" s="437" t="n">
        <f aca="false">AG49</f>
        <v>0.25</v>
      </c>
      <c r="AZ49" s="437" t="n">
        <f aca="false">AG49</f>
        <v>0.25</v>
      </c>
      <c r="BA49" s="441" t="n">
        <f aca="false">AG49</f>
        <v>0.25</v>
      </c>
      <c r="BB49" s="442" t="n">
        <f aca="false">B49</f>
        <v>37773</v>
      </c>
      <c r="BC49" s="437" t="n">
        <f aca="false">(1+$AW49/2)^(-2*($B49-$BC$11)/365.25)</f>
        <v>0.828964645276106</v>
      </c>
      <c r="BD49" s="437" t="n">
        <f aca="false">(1+$AW49/2)^(-2*($B49-$BD$11)/365.25)</f>
        <v>0.82911907409899</v>
      </c>
      <c r="BF49" s="442" t="n">
        <f aca="false">B49</f>
        <v>37773</v>
      </c>
      <c r="BG49" s="418" t="n">
        <v>37</v>
      </c>
      <c r="BI49" s="445" t="n">
        <f aca="false">$C49+X49</f>
        <v>3.41</v>
      </c>
      <c r="BJ49" s="446" t="n">
        <f aca="false">$C48+Y49</f>
        <v>3</v>
      </c>
    </row>
    <row r="50" customFormat="false" ht="12" hidden="false" customHeight="false" outlineLevel="0" collapsed="false">
      <c r="B50" s="419" t="n">
        <f aca="false">EOMONTH(B49,0)+1</f>
        <v>37803</v>
      </c>
      <c r="C50" s="420" t="n">
        <v>3.037</v>
      </c>
      <c r="D50" s="420" t="n">
        <v>0.255</v>
      </c>
      <c r="E50" s="420" t="n">
        <v>0.069478647267651</v>
      </c>
      <c r="F50" s="420" t="n">
        <v>-0.185</v>
      </c>
      <c r="G50" s="420" t="n">
        <v>0.0225</v>
      </c>
      <c r="H50" s="420" t="n">
        <v>-0.185</v>
      </c>
      <c r="I50" s="420" t="n">
        <v>0.045</v>
      </c>
      <c r="J50" s="420" t="n">
        <v>0.1825</v>
      </c>
      <c r="K50" s="420" t="n">
        <v>0.215</v>
      </c>
      <c r="L50" s="420" t="n">
        <v>-0.085</v>
      </c>
      <c r="M50" s="420" t="n">
        <v>-0.026</v>
      </c>
      <c r="N50" s="420" t="n">
        <v>-0.36</v>
      </c>
      <c r="O50" s="420" t="n">
        <v>-0.34</v>
      </c>
      <c r="P50" s="420" t="n">
        <v>0.006</v>
      </c>
      <c r="Q50" s="420" t="n">
        <v>-0.0055</v>
      </c>
      <c r="R50" s="418" t="n">
        <v>-0.025</v>
      </c>
      <c r="S50" s="418" t="n">
        <v>-0.0575</v>
      </c>
      <c r="T50" s="418" t="n">
        <v>-0.09</v>
      </c>
      <c r="U50" s="418" t="n">
        <v>-0.02025</v>
      </c>
      <c r="V50" s="418" t="n">
        <v>-0.09</v>
      </c>
      <c r="W50" s="418" t="n">
        <v>-0.125</v>
      </c>
      <c r="X50" s="418" t="n">
        <v>0.43</v>
      </c>
      <c r="Y50" s="418" t="n">
        <v>0.005</v>
      </c>
      <c r="Z50" s="418" t="n">
        <v>-0.205</v>
      </c>
      <c r="AA50" s="418" t="n">
        <v>-0.023</v>
      </c>
      <c r="AB50" s="437" t="n">
        <v>0.295</v>
      </c>
      <c r="AC50" s="437" t="n">
        <v>0.3</v>
      </c>
      <c r="AD50" s="437" t="n">
        <v>0.14</v>
      </c>
      <c r="AE50" s="438" t="n">
        <v>0.255</v>
      </c>
      <c r="AF50" s="438" t="n">
        <v>0.255</v>
      </c>
      <c r="AG50" s="438" t="n">
        <v>0.25</v>
      </c>
      <c r="AH50" s="438" t="n">
        <v>0.255</v>
      </c>
      <c r="AI50" s="438" t="n">
        <v>0.26</v>
      </c>
      <c r="AJ50" s="438" t="n">
        <v>0.255</v>
      </c>
      <c r="AK50" s="438" t="n">
        <v>0.25</v>
      </c>
      <c r="AL50" s="438" t="n">
        <v>0.25</v>
      </c>
      <c r="AM50" s="438" t="n">
        <v>0.255</v>
      </c>
      <c r="AN50" s="438" t="n">
        <v>0.255</v>
      </c>
      <c r="AO50" s="438" t="n">
        <v>0.255</v>
      </c>
      <c r="AP50" s="439" t="n">
        <v>0.255</v>
      </c>
      <c r="AQ50" s="439" t="n">
        <v>0.255</v>
      </c>
      <c r="AR50" s="439" t="n">
        <v>0.255</v>
      </c>
      <c r="AS50" s="439" t="n">
        <v>0.255</v>
      </c>
      <c r="AT50" s="438" t="n">
        <v>0.255</v>
      </c>
      <c r="AU50" s="438" t="n">
        <v>0.255</v>
      </c>
      <c r="AV50" s="438" t="n">
        <v>0.25</v>
      </c>
      <c r="AW50" s="440" t="n">
        <v>0.069194353161541</v>
      </c>
      <c r="AX50" s="440"/>
      <c r="AY50" s="437" t="n">
        <f aca="false">AG50</f>
        <v>0.25</v>
      </c>
      <c r="AZ50" s="437" t="n">
        <f aca="false">AG50</f>
        <v>0.25</v>
      </c>
      <c r="BA50" s="441" t="n">
        <f aca="false">AG50</f>
        <v>0.25</v>
      </c>
      <c r="BB50" s="442" t="n">
        <f aca="false">B50</f>
        <v>37803</v>
      </c>
      <c r="BC50" s="437" t="n">
        <f aca="false">(1+$AW50/2)^(-2*($B50-$BC$11)/365.25)</f>
        <v>0.824373747256959</v>
      </c>
      <c r="BD50" s="437" t="n">
        <f aca="false">(1+$AW50/2)^(-2*($B50-$BD$11)/365.25)</f>
        <v>0.824527293235555</v>
      </c>
      <c r="BF50" s="442" t="n">
        <f aca="false">B50</f>
        <v>37803</v>
      </c>
      <c r="BG50" s="418" t="n">
        <v>38</v>
      </c>
      <c r="BI50" s="445" t="n">
        <f aca="false">$C50+X50</f>
        <v>3.467</v>
      </c>
      <c r="BJ50" s="446" t="n">
        <f aca="false">$C49+Y50</f>
        <v>3.02</v>
      </c>
    </row>
    <row r="51" customFormat="false" ht="12" hidden="false" customHeight="false" outlineLevel="0" collapsed="false">
      <c r="B51" s="419" t="n">
        <f aca="false">EOMONTH(B50,0)+1</f>
        <v>37834</v>
      </c>
      <c r="C51" s="420" t="n">
        <v>3.058</v>
      </c>
      <c r="D51" s="420" t="n">
        <v>0.255</v>
      </c>
      <c r="E51" s="420" t="n">
        <v>0.06946647893763</v>
      </c>
      <c r="F51" s="420" t="n">
        <v>-0.185</v>
      </c>
      <c r="G51" s="420" t="n">
        <v>0.025</v>
      </c>
      <c r="H51" s="420" t="n">
        <v>-0.185</v>
      </c>
      <c r="I51" s="420" t="n">
        <v>0.0425</v>
      </c>
      <c r="J51" s="420" t="n">
        <v>0.1825</v>
      </c>
      <c r="K51" s="420" t="n">
        <v>0.215</v>
      </c>
      <c r="L51" s="420" t="n">
        <v>-0.076</v>
      </c>
      <c r="M51" s="420" t="n">
        <v>-0.026</v>
      </c>
      <c r="N51" s="420" t="n">
        <v>-0.36</v>
      </c>
      <c r="O51" s="420" t="n">
        <v>-0.34</v>
      </c>
      <c r="P51" s="420" t="n">
        <v>0.006</v>
      </c>
      <c r="Q51" s="420" t="n">
        <v>-0.0055</v>
      </c>
      <c r="R51" s="418" t="n">
        <v>-0.025</v>
      </c>
      <c r="S51" s="418" t="n">
        <v>-0.0575</v>
      </c>
      <c r="T51" s="418" t="n">
        <v>-0.09</v>
      </c>
      <c r="U51" s="418" t="n">
        <v>-0.02025</v>
      </c>
      <c r="V51" s="418" t="n">
        <v>-0.09</v>
      </c>
      <c r="W51" s="418" t="n">
        <v>-0.125</v>
      </c>
      <c r="X51" s="418" t="n">
        <v>0.495</v>
      </c>
      <c r="Y51" s="418" t="n">
        <v>0.005</v>
      </c>
      <c r="Z51" s="418" t="n">
        <v>-0.205</v>
      </c>
      <c r="AA51" s="418" t="n">
        <v>-0.023</v>
      </c>
      <c r="AB51" s="437" t="n">
        <v>0.295</v>
      </c>
      <c r="AC51" s="437" t="n">
        <v>0.3</v>
      </c>
      <c r="AD51" s="437" t="n">
        <v>0.1375</v>
      </c>
      <c r="AE51" s="438" t="n">
        <v>0.255</v>
      </c>
      <c r="AF51" s="438" t="n">
        <v>0.255</v>
      </c>
      <c r="AG51" s="438" t="n">
        <v>0.25</v>
      </c>
      <c r="AH51" s="438" t="n">
        <v>0.255</v>
      </c>
      <c r="AI51" s="438" t="n">
        <v>0.26</v>
      </c>
      <c r="AJ51" s="438" t="n">
        <v>0.255</v>
      </c>
      <c r="AK51" s="438" t="n">
        <v>0.25</v>
      </c>
      <c r="AL51" s="438" t="n">
        <v>0.25</v>
      </c>
      <c r="AM51" s="438" t="n">
        <v>0.255</v>
      </c>
      <c r="AN51" s="438" t="n">
        <v>0.255</v>
      </c>
      <c r="AO51" s="438" t="n">
        <v>0.255</v>
      </c>
      <c r="AP51" s="439" t="n">
        <v>0.255</v>
      </c>
      <c r="AQ51" s="439" t="n">
        <v>0.255</v>
      </c>
      <c r="AR51" s="439" t="n">
        <v>0.255</v>
      </c>
      <c r="AS51" s="439" t="n">
        <v>0.255</v>
      </c>
      <c r="AT51" s="438" t="n">
        <v>0.255</v>
      </c>
      <c r="AU51" s="438" t="n">
        <v>0.255</v>
      </c>
      <c r="AV51" s="438" t="n">
        <v>0.25</v>
      </c>
      <c r="AW51" s="440" t="n">
        <v>0.069182977019876</v>
      </c>
      <c r="AX51" s="440"/>
      <c r="AY51" s="437" t="n">
        <f aca="false">AG51</f>
        <v>0.25</v>
      </c>
      <c r="AZ51" s="437" t="n">
        <f aca="false">AG51</f>
        <v>0.25</v>
      </c>
      <c r="BA51" s="441" t="n">
        <f aca="false">AG51</f>
        <v>0.25</v>
      </c>
      <c r="BB51" s="442" t="n">
        <f aca="false">B51</f>
        <v>37834</v>
      </c>
      <c r="BC51" s="437" t="n">
        <f aca="false">(1+$AW51/2)^(-2*($B51-$BC$11)/365.25)</f>
        <v>0.819654331046065</v>
      </c>
      <c r="BD51" s="437" t="n">
        <f aca="false">(1+$AW51/2)^(-2*($B51-$BD$11)/365.25)</f>
        <v>0.81980697331687</v>
      </c>
      <c r="BF51" s="442" t="n">
        <f aca="false">B51</f>
        <v>37834</v>
      </c>
      <c r="BG51" s="418" t="n">
        <v>39</v>
      </c>
      <c r="BI51" s="445" t="n">
        <f aca="false">$C51+X51</f>
        <v>3.553</v>
      </c>
      <c r="BJ51" s="446" t="n">
        <f aca="false">$C50+Y51</f>
        <v>3.042</v>
      </c>
    </row>
    <row r="52" customFormat="false" ht="12" hidden="false" customHeight="false" outlineLevel="0" collapsed="false">
      <c r="B52" s="419" t="n">
        <f aca="false">EOMONTH(B51,0)+1</f>
        <v>37865</v>
      </c>
      <c r="C52" s="420" t="n">
        <v>3.041</v>
      </c>
      <c r="D52" s="420" t="n">
        <v>0.255</v>
      </c>
      <c r="E52" s="420" t="n">
        <v>0.069454310607658</v>
      </c>
      <c r="F52" s="420" t="n">
        <v>-0.185</v>
      </c>
      <c r="G52" s="420" t="n">
        <v>0.0175</v>
      </c>
      <c r="H52" s="420" t="n">
        <v>-0.185</v>
      </c>
      <c r="I52" s="420" t="n">
        <v>0.04</v>
      </c>
      <c r="J52" s="420" t="n">
        <v>0.1825</v>
      </c>
      <c r="K52" s="420" t="n">
        <v>0.195</v>
      </c>
      <c r="L52" s="420" t="n">
        <v>-0.056</v>
      </c>
      <c r="M52" s="420" t="n">
        <v>-0.026</v>
      </c>
      <c r="N52" s="420" t="n">
        <v>-0.36</v>
      </c>
      <c r="O52" s="420" t="n">
        <v>-0.34</v>
      </c>
      <c r="P52" s="420" t="n">
        <v>0.006</v>
      </c>
      <c r="Q52" s="420" t="n">
        <v>-0.0055</v>
      </c>
      <c r="R52" s="418" t="n">
        <v>-0.025</v>
      </c>
      <c r="S52" s="418" t="n">
        <v>-0.0575</v>
      </c>
      <c r="T52" s="418" t="n">
        <v>-0.08</v>
      </c>
      <c r="U52" s="418" t="n">
        <v>-0.02025</v>
      </c>
      <c r="V52" s="418" t="n">
        <v>-0.105</v>
      </c>
      <c r="W52" s="418" t="n">
        <v>-0.125</v>
      </c>
      <c r="X52" s="418" t="n">
        <v>0.395</v>
      </c>
      <c r="Y52" s="418" t="n">
        <v>0.005</v>
      </c>
      <c r="Z52" s="418" t="n">
        <v>-0.205</v>
      </c>
      <c r="AA52" s="418" t="n">
        <v>-0.023</v>
      </c>
      <c r="AB52" s="437" t="n">
        <v>0.295</v>
      </c>
      <c r="AC52" s="437" t="n">
        <v>0.29</v>
      </c>
      <c r="AD52" s="437" t="n">
        <v>0.135</v>
      </c>
      <c r="AE52" s="438" t="n">
        <v>0.255</v>
      </c>
      <c r="AF52" s="438" t="n">
        <v>0.255</v>
      </c>
      <c r="AG52" s="438" t="n">
        <v>0.25</v>
      </c>
      <c r="AH52" s="438" t="n">
        <v>0.255</v>
      </c>
      <c r="AI52" s="438" t="n">
        <v>0.26</v>
      </c>
      <c r="AJ52" s="438" t="n">
        <v>0.255</v>
      </c>
      <c r="AK52" s="438" t="n">
        <v>0.25</v>
      </c>
      <c r="AL52" s="438" t="n">
        <v>0.25</v>
      </c>
      <c r="AM52" s="438" t="n">
        <v>0.255</v>
      </c>
      <c r="AN52" s="438" t="n">
        <v>0.255</v>
      </c>
      <c r="AO52" s="438" t="n">
        <v>0.255</v>
      </c>
      <c r="AP52" s="439" t="n">
        <v>0.255</v>
      </c>
      <c r="AQ52" s="439" t="n">
        <v>0.255</v>
      </c>
      <c r="AR52" s="439" t="n">
        <v>0.255</v>
      </c>
      <c r="AS52" s="439" t="n">
        <v>0.255</v>
      </c>
      <c r="AT52" s="438" t="n">
        <v>0.255</v>
      </c>
      <c r="AU52" s="438" t="n">
        <v>0.255</v>
      </c>
      <c r="AV52" s="438" t="n">
        <v>0.25</v>
      </c>
      <c r="AW52" s="440" t="n">
        <v>0.069171600878253</v>
      </c>
      <c r="AX52" s="440"/>
      <c r="AY52" s="437" t="n">
        <f aca="false">AG52</f>
        <v>0.25</v>
      </c>
      <c r="AZ52" s="437" t="n">
        <f aca="false">AG52</f>
        <v>0.25</v>
      </c>
      <c r="BA52" s="441" t="n">
        <f aca="false">AG52</f>
        <v>0.25</v>
      </c>
      <c r="BB52" s="442" t="n">
        <f aca="false">B52</f>
        <v>37865</v>
      </c>
      <c r="BC52" s="437" t="n">
        <f aca="false">(1+$AW52/2)^(-2*($B52-$BC$11)/365.25)</f>
        <v>0.814963454056295</v>
      </c>
      <c r="BD52" s="437" t="n">
        <f aca="false">(1+$AW52/2)^(-2*($B52-$BD$11)/365.25)</f>
        <v>0.815115198217314</v>
      </c>
      <c r="BF52" s="442" t="n">
        <f aca="false">B52</f>
        <v>37865</v>
      </c>
      <c r="BG52" s="418" t="n">
        <v>40</v>
      </c>
      <c r="BI52" s="445" t="n">
        <f aca="false">$C52+X52</f>
        <v>3.436</v>
      </c>
      <c r="BJ52" s="446" t="n">
        <f aca="false">$C51+Y52</f>
        <v>3.063</v>
      </c>
    </row>
    <row r="53" customFormat="false" ht="12" hidden="false" customHeight="false" outlineLevel="0" collapsed="false">
      <c r="B53" s="419" t="n">
        <f aca="false">EOMONTH(B52,0)+1</f>
        <v>37895</v>
      </c>
      <c r="C53" s="420" t="n">
        <v>3.056</v>
      </c>
      <c r="D53" s="420" t="n">
        <v>0.255</v>
      </c>
      <c r="E53" s="420" t="n">
        <v>0.069442592308781</v>
      </c>
      <c r="F53" s="420" t="n">
        <v>-0.185</v>
      </c>
      <c r="G53" s="420" t="n">
        <v>0.0075</v>
      </c>
      <c r="H53" s="420" t="n">
        <v>-0.185</v>
      </c>
      <c r="I53" s="420" t="n">
        <v>0.055</v>
      </c>
      <c r="J53" s="420" t="n">
        <v>0.1875</v>
      </c>
      <c r="K53" s="420" t="n">
        <v>0.215</v>
      </c>
      <c r="L53" s="420" t="n">
        <v>-0.066</v>
      </c>
      <c r="M53" s="420" t="n">
        <v>-0.026</v>
      </c>
      <c r="N53" s="420" t="n">
        <v>-0.36</v>
      </c>
      <c r="O53" s="420" t="n">
        <v>-0.34</v>
      </c>
      <c r="P53" s="420" t="n">
        <v>0.006</v>
      </c>
      <c r="Q53" s="420" t="n">
        <v>-0.0055</v>
      </c>
      <c r="R53" s="418" t="n">
        <v>-0.025</v>
      </c>
      <c r="S53" s="418" t="n">
        <v>-0.0575</v>
      </c>
      <c r="T53" s="418" t="n">
        <v>-0.065</v>
      </c>
      <c r="U53" s="418" t="n">
        <v>-0.02025</v>
      </c>
      <c r="V53" s="418" t="n">
        <v>-0.1075</v>
      </c>
      <c r="W53" s="418" t="n">
        <v>-0.125</v>
      </c>
      <c r="X53" s="418" t="n">
        <v>0.461</v>
      </c>
      <c r="Y53" s="418" t="n">
        <v>0.005</v>
      </c>
      <c r="Z53" s="418" t="n">
        <v>-0.205</v>
      </c>
      <c r="AA53" s="418" t="n">
        <v>-0.023</v>
      </c>
      <c r="AB53" s="437" t="n">
        <v>0.295</v>
      </c>
      <c r="AC53" s="437" t="n">
        <v>0.3625</v>
      </c>
      <c r="AD53" s="437" t="n">
        <v>0.15</v>
      </c>
      <c r="AE53" s="438" t="n">
        <v>0.255</v>
      </c>
      <c r="AF53" s="438" t="n">
        <v>0.255</v>
      </c>
      <c r="AG53" s="438" t="n">
        <v>0.25</v>
      </c>
      <c r="AH53" s="438" t="n">
        <v>0.255</v>
      </c>
      <c r="AI53" s="438" t="n">
        <v>0.26</v>
      </c>
      <c r="AJ53" s="438" t="n">
        <v>0.255</v>
      </c>
      <c r="AK53" s="438" t="n">
        <v>0.25</v>
      </c>
      <c r="AL53" s="438" t="n">
        <v>0.25</v>
      </c>
      <c r="AM53" s="438" t="n">
        <v>0.255</v>
      </c>
      <c r="AN53" s="438" t="n">
        <v>0.255</v>
      </c>
      <c r="AO53" s="438" t="n">
        <v>0.255</v>
      </c>
      <c r="AP53" s="439" t="n">
        <v>0.255</v>
      </c>
      <c r="AQ53" s="439" t="n">
        <v>0.255</v>
      </c>
      <c r="AR53" s="439" t="n">
        <v>0.255</v>
      </c>
      <c r="AS53" s="439" t="n">
        <v>0.255</v>
      </c>
      <c r="AT53" s="438" t="n">
        <v>0.255</v>
      </c>
      <c r="AU53" s="438" t="n">
        <v>0.255</v>
      </c>
      <c r="AV53" s="438" t="n">
        <v>0.25</v>
      </c>
      <c r="AW53" s="440" t="n">
        <v>0.069161176466711</v>
      </c>
      <c r="AX53" s="440"/>
      <c r="AY53" s="437" t="n">
        <f aca="false">AG53</f>
        <v>0.25</v>
      </c>
      <c r="AZ53" s="437" t="n">
        <f aca="false">AG53</f>
        <v>0.25</v>
      </c>
      <c r="BA53" s="441" t="n">
        <f aca="false">AG53</f>
        <v>0.25</v>
      </c>
      <c r="BB53" s="442" t="n">
        <f aca="false">B53</f>
        <v>37895</v>
      </c>
      <c r="BC53" s="437" t="n">
        <f aca="false">(1+$AW53/2)^(-2*($B53-$BC$11)/365.25)</f>
        <v>0.810449482604163</v>
      </c>
      <c r="BD53" s="437" t="n">
        <f aca="false">(1+$AW53/2)^(-2*($B53-$BD$11)/365.25)</f>
        <v>0.810600363913374</v>
      </c>
      <c r="BF53" s="442" t="n">
        <f aca="false">B53</f>
        <v>37895</v>
      </c>
      <c r="BG53" s="418" t="n">
        <v>41</v>
      </c>
      <c r="BI53" s="445" t="n">
        <f aca="false">$C53+X53</f>
        <v>3.517</v>
      </c>
      <c r="BJ53" s="446" t="n">
        <f aca="false">$C52+Y53</f>
        <v>3.046</v>
      </c>
    </row>
    <row r="54" customFormat="false" ht="12" hidden="false" customHeight="false" outlineLevel="0" collapsed="false">
      <c r="B54" s="419" t="n">
        <f aca="false">EOMONTH(B53,0)+1</f>
        <v>37926</v>
      </c>
      <c r="C54" s="420" t="n">
        <v>3.148</v>
      </c>
      <c r="D54" s="420" t="n">
        <v>0.265</v>
      </c>
      <c r="E54" s="420" t="n">
        <v>0.069430555630712</v>
      </c>
      <c r="F54" s="420" t="n">
        <v>-0.19</v>
      </c>
      <c r="G54" s="420" t="n">
        <v>-0.0325</v>
      </c>
      <c r="H54" s="420" t="n">
        <v>-0.19</v>
      </c>
      <c r="I54" s="420" t="n">
        <v>0.1075</v>
      </c>
      <c r="J54" s="420" t="n">
        <v>0.27</v>
      </c>
      <c r="K54" s="420" t="n">
        <v>0.2875</v>
      </c>
      <c r="L54" s="420" t="n">
        <v>-0.081</v>
      </c>
      <c r="M54" s="420" t="n">
        <v>-0.0185</v>
      </c>
      <c r="N54" s="420" t="n">
        <v>-0.29</v>
      </c>
      <c r="O54" s="420" t="n">
        <v>0</v>
      </c>
      <c r="P54" s="420" t="n">
        <v>0.0125</v>
      </c>
      <c r="Q54" s="420" t="n">
        <v>-0.0135</v>
      </c>
      <c r="R54" s="418" t="n">
        <v>-0.028</v>
      </c>
      <c r="S54" s="418" t="n">
        <v>-0.06</v>
      </c>
      <c r="T54" s="418" t="n">
        <v>-0.02</v>
      </c>
      <c r="U54" s="418" t="n">
        <v>-0.0345</v>
      </c>
      <c r="V54" s="418" t="n">
        <v>-0.105</v>
      </c>
      <c r="W54" s="418" t="n">
        <v>-0.1375</v>
      </c>
      <c r="X54" s="418" t="n">
        <v>0.7575</v>
      </c>
      <c r="Y54" s="418" t="n">
        <v>0.005</v>
      </c>
      <c r="Z54" s="418" t="n">
        <v>-0.195</v>
      </c>
      <c r="AA54" s="418" t="n">
        <v>-0.0245</v>
      </c>
      <c r="AB54" s="437" t="n">
        <v>0.115</v>
      </c>
      <c r="AC54" s="437" t="n">
        <v>0.495</v>
      </c>
      <c r="AD54" s="437" t="n">
        <v>0.2025</v>
      </c>
      <c r="AE54" s="438" t="n">
        <v>0.265</v>
      </c>
      <c r="AF54" s="438" t="n">
        <v>0.265</v>
      </c>
      <c r="AG54" s="438" t="n">
        <v>0.292</v>
      </c>
      <c r="AH54" s="438" t="n">
        <v>0.265</v>
      </c>
      <c r="AI54" s="438" t="n">
        <v>0.27</v>
      </c>
      <c r="AJ54" s="438" t="n">
        <v>0.265</v>
      </c>
      <c r="AK54" s="438" t="n">
        <v>0.265</v>
      </c>
      <c r="AL54" s="438" t="n">
        <v>0.265</v>
      </c>
      <c r="AM54" s="438" t="n">
        <v>0.265</v>
      </c>
      <c r="AN54" s="438" t="n">
        <v>0.265</v>
      </c>
      <c r="AO54" s="438" t="n">
        <v>0.265</v>
      </c>
      <c r="AP54" s="439" t="n">
        <v>0.265</v>
      </c>
      <c r="AQ54" s="439" t="n">
        <v>0.265</v>
      </c>
      <c r="AR54" s="439" t="n">
        <v>0.265</v>
      </c>
      <c r="AS54" s="439" t="n">
        <v>0.265</v>
      </c>
      <c r="AT54" s="438" t="n">
        <v>0.265</v>
      </c>
      <c r="AU54" s="438" t="n">
        <v>0.265</v>
      </c>
      <c r="AV54" s="438" t="n">
        <v>0.292</v>
      </c>
      <c r="AW54" s="440" t="n">
        <v>0.069151139097126</v>
      </c>
      <c r="AX54" s="440"/>
      <c r="AY54" s="437" t="n">
        <f aca="false">AG54</f>
        <v>0.292</v>
      </c>
      <c r="AZ54" s="437" t="n">
        <f aca="false">AG54</f>
        <v>0.292</v>
      </c>
      <c r="BA54" s="441" t="n">
        <f aca="false">AG54</f>
        <v>0.292</v>
      </c>
      <c r="BB54" s="442" t="n">
        <f aca="false">B54</f>
        <v>37926</v>
      </c>
      <c r="BC54" s="437" t="n">
        <f aca="false">(1+$AW54/2)^(-2*($B54-$BC$11)/365.25)</f>
        <v>0.805810894474884</v>
      </c>
      <c r="BD54" s="437" t="n">
        <f aca="false">(1+$AW54/2)^(-2*($B54-$BD$11)/365.25)</f>
        <v>0.805960890810337</v>
      </c>
      <c r="BF54" s="442" t="n">
        <f aca="false">B54</f>
        <v>37926</v>
      </c>
      <c r="BG54" s="418" t="n">
        <v>42</v>
      </c>
      <c r="BI54" s="445" t="n">
        <f aca="false">$C54+X54</f>
        <v>3.9055</v>
      </c>
      <c r="BJ54" s="446" t="n">
        <f aca="false">$C53+Y54</f>
        <v>3.061</v>
      </c>
    </row>
    <row r="55" customFormat="false" ht="12" hidden="false" customHeight="false" outlineLevel="0" collapsed="false">
      <c r="B55" s="419" t="n">
        <f aca="false">EOMONTH(B54,0)+1</f>
        <v>37956</v>
      </c>
      <c r="C55" s="420" t="n">
        <v>3.234</v>
      </c>
      <c r="D55" s="420" t="n">
        <v>0.27</v>
      </c>
      <c r="E55" s="420" t="n">
        <v>0.069418907232626</v>
      </c>
      <c r="F55" s="420" t="n">
        <v>-0.1975</v>
      </c>
      <c r="G55" s="420" t="n">
        <v>-0.055</v>
      </c>
      <c r="H55" s="420" t="n">
        <v>-0.1975</v>
      </c>
      <c r="I55" s="420" t="n">
        <v>0.1475</v>
      </c>
      <c r="J55" s="420" t="n">
        <v>0.305</v>
      </c>
      <c r="K55" s="420" t="n">
        <v>0.3375</v>
      </c>
      <c r="L55" s="420" t="n">
        <v>-0.081</v>
      </c>
      <c r="M55" s="420" t="n">
        <v>-0.0185</v>
      </c>
      <c r="N55" s="420" t="n">
        <v>-0.29</v>
      </c>
      <c r="O55" s="420" t="n">
        <v>0.06</v>
      </c>
      <c r="P55" s="420" t="n">
        <v>0.0125</v>
      </c>
      <c r="Q55" s="420" t="n">
        <v>-0.0135</v>
      </c>
      <c r="R55" s="418" t="n">
        <v>-0.028</v>
      </c>
      <c r="S55" s="418" t="n">
        <v>-0.06</v>
      </c>
      <c r="T55" s="418" t="n">
        <v>-0.0125</v>
      </c>
      <c r="U55" s="418" t="n">
        <v>-0.0345</v>
      </c>
      <c r="V55" s="418" t="n">
        <v>-0.14</v>
      </c>
      <c r="W55" s="418" t="n">
        <v>-0.1325</v>
      </c>
      <c r="X55" s="418" t="n">
        <v>1.17</v>
      </c>
      <c r="Y55" s="418" t="n">
        <v>0.005</v>
      </c>
      <c r="Z55" s="418" t="n">
        <v>-0.195</v>
      </c>
      <c r="AA55" s="418" t="n">
        <v>-0.0245</v>
      </c>
      <c r="AB55" s="437" t="n">
        <v>0.115</v>
      </c>
      <c r="AC55" s="437" t="n">
        <v>0.84</v>
      </c>
      <c r="AD55" s="437" t="n">
        <v>0.2425</v>
      </c>
      <c r="AE55" s="438" t="n">
        <v>0.27</v>
      </c>
      <c r="AF55" s="438" t="n">
        <v>0.27</v>
      </c>
      <c r="AG55" s="438" t="n">
        <v>0.297</v>
      </c>
      <c r="AH55" s="438" t="n">
        <v>0.27</v>
      </c>
      <c r="AI55" s="438" t="n">
        <v>0.275</v>
      </c>
      <c r="AJ55" s="438" t="n">
        <v>0.27</v>
      </c>
      <c r="AK55" s="438" t="n">
        <v>0.27</v>
      </c>
      <c r="AL55" s="438" t="n">
        <v>0.27</v>
      </c>
      <c r="AM55" s="438" t="n">
        <v>0.27</v>
      </c>
      <c r="AN55" s="438" t="n">
        <v>0.27</v>
      </c>
      <c r="AO55" s="438" t="n">
        <v>0.27</v>
      </c>
      <c r="AP55" s="439" t="n">
        <v>0.27</v>
      </c>
      <c r="AQ55" s="439" t="n">
        <v>0.27</v>
      </c>
      <c r="AR55" s="439" t="n">
        <v>0.27</v>
      </c>
      <c r="AS55" s="439" t="n">
        <v>0.27</v>
      </c>
      <c r="AT55" s="438" t="n">
        <v>0.27</v>
      </c>
      <c r="AU55" s="438" t="n">
        <v>0.27</v>
      </c>
      <c r="AV55" s="438" t="n">
        <v>0.297</v>
      </c>
      <c r="AW55" s="440" t="n">
        <v>0.069141425513687</v>
      </c>
      <c r="AX55" s="440"/>
      <c r="AY55" s="437" t="n">
        <f aca="false">AG55</f>
        <v>0.297</v>
      </c>
      <c r="AZ55" s="437" t="n">
        <f aca="false">AG55</f>
        <v>0.297</v>
      </c>
      <c r="BA55" s="441" t="n">
        <f aca="false">AG55</f>
        <v>0.297</v>
      </c>
      <c r="BB55" s="442" t="n">
        <f aca="false">B55</f>
        <v>37956</v>
      </c>
      <c r="BC55" s="437" t="n">
        <f aca="false">(1+$AW55/2)^(-2*($B55-$BC$11)/365.25)</f>
        <v>0.801348474476408</v>
      </c>
      <c r="BD55" s="437" t="n">
        <f aca="false">(1+$AW55/2)^(-2*($B55-$BD$11)/365.25)</f>
        <v>0.801497619559083</v>
      </c>
      <c r="BF55" s="442" t="n">
        <f aca="false">B55</f>
        <v>37956</v>
      </c>
      <c r="BG55" s="418" t="n">
        <v>43</v>
      </c>
      <c r="BI55" s="445" t="n">
        <f aca="false">$C55+X55</f>
        <v>4.404</v>
      </c>
      <c r="BJ55" s="446" t="n">
        <f aca="false">$C54+Y55</f>
        <v>3.153</v>
      </c>
    </row>
    <row r="56" customFormat="false" ht="12" hidden="false" customHeight="false" outlineLevel="0" collapsed="false">
      <c r="B56" s="419" t="n">
        <f aca="false">EOMONTH(B55,0)+1</f>
        <v>37987</v>
      </c>
      <c r="C56" s="420" t="n">
        <v>3.374</v>
      </c>
      <c r="D56" s="420" t="n">
        <v>0.2875</v>
      </c>
      <c r="E56" s="420" t="n">
        <v>0.069413894764454</v>
      </c>
      <c r="F56" s="420" t="n">
        <v>-0.2</v>
      </c>
      <c r="G56" s="420" t="n">
        <v>-0.0575</v>
      </c>
      <c r="H56" s="420" t="n">
        <v>-0.2</v>
      </c>
      <c r="I56" s="420" t="n">
        <v>0.1825</v>
      </c>
      <c r="J56" s="420" t="n">
        <v>0.305</v>
      </c>
      <c r="K56" s="420" t="n">
        <v>0.4375</v>
      </c>
      <c r="L56" s="420" t="n">
        <v>-0.081</v>
      </c>
      <c r="M56" s="420" t="n">
        <v>-0.0165</v>
      </c>
      <c r="N56" s="420" t="n">
        <v>-0.29</v>
      </c>
      <c r="O56" s="420" t="n">
        <v>0.13</v>
      </c>
      <c r="P56" s="420" t="n">
        <v>0.0125</v>
      </c>
      <c r="Q56" s="420" t="n">
        <v>-0.0135</v>
      </c>
      <c r="R56" s="418" t="n">
        <v>-0.028</v>
      </c>
      <c r="S56" s="418" t="n">
        <v>-0.06</v>
      </c>
      <c r="T56" s="418" t="n">
        <v>0.0025</v>
      </c>
      <c r="U56" s="418" t="n">
        <v>-0.0345</v>
      </c>
      <c r="V56" s="418" t="n">
        <v>-0.145</v>
      </c>
      <c r="W56" s="418" t="n">
        <v>-0.1325</v>
      </c>
      <c r="X56" s="418" t="n">
        <v>1.495</v>
      </c>
      <c r="Y56" s="418" t="n">
        <v>0.005</v>
      </c>
      <c r="Z56" s="418" t="n">
        <v>-0.195</v>
      </c>
      <c r="AA56" s="418" t="n">
        <v>-0.0245</v>
      </c>
      <c r="AB56" s="437" t="n">
        <v>0.115</v>
      </c>
      <c r="AC56" s="437" t="n">
        <v>0.985</v>
      </c>
      <c r="AD56" s="437" t="n">
        <v>0.2775</v>
      </c>
      <c r="AE56" s="438" t="n">
        <v>0.288</v>
      </c>
      <c r="AF56" s="438" t="n">
        <v>0.288</v>
      </c>
      <c r="AG56" s="438" t="n">
        <v>0.316</v>
      </c>
      <c r="AH56" s="438" t="n">
        <v>0.288</v>
      </c>
      <c r="AI56" s="438" t="n">
        <v>0.293</v>
      </c>
      <c r="AJ56" s="438" t="n">
        <v>0.288</v>
      </c>
      <c r="AK56" s="438" t="n">
        <v>0.288</v>
      </c>
      <c r="AL56" s="438" t="n">
        <v>0.288</v>
      </c>
      <c r="AM56" s="438" t="n">
        <v>0.288</v>
      </c>
      <c r="AN56" s="438" t="n">
        <v>0.288</v>
      </c>
      <c r="AO56" s="438" t="n">
        <v>0.288</v>
      </c>
      <c r="AP56" s="439" t="n">
        <v>0.288</v>
      </c>
      <c r="AQ56" s="439" t="n">
        <v>0.288</v>
      </c>
      <c r="AR56" s="439" t="n">
        <v>0.288</v>
      </c>
      <c r="AS56" s="439" t="n">
        <v>0.288</v>
      </c>
      <c r="AT56" s="438" t="n">
        <v>0.288</v>
      </c>
      <c r="AU56" s="438" t="n">
        <v>0.288</v>
      </c>
      <c r="AV56" s="438" t="n">
        <v>0.316</v>
      </c>
      <c r="AW56" s="440" t="n">
        <v>0.069138841546618</v>
      </c>
      <c r="AX56" s="440"/>
      <c r="AY56" s="437" t="n">
        <f aca="false">AG56</f>
        <v>0.316</v>
      </c>
      <c r="AZ56" s="437" t="n">
        <f aca="false">AG56</f>
        <v>0.316</v>
      </c>
      <c r="BA56" s="441" t="n">
        <f aca="false">AG56</f>
        <v>0.316</v>
      </c>
      <c r="BB56" s="442" t="n">
        <f aca="false">B56</f>
        <v>37987</v>
      </c>
      <c r="BC56" s="437" t="n">
        <f aca="false">(1+$AW56/2)^(-2*($B56-$BC$11)/365.25)</f>
        <v>0.796745369276995</v>
      </c>
      <c r="BD56" s="437" t="n">
        <f aca="false">(1+$AW56/2)^(-2*($B56-$BD$11)/365.25)</f>
        <v>0.796893652191362</v>
      </c>
      <c r="BF56" s="442" t="n">
        <f aca="false">B56</f>
        <v>37987</v>
      </c>
      <c r="BG56" s="418" t="n">
        <v>44</v>
      </c>
      <c r="BI56" s="445" t="n">
        <f aca="false">$C56+X56</f>
        <v>4.869</v>
      </c>
      <c r="BJ56" s="446" t="n">
        <f aca="false">$C55+Y56</f>
        <v>3.239</v>
      </c>
    </row>
    <row r="57" customFormat="false" ht="12" hidden="false" customHeight="false" outlineLevel="0" collapsed="false">
      <c r="B57" s="419" t="n">
        <f aca="false">EOMONTH(B56,0)+1</f>
        <v>38018</v>
      </c>
      <c r="C57" s="420" t="n">
        <v>3.236</v>
      </c>
      <c r="D57" s="420" t="n">
        <v>0.275</v>
      </c>
      <c r="E57" s="420" t="n">
        <v>0.069416374786754</v>
      </c>
      <c r="F57" s="420" t="n">
        <v>-0.2025</v>
      </c>
      <c r="G57" s="420" t="n">
        <v>-0.04</v>
      </c>
      <c r="H57" s="420" t="n">
        <v>-0.2025</v>
      </c>
      <c r="I57" s="420" t="n">
        <v>0.1575</v>
      </c>
      <c r="J57" s="420" t="n">
        <v>0.305</v>
      </c>
      <c r="K57" s="420" t="n">
        <v>0.435</v>
      </c>
      <c r="L57" s="420" t="n">
        <v>-0.081</v>
      </c>
      <c r="M57" s="420" t="n">
        <v>-0.0165</v>
      </c>
      <c r="N57" s="420" t="n">
        <v>-0.29</v>
      </c>
      <c r="O57" s="420" t="n">
        <v>0</v>
      </c>
      <c r="P57" s="420" t="n">
        <v>0.0125</v>
      </c>
      <c r="Q57" s="420" t="n">
        <v>-0.0135</v>
      </c>
      <c r="R57" s="418" t="n">
        <v>-0.028</v>
      </c>
      <c r="S57" s="418" t="n">
        <v>-0.06</v>
      </c>
      <c r="T57" s="418" t="n">
        <v>0.0025</v>
      </c>
      <c r="U57" s="418" t="n">
        <v>-0.0345</v>
      </c>
      <c r="V57" s="418" t="n">
        <v>-0.1275</v>
      </c>
      <c r="W57" s="418" t="n">
        <v>-0.1325</v>
      </c>
      <c r="X57" s="418" t="n">
        <v>1.425</v>
      </c>
      <c r="Y57" s="418" t="n">
        <v>0.005</v>
      </c>
      <c r="Z57" s="418" t="n">
        <v>-0.195</v>
      </c>
      <c r="AA57" s="418" t="n">
        <v>-0.0245</v>
      </c>
      <c r="AB57" s="437" t="n">
        <v>0.115</v>
      </c>
      <c r="AC57" s="437" t="n">
        <v>0.985</v>
      </c>
      <c r="AD57" s="437" t="n">
        <v>0.2525</v>
      </c>
      <c r="AE57" s="438" t="n">
        <v>0.275</v>
      </c>
      <c r="AF57" s="438" t="n">
        <v>0.275</v>
      </c>
      <c r="AG57" s="438" t="n">
        <v>0.303</v>
      </c>
      <c r="AH57" s="438" t="n">
        <v>0.275</v>
      </c>
      <c r="AI57" s="438" t="n">
        <v>0.281</v>
      </c>
      <c r="AJ57" s="438" t="n">
        <v>0.275</v>
      </c>
      <c r="AK57" s="438" t="n">
        <v>0.275</v>
      </c>
      <c r="AL57" s="438" t="n">
        <v>0.275</v>
      </c>
      <c r="AM57" s="438" t="n">
        <v>0.275</v>
      </c>
      <c r="AN57" s="438" t="n">
        <v>0.275</v>
      </c>
      <c r="AO57" s="438" t="n">
        <v>0.275</v>
      </c>
      <c r="AP57" s="439" t="n">
        <v>0.275</v>
      </c>
      <c r="AQ57" s="439" t="n">
        <v>0.275</v>
      </c>
      <c r="AR57" s="439" t="n">
        <v>0.275</v>
      </c>
      <c r="AS57" s="439" t="n">
        <v>0.275</v>
      </c>
      <c r="AT57" s="438" t="n">
        <v>0.275</v>
      </c>
      <c r="AU57" s="438" t="n">
        <v>0.275</v>
      </c>
      <c r="AV57" s="438" t="n">
        <v>0.303</v>
      </c>
      <c r="AW57" s="440" t="n">
        <v>0.069144207875512</v>
      </c>
      <c r="AX57" s="440"/>
      <c r="AY57" s="437" t="n">
        <f aca="false">AG57</f>
        <v>0.303</v>
      </c>
      <c r="AZ57" s="437" t="n">
        <f aca="false">AG57</f>
        <v>0.303</v>
      </c>
      <c r="BA57" s="441" t="n">
        <f aca="false">AG57</f>
        <v>0.303</v>
      </c>
      <c r="BB57" s="442" t="n">
        <f aca="false">B57</f>
        <v>38018</v>
      </c>
      <c r="BC57" s="437" t="n">
        <f aca="false">(1+$AW57/2)^(-2*($B57-$BC$11)/365.25)</f>
        <v>0.792148174589272</v>
      </c>
      <c r="BD57" s="437" t="n">
        <f aca="false">(1+$AW57/2)^(-2*($B57-$BD$11)/365.25)</f>
        <v>0.792295613167675</v>
      </c>
      <c r="BF57" s="442" t="n">
        <f aca="false">B57</f>
        <v>38018</v>
      </c>
      <c r="BG57" s="418" t="n">
        <v>45</v>
      </c>
      <c r="BI57" s="445" t="n">
        <f aca="false">$C57+X57</f>
        <v>4.661</v>
      </c>
      <c r="BJ57" s="446" t="n">
        <f aca="false">$C56+Y57</f>
        <v>3.379</v>
      </c>
    </row>
    <row r="58" customFormat="false" ht="12" hidden="false" customHeight="false" outlineLevel="0" collapsed="false">
      <c r="B58" s="419" t="n">
        <f aca="false">EOMONTH(B57,0)+1</f>
        <v>38047</v>
      </c>
      <c r="C58" s="420" t="n">
        <v>3.069</v>
      </c>
      <c r="D58" s="420" t="n">
        <v>0.2725</v>
      </c>
      <c r="E58" s="420" t="n">
        <v>0.069418694807617</v>
      </c>
      <c r="F58" s="420" t="n">
        <v>-0.205</v>
      </c>
      <c r="G58" s="420" t="n">
        <v>-0.0275</v>
      </c>
      <c r="H58" s="420" t="n">
        <v>-0.205</v>
      </c>
      <c r="I58" s="420" t="n">
        <v>0.155</v>
      </c>
      <c r="J58" s="420" t="n">
        <v>0.265</v>
      </c>
      <c r="K58" s="420" t="n">
        <v>0.3025</v>
      </c>
      <c r="L58" s="420" t="n">
        <v>-0.081</v>
      </c>
      <c r="M58" s="420" t="n">
        <v>-0.0165</v>
      </c>
      <c r="N58" s="420" t="n">
        <v>-0.29</v>
      </c>
      <c r="O58" s="420" t="n">
        <v>-0.18</v>
      </c>
      <c r="P58" s="420" t="n">
        <v>0.0125</v>
      </c>
      <c r="Q58" s="420" t="n">
        <v>-0.0135</v>
      </c>
      <c r="R58" s="418" t="n">
        <v>-0.028</v>
      </c>
      <c r="S58" s="418" t="n">
        <v>-0.06</v>
      </c>
      <c r="T58" s="418" t="n">
        <v>0.0025</v>
      </c>
      <c r="U58" s="418" t="n">
        <v>-0.0345</v>
      </c>
      <c r="V58" s="418" t="n">
        <v>-0.11</v>
      </c>
      <c r="W58" s="418" t="n">
        <v>-0.1375</v>
      </c>
      <c r="X58" s="418" t="n">
        <v>0.825</v>
      </c>
      <c r="Y58" s="418" t="n">
        <v>0.005</v>
      </c>
      <c r="Z58" s="418" t="n">
        <v>-0.195</v>
      </c>
      <c r="AA58" s="418" t="n">
        <v>-0.0245</v>
      </c>
      <c r="AB58" s="437" t="n">
        <v>0.115</v>
      </c>
      <c r="AC58" s="437" t="n">
        <v>0.6375</v>
      </c>
      <c r="AD58" s="437" t="n">
        <v>0.25</v>
      </c>
      <c r="AE58" s="438" t="n">
        <v>0.273</v>
      </c>
      <c r="AF58" s="438" t="n">
        <v>0.273</v>
      </c>
      <c r="AG58" s="438" t="n">
        <v>0.3</v>
      </c>
      <c r="AH58" s="438" t="n">
        <v>0.273</v>
      </c>
      <c r="AI58" s="438" t="n">
        <v>0.278</v>
      </c>
      <c r="AJ58" s="438" t="n">
        <v>0.273</v>
      </c>
      <c r="AK58" s="438" t="n">
        <v>0.273</v>
      </c>
      <c r="AL58" s="438" t="n">
        <v>0.273</v>
      </c>
      <c r="AM58" s="438" t="n">
        <v>0.273</v>
      </c>
      <c r="AN58" s="438" t="n">
        <v>0.273</v>
      </c>
      <c r="AO58" s="438" t="n">
        <v>0.273</v>
      </c>
      <c r="AP58" s="439" t="n">
        <v>0.273</v>
      </c>
      <c r="AQ58" s="439" t="n">
        <v>0.273</v>
      </c>
      <c r="AR58" s="439" t="n">
        <v>0.273</v>
      </c>
      <c r="AS58" s="439" t="n">
        <v>0.273</v>
      </c>
      <c r="AT58" s="438" t="n">
        <v>0.273</v>
      </c>
      <c r="AU58" s="438" t="n">
        <v>0.273</v>
      </c>
      <c r="AV58" s="438" t="n">
        <v>0.3</v>
      </c>
      <c r="AW58" s="440" t="n">
        <v>0.069149227989648</v>
      </c>
      <c r="AX58" s="440"/>
      <c r="AY58" s="437" t="n">
        <f aca="false">AG58</f>
        <v>0.3</v>
      </c>
      <c r="AZ58" s="437" t="n">
        <f aca="false">AG58</f>
        <v>0.3</v>
      </c>
      <c r="BA58" s="441" t="n">
        <f aca="false">AG58</f>
        <v>0.3</v>
      </c>
      <c r="BB58" s="442" t="n">
        <f aca="false">B58</f>
        <v>38047</v>
      </c>
      <c r="BC58" s="437" t="n">
        <f aca="false">(1+$AW58/2)^(-2*($B58-$BC$11)/365.25)</f>
        <v>0.787870961978134</v>
      </c>
      <c r="BD58" s="437" t="n">
        <f aca="false">(1+$AW58/2)^(-2*($B58-$BD$11)/365.25)</f>
        <v>0.788017614929169</v>
      </c>
      <c r="BF58" s="442" t="n">
        <f aca="false">B58</f>
        <v>38047</v>
      </c>
      <c r="BG58" s="418" t="n">
        <v>46</v>
      </c>
      <c r="BI58" s="445" t="n">
        <f aca="false">$C58+X58</f>
        <v>3.894</v>
      </c>
      <c r="BJ58" s="446" t="n">
        <f aca="false">$C57+Y58</f>
        <v>3.241</v>
      </c>
    </row>
    <row r="59" customFormat="false" ht="12" hidden="false" customHeight="false" outlineLevel="0" collapsed="false">
      <c r="B59" s="419" t="n">
        <f aca="false">EOMONTH(B58,0)+1</f>
        <v>38078</v>
      </c>
      <c r="C59" s="420" t="n">
        <v>2.894</v>
      </c>
      <c r="D59" s="420" t="n">
        <v>0.2525</v>
      </c>
      <c r="E59" s="420" t="n">
        <v>0.069415039312736</v>
      </c>
      <c r="F59" s="420" t="n">
        <v>-0.195</v>
      </c>
      <c r="G59" s="420" t="n">
        <v>0.015</v>
      </c>
      <c r="H59" s="420" t="n">
        <v>-0.195</v>
      </c>
      <c r="I59" s="420" t="n">
        <v>0.0725</v>
      </c>
      <c r="J59" s="420" t="n">
        <v>0.195</v>
      </c>
      <c r="K59" s="420" t="n">
        <v>0.25</v>
      </c>
      <c r="L59" s="420" t="n">
        <v>-0.074</v>
      </c>
      <c r="M59" s="420" t="n">
        <v>-0.024</v>
      </c>
      <c r="N59" s="420" t="n">
        <v>-0.37</v>
      </c>
      <c r="O59" s="420" t="n">
        <v>-0.33</v>
      </c>
      <c r="P59" s="420" t="n">
        <v>0.006</v>
      </c>
      <c r="Q59" s="420" t="n">
        <v>-0.0035</v>
      </c>
      <c r="R59" s="418" t="n">
        <v>-0.0275</v>
      </c>
      <c r="S59" s="418" t="n">
        <v>-0.0575</v>
      </c>
      <c r="T59" s="418" t="n">
        <v>-0.085</v>
      </c>
      <c r="U59" s="418" t="n">
        <v>-0.0135</v>
      </c>
      <c r="V59" s="418" t="n">
        <v>-0.1025</v>
      </c>
      <c r="W59" s="418" t="n">
        <v>-0.1225</v>
      </c>
      <c r="X59" s="418" t="n">
        <v>0.45</v>
      </c>
      <c r="Y59" s="418" t="n">
        <v>0.005</v>
      </c>
      <c r="Z59" s="418" t="n">
        <v>-0.2</v>
      </c>
      <c r="AA59" s="418" t="n">
        <v>-0.022</v>
      </c>
      <c r="AB59" s="437" t="n">
        <v>0.285</v>
      </c>
      <c r="AC59" s="437" t="n">
        <v>0.355</v>
      </c>
      <c r="AD59" s="437" t="n">
        <v>0.1675</v>
      </c>
      <c r="AE59" s="438" t="n">
        <v>0.253</v>
      </c>
      <c r="AF59" s="438" t="n">
        <v>0.253</v>
      </c>
      <c r="AG59" s="438" t="n">
        <v>0.247</v>
      </c>
      <c r="AH59" s="438" t="n">
        <v>0.253</v>
      </c>
      <c r="AI59" s="438" t="n">
        <v>0.258</v>
      </c>
      <c r="AJ59" s="438" t="n">
        <v>0.253</v>
      </c>
      <c r="AK59" s="438" t="n">
        <v>0.247</v>
      </c>
      <c r="AL59" s="438" t="n">
        <v>0.247</v>
      </c>
      <c r="AM59" s="438" t="n">
        <v>0.253</v>
      </c>
      <c r="AN59" s="438" t="n">
        <v>0.253</v>
      </c>
      <c r="AO59" s="438" t="n">
        <v>0.253</v>
      </c>
      <c r="AP59" s="439" t="n">
        <v>0.253</v>
      </c>
      <c r="AQ59" s="439" t="n">
        <v>0.253</v>
      </c>
      <c r="AR59" s="439" t="n">
        <v>0.253</v>
      </c>
      <c r="AS59" s="439" t="n">
        <v>0.253</v>
      </c>
      <c r="AT59" s="438" t="n">
        <v>0.253</v>
      </c>
      <c r="AU59" s="438" t="n">
        <v>0.253</v>
      </c>
      <c r="AV59" s="438" t="n">
        <v>0.247</v>
      </c>
      <c r="AW59" s="440" t="n">
        <v>0.06914774312081</v>
      </c>
      <c r="AX59" s="440"/>
      <c r="AY59" s="437" t="n">
        <f aca="false">AG59</f>
        <v>0.247</v>
      </c>
      <c r="AZ59" s="437" t="n">
        <f aca="false">AG59</f>
        <v>0.247</v>
      </c>
      <c r="BA59" s="441" t="n">
        <f aca="false">AG59</f>
        <v>0.247</v>
      </c>
      <c r="BB59" s="442" t="n">
        <f aca="false">B59</f>
        <v>38078</v>
      </c>
      <c r="BC59" s="437" t="n">
        <f aca="false">(1+$AW59/2)^(-2*($B59-$BC$11)/365.25)</f>
        <v>0.783342270994398</v>
      </c>
      <c r="BD59" s="437" t="n">
        <f aca="false">(1+$AW59/2)^(-2*($B59-$BD$11)/365.25)</f>
        <v>0.783488077903943</v>
      </c>
      <c r="BF59" s="442" t="n">
        <f aca="false">B59</f>
        <v>38078</v>
      </c>
      <c r="BG59" s="418" t="n">
        <v>47</v>
      </c>
      <c r="BI59" s="445" t="n">
        <f aca="false">$C59+X59</f>
        <v>3.344</v>
      </c>
      <c r="BJ59" s="446" t="n">
        <f aca="false">$C58+Y59</f>
        <v>3.074</v>
      </c>
    </row>
    <row r="60" customFormat="false" ht="12" hidden="false" customHeight="false" outlineLevel="0" collapsed="false">
      <c r="B60" s="419" t="n">
        <f aca="false">EOMONTH(B59,0)+1</f>
        <v>38108</v>
      </c>
      <c r="C60" s="420" t="n">
        <v>2.883</v>
      </c>
      <c r="D60" s="420" t="n">
        <v>0.2525</v>
      </c>
      <c r="E60" s="420" t="n">
        <v>0.069405168299975</v>
      </c>
      <c r="F60" s="420" t="n">
        <v>-0.195</v>
      </c>
      <c r="G60" s="420" t="n">
        <v>0.015</v>
      </c>
      <c r="H60" s="420" t="n">
        <v>-0.195</v>
      </c>
      <c r="I60" s="420" t="n">
        <v>0.0625</v>
      </c>
      <c r="J60" s="420" t="n">
        <v>0.1825</v>
      </c>
      <c r="K60" s="420" t="n">
        <v>0.2025</v>
      </c>
      <c r="L60" s="420" t="n">
        <v>-0.074</v>
      </c>
      <c r="M60" s="420" t="n">
        <v>-0.024</v>
      </c>
      <c r="N60" s="420" t="n">
        <v>-0.37</v>
      </c>
      <c r="O60" s="420" t="n">
        <v>-0.33</v>
      </c>
      <c r="P60" s="420" t="n">
        <v>0.006</v>
      </c>
      <c r="Q60" s="420" t="n">
        <v>-0.0035</v>
      </c>
      <c r="R60" s="418" t="n">
        <v>-0.0275</v>
      </c>
      <c r="S60" s="418" t="n">
        <v>-0.0575</v>
      </c>
      <c r="T60" s="418" t="n">
        <v>-0.1</v>
      </c>
      <c r="U60" s="418" t="n">
        <v>-0.01375</v>
      </c>
      <c r="V60" s="418" t="n">
        <v>-0.1025</v>
      </c>
      <c r="W60" s="418" t="n">
        <v>-0.1225</v>
      </c>
      <c r="X60" s="418" t="n">
        <v>0.405</v>
      </c>
      <c r="Y60" s="418" t="n">
        <v>0.005</v>
      </c>
      <c r="Z60" s="418" t="n">
        <v>-0.2</v>
      </c>
      <c r="AA60" s="418" t="n">
        <v>-0.022</v>
      </c>
      <c r="AB60" s="437" t="n">
        <v>0.285</v>
      </c>
      <c r="AC60" s="437" t="n">
        <v>0.2875</v>
      </c>
      <c r="AD60" s="437" t="n">
        <v>0.1575</v>
      </c>
      <c r="AE60" s="438" t="n">
        <v>0.253</v>
      </c>
      <c r="AF60" s="438" t="n">
        <v>0.253</v>
      </c>
      <c r="AG60" s="438" t="n">
        <v>0.247</v>
      </c>
      <c r="AH60" s="438" t="n">
        <v>0.253</v>
      </c>
      <c r="AI60" s="438" t="n">
        <v>0.258</v>
      </c>
      <c r="AJ60" s="438" t="n">
        <v>0.253</v>
      </c>
      <c r="AK60" s="438" t="n">
        <v>0.247</v>
      </c>
      <c r="AL60" s="438" t="n">
        <v>0.247</v>
      </c>
      <c r="AM60" s="438" t="n">
        <v>0.253</v>
      </c>
      <c r="AN60" s="438" t="n">
        <v>0.253</v>
      </c>
      <c r="AO60" s="438" t="n">
        <v>0.253</v>
      </c>
      <c r="AP60" s="439" t="n">
        <v>0.253</v>
      </c>
      <c r="AQ60" s="439" t="n">
        <v>0.253</v>
      </c>
      <c r="AR60" s="439" t="n">
        <v>0.253</v>
      </c>
      <c r="AS60" s="439" t="n">
        <v>0.253</v>
      </c>
      <c r="AT60" s="438" t="n">
        <v>0.253</v>
      </c>
      <c r="AU60" s="438" t="n">
        <v>0.253</v>
      </c>
      <c r="AV60" s="438" t="n">
        <v>0.247</v>
      </c>
      <c r="AW60" s="440" t="n">
        <v>0.069139233946856</v>
      </c>
      <c r="AX60" s="440"/>
      <c r="AY60" s="437" t="n">
        <f aca="false">AG60</f>
        <v>0.247</v>
      </c>
      <c r="AZ60" s="437" t="n">
        <f aca="false">AG60</f>
        <v>0.247</v>
      </c>
      <c r="BA60" s="441" t="n">
        <f aca="false">AG60</f>
        <v>0.247</v>
      </c>
      <c r="BB60" s="442" t="n">
        <f aca="false">B60</f>
        <v>38108</v>
      </c>
      <c r="BC60" s="437" t="n">
        <f aca="false">(1+$AW60/2)^(-2*($B60-$BC$11)/365.25)</f>
        <v>0.779004199499006</v>
      </c>
      <c r="BD60" s="437" t="n">
        <f aca="false">(1+$AW60/2)^(-2*($B60-$BD$11)/365.25)</f>
        <v>0.779149181399251</v>
      </c>
      <c r="BF60" s="442" t="n">
        <f aca="false">B60</f>
        <v>38108</v>
      </c>
      <c r="BG60" s="418" t="n">
        <v>48</v>
      </c>
      <c r="BI60" s="445" t="n">
        <f aca="false">$C60+X60</f>
        <v>3.288</v>
      </c>
      <c r="BJ60" s="446" t="n">
        <f aca="false">$C59+Y60</f>
        <v>2.899</v>
      </c>
    </row>
    <row r="61" customFormat="false" ht="12" hidden="false" customHeight="false" outlineLevel="0" collapsed="false">
      <c r="B61" s="419" t="n">
        <f aca="false">EOMONTH(B60,0)+1</f>
        <v>38139</v>
      </c>
      <c r="C61" s="420" t="n">
        <v>2.904</v>
      </c>
      <c r="D61" s="420" t="n">
        <v>0.2525</v>
      </c>
      <c r="E61" s="420" t="n">
        <v>0.06939496825349</v>
      </c>
      <c r="F61" s="420" t="n">
        <v>-0.195</v>
      </c>
      <c r="G61" s="420" t="n">
        <v>0.02</v>
      </c>
      <c r="H61" s="420" t="n">
        <v>-0.195</v>
      </c>
      <c r="I61" s="420" t="n">
        <v>0.0575</v>
      </c>
      <c r="J61" s="420" t="n">
        <v>0.1825</v>
      </c>
      <c r="K61" s="420" t="n">
        <v>0.2025</v>
      </c>
      <c r="L61" s="420" t="n">
        <v>-0.09</v>
      </c>
      <c r="M61" s="420" t="n">
        <v>-0.024</v>
      </c>
      <c r="N61" s="420" t="n">
        <v>-0.37</v>
      </c>
      <c r="O61" s="420" t="n">
        <v>-0.33</v>
      </c>
      <c r="P61" s="420" t="n">
        <v>0.006</v>
      </c>
      <c r="Q61" s="420" t="n">
        <v>-0.0035</v>
      </c>
      <c r="R61" s="418" t="n">
        <v>-0.0275</v>
      </c>
      <c r="S61" s="418" t="n">
        <v>-0.0575</v>
      </c>
      <c r="T61" s="418" t="n">
        <v>-0.11</v>
      </c>
      <c r="U61" s="418" t="n">
        <v>-0.01375</v>
      </c>
      <c r="V61" s="418" t="n">
        <v>-0.0925</v>
      </c>
      <c r="W61" s="418" t="n">
        <v>-0.1225</v>
      </c>
      <c r="X61" s="418" t="n">
        <v>0.395</v>
      </c>
      <c r="Y61" s="418" t="n">
        <v>0.005</v>
      </c>
      <c r="Z61" s="418" t="n">
        <v>-0.2</v>
      </c>
      <c r="AA61" s="418" t="n">
        <v>-0.022</v>
      </c>
      <c r="AB61" s="437" t="n">
        <v>0.285</v>
      </c>
      <c r="AC61" s="437" t="n">
        <v>0.2875</v>
      </c>
      <c r="AD61" s="437" t="n">
        <v>0.1525</v>
      </c>
      <c r="AE61" s="438" t="n">
        <v>0.253</v>
      </c>
      <c r="AF61" s="438" t="n">
        <v>0.253</v>
      </c>
      <c r="AG61" s="438" t="n">
        <v>0.247</v>
      </c>
      <c r="AH61" s="438" t="n">
        <v>0.253</v>
      </c>
      <c r="AI61" s="438" t="n">
        <v>0.258</v>
      </c>
      <c r="AJ61" s="438" t="n">
        <v>0.253</v>
      </c>
      <c r="AK61" s="438" t="n">
        <v>0.247</v>
      </c>
      <c r="AL61" s="438" t="n">
        <v>0.247</v>
      </c>
      <c r="AM61" s="438" t="n">
        <v>0.253</v>
      </c>
      <c r="AN61" s="438" t="n">
        <v>0.253</v>
      </c>
      <c r="AO61" s="438" t="n">
        <v>0.253</v>
      </c>
      <c r="AP61" s="439" t="n">
        <v>0.253</v>
      </c>
      <c r="AQ61" s="439" t="n">
        <v>0.253</v>
      </c>
      <c r="AR61" s="439" t="n">
        <v>0.253</v>
      </c>
      <c r="AS61" s="439" t="n">
        <v>0.253</v>
      </c>
      <c r="AT61" s="438" t="n">
        <v>0.253</v>
      </c>
      <c r="AU61" s="438" t="n">
        <v>0.253</v>
      </c>
      <c r="AV61" s="438" t="n">
        <v>0.247</v>
      </c>
      <c r="AW61" s="440" t="n">
        <v>0.069130441133797</v>
      </c>
      <c r="AX61" s="440"/>
      <c r="AY61" s="437" t="n">
        <f aca="false">AG61</f>
        <v>0.247</v>
      </c>
      <c r="AZ61" s="437" t="n">
        <f aca="false">AG61</f>
        <v>0.247</v>
      </c>
      <c r="BA61" s="441" t="n">
        <f aca="false">AG61</f>
        <v>0.247</v>
      </c>
      <c r="BB61" s="442" t="n">
        <f aca="false">B61</f>
        <v>38139</v>
      </c>
      <c r="BC61" s="437" t="n">
        <f aca="false">(1+$AW61/2)^(-2*($B61-$BC$11)/365.25)</f>
        <v>0.774547861911315</v>
      </c>
      <c r="BD61" s="437" t="n">
        <f aca="false">(1+$AW61/2)^(-2*($B61-$BD$11)/365.25)</f>
        <v>0.774691996408045</v>
      </c>
      <c r="BF61" s="442" t="n">
        <f aca="false">B61</f>
        <v>38139</v>
      </c>
      <c r="BG61" s="418" t="n">
        <v>49</v>
      </c>
      <c r="BI61" s="445" t="n">
        <f aca="false">$C61+X61</f>
        <v>3.299</v>
      </c>
      <c r="BJ61" s="446" t="n">
        <f aca="false">$C60+Y61</f>
        <v>2.888</v>
      </c>
    </row>
    <row r="62" customFormat="false" ht="12" hidden="false" customHeight="false" outlineLevel="0" collapsed="false">
      <c r="B62" s="419" t="n">
        <f aca="false">EOMONTH(B61,0)+1</f>
        <v>38169</v>
      </c>
      <c r="C62" s="420" t="n">
        <v>2.926</v>
      </c>
      <c r="D62" s="420" t="n">
        <v>0.25</v>
      </c>
      <c r="E62" s="420" t="n">
        <v>0.06940395221143</v>
      </c>
      <c r="F62" s="420" t="n">
        <v>-0.195</v>
      </c>
      <c r="G62" s="420" t="n">
        <v>0.0225</v>
      </c>
      <c r="H62" s="420" t="n">
        <v>-0.195</v>
      </c>
      <c r="I62" s="420" t="n">
        <v>0.0475</v>
      </c>
      <c r="J62" s="420" t="n">
        <v>0.1825</v>
      </c>
      <c r="K62" s="420" t="n">
        <v>0.215</v>
      </c>
      <c r="L62" s="420" t="n">
        <v>-0.083</v>
      </c>
      <c r="M62" s="420" t="n">
        <v>-0.024</v>
      </c>
      <c r="N62" s="420" t="n">
        <v>-0.37</v>
      </c>
      <c r="O62" s="420" t="n">
        <v>-0.33</v>
      </c>
      <c r="P62" s="420" t="n">
        <v>0.006</v>
      </c>
      <c r="Q62" s="420" t="n">
        <v>-0.0035</v>
      </c>
      <c r="R62" s="418" t="n">
        <v>-0.0275</v>
      </c>
      <c r="S62" s="418" t="n">
        <v>-0.0575</v>
      </c>
      <c r="T62" s="418" t="n">
        <v>-0.11</v>
      </c>
      <c r="U62" s="418" t="n">
        <v>-0.01375</v>
      </c>
      <c r="V62" s="418" t="n">
        <v>-0.0875</v>
      </c>
      <c r="W62" s="418" t="n">
        <v>-0.1225</v>
      </c>
      <c r="X62" s="418" t="n">
        <v>0.43</v>
      </c>
      <c r="Y62" s="418" t="n">
        <v>0.005</v>
      </c>
      <c r="Z62" s="418" t="n">
        <v>-0.2</v>
      </c>
      <c r="AA62" s="418" t="n">
        <v>-0.022</v>
      </c>
      <c r="AB62" s="437" t="n">
        <v>0.285</v>
      </c>
      <c r="AC62" s="437" t="n">
        <v>0.3</v>
      </c>
      <c r="AD62" s="437" t="n">
        <v>0.1425</v>
      </c>
      <c r="AE62" s="438" t="n">
        <v>0.25</v>
      </c>
      <c r="AF62" s="438" t="n">
        <v>0.25</v>
      </c>
      <c r="AG62" s="438" t="n">
        <v>0.245</v>
      </c>
      <c r="AH62" s="438" t="n">
        <v>0.25</v>
      </c>
      <c r="AI62" s="438" t="n">
        <v>0.255</v>
      </c>
      <c r="AJ62" s="438" t="n">
        <v>0.25</v>
      </c>
      <c r="AK62" s="438" t="n">
        <v>0.245</v>
      </c>
      <c r="AL62" s="438" t="n">
        <v>0.245</v>
      </c>
      <c r="AM62" s="438" t="n">
        <v>0.25</v>
      </c>
      <c r="AN62" s="438" t="n">
        <v>0.25</v>
      </c>
      <c r="AO62" s="438" t="n">
        <v>0.25</v>
      </c>
      <c r="AP62" s="439" t="n">
        <v>0.25</v>
      </c>
      <c r="AQ62" s="439" t="n">
        <v>0.25</v>
      </c>
      <c r="AR62" s="439" t="n">
        <v>0.25</v>
      </c>
      <c r="AS62" s="439" t="n">
        <v>0.25</v>
      </c>
      <c r="AT62" s="438" t="n">
        <v>0.25</v>
      </c>
      <c r="AU62" s="438" t="n">
        <v>0.25</v>
      </c>
      <c r="AV62" s="438" t="n">
        <v>0.245</v>
      </c>
      <c r="AW62" s="440" t="n">
        <v>0.069134503944115</v>
      </c>
      <c r="AX62" s="440"/>
      <c r="AY62" s="437" t="n">
        <f aca="false">AG62</f>
        <v>0.245</v>
      </c>
      <c r="AZ62" s="437" t="n">
        <f aca="false">AG62</f>
        <v>0.245</v>
      </c>
      <c r="BA62" s="441" t="n">
        <f aca="false">AG62</f>
        <v>0.245</v>
      </c>
      <c r="BB62" s="442" t="n">
        <f aca="false">B62</f>
        <v>38169</v>
      </c>
      <c r="BC62" s="437" t="n">
        <f aca="false">(1+$AW62/2)^(-2*($B62-$BC$11)/365.25)</f>
        <v>0.770224655749937</v>
      </c>
      <c r="BD62" s="437" t="n">
        <f aca="false">(1+$AW62/2)^(-2*($B62-$BD$11)/365.25)</f>
        <v>0.770367994030237</v>
      </c>
      <c r="BF62" s="442" t="n">
        <f aca="false">B62</f>
        <v>38169</v>
      </c>
      <c r="BG62" s="418" t="n">
        <v>50</v>
      </c>
      <c r="BI62" s="445" t="n">
        <f aca="false">$C62+X62</f>
        <v>3.356</v>
      </c>
      <c r="BJ62" s="446" t="n">
        <f aca="false">$C61+Y62</f>
        <v>2.909</v>
      </c>
    </row>
    <row r="63" customFormat="false" ht="12" hidden="false" customHeight="false" outlineLevel="0" collapsed="false">
      <c r="B63" s="419" t="n">
        <f aca="false">EOMONTH(B62,0)+1</f>
        <v>38200</v>
      </c>
      <c r="C63" s="420" t="n">
        <v>2.947</v>
      </c>
      <c r="D63" s="420" t="n">
        <v>0.25</v>
      </c>
      <c r="E63" s="420" t="n">
        <v>0.069435502457345</v>
      </c>
      <c r="F63" s="420" t="n">
        <v>-0.195</v>
      </c>
      <c r="G63" s="420" t="n">
        <v>0.025</v>
      </c>
      <c r="H63" s="420" t="n">
        <v>-0.195</v>
      </c>
      <c r="I63" s="420" t="n">
        <v>0.045</v>
      </c>
      <c r="J63" s="420" t="n">
        <v>0.1825</v>
      </c>
      <c r="K63" s="420" t="n">
        <v>0.215</v>
      </c>
      <c r="L63" s="420" t="n">
        <v>-0.074</v>
      </c>
      <c r="M63" s="420" t="n">
        <v>-0.024</v>
      </c>
      <c r="N63" s="420" t="n">
        <v>-0.37</v>
      </c>
      <c r="O63" s="420" t="n">
        <v>-0.33</v>
      </c>
      <c r="P63" s="420" t="n">
        <v>0.006</v>
      </c>
      <c r="Q63" s="420" t="n">
        <v>-0.0035</v>
      </c>
      <c r="R63" s="418" t="n">
        <v>-0.0275</v>
      </c>
      <c r="S63" s="418" t="n">
        <v>-0.0575</v>
      </c>
      <c r="T63" s="418" t="n">
        <v>-0.11</v>
      </c>
      <c r="U63" s="418" t="n">
        <v>-0.01375</v>
      </c>
      <c r="V63" s="418" t="n">
        <v>-0.0875</v>
      </c>
      <c r="W63" s="418" t="n">
        <v>-0.1225</v>
      </c>
      <c r="X63" s="418" t="n">
        <v>0.495</v>
      </c>
      <c r="Y63" s="418" t="n">
        <v>0.005</v>
      </c>
      <c r="Z63" s="418" t="n">
        <v>-0.2</v>
      </c>
      <c r="AA63" s="418" t="n">
        <v>-0.022</v>
      </c>
      <c r="AB63" s="437" t="n">
        <v>0.285</v>
      </c>
      <c r="AC63" s="437" t="n">
        <v>0.3</v>
      </c>
      <c r="AD63" s="437" t="n">
        <v>0.14</v>
      </c>
      <c r="AE63" s="438" t="n">
        <v>0.25</v>
      </c>
      <c r="AF63" s="438" t="n">
        <v>0.25</v>
      </c>
      <c r="AG63" s="438" t="n">
        <v>0.245</v>
      </c>
      <c r="AH63" s="438" t="n">
        <v>0.25</v>
      </c>
      <c r="AI63" s="438" t="n">
        <v>0.255</v>
      </c>
      <c r="AJ63" s="438" t="n">
        <v>0.25</v>
      </c>
      <c r="AK63" s="438" t="n">
        <v>0.245</v>
      </c>
      <c r="AL63" s="438" t="n">
        <v>0.245</v>
      </c>
      <c r="AM63" s="438" t="n">
        <v>0.25</v>
      </c>
      <c r="AN63" s="438" t="n">
        <v>0.25</v>
      </c>
      <c r="AO63" s="438" t="n">
        <v>0.25</v>
      </c>
      <c r="AP63" s="439" t="n">
        <v>0.25</v>
      </c>
      <c r="AQ63" s="439" t="n">
        <v>0.25</v>
      </c>
      <c r="AR63" s="439" t="n">
        <v>0.25</v>
      </c>
      <c r="AS63" s="439" t="n">
        <v>0.25</v>
      </c>
      <c r="AT63" s="438" t="n">
        <v>0.25</v>
      </c>
      <c r="AU63" s="438" t="n">
        <v>0.25</v>
      </c>
      <c r="AV63" s="438" t="n">
        <v>0.245</v>
      </c>
      <c r="AW63" s="440" t="n">
        <v>0.069153549096239</v>
      </c>
      <c r="AX63" s="440"/>
      <c r="AY63" s="437" t="n">
        <f aca="false">AG63</f>
        <v>0.245</v>
      </c>
      <c r="AZ63" s="437" t="n">
        <f aca="false">AG63</f>
        <v>0.245</v>
      </c>
      <c r="BA63" s="441" t="n">
        <f aca="false">AG63</f>
        <v>0.245</v>
      </c>
      <c r="BB63" s="442" t="n">
        <f aca="false">B63</f>
        <v>38200</v>
      </c>
      <c r="BC63" s="437" t="n">
        <f aca="false">(1+$AW63/2)^(-2*($B63-$BC$11)/365.25)</f>
        <v>0.765739027802546</v>
      </c>
      <c r="BD63" s="437" t="n">
        <f aca="false">(1+$AW63/2)^(-2*($B63-$BD$11)/365.25)</f>
        <v>0.765881569911254</v>
      </c>
      <c r="BF63" s="442" t="n">
        <f aca="false">B63</f>
        <v>38200</v>
      </c>
      <c r="BG63" s="418" t="n">
        <v>51</v>
      </c>
      <c r="BI63" s="445" t="n">
        <f aca="false">$C63+X63</f>
        <v>3.442</v>
      </c>
      <c r="BJ63" s="446" t="n">
        <f aca="false">$C62+Y63</f>
        <v>2.931</v>
      </c>
    </row>
    <row r="64" customFormat="false" ht="12" hidden="false" customHeight="false" outlineLevel="0" collapsed="false">
      <c r="B64" s="419" t="n">
        <f aca="false">EOMONTH(B63,0)+1</f>
        <v>38231</v>
      </c>
      <c r="C64" s="420" t="n">
        <v>2.929</v>
      </c>
      <c r="D64" s="420" t="n">
        <v>0.25</v>
      </c>
      <c r="E64" s="420" t="n">
        <v>0.069467052703591</v>
      </c>
      <c r="F64" s="420" t="n">
        <v>-0.195</v>
      </c>
      <c r="G64" s="420" t="n">
        <v>0.0175</v>
      </c>
      <c r="H64" s="420" t="n">
        <v>-0.195</v>
      </c>
      <c r="I64" s="420" t="n">
        <v>0.0425</v>
      </c>
      <c r="J64" s="420" t="n">
        <v>0.1825</v>
      </c>
      <c r="K64" s="420" t="n">
        <v>0.195</v>
      </c>
      <c r="L64" s="420" t="n">
        <v>-0.054</v>
      </c>
      <c r="M64" s="420" t="n">
        <v>-0.024</v>
      </c>
      <c r="N64" s="420" t="n">
        <v>-0.37</v>
      </c>
      <c r="O64" s="420" t="n">
        <v>-0.33</v>
      </c>
      <c r="P64" s="420" t="n">
        <v>0.006</v>
      </c>
      <c r="Q64" s="420" t="n">
        <v>-0.0035</v>
      </c>
      <c r="R64" s="418" t="n">
        <v>-0.0275</v>
      </c>
      <c r="S64" s="418" t="n">
        <v>-0.0575</v>
      </c>
      <c r="T64" s="418" t="n">
        <v>-0.1</v>
      </c>
      <c r="U64" s="418" t="n">
        <v>-0.01375</v>
      </c>
      <c r="V64" s="418" t="n">
        <v>-0.1025</v>
      </c>
      <c r="W64" s="418" t="n">
        <v>-0.1225</v>
      </c>
      <c r="X64" s="418" t="n">
        <v>0.395</v>
      </c>
      <c r="Y64" s="418" t="n">
        <v>0.005</v>
      </c>
      <c r="Z64" s="418" t="n">
        <v>-0.2</v>
      </c>
      <c r="AA64" s="418" t="n">
        <v>-0.022</v>
      </c>
      <c r="AB64" s="437" t="n">
        <v>0.285</v>
      </c>
      <c r="AC64" s="437" t="n">
        <v>0.29</v>
      </c>
      <c r="AD64" s="437" t="n">
        <v>0.1375</v>
      </c>
      <c r="AE64" s="438" t="n">
        <v>0.25</v>
      </c>
      <c r="AF64" s="438" t="n">
        <v>0.25</v>
      </c>
      <c r="AG64" s="438" t="n">
        <v>0.245</v>
      </c>
      <c r="AH64" s="438" t="n">
        <v>0.25</v>
      </c>
      <c r="AI64" s="438" t="n">
        <v>0.255</v>
      </c>
      <c r="AJ64" s="438" t="n">
        <v>0.25</v>
      </c>
      <c r="AK64" s="438" t="n">
        <v>0.245</v>
      </c>
      <c r="AL64" s="438" t="n">
        <v>0.245</v>
      </c>
      <c r="AM64" s="438" t="n">
        <v>0.25</v>
      </c>
      <c r="AN64" s="438" t="n">
        <v>0.25</v>
      </c>
      <c r="AO64" s="438" t="n">
        <v>0.25</v>
      </c>
      <c r="AP64" s="439" t="n">
        <v>0.25</v>
      </c>
      <c r="AQ64" s="439" t="n">
        <v>0.25</v>
      </c>
      <c r="AR64" s="439" t="n">
        <v>0.25</v>
      </c>
      <c r="AS64" s="439" t="n">
        <v>0.25</v>
      </c>
      <c r="AT64" s="438" t="n">
        <v>0.25</v>
      </c>
      <c r="AU64" s="438" t="n">
        <v>0.25</v>
      </c>
      <c r="AV64" s="438" t="n">
        <v>0.245</v>
      </c>
      <c r="AW64" s="440" t="n">
        <v>0.069172594248482</v>
      </c>
      <c r="AX64" s="440"/>
      <c r="AY64" s="437" t="n">
        <f aca="false">AG64</f>
        <v>0.245</v>
      </c>
      <c r="AZ64" s="437" t="n">
        <f aca="false">AG64</f>
        <v>0.245</v>
      </c>
      <c r="BA64" s="441" t="n">
        <f aca="false">AG64</f>
        <v>0.245</v>
      </c>
      <c r="BB64" s="442" t="n">
        <f aca="false">B64</f>
        <v>38231</v>
      </c>
      <c r="BC64" s="437" t="n">
        <f aca="false">(1+$AW64/2)^(-2*($B64-$BC$11)/365.25)</f>
        <v>0.761277144876185</v>
      </c>
      <c r="BD64" s="437" t="n">
        <f aca="false">(1+$AW64/2)^(-2*($B64-$BD$11)/365.25)</f>
        <v>0.761418894782037</v>
      </c>
      <c r="BF64" s="442" t="n">
        <f aca="false">B64</f>
        <v>38231</v>
      </c>
      <c r="BG64" s="418" t="n">
        <v>52</v>
      </c>
      <c r="BI64" s="445" t="n">
        <f aca="false">$C64+X64</f>
        <v>3.324</v>
      </c>
      <c r="BJ64" s="446" t="n">
        <f aca="false">$C63+Y64</f>
        <v>2.952</v>
      </c>
    </row>
    <row r="65" customFormat="false" ht="12" hidden="false" customHeight="false" outlineLevel="0" collapsed="false">
      <c r="B65" s="419" t="n">
        <f aca="false">EOMONTH(B64,0)+1</f>
        <v>38261</v>
      </c>
      <c r="C65" s="420" t="n">
        <v>2.943</v>
      </c>
      <c r="D65" s="420" t="n">
        <v>0.25</v>
      </c>
      <c r="E65" s="420" t="n">
        <v>0.069497585200271</v>
      </c>
      <c r="F65" s="420" t="n">
        <v>-0.195</v>
      </c>
      <c r="G65" s="420" t="n">
        <v>0.0075</v>
      </c>
      <c r="H65" s="420" t="n">
        <v>-0.195</v>
      </c>
      <c r="I65" s="420" t="n">
        <v>0.0575</v>
      </c>
      <c r="J65" s="420" t="n">
        <v>0.1875</v>
      </c>
      <c r="K65" s="420" t="n">
        <v>0.215</v>
      </c>
      <c r="L65" s="420" t="n">
        <v>-0.064</v>
      </c>
      <c r="M65" s="420" t="n">
        <v>-0.024</v>
      </c>
      <c r="N65" s="420" t="n">
        <v>-0.37</v>
      </c>
      <c r="O65" s="420" t="n">
        <v>-0.33</v>
      </c>
      <c r="P65" s="420" t="n">
        <v>0.006</v>
      </c>
      <c r="Q65" s="420" t="n">
        <v>-0.0035</v>
      </c>
      <c r="R65" s="418" t="n">
        <v>-0.0275</v>
      </c>
      <c r="S65" s="418" t="n">
        <v>-0.0575</v>
      </c>
      <c r="T65" s="418" t="n">
        <v>-0.085</v>
      </c>
      <c r="U65" s="418" t="n">
        <v>-0.01375</v>
      </c>
      <c r="V65" s="418" t="n">
        <v>-0.105</v>
      </c>
      <c r="W65" s="418" t="n">
        <v>-0.1225</v>
      </c>
      <c r="X65" s="418" t="n">
        <v>0.461</v>
      </c>
      <c r="Y65" s="418" t="n">
        <v>0.005</v>
      </c>
      <c r="Z65" s="418" t="n">
        <v>-0.2</v>
      </c>
      <c r="AA65" s="418" t="n">
        <v>-0.022</v>
      </c>
      <c r="AB65" s="437" t="n">
        <v>0.285</v>
      </c>
      <c r="AC65" s="437" t="n">
        <v>0.3625</v>
      </c>
      <c r="AD65" s="437" t="n">
        <v>0.1525</v>
      </c>
      <c r="AE65" s="438" t="n">
        <v>0.25</v>
      </c>
      <c r="AF65" s="438" t="n">
        <v>0.25</v>
      </c>
      <c r="AG65" s="438" t="n">
        <v>0.245</v>
      </c>
      <c r="AH65" s="438" t="n">
        <v>0.25</v>
      </c>
      <c r="AI65" s="438" t="n">
        <v>0.255</v>
      </c>
      <c r="AJ65" s="438" t="n">
        <v>0.25</v>
      </c>
      <c r="AK65" s="438" t="n">
        <v>0.245</v>
      </c>
      <c r="AL65" s="438" t="n">
        <v>0.245</v>
      </c>
      <c r="AM65" s="438" t="n">
        <v>0.25</v>
      </c>
      <c r="AN65" s="438" t="n">
        <v>0.25</v>
      </c>
      <c r="AO65" s="438" t="n">
        <v>0.25</v>
      </c>
      <c r="AP65" s="439" t="n">
        <v>0.25</v>
      </c>
      <c r="AQ65" s="439" t="n">
        <v>0.25</v>
      </c>
      <c r="AR65" s="439" t="n">
        <v>0.25</v>
      </c>
      <c r="AS65" s="439" t="n">
        <v>0.25</v>
      </c>
      <c r="AT65" s="438" t="n">
        <v>0.25</v>
      </c>
      <c r="AU65" s="438" t="n">
        <v>0.25</v>
      </c>
      <c r="AV65" s="438" t="n">
        <v>0.245</v>
      </c>
      <c r="AW65" s="440" t="n">
        <v>0.06919102504109</v>
      </c>
      <c r="AX65" s="440"/>
      <c r="AY65" s="437" t="n">
        <f aca="false">AG65</f>
        <v>0.245</v>
      </c>
      <c r="AZ65" s="437" t="n">
        <f aca="false">AG65</f>
        <v>0.245</v>
      </c>
      <c r="BA65" s="441" t="n">
        <f aca="false">AG65</f>
        <v>0.245</v>
      </c>
      <c r="BB65" s="442" t="n">
        <f aca="false">B65</f>
        <v>38261</v>
      </c>
      <c r="BC65" s="437" t="n">
        <f aca="false">(1+$AW65/2)^(-2*($B65-$BC$11)/365.25)</f>
        <v>0.756981697969577</v>
      </c>
      <c r="BD65" s="437" t="n">
        <f aca="false">(1+$AW65/2)^(-2*($B65-$BD$11)/365.25)</f>
        <v>0.757122684990269</v>
      </c>
      <c r="BF65" s="442" t="n">
        <f aca="false">B65</f>
        <v>38261</v>
      </c>
      <c r="BG65" s="418" t="n">
        <v>53</v>
      </c>
      <c r="BI65" s="445" t="n">
        <f aca="false">$C65+X65</f>
        <v>3.404</v>
      </c>
      <c r="BJ65" s="446" t="n">
        <f aca="false">$C64+Y65</f>
        <v>2.934</v>
      </c>
    </row>
    <row r="66" customFormat="false" ht="12" hidden="false" customHeight="false" outlineLevel="0" collapsed="false">
      <c r="B66" s="419" t="n">
        <f aca="false">EOMONTH(B65,0)+1</f>
        <v>38292</v>
      </c>
      <c r="C66" s="420" t="n">
        <v>3.03</v>
      </c>
      <c r="D66" s="420" t="n">
        <v>0.2525</v>
      </c>
      <c r="E66" s="420" t="n">
        <v>0.069529135447163</v>
      </c>
      <c r="F66" s="420" t="n">
        <v>-0.19</v>
      </c>
      <c r="G66" s="420" t="n">
        <v>-0.0325</v>
      </c>
      <c r="H66" s="420" t="n">
        <v>-0.19</v>
      </c>
      <c r="I66" s="420" t="n">
        <v>0.1075</v>
      </c>
      <c r="J66" s="420" t="n">
        <v>0.27</v>
      </c>
      <c r="K66" s="420" t="n">
        <v>0.2875</v>
      </c>
      <c r="L66" s="420" t="n">
        <v>-0.079</v>
      </c>
      <c r="M66" s="420" t="n">
        <v>-0.0165</v>
      </c>
      <c r="N66" s="420" t="n">
        <v>-0.28</v>
      </c>
      <c r="O66" s="420" t="n">
        <v>0</v>
      </c>
      <c r="P66" s="420" t="n">
        <v>0.0125</v>
      </c>
      <c r="Q66" s="420" t="n">
        <v>-0.0115</v>
      </c>
      <c r="R66" s="418" t="n">
        <v>-0.0305</v>
      </c>
      <c r="S66" s="418" t="n">
        <v>-0.0525</v>
      </c>
      <c r="T66" s="418" t="n">
        <v>-0.025</v>
      </c>
      <c r="U66" s="418" t="n">
        <v>-0.031</v>
      </c>
      <c r="V66" s="418" t="n">
        <v>-0.1025</v>
      </c>
      <c r="W66" s="418" t="n">
        <v>-0.135</v>
      </c>
      <c r="X66" s="418" t="n">
        <v>0.7625</v>
      </c>
      <c r="Y66" s="418" t="n">
        <v>0.005</v>
      </c>
      <c r="Z66" s="418" t="n">
        <v>-0.19</v>
      </c>
      <c r="AA66" s="418" t="n">
        <v>-0.0235</v>
      </c>
      <c r="AB66" s="437" t="n">
        <v>0.12</v>
      </c>
      <c r="AC66" s="437" t="n">
        <v>0.46</v>
      </c>
      <c r="AD66" s="437" t="n">
        <v>0.2025</v>
      </c>
      <c r="AE66" s="438" t="n">
        <v>0.253</v>
      </c>
      <c r="AF66" s="438" t="n">
        <v>0.253</v>
      </c>
      <c r="AG66" s="438" t="n">
        <v>0.278</v>
      </c>
      <c r="AH66" s="438" t="n">
        <v>0.253</v>
      </c>
      <c r="AI66" s="438" t="n">
        <v>0.258</v>
      </c>
      <c r="AJ66" s="438" t="n">
        <v>0.253</v>
      </c>
      <c r="AK66" s="438" t="n">
        <v>0.253</v>
      </c>
      <c r="AL66" s="438" t="n">
        <v>0.253</v>
      </c>
      <c r="AM66" s="438" t="n">
        <v>0.253</v>
      </c>
      <c r="AN66" s="438" t="n">
        <v>0.253</v>
      </c>
      <c r="AO66" s="438" t="n">
        <v>0.253</v>
      </c>
      <c r="AP66" s="439" t="n">
        <v>0.253</v>
      </c>
      <c r="AQ66" s="439" t="n">
        <v>0.253</v>
      </c>
      <c r="AR66" s="439" t="n">
        <v>0.253</v>
      </c>
      <c r="AS66" s="439" t="n">
        <v>0.253</v>
      </c>
      <c r="AT66" s="438" t="n">
        <v>0.253</v>
      </c>
      <c r="AU66" s="438" t="n">
        <v>0.253</v>
      </c>
      <c r="AV66" s="438" t="n">
        <v>0.278</v>
      </c>
      <c r="AW66" s="440" t="n">
        <v>0.06921007019357</v>
      </c>
      <c r="AX66" s="440"/>
      <c r="AY66" s="437" t="n">
        <f aca="false">AG66</f>
        <v>0.278</v>
      </c>
      <c r="AZ66" s="437" t="n">
        <f aca="false">AG66</f>
        <v>0.278</v>
      </c>
      <c r="BA66" s="441" t="n">
        <f aca="false">AG66</f>
        <v>0.278</v>
      </c>
      <c r="BB66" s="442" t="n">
        <f aca="false">B66</f>
        <v>38292</v>
      </c>
      <c r="BC66" s="437" t="n">
        <f aca="false">(1+$AW66/2)^(-2*($B66-$BC$11)/365.25)</f>
        <v>0.752566216783187</v>
      </c>
      <c r="BD66" s="437" t="n">
        <f aca="false">(1+$AW66/2)^(-2*($B66-$BD$11)/365.25)</f>
        <v>0.752706419360919</v>
      </c>
      <c r="BF66" s="442" t="n">
        <f aca="false">B66</f>
        <v>38292</v>
      </c>
      <c r="BG66" s="418" t="n">
        <v>54</v>
      </c>
      <c r="BI66" s="445" t="n">
        <f aca="false">$C66+X66</f>
        <v>3.7925</v>
      </c>
      <c r="BJ66" s="446" t="n">
        <f aca="false">$C65+Y66</f>
        <v>2.948</v>
      </c>
    </row>
    <row r="67" customFormat="false" ht="12" hidden="false" customHeight="false" outlineLevel="0" collapsed="false">
      <c r="B67" s="419" t="n">
        <f aca="false">EOMONTH(B66,0)+1</f>
        <v>38322</v>
      </c>
      <c r="C67" s="420" t="n">
        <v>3.113</v>
      </c>
      <c r="D67" s="420" t="n">
        <v>0.255</v>
      </c>
      <c r="E67" s="420" t="n">
        <v>0.06955966794447</v>
      </c>
      <c r="F67" s="420" t="n">
        <v>-0.1975</v>
      </c>
      <c r="G67" s="420" t="n">
        <v>-0.055</v>
      </c>
      <c r="H67" s="420" t="n">
        <v>-0.1975</v>
      </c>
      <c r="I67" s="420" t="n">
        <v>0.1475</v>
      </c>
      <c r="J67" s="420" t="n">
        <v>0.305</v>
      </c>
      <c r="K67" s="420" t="n">
        <v>0.3375</v>
      </c>
      <c r="L67" s="420" t="n">
        <v>-0.079</v>
      </c>
      <c r="M67" s="420" t="n">
        <v>-0.0165</v>
      </c>
      <c r="N67" s="420" t="n">
        <v>-0.28</v>
      </c>
      <c r="O67" s="420" t="n">
        <v>0.06</v>
      </c>
      <c r="P67" s="420" t="n">
        <v>0.0125</v>
      </c>
      <c r="Q67" s="420" t="n">
        <v>-0.0115</v>
      </c>
      <c r="R67" s="418" t="n">
        <v>-0.0305</v>
      </c>
      <c r="S67" s="418" t="n">
        <v>-0.0525</v>
      </c>
      <c r="T67" s="418" t="n">
        <v>-0.0175</v>
      </c>
      <c r="U67" s="418" t="n">
        <v>-0.031</v>
      </c>
      <c r="V67" s="418" t="n">
        <v>-0.1375</v>
      </c>
      <c r="W67" s="418" t="n">
        <v>-0.13</v>
      </c>
      <c r="X67" s="418" t="n">
        <v>1.18</v>
      </c>
      <c r="Y67" s="418" t="n">
        <v>0.005</v>
      </c>
      <c r="Z67" s="418" t="n">
        <v>-0.19</v>
      </c>
      <c r="AA67" s="418" t="n">
        <v>-0.0235</v>
      </c>
      <c r="AB67" s="437" t="n">
        <v>0.12</v>
      </c>
      <c r="AC67" s="437" t="n">
        <v>0.79</v>
      </c>
      <c r="AD67" s="437" t="n">
        <v>0.2425</v>
      </c>
      <c r="AE67" s="438" t="n">
        <v>0.255</v>
      </c>
      <c r="AF67" s="438" t="n">
        <v>0.255</v>
      </c>
      <c r="AG67" s="438" t="n">
        <v>0.281</v>
      </c>
      <c r="AH67" s="438" t="n">
        <v>0.255</v>
      </c>
      <c r="AI67" s="438" t="n">
        <v>0.26</v>
      </c>
      <c r="AJ67" s="438" t="n">
        <v>0.255</v>
      </c>
      <c r="AK67" s="438" t="n">
        <v>0.255</v>
      </c>
      <c r="AL67" s="438" t="n">
        <v>0.255</v>
      </c>
      <c r="AM67" s="438" t="n">
        <v>0.255</v>
      </c>
      <c r="AN67" s="438" t="n">
        <v>0.255</v>
      </c>
      <c r="AO67" s="438" t="n">
        <v>0.255</v>
      </c>
      <c r="AP67" s="439" t="n">
        <v>0.255</v>
      </c>
      <c r="AQ67" s="439" t="n">
        <v>0.255</v>
      </c>
      <c r="AR67" s="439" t="n">
        <v>0.255</v>
      </c>
      <c r="AS67" s="439" t="n">
        <v>0.255</v>
      </c>
      <c r="AT67" s="438" t="n">
        <v>0.255</v>
      </c>
      <c r="AU67" s="438" t="n">
        <v>0.255</v>
      </c>
      <c r="AV67" s="438" t="n">
        <v>0.281</v>
      </c>
      <c r="AW67" s="440" t="n">
        <v>0.069228500986406</v>
      </c>
      <c r="AX67" s="440"/>
      <c r="AY67" s="437" t="n">
        <f aca="false">AG67</f>
        <v>0.281</v>
      </c>
      <c r="AZ67" s="437" t="n">
        <f aca="false">AG67</f>
        <v>0.281</v>
      </c>
      <c r="BA67" s="441" t="n">
        <f aca="false">AG67</f>
        <v>0.281</v>
      </c>
      <c r="BB67" s="442" t="n">
        <f aca="false">B67</f>
        <v>38322</v>
      </c>
      <c r="BC67" s="437" t="n">
        <f aca="false">(1+$AW67/2)^(-2*($B67-$BC$11)/365.25)</f>
        <v>0.74831546886962</v>
      </c>
      <c r="BD67" s="437" t="n">
        <f aca="false">(1+$AW67/2)^(-2*($B67-$BD$11)/365.25)</f>
        <v>0.748454916040094</v>
      </c>
      <c r="BF67" s="442" t="n">
        <f aca="false">B67</f>
        <v>38322</v>
      </c>
      <c r="BG67" s="418" t="n">
        <v>55</v>
      </c>
      <c r="BI67" s="445" t="n">
        <f aca="false">$C67+X67</f>
        <v>4.293</v>
      </c>
      <c r="BJ67" s="446" t="n">
        <f aca="false">$C66+Y67</f>
        <v>3.035</v>
      </c>
    </row>
    <row r="68" customFormat="false" ht="12" hidden="false" customHeight="false" outlineLevel="0" collapsed="false">
      <c r="B68" s="419" t="n">
        <f aca="false">EOMONTH(B67,0)+1</f>
        <v>38353</v>
      </c>
      <c r="C68" s="420" t="n">
        <v>3.311</v>
      </c>
      <c r="D68" s="420" t="n">
        <v>0.26</v>
      </c>
      <c r="E68" s="420" t="n">
        <v>0.069591218192011</v>
      </c>
      <c r="F68" s="420" t="n">
        <v>-0.2</v>
      </c>
      <c r="G68" s="420" t="n">
        <v>-0.0575</v>
      </c>
      <c r="H68" s="420" t="n">
        <v>-0.2</v>
      </c>
      <c r="I68" s="420" t="n">
        <v>0.1825</v>
      </c>
      <c r="J68" s="420" t="n">
        <v>0.305</v>
      </c>
      <c r="K68" s="420" t="n">
        <v>0.4375</v>
      </c>
      <c r="L68" s="420" t="n">
        <v>-0.079</v>
      </c>
      <c r="M68" s="420" t="n">
        <v>-0.0145</v>
      </c>
      <c r="N68" s="420" t="n">
        <v>-0.28</v>
      </c>
      <c r="O68" s="420" t="n">
        <v>0.13</v>
      </c>
      <c r="P68" s="420" t="n">
        <v>0.0125</v>
      </c>
      <c r="Q68" s="420" t="n">
        <v>-0.0115</v>
      </c>
      <c r="R68" s="418" t="n">
        <v>-0.028</v>
      </c>
      <c r="S68" s="418" t="n">
        <v>-0.0525</v>
      </c>
      <c r="T68" s="418" t="n">
        <v>-0.0025</v>
      </c>
      <c r="U68" s="418" t="n">
        <v>-0.031</v>
      </c>
      <c r="V68" s="418" t="n">
        <v>-0.143</v>
      </c>
      <c r="W68" s="418" t="n">
        <v>-0.13</v>
      </c>
      <c r="X68" s="418" t="n">
        <v>1.51</v>
      </c>
      <c r="Y68" s="418" t="n">
        <v>0.005</v>
      </c>
      <c r="Z68" s="418" t="n">
        <v>-0.19</v>
      </c>
      <c r="AA68" s="418" t="n">
        <v>-0.0235</v>
      </c>
      <c r="AB68" s="437" t="n">
        <v>0.12</v>
      </c>
      <c r="AC68" s="437" t="n">
        <v>0.96</v>
      </c>
      <c r="AD68" s="437" t="n">
        <v>0.2775</v>
      </c>
      <c r="AE68" s="438" t="n">
        <v>0.26</v>
      </c>
      <c r="AF68" s="438" t="n">
        <v>0.26</v>
      </c>
      <c r="AG68" s="438" t="n">
        <v>0.286</v>
      </c>
      <c r="AH68" s="438" t="n">
        <v>0.26</v>
      </c>
      <c r="AI68" s="438" t="n">
        <v>0.265</v>
      </c>
      <c r="AJ68" s="438" t="n">
        <v>0.26</v>
      </c>
      <c r="AK68" s="438" t="n">
        <v>0.26</v>
      </c>
      <c r="AL68" s="438" t="n">
        <v>0.26</v>
      </c>
      <c r="AM68" s="438" t="n">
        <v>0.26</v>
      </c>
      <c r="AN68" s="438" t="n">
        <v>0.26</v>
      </c>
      <c r="AO68" s="438" t="n">
        <v>0.26</v>
      </c>
      <c r="AP68" s="439" t="n">
        <v>0.26</v>
      </c>
      <c r="AQ68" s="439" t="n">
        <v>0.26</v>
      </c>
      <c r="AR68" s="439" t="n">
        <v>0.26</v>
      </c>
      <c r="AS68" s="439" t="n">
        <v>0.26</v>
      </c>
      <c r="AT68" s="438" t="n">
        <v>0.26</v>
      </c>
      <c r="AU68" s="438" t="n">
        <v>0.26</v>
      </c>
      <c r="AV68" s="438" t="n">
        <v>0.286</v>
      </c>
      <c r="AW68" s="440" t="n">
        <v>0.069247546139122</v>
      </c>
      <c r="AX68" s="440"/>
      <c r="AY68" s="437" t="n">
        <f aca="false">AG68</f>
        <v>0.286</v>
      </c>
      <c r="AZ68" s="437" t="n">
        <f aca="false">AG68</f>
        <v>0.286</v>
      </c>
      <c r="BA68" s="441" t="n">
        <f aca="false">AG68</f>
        <v>0.286</v>
      </c>
      <c r="BB68" s="442" t="n">
        <f aca="false">B68</f>
        <v>38353</v>
      </c>
      <c r="BC68" s="437" t="n">
        <f aca="false">(1+$AW68/2)^(-2*($B68-$BC$11)/365.25)</f>
        <v>0.743945964668844</v>
      </c>
      <c r="BD68" s="437" t="n">
        <f aca="false">(1+$AW68/2)^(-2*($B68-$BD$11)/365.25)</f>
        <v>0.744084635090902</v>
      </c>
      <c r="BF68" s="442" t="n">
        <f aca="false">B68</f>
        <v>38353</v>
      </c>
      <c r="BG68" s="418" t="n">
        <v>56</v>
      </c>
      <c r="BI68" s="445" t="n">
        <f aca="false">$C68+X68</f>
        <v>4.821</v>
      </c>
      <c r="BJ68" s="446" t="n">
        <f aca="false">$C67+Y68</f>
        <v>3.118</v>
      </c>
    </row>
    <row r="69" customFormat="false" ht="12" hidden="false" customHeight="false" outlineLevel="0" collapsed="false">
      <c r="B69" s="419" t="n">
        <f aca="false">EOMONTH(B68,0)+1</f>
        <v>38384</v>
      </c>
      <c r="C69" s="420" t="n">
        <v>3.177</v>
      </c>
      <c r="D69" s="420" t="n">
        <v>0.2475</v>
      </c>
      <c r="E69" s="420" t="n">
        <v>0.069622768439881</v>
      </c>
      <c r="F69" s="420" t="n">
        <v>-0.2025</v>
      </c>
      <c r="G69" s="420" t="n">
        <v>-0.04</v>
      </c>
      <c r="H69" s="420" t="n">
        <v>-0.2025</v>
      </c>
      <c r="I69" s="420" t="n">
        <v>0.1625</v>
      </c>
      <c r="J69" s="420" t="n">
        <v>0.305</v>
      </c>
      <c r="K69" s="420" t="n">
        <v>0.435</v>
      </c>
      <c r="L69" s="420" t="n">
        <v>-0.079</v>
      </c>
      <c r="M69" s="420" t="n">
        <v>-0.0145</v>
      </c>
      <c r="N69" s="420" t="n">
        <v>-0.28</v>
      </c>
      <c r="O69" s="420" t="n">
        <v>0</v>
      </c>
      <c r="P69" s="420" t="n">
        <v>0.0125</v>
      </c>
      <c r="Q69" s="420" t="n">
        <v>-0.0115</v>
      </c>
      <c r="R69" s="418" t="n">
        <v>-0.028</v>
      </c>
      <c r="S69" s="418" t="n">
        <v>-0.0525</v>
      </c>
      <c r="T69" s="418" t="n">
        <v>-0.0025</v>
      </c>
      <c r="U69" s="418" t="n">
        <v>-0.031</v>
      </c>
      <c r="V69" s="418" t="n">
        <v>-0.1255</v>
      </c>
      <c r="W69" s="418" t="n">
        <v>-0.13</v>
      </c>
      <c r="X69" s="418" t="n">
        <v>1.44</v>
      </c>
      <c r="Y69" s="418" t="n">
        <v>0.005</v>
      </c>
      <c r="Z69" s="418" t="n">
        <v>-0.19</v>
      </c>
      <c r="AA69" s="418" t="n">
        <v>-0.0235</v>
      </c>
      <c r="AB69" s="437" t="n">
        <v>0.12</v>
      </c>
      <c r="AC69" s="437" t="n">
        <v>0.96</v>
      </c>
      <c r="AD69" s="437" t="n">
        <v>0.2575</v>
      </c>
      <c r="AE69" s="438" t="n">
        <v>0.248</v>
      </c>
      <c r="AF69" s="438" t="n">
        <v>0.248</v>
      </c>
      <c r="AG69" s="438" t="n">
        <v>0.272</v>
      </c>
      <c r="AH69" s="438" t="n">
        <v>0.248</v>
      </c>
      <c r="AI69" s="438" t="n">
        <v>0.252</v>
      </c>
      <c r="AJ69" s="438" t="n">
        <v>0.248</v>
      </c>
      <c r="AK69" s="438" t="n">
        <v>0.248</v>
      </c>
      <c r="AL69" s="438" t="n">
        <v>0.248</v>
      </c>
      <c r="AM69" s="438" t="n">
        <v>0.248</v>
      </c>
      <c r="AN69" s="438" t="n">
        <v>0.248</v>
      </c>
      <c r="AO69" s="438" t="n">
        <v>0.248</v>
      </c>
      <c r="AP69" s="439" t="n">
        <v>0.248</v>
      </c>
      <c r="AQ69" s="439" t="n">
        <v>0.248</v>
      </c>
      <c r="AR69" s="439" t="n">
        <v>0.248</v>
      </c>
      <c r="AS69" s="439" t="n">
        <v>0.248</v>
      </c>
      <c r="AT69" s="438" t="n">
        <v>0.248</v>
      </c>
      <c r="AU69" s="438" t="n">
        <v>0.248</v>
      </c>
      <c r="AV69" s="438" t="n">
        <v>0.272</v>
      </c>
      <c r="AW69" s="440" t="n">
        <v>0.069266591291958</v>
      </c>
      <c r="AX69" s="440"/>
      <c r="AY69" s="437" t="n">
        <f aca="false">AG69</f>
        <v>0.272</v>
      </c>
      <c r="AZ69" s="437" t="n">
        <f aca="false">AG69</f>
        <v>0.272</v>
      </c>
      <c r="BA69" s="441" t="n">
        <f aca="false">AG69</f>
        <v>0.272</v>
      </c>
      <c r="BB69" s="442" t="n">
        <f aca="false">B69</f>
        <v>38384</v>
      </c>
      <c r="BC69" s="437" t="n">
        <f aca="false">(1+$AW69/2)^(-2*($B69-$BC$11)/365.25)</f>
        <v>0.739599664068889</v>
      </c>
      <c r="BD69" s="437" t="n">
        <f aca="false">(1+$AW69/2)^(-2*($B69-$BD$11)/365.25)</f>
        <v>0.739737561627967</v>
      </c>
      <c r="BF69" s="442" t="n">
        <f aca="false">B69</f>
        <v>38384</v>
      </c>
      <c r="BG69" s="418" t="n">
        <v>57</v>
      </c>
      <c r="BI69" s="445" t="n">
        <f aca="false">$C69+X69</f>
        <v>4.617</v>
      </c>
      <c r="BJ69" s="446" t="n">
        <f aca="false">$C68+Y69</f>
        <v>3.316</v>
      </c>
    </row>
    <row r="70" customFormat="false" ht="12" hidden="false" customHeight="false" outlineLevel="0" collapsed="false">
      <c r="B70" s="419" t="n">
        <f aca="false">EOMONTH(B69,0)+1</f>
        <v>38412</v>
      </c>
      <c r="C70" s="420" t="n">
        <v>3.013</v>
      </c>
      <c r="D70" s="420" t="n">
        <v>0.2425</v>
      </c>
      <c r="E70" s="420" t="n">
        <v>0.069651265438239</v>
      </c>
      <c r="F70" s="420" t="n">
        <v>-0.205</v>
      </c>
      <c r="G70" s="420" t="n">
        <v>-0.0275</v>
      </c>
      <c r="H70" s="420" t="n">
        <v>-0.205</v>
      </c>
      <c r="I70" s="420" t="n">
        <v>0.1625</v>
      </c>
      <c r="J70" s="420" t="n">
        <v>0.265</v>
      </c>
      <c r="K70" s="420" t="n">
        <v>0.3025</v>
      </c>
      <c r="L70" s="420" t="n">
        <v>-0.079</v>
      </c>
      <c r="M70" s="420" t="n">
        <v>-0.0145</v>
      </c>
      <c r="N70" s="420" t="n">
        <v>-0.28</v>
      </c>
      <c r="O70" s="420" t="n">
        <v>-0.18</v>
      </c>
      <c r="P70" s="420" t="n">
        <v>0.0125</v>
      </c>
      <c r="Q70" s="420" t="n">
        <v>-0.0115</v>
      </c>
      <c r="R70" s="418" t="n">
        <v>-0.028</v>
      </c>
      <c r="S70" s="418" t="n">
        <v>-0.0525</v>
      </c>
      <c r="T70" s="418" t="n">
        <v>-0.0025</v>
      </c>
      <c r="U70" s="418" t="n">
        <v>-0.031</v>
      </c>
      <c r="V70" s="418" t="n">
        <v>-0.108</v>
      </c>
      <c r="W70" s="418" t="n">
        <v>-0.135</v>
      </c>
      <c r="X70" s="418" t="n">
        <v>0.83</v>
      </c>
      <c r="Y70" s="418" t="n">
        <v>0.005</v>
      </c>
      <c r="Z70" s="418" t="n">
        <v>-0.19</v>
      </c>
      <c r="AA70" s="418" t="n">
        <v>-0.0235</v>
      </c>
      <c r="AB70" s="437" t="n">
        <v>0.12</v>
      </c>
      <c r="AC70" s="437" t="n">
        <v>0.6025</v>
      </c>
      <c r="AD70" s="437" t="n">
        <v>0.2575</v>
      </c>
      <c r="AE70" s="438" t="n">
        <v>0.243</v>
      </c>
      <c r="AF70" s="438" t="n">
        <v>0.243</v>
      </c>
      <c r="AG70" s="438" t="n">
        <v>0.267</v>
      </c>
      <c r="AH70" s="438" t="n">
        <v>0.243</v>
      </c>
      <c r="AI70" s="438" t="n">
        <v>0.247</v>
      </c>
      <c r="AJ70" s="438" t="n">
        <v>0.243</v>
      </c>
      <c r="AK70" s="438" t="n">
        <v>0.243</v>
      </c>
      <c r="AL70" s="438" t="n">
        <v>0.243</v>
      </c>
      <c r="AM70" s="438" t="n">
        <v>0.243</v>
      </c>
      <c r="AN70" s="438" t="n">
        <v>0.243</v>
      </c>
      <c r="AO70" s="438" t="n">
        <v>0.243</v>
      </c>
      <c r="AP70" s="439" t="n">
        <v>0.243</v>
      </c>
      <c r="AQ70" s="439" t="n">
        <v>0.243</v>
      </c>
      <c r="AR70" s="439" t="n">
        <v>0.243</v>
      </c>
      <c r="AS70" s="439" t="n">
        <v>0.243</v>
      </c>
      <c r="AT70" s="438" t="n">
        <v>0.243</v>
      </c>
      <c r="AU70" s="438" t="n">
        <v>0.243</v>
      </c>
      <c r="AV70" s="438" t="n">
        <v>0.267</v>
      </c>
      <c r="AW70" s="440" t="n">
        <v>0.06928379336559</v>
      </c>
      <c r="AX70" s="440"/>
      <c r="AY70" s="437" t="n">
        <f aca="false">AG70</f>
        <v>0.267</v>
      </c>
      <c r="AZ70" s="437" t="n">
        <f aca="false">AG70</f>
        <v>0.267</v>
      </c>
      <c r="BA70" s="441" t="n">
        <f aca="false">AG70</f>
        <v>0.267</v>
      </c>
      <c r="BB70" s="442" t="n">
        <f aca="false">B70</f>
        <v>38412</v>
      </c>
      <c r="BC70" s="437" t="n">
        <f aca="false">(1+$AW70/2)^(-2*($B70-$BC$11)/365.25)</f>
        <v>0.735693826975005</v>
      </c>
      <c r="BD70" s="437" t="n">
        <f aca="false">(1+$AW70/2)^(-2*($B70-$BD$11)/365.25)</f>
        <v>0.735831029790006</v>
      </c>
      <c r="BF70" s="442" t="n">
        <f aca="false">B70</f>
        <v>38412</v>
      </c>
      <c r="BG70" s="418" t="n">
        <v>58</v>
      </c>
      <c r="BI70" s="445" t="n">
        <f aca="false">$C70+X70</f>
        <v>3.843</v>
      </c>
      <c r="BJ70" s="446" t="n">
        <f aca="false">$C69+Y70</f>
        <v>3.182</v>
      </c>
    </row>
    <row r="71" customFormat="false" ht="12" hidden="false" customHeight="false" outlineLevel="0" collapsed="false">
      <c r="B71" s="419" t="n">
        <f aca="false">EOMONTH(B70,0)+1</f>
        <v>38443</v>
      </c>
      <c r="C71" s="420" t="n">
        <v>2.841</v>
      </c>
      <c r="D71" s="420" t="n">
        <v>0.23</v>
      </c>
      <c r="E71" s="420" t="n">
        <v>0.069682815686736</v>
      </c>
      <c r="F71" s="420" t="n">
        <v>-0.195</v>
      </c>
      <c r="G71" s="420" t="n">
        <v>0.015</v>
      </c>
      <c r="H71" s="420" t="n">
        <v>-0.195</v>
      </c>
      <c r="I71" s="420" t="n">
        <v>0.0675</v>
      </c>
      <c r="J71" s="420" t="n">
        <v>0.195</v>
      </c>
      <c r="K71" s="420" t="n">
        <v>0.25</v>
      </c>
      <c r="L71" s="420" t="n">
        <v>-0.072</v>
      </c>
      <c r="M71" s="420" t="n">
        <v>-0.022</v>
      </c>
      <c r="N71" s="420" t="n">
        <v>-0.36</v>
      </c>
      <c r="O71" s="420" t="n">
        <v>-0.29</v>
      </c>
      <c r="P71" s="420" t="n">
        <v>0.006</v>
      </c>
      <c r="Q71" s="420" t="n">
        <v>-0.0015</v>
      </c>
      <c r="R71" s="418" t="n">
        <v>-0.0275</v>
      </c>
      <c r="S71" s="418" t="n">
        <v>-0.055</v>
      </c>
      <c r="T71" s="418" t="n">
        <v>-0.09</v>
      </c>
      <c r="U71" s="418" t="n">
        <v>-0.0125</v>
      </c>
      <c r="V71" s="418" t="n">
        <v>-0.1005</v>
      </c>
      <c r="W71" s="418" t="n">
        <v>-0.12</v>
      </c>
      <c r="X71" s="418" t="n">
        <v>0.45</v>
      </c>
      <c r="Y71" s="418" t="n">
        <v>0.005</v>
      </c>
      <c r="Z71" s="418" t="n">
        <v>-0.195</v>
      </c>
      <c r="AA71" s="418" t="n">
        <v>-0.021</v>
      </c>
      <c r="AB71" s="437" t="n">
        <v>0.29</v>
      </c>
      <c r="AC71" s="437" t="n">
        <v>0.355</v>
      </c>
      <c r="AD71" s="437" t="n">
        <v>0.1625</v>
      </c>
      <c r="AE71" s="438" t="n">
        <v>0.23</v>
      </c>
      <c r="AF71" s="438" t="n">
        <v>0.23</v>
      </c>
      <c r="AG71" s="438" t="n">
        <v>0.225</v>
      </c>
      <c r="AH71" s="438" t="n">
        <v>0.23</v>
      </c>
      <c r="AI71" s="438" t="n">
        <v>0.235</v>
      </c>
      <c r="AJ71" s="438" t="n">
        <v>0.23</v>
      </c>
      <c r="AK71" s="438" t="n">
        <v>0.225</v>
      </c>
      <c r="AL71" s="438" t="n">
        <v>0.225</v>
      </c>
      <c r="AM71" s="438" t="n">
        <v>0.23</v>
      </c>
      <c r="AN71" s="438" t="n">
        <v>0.23</v>
      </c>
      <c r="AO71" s="438" t="n">
        <v>0.23</v>
      </c>
      <c r="AP71" s="439" t="n">
        <v>0.23</v>
      </c>
      <c r="AQ71" s="439" t="n">
        <v>0.23</v>
      </c>
      <c r="AR71" s="439" t="n">
        <v>0.23</v>
      </c>
      <c r="AS71" s="439" t="n">
        <v>0.23</v>
      </c>
      <c r="AT71" s="438" t="n">
        <v>0.23</v>
      </c>
      <c r="AU71" s="438" t="n">
        <v>0.23</v>
      </c>
      <c r="AV71" s="438" t="n">
        <v>0.225</v>
      </c>
      <c r="AW71" s="440" t="n">
        <v>0.069302838518654</v>
      </c>
      <c r="AX71" s="440"/>
      <c r="AY71" s="437" t="n">
        <f aca="false">AG71</f>
        <v>0.225</v>
      </c>
      <c r="AZ71" s="437" t="n">
        <f aca="false">AG71</f>
        <v>0.225</v>
      </c>
      <c r="BA71" s="441" t="n">
        <f aca="false">AG71</f>
        <v>0.225</v>
      </c>
      <c r="BB71" s="442" t="n">
        <f aca="false">B71</f>
        <v>38443</v>
      </c>
      <c r="BC71" s="437" t="n">
        <f aca="false">(1+$AW71/2)^(-2*($B71-$BC$11)/365.25)</f>
        <v>0.73139138878514</v>
      </c>
      <c r="BD71" s="437" t="n">
        <f aca="false">(1+$AW71/2)^(-2*($B71-$BD$11)/365.25)</f>
        <v>0.731527826085895</v>
      </c>
      <c r="BF71" s="442" t="n">
        <f aca="false">B71</f>
        <v>38443</v>
      </c>
      <c r="BG71" s="418" t="n">
        <v>59</v>
      </c>
      <c r="BI71" s="445" t="n">
        <f aca="false">$C71+X71</f>
        <v>3.291</v>
      </c>
      <c r="BJ71" s="446" t="n">
        <f aca="false">$C70+Y71</f>
        <v>3.018</v>
      </c>
    </row>
    <row r="72" customFormat="false" ht="12" hidden="false" customHeight="false" outlineLevel="0" collapsed="false">
      <c r="B72" s="419" t="n">
        <f aca="false">EOMONTH(B71,0)+1</f>
        <v>38473</v>
      </c>
      <c r="C72" s="420" t="n">
        <v>2.831</v>
      </c>
      <c r="D72" s="420" t="n">
        <v>0.23</v>
      </c>
      <c r="E72" s="420" t="n">
        <v>0.069713348185594</v>
      </c>
      <c r="F72" s="420" t="n">
        <v>-0.195</v>
      </c>
      <c r="G72" s="420" t="n">
        <v>0.015</v>
      </c>
      <c r="H72" s="420" t="n">
        <v>-0.195</v>
      </c>
      <c r="I72" s="420" t="n">
        <v>0.0775</v>
      </c>
      <c r="J72" s="420" t="n">
        <v>0.1825</v>
      </c>
      <c r="K72" s="420" t="n">
        <v>0.2025</v>
      </c>
      <c r="L72" s="420" t="n">
        <v>-0.072</v>
      </c>
      <c r="M72" s="420" t="n">
        <v>-0.022</v>
      </c>
      <c r="N72" s="420" t="n">
        <v>-0.36</v>
      </c>
      <c r="O72" s="420" t="n">
        <v>-0.29</v>
      </c>
      <c r="P72" s="420" t="n">
        <v>0.006</v>
      </c>
      <c r="Q72" s="420" t="n">
        <v>-0.0015</v>
      </c>
      <c r="R72" s="418" t="n">
        <v>-0.0275</v>
      </c>
      <c r="S72" s="418" t="n">
        <v>-0.055</v>
      </c>
      <c r="T72" s="418" t="n">
        <v>-0.105</v>
      </c>
      <c r="U72" s="418" t="n">
        <v>-0.01275</v>
      </c>
      <c r="V72" s="418" t="n">
        <v>-0.1005</v>
      </c>
      <c r="W72" s="418" t="n">
        <v>-0.12</v>
      </c>
      <c r="X72" s="418" t="n">
        <v>0.405</v>
      </c>
      <c r="Y72" s="418" t="n">
        <v>0.005</v>
      </c>
      <c r="Z72" s="418" t="n">
        <v>-0.195</v>
      </c>
      <c r="AA72" s="418" t="n">
        <v>-0.021</v>
      </c>
      <c r="AB72" s="437" t="n">
        <v>0.29</v>
      </c>
      <c r="AC72" s="437" t="n">
        <v>0.2875</v>
      </c>
      <c r="AD72" s="437" t="n">
        <v>0.1725</v>
      </c>
      <c r="AE72" s="438" t="n">
        <v>0.23</v>
      </c>
      <c r="AF72" s="438" t="n">
        <v>0.23</v>
      </c>
      <c r="AG72" s="438" t="n">
        <v>0.225</v>
      </c>
      <c r="AH72" s="438" t="n">
        <v>0.23</v>
      </c>
      <c r="AI72" s="438" t="n">
        <v>0.235</v>
      </c>
      <c r="AJ72" s="438" t="n">
        <v>0.23</v>
      </c>
      <c r="AK72" s="438" t="n">
        <v>0.225</v>
      </c>
      <c r="AL72" s="438" t="n">
        <v>0.225</v>
      </c>
      <c r="AM72" s="438" t="n">
        <v>0.23</v>
      </c>
      <c r="AN72" s="438" t="n">
        <v>0.23</v>
      </c>
      <c r="AO72" s="438" t="n">
        <v>0.23</v>
      </c>
      <c r="AP72" s="439" t="n">
        <v>0.23</v>
      </c>
      <c r="AQ72" s="439" t="n">
        <v>0.23</v>
      </c>
      <c r="AR72" s="439" t="n">
        <v>0.23</v>
      </c>
      <c r="AS72" s="439" t="n">
        <v>0.23</v>
      </c>
      <c r="AT72" s="438" t="n">
        <v>0.23</v>
      </c>
      <c r="AU72" s="438" t="n">
        <v>0.23</v>
      </c>
      <c r="AV72" s="438" t="n">
        <v>0.225</v>
      </c>
      <c r="AW72" s="440" t="n">
        <v>0.069321269312056</v>
      </c>
      <c r="AX72" s="440"/>
      <c r="AY72" s="437" t="n">
        <f aca="false">AG72</f>
        <v>0.225</v>
      </c>
      <c r="AZ72" s="437" t="n">
        <f aca="false">AG72</f>
        <v>0.225</v>
      </c>
      <c r="BA72" s="441" t="n">
        <f aca="false">AG72</f>
        <v>0.225</v>
      </c>
      <c r="BB72" s="442" t="n">
        <f aca="false">B72</f>
        <v>38473</v>
      </c>
      <c r="BC72" s="437" t="n">
        <f aca="false">(1+$AW72/2)^(-2*($B72-$BC$11)/365.25)</f>
        <v>0.727249534245918</v>
      </c>
      <c r="BD72" s="437" t="n">
        <f aca="false">(1+$AW72/2)^(-2*($B72-$BD$11)/365.25)</f>
        <v>0.727385234380007</v>
      </c>
      <c r="BF72" s="442" t="n">
        <f aca="false">B72</f>
        <v>38473</v>
      </c>
      <c r="BG72" s="418" t="n">
        <v>60</v>
      </c>
      <c r="BI72" s="445" t="n">
        <f aca="false">$C72+X72</f>
        <v>3.236</v>
      </c>
      <c r="BJ72" s="446" t="n">
        <f aca="false">$C71+Y72</f>
        <v>2.846</v>
      </c>
    </row>
    <row r="73" customFormat="false" ht="12" hidden="false" customHeight="false" outlineLevel="0" collapsed="false">
      <c r="B73" s="419" t="n">
        <f aca="false">EOMONTH(B72,0)+1</f>
        <v>38504</v>
      </c>
      <c r="C73" s="420" t="n">
        <v>2.853</v>
      </c>
      <c r="D73" s="420" t="n">
        <v>0.23</v>
      </c>
      <c r="E73" s="420" t="n">
        <v>0.069744898434739</v>
      </c>
      <c r="F73" s="420" t="n">
        <v>-0.195</v>
      </c>
      <c r="G73" s="420" t="n">
        <v>0.02</v>
      </c>
      <c r="H73" s="420" t="n">
        <v>-0.195</v>
      </c>
      <c r="I73" s="420" t="n">
        <v>0.0725</v>
      </c>
      <c r="J73" s="420" t="n">
        <v>0.1825</v>
      </c>
      <c r="K73" s="420" t="n">
        <v>0.2025</v>
      </c>
      <c r="L73" s="420" t="n">
        <v>-0.088</v>
      </c>
      <c r="M73" s="420" t="n">
        <v>-0.022</v>
      </c>
      <c r="N73" s="420" t="n">
        <v>-0.36</v>
      </c>
      <c r="O73" s="420" t="n">
        <v>-0.29</v>
      </c>
      <c r="P73" s="420" t="n">
        <v>0.006</v>
      </c>
      <c r="Q73" s="420" t="n">
        <v>-0.0015</v>
      </c>
      <c r="R73" s="418" t="n">
        <v>-0.0275</v>
      </c>
      <c r="S73" s="418" t="n">
        <v>-0.055</v>
      </c>
      <c r="T73" s="418" t="n">
        <v>-0.115</v>
      </c>
      <c r="U73" s="418" t="n">
        <v>-0.01275</v>
      </c>
      <c r="V73" s="418" t="n">
        <v>-0.0905</v>
      </c>
      <c r="W73" s="418" t="n">
        <v>-0.12</v>
      </c>
      <c r="X73" s="418" t="n">
        <v>0.395</v>
      </c>
      <c r="Y73" s="418" t="n">
        <v>0.005</v>
      </c>
      <c r="Z73" s="418" t="n">
        <v>-0.195</v>
      </c>
      <c r="AA73" s="418" t="n">
        <v>-0.021</v>
      </c>
      <c r="AB73" s="437" t="n">
        <v>0.29</v>
      </c>
      <c r="AC73" s="437" t="n">
        <v>0.2875</v>
      </c>
      <c r="AD73" s="437" t="n">
        <v>0.1675</v>
      </c>
      <c r="AE73" s="438" t="n">
        <v>0.23</v>
      </c>
      <c r="AF73" s="438" t="n">
        <v>0.23</v>
      </c>
      <c r="AG73" s="438" t="n">
        <v>0.225</v>
      </c>
      <c r="AH73" s="438" t="n">
        <v>0.23</v>
      </c>
      <c r="AI73" s="438" t="n">
        <v>0.235</v>
      </c>
      <c r="AJ73" s="438" t="n">
        <v>0.23</v>
      </c>
      <c r="AK73" s="438" t="n">
        <v>0.225</v>
      </c>
      <c r="AL73" s="438" t="n">
        <v>0.225</v>
      </c>
      <c r="AM73" s="438" t="n">
        <v>0.23</v>
      </c>
      <c r="AN73" s="438" t="n">
        <v>0.23</v>
      </c>
      <c r="AO73" s="438" t="n">
        <v>0.23</v>
      </c>
      <c r="AP73" s="439" t="n">
        <v>0.23</v>
      </c>
      <c r="AQ73" s="439" t="n">
        <v>0.23</v>
      </c>
      <c r="AR73" s="439" t="n">
        <v>0.23</v>
      </c>
      <c r="AS73" s="439" t="n">
        <v>0.23</v>
      </c>
      <c r="AT73" s="438" t="n">
        <v>0.23</v>
      </c>
      <c r="AU73" s="438" t="n">
        <v>0.23</v>
      </c>
      <c r="AV73" s="438" t="n">
        <v>0.225</v>
      </c>
      <c r="AW73" s="440" t="n">
        <v>0.069340314465356</v>
      </c>
      <c r="AX73" s="440"/>
      <c r="AY73" s="437" t="n">
        <f aca="false">AG73</f>
        <v>0.225</v>
      </c>
      <c r="AZ73" s="437" t="n">
        <f aca="false">AG73</f>
        <v>0.225</v>
      </c>
      <c r="BA73" s="441" t="n">
        <f aca="false">AG73</f>
        <v>0.225</v>
      </c>
      <c r="BB73" s="442" t="n">
        <f aca="false">B73</f>
        <v>38504</v>
      </c>
      <c r="BC73" s="437" t="n">
        <f aca="false">(1+$AW73/2)^(-2*($B73-$BC$11)/365.25)</f>
        <v>0.722992035334742</v>
      </c>
      <c r="BD73" s="437" t="n">
        <f aca="false">(1+$AW73/2)^(-2*($B73-$BD$11)/365.25)</f>
        <v>0.723126977489193</v>
      </c>
      <c r="BF73" s="442" t="n">
        <f aca="false">B73</f>
        <v>38504</v>
      </c>
      <c r="BG73" s="418" t="n">
        <v>61</v>
      </c>
      <c r="BI73" s="445" t="n">
        <f aca="false">$C73+X73</f>
        <v>3.248</v>
      </c>
      <c r="BJ73" s="446" t="n">
        <f aca="false">$C72+Y73</f>
        <v>2.836</v>
      </c>
    </row>
    <row r="74" customFormat="false" ht="12" hidden="false" customHeight="false" outlineLevel="0" collapsed="false">
      <c r="B74" s="419" t="n">
        <f aca="false">EOMONTH(B73,0)+1</f>
        <v>38534</v>
      </c>
      <c r="C74" s="420" t="n">
        <v>2.875</v>
      </c>
      <c r="D74" s="420" t="n">
        <v>0.23</v>
      </c>
      <c r="E74" s="420" t="n">
        <v>0.069775430934224</v>
      </c>
      <c r="F74" s="420" t="n">
        <v>-0.195</v>
      </c>
      <c r="G74" s="420" t="n">
        <v>0.0225</v>
      </c>
      <c r="H74" s="420" t="n">
        <v>-0.195</v>
      </c>
      <c r="I74" s="420" t="n">
        <v>0.0625</v>
      </c>
      <c r="J74" s="420" t="n">
        <v>0.1825</v>
      </c>
      <c r="K74" s="420" t="n">
        <v>0.215</v>
      </c>
      <c r="L74" s="420" t="n">
        <v>-0.081</v>
      </c>
      <c r="M74" s="420" t="n">
        <v>-0.022</v>
      </c>
      <c r="N74" s="420" t="n">
        <v>-0.36</v>
      </c>
      <c r="O74" s="420" t="n">
        <v>-0.29</v>
      </c>
      <c r="P74" s="420" t="n">
        <v>0.006</v>
      </c>
      <c r="Q74" s="420" t="n">
        <v>-0.0015</v>
      </c>
      <c r="R74" s="418" t="n">
        <v>-0.0275</v>
      </c>
      <c r="S74" s="418" t="n">
        <v>-0.055</v>
      </c>
      <c r="T74" s="418" t="n">
        <v>-0.115</v>
      </c>
      <c r="U74" s="418" t="n">
        <v>-0.01275</v>
      </c>
      <c r="V74" s="418" t="n">
        <v>-0.0855</v>
      </c>
      <c r="W74" s="418" t="n">
        <v>-0.12</v>
      </c>
      <c r="X74" s="418" t="n">
        <v>0.43</v>
      </c>
      <c r="Y74" s="418" t="n">
        <v>0.005</v>
      </c>
      <c r="Z74" s="418" t="n">
        <v>-0.195</v>
      </c>
      <c r="AA74" s="418" t="n">
        <v>-0.021</v>
      </c>
      <c r="AB74" s="437" t="n">
        <v>0.29</v>
      </c>
      <c r="AC74" s="437" t="n">
        <v>0.3</v>
      </c>
      <c r="AD74" s="437" t="n">
        <v>0.1575</v>
      </c>
      <c r="AE74" s="438" t="n">
        <v>0.23</v>
      </c>
      <c r="AF74" s="438" t="n">
        <v>0.23</v>
      </c>
      <c r="AG74" s="438" t="n">
        <v>0.225</v>
      </c>
      <c r="AH74" s="438" t="n">
        <v>0.23</v>
      </c>
      <c r="AI74" s="438" t="n">
        <v>0.235</v>
      </c>
      <c r="AJ74" s="438" t="n">
        <v>0.23</v>
      </c>
      <c r="AK74" s="438" t="n">
        <v>0.225</v>
      </c>
      <c r="AL74" s="438" t="n">
        <v>0.225</v>
      </c>
      <c r="AM74" s="438" t="n">
        <v>0.23</v>
      </c>
      <c r="AN74" s="438" t="n">
        <v>0.23</v>
      </c>
      <c r="AO74" s="438" t="n">
        <v>0.23</v>
      </c>
      <c r="AP74" s="439" t="n">
        <v>0.23</v>
      </c>
      <c r="AQ74" s="439" t="n">
        <v>0.23</v>
      </c>
      <c r="AR74" s="439" t="n">
        <v>0.23</v>
      </c>
      <c r="AS74" s="439" t="n">
        <v>0.23</v>
      </c>
      <c r="AT74" s="438" t="n">
        <v>0.23</v>
      </c>
      <c r="AU74" s="438" t="n">
        <v>0.23</v>
      </c>
      <c r="AV74" s="438" t="n">
        <v>0.225</v>
      </c>
      <c r="AW74" s="440" t="n">
        <v>0.069358745258987</v>
      </c>
      <c r="AX74" s="440"/>
      <c r="AY74" s="437" t="n">
        <f aca="false">AG74</f>
        <v>0.225</v>
      </c>
      <c r="AZ74" s="437" t="n">
        <f aca="false">AG74</f>
        <v>0.225</v>
      </c>
      <c r="BA74" s="441" t="n">
        <f aca="false">AG74</f>
        <v>0.225</v>
      </c>
      <c r="BB74" s="442" t="n">
        <f aca="false">B74</f>
        <v>38534</v>
      </c>
      <c r="BC74" s="437" t="n">
        <f aca="false">(1+$AW74/2)^(-2*($B74-$BC$11)/365.25)</f>
        <v>0.718893469859152</v>
      </c>
      <c r="BD74" s="437" t="n">
        <f aca="false">(1+$AW74/2)^(-2*($B74-$BD$11)/365.25)</f>
        <v>0.719027682107538</v>
      </c>
      <c r="BF74" s="442" t="n">
        <f aca="false">B74</f>
        <v>38534</v>
      </c>
      <c r="BG74" s="418" t="n">
        <v>62</v>
      </c>
      <c r="BI74" s="445" t="n">
        <f aca="false">$C74+X74</f>
        <v>3.305</v>
      </c>
      <c r="BJ74" s="446" t="n">
        <f aca="false">$C73+Y74</f>
        <v>2.858</v>
      </c>
    </row>
    <row r="75" customFormat="false" ht="12" hidden="false" customHeight="false" outlineLevel="0" collapsed="false">
      <c r="B75" s="419" t="n">
        <f aca="false">EOMONTH(B74,0)+1</f>
        <v>38565</v>
      </c>
      <c r="C75" s="420" t="n">
        <v>2.896</v>
      </c>
      <c r="D75" s="420" t="n">
        <v>0.23</v>
      </c>
      <c r="E75" s="420" t="n">
        <v>0.069806981184016</v>
      </c>
      <c r="F75" s="420" t="n">
        <v>-0.195</v>
      </c>
      <c r="G75" s="420" t="n">
        <v>0.025</v>
      </c>
      <c r="H75" s="420" t="n">
        <v>-0.195</v>
      </c>
      <c r="I75" s="420" t="n">
        <v>0.06</v>
      </c>
      <c r="J75" s="420" t="n">
        <v>0.1825</v>
      </c>
      <c r="K75" s="420" t="n">
        <v>0.215</v>
      </c>
      <c r="L75" s="420" t="n">
        <v>-0.072</v>
      </c>
      <c r="M75" s="420" t="n">
        <v>-0.022</v>
      </c>
      <c r="N75" s="420" t="n">
        <v>-0.36</v>
      </c>
      <c r="O75" s="420" t="n">
        <v>-0.29</v>
      </c>
      <c r="P75" s="420" t="n">
        <v>0.006</v>
      </c>
      <c r="Q75" s="420" t="n">
        <v>-0.0015</v>
      </c>
      <c r="R75" s="418" t="n">
        <v>-0.0275</v>
      </c>
      <c r="S75" s="418" t="n">
        <v>-0.055</v>
      </c>
      <c r="T75" s="418" t="n">
        <v>-0.115</v>
      </c>
      <c r="U75" s="418" t="n">
        <v>-0.01275</v>
      </c>
      <c r="V75" s="418" t="n">
        <v>-0.0855</v>
      </c>
      <c r="W75" s="418" t="n">
        <v>-0.12</v>
      </c>
      <c r="X75" s="418" t="n">
        <v>0.495</v>
      </c>
      <c r="Y75" s="418" t="n">
        <v>0.005</v>
      </c>
      <c r="Z75" s="418" t="n">
        <v>-0.195</v>
      </c>
      <c r="AA75" s="418" t="n">
        <v>-0.021</v>
      </c>
      <c r="AB75" s="437" t="n">
        <v>0.29</v>
      </c>
      <c r="AC75" s="437" t="n">
        <v>0.3</v>
      </c>
      <c r="AD75" s="437" t="n">
        <v>0.155</v>
      </c>
      <c r="AE75" s="438" t="n">
        <v>0.23</v>
      </c>
      <c r="AF75" s="438" t="n">
        <v>0.23</v>
      </c>
      <c r="AG75" s="438" t="n">
        <v>0.225</v>
      </c>
      <c r="AH75" s="438" t="n">
        <v>0.23</v>
      </c>
      <c r="AI75" s="438" t="n">
        <v>0.235</v>
      </c>
      <c r="AJ75" s="438" t="n">
        <v>0.23</v>
      </c>
      <c r="AK75" s="438" t="n">
        <v>0.225</v>
      </c>
      <c r="AL75" s="438" t="n">
        <v>0.225</v>
      </c>
      <c r="AM75" s="438" t="n">
        <v>0.23</v>
      </c>
      <c r="AN75" s="438" t="n">
        <v>0.23</v>
      </c>
      <c r="AO75" s="438" t="n">
        <v>0.23</v>
      </c>
      <c r="AP75" s="439" t="n">
        <v>0.23</v>
      </c>
      <c r="AQ75" s="439" t="n">
        <v>0.23</v>
      </c>
      <c r="AR75" s="439" t="n">
        <v>0.23</v>
      </c>
      <c r="AS75" s="439" t="n">
        <v>0.23</v>
      </c>
      <c r="AT75" s="438" t="n">
        <v>0.23</v>
      </c>
      <c r="AU75" s="438" t="n">
        <v>0.23</v>
      </c>
      <c r="AV75" s="438" t="n">
        <v>0.225</v>
      </c>
      <c r="AW75" s="440" t="n">
        <v>0.069377790412523</v>
      </c>
      <c r="AX75" s="440"/>
      <c r="AY75" s="437" t="n">
        <f aca="false">AG75</f>
        <v>0.225</v>
      </c>
      <c r="AZ75" s="437" t="n">
        <f aca="false">AG75</f>
        <v>0.225</v>
      </c>
      <c r="BA75" s="441" t="n">
        <f aca="false">AG75</f>
        <v>0.225</v>
      </c>
      <c r="BB75" s="442" t="n">
        <f aca="false">B75</f>
        <v>38565</v>
      </c>
      <c r="BC75" s="437" t="n">
        <f aca="false">(1+$AW75/2)^(-2*($B75-$BC$11)/365.25)</f>
        <v>0.71468049652653</v>
      </c>
      <c r="BD75" s="437" t="n">
        <f aca="false">(1+$AW75/2)^(-2*($B75-$BD$11)/365.25)</f>
        <v>0.714813958266015</v>
      </c>
      <c r="BF75" s="442" t="n">
        <f aca="false">B75</f>
        <v>38565</v>
      </c>
      <c r="BG75" s="418" t="n">
        <v>63</v>
      </c>
      <c r="BI75" s="445" t="n">
        <f aca="false">$C75+X75</f>
        <v>3.391</v>
      </c>
      <c r="BJ75" s="446" t="n">
        <f aca="false">$C74+Y75</f>
        <v>2.88</v>
      </c>
    </row>
    <row r="76" customFormat="false" ht="12" hidden="false" customHeight="false" outlineLevel="0" collapsed="false">
      <c r="B76" s="419" t="n">
        <f aca="false">EOMONTH(B75,0)+1</f>
        <v>38596</v>
      </c>
      <c r="C76" s="420" t="n">
        <v>2.877</v>
      </c>
      <c r="D76" s="420" t="n">
        <v>0.23</v>
      </c>
      <c r="E76" s="420" t="n">
        <v>0.069837238133672</v>
      </c>
      <c r="F76" s="420" t="n">
        <v>-0.195</v>
      </c>
      <c r="G76" s="420" t="n">
        <v>0.0175</v>
      </c>
      <c r="H76" s="420" t="n">
        <v>-0.195</v>
      </c>
      <c r="I76" s="420" t="n">
        <v>0.0575</v>
      </c>
      <c r="J76" s="420" t="n">
        <v>0.1825</v>
      </c>
      <c r="K76" s="420" t="n">
        <v>0.195</v>
      </c>
      <c r="L76" s="420" t="n">
        <v>-0.052</v>
      </c>
      <c r="M76" s="420" t="n">
        <v>-0.022</v>
      </c>
      <c r="N76" s="420" t="n">
        <v>-0.36</v>
      </c>
      <c r="O76" s="420" t="n">
        <v>-0.29</v>
      </c>
      <c r="P76" s="420" t="n">
        <v>0.006</v>
      </c>
      <c r="Q76" s="420" t="n">
        <v>-0.0015</v>
      </c>
      <c r="R76" s="418" t="n">
        <v>-0.0275</v>
      </c>
      <c r="S76" s="418" t="n">
        <v>-0.055</v>
      </c>
      <c r="T76" s="418" t="n">
        <v>-0.105</v>
      </c>
      <c r="U76" s="418" t="n">
        <v>-0.01275</v>
      </c>
      <c r="V76" s="418" t="n">
        <v>-0.1005</v>
      </c>
      <c r="W76" s="418" t="n">
        <v>-0.12</v>
      </c>
      <c r="X76" s="418" t="n">
        <v>0.395</v>
      </c>
      <c r="Y76" s="418" t="n">
        <v>0.005</v>
      </c>
      <c r="Z76" s="418" t="n">
        <v>-0.195</v>
      </c>
      <c r="AA76" s="418" t="n">
        <v>-0.021</v>
      </c>
      <c r="AB76" s="437" t="n">
        <v>0.29</v>
      </c>
      <c r="AC76" s="437" t="n">
        <v>0.29</v>
      </c>
      <c r="AD76" s="437" t="n">
        <v>0.1525</v>
      </c>
      <c r="AE76" s="438" t="n">
        <v>0.23</v>
      </c>
      <c r="AF76" s="438" t="n">
        <v>0.23</v>
      </c>
      <c r="AG76" s="438" t="n">
        <v>0.225</v>
      </c>
      <c r="AH76" s="438" t="n">
        <v>0.23</v>
      </c>
      <c r="AI76" s="438" t="n">
        <v>0.235</v>
      </c>
      <c r="AJ76" s="438" t="n">
        <v>0.23</v>
      </c>
      <c r="AK76" s="438" t="n">
        <v>0.225</v>
      </c>
      <c r="AL76" s="438" t="n">
        <v>0.225</v>
      </c>
      <c r="AM76" s="438" t="n">
        <v>0.23</v>
      </c>
      <c r="AN76" s="438" t="n">
        <v>0.23</v>
      </c>
      <c r="AO76" s="438" t="n">
        <v>0.23</v>
      </c>
      <c r="AP76" s="439" t="n">
        <v>0.23</v>
      </c>
      <c r="AQ76" s="439" t="n">
        <v>0.23</v>
      </c>
      <c r="AR76" s="439" t="n">
        <v>0.23</v>
      </c>
      <c r="AS76" s="439" t="n">
        <v>0.23</v>
      </c>
      <c r="AT76" s="438" t="n">
        <v>0.23</v>
      </c>
      <c r="AU76" s="438" t="n">
        <v>0.23</v>
      </c>
      <c r="AV76" s="438" t="n">
        <v>0.225</v>
      </c>
      <c r="AW76" s="440" t="n">
        <v>0.069398003258868</v>
      </c>
      <c r="AX76" s="440"/>
      <c r="AY76" s="437" t="n">
        <f aca="false">AG76</f>
        <v>0.225</v>
      </c>
      <c r="AZ76" s="437" t="n">
        <f aca="false">AG76</f>
        <v>0.225</v>
      </c>
      <c r="BA76" s="441" t="n">
        <f aca="false">AG76</f>
        <v>0.225</v>
      </c>
      <c r="BB76" s="442" t="n">
        <f aca="false">B76</f>
        <v>38596</v>
      </c>
      <c r="BC76" s="437" t="n">
        <f aca="false">(1+$AW76/2)^(-2*($B76-$BC$11)/365.25)</f>
        <v>0.710485976131143</v>
      </c>
      <c r="BD76" s="437" t="n">
        <f aca="false">(1+$AW76/2)^(-2*($B76-$BD$11)/365.25)</f>
        <v>0.710618692579226</v>
      </c>
      <c r="BF76" s="442" t="n">
        <f aca="false">B76</f>
        <v>38596</v>
      </c>
      <c r="BG76" s="418" t="n">
        <v>64</v>
      </c>
      <c r="BI76" s="445" t="n">
        <f aca="false">$C76+X76</f>
        <v>3.272</v>
      </c>
      <c r="BJ76" s="446" t="n">
        <f aca="false">$C75+Y76</f>
        <v>2.901</v>
      </c>
    </row>
    <row r="77" customFormat="false" ht="12" hidden="false" customHeight="false" outlineLevel="0" collapsed="false">
      <c r="B77" s="419" t="n">
        <f aca="false">EOMONTH(B76,0)+1</f>
        <v>38626</v>
      </c>
      <c r="C77" s="420" t="n">
        <v>2.89</v>
      </c>
      <c r="D77" s="420" t="n">
        <v>0.23</v>
      </c>
      <c r="E77" s="420" t="n">
        <v>0.069848371126986</v>
      </c>
      <c r="F77" s="420" t="n">
        <v>-0.195</v>
      </c>
      <c r="G77" s="420" t="n">
        <v>0.0075</v>
      </c>
      <c r="H77" s="420" t="n">
        <v>-0.195</v>
      </c>
      <c r="I77" s="420" t="n">
        <v>0.0725</v>
      </c>
      <c r="J77" s="420" t="n">
        <v>0.1875</v>
      </c>
      <c r="K77" s="420" t="n">
        <v>0.215</v>
      </c>
      <c r="L77" s="420" t="n">
        <v>-0.062</v>
      </c>
      <c r="M77" s="420" t="n">
        <v>-0.022</v>
      </c>
      <c r="N77" s="420" t="n">
        <v>-0.36</v>
      </c>
      <c r="O77" s="420" t="n">
        <v>-0.29</v>
      </c>
      <c r="P77" s="420" t="n">
        <v>0.006</v>
      </c>
      <c r="Q77" s="420" t="n">
        <v>-0.0015</v>
      </c>
      <c r="R77" s="418" t="n">
        <v>-0.0275</v>
      </c>
      <c r="S77" s="418" t="n">
        <v>-0.055</v>
      </c>
      <c r="T77" s="418" t="n">
        <v>-0.09</v>
      </c>
      <c r="U77" s="418" t="n">
        <v>-0.01275</v>
      </c>
      <c r="V77" s="418" t="n">
        <v>-0.103</v>
      </c>
      <c r="W77" s="418" t="n">
        <v>-0.12</v>
      </c>
      <c r="X77" s="418" t="n">
        <v>0.461</v>
      </c>
      <c r="Y77" s="418" t="n">
        <v>0.005</v>
      </c>
      <c r="Z77" s="418" t="n">
        <v>-0.195</v>
      </c>
      <c r="AA77" s="418" t="n">
        <v>-0.021</v>
      </c>
      <c r="AB77" s="437" t="n">
        <v>0.29</v>
      </c>
      <c r="AC77" s="437" t="n">
        <v>0.3625</v>
      </c>
      <c r="AD77" s="437" t="n">
        <v>0.1675</v>
      </c>
      <c r="AE77" s="438" t="n">
        <v>0.23</v>
      </c>
      <c r="AF77" s="438" t="n">
        <v>0.23</v>
      </c>
      <c r="AG77" s="438" t="n">
        <v>0.225</v>
      </c>
      <c r="AH77" s="438" t="n">
        <v>0.23</v>
      </c>
      <c r="AI77" s="438" t="n">
        <v>0.235</v>
      </c>
      <c r="AJ77" s="438" t="n">
        <v>0.23</v>
      </c>
      <c r="AK77" s="438" t="n">
        <v>0.225</v>
      </c>
      <c r="AL77" s="438" t="n">
        <v>0.225</v>
      </c>
      <c r="AM77" s="438" t="n">
        <v>0.23</v>
      </c>
      <c r="AN77" s="438" t="n">
        <v>0.23</v>
      </c>
      <c r="AO77" s="438" t="n">
        <v>0.23</v>
      </c>
      <c r="AP77" s="439" t="n">
        <v>0.23</v>
      </c>
      <c r="AQ77" s="439" t="n">
        <v>0.23</v>
      </c>
      <c r="AR77" s="439" t="n">
        <v>0.23</v>
      </c>
      <c r="AS77" s="439" t="n">
        <v>0.23</v>
      </c>
      <c r="AT77" s="438" t="n">
        <v>0.23</v>
      </c>
      <c r="AU77" s="438" t="n">
        <v>0.23</v>
      </c>
      <c r="AV77" s="438" t="n">
        <v>0.225</v>
      </c>
      <c r="AW77" s="440" t="n">
        <v>0.069421438450126</v>
      </c>
      <c r="AX77" s="440"/>
      <c r="AY77" s="437" t="n">
        <f aca="false">AG77</f>
        <v>0.225</v>
      </c>
      <c r="AZ77" s="437" t="n">
        <f aca="false">AG77</f>
        <v>0.225</v>
      </c>
      <c r="BA77" s="441" t="n">
        <f aca="false">AG77</f>
        <v>0.225</v>
      </c>
      <c r="BB77" s="442" t="n">
        <f aca="false">B77</f>
        <v>38626</v>
      </c>
      <c r="BC77" s="437" t="n">
        <f aca="false">(1+$AW77/2)^(-2*($B77-$BC$11)/365.25)</f>
        <v>0.706434503691976</v>
      </c>
      <c r="BD77" s="437" t="n">
        <f aca="false">(1+$AW77/2)^(-2*($B77-$BD$11)/365.25)</f>
        <v>0.706566507152501</v>
      </c>
      <c r="BF77" s="442" t="n">
        <f aca="false">B77</f>
        <v>38626</v>
      </c>
      <c r="BG77" s="418" t="n">
        <v>65</v>
      </c>
      <c r="BI77" s="445" t="n">
        <f aca="false">$C77+X77</f>
        <v>3.351</v>
      </c>
      <c r="BJ77" s="446" t="n">
        <f aca="false">$C76+Y77</f>
        <v>2.882</v>
      </c>
    </row>
    <row r="78" customFormat="false" ht="12" hidden="false" customHeight="false" outlineLevel="0" collapsed="false">
      <c r="B78" s="419" t="n">
        <f aca="false">EOMONTH(B77,0)+1</f>
        <v>38657</v>
      </c>
      <c r="C78" s="420" t="n">
        <v>2.972</v>
      </c>
      <c r="D78" s="420" t="n">
        <v>0.23</v>
      </c>
      <c r="E78" s="420" t="n">
        <v>0.06985987522012</v>
      </c>
      <c r="F78" s="420" t="n">
        <v>-0.19</v>
      </c>
      <c r="G78" s="420" t="n">
        <v>-0.0325</v>
      </c>
      <c r="H78" s="420" t="n">
        <v>-0.19</v>
      </c>
      <c r="I78" s="420" t="n">
        <v>0.13</v>
      </c>
      <c r="J78" s="420" t="n">
        <v>0.27</v>
      </c>
      <c r="K78" s="420" t="n">
        <v>0.2875</v>
      </c>
      <c r="L78" s="420" t="n">
        <v>-0.077</v>
      </c>
      <c r="M78" s="420" t="n">
        <v>-0.0145</v>
      </c>
      <c r="N78" s="420" t="n">
        <v>-0.28</v>
      </c>
      <c r="O78" s="420" t="n">
        <v>0</v>
      </c>
      <c r="P78" s="420" t="n">
        <v>0.0135</v>
      </c>
      <c r="Q78" s="420" t="n">
        <v>-0.0095</v>
      </c>
      <c r="R78" s="418" t="n">
        <v>-0.0305</v>
      </c>
      <c r="S78" s="418" t="n">
        <v>-0.06</v>
      </c>
      <c r="T78" s="418" t="n">
        <v>-0.025</v>
      </c>
      <c r="U78" s="418" t="n">
        <v>-0.031</v>
      </c>
      <c r="V78" s="418" t="n">
        <v>-0.1005</v>
      </c>
      <c r="W78" s="418" t="n">
        <v>-0.1325</v>
      </c>
      <c r="X78" s="418" t="n">
        <v>0.7675</v>
      </c>
      <c r="Y78" s="418" t="n">
        <v>0.005</v>
      </c>
      <c r="Z78" s="418" t="n">
        <v>-0.19</v>
      </c>
      <c r="AA78" s="418" t="n">
        <v>-0.0225</v>
      </c>
      <c r="AB78" s="437" t="n">
        <v>0.12</v>
      </c>
      <c r="AC78" s="437" t="n">
        <v>0.465</v>
      </c>
      <c r="AD78" s="437" t="n">
        <v>0.225</v>
      </c>
      <c r="AE78" s="438" t="n">
        <v>0.23</v>
      </c>
      <c r="AF78" s="438" t="n">
        <v>0.23</v>
      </c>
      <c r="AG78" s="438" t="n">
        <v>0.253</v>
      </c>
      <c r="AH78" s="438" t="n">
        <v>0.23</v>
      </c>
      <c r="AI78" s="438" t="n">
        <v>0.235</v>
      </c>
      <c r="AJ78" s="438" t="n">
        <v>0.23</v>
      </c>
      <c r="AK78" s="438" t="n">
        <v>0.23</v>
      </c>
      <c r="AL78" s="438" t="n">
        <v>0.23</v>
      </c>
      <c r="AM78" s="438" t="n">
        <v>0.23</v>
      </c>
      <c r="AN78" s="438" t="n">
        <v>0.23</v>
      </c>
      <c r="AO78" s="438" t="n">
        <v>0.23</v>
      </c>
      <c r="AP78" s="439" t="n">
        <v>0.23</v>
      </c>
      <c r="AQ78" s="439" t="n">
        <v>0.23</v>
      </c>
      <c r="AR78" s="439" t="n">
        <v>0.23</v>
      </c>
      <c r="AS78" s="439" t="n">
        <v>0.23</v>
      </c>
      <c r="AT78" s="438" t="n">
        <v>0.23</v>
      </c>
      <c r="AU78" s="438" t="n">
        <v>0.23</v>
      </c>
      <c r="AV78" s="438" t="n">
        <v>0.253</v>
      </c>
      <c r="AW78" s="440" t="n">
        <v>0.069445654814616</v>
      </c>
      <c r="AX78" s="440"/>
      <c r="AY78" s="437" t="n">
        <f aca="false">AG78</f>
        <v>0.253</v>
      </c>
      <c r="AZ78" s="437" t="n">
        <f aca="false">AG78</f>
        <v>0.253</v>
      </c>
      <c r="BA78" s="441" t="n">
        <f aca="false">AG78</f>
        <v>0.253</v>
      </c>
      <c r="BB78" s="442" t="n">
        <f aca="false">B78</f>
        <v>38657</v>
      </c>
      <c r="BC78" s="437" t="n">
        <f aca="false">(1+$AW78/2)^(-2*($B78-$BC$11)/365.25)</f>
        <v>0.702269507736762</v>
      </c>
      <c r="BD78" s="437" t="n">
        <f aca="false">(1+$AW78/2)^(-2*($B78-$BD$11)/365.25)</f>
        <v>0.702400777938617</v>
      </c>
      <c r="BF78" s="442" t="n">
        <f aca="false">B78</f>
        <v>38657</v>
      </c>
      <c r="BG78" s="418" t="n">
        <v>66</v>
      </c>
      <c r="BI78" s="445" t="n">
        <f aca="false">$C78+X78</f>
        <v>3.7395</v>
      </c>
      <c r="BJ78" s="446" t="n">
        <f aca="false">$C77+Y78</f>
        <v>2.895</v>
      </c>
    </row>
    <row r="79" customFormat="false" ht="12" hidden="false" customHeight="false" outlineLevel="0" collapsed="false">
      <c r="B79" s="419" t="n">
        <f aca="false">EOMONTH(B78,0)+1</f>
        <v>38687</v>
      </c>
      <c r="C79" s="420" t="n">
        <v>3.052</v>
      </c>
      <c r="D79" s="420" t="n">
        <v>0.2325</v>
      </c>
      <c r="E79" s="420" t="n">
        <v>0.069871008213518</v>
      </c>
      <c r="F79" s="420" t="n">
        <v>-0.1975</v>
      </c>
      <c r="G79" s="420" t="n">
        <v>-0.055</v>
      </c>
      <c r="H79" s="420" t="n">
        <v>-0.1975</v>
      </c>
      <c r="I79" s="420" t="n">
        <v>0.17</v>
      </c>
      <c r="J79" s="420" t="n">
        <v>0.305</v>
      </c>
      <c r="K79" s="420" t="n">
        <v>0.3375</v>
      </c>
      <c r="L79" s="420" t="n">
        <v>-0.077</v>
      </c>
      <c r="M79" s="420" t="n">
        <v>-0.0145</v>
      </c>
      <c r="N79" s="420" t="n">
        <v>-0.28</v>
      </c>
      <c r="O79" s="420" t="n">
        <v>0.06</v>
      </c>
      <c r="P79" s="420" t="n">
        <v>0.0135</v>
      </c>
      <c r="Q79" s="420" t="n">
        <v>-0.0095</v>
      </c>
      <c r="R79" s="418" t="n">
        <v>-0.0305</v>
      </c>
      <c r="S79" s="418" t="n">
        <v>-0.06</v>
      </c>
      <c r="T79" s="418" t="n">
        <v>-0.0175</v>
      </c>
      <c r="U79" s="418" t="n">
        <v>-0.031</v>
      </c>
      <c r="V79" s="418" t="n">
        <v>-0.1355</v>
      </c>
      <c r="W79" s="418" t="n">
        <v>-0.1275</v>
      </c>
      <c r="X79" s="418" t="n">
        <v>1.19</v>
      </c>
      <c r="Y79" s="418" t="n">
        <v>0.005</v>
      </c>
      <c r="Z79" s="418" t="n">
        <v>-0.19</v>
      </c>
      <c r="AA79" s="418" t="n">
        <v>-0.0225</v>
      </c>
      <c r="AB79" s="437" t="n">
        <v>0.12</v>
      </c>
      <c r="AC79" s="437" t="n">
        <v>0.8</v>
      </c>
      <c r="AD79" s="437" t="n">
        <v>0.265</v>
      </c>
      <c r="AE79" s="438" t="n">
        <v>0.233</v>
      </c>
      <c r="AF79" s="438" t="n">
        <v>0.233</v>
      </c>
      <c r="AG79" s="438" t="n">
        <v>0.256</v>
      </c>
      <c r="AH79" s="438" t="n">
        <v>0.233</v>
      </c>
      <c r="AI79" s="438" t="n">
        <v>0.237</v>
      </c>
      <c r="AJ79" s="438" t="n">
        <v>0.233</v>
      </c>
      <c r="AK79" s="438" t="n">
        <v>0.233</v>
      </c>
      <c r="AL79" s="438" t="n">
        <v>0.233</v>
      </c>
      <c r="AM79" s="438" t="n">
        <v>0.233</v>
      </c>
      <c r="AN79" s="438" t="n">
        <v>0.233</v>
      </c>
      <c r="AO79" s="438" t="n">
        <v>0.233</v>
      </c>
      <c r="AP79" s="439" t="n">
        <v>0.233</v>
      </c>
      <c r="AQ79" s="439" t="n">
        <v>0.233</v>
      </c>
      <c r="AR79" s="439" t="n">
        <v>0.233</v>
      </c>
      <c r="AS79" s="439" t="n">
        <v>0.233</v>
      </c>
      <c r="AT79" s="438" t="n">
        <v>0.233</v>
      </c>
      <c r="AU79" s="438" t="n">
        <v>0.233</v>
      </c>
      <c r="AV79" s="438" t="n">
        <v>0.256</v>
      </c>
      <c r="AW79" s="440" t="n">
        <v>0.069469090006243</v>
      </c>
      <c r="AX79" s="440"/>
      <c r="AY79" s="437" t="n">
        <f aca="false">AG79</f>
        <v>0.256</v>
      </c>
      <c r="AZ79" s="437" t="n">
        <f aca="false">AG79</f>
        <v>0.256</v>
      </c>
      <c r="BA79" s="441" t="n">
        <f aca="false">AG79</f>
        <v>0.256</v>
      </c>
      <c r="BB79" s="442" t="n">
        <f aca="false">B79</f>
        <v>38687</v>
      </c>
      <c r="BC79" s="437" t="n">
        <f aca="false">(1+$AW79/2)^(-2*($B79-$BC$11)/365.25)</f>
        <v>0.698259608275863</v>
      </c>
      <c r="BD79" s="437" t="n">
        <f aca="false">(1+$AW79/2)^(-2*($B79-$BD$11)/365.25)</f>
        <v>0.698390172242156</v>
      </c>
      <c r="BF79" s="442" t="n">
        <f aca="false">B79</f>
        <v>38687</v>
      </c>
      <c r="BG79" s="418" t="n">
        <v>67</v>
      </c>
      <c r="BI79" s="445" t="n">
        <f aca="false">$C79+X79</f>
        <v>4.242</v>
      </c>
      <c r="BJ79" s="446" t="n">
        <f aca="false">$C78+Y79</f>
        <v>2.977</v>
      </c>
    </row>
    <row r="80" customFormat="false" ht="12" hidden="false" customHeight="false" outlineLevel="0" collapsed="false">
      <c r="B80" s="419" t="n">
        <f aca="false">EOMONTH(B79,0)+1</f>
        <v>38718</v>
      </c>
      <c r="C80" s="420" t="n">
        <v>3.298</v>
      </c>
      <c r="D80" s="420" t="n">
        <v>0.2325</v>
      </c>
      <c r="E80" s="420" t="n">
        <v>0.069882512306738</v>
      </c>
      <c r="F80" s="420" t="n">
        <v>-0.2</v>
      </c>
      <c r="G80" s="420" t="n">
        <v>-0.0575</v>
      </c>
      <c r="H80" s="420" t="n">
        <v>-0.2</v>
      </c>
      <c r="I80" s="420" t="n">
        <v>0.215</v>
      </c>
      <c r="J80" s="420" t="n">
        <v>0.305</v>
      </c>
      <c r="K80" s="420" t="n">
        <v>0.4375</v>
      </c>
      <c r="L80" s="420" t="n">
        <v>-0.077</v>
      </c>
      <c r="M80" s="420" t="n">
        <v>-0.0125</v>
      </c>
      <c r="N80" s="420" t="n">
        <v>-0.28</v>
      </c>
      <c r="O80" s="420" t="n">
        <v>0.13</v>
      </c>
      <c r="P80" s="420" t="n">
        <v>0.0135</v>
      </c>
      <c r="Q80" s="420" t="n">
        <v>-0.0095</v>
      </c>
      <c r="R80" s="418" t="n">
        <v>-0.026</v>
      </c>
      <c r="S80" s="418" t="n">
        <v>-0.06</v>
      </c>
      <c r="T80" s="418" t="n">
        <v>-0.0025</v>
      </c>
      <c r="U80" s="418" t="n">
        <v>-0.031</v>
      </c>
      <c r="V80" s="418" t="n">
        <v>-0.141</v>
      </c>
      <c r="W80" s="418" t="n">
        <v>-0.1275</v>
      </c>
      <c r="X80" s="418" t="n">
        <v>1.525</v>
      </c>
      <c r="Y80" s="418" t="n">
        <v>0.005</v>
      </c>
      <c r="Z80" s="418" t="n">
        <v>-0.19</v>
      </c>
      <c r="AA80" s="418" t="n">
        <v>-0.0225</v>
      </c>
      <c r="AB80" s="437" t="n">
        <v>0.12</v>
      </c>
      <c r="AC80" s="437" t="n">
        <v>0.975</v>
      </c>
      <c r="AD80" s="437" t="n">
        <v>0.31</v>
      </c>
      <c r="AE80" s="438" t="n">
        <v>0.233</v>
      </c>
      <c r="AF80" s="438" t="n">
        <v>0.233</v>
      </c>
      <c r="AG80" s="438" t="n">
        <v>0.256</v>
      </c>
      <c r="AH80" s="438" t="n">
        <v>0.233</v>
      </c>
      <c r="AI80" s="438" t="n">
        <v>0.237</v>
      </c>
      <c r="AJ80" s="438" t="n">
        <v>0.233</v>
      </c>
      <c r="AK80" s="438" t="n">
        <v>0.233</v>
      </c>
      <c r="AL80" s="438" t="n">
        <v>0.233</v>
      </c>
      <c r="AM80" s="438" t="n">
        <v>0.233</v>
      </c>
      <c r="AN80" s="438" t="n">
        <v>0.233</v>
      </c>
      <c r="AO80" s="438" t="n">
        <v>0.233</v>
      </c>
      <c r="AP80" s="439" t="n">
        <v>0.233</v>
      </c>
      <c r="AQ80" s="439" t="n">
        <v>0.233</v>
      </c>
      <c r="AR80" s="439" t="n">
        <v>0.233</v>
      </c>
      <c r="AS80" s="439" t="n">
        <v>0.233</v>
      </c>
      <c r="AT80" s="438" t="n">
        <v>0.233</v>
      </c>
      <c r="AU80" s="438" t="n">
        <v>0.233</v>
      </c>
      <c r="AV80" s="438" t="n">
        <v>0.256</v>
      </c>
      <c r="AW80" s="440" t="n">
        <v>0.069493306371115</v>
      </c>
      <c r="AX80" s="440"/>
      <c r="AY80" s="437" t="n">
        <f aca="false">AG80</f>
        <v>0.256</v>
      </c>
      <c r="AZ80" s="437" t="n">
        <f aca="false">AG80</f>
        <v>0.256</v>
      </c>
      <c r="BA80" s="441" t="n">
        <f aca="false">AG80</f>
        <v>0.256</v>
      </c>
      <c r="BB80" s="442" t="n">
        <f aca="false">B80</f>
        <v>38718</v>
      </c>
      <c r="BC80" s="437" t="n">
        <f aca="false">(1+$AW80/2)^(-2*($B80-$BC$11)/365.25)</f>
        <v>0.694137385570386</v>
      </c>
      <c r="BD80" s="437" t="n">
        <f aca="false">(1+$AW80/2)^(-2*($B80-$BD$11)/365.25)</f>
        <v>0.694267223228525</v>
      </c>
      <c r="BF80" s="442" t="n">
        <f aca="false">B80</f>
        <v>38718</v>
      </c>
      <c r="BG80" s="418" t="n">
        <v>68</v>
      </c>
      <c r="BI80" s="445" t="n">
        <f aca="false">$C80+X80</f>
        <v>4.823</v>
      </c>
      <c r="BJ80" s="446" t="n">
        <f aca="false">$C79+Y80</f>
        <v>3.057</v>
      </c>
    </row>
    <row r="81" customFormat="false" ht="12" hidden="false" customHeight="false" outlineLevel="0" collapsed="false">
      <c r="B81" s="419" t="n">
        <f aca="false">EOMONTH(B80,0)+1</f>
        <v>38749</v>
      </c>
      <c r="C81" s="420" t="n">
        <v>3.168</v>
      </c>
      <c r="D81" s="420" t="n">
        <v>0.23</v>
      </c>
      <c r="E81" s="420" t="n">
        <v>0.069894016400002</v>
      </c>
      <c r="F81" s="420" t="n">
        <v>-0.2025</v>
      </c>
      <c r="G81" s="420" t="n">
        <v>-0.04</v>
      </c>
      <c r="H81" s="420" t="n">
        <v>-0.2025</v>
      </c>
      <c r="I81" s="420" t="n">
        <v>0.19</v>
      </c>
      <c r="J81" s="420" t="n">
        <v>0.305</v>
      </c>
      <c r="K81" s="420" t="n">
        <v>0.435</v>
      </c>
      <c r="L81" s="420" t="n">
        <v>-0.077</v>
      </c>
      <c r="M81" s="420" t="n">
        <v>-0.0125</v>
      </c>
      <c r="N81" s="420" t="n">
        <v>-0.28</v>
      </c>
      <c r="O81" s="420" t="n">
        <v>0</v>
      </c>
      <c r="P81" s="420" t="n">
        <v>0.0135</v>
      </c>
      <c r="Q81" s="420" t="n">
        <v>-0.0095</v>
      </c>
      <c r="R81" s="418" t="n">
        <v>-0.026</v>
      </c>
      <c r="S81" s="418" t="n">
        <v>-0.06</v>
      </c>
      <c r="T81" s="418" t="n">
        <v>-0.0025</v>
      </c>
      <c r="U81" s="418" t="n">
        <v>-0.031</v>
      </c>
      <c r="V81" s="418" t="n">
        <v>-0.1235</v>
      </c>
      <c r="W81" s="418" t="n">
        <v>-0.1275</v>
      </c>
      <c r="X81" s="418" t="n">
        <v>1.455</v>
      </c>
      <c r="Y81" s="418" t="n">
        <v>0.005</v>
      </c>
      <c r="Z81" s="418" t="n">
        <v>-0.19</v>
      </c>
      <c r="AA81" s="418" t="n">
        <v>-0.0225</v>
      </c>
      <c r="AB81" s="437" t="n">
        <v>0.12</v>
      </c>
      <c r="AC81" s="437" t="n">
        <v>0.975</v>
      </c>
      <c r="AD81" s="437" t="n">
        <v>0.285</v>
      </c>
      <c r="AE81" s="438" t="n">
        <v>0.23</v>
      </c>
      <c r="AF81" s="438" t="n">
        <v>0.23</v>
      </c>
      <c r="AG81" s="438" t="n">
        <v>0.253</v>
      </c>
      <c r="AH81" s="438" t="n">
        <v>0.23</v>
      </c>
      <c r="AI81" s="438" t="n">
        <v>0.235</v>
      </c>
      <c r="AJ81" s="438" t="n">
        <v>0.23</v>
      </c>
      <c r="AK81" s="438" t="n">
        <v>0.23</v>
      </c>
      <c r="AL81" s="438" t="n">
        <v>0.23</v>
      </c>
      <c r="AM81" s="438" t="n">
        <v>0.23</v>
      </c>
      <c r="AN81" s="438" t="n">
        <v>0.23</v>
      </c>
      <c r="AO81" s="438" t="n">
        <v>0.23</v>
      </c>
      <c r="AP81" s="439" t="n">
        <v>0.23</v>
      </c>
      <c r="AQ81" s="439" t="n">
        <v>0.23</v>
      </c>
      <c r="AR81" s="439" t="n">
        <v>0.23</v>
      </c>
      <c r="AS81" s="439" t="n">
        <v>0.23</v>
      </c>
      <c r="AT81" s="438" t="n">
        <v>0.23</v>
      </c>
      <c r="AU81" s="438" t="n">
        <v>0.23</v>
      </c>
      <c r="AV81" s="438" t="n">
        <v>0.253</v>
      </c>
      <c r="AW81" s="440" t="n">
        <v>0.069517522736181</v>
      </c>
      <c r="AX81" s="440"/>
      <c r="AY81" s="437" t="n">
        <f aca="false">AG81</f>
        <v>0.253</v>
      </c>
      <c r="AZ81" s="437" t="n">
        <f aca="false">AG81</f>
        <v>0.253</v>
      </c>
      <c r="BA81" s="441" t="n">
        <f aca="false">AG81</f>
        <v>0.253</v>
      </c>
      <c r="BB81" s="442" t="n">
        <f aca="false">B81</f>
        <v>38749</v>
      </c>
      <c r="BC81" s="437" t="n">
        <f aca="false">(1+$AW81/2)^(-2*($B81-$BC$11)/365.25)</f>
        <v>0.690036758438725</v>
      </c>
      <c r="BD81" s="437" t="n">
        <f aca="false">(1+$AW81/2)^(-2*($B81-$BD$11)/365.25)</f>
        <v>0.690165873300649</v>
      </c>
      <c r="BF81" s="442" t="n">
        <f aca="false">B81</f>
        <v>38749</v>
      </c>
      <c r="BG81" s="418" t="n">
        <v>69</v>
      </c>
      <c r="BI81" s="445" t="n">
        <f aca="false">$C81+X81</f>
        <v>4.623</v>
      </c>
      <c r="BJ81" s="446" t="n">
        <f aca="false">$C80+Y81</f>
        <v>3.303</v>
      </c>
    </row>
    <row r="82" customFormat="false" ht="12" hidden="false" customHeight="false" outlineLevel="0" collapsed="false">
      <c r="B82" s="419" t="n">
        <f aca="false">EOMONTH(B81,0)+1</f>
        <v>38777</v>
      </c>
      <c r="C82" s="420" t="n">
        <v>3.007</v>
      </c>
      <c r="D82" s="420" t="n">
        <v>0.2275</v>
      </c>
      <c r="E82" s="420" t="n">
        <v>0.069904407193956</v>
      </c>
      <c r="F82" s="420" t="n">
        <v>-0.205</v>
      </c>
      <c r="G82" s="420" t="n">
        <v>-0.0275</v>
      </c>
      <c r="H82" s="420" t="n">
        <v>-0.205</v>
      </c>
      <c r="I82" s="420" t="n">
        <v>0.1875</v>
      </c>
      <c r="J82" s="420" t="n">
        <v>0.265</v>
      </c>
      <c r="K82" s="420" t="n">
        <v>0.3025</v>
      </c>
      <c r="L82" s="420" t="n">
        <v>-0.077</v>
      </c>
      <c r="M82" s="420" t="n">
        <v>-0.0125</v>
      </c>
      <c r="N82" s="420" t="n">
        <v>-0.28</v>
      </c>
      <c r="O82" s="420" t="n">
        <v>-0.18</v>
      </c>
      <c r="P82" s="420" t="n">
        <v>0.0135</v>
      </c>
      <c r="Q82" s="420" t="n">
        <v>-0.0095</v>
      </c>
      <c r="R82" s="418" t="n">
        <v>-0.026</v>
      </c>
      <c r="S82" s="418" t="n">
        <v>-0.06</v>
      </c>
      <c r="T82" s="418" t="n">
        <v>-0.0025</v>
      </c>
      <c r="U82" s="418" t="n">
        <v>-0.0125</v>
      </c>
      <c r="V82" s="418" t="n">
        <v>-0.106</v>
      </c>
      <c r="W82" s="418" t="n">
        <v>-0.1325</v>
      </c>
      <c r="X82" s="418" t="n">
        <v>0.835</v>
      </c>
      <c r="Y82" s="418" t="n">
        <v>0.005</v>
      </c>
      <c r="Z82" s="418" t="n">
        <v>-0.19</v>
      </c>
      <c r="AA82" s="418" t="n">
        <v>-0.0225</v>
      </c>
      <c r="AB82" s="437" t="n">
        <v>0.12</v>
      </c>
      <c r="AC82" s="437" t="n">
        <v>0.6075</v>
      </c>
      <c r="AD82" s="437" t="n">
        <v>0.2825</v>
      </c>
      <c r="AE82" s="438" t="n">
        <v>0.228</v>
      </c>
      <c r="AF82" s="438" t="n">
        <v>0.228</v>
      </c>
      <c r="AG82" s="438" t="n">
        <v>0.25</v>
      </c>
      <c r="AH82" s="438" t="n">
        <v>0.228</v>
      </c>
      <c r="AI82" s="438" t="n">
        <v>0.232</v>
      </c>
      <c r="AJ82" s="438" t="n">
        <v>0.228</v>
      </c>
      <c r="AK82" s="438" t="n">
        <v>0.228</v>
      </c>
      <c r="AL82" s="438" t="n">
        <v>0.228</v>
      </c>
      <c r="AM82" s="438" t="n">
        <v>0.228</v>
      </c>
      <c r="AN82" s="438" t="n">
        <v>0.228</v>
      </c>
      <c r="AO82" s="438" t="n">
        <v>0.228</v>
      </c>
      <c r="AP82" s="439" t="n">
        <v>0.228</v>
      </c>
      <c r="AQ82" s="439" t="n">
        <v>0.228</v>
      </c>
      <c r="AR82" s="439" t="n">
        <v>0.228</v>
      </c>
      <c r="AS82" s="439" t="n">
        <v>0.228</v>
      </c>
      <c r="AT82" s="438" t="n">
        <v>0.228</v>
      </c>
      <c r="AU82" s="438" t="n">
        <v>0.228</v>
      </c>
      <c r="AV82" s="438" t="n">
        <v>0.25</v>
      </c>
      <c r="AW82" s="440" t="n">
        <v>0.069539395582214</v>
      </c>
      <c r="AX82" s="440"/>
      <c r="AY82" s="437" t="n">
        <f aca="false">AG82</f>
        <v>0.25</v>
      </c>
      <c r="AZ82" s="437" t="n">
        <f aca="false">AG82</f>
        <v>0.25</v>
      </c>
      <c r="BA82" s="441" t="n">
        <f aca="false">AG82</f>
        <v>0.25</v>
      </c>
      <c r="BB82" s="442" t="n">
        <f aca="false">B82</f>
        <v>38777</v>
      </c>
      <c r="BC82" s="437" t="n">
        <f aca="false">(1+$AW82/2)^(-2*($B82-$BC$11)/365.25)</f>
        <v>0.686351448973697</v>
      </c>
      <c r="BD82" s="437" t="n">
        <f aca="false">(1+$AW82/2)^(-2*($B82-$BD$11)/365.25)</f>
        <v>0.686479913994675</v>
      </c>
      <c r="BF82" s="442" t="n">
        <f aca="false">B82</f>
        <v>38777</v>
      </c>
      <c r="BG82" s="418" t="n">
        <v>70</v>
      </c>
      <c r="BI82" s="445" t="n">
        <f aca="false">$C82+X82</f>
        <v>3.842</v>
      </c>
      <c r="BJ82" s="446" t="n">
        <f aca="false">$C81+Y82</f>
        <v>3.173</v>
      </c>
    </row>
    <row r="83" customFormat="false" ht="12" hidden="false" customHeight="false" outlineLevel="0" collapsed="false">
      <c r="B83" s="419" t="n">
        <f aca="false">EOMONTH(B82,0)+1</f>
        <v>38808</v>
      </c>
      <c r="C83" s="420" t="n">
        <v>2.838</v>
      </c>
      <c r="D83" s="420" t="n">
        <v>0.2275</v>
      </c>
      <c r="E83" s="420" t="n">
        <v>0.069915911287303</v>
      </c>
      <c r="F83" s="420" t="n">
        <v>-0.195</v>
      </c>
      <c r="G83" s="420" t="n">
        <v>0.015</v>
      </c>
      <c r="H83" s="420" t="n">
        <v>-0.195</v>
      </c>
      <c r="I83" s="420" t="n">
        <v>0.0875</v>
      </c>
      <c r="J83" s="420" t="n">
        <v>0.195</v>
      </c>
      <c r="K83" s="420" t="n">
        <v>0.25</v>
      </c>
      <c r="L83" s="420" t="n">
        <v>-0.07</v>
      </c>
      <c r="M83" s="420" t="n">
        <v>-0.02</v>
      </c>
      <c r="N83" s="420" t="n">
        <v>-0.36</v>
      </c>
      <c r="O83" s="420" t="n">
        <v>-0.29</v>
      </c>
      <c r="P83" s="420" t="n">
        <v>0.0065</v>
      </c>
      <c r="Q83" s="420" t="n">
        <v>0.0005</v>
      </c>
      <c r="R83" s="418" t="n">
        <v>-0.0255</v>
      </c>
      <c r="S83" s="418" t="n">
        <v>-0.0575</v>
      </c>
      <c r="T83" s="418" t="n">
        <v>-0.13</v>
      </c>
      <c r="U83" s="418" t="n">
        <v>-0.01275</v>
      </c>
      <c r="V83" s="418" t="n">
        <v>-0.0985</v>
      </c>
      <c r="W83" s="418" t="n">
        <v>-0.12</v>
      </c>
      <c r="X83" s="418" t="n">
        <v>0.45</v>
      </c>
      <c r="Y83" s="418" t="n">
        <v>0.005</v>
      </c>
      <c r="Z83" s="418" t="n">
        <v>-0.195</v>
      </c>
      <c r="AA83" s="418" t="n">
        <v>-0.02</v>
      </c>
      <c r="AB83" s="437" t="n">
        <v>0.29</v>
      </c>
      <c r="AC83" s="437" t="n">
        <v>0.355</v>
      </c>
      <c r="AD83" s="437" t="n">
        <v>0.1825</v>
      </c>
      <c r="AE83" s="438" t="n">
        <v>0.228</v>
      </c>
      <c r="AF83" s="438" t="n">
        <v>0.228</v>
      </c>
      <c r="AG83" s="438" t="n">
        <v>0.223</v>
      </c>
      <c r="AH83" s="438" t="n">
        <v>0.228</v>
      </c>
      <c r="AI83" s="438" t="n">
        <v>0.232</v>
      </c>
      <c r="AJ83" s="438" t="n">
        <v>0.228</v>
      </c>
      <c r="AK83" s="438" t="n">
        <v>0.223</v>
      </c>
      <c r="AL83" s="438" t="n">
        <v>0.223</v>
      </c>
      <c r="AM83" s="438" t="n">
        <v>0.228</v>
      </c>
      <c r="AN83" s="438" t="n">
        <v>0.228</v>
      </c>
      <c r="AO83" s="438" t="n">
        <v>0.228</v>
      </c>
      <c r="AP83" s="439" t="n">
        <v>0.228</v>
      </c>
      <c r="AQ83" s="439" t="n">
        <v>0.228</v>
      </c>
      <c r="AR83" s="439" t="n">
        <v>0.228</v>
      </c>
      <c r="AS83" s="439" t="n">
        <v>0.228</v>
      </c>
      <c r="AT83" s="438" t="n">
        <v>0.228</v>
      </c>
      <c r="AU83" s="438" t="n">
        <v>0.228</v>
      </c>
      <c r="AV83" s="438" t="n">
        <v>0.223</v>
      </c>
      <c r="AW83" s="440" t="n">
        <v>0.069563611947649</v>
      </c>
      <c r="AX83" s="440"/>
      <c r="AY83" s="437" t="n">
        <f aca="false">AG83</f>
        <v>0.223</v>
      </c>
      <c r="AZ83" s="437" t="n">
        <f aca="false">AG83</f>
        <v>0.223</v>
      </c>
      <c r="BA83" s="441" t="n">
        <f aca="false">AG83</f>
        <v>0.223</v>
      </c>
      <c r="BB83" s="442" t="n">
        <f aca="false">B83</f>
        <v>38808</v>
      </c>
      <c r="BC83" s="437" t="n">
        <f aca="false">(1+$AW83/2)^(-2*($B83-$BC$11)/365.25)</f>
        <v>0.682291660733172</v>
      </c>
      <c r="BD83" s="437" t="n">
        <f aca="false">(1+$AW83/2)^(-2*($B83-$BD$11)/365.25)</f>
        <v>0.682419409604315</v>
      </c>
      <c r="BF83" s="442" t="n">
        <f aca="false">B83</f>
        <v>38808</v>
      </c>
      <c r="BG83" s="418" t="n">
        <v>71</v>
      </c>
      <c r="BI83" s="445" t="n">
        <f aca="false">$C83+X83</f>
        <v>3.288</v>
      </c>
      <c r="BJ83" s="446" t="n">
        <f aca="false">$C82+Y83</f>
        <v>3.012</v>
      </c>
    </row>
    <row r="84" customFormat="false" ht="12" hidden="false" customHeight="false" outlineLevel="0" collapsed="false">
      <c r="B84" s="419" t="n">
        <f aca="false">EOMONTH(B83,0)+1</f>
        <v>38838</v>
      </c>
      <c r="C84" s="420" t="n">
        <v>2.829</v>
      </c>
      <c r="D84" s="420" t="n">
        <v>0.2275</v>
      </c>
      <c r="E84" s="420" t="n">
        <v>0.069927044280907</v>
      </c>
      <c r="F84" s="420" t="n">
        <v>-0.195</v>
      </c>
      <c r="G84" s="420" t="n">
        <v>0.015</v>
      </c>
      <c r="H84" s="420" t="n">
        <v>-0.195</v>
      </c>
      <c r="I84" s="420" t="n">
        <v>0.0975</v>
      </c>
      <c r="J84" s="420" t="n">
        <v>0.1825</v>
      </c>
      <c r="K84" s="420" t="n">
        <v>0.2025</v>
      </c>
      <c r="L84" s="420" t="n">
        <v>-0.07</v>
      </c>
      <c r="M84" s="420" t="n">
        <v>-0.02</v>
      </c>
      <c r="N84" s="420" t="n">
        <v>-0.36</v>
      </c>
      <c r="O84" s="420" t="n">
        <v>-0.29</v>
      </c>
      <c r="P84" s="420" t="n">
        <v>0.0065</v>
      </c>
      <c r="Q84" s="420" t="n">
        <v>0.0005</v>
      </c>
      <c r="R84" s="418" t="n">
        <v>-0.0255</v>
      </c>
      <c r="S84" s="418" t="n">
        <v>-0.0575</v>
      </c>
      <c r="T84" s="418" t="n">
        <v>-0.145</v>
      </c>
      <c r="U84" s="418" t="n">
        <v>-0.01275</v>
      </c>
      <c r="V84" s="418" t="n">
        <v>-0.0985</v>
      </c>
      <c r="W84" s="418" t="n">
        <v>-0.12</v>
      </c>
      <c r="X84" s="418" t="n">
        <v>0.405</v>
      </c>
      <c r="Y84" s="418" t="n">
        <v>0.005</v>
      </c>
      <c r="Z84" s="418" t="n">
        <v>-0.195</v>
      </c>
      <c r="AA84" s="418" t="n">
        <v>-0.02</v>
      </c>
      <c r="AB84" s="437" t="n">
        <v>0.29</v>
      </c>
      <c r="AC84" s="437" t="n">
        <v>0.2875</v>
      </c>
      <c r="AD84" s="437" t="n">
        <v>0.1925</v>
      </c>
      <c r="AE84" s="438" t="n">
        <v>0.228</v>
      </c>
      <c r="AF84" s="438" t="n">
        <v>0.228</v>
      </c>
      <c r="AG84" s="438" t="n">
        <v>0.223</v>
      </c>
      <c r="AH84" s="438" t="n">
        <v>0.228</v>
      </c>
      <c r="AI84" s="438" t="n">
        <v>0.232</v>
      </c>
      <c r="AJ84" s="438" t="n">
        <v>0.228</v>
      </c>
      <c r="AK84" s="438" t="n">
        <v>0.223</v>
      </c>
      <c r="AL84" s="438" t="n">
        <v>0.223</v>
      </c>
      <c r="AM84" s="438" t="n">
        <v>0.228</v>
      </c>
      <c r="AN84" s="438" t="n">
        <v>0.228</v>
      </c>
      <c r="AO84" s="438" t="n">
        <v>0.228</v>
      </c>
      <c r="AP84" s="439" t="n">
        <v>0.228</v>
      </c>
      <c r="AQ84" s="439" t="n">
        <v>0.228</v>
      </c>
      <c r="AR84" s="439" t="n">
        <v>0.228</v>
      </c>
      <c r="AS84" s="439" t="n">
        <v>0.228</v>
      </c>
      <c r="AT84" s="438" t="n">
        <v>0.228</v>
      </c>
      <c r="AU84" s="438" t="n">
        <v>0.228</v>
      </c>
      <c r="AV84" s="438" t="n">
        <v>0.223</v>
      </c>
      <c r="AW84" s="440" t="n">
        <v>0.06958704714019</v>
      </c>
      <c r="AX84" s="440"/>
      <c r="AY84" s="437" t="n">
        <f aca="false">AG84</f>
        <v>0.223</v>
      </c>
      <c r="AZ84" s="437" t="n">
        <f aca="false">AG84</f>
        <v>0.223</v>
      </c>
      <c r="BA84" s="441" t="n">
        <f aca="false">AG84</f>
        <v>0.223</v>
      </c>
      <c r="BB84" s="442" t="n">
        <f aca="false">B84</f>
        <v>38838</v>
      </c>
      <c r="BC84" s="437" t="n">
        <f aca="false">(1+$AW84/2)^(-2*($B84-$BC$11)/365.25)</f>
        <v>0.67838313427466</v>
      </c>
      <c r="BD84" s="437" t="n">
        <f aca="false">(1+$AW84/2)^(-2*($B84-$BD$11)/365.25)</f>
        <v>0.678510193403953</v>
      </c>
      <c r="BF84" s="442" t="n">
        <f aca="false">B84</f>
        <v>38838</v>
      </c>
      <c r="BG84" s="418" t="n">
        <v>72</v>
      </c>
      <c r="BI84" s="445" t="n">
        <f aca="false">$C84+X84</f>
        <v>3.234</v>
      </c>
      <c r="BJ84" s="446" t="n">
        <f aca="false">$C83+Y84</f>
        <v>2.843</v>
      </c>
    </row>
    <row r="85" customFormat="false" ht="12" hidden="false" customHeight="false" outlineLevel="0" collapsed="false">
      <c r="B85" s="419" t="n">
        <f aca="false">EOMONTH(B84,0)+1</f>
        <v>38869</v>
      </c>
      <c r="C85" s="420" t="n">
        <v>2.852</v>
      </c>
      <c r="D85" s="420" t="n">
        <v>0.2275</v>
      </c>
      <c r="E85" s="420" t="n">
        <v>0.06993854837434</v>
      </c>
      <c r="F85" s="420" t="n">
        <v>-0.195</v>
      </c>
      <c r="G85" s="420" t="n">
        <v>0.02</v>
      </c>
      <c r="H85" s="420" t="n">
        <v>-0.195</v>
      </c>
      <c r="I85" s="420" t="n">
        <v>0.0925</v>
      </c>
      <c r="J85" s="420" t="n">
        <v>0.1825</v>
      </c>
      <c r="K85" s="420" t="n">
        <v>0.2025</v>
      </c>
      <c r="L85" s="420" t="n">
        <v>-0.086</v>
      </c>
      <c r="M85" s="420" t="n">
        <v>-0.02</v>
      </c>
      <c r="N85" s="420" t="n">
        <v>-0.36</v>
      </c>
      <c r="O85" s="420" t="n">
        <v>-0.29</v>
      </c>
      <c r="P85" s="420" t="n">
        <v>0.0065</v>
      </c>
      <c r="Q85" s="420" t="n">
        <v>0.0005</v>
      </c>
      <c r="R85" s="418" t="n">
        <v>-0.0255</v>
      </c>
      <c r="S85" s="418" t="n">
        <v>-0.0575</v>
      </c>
      <c r="T85" s="418" t="n">
        <v>-0.155</v>
      </c>
      <c r="U85" s="418" t="n">
        <v>-0.01275</v>
      </c>
      <c r="V85" s="418" t="n">
        <v>-0.0885</v>
      </c>
      <c r="W85" s="418" t="n">
        <v>-0.12</v>
      </c>
      <c r="X85" s="418" t="n">
        <v>0.395</v>
      </c>
      <c r="Y85" s="418" t="n">
        <v>0.005</v>
      </c>
      <c r="Z85" s="418" t="n">
        <v>-0.195</v>
      </c>
      <c r="AA85" s="418" t="n">
        <v>-0.02</v>
      </c>
      <c r="AB85" s="437" t="n">
        <v>0.29</v>
      </c>
      <c r="AC85" s="437" t="n">
        <v>0.2875</v>
      </c>
      <c r="AD85" s="437" t="n">
        <v>0.1875</v>
      </c>
      <c r="AE85" s="438" t="n">
        <v>0.228</v>
      </c>
      <c r="AF85" s="438" t="n">
        <v>0.228</v>
      </c>
      <c r="AG85" s="438" t="n">
        <v>0.223</v>
      </c>
      <c r="AH85" s="438" t="n">
        <v>0.228</v>
      </c>
      <c r="AI85" s="438" t="n">
        <v>0.232</v>
      </c>
      <c r="AJ85" s="438" t="n">
        <v>0.228</v>
      </c>
      <c r="AK85" s="438" t="n">
        <v>0.223</v>
      </c>
      <c r="AL85" s="438" t="n">
        <v>0.223</v>
      </c>
      <c r="AM85" s="438" t="n">
        <v>0.228</v>
      </c>
      <c r="AN85" s="438" t="n">
        <v>0.228</v>
      </c>
      <c r="AO85" s="438" t="n">
        <v>0.228</v>
      </c>
      <c r="AP85" s="439" t="n">
        <v>0.228</v>
      </c>
      <c r="AQ85" s="439" t="n">
        <v>0.228</v>
      </c>
      <c r="AR85" s="439" t="n">
        <v>0.228</v>
      </c>
      <c r="AS85" s="439" t="n">
        <v>0.228</v>
      </c>
      <c r="AT85" s="438" t="n">
        <v>0.228</v>
      </c>
      <c r="AU85" s="438" t="n">
        <v>0.228</v>
      </c>
      <c r="AV85" s="438" t="n">
        <v>0.223</v>
      </c>
      <c r="AW85" s="440" t="n">
        <v>0.069611263506007</v>
      </c>
      <c r="AX85" s="440"/>
      <c r="AY85" s="437" t="n">
        <f aca="false">AG85</f>
        <v>0.223</v>
      </c>
      <c r="AZ85" s="437" t="n">
        <f aca="false">AG85</f>
        <v>0.223</v>
      </c>
      <c r="BA85" s="441" t="n">
        <f aca="false">AG85</f>
        <v>0.223</v>
      </c>
      <c r="BB85" s="442" t="n">
        <f aca="false">B85</f>
        <v>38869</v>
      </c>
      <c r="BC85" s="437" t="n">
        <f aca="false">(1+$AW85/2)^(-2*($B85-$BC$11)/365.25)</f>
        <v>0.674365209507786</v>
      </c>
      <c r="BD85" s="437" t="n">
        <f aca="false">(1+$AW85/2)^(-2*($B85-$BD$11)/365.25)</f>
        <v>0.674491559307251</v>
      </c>
      <c r="BF85" s="442" t="n">
        <f aca="false">B85</f>
        <v>38869</v>
      </c>
      <c r="BG85" s="418" t="n">
        <v>73</v>
      </c>
      <c r="BI85" s="445" t="n">
        <f aca="false">$C85+X85</f>
        <v>3.247</v>
      </c>
      <c r="BJ85" s="446" t="n">
        <f aca="false">$C84+Y85</f>
        <v>2.834</v>
      </c>
    </row>
    <row r="86" customFormat="false" ht="12.75" hidden="false" customHeight="false" outlineLevel="0" collapsed="false">
      <c r="B86" s="419" t="n">
        <f aca="false">EOMONTH(B85,0)+1</f>
        <v>38899</v>
      </c>
      <c r="C86" s="420" t="n">
        <v>2.874</v>
      </c>
      <c r="D86" s="420" t="n">
        <v>0.2275</v>
      </c>
      <c r="E86" s="420" t="n">
        <v>0.069949681368027</v>
      </c>
      <c r="F86" s="420" t="n">
        <v>-0.195</v>
      </c>
      <c r="G86" s="420" t="n">
        <v>0.0225</v>
      </c>
      <c r="H86" s="420" t="n">
        <v>-0.195</v>
      </c>
      <c r="I86" s="420" t="n">
        <v>0.0825</v>
      </c>
      <c r="J86" s="420" t="n">
        <v>0.1825</v>
      </c>
      <c r="K86" s="420" t="n">
        <v>0.215</v>
      </c>
      <c r="L86" s="420" t="n">
        <v>-0.079</v>
      </c>
      <c r="M86" s="420" t="n">
        <v>-0.02</v>
      </c>
      <c r="N86" s="420" t="n">
        <v>-0.36</v>
      </c>
      <c r="O86" s="420" t="n">
        <v>-0.29</v>
      </c>
      <c r="P86" s="420" t="n">
        <v>0.0065</v>
      </c>
      <c r="Q86" s="420" t="n">
        <v>0.0005</v>
      </c>
      <c r="R86" s="418" t="n">
        <v>-0.0255</v>
      </c>
      <c r="S86" s="418" t="n">
        <v>-0.0575</v>
      </c>
      <c r="T86" s="418" t="n">
        <v>-0.155</v>
      </c>
      <c r="U86" s="418" t="n">
        <v>-0.01275</v>
      </c>
      <c r="V86" s="418" t="n">
        <v>-0.0835</v>
      </c>
      <c r="W86" s="418" t="n">
        <v>-0.12</v>
      </c>
      <c r="X86" s="418" t="n">
        <v>0.43</v>
      </c>
      <c r="Y86" s="418" t="n">
        <v>0.005</v>
      </c>
      <c r="Z86" s="418" t="n">
        <v>-0.195</v>
      </c>
      <c r="AA86" s="418" t="n">
        <v>-0.02</v>
      </c>
      <c r="AB86" s="437" t="n">
        <v>0.29</v>
      </c>
      <c r="AC86" s="437" t="n">
        <v>0.3</v>
      </c>
      <c r="AD86" s="437" t="n">
        <v>0.1775</v>
      </c>
      <c r="AE86" s="438" t="n">
        <v>0.228</v>
      </c>
      <c r="AF86" s="438" t="n">
        <v>0.228</v>
      </c>
      <c r="AG86" s="438" t="n">
        <v>0.223</v>
      </c>
      <c r="AH86" s="438" t="n">
        <v>0.228</v>
      </c>
      <c r="AI86" s="438" t="n">
        <v>0.232</v>
      </c>
      <c r="AJ86" s="438" t="n">
        <v>0.228</v>
      </c>
      <c r="AK86" s="438" t="n">
        <v>0.223</v>
      </c>
      <c r="AL86" s="438" t="n">
        <v>0.223</v>
      </c>
      <c r="AM86" s="438" t="n">
        <v>0.228</v>
      </c>
      <c r="AN86" s="438" t="n">
        <v>0.228</v>
      </c>
      <c r="AO86" s="438" t="n">
        <v>0.228</v>
      </c>
      <c r="AP86" s="439" t="n">
        <v>0.228</v>
      </c>
      <c r="AQ86" s="439" t="n">
        <v>0.228</v>
      </c>
      <c r="AR86" s="439" t="n">
        <v>0.228</v>
      </c>
      <c r="AS86" s="439" t="n">
        <v>0.228</v>
      </c>
      <c r="AT86" s="438" t="n">
        <v>0.228</v>
      </c>
      <c r="AU86" s="438" t="n">
        <v>0.228</v>
      </c>
      <c r="AV86" s="438" t="n">
        <v>0.223</v>
      </c>
      <c r="AW86" s="418" t="n">
        <v>0.069634698698918</v>
      </c>
      <c r="AY86" s="437" t="n">
        <f aca="false">AG86</f>
        <v>0.223</v>
      </c>
      <c r="AZ86" s="437" t="n">
        <f aca="false">AG86</f>
        <v>0.223</v>
      </c>
      <c r="BA86" s="441" t="n">
        <f aca="false">AG86</f>
        <v>0.223</v>
      </c>
      <c r="BB86" s="442" t="n">
        <f aca="false">B86</f>
        <v>38899</v>
      </c>
      <c r="BC86" s="437" t="n">
        <f aca="false">(1+$AW86/2)^(-2*($B86-$BC$11)/365.25)</f>
        <v>0.67049701992562</v>
      </c>
      <c r="BD86" s="437" t="n">
        <f aca="false">(1+$AW86/2)^(-2*($B86-$BD$11)/365.25)</f>
        <v>0.67062268655791</v>
      </c>
      <c r="BF86" s="442" t="n">
        <f aca="false">B86</f>
        <v>38899</v>
      </c>
      <c r="BG86" s="418" t="n">
        <v>74</v>
      </c>
      <c r="BI86" s="451" t="n">
        <f aca="false">$C86+X86</f>
        <v>3.304</v>
      </c>
      <c r="BJ86" s="446" t="n">
        <f aca="false">$C85+Y86</f>
        <v>2.857</v>
      </c>
    </row>
    <row r="87" customFormat="false" ht="12" hidden="false" customHeight="false" outlineLevel="0" collapsed="false">
      <c r="B87" s="419" t="n">
        <f aca="false">EOMONTH(B86,0)+1</f>
        <v>38930</v>
      </c>
      <c r="C87" s="420" t="n">
        <v>2.895</v>
      </c>
      <c r="D87" s="420" t="n">
        <v>0.2275</v>
      </c>
      <c r="E87" s="420" t="n">
        <v>0.069961185461547</v>
      </c>
      <c r="F87" s="420" t="n">
        <v>-0.195</v>
      </c>
      <c r="G87" s="420" t="n">
        <v>0.025</v>
      </c>
      <c r="H87" s="420" t="n">
        <v>-0.195</v>
      </c>
      <c r="I87" s="420" t="n">
        <v>0.08</v>
      </c>
      <c r="J87" s="420" t="n">
        <v>0.1825</v>
      </c>
      <c r="K87" s="420" t="n">
        <v>0.215</v>
      </c>
      <c r="L87" s="420" t="n">
        <v>-0.07</v>
      </c>
      <c r="M87" s="420" t="n">
        <v>-0.02</v>
      </c>
      <c r="N87" s="420" t="n">
        <v>-0.36</v>
      </c>
      <c r="O87" s="420" t="n">
        <v>-0.29</v>
      </c>
      <c r="P87" s="420" t="n">
        <v>0.0065</v>
      </c>
      <c r="Q87" s="420" t="n">
        <v>0.0005</v>
      </c>
      <c r="R87" s="418" t="n">
        <v>-0.0255</v>
      </c>
      <c r="S87" s="418" t="n">
        <v>-0.0575</v>
      </c>
      <c r="T87" s="418" t="n">
        <v>-0.155</v>
      </c>
      <c r="U87" s="418" t="n">
        <v>-0.01275</v>
      </c>
      <c r="V87" s="418" t="n">
        <v>-0.0835</v>
      </c>
      <c r="W87" s="418" t="n">
        <v>-0.12</v>
      </c>
      <c r="X87" s="418" t="n">
        <v>0.495</v>
      </c>
      <c r="Y87" s="418" t="n">
        <v>0.005</v>
      </c>
      <c r="Z87" s="418" t="n">
        <v>-0.195</v>
      </c>
      <c r="AA87" s="418" t="n">
        <v>-0.02</v>
      </c>
      <c r="AB87" s="437" t="n">
        <v>0.29</v>
      </c>
      <c r="AC87" s="437" t="n">
        <v>0.3</v>
      </c>
      <c r="AD87" s="437" t="n">
        <v>0.175</v>
      </c>
      <c r="AE87" s="438" t="n">
        <v>0.228</v>
      </c>
      <c r="AF87" s="438" t="n">
        <v>0.228</v>
      </c>
      <c r="AG87" s="438" t="n">
        <v>0.223</v>
      </c>
      <c r="AH87" s="438" t="n">
        <v>0.228</v>
      </c>
      <c r="AI87" s="438" t="n">
        <v>0.232</v>
      </c>
      <c r="AJ87" s="438" t="n">
        <v>0.228</v>
      </c>
      <c r="AK87" s="438" t="n">
        <v>0.223</v>
      </c>
      <c r="AL87" s="438" t="n">
        <v>0.223</v>
      </c>
      <c r="AM87" s="438" t="n">
        <v>0.228</v>
      </c>
      <c r="AN87" s="438" t="n">
        <v>0.228</v>
      </c>
      <c r="AO87" s="438" t="n">
        <v>0.228</v>
      </c>
      <c r="AP87" s="439" t="n">
        <v>0.228</v>
      </c>
      <c r="AQ87" s="439" t="n">
        <v>0.228</v>
      </c>
      <c r="AR87" s="439" t="n">
        <v>0.228</v>
      </c>
      <c r="AS87" s="439" t="n">
        <v>0.228</v>
      </c>
      <c r="AT87" s="438" t="n">
        <v>0.228</v>
      </c>
      <c r="AU87" s="438" t="n">
        <v>0.228</v>
      </c>
      <c r="AV87" s="438" t="n">
        <v>0.223</v>
      </c>
      <c r="AW87" s="418" t="n">
        <v>0.069658915065116</v>
      </c>
      <c r="AY87" s="437" t="n">
        <f aca="false">AG87</f>
        <v>0.223</v>
      </c>
      <c r="AZ87" s="437" t="n">
        <f aca="false">AG87</f>
        <v>0.223</v>
      </c>
      <c r="BA87" s="441" t="n">
        <f aca="false">AG87</f>
        <v>0.223</v>
      </c>
      <c r="BB87" s="442" t="n">
        <f aca="false">B87</f>
        <v>38930</v>
      </c>
      <c r="BC87" s="437" t="n">
        <f aca="false">(1+$AW87/2)^(-2*($B87-$BC$11)/365.25)</f>
        <v>0.666520595146024</v>
      </c>
      <c r="BD87" s="437" t="n">
        <f aca="false">(1+$AW87/2)^(-2*($B87-$BD$11)/365.25)</f>
        <v>0.666645559216203</v>
      </c>
      <c r="BF87" s="442" t="n">
        <f aca="false">B87</f>
        <v>38930</v>
      </c>
      <c r="BG87" s="418" t="n">
        <v>75</v>
      </c>
    </row>
    <row r="88" customFormat="false" ht="12" hidden="false" customHeight="false" outlineLevel="0" collapsed="false">
      <c r="B88" s="419" t="n">
        <f aca="false">EOMONTH(B87,0)+1</f>
        <v>38961</v>
      </c>
      <c r="C88" s="420" t="n">
        <v>2.875</v>
      </c>
      <c r="D88" s="420" t="n">
        <v>0.2275</v>
      </c>
      <c r="E88" s="420" t="n">
        <v>0.069972689555111</v>
      </c>
      <c r="F88" s="420" t="n">
        <v>-0.195</v>
      </c>
      <c r="G88" s="420" t="n">
        <v>0.0175</v>
      </c>
      <c r="H88" s="420" t="n">
        <v>-0.195</v>
      </c>
      <c r="I88" s="420" t="n">
        <v>0.0775</v>
      </c>
      <c r="J88" s="420" t="n">
        <v>0.1825</v>
      </c>
      <c r="K88" s="420" t="n">
        <v>0.195</v>
      </c>
      <c r="L88" s="420" t="n">
        <v>-0.05</v>
      </c>
      <c r="M88" s="420" t="n">
        <v>-0.02</v>
      </c>
      <c r="N88" s="420" t="n">
        <v>-0.36</v>
      </c>
      <c r="O88" s="420" t="n">
        <v>-0.29</v>
      </c>
      <c r="P88" s="420" t="n">
        <v>0.0065</v>
      </c>
      <c r="Q88" s="420" t="n">
        <v>0.0005</v>
      </c>
      <c r="R88" s="418" t="n">
        <v>-0.0255</v>
      </c>
      <c r="S88" s="418" t="n">
        <v>-0.0575</v>
      </c>
      <c r="T88" s="418" t="n">
        <v>-0.145</v>
      </c>
      <c r="U88" s="418" t="n">
        <v>-0.01275</v>
      </c>
      <c r="V88" s="418" t="n">
        <v>-0.0985</v>
      </c>
      <c r="W88" s="418" t="n">
        <v>-0.12</v>
      </c>
      <c r="X88" s="418" t="n">
        <v>0.395</v>
      </c>
      <c r="Y88" s="418" t="n">
        <v>0.005</v>
      </c>
      <c r="Z88" s="418" t="n">
        <v>-0.195</v>
      </c>
      <c r="AA88" s="418" t="n">
        <v>-0.02</v>
      </c>
      <c r="AB88" s="437" t="n">
        <v>0.29</v>
      </c>
      <c r="AC88" s="437" t="n">
        <v>0.29</v>
      </c>
      <c r="AD88" s="437" t="n">
        <v>0.1725</v>
      </c>
      <c r="AE88" s="438" t="n">
        <v>0.228</v>
      </c>
      <c r="AF88" s="438" t="n">
        <v>0.228</v>
      </c>
      <c r="AG88" s="438" t="n">
        <v>0.223</v>
      </c>
      <c r="AH88" s="438" t="n">
        <v>0.228</v>
      </c>
      <c r="AI88" s="438" t="n">
        <v>0.232</v>
      </c>
      <c r="AJ88" s="438" t="n">
        <v>0.228</v>
      </c>
      <c r="AK88" s="438" t="n">
        <v>0.223</v>
      </c>
      <c r="AL88" s="438" t="n">
        <v>0.223</v>
      </c>
      <c r="AM88" s="438" t="n">
        <v>0.228</v>
      </c>
      <c r="AN88" s="438" t="n">
        <v>0.228</v>
      </c>
      <c r="AO88" s="438" t="n">
        <v>0.228</v>
      </c>
      <c r="AP88" s="439" t="n">
        <v>0.228</v>
      </c>
      <c r="AQ88" s="439" t="n">
        <v>0.228</v>
      </c>
      <c r="AR88" s="439" t="n">
        <v>0.228</v>
      </c>
      <c r="AS88" s="439" t="n">
        <v>0.228</v>
      </c>
      <c r="AT88" s="438" t="n">
        <v>0.228</v>
      </c>
      <c r="AU88" s="438" t="n">
        <v>0.228</v>
      </c>
      <c r="AV88" s="438" t="n">
        <v>0.223</v>
      </c>
      <c r="AW88" s="418" t="n">
        <v>0.069683131431508</v>
      </c>
      <c r="AY88" s="437" t="n">
        <f aca="false">AG88</f>
        <v>0.223</v>
      </c>
      <c r="AZ88" s="437" t="n">
        <f aca="false">AG88</f>
        <v>0.223</v>
      </c>
      <c r="BA88" s="441" t="n">
        <f aca="false">AG88</f>
        <v>0.223</v>
      </c>
      <c r="BB88" s="442" t="n">
        <f aca="false">B88</f>
        <v>38961</v>
      </c>
      <c r="BC88" s="437" t="n">
        <f aca="false">(1+$AW88/2)^(-2*($B88-$BC$11)/365.25)</f>
        <v>0.662565121967634</v>
      </c>
      <c r="BD88" s="437" t="n">
        <f aca="false">(1+$AW88/2)^(-2*($B88-$BD$11)/365.25)</f>
        <v>0.662689386895076</v>
      </c>
      <c r="BF88" s="442" t="n">
        <f aca="false">B88</f>
        <v>38961</v>
      </c>
      <c r="BG88" s="418" t="n">
        <v>76</v>
      </c>
    </row>
    <row r="89" customFormat="false" ht="12" hidden="false" customHeight="false" outlineLevel="0" collapsed="false">
      <c r="B89" s="419" t="n">
        <f aca="false">EOMONTH(B88,0)+1</f>
        <v>38991</v>
      </c>
      <c r="C89" s="420" t="n">
        <v>2.887</v>
      </c>
      <c r="D89" s="420" t="n">
        <v>0.2275</v>
      </c>
      <c r="E89" s="420" t="n">
        <v>0.069983822548923</v>
      </c>
      <c r="F89" s="420" t="n">
        <v>-0.195</v>
      </c>
      <c r="G89" s="420" t="n">
        <v>0.0075</v>
      </c>
      <c r="H89" s="420" t="n">
        <v>-0.195</v>
      </c>
      <c r="I89" s="420" t="n">
        <v>0.0925</v>
      </c>
      <c r="J89" s="420" t="n">
        <v>0.1875</v>
      </c>
      <c r="K89" s="420" t="n">
        <v>0.215</v>
      </c>
      <c r="L89" s="420" t="n">
        <v>-0.06</v>
      </c>
      <c r="M89" s="420" t="n">
        <v>-0.02</v>
      </c>
      <c r="N89" s="420" t="n">
        <v>-0.36</v>
      </c>
      <c r="O89" s="420" t="n">
        <v>-0.29</v>
      </c>
      <c r="P89" s="420" t="n">
        <v>0.0065</v>
      </c>
      <c r="Q89" s="420" t="n">
        <v>0.0005</v>
      </c>
      <c r="R89" s="418" t="n">
        <v>-0.0255</v>
      </c>
      <c r="S89" s="418" t="n">
        <v>-0.0575</v>
      </c>
      <c r="T89" s="418" t="n">
        <v>-0.13</v>
      </c>
      <c r="U89" s="418" t="n">
        <v>-0.031</v>
      </c>
      <c r="V89" s="418" t="n">
        <v>-0.101</v>
      </c>
      <c r="W89" s="418" t="n">
        <v>-0.12</v>
      </c>
      <c r="X89" s="418" t="n">
        <v>0.461</v>
      </c>
      <c r="Y89" s="418" t="n">
        <v>0.005</v>
      </c>
      <c r="Z89" s="418" t="n">
        <v>-0.195</v>
      </c>
      <c r="AA89" s="418" t="n">
        <v>-0.02</v>
      </c>
      <c r="AB89" s="437" t="n">
        <v>0.29</v>
      </c>
      <c r="AC89" s="437" t="n">
        <v>0.3625</v>
      </c>
      <c r="AD89" s="437" t="n">
        <v>0.1875</v>
      </c>
      <c r="AE89" s="438" t="n">
        <v>0.228</v>
      </c>
      <c r="AF89" s="438" t="n">
        <v>0.228</v>
      </c>
      <c r="AG89" s="438" t="n">
        <v>0.223</v>
      </c>
      <c r="AH89" s="438" t="n">
        <v>0.228</v>
      </c>
      <c r="AI89" s="438" t="n">
        <v>0.232</v>
      </c>
      <c r="AJ89" s="438" t="n">
        <v>0.228</v>
      </c>
      <c r="AK89" s="438" t="n">
        <v>0.223</v>
      </c>
      <c r="AL89" s="438" t="n">
        <v>0.223</v>
      </c>
      <c r="AM89" s="438" t="n">
        <v>0.228</v>
      </c>
      <c r="AN89" s="438" t="n">
        <v>0.228</v>
      </c>
      <c r="AO89" s="438" t="n">
        <v>0.228</v>
      </c>
      <c r="AP89" s="439" t="n">
        <v>0.228</v>
      </c>
      <c r="AQ89" s="439" t="n">
        <v>0.228</v>
      </c>
      <c r="AR89" s="439" t="n">
        <v>0.228</v>
      </c>
      <c r="AS89" s="439" t="n">
        <v>0.228</v>
      </c>
      <c r="AT89" s="438" t="n">
        <v>0.228</v>
      </c>
      <c r="AU89" s="438" t="n">
        <v>0.228</v>
      </c>
      <c r="AV89" s="438" t="n">
        <v>0.223</v>
      </c>
      <c r="AW89" s="418" t="n">
        <v>0.069706566624976</v>
      </c>
      <c r="AY89" s="437" t="n">
        <f aca="false">AG89</f>
        <v>0.223</v>
      </c>
      <c r="AZ89" s="437" t="n">
        <f aca="false">AG89</f>
        <v>0.223</v>
      </c>
      <c r="BA89" s="441" t="n">
        <f aca="false">AG89</f>
        <v>0.223</v>
      </c>
      <c r="BB89" s="442" t="n">
        <f aca="false">B89</f>
        <v>38991</v>
      </c>
      <c r="BC89" s="437" t="n">
        <f aca="false">(1+$AW89/2)^(-2*($B89-$BC$11)/365.25)</f>
        <v>0.658757105839989</v>
      </c>
      <c r="BD89" s="437" t="n">
        <f aca="false">(1+$AW89/2)^(-2*($B89-$BD$11)/365.25)</f>
        <v>0.658880697420757</v>
      </c>
      <c r="BF89" s="442" t="n">
        <f aca="false">B89</f>
        <v>38991</v>
      </c>
      <c r="BG89" s="418" t="n">
        <v>77</v>
      </c>
    </row>
    <row r="90" customFormat="false" ht="12" hidden="false" customHeight="false" outlineLevel="0" collapsed="false">
      <c r="B90" s="419" t="n">
        <f aca="false">EOMONTH(B89,0)+1</f>
        <v>39022</v>
      </c>
      <c r="C90" s="420" t="n">
        <v>2.964</v>
      </c>
      <c r="D90" s="420" t="n">
        <v>0.23</v>
      </c>
      <c r="E90" s="420" t="n">
        <v>0.069995326642573</v>
      </c>
      <c r="F90" s="420" t="n">
        <v>-0.19</v>
      </c>
      <c r="G90" s="420" t="n">
        <v>-0.0325</v>
      </c>
      <c r="H90" s="420" t="n">
        <v>-0.19</v>
      </c>
      <c r="I90" s="420" t="n">
        <v>0.135</v>
      </c>
      <c r="J90" s="420" t="n">
        <v>0.27</v>
      </c>
      <c r="K90" s="420" t="n">
        <v>0.2875</v>
      </c>
      <c r="L90" s="420" t="n">
        <v>-0.075</v>
      </c>
      <c r="M90" s="420" t="n">
        <v>-0.0125</v>
      </c>
      <c r="N90" s="420" t="n">
        <v>-0.28</v>
      </c>
      <c r="O90" s="420" t="n">
        <v>0</v>
      </c>
      <c r="P90" s="420" t="n">
        <v>0.014</v>
      </c>
      <c r="Q90" s="420" t="n">
        <v>-0.0075</v>
      </c>
      <c r="R90" s="418" t="n">
        <v>-0.0285</v>
      </c>
      <c r="S90" s="418" t="n">
        <v>-0.0575</v>
      </c>
      <c r="T90" s="418" t="n">
        <v>-0.0925</v>
      </c>
      <c r="U90" s="418" t="n">
        <v>-0.03</v>
      </c>
      <c r="V90" s="418" t="n">
        <v>-0.0985</v>
      </c>
      <c r="W90" s="418" t="n">
        <v>-0.1325</v>
      </c>
      <c r="X90" s="418" t="n">
        <v>0.7675</v>
      </c>
      <c r="Y90" s="418" t="n">
        <v>0.005</v>
      </c>
      <c r="Z90" s="418" t="n">
        <v>-0.19</v>
      </c>
      <c r="AA90" s="418" t="n">
        <v>-0.0215</v>
      </c>
      <c r="AB90" s="437" t="n">
        <v>0.12</v>
      </c>
      <c r="AC90" s="437" t="n">
        <v>0.465</v>
      </c>
      <c r="AD90" s="437" t="n">
        <v>0.23</v>
      </c>
      <c r="AE90" s="438" t="n">
        <v>0.23</v>
      </c>
      <c r="AF90" s="438" t="n">
        <v>0.23</v>
      </c>
      <c r="AG90" s="438" t="n">
        <v>0.253</v>
      </c>
      <c r="AH90" s="438" t="n">
        <v>0.23</v>
      </c>
      <c r="AI90" s="438" t="n">
        <v>0.235</v>
      </c>
      <c r="AJ90" s="438" t="n">
        <v>0.23</v>
      </c>
      <c r="AK90" s="438" t="n">
        <v>0.23</v>
      </c>
      <c r="AL90" s="438" t="n">
        <v>0.23</v>
      </c>
      <c r="AM90" s="438" t="n">
        <v>0.23</v>
      </c>
      <c r="AN90" s="438" t="n">
        <v>0.23</v>
      </c>
      <c r="AO90" s="438" t="n">
        <v>0.23</v>
      </c>
      <c r="AP90" s="439" t="n">
        <v>0.23</v>
      </c>
      <c r="AQ90" s="439" t="n">
        <v>0.23</v>
      </c>
      <c r="AR90" s="439" t="n">
        <v>0.23</v>
      </c>
      <c r="AS90" s="439" t="n">
        <v>0.23</v>
      </c>
      <c r="AT90" s="438" t="n">
        <v>0.23</v>
      </c>
      <c r="AU90" s="438" t="n">
        <v>0.23</v>
      </c>
      <c r="AV90" s="438" t="n">
        <v>0.253</v>
      </c>
      <c r="AW90" s="418" t="n">
        <v>0.06973078299175</v>
      </c>
      <c r="AY90" s="437" t="n">
        <f aca="false">AG90</f>
        <v>0.253</v>
      </c>
      <c r="AZ90" s="437" t="n">
        <f aca="false">AG90</f>
        <v>0.253</v>
      </c>
      <c r="BA90" s="441" t="n">
        <f aca="false">AG90</f>
        <v>0.253</v>
      </c>
      <c r="BB90" s="442" t="n">
        <f aca="false">B90</f>
        <v>39022</v>
      </c>
      <c r="BC90" s="437" t="n">
        <f aca="false">(1+$AW90/2)^(-2*($B90-$BC$11)/365.25)</f>
        <v>0.654842588821829</v>
      </c>
      <c r="BD90" s="437" t="n">
        <f aca="false">(1+$AW90/2)^(-2*($B90-$BD$11)/365.25)</f>
        <v>0.654965487949191</v>
      </c>
      <c r="BF90" s="442" t="n">
        <f aca="false">B90</f>
        <v>39022</v>
      </c>
      <c r="BG90" s="418" t="n">
        <v>78</v>
      </c>
    </row>
    <row r="91" customFormat="false" ht="12" hidden="false" customHeight="false" outlineLevel="0" collapsed="false">
      <c r="B91" s="419" t="n">
        <f aca="false">EOMONTH(B90,0)+1</f>
        <v>39052</v>
      </c>
      <c r="C91" s="420" t="n">
        <v>3.041</v>
      </c>
      <c r="D91" s="420" t="n">
        <v>0.24</v>
      </c>
      <c r="E91" s="420" t="n">
        <v>0.070006459636469</v>
      </c>
      <c r="F91" s="420" t="n">
        <v>-0.1975</v>
      </c>
      <c r="G91" s="420" t="n">
        <v>-0.055</v>
      </c>
      <c r="H91" s="420" t="n">
        <v>-0.1975</v>
      </c>
      <c r="I91" s="420" t="n">
        <v>0.175</v>
      </c>
      <c r="J91" s="420" t="n">
        <v>0.305</v>
      </c>
      <c r="K91" s="420" t="n">
        <v>0.3375</v>
      </c>
      <c r="L91" s="420" t="n">
        <v>-0.075</v>
      </c>
      <c r="M91" s="420" t="n">
        <v>-0.0125</v>
      </c>
      <c r="N91" s="420" t="n">
        <v>-0.28</v>
      </c>
      <c r="O91" s="420" t="n">
        <v>0.06</v>
      </c>
      <c r="P91" s="420" t="n">
        <v>0.014</v>
      </c>
      <c r="Q91" s="420" t="n">
        <v>-0.0075</v>
      </c>
      <c r="R91" s="418" t="n">
        <v>-0.0285</v>
      </c>
      <c r="S91" s="418" t="n">
        <v>-0.0575</v>
      </c>
      <c r="T91" s="418" t="n">
        <v>-0.085</v>
      </c>
      <c r="U91" s="418" t="n">
        <v>-0.03</v>
      </c>
      <c r="V91" s="418" t="n">
        <v>-0.1335</v>
      </c>
      <c r="W91" s="418" t="n">
        <v>-0.1275</v>
      </c>
      <c r="X91" s="418" t="n">
        <v>1.19</v>
      </c>
      <c r="Y91" s="418" t="n">
        <v>0.005</v>
      </c>
      <c r="Z91" s="418" t="n">
        <v>-0.19</v>
      </c>
      <c r="AA91" s="418" t="n">
        <v>-0.0215</v>
      </c>
      <c r="AB91" s="437" t="n">
        <v>0.12</v>
      </c>
      <c r="AC91" s="437" t="n">
        <v>0.8</v>
      </c>
      <c r="AD91" s="437" t="n">
        <v>0.27</v>
      </c>
      <c r="AE91" s="438" t="n">
        <v>0.24</v>
      </c>
      <c r="AF91" s="438" t="n">
        <v>0.24</v>
      </c>
      <c r="AG91" s="438" t="n">
        <v>0.264</v>
      </c>
      <c r="AH91" s="438" t="n">
        <v>0.24</v>
      </c>
      <c r="AI91" s="438" t="n">
        <v>0.245</v>
      </c>
      <c r="AJ91" s="438" t="n">
        <v>0.24</v>
      </c>
      <c r="AK91" s="438" t="n">
        <v>0.24</v>
      </c>
      <c r="AL91" s="438" t="n">
        <v>0.24</v>
      </c>
      <c r="AM91" s="438" t="n">
        <v>0.24</v>
      </c>
      <c r="AN91" s="438" t="n">
        <v>0.24</v>
      </c>
      <c r="AO91" s="438" t="n">
        <v>0.24</v>
      </c>
      <c r="AP91" s="439" t="n">
        <v>0.24</v>
      </c>
      <c r="AQ91" s="439" t="n">
        <v>0.24</v>
      </c>
      <c r="AR91" s="439" t="n">
        <v>0.24</v>
      </c>
      <c r="AS91" s="439" t="n">
        <v>0.24</v>
      </c>
      <c r="AT91" s="438" t="n">
        <v>0.24</v>
      </c>
      <c r="AU91" s="438" t="n">
        <v>0.24</v>
      </c>
      <c r="AV91" s="438" t="n">
        <v>0.264</v>
      </c>
      <c r="AW91" s="418" t="n">
        <v>0.069754218185586</v>
      </c>
      <c r="AY91" s="437" t="n">
        <f aca="false">AG91</f>
        <v>0.264</v>
      </c>
      <c r="AZ91" s="437" t="n">
        <f aca="false">AG91</f>
        <v>0.264</v>
      </c>
      <c r="BA91" s="441" t="n">
        <f aca="false">AG91</f>
        <v>0.264</v>
      </c>
      <c r="BB91" s="442" t="n">
        <f aca="false">B91</f>
        <v>39052</v>
      </c>
      <c r="BC91" s="437" t="n">
        <f aca="false">(1+$AW91/2)^(-2*($B91-$BC$11)/365.25)</f>
        <v>0.651074034335041</v>
      </c>
      <c r="BD91" s="437" t="n">
        <f aca="false">(1+$AW91/2)^(-2*($B91-$BD$11)/365.25)</f>
        <v>0.651196266564247</v>
      </c>
      <c r="BF91" s="442" t="n">
        <f aca="false">B91</f>
        <v>39052</v>
      </c>
      <c r="BG91" s="418" t="n">
        <v>79</v>
      </c>
    </row>
    <row r="92" customFormat="false" ht="12" hidden="false" customHeight="false" outlineLevel="0" collapsed="false">
      <c r="B92" s="419" t="n">
        <f aca="false">EOMONTH(B91,0)+1</f>
        <v>39083</v>
      </c>
      <c r="C92" s="420" t="n">
        <v>3.305</v>
      </c>
      <c r="D92" s="420" t="n">
        <v>0.245</v>
      </c>
      <c r="E92" s="420" t="n">
        <v>0.070017963730204</v>
      </c>
      <c r="F92" s="420" t="n">
        <v>-0.2</v>
      </c>
      <c r="G92" s="420" t="n">
        <v>-0.0575</v>
      </c>
      <c r="H92" s="420" t="n">
        <v>-0.2</v>
      </c>
      <c r="I92" s="420" t="n">
        <v>0.22</v>
      </c>
      <c r="J92" s="420" t="n">
        <v>0.305</v>
      </c>
      <c r="K92" s="420" t="n">
        <v>0.4375</v>
      </c>
      <c r="L92" s="420" t="n">
        <v>-0.075</v>
      </c>
      <c r="M92" s="420" t="n">
        <v>-0.0105</v>
      </c>
      <c r="N92" s="420" t="n">
        <v>-0.28</v>
      </c>
      <c r="O92" s="420" t="n">
        <v>0.13</v>
      </c>
      <c r="P92" s="420" t="n">
        <v>0.014</v>
      </c>
      <c r="Q92" s="420" t="n">
        <v>-0.0075</v>
      </c>
      <c r="R92" s="418" t="n">
        <v>-0.024</v>
      </c>
      <c r="S92" s="418" t="n">
        <v>-0.0575</v>
      </c>
      <c r="T92" s="418" t="n">
        <v>-0.07</v>
      </c>
      <c r="U92" s="418" t="n">
        <v>-0.03</v>
      </c>
      <c r="V92" s="418" t="n">
        <v>-0.139</v>
      </c>
      <c r="W92" s="418" t="n">
        <v>-0.1275</v>
      </c>
      <c r="X92" s="418" t="n">
        <v>1.525</v>
      </c>
      <c r="Y92" s="418" t="n">
        <v>0.005</v>
      </c>
      <c r="Z92" s="418" t="n">
        <v>-0.19</v>
      </c>
      <c r="AA92" s="418" t="n">
        <v>-0.0215</v>
      </c>
      <c r="AB92" s="437" t="n">
        <v>0.12</v>
      </c>
      <c r="AC92" s="437" t="n">
        <v>0.975</v>
      </c>
      <c r="AD92" s="437" t="n">
        <v>0.315</v>
      </c>
      <c r="AE92" s="438" t="n">
        <v>0.245</v>
      </c>
      <c r="AF92" s="438" t="n">
        <v>0.245</v>
      </c>
      <c r="AG92" s="438" t="n">
        <v>0.27</v>
      </c>
      <c r="AH92" s="438" t="n">
        <v>0.245</v>
      </c>
      <c r="AI92" s="438" t="n">
        <v>0.25</v>
      </c>
      <c r="AJ92" s="438" t="n">
        <v>0.245</v>
      </c>
      <c r="AK92" s="438" t="n">
        <v>0.245</v>
      </c>
      <c r="AL92" s="438" t="n">
        <v>0.245</v>
      </c>
      <c r="AM92" s="438" t="n">
        <v>0.245</v>
      </c>
      <c r="AN92" s="438" t="n">
        <v>0.245</v>
      </c>
      <c r="AO92" s="438" t="n">
        <v>0.245</v>
      </c>
      <c r="AP92" s="439" t="n">
        <v>0.245</v>
      </c>
      <c r="AQ92" s="439" t="n">
        <v>0.245</v>
      </c>
      <c r="AR92" s="439" t="n">
        <v>0.245</v>
      </c>
      <c r="AS92" s="439" t="n">
        <v>0.245</v>
      </c>
      <c r="AT92" s="438" t="n">
        <v>0.245</v>
      </c>
      <c r="AU92" s="438" t="n">
        <v>0.245</v>
      </c>
      <c r="AV92" s="438" t="n">
        <v>0.27</v>
      </c>
      <c r="AW92" s="418" t="n">
        <v>0.069778434552742</v>
      </c>
      <c r="AY92" s="437" t="n">
        <f aca="false">AG92</f>
        <v>0.27</v>
      </c>
      <c r="AZ92" s="437" t="n">
        <f aca="false">AG92</f>
        <v>0.27</v>
      </c>
      <c r="BA92" s="441" t="n">
        <f aca="false">AG92</f>
        <v>0.27</v>
      </c>
      <c r="BB92" s="442" t="n">
        <f aca="false">B92</f>
        <v>39083</v>
      </c>
      <c r="BC92" s="437" t="n">
        <f aca="false">(1+$AW92/2)^(-2*($B92-$BC$11)/365.25)</f>
        <v>0.647200115794526</v>
      </c>
      <c r="BD92" s="437" t="n">
        <f aca="false">(1+$AW92/2)^(-2*($B92-$BD$11)/365.25)</f>
        <v>0.647321662207998</v>
      </c>
      <c r="BF92" s="442" t="n">
        <f aca="false">B92</f>
        <v>39083</v>
      </c>
      <c r="BG92" s="418" t="n">
        <v>80</v>
      </c>
    </row>
    <row r="93" customFormat="false" ht="12" hidden="false" customHeight="false" outlineLevel="0" collapsed="false">
      <c r="B93" s="419" t="n">
        <f aca="false">EOMONTH(B92,0)+1</f>
        <v>39114</v>
      </c>
      <c r="C93" s="420" t="n">
        <v>3.179</v>
      </c>
      <c r="D93" s="420" t="n">
        <v>0.23</v>
      </c>
      <c r="E93" s="420" t="n">
        <v>0.070029467823984</v>
      </c>
      <c r="F93" s="420" t="n">
        <v>-0.2025</v>
      </c>
      <c r="G93" s="420" t="n">
        <v>-0.04</v>
      </c>
      <c r="H93" s="420" t="n">
        <v>-0.2025</v>
      </c>
      <c r="I93" s="420" t="n">
        <v>0.195</v>
      </c>
      <c r="J93" s="420" t="n">
        <v>0.305</v>
      </c>
      <c r="K93" s="420" t="n">
        <v>0.435</v>
      </c>
      <c r="L93" s="420" t="n">
        <v>-0.075</v>
      </c>
      <c r="M93" s="420" t="n">
        <v>-0.0105</v>
      </c>
      <c r="N93" s="420" t="n">
        <v>-0.28</v>
      </c>
      <c r="O93" s="420" t="n">
        <v>0</v>
      </c>
      <c r="P93" s="420" t="n">
        <v>0.014</v>
      </c>
      <c r="Q93" s="420" t="n">
        <v>-0.0075</v>
      </c>
      <c r="R93" s="418" t="n">
        <v>-0.024</v>
      </c>
      <c r="S93" s="418" t="n">
        <v>-0.0575</v>
      </c>
      <c r="T93" s="418" t="n">
        <v>-0.07</v>
      </c>
      <c r="U93" s="418" t="n">
        <v>-0.03</v>
      </c>
      <c r="V93" s="418" t="n">
        <v>-0.1215</v>
      </c>
      <c r="W93" s="418" t="n">
        <v>-0.1275</v>
      </c>
      <c r="X93" s="418" t="n">
        <v>1.455</v>
      </c>
      <c r="Y93" s="418" t="n">
        <v>0.005</v>
      </c>
      <c r="Z93" s="418" t="n">
        <v>-0.19</v>
      </c>
      <c r="AA93" s="418" t="n">
        <v>-0.0215</v>
      </c>
      <c r="AB93" s="437" t="n">
        <v>0.12</v>
      </c>
      <c r="AC93" s="437" t="n">
        <v>0.975</v>
      </c>
      <c r="AD93" s="437" t="n">
        <v>0.29</v>
      </c>
      <c r="AE93" s="438" t="n">
        <v>0.23</v>
      </c>
      <c r="AF93" s="438" t="n">
        <v>0.23</v>
      </c>
      <c r="AG93" s="438" t="n">
        <v>0.253</v>
      </c>
      <c r="AH93" s="438" t="n">
        <v>0.23</v>
      </c>
      <c r="AI93" s="438" t="n">
        <v>0.235</v>
      </c>
      <c r="AJ93" s="438" t="n">
        <v>0.23</v>
      </c>
      <c r="AK93" s="438" t="n">
        <v>0.23</v>
      </c>
      <c r="AL93" s="438" t="n">
        <v>0.23</v>
      </c>
      <c r="AM93" s="438" t="n">
        <v>0.23</v>
      </c>
      <c r="AN93" s="438" t="n">
        <v>0.23</v>
      </c>
      <c r="AO93" s="438" t="n">
        <v>0.23</v>
      </c>
      <c r="AP93" s="439" t="n">
        <v>0.23</v>
      </c>
      <c r="AQ93" s="439" t="n">
        <v>0.23</v>
      </c>
      <c r="AR93" s="439" t="n">
        <v>0.23</v>
      </c>
      <c r="AS93" s="439" t="n">
        <v>0.23</v>
      </c>
      <c r="AT93" s="438" t="n">
        <v>0.23</v>
      </c>
      <c r="AU93" s="438" t="n">
        <v>0.23</v>
      </c>
      <c r="AV93" s="438" t="n">
        <v>0.253</v>
      </c>
      <c r="AW93" s="418" t="n">
        <v>0.069802650920091</v>
      </c>
      <c r="AY93" s="437" t="n">
        <f aca="false">AG93</f>
        <v>0.253</v>
      </c>
      <c r="AZ93" s="437" t="n">
        <f aca="false">AG93</f>
        <v>0.253</v>
      </c>
      <c r="BA93" s="441" t="n">
        <f aca="false">AG93</f>
        <v>0.253</v>
      </c>
      <c r="BB93" s="442" t="n">
        <f aca="false">B93</f>
        <v>39114</v>
      </c>
      <c r="BC93" s="437" t="n">
        <f aca="false">(1+$AW93/2)^(-2*($B93-$BC$11)/365.25)</f>
        <v>0.643346692931287</v>
      </c>
      <c r="BD93" s="437" t="n">
        <f aca="false">(1+$AW93/2)^(-2*($B93-$BD$11)/365.25)</f>
        <v>0.643467556882551</v>
      </c>
      <c r="BF93" s="442" t="n">
        <f aca="false">B93</f>
        <v>39114</v>
      </c>
      <c r="BG93" s="418" t="n">
        <v>81</v>
      </c>
    </row>
    <row r="94" customFormat="false" ht="12" hidden="false" customHeight="false" outlineLevel="0" collapsed="false">
      <c r="B94" s="419" t="n">
        <f aca="false">EOMONTH(B93,0)+1</f>
        <v>39142</v>
      </c>
      <c r="C94" s="420" t="n">
        <v>3.021</v>
      </c>
      <c r="D94" s="420" t="n">
        <v>0.22</v>
      </c>
      <c r="E94" s="420" t="n">
        <v>0.070039858618403</v>
      </c>
      <c r="F94" s="420" t="n">
        <v>-0.205</v>
      </c>
      <c r="G94" s="420" t="n">
        <v>-0.0275</v>
      </c>
      <c r="H94" s="420" t="n">
        <v>-0.205</v>
      </c>
      <c r="I94" s="420" t="n">
        <v>0.1925</v>
      </c>
      <c r="J94" s="420" t="n">
        <v>0.265</v>
      </c>
      <c r="K94" s="420" t="n">
        <v>0.3025</v>
      </c>
      <c r="L94" s="420" t="n">
        <v>-0.075</v>
      </c>
      <c r="M94" s="420" t="n">
        <v>-0.0105</v>
      </c>
      <c r="N94" s="420" t="n">
        <v>-0.28</v>
      </c>
      <c r="O94" s="420" t="n">
        <v>-0.18</v>
      </c>
      <c r="P94" s="420" t="n">
        <v>0.014</v>
      </c>
      <c r="Q94" s="420" t="n">
        <v>-0.0075</v>
      </c>
      <c r="R94" s="418" t="n">
        <v>-0.024</v>
      </c>
      <c r="S94" s="418" t="n">
        <v>-0.0575</v>
      </c>
      <c r="T94" s="418" t="n">
        <v>-0.07</v>
      </c>
      <c r="U94" s="418" t="n">
        <v>-0.0115</v>
      </c>
      <c r="V94" s="418" t="n">
        <v>-0.104</v>
      </c>
      <c r="W94" s="418" t="n">
        <v>-0.1325</v>
      </c>
      <c r="X94" s="418" t="n">
        <v>0.835</v>
      </c>
      <c r="Y94" s="418" t="n">
        <v>0.005</v>
      </c>
      <c r="Z94" s="418" t="n">
        <v>-0.19</v>
      </c>
      <c r="AA94" s="418" t="n">
        <v>-0.0215</v>
      </c>
      <c r="AB94" s="437" t="n">
        <v>0.12</v>
      </c>
      <c r="AC94" s="437" t="n">
        <v>0.6075</v>
      </c>
      <c r="AD94" s="437" t="n">
        <v>0.2875</v>
      </c>
      <c r="AE94" s="438" t="n">
        <v>0.22</v>
      </c>
      <c r="AF94" s="438" t="n">
        <v>0.22</v>
      </c>
      <c r="AG94" s="438" t="n">
        <v>0.242</v>
      </c>
      <c r="AH94" s="438" t="n">
        <v>0.22</v>
      </c>
      <c r="AI94" s="438" t="n">
        <v>0.224</v>
      </c>
      <c r="AJ94" s="438" t="n">
        <v>0.22</v>
      </c>
      <c r="AK94" s="438" t="n">
        <v>0.22</v>
      </c>
      <c r="AL94" s="438" t="n">
        <v>0.22</v>
      </c>
      <c r="AM94" s="438" t="n">
        <v>0.22</v>
      </c>
      <c r="AN94" s="438" t="n">
        <v>0.22</v>
      </c>
      <c r="AO94" s="438" t="n">
        <v>0.22</v>
      </c>
      <c r="AP94" s="439" t="n">
        <v>0.22</v>
      </c>
      <c r="AQ94" s="439" t="n">
        <v>0.22</v>
      </c>
      <c r="AR94" s="439" t="n">
        <v>0.22</v>
      </c>
      <c r="AS94" s="439" t="n">
        <v>0.22</v>
      </c>
      <c r="AT94" s="438" t="n">
        <v>0.22</v>
      </c>
      <c r="AU94" s="438" t="n">
        <v>0.22</v>
      </c>
      <c r="AV94" s="438" t="n">
        <v>0.242</v>
      </c>
      <c r="AW94" s="418" t="n">
        <v>0.069824523768187</v>
      </c>
      <c r="AY94" s="437" t="n">
        <f aca="false">AG94</f>
        <v>0.242</v>
      </c>
      <c r="AZ94" s="437" t="n">
        <f aca="false">AG94</f>
        <v>0.242</v>
      </c>
      <c r="BA94" s="441" t="n">
        <f aca="false">AG94</f>
        <v>0.242</v>
      </c>
      <c r="BB94" s="442" t="n">
        <f aca="false">B94</f>
        <v>39142</v>
      </c>
      <c r="BC94" s="437" t="n">
        <f aca="false">(1+$AW94/2)^(-2*($B94-$BC$11)/365.25)</f>
        <v>0.639883722332069</v>
      </c>
      <c r="BD94" s="437" t="n">
        <f aca="false">(1+$AW94/2)^(-2*($B94-$BD$11)/365.25)</f>
        <v>0.640003972737267</v>
      </c>
      <c r="BF94" s="442" t="n">
        <f aca="false">B94</f>
        <v>39142</v>
      </c>
      <c r="BG94" s="418" t="n">
        <v>82</v>
      </c>
    </row>
    <row r="95" customFormat="false" ht="12" hidden="false" customHeight="false" outlineLevel="0" collapsed="false">
      <c r="B95" s="419" t="n">
        <f aca="false">EOMONTH(B94,0)+1</f>
        <v>39173</v>
      </c>
      <c r="C95" s="420" t="n">
        <v>2.855</v>
      </c>
      <c r="D95" s="420" t="n">
        <v>0.22</v>
      </c>
      <c r="E95" s="420" t="n">
        <v>0.070051362712266</v>
      </c>
      <c r="F95" s="420" t="n">
        <v>-0.195</v>
      </c>
      <c r="G95" s="420" t="n">
        <v>0.015</v>
      </c>
      <c r="H95" s="420" t="n">
        <v>-0.195</v>
      </c>
      <c r="I95" s="420" t="n">
        <v>0.0975</v>
      </c>
      <c r="J95" s="420" t="n">
        <v>0.195</v>
      </c>
      <c r="K95" s="420" t="n">
        <v>0.25</v>
      </c>
      <c r="L95" s="420" t="n">
        <v>-0.068</v>
      </c>
      <c r="M95" s="420" t="n">
        <v>-0.018</v>
      </c>
      <c r="N95" s="420" t="n">
        <v>-0.36</v>
      </c>
      <c r="O95" s="420" t="n">
        <v>-0.29</v>
      </c>
      <c r="P95" s="420" t="n">
        <v>0.0065</v>
      </c>
      <c r="Q95" s="420" t="n">
        <v>0.0025</v>
      </c>
      <c r="R95" s="418" t="n">
        <v>-0.0235</v>
      </c>
      <c r="S95" s="418" t="n">
        <v>-0.055</v>
      </c>
      <c r="T95" s="418" t="n">
        <v>-0.15</v>
      </c>
      <c r="U95" s="418" t="n">
        <v>-0.0115</v>
      </c>
      <c r="V95" s="418" t="n">
        <v>-0.0965</v>
      </c>
      <c r="W95" s="418" t="n">
        <v>-0.12</v>
      </c>
      <c r="X95" s="418" t="n">
        <v>0.45</v>
      </c>
      <c r="Y95" s="418" t="n">
        <v>0.005</v>
      </c>
      <c r="Z95" s="418" t="n">
        <v>-0.195</v>
      </c>
      <c r="AA95" s="418" t="n">
        <v>-0.019</v>
      </c>
      <c r="AB95" s="437" t="n">
        <v>0.29</v>
      </c>
      <c r="AC95" s="437" t="n">
        <v>0.355</v>
      </c>
      <c r="AD95" s="437" t="n">
        <v>0.1925</v>
      </c>
      <c r="AE95" s="438" t="n">
        <v>0.22</v>
      </c>
      <c r="AF95" s="438" t="n">
        <v>0.22</v>
      </c>
      <c r="AG95" s="438" t="n">
        <v>0.216</v>
      </c>
      <c r="AH95" s="438" t="n">
        <v>0.22</v>
      </c>
      <c r="AI95" s="438" t="n">
        <v>0.224</v>
      </c>
      <c r="AJ95" s="438" t="n">
        <v>0.22</v>
      </c>
      <c r="AK95" s="438" t="n">
        <v>0.216</v>
      </c>
      <c r="AL95" s="438" t="n">
        <v>0.216</v>
      </c>
      <c r="AM95" s="438" t="n">
        <v>0.22</v>
      </c>
      <c r="AN95" s="438" t="n">
        <v>0.22</v>
      </c>
      <c r="AO95" s="438" t="n">
        <v>0.22</v>
      </c>
      <c r="AP95" s="439" t="n">
        <v>0.22</v>
      </c>
      <c r="AQ95" s="439" t="n">
        <v>0.22</v>
      </c>
      <c r="AR95" s="439" t="n">
        <v>0.22</v>
      </c>
      <c r="AS95" s="439" t="n">
        <v>0.22</v>
      </c>
      <c r="AT95" s="438" t="n">
        <v>0.22</v>
      </c>
      <c r="AU95" s="438" t="n">
        <v>0.22</v>
      </c>
      <c r="AV95" s="438" t="n">
        <v>0.216</v>
      </c>
      <c r="AW95" s="418" t="n">
        <v>0.069848740135905</v>
      </c>
      <c r="AY95" s="437" t="n">
        <f aca="false">AG95</f>
        <v>0.216</v>
      </c>
      <c r="AZ95" s="437" t="n">
        <f aca="false">AG95</f>
        <v>0.216</v>
      </c>
      <c r="BA95" s="441" t="n">
        <f aca="false">AG95</f>
        <v>0.216</v>
      </c>
      <c r="BB95" s="442" t="n">
        <f aca="false">B95</f>
        <v>39173</v>
      </c>
      <c r="BC95" s="437" t="n">
        <f aca="false">(1+$AW95/2)^(-2*($B95-$BC$11)/365.25)</f>
        <v>0.636069054888522</v>
      </c>
      <c r="BD95" s="437" t="n">
        <f aca="false">(1+$AW95/2)^(-2*($B95-$BD$11)/365.25)</f>
        <v>0.636188629177471</v>
      </c>
      <c r="BF95" s="442" t="n">
        <f aca="false">B95</f>
        <v>39173</v>
      </c>
      <c r="BG95" s="418" t="n">
        <v>83</v>
      </c>
    </row>
    <row r="96" customFormat="false" ht="12" hidden="false" customHeight="false" outlineLevel="0" collapsed="false">
      <c r="B96" s="419" t="n">
        <f aca="false">EOMONTH(B95,0)+1</f>
        <v>39203</v>
      </c>
      <c r="C96" s="420" t="n">
        <v>2.847</v>
      </c>
      <c r="D96" s="420" t="n">
        <v>0.22</v>
      </c>
      <c r="E96" s="420" t="n">
        <v>0.070062495706368</v>
      </c>
      <c r="F96" s="420" t="n">
        <v>-0.195</v>
      </c>
      <c r="G96" s="420" t="n">
        <v>0.015</v>
      </c>
      <c r="H96" s="420" t="n">
        <v>-0.195</v>
      </c>
      <c r="I96" s="420" t="n">
        <v>0.1075</v>
      </c>
      <c r="J96" s="420" t="n">
        <v>0.1825</v>
      </c>
      <c r="K96" s="420" t="n">
        <v>0.2025</v>
      </c>
      <c r="L96" s="420" t="n">
        <v>-0.068</v>
      </c>
      <c r="M96" s="420" t="n">
        <v>-0.018</v>
      </c>
      <c r="N96" s="420" t="n">
        <v>-0.36</v>
      </c>
      <c r="O96" s="420" t="n">
        <v>-0.29</v>
      </c>
      <c r="P96" s="420" t="n">
        <v>0.0065</v>
      </c>
      <c r="Q96" s="420" t="n">
        <v>0.0025</v>
      </c>
      <c r="R96" s="418" t="n">
        <v>-0.0235</v>
      </c>
      <c r="S96" s="418" t="n">
        <v>-0.055</v>
      </c>
      <c r="T96" s="418" t="n">
        <v>-0.165</v>
      </c>
      <c r="U96" s="418" t="n">
        <v>-0.01175</v>
      </c>
      <c r="V96" s="418" t="n">
        <v>-0.0965</v>
      </c>
      <c r="W96" s="418" t="n">
        <v>-0.12</v>
      </c>
      <c r="X96" s="418" t="n">
        <v>0.405</v>
      </c>
      <c r="Y96" s="418" t="n">
        <v>0.005</v>
      </c>
      <c r="Z96" s="418" t="n">
        <v>-0.195</v>
      </c>
      <c r="AA96" s="418" t="n">
        <v>-0.019</v>
      </c>
      <c r="AB96" s="437" t="n">
        <v>0.29</v>
      </c>
      <c r="AC96" s="437" t="n">
        <v>0.2875</v>
      </c>
      <c r="AD96" s="437" t="n">
        <v>0.2025</v>
      </c>
      <c r="AE96" s="438" t="n">
        <v>0.22</v>
      </c>
      <c r="AF96" s="438" t="n">
        <v>0.22</v>
      </c>
      <c r="AG96" s="438" t="n">
        <v>0.216</v>
      </c>
      <c r="AH96" s="438" t="n">
        <v>0.22</v>
      </c>
      <c r="AI96" s="438" t="n">
        <v>0.224</v>
      </c>
      <c r="AJ96" s="438" t="n">
        <v>0.22</v>
      </c>
      <c r="AK96" s="438" t="n">
        <v>0.216</v>
      </c>
      <c r="AL96" s="438" t="n">
        <v>0.216</v>
      </c>
      <c r="AM96" s="438" t="n">
        <v>0.22</v>
      </c>
      <c r="AN96" s="438" t="n">
        <v>0.22</v>
      </c>
      <c r="AO96" s="438" t="n">
        <v>0.22</v>
      </c>
      <c r="AP96" s="439" t="n">
        <v>0.22</v>
      </c>
      <c r="AQ96" s="439" t="n">
        <v>0.22</v>
      </c>
      <c r="AR96" s="439" t="n">
        <v>0.22</v>
      </c>
      <c r="AS96" s="439" t="n">
        <v>0.22</v>
      </c>
      <c r="AT96" s="438" t="n">
        <v>0.22</v>
      </c>
      <c r="AU96" s="438" t="n">
        <v>0.22</v>
      </c>
      <c r="AV96" s="438" t="n">
        <v>0.216</v>
      </c>
      <c r="AW96" s="418" t="n">
        <v>0.069872175330656</v>
      </c>
      <c r="AY96" s="437" t="n">
        <f aca="false">AG96</f>
        <v>0.216</v>
      </c>
      <c r="AZ96" s="437" t="n">
        <f aca="false">AG96</f>
        <v>0.216</v>
      </c>
      <c r="BA96" s="441" t="n">
        <f aca="false">AG96</f>
        <v>0.216</v>
      </c>
      <c r="BB96" s="442" t="n">
        <f aca="false">B96</f>
        <v>39203</v>
      </c>
      <c r="BC96" s="437" t="n">
        <f aca="false">(1+$AW96/2)^(-2*($B96-$BC$11)/365.25)</f>
        <v>0.632396704698611</v>
      </c>
      <c r="BD96" s="437" t="n">
        <f aca="false">(1+$AW96/2)^(-2*($B96-$BD$11)/365.25)</f>
        <v>0.632515627838132</v>
      </c>
      <c r="BF96" s="442" t="n">
        <f aca="false">B96</f>
        <v>39203</v>
      </c>
      <c r="BG96" s="418" t="n">
        <v>84</v>
      </c>
    </row>
    <row r="97" customFormat="false" ht="12" hidden="false" customHeight="false" outlineLevel="0" collapsed="false">
      <c r="B97" s="419" t="n">
        <f aca="false">EOMONTH(B96,0)+1</f>
        <v>39234</v>
      </c>
      <c r="C97" s="420" t="n">
        <v>2.871</v>
      </c>
      <c r="D97" s="420" t="n">
        <v>0.21</v>
      </c>
      <c r="E97" s="420" t="n">
        <v>0.070073999800317</v>
      </c>
      <c r="F97" s="420" t="n">
        <v>-0.195</v>
      </c>
      <c r="G97" s="420" t="n">
        <v>0.02</v>
      </c>
      <c r="H97" s="420" t="n">
        <v>-0.195</v>
      </c>
      <c r="I97" s="420" t="n">
        <v>0.1025</v>
      </c>
      <c r="J97" s="420" t="n">
        <v>0.1825</v>
      </c>
      <c r="K97" s="420" t="n">
        <v>0.2025</v>
      </c>
      <c r="L97" s="420" t="n">
        <v>-0.084</v>
      </c>
      <c r="M97" s="420" t="n">
        <v>-0.018</v>
      </c>
      <c r="N97" s="420" t="n">
        <v>-0.36</v>
      </c>
      <c r="O97" s="420" t="n">
        <v>-0.29</v>
      </c>
      <c r="P97" s="420" t="n">
        <v>0.0065</v>
      </c>
      <c r="Q97" s="420" t="n">
        <v>0.0025</v>
      </c>
      <c r="R97" s="418" t="n">
        <v>-0.0235</v>
      </c>
      <c r="S97" s="418" t="n">
        <v>-0.055</v>
      </c>
      <c r="T97" s="418" t="n">
        <v>-0.175</v>
      </c>
      <c r="U97" s="418" t="n">
        <v>-0.01175</v>
      </c>
      <c r="V97" s="418" t="n">
        <v>-0.0865</v>
      </c>
      <c r="W97" s="418" t="n">
        <v>-0.12</v>
      </c>
      <c r="X97" s="418" t="n">
        <v>0.395</v>
      </c>
      <c r="Y97" s="418" t="n">
        <v>0.005</v>
      </c>
      <c r="Z97" s="418" t="n">
        <v>-0.195</v>
      </c>
      <c r="AA97" s="418" t="n">
        <v>-0.019</v>
      </c>
      <c r="AB97" s="437" t="n">
        <v>0.29</v>
      </c>
      <c r="AC97" s="437" t="n">
        <v>0.2875</v>
      </c>
      <c r="AD97" s="437" t="n">
        <v>0.1975</v>
      </c>
      <c r="AE97" s="438" t="n">
        <v>0.21</v>
      </c>
      <c r="AF97" s="438" t="n">
        <v>0.21</v>
      </c>
      <c r="AG97" s="438" t="n">
        <v>0.206</v>
      </c>
      <c r="AH97" s="438" t="n">
        <v>0.21</v>
      </c>
      <c r="AI97" s="438" t="n">
        <v>0.214</v>
      </c>
      <c r="AJ97" s="438" t="n">
        <v>0.21</v>
      </c>
      <c r="AK97" s="438" t="n">
        <v>0.206</v>
      </c>
      <c r="AL97" s="438" t="n">
        <v>0.206</v>
      </c>
      <c r="AM97" s="438" t="n">
        <v>0.21</v>
      </c>
      <c r="AN97" s="438" t="n">
        <v>0.21</v>
      </c>
      <c r="AO97" s="438" t="n">
        <v>0.21</v>
      </c>
      <c r="AP97" s="439" t="n">
        <v>0.21</v>
      </c>
      <c r="AQ97" s="439" t="n">
        <v>0.21</v>
      </c>
      <c r="AR97" s="439" t="n">
        <v>0.21</v>
      </c>
      <c r="AS97" s="439" t="n">
        <v>0.21</v>
      </c>
      <c r="AT97" s="438" t="n">
        <v>0.21</v>
      </c>
      <c r="AU97" s="438" t="n">
        <v>0.21</v>
      </c>
      <c r="AV97" s="438" t="n">
        <v>0.206</v>
      </c>
      <c r="AW97" s="418" t="n">
        <v>0.069896391698756</v>
      </c>
      <c r="AY97" s="437" t="n">
        <f aca="false">AG97</f>
        <v>0.206</v>
      </c>
      <c r="AZ97" s="437" t="n">
        <f aca="false">AG97</f>
        <v>0.206</v>
      </c>
      <c r="BA97" s="441" t="n">
        <f aca="false">AG97</f>
        <v>0.206</v>
      </c>
      <c r="BB97" s="442" t="n">
        <f aca="false">B97</f>
        <v>39234</v>
      </c>
      <c r="BC97" s="437" t="n">
        <f aca="false">(1+$AW97/2)^(-2*($B97-$BC$11)/365.25)</f>
        <v>0.628621760227606</v>
      </c>
      <c r="BD97" s="437" t="n">
        <f aca="false">(1+$AW97/2)^(-2*($B97-$BD$11)/365.25)</f>
        <v>0.62874001376176</v>
      </c>
      <c r="BF97" s="442" t="n">
        <f aca="false">B97</f>
        <v>39234</v>
      </c>
      <c r="BG97" s="418" t="n">
        <v>85</v>
      </c>
    </row>
    <row r="98" customFormat="false" ht="12" hidden="false" customHeight="false" outlineLevel="0" collapsed="false">
      <c r="B98" s="419" t="n">
        <f aca="false">EOMONTH(B97,0)+1</f>
        <v>39264</v>
      </c>
      <c r="C98" s="420" t="n">
        <v>2.893</v>
      </c>
      <c r="D98" s="420" t="n">
        <v>0.21</v>
      </c>
      <c r="E98" s="420" t="n">
        <v>0.070085132794502</v>
      </c>
      <c r="F98" s="420" t="n">
        <v>-0.195</v>
      </c>
      <c r="G98" s="420" t="n">
        <v>0.0225</v>
      </c>
      <c r="H98" s="420" t="n">
        <v>-0.195</v>
      </c>
      <c r="I98" s="420" t="n">
        <v>0.0925</v>
      </c>
      <c r="J98" s="420" t="n">
        <v>0.1825</v>
      </c>
      <c r="K98" s="420" t="n">
        <v>0.215</v>
      </c>
      <c r="L98" s="420" t="n">
        <v>-0.077</v>
      </c>
      <c r="M98" s="420" t="n">
        <v>-0.018</v>
      </c>
      <c r="N98" s="420" t="n">
        <v>-0.36</v>
      </c>
      <c r="O98" s="420" t="n">
        <v>-0.29</v>
      </c>
      <c r="P98" s="420" t="n">
        <v>0.0065</v>
      </c>
      <c r="Q98" s="420" t="n">
        <v>0.0025</v>
      </c>
      <c r="R98" s="418" t="n">
        <v>-0.0235</v>
      </c>
      <c r="S98" s="418" t="n">
        <v>-0.055</v>
      </c>
      <c r="T98" s="418" t="n">
        <v>-0.175</v>
      </c>
      <c r="U98" s="418" t="n">
        <v>-0.01175</v>
      </c>
      <c r="V98" s="418" t="n">
        <v>-0.0815</v>
      </c>
      <c r="W98" s="418" t="n">
        <v>-0.12</v>
      </c>
      <c r="X98" s="418" t="n">
        <v>0.43</v>
      </c>
      <c r="Y98" s="418" t="n">
        <v>0.005</v>
      </c>
      <c r="Z98" s="418" t="n">
        <v>-0.195</v>
      </c>
      <c r="AA98" s="418" t="n">
        <v>-0.019</v>
      </c>
      <c r="AB98" s="437" t="n">
        <v>0.29</v>
      </c>
      <c r="AC98" s="437" t="n">
        <v>0.3</v>
      </c>
      <c r="AD98" s="437" t="n">
        <v>0.1875</v>
      </c>
      <c r="AE98" s="438" t="n">
        <v>0.21</v>
      </c>
      <c r="AF98" s="438" t="n">
        <v>0.21</v>
      </c>
      <c r="AG98" s="438" t="n">
        <v>0.206</v>
      </c>
      <c r="AH98" s="438" t="n">
        <v>0.21</v>
      </c>
      <c r="AI98" s="438" t="n">
        <v>0.214</v>
      </c>
      <c r="AJ98" s="438" t="n">
        <v>0.21</v>
      </c>
      <c r="AK98" s="438" t="n">
        <v>0.206</v>
      </c>
      <c r="AL98" s="438" t="n">
        <v>0.206</v>
      </c>
      <c r="AM98" s="438" t="n">
        <v>0.21</v>
      </c>
      <c r="AN98" s="438" t="n">
        <v>0.21</v>
      </c>
      <c r="AO98" s="438" t="n">
        <v>0.21</v>
      </c>
      <c r="AP98" s="439" t="n">
        <v>0.21</v>
      </c>
      <c r="AQ98" s="439" t="n">
        <v>0.21</v>
      </c>
      <c r="AR98" s="439" t="n">
        <v>0.21</v>
      </c>
      <c r="AS98" s="439" t="n">
        <v>0.21</v>
      </c>
      <c r="AT98" s="438" t="n">
        <v>0.21</v>
      </c>
      <c r="AU98" s="438" t="n">
        <v>0.21</v>
      </c>
      <c r="AV98" s="438" t="n">
        <v>0.206</v>
      </c>
      <c r="AW98" s="418" t="n">
        <v>0.069919826893877</v>
      </c>
      <c r="AY98" s="437" t="n">
        <f aca="false">AG98</f>
        <v>0.206</v>
      </c>
      <c r="AZ98" s="437" t="n">
        <f aca="false">AG98</f>
        <v>0.206</v>
      </c>
      <c r="BA98" s="441" t="n">
        <f aca="false">AG98</f>
        <v>0.206</v>
      </c>
      <c r="BB98" s="442" t="n">
        <f aca="false">B98</f>
        <v>39264</v>
      </c>
      <c r="BC98" s="437" t="n">
        <f aca="false">(1+$AW98/2)^(-2*($B98-$BC$11)/365.25)</f>
        <v>0.624987682139455</v>
      </c>
      <c r="BD98" s="437" t="n">
        <f aca="false">(1+$AW98/2)^(-2*($B98-$BD$11)/365.25)</f>
        <v>0.625105290800432</v>
      </c>
      <c r="BF98" s="442" t="n">
        <f aca="false">B98</f>
        <v>39264</v>
      </c>
      <c r="BG98" s="418" t="n">
        <v>86</v>
      </c>
    </row>
    <row r="99" customFormat="false" ht="12" hidden="false" customHeight="false" outlineLevel="0" collapsed="false">
      <c r="B99" s="419" t="n">
        <f aca="false">EOMONTH(B98,0)+1</f>
        <v>39295</v>
      </c>
      <c r="C99" s="420" t="n">
        <v>2.914</v>
      </c>
      <c r="D99" s="420" t="n">
        <v>0.21</v>
      </c>
      <c r="E99" s="420" t="n">
        <v>0.070096636888537</v>
      </c>
      <c r="F99" s="420" t="n">
        <v>-0.195</v>
      </c>
      <c r="G99" s="420" t="n">
        <v>0.025</v>
      </c>
      <c r="H99" s="420" t="n">
        <v>-0.195</v>
      </c>
      <c r="I99" s="420" t="n">
        <v>0.09</v>
      </c>
      <c r="J99" s="420" t="n">
        <v>0.1825</v>
      </c>
      <c r="K99" s="420" t="n">
        <v>0.215</v>
      </c>
      <c r="L99" s="420" t="n">
        <v>-0.068</v>
      </c>
      <c r="M99" s="420" t="n">
        <v>-0.018</v>
      </c>
      <c r="N99" s="420" t="n">
        <v>-0.36</v>
      </c>
      <c r="O99" s="420" t="n">
        <v>-0.29</v>
      </c>
      <c r="P99" s="420" t="n">
        <v>0.0065</v>
      </c>
      <c r="Q99" s="420" t="n">
        <v>0.0025</v>
      </c>
      <c r="R99" s="418" t="n">
        <v>-0.0235</v>
      </c>
      <c r="S99" s="418" t="n">
        <v>-0.055</v>
      </c>
      <c r="T99" s="418" t="n">
        <v>-0.175</v>
      </c>
      <c r="U99" s="418" t="n">
        <v>-0.01175</v>
      </c>
      <c r="V99" s="418" t="n">
        <v>-0.0815</v>
      </c>
      <c r="W99" s="418" t="n">
        <v>-0.12</v>
      </c>
      <c r="X99" s="418" t="n">
        <v>0.495</v>
      </c>
      <c r="Y99" s="418" t="n">
        <v>0.005</v>
      </c>
      <c r="Z99" s="418" t="n">
        <v>-0.195</v>
      </c>
      <c r="AA99" s="418" t="n">
        <v>-0.019</v>
      </c>
      <c r="AB99" s="437" t="n">
        <v>0.29</v>
      </c>
      <c r="AC99" s="437" t="n">
        <v>0.3</v>
      </c>
      <c r="AD99" s="437" t="n">
        <v>0.185</v>
      </c>
      <c r="AE99" s="438" t="n">
        <v>0.21</v>
      </c>
      <c r="AF99" s="438" t="n">
        <v>0.21</v>
      </c>
      <c r="AG99" s="438" t="n">
        <v>0.206</v>
      </c>
      <c r="AH99" s="438" t="n">
        <v>0.21</v>
      </c>
      <c r="AI99" s="438" t="n">
        <v>0.214</v>
      </c>
      <c r="AJ99" s="438" t="n">
        <v>0.21</v>
      </c>
      <c r="AK99" s="438" t="n">
        <v>0.206</v>
      </c>
      <c r="AL99" s="438" t="n">
        <v>0.206</v>
      </c>
      <c r="AM99" s="438" t="n">
        <v>0.21</v>
      </c>
      <c r="AN99" s="438" t="n">
        <v>0.21</v>
      </c>
      <c r="AO99" s="438" t="n">
        <v>0.21</v>
      </c>
      <c r="AP99" s="439" t="n">
        <v>0.21</v>
      </c>
      <c r="AQ99" s="439" t="n">
        <v>0.21</v>
      </c>
      <c r="AR99" s="439" t="n">
        <v>0.21</v>
      </c>
      <c r="AS99" s="439" t="n">
        <v>0.21</v>
      </c>
      <c r="AT99" s="438" t="n">
        <v>0.21</v>
      </c>
      <c r="AU99" s="438" t="n">
        <v>0.21</v>
      </c>
      <c r="AV99" s="438" t="n">
        <v>0.206</v>
      </c>
      <c r="AW99" s="418" t="n">
        <v>0.069944043262359</v>
      </c>
      <c r="AY99" s="437" t="n">
        <f aca="false">AG99</f>
        <v>0.206</v>
      </c>
      <c r="AZ99" s="437" t="n">
        <f aca="false">AG99</f>
        <v>0.206</v>
      </c>
      <c r="BA99" s="441" t="n">
        <f aca="false">AG99</f>
        <v>0.206</v>
      </c>
      <c r="BB99" s="442" t="n">
        <f aca="false">B99</f>
        <v>39295</v>
      </c>
      <c r="BC99" s="437" t="n">
        <f aca="false">(1+$AW99/2)^(-2*($B99-$BC$11)/365.25)</f>
        <v>0.621252110948501</v>
      </c>
      <c r="BD99" s="437" t="n">
        <f aca="false">(1+$AW99/2)^(-2*($B99-$BD$11)/365.25)</f>
        <v>0.621369056464213</v>
      </c>
      <c r="BF99" s="442" t="n">
        <f aca="false">B99</f>
        <v>39295</v>
      </c>
      <c r="BG99" s="418" t="n">
        <v>87</v>
      </c>
    </row>
    <row r="100" customFormat="false" ht="12" hidden="false" customHeight="false" outlineLevel="0" collapsed="false">
      <c r="B100" s="419" t="n">
        <f aca="false">EOMONTH(B99,0)+1</f>
        <v>39326</v>
      </c>
      <c r="C100" s="420" t="n">
        <v>2.893</v>
      </c>
      <c r="D100" s="420" t="n">
        <v>0.21</v>
      </c>
      <c r="E100" s="420" t="n">
        <v>0.070108227565383</v>
      </c>
      <c r="F100" s="420" t="n">
        <v>-0.195</v>
      </c>
      <c r="G100" s="420" t="n">
        <v>0.0175</v>
      </c>
      <c r="H100" s="420" t="n">
        <v>-0.195</v>
      </c>
      <c r="I100" s="420" t="n">
        <v>0.0875</v>
      </c>
      <c r="J100" s="420" t="n">
        <v>0.1825</v>
      </c>
      <c r="K100" s="420" t="n">
        <v>0.195</v>
      </c>
      <c r="L100" s="420" t="n">
        <v>-0.048</v>
      </c>
      <c r="M100" s="420" t="n">
        <v>-0.018</v>
      </c>
      <c r="N100" s="420" t="n">
        <v>-0.36</v>
      </c>
      <c r="O100" s="420" t="n">
        <v>-0.29</v>
      </c>
      <c r="P100" s="420" t="n">
        <v>0.0065</v>
      </c>
      <c r="Q100" s="420" t="n">
        <v>0.0025</v>
      </c>
      <c r="R100" s="418" t="n">
        <v>-0.0235</v>
      </c>
      <c r="S100" s="418" t="n">
        <v>-0.055</v>
      </c>
      <c r="T100" s="418" t="n">
        <v>-0.165</v>
      </c>
      <c r="U100" s="418" t="n">
        <v>-0.01175</v>
      </c>
      <c r="V100" s="418" t="n">
        <v>-0.0965</v>
      </c>
      <c r="W100" s="418" t="n">
        <v>-0.12</v>
      </c>
      <c r="X100" s="418" t="n">
        <v>0.395</v>
      </c>
      <c r="Y100" s="418" t="n">
        <v>0.005</v>
      </c>
      <c r="Z100" s="418" t="n">
        <v>-0.195</v>
      </c>
      <c r="AA100" s="418" t="n">
        <v>-0.019</v>
      </c>
      <c r="AB100" s="437" t="n">
        <v>0.29</v>
      </c>
      <c r="AC100" s="437" t="n">
        <v>0.29</v>
      </c>
      <c r="AD100" s="437" t="n">
        <v>0.1825</v>
      </c>
      <c r="AE100" s="438" t="n">
        <v>0.21</v>
      </c>
      <c r="AF100" s="438" t="n">
        <v>0.21</v>
      </c>
      <c r="AG100" s="438" t="n">
        <v>0.206</v>
      </c>
      <c r="AH100" s="438" t="n">
        <v>0.21</v>
      </c>
      <c r="AI100" s="438" t="n">
        <v>0.214</v>
      </c>
      <c r="AJ100" s="438" t="n">
        <v>0.21</v>
      </c>
      <c r="AK100" s="438" t="n">
        <v>0.206</v>
      </c>
      <c r="AL100" s="438" t="n">
        <v>0.206</v>
      </c>
      <c r="AM100" s="438" t="n">
        <v>0.21</v>
      </c>
      <c r="AN100" s="438" t="n">
        <v>0.21</v>
      </c>
      <c r="AO100" s="438" t="n">
        <v>0.21</v>
      </c>
      <c r="AP100" s="439" t="n">
        <v>0.21</v>
      </c>
      <c r="AQ100" s="439" t="n">
        <v>0.21</v>
      </c>
      <c r="AR100" s="439" t="n">
        <v>0.21</v>
      </c>
      <c r="AS100" s="439" t="n">
        <v>0.21</v>
      </c>
      <c r="AT100" s="438" t="n">
        <v>0.21</v>
      </c>
      <c r="AU100" s="438" t="n">
        <v>0.21</v>
      </c>
      <c r="AV100" s="438" t="n">
        <v>0.206</v>
      </c>
      <c r="AW100" s="418" t="n">
        <v>0.069965115938065</v>
      </c>
      <c r="AY100" s="437" t="n">
        <f aca="false">AG100</f>
        <v>0.206</v>
      </c>
      <c r="AZ100" s="437" t="n">
        <f aca="false">AG100</f>
        <v>0.206</v>
      </c>
      <c r="BA100" s="441" t="n">
        <f aca="false">AG100</f>
        <v>0.206</v>
      </c>
      <c r="BB100" s="442" t="n">
        <f aca="false">B100</f>
        <v>39326</v>
      </c>
      <c r="BC100" s="437" t="n">
        <f aca="false">(1+$AW100/2)^(-2*($B100-$BC$11)/365.25)</f>
        <v>0.617549562759978</v>
      </c>
      <c r="BD100" s="437" t="n">
        <f aca="false">(1+$AW100/2)^(-2*($B100-$BD$11)/365.25)</f>
        <v>0.617665845733154</v>
      </c>
      <c r="BF100" s="442" t="n">
        <f aca="false">B100</f>
        <v>39326</v>
      </c>
      <c r="BG100" s="418" t="n">
        <v>88</v>
      </c>
    </row>
    <row r="101" customFormat="false" ht="12" hidden="false" customHeight="false" outlineLevel="0" collapsed="false">
      <c r="B101" s="419" t="n">
        <f aca="false">EOMONTH(B100,0)+1</f>
        <v>39356</v>
      </c>
      <c r="C101" s="420" t="n">
        <v>2.904</v>
      </c>
      <c r="D101" s="420" t="n">
        <v>0.2</v>
      </c>
      <c r="E101" s="420" t="n">
        <v>0.070120659301209</v>
      </c>
      <c r="F101" s="420" t="n">
        <v>-0.195</v>
      </c>
      <c r="G101" s="420" t="n">
        <v>0.0075</v>
      </c>
      <c r="H101" s="420" t="n">
        <v>-0.195</v>
      </c>
      <c r="I101" s="420" t="n">
        <v>0.1025</v>
      </c>
      <c r="J101" s="420" t="n">
        <v>0.1875</v>
      </c>
      <c r="K101" s="420" t="n">
        <v>0.215</v>
      </c>
      <c r="L101" s="420" t="n">
        <v>-0.058</v>
      </c>
      <c r="M101" s="420" t="n">
        <v>-0.018</v>
      </c>
      <c r="N101" s="420" t="n">
        <v>-0.36</v>
      </c>
      <c r="O101" s="420" t="n">
        <v>-0.29</v>
      </c>
      <c r="P101" s="420" t="n">
        <v>0.0065</v>
      </c>
      <c r="Q101" s="420" t="n">
        <v>0.0025</v>
      </c>
      <c r="R101" s="418" t="n">
        <v>-0.0235</v>
      </c>
      <c r="S101" s="418" t="n">
        <v>-0.055</v>
      </c>
      <c r="T101" s="418" t="n">
        <v>-0.15</v>
      </c>
      <c r="U101" s="418" t="n">
        <v>-0.03</v>
      </c>
      <c r="V101" s="418" t="n">
        <v>-0.099</v>
      </c>
      <c r="W101" s="418" t="n">
        <v>-0.12</v>
      </c>
      <c r="X101" s="418" t="n">
        <v>0.461</v>
      </c>
      <c r="Y101" s="418" t="n">
        <v>0.005</v>
      </c>
      <c r="Z101" s="418" t="n">
        <v>-0.195</v>
      </c>
      <c r="AA101" s="418" t="n">
        <v>-0.019</v>
      </c>
      <c r="AB101" s="437" t="n">
        <v>0.29</v>
      </c>
      <c r="AC101" s="437" t="n">
        <v>0.3625</v>
      </c>
      <c r="AD101" s="437" t="n">
        <v>0.1975</v>
      </c>
      <c r="AE101" s="438" t="n">
        <v>0.2</v>
      </c>
      <c r="AF101" s="438" t="n">
        <v>0.2</v>
      </c>
      <c r="AG101" s="438" t="n">
        <v>0.196</v>
      </c>
      <c r="AH101" s="438" t="n">
        <v>0.2</v>
      </c>
      <c r="AI101" s="438" t="n">
        <v>0.204</v>
      </c>
      <c r="AJ101" s="438" t="n">
        <v>0.2</v>
      </c>
      <c r="AK101" s="438" t="n">
        <v>0.196</v>
      </c>
      <c r="AL101" s="438" t="n">
        <v>0.196</v>
      </c>
      <c r="AM101" s="438" t="n">
        <v>0.2</v>
      </c>
      <c r="AN101" s="438" t="n">
        <v>0.2</v>
      </c>
      <c r="AO101" s="438" t="n">
        <v>0.2</v>
      </c>
      <c r="AP101" s="439" t="n">
        <v>0.2</v>
      </c>
      <c r="AQ101" s="439" t="n">
        <v>0.2</v>
      </c>
      <c r="AR101" s="439" t="n">
        <v>0.2</v>
      </c>
      <c r="AS101" s="439" t="n">
        <v>0.2</v>
      </c>
      <c r="AT101" s="438" t="n">
        <v>0.2</v>
      </c>
      <c r="AU101" s="438" t="n">
        <v>0.2</v>
      </c>
      <c r="AV101" s="438" t="n">
        <v>0.196</v>
      </c>
      <c r="AW101" s="418" t="n">
        <v>0.06996497343637</v>
      </c>
      <c r="AY101" s="437" t="n">
        <f aca="false">AG101</f>
        <v>0.196</v>
      </c>
      <c r="AZ101" s="437" t="n">
        <f aca="false">AG101</f>
        <v>0.196</v>
      </c>
      <c r="BA101" s="441" t="n">
        <f aca="false">AG101</f>
        <v>0.196</v>
      </c>
      <c r="BB101" s="442" t="n">
        <f aca="false">B101</f>
        <v>39356</v>
      </c>
      <c r="BC101" s="437" t="n">
        <f aca="false">(1+$AW101/2)^(-2*($B101-$BC$11)/365.25)</f>
        <v>0.614071834221154</v>
      </c>
      <c r="BD101" s="437" t="n">
        <f aca="false">(1+$AW101/2)^(-2*($B101-$BD$11)/365.25)</f>
        <v>0.614187462115585</v>
      </c>
      <c r="BF101" s="442" t="n">
        <f aca="false">B101</f>
        <v>39356</v>
      </c>
      <c r="BG101" s="418" t="n">
        <v>89</v>
      </c>
    </row>
    <row r="102" customFormat="false" ht="12" hidden="false" customHeight="false" outlineLevel="0" collapsed="false">
      <c r="B102" s="419" t="n">
        <f aca="false">EOMONTH(B101,0)+1</f>
        <v>39387</v>
      </c>
      <c r="C102" s="420" t="n">
        <v>2.976</v>
      </c>
      <c r="D102" s="420" t="n">
        <v>0.2</v>
      </c>
      <c r="E102" s="420" t="n">
        <v>0.070133505428283</v>
      </c>
      <c r="F102" s="420" t="n">
        <v>-0.19</v>
      </c>
      <c r="G102" s="420" t="n">
        <v>-0.0325</v>
      </c>
      <c r="H102" s="420" t="n">
        <v>-0.19</v>
      </c>
      <c r="I102" s="420" t="n">
        <v>0.165</v>
      </c>
      <c r="J102" s="420" t="n">
        <v>0.27</v>
      </c>
      <c r="K102" s="420" t="n">
        <v>0.2875</v>
      </c>
      <c r="L102" s="420" t="n">
        <v>-0.073</v>
      </c>
      <c r="M102" s="420" t="n">
        <v>-0.0105</v>
      </c>
      <c r="N102" s="420" t="n">
        <v>-0.28</v>
      </c>
      <c r="O102" s="420" t="n">
        <v>0</v>
      </c>
      <c r="P102" s="420" t="n">
        <v>0.015</v>
      </c>
      <c r="Q102" s="420" t="n">
        <v>-0.0055</v>
      </c>
      <c r="R102" s="418" t="n">
        <v>-0.0265</v>
      </c>
      <c r="S102" s="418" t="n">
        <v>-0.055</v>
      </c>
      <c r="T102" s="418" t="n">
        <v>-0.1125</v>
      </c>
      <c r="U102" s="418" t="n">
        <v>-0.029</v>
      </c>
      <c r="V102" s="418" t="n">
        <v>-0.0965</v>
      </c>
      <c r="W102" s="418" t="n">
        <v>-0.1325</v>
      </c>
      <c r="X102" s="418" t="n">
        <v>0.7675</v>
      </c>
      <c r="Y102" s="418" t="n">
        <v>0.005</v>
      </c>
      <c r="Z102" s="418" t="n">
        <v>-0.19</v>
      </c>
      <c r="AA102" s="418" t="n">
        <v>-0.0205</v>
      </c>
      <c r="AB102" s="437" t="n">
        <v>0.12</v>
      </c>
      <c r="AC102" s="437" t="n">
        <v>0.465</v>
      </c>
      <c r="AD102" s="437" t="n">
        <v>0.26</v>
      </c>
      <c r="AE102" s="438" t="n">
        <v>0.2</v>
      </c>
      <c r="AF102" s="438" t="n">
        <v>0.2</v>
      </c>
      <c r="AG102" s="438" t="n">
        <v>0.22</v>
      </c>
      <c r="AH102" s="438" t="n">
        <v>0.2</v>
      </c>
      <c r="AI102" s="438" t="n">
        <v>0.204</v>
      </c>
      <c r="AJ102" s="438" t="n">
        <v>0.2</v>
      </c>
      <c r="AK102" s="438" t="n">
        <v>0.2</v>
      </c>
      <c r="AL102" s="438" t="n">
        <v>0.2</v>
      </c>
      <c r="AM102" s="438" t="n">
        <v>0.2</v>
      </c>
      <c r="AN102" s="438" t="n">
        <v>0.2</v>
      </c>
      <c r="AO102" s="438" t="n">
        <v>0.2</v>
      </c>
      <c r="AP102" s="439" t="n">
        <v>0.2</v>
      </c>
      <c r="AQ102" s="439" t="n">
        <v>0.2</v>
      </c>
      <c r="AR102" s="439" t="n">
        <v>0.2</v>
      </c>
      <c r="AS102" s="439" t="n">
        <v>0.2</v>
      </c>
      <c r="AT102" s="438" t="n">
        <v>0.2</v>
      </c>
      <c r="AU102" s="438" t="n">
        <v>0.2</v>
      </c>
      <c r="AV102" s="438" t="n">
        <v>0.22</v>
      </c>
      <c r="AW102" s="418" t="n">
        <v>0.069964826184619</v>
      </c>
      <c r="AY102" s="437" t="n">
        <f aca="false">AG102</f>
        <v>0.22</v>
      </c>
      <c r="AZ102" s="437" t="n">
        <f aca="false">AG102</f>
        <v>0.22</v>
      </c>
      <c r="BA102" s="441" t="n">
        <f aca="false">AG102</f>
        <v>0.22</v>
      </c>
      <c r="BB102" s="442" t="n">
        <f aca="false">B102</f>
        <v>39387</v>
      </c>
      <c r="BC102" s="437" t="n">
        <f aca="false">(1+$AW102/2)^(-2*($B102-$BC$11)/365.25)</f>
        <v>0.610498769554056</v>
      </c>
      <c r="BD102" s="437" t="n">
        <f aca="false">(1+$AW102/2)^(-2*($B102-$BD$11)/365.25)</f>
        <v>0.610613724413219</v>
      </c>
      <c r="BF102" s="442" t="n">
        <f aca="false">B102</f>
        <v>39387</v>
      </c>
      <c r="BG102" s="418" t="n">
        <v>90</v>
      </c>
    </row>
    <row r="103" customFormat="false" ht="12" hidden="false" customHeight="false" outlineLevel="0" collapsed="false">
      <c r="B103" s="419" t="n">
        <f aca="false">EOMONTH(B102,0)+1</f>
        <v>39417</v>
      </c>
      <c r="C103" s="420" t="n">
        <v>3.05</v>
      </c>
      <c r="D103" s="420" t="n">
        <v>0.2</v>
      </c>
      <c r="E103" s="420" t="n">
        <v>0.070145937164213</v>
      </c>
      <c r="F103" s="420" t="n">
        <v>-0.1975</v>
      </c>
      <c r="G103" s="420" t="n">
        <v>-0.055</v>
      </c>
      <c r="H103" s="420" t="n">
        <v>-0.1975</v>
      </c>
      <c r="I103" s="420" t="n">
        <v>0.205</v>
      </c>
      <c r="J103" s="420" t="n">
        <v>0.305</v>
      </c>
      <c r="K103" s="420" t="n">
        <v>0.3375</v>
      </c>
      <c r="L103" s="420" t="n">
        <v>-0.073</v>
      </c>
      <c r="M103" s="420" t="n">
        <v>-0.0105</v>
      </c>
      <c r="N103" s="420" t="n">
        <v>-0.28</v>
      </c>
      <c r="O103" s="420" t="n">
        <v>0.06</v>
      </c>
      <c r="P103" s="420" t="n">
        <v>0.015</v>
      </c>
      <c r="Q103" s="435" t="n">
        <v>-0.0055</v>
      </c>
      <c r="R103" s="418" t="n">
        <v>-0.0265</v>
      </c>
      <c r="S103" s="418" t="n">
        <v>-0.055</v>
      </c>
      <c r="T103" s="418" t="n">
        <v>-0.105</v>
      </c>
      <c r="U103" s="418" t="n">
        <v>-0.029</v>
      </c>
      <c r="V103" s="418" t="n">
        <v>-0.1315</v>
      </c>
      <c r="W103" s="418" t="n">
        <v>-0.1275</v>
      </c>
      <c r="X103" s="418" t="n">
        <v>1.19</v>
      </c>
      <c r="Y103" s="418" t="n">
        <v>0.005</v>
      </c>
      <c r="Z103" s="418" t="n">
        <v>-0.19</v>
      </c>
      <c r="AA103" s="418" t="n">
        <v>-0.0205</v>
      </c>
      <c r="AB103" s="437" t="n">
        <v>0.12</v>
      </c>
      <c r="AC103" s="437" t="n">
        <v>0.8</v>
      </c>
      <c r="AD103" s="437" t="n">
        <v>0.3</v>
      </c>
      <c r="AE103" s="438" t="n">
        <v>0.2</v>
      </c>
      <c r="AF103" s="438" t="n">
        <v>0.2</v>
      </c>
      <c r="AG103" s="438" t="n">
        <v>0.22</v>
      </c>
      <c r="AH103" s="438" t="n">
        <v>0.2</v>
      </c>
      <c r="AI103" s="438" t="n">
        <v>0.204</v>
      </c>
      <c r="AJ103" s="438" t="n">
        <v>0.2</v>
      </c>
      <c r="AK103" s="438" t="n">
        <v>0.2</v>
      </c>
      <c r="AL103" s="438" t="n">
        <v>0.2</v>
      </c>
      <c r="AM103" s="438" t="n">
        <v>0.2</v>
      </c>
      <c r="AN103" s="438" t="n">
        <v>0.2</v>
      </c>
      <c r="AO103" s="438" t="n">
        <v>0.2</v>
      </c>
      <c r="AP103" s="439" t="n">
        <v>0.2</v>
      </c>
      <c r="AQ103" s="439" t="n">
        <v>0.2</v>
      </c>
      <c r="AR103" s="439" t="n">
        <v>0.2</v>
      </c>
      <c r="AS103" s="439" t="n">
        <v>0.2</v>
      </c>
      <c r="AT103" s="438" t="n">
        <v>0.2</v>
      </c>
      <c r="AU103" s="438" t="n">
        <v>0.2</v>
      </c>
      <c r="AV103" s="438" t="n">
        <v>0.22</v>
      </c>
      <c r="AW103" s="418" t="n">
        <v>0.069964683682925</v>
      </c>
      <c r="AY103" s="437" t="n">
        <f aca="false">AG103</f>
        <v>0.22</v>
      </c>
      <c r="AZ103" s="437" t="n">
        <f aca="false">AG103</f>
        <v>0.22</v>
      </c>
      <c r="BA103" s="441" t="n">
        <f aca="false">AG103</f>
        <v>0.22</v>
      </c>
      <c r="BB103" s="442" t="n">
        <f aca="false">B103</f>
        <v>39417</v>
      </c>
      <c r="BC103" s="437" t="n">
        <f aca="false">(1+$AW103/2)^(-2*($B103-$BC$11)/365.25)</f>
        <v>0.607060775454715</v>
      </c>
      <c r="BD103" s="437" t="n">
        <f aca="false">(1+$AW103/2)^(-2*($B103-$BD$11)/365.25)</f>
        <v>0.607175082722304</v>
      </c>
      <c r="BF103" s="442" t="n">
        <f aca="false">B103</f>
        <v>39417</v>
      </c>
      <c r="BG103" s="418" t="n">
        <v>91</v>
      </c>
    </row>
    <row r="104" customFormat="false" ht="12" hidden="false" customHeight="false" outlineLevel="0" collapsed="false">
      <c r="B104" s="419" t="n">
        <f aca="false">EOMONTH(B103,0)+1</f>
        <v>39448</v>
      </c>
      <c r="C104" s="420" t="n">
        <v>3.327</v>
      </c>
      <c r="D104" s="420" t="n">
        <v>0.2</v>
      </c>
      <c r="E104" s="420" t="n">
        <v>0.070158783291394</v>
      </c>
      <c r="F104" s="420" t="n">
        <v>-0.2</v>
      </c>
      <c r="G104" s="420" t="n">
        <v>-0.0575</v>
      </c>
      <c r="H104" s="420" t="n">
        <v>-0.2</v>
      </c>
      <c r="I104" s="420" t="n">
        <v>0.26</v>
      </c>
      <c r="J104" s="420" t="n">
        <v>0.305</v>
      </c>
      <c r="K104" s="420" t="n">
        <v>0.4375</v>
      </c>
      <c r="L104" s="420" t="n">
        <v>-0.073</v>
      </c>
      <c r="M104" s="420" t="n">
        <v>-0.0085</v>
      </c>
      <c r="N104" s="420" t="n">
        <v>-0.28</v>
      </c>
      <c r="O104" s="420" t="n">
        <v>0.13</v>
      </c>
      <c r="P104" s="420" t="n">
        <v>0.015</v>
      </c>
      <c r="Q104" s="435" t="n">
        <v>-0.0055</v>
      </c>
      <c r="R104" s="418" t="n">
        <v>-0.022</v>
      </c>
      <c r="S104" s="418" t="n">
        <v>-0.055</v>
      </c>
      <c r="T104" s="418" t="n">
        <v>-0.09</v>
      </c>
      <c r="U104" s="418" t="n">
        <v>-0.029</v>
      </c>
      <c r="V104" s="418" t="n">
        <v>-0.137</v>
      </c>
      <c r="W104" s="418" t="n">
        <v>-0.1275</v>
      </c>
      <c r="X104" s="418" t="n">
        <v>1.525</v>
      </c>
      <c r="Y104" s="418" t="n">
        <v>0.005</v>
      </c>
      <c r="Z104" s="418" t="n">
        <v>-0.19</v>
      </c>
      <c r="AA104" s="418" t="n">
        <v>-0.0205</v>
      </c>
      <c r="AB104" s="437" t="n">
        <v>0.12</v>
      </c>
      <c r="AC104" s="437" t="n">
        <v>0.975</v>
      </c>
      <c r="AD104" s="437" t="n">
        <v>0.355</v>
      </c>
      <c r="AE104" s="438" t="n">
        <v>0.2</v>
      </c>
      <c r="AF104" s="438" t="n">
        <v>0.2</v>
      </c>
      <c r="AG104" s="438" t="n">
        <v>0.22</v>
      </c>
      <c r="AH104" s="438" t="n">
        <v>0.2</v>
      </c>
      <c r="AI104" s="438" t="n">
        <v>0.204</v>
      </c>
      <c r="AJ104" s="438" t="n">
        <v>0.2</v>
      </c>
      <c r="AK104" s="438" t="n">
        <v>0.2</v>
      </c>
      <c r="AL104" s="438" t="n">
        <v>0.2</v>
      </c>
      <c r="AM104" s="438" t="n">
        <v>0.2</v>
      </c>
      <c r="AN104" s="438" t="n">
        <v>0.2</v>
      </c>
      <c r="AO104" s="438" t="n">
        <v>0.2</v>
      </c>
      <c r="AP104" s="439" t="n">
        <v>0.2</v>
      </c>
      <c r="AQ104" s="439" t="n">
        <v>0.2</v>
      </c>
      <c r="AR104" s="439" t="n">
        <v>0.2</v>
      </c>
      <c r="AS104" s="439" t="n">
        <v>0.2</v>
      </c>
      <c r="AT104" s="438" t="n">
        <v>0.2</v>
      </c>
      <c r="AU104" s="438" t="n">
        <v>0.2</v>
      </c>
      <c r="AV104" s="438" t="n">
        <v>0.22</v>
      </c>
      <c r="AW104" s="418" t="n">
        <v>0.069964536431174</v>
      </c>
      <c r="AY104" s="437" t="n">
        <f aca="false">AG104</f>
        <v>0.22</v>
      </c>
      <c r="AZ104" s="437" t="n">
        <f aca="false">AG104</f>
        <v>0.22</v>
      </c>
      <c r="BA104" s="441" t="n">
        <f aca="false">AG104</f>
        <v>0.22</v>
      </c>
      <c r="BB104" s="442" t="n">
        <f aca="false">B104</f>
        <v>39448</v>
      </c>
      <c r="BC104" s="437" t="n">
        <f aca="false">(1+$AW104/2)^(-2*($B104-$BC$11)/365.25)</f>
        <v>0.603528534315475</v>
      </c>
      <c r="BD104" s="437" t="n">
        <f aca="false">(1+$AW104/2)^(-2*($B104-$BD$11)/365.25)</f>
        <v>0.603642176240168</v>
      </c>
      <c r="BF104" s="442" t="n">
        <f aca="false">B104</f>
        <v>39448</v>
      </c>
      <c r="BG104" s="418" t="n">
        <v>92</v>
      </c>
    </row>
    <row r="105" customFormat="false" ht="12" hidden="false" customHeight="false" outlineLevel="0" collapsed="false">
      <c r="B105" s="419" t="n">
        <f aca="false">EOMONTH(B104,0)+1</f>
        <v>39479</v>
      </c>
      <c r="C105" s="420" t="n">
        <v>3.205</v>
      </c>
      <c r="D105" s="420" t="n">
        <v>0.2</v>
      </c>
      <c r="E105" s="420" t="n">
        <v>0.07017162941863</v>
      </c>
      <c r="F105" s="420" t="n">
        <v>-0.2025</v>
      </c>
      <c r="G105" s="420" t="n">
        <v>-0.04</v>
      </c>
      <c r="H105" s="420" t="n">
        <v>-0.2025</v>
      </c>
      <c r="I105" s="420" t="n">
        <v>0.235</v>
      </c>
      <c r="J105" s="420" t="n">
        <v>0.305</v>
      </c>
      <c r="K105" s="420" t="n">
        <v>0.435</v>
      </c>
      <c r="L105" s="420" t="n">
        <v>-0.073</v>
      </c>
      <c r="M105" s="420" t="n">
        <v>-0.0085</v>
      </c>
      <c r="N105" s="420" t="n">
        <v>-0.28</v>
      </c>
      <c r="O105" s="420" t="n">
        <v>0</v>
      </c>
      <c r="P105" s="420" t="n">
        <v>0.015</v>
      </c>
      <c r="Q105" s="435" t="n">
        <v>-0.0055</v>
      </c>
      <c r="R105" s="418" t="n">
        <v>-0.022</v>
      </c>
      <c r="S105" s="418" t="n">
        <v>-0.055</v>
      </c>
      <c r="T105" s="418" t="n">
        <v>-0.09</v>
      </c>
      <c r="U105" s="418" t="n">
        <v>-0.029</v>
      </c>
      <c r="V105" s="418" t="n">
        <v>-0.1195</v>
      </c>
      <c r="W105" s="418" t="n">
        <v>-0.1275</v>
      </c>
      <c r="X105" s="418" t="n">
        <v>1.455</v>
      </c>
      <c r="Y105" s="418" t="n">
        <v>0.005</v>
      </c>
      <c r="Z105" s="418" t="n">
        <v>-0.19</v>
      </c>
      <c r="AA105" s="418" t="n">
        <v>-0.0205</v>
      </c>
      <c r="AB105" s="437" t="n">
        <v>0.12</v>
      </c>
      <c r="AC105" s="437" t="n">
        <v>0.975</v>
      </c>
      <c r="AD105" s="437" t="n">
        <v>0.33</v>
      </c>
      <c r="AE105" s="438" t="n">
        <v>0.2</v>
      </c>
      <c r="AF105" s="438" t="n">
        <v>0.2</v>
      </c>
      <c r="AG105" s="438" t="n">
        <v>0.22</v>
      </c>
      <c r="AH105" s="438" t="n">
        <v>0.2</v>
      </c>
      <c r="AI105" s="438" t="n">
        <v>0.204</v>
      </c>
      <c r="AJ105" s="438" t="n">
        <v>0.2</v>
      </c>
      <c r="AK105" s="438" t="n">
        <v>0.2</v>
      </c>
      <c r="AL105" s="438" t="n">
        <v>0.2</v>
      </c>
      <c r="AM105" s="438" t="n">
        <v>0.2</v>
      </c>
      <c r="AN105" s="438" t="n">
        <v>0.2</v>
      </c>
      <c r="AO105" s="438" t="n">
        <v>0.2</v>
      </c>
      <c r="AP105" s="439" t="n">
        <v>0.2</v>
      </c>
      <c r="AQ105" s="439" t="n">
        <v>0.2</v>
      </c>
      <c r="AR105" s="439" t="n">
        <v>0.2</v>
      </c>
      <c r="AS105" s="439" t="n">
        <v>0.2</v>
      </c>
      <c r="AT105" s="438" t="n">
        <v>0.2</v>
      </c>
      <c r="AU105" s="438" t="n">
        <v>0.2</v>
      </c>
      <c r="AV105" s="438" t="n">
        <v>0.22</v>
      </c>
      <c r="AW105" s="418" t="n">
        <v>0.069964389179423</v>
      </c>
      <c r="AY105" s="437" t="n">
        <f aca="false">AG105</f>
        <v>0.22</v>
      </c>
      <c r="AZ105" s="437" t="n">
        <f aca="false">AG105</f>
        <v>0.22</v>
      </c>
      <c r="BA105" s="441" t="n">
        <f aca="false">AG105</f>
        <v>0.22</v>
      </c>
      <c r="BB105" s="442" t="n">
        <f aca="false">B105</f>
        <v>39479</v>
      </c>
      <c r="BC105" s="437" t="n">
        <f aca="false">(1+$AW105/2)^(-2*($B105-$BC$11)/365.25)</f>
        <v>0.600016860349729</v>
      </c>
      <c r="BD105" s="437" t="n">
        <f aca="false">(1+$AW105/2)^(-2*($B105-$BD$11)/365.25)</f>
        <v>0.600129840806985</v>
      </c>
      <c r="BF105" s="442" t="n">
        <f aca="false">B105</f>
        <v>39479</v>
      </c>
      <c r="BG105" s="418" t="n">
        <v>93</v>
      </c>
    </row>
    <row r="106" customFormat="false" ht="12" hidden="false" customHeight="false" outlineLevel="0" collapsed="false">
      <c r="B106" s="419" t="n">
        <f aca="false">EOMONTH(B105,0)+1</f>
        <v>39508</v>
      </c>
      <c r="C106" s="420" t="n">
        <v>3.05</v>
      </c>
      <c r="D106" s="420" t="n">
        <v>0.2</v>
      </c>
      <c r="E106" s="420" t="n">
        <v>0.070183646763513</v>
      </c>
      <c r="F106" s="420" t="n">
        <v>-0.205</v>
      </c>
      <c r="G106" s="420" t="n">
        <v>-0.0275</v>
      </c>
      <c r="H106" s="420" t="n">
        <v>-0.205</v>
      </c>
      <c r="I106" s="420" t="n">
        <v>0.2325</v>
      </c>
      <c r="J106" s="420" t="n">
        <v>0.265</v>
      </c>
      <c r="K106" s="420" t="n">
        <v>0.3025</v>
      </c>
      <c r="L106" s="420" t="n">
        <v>-0.073</v>
      </c>
      <c r="M106" s="420" t="n">
        <v>-0.0085</v>
      </c>
      <c r="N106" s="420" t="n">
        <v>-0.28</v>
      </c>
      <c r="O106" s="420" t="n">
        <v>-0.18</v>
      </c>
      <c r="P106" s="420" t="n">
        <v>0.015</v>
      </c>
      <c r="Q106" s="435" t="n">
        <v>-0.0055</v>
      </c>
      <c r="R106" s="418" t="n">
        <v>-0.022</v>
      </c>
      <c r="S106" s="418" t="n">
        <v>-0.055</v>
      </c>
      <c r="T106" s="418" t="n">
        <v>-0.09</v>
      </c>
      <c r="U106" s="418" t="n">
        <v>-0.0105</v>
      </c>
      <c r="V106" s="418" t="n">
        <v>-0.102</v>
      </c>
      <c r="W106" s="418" t="n">
        <v>-0.1325</v>
      </c>
      <c r="X106" s="418" t="n">
        <v>0.835</v>
      </c>
      <c r="Y106" s="418" t="n">
        <v>0.005</v>
      </c>
      <c r="Z106" s="418" t="n">
        <v>-0.19</v>
      </c>
      <c r="AA106" s="418" t="n">
        <v>-0.0205</v>
      </c>
      <c r="AB106" s="437" t="n">
        <v>0.12</v>
      </c>
      <c r="AC106" s="437" t="n">
        <v>0.6075</v>
      </c>
      <c r="AD106" s="437" t="n">
        <v>0.3275</v>
      </c>
      <c r="AE106" s="438" t="n">
        <v>0.2</v>
      </c>
      <c r="AF106" s="438" t="n">
        <v>0.2</v>
      </c>
      <c r="AG106" s="438" t="n">
        <v>0.22</v>
      </c>
      <c r="AH106" s="438" t="n">
        <v>0.2</v>
      </c>
      <c r="AI106" s="438" t="n">
        <v>0.204</v>
      </c>
      <c r="AJ106" s="438" t="n">
        <v>0.2</v>
      </c>
      <c r="AK106" s="438" t="n">
        <v>0.2</v>
      </c>
      <c r="AL106" s="438" t="n">
        <v>0.2</v>
      </c>
      <c r="AM106" s="438" t="n">
        <v>0.2</v>
      </c>
      <c r="AN106" s="438" t="n">
        <v>0.2</v>
      </c>
      <c r="AO106" s="438" t="n">
        <v>0.2</v>
      </c>
      <c r="AP106" s="439" t="n">
        <v>0.2</v>
      </c>
      <c r="AQ106" s="439" t="n">
        <v>0.2</v>
      </c>
      <c r="AR106" s="439" t="n">
        <v>0.2</v>
      </c>
      <c r="AS106" s="439" t="n">
        <v>0.2</v>
      </c>
      <c r="AT106" s="438" t="n">
        <v>0.2</v>
      </c>
      <c r="AU106" s="438" t="n">
        <v>0.2</v>
      </c>
      <c r="AV106" s="438" t="n">
        <v>0.22</v>
      </c>
      <c r="AW106" s="418" t="n">
        <v>0.069964251427785</v>
      </c>
      <c r="AY106" s="437" t="n">
        <f aca="false">AG106</f>
        <v>0.22</v>
      </c>
      <c r="AZ106" s="437" t="n">
        <f aca="false">AG106</f>
        <v>0.22</v>
      </c>
      <c r="BA106" s="441" t="n">
        <f aca="false">AG106</f>
        <v>0.22</v>
      </c>
      <c r="BB106" s="442" t="n">
        <f aca="false">B106</f>
        <v>39508</v>
      </c>
      <c r="BC106" s="437" t="n">
        <f aca="false">(1+$AW106/2)^(-2*($B106-$BC$11)/365.25)</f>
        <v>0.596750259430797</v>
      </c>
      <c r="BD106" s="437" t="n">
        <f aca="false">(1+$AW106/2)^(-2*($B106-$BD$11)/365.25)</f>
        <v>0.596862624584401</v>
      </c>
      <c r="BF106" s="442" t="n">
        <f aca="false">B106</f>
        <v>39508</v>
      </c>
      <c r="BG106" s="418" t="n">
        <v>94</v>
      </c>
    </row>
    <row r="107" customFormat="false" ht="12" hidden="false" customHeight="false" outlineLevel="0" collapsed="false">
      <c r="B107" s="419" t="n">
        <f aca="false">EOMONTH(B106,0)+1</f>
        <v>39539</v>
      </c>
      <c r="C107" s="420" t="n">
        <v>2.887</v>
      </c>
      <c r="D107" s="420" t="n">
        <v>0.2</v>
      </c>
      <c r="E107" s="420" t="n">
        <v>0.070196492890854</v>
      </c>
      <c r="F107" s="420" t="n">
        <v>-0.195</v>
      </c>
      <c r="G107" s="420" t="n">
        <v>0.015</v>
      </c>
      <c r="H107" s="420" t="n">
        <v>-0.195</v>
      </c>
      <c r="I107" s="420" t="n">
        <v>0.1375</v>
      </c>
      <c r="J107" s="420" t="n">
        <v>0.195</v>
      </c>
      <c r="K107" s="420" t="n">
        <v>0.25</v>
      </c>
      <c r="L107" s="420" t="n">
        <v>-0.066</v>
      </c>
      <c r="M107" s="420" t="n">
        <v>-0.016</v>
      </c>
      <c r="N107" s="420" t="n">
        <v>-0.36</v>
      </c>
      <c r="O107" s="420" t="n">
        <v>-0.29</v>
      </c>
      <c r="P107" s="420" t="n">
        <v>0.0065</v>
      </c>
      <c r="Q107" s="435" t="n">
        <v>0.0045</v>
      </c>
      <c r="R107" s="418" t="n">
        <v>-0.0215</v>
      </c>
      <c r="S107" s="418" t="n">
        <v>-0.0525</v>
      </c>
      <c r="T107" s="418" t="n">
        <v>-0.17</v>
      </c>
      <c r="U107" s="418" t="n">
        <v>-0.0105</v>
      </c>
      <c r="V107" s="418" t="n">
        <v>-0.0945</v>
      </c>
      <c r="W107" s="418" t="n">
        <v>-0.12</v>
      </c>
      <c r="X107" s="418" t="n">
        <v>0.45</v>
      </c>
      <c r="Y107" s="418" t="n">
        <v>0.005</v>
      </c>
      <c r="Z107" s="418" t="n">
        <v>-0.195</v>
      </c>
      <c r="AA107" s="418" t="n">
        <v>-0.018</v>
      </c>
      <c r="AB107" s="437" t="n">
        <v>0.29</v>
      </c>
      <c r="AC107" s="437" t="n">
        <v>0.355</v>
      </c>
      <c r="AD107" s="437" t="n">
        <v>0.2325</v>
      </c>
      <c r="AE107" s="438" t="n">
        <v>0.2</v>
      </c>
      <c r="AF107" s="438" t="n">
        <v>0.2</v>
      </c>
      <c r="AG107" s="438" t="n">
        <v>0.196</v>
      </c>
      <c r="AH107" s="438" t="n">
        <v>0.2</v>
      </c>
      <c r="AI107" s="438" t="n">
        <v>0.204</v>
      </c>
      <c r="AJ107" s="438" t="n">
        <v>0.2</v>
      </c>
      <c r="AK107" s="438" t="n">
        <v>0.196</v>
      </c>
      <c r="AL107" s="438" t="n">
        <v>0.196</v>
      </c>
      <c r="AM107" s="438" t="n">
        <v>0.2</v>
      </c>
      <c r="AN107" s="438" t="n">
        <v>0.2</v>
      </c>
      <c r="AO107" s="438" t="n">
        <v>0.2</v>
      </c>
      <c r="AP107" s="439" t="n">
        <v>0.2</v>
      </c>
      <c r="AQ107" s="439" t="n">
        <v>0.2</v>
      </c>
      <c r="AR107" s="439" t="n">
        <v>0.2</v>
      </c>
      <c r="AS107" s="439" t="n">
        <v>0.2</v>
      </c>
      <c r="AT107" s="438" t="n">
        <v>0.2</v>
      </c>
      <c r="AU107" s="438" t="n">
        <v>0.2</v>
      </c>
      <c r="AV107" s="438" t="n">
        <v>0.196</v>
      </c>
      <c r="AW107" s="418" t="n">
        <v>0.069964104176034</v>
      </c>
      <c r="AY107" s="437" t="n">
        <f aca="false">AG107</f>
        <v>0.196</v>
      </c>
      <c r="AZ107" s="437" t="n">
        <f aca="false">AG107</f>
        <v>0.196</v>
      </c>
      <c r="BA107" s="441" t="n">
        <f aca="false">AG107</f>
        <v>0.196</v>
      </c>
      <c r="BB107" s="442" t="n">
        <f aca="false">B107</f>
        <v>39539</v>
      </c>
      <c r="BC107" s="437" t="n">
        <f aca="false">(1+$AW107/2)^(-2*($B107-$BC$11)/365.25)</f>
        <v>0.593278053074338</v>
      </c>
      <c r="BD107" s="437" t="n">
        <f aca="false">(1+$AW107/2)^(-2*($B107-$BD$11)/365.25)</f>
        <v>0.593389764197334</v>
      </c>
      <c r="BF107" s="442" t="n">
        <f aca="false">B107</f>
        <v>39539</v>
      </c>
      <c r="BG107" s="418" t="n">
        <v>95</v>
      </c>
    </row>
    <row r="108" customFormat="false" ht="12" hidden="false" customHeight="false" outlineLevel="0" collapsed="false">
      <c r="B108" s="419" t="n">
        <f aca="false">EOMONTH(B107,0)+1</f>
        <v>39569</v>
      </c>
      <c r="C108" s="420" t="n">
        <v>2.88</v>
      </c>
      <c r="D108" s="420" t="n">
        <v>0.2</v>
      </c>
      <c r="E108" s="420" t="n">
        <v>0.070208924627043</v>
      </c>
      <c r="F108" s="420" t="n">
        <v>-0.195</v>
      </c>
      <c r="G108" s="420" t="n">
        <v>0.015</v>
      </c>
      <c r="H108" s="420" t="n">
        <v>-0.195</v>
      </c>
      <c r="I108" s="420" t="n">
        <v>0.1475</v>
      </c>
      <c r="J108" s="420" t="n">
        <v>0.1825</v>
      </c>
      <c r="K108" s="420" t="n">
        <v>0.2025</v>
      </c>
      <c r="L108" s="420" t="n">
        <v>-0.066</v>
      </c>
      <c r="M108" s="420" t="n">
        <v>-0.016</v>
      </c>
      <c r="N108" s="420" t="n">
        <v>-0.36</v>
      </c>
      <c r="O108" s="420" t="n">
        <v>-0.29</v>
      </c>
      <c r="P108" s="420" t="n">
        <v>0.0065</v>
      </c>
      <c r="Q108" s="420" t="n">
        <v>0.0045</v>
      </c>
      <c r="R108" s="418" t="n">
        <v>-0.0215</v>
      </c>
      <c r="S108" s="418" t="n">
        <v>-0.0525</v>
      </c>
      <c r="T108" s="418" t="n">
        <v>-0.185</v>
      </c>
      <c r="U108" s="418" t="n">
        <v>-0.01075</v>
      </c>
      <c r="V108" s="418" t="n">
        <v>-0.0945</v>
      </c>
      <c r="W108" s="418" t="n">
        <v>-0.12</v>
      </c>
      <c r="X108" s="418" t="n">
        <v>0.405</v>
      </c>
      <c r="Y108" s="418" t="n">
        <v>0.005</v>
      </c>
      <c r="Z108" s="418" t="n">
        <v>-0.195</v>
      </c>
      <c r="AA108" s="418" t="n">
        <v>-0.018</v>
      </c>
      <c r="AB108" s="437" t="n">
        <v>0.29</v>
      </c>
      <c r="AC108" s="437" t="n">
        <v>0.2875</v>
      </c>
      <c r="AD108" s="437" t="n">
        <v>0.2425</v>
      </c>
      <c r="AE108" s="438" t="n">
        <v>0.2</v>
      </c>
      <c r="AF108" s="438" t="n">
        <v>0.2</v>
      </c>
      <c r="AG108" s="438" t="n">
        <v>0.196</v>
      </c>
      <c r="AH108" s="438" t="n">
        <v>0.2</v>
      </c>
      <c r="AI108" s="438" t="n">
        <v>0.204</v>
      </c>
      <c r="AJ108" s="438" t="n">
        <v>0.2</v>
      </c>
      <c r="AK108" s="438" t="n">
        <v>0.196</v>
      </c>
      <c r="AL108" s="438" t="n">
        <v>0.196</v>
      </c>
      <c r="AM108" s="438" t="n">
        <v>0.2</v>
      </c>
      <c r="AN108" s="438" t="n">
        <v>0.2</v>
      </c>
      <c r="AO108" s="438" t="n">
        <v>0.2</v>
      </c>
      <c r="AP108" s="439" t="n">
        <v>0.2</v>
      </c>
      <c r="AQ108" s="439" t="n">
        <v>0.2</v>
      </c>
      <c r="AR108" s="439" t="n">
        <v>0.2</v>
      </c>
      <c r="AS108" s="439" t="n">
        <v>0.2</v>
      </c>
      <c r="AT108" s="438" t="n">
        <v>0.2</v>
      </c>
      <c r="AU108" s="438" t="n">
        <v>0.2</v>
      </c>
      <c r="AV108" s="438" t="n">
        <v>0.196</v>
      </c>
      <c r="AW108" s="418" t="n">
        <v>0.069963961674339</v>
      </c>
      <c r="AY108" s="437" t="n">
        <f aca="false">AG108</f>
        <v>0.196</v>
      </c>
      <c r="AZ108" s="437" t="n">
        <f aca="false">AG108</f>
        <v>0.196</v>
      </c>
      <c r="BA108" s="441" t="n">
        <f aca="false">AG108</f>
        <v>0.196</v>
      </c>
      <c r="BB108" s="442" t="n">
        <f aca="false">B108</f>
        <v>39569</v>
      </c>
      <c r="BC108" s="437" t="n">
        <f aca="false">(1+$AW108/2)^(-2*($B108-$BC$11)/365.25)</f>
        <v>0.58993710420629</v>
      </c>
      <c r="BD108" s="437" t="n">
        <f aca="false">(1+$AW108/2)^(-2*($B108-$BD$11)/365.25)</f>
        <v>0.590048186023841</v>
      </c>
      <c r="BF108" s="442" t="n">
        <f aca="false">B108</f>
        <v>39569</v>
      </c>
      <c r="BG108" s="418" t="n">
        <v>96</v>
      </c>
    </row>
    <row r="109" customFormat="false" ht="12" hidden="false" customHeight="false" outlineLevel="0" collapsed="false">
      <c r="B109" s="419" t="n">
        <f aca="false">EOMONTH(B108,0)+1</f>
        <v>39600</v>
      </c>
      <c r="C109" s="420" t="n">
        <v>2.905</v>
      </c>
      <c r="D109" s="420" t="n">
        <v>0.2</v>
      </c>
      <c r="E109" s="420" t="n">
        <v>0.070221770754491</v>
      </c>
      <c r="F109" s="420" t="n">
        <v>-0.195</v>
      </c>
      <c r="G109" s="420" t="n">
        <v>0.02</v>
      </c>
      <c r="H109" s="420" t="n">
        <v>-0.195</v>
      </c>
      <c r="I109" s="420" t="n">
        <v>0.1425</v>
      </c>
      <c r="J109" s="420" t="n">
        <v>0.1825</v>
      </c>
      <c r="K109" s="420" t="n">
        <v>0.2025</v>
      </c>
      <c r="L109" s="420" t="n">
        <v>-0.082</v>
      </c>
      <c r="M109" s="420" t="n">
        <v>-0.016</v>
      </c>
      <c r="N109" s="420" t="n">
        <v>-0.36</v>
      </c>
      <c r="O109" s="420" t="n">
        <v>-0.29</v>
      </c>
      <c r="P109" s="420" t="n">
        <v>0.0065</v>
      </c>
      <c r="Q109" s="420" t="n">
        <v>0.0045</v>
      </c>
      <c r="R109" s="418" t="n">
        <v>-0.0215</v>
      </c>
      <c r="S109" s="418" t="n">
        <v>-0.0525</v>
      </c>
      <c r="T109" s="418" t="n">
        <v>-0.195</v>
      </c>
      <c r="U109" s="418" t="n">
        <v>-0.01075</v>
      </c>
      <c r="V109" s="418" t="n">
        <v>-0.0845</v>
      </c>
      <c r="W109" s="418" t="n">
        <v>-0.12</v>
      </c>
      <c r="X109" s="418" t="n">
        <v>0.395</v>
      </c>
      <c r="Y109" s="418" t="n">
        <v>0.005</v>
      </c>
      <c r="Z109" s="418" t="n">
        <v>-0.195</v>
      </c>
      <c r="AA109" s="418" t="n">
        <v>-0.018</v>
      </c>
      <c r="AB109" s="437" t="n">
        <v>0.29</v>
      </c>
      <c r="AC109" s="437" t="n">
        <v>0.2875</v>
      </c>
      <c r="AD109" s="437" t="n">
        <v>0.2375</v>
      </c>
      <c r="AE109" s="438" t="n">
        <v>0.2</v>
      </c>
      <c r="AF109" s="438" t="n">
        <v>0.2</v>
      </c>
      <c r="AG109" s="438" t="n">
        <v>0.196</v>
      </c>
      <c r="AH109" s="438" t="n">
        <v>0.2</v>
      </c>
      <c r="AI109" s="438" t="n">
        <v>0.204</v>
      </c>
      <c r="AJ109" s="438" t="n">
        <v>0.2</v>
      </c>
      <c r="AK109" s="438" t="n">
        <v>0.196</v>
      </c>
      <c r="AL109" s="438" t="n">
        <v>0.196</v>
      </c>
      <c r="AM109" s="438" t="n">
        <v>0.2</v>
      </c>
      <c r="AN109" s="438" t="n">
        <v>0.2</v>
      </c>
      <c r="AO109" s="438" t="n">
        <v>0.2</v>
      </c>
      <c r="AP109" s="439" t="n">
        <v>0.2</v>
      </c>
      <c r="AQ109" s="439" t="n">
        <v>0.2</v>
      </c>
      <c r="AR109" s="439" t="n">
        <v>0.2</v>
      </c>
      <c r="AS109" s="439" t="n">
        <v>0.2</v>
      </c>
      <c r="AT109" s="438" t="n">
        <v>0.2</v>
      </c>
      <c r="AU109" s="438" t="n">
        <v>0.2</v>
      </c>
      <c r="AV109" s="438" t="n">
        <v>0.196</v>
      </c>
      <c r="AW109" s="418" t="n">
        <v>0.069963814422588</v>
      </c>
      <c r="AY109" s="437" t="n">
        <f aca="false">AG109</f>
        <v>0.196</v>
      </c>
      <c r="AZ109" s="437" t="n">
        <f aca="false">AG109</f>
        <v>0.196</v>
      </c>
      <c r="BA109" s="441" t="n">
        <f aca="false">AG109</f>
        <v>0.196</v>
      </c>
      <c r="BB109" s="442" t="n">
        <f aca="false">B109</f>
        <v>39600</v>
      </c>
      <c r="BC109" s="437" t="n">
        <f aca="false">(1+$AW109/2)^(-2*($B109-$BC$11)/365.25)</f>
        <v>0.586504568236564</v>
      </c>
      <c r="BD109" s="437" t="n">
        <f aca="false">(1+$AW109/2)^(-2*($B109-$BD$11)/365.25)</f>
        <v>0.586615003498517</v>
      </c>
      <c r="BF109" s="442" t="n">
        <f aca="false">B109</f>
        <v>39600</v>
      </c>
      <c r="BG109" s="418" t="n">
        <v>97</v>
      </c>
    </row>
    <row r="110" customFormat="false" ht="12" hidden="false" customHeight="false" outlineLevel="0" collapsed="false">
      <c r="B110" s="419" t="n">
        <f aca="false">EOMONTH(B109,0)+1</f>
        <v>39630</v>
      </c>
      <c r="C110" s="420" t="n">
        <v>2.927</v>
      </c>
      <c r="D110" s="420" t="n">
        <v>0.18</v>
      </c>
      <c r="E110" s="420" t="n">
        <v>0.070234202490785</v>
      </c>
      <c r="F110" s="420" t="n">
        <v>-0.195</v>
      </c>
      <c r="G110" s="420" t="n">
        <v>0.0225</v>
      </c>
      <c r="H110" s="420" t="n">
        <v>-0.195</v>
      </c>
      <c r="I110" s="420" t="n">
        <v>0.1325</v>
      </c>
      <c r="J110" s="420" t="n">
        <v>0.1825</v>
      </c>
      <c r="K110" s="420" t="n">
        <v>0.215</v>
      </c>
      <c r="L110" s="420" t="n">
        <v>-0.075</v>
      </c>
      <c r="M110" s="420" t="n">
        <v>-0.016</v>
      </c>
      <c r="N110" s="420" t="n">
        <v>-0.36</v>
      </c>
      <c r="O110" s="420" t="n">
        <v>-0.29</v>
      </c>
      <c r="P110" s="420" t="n">
        <v>0.0065</v>
      </c>
      <c r="Q110" s="420" t="n">
        <v>0.0045</v>
      </c>
      <c r="R110" s="418" t="n">
        <v>-0.0215</v>
      </c>
      <c r="S110" s="418" t="n">
        <v>-0.0525</v>
      </c>
      <c r="T110" s="418" t="n">
        <v>-0.195</v>
      </c>
      <c r="U110" s="418" t="n">
        <v>-0.01075</v>
      </c>
      <c r="V110" s="418" t="n">
        <v>-0.0795</v>
      </c>
      <c r="W110" s="418" t="n">
        <v>-0.12</v>
      </c>
      <c r="X110" s="418" t="n">
        <v>0.43</v>
      </c>
      <c r="Y110" s="418" t="n">
        <v>0.005</v>
      </c>
      <c r="Z110" s="418" t="n">
        <v>-0.195</v>
      </c>
      <c r="AA110" s="418" t="n">
        <v>-0.018</v>
      </c>
      <c r="AB110" s="437" t="n">
        <v>0.29</v>
      </c>
      <c r="AC110" s="437" t="n">
        <v>0.3</v>
      </c>
      <c r="AD110" s="437" t="n">
        <v>0.2275</v>
      </c>
      <c r="AE110" s="438" t="n">
        <v>0.18</v>
      </c>
      <c r="AF110" s="438" t="n">
        <v>0.18</v>
      </c>
      <c r="AG110" s="438" t="n">
        <v>0.176</v>
      </c>
      <c r="AH110" s="438" t="n">
        <v>0.18</v>
      </c>
      <c r="AI110" s="438" t="n">
        <v>0.184</v>
      </c>
      <c r="AJ110" s="438" t="n">
        <v>0.18</v>
      </c>
      <c r="AK110" s="438" t="n">
        <v>0.176</v>
      </c>
      <c r="AL110" s="438" t="n">
        <v>0.176</v>
      </c>
      <c r="AM110" s="438" t="n">
        <v>0.18</v>
      </c>
      <c r="AN110" s="438" t="n">
        <v>0.18</v>
      </c>
      <c r="AO110" s="438" t="n">
        <v>0.18</v>
      </c>
      <c r="AP110" s="439" t="n">
        <v>0.18</v>
      </c>
      <c r="AQ110" s="439" t="n">
        <v>0.18</v>
      </c>
      <c r="AR110" s="439" t="n">
        <v>0.18</v>
      </c>
      <c r="AS110" s="439" t="n">
        <v>0.18</v>
      </c>
      <c r="AT110" s="438" t="n">
        <v>0.18</v>
      </c>
      <c r="AU110" s="438" t="n">
        <v>0.18</v>
      </c>
      <c r="AV110" s="438" t="n">
        <v>0.176</v>
      </c>
      <c r="AW110" s="418" t="n">
        <v>0.069963671920894</v>
      </c>
      <c r="AY110" s="437" t="n">
        <f aca="false">AG110</f>
        <v>0.176</v>
      </c>
      <c r="AZ110" s="437" t="n">
        <f aca="false">AG110</f>
        <v>0.176</v>
      </c>
      <c r="BA110" s="441" t="n">
        <f aca="false">AG110</f>
        <v>0.176</v>
      </c>
      <c r="BB110" s="442" t="n">
        <f aca="false">B110</f>
        <v>39630</v>
      </c>
      <c r="BC110" s="437" t="n">
        <f aca="false">(1+$AW110/2)^(-2*($B110-$BC$11)/365.25)</f>
        <v>0.5832017899679</v>
      </c>
      <c r="BD110" s="437" t="n">
        <f aca="false">(1+$AW110/2)^(-2*($B110-$BD$11)/365.25)</f>
        <v>0.583311603116801</v>
      </c>
      <c r="BF110" s="442" t="n">
        <f aca="false">B110</f>
        <v>39630</v>
      </c>
      <c r="BG110" s="418" t="n">
        <v>98</v>
      </c>
    </row>
    <row r="111" customFormat="false" ht="12" hidden="false" customHeight="false" outlineLevel="0" collapsed="false">
      <c r="B111" s="419" t="n">
        <f aca="false">EOMONTH(B110,0)+1</f>
        <v>39661</v>
      </c>
      <c r="C111" s="420" t="n">
        <v>2.948</v>
      </c>
      <c r="D111" s="420" t="n">
        <v>0.18</v>
      </c>
      <c r="E111" s="420" t="n">
        <v>0.070247048618341</v>
      </c>
      <c r="F111" s="420" t="n">
        <v>-0.195</v>
      </c>
      <c r="G111" s="420" t="n">
        <v>0.025</v>
      </c>
      <c r="H111" s="420" t="n">
        <v>-0.195</v>
      </c>
      <c r="I111" s="420" t="n">
        <v>0.13</v>
      </c>
      <c r="J111" s="420" t="n">
        <v>0.1825</v>
      </c>
      <c r="K111" s="420" t="n">
        <v>0.215</v>
      </c>
      <c r="L111" s="420" t="n">
        <v>-0.066</v>
      </c>
      <c r="M111" s="420" t="n">
        <v>-0.016</v>
      </c>
      <c r="N111" s="420" t="n">
        <v>-0.36</v>
      </c>
      <c r="O111" s="420" t="n">
        <v>-0.29</v>
      </c>
      <c r="P111" s="420" t="n">
        <v>0.0065</v>
      </c>
      <c r="Q111" s="420" t="n">
        <v>0.0045</v>
      </c>
      <c r="R111" s="418" t="n">
        <v>-0.0215</v>
      </c>
      <c r="S111" s="418" t="n">
        <v>-0.0525</v>
      </c>
      <c r="T111" s="418" t="n">
        <v>-0.195</v>
      </c>
      <c r="U111" s="418" t="n">
        <v>-0.01075</v>
      </c>
      <c r="V111" s="418" t="n">
        <v>-0.0795</v>
      </c>
      <c r="W111" s="418" t="n">
        <v>-0.12</v>
      </c>
      <c r="X111" s="418" t="n">
        <v>0.495</v>
      </c>
      <c r="Y111" s="418" t="n">
        <v>0.005</v>
      </c>
      <c r="Z111" s="418" t="n">
        <v>-0.195</v>
      </c>
      <c r="AA111" s="418" t="n">
        <v>-0.018</v>
      </c>
      <c r="AB111" s="437" t="n">
        <v>0.29</v>
      </c>
      <c r="AC111" s="437" t="n">
        <v>0.3</v>
      </c>
      <c r="AD111" s="437" t="n">
        <v>0.225</v>
      </c>
      <c r="AE111" s="438" t="n">
        <v>0.18</v>
      </c>
      <c r="AF111" s="438" t="n">
        <v>0.18</v>
      </c>
      <c r="AG111" s="438" t="n">
        <v>0.176</v>
      </c>
      <c r="AH111" s="438" t="n">
        <v>0.18</v>
      </c>
      <c r="AI111" s="438" t="n">
        <v>0.184</v>
      </c>
      <c r="AJ111" s="438" t="n">
        <v>0.18</v>
      </c>
      <c r="AK111" s="438" t="n">
        <v>0.176</v>
      </c>
      <c r="AL111" s="438" t="n">
        <v>0.176</v>
      </c>
      <c r="AM111" s="438" t="n">
        <v>0.18</v>
      </c>
      <c r="AN111" s="438" t="n">
        <v>0.18</v>
      </c>
      <c r="AO111" s="438" t="n">
        <v>0.18</v>
      </c>
      <c r="AP111" s="439" t="n">
        <v>0.18</v>
      </c>
      <c r="AQ111" s="439" t="n">
        <v>0.18</v>
      </c>
      <c r="AR111" s="439" t="n">
        <v>0.18</v>
      </c>
      <c r="AS111" s="439" t="n">
        <v>0.18</v>
      </c>
      <c r="AT111" s="438" t="n">
        <v>0.18</v>
      </c>
      <c r="AU111" s="438" t="n">
        <v>0.18</v>
      </c>
      <c r="AV111" s="438" t="n">
        <v>0.176</v>
      </c>
      <c r="AW111" s="418" t="n">
        <v>0.069963524669143</v>
      </c>
      <c r="AY111" s="437" t="n">
        <f aca="false">AG111</f>
        <v>0.176</v>
      </c>
      <c r="AZ111" s="437" t="n">
        <f aca="false">AG111</f>
        <v>0.176</v>
      </c>
      <c r="BA111" s="441" t="n">
        <f aca="false">AG111</f>
        <v>0.176</v>
      </c>
      <c r="BB111" s="442" t="n">
        <f aca="false">B111</f>
        <v>39661</v>
      </c>
      <c r="BC111" s="437" t="n">
        <f aca="false">(1+$AW111/2)^(-2*($B111-$BC$11)/365.25)</f>
        <v>0.579808470828752</v>
      </c>
      <c r="BD111" s="437" t="n">
        <f aca="false">(1+$AW111/2)^(-2*($B111-$BD$11)/365.25)</f>
        <v>0.579917644811574</v>
      </c>
      <c r="BF111" s="442" t="n">
        <f aca="false">B111</f>
        <v>39661</v>
      </c>
      <c r="BG111" s="418" t="n">
        <v>99</v>
      </c>
    </row>
    <row r="112" customFormat="false" ht="12" hidden="false" customHeight="false" outlineLevel="0" collapsed="false">
      <c r="B112" s="419" t="n">
        <f aca="false">EOMONTH(B111,0)+1</f>
        <v>39692</v>
      </c>
      <c r="C112" s="420" t="n">
        <v>2.926</v>
      </c>
      <c r="D112" s="420" t="n">
        <v>0.18</v>
      </c>
      <c r="E112" s="420" t="n">
        <v>0.070259894745952</v>
      </c>
      <c r="F112" s="420" t="n">
        <v>-0.195</v>
      </c>
      <c r="G112" s="420" t="n">
        <v>0.0175</v>
      </c>
      <c r="H112" s="420" t="n">
        <v>-0.195</v>
      </c>
      <c r="I112" s="420" t="n">
        <v>0.1275</v>
      </c>
      <c r="J112" s="420" t="n">
        <v>0.1825</v>
      </c>
      <c r="K112" s="420" t="n">
        <v>0.195</v>
      </c>
      <c r="L112" s="420" t="n">
        <v>-0.046</v>
      </c>
      <c r="M112" s="420" t="n">
        <v>-0.016</v>
      </c>
      <c r="N112" s="420" t="n">
        <v>-0.36</v>
      </c>
      <c r="O112" s="420" t="n">
        <v>-0.29</v>
      </c>
      <c r="P112" s="420" t="n">
        <v>0.0065</v>
      </c>
      <c r="Q112" s="420" t="n">
        <v>0.0045</v>
      </c>
      <c r="R112" s="418" t="n">
        <v>-0.0215</v>
      </c>
      <c r="S112" s="418" t="n">
        <v>-0.0525</v>
      </c>
      <c r="T112" s="418" t="n">
        <v>-0.185</v>
      </c>
      <c r="U112" s="418" t="n">
        <v>-0.01075</v>
      </c>
      <c r="V112" s="418" t="n">
        <v>-0.0945</v>
      </c>
      <c r="W112" s="418" t="n">
        <v>-0.12</v>
      </c>
      <c r="X112" s="418" t="n">
        <v>0.395</v>
      </c>
      <c r="Y112" s="418" t="n">
        <v>0.005</v>
      </c>
      <c r="Z112" s="418" t="n">
        <v>-0.195</v>
      </c>
      <c r="AA112" s="418" t="n">
        <v>-0.018</v>
      </c>
      <c r="AB112" s="437" t="n">
        <v>0.29</v>
      </c>
      <c r="AC112" s="437" t="n">
        <v>0.29</v>
      </c>
      <c r="AD112" s="437" t="n">
        <v>0.2225</v>
      </c>
      <c r="AE112" s="438" t="n">
        <v>0.18</v>
      </c>
      <c r="AF112" s="438" t="n">
        <v>0.18</v>
      </c>
      <c r="AG112" s="438" t="n">
        <v>0.176</v>
      </c>
      <c r="AH112" s="438" t="n">
        <v>0.18</v>
      </c>
      <c r="AI112" s="438" t="n">
        <v>0.184</v>
      </c>
      <c r="AJ112" s="438" t="n">
        <v>0.18</v>
      </c>
      <c r="AK112" s="438" t="n">
        <v>0.176</v>
      </c>
      <c r="AL112" s="438" t="n">
        <v>0.176</v>
      </c>
      <c r="AM112" s="438" t="n">
        <v>0.18</v>
      </c>
      <c r="AN112" s="438" t="n">
        <v>0.18</v>
      </c>
      <c r="AO112" s="438" t="n">
        <v>0.18</v>
      </c>
      <c r="AP112" s="439" t="n">
        <v>0.18</v>
      </c>
      <c r="AQ112" s="439" t="n">
        <v>0.18</v>
      </c>
      <c r="AR112" s="439" t="n">
        <v>0.18</v>
      </c>
      <c r="AS112" s="439" t="n">
        <v>0.18</v>
      </c>
      <c r="AT112" s="438" t="n">
        <v>0.18</v>
      </c>
      <c r="AU112" s="438" t="n">
        <v>0.18</v>
      </c>
      <c r="AV112" s="438" t="n">
        <v>0.176</v>
      </c>
      <c r="AW112" s="418" t="n">
        <v>0.069963377417392</v>
      </c>
      <c r="AY112" s="437" t="n">
        <f aca="false">AG112</f>
        <v>0.176</v>
      </c>
      <c r="AZ112" s="437" t="n">
        <f aca="false">AG112</f>
        <v>0.176</v>
      </c>
      <c r="BA112" s="441" t="n">
        <f aca="false">AG112</f>
        <v>0.176</v>
      </c>
      <c r="BB112" s="442" t="n">
        <f aca="false">B112</f>
        <v>39692</v>
      </c>
      <c r="BC112" s="437" t="n">
        <f aca="false">(1+$AW112/2)^(-2*($B112-$BC$11)/365.25)</f>
        <v>0.576434909402845</v>
      </c>
      <c r="BD112" s="437" t="n">
        <f aca="false">(1+$AW112/2)^(-2*($B112-$BD$11)/365.25)</f>
        <v>0.576543447942467</v>
      </c>
      <c r="BF112" s="442" t="n">
        <f aca="false">B112</f>
        <v>39692</v>
      </c>
      <c r="BG112" s="418" t="n">
        <v>100</v>
      </c>
    </row>
    <row r="113" customFormat="false" ht="12" hidden="false" customHeight="false" outlineLevel="0" collapsed="false">
      <c r="B113" s="419" t="n">
        <f aca="false">EOMONTH(B112,0)+1</f>
        <v>39722</v>
      </c>
      <c r="C113" s="420" t="n">
        <v>2.936</v>
      </c>
      <c r="D113" s="420" t="n">
        <v>0.18</v>
      </c>
      <c r="E113" s="420" t="n">
        <v>0.070272326482401</v>
      </c>
      <c r="F113" s="420" t="n">
        <v>-0.195</v>
      </c>
      <c r="G113" s="420" t="n">
        <v>0.0075</v>
      </c>
      <c r="H113" s="420" t="n">
        <v>-0.195</v>
      </c>
      <c r="I113" s="420" t="n">
        <v>0.1425</v>
      </c>
      <c r="J113" s="420" t="n">
        <v>0.1875</v>
      </c>
      <c r="K113" s="420" t="n">
        <v>0.215</v>
      </c>
      <c r="L113" s="420" t="n">
        <v>-0.056</v>
      </c>
      <c r="M113" s="420" t="n">
        <v>-0.016</v>
      </c>
      <c r="N113" s="420" t="n">
        <v>-0.36</v>
      </c>
      <c r="O113" s="420" t="n">
        <v>-0.29</v>
      </c>
      <c r="P113" s="420" t="n">
        <v>0.0065</v>
      </c>
      <c r="Q113" s="420" t="n">
        <v>0.0045</v>
      </c>
      <c r="R113" s="418" t="n">
        <v>-0.0215</v>
      </c>
      <c r="S113" s="418" t="n">
        <v>-0.0525</v>
      </c>
      <c r="T113" s="418" t="n">
        <v>-0.17</v>
      </c>
      <c r="U113" s="418" t="n">
        <v>-0.029</v>
      </c>
      <c r="V113" s="418" t="n">
        <v>-0.097</v>
      </c>
      <c r="W113" s="418" t="n">
        <v>-0.12</v>
      </c>
      <c r="X113" s="418" t="n">
        <v>0.461</v>
      </c>
      <c r="Y113" s="418" t="n">
        <v>0.005</v>
      </c>
      <c r="Z113" s="418" t="n">
        <v>-0.195</v>
      </c>
      <c r="AA113" s="418" t="n">
        <v>-0.018</v>
      </c>
      <c r="AB113" s="437" t="n">
        <v>0.29</v>
      </c>
      <c r="AC113" s="437" t="n">
        <v>0.3625</v>
      </c>
      <c r="AD113" s="437" t="n">
        <v>0.2375</v>
      </c>
      <c r="AE113" s="438" t="n">
        <v>0.18</v>
      </c>
      <c r="AF113" s="438" t="n">
        <v>0.18</v>
      </c>
      <c r="AG113" s="438" t="n">
        <v>0.176</v>
      </c>
      <c r="AH113" s="438" t="n">
        <v>0.18</v>
      </c>
      <c r="AI113" s="438" t="n">
        <v>0.184</v>
      </c>
      <c r="AJ113" s="438" t="n">
        <v>0.18</v>
      </c>
      <c r="AK113" s="438" t="n">
        <v>0.176</v>
      </c>
      <c r="AL113" s="438" t="n">
        <v>0.176</v>
      </c>
      <c r="AM113" s="438" t="n">
        <v>0.18</v>
      </c>
      <c r="AN113" s="438" t="n">
        <v>0.18</v>
      </c>
      <c r="AO113" s="438" t="n">
        <v>0.18</v>
      </c>
      <c r="AP113" s="439" t="n">
        <v>0.18</v>
      </c>
      <c r="AQ113" s="439" t="n">
        <v>0.18</v>
      </c>
      <c r="AR113" s="439" t="n">
        <v>0.18</v>
      </c>
      <c r="AS113" s="439" t="n">
        <v>0.18</v>
      </c>
      <c r="AT113" s="438" t="n">
        <v>0.18</v>
      </c>
      <c r="AU113" s="438" t="n">
        <v>0.18</v>
      </c>
      <c r="AV113" s="438" t="n">
        <v>0.176</v>
      </c>
      <c r="AW113" s="418" t="n">
        <v>0.069963234915698</v>
      </c>
      <c r="AY113" s="437" t="n">
        <f aca="false">AG113</f>
        <v>0.176</v>
      </c>
      <c r="AZ113" s="437" t="n">
        <f aca="false">AG113</f>
        <v>0.176</v>
      </c>
      <c r="BA113" s="441" t="n">
        <f aca="false">AG113</f>
        <v>0.176</v>
      </c>
      <c r="BB113" s="442" t="n">
        <f aca="false">B113</f>
        <v>39722</v>
      </c>
      <c r="BC113" s="437" t="n">
        <f aca="false">(1+$AW113/2)^(-2*($B113-$BC$11)/365.25)</f>
        <v>0.57318887607678</v>
      </c>
      <c r="BD113" s="437" t="n">
        <f aca="false">(1+$AW113/2)^(-2*($B113-$BD$11)/365.25)</f>
        <v>0.573296803195606</v>
      </c>
      <c r="BF113" s="442" t="n">
        <f aca="false">B113</f>
        <v>39722</v>
      </c>
      <c r="BG113" s="418" t="n">
        <v>101</v>
      </c>
    </row>
    <row r="114" customFormat="false" ht="12" hidden="false" customHeight="false" outlineLevel="0" collapsed="false">
      <c r="B114" s="419" t="n">
        <f aca="false">EOMONTH(B113,0)+1</f>
        <v>39753</v>
      </c>
      <c r="C114" s="420" t="n">
        <v>3.003</v>
      </c>
      <c r="D114" s="420" t="n">
        <v>0.18</v>
      </c>
      <c r="E114" s="420" t="n">
        <v>0.070285172610119</v>
      </c>
      <c r="F114" s="420" t="n">
        <v>-0.19</v>
      </c>
      <c r="G114" s="420" t="n">
        <v>-0.0325</v>
      </c>
      <c r="H114" s="420" t="n">
        <v>-0.19</v>
      </c>
      <c r="I114" s="420" t="n">
        <v>0.205</v>
      </c>
      <c r="J114" s="420" t="n">
        <v>0.27</v>
      </c>
      <c r="K114" s="420" t="n">
        <v>0.2875</v>
      </c>
      <c r="L114" s="420" t="n">
        <v>-0.071</v>
      </c>
      <c r="M114" s="420" t="n">
        <v>-0.0085</v>
      </c>
      <c r="N114" s="420" t="n">
        <v>-0.28</v>
      </c>
      <c r="O114" s="420" t="n">
        <v>0</v>
      </c>
      <c r="P114" s="420" t="n">
        <v>0.016</v>
      </c>
      <c r="Q114" s="420" t="n">
        <v>-0.0035</v>
      </c>
      <c r="R114" s="418" t="n">
        <v>-0.0245</v>
      </c>
      <c r="S114" s="418" t="n">
        <v>-0.0525</v>
      </c>
      <c r="T114" s="418" t="n">
        <v>-0.1325</v>
      </c>
      <c r="U114" s="418" t="n">
        <v>-0.0305</v>
      </c>
      <c r="V114" s="418" t="n">
        <v>-0.0945</v>
      </c>
      <c r="W114" s="418" t="n">
        <v>-0.1325</v>
      </c>
      <c r="X114" s="418" t="n">
        <v>0.7675</v>
      </c>
      <c r="Y114" s="418" t="n">
        <v>0.005</v>
      </c>
      <c r="Z114" s="418" t="n">
        <v>-0.19</v>
      </c>
      <c r="AA114" s="418" t="n">
        <v>-0.0195</v>
      </c>
      <c r="AB114" s="437" t="n">
        <v>0.12</v>
      </c>
      <c r="AC114" s="437" t="n">
        <v>0.465</v>
      </c>
      <c r="AD114" s="437" t="n">
        <v>0.3</v>
      </c>
      <c r="AE114" s="438" t="n">
        <v>0.18</v>
      </c>
      <c r="AF114" s="438" t="n">
        <v>0.18</v>
      </c>
      <c r="AG114" s="438" t="n">
        <v>0.198</v>
      </c>
      <c r="AH114" s="438" t="n">
        <v>0.18</v>
      </c>
      <c r="AI114" s="438" t="n">
        <v>0.184</v>
      </c>
      <c r="AJ114" s="438" t="n">
        <v>0.18</v>
      </c>
      <c r="AK114" s="438" t="n">
        <v>0.18</v>
      </c>
      <c r="AL114" s="438" t="n">
        <v>0.18</v>
      </c>
      <c r="AM114" s="438" t="n">
        <v>0.18</v>
      </c>
      <c r="AN114" s="438" t="n">
        <v>0.18</v>
      </c>
      <c r="AO114" s="438" t="n">
        <v>0.18</v>
      </c>
      <c r="AP114" s="439" t="n">
        <v>0.18</v>
      </c>
      <c r="AQ114" s="439" t="n">
        <v>0.18</v>
      </c>
      <c r="AR114" s="439" t="n">
        <v>0.18</v>
      </c>
      <c r="AS114" s="439" t="n">
        <v>0.18</v>
      </c>
      <c r="AT114" s="438" t="n">
        <v>0.18</v>
      </c>
      <c r="AU114" s="438" t="n">
        <v>0.18</v>
      </c>
      <c r="AV114" s="438" t="n">
        <v>0.198</v>
      </c>
      <c r="AW114" s="418" t="n">
        <v>0.069963087663946</v>
      </c>
      <c r="AY114" s="437" t="n">
        <f aca="false">AG114</f>
        <v>0.198</v>
      </c>
      <c r="AZ114" s="437" t="n">
        <f aca="false">AG114</f>
        <v>0.198</v>
      </c>
      <c r="BA114" s="441" t="n">
        <f aca="false">AG114</f>
        <v>0.198</v>
      </c>
      <c r="BB114" s="442" t="n">
        <f aca="false">B114</f>
        <v>39753</v>
      </c>
      <c r="BC114" s="437" t="n">
        <f aca="false">(1+$AW114/2)^(-2*($B114-$BC$11)/365.25)</f>
        <v>0.569853857225442</v>
      </c>
      <c r="BD114" s="437" t="n">
        <f aca="false">(1+$AW114/2)^(-2*($B114-$BD$11)/365.25)</f>
        <v>0.569961156163493</v>
      </c>
      <c r="BF114" s="442" t="n">
        <f aca="false">B114</f>
        <v>39753</v>
      </c>
      <c r="BG114" s="418" t="n">
        <v>102</v>
      </c>
    </row>
    <row r="115" customFormat="false" ht="12" hidden="false" customHeight="false" outlineLevel="0" collapsed="false">
      <c r="B115" s="419" t="n">
        <f aca="false">EOMONTH(B114,0)+1</f>
        <v>39783</v>
      </c>
      <c r="C115" s="420" t="n">
        <v>3.074</v>
      </c>
      <c r="D115" s="420" t="n">
        <v>0.18</v>
      </c>
      <c r="E115" s="420" t="n">
        <v>0.070297604346672</v>
      </c>
      <c r="F115" s="420" t="n">
        <v>-0.1975</v>
      </c>
      <c r="G115" s="420" t="n">
        <v>-0.055</v>
      </c>
      <c r="H115" s="420" t="n">
        <v>-0.1975</v>
      </c>
      <c r="I115" s="420" t="n">
        <v>0.245</v>
      </c>
      <c r="J115" s="420" t="n">
        <v>0.305</v>
      </c>
      <c r="K115" s="420" t="n">
        <v>0.3375</v>
      </c>
      <c r="L115" s="420" t="n">
        <v>-0.071</v>
      </c>
      <c r="M115" s="420" t="n">
        <v>-0.0085</v>
      </c>
      <c r="N115" s="420" t="n">
        <v>-0.28</v>
      </c>
      <c r="O115" s="420" t="n">
        <v>0.06</v>
      </c>
      <c r="P115" s="420" t="n">
        <v>0.016</v>
      </c>
      <c r="Q115" s="420" t="n">
        <v>-0.0035</v>
      </c>
      <c r="R115" s="418" t="n">
        <v>-0.0245</v>
      </c>
      <c r="S115" s="418" t="n">
        <v>-0.0525</v>
      </c>
      <c r="T115" s="418" t="n">
        <v>-0.125</v>
      </c>
      <c r="U115" s="418" t="n">
        <v>-0.0305</v>
      </c>
      <c r="V115" s="418" t="n">
        <v>-0.1295</v>
      </c>
      <c r="W115" s="418" t="n">
        <v>-0.1275</v>
      </c>
      <c r="X115" s="418" t="n">
        <v>1.19</v>
      </c>
      <c r="Y115" s="418" t="n">
        <v>0.005</v>
      </c>
      <c r="Z115" s="418" t="n">
        <v>-0.19</v>
      </c>
      <c r="AA115" s="418" t="n">
        <v>-0.0195</v>
      </c>
      <c r="AB115" s="437" t="n">
        <v>0.12</v>
      </c>
      <c r="AC115" s="437" t="n">
        <v>0.8</v>
      </c>
      <c r="AD115" s="437" t="n">
        <v>0.34</v>
      </c>
      <c r="AE115" s="438" t="n">
        <v>0.18</v>
      </c>
      <c r="AF115" s="438" t="n">
        <v>0.18</v>
      </c>
      <c r="AG115" s="438" t="n">
        <v>0.198</v>
      </c>
      <c r="AH115" s="438" t="n">
        <v>0.18</v>
      </c>
      <c r="AI115" s="438" t="n">
        <v>0.184</v>
      </c>
      <c r="AJ115" s="438" t="n">
        <v>0.18</v>
      </c>
      <c r="AK115" s="438" t="n">
        <v>0.18</v>
      </c>
      <c r="AL115" s="438" t="n">
        <v>0.18</v>
      </c>
      <c r="AM115" s="438" t="n">
        <v>0.18</v>
      </c>
      <c r="AN115" s="438" t="n">
        <v>0.18</v>
      </c>
      <c r="AO115" s="438" t="n">
        <v>0.18</v>
      </c>
      <c r="AP115" s="439" t="n">
        <v>0.18</v>
      </c>
      <c r="AQ115" s="439" t="n">
        <v>0.18</v>
      </c>
      <c r="AR115" s="439" t="n">
        <v>0.18</v>
      </c>
      <c r="AS115" s="439" t="n">
        <v>0.18</v>
      </c>
      <c r="AT115" s="438" t="n">
        <v>0.18</v>
      </c>
      <c r="AU115" s="438" t="n">
        <v>0.18</v>
      </c>
      <c r="AV115" s="438" t="n">
        <v>0.198</v>
      </c>
      <c r="AW115" s="418" t="n">
        <v>0.069962945162252</v>
      </c>
      <c r="AY115" s="437" t="n">
        <f aca="false">AG115</f>
        <v>0.198</v>
      </c>
      <c r="AZ115" s="437" t="n">
        <f aca="false">AG115</f>
        <v>0.198</v>
      </c>
      <c r="BA115" s="441" t="n">
        <f aca="false">AG115</f>
        <v>0.198</v>
      </c>
      <c r="BB115" s="442" t="n">
        <f aca="false">B115</f>
        <v>39783</v>
      </c>
      <c r="BC115" s="437" t="n">
        <f aca="false">(1+$AW115/2)^(-2*($B115-$BC$11)/365.25)</f>
        <v>0.566644909329254</v>
      </c>
      <c r="BD115" s="437" t="n">
        <f aca="false">(1+$AW115/2)^(-2*($B115-$BD$11)/365.25)</f>
        <v>0.566751603834356</v>
      </c>
      <c r="BF115" s="442" t="n">
        <f aca="false">B115</f>
        <v>39783</v>
      </c>
      <c r="BG115" s="418" t="n">
        <v>103</v>
      </c>
    </row>
    <row r="116" customFormat="false" ht="12" hidden="false" customHeight="false" outlineLevel="0" collapsed="false">
      <c r="B116" s="419" t="n">
        <f aca="false">EOMONTH(B115,0)+1</f>
        <v>39814</v>
      </c>
      <c r="C116" s="420" t="n">
        <v>3.359</v>
      </c>
      <c r="D116" s="420" t="n">
        <v>0.18</v>
      </c>
      <c r="E116" s="420" t="n">
        <v>0.070310450474497</v>
      </c>
      <c r="F116" s="420" t="n">
        <v>-0.2</v>
      </c>
      <c r="G116" s="420" t="n">
        <v>-0.0575</v>
      </c>
      <c r="H116" s="420" t="n">
        <v>-0.2</v>
      </c>
      <c r="I116" s="420" t="n">
        <v>0.31</v>
      </c>
      <c r="J116" s="420" t="n">
        <v>0.305</v>
      </c>
      <c r="K116" s="420" t="n">
        <v>0.4375</v>
      </c>
      <c r="L116" s="420" t="n">
        <v>-0.071</v>
      </c>
      <c r="M116" s="420" t="n">
        <v>-0.0065</v>
      </c>
      <c r="N116" s="420" t="n">
        <v>-0.28</v>
      </c>
      <c r="O116" s="420" t="n">
        <v>0.13</v>
      </c>
      <c r="P116" s="420" t="n">
        <v>0.016</v>
      </c>
      <c r="Q116" s="420" t="n">
        <v>-0.0035</v>
      </c>
      <c r="R116" s="418" t="n">
        <v>-0.02</v>
      </c>
      <c r="S116" s="418" t="n">
        <v>-0.0525</v>
      </c>
      <c r="T116" s="418" t="n">
        <v>-0.11</v>
      </c>
      <c r="U116" s="418" t="n">
        <v>-0.0305</v>
      </c>
      <c r="V116" s="418" t="n">
        <v>-0.135</v>
      </c>
      <c r="W116" s="418" t="n">
        <v>-0.1275</v>
      </c>
      <c r="X116" s="418" t="n">
        <v>1.525</v>
      </c>
      <c r="Y116" s="418" t="n">
        <v>0.005</v>
      </c>
      <c r="Z116" s="418" t="n">
        <v>-0.19</v>
      </c>
      <c r="AA116" s="418" t="n">
        <v>-0.0195</v>
      </c>
      <c r="AB116" s="437" t="n">
        <v>0.12</v>
      </c>
      <c r="AC116" s="437" t="n">
        <v>0.975</v>
      </c>
      <c r="AD116" s="437" t="n">
        <v>0.405</v>
      </c>
      <c r="AE116" s="438" t="n">
        <v>0.18</v>
      </c>
      <c r="AF116" s="438" t="n">
        <v>0.18</v>
      </c>
      <c r="AG116" s="438" t="n">
        <v>0.198</v>
      </c>
      <c r="AH116" s="438" t="n">
        <v>0.18</v>
      </c>
      <c r="AI116" s="438" t="n">
        <v>0.184</v>
      </c>
      <c r="AJ116" s="438" t="n">
        <v>0.18</v>
      </c>
      <c r="AK116" s="438" t="n">
        <v>0.18</v>
      </c>
      <c r="AL116" s="438" t="n">
        <v>0.18</v>
      </c>
      <c r="AM116" s="438" t="n">
        <v>0.18</v>
      </c>
      <c r="AN116" s="438" t="n">
        <v>0.18</v>
      </c>
      <c r="AO116" s="438" t="n">
        <v>0.18</v>
      </c>
      <c r="AP116" s="439" t="n">
        <v>0.18</v>
      </c>
      <c r="AQ116" s="439" t="n">
        <v>0.18</v>
      </c>
      <c r="AR116" s="439" t="n">
        <v>0.18</v>
      </c>
      <c r="AS116" s="439" t="n">
        <v>0.18</v>
      </c>
      <c r="AT116" s="438" t="n">
        <v>0.18</v>
      </c>
      <c r="AU116" s="438" t="n">
        <v>0.18</v>
      </c>
      <c r="AV116" s="438" t="n">
        <v>0.198</v>
      </c>
      <c r="AW116" s="418" t="n">
        <v>0.069962797910501</v>
      </c>
      <c r="AY116" s="437" t="n">
        <f aca="false">AG116</f>
        <v>0.198</v>
      </c>
      <c r="AZ116" s="437" t="n">
        <f aca="false">AG116</f>
        <v>0.198</v>
      </c>
      <c r="BA116" s="441" t="n">
        <f aca="false">AG116</f>
        <v>0.198</v>
      </c>
      <c r="BB116" s="442" t="n">
        <f aca="false">B116</f>
        <v>39814</v>
      </c>
      <c r="BC116" s="437" t="n">
        <f aca="false">(1+$AW116/2)^(-2*($B116-$BC$11)/365.25)</f>
        <v>0.563347992399649</v>
      </c>
      <c r="BD116" s="437" t="n">
        <f aca="false">(1+$AW116/2)^(-2*($B116-$BD$11)/365.25)</f>
        <v>0.563454065903342</v>
      </c>
      <c r="BF116" s="442" t="n">
        <f aca="false">B116</f>
        <v>39814</v>
      </c>
      <c r="BG116" s="418" t="n">
        <v>104</v>
      </c>
    </row>
    <row r="117" customFormat="false" ht="12" hidden="false" customHeight="false" outlineLevel="0" collapsed="false">
      <c r="B117" s="419" t="n">
        <f aca="false">EOMONTH(B116,0)+1</f>
        <v>39845</v>
      </c>
      <c r="C117" s="420" t="n">
        <v>3.241</v>
      </c>
      <c r="D117" s="420" t="n">
        <v>0.18</v>
      </c>
      <c r="E117" s="420" t="n">
        <v>0.070323296602377</v>
      </c>
      <c r="F117" s="420" t="n">
        <v>-0.2025</v>
      </c>
      <c r="G117" s="420" t="n">
        <v>-0.04</v>
      </c>
      <c r="H117" s="420" t="n">
        <v>-0.2025</v>
      </c>
      <c r="I117" s="420" t="n">
        <v>0.285</v>
      </c>
      <c r="J117" s="420" t="n">
        <v>0.305</v>
      </c>
      <c r="K117" s="420" t="n">
        <v>0.435</v>
      </c>
      <c r="L117" s="420" t="n">
        <v>-0.071</v>
      </c>
      <c r="M117" s="420" t="n">
        <v>-0.0065</v>
      </c>
      <c r="N117" s="420" t="n">
        <v>-0.28</v>
      </c>
      <c r="O117" s="420" t="n">
        <v>0</v>
      </c>
      <c r="P117" s="420" t="n">
        <v>0.016</v>
      </c>
      <c r="Q117" s="420" t="n">
        <v>-0.0035</v>
      </c>
      <c r="R117" s="418" t="n">
        <v>-0.02</v>
      </c>
      <c r="S117" s="418" t="n">
        <v>-0.0525</v>
      </c>
      <c r="T117" s="418" t="n">
        <v>-0.11</v>
      </c>
      <c r="U117" s="418" t="n">
        <v>-0.0305</v>
      </c>
      <c r="V117" s="418" t="n">
        <v>-0.1175</v>
      </c>
      <c r="W117" s="418" t="n">
        <v>-0.1275</v>
      </c>
      <c r="X117" s="418" t="n">
        <v>1.455</v>
      </c>
      <c r="Y117" s="418" t="n">
        <v>0.005</v>
      </c>
      <c r="Z117" s="418" t="n">
        <v>-0.19</v>
      </c>
      <c r="AA117" s="418" t="n">
        <v>-0.0195</v>
      </c>
      <c r="AB117" s="437" t="n">
        <v>0.12</v>
      </c>
      <c r="AC117" s="437" t="n">
        <v>0.975</v>
      </c>
      <c r="AD117" s="437" t="n">
        <v>0.38</v>
      </c>
      <c r="AE117" s="438" t="n">
        <v>0.18</v>
      </c>
      <c r="AF117" s="438" t="n">
        <v>0.18</v>
      </c>
      <c r="AG117" s="438" t="n">
        <v>0.198</v>
      </c>
      <c r="AH117" s="438" t="n">
        <v>0.18</v>
      </c>
      <c r="AI117" s="438" t="n">
        <v>0.184</v>
      </c>
      <c r="AJ117" s="438" t="n">
        <v>0.18</v>
      </c>
      <c r="AK117" s="438" t="n">
        <v>0.18</v>
      </c>
      <c r="AL117" s="438" t="n">
        <v>0.18</v>
      </c>
      <c r="AM117" s="438" t="n">
        <v>0.18</v>
      </c>
      <c r="AN117" s="438" t="n">
        <v>0.18</v>
      </c>
      <c r="AO117" s="438" t="n">
        <v>0.18</v>
      </c>
      <c r="AP117" s="439" t="n">
        <v>0.18</v>
      </c>
      <c r="AQ117" s="439" t="n">
        <v>0.18</v>
      </c>
      <c r="AR117" s="439" t="n">
        <v>0.18</v>
      </c>
      <c r="AS117" s="439" t="n">
        <v>0.18</v>
      </c>
      <c r="AT117" s="438" t="n">
        <v>0.18</v>
      </c>
      <c r="AU117" s="438" t="n">
        <v>0.18</v>
      </c>
      <c r="AV117" s="438" t="n">
        <v>0.198</v>
      </c>
      <c r="AW117" s="418" t="n">
        <v>0.06996265065875</v>
      </c>
      <c r="AY117" s="437" t="n">
        <f aca="false">AG117</f>
        <v>0.198</v>
      </c>
      <c r="AZ117" s="437" t="n">
        <f aca="false">AG117</f>
        <v>0.198</v>
      </c>
      <c r="BA117" s="441" t="n">
        <f aca="false">AG117</f>
        <v>0.198</v>
      </c>
      <c r="BB117" s="442" t="n">
        <f aca="false">B117</f>
        <v>39845</v>
      </c>
      <c r="BC117" s="437" t="n">
        <f aca="false">(1+$AW117/2)^(-2*($B117-$BC$11)/365.25)</f>
        <v>0.560070271487821</v>
      </c>
      <c r="BD117" s="437" t="n">
        <f aca="false">(1+$AW117/2)^(-2*($B117-$BD$11)/365.25)</f>
        <v>0.560175727607107</v>
      </c>
      <c r="BF117" s="442" t="n">
        <f aca="false">B117</f>
        <v>39845</v>
      </c>
      <c r="BG117" s="418" t="n">
        <v>105</v>
      </c>
    </row>
    <row r="118" customFormat="false" ht="12" hidden="false" customHeight="false" outlineLevel="0" collapsed="false">
      <c r="B118" s="419" t="n">
        <f aca="false">EOMONTH(B117,0)+1</f>
        <v>39873</v>
      </c>
      <c r="C118" s="420" t="n">
        <v>3.089</v>
      </c>
      <c r="D118" s="420" t="n">
        <v>0.17</v>
      </c>
      <c r="E118" s="420" t="n">
        <v>0.070334899556638</v>
      </c>
      <c r="F118" s="420" t="n">
        <v>-0.205</v>
      </c>
      <c r="G118" s="420" t="n">
        <v>-0.0275</v>
      </c>
      <c r="H118" s="420" t="n">
        <v>-0.205</v>
      </c>
      <c r="I118" s="420" t="n">
        <v>0.2825</v>
      </c>
      <c r="J118" s="420" t="n">
        <v>0.265</v>
      </c>
      <c r="K118" s="420" t="n">
        <v>0.3025</v>
      </c>
      <c r="L118" s="420" t="n">
        <v>-0.071</v>
      </c>
      <c r="M118" s="420" t="n">
        <v>-0.0065</v>
      </c>
      <c r="N118" s="420" t="n">
        <v>-0.28</v>
      </c>
      <c r="O118" s="420" t="n">
        <v>-0.18</v>
      </c>
      <c r="P118" s="420" t="n">
        <v>0.016</v>
      </c>
      <c r="Q118" s="420" t="n">
        <v>-0.0035</v>
      </c>
      <c r="R118" s="418" t="n">
        <v>-0.02</v>
      </c>
      <c r="S118" s="418" t="n">
        <v>-0.0525</v>
      </c>
      <c r="T118" s="418" t="n">
        <v>-0.11</v>
      </c>
      <c r="U118" s="418" t="n">
        <v>-0.012</v>
      </c>
      <c r="V118" s="418" t="n">
        <v>-0.1</v>
      </c>
      <c r="W118" s="418" t="n">
        <v>-0.1325</v>
      </c>
      <c r="X118" s="418" t="n">
        <v>0.835</v>
      </c>
      <c r="Y118" s="418" t="n">
        <v>0.005</v>
      </c>
      <c r="Z118" s="418" t="n">
        <v>-0.19</v>
      </c>
      <c r="AA118" s="418" t="n">
        <v>-0.0195</v>
      </c>
      <c r="AB118" s="437" t="n">
        <v>0.12</v>
      </c>
      <c r="AC118" s="437" t="n">
        <v>0.6075</v>
      </c>
      <c r="AD118" s="437" t="n">
        <v>0.3775</v>
      </c>
      <c r="AE118" s="438" t="n">
        <v>0.17</v>
      </c>
      <c r="AF118" s="438" t="n">
        <v>0.17</v>
      </c>
      <c r="AG118" s="438" t="n">
        <v>0.187</v>
      </c>
      <c r="AH118" s="438" t="n">
        <v>0.17</v>
      </c>
      <c r="AI118" s="438" t="n">
        <v>0.173</v>
      </c>
      <c r="AJ118" s="438" t="n">
        <v>0.17</v>
      </c>
      <c r="AK118" s="438" t="n">
        <v>0.17</v>
      </c>
      <c r="AL118" s="438" t="n">
        <v>0.17</v>
      </c>
      <c r="AM118" s="438" t="n">
        <v>0.17</v>
      </c>
      <c r="AN118" s="438" t="n">
        <v>0.17</v>
      </c>
      <c r="AO118" s="438" t="n">
        <v>0.17</v>
      </c>
      <c r="AP118" s="439" t="n">
        <v>0.17</v>
      </c>
      <c r="AQ118" s="439" t="n">
        <v>0.17</v>
      </c>
      <c r="AR118" s="439" t="n">
        <v>0.17</v>
      </c>
      <c r="AS118" s="439" t="n">
        <v>0.17</v>
      </c>
      <c r="AT118" s="438" t="n">
        <v>0.17</v>
      </c>
      <c r="AU118" s="438" t="n">
        <v>0.17</v>
      </c>
      <c r="AV118" s="438" t="n">
        <v>0.187</v>
      </c>
      <c r="AW118" s="418" t="n">
        <v>0.069962517657169</v>
      </c>
      <c r="AY118" s="437" t="n">
        <f aca="false">AG118</f>
        <v>0.187</v>
      </c>
      <c r="AZ118" s="437" t="n">
        <f aca="false">AG118</f>
        <v>0.187</v>
      </c>
      <c r="BA118" s="441" t="n">
        <f aca="false">AG118</f>
        <v>0.187</v>
      </c>
      <c r="BB118" s="442" t="n">
        <f aca="false">B118</f>
        <v>39873</v>
      </c>
      <c r="BC118" s="437" t="n">
        <f aca="false">(1+$AW118/2)^(-2*($B118-$BC$11)/365.25)</f>
        <v>0.557126155714758</v>
      </c>
      <c r="BD118" s="437" t="n">
        <f aca="false">(1+$AW118/2)^(-2*($B118-$BD$11)/365.25)</f>
        <v>0.55723105728787</v>
      </c>
      <c r="BF118" s="442" t="n">
        <f aca="false">B118</f>
        <v>39873</v>
      </c>
      <c r="BG118" s="418" t="n">
        <v>106</v>
      </c>
    </row>
    <row r="119" customFormat="false" ht="12" hidden="false" customHeight="false" outlineLevel="0" collapsed="false">
      <c r="B119" s="419" t="n">
        <f aca="false">EOMONTH(B118,0)+1</f>
        <v>39904</v>
      </c>
      <c r="C119" s="420" t="n">
        <v>2.929</v>
      </c>
      <c r="D119" s="420" t="n">
        <v>0.17</v>
      </c>
      <c r="E119" s="420" t="n">
        <v>0.070347745684622</v>
      </c>
      <c r="F119" s="420" t="n">
        <v>-0.195</v>
      </c>
      <c r="G119" s="420" t="n">
        <v>0.015</v>
      </c>
      <c r="H119" s="420" t="n">
        <v>-0.195</v>
      </c>
      <c r="I119" s="420" t="n">
        <v>0.1875</v>
      </c>
      <c r="J119" s="420" t="n">
        <v>0.195</v>
      </c>
      <c r="K119" s="420" t="n">
        <v>0.25</v>
      </c>
      <c r="L119" s="420" t="n">
        <v>-0.064</v>
      </c>
      <c r="M119" s="420" t="n">
        <v>-0.014</v>
      </c>
      <c r="N119" s="420" t="n">
        <v>-0.36</v>
      </c>
      <c r="O119" s="420" t="n">
        <v>-0.29</v>
      </c>
      <c r="P119" s="420" t="n">
        <v>0.0065</v>
      </c>
      <c r="Q119" s="420" t="n">
        <v>0.0065</v>
      </c>
      <c r="R119" s="418" t="n">
        <v>-0.0195</v>
      </c>
      <c r="S119" s="418" t="n">
        <v>-0.05</v>
      </c>
      <c r="T119" s="418" t="n">
        <v>-0.155</v>
      </c>
      <c r="U119" s="418" t="n">
        <v>-0.012</v>
      </c>
      <c r="V119" s="418" t="n">
        <v>-0.0925</v>
      </c>
      <c r="W119" s="418" t="n">
        <v>-0.12</v>
      </c>
      <c r="X119" s="418" t="n">
        <v>0.45</v>
      </c>
      <c r="Y119" s="418" t="n">
        <v>0.005</v>
      </c>
      <c r="Z119" s="418" t="n">
        <v>-0.195</v>
      </c>
      <c r="AA119" s="418" t="n">
        <v>-0.017</v>
      </c>
      <c r="AB119" s="437" t="n">
        <v>0.29</v>
      </c>
      <c r="AC119" s="437" t="n">
        <v>0.355</v>
      </c>
      <c r="AD119" s="437" t="n">
        <v>0.2825</v>
      </c>
      <c r="AE119" s="438" t="n">
        <v>0.17</v>
      </c>
      <c r="AF119" s="438" t="n">
        <v>0.17</v>
      </c>
      <c r="AG119" s="438" t="n">
        <v>0.167</v>
      </c>
      <c r="AH119" s="438" t="n">
        <v>0.17</v>
      </c>
      <c r="AI119" s="438" t="n">
        <v>0.173</v>
      </c>
      <c r="AJ119" s="438" t="n">
        <v>0.17</v>
      </c>
      <c r="AK119" s="438" t="n">
        <v>0.167</v>
      </c>
      <c r="AL119" s="438" t="n">
        <v>0.167</v>
      </c>
      <c r="AM119" s="438" t="n">
        <v>0.17</v>
      </c>
      <c r="AN119" s="438" t="n">
        <v>0.17</v>
      </c>
      <c r="AO119" s="438" t="n">
        <v>0.17</v>
      </c>
      <c r="AP119" s="439" t="n">
        <v>0.17</v>
      </c>
      <c r="AQ119" s="439" t="n">
        <v>0.17</v>
      </c>
      <c r="AR119" s="439" t="n">
        <v>0.17</v>
      </c>
      <c r="AS119" s="439" t="n">
        <v>0.17</v>
      </c>
      <c r="AT119" s="438" t="n">
        <v>0.17</v>
      </c>
      <c r="AU119" s="438" t="n">
        <v>0.17</v>
      </c>
      <c r="AV119" s="438" t="n">
        <v>0.167</v>
      </c>
      <c r="AW119" s="418" t="n">
        <v>0.069962370405418</v>
      </c>
      <c r="AY119" s="437" t="n">
        <f aca="false">AG119</f>
        <v>0.167</v>
      </c>
      <c r="AZ119" s="437" t="n">
        <f aca="false">AG119</f>
        <v>0.167</v>
      </c>
      <c r="BA119" s="441" t="n">
        <f aca="false">AG119</f>
        <v>0.167</v>
      </c>
      <c r="BB119" s="442" t="n">
        <f aca="false">B119</f>
        <v>39904</v>
      </c>
      <c r="BC119" s="437" t="n">
        <f aca="false">(1+$AW119/2)^(-2*($B119-$BC$11)/365.25)</f>
        <v>0.553884660700136</v>
      </c>
      <c r="BD119" s="437" t="n">
        <f aca="false">(1+$AW119/2)^(-2*($B119-$BD$11)/365.25)</f>
        <v>0.553988951714674</v>
      </c>
      <c r="BF119" s="442" t="n">
        <f aca="false">B119</f>
        <v>39904</v>
      </c>
      <c r="BG119" s="418" t="n">
        <v>107</v>
      </c>
    </row>
    <row r="120" customFormat="false" ht="12" hidden="false" customHeight="false" outlineLevel="0" collapsed="false">
      <c r="B120" s="419" t="n">
        <f aca="false">EOMONTH(B119,0)+1</f>
        <v>39934</v>
      </c>
      <c r="C120" s="420" t="n">
        <v>2.923</v>
      </c>
      <c r="D120" s="420" t="n">
        <v>0.17</v>
      </c>
      <c r="E120" s="420" t="n">
        <v>0.070360177421433</v>
      </c>
      <c r="F120" s="420" t="n">
        <v>-0.195</v>
      </c>
      <c r="G120" s="420" t="n">
        <v>0.015</v>
      </c>
      <c r="H120" s="420" t="n">
        <v>-0.195</v>
      </c>
      <c r="I120" s="420" t="n">
        <v>0.1975</v>
      </c>
      <c r="J120" s="420" t="n">
        <v>0.1825</v>
      </c>
      <c r="K120" s="420" t="n">
        <v>0.2025</v>
      </c>
      <c r="L120" s="420" t="n">
        <v>-0.064</v>
      </c>
      <c r="M120" s="420" t="n">
        <v>-0.014</v>
      </c>
      <c r="N120" s="420" t="n">
        <v>-0.36</v>
      </c>
      <c r="O120" s="420" t="n">
        <v>-0.29</v>
      </c>
      <c r="P120" s="420" t="n">
        <v>0.0065</v>
      </c>
      <c r="Q120" s="435" t="n">
        <v>0.0065</v>
      </c>
      <c r="R120" s="418" t="n">
        <v>-0.0195</v>
      </c>
      <c r="S120" s="418" t="n">
        <v>-0.05</v>
      </c>
      <c r="T120" s="418" t="n">
        <v>-0.17</v>
      </c>
      <c r="U120" s="418" t="n">
        <v>-0.01225</v>
      </c>
      <c r="V120" s="418" t="n">
        <v>-0.0925</v>
      </c>
      <c r="W120" s="418" t="n">
        <v>-0.12</v>
      </c>
      <c r="X120" s="418" t="n">
        <v>0.405</v>
      </c>
      <c r="Y120" s="418" t="n">
        <v>0.005</v>
      </c>
      <c r="Z120" s="418" t="n">
        <v>-0.195</v>
      </c>
      <c r="AA120" s="418" t="n">
        <v>-0.017</v>
      </c>
      <c r="AB120" s="437" t="n">
        <v>0.29</v>
      </c>
      <c r="AC120" s="437" t="n">
        <v>0.2875</v>
      </c>
      <c r="AD120" s="437" t="n">
        <v>0.2925</v>
      </c>
      <c r="AE120" s="438" t="n">
        <v>0.17</v>
      </c>
      <c r="AF120" s="438" t="n">
        <v>0.17</v>
      </c>
      <c r="AG120" s="438" t="n">
        <v>0.167</v>
      </c>
      <c r="AH120" s="438" t="n">
        <v>0.17</v>
      </c>
      <c r="AI120" s="438" t="n">
        <v>0.173</v>
      </c>
      <c r="AJ120" s="438" t="n">
        <v>0.17</v>
      </c>
      <c r="AK120" s="438" t="n">
        <v>0.167</v>
      </c>
      <c r="AL120" s="438" t="n">
        <v>0.167</v>
      </c>
      <c r="AM120" s="438" t="n">
        <v>0.17</v>
      </c>
      <c r="AN120" s="438" t="n">
        <v>0.17</v>
      </c>
      <c r="AO120" s="438" t="n">
        <v>0.17</v>
      </c>
      <c r="AP120" s="439" t="n">
        <v>0.17</v>
      </c>
      <c r="AQ120" s="439" t="n">
        <v>0.17</v>
      </c>
      <c r="AR120" s="439" t="n">
        <v>0.17</v>
      </c>
      <c r="AS120" s="439" t="n">
        <v>0.17</v>
      </c>
      <c r="AT120" s="438" t="n">
        <v>0.17</v>
      </c>
      <c r="AU120" s="438" t="n">
        <v>0.17</v>
      </c>
      <c r="AV120" s="438" t="n">
        <v>0.167</v>
      </c>
      <c r="AW120" s="418" t="n">
        <v>0.069962227903724</v>
      </c>
      <c r="AY120" s="437" t="n">
        <f aca="false">AG120</f>
        <v>0.167</v>
      </c>
      <c r="AZ120" s="437" t="n">
        <f aca="false">AG120</f>
        <v>0.167</v>
      </c>
      <c r="BA120" s="441" t="n">
        <f aca="false">AG120</f>
        <v>0.167</v>
      </c>
      <c r="BB120" s="442" t="n">
        <f aca="false">B120</f>
        <v>39934</v>
      </c>
      <c r="BC120" s="437" t="n">
        <f aca="false">(1+$AW120/2)^(-2*($B120-$BC$11)/365.25)</f>
        <v>0.550765700875799</v>
      </c>
      <c r="BD120" s="437" t="n">
        <f aca="false">(1+$AW120/2)^(-2*($B120-$BD$11)/365.25)</f>
        <v>0.550869404413331</v>
      </c>
      <c r="BF120" s="442" t="n">
        <f aca="false">B120</f>
        <v>39934</v>
      </c>
      <c r="BG120" s="418" t="n">
        <v>108</v>
      </c>
    </row>
    <row r="121" customFormat="false" ht="12" hidden="false" customHeight="false" outlineLevel="0" collapsed="false">
      <c r="B121" s="419" t="n">
        <f aca="false">EOMONTH(B120,0)+1</f>
        <v>39965</v>
      </c>
      <c r="C121" s="420" t="n">
        <v>2.949</v>
      </c>
      <c r="D121" s="420" t="n">
        <v>0.17</v>
      </c>
      <c r="E121" s="420" t="n">
        <v>0.070373023549524</v>
      </c>
      <c r="F121" s="420" t="n">
        <v>-0.195</v>
      </c>
      <c r="G121" s="420" t="n">
        <v>0.02</v>
      </c>
      <c r="H121" s="420" t="n">
        <v>-0.195</v>
      </c>
      <c r="I121" s="420" t="n">
        <v>0.1925</v>
      </c>
      <c r="J121" s="420" t="n">
        <v>0.1825</v>
      </c>
      <c r="K121" s="420" t="n">
        <v>0.2025</v>
      </c>
      <c r="L121" s="420" t="n">
        <v>-0.08</v>
      </c>
      <c r="M121" s="420" t="n">
        <v>-0.014</v>
      </c>
      <c r="N121" s="420" t="n">
        <v>-0.36</v>
      </c>
      <c r="O121" s="420" t="n">
        <v>-0.29</v>
      </c>
      <c r="P121" s="420" t="n">
        <v>0.0065</v>
      </c>
      <c r="Q121" s="435" t="n">
        <v>0.0065</v>
      </c>
      <c r="R121" s="418" t="n">
        <v>-0.0195</v>
      </c>
      <c r="S121" s="418" t="n">
        <v>-0.05</v>
      </c>
      <c r="T121" s="418" t="n">
        <v>-0.18</v>
      </c>
      <c r="U121" s="418" t="n">
        <v>-0.01225</v>
      </c>
      <c r="V121" s="418" t="n">
        <v>-0.0825</v>
      </c>
      <c r="W121" s="418" t="n">
        <v>-0.12</v>
      </c>
      <c r="X121" s="418" t="n">
        <v>0.395</v>
      </c>
      <c r="Y121" s="418" t="n">
        <v>0.005</v>
      </c>
      <c r="Z121" s="418" t="n">
        <v>-0.195</v>
      </c>
      <c r="AA121" s="418" t="n">
        <v>-0.017</v>
      </c>
      <c r="AB121" s="437" t="n">
        <v>0.29</v>
      </c>
      <c r="AC121" s="437" t="n">
        <v>0.2875</v>
      </c>
      <c r="AD121" s="437" t="n">
        <v>0.2875</v>
      </c>
      <c r="AE121" s="438" t="n">
        <v>0.17</v>
      </c>
      <c r="AF121" s="438" t="n">
        <v>0.17</v>
      </c>
      <c r="AG121" s="438" t="n">
        <v>0.167</v>
      </c>
      <c r="AH121" s="438" t="n">
        <v>0.17</v>
      </c>
      <c r="AI121" s="438" t="n">
        <v>0.173</v>
      </c>
      <c r="AJ121" s="438" t="n">
        <v>0.17</v>
      </c>
      <c r="AK121" s="438" t="n">
        <v>0.167</v>
      </c>
      <c r="AL121" s="438" t="n">
        <v>0.167</v>
      </c>
      <c r="AM121" s="438" t="n">
        <v>0.17</v>
      </c>
      <c r="AN121" s="438" t="n">
        <v>0.17</v>
      </c>
      <c r="AO121" s="438" t="n">
        <v>0.17</v>
      </c>
      <c r="AP121" s="439" t="n">
        <v>0.17</v>
      </c>
      <c r="AQ121" s="439" t="n">
        <v>0.17</v>
      </c>
      <c r="AR121" s="439" t="n">
        <v>0.17</v>
      </c>
      <c r="AS121" s="439" t="n">
        <v>0.17</v>
      </c>
      <c r="AT121" s="438" t="n">
        <v>0.17</v>
      </c>
      <c r="AU121" s="438" t="n">
        <v>0.17</v>
      </c>
      <c r="AV121" s="438" t="n">
        <v>0.167</v>
      </c>
      <c r="AW121" s="418" t="n">
        <v>0.069962080651973</v>
      </c>
      <c r="AY121" s="437" t="n">
        <f aca="false">AG121</f>
        <v>0.167</v>
      </c>
      <c r="AZ121" s="437" t="n">
        <f aca="false">AG121</f>
        <v>0.167</v>
      </c>
      <c r="BA121" s="441" t="n">
        <f aca="false">AG121</f>
        <v>0.167</v>
      </c>
      <c r="BB121" s="442" t="n">
        <f aca="false">B121</f>
        <v>39965</v>
      </c>
      <c r="BC121" s="437" t="n">
        <f aca="false">(1+$AW121/2)^(-2*($B121-$BC$11)/365.25)</f>
        <v>0.547561238550603</v>
      </c>
      <c r="BD121" s="437" t="n">
        <f aca="false">(1+$AW121/2)^(-2*($B121-$BD$11)/365.25)</f>
        <v>0.547664338507387</v>
      </c>
      <c r="BF121" s="442" t="n">
        <f aca="false">B121</f>
        <v>39965</v>
      </c>
      <c r="BG121" s="418" t="n">
        <v>109</v>
      </c>
    </row>
    <row r="122" customFormat="false" ht="12" hidden="false" customHeight="false" outlineLevel="0" collapsed="false">
      <c r="B122" s="419" t="n">
        <f aca="false">EOMONTH(B121,0)+1</f>
        <v>39995</v>
      </c>
      <c r="C122" s="420" t="n">
        <v>2.971</v>
      </c>
      <c r="D122" s="420" t="n">
        <v>0.17</v>
      </c>
      <c r="E122" s="420" t="n">
        <v>0.070385455286438</v>
      </c>
      <c r="F122" s="420" t="n">
        <v>-0.195</v>
      </c>
      <c r="G122" s="420" t="n">
        <v>0.0225</v>
      </c>
      <c r="H122" s="420" t="n">
        <v>-0.195</v>
      </c>
      <c r="I122" s="420" t="n">
        <v>0.1825</v>
      </c>
      <c r="J122" s="420" t="n">
        <v>0.1825</v>
      </c>
      <c r="K122" s="420" t="n">
        <v>0.215</v>
      </c>
      <c r="L122" s="420" t="n">
        <v>-0.073</v>
      </c>
      <c r="M122" s="420" t="n">
        <v>-0.014</v>
      </c>
      <c r="N122" s="420" t="n">
        <v>-0.36</v>
      </c>
      <c r="O122" s="420" t="n">
        <v>-0.29</v>
      </c>
      <c r="P122" s="420" t="n">
        <v>0.0065</v>
      </c>
      <c r="Q122" s="435" t="n">
        <v>0.0065</v>
      </c>
      <c r="R122" s="418" t="n">
        <v>-0.0195</v>
      </c>
      <c r="S122" s="418" t="n">
        <v>-0.05</v>
      </c>
      <c r="T122" s="418" t="n">
        <v>-0.18</v>
      </c>
      <c r="U122" s="418" t="n">
        <v>-0.01225</v>
      </c>
      <c r="V122" s="418" t="n">
        <v>-0.0775</v>
      </c>
      <c r="W122" s="418" t="n">
        <v>-0.12</v>
      </c>
      <c r="X122" s="418" t="n">
        <v>0.43</v>
      </c>
      <c r="Y122" s="418" t="n">
        <v>0.005</v>
      </c>
      <c r="Z122" s="418" t="n">
        <v>-0.195</v>
      </c>
      <c r="AA122" s="418" t="n">
        <v>-0.017</v>
      </c>
      <c r="AB122" s="437" t="n">
        <v>0.29</v>
      </c>
      <c r="AC122" s="437" t="n">
        <v>0.3</v>
      </c>
      <c r="AD122" s="437" t="n">
        <v>0.2775</v>
      </c>
      <c r="AE122" s="438" t="n">
        <v>0.17</v>
      </c>
      <c r="AF122" s="438" t="n">
        <v>0.17</v>
      </c>
      <c r="AG122" s="438" t="n">
        <v>0.167</v>
      </c>
      <c r="AH122" s="438" t="n">
        <v>0.17</v>
      </c>
      <c r="AI122" s="438" t="n">
        <v>0.173</v>
      </c>
      <c r="AJ122" s="438" t="n">
        <v>0.17</v>
      </c>
      <c r="AK122" s="438" t="n">
        <v>0.167</v>
      </c>
      <c r="AL122" s="438" t="n">
        <v>0.167</v>
      </c>
      <c r="AM122" s="438" t="n">
        <v>0.17</v>
      </c>
      <c r="AN122" s="438" t="n">
        <v>0.17</v>
      </c>
      <c r="AO122" s="438" t="n">
        <v>0.17</v>
      </c>
      <c r="AP122" s="439" t="n">
        <v>0.17</v>
      </c>
      <c r="AQ122" s="439" t="n">
        <v>0.17</v>
      </c>
      <c r="AR122" s="439" t="n">
        <v>0.17</v>
      </c>
      <c r="AS122" s="439" t="n">
        <v>0.17</v>
      </c>
      <c r="AT122" s="438" t="n">
        <v>0.17</v>
      </c>
      <c r="AU122" s="438" t="n">
        <v>0.17</v>
      </c>
      <c r="AV122" s="438" t="n">
        <v>0.167</v>
      </c>
      <c r="AW122" s="418" t="n">
        <v>0.069961938150278</v>
      </c>
      <c r="AY122" s="437" t="n">
        <f aca="false">AG122</f>
        <v>0.167</v>
      </c>
      <c r="AZ122" s="437" t="n">
        <f aca="false">AG122</f>
        <v>0.167</v>
      </c>
      <c r="BA122" s="441" t="n">
        <f aca="false">AG122</f>
        <v>0.167</v>
      </c>
      <c r="BB122" s="442" t="n">
        <f aca="false">B122</f>
        <v>39995</v>
      </c>
      <c r="BC122" s="437" t="n">
        <f aca="false">(1+$AW122/2)^(-2*($B122-$BC$11)/365.25)</f>
        <v>0.544477911359669</v>
      </c>
      <c r="BD122" s="437" t="n">
        <f aca="false">(1+$AW122/2)^(-2*($B122-$BD$11)/365.25)</f>
        <v>0.544580430553454</v>
      </c>
      <c r="BF122" s="442" t="n">
        <f aca="false">B122</f>
        <v>39995</v>
      </c>
      <c r="BG122" s="418" t="n">
        <v>110</v>
      </c>
    </row>
    <row r="123" customFormat="false" ht="12" hidden="false" customHeight="false" outlineLevel="0" collapsed="false">
      <c r="B123" s="419" t="n">
        <f aca="false">EOMONTH(B122,0)+1</f>
        <v>40026</v>
      </c>
      <c r="C123" s="420" t="n">
        <v>2.992</v>
      </c>
      <c r="D123" s="420" t="n">
        <v>0.17</v>
      </c>
      <c r="E123" s="420" t="n">
        <v>0.070398301414636</v>
      </c>
      <c r="F123" s="420" t="n">
        <v>-0.195</v>
      </c>
      <c r="G123" s="420" t="n">
        <v>0.025</v>
      </c>
      <c r="H123" s="420" t="n">
        <v>-0.195</v>
      </c>
      <c r="I123" s="420" t="n">
        <v>0.18</v>
      </c>
      <c r="J123" s="420" t="n">
        <v>0.1825</v>
      </c>
      <c r="K123" s="420" t="n">
        <v>0.215</v>
      </c>
      <c r="L123" s="420" t="n">
        <v>-0.064</v>
      </c>
      <c r="M123" s="420" t="n">
        <v>-0.014</v>
      </c>
      <c r="N123" s="420" t="n">
        <v>-0.36</v>
      </c>
      <c r="O123" s="420" t="n">
        <v>-0.29</v>
      </c>
      <c r="P123" s="420" t="n">
        <v>0.0065</v>
      </c>
      <c r="Q123" s="435" t="n">
        <v>0.0065</v>
      </c>
      <c r="R123" s="418" t="n">
        <v>-0.0195</v>
      </c>
      <c r="S123" s="418" t="n">
        <v>-0.05</v>
      </c>
      <c r="T123" s="418" t="n">
        <v>-0.18</v>
      </c>
      <c r="U123" s="418" t="n">
        <v>-0.01225</v>
      </c>
      <c r="V123" s="418" t="n">
        <v>-0.0775</v>
      </c>
      <c r="W123" s="418" t="n">
        <v>-0.12</v>
      </c>
      <c r="X123" s="418" t="n">
        <v>0.495</v>
      </c>
      <c r="Y123" s="418" t="n">
        <v>0.005</v>
      </c>
      <c r="Z123" s="418" t="n">
        <v>-0.195</v>
      </c>
      <c r="AA123" s="418" t="n">
        <v>-0.017</v>
      </c>
      <c r="AB123" s="437" t="n">
        <v>0.29</v>
      </c>
      <c r="AC123" s="437" t="n">
        <v>0.3</v>
      </c>
      <c r="AD123" s="437" t="n">
        <v>0.275</v>
      </c>
      <c r="AE123" s="438" t="n">
        <v>0.17</v>
      </c>
      <c r="AF123" s="438" t="n">
        <v>0.17</v>
      </c>
      <c r="AG123" s="438" t="n">
        <v>0.167</v>
      </c>
      <c r="AH123" s="438" t="n">
        <v>0.17</v>
      </c>
      <c r="AI123" s="438" t="n">
        <v>0.173</v>
      </c>
      <c r="AJ123" s="438" t="n">
        <v>0.17</v>
      </c>
      <c r="AK123" s="438" t="n">
        <v>0.167</v>
      </c>
      <c r="AL123" s="438" t="n">
        <v>0.167</v>
      </c>
      <c r="AM123" s="438" t="n">
        <v>0.17</v>
      </c>
      <c r="AN123" s="438" t="n">
        <v>0.17</v>
      </c>
      <c r="AO123" s="438" t="n">
        <v>0.17</v>
      </c>
      <c r="AP123" s="439" t="n">
        <v>0.17</v>
      </c>
      <c r="AQ123" s="439" t="n">
        <v>0.17</v>
      </c>
      <c r="AR123" s="439" t="n">
        <v>0.17</v>
      </c>
      <c r="AS123" s="439" t="n">
        <v>0.17</v>
      </c>
      <c r="AT123" s="438" t="n">
        <v>0.17</v>
      </c>
      <c r="AU123" s="438" t="n">
        <v>0.17</v>
      </c>
      <c r="AV123" s="438" t="n">
        <v>0.167</v>
      </c>
      <c r="AW123" s="418" t="n">
        <v>0.069961790898527</v>
      </c>
      <c r="AY123" s="437" t="n">
        <f aca="false">AG123</f>
        <v>0.167</v>
      </c>
      <c r="AZ123" s="437" t="n">
        <f aca="false">AG123</f>
        <v>0.167</v>
      </c>
      <c r="BA123" s="441" t="n">
        <f aca="false">AG123</f>
        <v>0.167</v>
      </c>
      <c r="BB123" s="442" t="n">
        <f aca="false">B123</f>
        <v>40026</v>
      </c>
      <c r="BC123" s="437" t="n">
        <f aca="false">(1+$AW123/2)^(-2*($B123-$BC$11)/365.25)</f>
        <v>0.541310058345297</v>
      </c>
      <c r="BD123" s="437" t="n">
        <f aca="false">(1+$AW123/2)^(-2*($B123-$BD$11)/365.25)</f>
        <v>0.541411980856356</v>
      </c>
      <c r="BF123" s="442" t="n">
        <f aca="false">B123</f>
        <v>40026</v>
      </c>
      <c r="BG123" s="418" t="n">
        <v>111</v>
      </c>
    </row>
    <row r="124" customFormat="false" ht="12" hidden="false" customHeight="false" outlineLevel="0" collapsed="false">
      <c r="B124" s="419" t="n">
        <f aca="false">EOMONTH(B123,0)+1</f>
        <v>40057</v>
      </c>
      <c r="C124" s="420" t="n">
        <v>2.969</v>
      </c>
      <c r="D124" s="420" t="n">
        <v>0.17</v>
      </c>
      <c r="E124" s="420" t="n">
        <v>0.07041114754289</v>
      </c>
      <c r="F124" s="420" t="n">
        <v>-0.195</v>
      </c>
      <c r="G124" s="420" t="n">
        <v>0.0175</v>
      </c>
      <c r="H124" s="420" t="n">
        <v>-0.195</v>
      </c>
      <c r="I124" s="420" t="n">
        <v>0.1775</v>
      </c>
      <c r="J124" s="420" t="n">
        <v>0.1825</v>
      </c>
      <c r="K124" s="420" t="n">
        <v>0.195</v>
      </c>
      <c r="L124" s="420" t="n">
        <v>-0.044</v>
      </c>
      <c r="M124" s="420" t="n">
        <v>-0.014</v>
      </c>
      <c r="N124" s="420" t="n">
        <v>-0.36</v>
      </c>
      <c r="O124" s="420" t="n">
        <v>-0.29</v>
      </c>
      <c r="P124" s="420" t="n">
        <v>0.0065</v>
      </c>
      <c r="Q124" s="435" t="n">
        <v>0.0065</v>
      </c>
      <c r="R124" s="418" t="n">
        <v>-0.0195</v>
      </c>
      <c r="S124" s="418" t="n">
        <v>-0.05</v>
      </c>
      <c r="T124" s="418" t="n">
        <v>-0.17</v>
      </c>
      <c r="U124" s="418" t="n">
        <v>-0.01225</v>
      </c>
      <c r="V124" s="418" t="n">
        <v>-0.0925</v>
      </c>
      <c r="W124" s="418" t="n">
        <v>-0.12</v>
      </c>
      <c r="X124" s="418" t="n">
        <v>0.395</v>
      </c>
      <c r="Y124" s="418" t="n">
        <v>0.005</v>
      </c>
      <c r="Z124" s="418" t="n">
        <v>-0.195</v>
      </c>
      <c r="AA124" s="418" t="n">
        <v>-0.017</v>
      </c>
      <c r="AB124" s="437" t="n">
        <v>0.29</v>
      </c>
      <c r="AC124" s="437" t="n">
        <v>0.29</v>
      </c>
      <c r="AD124" s="437" t="n">
        <v>0.2725</v>
      </c>
      <c r="AE124" s="438" t="n">
        <v>0.17</v>
      </c>
      <c r="AF124" s="438" t="n">
        <v>0.17</v>
      </c>
      <c r="AG124" s="438" t="n">
        <v>0.167</v>
      </c>
      <c r="AH124" s="438" t="n">
        <v>0.17</v>
      </c>
      <c r="AI124" s="438" t="n">
        <v>0.173</v>
      </c>
      <c r="AJ124" s="438" t="n">
        <v>0.17</v>
      </c>
      <c r="AK124" s="438" t="n">
        <v>0.167</v>
      </c>
      <c r="AL124" s="438" t="n">
        <v>0.167</v>
      </c>
      <c r="AM124" s="438" t="n">
        <v>0.17</v>
      </c>
      <c r="AN124" s="438" t="n">
        <v>0.17</v>
      </c>
      <c r="AO124" s="438" t="n">
        <v>0.17</v>
      </c>
      <c r="AP124" s="439" t="n">
        <v>0.17</v>
      </c>
      <c r="AQ124" s="439" t="n">
        <v>0.17</v>
      </c>
      <c r="AR124" s="439" t="n">
        <v>0.17</v>
      </c>
      <c r="AS124" s="439" t="n">
        <v>0.17</v>
      </c>
      <c r="AT124" s="438" t="n">
        <v>0.17</v>
      </c>
      <c r="AU124" s="438" t="n">
        <v>0.17</v>
      </c>
      <c r="AV124" s="438" t="n">
        <v>0.167</v>
      </c>
      <c r="AW124" s="418" t="n">
        <v>0.069961643646776</v>
      </c>
      <c r="AY124" s="437" t="n">
        <f aca="false">AG124</f>
        <v>0.167</v>
      </c>
      <c r="AZ124" s="437" t="n">
        <f aca="false">AG124</f>
        <v>0.167</v>
      </c>
      <c r="BA124" s="441" t="n">
        <f aca="false">AG124</f>
        <v>0.167</v>
      </c>
      <c r="BB124" s="442" t="n">
        <f aca="false">B124</f>
        <v>40057</v>
      </c>
      <c r="BC124" s="437" t="n">
        <f aca="false">(1+$AW124/2)^(-2*($B124-$BC$11)/365.25)</f>
        <v>0.538160649365275</v>
      </c>
      <c r="BD124" s="437" t="n">
        <f aca="false">(1+$AW124/2)^(-2*($B124-$BD$11)/365.25)</f>
        <v>0.53826197866887</v>
      </c>
      <c r="BF124" s="442" t="n">
        <f aca="false">B124</f>
        <v>40057</v>
      </c>
      <c r="BG124" s="418" t="n">
        <v>112</v>
      </c>
    </row>
    <row r="125" customFormat="false" ht="12" hidden="false" customHeight="false" outlineLevel="0" collapsed="false">
      <c r="B125" s="419" t="n">
        <f aca="false">EOMONTH(B124,0)+1</f>
        <v>40087</v>
      </c>
      <c r="C125" s="420" t="n">
        <v>2.978</v>
      </c>
      <c r="D125" s="420" t="n">
        <v>0.17</v>
      </c>
      <c r="E125" s="420" t="n">
        <v>0.070423579279961</v>
      </c>
      <c r="F125" s="420" t="n">
        <v>-0.195</v>
      </c>
      <c r="G125" s="420" t="n">
        <v>0.0075</v>
      </c>
      <c r="H125" s="420" t="n">
        <v>-0.195</v>
      </c>
      <c r="I125" s="420" t="n">
        <v>0.1925</v>
      </c>
      <c r="J125" s="420" t="n">
        <v>0.1875</v>
      </c>
      <c r="K125" s="420" t="n">
        <v>0.215</v>
      </c>
      <c r="L125" s="420" t="n">
        <v>-0.054</v>
      </c>
      <c r="M125" s="420" t="n">
        <v>-0.014</v>
      </c>
      <c r="N125" s="420" t="n">
        <v>-0.36</v>
      </c>
      <c r="O125" s="420" t="n">
        <v>-0.29</v>
      </c>
      <c r="P125" s="420" t="n">
        <v>0.0065</v>
      </c>
      <c r="Q125" s="435" t="n">
        <v>0.0065</v>
      </c>
      <c r="R125" s="418" t="n">
        <v>-0.0195</v>
      </c>
      <c r="S125" s="418" t="n">
        <v>-0.05</v>
      </c>
      <c r="T125" s="418" t="n">
        <v>-0.155</v>
      </c>
      <c r="U125" s="418" t="n">
        <v>-0.0305</v>
      </c>
      <c r="V125" s="418" t="n">
        <v>-0.095</v>
      </c>
      <c r="W125" s="418" t="n">
        <v>-0.12</v>
      </c>
      <c r="X125" s="418" t="n">
        <v>0.461</v>
      </c>
      <c r="Y125" s="418" t="n">
        <v>0.005</v>
      </c>
      <c r="Z125" s="418" t="n">
        <v>-0.195</v>
      </c>
      <c r="AA125" s="418" t="n">
        <v>-0.017</v>
      </c>
      <c r="AB125" s="437" t="n">
        <v>0.29</v>
      </c>
      <c r="AC125" s="437" t="n">
        <v>0.3625</v>
      </c>
      <c r="AD125" s="437" t="n">
        <v>0.2875</v>
      </c>
      <c r="AE125" s="438" t="n">
        <v>0.17</v>
      </c>
      <c r="AF125" s="438" t="n">
        <v>0.17</v>
      </c>
      <c r="AG125" s="438" t="n">
        <v>0.167</v>
      </c>
      <c r="AH125" s="438" t="n">
        <v>0.17</v>
      </c>
      <c r="AI125" s="438" t="n">
        <v>0.173</v>
      </c>
      <c r="AJ125" s="438" t="n">
        <v>0.17</v>
      </c>
      <c r="AK125" s="438" t="n">
        <v>0.167</v>
      </c>
      <c r="AL125" s="438" t="n">
        <v>0.167</v>
      </c>
      <c r="AM125" s="438" t="n">
        <v>0.17</v>
      </c>
      <c r="AN125" s="438" t="n">
        <v>0.17</v>
      </c>
      <c r="AO125" s="438" t="n">
        <v>0.17</v>
      </c>
      <c r="AP125" s="439" t="n">
        <v>0.17</v>
      </c>
      <c r="AQ125" s="439" t="n">
        <v>0.17</v>
      </c>
      <c r="AR125" s="439" t="n">
        <v>0.17</v>
      </c>
      <c r="AS125" s="439" t="n">
        <v>0.17</v>
      </c>
      <c r="AT125" s="438" t="n">
        <v>0.17</v>
      </c>
      <c r="AU125" s="438" t="n">
        <v>0.17</v>
      </c>
      <c r="AV125" s="438" t="n">
        <v>0.167</v>
      </c>
      <c r="AW125" s="418" t="n">
        <v>0.069961501145082</v>
      </c>
      <c r="AY125" s="437" t="n">
        <f aca="false">AG125</f>
        <v>0.167</v>
      </c>
      <c r="AZ125" s="437" t="n">
        <f aca="false">AG125</f>
        <v>0.167</v>
      </c>
      <c r="BA125" s="441" t="n">
        <f aca="false">AG125</f>
        <v>0.167</v>
      </c>
      <c r="BB125" s="442" t="n">
        <f aca="false">B125</f>
        <v>40087</v>
      </c>
      <c r="BC125" s="437" t="n">
        <f aca="false">(1+$AW125/2)^(-2*($B125-$BC$11)/365.25)</f>
        <v>0.535130294178565</v>
      </c>
      <c r="BD125" s="437" t="n">
        <f aca="false">(1+$AW125/2)^(-2*($B125-$BD$11)/365.25)</f>
        <v>0.535231052700254</v>
      </c>
      <c r="BF125" s="442" t="n">
        <f aca="false">B125</f>
        <v>40087</v>
      </c>
      <c r="BG125" s="418" t="n">
        <v>113</v>
      </c>
    </row>
    <row r="126" customFormat="false" ht="12" hidden="false" customHeight="false" outlineLevel="0" collapsed="false">
      <c r="B126" s="419" t="n">
        <f aca="false">EOMONTH(B125,0)+1</f>
        <v>40118</v>
      </c>
      <c r="C126" s="420" t="n">
        <v>3.04</v>
      </c>
      <c r="D126" s="420" t="n">
        <v>0.17</v>
      </c>
      <c r="E126" s="420" t="n">
        <v>0.070436425408321</v>
      </c>
      <c r="F126" s="420" t="n">
        <v>-0.19</v>
      </c>
      <c r="G126" s="420" t="n">
        <v>-0.0325</v>
      </c>
      <c r="H126" s="420" t="n">
        <v>-0.19</v>
      </c>
      <c r="I126" s="420" t="n">
        <v>0.255</v>
      </c>
      <c r="J126" s="420" t="n">
        <v>0.27</v>
      </c>
      <c r="K126" s="420" t="n">
        <v>0.2875</v>
      </c>
      <c r="L126" s="420" t="n">
        <v>-0.069</v>
      </c>
      <c r="M126" s="420" t="n">
        <v>-0.0065</v>
      </c>
      <c r="N126" s="420" t="n">
        <v>-0.28</v>
      </c>
      <c r="O126" s="420" t="n">
        <v>0</v>
      </c>
      <c r="P126" s="420" t="n">
        <v>0.016</v>
      </c>
      <c r="Q126" s="435" t="n">
        <v>-0.0015</v>
      </c>
      <c r="R126" s="418" t="n">
        <v>-0.0225</v>
      </c>
      <c r="S126" s="418" t="n">
        <v>-0.0495</v>
      </c>
      <c r="T126" s="418" t="n">
        <v>-0.1175</v>
      </c>
      <c r="U126" s="418" t="n">
        <v>-0.027</v>
      </c>
      <c r="V126" s="418" t="n">
        <v>-0.0925</v>
      </c>
      <c r="W126" s="418" t="n">
        <v>-0.1325</v>
      </c>
      <c r="X126" s="418" t="n">
        <v>0.7675</v>
      </c>
      <c r="Y126" s="418" t="n">
        <v>0.005</v>
      </c>
      <c r="Z126" s="418" t="n">
        <v>-0.19</v>
      </c>
      <c r="AA126" s="418" t="n">
        <v>-0.0185</v>
      </c>
      <c r="AB126" s="437" t="n">
        <v>0.12</v>
      </c>
      <c r="AC126" s="437" t="n">
        <v>0.465</v>
      </c>
      <c r="AD126" s="437" t="n">
        <v>0.35</v>
      </c>
      <c r="AE126" s="438" t="n">
        <v>0.17</v>
      </c>
      <c r="AF126" s="438" t="n">
        <v>0.17</v>
      </c>
      <c r="AG126" s="438" t="n">
        <v>0.187</v>
      </c>
      <c r="AH126" s="438" t="n">
        <v>0.17</v>
      </c>
      <c r="AI126" s="438" t="n">
        <v>0.173</v>
      </c>
      <c r="AJ126" s="438" t="n">
        <v>0.17</v>
      </c>
      <c r="AK126" s="438" t="n">
        <v>0.17</v>
      </c>
      <c r="AL126" s="438" t="n">
        <v>0.17</v>
      </c>
      <c r="AM126" s="438" t="n">
        <v>0.17</v>
      </c>
      <c r="AN126" s="438" t="n">
        <v>0.17</v>
      </c>
      <c r="AO126" s="438" t="n">
        <v>0.17</v>
      </c>
      <c r="AP126" s="439" t="n">
        <v>0.17</v>
      </c>
      <c r="AQ126" s="439" t="n">
        <v>0.17</v>
      </c>
      <c r="AR126" s="439" t="n">
        <v>0.17</v>
      </c>
      <c r="AS126" s="439" t="n">
        <v>0.17</v>
      </c>
      <c r="AT126" s="438" t="n">
        <v>0.17</v>
      </c>
      <c r="AU126" s="438" t="n">
        <v>0.17</v>
      </c>
      <c r="AV126" s="438" t="n">
        <v>0.187</v>
      </c>
      <c r="AW126" s="418" t="n">
        <v>0.069961353893331</v>
      </c>
      <c r="AY126" s="437" t="n">
        <f aca="false">AG126</f>
        <v>0.187</v>
      </c>
      <c r="AZ126" s="437" t="n">
        <f aca="false">AG126</f>
        <v>0.187</v>
      </c>
      <c r="BA126" s="441" t="n">
        <f aca="false">AG126</f>
        <v>0.187</v>
      </c>
      <c r="BB126" s="442" t="n">
        <f aca="false">B126</f>
        <v>40118</v>
      </c>
      <c r="BC126" s="437" t="n">
        <f aca="false">(1+$AW126/2)^(-2*($B126-$BC$11)/365.25)</f>
        <v>0.532016865114831</v>
      </c>
      <c r="BD126" s="437" t="n">
        <f aca="false">(1+$AW126/2)^(-2*($B126-$BD$11)/365.25)</f>
        <v>0.532117037208445</v>
      </c>
      <c r="BF126" s="442" t="n">
        <f aca="false">B126</f>
        <v>40118</v>
      </c>
      <c r="BG126" s="418" t="n">
        <v>114</v>
      </c>
    </row>
    <row r="127" customFormat="false" ht="12" hidden="false" customHeight="false" outlineLevel="0" collapsed="false">
      <c r="B127" s="419" t="n">
        <f aca="false">EOMONTH(B126,0)+1</f>
        <v>40148</v>
      </c>
      <c r="C127" s="420" t="n">
        <v>3.108</v>
      </c>
      <c r="D127" s="420" t="n">
        <v>0.17</v>
      </c>
      <c r="E127" s="420" t="n">
        <v>0.070448857145496</v>
      </c>
      <c r="F127" s="420" t="n">
        <v>-0.1975</v>
      </c>
      <c r="G127" s="420" t="n">
        <v>-0.055</v>
      </c>
      <c r="H127" s="420" t="n">
        <v>-0.1975</v>
      </c>
      <c r="I127" s="420" t="n">
        <v>0.295</v>
      </c>
      <c r="J127" s="420" t="n">
        <v>0.305</v>
      </c>
      <c r="K127" s="420" t="n">
        <v>0.3375</v>
      </c>
      <c r="L127" s="420" t="n">
        <v>-0.069</v>
      </c>
      <c r="M127" s="420" t="n">
        <v>-0.0065</v>
      </c>
      <c r="N127" s="420" t="n">
        <v>-0.28</v>
      </c>
      <c r="O127" s="420" t="n">
        <v>0.06</v>
      </c>
      <c r="P127" s="420" t="n">
        <v>0.016</v>
      </c>
      <c r="Q127" s="435" t="n">
        <v>-0.0015</v>
      </c>
      <c r="R127" s="418" t="n">
        <v>-0.0225</v>
      </c>
      <c r="S127" s="418" t="n">
        <v>-0.0495</v>
      </c>
      <c r="T127" s="418" t="n">
        <v>-0.11</v>
      </c>
      <c r="U127" s="418" t="n">
        <v>-0.027</v>
      </c>
      <c r="V127" s="418" t="n">
        <v>-0.1275</v>
      </c>
      <c r="W127" s="418" t="n">
        <v>-0.1275</v>
      </c>
      <c r="X127" s="418" t="n">
        <v>1.19</v>
      </c>
      <c r="Y127" s="418" t="n">
        <v>0.005</v>
      </c>
      <c r="Z127" s="418" t="n">
        <v>-0.19</v>
      </c>
      <c r="AA127" s="418" t="n">
        <v>-0.0185</v>
      </c>
      <c r="AB127" s="437" t="n">
        <v>0.12</v>
      </c>
      <c r="AC127" s="437" t="n">
        <v>0.8</v>
      </c>
      <c r="AD127" s="437" t="n">
        <v>0.39</v>
      </c>
      <c r="AE127" s="438" t="n">
        <v>0.17</v>
      </c>
      <c r="AF127" s="438" t="n">
        <v>0.17</v>
      </c>
      <c r="AG127" s="438" t="n">
        <v>0.187</v>
      </c>
      <c r="AH127" s="438" t="n">
        <v>0.17</v>
      </c>
      <c r="AI127" s="438" t="n">
        <v>0.173</v>
      </c>
      <c r="AJ127" s="438" t="n">
        <v>0.17</v>
      </c>
      <c r="AK127" s="438" t="n">
        <v>0.17</v>
      </c>
      <c r="AL127" s="438" t="n">
        <v>0.17</v>
      </c>
      <c r="AM127" s="438" t="n">
        <v>0.17</v>
      </c>
      <c r="AN127" s="438" t="n">
        <v>0.17</v>
      </c>
      <c r="AO127" s="438" t="n">
        <v>0.17</v>
      </c>
      <c r="AP127" s="439" t="n">
        <v>0.17</v>
      </c>
      <c r="AQ127" s="439" t="n">
        <v>0.17</v>
      </c>
      <c r="AR127" s="439" t="n">
        <v>0.17</v>
      </c>
      <c r="AS127" s="439" t="n">
        <v>0.17</v>
      </c>
      <c r="AT127" s="438" t="n">
        <v>0.17</v>
      </c>
      <c r="AU127" s="438" t="n">
        <v>0.17</v>
      </c>
      <c r="AV127" s="438" t="n">
        <v>0.187</v>
      </c>
      <c r="AW127" s="418" t="n">
        <v>0.069961211391637</v>
      </c>
      <c r="AY127" s="437" t="n">
        <f aca="false">AG127</f>
        <v>0.187</v>
      </c>
      <c r="AZ127" s="437" t="n">
        <f aca="false">AG127</f>
        <v>0.187</v>
      </c>
      <c r="BA127" s="441" t="n">
        <f aca="false">AG127</f>
        <v>0.187</v>
      </c>
      <c r="BB127" s="442" t="n">
        <f aca="false">B127</f>
        <v>40148</v>
      </c>
      <c r="BC127" s="437" t="n">
        <f aca="false">(1+$AW127/2)^(-2*($B127-$BC$11)/365.25)</f>
        <v>0.529021129593525</v>
      </c>
      <c r="BD127" s="437" t="n">
        <f aca="false">(1+$AW127/2)^(-2*($B127-$BD$11)/365.25)</f>
        <v>0.529120737428308</v>
      </c>
      <c r="BF127" s="442" t="n">
        <f aca="false">B127</f>
        <v>40148</v>
      </c>
      <c r="BG127" s="418" t="n">
        <v>115</v>
      </c>
    </row>
    <row r="128" customFormat="false" ht="12" hidden="false" customHeight="false" outlineLevel="0" collapsed="false">
      <c r="B128" s="419" t="n">
        <f aca="false">EOMONTH(B127,0)+1</f>
        <v>40179</v>
      </c>
      <c r="C128" s="420" t="n">
        <v>3.401</v>
      </c>
      <c r="D128" s="420" t="n">
        <v>0.17</v>
      </c>
      <c r="E128" s="420" t="n">
        <v>0.070461703273964</v>
      </c>
      <c r="F128" s="420" t="n">
        <v>-0.2</v>
      </c>
      <c r="G128" s="420" t="n">
        <v>-0.0575</v>
      </c>
      <c r="H128" s="420" t="n">
        <v>-0.2</v>
      </c>
      <c r="I128" s="420" t="n">
        <v>0.305</v>
      </c>
      <c r="J128" s="420" t="n">
        <v>0.305</v>
      </c>
      <c r="K128" s="420" t="n">
        <v>0.4375</v>
      </c>
      <c r="L128" s="420" t="n">
        <v>-0.069</v>
      </c>
      <c r="M128" s="420" t="n">
        <v>-0.0045</v>
      </c>
      <c r="N128" s="420" t="n">
        <v>-0.28</v>
      </c>
      <c r="O128" s="420" t="n">
        <v>0.13</v>
      </c>
      <c r="P128" s="420" t="n">
        <v>0.016</v>
      </c>
      <c r="Q128" s="435" t="n">
        <v>-0.0015</v>
      </c>
      <c r="R128" s="418" t="n">
        <v>-0.018</v>
      </c>
      <c r="S128" s="418" t="n">
        <v>-0.0495</v>
      </c>
      <c r="T128" s="418" t="n">
        <v>-0.095</v>
      </c>
      <c r="U128" s="418" t="n">
        <v>-0.027</v>
      </c>
      <c r="V128" s="418" t="n">
        <v>-0.133</v>
      </c>
      <c r="W128" s="418" t="n">
        <v>-0.1275</v>
      </c>
      <c r="X128" s="418" t="n">
        <v>1.525</v>
      </c>
      <c r="Y128" s="418" t="n">
        <v>0.005</v>
      </c>
      <c r="Z128" s="418" t="n">
        <v>-0.19</v>
      </c>
      <c r="AA128" s="418" t="n">
        <v>-0.0185</v>
      </c>
      <c r="AB128" s="437" t="n">
        <v>0.12</v>
      </c>
      <c r="AC128" s="437" t="n">
        <v>0.975</v>
      </c>
      <c r="AD128" s="437" t="n">
        <v>0.4</v>
      </c>
      <c r="AE128" s="438" t="n">
        <v>0.17</v>
      </c>
      <c r="AF128" s="438" t="n">
        <v>0.17</v>
      </c>
      <c r="AG128" s="438" t="n">
        <v>0.187</v>
      </c>
      <c r="AH128" s="438" t="n">
        <v>0.17</v>
      </c>
      <c r="AI128" s="438" t="n">
        <v>0.173</v>
      </c>
      <c r="AJ128" s="438" t="n">
        <v>0.17</v>
      </c>
      <c r="AK128" s="438" t="n">
        <v>0.17</v>
      </c>
      <c r="AL128" s="438" t="n">
        <v>0.17</v>
      </c>
      <c r="AM128" s="438" t="n">
        <v>0.17</v>
      </c>
      <c r="AN128" s="438" t="n">
        <v>0.17</v>
      </c>
      <c r="AO128" s="438" t="n">
        <v>0.17</v>
      </c>
      <c r="AP128" s="439" t="n">
        <v>0.17</v>
      </c>
      <c r="AQ128" s="439" t="n">
        <v>0.17</v>
      </c>
      <c r="AR128" s="439" t="n">
        <v>0.17</v>
      </c>
      <c r="AS128" s="439" t="n">
        <v>0.17</v>
      </c>
      <c r="AT128" s="438" t="n">
        <v>0.17</v>
      </c>
      <c r="AU128" s="438" t="n">
        <v>0.17</v>
      </c>
      <c r="AV128" s="438" t="n">
        <v>0.187</v>
      </c>
      <c r="AW128" s="418" t="n">
        <v>0.069961064139886</v>
      </c>
      <c r="AY128" s="437" t="n">
        <f aca="false">AG128</f>
        <v>0.187</v>
      </c>
      <c r="AZ128" s="437" t="n">
        <f aca="false">AG128</f>
        <v>0.187</v>
      </c>
      <c r="BA128" s="441" t="n">
        <f aca="false">AG128</f>
        <v>0.187</v>
      </c>
      <c r="BB128" s="442" t="n">
        <f aca="false">B128</f>
        <v>40179</v>
      </c>
      <c r="BC128" s="437" t="n">
        <f aca="false">(1+$AW128/2)^(-2*($B128-$BC$11)/365.25)</f>
        <v>0.525943269111701</v>
      </c>
      <c r="BD128" s="437" t="n">
        <f aca="false">(1+$AW128/2)^(-2*($B128-$BD$11)/365.25)</f>
        <v>0.526042297220266</v>
      </c>
      <c r="BF128" s="442" t="n">
        <f aca="false">B128</f>
        <v>40179</v>
      </c>
      <c r="BG128" s="418" t="n">
        <v>116</v>
      </c>
    </row>
    <row r="129" customFormat="false" ht="12" hidden="false" customHeight="false" outlineLevel="0" collapsed="false">
      <c r="B129" s="419" t="n">
        <f aca="false">EOMONTH(B128,0)+1</f>
        <v>40210</v>
      </c>
      <c r="C129" s="420" t="n">
        <v>3.287</v>
      </c>
      <c r="D129" s="420" t="n">
        <v>0.17</v>
      </c>
      <c r="E129" s="420" t="n">
        <v>0.070474549402486</v>
      </c>
      <c r="F129" s="420" t="n">
        <v>-0.2025</v>
      </c>
      <c r="G129" s="420" t="n">
        <v>-0.04</v>
      </c>
      <c r="H129" s="420" t="n">
        <v>-0.2025</v>
      </c>
      <c r="I129" s="420" t="n">
        <v>0.28</v>
      </c>
      <c r="J129" s="420" t="n">
        <v>0.305</v>
      </c>
      <c r="K129" s="420" t="n">
        <v>0.435</v>
      </c>
      <c r="L129" s="420" t="n">
        <v>-0.069</v>
      </c>
      <c r="M129" s="420" t="n">
        <v>-0.0045</v>
      </c>
      <c r="N129" s="420" t="n">
        <v>-0.28</v>
      </c>
      <c r="O129" s="420" t="n">
        <v>0</v>
      </c>
      <c r="P129" s="420" t="n">
        <v>0.016</v>
      </c>
      <c r="Q129" s="435" t="n">
        <v>-0.0015</v>
      </c>
      <c r="R129" s="418" t="n">
        <v>-0.018</v>
      </c>
      <c r="S129" s="418" t="n">
        <v>-0.0495</v>
      </c>
      <c r="T129" s="418" t="n">
        <v>-0.095</v>
      </c>
      <c r="U129" s="418" t="n">
        <v>-0.027</v>
      </c>
      <c r="V129" s="418" t="n">
        <v>-0.1155</v>
      </c>
      <c r="W129" s="418" t="n">
        <v>-0.1275</v>
      </c>
      <c r="X129" s="418" t="n">
        <v>1.455</v>
      </c>
      <c r="Y129" s="418" t="n">
        <v>0.005</v>
      </c>
      <c r="Z129" s="418" t="n">
        <v>-0.19</v>
      </c>
      <c r="AA129" s="418" t="n">
        <v>-0.0185</v>
      </c>
      <c r="AB129" s="437" t="n">
        <v>0.12</v>
      </c>
      <c r="AC129" s="437" t="n">
        <v>0.975</v>
      </c>
      <c r="AD129" s="437" t="n">
        <v>0.375</v>
      </c>
      <c r="AE129" s="438" t="n">
        <v>0.17</v>
      </c>
      <c r="AF129" s="438" t="n">
        <v>0.17</v>
      </c>
      <c r="AG129" s="438" t="n">
        <v>0.187</v>
      </c>
      <c r="AH129" s="438" t="n">
        <v>0.17</v>
      </c>
      <c r="AI129" s="438" t="n">
        <v>0.173</v>
      </c>
      <c r="AJ129" s="438" t="n">
        <v>0.17</v>
      </c>
      <c r="AK129" s="438" t="n">
        <v>0.17</v>
      </c>
      <c r="AL129" s="438" t="n">
        <v>0.17</v>
      </c>
      <c r="AM129" s="438" t="n">
        <v>0.17</v>
      </c>
      <c r="AN129" s="438" t="n">
        <v>0.17</v>
      </c>
      <c r="AO129" s="438" t="n">
        <v>0.17</v>
      </c>
      <c r="AP129" s="439" t="n">
        <v>0.17</v>
      </c>
      <c r="AQ129" s="439" t="n">
        <v>0.17</v>
      </c>
      <c r="AR129" s="439" t="n">
        <v>0.17</v>
      </c>
      <c r="AS129" s="439" t="n">
        <v>0.17</v>
      </c>
      <c r="AT129" s="438" t="n">
        <v>0.17</v>
      </c>
      <c r="AU129" s="438" t="n">
        <v>0.17</v>
      </c>
      <c r="AV129" s="438" t="n">
        <v>0.187</v>
      </c>
      <c r="AW129" s="418" t="n">
        <v>0.069960916888135</v>
      </c>
      <c r="AY129" s="437" t="n">
        <f aca="false">AG129</f>
        <v>0.187</v>
      </c>
      <c r="AZ129" s="437" t="n">
        <f aca="false">AG129</f>
        <v>0.187</v>
      </c>
      <c r="BA129" s="441" t="n">
        <f aca="false">AG129</f>
        <v>0.187</v>
      </c>
      <c r="BB129" s="442" t="n">
        <f aca="false">B129</f>
        <v>40210</v>
      </c>
      <c r="BC129" s="437" t="n">
        <f aca="false">(1+$AW129/2)^(-2*($B129-$BC$11)/365.25)</f>
        <v>0.522883328340678</v>
      </c>
      <c r="BD129" s="437" t="n">
        <f aca="false">(1+$AW129/2)^(-2*($B129-$BD$11)/365.25)</f>
        <v>0.522981780099459</v>
      </c>
      <c r="BF129" s="442" t="n">
        <f aca="false">B129</f>
        <v>40210</v>
      </c>
      <c r="BG129" s="418" t="n">
        <v>117</v>
      </c>
    </row>
    <row r="130" customFormat="false" ht="12" hidden="false" customHeight="false" outlineLevel="0" collapsed="false">
      <c r="B130" s="419" t="n">
        <f aca="false">EOMONTH(B129,0)+1</f>
        <v>40238</v>
      </c>
      <c r="C130" s="420" t="n">
        <v>3.138</v>
      </c>
      <c r="D130" s="420" t="n">
        <v>0.16</v>
      </c>
      <c r="E130" s="420" t="n">
        <v>0.070486152357327</v>
      </c>
      <c r="F130" s="420" t="n">
        <v>-0.205</v>
      </c>
      <c r="G130" s="420" t="n">
        <v>-0.0275</v>
      </c>
      <c r="H130" s="420" t="n">
        <v>-0.205</v>
      </c>
      <c r="I130" s="420" t="n">
        <v>0.278</v>
      </c>
      <c r="J130" s="420" t="n">
        <v>0.265</v>
      </c>
      <c r="K130" s="420" t="n">
        <v>0.3025</v>
      </c>
      <c r="L130" s="420" t="n">
        <v>-0.069</v>
      </c>
      <c r="M130" s="420" t="n">
        <v>-0.0045</v>
      </c>
      <c r="N130" s="420" t="n">
        <v>-0.28</v>
      </c>
      <c r="O130" s="420" t="n">
        <v>-0.18</v>
      </c>
      <c r="P130" s="420" t="n">
        <v>0.016</v>
      </c>
      <c r="Q130" s="435" t="n">
        <v>-0.0015</v>
      </c>
      <c r="R130" s="418" t="n">
        <v>-0.018</v>
      </c>
      <c r="S130" s="418" t="n">
        <v>-0.0495</v>
      </c>
      <c r="T130" s="418" t="n">
        <v>-0.095</v>
      </c>
      <c r="U130" s="418" t="n">
        <v>-0.0085</v>
      </c>
      <c r="V130" s="418" t="n">
        <v>-0.098</v>
      </c>
      <c r="W130" s="418" t="n">
        <v>-0.1325</v>
      </c>
      <c r="X130" s="418" t="n">
        <v>0.835</v>
      </c>
      <c r="Y130" s="418" t="n">
        <v>0.005</v>
      </c>
      <c r="Z130" s="418" t="n">
        <v>-0.19</v>
      </c>
      <c r="AA130" s="418" t="n">
        <v>-0.0185</v>
      </c>
      <c r="AB130" s="437" t="n">
        <v>0.12</v>
      </c>
      <c r="AC130" s="437" t="n">
        <v>0.6075</v>
      </c>
      <c r="AD130" s="437" t="n">
        <v>0.373</v>
      </c>
      <c r="AE130" s="438" t="n">
        <v>0.16</v>
      </c>
      <c r="AF130" s="438" t="n">
        <v>0.16</v>
      </c>
      <c r="AG130" s="438" t="n">
        <v>0.176</v>
      </c>
      <c r="AH130" s="438" t="n">
        <v>0.16</v>
      </c>
      <c r="AI130" s="438" t="n">
        <v>0.163</v>
      </c>
      <c r="AJ130" s="438" t="n">
        <v>0.16</v>
      </c>
      <c r="AK130" s="438" t="n">
        <v>0.16</v>
      </c>
      <c r="AL130" s="438" t="n">
        <v>0.16</v>
      </c>
      <c r="AM130" s="438" t="n">
        <v>0.16</v>
      </c>
      <c r="AN130" s="438" t="n">
        <v>0.16</v>
      </c>
      <c r="AO130" s="438" t="n">
        <v>0.16</v>
      </c>
      <c r="AP130" s="439" t="n">
        <v>0.16</v>
      </c>
      <c r="AQ130" s="439" t="n">
        <v>0.16</v>
      </c>
      <c r="AR130" s="439" t="n">
        <v>0.16</v>
      </c>
      <c r="AS130" s="439" t="n">
        <v>0.16</v>
      </c>
      <c r="AT130" s="438" t="n">
        <v>0.16</v>
      </c>
      <c r="AU130" s="438" t="n">
        <v>0.16</v>
      </c>
      <c r="AV130" s="438" t="n">
        <v>0.176</v>
      </c>
      <c r="AW130" s="418" t="n">
        <v>0.069960783886554</v>
      </c>
      <c r="AY130" s="437" t="n">
        <f aca="false">AG130</f>
        <v>0.176</v>
      </c>
      <c r="AZ130" s="437" t="n">
        <f aca="false">AG130</f>
        <v>0.176</v>
      </c>
      <c r="BA130" s="441" t="n">
        <f aca="false">AG130</f>
        <v>0.176</v>
      </c>
      <c r="BB130" s="442" t="n">
        <f aca="false">B130</f>
        <v>40238</v>
      </c>
      <c r="BC130" s="437" t="n">
        <f aca="false">(1+$AW130/2)^(-2*($B130-$BC$11)/365.25)</f>
        <v>0.520134826388515</v>
      </c>
      <c r="BD130" s="437" t="n">
        <f aca="false">(1+$AW130/2)^(-2*($B130-$BD$11)/365.25)</f>
        <v>0.520232760459042</v>
      </c>
      <c r="BF130" s="442" t="n">
        <f aca="false">B130</f>
        <v>40238</v>
      </c>
      <c r="BG130" s="418" t="n">
        <v>118</v>
      </c>
    </row>
    <row r="131" customFormat="false" ht="12" hidden="false" customHeight="false" outlineLevel="0" collapsed="false">
      <c r="B131" s="419" t="n">
        <f aca="false">EOMONTH(B130,0)+1</f>
        <v>40269</v>
      </c>
      <c r="C131" s="420" t="n">
        <v>2.981</v>
      </c>
      <c r="D131" s="420" t="n">
        <v>0.16</v>
      </c>
      <c r="E131" s="420" t="n">
        <v>0.070498998485953</v>
      </c>
      <c r="F131" s="420" t="n">
        <v>-0.195</v>
      </c>
      <c r="G131" s="420" t="n">
        <v>0.015</v>
      </c>
      <c r="H131" s="420" t="n">
        <v>-0.195</v>
      </c>
      <c r="I131" s="420" t="n">
        <v>0.183</v>
      </c>
      <c r="J131" s="420" t="n">
        <v>0.195</v>
      </c>
      <c r="K131" s="420" t="n">
        <v>0.25</v>
      </c>
      <c r="L131" s="420" t="n">
        <v>-0.062</v>
      </c>
      <c r="M131" s="420" t="n">
        <v>-0.012</v>
      </c>
      <c r="N131" s="420" t="n">
        <v>-0.36</v>
      </c>
      <c r="O131" s="420" t="n">
        <v>-0.29</v>
      </c>
      <c r="P131" s="420" t="n">
        <v>0.0065</v>
      </c>
      <c r="Q131" s="435" t="n">
        <v>0.0085</v>
      </c>
      <c r="R131" s="418" t="n">
        <v>-0.0175</v>
      </c>
      <c r="S131" s="418" t="n">
        <v>-0.047</v>
      </c>
      <c r="T131" s="418" t="n">
        <v>-0.14</v>
      </c>
      <c r="U131" s="418" t="n">
        <v>-0.0085</v>
      </c>
      <c r="V131" s="418" t="n">
        <v>-0.0905</v>
      </c>
      <c r="W131" s="418" t="n">
        <v>-0.12</v>
      </c>
      <c r="X131" s="418" t="n">
        <v>0.45</v>
      </c>
      <c r="Y131" s="418" t="n">
        <v>0.005</v>
      </c>
      <c r="Z131" s="418" t="n">
        <v>-0.195</v>
      </c>
      <c r="AA131" s="418" t="n">
        <v>-0.016</v>
      </c>
      <c r="AB131" s="437" t="n">
        <v>0.29</v>
      </c>
      <c r="AC131" s="437" t="n">
        <v>0.355</v>
      </c>
      <c r="AD131" s="437" t="n">
        <v>0.278</v>
      </c>
      <c r="AE131" s="438" t="n">
        <v>0.16</v>
      </c>
      <c r="AF131" s="438" t="n">
        <v>0.16</v>
      </c>
      <c r="AG131" s="438" t="n">
        <v>0.157</v>
      </c>
      <c r="AH131" s="438" t="n">
        <v>0.16</v>
      </c>
      <c r="AI131" s="438" t="n">
        <v>0.163</v>
      </c>
      <c r="AJ131" s="438" t="n">
        <v>0.16</v>
      </c>
      <c r="AK131" s="438" t="n">
        <v>0.157</v>
      </c>
      <c r="AL131" s="438" t="n">
        <v>0.157</v>
      </c>
      <c r="AM131" s="438" t="n">
        <v>0.16</v>
      </c>
      <c r="AN131" s="438" t="n">
        <v>0.16</v>
      </c>
      <c r="AO131" s="438" t="n">
        <v>0.16</v>
      </c>
      <c r="AP131" s="439" t="n">
        <v>0.16</v>
      </c>
      <c r="AQ131" s="439" t="n">
        <v>0.16</v>
      </c>
      <c r="AR131" s="439" t="n">
        <v>0.16</v>
      </c>
      <c r="AS131" s="439" t="n">
        <v>0.16</v>
      </c>
      <c r="AT131" s="438" t="n">
        <v>0.16</v>
      </c>
      <c r="AU131" s="438" t="n">
        <v>0.16</v>
      </c>
      <c r="AV131" s="438" t="n">
        <v>0.157</v>
      </c>
      <c r="AW131" s="418" t="n">
        <v>0.069960636634803</v>
      </c>
      <c r="AY131" s="437" t="n">
        <f aca="false">AG131</f>
        <v>0.157</v>
      </c>
      <c r="AZ131" s="437" t="n">
        <f aca="false">AG131</f>
        <v>0.157</v>
      </c>
      <c r="BA131" s="441" t="n">
        <f aca="false">AG131</f>
        <v>0.157</v>
      </c>
      <c r="BB131" s="442" t="n">
        <f aca="false">B131</f>
        <v>40269</v>
      </c>
      <c r="BC131" s="437" t="n">
        <f aca="false">(1+$AW131/2)^(-2*($B131-$BC$11)/365.25)</f>
        <v>0.517108702937128</v>
      </c>
      <c r="BD131" s="437" t="n">
        <f aca="false">(1+$AW131/2)^(-2*($B131-$BD$11)/365.25)</f>
        <v>0.517206067029715</v>
      </c>
      <c r="BF131" s="442" t="n">
        <f aca="false">B131</f>
        <v>40269</v>
      </c>
      <c r="BG131" s="418" t="n">
        <v>119</v>
      </c>
    </row>
    <row r="132" customFormat="false" ht="12" hidden="false" customHeight="false" outlineLevel="0" collapsed="false">
      <c r="B132" s="419" t="n">
        <f aca="false">EOMONTH(B131,0)+1</f>
        <v>40299</v>
      </c>
      <c r="C132" s="420" t="n">
        <v>2.976</v>
      </c>
      <c r="D132" s="420" t="n">
        <v>0.16</v>
      </c>
      <c r="E132" s="420" t="n">
        <v>0.070511430223386</v>
      </c>
      <c r="F132" s="420" t="n">
        <v>-0.195</v>
      </c>
      <c r="G132" s="420" t="n">
        <v>0.015</v>
      </c>
      <c r="H132" s="420" t="n">
        <v>-0.195</v>
      </c>
      <c r="I132" s="420" t="n">
        <v>0.193</v>
      </c>
      <c r="J132" s="420" t="n">
        <v>0.1825</v>
      </c>
      <c r="K132" s="420" t="n">
        <v>0.2025</v>
      </c>
      <c r="L132" s="420" t="n">
        <v>-0.062</v>
      </c>
      <c r="M132" s="420" t="n">
        <v>-0.012</v>
      </c>
      <c r="N132" s="420" t="n">
        <v>-0.36</v>
      </c>
      <c r="O132" s="420" t="n">
        <v>-0.29</v>
      </c>
      <c r="P132" s="420" t="n">
        <v>0.0065</v>
      </c>
      <c r="Q132" s="420" t="n">
        <v>0.0085</v>
      </c>
      <c r="R132" s="418" t="n">
        <v>-0.0175</v>
      </c>
      <c r="S132" s="418" t="n">
        <v>-0.047</v>
      </c>
      <c r="T132" s="418" t="n">
        <v>-0.155</v>
      </c>
      <c r="U132" s="418" t="n">
        <v>-0.00875</v>
      </c>
      <c r="V132" s="418" t="n">
        <v>-0.0905</v>
      </c>
      <c r="W132" s="418" t="n">
        <v>-0.12</v>
      </c>
      <c r="X132" s="418" t="n">
        <v>0.405</v>
      </c>
      <c r="Y132" s="418" t="n">
        <v>0.005</v>
      </c>
      <c r="Z132" s="418" t="n">
        <v>-0.195</v>
      </c>
      <c r="AA132" s="418" t="n">
        <v>-0.016</v>
      </c>
      <c r="AB132" s="437" t="n">
        <v>0.29</v>
      </c>
      <c r="AC132" s="437" t="n">
        <v>0.2875</v>
      </c>
      <c r="AD132" s="437" t="n">
        <v>0.288</v>
      </c>
      <c r="AE132" s="438" t="n">
        <v>0.16</v>
      </c>
      <c r="AF132" s="438" t="n">
        <v>0.16</v>
      </c>
      <c r="AG132" s="438" t="n">
        <v>0.157</v>
      </c>
      <c r="AH132" s="438" t="n">
        <v>0.16</v>
      </c>
      <c r="AI132" s="438" t="n">
        <v>0.163</v>
      </c>
      <c r="AJ132" s="438" t="n">
        <v>0.16</v>
      </c>
      <c r="AK132" s="438" t="n">
        <v>0.157</v>
      </c>
      <c r="AL132" s="438" t="n">
        <v>0.157</v>
      </c>
      <c r="AM132" s="438" t="n">
        <v>0.16</v>
      </c>
      <c r="AN132" s="438" t="n">
        <v>0.16</v>
      </c>
      <c r="AO132" s="438" t="n">
        <v>0.16</v>
      </c>
      <c r="AP132" s="439" t="n">
        <v>0.16</v>
      </c>
      <c r="AQ132" s="439" t="n">
        <v>0.16</v>
      </c>
      <c r="AR132" s="439" t="n">
        <v>0.16</v>
      </c>
      <c r="AS132" s="439" t="n">
        <v>0.16</v>
      </c>
      <c r="AT132" s="438" t="n">
        <v>0.16</v>
      </c>
      <c r="AU132" s="438" t="n">
        <v>0.16</v>
      </c>
      <c r="AV132" s="438" t="n">
        <v>0.157</v>
      </c>
      <c r="AW132" s="418" t="n">
        <v>0.069960494133109</v>
      </c>
      <c r="AY132" s="437" t="n">
        <f aca="false">AG132</f>
        <v>0.157</v>
      </c>
      <c r="AZ132" s="437" t="n">
        <f aca="false">AG132</f>
        <v>0.157</v>
      </c>
      <c r="BA132" s="441" t="n">
        <f aca="false">AG132</f>
        <v>0.157</v>
      </c>
      <c r="BB132" s="442" t="n">
        <f aca="false">B132</f>
        <v>40299</v>
      </c>
      <c r="BC132" s="437" t="n">
        <f aca="false">(1+$AW132/2)^(-2*($B132-$BC$11)/365.25)</f>
        <v>0.514196972373142</v>
      </c>
      <c r="BD132" s="437" t="n">
        <f aca="false">(1+$AW132/2)^(-2*($B132-$BD$11)/365.25)</f>
        <v>0.514293788035091</v>
      </c>
      <c r="BF132" s="442" t="n">
        <f aca="false">B132</f>
        <v>40299</v>
      </c>
      <c r="BG132" s="418" t="n">
        <v>120</v>
      </c>
    </row>
    <row r="133" customFormat="false" ht="12" hidden="false" customHeight="false" outlineLevel="0" collapsed="false">
      <c r="B133" s="419" t="n">
        <f aca="false">EOMONTH(B132,0)+1</f>
        <v>40330</v>
      </c>
      <c r="C133" s="420" t="n">
        <v>3.003</v>
      </c>
      <c r="D133" s="420" t="n">
        <v>0.16</v>
      </c>
      <c r="E133" s="420" t="n">
        <v>0.070524276352119</v>
      </c>
      <c r="F133" s="420" t="n">
        <v>-0.195</v>
      </c>
      <c r="G133" s="420" t="n">
        <v>0.02</v>
      </c>
      <c r="H133" s="420" t="n">
        <v>-0.195</v>
      </c>
      <c r="I133" s="420" t="n">
        <v>0.188</v>
      </c>
      <c r="J133" s="420" t="n">
        <v>0.1825</v>
      </c>
      <c r="K133" s="420" t="n">
        <v>0.2025</v>
      </c>
      <c r="L133" s="420" t="n">
        <v>-0.078</v>
      </c>
      <c r="M133" s="420" t="n">
        <v>-0.012</v>
      </c>
      <c r="N133" s="420" t="n">
        <v>-0.36</v>
      </c>
      <c r="O133" s="420" t="n">
        <v>-0.29</v>
      </c>
      <c r="P133" s="420" t="n">
        <v>0.0065</v>
      </c>
      <c r="Q133" s="420" t="n">
        <v>0.0085</v>
      </c>
      <c r="R133" s="418" t="n">
        <v>-0.0175</v>
      </c>
      <c r="S133" s="418" t="n">
        <v>-0.047</v>
      </c>
      <c r="T133" s="418" t="n">
        <v>-0.165</v>
      </c>
      <c r="U133" s="418" t="n">
        <v>-0.00875</v>
      </c>
      <c r="V133" s="418" t="n">
        <v>-0.0805</v>
      </c>
      <c r="W133" s="418" t="n">
        <v>-0.12</v>
      </c>
      <c r="X133" s="418" t="n">
        <v>0.395</v>
      </c>
      <c r="Y133" s="418" t="n">
        <v>0.005</v>
      </c>
      <c r="Z133" s="418" t="n">
        <v>-0.195</v>
      </c>
      <c r="AA133" s="418" t="n">
        <v>-0.016</v>
      </c>
      <c r="AB133" s="437" t="n">
        <v>0.29</v>
      </c>
      <c r="AC133" s="437" t="n">
        <v>0.2875</v>
      </c>
      <c r="AD133" s="437" t="n">
        <v>0.283</v>
      </c>
      <c r="AE133" s="438" t="n">
        <v>0.16</v>
      </c>
      <c r="AF133" s="438" t="n">
        <v>0.16</v>
      </c>
      <c r="AG133" s="438" t="n">
        <v>0.157</v>
      </c>
      <c r="AH133" s="438" t="n">
        <v>0.16</v>
      </c>
      <c r="AI133" s="438" t="n">
        <v>0.163</v>
      </c>
      <c r="AJ133" s="438" t="n">
        <v>0.16</v>
      </c>
      <c r="AK133" s="438" t="n">
        <v>0.157</v>
      </c>
      <c r="AL133" s="438" t="n">
        <v>0.157</v>
      </c>
      <c r="AM133" s="438" t="n">
        <v>0.16</v>
      </c>
      <c r="AN133" s="438" t="n">
        <v>0.16</v>
      </c>
      <c r="AO133" s="438" t="n">
        <v>0.16</v>
      </c>
      <c r="AP133" s="439" t="n">
        <v>0.16</v>
      </c>
      <c r="AQ133" s="439" t="n">
        <v>0.16</v>
      </c>
      <c r="AR133" s="439" t="n">
        <v>0.16</v>
      </c>
      <c r="AS133" s="439" t="n">
        <v>0.16</v>
      </c>
      <c r="AT133" s="438" t="n">
        <v>0.16</v>
      </c>
      <c r="AU133" s="438" t="n">
        <v>0.16</v>
      </c>
      <c r="AV133" s="438" t="n">
        <v>0.157</v>
      </c>
      <c r="AW133" s="418" t="n">
        <v>0.069960346881358</v>
      </c>
      <c r="AY133" s="437" t="n">
        <f aca="false">AG133</f>
        <v>0.157</v>
      </c>
      <c r="AZ133" s="437" t="n">
        <f aca="false">AG133</f>
        <v>0.157</v>
      </c>
      <c r="BA133" s="441" t="n">
        <f aca="false">AG133</f>
        <v>0.157</v>
      </c>
      <c r="BB133" s="442" t="n">
        <f aca="false">B133</f>
        <v>40330</v>
      </c>
      <c r="BC133" s="437" t="n">
        <f aca="false">(1+$AW133/2)^(-2*($B133-$BC$11)/365.25)</f>
        <v>0.511205419410828</v>
      </c>
      <c r="BD133" s="437" t="n">
        <f aca="false">(1+$AW133/2)^(-2*($B133-$BD$11)/365.25)</f>
        <v>0.511301671608567</v>
      </c>
      <c r="BF133" s="442" t="n">
        <f aca="false">B133</f>
        <v>40330</v>
      </c>
      <c r="BG133" s="418" t="n">
        <v>121</v>
      </c>
    </row>
    <row r="134" customFormat="false" ht="12" hidden="false" customHeight="false" outlineLevel="0" collapsed="false">
      <c r="B134" s="419" t="n">
        <f aca="false">EOMONTH(B133,0)+1</f>
        <v>40360</v>
      </c>
      <c r="C134" s="420" t="n">
        <v>3.025</v>
      </c>
      <c r="D134" s="420" t="n">
        <v>0.16</v>
      </c>
      <c r="E134" s="420" t="n">
        <v>0.070536708089655</v>
      </c>
      <c r="F134" s="420" t="n">
        <v>-0.195</v>
      </c>
      <c r="G134" s="420" t="n">
        <v>0.0225</v>
      </c>
      <c r="H134" s="420" t="n">
        <v>-0.195</v>
      </c>
      <c r="I134" s="420" t="n">
        <v>0.178</v>
      </c>
      <c r="J134" s="420" t="n">
        <v>0.1825</v>
      </c>
      <c r="K134" s="420" t="n">
        <v>0.215</v>
      </c>
      <c r="L134" s="420" t="n">
        <v>-0.071</v>
      </c>
      <c r="M134" s="420" t="n">
        <v>-0.012</v>
      </c>
      <c r="N134" s="420" t="n">
        <v>-0.36</v>
      </c>
      <c r="O134" s="420" t="n">
        <v>-0.29</v>
      </c>
      <c r="P134" s="420" t="n">
        <v>0.0065</v>
      </c>
      <c r="Q134" s="420" t="n">
        <v>0.0085</v>
      </c>
      <c r="R134" s="418" t="n">
        <v>-0.0175</v>
      </c>
      <c r="S134" s="418" t="n">
        <v>-0.047</v>
      </c>
      <c r="T134" s="418" t="n">
        <v>-0.165</v>
      </c>
      <c r="U134" s="418" t="n">
        <v>-0.00875</v>
      </c>
      <c r="V134" s="418" t="n">
        <v>-0.0755</v>
      </c>
      <c r="W134" s="418" t="n">
        <v>-0.12</v>
      </c>
      <c r="X134" s="418" t="n">
        <v>0.43</v>
      </c>
      <c r="Y134" s="418" t="n">
        <v>0.005</v>
      </c>
      <c r="Z134" s="418" t="n">
        <v>-0.195</v>
      </c>
      <c r="AA134" s="418" t="n">
        <v>-0.016</v>
      </c>
      <c r="AB134" s="437" t="n">
        <v>0.29</v>
      </c>
      <c r="AC134" s="437" t="n">
        <v>0.3</v>
      </c>
      <c r="AD134" s="437" t="n">
        <v>0.273</v>
      </c>
      <c r="AE134" s="438" t="n">
        <v>0.16</v>
      </c>
      <c r="AF134" s="438" t="n">
        <v>0.16</v>
      </c>
      <c r="AG134" s="438" t="n">
        <v>0.157</v>
      </c>
      <c r="AH134" s="438" t="n">
        <v>0.16</v>
      </c>
      <c r="AI134" s="438" t="n">
        <v>0.163</v>
      </c>
      <c r="AJ134" s="438" t="n">
        <v>0.16</v>
      </c>
      <c r="AK134" s="438" t="n">
        <v>0.157</v>
      </c>
      <c r="AL134" s="438" t="n">
        <v>0.157</v>
      </c>
      <c r="AM134" s="438" t="n">
        <v>0.16</v>
      </c>
      <c r="AN134" s="438" t="n">
        <v>0.16</v>
      </c>
      <c r="AO134" s="438" t="n">
        <v>0.16</v>
      </c>
      <c r="AP134" s="439" t="n">
        <v>0.16</v>
      </c>
      <c r="AQ134" s="439" t="n">
        <v>0.16</v>
      </c>
      <c r="AR134" s="439" t="n">
        <v>0.16</v>
      </c>
      <c r="AS134" s="439" t="n">
        <v>0.16</v>
      </c>
      <c r="AT134" s="438" t="n">
        <v>0.16</v>
      </c>
      <c r="AU134" s="438" t="n">
        <v>0.16</v>
      </c>
      <c r="AV134" s="438" t="n">
        <v>0.157</v>
      </c>
      <c r="AW134" s="418" t="n">
        <v>0.069960204379663</v>
      </c>
      <c r="AY134" s="437" t="n">
        <f aca="false">AG134</f>
        <v>0.157</v>
      </c>
      <c r="AZ134" s="437" t="n">
        <f aca="false">AG134</f>
        <v>0.157</v>
      </c>
      <c r="BA134" s="441" t="n">
        <f aca="false">AG134</f>
        <v>0.157</v>
      </c>
      <c r="BB134" s="442" t="n">
        <f aca="false">B134</f>
        <v>40360</v>
      </c>
      <c r="BC134" s="437" t="n">
        <f aca="false">(1+$AW134/2)^(-2*($B134-$BC$11)/365.25)</f>
        <v>0.508326952375008</v>
      </c>
      <c r="BD134" s="437" t="n">
        <f aca="false">(1+$AW134/2)^(-2*($B134-$BD$11)/365.25)</f>
        <v>0.508422662409571</v>
      </c>
      <c r="BF134" s="442" t="n">
        <f aca="false">B134</f>
        <v>40360</v>
      </c>
      <c r="BG134" s="418" t="n">
        <v>122</v>
      </c>
    </row>
    <row r="135" customFormat="false" ht="12" hidden="false" customHeight="false" outlineLevel="0" collapsed="false">
      <c r="B135" s="419" t="n">
        <f aca="false">EOMONTH(B134,0)+1</f>
        <v>40391</v>
      </c>
      <c r="C135" s="420" t="n">
        <v>3.046</v>
      </c>
      <c r="D135" s="420" t="n">
        <v>0.16</v>
      </c>
      <c r="E135" s="420" t="n">
        <v>0.070549554218496</v>
      </c>
      <c r="F135" s="420" t="n">
        <v>-0.195</v>
      </c>
      <c r="G135" s="420" t="n">
        <v>0.025</v>
      </c>
      <c r="H135" s="420" t="n">
        <v>-0.195</v>
      </c>
      <c r="I135" s="420" t="n">
        <v>0.175</v>
      </c>
      <c r="J135" s="420" t="n">
        <v>0.1825</v>
      </c>
      <c r="K135" s="420" t="n">
        <v>0.215</v>
      </c>
      <c r="L135" s="420" t="n">
        <v>-0.062</v>
      </c>
      <c r="M135" s="420" t="n">
        <v>-0.012</v>
      </c>
      <c r="N135" s="420" t="n">
        <v>-0.36</v>
      </c>
      <c r="O135" s="420" t="n">
        <v>-0.29</v>
      </c>
      <c r="P135" s="420" t="n">
        <v>0.0065</v>
      </c>
      <c r="Q135" s="420" t="n">
        <v>0.0085</v>
      </c>
      <c r="R135" s="418" t="n">
        <v>-0.0175</v>
      </c>
      <c r="S135" s="418" t="n">
        <v>-0.047</v>
      </c>
      <c r="T135" s="418" t="n">
        <v>-0.165</v>
      </c>
      <c r="U135" s="418" t="n">
        <v>-0.00875</v>
      </c>
      <c r="V135" s="418" t="n">
        <v>-0.0755</v>
      </c>
      <c r="W135" s="418" t="n">
        <v>-0.12</v>
      </c>
      <c r="X135" s="418" t="n">
        <v>0.495</v>
      </c>
      <c r="Y135" s="418" t="n">
        <v>0.005</v>
      </c>
      <c r="Z135" s="418" t="n">
        <v>-0.195</v>
      </c>
      <c r="AA135" s="418" t="n">
        <v>-0.016</v>
      </c>
      <c r="AB135" s="437" t="n">
        <v>0.29</v>
      </c>
      <c r="AC135" s="437" t="n">
        <v>0.3</v>
      </c>
      <c r="AD135" s="437" t="n">
        <v>0.27</v>
      </c>
      <c r="AE135" s="438" t="n">
        <v>0.16</v>
      </c>
      <c r="AF135" s="438" t="n">
        <v>0.16</v>
      </c>
      <c r="AG135" s="438" t="n">
        <v>0.157</v>
      </c>
      <c r="AH135" s="438" t="n">
        <v>0.16</v>
      </c>
      <c r="AI135" s="438" t="n">
        <v>0.163</v>
      </c>
      <c r="AJ135" s="438" t="n">
        <v>0.16</v>
      </c>
      <c r="AK135" s="438" t="n">
        <v>0.157</v>
      </c>
      <c r="AL135" s="438" t="n">
        <v>0.157</v>
      </c>
      <c r="AM135" s="438" t="n">
        <v>0.16</v>
      </c>
      <c r="AN135" s="438" t="n">
        <v>0.16</v>
      </c>
      <c r="AO135" s="438" t="n">
        <v>0.16</v>
      </c>
      <c r="AP135" s="439" t="n">
        <v>0.16</v>
      </c>
      <c r="AQ135" s="439" t="n">
        <v>0.16</v>
      </c>
      <c r="AR135" s="439" t="n">
        <v>0.16</v>
      </c>
      <c r="AS135" s="439" t="n">
        <v>0.16</v>
      </c>
      <c r="AT135" s="438" t="n">
        <v>0.16</v>
      </c>
      <c r="AU135" s="438" t="n">
        <v>0.16</v>
      </c>
      <c r="AV135" s="438" t="n">
        <v>0.157</v>
      </c>
      <c r="AW135" s="418" t="n">
        <v>0.069960057127913</v>
      </c>
      <c r="AY135" s="437" t="n">
        <f aca="false">AG135</f>
        <v>0.157</v>
      </c>
      <c r="AZ135" s="437" t="n">
        <f aca="false">AG135</f>
        <v>0.157</v>
      </c>
      <c r="BA135" s="441" t="n">
        <f aca="false">AG135</f>
        <v>0.157</v>
      </c>
      <c r="BB135" s="442" t="n">
        <f aca="false">B135</f>
        <v>40391</v>
      </c>
      <c r="BC135" s="437" t="n">
        <f aca="false">(1+$AW135/2)^(-2*($B135-$BC$11)/365.25)</f>
        <v>0.505369574691516</v>
      </c>
      <c r="BD135" s="437" t="n">
        <f aca="false">(1+$AW135/2)^(-2*($B135-$BD$11)/365.25)</f>
        <v>0.505464727701107</v>
      </c>
      <c r="BF135" s="442" t="n">
        <f aca="false">B135</f>
        <v>40391</v>
      </c>
      <c r="BG135" s="418" t="n">
        <v>123</v>
      </c>
    </row>
    <row r="136" customFormat="false" ht="12" hidden="false" customHeight="false" outlineLevel="0" collapsed="false">
      <c r="B136" s="419" t="n">
        <f aca="false">EOMONTH(B135,0)+1</f>
        <v>40422</v>
      </c>
      <c r="C136" s="420" t="n">
        <v>3.022</v>
      </c>
      <c r="D136" s="420" t="n">
        <v>0.16</v>
      </c>
      <c r="E136" s="420" t="n">
        <v>0.070562023569542</v>
      </c>
      <c r="F136" s="420" t="n">
        <v>-0.195</v>
      </c>
      <c r="G136" s="420" t="n">
        <v>0.0175</v>
      </c>
      <c r="H136" s="420" t="n">
        <v>-0.195</v>
      </c>
      <c r="I136" s="420" t="n">
        <v>0.173</v>
      </c>
      <c r="J136" s="420" t="n">
        <v>0.1825</v>
      </c>
      <c r="K136" s="420" t="n">
        <v>0.195</v>
      </c>
      <c r="L136" s="420" t="n">
        <v>-0.042</v>
      </c>
      <c r="M136" s="435" t="n">
        <v>-0.012</v>
      </c>
      <c r="N136" s="420" t="n">
        <v>-0.36</v>
      </c>
      <c r="O136" s="420" t="n">
        <v>-0.29</v>
      </c>
      <c r="P136" s="420" t="n">
        <v>0.0065</v>
      </c>
      <c r="Q136" s="420" t="n">
        <v>0.0085</v>
      </c>
      <c r="R136" s="418" t="n">
        <v>-0.0175</v>
      </c>
      <c r="S136" s="418" t="n">
        <v>-0.047</v>
      </c>
      <c r="T136" s="418" t="n">
        <v>-0.155</v>
      </c>
      <c r="U136" s="418" t="n">
        <v>-0.00875</v>
      </c>
      <c r="V136" s="418" t="n">
        <v>-0.0905</v>
      </c>
      <c r="W136" s="418" t="n">
        <v>-0.12</v>
      </c>
      <c r="X136" s="418" t="n">
        <v>0.395</v>
      </c>
      <c r="Y136" s="418" t="n">
        <v>0.005</v>
      </c>
      <c r="Z136" s="418" t="n">
        <v>-0.195</v>
      </c>
      <c r="AA136" s="418" t="n">
        <v>-0.016</v>
      </c>
      <c r="AB136" s="437" t="n">
        <v>0.29</v>
      </c>
      <c r="AC136" s="437" t="n">
        <v>0.29</v>
      </c>
      <c r="AD136" s="437" t="n">
        <v>0.268</v>
      </c>
      <c r="AE136" s="438" t="n">
        <v>0.16</v>
      </c>
      <c r="AF136" s="438" t="n">
        <v>0.16</v>
      </c>
      <c r="AG136" s="438" t="n">
        <v>0.157</v>
      </c>
      <c r="AH136" s="438" t="n">
        <v>0.16</v>
      </c>
      <c r="AI136" s="438" t="n">
        <v>0.163</v>
      </c>
      <c r="AJ136" s="438" t="n">
        <v>0.16</v>
      </c>
      <c r="AK136" s="438" t="n">
        <v>0.157</v>
      </c>
      <c r="AL136" s="438" t="n">
        <v>0.157</v>
      </c>
      <c r="AM136" s="438" t="n">
        <v>0.16</v>
      </c>
      <c r="AN136" s="438" t="n">
        <v>0.16</v>
      </c>
      <c r="AO136" s="438" t="n">
        <v>0.16</v>
      </c>
      <c r="AP136" s="439" t="n">
        <v>0.16</v>
      </c>
      <c r="AQ136" s="439" t="n">
        <v>0.16</v>
      </c>
      <c r="AR136" s="439" t="n">
        <v>0.16</v>
      </c>
      <c r="AS136" s="439" t="n">
        <v>0.16</v>
      </c>
      <c r="AT136" s="438" t="n">
        <v>0.16</v>
      </c>
      <c r="AU136" s="438" t="n">
        <v>0.16</v>
      </c>
      <c r="AV136" s="438" t="n">
        <v>0.157</v>
      </c>
      <c r="AW136" s="418" t="n">
        <v>0.069961513275417</v>
      </c>
      <c r="AY136" s="437" t="n">
        <f aca="false">AG136</f>
        <v>0.157</v>
      </c>
      <c r="AZ136" s="437" t="n">
        <f aca="false">AG136</f>
        <v>0.157</v>
      </c>
      <c r="BA136" s="441" t="n">
        <f aca="false">AG136</f>
        <v>0.157</v>
      </c>
      <c r="BB136" s="442" t="n">
        <f aca="false">B136</f>
        <v>40422</v>
      </c>
      <c r="BC136" s="437" t="n">
        <f aca="false">(1+$AW136/2)^(-2*($B136-$BC$11)/365.25)</f>
        <v>0.502421623694705</v>
      </c>
      <c r="BD136" s="437" t="n">
        <f aca="false">(1+$AW136/2)^(-2*($B136-$BD$11)/365.25)</f>
        <v>0.502516223587942</v>
      </c>
      <c r="BF136" s="442" t="n">
        <f aca="false">B136</f>
        <v>40422</v>
      </c>
      <c r="BG136" s="418" t="n">
        <v>124</v>
      </c>
    </row>
    <row r="137" customFormat="false" ht="12" hidden="false" customHeight="false" outlineLevel="0" collapsed="false">
      <c r="B137" s="419" t="n">
        <f aca="false">EOMONTH(B136,0)+1</f>
        <v>40452</v>
      </c>
      <c r="C137" s="420" t="n">
        <v>3.03</v>
      </c>
      <c r="D137" s="420" t="n">
        <v>0.16</v>
      </c>
      <c r="E137" s="420" t="n">
        <v>0.070563151971763</v>
      </c>
      <c r="F137" s="420" t="n">
        <v>-0.195</v>
      </c>
      <c r="G137" s="420" t="n">
        <v>0.0075</v>
      </c>
      <c r="H137" s="420" t="n">
        <v>-0.195</v>
      </c>
      <c r="I137" s="420" t="n">
        <v>0.188</v>
      </c>
      <c r="J137" s="420" t="n">
        <v>0.1875</v>
      </c>
      <c r="K137" s="420" t="n">
        <v>0.215</v>
      </c>
      <c r="L137" s="420" t="n">
        <v>-0.052</v>
      </c>
      <c r="M137" s="435" t="n">
        <v>-0.012</v>
      </c>
      <c r="N137" s="420" t="n">
        <v>-0.36</v>
      </c>
      <c r="O137" s="420" t="n">
        <v>-0.29</v>
      </c>
      <c r="P137" s="420" t="n">
        <v>0.0065</v>
      </c>
      <c r="Q137" s="420" t="n">
        <v>0.0085</v>
      </c>
      <c r="R137" s="418" t="n">
        <v>-0.0175</v>
      </c>
      <c r="S137" s="418" t="n">
        <v>-0.047</v>
      </c>
      <c r="T137" s="418" t="n">
        <v>-0.14</v>
      </c>
      <c r="U137" s="418" t="n">
        <v>-0.027</v>
      </c>
      <c r="V137" s="418" t="n">
        <v>-0.093</v>
      </c>
      <c r="W137" s="418" t="n">
        <v>-0.12</v>
      </c>
      <c r="X137" s="418" t="n">
        <v>0.461</v>
      </c>
      <c r="Y137" s="418" t="n">
        <v>0.005</v>
      </c>
      <c r="Z137" s="418" t="n">
        <v>-0.195</v>
      </c>
      <c r="AA137" s="418" t="n">
        <v>-0.016</v>
      </c>
      <c r="AB137" s="437" t="n">
        <v>0.29</v>
      </c>
      <c r="AC137" s="437" t="n">
        <v>0.3625</v>
      </c>
      <c r="AD137" s="437" t="n">
        <v>0.283</v>
      </c>
      <c r="AE137" s="438" t="n">
        <v>0.16</v>
      </c>
      <c r="AF137" s="438" t="n">
        <v>0.16</v>
      </c>
      <c r="AG137" s="438" t="n">
        <v>0.157</v>
      </c>
      <c r="AH137" s="438" t="n">
        <v>0.16</v>
      </c>
      <c r="AI137" s="438" t="n">
        <v>0.163</v>
      </c>
      <c r="AJ137" s="438" t="n">
        <v>0.16</v>
      </c>
      <c r="AK137" s="438" t="n">
        <v>0.157</v>
      </c>
      <c r="AL137" s="438" t="n">
        <v>0.157</v>
      </c>
      <c r="AM137" s="438" t="n">
        <v>0.16</v>
      </c>
      <c r="AN137" s="438" t="n">
        <v>0.16</v>
      </c>
      <c r="AO137" s="438" t="n">
        <v>0.16</v>
      </c>
      <c r="AP137" s="439" t="n">
        <v>0.16</v>
      </c>
      <c r="AQ137" s="439" t="n">
        <v>0.16</v>
      </c>
      <c r="AR137" s="439" t="n">
        <v>0.16</v>
      </c>
      <c r="AS137" s="439" t="n">
        <v>0.16</v>
      </c>
      <c r="AT137" s="438" t="n">
        <v>0.16</v>
      </c>
      <c r="AU137" s="438" t="n">
        <v>0.16</v>
      </c>
      <c r="AV137" s="438" t="n">
        <v>0.157</v>
      </c>
      <c r="AW137" s="418" t="n">
        <v>0.069968242484824</v>
      </c>
      <c r="AY137" s="437" t="n">
        <f aca="false">AG137</f>
        <v>0.157</v>
      </c>
      <c r="AZ137" s="437" t="n">
        <f aca="false">AG137</f>
        <v>0.157</v>
      </c>
      <c r="BA137" s="441" t="n">
        <f aca="false">AG137</f>
        <v>0.157</v>
      </c>
      <c r="BB137" s="442" t="n">
        <f aca="false">B137</f>
        <v>40452</v>
      </c>
      <c r="BC137" s="437" t="n">
        <f aca="false">(1+$AW137/2)^(-2*($B137-$BC$11)/365.25)</f>
        <v>0.499559113753043</v>
      </c>
      <c r="BD137" s="437" t="n">
        <f aca="false">(1+$AW137/2)^(-2*($B137-$BD$11)/365.25)</f>
        <v>0.499653183564658</v>
      </c>
      <c r="BF137" s="442" t="n">
        <f aca="false">B137</f>
        <v>40452</v>
      </c>
      <c r="BG137" s="418" t="n">
        <v>125</v>
      </c>
    </row>
    <row r="138" customFormat="false" ht="12" hidden="false" customHeight="false" outlineLevel="0" collapsed="false">
      <c r="B138" s="419" t="n">
        <f aca="false">EOMONTH(B137,0)+1</f>
        <v>40483</v>
      </c>
      <c r="C138" s="420" t="n">
        <v>3.087</v>
      </c>
      <c r="D138" s="420" t="n">
        <v>0.16</v>
      </c>
      <c r="E138" s="420" t="n">
        <v>0.07056431798739</v>
      </c>
      <c r="F138" s="420" t="n">
        <v>-0.19</v>
      </c>
      <c r="G138" s="420" t="n">
        <v>-0.0325</v>
      </c>
      <c r="H138" s="420" t="n">
        <v>-0.19</v>
      </c>
      <c r="I138" s="420" t="n">
        <v>0.25</v>
      </c>
      <c r="J138" s="420" t="n">
        <v>0.27</v>
      </c>
      <c r="K138" s="420" t="n">
        <v>0.2875</v>
      </c>
      <c r="L138" s="420" t="n">
        <v>-0.067</v>
      </c>
      <c r="M138" s="435" t="n">
        <v>-0.0045</v>
      </c>
      <c r="N138" s="420" t="n">
        <v>-0.28</v>
      </c>
      <c r="O138" s="420" t="n">
        <v>0</v>
      </c>
      <c r="P138" s="420" t="n">
        <v>0.016</v>
      </c>
      <c r="Q138" s="435" t="n">
        <v>0.000499999999999999</v>
      </c>
      <c r="R138" s="418" t="n">
        <v>-0.0205</v>
      </c>
      <c r="S138" s="418" t="n">
        <v>-0.0465</v>
      </c>
      <c r="T138" s="418" t="n">
        <v>-0.1025</v>
      </c>
      <c r="U138" s="418" t="n">
        <v>-0.026</v>
      </c>
      <c r="V138" s="418" t="n">
        <v>-0.0905</v>
      </c>
      <c r="W138" s="418" t="n">
        <v>-0.1325</v>
      </c>
      <c r="X138" s="418" t="n">
        <v>0.7675</v>
      </c>
      <c r="Y138" s="418" t="n">
        <v>0.005</v>
      </c>
      <c r="Z138" s="418" t="n">
        <v>-0.19</v>
      </c>
      <c r="AA138" s="418" t="n">
        <v>-0.0175</v>
      </c>
      <c r="AB138" s="437" t="n">
        <v>0.12</v>
      </c>
      <c r="AC138" s="437" t="n">
        <v>0.465</v>
      </c>
      <c r="AD138" s="437" t="n">
        <v>0.345</v>
      </c>
      <c r="AE138" s="438" t="n">
        <v>0.16</v>
      </c>
      <c r="AF138" s="438" t="n">
        <v>0.16</v>
      </c>
      <c r="AG138" s="438" t="n">
        <v>0.176</v>
      </c>
      <c r="AH138" s="438" t="n">
        <v>0.16</v>
      </c>
      <c r="AI138" s="438" t="n">
        <v>0.163</v>
      </c>
      <c r="AJ138" s="438" t="n">
        <v>0.16</v>
      </c>
      <c r="AK138" s="438" t="n">
        <v>0.16</v>
      </c>
      <c r="AL138" s="438" t="n">
        <v>0.16</v>
      </c>
      <c r="AM138" s="438" t="n">
        <v>0.16</v>
      </c>
      <c r="AN138" s="438" t="n">
        <v>0.16</v>
      </c>
      <c r="AO138" s="438" t="n">
        <v>0.16</v>
      </c>
      <c r="AP138" s="439" t="n">
        <v>0.16</v>
      </c>
      <c r="AQ138" s="439" t="n">
        <v>0.16</v>
      </c>
      <c r="AR138" s="439" t="n">
        <v>0.16</v>
      </c>
      <c r="AS138" s="439" t="n">
        <v>0.16</v>
      </c>
      <c r="AT138" s="438" t="n">
        <v>0.16</v>
      </c>
      <c r="AU138" s="438" t="n">
        <v>0.16</v>
      </c>
      <c r="AV138" s="438" t="n">
        <v>0.176</v>
      </c>
      <c r="AW138" s="418" t="n">
        <v>0.069975196001226</v>
      </c>
      <c r="AY138" s="437" t="n">
        <f aca="false">AG138</f>
        <v>0.176</v>
      </c>
      <c r="AZ138" s="437" t="n">
        <f aca="false">AG138</f>
        <v>0.176</v>
      </c>
      <c r="BA138" s="441" t="n">
        <f aca="false">AG138</f>
        <v>0.176</v>
      </c>
      <c r="BB138" s="442" t="n">
        <f aca="false">B138</f>
        <v>40483</v>
      </c>
      <c r="BC138" s="437" t="n">
        <f aca="false">(1+$AW138/2)^(-2*($B138-$BC$11)/365.25)</f>
        <v>0.496617762056026</v>
      </c>
      <c r="BD138" s="437" t="n">
        <f aca="false">(1+$AW138/2)^(-2*($B138-$BD$11)/365.25)</f>
        <v>0.496711287131034</v>
      </c>
      <c r="BF138" s="442" t="n">
        <f aca="false">B138</f>
        <v>40483</v>
      </c>
      <c r="BG138" s="418" t="n">
        <v>126</v>
      </c>
    </row>
    <row r="139" customFormat="false" ht="12" hidden="false" customHeight="false" outlineLevel="0" collapsed="false">
      <c r="B139" s="419" t="n">
        <f aca="false">EOMONTH(B138,0)+1</f>
        <v>40513</v>
      </c>
      <c r="C139" s="420" t="n">
        <v>3.152</v>
      </c>
      <c r="D139" s="420" t="n">
        <v>0.16</v>
      </c>
      <c r="E139" s="420" t="n">
        <v>0.070565446389611</v>
      </c>
      <c r="F139" s="420" t="n">
        <v>-0.1975</v>
      </c>
      <c r="G139" s="420" t="n">
        <v>-0.055</v>
      </c>
      <c r="H139" s="420" t="n">
        <v>-0.1975</v>
      </c>
      <c r="I139" s="420" t="n">
        <v>0.29</v>
      </c>
      <c r="J139" s="420" t="n">
        <v>0.305</v>
      </c>
      <c r="K139" s="420" t="n">
        <v>0.3375</v>
      </c>
      <c r="L139" s="420" t="n">
        <v>-0.067</v>
      </c>
      <c r="M139" s="435" t="n">
        <v>-0.0045</v>
      </c>
      <c r="N139" s="420" t="n">
        <v>-0.28</v>
      </c>
      <c r="O139" s="420" t="n">
        <v>0.06</v>
      </c>
      <c r="P139" s="420" t="n">
        <v>0.016</v>
      </c>
      <c r="Q139" s="435" t="n">
        <v>0.000499999999999999</v>
      </c>
      <c r="R139" s="418" t="n">
        <v>-0.0205</v>
      </c>
      <c r="S139" s="418" t="n">
        <v>-0.0465</v>
      </c>
      <c r="T139" s="418" t="n">
        <v>-0.095</v>
      </c>
      <c r="U139" s="418" t="n">
        <v>-0.026</v>
      </c>
      <c r="V139" s="418" t="n">
        <v>-0.1255</v>
      </c>
      <c r="W139" s="418" t="n">
        <v>-0.1275</v>
      </c>
      <c r="X139" s="418" t="n">
        <v>1.19</v>
      </c>
      <c r="Y139" s="418" t="n">
        <v>0.005</v>
      </c>
      <c r="Z139" s="418" t="n">
        <v>-0.19</v>
      </c>
      <c r="AA139" s="418" t="n">
        <v>-0.0175</v>
      </c>
      <c r="AB139" s="437" t="n">
        <v>0.12</v>
      </c>
      <c r="AC139" s="437" t="n">
        <v>0.8</v>
      </c>
      <c r="AD139" s="437" t="n">
        <v>0.385</v>
      </c>
      <c r="AE139" s="438" t="n">
        <v>0.16</v>
      </c>
      <c r="AF139" s="438" t="n">
        <v>0.16</v>
      </c>
      <c r="AG139" s="438" t="n">
        <v>0.176</v>
      </c>
      <c r="AH139" s="438" t="n">
        <v>0.16</v>
      </c>
      <c r="AI139" s="438" t="n">
        <v>0.163</v>
      </c>
      <c r="AJ139" s="438" t="n">
        <v>0.16</v>
      </c>
      <c r="AK139" s="438" t="n">
        <v>0.16</v>
      </c>
      <c r="AL139" s="438" t="n">
        <v>0.16</v>
      </c>
      <c r="AM139" s="438" t="n">
        <v>0.16</v>
      </c>
      <c r="AN139" s="438" t="n">
        <v>0.16</v>
      </c>
      <c r="AO139" s="438" t="n">
        <v>0.16</v>
      </c>
      <c r="AP139" s="439" t="n">
        <v>0.16</v>
      </c>
      <c r="AQ139" s="439" t="n">
        <v>0.16</v>
      </c>
      <c r="AR139" s="439" t="n">
        <v>0.16</v>
      </c>
      <c r="AS139" s="439" t="n">
        <v>0.16</v>
      </c>
      <c r="AT139" s="438" t="n">
        <v>0.16</v>
      </c>
      <c r="AU139" s="438" t="n">
        <v>0.16</v>
      </c>
      <c r="AV139" s="438" t="n">
        <v>0.176</v>
      </c>
      <c r="AW139" s="418" t="n">
        <v>0.069981925210664</v>
      </c>
      <c r="AY139" s="437" t="n">
        <f aca="false">AG139</f>
        <v>0.176</v>
      </c>
      <c r="AZ139" s="437" t="n">
        <f aca="false">AG139</f>
        <v>0.176</v>
      </c>
      <c r="BA139" s="441" t="n">
        <f aca="false">AG139</f>
        <v>0.176</v>
      </c>
      <c r="BB139" s="442" t="n">
        <f aca="false">B139</f>
        <v>40513</v>
      </c>
      <c r="BC139" s="437" t="n">
        <f aca="false">(1+$AW139/2)^(-2*($B139-$BC$11)/365.25)</f>
        <v>0.493787247043098</v>
      </c>
      <c r="BD139" s="437" t="n">
        <f aca="false">(1+$AW139/2)^(-2*($B139-$BD$11)/365.25)</f>
        <v>0.493880247855449</v>
      </c>
      <c r="BF139" s="442" t="n">
        <f aca="false">B139</f>
        <v>40513</v>
      </c>
      <c r="BG139" s="418" t="n">
        <v>127</v>
      </c>
    </row>
    <row r="140" customFormat="false" ht="12" hidden="false" customHeight="false" outlineLevel="0" collapsed="false">
      <c r="B140" s="419" t="n">
        <f aca="false">EOMONTH(B139,0)+1</f>
        <v>40544</v>
      </c>
      <c r="C140" s="420" t="n">
        <v>3.453</v>
      </c>
      <c r="D140" s="420" t="n">
        <v>0.16</v>
      </c>
      <c r="E140" s="420" t="n">
        <v>0.07056661240524</v>
      </c>
      <c r="F140" s="420" t="n">
        <v>-0.2</v>
      </c>
      <c r="G140" s="420" t="n">
        <v>-0.0575</v>
      </c>
      <c r="H140" s="420" t="n">
        <v>-0.2</v>
      </c>
      <c r="I140" s="420" t="n">
        <v>0.3</v>
      </c>
      <c r="J140" s="420" t="n">
        <v>0.305</v>
      </c>
      <c r="K140" s="420" t="n">
        <v>0.4375</v>
      </c>
      <c r="L140" s="420" t="n">
        <v>-0.067</v>
      </c>
      <c r="M140" s="435" t="n">
        <v>-0.0025</v>
      </c>
      <c r="N140" s="420" t="n">
        <v>-0.28</v>
      </c>
      <c r="O140" s="420" t="n">
        <v>0.13</v>
      </c>
      <c r="P140" s="420" t="n">
        <v>0.016</v>
      </c>
      <c r="Q140" s="435" t="n">
        <v>0.000499999999999999</v>
      </c>
      <c r="R140" s="418" t="n">
        <v>-0.016</v>
      </c>
      <c r="S140" s="418" t="n">
        <v>-0.0465</v>
      </c>
      <c r="T140" s="418" t="n">
        <v>-0.08</v>
      </c>
      <c r="U140" s="418" t="n">
        <v>-0.0235</v>
      </c>
      <c r="V140" s="418" t="n">
        <v>-0.131</v>
      </c>
      <c r="W140" s="418" t="n">
        <v>-0.1275</v>
      </c>
      <c r="X140" s="418" t="n">
        <v>1.525</v>
      </c>
      <c r="Y140" s="418" t="n">
        <v>0.005</v>
      </c>
      <c r="Z140" s="418" t="n">
        <v>-0.19</v>
      </c>
      <c r="AA140" s="418" t="n">
        <v>-0.0175</v>
      </c>
      <c r="AB140" s="437" t="n">
        <v>0.12</v>
      </c>
      <c r="AC140" s="437" t="n">
        <v>0.975</v>
      </c>
      <c r="AD140" s="437" t="n">
        <v>0.395</v>
      </c>
      <c r="AE140" s="438" t="n">
        <v>0.16</v>
      </c>
      <c r="AF140" s="438" t="n">
        <v>0.16</v>
      </c>
      <c r="AG140" s="438" t="n">
        <v>0.176</v>
      </c>
      <c r="AH140" s="438" t="n">
        <v>0.16</v>
      </c>
      <c r="AI140" s="438" t="n">
        <v>0.163</v>
      </c>
      <c r="AJ140" s="438" t="n">
        <v>0.16</v>
      </c>
      <c r="AK140" s="438" t="n">
        <v>0.16</v>
      </c>
      <c r="AL140" s="438" t="n">
        <v>0.16</v>
      </c>
      <c r="AM140" s="438" t="n">
        <v>0.16</v>
      </c>
      <c r="AN140" s="438" t="n">
        <v>0.16</v>
      </c>
      <c r="AO140" s="438" t="n">
        <v>0.16</v>
      </c>
      <c r="AP140" s="439" t="n">
        <v>0.16</v>
      </c>
      <c r="AQ140" s="439" t="n">
        <v>0.16</v>
      </c>
      <c r="AR140" s="439" t="n">
        <v>0.16</v>
      </c>
      <c r="AS140" s="439" t="n">
        <v>0.16</v>
      </c>
      <c r="AT140" s="438" t="n">
        <v>0.16</v>
      </c>
      <c r="AU140" s="438" t="n">
        <v>0.16</v>
      </c>
      <c r="AV140" s="438" t="n">
        <v>0.176</v>
      </c>
      <c r="AW140" s="418" t="n">
        <v>0.069988878727098</v>
      </c>
      <c r="AY140" s="437" t="n">
        <f aca="false">AG140</f>
        <v>0.176</v>
      </c>
      <c r="AZ140" s="437" t="n">
        <f aca="false">AG140</f>
        <v>0.176</v>
      </c>
      <c r="BA140" s="441" t="n">
        <f aca="false">AG140</f>
        <v>0.176</v>
      </c>
      <c r="BB140" s="442" t="n">
        <f aca="false">B140</f>
        <v>40544</v>
      </c>
      <c r="BC140" s="437" t="n">
        <f aca="false">(1+$AW140/2)^(-2*($B140-$BC$11)/365.25)</f>
        <v>0.490878778142595</v>
      </c>
      <c r="BD140" s="437" t="n">
        <f aca="false">(1+$AW140/2)^(-2*($B140-$BD$11)/365.25)</f>
        <v>0.490971240199422</v>
      </c>
      <c r="BF140" s="442" t="n">
        <f aca="false">B140</f>
        <v>40544</v>
      </c>
      <c r="BG140" s="418" t="n">
        <v>128</v>
      </c>
    </row>
    <row r="141" customFormat="false" ht="12" hidden="false" customHeight="false" outlineLevel="0" collapsed="false">
      <c r="B141" s="419" t="n">
        <f aca="false">EOMONTH(B140,0)+1</f>
        <v>40575</v>
      </c>
      <c r="C141" s="420" t="n">
        <v>3.343</v>
      </c>
      <c r="D141" s="420" t="n">
        <v>0.16</v>
      </c>
      <c r="E141" s="420" t="n">
        <v>0.070567778420869</v>
      </c>
      <c r="F141" s="420" t="n">
        <v>-0.2025</v>
      </c>
      <c r="G141" s="420" t="n">
        <v>-0.04</v>
      </c>
      <c r="H141" s="420" t="n">
        <v>-0.2025</v>
      </c>
      <c r="I141" s="420" t="n">
        <v>0.275</v>
      </c>
      <c r="J141" s="420" t="n">
        <v>0.305</v>
      </c>
      <c r="K141" s="420" t="n">
        <v>0.435</v>
      </c>
      <c r="L141" s="420" t="n">
        <v>-0.067</v>
      </c>
      <c r="M141" s="435" t="n">
        <v>-0.0025</v>
      </c>
      <c r="N141" s="420" t="n">
        <v>-0.28</v>
      </c>
      <c r="O141" s="420" t="n">
        <v>0</v>
      </c>
      <c r="P141" s="420" t="n">
        <v>0.016</v>
      </c>
      <c r="Q141" s="435" t="n">
        <v>0.000499999999999999</v>
      </c>
      <c r="R141" s="418" t="n">
        <v>-0.016</v>
      </c>
      <c r="S141" s="418" t="n">
        <v>-0.0465</v>
      </c>
      <c r="T141" s="418" t="n">
        <v>-0.08</v>
      </c>
      <c r="U141" s="418" t="n">
        <v>-0.0235</v>
      </c>
      <c r="V141" s="418" t="n">
        <v>-0.1135</v>
      </c>
      <c r="W141" s="418" t="n">
        <v>-0.1275</v>
      </c>
      <c r="X141" s="418" t="n">
        <v>1.455</v>
      </c>
      <c r="Y141" s="418" t="n">
        <v>0.005</v>
      </c>
      <c r="Z141" s="418" t="n">
        <v>-0.19</v>
      </c>
      <c r="AA141" s="418" t="n">
        <v>-0.0175</v>
      </c>
      <c r="AB141" s="437" t="n">
        <v>0.12</v>
      </c>
      <c r="AC141" s="437" t="n">
        <v>0.975</v>
      </c>
      <c r="AD141" s="437" t="n">
        <v>0.37</v>
      </c>
      <c r="AE141" s="438" t="n">
        <v>0.16</v>
      </c>
      <c r="AF141" s="438" t="n">
        <v>0.16</v>
      </c>
      <c r="AG141" s="438" t="n">
        <v>0.176</v>
      </c>
      <c r="AH141" s="438" t="n">
        <v>0.16</v>
      </c>
      <c r="AI141" s="438" t="n">
        <v>0.163</v>
      </c>
      <c r="AJ141" s="438" t="n">
        <v>0.16</v>
      </c>
      <c r="AK141" s="438" t="n">
        <v>0.16</v>
      </c>
      <c r="AL141" s="438" t="n">
        <v>0.16</v>
      </c>
      <c r="AM141" s="438" t="n">
        <v>0.16</v>
      </c>
      <c r="AN141" s="438" t="n">
        <v>0.16</v>
      </c>
      <c r="AO141" s="438" t="n">
        <v>0.16</v>
      </c>
      <c r="AP141" s="439" t="n">
        <v>0.16</v>
      </c>
      <c r="AQ141" s="439" t="n">
        <v>0.16</v>
      </c>
      <c r="AR141" s="439" t="n">
        <v>0.16</v>
      </c>
      <c r="AS141" s="439" t="n">
        <v>0.16</v>
      </c>
      <c r="AT141" s="438" t="n">
        <v>0.16</v>
      </c>
      <c r="AU141" s="438" t="n">
        <v>0.16</v>
      </c>
      <c r="AV141" s="438" t="n">
        <v>0.176</v>
      </c>
      <c r="AW141" s="418" t="n">
        <v>0.069995832243549</v>
      </c>
      <c r="AY141" s="437" t="n">
        <f aca="false">AG141</f>
        <v>0.176</v>
      </c>
      <c r="AZ141" s="437" t="n">
        <f aca="false">AG141</f>
        <v>0.176</v>
      </c>
      <c r="BA141" s="441" t="n">
        <f aca="false">AG141</f>
        <v>0.176</v>
      </c>
      <c r="BB141" s="442" t="n">
        <f aca="false">B141</f>
        <v>40575</v>
      </c>
      <c r="BC141" s="437" t="n">
        <f aca="false">(1+$AW141/2)^(-2*($B141-$BC$11)/365.25)</f>
        <v>0.487986884088724</v>
      </c>
      <c r="BD141" s="437" t="n">
        <f aca="false">(1+$AW141/2)^(-2*($B141-$BD$11)/365.25)</f>
        <v>0.488078810405328</v>
      </c>
      <c r="BF141" s="442" t="n">
        <f aca="false">B141</f>
        <v>40575</v>
      </c>
      <c r="BG141" s="418" t="n">
        <v>129</v>
      </c>
    </row>
    <row r="142" customFormat="false" ht="12" hidden="false" customHeight="false" outlineLevel="0" collapsed="false">
      <c r="B142" s="419" t="n">
        <f aca="false">EOMONTH(B141,0)+1</f>
        <v>40603</v>
      </c>
      <c r="C142" s="420" t="n">
        <v>3.197</v>
      </c>
      <c r="D142" s="420" t="n">
        <v>0.155</v>
      </c>
      <c r="E142" s="420" t="n">
        <v>0.070568831596276</v>
      </c>
      <c r="F142" s="420" t="n">
        <v>-0.205</v>
      </c>
      <c r="G142" s="420" t="n">
        <v>-0.0275</v>
      </c>
      <c r="H142" s="420" t="n">
        <v>-0.205</v>
      </c>
      <c r="I142" s="420" t="n">
        <v>0.273</v>
      </c>
      <c r="J142" s="420" t="n">
        <v>0.265</v>
      </c>
      <c r="K142" s="420" t="n">
        <v>0.3025</v>
      </c>
      <c r="L142" s="420" t="n">
        <v>-0.067</v>
      </c>
      <c r="M142" s="435" t="n">
        <v>-0.0025</v>
      </c>
      <c r="N142" s="420" t="n">
        <v>-0.28</v>
      </c>
      <c r="O142" s="420" t="n">
        <v>-0.18</v>
      </c>
      <c r="P142" s="420" t="n">
        <v>0.016</v>
      </c>
      <c r="Q142" s="435" t="n">
        <v>0.000499999999999999</v>
      </c>
      <c r="R142" s="418" t="n">
        <v>-0.016</v>
      </c>
      <c r="S142" s="418" t="n">
        <v>-0.0465</v>
      </c>
      <c r="T142" s="418" t="n">
        <v>-0.08</v>
      </c>
      <c r="U142" s="418" t="n">
        <v>-0.005</v>
      </c>
      <c r="V142" s="418" t="n">
        <v>-0.096</v>
      </c>
      <c r="W142" s="418" t="n">
        <v>-0.1325</v>
      </c>
      <c r="X142" s="418" t="n">
        <v>0.835</v>
      </c>
      <c r="Y142" s="418" t="n">
        <v>0.005</v>
      </c>
      <c r="Z142" s="418" t="n">
        <v>-0.19</v>
      </c>
      <c r="AA142" s="418" t="n">
        <v>-0.0175</v>
      </c>
      <c r="AB142" s="437" t="n">
        <v>0.12</v>
      </c>
      <c r="AC142" s="437" t="n">
        <v>0.6075</v>
      </c>
      <c r="AD142" s="437" t="n">
        <v>0.368</v>
      </c>
      <c r="AE142" s="438" t="n">
        <v>0.155</v>
      </c>
      <c r="AF142" s="438" t="n">
        <v>0.155</v>
      </c>
      <c r="AG142" s="438" t="n">
        <v>0.171</v>
      </c>
      <c r="AH142" s="438" t="n">
        <v>0.155</v>
      </c>
      <c r="AI142" s="438" t="n">
        <v>0.158</v>
      </c>
      <c r="AJ142" s="438" t="n">
        <v>0.155</v>
      </c>
      <c r="AK142" s="438" t="n">
        <v>0.155</v>
      </c>
      <c r="AL142" s="438" t="n">
        <v>0.155</v>
      </c>
      <c r="AM142" s="438" t="n">
        <v>0.155</v>
      </c>
      <c r="AN142" s="438" t="n">
        <v>0.155</v>
      </c>
      <c r="AO142" s="438" t="n">
        <v>0.155</v>
      </c>
      <c r="AP142" s="439" t="n">
        <v>0.155</v>
      </c>
      <c r="AQ142" s="439" t="n">
        <v>0.155</v>
      </c>
      <c r="AR142" s="439" t="n">
        <v>0.155</v>
      </c>
      <c r="AS142" s="439" t="n">
        <v>0.155</v>
      </c>
      <c r="AT142" s="438" t="n">
        <v>0.155</v>
      </c>
      <c r="AU142" s="438" t="n">
        <v>0.155</v>
      </c>
      <c r="AV142" s="438" t="n">
        <v>0.171</v>
      </c>
      <c r="AW142" s="418" t="n">
        <v>0.070002112839066</v>
      </c>
      <c r="AY142" s="437" t="n">
        <f aca="false">AG142</f>
        <v>0.171</v>
      </c>
      <c r="AZ142" s="437" t="n">
        <f aca="false">AG142</f>
        <v>0.171</v>
      </c>
      <c r="BA142" s="441" t="n">
        <f aca="false">AG142</f>
        <v>0.171</v>
      </c>
      <c r="BB142" s="442" t="n">
        <f aca="false">B142</f>
        <v>40603</v>
      </c>
      <c r="BC142" s="437" t="n">
        <f aca="false">(1+$AW142/2)^(-2*($B142-$BC$11)/365.25)</f>
        <v>0.485389021423843</v>
      </c>
      <c r="BD142" s="437" t="n">
        <f aca="false">(1+$AW142/2)^(-2*($B142-$BD$11)/365.25)</f>
        <v>0.485480466424256</v>
      </c>
      <c r="BF142" s="442" t="n">
        <f aca="false">B142</f>
        <v>40603</v>
      </c>
      <c r="BG142" s="418" t="n">
        <v>130</v>
      </c>
    </row>
    <row r="143" customFormat="false" ht="12" hidden="false" customHeight="false" outlineLevel="0" collapsed="false">
      <c r="B143" s="419" t="n">
        <f aca="false">EOMONTH(B142,0)+1</f>
        <v>40634</v>
      </c>
      <c r="C143" s="420" t="n">
        <v>3.043</v>
      </c>
      <c r="D143" s="420" t="n">
        <v>0.155</v>
      </c>
      <c r="E143" s="420" t="n">
        <v>0.070569997611905</v>
      </c>
      <c r="F143" s="420" t="n">
        <v>-0.195</v>
      </c>
      <c r="G143" s="420" t="n">
        <v>0.015</v>
      </c>
      <c r="H143" s="420" t="n">
        <v>-0.195</v>
      </c>
      <c r="I143" s="420" t="n">
        <v>0.178</v>
      </c>
      <c r="J143" s="420" t="n">
        <v>0.195</v>
      </c>
      <c r="K143" s="420" t="n">
        <v>0.25</v>
      </c>
      <c r="L143" s="420" t="n">
        <v>-0.06</v>
      </c>
      <c r="M143" s="420" t="n">
        <v>-0.009999999</v>
      </c>
      <c r="N143" s="420" t="n">
        <v>0</v>
      </c>
      <c r="O143" s="420" t="n">
        <v>-0.29</v>
      </c>
      <c r="P143" s="420" t="n">
        <v>0.0065</v>
      </c>
      <c r="Q143" s="420" t="n">
        <v>0.0105</v>
      </c>
      <c r="R143" s="418" t="n">
        <v>-0.0155</v>
      </c>
      <c r="S143" s="418" t="n">
        <v>-0.044</v>
      </c>
      <c r="T143" s="418" t="n">
        <v>-0.125</v>
      </c>
      <c r="U143" s="418" t="n">
        <v>-0.005</v>
      </c>
      <c r="V143" s="418" t="n">
        <v>-0.0885</v>
      </c>
      <c r="W143" s="418" t="n">
        <v>-0.12</v>
      </c>
      <c r="X143" s="418" t="n">
        <v>0.45</v>
      </c>
      <c r="Y143" s="418" t="n">
        <v>0.005</v>
      </c>
      <c r="Z143" s="418" t="n">
        <v>-0.19</v>
      </c>
      <c r="AA143" s="418" t="n">
        <v>-0.015</v>
      </c>
      <c r="AB143" s="437" t="n">
        <v>0.295</v>
      </c>
      <c r="AC143" s="437" t="n">
        <v>0.355</v>
      </c>
      <c r="AD143" s="437" t="n">
        <v>0.273</v>
      </c>
      <c r="AE143" s="438" t="n">
        <v>0.155</v>
      </c>
      <c r="AF143" s="438" t="n">
        <v>0.155</v>
      </c>
      <c r="AG143" s="438" t="n">
        <v>0.152</v>
      </c>
      <c r="AH143" s="438" t="n">
        <v>0.155</v>
      </c>
      <c r="AI143" s="438" t="n">
        <v>0.158</v>
      </c>
      <c r="AJ143" s="438" t="n">
        <v>0.155</v>
      </c>
      <c r="AK143" s="438" t="n">
        <v>0.152</v>
      </c>
      <c r="AL143" s="438" t="n">
        <v>0.152</v>
      </c>
      <c r="AM143" s="438" t="n">
        <v>0.155</v>
      </c>
      <c r="AN143" s="438" t="n">
        <v>0.155</v>
      </c>
      <c r="AO143" s="438" t="n">
        <v>0.155</v>
      </c>
      <c r="AP143" s="439" t="n">
        <v>0.155</v>
      </c>
      <c r="AQ143" s="439" t="n">
        <v>0.155</v>
      </c>
      <c r="AR143" s="439" t="n">
        <v>0.155</v>
      </c>
      <c r="AS143" s="439" t="n">
        <v>0.155</v>
      </c>
      <c r="AT143" s="438" t="n">
        <v>0.155</v>
      </c>
      <c r="AU143" s="438" t="n">
        <v>0.155</v>
      </c>
      <c r="AV143" s="438" t="n">
        <v>0.152</v>
      </c>
      <c r="AW143" s="418" t="n">
        <v>0.070009066355547</v>
      </c>
      <c r="AY143" s="437" t="n">
        <f aca="false">AG143</f>
        <v>0.152</v>
      </c>
      <c r="AZ143" s="437" t="n">
        <f aca="false">AG143</f>
        <v>0.152</v>
      </c>
      <c r="BA143" s="441" t="n">
        <f aca="false">AG143</f>
        <v>0.152</v>
      </c>
      <c r="BB143" s="442" t="n">
        <f aca="false">B143</f>
        <v>40634</v>
      </c>
      <c r="BC143" s="437" t="n">
        <f aca="false">(1+$AW143/2)^(-2*($B143-$BC$11)/365.25)</f>
        <v>0.482528421845557</v>
      </c>
      <c r="BD143" s="437" t="n">
        <f aca="false">(1+$AW143/2)^(-2*($B143-$BD$11)/365.25)</f>
        <v>0.482619336799742</v>
      </c>
      <c r="BF143" s="442" t="n">
        <f aca="false">B143</f>
        <v>40634</v>
      </c>
      <c r="BG143" s="418" t="n">
        <v>131</v>
      </c>
    </row>
    <row r="144" customFormat="false" ht="12" hidden="false" customHeight="false" outlineLevel="0" collapsed="false">
      <c r="B144" s="419" t="n">
        <f aca="false">EOMONTH(B143,0)+1</f>
        <v>40664</v>
      </c>
      <c r="C144" s="420" t="n">
        <v>3.039</v>
      </c>
      <c r="D144" s="420" t="n">
        <v>0.155</v>
      </c>
      <c r="E144" s="420" t="n">
        <v>0.070571126014129</v>
      </c>
      <c r="F144" s="420" t="n">
        <v>-0.195</v>
      </c>
      <c r="G144" s="420" t="n">
        <v>0.015</v>
      </c>
      <c r="H144" s="420" t="n">
        <v>-0.195</v>
      </c>
      <c r="I144" s="420" t="n">
        <v>0.188</v>
      </c>
      <c r="J144" s="420" t="n">
        <v>0.1825</v>
      </c>
      <c r="K144" s="420" t="n">
        <v>0.2025</v>
      </c>
      <c r="L144" s="420" t="n">
        <v>-0.06</v>
      </c>
      <c r="M144" s="435" t="n">
        <v>-0.009999999</v>
      </c>
      <c r="N144" s="420" t="n">
        <v>0</v>
      </c>
      <c r="O144" s="420" t="n">
        <v>-0.29</v>
      </c>
      <c r="P144" s="420" t="n">
        <v>0.0065</v>
      </c>
      <c r="Q144" s="420" t="n">
        <v>0.0105</v>
      </c>
      <c r="R144" s="418" t="n">
        <v>-0.0155</v>
      </c>
      <c r="S144" s="418" t="n">
        <v>-0.044</v>
      </c>
      <c r="T144" s="418" t="n">
        <v>-0.14</v>
      </c>
      <c r="U144" s="418" t="n">
        <v>-0.00525</v>
      </c>
      <c r="V144" s="418" t="n">
        <v>-0.0885</v>
      </c>
      <c r="W144" s="418" t="n">
        <v>-0.12</v>
      </c>
      <c r="X144" s="418" t="n">
        <v>0.405</v>
      </c>
      <c r="Y144" s="418" t="n">
        <v>0.005</v>
      </c>
      <c r="Z144" s="418" t="n">
        <v>-0.19</v>
      </c>
      <c r="AA144" s="418" t="n">
        <v>-0.015</v>
      </c>
      <c r="AB144" s="437" t="n">
        <v>0.295</v>
      </c>
      <c r="AC144" s="437" t="n">
        <v>0.2875</v>
      </c>
      <c r="AD144" s="437" t="n">
        <v>0.283</v>
      </c>
      <c r="AE144" s="438" t="n">
        <v>0.155</v>
      </c>
      <c r="AF144" s="438" t="n">
        <v>0.155</v>
      </c>
      <c r="AG144" s="438" t="n">
        <v>0.152</v>
      </c>
      <c r="AH144" s="438" t="n">
        <v>0.155</v>
      </c>
      <c r="AI144" s="438" t="n">
        <v>0.158</v>
      </c>
      <c r="AJ144" s="438" t="n">
        <v>0.155</v>
      </c>
      <c r="AK144" s="438" t="n">
        <v>0.152</v>
      </c>
      <c r="AL144" s="438" t="n">
        <v>0.152</v>
      </c>
      <c r="AM144" s="438" t="n">
        <v>0.155</v>
      </c>
      <c r="AN144" s="438" t="n">
        <v>0.155</v>
      </c>
      <c r="AO144" s="438" t="n">
        <v>0.155</v>
      </c>
      <c r="AP144" s="439" t="n">
        <v>0.155</v>
      </c>
      <c r="AQ144" s="439" t="n">
        <v>0.155</v>
      </c>
      <c r="AR144" s="439" t="n">
        <v>0.155</v>
      </c>
      <c r="AS144" s="439" t="n">
        <v>0.155</v>
      </c>
      <c r="AT144" s="438" t="n">
        <v>0.155</v>
      </c>
      <c r="AU144" s="438" t="n">
        <v>0.155</v>
      </c>
      <c r="AV144" s="438" t="n">
        <v>0.152</v>
      </c>
      <c r="AW144" s="418" t="n">
        <v>0.07001579556506</v>
      </c>
      <c r="AY144" s="437" t="n">
        <f aca="false">AG144</f>
        <v>0.152</v>
      </c>
      <c r="AZ144" s="437" t="n">
        <f aca="false">AG144</f>
        <v>0.152</v>
      </c>
      <c r="BA144" s="441" t="n">
        <f aca="false">AG144</f>
        <v>0.152</v>
      </c>
      <c r="BB144" s="442" t="n">
        <f aca="false">B144</f>
        <v>40664</v>
      </c>
      <c r="BC144" s="437" t="n">
        <f aca="false">(1+$AW144/2)^(-2*($B144-$BC$11)/365.25)</f>
        <v>0.479775631578212</v>
      </c>
      <c r="BD144" s="437" t="n">
        <f aca="false">(1+$AW144/2)^(-2*($B144-$BD$11)/365.25)</f>
        <v>0.47986603641089</v>
      </c>
      <c r="BF144" s="442" t="n">
        <f aca="false">B144</f>
        <v>40664</v>
      </c>
      <c r="BG144" s="418" t="n">
        <v>132</v>
      </c>
    </row>
    <row r="145" customFormat="false" ht="12" hidden="false" customHeight="false" outlineLevel="0" collapsed="false">
      <c r="B145" s="419" t="n">
        <f aca="false">EOMONTH(B144,0)+1</f>
        <v>40695</v>
      </c>
      <c r="C145" s="420" t="n">
        <v>3.067</v>
      </c>
      <c r="D145" s="420" t="n">
        <v>0.155</v>
      </c>
      <c r="E145" s="420" t="n">
        <v>0.070572292029759</v>
      </c>
      <c r="F145" s="420" t="n">
        <v>-0.195</v>
      </c>
      <c r="G145" s="420" t="n">
        <v>0.02</v>
      </c>
      <c r="H145" s="420" t="n">
        <v>-0.195</v>
      </c>
      <c r="I145" s="420" t="n">
        <v>0.183</v>
      </c>
      <c r="J145" s="420" t="n">
        <v>0.1825</v>
      </c>
      <c r="K145" s="420" t="n">
        <v>0.2025</v>
      </c>
      <c r="L145" s="420" t="n">
        <v>-0.076</v>
      </c>
      <c r="M145" s="435" t="n">
        <v>-0.009999999</v>
      </c>
      <c r="N145" s="420" t="n">
        <v>0</v>
      </c>
      <c r="O145" s="420" t="n">
        <v>-0.29</v>
      </c>
      <c r="P145" s="420" t="n">
        <v>0.0065</v>
      </c>
      <c r="Q145" s="420" t="n">
        <v>0.0105</v>
      </c>
      <c r="R145" s="418" t="n">
        <v>-0.0155</v>
      </c>
      <c r="S145" s="418" t="n">
        <v>-0.044</v>
      </c>
      <c r="T145" s="418" t="n">
        <v>-0.15</v>
      </c>
      <c r="U145" s="418" t="n">
        <v>-0.00525</v>
      </c>
      <c r="V145" s="418" t="n">
        <v>-0.0785</v>
      </c>
      <c r="W145" s="418" t="n">
        <v>-0.12</v>
      </c>
      <c r="X145" s="418" t="n">
        <v>0.395</v>
      </c>
      <c r="Y145" s="418" t="n">
        <v>0.005</v>
      </c>
      <c r="Z145" s="418" t="n">
        <v>-0.19</v>
      </c>
      <c r="AA145" s="418" t="n">
        <v>-0.015</v>
      </c>
      <c r="AB145" s="437" t="n">
        <v>0.295</v>
      </c>
      <c r="AC145" s="437" t="n">
        <v>0.2875</v>
      </c>
      <c r="AD145" s="437" t="n">
        <v>0.278</v>
      </c>
      <c r="AE145" s="438" t="n">
        <v>0.155</v>
      </c>
      <c r="AF145" s="438" t="n">
        <v>0.155</v>
      </c>
      <c r="AG145" s="438" t="n">
        <v>0.152</v>
      </c>
      <c r="AH145" s="438" t="n">
        <v>0.155</v>
      </c>
      <c r="AI145" s="438" t="n">
        <v>0.158</v>
      </c>
      <c r="AJ145" s="438" t="n">
        <v>0.155</v>
      </c>
      <c r="AK145" s="438" t="n">
        <v>0.152</v>
      </c>
      <c r="AL145" s="438" t="n">
        <v>0.152</v>
      </c>
      <c r="AM145" s="438" t="n">
        <v>0.155</v>
      </c>
      <c r="AN145" s="438" t="n">
        <v>0.155</v>
      </c>
      <c r="AO145" s="438" t="n">
        <v>0.155</v>
      </c>
      <c r="AP145" s="439" t="n">
        <v>0.155</v>
      </c>
      <c r="AQ145" s="439" t="n">
        <v>0.155</v>
      </c>
      <c r="AR145" s="439" t="n">
        <v>0.155</v>
      </c>
      <c r="AS145" s="439" t="n">
        <v>0.155</v>
      </c>
      <c r="AT145" s="438" t="n">
        <v>0.155</v>
      </c>
      <c r="AU145" s="438" t="n">
        <v>0.155</v>
      </c>
      <c r="AV145" s="438" t="n">
        <v>0.152</v>
      </c>
      <c r="AW145" s="418" t="n">
        <v>0.070022749081572</v>
      </c>
      <c r="AY145" s="437" t="n">
        <f aca="false">AG145</f>
        <v>0.152</v>
      </c>
      <c r="AZ145" s="437" t="n">
        <f aca="false">AG145</f>
        <v>0.152</v>
      </c>
      <c r="BA145" s="441" t="n">
        <f aca="false">AG145</f>
        <v>0.152</v>
      </c>
      <c r="BB145" s="442" t="n">
        <f aca="false">B145</f>
        <v>40695</v>
      </c>
      <c r="BC145" s="437" t="n">
        <f aca="false">(1+$AW145/2)^(-2*($B145-$BC$11)/365.25)</f>
        <v>0.47694704397746</v>
      </c>
      <c r="BD145" s="437" t="n">
        <f aca="false">(1+$AW145/2)^(-2*($B145-$BD$11)/365.25)</f>
        <v>0.477036924589678</v>
      </c>
      <c r="BF145" s="442" t="n">
        <f aca="false">B145</f>
        <v>40695</v>
      </c>
      <c r="BG145" s="418" t="n">
        <v>133</v>
      </c>
    </row>
    <row r="146" customFormat="false" ht="12" hidden="false" customHeight="false" outlineLevel="0" collapsed="false">
      <c r="B146" s="419" t="n">
        <f aca="false">EOMONTH(B145,0)+1</f>
        <v>40725</v>
      </c>
      <c r="C146" s="420" t="n">
        <v>3.089</v>
      </c>
      <c r="D146" s="420" t="n">
        <v>0.155</v>
      </c>
      <c r="E146" s="420" t="n">
        <v>0.070573420431983</v>
      </c>
      <c r="F146" s="420" t="n">
        <v>-0.195</v>
      </c>
      <c r="G146" s="420" t="n">
        <v>0.0225</v>
      </c>
      <c r="H146" s="420" t="n">
        <v>-0.195</v>
      </c>
      <c r="I146" s="420" t="n">
        <v>0.173</v>
      </c>
      <c r="J146" s="420" t="n">
        <v>0.1825</v>
      </c>
      <c r="K146" s="420" t="n">
        <v>0.215</v>
      </c>
      <c r="L146" s="420" t="n">
        <v>-0.069</v>
      </c>
      <c r="M146" s="435" t="n">
        <v>-0.009999999</v>
      </c>
      <c r="N146" s="420" t="n">
        <v>0</v>
      </c>
      <c r="O146" s="420" t="n">
        <v>-0.29</v>
      </c>
      <c r="P146" s="420" t="n">
        <v>0.0065</v>
      </c>
      <c r="Q146" s="420" t="n">
        <v>0.0105</v>
      </c>
      <c r="R146" s="418" t="n">
        <v>-0.0155</v>
      </c>
      <c r="S146" s="418" t="n">
        <v>-0.044</v>
      </c>
      <c r="T146" s="418" t="n">
        <v>-0.15</v>
      </c>
      <c r="U146" s="418" t="n">
        <v>-0.00525</v>
      </c>
      <c r="V146" s="418" t="n">
        <v>-0.0735</v>
      </c>
      <c r="W146" s="418" t="n">
        <v>-0.12</v>
      </c>
      <c r="X146" s="418" t="n">
        <v>0.43</v>
      </c>
      <c r="Y146" s="418" t="n">
        <v>0.005</v>
      </c>
      <c r="Z146" s="418" t="n">
        <v>-0.19</v>
      </c>
      <c r="AA146" s="418" t="n">
        <v>-0.015</v>
      </c>
      <c r="AB146" s="437" t="n">
        <v>0.295</v>
      </c>
      <c r="AC146" s="437" t="n">
        <v>0.3</v>
      </c>
      <c r="AD146" s="437" t="n">
        <v>0.268</v>
      </c>
      <c r="AE146" s="438" t="n">
        <v>0.155</v>
      </c>
      <c r="AF146" s="438" t="n">
        <v>0.155</v>
      </c>
      <c r="AG146" s="438" t="n">
        <v>0.152</v>
      </c>
      <c r="AH146" s="438" t="n">
        <v>0.155</v>
      </c>
      <c r="AI146" s="438" t="n">
        <v>0.158</v>
      </c>
      <c r="AJ146" s="438" t="n">
        <v>0.155</v>
      </c>
      <c r="AK146" s="438" t="n">
        <v>0.152</v>
      </c>
      <c r="AL146" s="438" t="n">
        <v>0.152</v>
      </c>
      <c r="AM146" s="438" t="n">
        <v>0.155</v>
      </c>
      <c r="AN146" s="438" t="n">
        <v>0.155</v>
      </c>
      <c r="AO146" s="438" t="n">
        <v>0.155</v>
      </c>
      <c r="AP146" s="439" t="n">
        <v>0.155</v>
      </c>
      <c r="AQ146" s="439" t="n">
        <v>0.155</v>
      </c>
      <c r="AR146" s="439" t="n">
        <v>0.155</v>
      </c>
      <c r="AS146" s="439" t="n">
        <v>0.155</v>
      </c>
      <c r="AT146" s="438" t="n">
        <v>0.155</v>
      </c>
      <c r="AU146" s="438" t="n">
        <v>0.155</v>
      </c>
      <c r="AV146" s="438" t="n">
        <v>0.152</v>
      </c>
      <c r="AW146" s="418" t="n">
        <v>0.070029478291115</v>
      </c>
      <c r="AY146" s="437" t="n">
        <f aca="false">AG146</f>
        <v>0.152</v>
      </c>
      <c r="AZ146" s="437" t="n">
        <f aca="false">AG146</f>
        <v>0.152</v>
      </c>
      <c r="BA146" s="441" t="n">
        <f aca="false">AG146</f>
        <v>0.152</v>
      </c>
      <c r="BB146" s="442" t="n">
        <f aca="false">B146</f>
        <v>40725</v>
      </c>
      <c r="BC146" s="437" t="n">
        <f aca="false">(1+$AW146/2)^(-2*($B146-$BC$11)/365.25)</f>
        <v>0.474225065440772</v>
      </c>
      <c r="BD146" s="437" t="n">
        <f aca="false">(1+$AW146/2)^(-2*($B146-$BD$11)/365.25)</f>
        <v>0.47431444153942</v>
      </c>
      <c r="BF146" s="442" t="n">
        <f aca="false">B146</f>
        <v>40725</v>
      </c>
      <c r="BG146" s="418" t="n">
        <v>134</v>
      </c>
    </row>
    <row r="147" customFormat="false" ht="12" hidden="false" customHeight="false" outlineLevel="0" collapsed="false">
      <c r="B147" s="419" t="n">
        <f aca="false">EOMONTH(B146,0)+1</f>
        <v>40756</v>
      </c>
      <c r="C147" s="420" t="n">
        <v>3.11</v>
      </c>
      <c r="D147" s="420" t="n">
        <v>0.155</v>
      </c>
      <c r="E147" s="420" t="n">
        <v>0.070574586447614</v>
      </c>
      <c r="F147" s="420" t="n">
        <v>-0.195</v>
      </c>
      <c r="G147" s="420" t="n">
        <v>0.025</v>
      </c>
      <c r="H147" s="420" t="n">
        <v>-0.195</v>
      </c>
      <c r="I147" s="420" t="n">
        <v>0.17</v>
      </c>
      <c r="J147" s="420" t="n">
        <v>0.1825</v>
      </c>
      <c r="K147" s="420" t="n">
        <v>0.215</v>
      </c>
      <c r="L147" s="420" t="n">
        <v>-0.06</v>
      </c>
      <c r="M147" s="435" t="n">
        <v>-0.009999999</v>
      </c>
      <c r="N147" s="420" t="n">
        <v>0</v>
      </c>
      <c r="O147" s="420" t="n">
        <v>-0.29</v>
      </c>
      <c r="P147" s="420" t="n">
        <v>0.0065</v>
      </c>
      <c r="Q147" s="420" t="n">
        <v>0.0105</v>
      </c>
      <c r="R147" s="418" t="n">
        <v>-0.0155</v>
      </c>
      <c r="S147" s="418" t="n">
        <v>-0.044</v>
      </c>
      <c r="T147" s="418" t="n">
        <v>-0.15</v>
      </c>
      <c r="U147" s="418" t="n">
        <v>-0.00525</v>
      </c>
      <c r="V147" s="418" t="n">
        <v>-0.0735</v>
      </c>
      <c r="W147" s="418" t="n">
        <v>-0.12</v>
      </c>
      <c r="X147" s="418" t="n">
        <v>0.495</v>
      </c>
      <c r="Y147" s="418" t="n">
        <v>0.005</v>
      </c>
      <c r="Z147" s="418" t="n">
        <v>-0.19</v>
      </c>
      <c r="AA147" s="418" t="n">
        <v>-0.015</v>
      </c>
      <c r="AB147" s="437" t="n">
        <v>0.295</v>
      </c>
      <c r="AC147" s="437" t="n">
        <v>0.3</v>
      </c>
      <c r="AD147" s="437" t="n">
        <v>0.265</v>
      </c>
      <c r="AE147" s="438" t="n">
        <v>0.155</v>
      </c>
      <c r="AF147" s="438" t="n">
        <v>0.155</v>
      </c>
      <c r="AG147" s="438" t="n">
        <v>0.152</v>
      </c>
      <c r="AH147" s="438" t="n">
        <v>0.155</v>
      </c>
      <c r="AI147" s="438" t="n">
        <v>0.158</v>
      </c>
      <c r="AJ147" s="438" t="n">
        <v>0.155</v>
      </c>
      <c r="AK147" s="438" t="n">
        <v>0.152</v>
      </c>
      <c r="AL147" s="438" t="n">
        <v>0.152</v>
      </c>
      <c r="AM147" s="438" t="n">
        <v>0.155</v>
      </c>
      <c r="AN147" s="438" t="n">
        <v>0.155</v>
      </c>
      <c r="AO147" s="438" t="n">
        <v>0.155</v>
      </c>
      <c r="AP147" s="439" t="n">
        <v>0.155</v>
      </c>
      <c r="AQ147" s="439" t="n">
        <v>0.155</v>
      </c>
      <c r="AR147" s="439" t="n">
        <v>0.155</v>
      </c>
      <c r="AS147" s="439" t="n">
        <v>0.155</v>
      </c>
      <c r="AT147" s="438" t="n">
        <v>0.155</v>
      </c>
      <c r="AU147" s="438" t="n">
        <v>0.155</v>
      </c>
      <c r="AV147" s="438" t="n">
        <v>0.152</v>
      </c>
      <c r="AW147" s="418" t="n">
        <v>0.070036431807659</v>
      </c>
      <c r="AY147" s="437" t="n">
        <f aca="false">AG147</f>
        <v>0.152</v>
      </c>
      <c r="AZ147" s="437" t="n">
        <f aca="false">AG147</f>
        <v>0.152</v>
      </c>
      <c r="BA147" s="441" t="n">
        <f aca="false">AG147</f>
        <v>0.152</v>
      </c>
      <c r="BB147" s="442" t="n">
        <f aca="false">B147</f>
        <v>40756</v>
      </c>
      <c r="BC147" s="437" t="n">
        <f aca="false">(1+$AW147/2)^(-2*($B147-$BC$11)/365.25)</f>
        <v>0.471428144343504</v>
      </c>
      <c r="BD147" s="437" t="n">
        <f aca="false">(1+$AW147/2)^(-2*($B147-$BD$11)/365.25)</f>
        <v>0.471517001985817</v>
      </c>
      <c r="BF147" s="442" t="n">
        <f aca="false">B147</f>
        <v>40756</v>
      </c>
      <c r="BG147" s="418" t="n">
        <v>135</v>
      </c>
    </row>
    <row r="148" customFormat="false" ht="12" hidden="false" customHeight="false" outlineLevel="0" collapsed="false">
      <c r="B148" s="419" t="n">
        <f aca="false">EOMONTH(B147,0)+1</f>
        <v>40787</v>
      </c>
      <c r="C148" s="420" t="n">
        <v>3.085</v>
      </c>
      <c r="D148" s="420" t="n">
        <v>0.155</v>
      </c>
      <c r="E148" s="420" t="n">
        <v>0.070575752463247</v>
      </c>
      <c r="F148" s="420" t="n">
        <v>-0.195</v>
      </c>
      <c r="G148" s="420" t="n">
        <v>0.0175</v>
      </c>
      <c r="H148" s="420" t="n">
        <v>-0.195</v>
      </c>
      <c r="I148" s="420" t="n">
        <v>0.168</v>
      </c>
      <c r="J148" s="420" t="n">
        <v>0.1825</v>
      </c>
      <c r="K148" s="420" t="n">
        <v>0.195</v>
      </c>
      <c r="L148" s="420" t="n">
        <v>-0.04</v>
      </c>
      <c r="M148" s="435" t="n">
        <v>-0.009999999</v>
      </c>
      <c r="N148" s="420" t="n">
        <v>0</v>
      </c>
      <c r="O148" s="420" t="n">
        <v>-0.29</v>
      </c>
      <c r="P148" s="420" t="n">
        <v>0.0065</v>
      </c>
      <c r="Q148" s="420" t="n">
        <v>0.0105</v>
      </c>
      <c r="R148" s="418" t="n">
        <v>-0.0155</v>
      </c>
      <c r="S148" s="418" t="n">
        <v>-0.044</v>
      </c>
      <c r="T148" s="418" t="n">
        <v>-0.14</v>
      </c>
      <c r="U148" s="418" t="n">
        <v>-0.00525</v>
      </c>
      <c r="V148" s="418" t="n">
        <v>-0.0885</v>
      </c>
      <c r="W148" s="418" t="n">
        <v>-0.12</v>
      </c>
      <c r="X148" s="418" t="n">
        <v>0.395</v>
      </c>
      <c r="Y148" s="418" t="n">
        <v>0.005</v>
      </c>
      <c r="Z148" s="418" t="n">
        <v>-0.19</v>
      </c>
      <c r="AA148" s="418" t="n">
        <v>-0.015</v>
      </c>
      <c r="AB148" s="437" t="n">
        <v>0.295</v>
      </c>
      <c r="AC148" s="437" t="n">
        <v>0.29</v>
      </c>
      <c r="AD148" s="437" t="n">
        <v>0.263</v>
      </c>
      <c r="AE148" s="438" t="n">
        <v>0.155</v>
      </c>
      <c r="AF148" s="438" t="n">
        <v>0.155</v>
      </c>
      <c r="AG148" s="438" t="n">
        <v>0.152</v>
      </c>
      <c r="AH148" s="438" t="n">
        <v>0.155</v>
      </c>
      <c r="AI148" s="438" t="n">
        <v>0.158</v>
      </c>
      <c r="AJ148" s="438" t="n">
        <v>0.155</v>
      </c>
      <c r="AK148" s="438" t="n">
        <v>0.152</v>
      </c>
      <c r="AL148" s="438" t="n">
        <v>0.152</v>
      </c>
      <c r="AM148" s="438" t="n">
        <v>0.155</v>
      </c>
      <c r="AN148" s="438" t="n">
        <v>0.155</v>
      </c>
      <c r="AO148" s="438" t="n">
        <v>0.155</v>
      </c>
      <c r="AP148" s="439" t="n">
        <v>0.155</v>
      </c>
      <c r="AQ148" s="439" t="n">
        <v>0.155</v>
      </c>
      <c r="AR148" s="439" t="n">
        <v>0.155</v>
      </c>
      <c r="AS148" s="439" t="n">
        <v>0.155</v>
      </c>
      <c r="AT148" s="438" t="n">
        <v>0.155</v>
      </c>
      <c r="AU148" s="438" t="n">
        <v>0.155</v>
      </c>
      <c r="AV148" s="438" t="n">
        <v>0.152</v>
      </c>
      <c r="AW148" s="418" t="n">
        <v>0.070043385324219</v>
      </c>
      <c r="AY148" s="437" t="n">
        <f aca="false">AG148</f>
        <v>0.152</v>
      </c>
      <c r="AZ148" s="437" t="n">
        <f aca="false">AG148</f>
        <v>0.152</v>
      </c>
      <c r="BA148" s="441" t="n">
        <f aca="false">AG148</f>
        <v>0.152</v>
      </c>
      <c r="BB148" s="442" t="n">
        <f aca="false">B148</f>
        <v>40787</v>
      </c>
      <c r="BC148" s="437" t="n">
        <f aca="false">(1+$AW148/2)^(-2*($B148-$BC$11)/365.25)</f>
        <v>0.468647184811764</v>
      </c>
      <c r="BD148" s="437" t="n">
        <f aca="false">(1+$AW148/2)^(-2*($B148-$BD$11)/365.25)</f>
        <v>0.468735526903629</v>
      </c>
      <c r="BF148" s="442" t="n">
        <f aca="false">B148</f>
        <v>40787</v>
      </c>
      <c r="BG148" s="418" t="n">
        <v>136</v>
      </c>
    </row>
    <row r="149" customFormat="false" ht="12" hidden="false" customHeight="false" outlineLevel="0" collapsed="false">
      <c r="B149" s="419" t="n">
        <f aca="false">EOMONTH(B148,0)+1</f>
        <v>40817</v>
      </c>
      <c r="C149" s="420" t="n">
        <v>3.092</v>
      </c>
      <c r="D149" s="420" t="n">
        <v>0.155</v>
      </c>
      <c r="E149" s="420" t="n">
        <v>0.070576880865472</v>
      </c>
      <c r="F149" s="420" t="n">
        <v>-0.195</v>
      </c>
      <c r="G149" s="420" t="n">
        <v>0.0075</v>
      </c>
      <c r="H149" s="420" t="n">
        <v>-0.195</v>
      </c>
      <c r="I149" s="420" t="n">
        <v>0.183</v>
      </c>
      <c r="J149" s="420" t="n">
        <v>0.1875</v>
      </c>
      <c r="K149" s="420" t="n">
        <v>0.215</v>
      </c>
      <c r="L149" s="420" t="n">
        <v>-0.05</v>
      </c>
      <c r="M149" s="435" t="n">
        <v>-0.009999999</v>
      </c>
      <c r="N149" s="420" t="n">
        <v>0</v>
      </c>
      <c r="O149" s="420" t="n">
        <v>-0.29</v>
      </c>
      <c r="P149" s="420" t="n">
        <v>0.0065</v>
      </c>
      <c r="Q149" s="420" t="n">
        <v>0.0105</v>
      </c>
      <c r="R149" s="418" t="n">
        <v>-0.0155</v>
      </c>
      <c r="S149" s="418" t="n">
        <v>-0.044</v>
      </c>
      <c r="T149" s="418" t="n">
        <v>-0.125</v>
      </c>
      <c r="U149" s="418" t="n">
        <v>-0.0235</v>
      </c>
      <c r="V149" s="418" t="n">
        <v>-0.091</v>
      </c>
      <c r="W149" s="418" t="n">
        <v>-0.12</v>
      </c>
      <c r="X149" s="418" t="n">
        <v>0.461</v>
      </c>
      <c r="Y149" s="418" t="n">
        <v>0.005</v>
      </c>
      <c r="Z149" s="418" t="n">
        <v>-0.19</v>
      </c>
      <c r="AA149" s="418" t="n">
        <v>-0.015</v>
      </c>
      <c r="AB149" s="437" t="n">
        <v>0.295</v>
      </c>
      <c r="AC149" s="437" t="n">
        <v>0.3625</v>
      </c>
      <c r="AD149" s="437" t="n">
        <v>0.278</v>
      </c>
      <c r="AE149" s="438" t="n">
        <v>0.155</v>
      </c>
      <c r="AF149" s="438" t="n">
        <v>0.155</v>
      </c>
      <c r="AG149" s="438" t="n">
        <v>0.152</v>
      </c>
      <c r="AH149" s="438" t="n">
        <v>0.155</v>
      </c>
      <c r="AI149" s="438" t="n">
        <v>0.158</v>
      </c>
      <c r="AJ149" s="438" t="n">
        <v>0.155</v>
      </c>
      <c r="AK149" s="438" t="n">
        <v>0.152</v>
      </c>
      <c r="AL149" s="438" t="n">
        <v>0.152</v>
      </c>
      <c r="AM149" s="438" t="n">
        <v>0.155</v>
      </c>
      <c r="AN149" s="438" t="n">
        <v>0.155</v>
      </c>
      <c r="AO149" s="438" t="n">
        <v>0.155</v>
      </c>
      <c r="AP149" s="439" t="n">
        <v>0.155</v>
      </c>
      <c r="AQ149" s="439" t="n">
        <v>0.155</v>
      </c>
      <c r="AR149" s="439" t="n">
        <v>0.155</v>
      </c>
      <c r="AS149" s="439" t="n">
        <v>0.155</v>
      </c>
      <c r="AT149" s="438" t="n">
        <v>0.155</v>
      </c>
      <c r="AU149" s="438" t="n">
        <v>0.155</v>
      </c>
      <c r="AV149" s="438" t="n">
        <v>0.152</v>
      </c>
      <c r="AW149" s="418" t="n">
        <v>0.070050114533807</v>
      </c>
      <c r="AY149" s="437" t="n">
        <f aca="false">AG149</f>
        <v>0.152</v>
      </c>
      <c r="AZ149" s="437" t="n">
        <f aca="false">AG149</f>
        <v>0.152</v>
      </c>
      <c r="BA149" s="441" t="n">
        <f aca="false">AG149</f>
        <v>0.152</v>
      </c>
      <c r="BB149" s="442" t="n">
        <f aca="false">B149</f>
        <v>40817</v>
      </c>
      <c r="BC149" s="437" t="n">
        <f aca="false">(1+$AW149/2)^(-2*($B149-$BC$11)/365.25)</f>
        <v>0.46597104845631</v>
      </c>
      <c r="BD149" s="437" t="n">
        <f aca="false">(1+$AW149/2)^(-2*($B149-$BD$11)/365.25)</f>
        <v>0.466058894380414</v>
      </c>
      <c r="BF149" s="442" t="n">
        <f aca="false">B149</f>
        <v>40817</v>
      </c>
      <c r="BG149" s="418" t="n">
        <v>137</v>
      </c>
    </row>
    <row r="150" customFormat="false" ht="12" hidden="false" customHeight="false" outlineLevel="0" collapsed="false">
      <c r="B150" s="419" t="n">
        <f aca="false">EOMONTH(B149,0)+1</f>
        <v>40848</v>
      </c>
      <c r="C150" s="420" t="n">
        <v>3.144</v>
      </c>
      <c r="D150" s="420" t="n">
        <v>0.155</v>
      </c>
      <c r="E150" s="420" t="n">
        <v>0.070578046881105</v>
      </c>
      <c r="F150" s="420" t="n">
        <v>-0.19</v>
      </c>
      <c r="G150" s="420" t="n">
        <v>-0.0325</v>
      </c>
      <c r="H150" s="420" t="n">
        <v>-0.19</v>
      </c>
      <c r="I150" s="420" t="n">
        <v>0.245</v>
      </c>
      <c r="J150" s="420" t="n">
        <v>0.27</v>
      </c>
      <c r="K150" s="420" t="n">
        <v>0.2875</v>
      </c>
      <c r="L150" s="420" t="n">
        <v>-0.065</v>
      </c>
      <c r="M150" s="435" t="n">
        <v>-0.0025</v>
      </c>
      <c r="N150" s="420" t="n">
        <v>0</v>
      </c>
      <c r="O150" s="420" t="n">
        <v>0</v>
      </c>
      <c r="P150" s="420" t="n">
        <v>0.016</v>
      </c>
      <c r="Q150" s="420" t="n">
        <v>0.0025</v>
      </c>
      <c r="R150" s="418" t="n">
        <v>-0.0185</v>
      </c>
      <c r="S150" s="418" t="n">
        <v>-0.0435</v>
      </c>
      <c r="T150" s="418" t="n">
        <v>-0.0875</v>
      </c>
      <c r="U150" s="418" t="n">
        <v>-0.0225</v>
      </c>
      <c r="V150" s="418" t="n">
        <v>-0.0885</v>
      </c>
      <c r="W150" s="418" t="n">
        <v>-0.1325</v>
      </c>
      <c r="X150" s="418" t="n">
        <v>0.7675</v>
      </c>
      <c r="Y150" s="418" t="n">
        <v>0.005</v>
      </c>
      <c r="Z150" s="418" t="n">
        <v>-0.19</v>
      </c>
      <c r="AA150" s="418" t="n">
        <v>-0.0165</v>
      </c>
      <c r="AB150" s="437" t="n">
        <v>0.12</v>
      </c>
      <c r="AC150" s="437" t="n">
        <v>0.465</v>
      </c>
      <c r="AD150" s="437" t="n">
        <v>0.34</v>
      </c>
      <c r="AE150" s="438" t="n">
        <v>0.155</v>
      </c>
      <c r="AF150" s="438" t="n">
        <v>0.155</v>
      </c>
      <c r="AG150" s="438" t="n">
        <v>0.171</v>
      </c>
      <c r="AH150" s="438" t="n">
        <v>0.155</v>
      </c>
      <c r="AI150" s="438" t="n">
        <v>0.158</v>
      </c>
      <c r="AJ150" s="438" t="n">
        <v>0.155</v>
      </c>
      <c r="AK150" s="438" t="n">
        <v>0.155</v>
      </c>
      <c r="AL150" s="438" t="n">
        <v>0.155</v>
      </c>
      <c r="AM150" s="438" t="n">
        <v>0.155</v>
      </c>
      <c r="AN150" s="438" t="n">
        <v>0.155</v>
      </c>
      <c r="AO150" s="438" t="n">
        <v>0.155</v>
      </c>
      <c r="AP150" s="439" t="n">
        <v>0.155</v>
      </c>
      <c r="AQ150" s="439" t="n">
        <v>0.155</v>
      </c>
      <c r="AR150" s="439" t="n">
        <v>0.155</v>
      </c>
      <c r="AS150" s="439" t="n">
        <v>0.155</v>
      </c>
      <c r="AT150" s="438" t="n">
        <v>0.155</v>
      </c>
      <c r="AU150" s="438" t="n">
        <v>0.155</v>
      </c>
      <c r="AV150" s="438" t="n">
        <v>0.171</v>
      </c>
      <c r="AW150" s="418" t="n">
        <v>0.070057068050398</v>
      </c>
      <c r="AY150" s="437" t="n">
        <f aca="false">AG150</f>
        <v>0.171</v>
      </c>
      <c r="AZ150" s="437" t="n">
        <f aca="false">AG150</f>
        <v>0.171</v>
      </c>
      <c r="BA150" s="441" t="n">
        <f aca="false">AG150</f>
        <v>0.171</v>
      </c>
      <c r="BB150" s="442" t="n">
        <f aca="false">B150</f>
        <v>40848</v>
      </c>
      <c r="BC150" s="437" t="n">
        <f aca="false">(1+$AW150/2)^(-2*($B150-$BC$11)/365.25)</f>
        <v>0.46322124114493</v>
      </c>
      <c r="BD150" s="437" t="n">
        <f aca="false">(1+$AW150/2)^(-2*($B150-$BD$11)/365.25)</f>
        <v>0.463308577190925</v>
      </c>
      <c r="BF150" s="442" t="n">
        <f aca="false">B150</f>
        <v>40848</v>
      </c>
      <c r="BG150" s="418" t="n">
        <v>138</v>
      </c>
    </row>
    <row r="151" customFormat="false" ht="12" hidden="false" customHeight="false" outlineLevel="0" collapsed="false">
      <c r="B151" s="419" t="n">
        <f aca="false">EOMONTH(B150,0)+1</f>
        <v>40878</v>
      </c>
      <c r="C151" s="420" t="n">
        <v>3.206</v>
      </c>
      <c r="D151" s="420" t="n">
        <v>0.155</v>
      </c>
      <c r="E151" s="420" t="n">
        <v>0.07057917528333</v>
      </c>
      <c r="F151" s="420" t="n">
        <v>-0.1975</v>
      </c>
      <c r="G151" s="420" t="n">
        <v>-0.055</v>
      </c>
      <c r="H151" s="420" t="n">
        <v>-0.1975</v>
      </c>
      <c r="I151" s="420" t="n">
        <v>0.285</v>
      </c>
      <c r="J151" s="420" t="n">
        <v>0.305</v>
      </c>
      <c r="K151" s="420" t="n">
        <v>0.3375</v>
      </c>
      <c r="L151" s="420" t="n">
        <v>-0.065</v>
      </c>
      <c r="M151" s="420" t="n">
        <v>-0.0025</v>
      </c>
      <c r="N151" s="420" t="n">
        <v>0</v>
      </c>
      <c r="O151" s="420" t="n">
        <v>0.06</v>
      </c>
      <c r="P151" s="420" t="n">
        <v>0.016</v>
      </c>
      <c r="Q151" s="420" t="n">
        <v>0.0025</v>
      </c>
      <c r="R151" s="418" t="n">
        <v>-0.0185</v>
      </c>
      <c r="S151" s="418" t="n">
        <v>-0.0435</v>
      </c>
      <c r="T151" s="418" t="n">
        <v>-0.08</v>
      </c>
      <c r="U151" s="418" t="n">
        <v>-0.0225</v>
      </c>
      <c r="V151" s="418" t="n">
        <v>-0.1235</v>
      </c>
      <c r="W151" s="418" t="n">
        <v>-0.1275</v>
      </c>
      <c r="X151" s="418" t="n">
        <v>1.19</v>
      </c>
      <c r="Y151" s="418" t="n">
        <v>0.005</v>
      </c>
      <c r="Z151" s="418" t="n">
        <v>-0.19</v>
      </c>
      <c r="AA151" s="418" t="n">
        <v>-0.0165</v>
      </c>
      <c r="AB151" s="437" t="n">
        <v>0.12</v>
      </c>
      <c r="AC151" s="437" t="n">
        <v>0.8</v>
      </c>
      <c r="AD151" s="437" t="n">
        <v>0.38</v>
      </c>
      <c r="AE151" s="438" t="n">
        <v>0.155</v>
      </c>
      <c r="AF151" s="438" t="n">
        <v>0.155</v>
      </c>
      <c r="AG151" s="438" t="n">
        <v>0.171</v>
      </c>
      <c r="AH151" s="438" t="n">
        <v>0.155</v>
      </c>
      <c r="AI151" s="438" t="n">
        <v>0.158</v>
      </c>
      <c r="AJ151" s="438" t="n">
        <v>0.155</v>
      </c>
      <c r="AK151" s="438" t="n">
        <v>0.155</v>
      </c>
      <c r="AL151" s="438" t="n">
        <v>0.155</v>
      </c>
      <c r="AM151" s="438" t="n">
        <v>0.155</v>
      </c>
      <c r="AN151" s="438" t="n">
        <v>0.155</v>
      </c>
      <c r="AO151" s="438" t="n">
        <v>0.155</v>
      </c>
      <c r="AP151" s="439" t="n">
        <v>0.155</v>
      </c>
      <c r="AQ151" s="439" t="n">
        <v>0.155</v>
      </c>
      <c r="AR151" s="439" t="n">
        <v>0.155</v>
      </c>
      <c r="AS151" s="439" t="n">
        <v>0.155</v>
      </c>
      <c r="AT151" s="438" t="n">
        <v>0.155</v>
      </c>
      <c r="AU151" s="438" t="n">
        <v>0.155</v>
      </c>
      <c r="AV151" s="438" t="n">
        <v>0.171</v>
      </c>
      <c r="AW151" s="418" t="n">
        <v>0.070063797260018</v>
      </c>
      <c r="AY151" s="437" t="n">
        <f aca="false">AG151</f>
        <v>0.171</v>
      </c>
      <c r="AZ151" s="437" t="n">
        <f aca="false">AG151</f>
        <v>0.171</v>
      </c>
      <c r="BA151" s="441" t="n">
        <f aca="false">AG151</f>
        <v>0.171</v>
      </c>
      <c r="BB151" s="442" t="n">
        <f aca="false">B151</f>
        <v>40878</v>
      </c>
      <c r="BC151" s="437" t="n">
        <f aca="false">(1+$AW151/2)^(-2*($B151-$BC$11)/365.25)</f>
        <v>0.46057508882015</v>
      </c>
      <c r="BD151" s="437" t="n">
        <f aca="false">(1+$AW151/2)^(-2*($B151-$BD$11)/365.25)</f>
        <v>0.460661934158594</v>
      </c>
      <c r="BF151" s="442" t="n">
        <f aca="false">B151</f>
        <v>40878</v>
      </c>
      <c r="BG151" s="418" t="n">
        <v>139</v>
      </c>
    </row>
    <row r="152" customFormat="false" ht="12" hidden="false" customHeight="false" outlineLevel="0" collapsed="false">
      <c r="B152" s="419" t="n">
        <f aca="false">EOMONTH(B151,0)+1</f>
        <v>40909</v>
      </c>
      <c r="C152" s="420" t="n">
        <v>3.515</v>
      </c>
      <c r="D152" s="420" t="n">
        <v>0.155</v>
      </c>
      <c r="E152" s="420" t="n">
        <v>0.070580341298964</v>
      </c>
      <c r="F152" s="420" t="n">
        <v>-0.2</v>
      </c>
      <c r="G152" s="420" t="n">
        <v>-0.0575</v>
      </c>
      <c r="H152" s="420" t="n">
        <v>-0.2</v>
      </c>
      <c r="I152" s="420" t="n">
        <v>0.295</v>
      </c>
      <c r="J152" s="420" t="n">
        <v>0.305</v>
      </c>
      <c r="K152" s="420" t="n">
        <v>0.4375</v>
      </c>
      <c r="L152" s="420" t="n">
        <v>-0.065</v>
      </c>
      <c r="M152" s="420" t="n">
        <v>-0.0005</v>
      </c>
      <c r="N152" s="420" t="n">
        <v>0</v>
      </c>
      <c r="O152" s="420" t="n">
        <v>0.13</v>
      </c>
      <c r="P152" s="420" t="n">
        <v>0.016</v>
      </c>
      <c r="Q152" s="420" t="n">
        <v>0.0025</v>
      </c>
      <c r="R152" s="418" t="n">
        <v>-0.014</v>
      </c>
      <c r="S152" s="418" t="n">
        <v>-0.0435</v>
      </c>
      <c r="T152" s="418" t="n">
        <v>-0.065</v>
      </c>
      <c r="U152" s="418" t="n">
        <v>-0.0225</v>
      </c>
      <c r="V152" s="418" t="n">
        <v>-0.129</v>
      </c>
      <c r="W152" s="418" t="n">
        <v>-0.1275</v>
      </c>
      <c r="X152" s="418" t="n">
        <v>1.525</v>
      </c>
      <c r="Y152" s="418" t="n">
        <v>0.005</v>
      </c>
      <c r="Z152" s="418" t="n">
        <v>-0.19</v>
      </c>
      <c r="AA152" s="418" t="n">
        <v>-0.0165</v>
      </c>
      <c r="AB152" s="437" t="n">
        <v>0.12</v>
      </c>
      <c r="AC152" s="437" t="n">
        <v>0.975</v>
      </c>
      <c r="AD152" s="437" t="n">
        <v>0.39</v>
      </c>
      <c r="AE152" s="438" t="n">
        <v>0.155</v>
      </c>
      <c r="AF152" s="438" t="n">
        <v>0.155</v>
      </c>
      <c r="AG152" s="438" t="n">
        <v>0.171</v>
      </c>
      <c r="AH152" s="438" t="n">
        <v>0.155</v>
      </c>
      <c r="AI152" s="438" t="n">
        <v>0.158</v>
      </c>
      <c r="AJ152" s="438" t="n">
        <v>0.155</v>
      </c>
      <c r="AK152" s="438" t="n">
        <v>0.155</v>
      </c>
      <c r="AL152" s="438" t="n">
        <v>0.155</v>
      </c>
      <c r="AM152" s="438" t="n">
        <v>0.155</v>
      </c>
      <c r="AN152" s="438" t="n">
        <v>0.155</v>
      </c>
      <c r="AO152" s="438" t="n">
        <v>0.155</v>
      </c>
      <c r="AP152" s="439" t="n">
        <v>0.155</v>
      </c>
      <c r="AQ152" s="439" t="n">
        <v>0.155</v>
      </c>
      <c r="AR152" s="439" t="n">
        <v>0.155</v>
      </c>
      <c r="AS152" s="439" t="n">
        <v>0.155</v>
      </c>
      <c r="AT152" s="438" t="n">
        <v>0.155</v>
      </c>
      <c r="AU152" s="438" t="n">
        <v>0.155</v>
      </c>
      <c r="AV152" s="438" t="n">
        <v>0.171</v>
      </c>
      <c r="AW152" s="418" t="n">
        <v>0.070070750776641</v>
      </c>
      <c r="AY152" s="437" t="n">
        <f aca="false">AG152</f>
        <v>0.171</v>
      </c>
      <c r="AZ152" s="437" t="n">
        <f aca="false">AG152</f>
        <v>0.171</v>
      </c>
      <c r="BA152" s="441" t="n">
        <f aca="false">AG152</f>
        <v>0.171</v>
      </c>
      <c r="BB152" s="442" t="n">
        <f aca="false">B152</f>
        <v>40909</v>
      </c>
      <c r="BC152" s="437" t="n">
        <f aca="false">(1+$AW152/2)^(-2*($B152-$BC$11)/365.25)</f>
        <v>0.457856097167209</v>
      </c>
      <c r="BD152" s="437" t="n">
        <f aca="false">(1+$AW152/2)^(-2*($B152-$BD$11)/365.25)</f>
        <v>0.457942438239797</v>
      </c>
      <c r="BF152" s="442" t="n">
        <f aca="false">B152</f>
        <v>40909</v>
      </c>
      <c r="BG152" s="418" t="n">
        <v>140</v>
      </c>
    </row>
    <row r="153" customFormat="false" ht="12" hidden="false" customHeight="false" outlineLevel="0" collapsed="false">
      <c r="B153" s="419" t="n">
        <f aca="false">EOMONTH(B152,0)+1</f>
        <v>40940</v>
      </c>
      <c r="C153" s="420" t="n">
        <v>3.409</v>
      </c>
      <c r="D153" s="420" t="n">
        <v>0.155</v>
      </c>
      <c r="E153" s="420" t="n">
        <v>0.070581507314598</v>
      </c>
      <c r="F153" s="420" t="n">
        <v>-0.2025</v>
      </c>
      <c r="G153" s="420" t="n">
        <v>-0.04</v>
      </c>
      <c r="H153" s="420" t="n">
        <v>-0.2025</v>
      </c>
      <c r="I153" s="420" t="n">
        <v>0.27</v>
      </c>
      <c r="J153" s="420" t="n">
        <v>0.305</v>
      </c>
      <c r="K153" s="420" t="n">
        <v>0.435</v>
      </c>
      <c r="L153" s="420" t="n">
        <v>-0.065</v>
      </c>
      <c r="M153" s="420" t="n">
        <v>-0.0005</v>
      </c>
      <c r="N153" s="420" t="n">
        <v>0</v>
      </c>
      <c r="O153" s="420" t="n">
        <v>0</v>
      </c>
      <c r="P153" s="420" t="n">
        <v>0.016</v>
      </c>
      <c r="Q153" s="420" t="n">
        <v>0.0025</v>
      </c>
      <c r="R153" s="418" t="n">
        <v>-0.014</v>
      </c>
      <c r="S153" s="418" t="n">
        <v>-0.0435</v>
      </c>
      <c r="T153" s="418" t="n">
        <v>-0.065</v>
      </c>
      <c r="U153" s="418" t="n">
        <v>-0.0225</v>
      </c>
      <c r="V153" s="418" t="n">
        <v>-0.1115</v>
      </c>
      <c r="W153" s="418" t="n">
        <v>-0.1275</v>
      </c>
      <c r="X153" s="418" t="n">
        <v>1.455</v>
      </c>
      <c r="Y153" s="418" t="n">
        <v>0.005</v>
      </c>
      <c r="Z153" s="418" t="n">
        <v>-0.19</v>
      </c>
      <c r="AA153" s="418" t="n">
        <v>-0.0165</v>
      </c>
      <c r="AB153" s="437" t="n">
        <v>0.12</v>
      </c>
      <c r="AC153" s="437" t="n">
        <v>0.975</v>
      </c>
      <c r="AD153" s="437" t="n">
        <v>0.365</v>
      </c>
      <c r="AE153" s="438" t="n">
        <v>0.155</v>
      </c>
      <c r="AF153" s="438" t="n">
        <v>0.155</v>
      </c>
      <c r="AG153" s="438" t="n">
        <v>0.171</v>
      </c>
      <c r="AH153" s="438" t="n">
        <v>0.155</v>
      </c>
      <c r="AI153" s="438" t="n">
        <v>0.158</v>
      </c>
      <c r="AJ153" s="438" t="n">
        <v>0.155</v>
      </c>
      <c r="AK153" s="438" t="n">
        <v>0.155</v>
      </c>
      <c r="AL153" s="438" t="n">
        <v>0.155</v>
      </c>
      <c r="AM153" s="438" t="n">
        <v>0.155</v>
      </c>
      <c r="AN153" s="438" t="n">
        <v>0.155</v>
      </c>
      <c r="AO153" s="438" t="n">
        <v>0.155</v>
      </c>
      <c r="AP153" s="439" t="n">
        <v>0.155</v>
      </c>
      <c r="AQ153" s="439" t="n">
        <v>0.155</v>
      </c>
      <c r="AR153" s="439" t="n">
        <v>0.155</v>
      </c>
      <c r="AS153" s="439" t="n">
        <v>0.155</v>
      </c>
      <c r="AT153" s="438" t="n">
        <v>0.155</v>
      </c>
      <c r="AU153" s="438" t="n">
        <v>0.155</v>
      </c>
      <c r="AV153" s="438" t="n">
        <v>0.171</v>
      </c>
      <c r="AW153" s="418" t="n">
        <v>0.07007770429328</v>
      </c>
      <c r="AY153" s="437" t="n">
        <f aca="false">AG153</f>
        <v>0.171</v>
      </c>
      <c r="AZ153" s="437" t="n">
        <f aca="false">AG153</f>
        <v>0.171</v>
      </c>
      <c r="BA153" s="441" t="n">
        <f aca="false">AG153</f>
        <v>0.171</v>
      </c>
      <c r="BB153" s="442" t="n">
        <f aca="false">B153</f>
        <v>40940</v>
      </c>
      <c r="BC153" s="437" t="n">
        <f aca="false">(1+$AW153/2)^(-2*($B153-$BC$11)/365.25)</f>
        <v>0.455152638070239</v>
      </c>
      <c r="BD153" s="437" t="n">
        <f aca="false">(1+$AW153/2)^(-2*($B153-$BD$11)/365.25)</f>
        <v>0.455238477706267</v>
      </c>
      <c r="BF153" s="442" t="n">
        <f aca="false">B153</f>
        <v>40940</v>
      </c>
      <c r="BG153" s="418" t="n">
        <v>141</v>
      </c>
    </row>
    <row r="154" customFormat="false" ht="12" hidden="false" customHeight="false" outlineLevel="0" collapsed="false">
      <c r="B154" s="419" t="n">
        <f aca="false">EOMONTH(B153,0)+1</f>
        <v>40969</v>
      </c>
      <c r="C154" s="420" t="n">
        <v>3.266</v>
      </c>
      <c r="D154" s="420" t="n">
        <v>0.15</v>
      </c>
      <c r="E154" s="420" t="n">
        <v>0.070582598103418</v>
      </c>
      <c r="F154" s="420" t="n">
        <v>-0.205</v>
      </c>
      <c r="G154" s="420" t="n">
        <v>-0.0275</v>
      </c>
      <c r="H154" s="420" t="n">
        <v>-0.205</v>
      </c>
      <c r="I154" s="420" t="n">
        <v>0.268</v>
      </c>
      <c r="J154" s="420" t="n">
        <v>0.265</v>
      </c>
      <c r="K154" s="420" t="n">
        <v>0.3025</v>
      </c>
      <c r="L154" s="420" t="n">
        <v>-0.065</v>
      </c>
      <c r="M154" s="420" t="n">
        <v>-0.0005</v>
      </c>
      <c r="N154" s="420" t="n">
        <v>0</v>
      </c>
      <c r="O154" s="420" t="n">
        <v>-0.18</v>
      </c>
      <c r="P154" s="420" t="n">
        <v>0.016</v>
      </c>
      <c r="Q154" s="420" t="n">
        <v>0.0025</v>
      </c>
      <c r="R154" s="418" t="n">
        <v>-0.014</v>
      </c>
      <c r="S154" s="418" t="n">
        <v>-0.0435</v>
      </c>
      <c r="T154" s="418" t="n">
        <v>-0.065</v>
      </c>
      <c r="U154" s="418" t="n">
        <v>-0.004</v>
      </c>
      <c r="V154" s="418" t="n">
        <v>-0.094</v>
      </c>
      <c r="W154" s="418" t="n">
        <v>-0.1325</v>
      </c>
      <c r="X154" s="418" t="n">
        <v>0.835</v>
      </c>
      <c r="Y154" s="418" t="n">
        <v>0.005</v>
      </c>
      <c r="Z154" s="418" t="n">
        <v>-0.19</v>
      </c>
      <c r="AA154" s="418" t="n">
        <v>-0.0165</v>
      </c>
      <c r="AB154" s="437" t="n">
        <v>0.12</v>
      </c>
      <c r="AC154" s="437" t="n">
        <v>0.6075</v>
      </c>
      <c r="AD154" s="437" t="n">
        <v>0.363</v>
      </c>
      <c r="AE154" s="438" t="n">
        <v>0.15</v>
      </c>
      <c r="AF154" s="438" t="n">
        <v>0.15</v>
      </c>
      <c r="AG154" s="438" t="n">
        <v>0.165</v>
      </c>
      <c r="AH154" s="438" t="n">
        <v>0.15</v>
      </c>
      <c r="AI154" s="438" t="n">
        <v>0.153</v>
      </c>
      <c r="AJ154" s="438" t="n">
        <v>0.15</v>
      </c>
      <c r="AK154" s="438" t="n">
        <v>0.15</v>
      </c>
      <c r="AL154" s="438" t="n">
        <v>0.15</v>
      </c>
      <c r="AM154" s="438" t="n">
        <v>0.15</v>
      </c>
      <c r="AN154" s="438" t="n">
        <v>0.15</v>
      </c>
      <c r="AO154" s="438" t="n">
        <v>0.15</v>
      </c>
      <c r="AP154" s="439" t="n">
        <v>0.15</v>
      </c>
      <c r="AQ154" s="439" t="n">
        <v>0.15</v>
      </c>
      <c r="AR154" s="439" t="n">
        <v>0.15</v>
      </c>
      <c r="AS154" s="439" t="n">
        <v>0.15</v>
      </c>
      <c r="AT154" s="438" t="n">
        <v>0.15</v>
      </c>
      <c r="AU154" s="438" t="n">
        <v>0.15</v>
      </c>
      <c r="AV154" s="438" t="n">
        <v>0.165</v>
      </c>
      <c r="AW154" s="418" t="n">
        <v>0.070084209195956</v>
      </c>
      <c r="AY154" s="437" t="n">
        <f aca="false">AG154</f>
        <v>0.165</v>
      </c>
      <c r="AZ154" s="437" t="n">
        <f aca="false">AG154</f>
        <v>0.165</v>
      </c>
      <c r="BA154" s="441" t="n">
        <f aca="false">AG154</f>
        <v>0.165</v>
      </c>
      <c r="BB154" s="442" t="n">
        <f aca="false">B154</f>
        <v>40969</v>
      </c>
      <c r="BC154" s="437" t="n">
        <f aca="false">(1+$AW154/2)^(-2*($B154-$BC$11)/365.25)</f>
        <v>0.452637581617544</v>
      </c>
      <c r="BD154" s="437" t="n">
        <f aca="false">(1+$AW154/2)^(-2*($B154-$BD$11)/365.25)</f>
        <v>0.452722954715604</v>
      </c>
      <c r="BF154" s="442" t="n">
        <f aca="false">B154</f>
        <v>40969</v>
      </c>
      <c r="BG154" s="418" t="n">
        <v>142</v>
      </c>
    </row>
    <row r="155" customFormat="false" ht="12" hidden="false" customHeight="false" outlineLevel="0" collapsed="false">
      <c r="B155" s="419" t="n">
        <f aca="false">EOMONTH(B154,0)+1</f>
        <v>41000</v>
      </c>
      <c r="C155" s="420" t="n">
        <v>3.115</v>
      </c>
      <c r="D155" s="420" t="n">
        <v>0.15</v>
      </c>
      <c r="E155" s="420" t="n">
        <v>0.070583764119053</v>
      </c>
      <c r="F155" s="420" t="n">
        <v>-0.195</v>
      </c>
      <c r="G155" s="420" t="n">
        <v>0.015</v>
      </c>
      <c r="H155" s="420" t="n">
        <v>-0.195</v>
      </c>
      <c r="I155" s="420" t="n">
        <v>0.173</v>
      </c>
      <c r="J155" s="420" t="n">
        <v>0.195</v>
      </c>
      <c r="K155" s="420" t="n">
        <v>0.25</v>
      </c>
      <c r="L155" s="420" t="n">
        <v>-0.058</v>
      </c>
      <c r="M155" s="420" t="n">
        <v>-0.007999999</v>
      </c>
      <c r="N155" s="420" t="n">
        <v>0</v>
      </c>
      <c r="O155" s="420" t="n">
        <v>-0.29</v>
      </c>
      <c r="P155" s="420" t="n">
        <v>0.0065</v>
      </c>
      <c r="Q155" s="420" t="n">
        <v>0.0125</v>
      </c>
      <c r="R155" s="418" t="n">
        <v>-0.0135</v>
      </c>
      <c r="S155" s="418" t="n">
        <v>-0.041</v>
      </c>
      <c r="T155" s="418" t="n">
        <v>-0.11</v>
      </c>
      <c r="U155" s="418" t="n">
        <v>-0.004</v>
      </c>
      <c r="V155" s="418" t="n">
        <v>-0.0865</v>
      </c>
      <c r="W155" s="418" t="n">
        <v>-0.12</v>
      </c>
      <c r="X155" s="418" t="n">
        <v>0.45</v>
      </c>
      <c r="Y155" s="418" t="n">
        <v>0.005</v>
      </c>
      <c r="Z155" s="418" t="n">
        <v>-0.19</v>
      </c>
      <c r="AA155" s="418" t="n">
        <v>-0.014</v>
      </c>
      <c r="AB155" s="437" t="n">
        <v>0.295</v>
      </c>
      <c r="AC155" s="437" t="n">
        <v>0.355</v>
      </c>
      <c r="AD155" s="437" t="n">
        <v>0.268</v>
      </c>
      <c r="AE155" s="438" t="n">
        <v>0.15</v>
      </c>
      <c r="AF155" s="438" t="n">
        <v>0.15</v>
      </c>
      <c r="AG155" s="438" t="n">
        <v>0.147</v>
      </c>
      <c r="AH155" s="438" t="n">
        <v>0.15</v>
      </c>
      <c r="AI155" s="438" t="n">
        <v>0.153</v>
      </c>
      <c r="AJ155" s="438" t="n">
        <v>0.15</v>
      </c>
      <c r="AK155" s="438" t="n">
        <v>0.147</v>
      </c>
      <c r="AL155" s="438" t="n">
        <v>0.147</v>
      </c>
      <c r="AM155" s="438" t="n">
        <v>0.15</v>
      </c>
      <c r="AN155" s="438" t="n">
        <v>0.15</v>
      </c>
      <c r="AO155" s="438" t="n">
        <v>0.15</v>
      </c>
      <c r="AP155" s="439" t="n">
        <v>0.15</v>
      </c>
      <c r="AQ155" s="439" t="n">
        <v>0.15</v>
      </c>
      <c r="AR155" s="439" t="n">
        <v>0.15</v>
      </c>
      <c r="AS155" s="439" t="n">
        <v>0.15</v>
      </c>
      <c r="AT155" s="438" t="n">
        <v>0.15</v>
      </c>
      <c r="AU155" s="438" t="n">
        <v>0.15</v>
      </c>
      <c r="AV155" s="438" t="n">
        <v>0.147</v>
      </c>
      <c r="AW155" s="418" t="n">
        <v>0.070091162712625</v>
      </c>
      <c r="AY155" s="437" t="n">
        <f aca="false">AG155</f>
        <v>0.147</v>
      </c>
      <c r="AZ155" s="437" t="n">
        <f aca="false">AG155</f>
        <v>0.147</v>
      </c>
      <c r="BA155" s="441" t="n">
        <f aca="false">AG155</f>
        <v>0.147</v>
      </c>
      <c r="BB155" s="442" t="n">
        <f aca="false">B155</f>
        <v>41000</v>
      </c>
      <c r="BC155" s="437" t="n">
        <f aca="false">(1+$AW155/2)^(-2*($B155-$BC$11)/365.25)</f>
        <v>0.44996394286184</v>
      </c>
      <c r="BD155" s="437" t="n">
        <f aca="false">(1+$AW155/2)^(-2*($B155-$BD$11)/365.25)</f>
        <v>0.450048819956061</v>
      </c>
      <c r="BF155" s="442" t="n">
        <f aca="false">B155</f>
        <v>41000</v>
      </c>
      <c r="BG155" s="418" t="n">
        <v>143</v>
      </c>
    </row>
    <row r="156" customFormat="false" ht="12" hidden="false" customHeight="false" outlineLevel="0" collapsed="false">
      <c r="B156" s="419" t="n">
        <f aca="false">EOMONTH(B155,0)+1</f>
        <v>41030</v>
      </c>
      <c r="C156" s="420" t="n">
        <v>3.112</v>
      </c>
      <c r="D156" s="420" t="n">
        <v>0.15</v>
      </c>
      <c r="E156" s="420" t="n">
        <v>0.070584892521281</v>
      </c>
      <c r="F156" s="420" t="n">
        <v>-0.195</v>
      </c>
      <c r="G156" s="420" t="n">
        <v>0.015</v>
      </c>
      <c r="H156" s="420" t="n">
        <v>-0.195</v>
      </c>
      <c r="I156" s="420" t="n">
        <v>0.183</v>
      </c>
      <c r="J156" s="420" t="n">
        <v>0.1825</v>
      </c>
      <c r="K156" s="420" t="n">
        <v>0.2025</v>
      </c>
      <c r="L156" s="420" t="n">
        <v>-0.058</v>
      </c>
      <c r="M156" s="435" t="n">
        <v>-0.007999999</v>
      </c>
      <c r="N156" s="420" t="n">
        <v>0</v>
      </c>
      <c r="O156" s="420" t="n">
        <v>-0.29</v>
      </c>
      <c r="P156" s="420" t="n">
        <v>0.0065</v>
      </c>
      <c r="Q156" s="420" t="n">
        <v>0.0125</v>
      </c>
      <c r="R156" s="418" t="n">
        <v>-0.0135</v>
      </c>
      <c r="S156" s="418" t="n">
        <v>-0.041</v>
      </c>
      <c r="T156" s="418" t="n">
        <v>-0.125</v>
      </c>
      <c r="U156" s="418" t="n">
        <v>-0.00425</v>
      </c>
      <c r="V156" s="418" t="n">
        <v>-0.0865</v>
      </c>
      <c r="W156" s="418" t="n">
        <v>-0.12</v>
      </c>
      <c r="X156" s="418" t="n">
        <v>0.405</v>
      </c>
      <c r="Y156" s="418" t="n">
        <v>0.005</v>
      </c>
      <c r="Z156" s="418" t="n">
        <v>-0.19</v>
      </c>
      <c r="AA156" s="418" t="n">
        <v>-0.014</v>
      </c>
      <c r="AB156" s="437" t="n">
        <v>0.295</v>
      </c>
      <c r="AC156" s="437" t="n">
        <v>0.2875</v>
      </c>
      <c r="AD156" s="437" t="n">
        <v>0.278</v>
      </c>
      <c r="AE156" s="438" t="n">
        <v>0.15</v>
      </c>
      <c r="AF156" s="438" t="n">
        <v>0.15</v>
      </c>
      <c r="AG156" s="438" t="n">
        <v>0.147</v>
      </c>
      <c r="AH156" s="438" t="n">
        <v>0.15</v>
      </c>
      <c r="AI156" s="438" t="n">
        <v>0.153</v>
      </c>
      <c r="AJ156" s="438" t="n">
        <v>0.15</v>
      </c>
      <c r="AK156" s="438" t="n">
        <v>0.147</v>
      </c>
      <c r="AL156" s="438" t="n">
        <v>0.147</v>
      </c>
      <c r="AM156" s="438" t="n">
        <v>0.15</v>
      </c>
      <c r="AN156" s="438" t="n">
        <v>0.15</v>
      </c>
      <c r="AO156" s="438" t="n">
        <v>0.15</v>
      </c>
      <c r="AP156" s="439" t="n">
        <v>0.15</v>
      </c>
      <c r="AQ156" s="439" t="n">
        <v>0.15</v>
      </c>
      <c r="AR156" s="439" t="n">
        <v>0.15</v>
      </c>
      <c r="AS156" s="439" t="n">
        <v>0.15</v>
      </c>
      <c r="AT156" s="438" t="n">
        <v>0.15</v>
      </c>
      <c r="AU156" s="438" t="n">
        <v>0.15</v>
      </c>
      <c r="AV156" s="438" t="n">
        <v>0.147</v>
      </c>
      <c r="AW156" s="418" t="n">
        <v>0.070097891922321</v>
      </c>
      <c r="AY156" s="437" t="n">
        <f aca="false">AG156</f>
        <v>0.147</v>
      </c>
      <c r="AZ156" s="437" t="n">
        <f aca="false">AG156</f>
        <v>0.147</v>
      </c>
      <c r="BA156" s="441" t="n">
        <f aca="false">AG156</f>
        <v>0.147</v>
      </c>
      <c r="BB156" s="442" t="n">
        <f aca="false">B156</f>
        <v>41030</v>
      </c>
      <c r="BC156" s="437" t="n">
        <f aca="false">(1+$AW156/2)^(-2*($B156-$BC$11)/365.25)</f>
        <v>0.447391102514818</v>
      </c>
      <c r="BD156" s="437" t="n">
        <f aca="false">(1+$AW156/2)^(-2*($B156-$BD$11)/365.25)</f>
        <v>0.447475502256849</v>
      </c>
      <c r="BF156" s="442" t="n">
        <f aca="false">B156</f>
        <v>41030</v>
      </c>
      <c r="BG156" s="418" t="n">
        <v>144</v>
      </c>
    </row>
    <row r="157" customFormat="false" ht="12" hidden="false" customHeight="false" outlineLevel="0" collapsed="false">
      <c r="B157" s="419" t="n">
        <f aca="false">EOMONTH(B156,0)+1</f>
        <v>41061</v>
      </c>
      <c r="C157" s="420" t="n">
        <v>3.141</v>
      </c>
      <c r="D157" s="420" t="n">
        <v>0.15</v>
      </c>
      <c r="E157" s="420" t="n">
        <v>0.070586058536917</v>
      </c>
      <c r="F157" s="420" t="n">
        <v>-0.195</v>
      </c>
      <c r="G157" s="420" t="n">
        <v>0.02</v>
      </c>
      <c r="H157" s="420" t="n">
        <v>-0.195</v>
      </c>
      <c r="I157" s="420" t="n">
        <v>0.178</v>
      </c>
      <c r="J157" s="420" t="n">
        <v>0.1825</v>
      </c>
      <c r="K157" s="420" t="n">
        <v>0.2025</v>
      </c>
      <c r="L157" s="420" t="n">
        <v>-0.074</v>
      </c>
      <c r="M157" s="435" t="n">
        <v>-0.007999999</v>
      </c>
      <c r="N157" s="420" t="n">
        <v>0</v>
      </c>
      <c r="O157" s="420" t="n">
        <v>-0.29</v>
      </c>
      <c r="P157" s="420" t="n">
        <v>0.0065</v>
      </c>
      <c r="Q157" s="420" t="n">
        <v>0.0125</v>
      </c>
      <c r="R157" s="418" t="n">
        <v>-0.0135</v>
      </c>
      <c r="S157" s="418" t="n">
        <v>-0.041</v>
      </c>
      <c r="T157" s="418" t="n">
        <v>-0.135</v>
      </c>
      <c r="U157" s="418" t="n">
        <v>-0.00425</v>
      </c>
      <c r="V157" s="418" t="n">
        <v>-0.0765</v>
      </c>
      <c r="W157" s="418" t="n">
        <v>-0.12</v>
      </c>
      <c r="X157" s="418" t="n">
        <v>0.395</v>
      </c>
      <c r="Y157" s="418" t="n">
        <v>0.005</v>
      </c>
      <c r="Z157" s="418" t="n">
        <v>-0.19</v>
      </c>
      <c r="AA157" s="418" t="n">
        <v>-0.014</v>
      </c>
      <c r="AB157" s="437" t="n">
        <v>0.295</v>
      </c>
      <c r="AC157" s="437" t="n">
        <v>0.2875</v>
      </c>
      <c r="AD157" s="437" t="n">
        <v>0.273</v>
      </c>
      <c r="AE157" s="438" t="n">
        <v>0.15</v>
      </c>
      <c r="AF157" s="438" t="n">
        <v>0.15</v>
      </c>
      <c r="AG157" s="438" t="n">
        <v>0.147</v>
      </c>
      <c r="AH157" s="438" t="n">
        <v>0.15</v>
      </c>
      <c r="AI157" s="438" t="n">
        <v>0.153</v>
      </c>
      <c r="AJ157" s="438" t="n">
        <v>0.15</v>
      </c>
      <c r="AK157" s="438" t="n">
        <v>0.147</v>
      </c>
      <c r="AL157" s="438" t="n">
        <v>0.147</v>
      </c>
      <c r="AM157" s="438" t="n">
        <v>0.15</v>
      </c>
      <c r="AN157" s="438" t="n">
        <v>0.15</v>
      </c>
      <c r="AO157" s="438" t="n">
        <v>0.15</v>
      </c>
      <c r="AP157" s="439" t="n">
        <v>0.15</v>
      </c>
      <c r="AQ157" s="439" t="n">
        <v>0.15</v>
      </c>
      <c r="AR157" s="439" t="n">
        <v>0.15</v>
      </c>
      <c r="AS157" s="439" t="n">
        <v>0.15</v>
      </c>
      <c r="AT157" s="438" t="n">
        <v>0.15</v>
      </c>
      <c r="AU157" s="438" t="n">
        <v>0.15</v>
      </c>
      <c r="AV157" s="438" t="n">
        <v>0.147</v>
      </c>
      <c r="AW157" s="418" t="n">
        <v>0.070104845439022</v>
      </c>
      <c r="AY157" s="437" t="n">
        <f aca="false">AG157</f>
        <v>0.147</v>
      </c>
      <c r="AZ157" s="437" t="n">
        <f aca="false">AG157</f>
        <v>0.147</v>
      </c>
      <c r="BA157" s="441" t="n">
        <f aca="false">AG157</f>
        <v>0.147</v>
      </c>
      <c r="BB157" s="442" t="n">
        <f aca="false">B157</f>
        <v>41061</v>
      </c>
      <c r="BC157" s="437" t="n">
        <f aca="false">(1+$AW157/2)^(-2*($B157-$BC$11)/365.25)</f>
        <v>0.444747455886996</v>
      </c>
      <c r="BD157" s="437" t="n">
        <f aca="false">(1+$AW157/2)^(-2*($B157-$BD$11)/365.25)</f>
        <v>0.444831365090359</v>
      </c>
      <c r="BF157" s="442" t="n">
        <f aca="false">B157</f>
        <v>41061</v>
      </c>
      <c r="BG157" s="418" t="n">
        <v>145</v>
      </c>
    </row>
    <row r="158" customFormat="false" ht="12" hidden="false" customHeight="false" outlineLevel="0" collapsed="false">
      <c r="B158" s="419" t="n">
        <f aca="false">EOMONTH(B157,0)+1</f>
        <v>41091</v>
      </c>
      <c r="C158" s="420" t="n">
        <v>3.163</v>
      </c>
      <c r="D158" s="420" t="n">
        <v>0.15</v>
      </c>
      <c r="E158" s="420" t="n">
        <v>0.070587186939146</v>
      </c>
      <c r="F158" s="420" t="n">
        <v>-0.195</v>
      </c>
      <c r="G158" s="420" t="n">
        <v>0.0225</v>
      </c>
      <c r="H158" s="420" t="n">
        <v>-0.195</v>
      </c>
      <c r="I158" s="420" t="n">
        <v>0.168</v>
      </c>
      <c r="J158" s="420" t="n">
        <v>0.1825</v>
      </c>
      <c r="K158" s="420" t="n">
        <v>0.215</v>
      </c>
      <c r="L158" s="420" t="n">
        <v>-0.067</v>
      </c>
      <c r="M158" s="435" t="n">
        <v>-0.007999999</v>
      </c>
      <c r="N158" s="420" t="n">
        <v>0</v>
      </c>
      <c r="O158" s="420" t="n">
        <v>-0.29</v>
      </c>
      <c r="P158" s="420" t="n">
        <v>0.0065</v>
      </c>
      <c r="Q158" s="420" t="n">
        <v>0.0125</v>
      </c>
      <c r="R158" s="418" t="n">
        <v>-0.0135</v>
      </c>
      <c r="S158" s="418" t="n">
        <v>-0.041</v>
      </c>
      <c r="T158" s="418" t="n">
        <v>-0.135</v>
      </c>
      <c r="U158" s="418" t="n">
        <v>-0.00425</v>
      </c>
      <c r="V158" s="418" t="n">
        <v>-0.0715</v>
      </c>
      <c r="W158" s="418" t="n">
        <v>-0.12</v>
      </c>
      <c r="X158" s="418" t="n">
        <v>0.43</v>
      </c>
      <c r="Y158" s="418" t="n">
        <v>0.005</v>
      </c>
      <c r="Z158" s="418" t="n">
        <v>-0.19</v>
      </c>
      <c r="AA158" s="418" t="n">
        <v>-0.014</v>
      </c>
      <c r="AB158" s="437" t="n">
        <v>0.295</v>
      </c>
      <c r="AC158" s="437" t="n">
        <v>0.3</v>
      </c>
      <c r="AD158" s="437" t="n">
        <v>0.263</v>
      </c>
      <c r="AE158" s="438" t="n">
        <v>0.15</v>
      </c>
      <c r="AF158" s="438" t="n">
        <v>0.15</v>
      </c>
      <c r="AG158" s="438" t="n">
        <v>0.147</v>
      </c>
      <c r="AH158" s="438" t="n">
        <v>0.15</v>
      </c>
      <c r="AI158" s="438" t="n">
        <v>0.153</v>
      </c>
      <c r="AJ158" s="438" t="n">
        <v>0.15</v>
      </c>
      <c r="AK158" s="438" t="n">
        <v>0.147</v>
      </c>
      <c r="AL158" s="438" t="n">
        <v>0.147</v>
      </c>
      <c r="AM158" s="438" t="n">
        <v>0.15</v>
      </c>
      <c r="AN158" s="438" t="n">
        <v>0.15</v>
      </c>
      <c r="AO158" s="438" t="n">
        <v>0.15</v>
      </c>
      <c r="AP158" s="439" t="n">
        <v>0.15</v>
      </c>
      <c r="AQ158" s="439" t="n">
        <v>0.15</v>
      </c>
      <c r="AR158" s="439" t="n">
        <v>0.15</v>
      </c>
      <c r="AS158" s="439" t="n">
        <v>0.15</v>
      </c>
      <c r="AT158" s="438" t="n">
        <v>0.15</v>
      </c>
      <c r="AU158" s="438" t="n">
        <v>0.15</v>
      </c>
      <c r="AV158" s="438" t="n">
        <v>0.147</v>
      </c>
      <c r="AW158" s="418" t="n">
        <v>0.070111574648748</v>
      </c>
      <c r="AY158" s="437" t="n">
        <f aca="false">AG158</f>
        <v>0.147</v>
      </c>
      <c r="AZ158" s="437" t="n">
        <f aca="false">AG158</f>
        <v>0.147</v>
      </c>
      <c r="BA158" s="441" t="n">
        <f aca="false">AG158</f>
        <v>0.147</v>
      </c>
      <c r="BB158" s="442" t="n">
        <f aca="false">B158</f>
        <v>41091</v>
      </c>
      <c r="BC158" s="437" t="n">
        <f aca="false">(1+$AW158/2)^(-2*($B158-$BC$11)/365.25)</f>
        <v>0.442203482742089</v>
      </c>
      <c r="BD158" s="437" t="n">
        <f aca="false">(1+$AW158/2)^(-2*($B158-$BD$11)/365.25)</f>
        <v>0.44228691985401</v>
      </c>
      <c r="BF158" s="442" t="n">
        <f aca="false">B158</f>
        <v>41091</v>
      </c>
      <c r="BG158" s="418" t="n">
        <v>146</v>
      </c>
    </row>
    <row r="159" customFormat="false" ht="12" hidden="false" customHeight="false" outlineLevel="0" collapsed="false">
      <c r="B159" s="419" t="n">
        <f aca="false">EOMONTH(B158,0)+1</f>
        <v>41122</v>
      </c>
      <c r="C159" s="420" t="n">
        <v>3.184</v>
      </c>
      <c r="D159" s="420" t="n">
        <v>0.15</v>
      </c>
      <c r="E159" s="420" t="n">
        <v>0.070588352954783</v>
      </c>
      <c r="F159" s="420" t="n">
        <v>-0.195</v>
      </c>
      <c r="G159" s="420" t="n">
        <v>0.025</v>
      </c>
      <c r="H159" s="420" t="n">
        <v>-0.195</v>
      </c>
      <c r="I159" s="420" t="n">
        <v>0.165</v>
      </c>
      <c r="J159" s="420" t="n">
        <v>0.1825</v>
      </c>
      <c r="K159" s="420" t="n">
        <v>0.215</v>
      </c>
      <c r="L159" s="420" t="n">
        <v>-0.058</v>
      </c>
      <c r="M159" s="435" t="n">
        <v>-0.007999999</v>
      </c>
      <c r="N159" s="420" t="n">
        <v>0</v>
      </c>
      <c r="O159" s="420" t="n">
        <v>-0.29</v>
      </c>
      <c r="P159" s="420" t="n">
        <v>0.0065</v>
      </c>
      <c r="Q159" s="420" t="n">
        <v>0.0125</v>
      </c>
      <c r="R159" s="418" t="n">
        <v>-0.0135</v>
      </c>
      <c r="S159" s="418" t="n">
        <v>-0.041</v>
      </c>
      <c r="T159" s="418" t="n">
        <v>-0.135</v>
      </c>
      <c r="U159" s="418" t="n">
        <v>-0.00425</v>
      </c>
      <c r="V159" s="418" t="n">
        <v>-0.0715</v>
      </c>
      <c r="W159" s="418" t="n">
        <v>-0.12</v>
      </c>
      <c r="X159" s="418" t="n">
        <v>0.495</v>
      </c>
      <c r="Y159" s="418" t="n">
        <v>0.005</v>
      </c>
      <c r="Z159" s="418" t="n">
        <v>-0.19</v>
      </c>
      <c r="AA159" s="418" t="n">
        <v>-0.014</v>
      </c>
      <c r="AB159" s="437" t="n">
        <v>0.295</v>
      </c>
      <c r="AC159" s="437" t="n">
        <v>0.3</v>
      </c>
      <c r="AD159" s="437" t="n">
        <v>0.26</v>
      </c>
      <c r="AE159" s="438" t="n">
        <v>0.15</v>
      </c>
      <c r="AF159" s="438" t="n">
        <v>0.15</v>
      </c>
      <c r="AG159" s="438" t="n">
        <v>0.147</v>
      </c>
      <c r="AH159" s="438" t="n">
        <v>0.15</v>
      </c>
      <c r="AI159" s="438" t="n">
        <v>0.153</v>
      </c>
      <c r="AJ159" s="438" t="n">
        <v>0.15</v>
      </c>
      <c r="AK159" s="438" t="n">
        <v>0.147</v>
      </c>
      <c r="AL159" s="438" t="n">
        <v>0.147</v>
      </c>
      <c r="AM159" s="438" t="n">
        <v>0.15</v>
      </c>
      <c r="AN159" s="438" t="n">
        <v>0.15</v>
      </c>
      <c r="AO159" s="438" t="n">
        <v>0.15</v>
      </c>
      <c r="AP159" s="439" t="n">
        <v>0.15</v>
      </c>
      <c r="AQ159" s="439" t="n">
        <v>0.15</v>
      </c>
      <c r="AR159" s="439" t="n">
        <v>0.15</v>
      </c>
      <c r="AS159" s="439" t="n">
        <v>0.15</v>
      </c>
      <c r="AT159" s="438" t="n">
        <v>0.15</v>
      </c>
      <c r="AU159" s="438" t="n">
        <v>0.15</v>
      </c>
      <c r="AV159" s="438" t="n">
        <v>0.147</v>
      </c>
      <c r="AW159" s="418" t="n">
        <v>0.07011852816548</v>
      </c>
      <c r="AY159" s="437" t="n">
        <f aca="false">AG159</f>
        <v>0.147</v>
      </c>
      <c r="AZ159" s="437" t="n">
        <f aca="false">AG159</f>
        <v>0.147</v>
      </c>
      <c r="BA159" s="441" t="n">
        <f aca="false">AG159</f>
        <v>0.147</v>
      </c>
      <c r="BB159" s="442" t="n">
        <f aca="false">B159</f>
        <v>41122</v>
      </c>
      <c r="BC159" s="437" t="n">
        <f aca="false">(1+$AW159/2)^(-2*($B159-$BC$11)/365.25)</f>
        <v>0.439589503722656</v>
      </c>
      <c r="BD159" s="437" t="n">
        <f aca="false">(1+$AW159/2)^(-2*($B159-$BD$11)/365.25)</f>
        <v>0.439672455703098</v>
      </c>
      <c r="BF159" s="442" t="n">
        <f aca="false">B159</f>
        <v>41122</v>
      </c>
      <c r="BG159" s="418" t="n">
        <v>147</v>
      </c>
    </row>
    <row r="160" customFormat="false" ht="12" hidden="false" customHeight="false" outlineLevel="0" collapsed="false">
      <c r="B160" s="419" t="n">
        <f aca="false">EOMONTH(B159,0)+1</f>
        <v>41153</v>
      </c>
      <c r="C160" s="420" t="n">
        <v>3.158</v>
      </c>
      <c r="D160" s="420" t="n">
        <v>0.15</v>
      </c>
      <c r="E160" s="420" t="n">
        <v>0.07058951897042</v>
      </c>
      <c r="F160" s="420" t="n">
        <v>-0.195</v>
      </c>
      <c r="G160" s="420" t="n">
        <v>0.0175</v>
      </c>
      <c r="H160" s="420" t="n">
        <v>-0.195</v>
      </c>
      <c r="I160" s="420" t="n">
        <v>0.163</v>
      </c>
      <c r="J160" s="420" t="n">
        <v>0.1825</v>
      </c>
      <c r="K160" s="420" t="n">
        <v>0.195</v>
      </c>
      <c r="L160" s="420" t="n">
        <v>-0.038</v>
      </c>
      <c r="M160" s="435" t="n">
        <v>-0.007999999</v>
      </c>
      <c r="N160" s="420" t="n">
        <v>0</v>
      </c>
      <c r="O160" s="420" t="n">
        <v>-0.29</v>
      </c>
      <c r="P160" s="420" t="n">
        <v>0.0065</v>
      </c>
      <c r="Q160" s="420" t="n">
        <v>0.0125</v>
      </c>
      <c r="R160" s="418" t="n">
        <v>-0.0135</v>
      </c>
      <c r="S160" s="418" t="n">
        <v>-0.041</v>
      </c>
      <c r="T160" s="418" t="n">
        <v>-0.125</v>
      </c>
      <c r="U160" s="418" t="n">
        <v>-0.00425</v>
      </c>
      <c r="V160" s="418" t="n">
        <v>-0.0865</v>
      </c>
      <c r="W160" s="418" t="n">
        <v>-0.12</v>
      </c>
      <c r="X160" s="418" t="n">
        <v>0.395</v>
      </c>
      <c r="Y160" s="418" t="n">
        <v>0.005</v>
      </c>
      <c r="Z160" s="418" t="n">
        <v>-0.19</v>
      </c>
      <c r="AA160" s="418" t="n">
        <v>-0.014</v>
      </c>
      <c r="AB160" s="437" t="n">
        <v>0.295</v>
      </c>
      <c r="AC160" s="437" t="n">
        <v>0.29</v>
      </c>
      <c r="AD160" s="437" t="n">
        <v>0.258</v>
      </c>
      <c r="AE160" s="438" t="n">
        <v>0.15</v>
      </c>
      <c r="AF160" s="438" t="n">
        <v>0.15</v>
      </c>
      <c r="AG160" s="438" t="n">
        <v>0.147</v>
      </c>
      <c r="AH160" s="438" t="n">
        <v>0.15</v>
      </c>
      <c r="AI160" s="438" t="n">
        <v>0.153</v>
      </c>
      <c r="AJ160" s="438" t="n">
        <v>0.15</v>
      </c>
      <c r="AK160" s="438" t="n">
        <v>0.147</v>
      </c>
      <c r="AL160" s="438" t="n">
        <v>0.147</v>
      </c>
      <c r="AM160" s="438" t="n">
        <v>0.15</v>
      </c>
      <c r="AN160" s="438" t="n">
        <v>0.15</v>
      </c>
      <c r="AO160" s="438" t="n">
        <v>0.15</v>
      </c>
      <c r="AP160" s="439" t="n">
        <v>0.15</v>
      </c>
      <c r="AQ160" s="439" t="n">
        <v>0.15</v>
      </c>
      <c r="AR160" s="439" t="n">
        <v>0.15</v>
      </c>
      <c r="AS160" s="439" t="n">
        <v>0.15</v>
      </c>
      <c r="AT160" s="438" t="n">
        <v>0.15</v>
      </c>
      <c r="AU160" s="438" t="n">
        <v>0.15</v>
      </c>
      <c r="AV160" s="438" t="n">
        <v>0.147</v>
      </c>
      <c r="AW160" s="418" t="n">
        <v>0.070125481682228</v>
      </c>
      <c r="AY160" s="437" t="n">
        <f aca="false">AG160</f>
        <v>0.147</v>
      </c>
      <c r="AZ160" s="437" t="n">
        <f aca="false">AG160</f>
        <v>0.147</v>
      </c>
      <c r="BA160" s="441" t="n">
        <f aca="false">AG160</f>
        <v>0.147</v>
      </c>
      <c r="BB160" s="442" t="n">
        <f aca="false">B160</f>
        <v>41153</v>
      </c>
      <c r="BC160" s="437" t="n">
        <f aca="false">(1+$AW160/2)^(-2*($B160-$BC$11)/365.25)</f>
        <v>0.436990478400649</v>
      </c>
      <c r="BD160" s="437" t="n">
        <f aca="false">(1+$AW160/2)^(-2*($B160-$BD$11)/365.25)</f>
        <v>0.437072947975497</v>
      </c>
      <c r="BF160" s="442" t="n">
        <f aca="false">B160</f>
        <v>41153</v>
      </c>
      <c r="BG160" s="418" t="n">
        <v>148</v>
      </c>
    </row>
    <row r="161" customFormat="false" ht="12" hidden="false" customHeight="false" outlineLevel="0" collapsed="false">
      <c r="B161" s="419" t="n">
        <f aca="false">EOMONTH(B160,0)+1</f>
        <v>41183</v>
      </c>
      <c r="C161" s="420" t="n">
        <v>3.164</v>
      </c>
      <c r="D161" s="420" t="n">
        <v>0.15</v>
      </c>
      <c r="E161" s="420" t="n">
        <v>0.07059064737265</v>
      </c>
      <c r="F161" s="420" t="n">
        <v>-0.195</v>
      </c>
      <c r="G161" s="420" t="n">
        <v>0.0075</v>
      </c>
      <c r="H161" s="420" t="n">
        <v>-0.195</v>
      </c>
      <c r="I161" s="420" t="n">
        <v>0.178</v>
      </c>
      <c r="J161" s="420" t="n">
        <v>0.1875</v>
      </c>
      <c r="K161" s="420" t="n">
        <v>0.215</v>
      </c>
      <c r="L161" s="420" t="n">
        <v>-0.048</v>
      </c>
      <c r="M161" s="435" t="n">
        <v>-0.007999999</v>
      </c>
      <c r="N161" s="420" t="n">
        <v>0</v>
      </c>
      <c r="O161" s="420" t="n">
        <v>-0.29</v>
      </c>
      <c r="P161" s="420" t="n">
        <v>0.0065</v>
      </c>
      <c r="Q161" s="420" t="n">
        <v>0.0125</v>
      </c>
      <c r="R161" s="418" t="n">
        <v>-0.0135</v>
      </c>
      <c r="S161" s="418" t="n">
        <v>-0.041</v>
      </c>
      <c r="T161" s="418" t="n">
        <v>-0.11</v>
      </c>
      <c r="U161" s="418" t="n">
        <v>-0.0225</v>
      </c>
      <c r="V161" s="418" t="n">
        <v>-0.089</v>
      </c>
      <c r="W161" s="418" t="n">
        <v>-0.12</v>
      </c>
      <c r="X161" s="418" t="n">
        <v>0.461</v>
      </c>
      <c r="Y161" s="418" t="n">
        <v>0.005</v>
      </c>
      <c r="Z161" s="418" t="n">
        <v>-0.19</v>
      </c>
      <c r="AA161" s="418" t="n">
        <v>-0.014</v>
      </c>
      <c r="AB161" s="437" t="n">
        <v>0.295</v>
      </c>
      <c r="AC161" s="437" t="n">
        <v>0.3625</v>
      </c>
      <c r="AD161" s="437" t="n">
        <v>0.273</v>
      </c>
      <c r="AE161" s="438" t="n">
        <v>0.15</v>
      </c>
      <c r="AF161" s="438" t="n">
        <v>0.15</v>
      </c>
      <c r="AG161" s="438" t="n">
        <v>0.147</v>
      </c>
      <c r="AH161" s="438" t="n">
        <v>0.15</v>
      </c>
      <c r="AI161" s="438" t="n">
        <v>0.153</v>
      </c>
      <c r="AJ161" s="438" t="n">
        <v>0.15</v>
      </c>
      <c r="AK161" s="438" t="n">
        <v>0.147</v>
      </c>
      <c r="AL161" s="438" t="n">
        <v>0.147</v>
      </c>
      <c r="AM161" s="438" t="n">
        <v>0.15</v>
      </c>
      <c r="AN161" s="438" t="n">
        <v>0.15</v>
      </c>
      <c r="AO161" s="438" t="n">
        <v>0.15</v>
      </c>
      <c r="AP161" s="439" t="n">
        <v>0.15</v>
      </c>
      <c r="AQ161" s="439" t="n">
        <v>0.15</v>
      </c>
      <c r="AR161" s="439" t="n">
        <v>0.15</v>
      </c>
      <c r="AS161" s="439" t="n">
        <v>0.15</v>
      </c>
      <c r="AT161" s="438" t="n">
        <v>0.15</v>
      </c>
      <c r="AU161" s="438" t="n">
        <v>0.15</v>
      </c>
      <c r="AV161" s="438" t="n">
        <v>0.147</v>
      </c>
      <c r="AW161" s="418" t="n">
        <v>0.070132210892</v>
      </c>
      <c r="AY161" s="437" t="n">
        <f aca="false">AG161</f>
        <v>0.147</v>
      </c>
      <c r="AZ161" s="437" t="n">
        <f aca="false">AG161</f>
        <v>0.147</v>
      </c>
      <c r="BA161" s="441" t="n">
        <f aca="false">AG161</f>
        <v>0.147</v>
      </c>
      <c r="BB161" s="442" t="n">
        <f aca="false">B161</f>
        <v>41183</v>
      </c>
      <c r="BC161" s="437" t="n">
        <f aca="false">(1+$AW161/2)^(-2*($B161-$BC$11)/365.25)</f>
        <v>0.434489452806317</v>
      </c>
      <c r="BD161" s="437" t="n">
        <f aca="false">(1+$AW161/2)^(-2*($B161-$BD$11)/365.25)</f>
        <v>0.434571458118557</v>
      </c>
      <c r="BF161" s="442" t="n">
        <f aca="false">B161</f>
        <v>41183</v>
      </c>
      <c r="BG161" s="418" t="n">
        <v>149</v>
      </c>
    </row>
    <row r="162" customFormat="false" ht="12" hidden="false" customHeight="false" outlineLevel="0" collapsed="false">
      <c r="B162" s="419" t="n">
        <f aca="false">EOMONTH(B161,0)+1</f>
        <v>41214</v>
      </c>
      <c r="C162" s="420" t="n">
        <v>3.211</v>
      </c>
      <c r="D162" s="420" t="n">
        <v>0.15</v>
      </c>
      <c r="E162" s="420" t="n">
        <v>0.070591813388288</v>
      </c>
      <c r="F162" s="420" t="n">
        <v>-0.19</v>
      </c>
      <c r="G162" s="420" t="n">
        <v>-0.0325</v>
      </c>
      <c r="H162" s="420" t="n">
        <v>-0.19</v>
      </c>
      <c r="I162" s="420" t="n">
        <v>0.24</v>
      </c>
      <c r="J162" s="420" t="n">
        <v>0.27</v>
      </c>
      <c r="K162" s="420" t="n">
        <v>0.2875</v>
      </c>
      <c r="L162" s="420" t="n">
        <v>-0.063</v>
      </c>
      <c r="M162" s="435" t="n">
        <v>-0.0005</v>
      </c>
      <c r="N162" s="420" t="n">
        <v>0</v>
      </c>
      <c r="O162" s="420" t="n">
        <v>0</v>
      </c>
      <c r="P162" s="420" t="n">
        <v>0.016</v>
      </c>
      <c r="Q162" s="420" t="n">
        <v>0.0045</v>
      </c>
      <c r="R162" s="418" t="n">
        <v>-0.0165</v>
      </c>
      <c r="S162" s="418" t="n">
        <v>-0.0405</v>
      </c>
      <c r="T162" s="418" t="n">
        <v>-0.0725</v>
      </c>
      <c r="U162" s="418" t="n">
        <v>-0.0215</v>
      </c>
      <c r="V162" s="418" t="n">
        <v>-0.0865</v>
      </c>
      <c r="W162" s="418" t="n">
        <v>-0.1325</v>
      </c>
      <c r="X162" s="418" t="n">
        <v>0.7675</v>
      </c>
      <c r="Y162" s="418" t="n">
        <v>0.005</v>
      </c>
      <c r="Z162" s="418" t="n">
        <v>-0.19</v>
      </c>
      <c r="AA162" s="418" t="n">
        <v>-0.0155</v>
      </c>
      <c r="AB162" s="437" t="n">
        <v>0.12</v>
      </c>
      <c r="AC162" s="437" t="n">
        <v>0.465</v>
      </c>
      <c r="AD162" s="437" t="n">
        <v>0.335</v>
      </c>
      <c r="AE162" s="438" t="n">
        <v>0.15</v>
      </c>
      <c r="AF162" s="438" t="n">
        <v>0.15</v>
      </c>
      <c r="AG162" s="438" t="n">
        <v>0.165</v>
      </c>
      <c r="AH162" s="438" t="n">
        <v>0.15</v>
      </c>
      <c r="AI162" s="438" t="n">
        <v>0.153</v>
      </c>
      <c r="AJ162" s="438" t="n">
        <v>0.15</v>
      </c>
      <c r="AK162" s="438" t="n">
        <v>0.15</v>
      </c>
      <c r="AL162" s="438" t="n">
        <v>0.15</v>
      </c>
      <c r="AM162" s="438" t="n">
        <v>0.15</v>
      </c>
      <c r="AN162" s="438" t="n">
        <v>0.15</v>
      </c>
      <c r="AO162" s="438" t="n">
        <v>0.15</v>
      </c>
      <c r="AP162" s="439" t="n">
        <v>0.15</v>
      </c>
      <c r="AQ162" s="439" t="n">
        <v>0.15</v>
      </c>
      <c r="AR162" s="439" t="n">
        <v>0.15</v>
      </c>
      <c r="AS162" s="439" t="n">
        <v>0.15</v>
      </c>
      <c r="AT162" s="438" t="n">
        <v>0.15</v>
      </c>
      <c r="AU162" s="438" t="n">
        <v>0.15</v>
      </c>
      <c r="AV162" s="438" t="n">
        <v>0.165</v>
      </c>
      <c r="AW162" s="418" t="n">
        <v>0.07013916440878</v>
      </c>
      <c r="AY162" s="437" t="n">
        <f aca="false">AG162</f>
        <v>0.165</v>
      </c>
      <c r="AZ162" s="437" t="n">
        <f aca="false">AG162</f>
        <v>0.165</v>
      </c>
      <c r="BA162" s="441" t="n">
        <f aca="false">AG162</f>
        <v>0.165</v>
      </c>
      <c r="BB162" s="442" t="n">
        <f aca="false">B162</f>
        <v>41214</v>
      </c>
      <c r="BC162" s="437" t="n">
        <f aca="false">(1+$AW162/2)^(-2*($B162-$BC$11)/365.25)</f>
        <v>0.431919612021147</v>
      </c>
      <c r="BD162" s="437" t="n">
        <f aca="false">(1+$AW162/2)^(-2*($B162-$BD$11)/365.25)</f>
        <v>0.432001140248647</v>
      </c>
      <c r="BF162" s="442" t="n">
        <f aca="false">B162</f>
        <v>41214</v>
      </c>
      <c r="BG162" s="418" t="n">
        <v>150</v>
      </c>
    </row>
    <row r="163" customFormat="false" ht="12" hidden="false" customHeight="false" outlineLevel="0" collapsed="false">
      <c r="B163" s="419" t="n">
        <f aca="false">EOMONTH(B162,0)+1</f>
        <v>41244</v>
      </c>
      <c r="C163" s="420" t="n">
        <v>3.27</v>
      </c>
      <c r="D163" s="420" t="n">
        <v>0.15</v>
      </c>
      <c r="E163" s="420" t="n">
        <v>0.070592941790519</v>
      </c>
      <c r="F163" s="420" t="n">
        <v>-0.1975</v>
      </c>
      <c r="G163" s="420" t="n">
        <v>-0.055</v>
      </c>
      <c r="H163" s="420" t="n">
        <v>-0.1975</v>
      </c>
      <c r="I163" s="420" t="n">
        <v>0.28</v>
      </c>
      <c r="J163" s="420" t="n">
        <v>0.305</v>
      </c>
      <c r="K163" s="420" t="n">
        <v>0.3375</v>
      </c>
      <c r="L163" s="420" t="n">
        <v>-0.063</v>
      </c>
      <c r="M163" s="420" t="n">
        <v>-0.0005</v>
      </c>
      <c r="N163" s="420" t="n">
        <v>0</v>
      </c>
      <c r="O163" s="420" t="n">
        <v>0.06</v>
      </c>
      <c r="P163" s="420" t="n">
        <v>0.016</v>
      </c>
      <c r="Q163" s="420" t="n">
        <v>0.0045</v>
      </c>
      <c r="R163" s="418" t="n">
        <v>-0.0165</v>
      </c>
      <c r="S163" s="418" t="n">
        <v>-0.0405</v>
      </c>
      <c r="T163" s="418" t="n">
        <v>-0.065</v>
      </c>
      <c r="U163" s="418" t="n">
        <v>-0.0215</v>
      </c>
      <c r="V163" s="418" t="n">
        <v>-0.1215</v>
      </c>
      <c r="W163" s="418" t="n">
        <v>-0.1275</v>
      </c>
      <c r="X163" s="418" t="n">
        <v>1.19</v>
      </c>
      <c r="Y163" s="418" t="n">
        <v>0.005</v>
      </c>
      <c r="Z163" s="418" t="n">
        <v>-0.19</v>
      </c>
      <c r="AA163" s="418" t="n">
        <v>-0.0155</v>
      </c>
      <c r="AB163" s="437" t="n">
        <v>0.12</v>
      </c>
      <c r="AC163" s="437" t="n">
        <v>0.8</v>
      </c>
      <c r="AD163" s="437" t="n">
        <v>0.375</v>
      </c>
      <c r="AE163" s="438" t="n">
        <v>0.15</v>
      </c>
      <c r="AF163" s="438" t="n">
        <v>0.15</v>
      </c>
      <c r="AG163" s="438" t="n">
        <v>0.165</v>
      </c>
      <c r="AH163" s="438" t="n">
        <v>0.15</v>
      </c>
      <c r="AI163" s="438" t="n">
        <v>0.153</v>
      </c>
      <c r="AJ163" s="438" t="n">
        <v>0.15</v>
      </c>
      <c r="AK163" s="438" t="n">
        <v>0.15</v>
      </c>
      <c r="AL163" s="438" t="n">
        <v>0.15</v>
      </c>
      <c r="AM163" s="438" t="n">
        <v>0.15</v>
      </c>
      <c r="AN163" s="438" t="n">
        <v>0.15</v>
      </c>
      <c r="AO163" s="438" t="n">
        <v>0.15</v>
      </c>
      <c r="AP163" s="439" t="n">
        <v>0.15</v>
      </c>
      <c r="AQ163" s="439" t="n">
        <v>0.15</v>
      </c>
      <c r="AR163" s="439" t="n">
        <v>0.15</v>
      </c>
      <c r="AS163" s="439" t="n">
        <v>0.15</v>
      </c>
      <c r="AT163" s="438" t="n">
        <v>0.15</v>
      </c>
      <c r="AU163" s="438" t="n">
        <v>0.15</v>
      </c>
      <c r="AV163" s="438" t="n">
        <v>0.165</v>
      </c>
      <c r="AW163" s="418" t="n">
        <v>0.070145893618583</v>
      </c>
      <c r="AY163" s="437" t="n">
        <f aca="false">AG163</f>
        <v>0.165</v>
      </c>
      <c r="AZ163" s="437" t="n">
        <f aca="false">AG163</f>
        <v>0.165</v>
      </c>
      <c r="BA163" s="441" t="n">
        <f aca="false">AG163</f>
        <v>0.165</v>
      </c>
      <c r="BB163" s="442" t="n">
        <f aca="false">B163</f>
        <v>41244</v>
      </c>
      <c r="BC163" s="437" t="n">
        <f aca="false">(1+$AW163/2)^(-2*($B163-$BC$11)/365.25)</f>
        <v>0.429446676161564</v>
      </c>
      <c r="BD163" s="437" t="n">
        <f aca="false">(1+$AW163/2)^(-2*($B163-$BD$11)/365.25)</f>
        <v>0.429527745248255</v>
      </c>
      <c r="BF163" s="442" t="n">
        <f aca="false">B163</f>
        <v>41244</v>
      </c>
      <c r="BG163" s="418" t="n">
        <v>151</v>
      </c>
    </row>
    <row r="164" customFormat="false" ht="12" hidden="false" customHeight="false" outlineLevel="0" collapsed="false">
      <c r="B164" s="419" t="n">
        <f aca="false">EOMONTH(B163,0)+1</f>
        <v>41275</v>
      </c>
      <c r="C164" s="420" t="n">
        <v>3.582</v>
      </c>
      <c r="D164" s="420" t="n">
        <v>0.15</v>
      </c>
      <c r="E164" s="420" t="n">
        <v>0.070594107806159</v>
      </c>
      <c r="F164" s="420" t="n">
        <v>-0.2</v>
      </c>
      <c r="G164" s="420" t="n">
        <v>-0.0575</v>
      </c>
      <c r="H164" s="420" t="n">
        <v>-0.2</v>
      </c>
      <c r="I164" s="420" t="n">
        <v>0.29</v>
      </c>
      <c r="J164" s="420" t="n">
        <v>0.305</v>
      </c>
      <c r="K164" s="420" t="n">
        <v>0.4375</v>
      </c>
      <c r="L164" s="420" t="n">
        <v>-0.063</v>
      </c>
      <c r="M164" s="420" t="n">
        <v>0.0015</v>
      </c>
      <c r="N164" s="420" t="n">
        <v>0</v>
      </c>
      <c r="O164" s="420" t="n">
        <v>0.13</v>
      </c>
      <c r="P164" s="420" t="n">
        <v>0.016</v>
      </c>
      <c r="Q164" s="420" t="n">
        <v>0.0045</v>
      </c>
      <c r="R164" s="418" t="n">
        <v>-0.012</v>
      </c>
      <c r="S164" s="418" t="n">
        <v>-0.0405</v>
      </c>
      <c r="T164" s="418" t="n">
        <v>-0.05</v>
      </c>
      <c r="U164" s="418" t="n">
        <v>-0.0215</v>
      </c>
      <c r="V164" s="418" t="n">
        <v>-0.127</v>
      </c>
      <c r="W164" s="418" t="n">
        <v>-0.1275</v>
      </c>
      <c r="X164" s="418" t="n">
        <v>1.525</v>
      </c>
      <c r="Y164" s="418" t="n">
        <v>0.005</v>
      </c>
      <c r="Z164" s="418" t="n">
        <v>-0.19</v>
      </c>
      <c r="AA164" s="418" t="n">
        <v>-0.0155</v>
      </c>
      <c r="AB164" s="437" t="n">
        <v>0.12</v>
      </c>
      <c r="AC164" s="437" t="n">
        <v>0.975</v>
      </c>
      <c r="AD164" s="437" t="n">
        <v>0.385</v>
      </c>
      <c r="AE164" s="438" t="n">
        <v>0.15</v>
      </c>
      <c r="AF164" s="438" t="n">
        <v>0.15</v>
      </c>
      <c r="AG164" s="438" t="n">
        <v>0.165</v>
      </c>
      <c r="AH164" s="438" t="n">
        <v>0.15</v>
      </c>
      <c r="AI164" s="438" t="n">
        <v>0.153</v>
      </c>
      <c r="AJ164" s="438" t="n">
        <v>0.15</v>
      </c>
      <c r="AK164" s="438" t="n">
        <v>0.15</v>
      </c>
      <c r="AL164" s="438" t="n">
        <v>0.15</v>
      </c>
      <c r="AM164" s="438" t="n">
        <v>0.15</v>
      </c>
      <c r="AN164" s="438" t="n">
        <v>0.15</v>
      </c>
      <c r="AO164" s="438" t="n">
        <v>0.15</v>
      </c>
      <c r="AP164" s="439" t="n">
        <v>0.15</v>
      </c>
      <c r="AQ164" s="439" t="n">
        <v>0.15</v>
      </c>
      <c r="AR164" s="439" t="n">
        <v>0.15</v>
      </c>
      <c r="AS164" s="439" t="n">
        <v>0.15</v>
      </c>
      <c r="AT164" s="438" t="n">
        <v>0.15</v>
      </c>
      <c r="AU164" s="438" t="n">
        <v>0.15</v>
      </c>
      <c r="AV164" s="438" t="n">
        <v>0.165</v>
      </c>
      <c r="AW164" s="418" t="n">
        <v>0.070152847135394</v>
      </c>
      <c r="AY164" s="437" t="n">
        <f aca="false">AG164</f>
        <v>0.165</v>
      </c>
      <c r="AZ164" s="437" t="n">
        <f aca="false">AG164</f>
        <v>0.165</v>
      </c>
      <c r="BA164" s="441" t="n">
        <f aca="false">AG164</f>
        <v>0.165</v>
      </c>
      <c r="BB164" s="442" t="n">
        <f aca="false">B164</f>
        <v>41275</v>
      </c>
      <c r="BC164" s="437" t="n">
        <f aca="false">(1+$AW164/2)^(-2*($B164-$BC$11)/365.25)</f>
        <v>0.426905703788898</v>
      </c>
      <c r="BD164" s="437" t="n">
        <f aca="false">(1+$AW164/2)^(-2*($B164-$BD$11)/365.25)</f>
        <v>0.42698630105519</v>
      </c>
      <c r="BF164" s="442" t="n">
        <f aca="false">B164</f>
        <v>41275</v>
      </c>
      <c r="BG164" s="418" t="n">
        <v>152</v>
      </c>
    </row>
    <row r="165" customFormat="false" ht="12" hidden="false" customHeight="false" outlineLevel="0" collapsed="false">
      <c r="B165" s="419" t="n">
        <f aca="false">EOMONTH(B164,0)+1</f>
        <v>41306</v>
      </c>
      <c r="C165" s="420" t="n">
        <v>3.48</v>
      </c>
      <c r="D165" s="420" t="n">
        <v>0.15</v>
      </c>
      <c r="E165" s="420" t="n">
        <v>0.070595273821798</v>
      </c>
      <c r="F165" s="420" t="n">
        <v>-0.2025</v>
      </c>
      <c r="G165" s="420" t="n">
        <v>-0.04</v>
      </c>
      <c r="H165" s="420" t="n">
        <v>-0.2025</v>
      </c>
      <c r="I165" s="420" t="n">
        <v>0.265</v>
      </c>
      <c r="J165" s="420" t="n">
        <v>0.305</v>
      </c>
      <c r="K165" s="420" t="n">
        <v>0.435</v>
      </c>
      <c r="L165" s="420" t="n">
        <v>-0.063</v>
      </c>
      <c r="M165" s="420" t="n">
        <v>0.0015</v>
      </c>
      <c r="N165" s="420" t="n">
        <v>0</v>
      </c>
      <c r="O165" s="420" t="n">
        <v>0</v>
      </c>
      <c r="P165" s="420" t="n">
        <v>0.016</v>
      </c>
      <c r="Q165" s="420" t="n">
        <v>0.0045</v>
      </c>
      <c r="R165" s="418" t="n">
        <v>-0.012</v>
      </c>
      <c r="S165" s="418" t="n">
        <v>-0.0405</v>
      </c>
      <c r="T165" s="418" t="n">
        <v>-0.05</v>
      </c>
      <c r="U165" s="418" t="n">
        <v>-0.0215</v>
      </c>
      <c r="V165" s="418" t="n">
        <v>-0.1095</v>
      </c>
      <c r="W165" s="418" t="n">
        <v>-0.1275</v>
      </c>
      <c r="X165" s="418" t="n">
        <v>1.455</v>
      </c>
      <c r="Y165" s="418" t="n">
        <v>0.005</v>
      </c>
      <c r="Z165" s="418" t="n">
        <v>-0.19</v>
      </c>
      <c r="AA165" s="418" t="n">
        <v>-0.0155</v>
      </c>
      <c r="AB165" s="437" t="n">
        <v>0.12</v>
      </c>
      <c r="AC165" s="437" t="n">
        <v>0.975</v>
      </c>
      <c r="AD165" s="437" t="n">
        <v>0.36</v>
      </c>
      <c r="AE165" s="438" t="n">
        <v>0.15</v>
      </c>
      <c r="AF165" s="438" t="n">
        <v>0.15</v>
      </c>
      <c r="AG165" s="438" t="n">
        <v>0.165</v>
      </c>
      <c r="AH165" s="438" t="n">
        <v>0.15</v>
      </c>
      <c r="AI165" s="438" t="n">
        <v>0.153</v>
      </c>
      <c r="AJ165" s="438" t="n">
        <v>0.15</v>
      </c>
      <c r="AK165" s="438" t="n">
        <v>0.15</v>
      </c>
      <c r="AL165" s="438" t="n">
        <v>0.15</v>
      </c>
      <c r="AM165" s="438" t="n">
        <v>0.15</v>
      </c>
      <c r="AN165" s="438" t="n">
        <v>0.15</v>
      </c>
      <c r="AO165" s="438" t="n">
        <v>0.15</v>
      </c>
      <c r="AP165" s="439" t="n">
        <v>0.15</v>
      </c>
      <c r="AQ165" s="439" t="n">
        <v>0.15</v>
      </c>
      <c r="AR165" s="439" t="n">
        <v>0.15</v>
      </c>
      <c r="AS165" s="439" t="n">
        <v>0.15</v>
      </c>
      <c r="AT165" s="438" t="n">
        <v>0.15</v>
      </c>
      <c r="AU165" s="438" t="n">
        <v>0.15</v>
      </c>
      <c r="AV165" s="438" t="n">
        <v>0.165</v>
      </c>
      <c r="AW165" s="418" t="n">
        <v>0.070159800652221</v>
      </c>
      <c r="AY165" s="437" t="n">
        <f aca="false">AG165</f>
        <v>0.165</v>
      </c>
      <c r="AZ165" s="437" t="n">
        <f aca="false">AG165</f>
        <v>0.165</v>
      </c>
      <c r="BA165" s="441" t="n">
        <f aca="false">AG165</f>
        <v>0.165</v>
      </c>
      <c r="BB165" s="442" t="n">
        <f aca="false">B165</f>
        <v>41306</v>
      </c>
      <c r="BC165" s="437" t="n">
        <f aca="false">(1+$AW165/2)^(-2*($B165-$BC$11)/365.25)</f>
        <v>0.424379282155473</v>
      </c>
      <c r="BD165" s="437" t="n">
        <f aca="false">(1+$AW165/2)^(-2*($B165-$BD$11)/365.25)</f>
        <v>0.424459410255212</v>
      </c>
      <c r="BF165" s="442" t="n">
        <f aca="false">B165</f>
        <v>41306</v>
      </c>
      <c r="BG165" s="418" t="n">
        <v>153</v>
      </c>
    </row>
    <row r="166" customFormat="false" ht="12" hidden="false" customHeight="false" outlineLevel="0" collapsed="false">
      <c r="B166" s="419" t="n">
        <f aca="false">EOMONTH(B165,0)+1</f>
        <v>41334</v>
      </c>
      <c r="C166" s="420" t="n">
        <v>3.34</v>
      </c>
      <c r="D166" s="420" t="n">
        <v>0.15</v>
      </c>
      <c r="E166" s="420" t="n">
        <v>0.070596326997215</v>
      </c>
      <c r="F166" s="420" t="n">
        <v>-0.205</v>
      </c>
      <c r="G166" s="420" t="n">
        <v>-0.0275</v>
      </c>
      <c r="H166" s="420" t="n">
        <v>-0.205</v>
      </c>
      <c r="I166" s="420" t="n">
        <v>0.263</v>
      </c>
      <c r="J166" s="420" t="n">
        <v>0.265</v>
      </c>
      <c r="K166" s="420" t="n">
        <v>0.3025</v>
      </c>
      <c r="L166" s="420" t="n">
        <v>-0.063</v>
      </c>
      <c r="M166" s="420" t="n">
        <v>0.0015</v>
      </c>
      <c r="N166" s="420" t="n">
        <v>0</v>
      </c>
      <c r="O166" s="420" t="n">
        <v>-0.18</v>
      </c>
      <c r="P166" s="420" t="n">
        <v>0.016</v>
      </c>
      <c r="Q166" s="420" t="n">
        <v>0.0045</v>
      </c>
      <c r="R166" s="418" t="n">
        <v>-0.012</v>
      </c>
      <c r="S166" s="418" t="n">
        <v>-0.0405</v>
      </c>
      <c r="T166" s="418" t="n">
        <v>-0.05</v>
      </c>
      <c r="U166" s="418" t="n">
        <v>-0.003</v>
      </c>
      <c r="V166" s="418" t="n">
        <v>-0.092</v>
      </c>
      <c r="W166" s="418" t="n">
        <v>-0.1325</v>
      </c>
      <c r="X166" s="418" t="n">
        <v>0.835</v>
      </c>
      <c r="Y166" s="418" t="n">
        <v>0.005</v>
      </c>
      <c r="Z166" s="418" t="n">
        <v>-0.19</v>
      </c>
      <c r="AA166" s="418" t="n">
        <v>-0.0155</v>
      </c>
      <c r="AB166" s="437" t="n">
        <v>0.12</v>
      </c>
      <c r="AC166" s="437" t="n">
        <v>0.6075</v>
      </c>
      <c r="AD166" s="437" t="n">
        <v>0.358</v>
      </c>
      <c r="AE166" s="438" t="n">
        <v>0.15</v>
      </c>
      <c r="AF166" s="438" t="n">
        <v>0.15</v>
      </c>
      <c r="AG166" s="438" t="n">
        <v>0.165</v>
      </c>
      <c r="AH166" s="438" t="n">
        <v>0.15</v>
      </c>
      <c r="AI166" s="438" t="n">
        <v>0.153</v>
      </c>
      <c r="AJ166" s="438" t="n">
        <v>0.15</v>
      </c>
      <c r="AK166" s="438" t="n">
        <v>0.15</v>
      </c>
      <c r="AL166" s="438" t="n">
        <v>0.15</v>
      </c>
      <c r="AM166" s="438" t="n">
        <v>0.15</v>
      </c>
      <c r="AN166" s="438" t="n">
        <v>0.15</v>
      </c>
      <c r="AO166" s="438" t="n">
        <v>0.15</v>
      </c>
      <c r="AP166" s="439" t="n">
        <v>0.15</v>
      </c>
      <c r="AQ166" s="439" t="n">
        <v>0.15</v>
      </c>
      <c r="AR166" s="439" t="n">
        <v>0.15</v>
      </c>
      <c r="AS166" s="439" t="n">
        <v>0.15</v>
      </c>
      <c r="AT166" s="438" t="n">
        <v>0.15</v>
      </c>
      <c r="AU166" s="438" t="n">
        <v>0.15</v>
      </c>
      <c r="AV166" s="438" t="n">
        <v>0.165</v>
      </c>
      <c r="AW166" s="418" t="n">
        <v>0.070166081248079</v>
      </c>
      <c r="AY166" s="437" t="n">
        <f aca="false">AG166</f>
        <v>0.165</v>
      </c>
      <c r="AZ166" s="437" t="n">
        <f aca="false">AG166</f>
        <v>0.165</v>
      </c>
      <c r="BA166" s="441" t="n">
        <f aca="false">AG166</f>
        <v>0.165</v>
      </c>
      <c r="BB166" s="442" t="n">
        <f aca="false">B166</f>
        <v>41334</v>
      </c>
      <c r="BC166" s="437" t="n">
        <f aca="false">(1+$AW166/2)^(-2*($B166-$BC$11)/365.25)</f>
        <v>0.422109792753053</v>
      </c>
      <c r="BD166" s="437" t="n">
        <f aca="false">(1+$AW166/2)^(-2*($B166-$BD$11)/365.25)</f>
        <v>0.422189499358537</v>
      </c>
      <c r="BF166" s="442" t="n">
        <f aca="false">B166</f>
        <v>41334</v>
      </c>
      <c r="BG166" s="418" t="n">
        <v>154</v>
      </c>
    </row>
    <row r="167" customFormat="false" ht="12" hidden="false" customHeight="false" outlineLevel="0" collapsed="false">
      <c r="B167" s="419" t="n">
        <f aca="false">EOMONTH(B166,0)+1</f>
        <v>41365</v>
      </c>
      <c r="C167" s="420" t="n">
        <v>3.192</v>
      </c>
      <c r="D167" s="420" t="n">
        <v>0.15</v>
      </c>
      <c r="E167" s="420" t="n">
        <v>0.070597493012855</v>
      </c>
      <c r="F167" s="420" t="n">
        <v>-0.195</v>
      </c>
      <c r="G167" s="420" t="n">
        <v>0.015</v>
      </c>
      <c r="H167" s="420" t="n">
        <v>-0.195</v>
      </c>
      <c r="I167" s="420" t="n">
        <v>0.168</v>
      </c>
      <c r="J167" s="420" t="n">
        <v>0.195</v>
      </c>
      <c r="K167" s="420" t="n">
        <v>0.25</v>
      </c>
      <c r="L167" s="420" t="n">
        <v>-0.056</v>
      </c>
      <c r="M167" s="420" t="n">
        <v>-0.005999999</v>
      </c>
      <c r="N167" s="420" t="n">
        <v>0</v>
      </c>
      <c r="O167" s="420" t="n">
        <v>-0.29</v>
      </c>
      <c r="P167" s="420" t="n">
        <v>0.0065</v>
      </c>
      <c r="Q167" s="420" t="n">
        <v>0.0145</v>
      </c>
      <c r="R167" s="418" t="n">
        <v>-0.0115</v>
      </c>
      <c r="S167" s="418" t="n">
        <v>-0.038</v>
      </c>
      <c r="T167" s="418" t="n">
        <v>-0.095</v>
      </c>
      <c r="U167" s="418" t="n">
        <v>-0.003</v>
      </c>
      <c r="V167" s="418" t="n">
        <v>-0.0845</v>
      </c>
      <c r="W167" s="418" t="n">
        <v>-0.12</v>
      </c>
      <c r="X167" s="418" t="n">
        <v>0.45</v>
      </c>
      <c r="Y167" s="418" t="n">
        <v>0.005</v>
      </c>
      <c r="Z167" s="418" t="n">
        <v>-0.19</v>
      </c>
      <c r="AA167" s="418" t="n">
        <v>-0.013</v>
      </c>
      <c r="AB167" s="437" t="n">
        <v>0.295</v>
      </c>
      <c r="AC167" s="437" t="n">
        <v>0.355</v>
      </c>
      <c r="AD167" s="437" t="n">
        <v>0.263</v>
      </c>
      <c r="AE167" s="438" t="n">
        <v>0.15</v>
      </c>
      <c r="AF167" s="438" t="n">
        <v>0.15</v>
      </c>
      <c r="AG167" s="438" t="n">
        <v>0.147</v>
      </c>
      <c r="AH167" s="438" t="n">
        <v>0.15</v>
      </c>
      <c r="AI167" s="438" t="n">
        <v>0.153</v>
      </c>
      <c r="AJ167" s="438" t="n">
        <v>0.15</v>
      </c>
      <c r="AK167" s="438" t="n">
        <v>0.147</v>
      </c>
      <c r="AL167" s="438" t="n">
        <v>0.147</v>
      </c>
      <c r="AM167" s="438" t="n">
        <v>0.15</v>
      </c>
      <c r="AN167" s="438" t="n">
        <v>0.15</v>
      </c>
      <c r="AO167" s="438" t="n">
        <v>0.15</v>
      </c>
      <c r="AP167" s="439" t="n">
        <v>0.15</v>
      </c>
      <c r="AQ167" s="439" t="n">
        <v>0.15</v>
      </c>
      <c r="AR167" s="439" t="n">
        <v>0.15</v>
      </c>
      <c r="AS167" s="439" t="n">
        <v>0.15</v>
      </c>
      <c r="AT167" s="438" t="n">
        <v>0.15</v>
      </c>
      <c r="AU167" s="438" t="n">
        <v>0.15</v>
      </c>
      <c r="AV167" s="438" t="n">
        <v>0.147</v>
      </c>
      <c r="AW167" s="418" t="n">
        <v>0.070173034764937</v>
      </c>
      <c r="AY167" s="437" t="n">
        <f aca="false">AG167</f>
        <v>0.147</v>
      </c>
      <c r="AZ167" s="437" t="n">
        <f aca="false">AG167</f>
        <v>0.147</v>
      </c>
      <c r="BA167" s="441" t="n">
        <f aca="false">AG167</f>
        <v>0.147</v>
      </c>
      <c r="BB167" s="442" t="n">
        <f aca="false">B167</f>
        <v>41365</v>
      </c>
      <c r="BC167" s="437" t="n">
        <f aca="false">(1+$AW167/2)^(-2*($B167-$BC$11)/365.25)</f>
        <v>0.419610842788072</v>
      </c>
      <c r="BD167" s="437" t="n">
        <f aca="false">(1+$AW167/2)^(-2*($B167-$BD$11)/365.25)</f>
        <v>0.419690085238231</v>
      </c>
      <c r="BF167" s="442" t="n">
        <f aca="false">B167</f>
        <v>41365</v>
      </c>
      <c r="BG167" s="418" t="n">
        <v>155</v>
      </c>
    </row>
    <row r="168" customFormat="false" ht="12" hidden="false" customHeight="false" outlineLevel="0" collapsed="false">
      <c r="B168" s="419" t="n">
        <f aca="false">EOMONTH(B167,0)+1</f>
        <v>41395</v>
      </c>
      <c r="C168" s="420" t="n">
        <v>3.19</v>
      </c>
      <c r="D168" s="420" t="n">
        <v>0.15</v>
      </c>
      <c r="E168" s="420" t="n">
        <v>0.070598621415089</v>
      </c>
      <c r="F168" s="420" t="n">
        <v>-0.195</v>
      </c>
      <c r="G168" s="420" t="n">
        <v>0.015</v>
      </c>
      <c r="H168" s="420" t="n">
        <v>-0.195</v>
      </c>
      <c r="I168" s="420" t="n">
        <v>0.178</v>
      </c>
      <c r="J168" s="420" t="n">
        <v>0.1825</v>
      </c>
      <c r="K168" s="420" t="n">
        <v>0.2025</v>
      </c>
      <c r="L168" s="420" t="n">
        <v>-0.056</v>
      </c>
      <c r="M168" s="435" t="n">
        <v>-0.005999999</v>
      </c>
      <c r="N168" s="420" t="n">
        <v>0</v>
      </c>
      <c r="O168" s="420" t="n">
        <v>-0.29</v>
      </c>
      <c r="P168" s="420" t="n">
        <v>0.0065</v>
      </c>
      <c r="Q168" s="420" t="n">
        <v>0.0145</v>
      </c>
      <c r="R168" s="418" t="n">
        <v>-0.0115</v>
      </c>
      <c r="S168" s="418" t="n">
        <v>-0.038</v>
      </c>
      <c r="T168" s="418" t="n">
        <v>-0.11</v>
      </c>
      <c r="U168" s="418" t="n">
        <v>-0.00325</v>
      </c>
      <c r="V168" s="418" t="n">
        <v>-0.0845</v>
      </c>
      <c r="W168" s="418" t="n">
        <v>-0.12</v>
      </c>
      <c r="X168" s="418" t="n">
        <v>0.405</v>
      </c>
      <c r="Y168" s="418" t="n">
        <v>0.005</v>
      </c>
      <c r="Z168" s="418" t="n">
        <v>-0.19</v>
      </c>
      <c r="AA168" s="418" t="n">
        <v>-0.013</v>
      </c>
      <c r="AB168" s="437" t="n">
        <v>0.295</v>
      </c>
      <c r="AC168" s="437" t="n">
        <v>0.2875</v>
      </c>
      <c r="AD168" s="437" t="n">
        <v>0.273</v>
      </c>
      <c r="AE168" s="438" t="n">
        <v>0.15</v>
      </c>
      <c r="AF168" s="438" t="n">
        <v>0.15</v>
      </c>
      <c r="AG168" s="438" t="n">
        <v>0.147</v>
      </c>
      <c r="AH168" s="438" t="n">
        <v>0.15</v>
      </c>
      <c r="AI168" s="438" t="n">
        <v>0.153</v>
      </c>
      <c r="AJ168" s="438" t="n">
        <v>0.15</v>
      </c>
      <c r="AK168" s="438" t="n">
        <v>0.147</v>
      </c>
      <c r="AL168" s="438" t="n">
        <v>0.147</v>
      </c>
      <c r="AM168" s="438" t="n">
        <v>0.15</v>
      </c>
      <c r="AN168" s="438" t="n">
        <v>0.15</v>
      </c>
      <c r="AO168" s="438" t="n">
        <v>0.15</v>
      </c>
      <c r="AP168" s="439" t="n">
        <v>0.15</v>
      </c>
      <c r="AQ168" s="439" t="n">
        <v>0.15</v>
      </c>
      <c r="AR168" s="439" t="n">
        <v>0.15</v>
      </c>
      <c r="AS168" s="439" t="n">
        <v>0.15</v>
      </c>
      <c r="AT168" s="438" t="n">
        <v>0.15</v>
      </c>
      <c r="AU168" s="438" t="n">
        <v>0.15</v>
      </c>
      <c r="AV168" s="438" t="n">
        <v>0.147</v>
      </c>
      <c r="AW168" s="418" t="n">
        <v>0.070179763974815</v>
      </c>
      <c r="AY168" s="437" t="n">
        <f aca="false">AG168</f>
        <v>0.147</v>
      </c>
      <c r="AZ168" s="437" t="n">
        <f aca="false">AG168</f>
        <v>0.147</v>
      </c>
      <c r="BA168" s="441" t="n">
        <f aca="false">AG168</f>
        <v>0.147</v>
      </c>
      <c r="BB168" s="442" t="n">
        <f aca="false">B168</f>
        <v>41395</v>
      </c>
      <c r="BC168" s="437" t="n">
        <f aca="false">(1+$AW168/2)^(-2*($B168-$BC$11)/365.25)</f>
        <v>0.417206138134997</v>
      </c>
      <c r="BD168" s="437" t="n">
        <f aca="false">(1+$AW168/2)^(-2*($B168-$BD$11)/365.25)</f>
        <v>0.417284933890013</v>
      </c>
      <c r="BF168" s="442" t="n">
        <f aca="false">B168</f>
        <v>41395</v>
      </c>
      <c r="BG168" s="418" t="n">
        <v>156</v>
      </c>
    </row>
    <row r="169" customFormat="false" ht="12" hidden="false" customHeight="false" outlineLevel="0" collapsed="false">
      <c r="B169" s="419" t="n">
        <f aca="false">EOMONTH(B168,0)+1</f>
        <v>41426</v>
      </c>
      <c r="C169" s="420" t="n">
        <v>3.22</v>
      </c>
      <c r="D169" s="420" t="n">
        <v>0.15</v>
      </c>
      <c r="E169" s="420" t="n">
        <v>0.07059978743073</v>
      </c>
      <c r="F169" s="420" t="n">
        <v>-0.195</v>
      </c>
      <c r="G169" s="420" t="n">
        <v>0.02</v>
      </c>
      <c r="H169" s="420" t="n">
        <v>-0.195</v>
      </c>
      <c r="I169" s="420" t="n">
        <v>0.173</v>
      </c>
      <c r="J169" s="420" t="n">
        <v>0.1825</v>
      </c>
      <c r="K169" s="420" t="n">
        <v>0.2025</v>
      </c>
      <c r="L169" s="420" t="n">
        <v>-0.072</v>
      </c>
      <c r="M169" s="435" t="n">
        <v>-0.005999999</v>
      </c>
      <c r="N169" s="420" t="n">
        <v>0</v>
      </c>
      <c r="O169" s="420" t="n">
        <v>-0.29</v>
      </c>
      <c r="P169" s="420" t="n">
        <v>0.0065</v>
      </c>
      <c r="Q169" s="420" t="n">
        <v>0.0145</v>
      </c>
      <c r="R169" s="418" t="n">
        <v>-0.0115</v>
      </c>
      <c r="S169" s="418" t="n">
        <v>-0.038</v>
      </c>
      <c r="T169" s="418" t="n">
        <v>-0.12</v>
      </c>
      <c r="U169" s="418" t="n">
        <v>-0.00325</v>
      </c>
      <c r="V169" s="418" t="n">
        <v>-0.0745</v>
      </c>
      <c r="W169" s="418" t="n">
        <v>-0.12</v>
      </c>
      <c r="X169" s="418" t="n">
        <v>0.395</v>
      </c>
      <c r="Y169" s="418" t="n">
        <v>0.005</v>
      </c>
      <c r="Z169" s="418" t="n">
        <v>-0.19</v>
      </c>
      <c r="AA169" s="418" t="n">
        <v>-0.013</v>
      </c>
      <c r="AB169" s="437" t="n">
        <v>0.295</v>
      </c>
      <c r="AC169" s="437" t="n">
        <v>0.2875</v>
      </c>
      <c r="AD169" s="437" t="n">
        <v>0.268</v>
      </c>
      <c r="AE169" s="438" t="n">
        <v>0.15</v>
      </c>
      <c r="AF169" s="438" t="n">
        <v>0.15</v>
      </c>
      <c r="AG169" s="438" t="n">
        <v>0.147</v>
      </c>
      <c r="AH169" s="438" t="n">
        <v>0.15</v>
      </c>
      <c r="AI169" s="438" t="n">
        <v>0.153</v>
      </c>
      <c r="AJ169" s="438" t="n">
        <v>0.15</v>
      </c>
      <c r="AK169" s="438" t="n">
        <v>0.147</v>
      </c>
      <c r="AL169" s="438" t="n">
        <v>0.147</v>
      </c>
      <c r="AM169" s="438" t="n">
        <v>0.15</v>
      </c>
      <c r="AN169" s="438" t="n">
        <v>0.15</v>
      </c>
      <c r="AO169" s="438" t="n">
        <v>0.15</v>
      </c>
      <c r="AP169" s="439" t="n">
        <v>0.15</v>
      </c>
      <c r="AQ169" s="439" t="n">
        <v>0.15</v>
      </c>
      <c r="AR169" s="439" t="n">
        <v>0.15</v>
      </c>
      <c r="AS169" s="439" t="n">
        <v>0.15</v>
      </c>
      <c r="AT169" s="438" t="n">
        <v>0.15</v>
      </c>
      <c r="AU169" s="438" t="n">
        <v>0.15</v>
      </c>
      <c r="AV169" s="438" t="n">
        <v>0.147</v>
      </c>
      <c r="AW169" s="418" t="n">
        <v>0.070186717491703</v>
      </c>
      <c r="AY169" s="437" t="n">
        <f aca="false">AG169</f>
        <v>0.147</v>
      </c>
      <c r="AZ169" s="437" t="n">
        <f aca="false">AG169</f>
        <v>0.147</v>
      </c>
      <c r="BA169" s="441" t="n">
        <f aca="false">AG169</f>
        <v>0.147</v>
      </c>
      <c r="BB169" s="442" t="n">
        <f aca="false">B169</f>
        <v>41426</v>
      </c>
      <c r="BC169" s="437" t="n">
        <f aca="false">(1+$AW169/2)^(-2*($B169-$BC$11)/365.25)</f>
        <v>0.414735288123634</v>
      </c>
      <c r="BD169" s="437" t="n">
        <f aca="false">(1+$AW169/2)^(-2*($B169-$BD$11)/365.25)</f>
        <v>0.414813624850232</v>
      </c>
      <c r="BF169" s="442" t="n">
        <f aca="false">B169</f>
        <v>41426</v>
      </c>
      <c r="BG169" s="418" t="n">
        <v>157</v>
      </c>
    </row>
    <row r="170" customFormat="false" ht="12" hidden="false" customHeight="false" outlineLevel="0" collapsed="false">
      <c r="B170" s="419" t="n">
        <f aca="false">EOMONTH(B169,0)+1</f>
        <v>41456</v>
      </c>
      <c r="C170" s="420" t="n">
        <v>3.242</v>
      </c>
      <c r="D170" s="420" t="n">
        <v>0.15</v>
      </c>
      <c r="E170" s="420" t="n">
        <v>0.070600915832963</v>
      </c>
      <c r="F170" s="420" t="n">
        <v>-0.195</v>
      </c>
      <c r="G170" s="420" t="n">
        <v>0.0225</v>
      </c>
      <c r="H170" s="420" t="n">
        <v>-0.195</v>
      </c>
      <c r="I170" s="420" t="n">
        <v>0.163</v>
      </c>
      <c r="J170" s="420" t="n">
        <v>0.1825</v>
      </c>
      <c r="K170" s="420" t="n">
        <v>0.215</v>
      </c>
      <c r="L170" s="420" t="n">
        <v>-0.065</v>
      </c>
      <c r="M170" s="435" t="n">
        <v>-0.005999999</v>
      </c>
      <c r="N170" s="420" t="n">
        <v>0</v>
      </c>
      <c r="O170" s="420" t="n">
        <v>-0.29</v>
      </c>
      <c r="P170" s="420" t="n">
        <v>0.0065</v>
      </c>
      <c r="Q170" s="420" t="n">
        <v>0.0145</v>
      </c>
      <c r="R170" s="418" t="n">
        <v>-0.0115</v>
      </c>
      <c r="S170" s="418" t="n">
        <v>-0.038</v>
      </c>
      <c r="T170" s="418" t="n">
        <v>-0.12</v>
      </c>
      <c r="U170" s="418" t="n">
        <v>-0.00325</v>
      </c>
      <c r="V170" s="418" t="n">
        <v>-0.0695</v>
      </c>
      <c r="W170" s="418" t="n">
        <v>-0.12</v>
      </c>
      <c r="X170" s="418" t="n">
        <v>0.43</v>
      </c>
      <c r="Y170" s="418" t="n">
        <v>0.005</v>
      </c>
      <c r="Z170" s="418" t="n">
        <v>-0.19</v>
      </c>
      <c r="AA170" s="418" t="n">
        <v>-0.013</v>
      </c>
      <c r="AB170" s="437" t="n">
        <v>0.295</v>
      </c>
      <c r="AC170" s="437" t="n">
        <v>0.3</v>
      </c>
      <c r="AD170" s="437" t="n">
        <v>0.258</v>
      </c>
      <c r="AE170" s="438" t="n">
        <v>0.15</v>
      </c>
      <c r="AF170" s="438" t="n">
        <v>0.15</v>
      </c>
      <c r="AG170" s="438" t="n">
        <v>0.147</v>
      </c>
      <c r="AH170" s="438" t="n">
        <v>0.15</v>
      </c>
      <c r="AI170" s="438" t="n">
        <v>0.153</v>
      </c>
      <c r="AJ170" s="438" t="n">
        <v>0.15</v>
      </c>
      <c r="AK170" s="438" t="n">
        <v>0.147</v>
      </c>
      <c r="AL170" s="438" t="n">
        <v>0.147</v>
      </c>
      <c r="AM170" s="438" t="n">
        <v>0.15</v>
      </c>
      <c r="AN170" s="438" t="n">
        <v>0.15</v>
      </c>
      <c r="AO170" s="438" t="n">
        <v>0.15</v>
      </c>
      <c r="AP170" s="439" t="n">
        <v>0.15</v>
      </c>
      <c r="AQ170" s="439" t="n">
        <v>0.15</v>
      </c>
      <c r="AR170" s="439" t="n">
        <v>0.15</v>
      </c>
      <c r="AS170" s="439" t="n">
        <v>0.15</v>
      </c>
      <c r="AT170" s="438" t="n">
        <v>0.15</v>
      </c>
      <c r="AU170" s="438" t="n">
        <v>0.15</v>
      </c>
      <c r="AV170" s="438" t="n">
        <v>0.147</v>
      </c>
      <c r="AW170" s="418" t="n">
        <v>0.070193446701612</v>
      </c>
      <c r="AY170" s="437" t="n">
        <f aca="false">AG170</f>
        <v>0.147</v>
      </c>
      <c r="AZ170" s="437" t="n">
        <f aca="false">AG170</f>
        <v>0.147</v>
      </c>
      <c r="BA170" s="441" t="n">
        <f aca="false">AG170</f>
        <v>0.147</v>
      </c>
      <c r="BB170" s="442" t="n">
        <f aca="false">B170</f>
        <v>41456</v>
      </c>
      <c r="BC170" s="437" t="n">
        <f aca="false">(1+$AW170/2)^(-2*($B170-$BC$11)/365.25)</f>
        <v>0.412357629085478</v>
      </c>
      <c r="BD170" s="437" t="n">
        <f aca="false">(1+$AW170/2)^(-2*($B170-$BD$11)/365.25)</f>
        <v>0.412435524051998</v>
      </c>
      <c r="BF170" s="442" t="n">
        <f aca="false">B170</f>
        <v>41456</v>
      </c>
      <c r="BG170" s="418" t="n">
        <v>158</v>
      </c>
    </row>
    <row r="171" customFormat="false" ht="12" hidden="false" customHeight="false" outlineLevel="0" collapsed="false">
      <c r="B171" s="419" t="n">
        <f aca="false">EOMONTH(B170,0)+1</f>
        <v>41487</v>
      </c>
      <c r="C171" s="420" t="n">
        <v>3.263</v>
      </c>
      <c r="D171" s="420" t="n">
        <v>0.15</v>
      </c>
      <c r="E171" s="420" t="n">
        <v>0.070602081848606</v>
      </c>
      <c r="F171" s="420" t="n">
        <v>-0.195</v>
      </c>
      <c r="G171" s="420" t="n">
        <v>0.025</v>
      </c>
      <c r="H171" s="420" t="n">
        <v>-0.195</v>
      </c>
      <c r="I171" s="420" t="n">
        <v>0.16</v>
      </c>
      <c r="J171" s="420" t="n">
        <v>0.1825</v>
      </c>
      <c r="K171" s="420" t="n">
        <v>0.215</v>
      </c>
      <c r="L171" s="420" t="n">
        <v>-0.056</v>
      </c>
      <c r="M171" s="435" t="n">
        <v>-0.005999999</v>
      </c>
      <c r="N171" s="420" t="n">
        <v>0</v>
      </c>
      <c r="O171" s="420" t="n">
        <v>-0.29</v>
      </c>
      <c r="P171" s="420" t="n">
        <v>0.0065</v>
      </c>
      <c r="Q171" s="420" t="n">
        <v>0.0145</v>
      </c>
      <c r="R171" s="418" t="n">
        <v>-0.0115</v>
      </c>
      <c r="S171" s="418" t="n">
        <v>-0.038</v>
      </c>
      <c r="T171" s="418" t="n">
        <v>-0.12</v>
      </c>
      <c r="U171" s="418" t="n">
        <v>-0.00325</v>
      </c>
      <c r="V171" s="418" t="n">
        <v>-0.0695</v>
      </c>
      <c r="W171" s="418" t="n">
        <v>-0.12</v>
      </c>
      <c r="X171" s="418" t="n">
        <v>0.495</v>
      </c>
      <c r="Y171" s="418" t="n">
        <v>0.005</v>
      </c>
      <c r="Z171" s="418" t="n">
        <v>-0.19</v>
      </c>
      <c r="AA171" s="418" t="n">
        <v>-0.013</v>
      </c>
      <c r="AB171" s="437" t="n">
        <v>0.295</v>
      </c>
      <c r="AC171" s="437" t="n">
        <v>0.3</v>
      </c>
      <c r="AD171" s="437" t="n">
        <v>0.255</v>
      </c>
      <c r="AE171" s="438" t="n">
        <v>0.15</v>
      </c>
      <c r="AF171" s="438" t="n">
        <v>0.15</v>
      </c>
      <c r="AG171" s="438" t="n">
        <v>0.147</v>
      </c>
      <c r="AH171" s="438" t="n">
        <v>0.15</v>
      </c>
      <c r="AI171" s="438" t="n">
        <v>0.153</v>
      </c>
      <c r="AJ171" s="438" t="n">
        <v>0.15</v>
      </c>
      <c r="AK171" s="438" t="n">
        <v>0.147</v>
      </c>
      <c r="AL171" s="438" t="n">
        <v>0.147</v>
      </c>
      <c r="AM171" s="438" t="n">
        <v>0.15</v>
      </c>
      <c r="AN171" s="438" t="n">
        <v>0.15</v>
      </c>
      <c r="AO171" s="438" t="n">
        <v>0.15</v>
      </c>
      <c r="AP171" s="439" t="n">
        <v>0.15</v>
      </c>
      <c r="AQ171" s="439" t="n">
        <v>0.15</v>
      </c>
      <c r="AR171" s="439" t="n">
        <v>0.15</v>
      </c>
      <c r="AS171" s="439" t="n">
        <v>0.15</v>
      </c>
      <c r="AT171" s="438" t="n">
        <v>0.15</v>
      </c>
      <c r="AU171" s="438" t="n">
        <v>0.15</v>
      </c>
      <c r="AV171" s="438" t="n">
        <v>0.147</v>
      </c>
      <c r="AW171" s="418" t="n">
        <v>0.070200400218532</v>
      </c>
      <c r="AY171" s="437" t="n">
        <f aca="false">AG171</f>
        <v>0.147</v>
      </c>
      <c r="AZ171" s="437" t="n">
        <f aca="false">AG171</f>
        <v>0.147</v>
      </c>
      <c r="BA171" s="441" t="n">
        <f aca="false">AG171</f>
        <v>0.147</v>
      </c>
      <c r="BB171" s="442" t="n">
        <f aca="false">B171</f>
        <v>41487</v>
      </c>
      <c r="BC171" s="437" t="n">
        <f aca="false">(1+$AW171/2)^(-2*($B171-$BC$11)/365.25)</f>
        <v>0.409914574193848</v>
      </c>
      <c r="BD171" s="437" t="n">
        <f aca="false">(1+$AW171/2)^(-2*($B171-$BD$11)/365.25)</f>
        <v>0.409992015204319</v>
      </c>
      <c r="BF171" s="442" t="n">
        <f aca="false">B171</f>
        <v>41487</v>
      </c>
      <c r="BG171" s="418" t="n">
        <v>159</v>
      </c>
    </row>
    <row r="172" customFormat="false" ht="12" hidden="false" customHeight="false" outlineLevel="0" collapsed="false">
      <c r="B172" s="419" t="n">
        <f aca="false">EOMONTH(B171,0)+1</f>
        <v>41518</v>
      </c>
      <c r="C172" s="420" t="n">
        <v>3.236</v>
      </c>
      <c r="D172" s="420" t="n">
        <v>0.15</v>
      </c>
      <c r="E172" s="420" t="n">
        <v>0.070603247864249</v>
      </c>
      <c r="F172" s="420" t="n">
        <v>-0.195</v>
      </c>
      <c r="G172" s="420" t="n">
        <v>0.0175</v>
      </c>
      <c r="H172" s="420" t="n">
        <v>-0.195</v>
      </c>
      <c r="I172" s="420" t="n">
        <v>0.158</v>
      </c>
      <c r="J172" s="420" t="n">
        <v>0.1825</v>
      </c>
      <c r="K172" s="420" t="n">
        <v>0.195</v>
      </c>
      <c r="L172" s="420" t="n">
        <v>-0.036</v>
      </c>
      <c r="M172" s="435" t="n">
        <v>-0.005999999</v>
      </c>
      <c r="N172" s="420" t="n">
        <v>0</v>
      </c>
      <c r="O172" s="420" t="n">
        <v>-0.29</v>
      </c>
      <c r="P172" s="420" t="n">
        <v>0.0065</v>
      </c>
      <c r="Q172" s="420" t="n">
        <v>0.0145</v>
      </c>
      <c r="R172" s="418" t="n">
        <v>-0.0115</v>
      </c>
      <c r="S172" s="418" t="n">
        <v>-0.038</v>
      </c>
      <c r="T172" s="418" t="n">
        <v>-0.11</v>
      </c>
      <c r="U172" s="418" t="n">
        <v>-0.00325</v>
      </c>
      <c r="V172" s="418" t="n">
        <v>-0.0845</v>
      </c>
      <c r="W172" s="418" t="n">
        <v>-0.12</v>
      </c>
      <c r="X172" s="418" t="n">
        <v>0.395</v>
      </c>
      <c r="Y172" s="418" t="n">
        <v>0.005</v>
      </c>
      <c r="Z172" s="418" t="n">
        <v>-0.19</v>
      </c>
      <c r="AA172" s="418" t="n">
        <v>-0.013</v>
      </c>
      <c r="AB172" s="437" t="n">
        <v>0.295</v>
      </c>
      <c r="AC172" s="437" t="n">
        <v>0.29</v>
      </c>
      <c r="AD172" s="437" t="n">
        <v>0.253</v>
      </c>
      <c r="AE172" s="438" t="n">
        <v>0.15</v>
      </c>
      <c r="AF172" s="438" t="n">
        <v>0.15</v>
      </c>
      <c r="AG172" s="438" t="n">
        <v>0.147</v>
      </c>
      <c r="AH172" s="438" t="n">
        <v>0.15</v>
      </c>
      <c r="AI172" s="438" t="n">
        <v>0.153</v>
      </c>
      <c r="AJ172" s="438" t="n">
        <v>0.15</v>
      </c>
      <c r="AK172" s="438" t="n">
        <v>0.147</v>
      </c>
      <c r="AL172" s="438" t="n">
        <v>0.147</v>
      </c>
      <c r="AM172" s="438" t="n">
        <v>0.15</v>
      </c>
      <c r="AN172" s="438" t="n">
        <v>0.15</v>
      </c>
      <c r="AO172" s="438" t="n">
        <v>0.15</v>
      </c>
      <c r="AP172" s="439" t="n">
        <v>0.15</v>
      </c>
      <c r="AQ172" s="439" t="n">
        <v>0.15</v>
      </c>
      <c r="AR172" s="439" t="n">
        <v>0.15</v>
      </c>
      <c r="AS172" s="439" t="n">
        <v>0.15</v>
      </c>
      <c r="AT172" s="438" t="n">
        <v>0.15</v>
      </c>
      <c r="AU172" s="438" t="n">
        <v>0.15</v>
      </c>
      <c r="AV172" s="438" t="n">
        <v>0.147</v>
      </c>
      <c r="AW172" s="418" t="n">
        <v>0.070207353735469</v>
      </c>
      <c r="AY172" s="437" t="n">
        <f aca="false">AG172</f>
        <v>0.147</v>
      </c>
      <c r="AZ172" s="437" t="n">
        <f aca="false">AG172</f>
        <v>0.147</v>
      </c>
      <c r="BA172" s="441" t="n">
        <f aca="false">AG172</f>
        <v>0.147</v>
      </c>
      <c r="BB172" s="442" t="n">
        <f aca="false">B172</f>
        <v>41518</v>
      </c>
      <c r="BC172" s="437" t="n">
        <f aca="false">(1+$AW172/2)^(-2*($B172-$BC$11)/365.25)</f>
        <v>0.407485528888423</v>
      </c>
      <c r="BD172" s="437" t="n">
        <f aca="false">(1+$AW172/2)^(-2*($B172-$BD$11)/365.25)</f>
        <v>0.407562518499885</v>
      </c>
      <c r="BF172" s="442" t="n">
        <f aca="false">B172</f>
        <v>41518</v>
      </c>
      <c r="BG172" s="418" t="n">
        <v>160</v>
      </c>
    </row>
    <row r="173" customFormat="false" ht="12" hidden="false" customHeight="false" outlineLevel="0" collapsed="false">
      <c r="B173" s="419" t="n">
        <f aca="false">EOMONTH(B172,0)+1</f>
        <v>41548</v>
      </c>
      <c r="C173" s="420" t="n">
        <v>3.241</v>
      </c>
      <c r="D173" s="420" t="n">
        <v>0.15</v>
      </c>
      <c r="E173" s="420" t="n">
        <v>0.070604376266484</v>
      </c>
      <c r="F173" s="420" t="n">
        <v>-0.195</v>
      </c>
      <c r="G173" s="420" t="n">
        <v>0.0075</v>
      </c>
      <c r="H173" s="420" t="n">
        <v>-0.195</v>
      </c>
      <c r="I173" s="420" t="n">
        <v>0.173</v>
      </c>
      <c r="J173" s="420" t="n">
        <v>0.1875</v>
      </c>
      <c r="K173" s="420" t="n">
        <v>0.215</v>
      </c>
      <c r="L173" s="420" t="n">
        <v>-0.046</v>
      </c>
      <c r="M173" s="435" t="n">
        <v>-0.005999999</v>
      </c>
      <c r="N173" s="420" t="n">
        <v>0</v>
      </c>
      <c r="O173" s="420" t="n">
        <v>-0.29</v>
      </c>
      <c r="P173" s="420" t="n">
        <v>0.0065</v>
      </c>
      <c r="Q173" s="420" t="n">
        <v>0.0145</v>
      </c>
      <c r="R173" s="418" t="n">
        <v>-0.0115</v>
      </c>
      <c r="S173" s="418" t="n">
        <v>-0.038</v>
      </c>
      <c r="T173" s="418" t="n">
        <v>-0.095</v>
      </c>
      <c r="U173" s="418" t="n">
        <v>-0.0215</v>
      </c>
      <c r="V173" s="418" t="n">
        <v>-0.087</v>
      </c>
      <c r="W173" s="418" t="n">
        <v>-0.12</v>
      </c>
      <c r="X173" s="418" t="n">
        <v>0.461</v>
      </c>
      <c r="Y173" s="418" t="n">
        <v>0.005</v>
      </c>
      <c r="Z173" s="418" t="n">
        <v>-0.19</v>
      </c>
      <c r="AA173" s="418" t="n">
        <v>-0.013</v>
      </c>
      <c r="AB173" s="437" t="n">
        <v>0.295</v>
      </c>
      <c r="AC173" s="437" t="n">
        <v>0.3625</v>
      </c>
      <c r="AD173" s="437" t="n">
        <v>0.268</v>
      </c>
      <c r="AE173" s="438" t="n">
        <v>0.15</v>
      </c>
      <c r="AF173" s="438" t="n">
        <v>0.15</v>
      </c>
      <c r="AG173" s="438" t="n">
        <v>0.147</v>
      </c>
      <c r="AH173" s="438" t="n">
        <v>0.15</v>
      </c>
      <c r="AI173" s="438" t="n">
        <v>0.153</v>
      </c>
      <c r="AJ173" s="438" t="n">
        <v>0.15</v>
      </c>
      <c r="AK173" s="438" t="n">
        <v>0.147</v>
      </c>
      <c r="AL173" s="438" t="n">
        <v>0.147</v>
      </c>
      <c r="AM173" s="438" t="n">
        <v>0.15</v>
      </c>
      <c r="AN173" s="438" t="n">
        <v>0.15</v>
      </c>
      <c r="AO173" s="438" t="n">
        <v>0.15</v>
      </c>
      <c r="AP173" s="439" t="n">
        <v>0.15</v>
      </c>
      <c r="AQ173" s="439" t="n">
        <v>0.15</v>
      </c>
      <c r="AR173" s="439" t="n">
        <v>0.15</v>
      </c>
      <c r="AS173" s="439" t="n">
        <v>0.15</v>
      </c>
      <c r="AT173" s="438" t="n">
        <v>0.15</v>
      </c>
      <c r="AU173" s="438" t="n">
        <v>0.15</v>
      </c>
      <c r="AV173" s="438" t="n">
        <v>0.147</v>
      </c>
      <c r="AW173" s="418" t="n">
        <v>0.070214082945423</v>
      </c>
      <c r="AY173" s="437" t="n">
        <f aca="false">AG173</f>
        <v>0.147</v>
      </c>
      <c r="AZ173" s="437" t="n">
        <f aca="false">AG173</f>
        <v>0.147</v>
      </c>
      <c r="BA173" s="441" t="n">
        <f aca="false">AG173</f>
        <v>0.147</v>
      </c>
      <c r="BB173" s="442" t="n">
        <f aca="false">B173</f>
        <v>41548</v>
      </c>
      <c r="BC173" s="437" t="n">
        <f aca="false">(1+$AW173/2)^(-2*($B173-$BC$11)/365.25)</f>
        <v>0.405148105881956</v>
      </c>
      <c r="BD173" s="437" t="n">
        <f aca="false">(1+$AW173/2)^(-2*($B173-$BD$11)/365.25)</f>
        <v>0.405224661077244</v>
      </c>
      <c r="BF173" s="442" t="n">
        <f aca="false">B173</f>
        <v>41548</v>
      </c>
      <c r="BG173" s="418" t="n">
        <v>161</v>
      </c>
    </row>
    <row r="174" customFormat="false" ht="12" hidden="false" customHeight="false" outlineLevel="0" collapsed="false">
      <c r="B174" s="419" t="n">
        <f aca="false">EOMONTH(B173,0)+1</f>
        <v>41579</v>
      </c>
      <c r="C174" s="420" t="n">
        <v>3.283</v>
      </c>
      <c r="D174" s="420" t="n">
        <v>0.15</v>
      </c>
      <c r="E174" s="420" t="n">
        <v>0.070605542282127</v>
      </c>
      <c r="F174" s="420" t="n">
        <v>-0.19</v>
      </c>
      <c r="G174" s="420" t="n">
        <v>-0.0325</v>
      </c>
      <c r="H174" s="420" t="n">
        <v>-0.19</v>
      </c>
      <c r="I174" s="420" t="n">
        <v>0.235</v>
      </c>
      <c r="J174" s="420" t="n">
        <v>0.27</v>
      </c>
      <c r="K174" s="420" t="n">
        <v>0.2875</v>
      </c>
      <c r="L174" s="420" t="n">
        <v>-0.061</v>
      </c>
      <c r="M174" s="435" t="n">
        <v>0.0015</v>
      </c>
      <c r="N174" s="420" t="n">
        <v>0</v>
      </c>
      <c r="O174" s="420" t="n">
        <v>0</v>
      </c>
      <c r="P174" s="420" t="n">
        <v>0.016</v>
      </c>
      <c r="Q174" s="420" t="n">
        <v>0.0065</v>
      </c>
      <c r="R174" s="418" t="n">
        <v>-0.0145</v>
      </c>
      <c r="S174" s="418" t="n">
        <v>-0.0375</v>
      </c>
      <c r="T174" s="418" t="n">
        <v>-0.0575</v>
      </c>
      <c r="U174" s="418" t="n">
        <v>-0.0205</v>
      </c>
      <c r="V174" s="418" t="n">
        <v>-0.0845</v>
      </c>
      <c r="W174" s="418" t="n">
        <v>-0.1325</v>
      </c>
      <c r="X174" s="418" t="n">
        <v>0.7675</v>
      </c>
      <c r="Y174" s="418" t="n">
        <v>0.005</v>
      </c>
      <c r="Z174" s="418" t="n">
        <v>-0.19</v>
      </c>
      <c r="AA174" s="418" t="n">
        <v>-0.0145</v>
      </c>
      <c r="AB174" s="437" t="n">
        <v>0.12</v>
      </c>
      <c r="AC174" s="437" t="n">
        <v>0.465</v>
      </c>
      <c r="AD174" s="437" t="n">
        <v>0.33</v>
      </c>
      <c r="AE174" s="438" t="n">
        <v>0.15</v>
      </c>
      <c r="AF174" s="438" t="n">
        <v>0.15</v>
      </c>
      <c r="AG174" s="438" t="n">
        <v>0.165</v>
      </c>
      <c r="AH174" s="438" t="n">
        <v>0.15</v>
      </c>
      <c r="AI174" s="438" t="n">
        <v>0.153</v>
      </c>
      <c r="AJ174" s="438" t="n">
        <v>0.15</v>
      </c>
      <c r="AK174" s="438" t="n">
        <v>0.15</v>
      </c>
      <c r="AL174" s="438" t="n">
        <v>0.15</v>
      </c>
      <c r="AM174" s="438" t="n">
        <v>0.15</v>
      </c>
      <c r="AN174" s="438" t="n">
        <v>0.15</v>
      </c>
      <c r="AO174" s="438" t="n">
        <v>0.15</v>
      </c>
      <c r="AP174" s="439" t="n">
        <v>0.15</v>
      </c>
      <c r="AQ174" s="439" t="n">
        <v>0.15</v>
      </c>
      <c r="AR174" s="439" t="n">
        <v>0.15</v>
      </c>
      <c r="AS174" s="439" t="n">
        <v>0.15</v>
      </c>
      <c r="AT174" s="438" t="n">
        <v>0.15</v>
      </c>
      <c r="AU174" s="438" t="n">
        <v>0.15</v>
      </c>
      <c r="AV174" s="438" t="n">
        <v>0.165</v>
      </c>
      <c r="AW174" s="418" t="n">
        <v>0.070221036462391</v>
      </c>
      <c r="AY174" s="437" t="n">
        <f aca="false">AG174</f>
        <v>0.165</v>
      </c>
      <c r="AZ174" s="437" t="n">
        <f aca="false">AG174</f>
        <v>0.165</v>
      </c>
      <c r="BA174" s="441" t="n">
        <f aca="false">AG174</f>
        <v>0.165</v>
      </c>
      <c r="BB174" s="442" t="n">
        <f aca="false">B174</f>
        <v>41579</v>
      </c>
      <c r="BC174" s="437" t="n">
        <f aca="false">(1+$AW174/2)^(-2*($B174-$BC$11)/365.25)</f>
        <v>0.402746401945113</v>
      </c>
      <c r="BD174" s="437" t="n">
        <f aca="false">(1+$AW174/2)^(-2*($B174-$BD$11)/365.25)</f>
        <v>0.402822510732556</v>
      </c>
      <c r="BF174" s="442" t="n">
        <f aca="false">B174</f>
        <v>41579</v>
      </c>
      <c r="BG174" s="418" t="n">
        <v>162</v>
      </c>
    </row>
    <row r="175" customFormat="false" ht="12" hidden="false" customHeight="false" outlineLevel="0" collapsed="false">
      <c r="B175" s="419" t="n">
        <f aca="false">EOMONTH(B174,0)+1</f>
        <v>41609</v>
      </c>
      <c r="C175" s="420" t="n">
        <v>3.339</v>
      </c>
      <c r="D175" s="420" t="n">
        <v>0.15</v>
      </c>
      <c r="E175" s="420" t="n">
        <v>0.070606670684364</v>
      </c>
      <c r="F175" s="420" t="n">
        <v>-0.1975</v>
      </c>
      <c r="G175" s="420" t="n">
        <v>-0.055</v>
      </c>
      <c r="H175" s="420" t="n">
        <v>-0.1975</v>
      </c>
      <c r="I175" s="420" t="n">
        <v>0.275</v>
      </c>
      <c r="J175" s="420" t="n">
        <v>0.305</v>
      </c>
      <c r="K175" s="420" t="n">
        <v>0.3375</v>
      </c>
      <c r="L175" s="420" t="n">
        <v>-0.061</v>
      </c>
      <c r="M175" s="420" t="n">
        <v>0.0015</v>
      </c>
      <c r="N175" s="420" t="n">
        <v>0</v>
      </c>
      <c r="O175" s="420" t="n">
        <v>0.06</v>
      </c>
      <c r="P175" s="420" t="n">
        <v>0.016</v>
      </c>
      <c r="Q175" s="420" t="n">
        <v>0.0065</v>
      </c>
      <c r="R175" s="418" t="n">
        <v>-0.0145</v>
      </c>
      <c r="S175" s="418" t="n">
        <v>-0.0375</v>
      </c>
      <c r="T175" s="418" t="n">
        <v>-0.05</v>
      </c>
      <c r="U175" s="418" t="n">
        <v>-0.0205</v>
      </c>
      <c r="V175" s="418" t="n">
        <v>-0.1195</v>
      </c>
      <c r="W175" s="418" t="n">
        <v>-0.1275</v>
      </c>
      <c r="X175" s="418" t="n">
        <v>1.19</v>
      </c>
      <c r="Y175" s="418" t="n">
        <v>0.005</v>
      </c>
      <c r="Z175" s="418" t="n">
        <v>-0.19</v>
      </c>
      <c r="AA175" s="418" t="n">
        <v>-0.0145</v>
      </c>
      <c r="AB175" s="437" t="n">
        <v>0.12</v>
      </c>
      <c r="AC175" s="437" t="n">
        <v>0.8</v>
      </c>
      <c r="AD175" s="437" t="n">
        <v>0.37</v>
      </c>
      <c r="AE175" s="438" t="n">
        <v>0.15</v>
      </c>
      <c r="AF175" s="438" t="n">
        <v>0.15</v>
      </c>
      <c r="AG175" s="438" t="n">
        <v>0.165</v>
      </c>
      <c r="AH175" s="438" t="n">
        <v>0.15</v>
      </c>
      <c r="AI175" s="438" t="n">
        <v>0.153</v>
      </c>
      <c r="AJ175" s="438" t="n">
        <v>0.15</v>
      </c>
      <c r="AK175" s="438" t="n">
        <v>0.15</v>
      </c>
      <c r="AL175" s="438" t="n">
        <v>0.15</v>
      </c>
      <c r="AM175" s="438" t="n">
        <v>0.15</v>
      </c>
      <c r="AN175" s="438" t="n">
        <v>0.15</v>
      </c>
      <c r="AO175" s="438" t="n">
        <v>0.15</v>
      </c>
      <c r="AP175" s="439" t="n">
        <v>0.15</v>
      </c>
      <c r="AQ175" s="439" t="n">
        <v>0.15</v>
      </c>
      <c r="AR175" s="439" t="n">
        <v>0.15</v>
      </c>
      <c r="AS175" s="439" t="n">
        <v>0.15</v>
      </c>
      <c r="AT175" s="438" t="n">
        <v>0.15</v>
      </c>
      <c r="AU175" s="438" t="n">
        <v>0.15</v>
      </c>
      <c r="AV175" s="438" t="n">
        <v>0.165</v>
      </c>
      <c r="AW175" s="418" t="n">
        <v>0.070227765672376</v>
      </c>
      <c r="AY175" s="437" t="n">
        <f aca="false">AG175</f>
        <v>0.165</v>
      </c>
      <c r="AZ175" s="437" t="n">
        <f aca="false">AG175</f>
        <v>0.165</v>
      </c>
      <c r="BA175" s="441" t="n">
        <f aca="false">AG175</f>
        <v>0.165</v>
      </c>
      <c r="BB175" s="442" t="n">
        <f aca="false">B175</f>
        <v>41609</v>
      </c>
      <c r="BC175" s="437" t="n">
        <f aca="false">(1+$AW175/2)^(-2*($B175-$BC$11)/365.25)</f>
        <v>0.40043529427509</v>
      </c>
      <c r="BD175" s="437" t="n">
        <f aca="false">(1+$AW175/2)^(-2*($B175-$BD$11)/365.25)</f>
        <v>0.400510973450733</v>
      </c>
      <c r="BF175" s="442" t="n">
        <f aca="false">B175</f>
        <v>41609</v>
      </c>
      <c r="BG175" s="418" t="n">
        <v>163</v>
      </c>
    </row>
    <row r="176" customFormat="false" ht="12" hidden="false" customHeight="false" outlineLevel="0" collapsed="false">
      <c r="B176" s="419" t="n">
        <f aca="false">EOMONTH(B175,0)+1</f>
        <v>41640</v>
      </c>
      <c r="C176" s="420" t="n">
        <v>3.654</v>
      </c>
      <c r="D176" s="420" t="n">
        <v>0.15</v>
      </c>
      <c r="E176" s="420" t="n">
        <v>0.070607836700008</v>
      </c>
      <c r="F176" s="420" t="n">
        <v>-0.2</v>
      </c>
      <c r="G176" s="420" t="n">
        <v>-0.0575</v>
      </c>
      <c r="H176" s="420" t="n">
        <v>-0.2</v>
      </c>
      <c r="I176" s="420" t="n">
        <v>0.285</v>
      </c>
      <c r="J176" s="420" t="n">
        <v>0.305</v>
      </c>
      <c r="K176" s="420" t="n">
        <v>0.4375</v>
      </c>
      <c r="L176" s="420" t="n">
        <v>-0.061</v>
      </c>
      <c r="M176" s="420" t="n">
        <v>0.0035</v>
      </c>
      <c r="N176" s="420" t="n">
        <v>0</v>
      </c>
      <c r="O176" s="420" t="n">
        <v>0.13</v>
      </c>
      <c r="P176" s="420" t="n">
        <v>0.016</v>
      </c>
      <c r="Q176" s="420" t="n">
        <v>0.0065</v>
      </c>
      <c r="R176" s="418" t="n">
        <v>-0.009999999</v>
      </c>
      <c r="S176" s="418" t="n">
        <v>-0.0375</v>
      </c>
      <c r="T176" s="418" t="n">
        <v>-0.035</v>
      </c>
      <c r="U176" s="418" t="n">
        <v>-0.0205</v>
      </c>
      <c r="V176" s="418" t="n">
        <v>-0.125</v>
      </c>
      <c r="W176" s="418" t="n">
        <v>-0.1275</v>
      </c>
      <c r="X176" s="418" t="n">
        <v>1.525</v>
      </c>
      <c r="Y176" s="418" t="n">
        <v>0.005</v>
      </c>
      <c r="Z176" s="418" t="n">
        <v>-0.19</v>
      </c>
      <c r="AA176" s="418" t="n">
        <v>-0.0145</v>
      </c>
      <c r="AB176" s="437" t="n">
        <v>0.12</v>
      </c>
      <c r="AC176" s="437" t="n">
        <v>0.975</v>
      </c>
      <c r="AD176" s="437" t="n">
        <v>0.38</v>
      </c>
      <c r="AE176" s="438" t="n">
        <v>0.15</v>
      </c>
      <c r="AF176" s="438" t="n">
        <v>0.15</v>
      </c>
      <c r="AG176" s="438" t="n">
        <v>0.165</v>
      </c>
      <c r="AH176" s="438" t="n">
        <v>0.15</v>
      </c>
      <c r="AI176" s="438" t="n">
        <v>0.153</v>
      </c>
      <c r="AJ176" s="438" t="n">
        <v>0.15</v>
      </c>
      <c r="AK176" s="438" t="n">
        <v>0.15</v>
      </c>
      <c r="AL176" s="438" t="n">
        <v>0.15</v>
      </c>
      <c r="AM176" s="438" t="n">
        <v>0.15</v>
      </c>
      <c r="AN176" s="438" t="n">
        <v>0.15</v>
      </c>
      <c r="AO176" s="438" t="n">
        <v>0.15</v>
      </c>
      <c r="AP176" s="439" t="n">
        <v>0.15</v>
      </c>
      <c r="AQ176" s="439" t="n">
        <v>0.15</v>
      </c>
      <c r="AR176" s="439" t="n">
        <v>0.15</v>
      </c>
      <c r="AS176" s="439" t="n">
        <v>0.15</v>
      </c>
      <c r="AT176" s="438" t="n">
        <v>0.15</v>
      </c>
      <c r="AU176" s="438" t="n">
        <v>0.15</v>
      </c>
      <c r="AV176" s="438" t="n">
        <v>0.165</v>
      </c>
      <c r="AW176" s="418" t="n">
        <v>0.070234719189375</v>
      </c>
      <c r="AY176" s="437" t="n">
        <f aca="false">AG176</f>
        <v>0.165</v>
      </c>
      <c r="AZ176" s="437" t="n">
        <f aca="false">AG176</f>
        <v>0.165</v>
      </c>
      <c r="BA176" s="441" t="n">
        <f aca="false">AG176</f>
        <v>0.165</v>
      </c>
      <c r="BB176" s="442" t="n">
        <f aca="false">B176</f>
        <v>41640</v>
      </c>
      <c r="BC176" s="437" t="n">
        <f aca="false">(1+$AW176/2)^(-2*($B176-$BC$11)/365.25)</f>
        <v>0.398060634780946</v>
      </c>
      <c r="BD176" s="437" t="n">
        <f aca="false">(1+$AW176/2)^(-2*($B176-$BD$11)/365.25)</f>
        <v>0.398135872486753</v>
      </c>
      <c r="BF176" s="442" t="n">
        <f aca="false">B176</f>
        <v>41640</v>
      </c>
      <c r="BG176" s="418" t="n">
        <v>164</v>
      </c>
    </row>
    <row r="177" customFormat="false" ht="12" hidden="false" customHeight="false" outlineLevel="0" collapsed="false">
      <c r="B177" s="419" t="n">
        <f aca="false">EOMONTH(B176,0)+1</f>
        <v>41671</v>
      </c>
      <c r="C177" s="420" t="n">
        <v>3.556</v>
      </c>
      <c r="D177" s="420" t="n">
        <v>0.15</v>
      </c>
      <c r="E177" s="420" t="n">
        <v>0.070609002715653</v>
      </c>
      <c r="F177" s="420" t="n">
        <v>-0.2025</v>
      </c>
      <c r="G177" s="420" t="n">
        <v>-0.04</v>
      </c>
      <c r="H177" s="420" t="n">
        <v>-0.2025</v>
      </c>
      <c r="I177" s="420" t="n">
        <v>0.26</v>
      </c>
      <c r="J177" s="420" t="n">
        <v>0.305</v>
      </c>
      <c r="K177" s="420" t="n">
        <v>0.435</v>
      </c>
      <c r="L177" s="420" t="n">
        <v>-0.061</v>
      </c>
      <c r="M177" s="420" t="n">
        <v>0.0035</v>
      </c>
      <c r="N177" s="420" t="n">
        <v>0</v>
      </c>
      <c r="O177" s="420" t="n">
        <v>0</v>
      </c>
      <c r="P177" s="420" t="n">
        <v>0.016</v>
      </c>
      <c r="Q177" s="420" t="n">
        <v>0.0065</v>
      </c>
      <c r="R177" s="436" t="n">
        <v>-0.009999999</v>
      </c>
      <c r="S177" s="418" t="n">
        <v>-0.0375</v>
      </c>
      <c r="T177" s="418" t="n">
        <v>-0.035</v>
      </c>
      <c r="U177" s="418" t="n">
        <v>-0.0205</v>
      </c>
      <c r="V177" s="418" t="n">
        <v>-0.1075</v>
      </c>
      <c r="W177" s="418" t="n">
        <v>-0.1275</v>
      </c>
      <c r="X177" s="418" t="n">
        <v>1.455</v>
      </c>
      <c r="Y177" s="418" t="n">
        <v>0.005</v>
      </c>
      <c r="Z177" s="418" t="n">
        <v>-0.19</v>
      </c>
      <c r="AA177" s="418" t="n">
        <v>-0.0145</v>
      </c>
      <c r="AB177" s="437" t="n">
        <v>0.12</v>
      </c>
      <c r="AC177" s="437" t="n">
        <v>0.975</v>
      </c>
      <c r="AD177" s="437" t="n">
        <v>0.355</v>
      </c>
      <c r="AE177" s="438" t="n">
        <v>0.15</v>
      </c>
      <c r="AF177" s="438" t="n">
        <v>0.15</v>
      </c>
      <c r="AG177" s="438" t="n">
        <v>0.165</v>
      </c>
      <c r="AH177" s="438" t="n">
        <v>0.15</v>
      </c>
      <c r="AI177" s="438" t="n">
        <v>0.153</v>
      </c>
      <c r="AJ177" s="438" t="n">
        <v>0.15</v>
      </c>
      <c r="AK177" s="438" t="n">
        <v>0.15</v>
      </c>
      <c r="AL177" s="438" t="n">
        <v>0.15</v>
      </c>
      <c r="AM177" s="438" t="n">
        <v>0.15</v>
      </c>
      <c r="AN177" s="438" t="n">
        <v>0.15</v>
      </c>
      <c r="AO177" s="438" t="n">
        <v>0.15</v>
      </c>
      <c r="AP177" s="439" t="n">
        <v>0.15</v>
      </c>
      <c r="AQ177" s="439" t="n">
        <v>0.15</v>
      </c>
      <c r="AR177" s="439" t="n">
        <v>0.15</v>
      </c>
      <c r="AS177" s="439" t="n">
        <v>0.15</v>
      </c>
      <c r="AT177" s="438" t="n">
        <v>0.15</v>
      </c>
      <c r="AU177" s="438" t="n">
        <v>0.15</v>
      </c>
      <c r="AV177" s="438" t="n">
        <v>0.165</v>
      </c>
      <c r="AW177" s="418" t="n">
        <v>0.070241672706391</v>
      </c>
      <c r="AY177" s="437" t="n">
        <f aca="false">AG177</f>
        <v>0.165</v>
      </c>
      <c r="AZ177" s="437" t="n">
        <f aca="false">AG177</f>
        <v>0.165</v>
      </c>
      <c r="BA177" s="441" t="n">
        <f aca="false">AG177</f>
        <v>0.165</v>
      </c>
      <c r="BB177" s="442" t="n">
        <f aca="false">B177</f>
        <v>41671</v>
      </c>
      <c r="BC177" s="437" t="n">
        <f aca="false">(1+$AW177/2)^(-2*($B177-$BC$11)/365.25)</f>
        <v>0.395699606386708</v>
      </c>
      <c r="BD177" s="437" t="n">
        <f aca="false">(1+$AW177/2)^(-2*($B177-$BD$11)/365.25)</f>
        <v>0.395774405111965</v>
      </c>
      <c r="BF177" s="442" t="n">
        <f aca="false">B177</f>
        <v>41671</v>
      </c>
      <c r="BG177" s="418" t="n">
        <v>165</v>
      </c>
    </row>
    <row r="178" customFormat="false" ht="12" hidden="false" customHeight="false" outlineLevel="0" collapsed="false">
      <c r="B178" s="419" t="n">
        <f aca="false">EOMONTH(B177,0)+1</f>
        <v>41699</v>
      </c>
      <c r="C178" s="420" t="n">
        <v>3.419</v>
      </c>
      <c r="D178" s="420" t="n">
        <v>0.15</v>
      </c>
      <c r="E178" s="420" t="n">
        <v>0.070610055891074</v>
      </c>
      <c r="F178" s="420" t="n">
        <v>-0.205</v>
      </c>
      <c r="G178" s="420" t="n">
        <v>-0.0275</v>
      </c>
      <c r="H178" s="420" t="n">
        <v>-0.205</v>
      </c>
      <c r="I178" s="420" t="n">
        <v>0.258</v>
      </c>
      <c r="J178" s="420" t="n">
        <v>0.265</v>
      </c>
      <c r="K178" s="420" t="n">
        <v>0.3025</v>
      </c>
      <c r="L178" s="420" t="n">
        <v>-0.061</v>
      </c>
      <c r="M178" s="420" t="n">
        <v>0.0035</v>
      </c>
      <c r="N178" s="420" t="n">
        <v>0</v>
      </c>
      <c r="O178" s="420" t="n">
        <v>-0.18</v>
      </c>
      <c r="P178" s="420" t="n">
        <v>0.016</v>
      </c>
      <c r="Q178" s="420" t="n">
        <v>0.0065</v>
      </c>
      <c r="R178" s="436" t="n">
        <v>-0.009999999</v>
      </c>
      <c r="S178" s="418" t="n">
        <v>-0.0375</v>
      </c>
      <c r="T178" s="418" t="n">
        <v>-0.035</v>
      </c>
      <c r="U178" s="418" t="n">
        <v>-0.001999999</v>
      </c>
      <c r="V178" s="418" t="n">
        <v>-0.09</v>
      </c>
      <c r="W178" s="418" t="n">
        <v>-0.1325</v>
      </c>
      <c r="X178" s="418" t="n">
        <v>0.835</v>
      </c>
      <c r="Y178" s="418" t="n">
        <v>0.005</v>
      </c>
      <c r="Z178" s="418" t="n">
        <v>-0.19</v>
      </c>
      <c r="AA178" s="418" t="n">
        <v>-0.0145</v>
      </c>
      <c r="AB178" s="437" t="n">
        <v>0.12</v>
      </c>
      <c r="AC178" s="437" t="n">
        <v>0.6075</v>
      </c>
      <c r="AD178" s="437" t="n">
        <v>0.353</v>
      </c>
      <c r="AE178" s="438" t="n">
        <v>0.15</v>
      </c>
      <c r="AF178" s="438" t="n">
        <v>0.15</v>
      </c>
      <c r="AG178" s="438" t="n">
        <v>0.165</v>
      </c>
      <c r="AH178" s="438" t="n">
        <v>0.15</v>
      </c>
      <c r="AI178" s="438" t="n">
        <v>0.153</v>
      </c>
      <c r="AJ178" s="438" t="n">
        <v>0.15</v>
      </c>
      <c r="AK178" s="438" t="n">
        <v>0.15</v>
      </c>
      <c r="AL178" s="438" t="n">
        <v>0.15</v>
      </c>
      <c r="AM178" s="438" t="n">
        <v>0.15</v>
      </c>
      <c r="AN178" s="438" t="n">
        <v>0.15</v>
      </c>
      <c r="AO178" s="438" t="n">
        <v>0.15</v>
      </c>
      <c r="AP178" s="439" t="n">
        <v>0.15</v>
      </c>
      <c r="AQ178" s="439" t="n">
        <v>0.15</v>
      </c>
      <c r="AR178" s="439" t="n">
        <v>0.15</v>
      </c>
      <c r="AS178" s="439" t="n">
        <v>0.15</v>
      </c>
      <c r="AT178" s="438" t="n">
        <v>0.15</v>
      </c>
      <c r="AU178" s="438" t="n">
        <v>0.15</v>
      </c>
      <c r="AV178" s="438" t="n">
        <v>0.165</v>
      </c>
      <c r="AW178" s="418" t="n">
        <v>0.070247953302418</v>
      </c>
      <c r="AY178" s="437" t="n">
        <f aca="false">AG178</f>
        <v>0.165</v>
      </c>
      <c r="AZ178" s="437" t="n">
        <f aca="false">AG178</f>
        <v>0.165</v>
      </c>
      <c r="BA178" s="441" t="n">
        <f aca="false">AG178</f>
        <v>0.165</v>
      </c>
      <c r="BB178" s="442" t="n">
        <f aca="false">B178</f>
        <v>41699</v>
      </c>
      <c r="BC178" s="437" t="n">
        <f aca="false">(1+$AW178/2)^(-2*($B178-$BC$11)/365.25)</f>
        <v>0.393578718039519</v>
      </c>
      <c r="BD178" s="437" t="n">
        <f aca="false">(1+$AW178/2)^(-2*($B178-$BD$11)/365.25)</f>
        <v>0.393653122394563</v>
      </c>
      <c r="BF178" s="442" t="n">
        <f aca="false">B178</f>
        <v>41699</v>
      </c>
      <c r="BG178" s="418" t="n">
        <v>166</v>
      </c>
    </row>
    <row r="179" customFormat="false" ht="12" hidden="false" customHeight="false" outlineLevel="0" collapsed="false">
      <c r="B179" s="419" t="n">
        <f aca="false">EOMONTH(B178,0)+1</f>
        <v>41730</v>
      </c>
      <c r="C179" s="420" t="n">
        <v>3.274</v>
      </c>
      <c r="D179" s="420" t="n">
        <v>0.15</v>
      </c>
      <c r="E179" s="420" t="n">
        <v>0.07061122190672</v>
      </c>
      <c r="F179" s="420" t="n">
        <v>-0.195</v>
      </c>
      <c r="G179" s="420" t="n">
        <v>0.015</v>
      </c>
      <c r="H179" s="420" t="n">
        <v>-0.195</v>
      </c>
      <c r="I179" s="420" t="n">
        <v>0.163</v>
      </c>
      <c r="J179" s="420" t="n">
        <v>0.195</v>
      </c>
      <c r="K179" s="420" t="n">
        <v>0.25</v>
      </c>
      <c r="L179" s="420" t="n">
        <v>-0.054</v>
      </c>
      <c r="M179" s="420" t="n">
        <v>-0.003999999</v>
      </c>
      <c r="N179" s="420" t="n">
        <v>0</v>
      </c>
      <c r="O179" s="420" t="n">
        <v>-0.29</v>
      </c>
      <c r="P179" s="420" t="n">
        <v>0.0065</v>
      </c>
      <c r="Q179" s="420" t="n">
        <v>0.0165</v>
      </c>
      <c r="R179" s="436" t="n">
        <v>-0.009499999</v>
      </c>
      <c r="S179" s="418" t="n">
        <v>-0.03</v>
      </c>
      <c r="T179" s="418" t="n">
        <v>-0.08</v>
      </c>
      <c r="U179" s="436" t="n">
        <v>-0.001999999</v>
      </c>
      <c r="V179" s="418" t="n">
        <v>-0.0825</v>
      </c>
      <c r="W179" s="418" t="n">
        <v>-0.12</v>
      </c>
      <c r="X179" s="418" t="n">
        <v>0.45</v>
      </c>
      <c r="Y179" s="418" t="n">
        <v>0.005</v>
      </c>
      <c r="Z179" s="418" t="n">
        <v>-0.19</v>
      </c>
      <c r="AA179" s="418" t="n">
        <v>-0.012</v>
      </c>
      <c r="AB179" s="437" t="n">
        <v>0.295</v>
      </c>
      <c r="AC179" s="437" t="n">
        <v>0.355</v>
      </c>
      <c r="AD179" s="437" t="n">
        <v>0.258</v>
      </c>
      <c r="AE179" s="438" t="n">
        <v>0.15</v>
      </c>
      <c r="AF179" s="438" t="n">
        <v>0.15</v>
      </c>
      <c r="AG179" s="438" t="n">
        <v>0.147</v>
      </c>
      <c r="AH179" s="438" t="n">
        <v>0.15</v>
      </c>
      <c r="AI179" s="438" t="n">
        <v>0.153</v>
      </c>
      <c r="AJ179" s="438" t="n">
        <v>0.15</v>
      </c>
      <c r="AK179" s="438" t="n">
        <v>0.147</v>
      </c>
      <c r="AL179" s="438" t="n">
        <v>0.147</v>
      </c>
      <c r="AM179" s="438" t="n">
        <v>0.15</v>
      </c>
      <c r="AN179" s="438" t="n">
        <v>0.15</v>
      </c>
      <c r="AO179" s="438" t="n">
        <v>0.15</v>
      </c>
      <c r="AP179" s="439" t="n">
        <v>0.15</v>
      </c>
      <c r="AQ179" s="439" t="n">
        <v>0.15</v>
      </c>
      <c r="AR179" s="439" t="n">
        <v>0.15</v>
      </c>
      <c r="AS179" s="439" t="n">
        <v>0.15</v>
      </c>
      <c r="AT179" s="438" t="n">
        <v>0.15</v>
      </c>
      <c r="AU179" s="438" t="n">
        <v>0.15</v>
      </c>
      <c r="AV179" s="438" t="n">
        <v>0.147</v>
      </c>
      <c r="AW179" s="418" t="n">
        <v>0.070254906819465</v>
      </c>
      <c r="AY179" s="437" t="n">
        <f aca="false">AG179</f>
        <v>0.147</v>
      </c>
      <c r="AZ179" s="437" t="n">
        <f aca="false">AG179</f>
        <v>0.147</v>
      </c>
      <c r="BA179" s="441" t="n">
        <f aca="false">AG179</f>
        <v>0.147</v>
      </c>
      <c r="BB179" s="442" t="n">
        <f aca="false">B179</f>
        <v>41730</v>
      </c>
      <c r="BC179" s="437" t="n">
        <f aca="false">(1+$AW179/2)^(-2*($B179-$BC$11)/365.25)</f>
        <v>0.391243424505108</v>
      </c>
      <c r="BD179" s="437" t="n">
        <f aca="false">(1+$AW179/2)^(-2*($B179-$BD$11)/365.25)</f>
        <v>0.391317394579986</v>
      </c>
      <c r="BF179" s="442" t="n">
        <f aca="false">B179</f>
        <v>41730</v>
      </c>
      <c r="BG179" s="418" t="n">
        <v>167</v>
      </c>
    </row>
    <row r="180" customFormat="false" ht="12" hidden="false" customHeight="false" outlineLevel="0" collapsed="false">
      <c r="B180" s="419" t="n">
        <f aca="false">EOMONTH(B179,0)+1</f>
        <v>41760</v>
      </c>
      <c r="C180" s="420" t="n">
        <v>3.273</v>
      </c>
      <c r="D180" s="420" t="n">
        <v>0.15</v>
      </c>
      <c r="E180" s="420" t="n">
        <v>0.070612350308958</v>
      </c>
      <c r="F180" s="420" t="n">
        <v>-0.195</v>
      </c>
      <c r="G180" s="420" t="n">
        <v>0.015</v>
      </c>
      <c r="H180" s="420" t="n">
        <v>-0.195</v>
      </c>
      <c r="I180" s="420" t="n">
        <v>0.173</v>
      </c>
      <c r="J180" s="420" t="n">
        <v>0.1825</v>
      </c>
      <c r="K180" s="420" t="n">
        <v>0.2025</v>
      </c>
      <c r="L180" s="420" t="n">
        <v>-0.054</v>
      </c>
      <c r="M180" s="435" t="n">
        <v>-0.003999999</v>
      </c>
      <c r="N180" s="420" t="n">
        <v>0</v>
      </c>
      <c r="O180" s="420" t="n">
        <v>-0.29</v>
      </c>
      <c r="P180" s="420" t="n">
        <v>0.0065</v>
      </c>
      <c r="Q180" s="420" t="n">
        <v>0.0165</v>
      </c>
      <c r="R180" s="436" t="n">
        <v>-0.009499999</v>
      </c>
      <c r="S180" s="418" t="n">
        <v>-0.03</v>
      </c>
      <c r="T180" s="418" t="n">
        <v>-0.095</v>
      </c>
      <c r="U180" s="436" t="n">
        <v>-0.00225</v>
      </c>
      <c r="V180" s="418" t="n">
        <v>-0.0825</v>
      </c>
      <c r="W180" s="418" t="n">
        <v>-0.12</v>
      </c>
      <c r="X180" s="418" t="n">
        <v>0.405</v>
      </c>
      <c r="Y180" s="418" t="n">
        <v>0.005</v>
      </c>
      <c r="Z180" s="418" t="n">
        <v>-0.19</v>
      </c>
      <c r="AA180" s="418" t="n">
        <v>-0.012</v>
      </c>
      <c r="AB180" s="437" t="n">
        <v>0.295</v>
      </c>
      <c r="AC180" s="437" t="n">
        <v>0.2875</v>
      </c>
      <c r="AD180" s="437" t="n">
        <v>0.268</v>
      </c>
      <c r="AE180" s="438" t="n">
        <v>0.15</v>
      </c>
      <c r="AF180" s="438" t="n">
        <v>0.15</v>
      </c>
      <c r="AG180" s="438" t="n">
        <v>0.147</v>
      </c>
      <c r="AH180" s="438" t="n">
        <v>0.15</v>
      </c>
      <c r="AI180" s="438" t="n">
        <v>0.153</v>
      </c>
      <c r="AJ180" s="438" t="n">
        <v>0.15</v>
      </c>
      <c r="AK180" s="438" t="n">
        <v>0.147</v>
      </c>
      <c r="AL180" s="438" t="n">
        <v>0.147</v>
      </c>
      <c r="AM180" s="438" t="n">
        <v>0.15</v>
      </c>
      <c r="AN180" s="438" t="n">
        <v>0.15</v>
      </c>
      <c r="AO180" s="438" t="n">
        <v>0.15</v>
      </c>
      <c r="AP180" s="439" t="n">
        <v>0.15</v>
      </c>
      <c r="AQ180" s="439" t="n">
        <v>0.15</v>
      </c>
      <c r="AR180" s="439" t="n">
        <v>0.15</v>
      </c>
      <c r="AS180" s="439" t="n">
        <v>0.15</v>
      </c>
      <c r="AT180" s="438" t="n">
        <v>0.15</v>
      </c>
      <c r="AU180" s="438" t="n">
        <v>0.15</v>
      </c>
      <c r="AV180" s="438" t="n">
        <v>0.147</v>
      </c>
      <c r="AW180" s="418" t="n">
        <v>0.070261636029524</v>
      </c>
      <c r="AY180" s="437" t="n">
        <f aca="false">AG180</f>
        <v>0.147</v>
      </c>
      <c r="AZ180" s="437" t="n">
        <f aca="false">AG180</f>
        <v>0.147</v>
      </c>
      <c r="BA180" s="441" t="n">
        <f aca="false">AG180</f>
        <v>0.147</v>
      </c>
      <c r="BB180" s="442" t="n">
        <f aca="false">B180</f>
        <v>41760</v>
      </c>
      <c r="BC180" s="437" t="n">
        <f aca="false">(1+$AW180/2)^(-2*($B180-$BC$11)/365.25)</f>
        <v>0.38899623481004</v>
      </c>
      <c r="BD180" s="437" t="n">
        <f aca="false">(1+$AW180/2)^(-2*($B180-$BD$11)/365.25)</f>
        <v>0.389069786946877</v>
      </c>
      <c r="BF180" s="442" t="n">
        <f aca="false">B180</f>
        <v>41760</v>
      </c>
      <c r="BG180" s="418" t="n">
        <v>168</v>
      </c>
    </row>
    <row r="181" customFormat="false" ht="12" hidden="false" customHeight="false" outlineLevel="0" collapsed="false">
      <c r="B181" s="419" t="n">
        <f aca="false">EOMONTH(B180,0)+1</f>
        <v>41791</v>
      </c>
      <c r="C181" s="420" t="n">
        <v>3.304</v>
      </c>
      <c r="D181" s="420" t="n">
        <v>0.15</v>
      </c>
      <c r="E181" s="420" t="n">
        <v>0.070613516324605</v>
      </c>
      <c r="F181" s="420" t="n">
        <v>-0.195</v>
      </c>
      <c r="G181" s="420" t="n">
        <v>0.02</v>
      </c>
      <c r="H181" s="420" t="n">
        <v>-0.195</v>
      </c>
      <c r="I181" s="420" t="n">
        <v>0.168</v>
      </c>
      <c r="J181" s="420" t="n">
        <v>0.1825</v>
      </c>
      <c r="K181" s="420" t="n">
        <v>0.2025</v>
      </c>
      <c r="L181" s="420" t="n">
        <v>-0.07</v>
      </c>
      <c r="M181" s="435" t="n">
        <v>-0.003999999</v>
      </c>
      <c r="N181" s="420" t="n">
        <v>0</v>
      </c>
      <c r="O181" s="420" t="n">
        <v>-0.29</v>
      </c>
      <c r="P181" s="420" t="n">
        <v>0.0065</v>
      </c>
      <c r="Q181" s="420" t="n">
        <v>0.0165</v>
      </c>
      <c r="R181" s="436" t="n">
        <v>-0.009499999</v>
      </c>
      <c r="S181" s="418" t="n">
        <v>-0.03</v>
      </c>
      <c r="T181" s="418" t="n">
        <v>-0.105</v>
      </c>
      <c r="U181" s="418" t="n">
        <v>-0.00225</v>
      </c>
      <c r="V181" s="418" t="n">
        <v>-0.0725</v>
      </c>
      <c r="W181" s="418" t="n">
        <v>-0.12</v>
      </c>
      <c r="X181" s="418" t="n">
        <v>0.395</v>
      </c>
      <c r="Y181" s="418" t="n">
        <v>0.005</v>
      </c>
      <c r="Z181" s="418" t="n">
        <v>-0.19</v>
      </c>
      <c r="AA181" s="418" t="n">
        <v>-0.012</v>
      </c>
      <c r="AB181" s="437" t="n">
        <v>0.295</v>
      </c>
      <c r="AC181" s="437" t="n">
        <v>0.2875</v>
      </c>
      <c r="AD181" s="437" t="n">
        <v>0.263</v>
      </c>
      <c r="AE181" s="438" t="n">
        <v>0.15</v>
      </c>
      <c r="AF181" s="438" t="n">
        <v>0.15</v>
      </c>
      <c r="AG181" s="438" t="n">
        <v>0.147</v>
      </c>
      <c r="AH181" s="438" t="n">
        <v>0.15</v>
      </c>
      <c r="AI181" s="438" t="n">
        <v>0.153</v>
      </c>
      <c r="AJ181" s="438" t="n">
        <v>0.15</v>
      </c>
      <c r="AK181" s="438" t="n">
        <v>0.147</v>
      </c>
      <c r="AL181" s="438" t="n">
        <v>0.147</v>
      </c>
      <c r="AM181" s="438" t="n">
        <v>0.15</v>
      </c>
      <c r="AN181" s="438" t="n">
        <v>0.15</v>
      </c>
      <c r="AO181" s="438" t="n">
        <v>0.15</v>
      </c>
      <c r="AP181" s="439" t="n">
        <v>0.15</v>
      </c>
      <c r="AQ181" s="439" t="n">
        <v>0.15</v>
      </c>
      <c r="AR181" s="439" t="n">
        <v>0.15</v>
      </c>
      <c r="AS181" s="439" t="n">
        <v>0.15</v>
      </c>
      <c r="AT181" s="438" t="n">
        <v>0.15</v>
      </c>
      <c r="AU181" s="438" t="n">
        <v>0.15</v>
      </c>
      <c r="AV181" s="438" t="n">
        <v>0.147</v>
      </c>
      <c r="AW181" s="418" t="n">
        <v>0.070268589546602</v>
      </c>
      <c r="AY181" s="437" t="n">
        <f aca="false">AG181</f>
        <v>0.147</v>
      </c>
      <c r="AZ181" s="437" t="n">
        <f aca="false">AG181</f>
        <v>0.147</v>
      </c>
      <c r="BA181" s="441" t="n">
        <f aca="false">AG181</f>
        <v>0.147</v>
      </c>
      <c r="BB181" s="442" t="n">
        <f aca="false">B181</f>
        <v>41791</v>
      </c>
      <c r="BC181" s="437" t="n">
        <f aca="false">(1+$AW181/2)^(-2*($B181-$BC$11)/365.25)</f>
        <v>0.386687263965564</v>
      </c>
      <c r="BD181" s="437" t="n">
        <f aca="false">(1+$AW181/2)^(-2*($B181-$BD$11)/365.25)</f>
        <v>0.386760386630992</v>
      </c>
      <c r="BF181" s="442" t="n">
        <f aca="false">B181</f>
        <v>41791</v>
      </c>
      <c r="BG181" s="418" t="n">
        <v>169</v>
      </c>
    </row>
    <row r="182" customFormat="false" ht="12" hidden="false" customHeight="false" outlineLevel="0" collapsed="false">
      <c r="B182" s="419" t="n">
        <f aca="false">EOMONTH(B181,0)+1</f>
        <v>41821</v>
      </c>
      <c r="C182" s="420" t="n">
        <v>3.326</v>
      </c>
      <c r="D182" s="420" t="n">
        <v>0.15</v>
      </c>
      <c r="E182" s="420" t="n">
        <v>0.070614644726844</v>
      </c>
      <c r="F182" s="420" t="n">
        <v>-0.195</v>
      </c>
      <c r="G182" s="420" t="n">
        <v>0.0225</v>
      </c>
      <c r="H182" s="420" t="n">
        <v>-0.195</v>
      </c>
      <c r="I182" s="420" t="n">
        <v>0.158</v>
      </c>
      <c r="J182" s="420" t="n">
        <v>0.1825</v>
      </c>
      <c r="K182" s="420" t="n">
        <v>0.215</v>
      </c>
      <c r="L182" s="420" t="n">
        <v>-0.063</v>
      </c>
      <c r="M182" s="435" t="n">
        <v>-0.003999999</v>
      </c>
      <c r="N182" s="420" t="n">
        <v>0</v>
      </c>
      <c r="O182" s="420" t="n">
        <v>-0.29</v>
      </c>
      <c r="P182" s="420" t="n">
        <v>0.0065</v>
      </c>
      <c r="Q182" s="420" t="n">
        <v>0.0165</v>
      </c>
      <c r="R182" s="436" t="n">
        <v>-0.009499999</v>
      </c>
      <c r="S182" s="418" t="n">
        <v>-0.03</v>
      </c>
      <c r="T182" s="418" t="n">
        <v>-0.105</v>
      </c>
      <c r="U182" s="418" t="n">
        <v>-0.00225</v>
      </c>
      <c r="V182" s="418" t="n">
        <v>-0.0675</v>
      </c>
      <c r="W182" s="418" t="n">
        <v>-0.12</v>
      </c>
      <c r="X182" s="418" t="n">
        <v>0.43</v>
      </c>
      <c r="Y182" s="418" t="n">
        <v>0.005</v>
      </c>
      <c r="Z182" s="418" t="n">
        <v>-0.19</v>
      </c>
      <c r="AA182" s="418" t="n">
        <v>-0.012</v>
      </c>
      <c r="AB182" s="437" t="n">
        <v>0.295</v>
      </c>
      <c r="AC182" s="437" t="n">
        <v>0.3</v>
      </c>
      <c r="AD182" s="437" t="n">
        <v>0.253</v>
      </c>
      <c r="AE182" s="438" t="n">
        <v>0.15</v>
      </c>
      <c r="AF182" s="438" t="n">
        <v>0.15</v>
      </c>
      <c r="AG182" s="438" t="n">
        <v>0.147</v>
      </c>
      <c r="AH182" s="438" t="n">
        <v>0.15</v>
      </c>
      <c r="AI182" s="438" t="n">
        <v>0.153</v>
      </c>
      <c r="AJ182" s="438" t="n">
        <v>0.15</v>
      </c>
      <c r="AK182" s="438" t="n">
        <v>0.147</v>
      </c>
      <c r="AL182" s="438" t="n">
        <v>0.147</v>
      </c>
      <c r="AM182" s="438" t="n">
        <v>0.15</v>
      </c>
      <c r="AN182" s="438" t="n">
        <v>0.15</v>
      </c>
      <c r="AO182" s="438" t="n">
        <v>0.15</v>
      </c>
      <c r="AP182" s="439" t="n">
        <v>0.15</v>
      </c>
      <c r="AQ182" s="439" t="n">
        <v>0.15</v>
      </c>
      <c r="AR182" s="439" t="n">
        <v>0.15</v>
      </c>
      <c r="AS182" s="439" t="n">
        <v>0.15</v>
      </c>
      <c r="AT182" s="438" t="n">
        <v>0.15</v>
      </c>
      <c r="AU182" s="438" t="n">
        <v>0.15</v>
      </c>
      <c r="AV182" s="438" t="n">
        <v>0.147</v>
      </c>
      <c r="AW182" s="418" t="n">
        <v>0.070275318756692</v>
      </c>
      <c r="AY182" s="437" t="n">
        <f aca="false">AG182</f>
        <v>0.147</v>
      </c>
      <c r="AZ182" s="437" t="n">
        <f aca="false">AG182</f>
        <v>0.147</v>
      </c>
      <c r="BA182" s="441" t="n">
        <f aca="false">AG182</f>
        <v>0.147</v>
      </c>
      <c r="BB182" s="442" t="n">
        <f aca="false">B182</f>
        <v>41821</v>
      </c>
      <c r="BC182" s="437" t="n">
        <f aca="false">(1+$AW182/2)^(-2*($B182-$BC$11)/365.25)</f>
        <v>0.384465408947483</v>
      </c>
      <c r="BD182" s="437" t="n">
        <f aca="false">(1+$AW182/2)^(-2*($B182-$BD$11)/365.25)</f>
        <v>0.384538118303623</v>
      </c>
      <c r="BF182" s="442" t="n">
        <f aca="false">B182</f>
        <v>41821</v>
      </c>
      <c r="BG182" s="418" t="n">
        <v>170</v>
      </c>
    </row>
    <row r="183" customFormat="false" ht="12" hidden="false" customHeight="false" outlineLevel="0" collapsed="false">
      <c r="B183" s="419" t="n">
        <f aca="false">EOMONTH(B182,0)+1</f>
        <v>41852</v>
      </c>
      <c r="C183" s="420" t="n">
        <v>3.347</v>
      </c>
      <c r="D183" s="420" t="n">
        <v>0.15</v>
      </c>
      <c r="E183" s="420" t="n">
        <v>0.070615810742491</v>
      </c>
      <c r="F183" s="420" t="n">
        <v>-0.195</v>
      </c>
      <c r="G183" s="420" t="n">
        <v>0.025</v>
      </c>
      <c r="H183" s="420" t="n">
        <v>-0.195</v>
      </c>
      <c r="I183" s="420" t="n">
        <v>0.155</v>
      </c>
      <c r="J183" s="420" t="n">
        <v>0.1825</v>
      </c>
      <c r="K183" s="420" t="n">
        <v>0.215</v>
      </c>
      <c r="L183" s="420" t="n">
        <v>-0.054</v>
      </c>
      <c r="M183" s="435" t="n">
        <v>-0.003999999</v>
      </c>
      <c r="N183" s="420" t="n">
        <v>0</v>
      </c>
      <c r="O183" s="420" t="n">
        <v>-0.29</v>
      </c>
      <c r="P183" s="420" t="n">
        <v>0.0065</v>
      </c>
      <c r="Q183" s="420" t="n">
        <v>0.0165</v>
      </c>
      <c r="R183" s="436" t="n">
        <v>-0.009499999</v>
      </c>
      <c r="S183" s="418" t="n">
        <v>-0.03</v>
      </c>
      <c r="T183" s="418" t="n">
        <v>-0.105</v>
      </c>
      <c r="U183" s="418" t="n">
        <v>-0.00225</v>
      </c>
      <c r="V183" s="418" t="n">
        <v>-0.0675</v>
      </c>
      <c r="W183" s="418" t="n">
        <v>-0.12</v>
      </c>
      <c r="X183" s="418" t="n">
        <v>0.495</v>
      </c>
      <c r="Y183" s="418" t="n">
        <v>0.005</v>
      </c>
      <c r="Z183" s="418" t="n">
        <v>-0.19</v>
      </c>
      <c r="AA183" s="418" t="n">
        <v>-0.012</v>
      </c>
      <c r="AB183" s="437" t="n">
        <v>0.295</v>
      </c>
      <c r="AC183" s="437" t="n">
        <v>0.3</v>
      </c>
      <c r="AD183" s="437" t="n">
        <v>0.25</v>
      </c>
      <c r="AE183" s="438" t="n">
        <v>0.15</v>
      </c>
      <c r="AF183" s="438" t="n">
        <v>0.15</v>
      </c>
      <c r="AG183" s="438" t="n">
        <v>0.147</v>
      </c>
      <c r="AH183" s="438" t="n">
        <v>0.15</v>
      </c>
      <c r="AI183" s="438" t="n">
        <v>0.153</v>
      </c>
      <c r="AJ183" s="438" t="n">
        <v>0.15</v>
      </c>
      <c r="AK183" s="438" t="n">
        <v>0.147</v>
      </c>
      <c r="AL183" s="438" t="n">
        <v>0.147</v>
      </c>
      <c r="AM183" s="438" t="n">
        <v>0.15</v>
      </c>
      <c r="AN183" s="438" t="n">
        <v>0.15</v>
      </c>
      <c r="AO183" s="438" t="n">
        <v>0.15</v>
      </c>
      <c r="AP183" s="439" t="n">
        <v>0.15</v>
      </c>
      <c r="AQ183" s="439" t="n">
        <v>0.15</v>
      </c>
      <c r="AR183" s="439" t="n">
        <v>0.15</v>
      </c>
      <c r="AS183" s="439" t="n">
        <v>0.15</v>
      </c>
      <c r="AT183" s="438" t="n">
        <v>0.15</v>
      </c>
      <c r="AU183" s="438" t="n">
        <v>0.15</v>
      </c>
      <c r="AV183" s="438" t="n">
        <v>0.147</v>
      </c>
      <c r="AW183" s="418" t="n">
        <v>0.070282272273801</v>
      </c>
      <c r="AY183" s="437" t="n">
        <f aca="false">AG183</f>
        <v>0.147</v>
      </c>
      <c r="AZ183" s="437" t="n">
        <f aca="false">AG183</f>
        <v>0.147</v>
      </c>
      <c r="BA183" s="441" t="n">
        <f aca="false">AG183</f>
        <v>0.147</v>
      </c>
      <c r="BB183" s="442" t="n">
        <f aca="false">B183</f>
        <v>41852</v>
      </c>
      <c r="BC183" s="437" t="n">
        <f aca="false">(1+$AW183/2)^(-2*($B183-$BC$11)/365.25)</f>
        <v>0.382182474501342</v>
      </c>
      <c r="BD183" s="437" t="n">
        <f aca="false">(1+$AW183/2)^(-2*($B183-$BD$11)/365.25)</f>
        <v>0.382254759143536</v>
      </c>
      <c r="BF183" s="442" t="n">
        <f aca="false">B183</f>
        <v>41852</v>
      </c>
      <c r="BG183" s="418" t="n">
        <v>171</v>
      </c>
    </row>
    <row r="184" customFormat="false" ht="12" hidden="false" customHeight="false" outlineLevel="0" collapsed="false">
      <c r="B184" s="419" t="n">
        <f aca="false">EOMONTH(B183,0)+1</f>
        <v>41883</v>
      </c>
      <c r="C184" s="420" t="n">
        <v>3.319</v>
      </c>
      <c r="D184" s="420" t="n">
        <v>0.15</v>
      </c>
      <c r="E184" s="420" t="n">
        <v>0.070616976758139</v>
      </c>
      <c r="F184" s="420" t="n">
        <v>-0.195</v>
      </c>
      <c r="G184" s="420" t="n">
        <v>0.0175</v>
      </c>
      <c r="H184" s="420" t="n">
        <v>-0.195</v>
      </c>
      <c r="I184" s="420" t="n">
        <v>0.153</v>
      </c>
      <c r="J184" s="420" t="n">
        <v>0.1825</v>
      </c>
      <c r="K184" s="420" t="n">
        <v>0.195</v>
      </c>
      <c r="L184" s="420" t="n">
        <v>-0.034</v>
      </c>
      <c r="M184" s="435" t="n">
        <v>-0.003999999</v>
      </c>
      <c r="N184" s="420" t="n">
        <v>0</v>
      </c>
      <c r="O184" s="420" t="n">
        <v>-0.29</v>
      </c>
      <c r="P184" s="420" t="n">
        <v>0.0065</v>
      </c>
      <c r="Q184" s="420" t="n">
        <v>0.0165</v>
      </c>
      <c r="R184" s="436" t="n">
        <v>-0.009499999</v>
      </c>
      <c r="S184" s="418" t="n">
        <v>-0.03</v>
      </c>
      <c r="T184" s="418" t="n">
        <v>-0.095</v>
      </c>
      <c r="U184" s="418" t="n">
        <v>-0.00225</v>
      </c>
      <c r="V184" s="418" t="n">
        <v>-0.0825</v>
      </c>
      <c r="W184" s="418" t="n">
        <v>-0.12</v>
      </c>
      <c r="X184" s="418" t="n">
        <v>0.395</v>
      </c>
      <c r="Y184" s="418" t="n">
        <v>0.005</v>
      </c>
      <c r="Z184" s="418" t="n">
        <v>-0.19</v>
      </c>
      <c r="AA184" s="418" t="n">
        <v>-0.012</v>
      </c>
      <c r="AB184" s="437" t="n">
        <v>0.295</v>
      </c>
      <c r="AC184" s="437" t="n">
        <v>0.29</v>
      </c>
      <c r="AD184" s="437" t="n">
        <v>0.248</v>
      </c>
      <c r="AE184" s="438" t="n">
        <v>0.15</v>
      </c>
      <c r="AF184" s="438" t="n">
        <v>0.15</v>
      </c>
      <c r="AG184" s="438" t="n">
        <v>0.147</v>
      </c>
      <c r="AH184" s="438" t="n">
        <v>0.15</v>
      </c>
      <c r="AI184" s="438" t="n">
        <v>0.153</v>
      </c>
      <c r="AJ184" s="438" t="n">
        <v>0.15</v>
      </c>
      <c r="AK184" s="438" t="n">
        <v>0.147</v>
      </c>
      <c r="AL184" s="438" t="n">
        <v>0.147</v>
      </c>
      <c r="AM184" s="438" t="n">
        <v>0.15</v>
      </c>
      <c r="AN184" s="438" t="n">
        <v>0.15</v>
      </c>
      <c r="AO184" s="438" t="n">
        <v>0.15</v>
      </c>
      <c r="AP184" s="439" t="n">
        <v>0.15</v>
      </c>
      <c r="AQ184" s="439" t="n">
        <v>0.15</v>
      </c>
      <c r="AR184" s="439" t="n">
        <v>0.15</v>
      </c>
      <c r="AS184" s="439" t="n">
        <v>0.15</v>
      </c>
      <c r="AT184" s="438" t="n">
        <v>0.15</v>
      </c>
      <c r="AU184" s="438" t="n">
        <v>0.15</v>
      </c>
      <c r="AV184" s="438" t="n">
        <v>0.147</v>
      </c>
      <c r="AW184" s="418" t="n">
        <v>0.070289225790926</v>
      </c>
      <c r="AY184" s="437" t="n">
        <f aca="false">AG184</f>
        <v>0.147</v>
      </c>
      <c r="AZ184" s="437" t="n">
        <f aca="false">AG184</f>
        <v>0.147</v>
      </c>
      <c r="BA184" s="441" t="n">
        <f aca="false">AG184</f>
        <v>0.147</v>
      </c>
      <c r="BB184" s="442" t="n">
        <f aca="false">B184</f>
        <v>41883</v>
      </c>
      <c r="BC184" s="437" t="n">
        <f aca="false">(1+$AW184/2)^(-2*($B184-$BC$11)/365.25)</f>
        <v>0.379912662911628</v>
      </c>
      <c r="BD184" s="437" t="n">
        <f aca="false">(1+$AW184/2)^(-2*($B184-$BD$11)/365.25)</f>
        <v>0.379984525238116</v>
      </c>
      <c r="BF184" s="442" t="n">
        <f aca="false">B184</f>
        <v>41883</v>
      </c>
      <c r="BG184" s="418" t="n">
        <v>172</v>
      </c>
    </row>
    <row r="185" customFormat="false" ht="12" hidden="false" customHeight="false" outlineLevel="0" collapsed="false">
      <c r="B185" s="419" t="n">
        <f aca="false">EOMONTH(B184,0)+1</f>
        <v>41913</v>
      </c>
      <c r="C185" s="420" t="n">
        <v>3.323</v>
      </c>
      <c r="D185" s="420" t="n">
        <v>0.15</v>
      </c>
      <c r="E185" s="420" t="n">
        <v>0.07061810516038</v>
      </c>
      <c r="F185" s="420" t="n">
        <v>-0.195</v>
      </c>
      <c r="G185" s="420" t="n">
        <v>0.0075</v>
      </c>
      <c r="H185" s="420" t="n">
        <v>-0.195</v>
      </c>
      <c r="I185" s="420" t="n">
        <v>0.168</v>
      </c>
      <c r="J185" s="420" t="n">
        <v>0.1875</v>
      </c>
      <c r="K185" s="420" t="n">
        <v>0.215</v>
      </c>
      <c r="L185" s="420" t="n">
        <v>-0.044</v>
      </c>
      <c r="M185" s="435" t="n">
        <v>-0.003999999</v>
      </c>
      <c r="N185" s="420" t="n">
        <v>0</v>
      </c>
      <c r="O185" s="420" t="n">
        <v>-0.29</v>
      </c>
      <c r="P185" s="420" t="n">
        <v>0.0065</v>
      </c>
      <c r="Q185" s="420" t="n">
        <v>0.0165</v>
      </c>
      <c r="R185" s="436" t="n">
        <v>-0.009499999</v>
      </c>
      <c r="S185" s="418" t="n">
        <v>-0.03</v>
      </c>
      <c r="T185" s="418" t="n">
        <v>-0.08</v>
      </c>
      <c r="U185" s="418" t="n">
        <v>-0.0205</v>
      </c>
      <c r="V185" s="418" t="n">
        <v>-0.085</v>
      </c>
      <c r="W185" s="418" t="n">
        <v>-0.12</v>
      </c>
      <c r="X185" s="418" t="n">
        <v>0.461</v>
      </c>
      <c r="Y185" s="418" t="n">
        <v>0.005</v>
      </c>
      <c r="Z185" s="418" t="n">
        <v>-0.19</v>
      </c>
      <c r="AA185" s="418" t="n">
        <v>-0.012</v>
      </c>
      <c r="AB185" s="437" t="n">
        <v>0.295</v>
      </c>
      <c r="AC185" s="437" t="n">
        <v>0.3625</v>
      </c>
      <c r="AD185" s="437" t="n">
        <v>0.263</v>
      </c>
      <c r="AE185" s="438" t="n">
        <v>0.15</v>
      </c>
      <c r="AF185" s="438" t="n">
        <v>0.15</v>
      </c>
      <c r="AG185" s="438" t="n">
        <v>0.147</v>
      </c>
      <c r="AH185" s="438" t="n">
        <v>0.15</v>
      </c>
      <c r="AI185" s="438" t="n">
        <v>0.153</v>
      </c>
      <c r="AJ185" s="438" t="n">
        <v>0.15</v>
      </c>
      <c r="AK185" s="438" t="n">
        <v>0.147</v>
      </c>
      <c r="AL185" s="438" t="n">
        <v>0.147</v>
      </c>
      <c r="AM185" s="438" t="n">
        <v>0.15</v>
      </c>
      <c r="AN185" s="438" t="n">
        <v>0.15</v>
      </c>
      <c r="AO185" s="438" t="n">
        <v>0.15</v>
      </c>
      <c r="AP185" s="439" t="n">
        <v>0.15</v>
      </c>
      <c r="AQ185" s="439" t="n">
        <v>0.15</v>
      </c>
      <c r="AR185" s="439" t="n">
        <v>0.15</v>
      </c>
      <c r="AS185" s="439" t="n">
        <v>0.15</v>
      </c>
      <c r="AT185" s="438" t="n">
        <v>0.15</v>
      </c>
      <c r="AU185" s="438" t="n">
        <v>0.15</v>
      </c>
      <c r="AV185" s="438" t="n">
        <v>0.147</v>
      </c>
      <c r="AW185" s="418" t="n">
        <v>0.070295955001062</v>
      </c>
      <c r="AY185" s="437" t="n">
        <f aca="false">AG185</f>
        <v>0.147</v>
      </c>
      <c r="AZ185" s="437" t="n">
        <f aca="false">AG185</f>
        <v>0.147</v>
      </c>
      <c r="BA185" s="441" t="n">
        <f aca="false">AG185</f>
        <v>0.147</v>
      </c>
      <c r="BB185" s="442" t="n">
        <f aca="false">B185</f>
        <v>41913</v>
      </c>
      <c r="BC185" s="437" t="n">
        <f aca="false">(1+$AW185/2)^(-2*($B185-$BC$11)/365.25)</f>
        <v>0.377728497207594</v>
      </c>
      <c r="BD185" s="437" t="n">
        <f aca="false">(1+$AW185/2)^(-2*($B185-$BD$11)/365.25)</f>
        <v>0.377799953112623</v>
      </c>
      <c r="BF185" s="442" t="n">
        <f aca="false">B185</f>
        <v>41913</v>
      </c>
      <c r="BG185" s="418" t="n">
        <v>173</v>
      </c>
    </row>
    <row r="186" customFormat="false" ht="12" hidden="false" customHeight="false" outlineLevel="0" collapsed="false">
      <c r="B186" s="419" t="n">
        <f aca="false">EOMONTH(B185,0)+1</f>
        <v>41944</v>
      </c>
      <c r="C186" s="420" t="n">
        <v>3.36</v>
      </c>
      <c r="D186" s="420" t="n">
        <v>0.15</v>
      </c>
      <c r="E186" s="420" t="n">
        <v>0.070619271176028</v>
      </c>
      <c r="F186" s="420" t="n">
        <v>-0.19</v>
      </c>
      <c r="G186" s="420" t="n">
        <v>-0.0325</v>
      </c>
      <c r="H186" s="420" t="n">
        <v>-0.19</v>
      </c>
      <c r="I186" s="420" t="n">
        <v>0.23</v>
      </c>
      <c r="J186" s="420" t="n">
        <v>0.27</v>
      </c>
      <c r="K186" s="420" t="n">
        <v>0.2875</v>
      </c>
      <c r="L186" s="420" t="n">
        <v>-0.059</v>
      </c>
      <c r="M186" s="435" t="n">
        <v>0.0035</v>
      </c>
      <c r="N186" s="420" t="n">
        <v>0</v>
      </c>
      <c r="O186" s="420" t="n">
        <v>0</v>
      </c>
      <c r="P186" s="420" t="n">
        <v>0.016</v>
      </c>
      <c r="Q186" s="420" t="n">
        <v>0.0085</v>
      </c>
      <c r="R186" s="436" t="n">
        <v>-0.0125</v>
      </c>
      <c r="S186" s="418" t="n">
        <v>-0.03</v>
      </c>
      <c r="T186" s="418" t="n">
        <v>-0.0425</v>
      </c>
      <c r="U186" s="418" t="n">
        <v>-0.0195</v>
      </c>
      <c r="V186" s="418" t="n">
        <v>-0.0825</v>
      </c>
      <c r="W186" s="418" t="n">
        <v>-0.1325</v>
      </c>
      <c r="X186" s="418" t="n">
        <v>0.7675</v>
      </c>
      <c r="Y186" s="418" t="n">
        <v>0.005</v>
      </c>
      <c r="Z186" s="418" t="n">
        <v>-0.19</v>
      </c>
      <c r="AA186" s="418" t="n">
        <v>-0.0135</v>
      </c>
      <c r="AB186" s="437" t="n">
        <v>0.12</v>
      </c>
      <c r="AC186" s="437" t="n">
        <v>0.465</v>
      </c>
      <c r="AD186" s="437" t="n">
        <v>0.325</v>
      </c>
      <c r="AE186" s="438" t="n">
        <v>0.15</v>
      </c>
      <c r="AF186" s="438" t="n">
        <v>0.15</v>
      </c>
      <c r="AG186" s="438" t="n">
        <v>0.165</v>
      </c>
      <c r="AH186" s="438" t="n">
        <v>0.15</v>
      </c>
      <c r="AI186" s="438" t="n">
        <v>0.153</v>
      </c>
      <c r="AJ186" s="438" t="n">
        <v>0.15</v>
      </c>
      <c r="AK186" s="438" t="n">
        <v>0.15</v>
      </c>
      <c r="AL186" s="438" t="n">
        <v>0.15</v>
      </c>
      <c r="AM186" s="438" t="n">
        <v>0.15</v>
      </c>
      <c r="AN186" s="438" t="n">
        <v>0.15</v>
      </c>
      <c r="AO186" s="438" t="n">
        <v>0.15</v>
      </c>
      <c r="AP186" s="439" t="n">
        <v>0.15</v>
      </c>
      <c r="AQ186" s="439" t="n">
        <v>0.15</v>
      </c>
      <c r="AR186" s="439" t="n">
        <v>0.15</v>
      </c>
      <c r="AS186" s="439" t="n">
        <v>0.15</v>
      </c>
      <c r="AT186" s="438" t="n">
        <v>0.15</v>
      </c>
      <c r="AU186" s="438" t="n">
        <v>0.15</v>
      </c>
      <c r="AV186" s="438" t="n">
        <v>0.165</v>
      </c>
      <c r="AW186" s="418" t="n">
        <v>0.070302908518218</v>
      </c>
      <c r="AY186" s="437" t="n">
        <f aca="false">AG186</f>
        <v>0.165</v>
      </c>
      <c r="AZ186" s="437" t="n">
        <f aca="false">AG186</f>
        <v>0.165</v>
      </c>
      <c r="BA186" s="441" t="n">
        <f aca="false">AG186</f>
        <v>0.165</v>
      </c>
      <c r="BB186" s="442" t="n">
        <f aca="false">B186</f>
        <v>41944</v>
      </c>
      <c r="BC186" s="437" t="n">
        <f aca="false">(1+$AW186/2)^(-2*($B186-$BC$11)/365.25)</f>
        <v>0.375484295881412</v>
      </c>
      <c r="BD186" s="437" t="n">
        <f aca="false">(1+$AW186/2)^(-2*($B186-$BD$11)/365.25)</f>
        <v>0.375555334151834</v>
      </c>
      <c r="BF186" s="442" t="n">
        <f aca="false">B186</f>
        <v>41944</v>
      </c>
      <c r="BG186" s="418" t="n">
        <v>174</v>
      </c>
    </row>
    <row r="187" customFormat="false" ht="12" hidden="false" customHeight="false" outlineLevel="0" collapsed="false">
      <c r="B187" s="419" t="n">
        <f aca="false">EOMONTH(B186,0)+1</f>
        <v>41974</v>
      </c>
      <c r="C187" s="420" t="n">
        <v>3.413</v>
      </c>
      <c r="D187" s="420" t="n">
        <v>0.15</v>
      </c>
      <c r="E187" s="420" t="n">
        <v>0.070620399578269</v>
      </c>
      <c r="F187" s="420" t="n">
        <v>-0.1975</v>
      </c>
      <c r="G187" s="420" t="n">
        <v>-0.055</v>
      </c>
      <c r="H187" s="420" t="n">
        <v>-0.1975</v>
      </c>
      <c r="I187" s="420" t="n">
        <v>0.27</v>
      </c>
      <c r="J187" s="420" t="n">
        <v>0.305</v>
      </c>
      <c r="K187" s="420" t="n">
        <v>0.3375</v>
      </c>
      <c r="L187" s="420" t="n">
        <v>-0.059</v>
      </c>
      <c r="M187" s="420" t="n">
        <v>0.0035</v>
      </c>
      <c r="N187" s="420" t="n">
        <v>0</v>
      </c>
      <c r="O187" s="420" t="n">
        <v>0.06</v>
      </c>
      <c r="P187" s="420" t="n">
        <v>0.016</v>
      </c>
      <c r="Q187" s="420" t="n">
        <v>0.0085</v>
      </c>
      <c r="R187" s="418" t="n">
        <v>-0.0125</v>
      </c>
      <c r="S187" s="418" t="n">
        <v>-0.03</v>
      </c>
      <c r="T187" s="418" t="n">
        <v>-0.035</v>
      </c>
      <c r="U187" s="418" t="n">
        <v>-0.0195</v>
      </c>
      <c r="V187" s="418" t="n">
        <v>-0.1175</v>
      </c>
      <c r="W187" s="418" t="n">
        <v>-0.1275</v>
      </c>
      <c r="X187" s="418" t="n">
        <v>1.19</v>
      </c>
      <c r="Y187" s="418" t="n">
        <v>0.005</v>
      </c>
      <c r="Z187" s="418" t="n">
        <v>-0.19</v>
      </c>
      <c r="AA187" s="418" t="n">
        <v>-0.0135</v>
      </c>
      <c r="AB187" s="437" t="n">
        <v>0.12</v>
      </c>
      <c r="AC187" s="437" t="n">
        <v>0.8</v>
      </c>
      <c r="AD187" s="437" t="n">
        <v>0.365</v>
      </c>
      <c r="AE187" s="438" t="n">
        <v>0.15</v>
      </c>
      <c r="AF187" s="438" t="n">
        <v>0.15</v>
      </c>
      <c r="AG187" s="438" t="n">
        <v>0.165</v>
      </c>
      <c r="AH187" s="438" t="n">
        <v>0.15</v>
      </c>
      <c r="AI187" s="438" t="n">
        <v>0.153</v>
      </c>
      <c r="AJ187" s="438" t="n">
        <v>0.15</v>
      </c>
      <c r="AK187" s="438" t="n">
        <v>0.15</v>
      </c>
      <c r="AL187" s="438" t="n">
        <v>0.15</v>
      </c>
      <c r="AM187" s="438" t="n">
        <v>0.15</v>
      </c>
      <c r="AN187" s="438" t="n">
        <v>0.15</v>
      </c>
      <c r="AO187" s="438" t="n">
        <v>0.15</v>
      </c>
      <c r="AP187" s="439" t="n">
        <v>0.15</v>
      </c>
      <c r="AQ187" s="439" t="n">
        <v>0.15</v>
      </c>
      <c r="AR187" s="439" t="n">
        <v>0.15</v>
      </c>
      <c r="AS187" s="439" t="n">
        <v>0.15</v>
      </c>
      <c r="AT187" s="438" t="n">
        <v>0.15</v>
      </c>
      <c r="AU187" s="438" t="n">
        <v>0.15</v>
      </c>
      <c r="AV187" s="438" t="n">
        <v>0.165</v>
      </c>
      <c r="AW187" s="418" t="n">
        <v>0.070309637728385</v>
      </c>
      <c r="AY187" s="437" t="n">
        <f aca="false">AG187</f>
        <v>0.165</v>
      </c>
      <c r="AZ187" s="437" t="n">
        <f aca="false">AG187</f>
        <v>0.165</v>
      </c>
      <c r="BA187" s="441" t="n">
        <f aca="false">AG187</f>
        <v>0.165</v>
      </c>
      <c r="BB187" s="442" t="n">
        <f aca="false">B187</f>
        <v>41974</v>
      </c>
      <c r="BC187" s="437" t="n">
        <f aca="false">(1+$AW187/2)^(-2*($B187-$BC$11)/365.25)</f>
        <v>0.373324779022266</v>
      </c>
      <c r="BD187" s="437" t="n">
        <f aca="false">(1+$AW187/2)^(-2*($B187-$BD$11)/365.25)</f>
        <v>0.373395415377075</v>
      </c>
      <c r="BF187" s="442" t="n">
        <f aca="false">B187</f>
        <v>41974</v>
      </c>
      <c r="BG187" s="418" t="n">
        <v>175</v>
      </c>
    </row>
    <row r="188" customFormat="false" ht="12" hidden="false" customHeight="false" outlineLevel="0" collapsed="false">
      <c r="B188" s="419" t="n">
        <f aca="false">EOMONTH(B187,0)+1</f>
        <v>42005</v>
      </c>
      <c r="C188" s="420" t="n">
        <v>3.731</v>
      </c>
      <c r="D188" s="420" t="n">
        <v>0.15</v>
      </c>
      <c r="E188" s="420" t="n">
        <v>0.070621565593919</v>
      </c>
      <c r="F188" s="420" t="n">
        <v>-0.2</v>
      </c>
      <c r="G188" s="420" t="n">
        <v>-0.0575</v>
      </c>
      <c r="H188" s="420" t="n">
        <v>-0.2</v>
      </c>
      <c r="I188" s="420" t="n">
        <v>0.28</v>
      </c>
      <c r="J188" s="420" t="n">
        <v>0.305</v>
      </c>
      <c r="K188" s="420" t="n">
        <v>0.4375</v>
      </c>
      <c r="L188" s="420" t="n">
        <v>-0.059</v>
      </c>
      <c r="M188" s="420" t="n">
        <v>0.0055</v>
      </c>
      <c r="N188" s="420" t="n">
        <v>0</v>
      </c>
      <c r="P188" s="420" t="n">
        <v>0.016</v>
      </c>
      <c r="Q188" s="420" t="n">
        <v>0.0085</v>
      </c>
      <c r="R188" s="418" t="n">
        <v>-0.007999999</v>
      </c>
      <c r="S188" s="418" t="n">
        <v>-0.03</v>
      </c>
      <c r="T188" s="418" t="n">
        <v>-0.02</v>
      </c>
      <c r="U188" s="418" t="n">
        <v>-0.0195</v>
      </c>
      <c r="V188" s="418" t="n">
        <v>-0.123</v>
      </c>
      <c r="W188" s="418" t="n">
        <v>-0.1275</v>
      </c>
      <c r="X188" s="418" t="n">
        <v>1.525</v>
      </c>
      <c r="Y188" s="418" t="n">
        <v>0.005</v>
      </c>
      <c r="Z188" s="418" t="n">
        <v>-0.19</v>
      </c>
      <c r="AA188" s="418" t="n">
        <v>-0.0135</v>
      </c>
      <c r="AB188" s="437" t="n">
        <v>0.12</v>
      </c>
      <c r="AC188" s="437" t="n">
        <v>0.975</v>
      </c>
      <c r="AD188" s="437" t="n">
        <v>0.375</v>
      </c>
      <c r="AE188" s="438" t="n">
        <v>0.15</v>
      </c>
      <c r="AF188" s="438" t="n">
        <v>0.15</v>
      </c>
      <c r="AG188" s="438" t="n">
        <v>0.165</v>
      </c>
      <c r="AH188" s="438" t="n">
        <v>0.15</v>
      </c>
      <c r="AI188" s="438" t="n">
        <v>0.153</v>
      </c>
      <c r="AJ188" s="438" t="n">
        <v>0.15</v>
      </c>
      <c r="AK188" s="438" t="n">
        <v>0.15</v>
      </c>
      <c r="AL188" s="438" t="n">
        <v>0.15</v>
      </c>
      <c r="AM188" s="438" t="n">
        <v>0.15</v>
      </c>
      <c r="AN188" s="438" t="n">
        <v>0.15</v>
      </c>
      <c r="AO188" s="438" t="n">
        <v>0.15</v>
      </c>
      <c r="AP188" s="439" t="n">
        <v>0.15</v>
      </c>
      <c r="AQ188" s="439" t="n">
        <v>0.15</v>
      </c>
      <c r="AR188" s="439" t="n">
        <v>0.15</v>
      </c>
      <c r="AS188" s="439" t="n">
        <v>0.15</v>
      </c>
      <c r="AT188" s="438" t="n">
        <v>0.15</v>
      </c>
      <c r="AU188" s="438" t="n">
        <v>0.15</v>
      </c>
      <c r="AV188" s="438" t="n">
        <v>0.165</v>
      </c>
      <c r="AW188" s="418" t="n">
        <v>0.070316591245573</v>
      </c>
      <c r="AY188" s="437" t="n">
        <f aca="false">AG188</f>
        <v>0.165</v>
      </c>
      <c r="AZ188" s="437" t="n">
        <f aca="false">AG188</f>
        <v>0.165</v>
      </c>
      <c r="BA188" s="441" t="n">
        <f aca="false">AG188</f>
        <v>0.165</v>
      </c>
      <c r="BB188" s="442" t="n">
        <f aca="false">B188</f>
        <v>42005</v>
      </c>
      <c r="BC188" s="437" t="n">
        <f aca="false">(1+$AW188/2)^(-2*($B188-$BC$11)/365.25)</f>
        <v>0.371105909115695</v>
      </c>
      <c r="BD188" s="437" t="n">
        <f aca="false">(1+$AW188/2)^(-2*($B188-$BD$11)/365.25)</f>
        <v>0.371176132467011</v>
      </c>
      <c r="BF188" s="442" t="n">
        <f aca="false">B188</f>
        <v>42005</v>
      </c>
      <c r="BG188" s="418" t="n">
        <v>176</v>
      </c>
    </row>
    <row r="189" customFormat="false" ht="12" hidden="false" customHeight="false" outlineLevel="0" collapsed="false">
      <c r="B189" s="419" t="n">
        <f aca="false">EOMONTH(B188,0)+1</f>
        <v>42036</v>
      </c>
      <c r="C189" s="420" t="n">
        <v>3.637</v>
      </c>
      <c r="D189" s="420" t="n">
        <v>0.15</v>
      </c>
      <c r="E189" s="420" t="n">
        <v>0.070622731609569</v>
      </c>
      <c r="F189" s="420" t="n">
        <v>-0.2025</v>
      </c>
      <c r="G189" s="420" t="n">
        <v>-0.04</v>
      </c>
      <c r="H189" s="420" t="n">
        <v>-0.2025</v>
      </c>
      <c r="I189" s="420" t="n">
        <v>0.255</v>
      </c>
      <c r="J189" s="420" t="n">
        <v>0.305</v>
      </c>
      <c r="K189" s="420" t="n">
        <v>0.435</v>
      </c>
      <c r="L189" s="420" t="n">
        <v>-0.059</v>
      </c>
      <c r="M189" s="420" t="n">
        <v>0.0055</v>
      </c>
      <c r="N189" s="420" t="n">
        <v>0</v>
      </c>
      <c r="P189" s="420" t="n">
        <v>0.016</v>
      </c>
      <c r="Q189" s="420" t="n">
        <v>0.0085</v>
      </c>
      <c r="R189" s="436" t="n">
        <v>-0.007999999</v>
      </c>
      <c r="S189" s="418" t="n">
        <v>-0.03</v>
      </c>
      <c r="T189" s="418" t="n">
        <v>-0.02</v>
      </c>
      <c r="U189" s="418" t="n">
        <v>-0.0195</v>
      </c>
      <c r="V189" s="418" t="n">
        <v>-0.1055</v>
      </c>
      <c r="W189" s="418" t="n">
        <v>-0.1275</v>
      </c>
      <c r="X189" s="418" t="n">
        <v>1.455</v>
      </c>
      <c r="Y189" s="418" t="n">
        <v>0.005</v>
      </c>
      <c r="Z189" s="418" t="n">
        <v>-0.19</v>
      </c>
      <c r="AA189" s="418" t="n">
        <v>-0.0135</v>
      </c>
      <c r="AB189" s="437" t="n">
        <v>0.12</v>
      </c>
      <c r="AC189" s="437" t="n">
        <v>0.975</v>
      </c>
      <c r="AD189" s="437" t="n">
        <v>0.35</v>
      </c>
      <c r="AE189" s="438" t="n">
        <v>0.15</v>
      </c>
      <c r="AF189" s="438" t="n">
        <v>0.15</v>
      </c>
      <c r="AG189" s="438" t="n">
        <v>0.165</v>
      </c>
      <c r="AH189" s="438" t="n">
        <v>0.15</v>
      </c>
      <c r="AI189" s="438" t="n">
        <v>0.153</v>
      </c>
      <c r="AJ189" s="438" t="n">
        <v>0.15</v>
      </c>
      <c r="AK189" s="438" t="n">
        <v>0.15</v>
      </c>
      <c r="AL189" s="438" t="n">
        <v>0.15</v>
      </c>
      <c r="AM189" s="438" t="n">
        <v>0.15</v>
      </c>
      <c r="AN189" s="438" t="n">
        <v>0.15</v>
      </c>
      <c r="AO189" s="438" t="n">
        <v>0.15</v>
      </c>
      <c r="AP189" s="439" t="n">
        <v>0.15</v>
      </c>
      <c r="AQ189" s="439" t="n">
        <v>0.15</v>
      </c>
      <c r="AR189" s="439" t="n">
        <v>0.15</v>
      </c>
      <c r="AS189" s="439" t="n">
        <v>0.15</v>
      </c>
      <c r="AT189" s="438" t="n">
        <v>0.15</v>
      </c>
      <c r="AU189" s="438" t="n">
        <v>0.15</v>
      </c>
      <c r="AV189" s="438" t="n">
        <v>0.165</v>
      </c>
      <c r="AW189" s="418" t="n">
        <v>0.070323544762776</v>
      </c>
      <c r="AY189" s="437" t="n">
        <f aca="false">AG189</f>
        <v>0.165</v>
      </c>
      <c r="AZ189" s="437" t="n">
        <f aca="false">AG189</f>
        <v>0.165</v>
      </c>
      <c r="BA189" s="441" t="n">
        <f aca="false">AG189</f>
        <v>0.165</v>
      </c>
      <c r="BB189" s="442" t="n">
        <f aca="false">B189</f>
        <v>42036</v>
      </c>
      <c r="BC189" s="437" t="n">
        <f aca="false">(1+$AW189/2)^(-2*($B189-$BC$11)/365.25)</f>
        <v>0.368899806627997</v>
      </c>
      <c r="BD189" s="437" t="n">
        <f aca="false">(1+$AW189/2)^(-2*($B189-$BD$11)/365.25)</f>
        <v>0.368969619310345</v>
      </c>
      <c r="BF189" s="442" t="n">
        <f aca="false">B189</f>
        <v>42036</v>
      </c>
      <c r="BG189" s="418" t="n">
        <v>177</v>
      </c>
    </row>
    <row r="190" customFormat="false" ht="12" hidden="false" customHeight="false" outlineLevel="0" collapsed="false">
      <c r="B190" s="419" t="n">
        <f aca="false">EOMONTH(B189,0)+1</f>
        <v>42064</v>
      </c>
      <c r="C190" s="420" t="n">
        <v>3.503</v>
      </c>
      <c r="D190" s="420" t="n">
        <v>0.15</v>
      </c>
      <c r="E190" s="420" t="n">
        <v>0.070623784785</v>
      </c>
      <c r="F190" s="420" t="n">
        <v>-0.205</v>
      </c>
      <c r="G190" s="420" t="n">
        <v>-0.0275</v>
      </c>
      <c r="H190" s="420" t="n">
        <v>-0.205</v>
      </c>
      <c r="I190" s="420" t="n">
        <v>0.253</v>
      </c>
      <c r="J190" s="420" t="n">
        <v>0.265</v>
      </c>
      <c r="K190" s="420" t="n">
        <v>0.3025</v>
      </c>
      <c r="L190" s="420" t="n">
        <v>-0.059</v>
      </c>
      <c r="M190" s="420" t="n">
        <v>0.0055</v>
      </c>
      <c r="N190" s="420" t="n">
        <v>0</v>
      </c>
      <c r="P190" s="420" t="n">
        <v>0.016</v>
      </c>
      <c r="Q190" s="420" t="n">
        <v>0.0085</v>
      </c>
      <c r="R190" s="436" t="n">
        <v>-0.007999999</v>
      </c>
      <c r="S190" s="418" t="n">
        <v>-0.03</v>
      </c>
      <c r="T190" s="418" t="n">
        <v>-0.02</v>
      </c>
      <c r="U190" s="436" t="n">
        <v>0.000999999999999994</v>
      </c>
      <c r="V190" s="418" t="n">
        <v>-0.088</v>
      </c>
      <c r="W190" s="418" t="n">
        <v>-0.1325</v>
      </c>
      <c r="X190" s="418" t="n">
        <v>0.835</v>
      </c>
      <c r="Y190" s="418" t="n">
        <v>0.005</v>
      </c>
      <c r="Z190" s="418" t="n">
        <v>-0.19</v>
      </c>
      <c r="AA190" s="418" t="n">
        <v>-0.0135</v>
      </c>
      <c r="AB190" s="437" t="n">
        <v>0.12</v>
      </c>
      <c r="AC190" s="437" t="n">
        <v>0.6075</v>
      </c>
      <c r="AD190" s="437" t="n">
        <v>0.348</v>
      </c>
      <c r="AE190" s="438" t="n">
        <v>0.15</v>
      </c>
      <c r="AF190" s="438" t="n">
        <v>0.15</v>
      </c>
      <c r="AG190" s="438" t="n">
        <v>0.165</v>
      </c>
      <c r="AH190" s="438" t="n">
        <v>0.15</v>
      </c>
      <c r="AI190" s="438" t="n">
        <v>0.153</v>
      </c>
      <c r="AJ190" s="438" t="n">
        <v>0.15</v>
      </c>
      <c r="AK190" s="438" t="n">
        <v>0.15</v>
      </c>
      <c r="AL190" s="438" t="n">
        <v>0.15</v>
      </c>
      <c r="AM190" s="438" t="n">
        <v>0.15</v>
      </c>
      <c r="AN190" s="438" t="n">
        <v>0.15</v>
      </c>
      <c r="AO190" s="438" t="n">
        <v>0.15</v>
      </c>
      <c r="AP190" s="439" t="n">
        <v>0.15</v>
      </c>
      <c r="AQ190" s="439" t="n">
        <v>0.15</v>
      </c>
      <c r="AR190" s="439" t="n">
        <v>0.15</v>
      </c>
      <c r="AS190" s="439" t="n">
        <v>0.15</v>
      </c>
      <c r="AT190" s="438" t="n">
        <v>0.15</v>
      </c>
      <c r="AU190" s="438" t="n">
        <v>0.15</v>
      </c>
      <c r="AV190" s="438" t="n">
        <v>0.165</v>
      </c>
      <c r="AW190" s="418" t="n">
        <v>0.070329825358974</v>
      </c>
      <c r="AY190" s="437" t="n">
        <f aca="false">AG190</f>
        <v>0.165</v>
      </c>
      <c r="AZ190" s="437" t="n">
        <f aca="false">AG190</f>
        <v>0.165</v>
      </c>
      <c r="BA190" s="441" t="n">
        <f aca="false">AG190</f>
        <v>0.165</v>
      </c>
      <c r="BB190" s="442" t="n">
        <f aca="false">B190</f>
        <v>42064</v>
      </c>
      <c r="BC190" s="437" t="n">
        <f aca="false">(1+$AW190/2)^(-2*($B190-$BC$11)/365.25)</f>
        <v>0.366918112831918</v>
      </c>
      <c r="BD190" s="437" t="n">
        <f aca="false">(1+$AW190/2)^(-2*($B190-$BD$11)/365.25)</f>
        <v>0.366987556583457</v>
      </c>
      <c r="BF190" s="442" t="n">
        <f aca="false">B190</f>
        <v>42064</v>
      </c>
      <c r="BG190" s="418" t="n">
        <v>178</v>
      </c>
    </row>
    <row r="191" customFormat="false" ht="12" hidden="false" customHeight="false" outlineLevel="0" collapsed="false">
      <c r="B191" s="419" t="n">
        <f aca="false">EOMONTH(B190,0)+1</f>
        <v>42095</v>
      </c>
      <c r="C191" s="420" t="n">
        <v>3.361</v>
      </c>
      <c r="D191" s="420" t="n">
        <v>0.15</v>
      </c>
      <c r="E191" s="420" t="n">
        <v>0.070624950800647</v>
      </c>
      <c r="F191" s="420" t="n">
        <v>-0.195</v>
      </c>
      <c r="G191" s="420" t="n">
        <v>0.015</v>
      </c>
      <c r="H191" s="420" t="n">
        <v>-0.195</v>
      </c>
      <c r="I191" s="420" t="n">
        <v>0.158</v>
      </c>
      <c r="J191" s="420" t="n">
        <v>0.195</v>
      </c>
      <c r="K191" s="420" t="n">
        <v>0.25</v>
      </c>
      <c r="L191" s="420" t="n">
        <v>-0.052</v>
      </c>
      <c r="M191" s="420" t="n">
        <v>-0.001999999</v>
      </c>
      <c r="N191" s="420" t="n">
        <v>0</v>
      </c>
      <c r="P191" s="420" t="n">
        <v>0.0065</v>
      </c>
      <c r="Q191" s="420" t="n">
        <v>0.0185</v>
      </c>
      <c r="R191" s="436" t="n">
        <v>-0.007499999</v>
      </c>
      <c r="S191" s="418" t="n">
        <v>-0.03</v>
      </c>
      <c r="T191" s="418" t="n">
        <v>-0.065</v>
      </c>
      <c r="U191" s="436" t="n">
        <v>0.000999999999999994</v>
      </c>
      <c r="V191" s="418" t="n">
        <v>-0.0805</v>
      </c>
      <c r="W191" s="418" t="n">
        <v>-0.12</v>
      </c>
      <c r="X191" s="418" t="n">
        <v>0.45</v>
      </c>
      <c r="Y191" s="418" t="n">
        <v>0.005</v>
      </c>
      <c r="Z191" s="418" t="n">
        <v>-0.19</v>
      </c>
      <c r="AA191" s="418" t="n">
        <v>-0.011</v>
      </c>
      <c r="AB191" s="437" t="n">
        <v>0.295</v>
      </c>
      <c r="AC191" s="437" t="n">
        <v>0.355</v>
      </c>
      <c r="AD191" s="437" t="n">
        <v>0.253</v>
      </c>
      <c r="AE191" s="438" t="n">
        <v>0.15</v>
      </c>
      <c r="AF191" s="438" t="n">
        <v>0.15</v>
      </c>
      <c r="AG191" s="438" t="n">
        <v>0.147</v>
      </c>
      <c r="AH191" s="438" t="n">
        <v>0.15</v>
      </c>
      <c r="AI191" s="438" t="n">
        <v>0.153</v>
      </c>
      <c r="AJ191" s="438" t="n">
        <v>0.15</v>
      </c>
      <c r="AK191" s="438" t="n">
        <v>0.147</v>
      </c>
      <c r="AL191" s="438" t="n">
        <v>0.147</v>
      </c>
      <c r="AM191" s="438" t="n">
        <v>0.15</v>
      </c>
      <c r="AN191" s="438" t="n">
        <v>0.15</v>
      </c>
      <c r="AO191" s="438" t="n">
        <v>0.15</v>
      </c>
      <c r="AP191" s="439" t="n">
        <v>0.15</v>
      </c>
      <c r="AQ191" s="439" t="n">
        <v>0.15</v>
      </c>
      <c r="AR191" s="439" t="n">
        <v>0.15</v>
      </c>
      <c r="AS191" s="439" t="n">
        <v>0.15</v>
      </c>
      <c r="AT191" s="438" t="n">
        <v>0.15</v>
      </c>
      <c r="AU191" s="438" t="n">
        <v>0.15</v>
      </c>
      <c r="AV191" s="438" t="n">
        <v>0.147</v>
      </c>
      <c r="AW191" s="418" t="n">
        <v>0.070336778876208</v>
      </c>
      <c r="AY191" s="437" t="n">
        <f aca="false">AG191</f>
        <v>0.147</v>
      </c>
      <c r="AZ191" s="437" t="n">
        <f aca="false">AG191</f>
        <v>0.147</v>
      </c>
      <c r="BA191" s="441" t="n">
        <f aca="false">AG191</f>
        <v>0.147</v>
      </c>
      <c r="BB191" s="442" t="n">
        <f aca="false">B191</f>
        <v>42095</v>
      </c>
      <c r="BC191" s="437" t="n">
        <f aca="false">(1+$AW191/2)^(-2*($B191-$BC$11)/365.25)</f>
        <v>0.364736114112502</v>
      </c>
      <c r="BD191" s="437" t="n">
        <f aca="false">(1+$AW191/2)^(-2*($B191-$BD$11)/365.25)</f>
        <v>0.364805151603142</v>
      </c>
      <c r="BF191" s="442" t="n">
        <f aca="false">B191</f>
        <v>42095</v>
      </c>
      <c r="BG191" s="418" t="n">
        <v>179</v>
      </c>
    </row>
    <row r="192" customFormat="false" ht="12" hidden="false" customHeight="false" outlineLevel="0" collapsed="false">
      <c r="B192" s="419" t="n">
        <f aca="false">EOMONTH(B191,0)+1</f>
        <v>42125</v>
      </c>
      <c r="C192" s="420" t="n">
        <v>3.361</v>
      </c>
      <c r="D192" s="420" t="n">
        <v>0.15</v>
      </c>
      <c r="E192" s="420" t="n">
        <v>0.07062607920289</v>
      </c>
      <c r="F192" s="420" t="n">
        <v>-0.195</v>
      </c>
      <c r="G192" s="420" t="n">
        <v>0.015</v>
      </c>
      <c r="H192" s="420" t="n">
        <v>-0.195</v>
      </c>
      <c r="I192" s="420" t="n">
        <v>0.168</v>
      </c>
      <c r="J192" s="420" t="n">
        <v>0.1825</v>
      </c>
      <c r="K192" s="420" t="n">
        <v>0.2025</v>
      </c>
      <c r="L192" s="420" t="n">
        <v>-0.052</v>
      </c>
      <c r="M192" s="435" t="n">
        <v>-0.001999999</v>
      </c>
      <c r="N192" s="420" t="n">
        <v>0</v>
      </c>
      <c r="P192" s="420" t="n">
        <v>0.0065</v>
      </c>
      <c r="Q192" s="420" t="n">
        <v>0.0185</v>
      </c>
      <c r="R192" s="436" t="n">
        <v>-0.007499999</v>
      </c>
      <c r="S192" s="418" t="n">
        <v>-0.03</v>
      </c>
      <c r="T192" s="418" t="n">
        <v>-0.08</v>
      </c>
      <c r="U192" s="436" t="n">
        <v>-0.001249999</v>
      </c>
      <c r="V192" s="418" t="n">
        <v>-0.0805</v>
      </c>
      <c r="W192" s="418" t="n">
        <v>-0.12</v>
      </c>
      <c r="X192" s="418" t="n">
        <v>0.405</v>
      </c>
      <c r="Y192" s="418" t="n">
        <v>0.005</v>
      </c>
      <c r="Z192" s="418" t="n">
        <v>-0.19</v>
      </c>
      <c r="AA192" s="418" t="n">
        <v>-0.011</v>
      </c>
      <c r="AB192" s="437" t="n">
        <v>0.295</v>
      </c>
      <c r="AC192" s="437" t="n">
        <v>0.2875</v>
      </c>
      <c r="AD192" s="437" t="n">
        <v>0.263</v>
      </c>
      <c r="AE192" s="438" t="n">
        <v>0.15</v>
      </c>
      <c r="AF192" s="438" t="n">
        <v>0.15</v>
      </c>
      <c r="AG192" s="438" t="n">
        <v>0.147</v>
      </c>
      <c r="AH192" s="438" t="n">
        <v>0.15</v>
      </c>
      <c r="AI192" s="438" t="n">
        <v>0.153</v>
      </c>
      <c r="AJ192" s="438" t="n">
        <v>0.15</v>
      </c>
      <c r="AK192" s="438" t="n">
        <v>0.147</v>
      </c>
      <c r="AL192" s="438" t="n">
        <v>0.147</v>
      </c>
      <c r="AM192" s="438" t="n">
        <v>0.15</v>
      </c>
      <c r="AN192" s="438" t="n">
        <v>0.15</v>
      </c>
      <c r="AO192" s="438" t="n">
        <v>0.15</v>
      </c>
      <c r="AP192" s="439" t="n">
        <v>0.15</v>
      </c>
      <c r="AQ192" s="439" t="n">
        <v>0.15</v>
      </c>
      <c r="AR192" s="439" t="n">
        <v>0.15</v>
      </c>
      <c r="AS192" s="439" t="n">
        <v>0.15</v>
      </c>
      <c r="AT192" s="438" t="n">
        <v>0.15</v>
      </c>
      <c r="AU192" s="438" t="n">
        <v>0.15</v>
      </c>
      <c r="AV192" s="438" t="n">
        <v>0.147</v>
      </c>
      <c r="AW192" s="418" t="n">
        <v>0.070343508086451</v>
      </c>
      <c r="AY192" s="437" t="n">
        <f aca="false">AG192</f>
        <v>0.147</v>
      </c>
      <c r="AZ192" s="437" t="n">
        <f aca="false">AG192</f>
        <v>0.147</v>
      </c>
      <c r="BA192" s="441" t="n">
        <f aca="false">AG192</f>
        <v>0.147</v>
      </c>
      <c r="BB192" s="442" t="n">
        <f aca="false">B192</f>
        <v>42125</v>
      </c>
      <c r="BC192" s="437" t="n">
        <f aca="false">(1+$AW192/2)^(-2*($B192-$BC$11)/365.25)</f>
        <v>0.362636464505982</v>
      </c>
      <c r="BD192" s="437" t="n">
        <f aca="false">(1+$AW192/2)^(-2*($B192-$BD$11)/365.25)</f>
        <v>0.362705111028859</v>
      </c>
      <c r="BF192" s="442" t="n">
        <f aca="false">B192</f>
        <v>42125</v>
      </c>
      <c r="BG192" s="418" t="n">
        <v>180</v>
      </c>
    </row>
    <row r="193" customFormat="false" ht="12" hidden="false" customHeight="false" outlineLevel="0" collapsed="false">
      <c r="B193" s="419" t="n">
        <f aca="false">EOMONTH(B192,0)+1</f>
        <v>42156</v>
      </c>
      <c r="C193" s="420" t="n">
        <v>3.393</v>
      </c>
      <c r="D193" s="420" t="n">
        <v>0.15</v>
      </c>
      <c r="E193" s="420" t="n">
        <v>0.070627245218542</v>
      </c>
      <c r="F193" s="420" t="n">
        <v>-0.195</v>
      </c>
      <c r="G193" s="420" t="n">
        <v>0.02</v>
      </c>
      <c r="H193" s="420" t="n">
        <v>-0.195</v>
      </c>
      <c r="I193" s="420" t="n">
        <v>0.163</v>
      </c>
      <c r="J193" s="420" t="n">
        <v>0.1825</v>
      </c>
      <c r="K193" s="420" t="n">
        <v>0.2025</v>
      </c>
      <c r="L193" s="420" t="n">
        <v>-0.068</v>
      </c>
      <c r="M193" s="435" t="n">
        <v>-0.001999999</v>
      </c>
      <c r="N193" s="420" t="n">
        <v>0</v>
      </c>
      <c r="P193" s="420" t="n">
        <v>0.0065</v>
      </c>
      <c r="Q193" s="420" t="n">
        <v>0.0185</v>
      </c>
      <c r="R193" s="436" t="n">
        <v>-0.007499999</v>
      </c>
      <c r="S193" s="418" t="n">
        <v>-0.03</v>
      </c>
      <c r="T193" s="418" t="n">
        <v>-0.09</v>
      </c>
      <c r="U193" s="436" t="n">
        <v>-0.001249999</v>
      </c>
      <c r="V193" s="418" t="n">
        <v>-0.0705</v>
      </c>
      <c r="W193" s="418" t="n">
        <v>-0.12</v>
      </c>
      <c r="X193" s="418" t="n">
        <v>0.395</v>
      </c>
      <c r="Y193" s="418" t="n">
        <v>0.005</v>
      </c>
      <c r="Z193" s="418" t="n">
        <v>-0.19</v>
      </c>
      <c r="AA193" s="418" t="n">
        <v>-0.011</v>
      </c>
      <c r="AB193" s="437" t="n">
        <v>0.295</v>
      </c>
      <c r="AC193" s="437" t="n">
        <v>0.2875</v>
      </c>
      <c r="AD193" s="437" t="n">
        <v>0.258</v>
      </c>
      <c r="AE193" s="438" t="n">
        <v>0.15</v>
      </c>
      <c r="AF193" s="438" t="n">
        <v>0.15</v>
      </c>
      <c r="AG193" s="438" t="n">
        <v>0.147</v>
      </c>
      <c r="AH193" s="438" t="n">
        <v>0.15</v>
      </c>
      <c r="AI193" s="438" t="n">
        <v>0.153</v>
      </c>
      <c r="AJ193" s="438" t="n">
        <v>0.15</v>
      </c>
      <c r="AK193" s="438" t="n">
        <v>0.147</v>
      </c>
      <c r="AL193" s="438" t="n">
        <v>0.147</v>
      </c>
      <c r="AM193" s="438" t="n">
        <v>0.15</v>
      </c>
      <c r="AN193" s="438" t="n">
        <v>0.15</v>
      </c>
      <c r="AO193" s="438" t="n">
        <v>0.15</v>
      </c>
      <c r="AP193" s="439" t="n">
        <v>0.15</v>
      </c>
      <c r="AQ193" s="439" t="n">
        <v>0.15</v>
      </c>
      <c r="AR193" s="439" t="n">
        <v>0.15</v>
      </c>
      <c r="AS193" s="439" t="n">
        <v>0.15</v>
      </c>
      <c r="AT193" s="438" t="n">
        <v>0.15</v>
      </c>
      <c r="AU193" s="438" t="n">
        <v>0.15</v>
      </c>
      <c r="AV193" s="438" t="n">
        <v>0.147</v>
      </c>
      <c r="AW193" s="418" t="n">
        <v>0.070350461603716</v>
      </c>
      <c r="AY193" s="437" t="n">
        <f aca="false">AG193</f>
        <v>0.147</v>
      </c>
      <c r="AZ193" s="437" t="n">
        <f aca="false">AG193</f>
        <v>0.147</v>
      </c>
      <c r="BA193" s="441" t="n">
        <f aca="false">AG193</f>
        <v>0.147</v>
      </c>
      <c r="BB193" s="442" t="n">
        <f aca="false">B193</f>
        <v>42156</v>
      </c>
      <c r="BC193" s="437" t="n">
        <f aca="false">(1+$AW193/2)^(-2*($B193-$BC$11)/365.25)</f>
        <v>0.360479119440986</v>
      </c>
      <c r="BD193" s="437" t="n">
        <f aca="false">(1+$AW193/2)^(-2*($B193-$BD$11)/365.25)</f>
        <v>0.360547364212536</v>
      </c>
      <c r="BF193" s="442" t="n">
        <f aca="false">B193</f>
        <v>42156</v>
      </c>
      <c r="BG193" s="418" t="n">
        <v>181</v>
      </c>
    </row>
    <row r="194" customFormat="false" ht="12" hidden="false" customHeight="false" outlineLevel="0" collapsed="false">
      <c r="B194" s="419" t="n">
        <f aca="false">EOMONTH(B193,0)+1</f>
        <v>42186</v>
      </c>
      <c r="C194" s="420" t="n">
        <v>3.415</v>
      </c>
      <c r="D194" s="420" t="n">
        <v>0.15</v>
      </c>
      <c r="E194" s="420" t="n">
        <v>0.070628373620786</v>
      </c>
      <c r="F194" s="420" t="n">
        <v>-0.195</v>
      </c>
      <c r="G194" s="420" t="n">
        <v>0.0225</v>
      </c>
      <c r="H194" s="420" t="n">
        <v>-0.195</v>
      </c>
      <c r="I194" s="420" t="n">
        <v>0.153</v>
      </c>
      <c r="J194" s="420" t="n">
        <v>0.1825</v>
      </c>
      <c r="K194" s="420" t="n">
        <v>0.215</v>
      </c>
      <c r="L194" s="420" t="n">
        <v>-0.061</v>
      </c>
      <c r="M194" s="435" t="n">
        <v>-0.001999999</v>
      </c>
      <c r="N194" s="420" t="n">
        <v>0</v>
      </c>
      <c r="P194" s="420" t="n">
        <v>0.0065</v>
      </c>
      <c r="Q194" s="420" t="n">
        <v>0.0185</v>
      </c>
      <c r="R194" s="436" t="n">
        <v>-0.007499999</v>
      </c>
      <c r="S194" s="418" t="n">
        <v>-0.03</v>
      </c>
      <c r="T194" s="418" t="n">
        <v>-0.09</v>
      </c>
      <c r="U194" s="436" t="n">
        <v>-0.001249999</v>
      </c>
      <c r="V194" s="418" t="n">
        <v>-0.0655</v>
      </c>
      <c r="W194" s="418" t="n">
        <v>-0.12</v>
      </c>
      <c r="X194" s="418" t="n">
        <v>0.43</v>
      </c>
      <c r="Y194" s="418" t="n">
        <v>0.005</v>
      </c>
      <c r="Z194" s="418" t="n">
        <v>-0.19</v>
      </c>
      <c r="AA194" s="418" t="n">
        <v>-0.011</v>
      </c>
      <c r="AB194" s="437" t="n">
        <v>0.295</v>
      </c>
      <c r="AC194" s="437" t="n">
        <v>0.3</v>
      </c>
      <c r="AD194" s="437" t="n">
        <v>0.248</v>
      </c>
      <c r="AE194" s="438" t="n">
        <v>0.15</v>
      </c>
      <c r="AF194" s="438" t="n">
        <v>0.15</v>
      </c>
      <c r="AG194" s="438" t="n">
        <v>0.147</v>
      </c>
      <c r="AH194" s="438" t="n">
        <v>0.15</v>
      </c>
      <c r="AI194" s="438" t="n">
        <v>0.153</v>
      </c>
      <c r="AJ194" s="438" t="n">
        <v>0.15</v>
      </c>
      <c r="AK194" s="438" t="n">
        <v>0.147</v>
      </c>
      <c r="AL194" s="438" t="n">
        <v>0.147</v>
      </c>
      <c r="AM194" s="438" t="n">
        <v>0.15</v>
      </c>
      <c r="AN194" s="438" t="n">
        <v>0.15</v>
      </c>
      <c r="AO194" s="438" t="n">
        <v>0.15</v>
      </c>
      <c r="AP194" s="439" t="n">
        <v>0.15</v>
      </c>
      <c r="AQ194" s="439" t="n">
        <v>0.15</v>
      </c>
      <c r="AR194" s="439" t="n">
        <v>0.15</v>
      </c>
      <c r="AS194" s="439" t="n">
        <v>0.15</v>
      </c>
      <c r="AT194" s="438" t="n">
        <v>0.15</v>
      </c>
      <c r="AU194" s="438" t="n">
        <v>0.15</v>
      </c>
      <c r="AV194" s="438" t="n">
        <v>0.147</v>
      </c>
      <c r="AW194" s="418" t="n">
        <v>0.070357190813988</v>
      </c>
      <c r="AY194" s="437" t="n">
        <f aca="false">AG194</f>
        <v>0.147</v>
      </c>
      <c r="AZ194" s="437" t="n">
        <f aca="false">AG194</f>
        <v>0.147</v>
      </c>
      <c r="BA194" s="441" t="n">
        <f aca="false">AG194</f>
        <v>0.147</v>
      </c>
      <c r="BB194" s="442" t="n">
        <f aca="false">B194</f>
        <v>42186</v>
      </c>
      <c r="BC194" s="437" t="n">
        <f aca="false">(1+$AW194/2)^(-2*($B194-$BC$11)/365.25)</f>
        <v>0.358403197786516</v>
      </c>
      <c r="BD194" s="437" t="n">
        <f aca="false">(1+$AW194/2)^(-2*($B194-$BD$11)/365.25)</f>
        <v>0.35847105593101</v>
      </c>
      <c r="BF194" s="442" t="n">
        <f aca="false">B194</f>
        <v>42186</v>
      </c>
      <c r="BG194" s="418" t="n">
        <v>182</v>
      </c>
    </row>
    <row r="195" customFormat="false" ht="12" hidden="false" customHeight="false" outlineLevel="0" collapsed="false">
      <c r="B195" s="419" t="n">
        <f aca="false">EOMONTH(B194,0)+1</f>
        <v>42217</v>
      </c>
      <c r="C195" s="420" t="n">
        <v>3.436</v>
      </c>
      <c r="D195" s="420" t="n">
        <v>0.15</v>
      </c>
      <c r="E195" s="420" t="n">
        <v>0.070629539636439</v>
      </c>
      <c r="F195" s="420" t="n">
        <v>-0.195</v>
      </c>
      <c r="G195" s="420" t="n">
        <v>0.025</v>
      </c>
      <c r="H195" s="420" t="n">
        <v>-0.195</v>
      </c>
      <c r="I195" s="420" t="n">
        <v>0.15</v>
      </c>
      <c r="J195" s="420" t="n">
        <v>0.1825</v>
      </c>
      <c r="K195" s="420" t="n">
        <v>0.215</v>
      </c>
      <c r="L195" s="420" t="n">
        <v>-0.052</v>
      </c>
      <c r="M195" s="435" t="n">
        <v>-0.001999999</v>
      </c>
      <c r="N195" s="420" t="n">
        <v>0</v>
      </c>
      <c r="P195" s="420" t="n">
        <v>0.0065</v>
      </c>
      <c r="Q195" s="420" t="n">
        <v>0.0185</v>
      </c>
      <c r="R195" s="436" t="n">
        <v>-0.007499999</v>
      </c>
      <c r="S195" s="418" t="n">
        <v>-0.03</v>
      </c>
      <c r="T195" s="418" t="n">
        <v>-0.09</v>
      </c>
      <c r="U195" s="436" t="n">
        <v>-0.001249999</v>
      </c>
      <c r="V195" s="418" t="n">
        <v>-0.0655</v>
      </c>
      <c r="W195" s="418" t="n">
        <v>0</v>
      </c>
      <c r="X195" s="418" t="n">
        <v>0.495</v>
      </c>
      <c r="Y195" s="418" t="n">
        <v>0.005</v>
      </c>
      <c r="Z195" s="418" t="n">
        <v>-0.19</v>
      </c>
      <c r="AA195" s="418" t="n">
        <v>-0.011</v>
      </c>
      <c r="AB195" s="437" t="n">
        <v>0.295</v>
      </c>
      <c r="AC195" s="437" t="n">
        <v>0.3</v>
      </c>
      <c r="AD195" s="437" t="n">
        <v>0.245</v>
      </c>
      <c r="AE195" s="438" t="n">
        <v>0.15</v>
      </c>
      <c r="AF195" s="438" t="n">
        <v>0.15</v>
      </c>
      <c r="AG195" s="438" t="n">
        <v>0.147</v>
      </c>
      <c r="AH195" s="438" t="n">
        <v>0.15</v>
      </c>
      <c r="AI195" s="438" t="n">
        <v>0.153</v>
      </c>
      <c r="AJ195" s="438" t="n">
        <v>0.15</v>
      </c>
      <c r="AK195" s="438" t="n">
        <v>0.147</v>
      </c>
      <c r="AL195" s="438" t="n">
        <v>0.147</v>
      </c>
      <c r="AM195" s="438" t="n">
        <v>0.15</v>
      </c>
      <c r="AN195" s="438" t="n">
        <v>0.15</v>
      </c>
      <c r="AO195" s="438" t="n">
        <v>0.15</v>
      </c>
      <c r="AP195" s="439" t="n">
        <v>0.15</v>
      </c>
      <c r="AQ195" s="439" t="n">
        <v>0.15</v>
      </c>
      <c r="AR195" s="439" t="n">
        <v>0.15</v>
      </c>
      <c r="AS195" s="439" t="n">
        <v>0.15</v>
      </c>
      <c r="AT195" s="438" t="n">
        <v>0.15</v>
      </c>
      <c r="AU195" s="438" t="n">
        <v>0.15</v>
      </c>
      <c r="AV195" s="438" t="n">
        <v>0.147</v>
      </c>
      <c r="AW195" s="418" t="n">
        <v>0.070364144331286</v>
      </c>
      <c r="AY195" s="437" t="n">
        <f aca="false">AG195</f>
        <v>0.147</v>
      </c>
      <c r="AZ195" s="437" t="n">
        <f aca="false">AG195</f>
        <v>0.147</v>
      </c>
      <c r="BA195" s="441" t="n">
        <f aca="false">AG195</f>
        <v>0.147</v>
      </c>
      <c r="BB195" s="442" t="n">
        <f aca="false">B195</f>
        <v>42217</v>
      </c>
      <c r="BC195" s="437" t="n">
        <f aca="false">(1+$AW195/2)^(-2*($B195-$BC$11)/365.25)</f>
        <v>0.356270237546378</v>
      </c>
      <c r="BD195" s="437" t="n">
        <f aca="false">(1+$AW195/2)^(-2*($B195-$BD$11)/365.25)</f>
        <v>0.356337698400889</v>
      </c>
      <c r="BF195" s="442" t="n">
        <f aca="false">B195</f>
        <v>42217</v>
      </c>
      <c r="BG195" s="418" t="n">
        <v>183</v>
      </c>
    </row>
    <row r="196" customFormat="false" ht="12" hidden="false" customHeight="false" outlineLevel="0" collapsed="false">
      <c r="B196" s="419" t="n">
        <f aca="false">EOMONTH(B195,0)+1</f>
        <v>42248</v>
      </c>
      <c r="C196" s="420" t="n">
        <v>3.407</v>
      </c>
      <c r="D196" s="420" t="n">
        <v>0.15</v>
      </c>
      <c r="E196" s="420" t="n">
        <v>0.070630705652092</v>
      </c>
      <c r="F196" s="420" t="n">
        <v>-0.195</v>
      </c>
      <c r="G196" s="420" t="n">
        <v>0.0175</v>
      </c>
      <c r="H196" s="420" t="n">
        <v>-0.195</v>
      </c>
      <c r="I196" s="420" t="n">
        <v>0.148</v>
      </c>
      <c r="J196" s="420" t="n">
        <v>0.1825</v>
      </c>
      <c r="K196" s="420" t="n">
        <v>0.195</v>
      </c>
      <c r="L196" s="420" t="n">
        <v>-0.032</v>
      </c>
      <c r="M196" s="435" t="n">
        <v>-0.001999999</v>
      </c>
      <c r="N196" s="420" t="n">
        <v>0</v>
      </c>
      <c r="P196" s="420" t="n">
        <v>0.0065</v>
      </c>
      <c r="Q196" s="420" t="n">
        <v>0.0185</v>
      </c>
      <c r="R196" s="436" t="n">
        <v>-0.007499999</v>
      </c>
      <c r="S196" s="418" t="n">
        <v>0</v>
      </c>
      <c r="T196" s="418" t="n">
        <v>-0.08</v>
      </c>
      <c r="U196" s="418" t="n">
        <v>-0.001249999</v>
      </c>
      <c r="V196" s="418" t="n">
        <v>-0.0805</v>
      </c>
      <c r="W196" s="418" t="n">
        <v>0</v>
      </c>
      <c r="X196" s="418" t="n">
        <v>0.395</v>
      </c>
      <c r="Y196" s="418" t="n">
        <v>0.005</v>
      </c>
      <c r="Z196" s="418" t="n">
        <v>-0.19</v>
      </c>
      <c r="AA196" s="418" t="n">
        <v>-0.011</v>
      </c>
      <c r="AB196" s="437" t="n">
        <v>0.295</v>
      </c>
      <c r="AC196" s="437" t="n">
        <v>0.29</v>
      </c>
      <c r="AD196" s="437" t="n">
        <v>0.243</v>
      </c>
      <c r="AE196" s="438" t="n">
        <v>0.15</v>
      </c>
      <c r="AF196" s="438" t="n">
        <v>0.15</v>
      </c>
      <c r="AG196" s="438" t="n">
        <v>0.147</v>
      </c>
      <c r="AH196" s="438" t="n">
        <v>0.15</v>
      </c>
      <c r="AI196" s="438" t="n">
        <v>0.153</v>
      </c>
      <c r="AJ196" s="438" t="n">
        <v>0.15</v>
      </c>
      <c r="AK196" s="438" t="n">
        <v>0.147</v>
      </c>
      <c r="AL196" s="438" t="n">
        <v>0.147</v>
      </c>
      <c r="AM196" s="438" t="n">
        <v>0.15</v>
      </c>
      <c r="AN196" s="438" t="n">
        <v>0.15</v>
      </c>
      <c r="AO196" s="438" t="n">
        <v>0.15</v>
      </c>
      <c r="AP196" s="439" t="n">
        <v>0.15</v>
      </c>
      <c r="AQ196" s="439" t="n">
        <v>0.15</v>
      </c>
      <c r="AR196" s="439" t="n">
        <v>0.15</v>
      </c>
      <c r="AS196" s="439" t="n">
        <v>0.15</v>
      </c>
      <c r="AT196" s="438" t="n">
        <v>0.15</v>
      </c>
      <c r="AU196" s="438" t="n">
        <v>0.15</v>
      </c>
      <c r="AV196" s="438" t="n">
        <v>0.147</v>
      </c>
      <c r="AW196" s="418" t="n">
        <v>0.070371097848598</v>
      </c>
      <c r="AY196" s="437" t="n">
        <f aca="false">AG196</f>
        <v>0.147</v>
      </c>
      <c r="AZ196" s="437" t="n">
        <f aca="false">AG196</f>
        <v>0.147</v>
      </c>
      <c r="BA196" s="441" t="n">
        <f aca="false">AG196</f>
        <v>0.147</v>
      </c>
      <c r="BB196" s="442" t="n">
        <f aca="false">B196</f>
        <v>42248</v>
      </c>
      <c r="BC196" s="437" t="n">
        <f aca="false">(1+$AW196/2)^(-2*($B196-$BC$11)/365.25)</f>
        <v>0.354149567474435</v>
      </c>
      <c r="BD196" s="437" t="n">
        <f aca="false">(1+$AW196/2)^(-2*($B196-$BD$11)/365.25)</f>
        <v>0.354216633287879</v>
      </c>
      <c r="BF196" s="442" t="n">
        <f aca="false">B196</f>
        <v>42248</v>
      </c>
      <c r="BG196" s="418" t="n">
        <v>184</v>
      </c>
    </row>
    <row r="197" customFormat="false" ht="12" hidden="false" customHeight="false" outlineLevel="0" collapsed="false">
      <c r="B197" s="419" t="n">
        <f aca="false">EOMONTH(B196,0)+1</f>
        <v>42278</v>
      </c>
      <c r="C197" s="420" t="n">
        <v>3.41</v>
      </c>
      <c r="D197" s="420" t="n">
        <v>0.15</v>
      </c>
      <c r="E197" s="420" t="n">
        <v>0.070631834054338</v>
      </c>
      <c r="F197" s="420" t="n">
        <v>-0.195</v>
      </c>
      <c r="G197" s="420" t="n">
        <v>0.0075</v>
      </c>
      <c r="H197" s="420" t="n">
        <v>-0.195</v>
      </c>
      <c r="I197" s="420" t="n">
        <v>0.163</v>
      </c>
      <c r="J197" s="420" t="n">
        <v>0.1875</v>
      </c>
      <c r="K197" s="420" t="n">
        <v>0.215</v>
      </c>
      <c r="L197" s="420" t="n">
        <v>-0.042</v>
      </c>
      <c r="M197" s="435" t="n">
        <v>-0.001999999</v>
      </c>
      <c r="N197" s="420" t="n">
        <v>0</v>
      </c>
      <c r="P197" s="420" t="n">
        <v>0.0065</v>
      </c>
      <c r="Q197" s="420" t="n">
        <v>0.0185</v>
      </c>
      <c r="R197" s="436" t="n">
        <v>-0.007499999</v>
      </c>
      <c r="S197" s="418" t="n">
        <v>0</v>
      </c>
      <c r="T197" s="418" t="n">
        <v>-0.065</v>
      </c>
      <c r="U197" s="418" t="n">
        <v>-0.0195</v>
      </c>
      <c r="V197" s="418" t="n">
        <v>-0.083</v>
      </c>
      <c r="W197" s="418" t="n">
        <v>0</v>
      </c>
      <c r="X197" s="418" t="n">
        <v>0.461</v>
      </c>
      <c r="Y197" s="418" t="n">
        <v>0.005</v>
      </c>
      <c r="Z197" s="418" t="n">
        <v>-0.19</v>
      </c>
      <c r="AA197" s="418" t="n">
        <v>-0.011</v>
      </c>
      <c r="AB197" s="437" t="n">
        <v>0.295</v>
      </c>
      <c r="AC197" s="437" t="n">
        <v>0.3625</v>
      </c>
      <c r="AD197" s="437" t="n">
        <v>0.258</v>
      </c>
      <c r="AE197" s="438" t="n">
        <v>0.15</v>
      </c>
      <c r="AF197" s="438" t="n">
        <v>0.15</v>
      </c>
      <c r="AG197" s="438" t="n">
        <v>0.147</v>
      </c>
      <c r="AH197" s="438" t="n">
        <v>0.15</v>
      </c>
      <c r="AI197" s="438" t="n">
        <v>0.153</v>
      </c>
      <c r="AJ197" s="438" t="n">
        <v>0.15</v>
      </c>
      <c r="AK197" s="438" t="n">
        <v>0.147</v>
      </c>
      <c r="AL197" s="438" t="n">
        <v>0.147</v>
      </c>
      <c r="AM197" s="438" t="n">
        <v>0.15</v>
      </c>
      <c r="AN197" s="438" t="n">
        <v>0.15</v>
      </c>
      <c r="AO197" s="438" t="n">
        <v>0.15</v>
      </c>
      <c r="AP197" s="439" t="n">
        <v>0.15</v>
      </c>
      <c r="AQ197" s="439" t="n">
        <v>0.15</v>
      </c>
      <c r="AR197" s="439" t="n">
        <v>0.15</v>
      </c>
      <c r="AS197" s="439" t="n">
        <v>0.15</v>
      </c>
      <c r="AT197" s="438" t="n">
        <v>0.15</v>
      </c>
      <c r="AU197" s="438" t="n">
        <v>0.15</v>
      </c>
      <c r="AV197" s="438" t="n">
        <v>0.147</v>
      </c>
      <c r="AW197" s="418" t="n">
        <v>0.070377827058917</v>
      </c>
      <c r="AY197" s="437" t="n">
        <f aca="false">AG197</f>
        <v>0.147</v>
      </c>
      <c r="AZ197" s="437" t="n">
        <f aca="false">AG197</f>
        <v>0.147</v>
      </c>
      <c r="BA197" s="441" t="n">
        <f aca="false">AG197</f>
        <v>0.147</v>
      </c>
      <c r="BB197" s="442" t="n">
        <f aca="false">B197</f>
        <v>42278</v>
      </c>
      <c r="BC197" s="437" t="n">
        <f aca="false">(1+$AW197/2)^(-2*($B197-$BC$11)/365.25)</f>
        <v>0.352108943625355</v>
      </c>
      <c r="BD197" s="437" t="n">
        <f aca="false">(1+$AW197/2)^(-2*($B197-$BD$11)/365.25)</f>
        <v>0.352175629270711</v>
      </c>
      <c r="BF197" s="442" t="n">
        <f aca="false">B197</f>
        <v>42278</v>
      </c>
      <c r="BG197" s="418" t="n">
        <v>185</v>
      </c>
    </row>
    <row r="198" customFormat="false" ht="12" hidden="false" customHeight="false" outlineLevel="0" collapsed="false">
      <c r="B198" s="419" t="n">
        <f aca="false">EOMONTH(B197,0)+1</f>
        <v>42309</v>
      </c>
      <c r="C198" s="420" t="n">
        <v>3.442</v>
      </c>
      <c r="D198" s="420" t="n">
        <v>0.15</v>
      </c>
      <c r="E198" s="420" t="n">
        <v>0.07063300007</v>
      </c>
      <c r="F198" s="420" t="n">
        <v>-0.19</v>
      </c>
      <c r="G198" s="420" t="n">
        <v>-0.0325</v>
      </c>
      <c r="H198" s="420" t="n">
        <v>-0.19</v>
      </c>
      <c r="I198" s="420" t="n">
        <v>0.225</v>
      </c>
      <c r="J198" s="420" t="n">
        <v>0.27</v>
      </c>
      <c r="K198" s="420" t="n">
        <v>0.2875</v>
      </c>
      <c r="L198" s="420" t="n">
        <v>-0.057</v>
      </c>
      <c r="M198" s="435" t="n">
        <v>0.0055</v>
      </c>
      <c r="N198" s="420" t="n">
        <v>0</v>
      </c>
      <c r="P198" s="420" t="n">
        <v>0.016</v>
      </c>
      <c r="Q198" s="420" t="n">
        <v>0.0105</v>
      </c>
      <c r="R198" s="436" t="n">
        <v>-0.0105</v>
      </c>
      <c r="S198" s="418" t="n">
        <v>0</v>
      </c>
      <c r="T198" s="418" t="n">
        <v>-0.0275</v>
      </c>
      <c r="U198" s="418" t="n">
        <v>-0.0185</v>
      </c>
      <c r="V198" s="418" t="n">
        <v>-0.0805</v>
      </c>
      <c r="W198" s="418" t="n">
        <v>0</v>
      </c>
      <c r="X198" s="418" t="n">
        <v>0.7675</v>
      </c>
      <c r="Y198" s="418" t="n">
        <v>0.005</v>
      </c>
      <c r="Z198" s="418" t="n">
        <v>-0.19</v>
      </c>
      <c r="AA198" s="436" t="n">
        <v>-0.0125</v>
      </c>
      <c r="AB198" s="437" t="n">
        <v>0.12</v>
      </c>
      <c r="AC198" s="437" t="n">
        <v>0.465</v>
      </c>
      <c r="AD198" s="437" t="n">
        <v>0.32</v>
      </c>
      <c r="AE198" s="438" t="n">
        <v>0.15</v>
      </c>
      <c r="AF198" s="438" t="n">
        <v>0.15</v>
      </c>
      <c r="AG198" s="438" t="n">
        <v>0.165</v>
      </c>
      <c r="AH198" s="438" t="n">
        <v>0.15</v>
      </c>
      <c r="AI198" s="438" t="n">
        <v>0.153</v>
      </c>
      <c r="AJ198" s="438" t="n">
        <v>0.15</v>
      </c>
      <c r="AK198" s="438" t="n">
        <v>0.15</v>
      </c>
      <c r="AL198" s="438" t="n">
        <v>0.15</v>
      </c>
      <c r="AM198" s="438" t="n">
        <v>0.15</v>
      </c>
      <c r="AN198" s="438" t="n">
        <v>0.15</v>
      </c>
      <c r="AO198" s="438" t="n">
        <v>0.15</v>
      </c>
      <c r="AP198" s="439" t="n">
        <v>0.15</v>
      </c>
      <c r="AQ198" s="439" t="n">
        <v>0.15</v>
      </c>
      <c r="AR198" s="439" t="n">
        <v>0.15</v>
      </c>
      <c r="AS198" s="439" t="n">
        <v>0.15</v>
      </c>
      <c r="AT198" s="438" t="n">
        <v>0.15</v>
      </c>
      <c r="AU198" s="438" t="n">
        <v>0.15</v>
      </c>
      <c r="AV198" s="438" t="n">
        <v>0.165</v>
      </c>
      <c r="AW198" s="418" t="n">
        <v>0.070384780576261</v>
      </c>
      <c r="AY198" s="437" t="n">
        <f aca="false">AG198</f>
        <v>0.165</v>
      </c>
      <c r="AZ198" s="437" t="n">
        <f aca="false">AG198</f>
        <v>0.165</v>
      </c>
      <c r="BA198" s="441" t="n">
        <f aca="false">AG198</f>
        <v>0.165</v>
      </c>
      <c r="BB198" s="442" t="n">
        <f aca="false">B198</f>
        <v>42309</v>
      </c>
      <c r="BC198" s="437" t="n">
        <f aca="false">(1+$AW198/2)^(-2*($B198-$BC$11)/365.25)</f>
        <v>0.350012258249952</v>
      </c>
      <c r="BD198" s="437" t="n">
        <f aca="false">(1+$AW198/2)^(-2*($B198-$BD$11)/365.25)</f>
        <v>0.350078553243784</v>
      </c>
      <c r="BF198" s="442" t="n">
        <f aca="false">B198</f>
        <v>42309</v>
      </c>
      <c r="BG198" s="418" t="n">
        <v>186</v>
      </c>
    </row>
    <row r="199" customFormat="false" ht="12" hidden="false" customHeight="false" outlineLevel="0" collapsed="false">
      <c r="B199" s="419" t="n">
        <f aca="false">EOMONTH(B198,0)+1</f>
        <v>42339</v>
      </c>
      <c r="C199" s="420" t="n">
        <v>3.492</v>
      </c>
      <c r="D199" s="420" t="n">
        <v>0.15</v>
      </c>
      <c r="E199" s="420" t="n">
        <v>0.070634128472238</v>
      </c>
      <c r="F199" s="420" t="n">
        <v>-0.1975</v>
      </c>
      <c r="G199" s="420" t="n">
        <v>-0.055</v>
      </c>
      <c r="H199" s="420" t="n">
        <v>-0.1975</v>
      </c>
      <c r="I199" s="420" t="n">
        <v>0.265</v>
      </c>
      <c r="J199" s="420" t="n">
        <v>0.305</v>
      </c>
      <c r="K199" s="420" t="n">
        <v>0.3375</v>
      </c>
      <c r="L199" s="420" t="n">
        <v>-0.057</v>
      </c>
      <c r="M199" s="420" t="n">
        <v>0.0055</v>
      </c>
      <c r="N199" s="420" t="n">
        <v>0</v>
      </c>
      <c r="P199" s="420" t="n">
        <v>0.016</v>
      </c>
      <c r="Q199" s="420" t="n">
        <v>0.0105</v>
      </c>
      <c r="R199" s="418" t="n">
        <v>-0.0105</v>
      </c>
      <c r="S199" s="418" t="n">
        <v>0</v>
      </c>
      <c r="T199" s="418" t="n">
        <v>-0.02</v>
      </c>
      <c r="U199" s="418" t="n">
        <v>-0.0185</v>
      </c>
      <c r="V199" s="418" t="n">
        <v>-0.1155</v>
      </c>
      <c r="W199" s="418" t="n">
        <v>0</v>
      </c>
      <c r="X199" s="418" t="n">
        <v>1.19</v>
      </c>
      <c r="Y199" s="418" t="n">
        <v>0.005</v>
      </c>
      <c r="Z199" s="418" t="n">
        <v>-0.19</v>
      </c>
      <c r="AA199" s="436" t="n">
        <v>-0.0125</v>
      </c>
      <c r="AB199" s="437" t="n">
        <v>0.12</v>
      </c>
      <c r="AC199" s="437" t="n">
        <v>0.8</v>
      </c>
      <c r="AD199" s="437" t="n">
        <v>0.36</v>
      </c>
      <c r="AE199" s="438" t="n">
        <v>0.15</v>
      </c>
      <c r="AF199" s="438" t="n">
        <v>0.15</v>
      </c>
      <c r="AG199" s="438" t="n">
        <v>0.165</v>
      </c>
      <c r="AH199" s="438" t="n">
        <v>0.15</v>
      </c>
      <c r="AI199" s="438" t="n">
        <v>0.153</v>
      </c>
      <c r="AJ199" s="438" t="n">
        <v>0.15</v>
      </c>
      <c r="AK199" s="438" t="n">
        <v>0.15</v>
      </c>
      <c r="AL199" s="438" t="n">
        <v>0.15</v>
      </c>
      <c r="AM199" s="438" t="n">
        <v>0.15</v>
      </c>
      <c r="AN199" s="438" t="n">
        <v>0.15</v>
      </c>
      <c r="AO199" s="438" t="n">
        <v>0.15</v>
      </c>
      <c r="AP199" s="439" t="n">
        <v>0.15</v>
      </c>
      <c r="AQ199" s="439" t="n">
        <v>0.15</v>
      </c>
      <c r="AR199" s="439" t="n">
        <v>0.15</v>
      </c>
      <c r="AS199" s="439" t="n">
        <v>0.15</v>
      </c>
      <c r="AT199" s="438" t="n">
        <v>0.15</v>
      </c>
      <c r="AU199" s="438" t="n">
        <v>0.15</v>
      </c>
      <c r="AV199" s="438" t="n">
        <v>0.165</v>
      </c>
      <c r="AW199" s="418" t="n">
        <v>0.07039150978661</v>
      </c>
      <c r="AY199" s="437" t="n">
        <f aca="false">AG199</f>
        <v>0.165</v>
      </c>
      <c r="AZ199" s="437" t="n">
        <f aca="false">AG199</f>
        <v>0.165</v>
      </c>
      <c r="BA199" s="441" t="n">
        <f aca="false">AG199</f>
        <v>0.165</v>
      </c>
      <c r="BB199" s="442" t="n">
        <f aca="false">B199</f>
        <v>42339</v>
      </c>
      <c r="BC199" s="437" t="n">
        <f aca="false">(1+$AW199/2)^(-2*($B199-$BC$11)/365.25)</f>
        <v>0.347994718376248</v>
      </c>
      <c r="BD199" s="437" t="n">
        <f aca="false">(1+$AW199/2)^(-2*($B199-$BD$11)/365.25)</f>
        <v>0.348060637427135</v>
      </c>
      <c r="BF199" s="442" t="n">
        <f aca="false">B199</f>
        <v>42339</v>
      </c>
      <c r="BG199" s="418" t="n">
        <v>187</v>
      </c>
    </row>
    <row r="200" customFormat="false" ht="12" hidden="false" customHeight="false" outlineLevel="0" collapsed="false">
      <c r="B200" s="419" t="n">
        <f aca="false">EOMONTH(B199,0)+1</f>
        <v>42370</v>
      </c>
      <c r="C200" s="420" t="n">
        <v>3.813</v>
      </c>
      <c r="D200" s="420" t="n">
        <v>0.15</v>
      </c>
      <c r="E200" s="420" t="n">
        <v>0.070635294487893</v>
      </c>
      <c r="F200" s="420" t="n">
        <v>-0.16</v>
      </c>
      <c r="G200" s="420" t="n">
        <v>-0.0575</v>
      </c>
      <c r="H200" s="420" t="n">
        <v>-0.16</v>
      </c>
      <c r="I200" s="420" t="n">
        <v>0.275</v>
      </c>
      <c r="J200" s="420" t="n">
        <v>0.305</v>
      </c>
      <c r="K200" s="420" t="n">
        <v>0.4375</v>
      </c>
      <c r="L200" s="420" t="n">
        <v>-0.057</v>
      </c>
      <c r="M200" s="420" t="n">
        <v>0.0075</v>
      </c>
      <c r="N200" s="420" t="n">
        <v>0</v>
      </c>
      <c r="P200" s="420" t="n">
        <v>0.016</v>
      </c>
      <c r="Q200" s="420" t="n">
        <v>0.0105</v>
      </c>
      <c r="R200" s="418" t="n">
        <v>-0.005999999</v>
      </c>
      <c r="S200" s="418" t="n">
        <v>0</v>
      </c>
      <c r="T200" s="418" t="n">
        <v>-0.005</v>
      </c>
      <c r="U200" s="418" t="n">
        <v>-0.0185</v>
      </c>
      <c r="V200" s="418" t="n">
        <v>-0.121</v>
      </c>
      <c r="W200" s="418" t="n">
        <v>0</v>
      </c>
      <c r="X200" s="418" t="n">
        <v>1.525</v>
      </c>
      <c r="Y200" s="418" t="n">
        <v>0.005</v>
      </c>
      <c r="Z200" s="418" t="n">
        <v>-0.19</v>
      </c>
      <c r="AA200" s="436" t="n">
        <v>-0.0125</v>
      </c>
      <c r="AB200" s="437" t="n">
        <v>0.12</v>
      </c>
      <c r="AC200" s="437" t="n">
        <v>0.975</v>
      </c>
      <c r="AD200" s="437" t="n">
        <v>0.37</v>
      </c>
      <c r="AE200" s="438" t="n">
        <v>0.15</v>
      </c>
      <c r="AF200" s="438" t="n">
        <v>0.15</v>
      </c>
      <c r="AG200" s="438" t="n">
        <v>0.165</v>
      </c>
      <c r="AH200" s="438" t="n">
        <v>0.15</v>
      </c>
      <c r="AI200" s="438" t="n">
        <v>0.153</v>
      </c>
      <c r="AJ200" s="438" t="n">
        <v>0.15</v>
      </c>
      <c r="AK200" s="438" t="n">
        <v>0.15</v>
      </c>
      <c r="AL200" s="438" t="n">
        <v>0.15</v>
      </c>
      <c r="AM200" s="438" t="n">
        <v>0.15</v>
      </c>
      <c r="AN200" s="438" t="n">
        <v>0.15</v>
      </c>
      <c r="AO200" s="438" t="n">
        <v>0.15</v>
      </c>
      <c r="AP200" s="439" t="n">
        <v>0.15</v>
      </c>
      <c r="AQ200" s="439" t="n">
        <v>0.15</v>
      </c>
      <c r="AR200" s="439" t="n">
        <v>0.15</v>
      </c>
      <c r="AS200" s="439" t="n">
        <v>0.15</v>
      </c>
      <c r="AT200" s="438" t="n">
        <v>0.15</v>
      </c>
      <c r="AU200" s="438" t="n">
        <v>0.15</v>
      </c>
      <c r="AV200" s="438" t="n">
        <v>0.165</v>
      </c>
      <c r="AW200" s="418" t="n">
        <v>0.070398463303986</v>
      </c>
      <c r="AY200" s="437" t="n">
        <f aca="false">AG200</f>
        <v>0.165</v>
      </c>
      <c r="AZ200" s="437" t="n">
        <f aca="false">AG200</f>
        <v>0.165</v>
      </c>
      <c r="BA200" s="441" t="n">
        <f aca="false">AG200</f>
        <v>0.165</v>
      </c>
      <c r="BB200" s="442" t="n">
        <f aca="false">B200</f>
        <v>42370</v>
      </c>
      <c r="BC200" s="437" t="n">
        <f aca="false">(1+$AW200/2)^(-2*($B200-$BC$11)/365.25)</f>
        <v>0.345921755880708</v>
      </c>
      <c r="BD200" s="437" t="n">
        <f aca="false">(1+$AW200/2)^(-2*($B200-$BD$11)/365.25)</f>
        <v>0.345987288622617</v>
      </c>
      <c r="BF200" s="442" t="n">
        <f aca="false">B200</f>
        <v>42370</v>
      </c>
      <c r="BG200" s="418" t="n">
        <v>188</v>
      </c>
    </row>
    <row r="201" customFormat="false" ht="12" hidden="false" customHeight="false" outlineLevel="0" collapsed="false">
      <c r="B201" s="419" t="n">
        <f aca="false">EOMONTH(B200,0)+1</f>
        <v>42401</v>
      </c>
      <c r="C201" s="420" t="n">
        <v>3.723</v>
      </c>
      <c r="D201" s="420" t="n">
        <v>0.15</v>
      </c>
      <c r="E201" s="420" t="n">
        <v>0.070636460503549</v>
      </c>
      <c r="F201" s="420" t="n">
        <v>-0.16</v>
      </c>
      <c r="G201" s="420" t="n">
        <v>-0.04</v>
      </c>
      <c r="H201" s="420" t="n">
        <v>-0.16</v>
      </c>
      <c r="I201" s="420" t="n">
        <v>0.25</v>
      </c>
      <c r="J201" s="420" t="n">
        <v>0.305</v>
      </c>
      <c r="K201" s="420" t="n">
        <v>0.435</v>
      </c>
      <c r="L201" s="420" t="n">
        <v>-0.057</v>
      </c>
      <c r="M201" s="420" t="n">
        <v>0.0075</v>
      </c>
      <c r="N201" s="420" t="n">
        <v>0</v>
      </c>
      <c r="P201" s="420" t="n">
        <v>0.016</v>
      </c>
      <c r="Q201" s="420" t="n">
        <v>0.0105</v>
      </c>
      <c r="R201" s="436" t="n">
        <v>-0.005999999</v>
      </c>
      <c r="S201" s="418" t="n">
        <v>0</v>
      </c>
      <c r="T201" s="436" t="n">
        <v>-0.005</v>
      </c>
      <c r="U201" s="418" t="n">
        <v>-0.0185</v>
      </c>
      <c r="V201" s="418" t="n">
        <v>-0.1035</v>
      </c>
      <c r="W201" s="418" t="n">
        <v>0</v>
      </c>
      <c r="X201" s="418" t="n">
        <v>1.455</v>
      </c>
      <c r="Y201" s="418" t="n">
        <v>0.005</v>
      </c>
      <c r="Z201" s="418" t="n">
        <v>-0.19</v>
      </c>
      <c r="AA201" s="436" t="n">
        <v>-0.0125</v>
      </c>
      <c r="AB201" s="437" t="n">
        <v>0.12</v>
      </c>
      <c r="AC201" s="437" t="n">
        <v>0.975</v>
      </c>
      <c r="AD201" s="437" t="n">
        <v>0.345</v>
      </c>
      <c r="AE201" s="438" t="n">
        <v>0.15</v>
      </c>
      <c r="AF201" s="438" t="n">
        <v>0.15</v>
      </c>
      <c r="AG201" s="438" t="n">
        <v>0.165</v>
      </c>
      <c r="AH201" s="438" t="n">
        <v>0.15</v>
      </c>
      <c r="AI201" s="438" t="n">
        <v>0.153</v>
      </c>
      <c r="AJ201" s="438" t="n">
        <v>0.15</v>
      </c>
      <c r="AK201" s="438" t="n">
        <v>0.15</v>
      </c>
      <c r="AL201" s="438" t="n">
        <v>0.15</v>
      </c>
      <c r="AM201" s="438" t="n">
        <v>0.15</v>
      </c>
      <c r="AN201" s="438" t="n">
        <v>0.15</v>
      </c>
      <c r="AO201" s="438" t="n">
        <v>0.15</v>
      </c>
      <c r="AP201" s="439" t="n">
        <v>0.15</v>
      </c>
      <c r="AQ201" s="439" t="n">
        <v>0.15</v>
      </c>
      <c r="AR201" s="439" t="n">
        <v>0.15</v>
      </c>
      <c r="AS201" s="439" t="n">
        <v>0.15</v>
      </c>
      <c r="AT201" s="438" t="n">
        <v>0.15</v>
      </c>
      <c r="AU201" s="438" t="n">
        <v>0.15</v>
      </c>
      <c r="AV201" s="438" t="n">
        <v>0.165</v>
      </c>
      <c r="AW201" s="418" t="n">
        <v>0.070405416821378</v>
      </c>
      <c r="AY201" s="437" t="n">
        <f aca="false">AG201</f>
        <v>0.165</v>
      </c>
      <c r="AZ201" s="437" t="n">
        <f aca="false">AG201</f>
        <v>0.165</v>
      </c>
      <c r="BA201" s="441" t="n">
        <f aca="false">AG201</f>
        <v>0.165</v>
      </c>
      <c r="BB201" s="442" t="n">
        <f aca="false">B201</f>
        <v>42401</v>
      </c>
      <c r="BC201" s="437" t="n">
        <f aca="false">(1+$AW201/2)^(-2*($B201-$BC$11)/365.25)</f>
        <v>0.343860749820072</v>
      </c>
      <c r="BD201" s="437" t="n">
        <f aca="false">(1+$AW201/2)^(-2*($B201-$BD$11)/365.25)</f>
        <v>0.343925898442014</v>
      </c>
      <c r="BF201" s="442" t="n">
        <f aca="false">B201</f>
        <v>42401</v>
      </c>
      <c r="BG201" s="418" t="n">
        <v>189</v>
      </c>
    </row>
    <row r="202" customFormat="false" ht="12" hidden="false" customHeight="false" outlineLevel="0" collapsed="false">
      <c r="B202" s="419" t="n">
        <f aca="false">EOMONTH(B201,0)+1</f>
        <v>42430</v>
      </c>
      <c r="C202" s="420" t="n">
        <v>3.592</v>
      </c>
      <c r="D202" s="420" t="n">
        <v>0.15</v>
      </c>
      <c r="E202" s="420" t="n">
        <v>0.070637551292388</v>
      </c>
      <c r="F202" s="420" t="n">
        <v>-0.16</v>
      </c>
      <c r="G202" s="420" t="n">
        <v>-0.0275</v>
      </c>
      <c r="H202" s="420" t="n">
        <v>-0.16</v>
      </c>
      <c r="I202" s="420" t="n">
        <v>0.248</v>
      </c>
      <c r="J202" s="420" t="n">
        <v>0.265</v>
      </c>
      <c r="K202" s="420" t="n">
        <v>0.3025</v>
      </c>
      <c r="L202" s="420" t="n">
        <v>-0.057</v>
      </c>
      <c r="M202" s="435" t="n">
        <v>0.0075</v>
      </c>
      <c r="N202" s="420" t="n">
        <v>0</v>
      </c>
      <c r="P202" s="420" t="n">
        <v>0.016</v>
      </c>
      <c r="Q202" s="420" t="n">
        <v>0</v>
      </c>
      <c r="R202" s="436" t="n">
        <v>-0.005999999</v>
      </c>
      <c r="S202" s="418" t="n">
        <v>0</v>
      </c>
      <c r="T202" s="436" t="n">
        <v>-0.005</v>
      </c>
      <c r="U202" s="418" t="n">
        <v>0</v>
      </c>
      <c r="V202" s="418" t="n">
        <v>-0.086</v>
      </c>
      <c r="W202" s="418" t="n">
        <v>0</v>
      </c>
      <c r="X202" s="418" t="n">
        <v>0.835</v>
      </c>
      <c r="Y202" s="418" t="n">
        <v>0.005</v>
      </c>
      <c r="Z202" s="418" t="n">
        <v>-0.19</v>
      </c>
      <c r="AA202" s="436" t="n">
        <v>-0.0125</v>
      </c>
      <c r="AB202" s="437" t="n">
        <v>0.12</v>
      </c>
      <c r="AC202" s="437" t="n">
        <v>0.6075</v>
      </c>
      <c r="AD202" s="437" t="n">
        <v>0.343</v>
      </c>
      <c r="AE202" s="438" t="n">
        <v>0.15</v>
      </c>
      <c r="AF202" s="438" t="n">
        <v>0.15</v>
      </c>
      <c r="AG202" s="438" t="n">
        <v>0.165</v>
      </c>
      <c r="AH202" s="438" t="n">
        <v>0.15</v>
      </c>
      <c r="AI202" s="438" t="n">
        <v>0.153</v>
      </c>
      <c r="AJ202" s="438" t="n">
        <v>0.15</v>
      </c>
      <c r="AK202" s="438" t="n">
        <v>0.15</v>
      </c>
      <c r="AL202" s="438" t="n">
        <v>0.15</v>
      </c>
      <c r="AM202" s="438" t="n">
        <v>0.15</v>
      </c>
      <c r="AN202" s="438" t="n">
        <v>0.15</v>
      </c>
      <c r="AO202" s="438" t="n">
        <v>0.15</v>
      </c>
      <c r="AP202" s="439" t="n">
        <v>0.15</v>
      </c>
      <c r="AQ202" s="439" t="n">
        <v>0.15</v>
      </c>
      <c r="AR202" s="439" t="n">
        <v>0.15</v>
      </c>
      <c r="AS202" s="439" t="n">
        <v>0.15</v>
      </c>
      <c r="AT202" s="438" t="n">
        <v>0.15</v>
      </c>
      <c r="AU202" s="438" t="n">
        <v>0.15</v>
      </c>
      <c r="AV202" s="438" t="n">
        <v>0.165</v>
      </c>
      <c r="AW202" s="418" t="n">
        <v>0.070411921724759</v>
      </c>
      <c r="AY202" s="437" t="n">
        <f aca="false">AG202</f>
        <v>0.165</v>
      </c>
      <c r="AZ202" s="437" t="n">
        <f aca="false">AG202</f>
        <v>0.165</v>
      </c>
      <c r="BA202" s="441" t="n">
        <f aca="false">AG202</f>
        <v>0.165</v>
      </c>
      <c r="BB202" s="442" t="n">
        <f aca="false">B202</f>
        <v>42430</v>
      </c>
      <c r="BC202" s="437" t="n">
        <f aca="false">(1+$AW202/2)^(-2*($B202-$BC$11)/365.25)</f>
        <v>0.341943477178541</v>
      </c>
      <c r="BD202" s="437" t="n">
        <f aca="false">(1+$AW202/2)^(-2*($B202-$BD$11)/365.25)</f>
        <v>0.342008268433591</v>
      </c>
      <c r="BF202" s="442" t="n">
        <f aca="false">B202</f>
        <v>42430</v>
      </c>
      <c r="BG202" s="418" t="n">
        <v>190</v>
      </c>
    </row>
    <row r="203" customFormat="false" ht="12" hidden="false" customHeight="false" outlineLevel="0" collapsed="false">
      <c r="B203" s="419" t="n">
        <f aca="false">EOMONTH(B202,0)+1</f>
        <v>42461</v>
      </c>
      <c r="C203" s="420" t="n">
        <v>3.453</v>
      </c>
      <c r="D203" s="420" t="n">
        <v>0.15</v>
      </c>
      <c r="E203" s="420" t="n">
        <v>0.070638717308044</v>
      </c>
      <c r="F203" s="420" t="n">
        <v>-0.16</v>
      </c>
      <c r="G203" s="420" t="n">
        <v>0.015</v>
      </c>
      <c r="H203" s="420" t="n">
        <v>-0.16</v>
      </c>
      <c r="I203" s="420" t="n">
        <v>0.153</v>
      </c>
      <c r="J203" s="420" t="n">
        <v>0.195</v>
      </c>
      <c r="K203" s="420" t="n">
        <v>0.25</v>
      </c>
      <c r="L203" s="420" t="n">
        <v>-0.05</v>
      </c>
      <c r="M203" s="435" t="n">
        <v>6.93889390390723E-018</v>
      </c>
      <c r="N203" s="420" t="n">
        <v>0</v>
      </c>
      <c r="P203" s="420" t="n">
        <v>0.0065</v>
      </c>
      <c r="Q203" s="420" t="n">
        <v>0</v>
      </c>
      <c r="R203" s="436" t="n">
        <v>-0.005499999</v>
      </c>
      <c r="S203" s="418" t="n">
        <v>0</v>
      </c>
      <c r="T203" s="436" t="n">
        <v>-0.05</v>
      </c>
      <c r="U203" s="418" t="n">
        <v>0</v>
      </c>
      <c r="V203" s="418" t="n">
        <v>-0.0785</v>
      </c>
      <c r="W203" s="418" t="n">
        <v>0</v>
      </c>
      <c r="X203" s="418" t="n">
        <v>0.45</v>
      </c>
      <c r="Y203" s="418" t="n">
        <v>0.005</v>
      </c>
      <c r="Z203" s="418" t="n">
        <v>-0.19</v>
      </c>
      <c r="AA203" s="436" t="n">
        <v>-0.009999999</v>
      </c>
      <c r="AB203" s="437" t="n">
        <v>0.295</v>
      </c>
      <c r="AC203" s="437" t="n">
        <v>0.355</v>
      </c>
      <c r="AD203" s="437" t="n">
        <v>0.248</v>
      </c>
      <c r="AE203" s="438" t="n">
        <v>0.15</v>
      </c>
      <c r="AF203" s="438" t="n">
        <v>0.15</v>
      </c>
      <c r="AG203" s="438" t="n">
        <v>0.147</v>
      </c>
      <c r="AH203" s="438" t="n">
        <v>0.15</v>
      </c>
      <c r="AI203" s="438" t="n">
        <v>0.153</v>
      </c>
      <c r="AJ203" s="438" t="n">
        <v>0.15</v>
      </c>
      <c r="AK203" s="438" t="n">
        <v>0.147</v>
      </c>
      <c r="AL203" s="438" t="n">
        <v>0.147</v>
      </c>
      <c r="AM203" s="438" t="n">
        <v>0.15</v>
      </c>
      <c r="AN203" s="438" t="n">
        <v>0.15</v>
      </c>
      <c r="AO203" s="438" t="n">
        <v>0.15</v>
      </c>
      <c r="AP203" s="439" t="n">
        <v>0.15</v>
      </c>
      <c r="AQ203" s="439" t="n">
        <v>0.15</v>
      </c>
      <c r="AR203" s="439" t="n">
        <v>0.15</v>
      </c>
      <c r="AS203" s="439" t="n">
        <v>0.15</v>
      </c>
      <c r="AT203" s="438" t="n">
        <v>0.15</v>
      </c>
      <c r="AU203" s="438" t="n">
        <v>0.15</v>
      </c>
      <c r="AV203" s="438" t="n">
        <v>0.147</v>
      </c>
      <c r="AW203" s="418" t="n">
        <v>0.070418875242182</v>
      </c>
      <c r="AY203" s="437" t="n">
        <f aca="false">AG203</f>
        <v>0.147</v>
      </c>
      <c r="AZ203" s="437" t="n">
        <f aca="false">AG203</f>
        <v>0.147</v>
      </c>
      <c r="BA203" s="441" t="n">
        <f aca="false">AG203</f>
        <v>0.147</v>
      </c>
      <c r="BB203" s="442" t="n">
        <f aca="false">B203</f>
        <v>42461</v>
      </c>
      <c r="BC203" s="437" t="n">
        <f aca="false">(1+$AW203/2)^(-2*($B203-$BC$11)/365.25)</f>
        <v>0.339905423865205</v>
      </c>
      <c r="BD203" s="437" t="n">
        <f aca="false">(1+$AW203/2)^(-2*($B203-$BD$11)/365.25)</f>
        <v>0.339969835203194</v>
      </c>
      <c r="BF203" s="442" t="n">
        <f aca="false">B203</f>
        <v>42461</v>
      </c>
      <c r="BG203" s="418" t="n">
        <v>191</v>
      </c>
    </row>
    <row r="204" customFormat="false" ht="12" hidden="false" customHeight="false" outlineLevel="0" collapsed="false">
      <c r="B204" s="419" t="n">
        <f aca="false">EOMONTH(B203,0)+1</f>
        <v>42491</v>
      </c>
      <c r="C204" s="420" t="n">
        <v>3.454</v>
      </c>
      <c r="D204" s="420" t="n">
        <v>0.15</v>
      </c>
      <c r="E204" s="420" t="n">
        <v>0.070639845710293</v>
      </c>
      <c r="F204" s="420" t="n">
        <v>0</v>
      </c>
      <c r="G204" s="420" t="n">
        <v>0.015</v>
      </c>
      <c r="H204" s="420" t="n">
        <v>0</v>
      </c>
      <c r="I204" s="420" t="n">
        <v>0</v>
      </c>
      <c r="J204" s="420" t="n">
        <v>0.1825</v>
      </c>
      <c r="K204" s="420" t="n">
        <v>0.2025</v>
      </c>
      <c r="L204" s="420" t="n">
        <v>-0.05</v>
      </c>
      <c r="M204" s="435" t="n">
        <v>6.93889390390723E-018</v>
      </c>
      <c r="N204" s="420" t="n">
        <v>0</v>
      </c>
      <c r="P204" s="420" t="n">
        <v>0.0065</v>
      </c>
      <c r="Q204" s="420" t="n">
        <v>0</v>
      </c>
      <c r="R204" s="436" t="n">
        <v>-0.005499999</v>
      </c>
      <c r="S204" s="418" t="n">
        <v>0</v>
      </c>
      <c r="T204" s="436" t="n">
        <v>0</v>
      </c>
      <c r="U204" s="436" t="n">
        <v>0.000249999999999993</v>
      </c>
      <c r="V204" s="418" t="n">
        <v>-0.0785</v>
      </c>
      <c r="W204" s="418" t="n">
        <v>0</v>
      </c>
      <c r="X204" s="418" t="n">
        <v>0.405</v>
      </c>
      <c r="Y204" s="418" t="n">
        <v>0.005</v>
      </c>
      <c r="Z204" s="418" t="n">
        <v>-0.19</v>
      </c>
      <c r="AA204" s="436" t="n">
        <v>-0.009999999</v>
      </c>
      <c r="AB204" s="437" t="n">
        <v>0.295</v>
      </c>
      <c r="AC204" s="437" t="n">
        <v>0.2875</v>
      </c>
      <c r="AD204" s="437" t="n">
        <v>0</v>
      </c>
      <c r="AE204" s="438" t="n">
        <v>0.15</v>
      </c>
      <c r="AF204" s="438" t="n">
        <v>0.15</v>
      </c>
      <c r="AG204" s="438" t="n">
        <v>0.147</v>
      </c>
      <c r="AH204" s="438" t="n">
        <v>0.15</v>
      </c>
      <c r="AI204" s="438" t="n">
        <v>0.153</v>
      </c>
      <c r="AJ204" s="438" t="n">
        <v>0.15</v>
      </c>
      <c r="AK204" s="438" t="n">
        <v>0.147</v>
      </c>
      <c r="AL204" s="438" t="n">
        <v>0.147</v>
      </c>
      <c r="AM204" s="438" t="n">
        <v>0.15</v>
      </c>
      <c r="AN204" s="438" t="n">
        <v>0.15</v>
      </c>
      <c r="AO204" s="438" t="n">
        <v>0.15</v>
      </c>
      <c r="AP204" s="439" t="n">
        <v>0.15</v>
      </c>
      <c r="AQ204" s="439" t="n">
        <v>0.15</v>
      </c>
      <c r="AR204" s="439" t="n">
        <v>0.15</v>
      </c>
      <c r="AS204" s="439" t="n">
        <v>0.15</v>
      </c>
      <c r="AT204" s="438" t="n">
        <v>0.15</v>
      </c>
      <c r="AU204" s="438" t="n">
        <v>0.15</v>
      </c>
      <c r="AV204" s="438" t="n">
        <v>0.147</v>
      </c>
      <c r="AW204" s="418" t="n">
        <v>0.070425604452606</v>
      </c>
      <c r="AY204" s="437" t="n">
        <f aca="false">AG204</f>
        <v>0.147</v>
      </c>
      <c r="AZ204" s="437" t="n">
        <f aca="false">AG204</f>
        <v>0.147</v>
      </c>
      <c r="BA204" s="441" t="n">
        <f aca="false">AG204</f>
        <v>0.147</v>
      </c>
      <c r="BB204" s="442" t="n">
        <f aca="false">B204</f>
        <v>42491</v>
      </c>
      <c r="BC204" s="437" t="n">
        <f aca="false">(1+$AW204/2)^(-2*($B204-$BC$11)/365.25)</f>
        <v>0.337944313952928</v>
      </c>
      <c r="BD204" s="437" t="n">
        <f aca="false">(1+$AW204/2)^(-2*($B204-$BD$11)/365.25)</f>
        <v>0.338008359680366</v>
      </c>
      <c r="BF204" s="442" t="n">
        <f aca="false">B204</f>
        <v>42491</v>
      </c>
      <c r="BG204" s="418" t="n">
        <v>192</v>
      </c>
    </row>
    <row r="205" customFormat="false" ht="12" hidden="false" customHeight="false" outlineLevel="0" collapsed="false">
      <c r="B205" s="419" t="n">
        <f aca="false">EOMONTH(B204,0)+1</f>
        <v>42522</v>
      </c>
      <c r="C205" s="420" t="n">
        <v>3.487</v>
      </c>
      <c r="D205" s="420" t="n">
        <v>0.15</v>
      </c>
      <c r="E205" s="420" t="n">
        <v>0.07064101172595</v>
      </c>
      <c r="F205" s="420" t="n">
        <v>0</v>
      </c>
      <c r="G205" s="420" t="n">
        <v>0.02</v>
      </c>
      <c r="H205" s="420" t="n">
        <v>0</v>
      </c>
      <c r="I205" s="420" t="n">
        <v>0</v>
      </c>
      <c r="J205" s="420" t="n">
        <v>0.1825</v>
      </c>
      <c r="K205" s="420" t="n">
        <v>0.2025</v>
      </c>
      <c r="L205" s="420" t="n">
        <v>-0.066</v>
      </c>
      <c r="M205" s="435" t="n">
        <v>6.93889390390723E-018</v>
      </c>
      <c r="N205" s="420" t="n">
        <v>0</v>
      </c>
      <c r="P205" s="420" t="n">
        <v>0.0065</v>
      </c>
      <c r="Q205" s="420" t="n">
        <v>0</v>
      </c>
      <c r="R205" s="436" t="n">
        <v>-0.005499999</v>
      </c>
      <c r="S205" s="418" t="n">
        <v>0</v>
      </c>
      <c r="T205" s="436" t="n">
        <v>0</v>
      </c>
      <c r="U205" s="436" t="n">
        <v>0.000249999999999993</v>
      </c>
      <c r="V205" s="418" t="n">
        <v>-0.0685</v>
      </c>
      <c r="W205" s="418" t="n">
        <v>0</v>
      </c>
      <c r="X205" s="418" t="n">
        <v>0.395</v>
      </c>
      <c r="Y205" s="418" t="n">
        <v>0.005</v>
      </c>
      <c r="Z205" s="418" t="n">
        <v>-0.19</v>
      </c>
      <c r="AA205" s="436" t="n">
        <v>-0.009999999</v>
      </c>
      <c r="AB205" s="437" t="n">
        <v>0.295</v>
      </c>
      <c r="AC205" s="437" t="n">
        <v>0.2875</v>
      </c>
      <c r="AD205" s="437" t="n">
        <v>0</v>
      </c>
      <c r="AE205" s="438" t="n">
        <v>0.15</v>
      </c>
      <c r="AF205" s="438" t="n">
        <v>0.15</v>
      </c>
      <c r="AG205" s="438" t="n">
        <v>0.147</v>
      </c>
      <c r="AH205" s="438" t="n">
        <v>0.15</v>
      </c>
      <c r="AI205" s="438" t="n">
        <v>0.153</v>
      </c>
      <c r="AJ205" s="438" t="n">
        <v>0.15</v>
      </c>
      <c r="AK205" s="438" t="n">
        <v>0.147</v>
      </c>
      <c r="AL205" s="438" t="n">
        <v>0.147</v>
      </c>
      <c r="AM205" s="438" t="n">
        <v>0.15</v>
      </c>
      <c r="AN205" s="438" t="n">
        <v>0.15</v>
      </c>
      <c r="AO205" s="438" t="n">
        <v>0.15</v>
      </c>
      <c r="AP205" s="439" t="n">
        <v>0.15</v>
      </c>
      <c r="AQ205" s="439" t="n">
        <v>0.15</v>
      </c>
      <c r="AR205" s="439" t="n">
        <v>0.15</v>
      </c>
      <c r="AS205" s="439" t="n">
        <v>0.15</v>
      </c>
      <c r="AT205" s="438" t="n">
        <v>0.15</v>
      </c>
      <c r="AU205" s="438" t="n">
        <v>0.15</v>
      </c>
      <c r="AV205" s="438" t="n">
        <v>0.147</v>
      </c>
      <c r="AW205" s="418" t="n">
        <v>0.070432557970061</v>
      </c>
      <c r="AY205" s="437" t="n">
        <f aca="false">AG205</f>
        <v>0.147</v>
      </c>
      <c r="AZ205" s="437" t="n">
        <f aca="false">AG205</f>
        <v>0.147</v>
      </c>
      <c r="BA205" s="441" t="n">
        <f aca="false">AG205</f>
        <v>0.147</v>
      </c>
      <c r="BB205" s="442" t="n">
        <f aca="false">B205</f>
        <v>42522</v>
      </c>
      <c r="BC205" s="437" t="n">
        <f aca="false">(1+$AW205/2)^(-2*($B205-$BC$11)/365.25)</f>
        <v>0.335929343014705</v>
      </c>
      <c r="BD205" s="437" t="n">
        <f aca="false">(1+$AW205/2)^(-2*($B205-$BD$11)/365.25)</f>
        <v>0.335993013052612</v>
      </c>
      <c r="BF205" s="442" t="n">
        <f aca="false">B205</f>
        <v>42522</v>
      </c>
      <c r="BG205" s="418" t="n">
        <v>193</v>
      </c>
    </row>
    <row r="206" customFormat="false" ht="12" hidden="false" customHeight="false" outlineLevel="0" collapsed="false">
      <c r="B206" s="419" t="n">
        <f aca="false">EOMONTH(B205,0)+1</f>
        <v>42552</v>
      </c>
      <c r="C206" s="420" t="n">
        <v>3.509</v>
      </c>
      <c r="D206" s="420" t="n">
        <v>0.15</v>
      </c>
      <c r="E206" s="420" t="n">
        <v>0.070642140128199</v>
      </c>
      <c r="F206" s="420" t="n">
        <v>0</v>
      </c>
      <c r="G206" s="420" t="n">
        <v>0.0225</v>
      </c>
      <c r="H206" s="420" t="n">
        <v>0</v>
      </c>
      <c r="I206" s="420" t="n">
        <v>0</v>
      </c>
      <c r="J206" s="420" t="n">
        <v>0.1825</v>
      </c>
      <c r="K206" s="420" t="n">
        <v>0.215</v>
      </c>
      <c r="L206" s="420" t="n">
        <v>-0.059</v>
      </c>
      <c r="M206" s="435" t="n">
        <v>6.93889390390723E-018</v>
      </c>
      <c r="N206" s="420" t="n">
        <v>0</v>
      </c>
      <c r="P206" s="420" t="n">
        <v>0.0065</v>
      </c>
      <c r="Q206" s="420" t="n">
        <v>0</v>
      </c>
      <c r="R206" s="436" t="n">
        <v>-0.005499999</v>
      </c>
      <c r="S206" s="418" t="n">
        <v>0</v>
      </c>
      <c r="T206" s="418" t="n">
        <v>0</v>
      </c>
      <c r="U206" s="436" t="n">
        <v>0.000249999999999993</v>
      </c>
      <c r="V206" s="418" t="n">
        <v>-0.0635</v>
      </c>
      <c r="W206" s="418" t="n">
        <v>0</v>
      </c>
      <c r="X206" s="418" t="n">
        <v>0.43</v>
      </c>
      <c r="Y206" s="418" t="n">
        <v>0.005</v>
      </c>
      <c r="Z206" s="418" t="n">
        <v>-0.19</v>
      </c>
      <c r="AA206" s="436" t="n">
        <v>-0.009999999</v>
      </c>
      <c r="AB206" s="437" t="n">
        <v>0.295</v>
      </c>
      <c r="AC206" s="437" t="n">
        <v>0.3</v>
      </c>
      <c r="AD206" s="437" t="n">
        <v>0</v>
      </c>
      <c r="AE206" s="438" t="n">
        <v>0.15</v>
      </c>
      <c r="AF206" s="438" t="n">
        <v>0.15</v>
      </c>
      <c r="AG206" s="438" t="n">
        <v>0.147</v>
      </c>
      <c r="AH206" s="438" t="n">
        <v>0.15</v>
      </c>
      <c r="AI206" s="438" t="n">
        <v>0.153</v>
      </c>
      <c r="AJ206" s="438" t="n">
        <v>0.15</v>
      </c>
      <c r="AK206" s="438" t="n">
        <v>0.147</v>
      </c>
      <c r="AL206" s="438" t="n">
        <v>0.147</v>
      </c>
      <c r="AM206" s="438" t="n">
        <v>0.15</v>
      </c>
      <c r="AN206" s="438" t="n">
        <v>0.15</v>
      </c>
      <c r="AO206" s="438" t="n">
        <v>0.15</v>
      </c>
      <c r="AP206" s="439" t="n">
        <v>0.15</v>
      </c>
      <c r="AQ206" s="439" t="n">
        <v>0.15</v>
      </c>
      <c r="AR206" s="439" t="n">
        <v>0.15</v>
      </c>
      <c r="AS206" s="439" t="n">
        <v>0.15</v>
      </c>
      <c r="AT206" s="438" t="n">
        <v>0.15</v>
      </c>
      <c r="AU206" s="438" t="n">
        <v>0.15</v>
      </c>
      <c r="AV206" s="438" t="n">
        <v>0.147</v>
      </c>
      <c r="AW206" s="418" t="n">
        <v>0.070439287180516</v>
      </c>
      <c r="AY206" s="437" t="n">
        <f aca="false">AG206</f>
        <v>0.147</v>
      </c>
      <c r="AZ206" s="437" t="n">
        <f aca="false">AG206</f>
        <v>0.147</v>
      </c>
      <c r="BA206" s="441" t="n">
        <f aca="false">AG206</f>
        <v>0.147</v>
      </c>
      <c r="BB206" s="442" t="n">
        <f aca="false">B206</f>
        <v>42552</v>
      </c>
      <c r="BC206" s="437" t="n">
        <f aca="false">(1+$AW206/2)^(-2*($B206-$BC$11)/365.25)</f>
        <v>0.333990448458603</v>
      </c>
      <c r="BD206" s="437" t="n">
        <f aca="false">(1+$AW206/2)^(-2*($B206-$BD$11)/365.25)</f>
        <v>0.334053756955126</v>
      </c>
      <c r="BF206" s="442" t="n">
        <f aca="false">B206</f>
        <v>42552</v>
      </c>
      <c r="BG206" s="418" t="n">
        <v>194</v>
      </c>
    </row>
    <row r="207" customFormat="false" ht="12" hidden="false" customHeight="false" outlineLevel="0" collapsed="false">
      <c r="B207" s="419" t="n">
        <f aca="false">EOMONTH(B206,0)+1</f>
        <v>42583</v>
      </c>
      <c r="C207" s="420" t="n">
        <v>3.53</v>
      </c>
      <c r="D207" s="420" t="n">
        <v>0.15</v>
      </c>
      <c r="E207" s="420" t="n">
        <v>0.070643306143857</v>
      </c>
      <c r="F207" s="420" t="n">
        <v>0</v>
      </c>
      <c r="G207" s="420" t="n">
        <v>0.025</v>
      </c>
      <c r="H207" s="420" t="n">
        <v>0</v>
      </c>
      <c r="I207" s="420" t="n">
        <v>0</v>
      </c>
      <c r="J207" s="420" t="n">
        <v>0.1825</v>
      </c>
      <c r="K207" s="420" t="n">
        <v>0.215</v>
      </c>
      <c r="L207" s="420" t="n">
        <v>-0.05</v>
      </c>
      <c r="M207" s="435" t="n">
        <v>6.93889390390723E-018</v>
      </c>
      <c r="N207" s="420" t="n">
        <v>0</v>
      </c>
      <c r="P207" s="420" t="n">
        <v>0.0065</v>
      </c>
      <c r="Q207" s="420" t="n">
        <v>0</v>
      </c>
      <c r="R207" s="436" t="n">
        <v>-0.005499999</v>
      </c>
      <c r="S207" s="418" t="n">
        <v>0</v>
      </c>
      <c r="T207" s="418" t="n">
        <v>0</v>
      </c>
      <c r="U207" s="436" t="n">
        <v>0.000249999999999993</v>
      </c>
      <c r="V207" s="418" t="n">
        <v>-0.0635</v>
      </c>
      <c r="W207" s="418" t="n">
        <v>0</v>
      </c>
      <c r="X207" s="418" t="n">
        <v>0.495</v>
      </c>
      <c r="Y207" s="418" t="n">
        <v>0.005</v>
      </c>
      <c r="Z207" s="418" t="n">
        <v>-0.19</v>
      </c>
      <c r="AA207" s="436" t="n">
        <v>-0.009999999</v>
      </c>
      <c r="AB207" s="437" t="n">
        <v>0.295</v>
      </c>
      <c r="AC207" s="437" t="n">
        <v>0.3</v>
      </c>
      <c r="AD207" s="437" t="n">
        <v>0</v>
      </c>
      <c r="AE207" s="438" t="n">
        <v>0.15</v>
      </c>
      <c r="AF207" s="438" t="n">
        <v>0.15</v>
      </c>
      <c r="AG207" s="438" t="n">
        <v>0.147</v>
      </c>
      <c r="AH207" s="438" t="n">
        <v>0.15</v>
      </c>
      <c r="AI207" s="438" t="n">
        <v>0.153</v>
      </c>
      <c r="AJ207" s="438" t="n">
        <v>0.15</v>
      </c>
      <c r="AK207" s="438" t="n">
        <v>0.147</v>
      </c>
      <c r="AL207" s="438" t="n">
        <v>0.147</v>
      </c>
      <c r="AM207" s="438" t="n">
        <v>0.15</v>
      </c>
      <c r="AN207" s="438" t="n">
        <v>0.15</v>
      </c>
      <c r="AO207" s="438" t="n">
        <v>0.15</v>
      </c>
      <c r="AP207" s="439" t="n">
        <v>0.15</v>
      </c>
      <c r="AQ207" s="439" t="n">
        <v>0.15</v>
      </c>
      <c r="AR207" s="439" t="n">
        <v>0.15</v>
      </c>
      <c r="AS207" s="439" t="n">
        <v>0.15</v>
      </c>
      <c r="AT207" s="438" t="n">
        <v>0.15</v>
      </c>
      <c r="AU207" s="438" t="n">
        <v>0.15</v>
      </c>
      <c r="AV207" s="438" t="n">
        <v>0.147</v>
      </c>
      <c r="AW207" s="418" t="n">
        <v>0.070446240698002</v>
      </c>
      <c r="AY207" s="437" t="n">
        <f aca="false">AG207</f>
        <v>0.147</v>
      </c>
      <c r="AZ207" s="437" t="n">
        <f aca="false">AG207</f>
        <v>0.147</v>
      </c>
      <c r="BA207" s="441" t="n">
        <f aca="false">AG207</f>
        <v>0.147</v>
      </c>
      <c r="BB207" s="442" t="n">
        <f aca="false">B207</f>
        <v>42583</v>
      </c>
      <c r="BC207" s="437" t="n">
        <f aca="false">(1+$AW207/2)^(-2*($B207-$BC$11)/365.25)</f>
        <v>0.331998307551331</v>
      </c>
      <c r="BD207" s="437" t="n">
        <f aca="false">(1+$AW207/2)^(-2*($B207-$BD$11)/365.25)</f>
        <v>0.332061244540522</v>
      </c>
      <c r="BF207" s="442" t="n">
        <f aca="false">B207</f>
        <v>42583</v>
      </c>
      <c r="BG207" s="418" t="n">
        <v>195</v>
      </c>
    </row>
    <row r="208" customFormat="false" ht="12" hidden="false" customHeight="false" outlineLevel="0" collapsed="false">
      <c r="B208" s="419" t="n">
        <f aca="false">EOMONTH(B207,0)+1</f>
        <v>42614</v>
      </c>
      <c r="C208" s="420" t="n">
        <v>3.5</v>
      </c>
      <c r="D208" s="420" t="n">
        <v>0.15</v>
      </c>
      <c r="E208" s="420" t="n">
        <v>0.070644472159516</v>
      </c>
      <c r="F208" s="420" t="n">
        <v>0</v>
      </c>
      <c r="G208" s="420" t="n">
        <v>0.0175</v>
      </c>
      <c r="H208" s="420" t="n">
        <v>0</v>
      </c>
      <c r="I208" s="420" t="n">
        <v>0</v>
      </c>
      <c r="J208" s="420" t="n">
        <v>0.1825</v>
      </c>
      <c r="K208" s="420" t="n">
        <v>0.195</v>
      </c>
      <c r="L208" s="420" t="n">
        <v>-0.03</v>
      </c>
      <c r="M208" s="435" t="n">
        <v>6.93889390390723E-018</v>
      </c>
      <c r="N208" s="420" t="n">
        <v>0</v>
      </c>
      <c r="P208" s="420" t="n">
        <v>0.0065</v>
      </c>
      <c r="Q208" s="420" t="n">
        <v>0</v>
      </c>
      <c r="R208" s="436" t="n">
        <v>-0.005499999</v>
      </c>
      <c r="S208" s="418" t="n">
        <v>0</v>
      </c>
      <c r="T208" s="418" t="n">
        <v>0</v>
      </c>
      <c r="U208" s="436" t="n">
        <v>0.000249999999999993</v>
      </c>
      <c r="V208" s="418" t="n">
        <v>-0.0785</v>
      </c>
      <c r="W208" s="418" t="n">
        <v>0</v>
      </c>
      <c r="X208" s="418" t="n">
        <v>0.395</v>
      </c>
      <c r="Y208" s="418" t="n">
        <v>0.005</v>
      </c>
      <c r="Z208" s="418" t="n">
        <v>-0.19</v>
      </c>
      <c r="AA208" s="418" t="n">
        <v>-0.009999999</v>
      </c>
      <c r="AB208" s="437" t="n">
        <v>0.295</v>
      </c>
      <c r="AC208" s="437" t="n">
        <v>0.29</v>
      </c>
      <c r="AD208" s="437" t="n">
        <v>0</v>
      </c>
      <c r="AE208" s="438" t="n">
        <v>0.15</v>
      </c>
      <c r="AF208" s="438" t="n">
        <v>0.15</v>
      </c>
      <c r="AG208" s="438" t="n">
        <v>0.147</v>
      </c>
      <c r="AH208" s="438" t="n">
        <v>0.15</v>
      </c>
      <c r="AI208" s="438" t="n">
        <v>0.153</v>
      </c>
      <c r="AJ208" s="438" t="n">
        <v>0.15</v>
      </c>
      <c r="AK208" s="438" t="n">
        <v>0.147</v>
      </c>
      <c r="AL208" s="438" t="n">
        <v>0.147</v>
      </c>
      <c r="AM208" s="438" t="n">
        <v>0.15</v>
      </c>
      <c r="AN208" s="438" t="n">
        <v>0.15</v>
      </c>
      <c r="AO208" s="438" t="n">
        <v>0.15</v>
      </c>
      <c r="AP208" s="439" t="n">
        <v>0.15</v>
      </c>
      <c r="AQ208" s="439" t="n">
        <v>0.15</v>
      </c>
      <c r="AR208" s="439" t="n">
        <v>0.15</v>
      </c>
      <c r="AS208" s="439" t="n">
        <v>0.15</v>
      </c>
      <c r="AT208" s="438" t="n">
        <v>0.15</v>
      </c>
      <c r="AU208" s="438" t="n">
        <v>0.15</v>
      </c>
      <c r="AV208" s="438" t="n">
        <v>0.147</v>
      </c>
      <c r="AW208" s="418" t="n">
        <v>0.070453194215504</v>
      </c>
      <c r="AY208" s="437" t="n">
        <f aca="false">AG208</f>
        <v>0.147</v>
      </c>
      <c r="AZ208" s="437" t="n">
        <f aca="false">AG208</f>
        <v>0.147</v>
      </c>
      <c r="BA208" s="441" t="n">
        <f aca="false">AG208</f>
        <v>0.147</v>
      </c>
      <c r="BB208" s="442" t="n">
        <f aca="false">B208</f>
        <v>42614</v>
      </c>
      <c r="BC208" s="437" t="n">
        <f aca="false">(1+$AW208/2)^(-2*($B208-$BC$11)/365.25)</f>
        <v>0.330017672935728</v>
      </c>
      <c r="BD208" s="437" t="n">
        <f aca="false">(1+$AW208/2)^(-2*($B208-$BD$11)/365.25)</f>
        <v>0.330080240525743</v>
      </c>
      <c r="BF208" s="442" t="n">
        <f aca="false">B208</f>
        <v>42614</v>
      </c>
      <c r="BG208" s="418" t="n">
        <v>196</v>
      </c>
    </row>
    <row r="209" customFormat="false" ht="12" hidden="false" customHeight="false" outlineLevel="0" collapsed="false">
      <c r="B209" s="419" t="n">
        <f aca="false">EOMONTH(B208,0)+1</f>
        <v>42644</v>
      </c>
      <c r="C209" s="420" t="n">
        <v>3.502</v>
      </c>
      <c r="D209" s="420" t="n">
        <v>0.15</v>
      </c>
      <c r="E209" s="435" t="n">
        <v>0.070645600561767</v>
      </c>
      <c r="F209" s="420" t="n">
        <v>0</v>
      </c>
      <c r="G209" s="420" t="n">
        <v>0.0075</v>
      </c>
      <c r="H209" s="420" t="n">
        <v>0</v>
      </c>
      <c r="I209" s="420" t="n">
        <v>0</v>
      </c>
      <c r="J209" s="420" t="n">
        <v>0.1875</v>
      </c>
      <c r="K209" s="420" t="n">
        <v>0.215</v>
      </c>
      <c r="L209" s="420" t="n">
        <v>-0.04</v>
      </c>
      <c r="M209" s="435" t="n">
        <v>6.93889390390723E-018</v>
      </c>
      <c r="N209" s="420" t="n">
        <v>0</v>
      </c>
      <c r="P209" s="420" t="n">
        <v>0.0065</v>
      </c>
      <c r="Q209" s="420" t="n">
        <v>0</v>
      </c>
      <c r="R209" s="436" t="n">
        <v>-0.005499999</v>
      </c>
      <c r="S209" s="418" t="n">
        <v>0</v>
      </c>
      <c r="T209" s="418" t="n">
        <v>0</v>
      </c>
      <c r="U209" s="418" t="n">
        <v>-0.0185</v>
      </c>
      <c r="V209" s="418" t="n">
        <v>-0.081</v>
      </c>
      <c r="W209" s="418" t="n">
        <v>0</v>
      </c>
      <c r="X209" s="418" t="n">
        <v>0.461</v>
      </c>
      <c r="Y209" s="418" t="n">
        <v>0.005</v>
      </c>
      <c r="Z209" s="418" t="n">
        <v>-0.19</v>
      </c>
      <c r="AA209" s="418" t="n">
        <v>-0.009999999</v>
      </c>
      <c r="AB209" s="437" t="n">
        <v>0.295</v>
      </c>
      <c r="AC209" s="437" t="n">
        <v>0.3625</v>
      </c>
      <c r="AD209" s="437" t="n">
        <v>0</v>
      </c>
      <c r="AE209" s="438" t="n">
        <v>0.15</v>
      </c>
      <c r="AF209" s="438" t="n">
        <v>0.15</v>
      </c>
      <c r="AG209" s="438" t="n">
        <v>0.147</v>
      </c>
      <c r="AH209" s="438" t="n">
        <v>0.15</v>
      </c>
      <c r="AI209" s="438" t="n">
        <v>0.153</v>
      </c>
      <c r="AJ209" s="438" t="n">
        <v>0.15</v>
      </c>
      <c r="AK209" s="438" t="n">
        <v>0.147</v>
      </c>
      <c r="AL209" s="438" t="n">
        <v>0.147</v>
      </c>
      <c r="AM209" s="438" t="n">
        <v>0.15</v>
      </c>
      <c r="AN209" s="438" t="n">
        <v>0.15</v>
      </c>
      <c r="AO209" s="438" t="n">
        <v>0.15</v>
      </c>
      <c r="AP209" s="439" t="n">
        <v>0.15</v>
      </c>
      <c r="AQ209" s="439" t="n">
        <v>0.15</v>
      </c>
      <c r="AR209" s="439" t="n">
        <v>0.15</v>
      </c>
      <c r="AS209" s="439" t="n">
        <v>0.15</v>
      </c>
      <c r="AT209" s="438" t="n">
        <v>0.15</v>
      </c>
      <c r="AU209" s="438" t="n">
        <v>0.15</v>
      </c>
      <c r="AV209" s="438" t="n">
        <v>0.147</v>
      </c>
      <c r="AW209" s="436" t="n">
        <v>0.070459923426004</v>
      </c>
      <c r="AY209" s="437" t="n">
        <f aca="false">AG209</f>
        <v>0.147</v>
      </c>
      <c r="AZ209" s="437" t="n">
        <f aca="false">AG209</f>
        <v>0.147</v>
      </c>
      <c r="BA209" s="441" t="n">
        <f aca="false">AG209</f>
        <v>0.147</v>
      </c>
      <c r="BB209" s="442" t="n">
        <f aca="false">B209</f>
        <v>42644</v>
      </c>
      <c r="BC209" s="437" t="n">
        <f aca="false">(1+$AW209/2)^(-2*($B209-$BC$11)/365.25)</f>
        <v>0.328111824865184</v>
      </c>
      <c r="BD209" s="437" t="n">
        <f aca="false">(1+$AW209/2)^(-2*($B209-$BD$11)/365.25)</f>
        <v>0.328174036968515</v>
      </c>
      <c r="BF209" s="442" t="n">
        <f aca="false">B209</f>
        <v>42644</v>
      </c>
      <c r="BG209" s="418" t="n">
        <v>197</v>
      </c>
    </row>
    <row r="210" customFormat="false" ht="12" hidden="false" customHeight="false" outlineLevel="0" collapsed="false">
      <c r="B210" s="419" t="n">
        <f aca="false">EOMONTH(B209,0)+1</f>
        <v>42675</v>
      </c>
      <c r="C210" s="420" t="n">
        <v>3.529</v>
      </c>
      <c r="D210" s="420" t="n">
        <v>0.15</v>
      </c>
      <c r="E210" s="420" t="n">
        <v>0.070646766577426</v>
      </c>
      <c r="F210" s="420" t="n">
        <v>0</v>
      </c>
      <c r="G210" s="420" t="n">
        <v>-0.0325</v>
      </c>
      <c r="H210" s="420" t="n">
        <v>0</v>
      </c>
      <c r="I210" s="420" t="n">
        <v>0</v>
      </c>
      <c r="J210" s="420" t="n">
        <v>0.27</v>
      </c>
      <c r="K210" s="420" t="n">
        <v>0.2875</v>
      </c>
      <c r="L210" s="420" t="n">
        <v>-0.055</v>
      </c>
      <c r="M210" s="435" t="n">
        <v>0.0075</v>
      </c>
      <c r="N210" s="420" t="n">
        <v>0</v>
      </c>
      <c r="P210" s="420" t="n">
        <v>0.016</v>
      </c>
      <c r="Q210" s="420" t="n">
        <v>0</v>
      </c>
      <c r="R210" s="436" t="n">
        <v>-0.008499999</v>
      </c>
      <c r="S210" s="418" t="n">
        <v>0</v>
      </c>
      <c r="T210" s="418" t="n">
        <v>0</v>
      </c>
      <c r="U210" s="418" t="n">
        <v>-0.0175</v>
      </c>
      <c r="V210" s="418" t="n">
        <v>-0.0785</v>
      </c>
      <c r="W210" s="418" t="n">
        <v>0</v>
      </c>
      <c r="X210" s="418" t="n">
        <v>0.7675</v>
      </c>
      <c r="Y210" s="418" t="n">
        <v>0.005</v>
      </c>
      <c r="Z210" s="418" t="n">
        <v>-0.19</v>
      </c>
      <c r="AA210" s="418" t="n">
        <v>-0.0115</v>
      </c>
      <c r="AB210" s="437" t="n">
        <v>0.12</v>
      </c>
      <c r="AC210" s="437" t="n">
        <v>0.465</v>
      </c>
      <c r="AD210" s="437" t="n">
        <v>0</v>
      </c>
      <c r="AE210" s="438" t="n">
        <v>0.15</v>
      </c>
      <c r="AF210" s="438" t="n">
        <v>0.15</v>
      </c>
      <c r="AG210" s="438" t="n">
        <v>0.165</v>
      </c>
      <c r="AH210" s="438" t="n">
        <v>0.15</v>
      </c>
      <c r="AI210" s="438" t="n">
        <v>0.153</v>
      </c>
      <c r="AJ210" s="438" t="n">
        <v>0.15</v>
      </c>
      <c r="AK210" s="438" t="n">
        <v>0.15</v>
      </c>
      <c r="AL210" s="438" t="n">
        <v>0.15</v>
      </c>
      <c r="AM210" s="438" t="n">
        <v>0.15</v>
      </c>
      <c r="AN210" s="438" t="n">
        <v>0.15</v>
      </c>
      <c r="AO210" s="438" t="n">
        <v>0.15</v>
      </c>
      <c r="AP210" s="439" t="n">
        <v>0.15</v>
      </c>
      <c r="AQ210" s="439" t="n">
        <v>0.15</v>
      </c>
      <c r="AR210" s="439" t="n">
        <v>0.15</v>
      </c>
      <c r="AS210" s="439" t="n">
        <v>0.15</v>
      </c>
      <c r="AT210" s="438" t="n">
        <v>0.15</v>
      </c>
      <c r="AU210" s="438" t="n">
        <v>0.15</v>
      </c>
      <c r="AV210" s="438" t="n">
        <v>0.165</v>
      </c>
      <c r="AW210" s="418" t="n">
        <v>0.070466876943538</v>
      </c>
      <c r="AY210" s="437" t="n">
        <f aca="false">AG210</f>
        <v>0.165</v>
      </c>
      <c r="AZ210" s="437" t="n">
        <f aca="false">AG210</f>
        <v>0.165</v>
      </c>
      <c r="BA210" s="441" t="n">
        <f aca="false">AG210</f>
        <v>0.165</v>
      </c>
      <c r="BB210" s="442" t="n">
        <f aca="false">B210</f>
        <v>42675</v>
      </c>
      <c r="BC210" s="437" t="n">
        <f aca="false">(1+$AW210/2)^(-2*($B210-$BC$11)/365.25)</f>
        <v>0.326153644703162</v>
      </c>
      <c r="BD210" s="437" t="n">
        <f aca="false">(1+$AW210/2)^(-2*($B210-$BD$11)/365.25)</f>
        <v>0.326215491522028</v>
      </c>
      <c r="BF210" s="442" t="n">
        <f aca="false">B210</f>
        <v>42675</v>
      </c>
      <c r="BG210" s="418" t="n">
        <v>198</v>
      </c>
    </row>
    <row r="211" customFormat="false" ht="12" hidden="false" customHeight="false" outlineLevel="0" collapsed="false">
      <c r="B211" s="419" t="n">
        <f aca="false">EOMONTH(B210,0)+1</f>
        <v>42705</v>
      </c>
      <c r="C211" s="420" t="n">
        <v>3.576</v>
      </c>
      <c r="D211" s="420" t="n">
        <v>0.15</v>
      </c>
      <c r="E211" s="420" t="n">
        <v>0.070647894979678</v>
      </c>
      <c r="F211" s="420" t="n">
        <v>0</v>
      </c>
      <c r="G211" s="420" t="n">
        <v>-0.055</v>
      </c>
      <c r="H211" s="420" t="n">
        <v>0</v>
      </c>
      <c r="I211" s="420" t="n">
        <v>0</v>
      </c>
      <c r="J211" s="420" t="n">
        <v>0.305</v>
      </c>
      <c r="K211" s="420" t="n">
        <v>0.3375</v>
      </c>
      <c r="L211" s="420" t="n">
        <v>-0.055</v>
      </c>
      <c r="M211" s="435" t="n">
        <v>0.0075</v>
      </c>
      <c r="N211" s="420" t="n">
        <v>0</v>
      </c>
      <c r="P211" s="420" t="n">
        <v>0.016</v>
      </c>
      <c r="Q211" s="420" t="n">
        <v>0</v>
      </c>
      <c r="R211" s="436" t="n">
        <v>-0.008499999</v>
      </c>
      <c r="S211" s="418" t="n">
        <v>0</v>
      </c>
      <c r="T211" s="418" t="n">
        <v>0</v>
      </c>
      <c r="U211" s="418" t="n">
        <v>-0.0175</v>
      </c>
      <c r="V211" s="418" t="n">
        <v>-0.1135</v>
      </c>
      <c r="W211" s="418" t="n">
        <v>0</v>
      </c>
      <c r="X211" s="418" t="n">
        <v>1.19</v>
      </c>
      <c r="Y211" s="418" t="n">
        <v>0.005</v>
      </c>
      <c r="Z211" s="418" t="n">
        <v>-0.19</v>
      </c>
      <c r="AA211" s="436" t="n">
        <v>-0.0115</v>
      </c>
      <c r="AB211" s="437" t="n">
        <v>0.12</v>
      </c>
      <c r="AC211" s="437" t="n">
        <v>0.8</v>
      </c>
      <c r="AD211" s="437" t="n">
        <v>0</v>
      </c>
      <c r="AE211" s="438" t="n">
        <v>0.15</v>
      </c>
      <c r="AF211" s="438" t="n">
        <v>0.15</v>
      </c>
      <c r="AG211" s="438" t="n">
        <v>0.165</v>
      </c>
      <c r="AH211" s="438" t="n">
        <v>0.15</v>
      </c>
      <c r="AI211" s="438" t="n">
        <v>0.153</v>
      </c>
      <c r="AJ211" s="438" t="n">
        <v>0.15</v>
      </c>
      <c r="AK211" s="438" t="n">
        <v>0.15</v>
      </c>
      <c r="AL211" s="438" t="n">
        <v>0.15</v>
      </c>
      <c r="AM211" s="438" t="n">
        <v>0.15</v>
      </c>
      <c r="AN211" s="438" t="n">
        <v>0.15</v>
      </c>
      <c r="AO211" s="438" t="n">
        <v>0.15</v>
      </c>
      <c r="AP211" s="439" t="n">
        <v>0.15</v>
      </c>
      <c r="AQ211" s="439" t="n">
        <v>0.15</v>
      </c>
      <c r="AR211" s="439" t="n">
        <v>0.15</v>
      </c>
      <c r="AS211" s="439" t="n">
        <v>0.15</v>
      </c>
      <c r="AT211" s="438" t="n">
        <v>0.15</v>
      </c>
      <c r="AU211" s="438" t="n">
        <v>0.15</v>
      </c>
      <c r="AV211" s="438" t="n">
        <v>0.165</v>
      </c>
      <c r="AW211" s="418" t="n">
        <v>0.070473606154069</v>
      </c>
      <c r="AY211" s="437" t="n">
        <f aca="false">AG211</f>
        <v>0.165</v>
      </c>
      <c r="AZ211" s="437" t="n">
        <f aca="false">AG211</f>
        <v>0.165</v>
      </c>
      <c r="BA211" s="441" t="n">
        <f aca="false">AG211</f>
        <v>0.165</v>
      </c>
      <c r="BB211" s="442" t="n">
        <f aca="false">B211</f>
        <v>42705</v>
      </c>
      <c r="BC211" s="437" t="n">
        <f aca="false">(1+$AW211/2)^(-2*($B211-$BC$11)/365.25)</f>
        <v>0.324269407524993</v>
      </c>
      <c r="BD211" s="437" t="n">
        <f aca="false">(1+$AW211/2)^(-2*($B211-$BD$11)/365.25)</f>
        <v>0.324330902817724</v>
      </c>
      <c r="BF211" s="442" t="n">
        <f aca="false">B211</f>
        <v>42705</v>
      </c>
      <c r="BG211" s="418" t="n">
        <v>199</v>
      </c>
    </row>
    <row r="212" customFormat="false" ht="12" hidden="false" customHeight="false" outlineLevel="0" collapsed="false">
      <c r="B212" s="419" t="n">
        <f aca="false">EOMONTH(B211,0)+1</f>
        <v>42736</v>
      </c>
      <c r="C212" s="420" t="n">
        <v>3.8975</v>
      </c>
      <c r="D212" s="420" t="n">
        <v>0.15</v>
      </c>
      <c r="E212" s="420" t="n">
        <v>0.070649060995338</v>
      </c>
      <c r="F212" s="420" t="n">
        <v>0</v>
      </c>
      <c r="G212" s="420" t="n">
        <v>-0.0575</v>
      </c>
      <c r="H212" s="420" t="n">
        <v>0</v>
      </c>
      <c r="I212" s="420" t="n">
        <v>0</v>
      </c>
      <c r="J212" s="420" t="n">
        <v>0.305</v>
      </c>
      <c r="K212" s="420" t="n">
        <v>0.4375</v>
      </c>
      <c r="L212" s="420" t="n">
        <v>-0.055</v>
      </c>
      <c r="M212" s="435" t="n">
        <v>0.0095</v>
      </c>
      <c r="N212" s="420" t="n">
        <v>0</v>
      </c>
      <c r="P212" s="420" t="n">
        <v>0.016</v>
      </c>
      <c r="Q212" s="420" t="n">
        <v>0</v>
      </c>
      <c r="R212" s="436" t="n">
        <v>-0.003999999</v>
      </c>
      <c r="S212" s="418" t="n">
        <v>0</v>
      </c>
      <c r="T212" s="418" t="n">
        <v>0</v>
      </c>
      <c r="U212" s="418" t="n">
        <v>-0.0175</v>
      </c>
      <c r="V212" s="418" t="n">
        <v>-0.119</v>
      </c>
      <c r="W212" s="418" t="n">
        <v>0</v>
      </c>
      <c r="X212" s="418" t="n">
        <v>1.525</v>
      </c>
      <c r="Y212" s="418" t="n">
        <v>0.005</v>
      </c>
      <c r="Z212" s="418" t="n">
        <v>-0.19</v>
      </c>
      <c r="AA212" s="436" t="n">
        <v>-0.0115</v>
      </c>
      <c r="AB212" s="437" t="n">
        <v>0.12</v>
      </c>
      <c r="AC212" s="437" t="n">
        <v>0.975</v>
      </c>
      <c r="AD212" s="437" t="n">
        <v>0</v>
      </c>
      <c r="AE212" s="438" t="n">
        <v>0.15</v>
      </c>
      <c r="AF212" s="438" t="n">
        <v>0.15</v>
      </c>
      <c r="AG212" s="438" t="n">
        <v>0.165</v>
      </c>
      <c r="AH212" s="438" t="n">
        <v>0.15</v>
      </c>
      <c r="AI212" s="438" t="n">
        <v>0.153</v>
      </c>
      <c r="AJ212" s="438" t="n">
        <v>0.15</v>
      </c>
      <c r="AK212" s="438" t="n">
        <v>0.15</v>
      </c>
      <c r="AL212" s="438" t="n">
        <v>0.15</v>
      </c>
      <c r="AM212" s="438" t="n">
        <v>0.15</v>
      </c>
      <c r="AN212" s="438" t="n">
        <v>0.15</v>
      </c>
      <c r="AO212" s="438" t="n">
        <v>0.15</v>
      </c>
      <c r="AP212" s="439" t="n">
        <v>0.15</v>
      </c>
      <c r="AQ212" s="439" t="n">
        <v>0.15</v>
      </c>
      <c r="AR212" s="439" t="n">
        <v>0.15</v>
      </c>
      <c r="AS212" s="439" t="n">
        <v>0.15</v>
      </c>
      <c r="AT212" s="438" t="n">
        <v>0.15</v>
      </c>
      <c r="AU212" s="438" t="n">
        <v>0.15</v>
      </c>
      <c r="AV212" s="438" t="n">
        <v>0.165</v>
      </c>
      <c r="AW212" s="418" t="n">
        <v>0.070480559671634</v>
      </c>
      <c r="AY212" s="437" t="n">
        <f aca="false">AG212</f>
        <v>0.165</v>
      </c>
      <c r="AZ212" s="437" t="n">
        <f aca="false">AG212</f>
        <v>0.165</v>
      </c>
      <c r="BA212" s="441" t="n">
        <f aca="false">AG212</f>
        <v>0.165</v>
      </c>
      <c r="BB212" s="442" t="n">
        <f aca="false">B212</f>
        <v>42736</v>
      </c>
      <c r="BC212" s="437" t="n">
        <f aca="false">(1+$AW212/2)^(-2*($B212-$BC$11)/365.25)</f>
        <v>0.322333436073501</v>
      </c>
      <c r="BD212" s="437" t="n">
        <f aca="false">(1+$AW212/2)^(-2*($B212-$BD$11)/365.25)</f>
        <v>0.322394570152306</v>
      </c>
      <c r="BF212" s="442" t="n">
        <f aca="false">B212</f>
        <v>42736</v>
      </c>
      <c r="BG212" s="418" t="n">
        <v>200</v>
      </c>
    </row>
    <row r="213" customFormat="false" ht="12" hidden="false" customHeight="false" outlineLevel="0" collapsed="false">
      <c r="B213" s="419" t="n">
        <f aca="false">EOMONTH(B212,0)+1</f>
        <v>42767</v>
      </c>
      <c r="C213" s="420" t="n">
        <v>3.8115</v>
      </c>
      <c r="D213" s="420" t="n">
        <v>0.15</v>
      </c>
      <c r="E213" s="420" t="n">
        <v>0.070650227011</v>
      </c>
      <c r="F213" s="420" t="n">
        <v>0</v>
      </c>
      <c r="G213" s="420" t="n">
        <v>-0.04</v>
      </c>
      <c r="H213" s="420" t="n">
        <v>0</v>
      </c>
      <c r="I213" s="420" t="n">
        <v>0</v>
      </c>
      <c r="J213" s="420" t="n">
        <v>0.305</v>
      </c>
      <c r="K213" s="420" t="n">
        <v>0.435</v>
      </c>
      <c r="L213" s="420" t="n">
        <v>-0.055</v>
      </c>
      <c r="M213" s="435" t="n">
        <v>0.0095</v>
      </c>
      <c r="N213" s="420" t="n">
        <v>0</v>
      </c>
      <c r="P213" s="420" t="n">
        <v>0.016</v>
      </c>
      <c r="Q213" s="420" t="n">
        <v>0</v>
      </c>
      <c r="R213" s="436" t="n">
        <v>-0.003999999</v>
      </c>
      <c r="S213" s="418" t="n">
        <v>0</v>
      </c>
      <c r="T213" s="418" t="n">
        <v>0</v>
      </c>
      <c r="U213" s="418" t="n">
        <v>-0.0175</v>
      </c>
      <c r="V213" s="418" t="n">
        <v>-0.1015</v>
      </c>
      <c r="W213" s="418" t="n">
        <v>0</v>
      </c>
      <c r="X213" s="418" t="n">
        <v>1.455</v>
      </c>
      <c r="Y213" s="418" t="n">
        <v>0.005</v>
      </c>
      <c r="Z213" s="418" t="n">
        <v>-0.19</v>
      </c>
      <c r="AA213" s="436" t="n">
        <v>-0.0115</v>
      </c>
      <c r="AB213" s="437" t="n">
        <v>0.12</v>
      </c>
      <c r="AC213" s="437" t="n">
        <v>0.975</v>
      </c>
      <c r="AD213" s="437" t="n">
        <v>0</v>
      </c>
      <c r="AE213" s="438" t="n">
        <v>0.15</v>
      </c>
      <c r="AF213" s="438" t="n">
        <v>0.15</v>
      </c>
      <c r="AG213" s="438" t="n">
        <v>0.165</v>
      </c>
      <c r="AH213" s="438" t="n">
        <v>0.15</v>
      </c>
      <c r="AI213" s="438" t="n">
        <v>0.153</v>
      </c>
      <c r="AJ213" s="438" t="n">
        <v>0.15</v>
      </c>
      <c r="AK213" s="438" t="n">
        <v>0.15</v>
      </c>
      <c r="AL213" s="438" t="n">
        <v>0.15</v>
      </c>
      <c r="AM213" s="438" t="n">
        <v>0.15</v>
      </c>
      <c r="AN213" s="438" t="n">
        <v>0.15</v>
      </c>
      <c r="AO213" s="438" t="n">
        <v>0.15</v>
      </c>
      <c r="AP213" s="439" t="n">
        <v>0.15</v>
      </c>
      <c r="AQ213" s="439" t="n">
        <v>0.15</v>
      </c>
      <c r="AR213" s="439" t="n">
        <v>0.15</v>
      </c>
      <c r="AS213" s="439" t="n">
        <v>0.15</v>
      </c>
      <c r="AT213" s="438" t="n">
        <v>0.15</v>
      </c>
      <c r="AU213" s="438" t="n">
        <v>0.15</v>
      </c>
      <c r="AV213" s="438" t="n">
        <v>0.165</v>
      </c>
      <c r="AW213" s="418" t="n">
        <v>0.070487513189215</v>
      </c>
      <c r="AY213" s="437" t="n">
        <f aca="false">AG213</f>
        <v>0.165</v>
      </c>
      <c r="AZ213" s="437" t="n">
        <f aca="false">AG213</f>
        <v>0.165</v>
      </c>
      <c r="BA213" s="441" t="n">
        <f aca="false">AG213</f>
        <v>0.165</v>
      </c>
      <c r="BB213" s="442" t="n">
        <f aca="false">B213</f>
        <v>42767</v>
      </c>
      <c r="BC213" s="437" t="n">
        <f aca="false">(1+$AW213/2)^(-2*($B213-$BC$11)/365.25)</f>
        <v>0.320408657669136</v>
      </c>
      <c r="BD213" s="437" t="n">
        <f aca="false">(1+$AW213/2)^(-2*($B213-$BD$11)/365.25)</f>
        <v>0.32046943258587</v>
      </c>
      <c r="BF213" s="442" t="n">
        <f aca="false">B213</f>
        <v>42767</v>
      </c>
      <c r="BG213" s="418" t="n">
        <v>201</v>
      </c>
    </row>
    <row r="214" customFormat="false" ht="12" hidden="false" customHeight="false" outlineLevel="0" collapsed="false">
      <c r="B214" s="419" t="n">
        <f aca="false">EOMONTH(B213,0)+1</f>
        <v>42795</v>
      </c>
      <c r="C214" s="420" t="n">
        <v>3.6835</v>
      </c>
      <c r="D214" s="420" t="n">
        <v>0.15</v>
      </c>
      <c r="E214" s="420" t="n">
        <v>0.070651280186435</v>
      </c>
      <c r="F214" s="420" t="n">
        <v>0</v>
      </c>
      <c r="G214" s="420" t="n">
        <v>-0.0275</v>
      </c>
      <c r="H214" s="420" t="n">
        <v>0</v>
      </c>
      <c r="I214" s="420" t="n">
        <v>0</v>
      </c>
      <c r="J214" s="420" t="n">
        <v>0.265</v>
      </c>
      <c r="K214" s="420" t="n">
        <v>0.3025</v>
      </c>
      <c r="L214" s="420" t="n">
        <v>0</v>
      </c>
      <c r="M214" s="420" t="n">
        <v>0</v>
      </c>
      <c r="N214" s="420" t="n">
        <v>0</v>
      </c>
      <c r="P214" s="420" t="n">
        <v>0</v>
      </c>
      <c r="Q214" s="420" t="n">
        <v>0</v>
      </c>
      <c r="R214" s="436" t="n">
        <v>0</v>
      </c>
      <c r="S214" s="418" t="n">
        <v>0</v>
      </c>
      <c r="T214" s="418" t="n">
        <v>0</v>
      </c>
      <c r="U214" s="418" t="n">
        <v>0.001</v>
      </c>
      <c r="V214" s="418" t="n">
        <v>0</v>
      </c>
      <c r="W214" s="418" t="n">
        <v>0</v>
      </c>
      <c r="X214" s="418" t="n">
        <v>0.835</v>
      </c>
      <c r="Y214" s="418" t="n">
        <v>0</v>
      </c>
      <c r="Z214" s="418" t="n">
        <v>-0.19</v>
      </c>
      <c r="AA214" s="436" t="n">
        <v>0</v>
      </c>
      <c r="AB214" s="437" t="n">
        <v>0.12</v>
      </c>
      <c r="AC214" s="437" t="n">
        <v>0.6075</v>
      </c>
      <c r="AD214" s="437" t="n">
        <v>0</v>
      </c>
      <c r="AE214" s="438" t="n">
        <v>0.15</v>
      </c>
      <c r="AF214" s="438" t="n">
        <v>0.15</v>
      </c>
      <c r="AG214" s="438" t="n">
        <v>0.165</v>
      </c>
      <c r="AH214" s="438" t="n">
        <v>0.15</v>
      </c>
      <c r="AI214" s="438" t="n">
        <v>0.153</v>
      </c>
      <c r="AJ214" s="438" t="n">
        <v>0.15</v>
      </c>
      <c r="AK214" s="438" t="n">
        <v>0.15</v>
      </c>
      <c r="AL214" s="438" t="n">
        <v>0.15</v>
      </c>
      <c r="AM214" s="438" t="n">
        <v>0.15</v>
      </c>
      <c r="AN214" s="438" t="n">
        <v>0.15</v>
      </c>
      <c r="AO214" s="438" t="n">
        <v>0.15</v>
      </c>
      <c r="AP214" s="439" t="n">
        <v>0.15</v>
      </c>
      <c r="AQ214" s="439" t="n">
        <v>0.15</v>
      </c>
      <c r="AR214" s="439" t="n">
        <v>0.15</v>
      </c>
      <c r="AS214" s="439" t="n">
        <v>0.15</v>
      </c>
      <c r="AT214" s="438" t="n">
        <v>0.15</v>
      </c>
      <c r="AU214" s="438" t="n">
        <v>0.15</v>
      </c>
      <c r="AV214" s="438" t="n">
        <v>0.165</v>
      </c>
      <c r="AW214" s="418" t="n">
        <v>0.070493793785753</v>
      </c>
      <c r="AY214" s="437" t="n">
        <f aca="false">AG214</f>
        <v>0.165</v>
      </c>
      <c r="AZ214" s="437" t="n">
        <f aca="false">AG214</f>
        <v>0.165</v>
      </c>
      <c r="BA214" s="441" t="n">
        <f aca="false">AG214</f>
        <v>0.165</v>
      </c>
      <c r="BB214" s="442" t="n">
        <f aca="false">B214</f>
        <v>42795</v>
      </c>
      <c r="BC214" s="437" t="n">
        <f aca="false">(1+$AW214/2)^(-2*($B214-$BC$11)/365.25)</f>
        <v>0.31867971684338</v>
      </c>
      <c r="BD214" s="437" t="n">
        <f aca="false">(1+$AW214/2)^(-2*($B214-$BD$11)/365.25)</f>
        <v>0.31874016910993</v>
      </c>
      <c r="BF214" s="442" t="n">
        <f aca="false">B214</f>
        <v>42795</v>
      </c>
      <c r="BG214" s="418" t="n">
        <v>202</v>
      </c>
    </row>
    <row r="215" customFormat="false" ht="12" hidden="false" customHeight="false" outlineLevel="0" collapsed="false">
      <c r="B215" s="419" t="n">
        <f aca="false">EOMONTH(B214,0)+1</f>
        <v>42826</v>
      </c>
      <c r="C215" s="420" t="n">
        <v>3.5475</v>
      </c>
      <c r="D215" s="420" t="n">
        <v>0.15</v>
      </c>
      <c r="E215" s="420" t="n">
        <v>0.070652446202096</v>
      </c>
      <c r="F215" s="420" t="n">
        <v>0</v>
      </c>
      <c r="G215" s="420" t="n">
        <v>0.0449766</v>
      </c>
      <c r="H215" s="420" t="n">
        <v>0</v>
      </c>
      <c r="I215" s="420" t="n">
        <v>0</v>
      </c>
      <c r="J215" s="420" t="n">
        <v>0.195</v>
      </c>
      <c r="K215" s="420" t="n">
        <v>0.25</v>
      </c>
      <c r="L215" s="420" t="n">
        <v>0</v>
      </c>
      <c r="M215" s="420" t="n">
        <v>0</v>
      </c>
      <c r="N215" s="420" t="n">
        <v>0</v>
      </c>
      <c r="P215" s="420" t="n">
        <v>0</v>
      </c>
      <c r="Q215" s="420" t="n">
        <v>0</v>
      </c>
      <c r="R215" s="418" t="n">
        <v>0</v>
      </c>
      <c r="S215" s="418" t="n">
        <v>0</v>
      </c>
      <c r="T215" s="418" t="n">
        <v>0</v>
      </c>
      <c r="U215" s="436" t="n">
        <v>0.001</v>
      </c>
      <c r="V215" s="418" t="n">
        <v>0</v>
      </c>
      <c r="W215" s="418" t="n">
        <v>0</v>
      </c>
      <c r="X215" s="418" t="n">
        <v>0.45</v>
      </c>
      <c r="Y215" s="418" t="n">
        <v>0</v>
      </c>
      <c r="Z215" s="418" t="n">
        <v>-0.19</v>
      </c>
      <c r="AA215" s="418" t="n">
        <v>0</v>
      </c>
      <c r="AB215" s="437" t="n">
        <v>0.295</v>
      </c>
      <c r="AC215" s="437" t="n">
        <v>0.355</v>
      </c>
      <c r="AD215" s="437" t="n">
        <v>0</v>
      </c>
      <c r="AE215" s="438" t="n">
        <v>0.15</v>
      </c>
      <c r="AF215" s="438" t="n">
        <v>0.15</v>
      </c>
      <c r="AG215" s="438" t="n">
        <v>0.147</v>
      </c>
      <c r="AH215" s="438" t="n">
        <v>0.15</v>
      </c>
      <c r="AI215" s="438" t="n">
        <v>0.153</v>
      </c>
      <c r="AJ215" s="438" t="n">
        <v>0.15</v>
      </c>
      <c r="AK215" s="438" t="n">
        <v>0.147</v>
      </c>
      <c r="AL215" s="438" t="n">
        <v>0.147</v>
      </c>
      <c r="AM215" s="438" t="n">
        <v>0.15</v>
      </c>
      <c r="AN215" s="438" t="n">
        <v>0.15</v>
      </c>
      <c r="AO215" s="438" t="n">
        <v>0.15</v>
      </c>
      <c r="AP215" s="439" t="n">
        <v>0.15</v>
      </c>
      <c r="AQ215" s="439" t="n">
        <v>0.15</v>
      </c>
      <c r="AR215" s="439" t="n">
        <v>0.15</v>
      </c>
      <c r="AS215" s="439" t="n">
        <v>0.15</v>
      </c>
      <c r="AT215" s="438" t="n">
        <v>0.15</v>
      </c>
      <c r="AU215" s="438" t="n">
        <v>0.15</v>
      </c>
      <c r="AV215" s="438" t="n">
        <v>0.147</v>
      </c>
      <c r="AW215" s="418" t="n">
        <v>0.070500747303364</v>
      </c>
      <c r="AY215" s="437" t="n">
        <f aca="false">AG215</f>
        <v>0.147</v>
      </c>
      <c r="AZ215" s="437" t="n">
        <f aca="false">AG215</f>
        <v>0.147</v>
      </c>
      <c r="BA215" s="441" t="n">
        <f aca="false">AG215</f>
        <v>0.147</v>
      </c>
      <c r="BB215" s="442" t="n">
        <f aca="false">B215</f>
        <v>42826</v>
      </c>
      <c r="BC215" s="437" t="n">
        <f aca="false">(1+$AW215/2)^(-2*($B215-$BC$11)/365.25)</f>
        <v>0.316776069048187</v>
      </c>
      <c r="BD215" s="437" t="n">
        <f aca="false">(1+$AW215/2)^(-2*($B215-$BD$11)/365.25)</f>
        <v>0.316836166026827</v>
      </c>
      <c r="BF215" s="442" t="n">
        <f aca="false">B215</f>
        <v>42826</v>
      </c>
      <c r="BG215" s="418" t="n">
        <v>203</v>
      </c>
    </row>
    <row r="216" customFormat="false" ht="12" hidden="false" customHeight="false" outlineLevel="0" collapsed="false">
      <c r="B216" s="419" t="n">
        <f aca="false">EOMONTH(B215,0)+1</f>
        <v>42856</v>
      </c>
      <c r="C216" s="420" t="n">
        <v>3.5495</v>
      </c>
      <c r="D216" s="420" t="n">
        <v>0.15</v>
      </c>
      <c r="E216" s="420" t="n">
        <v>0.07065357460435</v>
      </c>
      <c r="F216" s="420" t="n">
        <v>0</v>
      </c>
      <c r="G216" s="420" t="n">
        <v>0.0449681</v>
      </c>
      <c r="H216" s="420" t="n">
        <v>0</v>
      </c>
      <c r="I216" s="420" t="n">
        <v>0</v>
      </c>
      <c r="J216" s="420" t="n">
        <v>0.1825</v>
      </c>
      <c r="K216" s="420" t="n">
        <v>0.2025</v>
      </c>
      <c r="L216" s="420" t="n">
        <v>0</v>
      </c>
      <c r="M216" s="420" t="n">
        <v>0</v>
      </c>
      <c r="N216" s="420" t="n">
        <v>0</v>
      </c>
      <c r="P216" s="420" t="n">
        <v>0</v>
      </c>
      <c r="Q216" s="420" t="n">
        <v>0</v>
      </c>
      <c r="R216" s="418" t="n">
        <v>0</v>
      </c>
      <c r="S216" s="418" t="n">
        <v>0</v>
      </c>
      <c r="T216" s="418" t="n">
        <v>0</v>
      </c>
      <c r="U216" s="436" t="n">
        <v>0.000750000000000008</v>
      </c>
      <c r="V216" s="418" t="n">
        <v>0</v>
      </c>
      <c r="W216" s="418" t="n">
        <v>0</v>
      </c>
      <c r="X216" s="418" t="n">
        <v>0.405</v>
      </c>
      <c r="Y216" s="418" t="n">
        <v>0</v>
      </c>
      <c r="Z216" s="418" t="n">
        <v>-0.19</v>
      </c>
      <c r="AA216" s="418" t="n">
        <v>0</v>
      </c>
      <c r="AB216" s="437" t="n">
        <v>0.295</v>
      </c>
      <c r="AC216" s="437" t="n">
        <v>0.2875</v>
      </c>
      <c r="AD216" s="437" t="n">
        <v>0</v>
      </c>
      <c r="AE216" s="438" t="n">
        <v>0.15</v>
      </c>
      <c r="AF216" s="438" t="n">
        <v>0.15</v>
      </c>
      <c r="AG216" s="438" t="n">
        <v>0.147</v>
      </c>
      <c r="AH216" s="438" t="n">
        <v>0.15</v>
      </c>
      <c r="AI216" s="438" t="n">
        <v>0.153</v>
      </c>
      <c r="AJ216" s="438" t="n">
        <v>0.15</v>
      </c>
      <c r="AK216" s="438" t="n">
        <v>0.147</v>
      </c>
      <c r="AL216" s="438" t="n">
        <v>0.147</v>
      </c>
      <c r="AM216" s="438" t="n">
        <v>0.15</v>
      </c>
      <c r="AN216" s="438" t="n">
        <v>0.15</v>
      </c>
      <c r="AO216" s="438" t="n">
        <v>0.15</v>
      </c>
      <c r="AP216" s="439" t="n">
        <v>0.15</v>
      </c>
      <c r="AQ216" s="439" t="n">
        <v>0.15</v>
      </c>
      <c r="AR216" s="439" t="n">
        <v>0.15</v>
      </c>
      <c r="AS216" s="439" t="n">
        <v>0.15</v>
      </c>
      <c r="AT216" s="438" t="n">
        <v>0.15</v>
      </c>
      <c r="AU216" s="438" t="n">
        <v>0.15</v>
      </c>
      <c r="AV216" s="438" t="n">
        <v>0.147</v>
      </c>
      <c r="AW216" s="418" t="n">
        <v>0.070507476513971</v>
      </c>
      <c r="AY216" s="437" t="n">
        <f aca="false">AG216</f>
        <v>0.147</v>
      </c>
      <c r="AZ216" s="437" t="n">
        <f aca="false">AG216</f>
        <v>0.147</v>
      </c>
      <c r="BA216" s="441" t="n">
        <f aca="false">AG216</f>
        <v>0.147</v>
      </c>
      <c r="BB216" s="442" t="n">
        <f aca="false">B216</f>
        <v>42856</v>
      </c>
      <c r="BC216" s="437" t="n">
        <f aca="false">(1+$AW216/2)^(-2*($B216-$BC$11)/365.25)</f>
        <v>0.314944315368464</v>
      </c>
      <c r="BD216" s="437" t="n">
        <f aca="false">(1+$AW216/2)^(-2*($B216-$BD$11)/365.25)</f>
        <v>0.315004070442954</v>
      </c>
      <c r="BF216" s="442" t="n">
        <f aca="false">B216</f>
        <v>42856</v>
      </c>
      <c r="BG216" s="418" t="n">
        <v>204</v>
      </c>
    </row>
    <row r="217" customFormat="false" ht="12" hidden="false" customHeight="false" outlineLevel="0" collapsed="false">
      <c r="B217" s="419" t="n">
        <f aca="false">EOMONTH(B216,0)+1</f>
        <v>42887</v>
      </c>
      <c r="C217" s="420" t="n">
        <v>3.5835</v>
      </c>
      <c r="D217" s="420" t="n">
        <v>0.15</v>
      </c>
      <c r="E217" s="420" t="n">
        <v>0.070654740620012</v>
      </c>
      <c r="F217" s="420" t="n">
        <v>0</v>
      </c>
      <c r="G217" s="420" t="n">
        <v>0.0449681</v>
      </c>
      <c r="H217" s="420" t="n">
        <v>0</v>
      </c>
      <c r="I217" s="420" t="n">
        <v>0</v>
      </c>
      <c r="J217" s="420" t="n">
        <v>0.1825</v>
      </c>
      <c r="K217" s="420" t="n">
        <v>0.2025</v>
      </c>
      <c r="L217" s="420" t="n">
        <v>0</v>
      </c>
      <c r="M217" s="420" t="n">
        <v>0</v>
      </c>
      <c r="N217" s="420" t="n">
        <v>0</v>
      </c>
      <c r="P217" s="420" t="n">
        <v>0</v>
      </c>
      <c r="Q217" s="420" t="n">
        <v>0</v>
      </c>
      <c r="R217" s="418" t="n">
        <v>0</v>
      </c>
      <c r="S217" s="418" t="n">
        <v>0</v>
      </c>
      <c r="T217" s="418" t="n">
        <v>0</v>
      </c>
      <c r="U217" s="436" t="n">
        <v>0.000750000000000008</v>
      </c>
      <c r="V217" s="418" t="n">
        <v>0</v>
      </c>
      <c r="W217" s="418" t="n">
        <v>0</v>
      </c>
      <c r="X217" s="418" t="n">
        <v>0.395</v>
      </c>
      <c r="Y217" s="418" t="n">
        <v>0</v>
      </c>
      <c r="Z217" s="418" t="n">
        <v>-0.19</v>
      </c>
      <c r="AA217" s="418" t="n">
        <v>0</v>
      </c>
      <c r="AB217" s="437" t="n">
        <v>0.295</v>
      </c>
      <c r="AC217" s="437" t="n">
        <v>0.2875</v>
      </c>
      <c r="AD217" s="437" t="n">
        <v>0</v>
      </c>
      <c r="AE217" s="438" t="n">
        <v>0.15</v>
      </c>
      <c r="AF217" s="438" t="n">
        <v>0.15</v>
      </c>
      <c r="AG217" s="438" t="n">
        <v>0.147</v>
      </c>
      <c r="AH217" s="438" t="n">
        <v>0.15</v>
      </c>
      <c r="AI217" s="438" t="n">
        <v>0.153</v>
      </c>
      <c r="AJ217" s="438" t="n">
        <v>0.15</v>
      </c>
      <c r="AK217" s="438" t="n">
        <v>0.147</v>
      </c>
      <c r="AL217" s="438" t="n">
        <v>0.147</v>
      </c>
      <c r="AM217" s="438" t="n">
        <v>0.15</v>
      </c>
      <c r="AN217" s="438" t="n">
        <v>0.15</v>
      </c>
      <c r="AO217" s="438" t="n">
        <v>0.15</v>
      </c>
      <c r="AP217" s="439" t="n">
        <v>0.15</v>
      </c>
      <c r="AQ217" s="439" t="n">
        <v>0.15</v>
      </c>
      <c r="AR217" s="439" t="n">
        <v>0.15</v>
      </c>
      <c r="AS217" s="439" t="n">
        <v>0.15</v>
      </c>
      <c r="AT217" s="438" t="n">
        <v>0.15</v>
      </c>
      <c r="AU217" s="438" t="n">
        <v>0.15</v>
      </c>
      <c r="AV217" s="438" t="n">
        <v>0.147</v>
      </c>
      <c r="AW217" s="418" t="n">
        <v>0.070514430031613</v>
      </c>
      <c r="AY217" s="437" t="n">
        <f aca="false">AG217</f>
        <v>0.147</v>
      </c>
      <c r="AZ217" s="437" t="n">
        <f aca="false">AG217</f>
        <v>0.147</v>
      </c>
      <c r="BA217" s="441" t="n">
        <f aca="false">AG217</f>
        <v>0.147</v>
      </c>
      <c r="BB217" s="442" t="n">
        <f aca="false">B217</f>
        <v>42887</v>
      </c>
      <c r="BC217" s="437" t="n">
        <f aca="false">(1+$AW217/2)^(-2*($B217-$BC$11)/365.25)</f>
        <v>0.313062279035758</v>
      </c>
      <c r="BD217" s="437" t="n">
        <f aca="false">(1+$AW217/2)^(-2*($B217-$BD$11)/365.25)</f>
        <v>0.313121682785483</v>
      </c>
      <c r="BF217" s="442" t="n">
        <f aca="false">B217</f>
        <v>42887</v>
      </c>
      <c r="BG217" s="418" t="n">
        <v>205</v>
      </c>
    </row>
    <row r="218" customFormat="false" ht="12" hidden="false" customHeight="false" outlineLevel="0" collapsed="false">
      <c r="B218" s="419" t="n">
        <f aca="false">EOMONTH(B217,0)+1</f>
        <v>42917</v>
      </c>
      <c r="C218" s="420" t="n">
        <v>3.6055</v>
      </c>
      <c r="D218" s="420" t="n">
        <v>0.15</v>
      </c>
      <c r="E218" s="420" t="n">
        <v>0.070655869022267</v>
      </c>
      <c r="F218" s="420" t="n">
        <v>0</v>
      </c>
      <c r="G218" s="420" t="n">
        <v>0.0449681</v>
      </c>
      <c r="H218" s="420" t="n">
        <v>0</v>
      </c>
      <c r="I218" s="420" t="n">
        <v>0</v>
      </c>
      <c r="J218" s="420" t="n">
        <v>0.1825</v>
      </c>
      <c r="K218" s="420" t="n">
        <v>0.215</v>
      </c>
      <c r="L218" s="420" t="n">
        <v>0</v>
      </c>
      <c r="M218" s="420" t="n">
        <v>0</v>
      </c>
      <c r="N218" s="420" t="n">
        <v>0</v>
      </c>
      <c r="P218" s="420" t="n">
        <v>0</v>
      </c>
      <c r="Q218" s="420" t="n">
        <v>0</v>
      </c>
      <c r="R218" s="418" t="n">
        <v>0</v>
      </c>
      <c r="S218" s="418" t="n">
        <v>0</v>
      </c>
      <c r="T218" s="418" t="n">
        <v>0</v>
      </c>
      <c r="U218" s="436" t="n">
        <v>0.000750000000000008</v>
      </c>
      <c r="V218" s="418" t="n">
        <v>0</v>
      </c>
      <c r="W218" s="418" t="n">
        <v>0</v>
      </c>
      <c r="X218" s="418" t="n">
        <v>0.43</v>
      </c>
      <c r="Y218" s="418" t="n">
        <v>0</v>
      </c>
      <c r="Z218" s="418" t="n">
        <v>-0.19</v>
      </c>
      <c r="AA218" s="418" t="n">
        <v>0</v>
      </c>
      <c r="AB218" s="437" t="n">
        <v>0.295</v>
      </c>
      <c r="AC218" s="437" t="n">
        <v>0.3</v>
      </c>
      <c r="AD218" s="437" t="n">
        <v>0</v>
      </c>
      <c r="AE218" s="438" t="n">
        <v>0.15</v>
      </c>
      <c r="AF218" s="438" t="n">
        <v>0.15</v>
      </c>
      <c r="AG218" s="438" t="n">
        <v>0.147</v>
      </c>
      <c r="AH218" s="438" t="n">
        <v>0.15</v>
      </c>
      <c r="AI218" s="438" t="n">
        <v>0.153</v>
      </c>
      <c r="AJ218" s="438" t="n">
        <v>0.15</v>
      </c>
      <c r="AK218" s="438" t="n">
        <v>0.147</v>
      </c>
      <c r="AL218" s="438" t="n">
        <v>0.147</v>
      </c>
      <c r="AM218" s="438" t="n">
        <v>0.15</v>
      </c>
      <c r="AN218" s="438" t="n">
        <v>0.15</v>
      </c>
      <c r="AO218" s="438" t="n">
        <v>0.15</v>
      </c>
      <c r="AP218" s="439" t="n">
        <v>0.15</v>
      </c>
      <c r="AQ218" s="439" t="n">
        <v>0.15</v>
      </c>
      <c r="AR218" s="439" t="n">
        <v>0.15</v>
      </c>
      <c r="AS218" s="439" t="n">
        <v>0.15</v>
      </c>
      <c r="AT218" s="438" t="n">
        <v>0.15</v>
      </c>
      <c r="AU218" s="438" t="n">
        <v>0.15</v>
      </c>
      <c r="AV218" s="438" t="n">
        <v>0.147</v>
      </c>
      <c r="AW218" s="418" t="n">
        <v>0.07052115924225</v>
      </c>
      <c r="AY218" s="437" t="n">
        <f aca="false">AG218</f>
        <v>0.147</v>
      </c>
      <c r="AZ218" s="437" t="n">
        <f aca="false">AG218</f>
        <v>0.147</v>
      </c>
      <c r="BA218" s="441" t="n">
        <f aca="false">AG218</f>
        <v>0.147</v>
      </c>
      <c r="BB218" s="442" t="n">
        <f aca="false">B218</f>
        <v>42917</v>
      </c>
      <c r="BC218" s="437" t="n">
        <f aca="false">(1+$AW218/2)^(-2*($B218-$BC$11)/365.25)</f>
        <v>0.311251324755547</v>
      </c>
      <c r="BD218" s="437" t="n">
        <f aca="false">(1+$AW218/2)^(-2*($B218-$BD$11)/365.25)</f>
        <v>0.311310390415756</v>
      </c>
      <c r="BF218" s="442" t="n">
        <f aca="false">B218</f>
        <v>42917</v>
      </c>
      <c r="BG218" s="418" t="n">
        <v>206</v>
      </c>
    </row>
    <row r="219" customFormat="false" ht="12" hidden="false" customHeight="false" outlineLevel="0" collapsed="false">
      <c r="B219" s="419" t="n">
        <f aca="false">EOMONTH(B218,0)+1</f>
        <v>42948</v>
      </c>
      <c r="C219" s="420" t="n">
        <v>3.6265</v>
      </c>
      <c r="D219" s="420" t="n">
        <v>0.15</v>
      </c>
      <c r="E219" s="420" t="n">
        <v>0.07065703503793</v>
      </c>
      <c r="F219" s="420" t="n">
        <v>0</v>
      </c>
      <c r="G219" s="420" t="n">
        <v>0.0449681</v>
      </c>
      <c r="H219" s="420" t="n">
        <v>0</v>
      </c>
      <c r="I219" s="420" t="n">
        <v>0</v>
      </c>
      <c r="J219" s="420" t="n">
        <v>0.1825</v>
      </c>
      <c r="K219" s="420" t="n">
        <v>0.215</v>
      </c>
      <c r="L219" s="420" t="n">
        <v>0</v>
      </c>
      <c r="M219" s="420" t="n">
        <v>0</v>
      </c>
      <c r="N219" s="420" t="n">
        <v>0</v>
      </c>
      <c r="P219" s="420" t="n">
        <v>0</v>
      </c>
      <c r="Q219" s="420" t="n">
        <v>0</v>
      </c>
      <c r="R219" s="418" t="n">
        <v>0</v>
      </c>
      <c r="S219" s="418" t="n">
        <v>0</v>
      </c>
      <c r="T219" s="418" t="n">
        <v>0</v>
      </c>
      <c r="U219" s="436" t="n">
        <v>0.000750000000000008</v>
      </c>
      <c r="V219" s="418" t="n">
        <v>0</v>
      </c>
      <c r="W219" s="418" t="n">
        <v>0</v>
      </c>
      <c r="X219" s="418" t="n">
        <v>0.495</v>
      </c>
      <c r="Y219" s="418" t="n">
        <v>0</v>
      </c>
      <c r="Z219" s="418" t="n">
        <v>-0.19</v>
      </c>
      <c r="AA219" s="418" t="n">
        <v>0</v>
      </c>
      <c r="AB219" s="437" t="n">
        <v>0.295</v>
      </c>
      <c r="AC219" s="437" t="n">
        <v>0.3</v>
      </c>
      <c r="AD219" s="437" t="n">
        <v>0</v>
      </c>
      <c r="AE219" s="438" t="n">
        <v>0.15</v>
      </c>
      <c r="AF219" s="438" t="n">
        <v>0.15</v>
      </c>
      <c r="AG219" s="438" t="n">
        <v>0.147</v>
      </c>
      <c r="AH219" s="438" t="n">
        <v>0.15</v>
      </c>
      <c r="AI219" s="438" t="n">
        <v>0.153</v>
      </c>
      <c r="AJ219" s="438" t="n">
        <v>0.15</v>
      </c>
      <c r="AK219" s="438" t="n">
        <v>0.147</v>
      </c>
      <c r="AL219" s="438" t="n">
        <v>0.147</v>
      </c>
      <c r="AM219" s="438" t="n">
        <v>0.15</v>
      </c>
      <c r="AN219" s="438" t="n">
        <v>0.15</v>
      </c>
      <c r="AO219" s="438" t="n">
        <v>0.15</v>
      </c>
      <c r="AP219" s="439" t="n">
        <v>0.15</v>
      </c>
      <c r="AQ219" s="439" t="n">
        <v>0.15</v>
      </c>
      <c r="AR219" s="439" t="n">
        <v>0.15</v>
      </c>
      <c r="AS219" s="439" t="n">
        <v>0.15</v>
      </c>
      <c r="AT219" s="438" t="n">
        <v>0.15</v>
      </c>
      <c r="AU219" s="438" t="n">
        <v>0.15</v>
      </c>
      <c r="AV219" s="438" t="n">
        <v>0.147</v>
      </c>
      <c r="AW219" s="418" t="n">
        <v>0.070528112759924</v>
      </c>
      <c r="AY219" s="437" t="n">
        <f aca="false">AG219</f>
        <v>0.147</v>
      </c>
      <c r="AZ219" s="437" t="n">
        <f aca="false">AG219</f>
        <v>0.147</v>
      </c>
      <c r="BA219" s="441" t="n">
        <f aca="false">AG219</f>
        <v>0.147</v>
      </c>
      <c r="BB219" s="442" t="n">
        <f aca="false">B219</f>
        <v>42948</v>
      </c>
      <c r="BC219" s="437" t="n">
        <f aca="false">(1+$AW219/2)^(-2*($B219-$BC$11)/365.25)</f>
        <v>0.309390663016642</v>
      </c>
      <c r="BD219" s="437" t="n">
        <f aca="false">(1+$AW219/2)^(-2*($B219-$BD$11)/365.25)</f>
        <v>0.309449381272624</v>
      </c>
      <c r="BF219" s="442" t="n">
        <f aca="false">B219</f>
        <v>42948</v>
      </c>
      <c r="BG219" s="418" t="n">
        <v>207</v>
      </c>
    </row>
    <row r="220" customFormat="false" ht="12" hidden="false" customHeight="false" outlineLevel="0" collapsed="false">
      <c r="B220" s="419" t="n">
        <f aca="false">EOMONTH(B219,0)+1</f>
        <v>42979</v>
      </c>
      <c r="C220" s="420" t="n">
        <v>3.5955</v>
      </c>
      <c r="D220" s="420" t="n">
        <v>0.15</v>
      </c>
      <c r="E220" s="420" t="n">
        <v>0.070658201053594</v>
      </c>
      <c r="F220" s="420" t="n">
        <v>0</v>
      </c>
      <c r="G220" s="420" t="n">
        <v>0.0449681</v>
      </c>
      <c r="H220" s="420" t="n">
        <v>0</v>
      </c>
      <c r="I220" s="420" t="n">
        <v>0</v>
      </c>
      <c r="J220" s="420" t="n">
        <v>0.1825</v>
      </c>
      <c r="K220" s="420" t="n">
        <v>0.195</v>
      </c>
      <c r="L220" s="420" t="n">
        <v>0</v>
      </c>
      <c r="M220" s="420" t="n">
        <v>0</v>
      </c>
      <c r="N220" s="420" t="n">
        <v>0</v>
      </c>
      <c r="P220" s="420" t="n">
        <v>0</v>
      </c>
      <c r="Q220" s="420" t="n">
        <v>0</v>
      </c>
      <c r="R220" s="418" t="n">
        <v>0</v>
      </c>
      <c r="S220" s="418" t="n">
        <v>0</v>
      </c>
      <c r="T220" s="418" t="n">
        <v>0</v>
      </c>
      <c r="U220" s="436" t="n">
        <v>0.000750000000000008</v>
      </c>
      <c r="V220" s="418" t="n">
        <v>0</v>
      </c>
      <c r="W220" s="418" t="n">
        <v>0</v>
      </c>
      <c r="X220" s="418" t="n">
        <v>0.395</v>
      </c>
      <c r="Y220" s="418" t="n">
        <v>0</v>
      </c>
      <c r="Z220" s="418" t="n">
        <v>-0.19</v>
      </c>
      <c r="AA220" s="418" t="n">
        <v>0</v>
      </c>
      <c r="AB220" s="437" t="n">
        <v>0.295</v>
      </c>
      <c r="AC220" s="437" t="n">
        <v>0.29</v>
      </c>
      <c r="AD220" s="437" t="n">
        <v>0</v>
      </c>
      <c r="AE220" s="438" t="n">
        <v>0.15</v>
      </c>
      <c r="AF220" s="438" t="n">
        <v>0.15</v>
      </c>
      <c r="AG220" s="438" t="n">
        <v>0.147</v>
      </c>
      <c r="AH220" s="438" t="n">
        <v>0.15</v>
      </c>
      <c r="AI220" s="438" t="n">
        <v>0.153</v>
      </c>
      <c r="AJ220" s="438" t="n">
        <v>0.15</v>
      </c>
      <c r="AK220" s="438" t="n">
        <v>0.147</v>
      </c>
      <c r="AL220" s="438" t="n">
        <v>0.147</v>
      </c>
      <c r="AM220" s="438" t="n">
        <v>0.15</v>
      </c>
      <c r="AN220" s="438" t="n">
        <v>0.15</v>
      </c>
      <c r="AO220" s="438" t="n">
        <v>0.15</v>
      </c>
      <c r="AP220" s="439" t="n">
        <v>0.15</v>
      </c>
      <c r="AQ220" s="439" t="n">
        <v>0.15</v>
      </c>
      <c r="AR220" s="439" t="n">
        <v>0.15</v>
      </c>
      <c r="AS220" s="439" t="n">
        <v>0.15</v>
      </c>
      <c r="AT220" s="438" t="n">
        <v>0.15</v>
      </c>
      <c r="AU220" s="438" t="n">
        <v>0.15</v>
      </c>
      <c r="AV220" s="438" t="n">
        <v>0.147</v>
      </c>
      <c r="AW220" s="418" t="n">
        <v>0.070535066277614</v>
      </c>
      <c r="AY220" s="437" t="n">
        <f aca="false">AG220</f>
        <v>0.147</v>
      </c>
      <c r="AZ220" s="437" t="n">
        <f aca="false">AG220</f>
        <v>0.147</v>
      </c>
      <c r="BA220" s="441" t="n">
        <f aca="false">AG220</f>
        <v>0.147</v>
      </c>
      <c r="BB220" s="442" t="n">
        <f aca="false">B220</f>
        <v>42979</v>
      </c>
      <c r="BC220" s="437" t="n">
        <f aca="false">(1+$AW220/2)^(-2*($B220-$BC$11)/365.25)</f>
        <v>0.307540773801752</v>
      </c>
      <c r="BD220" s="437" t="n">
        <f aca="false">(1+$AW220/2)^(-2*($B220-$BD$11)/365.25)</f>
        <v>0.307599146629725</v>
      </c>
      <c r="BF220" s="442" t="n">
        <f aca="false">B220</f>
        <v>42979</v>
      </c>
      <c r="BG220" s="418" t="n">
        <v>208</v>
      </c>
    </row>
    <row r="221" customFormat="false" ht="12" hidden="false" customHeight="false" outlineLevel="0" collapsed="false">
      <c r="B221" s="419" t="n">
        <f aca="false">EOMONTH(B220,0)+1</f>
        <v>43009</v>
      </c>
      <c r="C221" s="420" t="n">
        <v>3.5965</v>
      </c>
      <c r="D221" s="420" t="n">
        <v>0.15</v>
      </c>
      <c r="E221" s="420" t="n">
        <v>0.070659329455849</v>
      </c>
      <c r="F221" s="420" t="n">
        <v>0</v>
      </c>
      <c r="G221" s="420" t="n">
        <v>0.0449681</v>
      </c>
      <c r="H221" s="420" t="n">
        <v>0</v>
      </c>
      <c r="I221" s="420" t="n">
        <v>0</v>
      </c>
      <c r="J221" s="420" t="n">
        <v>0.1875</v>
      </c>
      <c r="K221" s="420" t="n">
        <v>0.215</v>
      </c>
      <c r="L221" s="420" t="n">
        <v>0</v>
      </c>
      <c r="M221" s="420" t="n">
        <v>0</v>
      </c>
      <c r="N221" s="420" t="n">
        <v>0</v>
      </c>
      <c r="P221" s="420" t="n">
        <v>0</v>
      </c>
      <c r="Q221" s="420" t="n">
        <v>0</v>
      </c>
      <c r="R221" s="418" t="n">
        <v>0</v>
      </c>
      <c r="S221" s="418" t="n">
        <v>0</v>
      </c>
      <c r="T221" s="418" t="n">
        <v>0</v>
      </c>
      <c r="U221" s="436" t="n">
        <v>-0.0175</v>
      </c>
      <c r="V221" s="418" t="n">
        <v>0</v>
      </c>
      <c r="W221" s="418" t="n">
        <v>0</v>
      </c>
      <c r="X221" s="418" t="n">
        <v>0.461</v>
      </c>
      <c r="Y221" s="418" t="n">
        <v>0</v>
      </c>
      <c r="Z221" s="418" t="n">
        <v>-0.19</v>
      </c>
      <c r="AA221" s="418" t="n">
        <v>0</v>
      </c>
      <c r="AB221" s="437" t="n">
        <v>0.295</v>
      </c>
      <c r="AC221" s="437" t="n">
        <v>0.3625</v>
      </c>
      <c r="AD221" s="437" t="n">
        <v>0</v>
      </c>
      <c r="AE221" s="438" t="n">
        <v>0.15</v>
      </c>
      <c r="AF221" s="438" t="n">
        <v>0.15</v>
      </c>
      <c r="AG221" s="438" t="n">
        <v>0.147</v>
      </c>
      <c r="AH221" s="438" t="n">
        <v>0.15</v>
      </c>
      <c r="AI221" s="438" t="n">
        <v>0.153</v>
      </c>
      <c r="AJ221" s="438" t="n">
        <v>0.15</v>
      </c>
      <c r="AK221" s="438" t="n">
        <v>0.147</v>
      </c>
      <c r="AL221" s="438" t="n">
        <v>0.147</v>
      </c>
      <c r="AM221" s="438" t="n">
        <v>0.15</v>
      </c>
      <c r="AN221" s="438" t="n">
        <v>0.15</v>
      </c>
      <c r="AO221" s="438" t="n">
        <v>0.15</v>
      </c>
      <c r="AP221" s="439" t="n">
        <v>0.15</v>
      </c>
      <c r="AQ221" s="439" t="n">
        <v>0.15</v>
      </c>
      <c r="AR221" s="439" t="n">
        <v>0.15</v>
      </c>
      <c r="AS221" s="439" t="n">
        <v>0.15</v>
      </c>
      <c r="AT221" s="438" t="n">
        <v>0.15</v>
      </c>
      <c r="AU221" s="438" t="n">
        <v>0.15</v>
      </c>
      <c r="AV221" s="438" t="n">
        <v>0.147</v>
      </c>
      <c r="AW221" s="418" t="n">
        <v>0.070541795488297</v>
      </c>
      <c r="AY221" s="437" t="n">
        <f aca="false">AG221</f>
        <v>0.147</v>
      </c>
      <c r="AZ221" s="437" t="n">
        <f aca="false">AG221</f>
        <v>0.147</v>
      </c>
      <c r="BA221" s="441" t="n">
        <f aca="false">AG221</f>
        <v>0.147</v>
      </c>
      <c r="BB221" s="442" t="n">
        <f aca="false">B221</f>
        <v>43009</v>
      </c>
      <c r="BC221" s="437" t="n">
        <f aca="false">(1+$AW221/2)^(-2*($B221-$BC$11)/365.25)</f>
        <v>0.305760758601484</v>
      </c>
      <c r="BD221" s="437" t="n">
        <f aca="false">(1+$AW221/2)^(-2*($B221-$BD$11)/365.25)</f>
        <v>0.305818799015702</v>
      </c>
      <c r="BF221" s="442" t="n">
        <f aca="false">B221</f>
        <v>43009</v>
      </c>
      <c r="BG221" s="418" t="n">
        <v>209</v>
      </c>
    </row>
    <row r="222" customFormat="false" ht="12" hidden="false" customHeight="false" outlineLevel="0" collapsed="false">
      <c r="B222" s="419" t="n">
        <f aca="false">EOMONTH(B221,0)+1</f>
        <v>43040</v>
      </c>
      <c r="C222" s="420" t="n">
        <v>3.6185</v>
      </c>
      <c r="D222" s="420" t="n">
        <v>0.15</v>
      </c>
      <c r="E222" s="420" t="n">
        <v>0.070660495471514</v>
      </c>
      <c r="G222" s="420" t="n">
        <v>-0.0349887</v>
      </c>
      <c r="J222" s="420" t="n">
        <v>0.27</v>
      </c>
      <c r="K222" s="420" t="n">
        <v>0.2875</v>
      </c>
      <c r="L222" s="420" t="n">
        <v>0</v>
      </c>
      <c r="M222" s="420" t="n">
        <v>0</v>
      </c>
      <c r="N222" s="420" t="n">
        <v>0</v>
      </c>
      <c r="P222" s="420" t="n">
        <v>0</v>
      </c>
      <c r="Q222" s="420" t="n">
        <v>0</v>
      </c>
      <c r="R222" s="418" t="n">
        <v>0</v>
      </c>
      <c r="U222" s="418" t="n">
        <v>-0.0165</v>
      </c>
      <c r="V222" s="418" t="n">
        <v>0</v>
      </c>
      <c r="W222" s="418" t="n">
        <v>0</v>
      </c>
      <c r="X222" s="418" t="n">
        <v>0.7675</v>
      </c>
      <c r="Y222" s="418" t="n">
        <v>0</v>
      </c>
      <c r="Z222" s="418" t="n">
        <v>-0.19</v>
      </c>
      <c r="AA222" s="418" t="n">
        <v>0</v>
      </c>
      <c r="AB222" s="437" t="n">
        <v>0.12</v>
      </c>
      <c r="AC222" s="437" t="n">
        <v>0.465</v>
      </c>
      <c r="AD222" s="437"/>
      <c r="AE222" s="438" t="n">
        <v>0.15</v>
      </c>
      <c r="AF222" s="438" t="n">
        <v>0.15</v>
      </c>
      <c r="AG222" s="438" t="n">
        <v>0.165</v>
      </c>
      <c r="AH222" s="438" t="n">
        <v>0.15</v>
      </c>
      <c r="AI222" s="438" t="n">
        <v>0.153</v>
      </c>
      <c r="AJ222" s="438" t="n">
        <v>0.15</v>
      </c>
      <c r="AK222" s="438" t="n">
        <v>0.15</v>
      </c>
      <c r="AL222" s="438" t="n">
        <v>0.15</v>
      </c>
      <c r="AM222" s="438" t="n">
        <v>0.15</v>
      </c>
      <c r="AN222" s="438" t="n">
        <v>0.15</v>
      </c>
      <c r="AO222" s="438" t="n">
        <v>0.15</v>
      </c>
      <c r="AP222" s="439" t="n">
        <v>0.15</v>
      </c>
      <c r="AQ222" s="439" t="n">
        <v>0.15</v>
      </c>
      <c r="AR222" s="439" t="n">
        <v>0.15</v>
      </c>
      <c r="AS222" s="439" t="n">
        <v>0.15</v>
      </c>
      <c r="AT222" s="438" t="n">
        <v>0.15</v>
      </c>
      <c r="AU222" s="438" t="n">
        <v>0.15</v>
      </c>
      <c r="AV222" s="438" t="n">
        <v>0.165</v>
      </c>
      <c r="AW222" s="418" t="n">
        <v>0.070548749006019</v>
      </c>
      <c r="AY222" s="437" t="n">
        <f aca="false">AG222</f>
        <v>0.165</v>
      </c>
      <c r="AZ222" s="437" t="n">
        <f aca="false">AG222</f>
        <v>0.165</v>
      </c>
      <c r="BA222" s="441" t="n">
        <f aca="false">AG222</f>
        <v>0.165</v>
      </c>
      <c r="BB222" s="442" t="n">
        <f aca="false">B222</f>
        <v>43040</v>
      </c>
      <c r="BC222" s="437" t="n">
        <f aca="false">(1+$AW222/2)^(-2*($B222-$BC$11)/365.25)</f>
        <v>0.303931891449096</v>
      </c>
      <c r="BD222" s="437" t="n">
        <f aca="false">(1+$AW222/2)^(-2*($B222-$BD$11)/365.25)</f>
        <v>0.30398959029241</v>
      </c>
      <c r="BF222" s="442" t="n">
        <f aca="false">B222</f>
        <v>43040</v>
      </c>
      <c r="BG222" s="418" t="n">
        <v>210</v>
      </c>
    </row>
    <row r="223" customFormat="false" ht="12" hidden="false" customHeight="false" outlineLevel="0" collapsed="false">
      <c r="B223" s="419" t="n">
        <f aca="false">EOMONTH(B222,0)+1</f>
        <v>43070</v>
      </c>
      <c r="C223" s="420" t="n">
        <v>3.6625</v>
      </c>
      <c r="D223" s="420" t="n">
        <v>0.15</v>
      </c>
      <c r="E223" s="420" t="n">
        <v>0.070661623873771</v>
      </c>
      <c r="G223" s="420" t="n">
        <v>-0.0499519</v>
      </c>
      <c r="J223" s="420" t="n">
        <v>0.305</v>
      </c>
      <c r="K223" s="420" t="n">
        <v>0.3375</v>
      </c>
      <c r="L223" s="420" t="n">
        <v>0</v>
      </c>
      <c r="M223" s="420" t="n">
        <v>0</v>
      </c>
      <c r="N223" s="420" t="n">
        <v>0</v>
      </c>
      <c r="P223" s="420" t="n">
        <v>0</v>
      </c>
      <c r="Q223" s="420" t="n">
        <v>0</v>
      </c>
      <c r="R223" s="418" t="n">
        <v>0</v>
      </c>
      <c r="U223" s="418" t="n">
        <v>-0.0165</v>
      </c>
      <c r="V223" s="418" t="n">
        <v>0</v>
      </c>
      <c r="W223" s="418" t="n">
        <v>0</v>
      </c>
      <c r="X223" s="418" t="n">
        <v>1.19</v>
      </c>
      <c r="Y223" s="418" t="n">
        <v>0</v>
      </c>
      <c r="Z223" s="418" t="n">
        <v>-0.19</v>
      </c>
      <c r="AA223" s="418" t="n">
        <v>0</v>
      </c>
      <c r="AB223" s="437" t="n">
        <v>0.12</v>
      </c>
      <c r="AC223" s="437" t="n">
        <v>0.8</v>
      </c>
      <c r="AD223" s="437"/>
      <c r="AE223" s="438" t="n">
        <v>0.15</v>
      </c>
      <c r="AF223" s="438" t="n">
        <v>0.15</v>
      </c>
      <c r="AG223" s="438" t="n">
        <v>0.165</v>
      </c>
      <c r="AH223" s="438" t="n">
        <v>0.15</v>
      </c>
      <c r="AI223" s="438" t="n">
        <v>0.153</v>
      </c>
      <c r="AJ223" s="438" t="n">
        <v>0.15</v>
      </c>
      <c r="AK223" s="438" t="n">
        <v>0.15</v>
      </c>
      <c r="AL223" s="438" t="n">
        <v>0.15</v>
      </c>
      <c r="AM223" s="438" t="n">
        <v>0.15</v>
      </c>
      <c r="AN223" s="438" t="n">
        <v>0.15</v>
      </c>
      <c r="AO223" s="438" t="n">
        <v>0.15</v>
      </c>
      <c r="AP223" s="439" t="n">
        <v>0.15</v>
      </c>
      <c r="AQ223" s="439" t="n">
        <v>0.15</v>
      </c>
      <c r="AR223" s="439" t="n">
        <v>0.15</v>
      </c>
      <c r="AS223" s="439" t="n">
        <v>0.15</v>
      </c>
      <c r="AT223" s="438" t="n">
        <v>0.15</v>
      </c>
      <c r="AU223" s="438" t="n">
        <v>0.15</v>
      </c>
      <c r="AV223" s="438" t="n">
        <v>0.165</v>
      </c>
      <c r="AW223" s="418" t="n">
        <v>0.070555478216732</v>
      </c>
      <c r="AY223" s="437" t="n">
        <f aca="false">AG223</f>
        <v>0.165</v>
      </c>
      <c r="AZ223" s="437" t="n">
        <f aca="false">AG223</f>
        <v>0.165</v>
      </c>
      <c r="BA223" s="441" t="n">
        <f aca="false">AG223</f>
        <v>0.165</v>
      </c>
      <c r="BB223" s="442" t="n">
        <f aca="false">B223</f>
        <v>43070</v>
      </c>
      <c r="BC223" s="437" t="n">
        <f aca="false">(1+$AW223/2)^(-2*($B223-$BC$11)/365.25)</f>
        <v>0.3021721082754</v>
      </c>
      <c r="BD223" s="437" t="n">
        <f aca="false">(1+$AW223/2)^(-2*($B223-$BD$11)/365.25)</f>
        <v>0.302229478417503</v>
      </c>
      <c r="BF223" s="442" t="n">
        <f aca="false">B223</f>
        <v>43070</v>
      </c>
      <c r="BG223" s="418" t="n">
        <v>211</v>
      </c>
    </row>
    <row r="224" customFormat="false" ht="12" hidden="false" customHeight="false" outlineLevel="0" collapsed="false">
      <c r="B224" s="419" t="n">
        <f aca="false">EOMONTH(B223,0)+1</f>
        <v>43101</v>
      </c>
      <c r="C224" s="420" t="n">
        <v>3.9845</v>
      </c>
      <c r="D224" s="420" t="n">
        <v>0.15</v>
      </c>
      <c r="E224" s="420" t="n">
        <v>0.070662789889436</v>
      </c>
      <c r="G224" s="420" t="n">
        <v>-0.0449551</v>
      </c>
      <c r="J224" s="420" t="n">
        <v>0.305</v>
      </c>
      <c r="K224" s="420" t="n">
        <v>0.4375</v>
      </c>
      <c r="L224" s="420" t="n">
        <v>0</v>
      </c>
      <c r="M224" s="420" t="n">
        <v>0</v>
      </c>
      <c r="N224" s="420" t="n">
        <v>0</v>
      </c>
      <c r="P224" s="420" t="n">
        <v>0</v>
      </c>
      <c r="Q224" s="420" t="n">
        <v>0</v>
      </c>
      <c r="R224" s="418" t="n">
        <v>0</v>
      </c>
      <c r="U224" s="418" t="n">
        <v>-0.0165</v>
      </c>
      <c r="V224" s="418" t="n">
        <v>0</v>
      </c>
      <c r="W224" s="418" t="n">
        <v>0</v>
      </c>
      <c r="X224" s="418" t="n">
        <v>1.525</v>
      </c>
      <c r="Y224" s="418" t="n">
        <v>0</v>
      </c>
      <c r="Z224" s="418" t="n">
        <v>-0.19</v>
      </c>
      <c r="AA224" s="418" t="n">
        <v>0</v>
      </c>
      <c r="AB224" s="437" t="n">
        <v>0.12</v>
      </c>
      <c r="AC224" s="437" t="n">
        <v>0.975</v>
      </c>
      <c r="AD224" s="437"/>
      <c r="AE224" s="438" t="n">
        <v>0.15</v>
      </c>
      <c r="AF224" s="438" t="n">
        <v>0.15</v>
      </c>
      <c r="AG224" s="438" t="n">
        <v>0.165</v>
      </c>
      <c r="AH224" s="438" t="n">
        <v>0.15</v>
      </c>
      <c r="AI224" s="438" t="n">
        <v>0.153</v>
      </c>
      <c r="AJ224" s="438" t="n">
        <v>0.15</v>
      </c>
      <c r="AK224" s="438" t="n">
        <v>0.15</v>
      </c>
      <c r="AL224" s="438" t="n">
        <v>0.15</v>
      </c>
      <c r="AM224" s="438" t="n">
        <v>0.15</v>
      </c>
      <c r="AN224" s="438" t="n">
        <v>0.15</v>
      </c>
      <c r="AO224" s="438" t="n">
        <v>0.15</v>
      </c>
      <c r="AP224" s="439" t="n">
        <v>0.15</v>
      </c>
      <c r="AQ224" s="439" t="n">
        <v>0.15</v>
      </c>
      <c r="AR224" s="439" t="n">
        <v>0.15</v>
      </c>
      <c r="AS224" s="439" t="n">
        <v>0.15</v>
      </c>
      <c r="AT224" s="438" t="n">
        <v>0.15</v>
      </c>
      <c r="AU224" s="438" t="n">
        <v>0.15</v>
      </c>
      <c r="AV224" s="438" t="n">
        <v>0.165</v>
      </c>
      <c r="AW224" s="418" t="n">
        <v>0.070562431734485</v>
      </c>
      <c r="AY224" s="437" t="n">
        <f aca="false">AG224</f>
        <v>0.165</v>
      </c>
      <c r="AZ224" s="437" t="n">
        <f aca="false">AG224</f>
        <v>0.165</v>
      </c>
      <c r="BA224" s="441" t="n">
        <f aca="false">AG224</f>
        <v>0.165</v>
      </c>
      <c r="BB224" s="442" t="n">
        <f aca="false">B224</f>
        <v>43101</v>
      </c>
      <c r="BC224" s="437" t="n">
        <f aca="false">(1+$AW224/2)^(-2*($B224-$BC$11)/365.25)</f>
        <v>0.300364032530237</v>
      </c>
      <c r="BD224" s="437" t="n">
        <f aca="false">(1+$AW224/2)^(-2*($B224-$BD$11)/365.25)</f>
        <v>0.300421064917027</v>
      </c>
      <c r="BF224" s="442" t="n">
        <f aca="false">B224</f>
        <v>43101</v>
      </c>
      <c r="BG224" s="418" t="n">
        <v>212</v>
      </c>
    </row>
    <row r="225" customFormat="false" ht="12" hidden="false" customHeight="false" outlineLevel="0" collapsed="false">
      <c r="B225" s="419" t="n">
        <f aca="false">EOMONTH(B224,0)+1</f>
        <v>43132</v>
      </c>
      <c r="C225" s="420" t="n">
        <v>3.9025</v>
      </c>
      <c r="D225" s="420" t="n">
        <v>0.15</v>
      </c>
      <c r="E225" s="420" t="n">
        <v>0.070663955905103</v>
      </c>
      <c r="G225" s="420" t="n">
        <v>-0.0199574</v>
      </c>
      <c r="J225" s="420" t="n">
        <v>0.305</v>
      </c>
      <c r="K225" s="420" t="n">
        <v>0.435</v>
      </c>
      <c r="L225" s="420" t="n">
        <v>0</v>
      </c>
      <c r="M225" s="420" t="n">
        <v>0</v>
      </c>
      <c r="N225" s="420" t="n">
        <v>0</v>
      </c>
      <c r="P225" s="420" t="n">
        <v>0</v>
      </c>
      <c r="Q225" s="420" t="n">
        <v>0</v>
      </c>
      <c r="R225" s="418" t="n">
        <v>0</v>
      </c>
      <c r="U225" s="418" t="n">
        <v>-0.0165</v>
      </c>
      <c r="V225" s="418" t="n">
        <v>0</v>
      </c>
      <c r="W225" s="418" t="n">
        <v>0</v>
      </c>
      <c r="X225" s="418" t="n">
        <v>1.455</v>
      </c>
      <c r="Y225" s="418" t="n">
        <v>0</v>
      </c>
      <c r="Z225" s="418" t="n">
        <v>-0.19</v>
      </c>
      <c r="AA225" s="418" t="n">
        <v>0</v>
      </c>
      <c r="AB225" s="437" t="n">
        <v>0.12</v>
      </c>
      <c r="AC225" s="437" t="n">
        <v>0.975</v>
      </c>
      <c r="AD225" s="437"/>
      <c r="AE225" s="438" t="n">
        <v>0.15</v>
      </c>
      <c r="AF225" s="438" t="n">
        <v>0.15</v>
      </c>
      <c r="AG225" s="438" t="n">
        <v>0.165</v>
      </c>
      <c r="AH225" s="438" t="n">
        <v>0.15</v>
      </c>
      <c r="AI225" s="438" t="n">
        <v>0.153</v>
      </c>
      <c r="AJ225" s="438" t="n">
        <v>0.15</v>
      </c>
      <c r="AK225" s="438" t="n">
        <v>0.15</v>
      </c>
      <c r="AL225" s="438" t="n">
        <v>0.15</v>
      </c>
      <c r="AM225" s="438" t="n">
        <v>0.15</v>
      </c>
      <c r="AN225" s="438" t="n">
        <v>0.15</v>
      </c>
      <c r="AO225" s="438" t="n">
        <v>0.15</v>
      </c>
      <c r="AP225" s="439" t="n">
        <v>0.15</v>
      </c>
      <c r="AQ225" s="439" t="n">
        <v>0.15</v>
      </c>
      <c r="AR225" s="439" t="n">
        <v>0.15</v>
      </c>
      <c r="AS225" s="439" t="n">
        <v>0.15</v>
      </c>
      <c r="AT225" s="438" t="n">
        <v>0.15</v>
      </c>
      <c r="AU225" s="438" t="n">
        <v>0.15</v>
      </c>
      <c r="AV225" s="438" t="n">
        <v>0.165</v>
      </c>
      <c r="AW225" s="418" t="n">
        <v>0.070569385252254</v>
      </c>
      <c r="AY225" s="437" t="n">
        <f aca="false">AG225</f>
        <v>0.165</v>
      </c>
      <c r="AZ225" s="437" t="n">
        <f aca="false">AG225</f>
        <v>0.165</v>
      </c>
      <c r="BA225" s="441" t="n">
        <f aca="false">AG225</f>
        <v>0.165</v>
      </c>
      <c r="BB225" s="442" t="n">
        <f aca="false">B225</f>
        <v>43132</v>
      </c>
      <c r="BC225" s="437" t="n">
        <f aca="false">(1+$AW225/2)^(-2*($B225-$BC$11)/365.25)</f>
        <v>0.298566435296643</v>
      </c>
      <c r="BD225" s="437" t="n">
        <f aca="false">(1+$AW225/2)^(-2*($B225-$BD$11)/365.25)</f>
        <v>0.298623131851418</v>
      </c>
      <c r="BF225" s="442" t="n">
        <f aca="false">B225</f>
        <v>43132</v>
      </c>
      <c r="BG225" s="418" t="n">
        <v>213</v>
      </c>
    </row>
    <row r="226" customFormat="false" ht="12" hidden="false" customHeight="false" outlineLevel="0" collapsed="false">
      <c r="B226" s="419" t="n">
        <f aca="false">EOMONTH(B225,0)+1</f>
        <v>43160</v>
      </c>
      <c r="C226" s="420" t="n">
        <v>3.7775</v>
      </c>
      <c r="D226" s="420" t="n">
        <v>0.15</v>
      </c>
      <c r="E226" s="420" t="n">
        <v>0.070665009080543</v>
      </c>
      <c r="G226" s="420" t="n">
        <v>-0.0099574</v>
      </c>
      <c r="J226" s="420" t="n">
        <v>0.265</v>
      </c>
      <c r="K226" s="420" t="n">
        <v>0.3025</v>
      </c>
      <c r="L226" s="420" t="n">
        <v>0</v>
      </c>
      <c r="M226" s="420" t="n">
        <v>0</v>
      </c>
      <c r="N226" s="420" t="n">
        <v>0</v>
      </c>
      <c r="P226" s="420" t="n">
        <v>0</v>
      </c>
      <c r="Q226" s="420" t="n">
        <v>0</v>
      </c>
      <c r="R226" s="418" t="n">
        <v>0</v>
      </c>
      <c r="U226" s="418" t="n">
        <v>0.002</v>
      </c>
      <c r="V226" s="418" t="n">
        <v>0</v>
      </c>
      <c r="W226" s="418" t="n">
        <v>0</v>
      </c>
      <c r="X226" s="418" t="n">
        <v>0.835</v>
      </c>
      <c r="Y226" s="418" t="n">
        <v>0</v>
      </c>
      <c r="Z226" s="418" t="n">
        <v>-0.19</v>
      </c>
      <c r="AA226" s="418" t="n">
        <v>0</v>
      </c>
      <c r="AB226" s="437" t="n">
        <v>0.12</v>
      </c>
      <c r="AC226" s="437" t="n">
        <v>0.6075</v>
      </c>
      <c r="AD226" s="437"/>
      <c r="AE226" s="438" t="n">
        <v>0.15</v>
      </c>
      <c r="AF226" s="438" t="n">
        <v>0.15</v>
      </c>
      <c r="AG226" s="438" t="n">
        <v>0.165</v>
      </c>
      <c r="AH226" s="438" t="n">
        <v>0.15</v>
      </c>
      <c r="AI226" s="438" t="n">
        <v>0.153</v>
      </c>
      <c r="AJ226" s="438" t="n">
        <v>0.15</v>
      </c>
      <c r="AK226" s="438" t="n">
        <v>0.15</v>
      </c>
      <c r="AL226" s="438" t="n">
        <v>0.15</v>
      </c>
      <c r="AM226" s="438" t="n">
        <v>0.15</v>
      </c>
      <c r="AN226" s="438" t="n">
        <v>0.15</v>
      </c>
      <c r="AO226" s="438" t="n">
        <v>0.15</v>
      </c>
      <c r="AP226" s="439" t="n">
        <v>0.15</v>
      </c>
      <c r="AQ226" s="439" t="n">
        <v>0.15</v>
      </c>
      <c r="AR226" s="439" t="n">
        <v>0.15</v>
      </c>
      <c r="AS226" s="439" t="n">
        <v>0.15</v>
      </c>
      <c r="AT226" s="438" t="n">
        <v>0.15</v>
      </c>
      <c r="AU226" s="438" t="n">
        <v>0.15</v>
      </c>
      <c r="AV226" s="438" t="n">
        <v>0.165</v>
      </c>
      <c r="AW226" s="418" t="n">
        <v>0.070575665848962</v>
      </c>
      <c r="AY226" s="437" t="n">
        <f aca="false">AG226</f>
        <v>0.165</v>
      </c>
      <c r="AZ226" s="437" t="n">
        <f aca="false">AG226</f>
        <v>0.165</v>
      </c>
      <c r="BA226" s="441" t="n">
        <f aca="false">AG226</f>
        <v>0.165</v>
      </c>
      <c r="BB226" s="442" t="n">
        <f aca="false">B226</f>
        <v>43160</v>
      </c>
      <c r="BC226" s="437" t="n">
        <f aca="false">(1+$AW226/2)^(-2*($B226-$BC$11)/365.25)</f>
        <v>0.296951756820311</v>
      </c>
      <c r="BD226" s="437" t="n">
        <f aca="false">(1+$AW226/2)^(-2*($B226-$BD$11)/365.25)</f>
        <v>0.297008151687279</v>
      </c>
      <c r="BF226" s="442" t="n">
        <f aca="false">B226</f>
        <v>43160</v>
      </c>
      <c r="BG226" s="418" t="n">
        <v>214</v>
      </c>
    </row>
    <row r="227" customFormat="false" ht="12" hidden="false" customHeight="false" outlineLevel="0" collapsed="false">
      <c r="B227" s="419" t="n">
        <f aca="false">EOMONTH(B226,0)+1</f>
        <v>43191</v>
      </c>
      <c r="C227" s="420" t="n">
        <v>3.6445</v>
      </c>
      <c r="D227" s="420" t="n">
        <v>0.15</v>
      </c>
      <c r="E227" s="420" t="n">
        <v>0.07066617509621</v>
      </c>
      <c r="G227" s="420" t="n">
        <v>0.0499766</v>
      </c>
      <c r="J227" s="420" t="n">
        <v>0.195</v>
      </c>
      <c r="K227" s="420" t="n">
        <v>0.25</v>
      </c>
      <c r="L227" s="420" t="n">
        <v>0</v>
      </c>
      <c r="M227" s="420" t="n">
        <v>0</v>
      </c>
      <c r="N227" s="420" t="n">
        <v>0</v>
      </c>
      <c r="P227" s="420" t="n">
        <v>0</v>
      </c>
      <c r="Q227" s="420" t="n">
        <v>0</v>
      </c>
      <c r="R227" s="418" t="n">
        <v>0</v>
      </c>
      <c r="U227" s="436" t="n">
        <v>0.002</v>
      </c>
      <c r="V227" s="418" t="n">
        <v>0</v>
      </c>
      <c r="W227" s="418" t="n">
        <v>0</v>
      </c>
      <c r="X227" s="418" t="n">
        <v>0.45</v>
      </c>
      <c r="Y227" s="418" t="n">
        <v>0</v>
      </c>
      <c r="Z227" s="418" t="n">
        <v>-0.19</v>
      </c>
      <c r="AA227" s="418" t="n">
        <v>0</v>
      </c>
      <c r="AB227" s="437" t="n">
        <v>0.295</v>
      </c>
      <c r="AC227" s="437" t="n">
        <v>0.355</v>
      </c>
      <c r="AD227" s="437"/>
      <c r="AE227" s="437" t="n">
        <v>0.15</v>
      </c>
      <c r="AF227" s="438" t="n">
        <v>0.15</v>
      </c>
      <c r="AG227" s="438" t="n">
        <v>0.147</v>
      </c>
      <c r="AH227" s="438" t="n">
        <v>0.15</v>
      </c>
      <c r="AI227" s="438" t="n">
        <v>0.153</v>
      </c>
      <c r="AJ227" s="438" t="n">
        <v>0.15</v>
      </c>
      <c r="AK227" s="438" t="n">
        <v>0.147</v>
      </c>
      <c r="AL227" s="438" t="n">
        <v>0.147</v>
      </c>
      <c r="AM227" s="438" t="n">
        <v>0.15</v>
      </c>
      <c r="AN227" s="438" t="n">
        <v>0.15</v>
      </c>
      <c r="AO227" s="438" t="n">
        <v>0.15</v>
      </c>
      <c r="AP227" s="439" t="n">
        <v>0.15</v>
      </c>
      <c r="AQ227" s="439" t="n">
        <v>0.15</v>
      </c>
      <c r="AR227" s="439" t="n">
        <v>0.15</v>
      </c>
      <c r="AS227" s="439" t="n">
        <v>0.15</v>
      </c>
      <c r="AT227" s="438" t="n">
        <v>0.15</v>
      </c>
      <c r="AU227" s="438" t="n">
        <v>0.15</v>
      </c>
      <c r="AV227" s="438" t="n">
        <v>0.147</v>
      </c>
      <c r="AW227" s="418" t="n">
        <v>0.070582619366762</v>
      </c>
      <c r="AY227" s="437" t="n">
        <f aca="false">AG227</f>
        <v>0.147</v>
      </c>
      <c r="AZ227" s="437" t="n">
        <f aca="false">AG227</f>
        <v>0.147</v>
      </c>
      <c r="BA227" s="441" t="n">
        <f aca="false">AG227</f>
        <v>0.147</v>
      </c>
      <c r="BB227" s="442" t="n">
        <f aca="false">B227</f>
        <v>43191</v>
      </c>
      <c r="BC227" s="437" t="n">
        <f aca="false">(1+$AW227/2)^(-2*($B227-$BC$11)/365.25)</f>
        <v>0.295173940859139</v>
      </c>
      <c r="BD227" s="437" t="n">
        <f aca="false">(1+$AW227/2)^(-2*($B227-$BD$11)/365.25)</f>
        <v>0.295230003525449</v>
      </c>
      <c r="BF227" s="442" t="n">
        <f aca="false">B227</f>
        <v>43191</v>
      </c>
      <c r="BG227" s="418" t="n">
        <v>215</v>
      </c>
    </row>
    <row r="228" customFormat="false" ht="12" hidden="false" customHeight="false" outlineLevel="0" collapsed="false">
      <c r="B228" s="419" t="n">
        <f aca="false">EOMONTH(B227,0)+1</f>
        <v>43221</v>
      </c>
      <c r="C228" s="420" t="n">
        <v>3.6475</v>
      </c>
      <c r="D228" s="420" t="n">
        <v>0.15</v>
      </c>
      <c r="E228" s="420" t="n">
        <v>0.070667303498469</v>
      </c>
      <c r="G228" s="420" t="n">
        <v>0.0499681</v>
      </c>
      <c r="J228" s="420" t="n">
        <v>0.1825</v>
      </c>
      <c r="K228" s="420" t="n">
        <v>0.2025</v>
      </c>
      <c r="L228" s="420" t="n">
        <v>0</v>
      </c>
      <c r="M228" s="420" t="n">
        <v>0</v>
      </c>
      <c r="N228" s="420" t="n">
        <v>0</v>
      </c>
      <c r="P228" s="420" t="n">
        <v>0</v>
      </c>
      <c r="Q228" s="420" t="n">
        <v>0</v>
      </c>
      <c r="R228" s="418" t="n">
        <v>0</v>
      </c>
      <c r="U228" s="436" t="n">
        <v>0.00175</v>
      </c>
      <c r="V228" s="418" t="n">
        <v>0</v>
      </c>
      <c r="W228" s="418" t="n">
        <v>0</v>
      </c>
      <c r="X228" s="418" t="n">
        <v>0.405</v>
      </c>
      <c r="Y228" s="418" t="n">
        <v>0</v>
      </c>
      <c r="Z228" s="418" t="n">
        <v>-0.19</v>
      </c>
      <c r="AA228" s="418" t="n">
        <v>0</v>
      </c>
      <c r="AB228" s="437" t="n">
        <v>0.295</v>
      </c>
      <c r="AC228" s="437" t="n">
        <v>0.2875</v>
      </c>
      <c r="AD228" s="437"/>
      <c r="AE228" s="437" t="n">
        <v>0.15</v>
      </c>
      <c r="AF228" s="418" t="n">
        <v>0.15</v>
      </c>
      <c r="AG228" s="418" t="n">
        <v>0.147</v>
      </c>
      <c r="AH228" s="440" t="n">
        <v>0.15</v>
      </c>
      <c r="AI228" s="440" t="n">
        <v>0.153</v>
      </c>
      <c r="AJ228" s="440" t="n">
        <v>0.15</v>
      </c>
      <c r="AK228" s="418" t="n">
        <v>0.147</v>
      </c>
      <c r="AL228" s="418" t="n">
        <v>0.147</v>
      </c>
      <c r="AM228" s="440" t="n">
        <v>0.15</v>
      </c>
      <c r="AN228" s="418" t="n">
        <v>0.15</v>
      </c>
      <c r="AO228" s="418" t="n">
        <v>0.15</v>
      </c>
      <c r="AP228" s="437" t="n">
        <v>0.15</v>
      </c>
      <c r="AQ228" s="437" t="n">
        <v>0.15</v>
      </c>
      <c r="AR228" s="437" t="n">
        <v>0.15</v>
      </c>
      <c r="AS228" s="437" t="n">
        <v>0.15</v>
      </c>
      <c r="AT228" s="418" t="n">
        <v>0.15</v>
      </c>
      <c r="AU228" s="418" t="n">
        <v>0.15</v>
      </c>
      <c r="AV228" s="418" t="n">
        <v>0.147</v>
      </c>
      <c r="AW228" s="418" t="n">
        <v>0.07058934857755</v>
      </c>
      <c r="AY228" s="437" t="n">
        <f aca="false">AG228</f>
        <v>0.147</v>
      </c>
      <c r="AZ228" s="437" t="n">
        <f aca="false">AG228</f>
        <v>0.147</v>
      </c>
      <c r="BA228" s="441" t="n">
        <f aca="false">AG228</f>
        <v>0.147</v>
      </c>
      <c r="BB228" s="442" t="n">
        <f aca="false">B228</f>
        <v>43221</v>
      </c>
      <c r="BC228" s="437" t="n">
        <f aca="false">(1+$AW228/2)^(-2*($B228-$BC$11)/365.25)</f>
        <v>0.293463290106438</v>
      </c>
      <c r="BD228" s="437" t="n">
        <f aca="false">(1+$AW228/2)^(-2*($B228-$BD$11)/365.25)</f>
        <v>0.293519033090552</v>
      </c>
      <c r="BF228" s="442" t="n">
        <f aca="false">B228</f>
        <v>43221</v>
      </c>
      <c r="BG228" s="418" t="n">
        <v>216</v>
      </c>
    </row>
    <row r="229" customFormat="false" ht="12" hidden="false" customHeight="false" outlineLevel="0" collapsed="false">
      <c r="B229" s="419" t="n">
        <f aca="false">EOMONTH(B228,0)+1</f>
        <v>43252</v>
      </c>
      <c r="C229" s="420" t="n">
        <v>3.6825</v>
      </c>
      <c r="D229" s="420" t="n">
        <v>0.15</v>
      </c>
      <c r="E229" s="420" t="n">
        <v>0.070668469514136</v>
      </c>
      <c r="G229" s="420" t="n">
        <v>0.0499681</v>
      </c>
      <c r="J229" s="420" t="n">
        <v>0.1825</v>
      </c>
      <c r="K229" s="420" t="n">
        <v>0.2025</v>
      </c>
      <c r="L229" s="420" t="n">
        <v>0</v>
      </c>
      <c r="M229" s="420" t="n">
        <v>0</v>
      </c>
      <c r="N229" s="420" t="n">
        <v>0</v>
      </c>
      <c r="P229" s="420" t="n">
        <v>0</v>
      </c>
      <c r="Q229" s="420" t="n">
        <v>0</v>
      </c>
      <c r="R229" s="418" t="n">
        <v>0</v>
      </c>
      <c r="U229" s="436" t="n">
        <v>0.00175</v>
      </c>
      <c r="V229" s="418" t="n">
        <v>0</v>
      </c>
      <c r="W229" s="418" t="n">
        <v>0</v>
      </c>
      <c r="X229" s="418" t="n">
        <v>0.395</v>
      </c>
      <c r="Y229" s="418" t="n">
        <v>0</v>
      </c>
      <c r="Z229" s="418" t="n">
        <v>-0.19</v>
      </c>
      <c r="AA229" s="418" t="n">
        <v>0</v>
      </c>
      <c r="AB229" s="437" t="n">
        <v>0.295</v>
      </c>
      <c r="AC229" s="437" t="n">
        <v>0.2875</v>
      </c>
      <c r="AD229" s="437"/>
      <c r="AE229" s="437" t="n">
        <v>0.15</v>
      </c>
      <c r="AF229" s="418" t="n">
        <v>0.15</v>
      </c>
      <c r="AG229" s="418" t="n">
        <v>0.147</v>
      </c>
      <c r="AH229" s="440" t="n">
        <v>0.15</v>
      </c>
      <c r="AI229" s="440" t="n">
        <v>0.153</v>
      </c>
      <c r="AJ229" s="440" t="n">
        <v>0.15</v>
      </c>
      <c r="AK229" s="418" t="n">
        <v>0.147</v>
      </c>
      <c r="AL229" s="418" t="n">
        <v>0.147</v>
      </c>
      <c r="AM229" s="440" t="n">
        <v>0.15</v>
      </c>
      <c r="AN229" s="418" t="n">
        <v>0.15</v>
      </c>
      <c r="AO229" s="418" t="n">
        <v>0.15</v>
      </c>
      <c r="AP229" s="437" t="n">
        <v>0.15</v>
      </c>
      <c r="AQ229" s="437" t="n">
        <v>0.15</v>
      </c>
      <c r="AR229" s="437" t="n">
        <v>0.15</v>
      </c>
      <c r="AS229" s="437" t="n">
        <v>0.15</v>
      </c>
      <c r="AT229" s="418" t="n">
        <v>0.15</v>
      </c>
      <c r="AU229" s="418" t="n">
        <v>0.15</v>
      </c>
      <c r="AV229" s="418" t="n">
        <v>0.147</v>
      </c>
      <c r="AW229" s="418" t="n">
        <v>0.070596302095381</v>
      </c>
      <c r="AY229" s="437" t="n">
        <f aca="false">AG229</f>
        <v>0.147</v>
      </c>
      <c r="AZ229" s="437" t="n">
        <f aca="false">AG229</f>
        <v>0.147</v>
      </c>
      <c r="BA229" s="441" t="n">
        <f aca="false">AG229</f>
        <v>0.147</v>
      </c>
      <c r="BB229" s="442" t="n">
        <f aca="false">B229</f>
        <v>43252</v>
      </c>
      <c r="BC229" s="437" t="n">
        <f aca="false">(1+$AW229/2)^(-2*($B229-$BC$11)/365.25)</f>
        <v>0.291705705002132</v>
      </c>
      <c r="BD229" s="437" t="n">
        <f aca="false">(1+$AW229/2)^(-2*($B229-$BD$11)/365.25)</f>
        <v>0.29176111950025</v>
      </c>
      <c r="BF229" s="442" t="n">
        <f aca="false">B229</f>
        <v>43252</v>
      </c>
      <c r="BG229" s="418" t="n">
        <v>217</v>
      </c>
    </row>
    <row r="230" customFormat="false" ht="12" hidden="false" customHeight="false" outlineLevel="0" collapsed="false">
      <c r="B230" s="419" t="n">
        <f aca="false">EOMONTH(B229,0)+1</f>
        <v>43282</v>
      </c>
      <c r="C230" s="420" t="n">
        <v>3.7045</v>
      </c>
      <c r="D230" s="420" t="n">
        <v>0.15</v>
      </c>
      <c r="E230" s="420" t="n">
        <v>0.070669597916396</v>
      </c>
      <c r="G230" s="420" t="n">
        <v>0.0499681</v>
      </c>
      <c r="J230" s="420" t="n">
        <v>0.1825</v>
      </c>
      <c r="K230" s="420" t="n">
        <v>0.215</v>
      </c>
      <c r="L230" s="420" t="n">
        <v>0</v>
      </c>
      <c r="M230" s="420" t="n">
        <v>0</v>
      </c>
      <c r="N230" s="420" t="n">
        <v>0</v>
      </c>
      <c r="P230" s="420" t="n">
        <v>0</v>
      </c>
      <c r="Q230" s="420" t="n">
        <v>0</v>
      </c>
      <c r="R230" s="418" t="n">
        <v>0</v>
      </c>
      <c r="U230" s="436" t="n">
        <v>0.00175</v>
      </c>
      <c r="V230" s="418" t="n">
        <v>0</v>
      </c>
      <c r="W230" s="418" t="n">
        <v>0</v>
      </c>
      <c r="X230" s="418" t="n">
        <v>0.43</v>
      </c>
      <c r="Y230" s="418" t="n">
        <v>0</v>
      </c>
      <c r="Z230" s="418" t="n">
        <v>-0.19</v>
      </c>
      <c r="AA230" s="418" t="n">
        <v>0</v>
      </c>
      <c r="AB230" s="437" t="n">
        <v>0.295</v>
      </c>
      <c r="AC230" s="437" t="n">
        <v>0.3</v>
      </c>
      <c r="AD230" s="437"/>
      <c r="AE230" s="437"/>
      <c r="AH230" s="440"/>
      <c r="AI230" s="440"/>
      <c r="AJ230" s="440"/>
      <c r="AM230" s="440"/>
      <c r="AP230" s="437"/>
      <c r="AQ230" s="437"/>
      <c r="AR230" s="437"/>
      <c r="AS230" s="437"/>
      <c r="AW230" s="418" t="n">
        <v>0.0706030313062</v>
      </c>
      <c r="AY230" s="437" t="n">
        <f aca="false">AG230</f>
        <v>0</v>
      </c>
      <c r="AZ230" s="437" t="n">
        <f aca="false">AG230</f>
        <v>0</v>
      </c>
      <c r="BA230" s="441" t="n">
        <f aca="false">AG230</f>
        <v>0</v>
      </c>
      <c r="BB230" s="442" t="n">
        <f aca="false">B230</f>
        <v>43282</v>
      </c>
      <c r="BC230" s="437" t="n">
        <f aca="false">(1+$AW230/2)^(-2*($B230-$BC$11)/365.25)</f>
        <v>0.290014524644896</v>
      </c>
      <c r="BD230" s="437" t="n">
        <f aca="false">(1+$AW230/2)^(-2*($B230-$BD$11)/365.25)</f>
        <v>0.290069623036225</v>
      </c>
      <c r="BF230" s="442" t="n">
        <f aca="false">B230</f>
        <v>43282</v>
      </c>
      <c r="BG230" s="418" t="n">
        <v>218</v>
      </c>
    </row>
    <row r="231" customFormat="false" ht="12" hidden="false" customHeight="false" outlineLevel="0" collapsed="false">
      <c r="B231" s="419" t="n">
        <f aca="false">EOMONTH(B230,0)+1</f>
        <v>43313</v>
      </c>
      <c r="C231" s="420" t="n">
        <v>3.7255</v>
      </c>
      <c r="D231" s="420" t="n">
        <v>0.15</v>
      </c>
      <c r="E231" s="420" t="n">
        <v>0.070670763932065</v>
      </c>
      <c r="G231" s="420" t="n">
        <v>0.0499681</v>
      </c>
      <c r="J231" s="420" t="n">
        <v>0.1825</v>
      </c>
      <c r="K231" s="420" t="n">
        <v>0.215</v>
      </c>
      <c r="L231" s="420" t="n">
        <v>0</v>
      </c>
      <c r="M231" s="420" t="n">
        <v>0</v>
      </c>
      <c r="N231" s="420" t="n">
        <v>0</v>
      </c>
      <c r="P231" s="420" t="n">
        <v>0</v>
      </c>
      <c r="Q231" s="420" t="n">
        <v>0</v>
      </c>
      <c r="R231" s="418" t="n">
        <v>0</v>
      </c>
      <c r="U231" s="436" t="n">
        <v>0.00175</v>
      </c>
      <c r="V231" s="418" t="n">
        <v>0</v>
      </c>
      <c r="W231" s="418" t="n">
        <v>0</v>
      </c>
      <c r="X231" s="418" t="n">
        <v>0.495</v>
      </c>
      <c r="Y231" s="418" t="n">
        <v>0</v>
      </c>
      <c r="Z231" s="418" t="n">
        <v>-0.19</v>
      </c>
      <c r="AA231" s="418" t="n">
        <v>0</v>
      </c>
      <c r="AB231" s="437" t="n">
        <v>0.295</v>
      </c>
      <c r="AC231" s="437" t="n">
        <v>0.3</v>
      </c>
      <c r="AD231" s="437"/>
      <c r="AE231" s="437"/>
      <c r="AH231" s="440"/>
      <c r="AI231" s="440"/>
      <c r="AJ231" s="440"/>
      <c r="AM231" s="440"/>
      <c r="AP231" s="437"/>
      <c r="AQ231" s="437"/>
      <c r="AR231" s="437"/>
      <c r="AS231" s="437"/>
      <c r="AW231" s="418" t="n">
        <v>0.070609984824062</v>
      </c>
      <c r="AY231" s="437" t="n">
        <f aca="false">AG231</f>
        <v>0</v>
      </c>
      <c r="AZ231" s="437" t="n">
        <f aca="false">AG231</f>
        <v>0</v>
      </c>
      <c r="BA231" s="441" t="n">
        <f aca="false">AG231</f>
        <v>0</v>
      </c>
      <c r="BB231" s="442" t="n">
        <f aca="false">B231</f>
        <v>43313</v>
      </c>
      <c r="BC231" s="437" t="n">
        <f aca="false">(1+$AW231/2)^(-2*($B231-$BC$11)/365.25)</f>
        <v>0.288276948094535</v>
      </c>
      <c r="BD231" s="437" t="n">
        <f aca="false">(1+$AW231/2)^(-2*($B231-$BD$11)/365.25)</f>
        <v>0.288331721674486</v>
      </c>
      <c r="BF231" s="442" t="n">
        <f aca="false">B231</f>
        <v>43313</v>
      </c>
      <c r="BG231" s="418" t="n">
        <v>219</v>
      </c>
    </row>
    <row r="232" customFormat="false" ht="12" hidden="false" customHeight="false" outlineLevel="0" collapsed="false">
      <c r="B232" s="419" t="n">
        <f aca="false">EOMONTH(B231,0)+1</f>
        <v>43344</v>
      </c>
      <c r="C232" s="420" t="n">
        <v>3.6935</v>
      </c>
      <c r="D232" s="420" t="n">
        <v>0.15</v>
      </c>
      <c r="E232" s="420" t="n">
        <v>0.070671929947734</v>
      </c>
      <c r="G232" s="420" t="n">
        <v>0.0499681</v>
      </c>
      <c r="J232" s="420" t="n">
        <v>0.1825</v>
      </c>
      <c r="K232" s="420" t="n">
        <v>0.195</v>
      </c>
      <c r="L232" s="420" t="n">
        <v>0</v>
      </c>
      <c r="M232" s="420" t="n">
        <v>0</v>
      </c>
      <c r="N232" s="420" t="n">
        <v>0</v>
      </c>
      <c r="P232" s="420" t="n">
        <v>0</v>
      </c>
      <c r="Q232" s="420" t="n">
        <v>0</v>
      </c>
      <c r="R232" s="418" t="n">
        <v>0</v>
      </c>
      <c r="U232" s="436" t="n">
        <v>0.00175</v>
      </c>
      <c r="V232" s="418" t="n">
        <v>0</v>
      </c>
      <c r="W232" s="418" t="n">
        <v>0</v>
      </c>
      <c r="X232" s="418" t="n">
        <v>0.395</v>
      </c>
      <c r="Y232" s="418" t="n">
        <v>0</v>
      </c>
      <c r="Z232" s="418" t="n">
        <v>-0.19</v>
      </c>
      <c r="AA232" s="418" t="n">
        <v>0</v>
      </c>
      <c r="AB232" s="437" t="n">
        <v>0.295</v>
      </c>
      <c r="AC232" s="437" t="n">
        <v>0.29</v>
      </c>
      <c r="AD232" s="437"/>
      <c r="AE232" s="437"/>
      <c r="AH232" s="440"/>
      <c r="AI232" s="440"/>
      <c r="AJ232" s="440"/>
      <c r="AM232" s="440"/>
      <c r="AP232" s="437"/>
      <c r="AQ232" s="437"/>
      <c r="AR232" s="437"/>
      <c r="AS232" s="437"/>
      <c r="AW232" s="418" t="n">
        <v>0.070616938341941</v>
      </c>
      <c r="AY232" s="437" t="n">
        <f aca="false">AG232</f>
        <v>0</v>
      </c>
      <c r="AZ232" s="437" t="n">
        <f aca="false">AG232</f>
        <v>0</v>
      </c>
      <c r="BA232" s="441" t="n">
        <f aca="false">AG232</f>
        <v>0</v>
      </c>
      <c r="BB232" s="442" t="n">
        <f aca="false">B232</f>
        <v>43344</v>
      </c>
      <c r="BC232" s="437" t="n">
        <f aca="false">(1+$AW232/2)^(-2*($B232-$BC$11)/365.25)</f>
        <v>0.286549455386093</v>
      </c>
      <c r="BD232" s="437" t="n">
        <f aca="false">(1+$AW232/2)^(-2*($B232-$BD$11)/365.25)</f>
        <v>0.286603906006881</v>
      </c>
      <c r="BF232" s="442" t="n">
        <f aca="false">B232</f>
        <v>43344</v>
      </c>
      <c r="BG232" s="418" t="n">
        <v>220</v>
      </c>
    </row>
    <row r="233" customFormat="false" ht="12" hidden="false" customHeight="false" outlineLevel="0" collapsed="false">
      <c r="B233" s="419" t="n">
        <f aca="false">EOMONTH(B232,0)+1</f>
        <v>43374</v>
      </c>
      <c r="C233" s="420" t="n">
        <v>3.6935</v>
      </c>
      <c r="D233" s="420" t="n">
        <v>0.15</v>
      </c>
      <c r="E233" s="420" t="n">
        <v>0.07067305835</v>
      </c>
      <c r="G233" s="420" t="n">
        <v>0.0499681</v>
      </c>
      <c r="J233" s="420" t="n">
        <v>0.1875</v>
      </c>
      <c r="K233" s="420" t="n">
        <v>0.215</v>
      </c>
      <c r="L233" s="420" t="n">
        <v>0</v>
      </c>
      <c r="M233" s="420" t="n">
        <v>0</v>
      </c>
      <c r="N233" s="420" t="n">
        <v>0</v>
      </c>
      <c r="P233" s="420" t="n">
        <v>0</v>
      </c>
      <c r="Q233" s="420" t="n">
        <v>0</v>
      </c>
      <c r="R233" s="418" t="n">
        <v>0</v>
      </c>
      <c r="U233" s="436" t="n">
        <v>-0.0165</v>
      </c>
      <c r="V233" s="418" t="n">
        <v>0</v>
      </c>
      <c r="W233" s="418" t="n">
        <v>0</v>
      </c>
      <c r="X233" s="418" t="n">
        <v>0.461</v>
      </c>
      <c r="Y233" s="418" t="n">
        <v>0</v>
      </c>
      <c r="Z233" s="418" t="n">
        <v>-0.19</v>
      </c>
      <c r="AA233" s="418" t="n">
        <v>0</v>
      </c>
      <c r="AB233" s="437" t="n">
        <v>0.295</v>
      </c>
      <c r="AC233" s="437" t="n">
        <v>0.3625</v>
      </c>
      <c r="AD233" s="437"/>
      <c r="AE233" s="437"/>
      <c r="AH233" s="440"/>
      <c r="AI233" s="440"/>
      <c r="AJ233" s="440"/>
      <c r="AM233" s="440"/>
      <c r="AP233" s="437"/>
      <c r="AQ233" s="437"/>
      <c r="AR233" s="437"/>
      <c r="AS233" s="437"/>
      <c r="AW233" s="418" t="n">
        <v>0.070623667552806</v>
      </c>
      <c r="AY233" s="437" t="n">
        <f aca="false">AG233</f>
        <v>0</v>
      </c>
      <c r="AZ233" s="437" t="n">
        <f aca="false">AG233</f>
        <v>0</v>
      </c>
      <c r="BA233" s="441" t="n">
        <f aca="false">AG233</f>
        <v>0</v>
      </c>
      <c r="BB233" s="442" t="n">
        <f aca="false">B233</f>
        <v>43374</v>
      </c>
      <c r="BC233" s="437" t="n">
        <f aca="false">(1+$AW233/2)^(-2*($B233-$BC$11)/365.25)</f>
        <v>0.28488723619035</v>
      </c>
      <c r="BD233" s="437" t="n">
        <f aca="false">(1+$AW233/2)^(-2*($B233-$BD$11)/365.25)</f>
        <v>0.28494137602398</v>
      </c>
      <c r="BF233" s="442" t="n">
        <f aca="false">B233</f>
        <v>43374</v>
      </c>
      <c r="BG233" s="418" t="n">
        <v>221</v>
      </c>
    </row>
    <row r="234" customFormat="false" ht="12" hidden="false" customHeight="false" outlineLevel="0" collapsed="false">
      <c r="B234" s="419" t="n">
        <f aca="false">EOMONTH(B233,0)+1</f>
        <v>43405</v>
      </c>
      <c r="C234" s="420" t="n">
        <v>3.7105</v>
      </c>
      <c r="D234" s="420" t="n">
        <v>0.15</v>
      </c>
      <c r="E234" s="420" t="n">
        <v>0.070674224365665</v>
      </c>
      <c r="G234" s="420" t="n">
        <v>-0.0299887</v>
      </c>
      <c r="J234" s="420" t="n">
        <v>0.27</v>
      </c>
      <c r="K234" s="420" t="n">
        <v>0.2875</v>
      </c>
      <c r="L234" s="420" t="n">
        <v>0</v>
      </c>
      <c r="M234" s="420" t="n">
        <v>0</v>
      </c>
      <c r="N234" s="420" t="n">
        <v>0</v>
      </c>
      <c r="P234" s="420" t="n">
        <v>0</v>
      </c>
      <c r="Q234" s="420" t="n">
        <v>0</v>
      </c>
      <c r="R234" s="418" t="n">
        <v>0</v>
      </c>
      <c r="U234" s="418" t="n">
        <v>-0.0155</v>
      </c>
      <c r="V234" s="418" t="n">
        <v>0</v>
      </c>
      <c r="W234" s="418" t="n">
        <v>0</v>
      </c>
      <c r="X234" s="418" t="n">
        <v>0.7675</v>
      </c>
      <c r="Y234" s="418" t="n">
        <v>0</v>
      </c>
      <c r="Z234" s="418" t="n">
        <v>-0.19</v>
      </c>
      <c r="AA234" s="418" t="n">
        <v>0</v>
      </c>
      <c r="AB234" s="437" t="n">
        <v>0.12</v>
      </c>
      <c r="AC234" s="437" t="n">
        <v>0.465</v>
      </c>
      <c r="AD234" s="437"/>
      <c r="AE234" s="437"/>
      <c r="AH234" s="440"/>
      <c r="AI234" s="440"/>
      <c r="AJ234" s="440"/>
      <c r="AM234" s="440"/>
      <c r="AP234" s="437"/>
      <c r="AQ234" s="437"/>
      <c r="AR234" s="437"/>
      <c r="AS234" s="437"/>
      <c r="AW234" s="418" t="n">
        <v>0.070630621070716</v>
      </c>
      <c r="AY234" s="437" t="n">
        <f aca="false">AG234</f>
        <v>0</v>
      </c>
      <c r="AZ234" s="437" t="n">
        <f aca="false">AG234</f>
        <v>0</v>
      </c>
      <c r="BA234" s="441" t="n">
        <f aca="false">AG234</f>
        <v>0</v>
      </c>
      <c r="BB234" s="442" t="n">
        <f aca="false">B234</f>
        <v>43405</v>
      </c>
      <c r="BC234" s="437" t="n">
        <f aca="false">(1+$AW234/2)^(-2*($B234-$BC$11)/365.25)</f>
        <v>0.283179421195001</v>
      </c>
      <c r="BD234" s="437" t="n">
        <f aca="false">(1+$AW234/2)^(-2*($B234-$BD$11)/365.25)</f>
        <v>0.283233241684477</v>
      </c>
      <c r="BF234" s="442" t="n">
        <f aca="false">B234</f>
        <v>43405</v>
      </c>
      <c r="BG234" s="418" t="n">
        <v>222</v>
      </c>
    </row>
    <row r="235" customFormat="false" ht="12" hidden="false" customHeight="false" outlineLevel="0" collapsed="false">
      <c r="B235" s="419" t="n">
        <f aca="false">EOMONTH(B234,0)+1</f>
        <v>43435</v>
      </c>
      <c r="C235" s="420" t="n">
        <v>3.7515</v>
      </c>
      <c r="D235" s="420" t="n">
        <v>0.15</v>
      </c>
      <c r="E235" s="420" t="n">
        <v>0.070675352767926</v>
      </c>
      <c r="G235" s="420" t="n">
        <v>-0.0449519</v>
      </c>
      <c r="J235" s="420" t="n">
        <v>0.305</v>
      </c>
      <c r="K235" s="420" t="n">
        <v>0.3375</v>
      </c>
      <c r="L235" s="420" t="n">
        <v>0</v>
      </c>
      <c r="M235" s="420" t="n">
        <v>0</v>
      </c>
      <c r="N235" s="420" t="n">
        <v>0</v>
      </c>
      <c r="P235" s="420" t="n">
        <v>0</v>
      </c>
      <c r="Q235" s="420" t="n">
        <v>0</v>
      </c>
      <c r="R235" s="418" t="n">
        <v>0</v>
      </c>
      <c r="U235" s="418" t="n">
        <v>-0.0155</v>
      </c>
      <c r="V235" s="418" t="n">
        <v>0</v>
      </c>
      <c r="W235" s="418" t="n">
        <v>0</v>
      </c>
      <c r="X235" s="418" t="n">
        <v>1.19</v>
      </c>
      <c r="Y235" s="418" t="n">
        <v>0</v>
      </c>
      <c r="Z235" s="418" t="n">
        <v>-0.19</v>
      </c>
      <c r="AA235" s="418" t="n">
        <v>0</v>
      </c>
      <c r="AB235" s="437" t="n">
        <v>0.12</v>
      </c>
      <c r="AC235" s="437" t="n">
        <v>0.8</v>
      </c>
      <c r="AD235" s="437"/>
      <c r="AE235" s="437"/>
      <c r="AH235" s="440"/>
      <c r="AI235" s="440"/>
      <c r="AJ235" s="440"/>
      <c r="AM235" s="440"/>
      <c r="AP235" s="437"/>
      <c r="AQ235" s="437"/>
      <c r="AR235" s="437"/>
      <c r="AS235" s="437"/>
      <c r="AW235" s="418" t="n">
        <v>0.070637350281611</v>
      </c>
      <c r="AY235" s="437" t="n">
        <f aca="false">AG235</f>
        <v>0</v>
      </c>
      <c r="AZ235" s="437" t="n">
        <f aca="false">AG235</f>
        <v>0</v>
      </c>
      <c r="BA235" s="441" t="n">
        <f aca="false">AG235</f>
        <v>0</v>
      </c>
      <c r="BB235" s="442" t="n">
        <f aca="false">B235</f>
        <v>43435</v>
      </c>
      <c r="BF235" s="442" t="n">
        <f aca="false">B235</f>
        <v>43435</v>
      </c>
      <c r="BG235" s="418" t="n">
        <v>223</v>
      </c>
    </row>
    <row r="236" customFormat="false" ht="12" hidden="false" customHeight="false" outlineLevel="0" collapsed="false">
      <c r="B236" s="419" t="n">
        <f aca="false">EOMONTH(B235,0)+1</f>
        <v>43466</v>
      </c>
      <c r="C236" s="420" t="n">
        <v>4.074</v>
      </c>
      <c r="D236" s="420" t="n">
        <v>0.15</v>
      </c>
      <c r="E236" s="420" t="n">
        <v>0.070676518783597</v>
      </c>
      <c r="G236" s="420" t="n">
        <v>-0.0399551</v>
      </c>
      <c r="J236" s="420" t="n">
        <v>0.305</v>
      </c>
      <c r="K236" s="420" t="n">
        <v>0.4375</v>
      </c>
      <c r="L236" s="420" t="n">
        <v>0</v>
      </c>
      <c r="M236" s="420" t="n">
        <v>0</v>
      </c>
      <c r="N236" s="420" t="n">
        <v>0</v>
      </c>
      <c r="P236" s="420" t="n">
        <v>0</v>
      </c>
      <c r="Q236" s="420" t="n">
        <v>0</v>
      </c>
      <c r="R236" s="418" t="n">
        <v>0</v>
      </c>
      <c r="U236" s="418" t="n">
        <v>-0.0155</v>
      </c>
      <c r="V236" s="418" t="n">
        <v>0</v>
      </c>
      <c r="W236" s="418" t="n">
        <v>0</v>
      </c>
      <c r="X236" s="418" t="n">
        <v>1.525</v>
      </c>
      <c r="Y236" s="418" t="n">
        <v>0</v>
      </c>
      <c r="Z236" s="418" t="n">
        <v>-0.19</v>
      </c>
      <c r="AA236" s="418" t="n">
        <v>0</v>
      </c>
      <c r="AB236" s="437" t="n">
        <v>0.12</v>
      </c>
      <c r="AC236" s="437" t="n">
        <v>0.975</v>
      </c>
      <c r="AD236" s="437"/>
      <c r="AE236" s="437"/>
      <c r="AP236" s="437"/>
      <c r="AQ236" s="437"/>
      <c r="AR236" s="437"/>
      <c r="AS236" s="437"/>
      <c r="AW236" s="418" t="n">
        <v>0.070644303799552</v>
      </c>
      <c r="BA236" s="452"/>
      <c r="BB236" s="442" t="n">
        <f aca="false">B236</f>
        <v>43466</v>
      </c>
      <c r="BF236" s="442" t="n">
        <f aca="false">B236</f>
        <v>43466</v>
      </c>
      <c r="BG236" s="418" t="n">
        <v>223</v>
      </c>
    </row>
    <row r="237" customFormat="false" ht="12" hidden="false" customHeight="false" outlineLevel="0" collapsed="false">
      <c r="B237" s="419" t="n">
        <f aca="false">EOMONTH(B236,0)+1</f>
        <v>43497</v>
      </c>
      <c r="C237" s="420" t="n">
        <v>3.996</v>
      </c>
      <c r="D237" s="420" t="n">
        <v>0.15</v>
      </c>
      <c r="E237" s="420" t="n">
        <v>0.070677684799269</v>
      </c>
      <c r="G237" s="420" t="n">
        <v>-0.0149574</v>
      </c>
      <c r="J237" s="420" t="n">
        <v>0.305</v>
      </c>
      <c r="K237" s="420" t="n">
        <v>0.435</v>
      </c>
      <c r="L237" s="420" t="n">
        <v>0</v>
      </c>
      <c r="M237" s="420" t="n">
        <v>0</v>
      </c>
      <c r="N237" s="420" t="n">
        <v>0</v>
      </c>
      <c r="P237" s="420" t="n">
        <v>0</v>
      </c>
      <c r="Q237" s="420" t="n">
        <v>0</v>
      </c>
      <c r="R237" s="418" t="n">
        <v>0</v>
      </c>
      <c r="U237" s="418" t="n">
        <v>-0.0155</v>
      </c>
      <c r="V237" s="418" t="n">
        <v>0</v>
      </c>
      <c r="W237" s="418" t="n">
        <v>0</v>
      </c>
      <c r="X237" s="418" t="n">
        <v>1.455</v>
      </c>
      <c r="Y237" s="418" t="n">
        <v>0</v>
      </c>
      <c r="Z237" s="418" t="n">
        <v>0</v>
      </c>
      <c r="AA237" s="418" t="n">
        <v>0</v>
      </c>
      <c r="AB237" s="418" t="n">
        <v>0.31</v>
      </c>
      <c r="AC237" s="418" t="n">
        <v>0.975</v>
      </c>
      <c r="AP237" s="437"/>
      <c r="AQ237" s="437"/>
      <c r="AR237" s="437"/>
      <c r="AS237" s="437"/>
      <c r="AW237" s="418" t="n">
        <v>0.07065125731751</v>
      </c>
      <c r="BA237" s="452"/>
      <c r="BB237" s="442" t="n">
        <f aca="false">B237</f>
        <v>43497</v>
      </c>
      <c r="BF237" s="442" t="n">
        <f aca="false">B237</f>
        <v>43497</v>
      </c>
      <c r="BG237" s="418" t="n">
        <v>223</v>
      </c>
    </row>
    <row r="238" customFormat="false" ht="12" hidden="false" customHeight="false" outlineLevel="0" collapsed="false">
      <c r="B238" s="419" t="n">
        <f aca="false">EOMONTH(B237,0)+1</f>
        <v>43525</v>
      </c>
      <c r="C238" s="420" t="n">
        <v>3.874</v>
      </c>
      <c r="D238" s="420" t="n">
        <v>0.15</v>
      </c>
      <c r="E238" s="420" t="n">
        <v>0.070678737974714</v>
      </c>
      <c r="G238" s="420" t="n">
        <v>-0.0049574</v>
      </c>
      <c r="J238" s="420" t="n">
        <v>0.265</v>
      </c>
      <c r="K238" s="420" t="n">
        <v>0.3025</v>
      </c>
      <c r="L238" s="420" t="n">
        <v>0</v>
      </c>
      <c r="M238" s="420" t="n">
        <v>0</v>
      </c>
      <c r="N238" s="420" t="n">
        <v>0</v>
      </c>
      <c r="P238" s="420" t="n">
        <v>0</v>
      </c>
      <c r="Q238" s="420" t="n">
        <v>0</v>
      </c>
      <c r="R238" s="418" t="n">
        <v>0</v>
      </c>
      <c r="U238" s="418" t="n">
        <v>0.003</v>
      </c>
      <c r="V238" s="418" t="n">
        <v>0</v>
      </c>
      <c r="W238" s="418" t="n">
        <v>0</v>
      </c>
      <c r="X238" s="418" t="n">
        <v>0.835</v>
      </c>
      <c r="Y238" s="418" t="n">
        <v>0</v>
      </c>
      <c r="Z238" s="418" t="n">
        <v>0</v>
      </c>
      <c r="AA238" s="418" t="n">
        <v>0</v>
      </c>
      <c r="AB238" s="418" t="n">
        <v>0.31</v>
      </c>
      <c r="AC238" s="418" t="n">
        <v>0.6075</v>
      </c>
      <c r="AP238" s="437"/>
      <c r="AQ238" s="437"/>
      <c r="AR238" s="437"/>
      <c r="AS238" s="437"/>
      <c r="AW238" s="418" t="n">
        <v>0.070657537914387</v>
      </c>
      <c r="BB238" s="442" t="n">
        <f aca="false">B238</f>
        <v>43525</v>
      </c>
      <c r="BF238" s="442" t="n">
        <f aca="false">B238</f>
        <v>43525</v>
      </c>
      <c r="BG238" s="418" t="n">
        <v>223</v>
      </c>
    </row>
    <row r="239" customFormat="false" ht="12" hidden="false" customHeight="false" outlineLevel="0" collapsed="false">
      <c r="B239" s="419" t="n">
        <f aca="false">EOMONTH(B238,0)+1</f>
        <v>43556</v>
      </c>
      <c r="C239" s="420" t="n">
        <v>3.744</v>
      </c>
      <c r="D239" s="420" t="n">
        <v>0.15</v>
      </c>
      <c r="E239" s="420" t="n">
        <v>0.070679903990386</v>
      </c>
      <c r="G239" s="420" t="n">
        <v>0.0549766</v>
      </c>
      <c r="J239" s="420" t="n">
        <v>0.195</v>
      </c>
      <c r="K239" s="420" t="n">
        <v>0.25</v>
      </c>
      <c r="L239" s="420" t="n">
        <v>0</v>
      </c>
      <c r="M239" s="420" t="n">
        <v>0</v>
      </c>
      <c r="N239" s="420" t="n">
        <v>0</v>
      </c>
      <c r="P239" s="420" t="n">
        <v>0</v>
      </c>
      <c r="Q239" s="420" t="n">
        <v>0</v>
      </c>
      <c r="R239" s="418" t="n">
        <v>0</v>
      </c>
      <c r="U239" s="436" t="n">
        <v>0.003</v>
      </c>
      <c r="V239" s="418" t="n">
        <v>0</v>
      </c>
      <c r="W239" s="418" t="n">
        <v>0</v>
      </c>
      <c r="X239" s="418" t="n">
        <v>0.45</v>
      </c>
      <c r="Y239" s="418" t="n">
        <v>0</v>
      </c>
      <c r="Z239" s="418" t="n">
        <v>0</v>
      </c>
      <c r="AA239" s="418" t="n">
        <v>0</v>
      </c>
      <c r="AB239" s="418" t="n">
        <v>0.3775</v>
      </c>
      <c r="AC239" s="418" t="n">
        <v>0.355</v>
      </c>
      <c r="AP239" s="437"/>
      <c r="AQ239" s="437"/>
      <c r="AR239" s="437"/>
      <c r="AS239" s="437"/>
      <c r="AW239" s="418" t="n">
        <v>0.070664491432376</v>
      </c>
      <c r="BB239" s="442" t="n">
        <f aca="false">B239</f>
        <v>43556</v>
      </c>
      <c r="BF239" s="442" t="n">
        <f aca="false">B239</f>
        <v>43556</v>
      </c>
      <c r="BG239" s="418" t="n">
        <v>223</v>
      </c>
    </row>
    <row r="240" customFormat="false" ht="12" hidden="false" customHeight="false" outlineLevel="0" collapsed="false">
      <c r="B240" s="419" t="n">
        <f aca="false">EOMONTH(B239,0)+1</f>
        <v>43586</v>
      </c>
      <c r="C240" s="420" t="n">
        <v>3.748</v>
      </c>
      <c r="D240" s="420" t="n">
        <v>0.15</v>
      </c>
      <c r="E240" s="420" t="n">
        <v>0.07068103239265</v>
      </c>
      <c r="G240" s="420" t="n">
        <v>0.0549681</v>
      </c>
      <c r="J240" s="420" t="n">
        <v>0.1825</v>
      </c>
      <c r="K240" s="420" t="n">
        <v>0.2025</v>
      </c>
      <c r="L240" s="420" t="n">
        <v>0</v>
      </c>
      <c r="M240" s="420" t="n">
        <v>0</v>
      </c>
      <c r="N240" s="420" t="n">
        <v>0</v>
      </c>
      <c r="P240" s="420" t="n">
        <v>0</v>
      </c>
      <c r="Q240" s="420" t="n">
        <v>0</v>
      </c>
      <c r="R240" s="418" t="n">
        <v>0</v>
      </c>
      <c r="U240" s="436" t="n">
        <v>0.00275</v>
      </c>
      <c r="V240" s="418" t="n">
        <v>0</v>
      </c>
      <c r="W240" s="418" t="n">
        <v>0</v>
      </c>
      <c r="X240" s="418" t="n">
        <v>0.405</v>
      </c>
      <c r="Y240" s="418" t="n">
        <v>0</v>
      </c>
      <c r="Z240" s="418" t="n">
        <v>0</v>
      </c>
      <c r="AA240" s="418" t="n">
        <v>0</v>
      </c>
      <c r="AB240" s="418" t="n">
        <v>0.3775</v>
      </c>
      <c r="AC240" s="418" t="n">
        <v>0.2875</v>
      </c>
      <c r="AP240" s="437"/>
      <c r="AQ240" s="437"/>
      <c r="AR240" s="437"/>
      <c r="AS240" s="437"/>
      <c r="AW240" s="418" t="n">
        <v>0.070671220643346</v>
      </c>
      <c r="BB240" s="442" t="n">
        <f aca="false">B240</f>
        <v>43586</v>
      </c>
      <c r="BF240" s="442" t="n">
        <f aca="false">B240</f>
        <v>43586</v>
      </c>
      <c r="BG240" s="418" t="n">
        <v>223</v>
      </c>
    </row>
    <row r="241" customFormat="false" ht="12" hidden="false" customHeight="false" outlineLevel="0" collapsed="false">
      <c r="B241" s="419" t="n">
        <f aca="false">EOMONTH(B240,0)+1</f>
        <v>43617</v>
      </c>
      <c r="C241" s="420" t="n">
        <v>3.784</v>
      </c>
      <c r="D241" s="420" t="n">
        <v>0.15</v>
      </c>
      <c r="E241" s="420" t="n">
        <v>0.070682198408323</v>
      </c>
      <c r="G241" s="420" t="n">
        <v>0.0549681</v>
      </c>
      <c r="J241" s="420" t="n">
        <v>0.1825</v>
      </c>
      <c r="K241" s="420" t="n">
        <v>0.2025</v>
      </c>
      <c r="L241" s="420" t="n">
        <v>0</v>
      </c>
      <c r="M241" s="420" t="n">
        <v>0</v>
      </c>
      <c r="N241" s="420" t="n">
        <v>0</v>
      </c>
      <c r="P241" s="420" t="n">
        <v>0</v>
      </c>
      <c r="Q241" s="420" t="n">
        <v>0</v>
      </c>
      <c r="R241" s="418" t="n">
        <v>0</v>
      </c>
      <c r="U241" s="436" t="n">
        <v>0.00275</v>
      </c>
      <c r="V241" s="418" t="n">
        <v>0</v>
      </c>
      <c r="W241" s="418" t="n">
        <v>0</v>
      </c>
      <c r="X241" s="418" t="n">
        <v>0.395</v>
      </c>
      <c r="Y241" s="418" t="n">
        <v>0</v>
      </c>
      <c r="Z241" s="418" t="n">
        <v>0</v>
      </c>
      <c r="AA241" s="418" t="n">
        <v>0</v>
      </c>
      <c r="AB241" s="418" t="n">
        <v>0.3775</v>
      </c>
      <c r="AC241" s="418" t="n">
        <v>0.2875</v>
      </c>
      <c r="AP241" s="437"/>
      <c r="AQ241" s="437"/>
      <c r="AR241" s="437"/>
      <c r="AS241" s="437"/>
      <c r="AW241" s="418" t="n">
        <v>0.070678174161365</v>
      </c>
      <c r="BB241" s="442" t="n">
        <f aca="false">B241</f>
        <v>43617</v>
      </c>
      <c r="BF241" s="442" t="n">
        <f aca="false">B241</f>
        <v>43617</v>
      </c>
      <c r="BG241" s="418" t="n">
        <v>223</v>
      </c>
    </row>
    <row r="242" customFormat="false" ht="12" hidden="false" customHeight="false" outlineLevel="0" collapsed="false">
      <c r="B242" s="419" t="n">
        <f aca="false">EOMONTH(B241,0)+1</f>
        <v>43647</v>
      </c>
      <c r="C242" s="420" t="n">
        <v>3.806</v>
      </c>
      <c r="D242" s="420" t="n">
        <v>0.15</v>
      </c>
      <c r="E242" s="420" t="n">
        <v>0.070683326810588</v>
      </c>
      <c r="G242" s="420" t="n">
        <v>0.0549681</v>
      </c>
      <c r="J242" s="420" t="n">
        <v>0.1825</v>
      </c>
      <c r="K242" s="420" t="n">
        <v>0.215</v>
      </c>
      <c r="L242" s="420" t="n">
        <v>0</v>
      </c>
      <c r="M242" s="420" t="n">
        <v>0</v>
      </c>
      <c r="N242" s="420" t="n">
        <v>0</v>
      </c>
      <c r="P242" s="420" t="n">
        <v>0</v>
      </c>
      <c r="Q242" s="420" t="n">
        <v>0</v>
      </c>
      <c r="R242" s="418" t="n">
        <v>0</v>
      </c>
      <c r="U242" s="436" t="n">
        <v>0.00275</v>
      </c>
      <c r="V242" s="418" t="n">
        <v>0</v>
      </c>
      <c r="W242" s="418" t="n">
        <v>0</v>
      </c>
      <c r="X242" s="418" t="n">
        <v>0.43</v>
      </c>
      <c r="Y242" s="418" t="n">
        <v>0</v>
      </c>
      <c r="Z242" s="418" t="n">
        <v>0</v>
      </c>
      <c r="AA242" s="418" t="n">
        <v>0</v>
      </c>
      <c r="AB242" s="418" t="n">
        <v>0.3775</v>
      </c>
      <c r="AC242" s="418" t="n">
        <v>0.3</v>
      </c>
      <c r="AP242" s="437"/>
      <c r="AQ242" s="437"/>
      <c r="AR242" s="437"/>
      <c r="AS242" s="437"/>
      <c r="AW242" s="418" t="n">
        <v>0.070684903372367</v>
      </c>
      <c r="BB242" s="442" t="n">
        <f aca="false">B242</f>
        <v>43647</v>
      </c>
      <c r="BF242" s="442" t="n">
        <f aca="false">B242</f>
        <v>43647</v>
      </c>
      <c r="BG242" s="418" t="n">
        <v>223</v>
      </c>
    </row>
    <row r="243" customFormat="false" ht="12" hidden="false" customHeight="false" outlineLevel="0" collapsed="false">
      <c r="B243" s="419" t="n">
        <f aca="false">EOMONTH(B242,0)+1</f>
        <v>43678</v>
      </c>
      <c r="C243" s="420" t="n">
        <v>3.827</v>
      </c>
      <c r="D243" s="420" t="n">
        <v>0.15</v>
      </c>
      <c r="E243" s="420" t="n">
        <v>0.070684492826262</v>
      </c>
      <c r="G243" s="420" t="n">
        <v>0.0549681</v>
      </c>
      <c r="J243" s="420" t="n">
        <v>0.1825</v>
      </c>
      <c r="K243" s="420" t="n">
        <v>0.215</v>
      </c>
      <c r="L243" s="420" t="n">
        <v>0</v>
      </c>
      <c r="M243" s="420" t="n">
        <v>0</v>
      </c>
      <c r="N243" s="420" t="n">
        <v>0</v>
      </c>
      <c r="P243" s="420" t="n">
        <v>0</v>
      </c>
      <c r="Q243" s="420" t="n">
        <v>0</v>
      </c>
      <c r="R243" s="418" t="n">
        <v>0</v>
      </c>
      <c r="U243" s="436" t="n">
        <v>0.00275</v>
      </c>
      <c r="V243" s="418" t="n">
        <v>0</v>
      </c>
      <c r="W243" s="418" t="n">
        <v>0</v>
      </c>
      <c r="X243" s="418" t="n">
        <v>0.495</v>
      </c>
      <c r="Y243" s="418" t="n">
        <v>0</v>
      </c>
      <c r="Z243" s="418" t="n">
        <v>0</v>
      </c>
      <c r="AA243" s="418" t="n">
        <v>0</v>
      </c>
      <c r="AB243" s="418" t="n">
        <v>0.3775</v>
      </c>
      <c r="AC243" s="418" t="n">
        <v>0.3</v>
      </c>
      <c r="AP243" s="437"/>
      <c r="AQ243" s="437"/>
      <c r="AR243" s="437"/>
      <c r="AS243" s="437"/>
      <c r="AW243" s="418" t="n">
        <v>0.070691856890417</v>
      </c>
      <c r="BB243" s="442" t="n">
        <f aca="false">B243</f>
        <v>43678</v>
      </c>
      <c r="BF243" s="442" t="n">
        <f aca="false">B243</f>
        <v>43678</v>
      </c>
      <c r="BG243" s="418" t="n">
        <v>223</v>
      </c>
    </row>
    <row r="244" customFormat="false" ht="12" hidden="false" customHeight="false" outlineLevel="0" collapsed="false">
      <c r="B244" s="419" t="n">
        <f aca="false">EOMONTH(B243,0)+1</f>
        <v>43709</v>
      </c>
      <c r="C244" s="420" t="n">
        <v>3.794</v>
      </c>
      <c r="D244" s="420" t="n">
        <v>0.15</v>
      </c>
      <c r="E244" s="420" t="n">
        <v>0.070685658841936</v>
      </c>
      <c r="G244" s="420" t="n">
        <v>0.0549681</v>
      </c>
      <c r="J244" s="420" t="n">
        <v>0.1825</v>
      </c>
      <c r="K244" s="420" t="n">
        <v>0.195</v>
      </c>
      <c r="L244" s="420" t="n">
        <v>0</v>
      </c>
      <c r="M244" s="420" t="n">
        <v>0</v>
      </c>
      <c r="N244" s="420" t="n">
        <v>0</v>
      </c>
      <c r="P244" s="420" t="n">
        <v>0</v>
      </c>
      <c r="Q244" s="420" t="n">
        <v>0</v>
      </c>
      <c r="R244" s="418" t="n">
        <v>0</v>
      </c>
      <c r="U244" s="436" t="n">
        <v>0.00275</v>
      </c>
      <c r="V244" s="418" t="n">
        <v>0</v>
      </c>
      <c r="W244" s="418" t="n">
        <v>0</v>
      </c>
      <c r="X244" s="418" t="n">
        <v>0.395</v>
      </c>
      <c r="Y244" s="418" t="n">
        <v>0</v>
      </c>
      <c r="Z244" s="418" t="n">
        <v>0</v>
      </c>
      <c r="AA244" s="418" t="n">
        <v>0</v>
      </c>
      <c r="AB244" s="418" t="n">
        <v>0.3775</v>
      </c>
      <c r="AC244" s="418" t="n">
        <v>0.29</v>
      </c>
      <c r="AP244" s="437"/>
      <c r="AQ244" s="437"/>
      <c r="AR244" s="437"/>
      <c r="AS244" s="437"/>
      <c r="AW244" s="418" t="n">
        <v>0.070698810408483</v>
      </c>
      <c r="BB244" s="442" t="n">
        <f aca="false">B244</f>
        <v>43709</v>
      </c>
      <c r="BF244" s="442" t="n">
        <f aca="false">B244</f>
        <v>43709</v>
      </c>
      <c r="BG244" s="418" t="n">
        <v>223</v>
      </c>
    </row>
    <row r="245" customFormat="false" ht="12" hidden="false" customHeight="false" outlineLevel="0" collapsed="false">
      <c r="B245" s="419" t="n">
        <f aca="false">EOMONTH(B244,0)+1</f>
        <v>43739</v>
      </c>
      <c r="C245" s="420" t="n">
        <v>3.793</v>
      </c>
      <c r="D245" s="420" t="n">
        <v>0.15</v>
      </c>
      <c r="E245" s="420" t="n">
        <v>0.070686787244203</v>
      </c>
      <c r="G245" s="420" t="n">
        <v>0.0549681</v>
      </c>
      <c r="J245" s="420" t="n">
        <v>0.1875</v>
      </c>
      <c r="K245" s="420" t="n">
        <v>0.215</v>
      </c>
      <c r="L245" s="420" t="n">
        <v>0</v>
      </c>
      <c r="M245" s="420" t="n">
        <v>0</v>
      </c>
      <c r="N245" s="420" t="n">
        <v>0</v>
      </c>
      <c r="P245" s="420" t="n">
        <v>0</v>
      </c>
      <c r="Q245" s="420" t="n">
        <v>0</v>
      </c>
      <c r="R245" s="418" t="n">
        <v>0</v>
      </c>
      <c r="U245" s="436" t="n">
        <v>-0.0155</v>
      </c>
      <c r="V245" s="418" t="n">
        <v>0</v>
      </c>
      <c r="W245" s="418" t="n">
        <v>0</v>
      </c>
      <c r="X245" s="418" t="n">
        <v>0.461</v>
      </c>
      <c r="Y245" s="418" t="n">
        <v>0</v>
      </c>
      <c r="Z245" s="418" t="n">
        <v>0</v>
      </c>
      <c r="AA245" s="418" t="n">
        <v>0</v>
      </c>
      <c r="AB245" s="418" t="n">
        <v>0.3775</v>
      </c>
      <c r="AC245" s="418" t="n">
        <v>0.3625</v>
      </c>
      <c r="AP245" s="437"/>
      <c r="AQ245" s="437"/>
      <c r="AR245" s="437"/>
      <c r="AS245" s="437"/>
      <c r="AW245" s="418" t="n">
        <v>0.070705539619531</v>
      </c>
      <c r="BB245" s="442" t="n">
        <f aca="false">B245</f>
        <v>43739</v>
      </c>
      <c r="BF245" s="442" t="n">
        <f aca="false">B245</f>
        <v>43739</v>
      </c>
      <c r="BG245" s="418" t="n">
        <v>223</v>
      </c>
    </row>
    <row r="246" customFormat="false" ht="12" hidden="false" customHeight="false" outlineLevel="0" collapsed="false">
      <c r="B246" s="419" t="n">
        <f aca="false">EOMONTH(B245,0)+1</f>
        <v>43770</v>
      </c>
      <c r="C246" s="420" t="n">
        <v>3.805</v>
      </c>
      <c r="D246" s="420" t="n">
        <v>0.15</v>
      </c>
      <c r="E246" s="420" t="n">
        <v>0.070687953259878</v>
      </c>
      <c r="G246" s="420" t="n">
        <v>-0.0249887</v>
      </c>
      <c r="J246" s="420" t="n">
        <v>0.27</v>
      </c>
      <c r="K246" s="420" t="n">
        <v>0.2875</v>
      </c>
      <c r="L246" s="420" t="n">
        <v>0</v>
      </c>
      <c r="M246" s="420" t="n">
        <v>0</v>
      </c>
      <c r="N246" s="420" t="n">
        <v>0</v>
      </c>
      <c r="P246" s="420" t="n">
        <v>0</v>
      </c>
      <c r="Q246" s="420" t="n">
        <v>0</v>
      </c>
      <c r="R246" s="418" t="n">
        <v>0</v>
      </c>
      <c r="U246" s="418" t="n">
        <v>-0.0145</v>
      </c>
      <c r="V246" s="418" t="n">
        <v>0</v>
      </c>
      <c r="W246" s="418" t="n">
        <v>0</v>
      </c>
      <c r="X246" s="418" t="n">
        <v>0.7675</v>
      </c>
      <c r="Y246" s="418" t="n">
        <v>0</v>
      </c>
      <c r="Z246" s="418" t="n">
        <v>0</v>
      </c>
      <c r="AA246" s="418" t="n">
        <v>0</v>
      </c>
      <c r="AB246" s="418" t="n">
        <v>0.31</v>
      </c>
      <c r="AC246" s="418" t="n">
        <v>0.465</v>
      </c>
      <c r="AP246" s="437"/>
      <c r="AQ246" s="437"/>
      <c r="AR246" s="437"/>
      <c r="AS246" s="437"/>
      <c r="AW246" s="418" t="n">
        <v>0.070712493137629</v>
      </c>
      <c r="BB246" s="442" t="n">
        <f aca="false">B246</f>
        <v>43770</v>
      </c>
      <c r="BF246" s="442" t="n">
        <f aca="false">B246</f>
        <v>43770</v>
      </c>
      <c r="BG246" s="418" t="n">
        <v>223</v>
      </c>
    </row>
    <row r="247" customFormat="false" ht="12" hidden="false" customHeight="false" outlineLevel="0" collapsed="false">
      <c r="B247" s="419" t="n">
        <f aca="false">EOMONTH(B246,0)+1</f>
        <v>43800</v>
      </c>
      <c r="C247" s="420" t="n">
        <v>3.843</v>
      </c>
      <c r="D247" s="420" t="n">
        <v>0.15</v>
      </c>
      <c r="E247" s="420" t="n">
        <v>0.070689081662144</v>
      </c>
      <c r="G247" s="420" t="n">
        <v>-0.0399519</v>
      </c>
      <c r="J247" s="420" t="n">
        <v>0.305</v>
      </c>
      <c r="K247" s="420" t="n">
        <v>0.3375</v>
      </c>
      <c r="L247" s="420" t="n">
        <v>0</v>
      </c>
      <c r="M247" s="420" t="n">
        <v>0</v>
      </c>
      <c r="N247" s="420" t="n">
        <v>0</v>
      </c>
      <c r="P247" s="420" t="n">
        <v>0</v>
      </c>
      <c r="Q247" s="420" t="n">
        <v>0</v>
      </c>
      <c r="R247" s="418" t="n">
        <v>0</v>
      </c>
      <c r="U247" s="418" t="n">
        <v>-0.0145</v>
      </c>
      <c r="V247" s="418" t="n">
        <v>0</v>
      </c>
      <c r="W247" s="418" t="n">
        <v>0</v>
      </c>
      <c r="X247" s="418" t="n">
        <v>1.19</v>
      </c>
      <c r="Y247" s="418" t="n">
        <v>0</v>
      </c>
      <c r="Z247" s="418" t="n">
        <v>0</v>
      </c>
      <c r="AA247" s="418" t="n">
        <v>0</v>
      </c>
      <c r="AB247" s="418" t="n">
        <v>0.31</v>
      </c>
      <c r="AC247" s="418" t="n">
        <v>0.8</v>
      </c>
      <c r="AP247" s="437"/>
      <c r="AQ247" s="437"/>
      <c r="AR247" s="437"/>
      <c r="AS247" s="437"/>
      <c r="AW247" s="418" t="n">
        <v>0.070719222348706</v>
      </c>
      <c r="BB247" s="442" t="n">
        <f aca="false">B247</f>
        <v>43800</v>
      </c>
      <c r="BF247" s="442" t="n">
        <f aca="false">B247</f>
        <v>43800</v>
      </c>
      <c r="BG247" s="418" t="n">
        <v>223</v>
      </c>
    </row>
    <row r="248" customFormat="false" ht="12" hidden="false" customHeight="false" outlineLevel="0" collapsed="false">
      <c r="B248" s="419" t="n">
        <f aca="false">EOMONTH(B247,0)+1</f>
        <v>43831</v>
      </c>
      <c r="C248" s="420" t="n">
        <v>4.166</v>
      </c>
      <c r="D248" s="420" t="n">
        <v>0.15</v>
      </c>
      <c r="E248" s="420" t="n">
        <v>0.07069024767782</v>
      </c>
      <c r="G248" s="420" t="n">
        <v>-0.0349551</v>
      </c>
      <c r="J248" s="420" t="n">
        <v>0.305</v>
      </c>
      <c r="K248" s="420" t="n">
        <v>0.4375</v>
      </c>
      <c r="L248" s="420" t="n">
        <v>0</v>
      </c>
      <c r="M248" s="420" t="n">
        <v>0</v>
      </c>
      <c r="N248" s="420" t="n">
        <v>0</v>
      </c>
      <c r="P248" s="420" t="n">
        <v>0</v>
      </c>
      <c r="Q248" s="420" t="n">
        <v>0</v>
      </c>
      <c r="R248" s="418" t="n">
        <v>0</v>
      </c>
      <c r="U248" s="418" t="n">
        <v>-0.0145</v>
      </c>
      <c r="V248" s="418" t="n">
        <v>0</v>
      </c>
      <c r="W248" s="418" t="n">
        <v>0</v>
      </c>
      <c r="X248" s="418" t="n">
        <v>1.525</v>
      </c>
      <c r="Y248" s="418" t="n">
        <v>0</v>
      </c>
      <c r="Z248" s="418" t="n">
        <v>0</v>
      </c>
      <c r="AA248" s="418" t="n">
        <v>0</v>
      </c>
      <c r="AB248" s="418" t="n">
        <v>0.31</v>
      </c>
      <c r="AC248" s="418" t="n">
        <v>0.975</v>
      </c>
      <c r="AP248" s="437"/>
      <c r="AQ248" s="437"/>
      <c r="AR248" s="437"/>
      <c r="AS248" s="437"/>
      <c r="AW248" s="418" t="n">
        <v>0.070726175866835</v>
      </c>
      <c r="BB248" s="442" t="n">
        <f aca="false">B248</f>
        <v>43831</v>
      </c>
      <c r="BF248" s="442" t="n">
        <f aca="false">B248</f>
        <v>43831</v>
      </c>
      <c r="BG248" s="418" t="n">
        <v>223</v>
      </c>
    </row>
    <row r="249" customFormat="false" ht="12" hidden="false" customHeight="false" outlineLevel="0" collapsed="false">
      <c r="B249" s="419" t="n">
        <f aca="false">EOMONTH(B248,0)+1</f>
        <v>43862</v>
      </c>
      <c r="C249" s="420" t="n">
        <v>4.092</v>
      </c>
      <c r="D249" s="420" t="n">
        <v>0.15</v>
      </c>
      <c r="E249" s="420" t="n">
        <v>0.070691413693497</v>
      </c>
      <c r="G249" s="420" t="n">
        <v>-0.0099574</v>
      </c>
      <c r="J249" s="420" t="n">
        <v>0.305</v>
      </c>
      <c r="K249" s="420" t="n">
        <v>0.435</v>
      </c>
      <c r="L249" s="420" t="n">
        <v>0</v>
      </c>
      <c r="M249" s="420" t="n">
        <v>0</v>
      </c>
      <c r="N249" s="420" t="n">
        <v>0</v>
      </c>
      <c r="P249" s="420" t="n">
        <v>0</v>
      </c>
      <c r="Q249" s="420" t="n">
        <v>0</v>
      </c>
      <c r="R249" s="418" t="n">
        <v>0</v>
      </c>
      <c r="U249" s="418" t="n">
        <v>-0.0145</v>
      </c>
      <c r="V249" s="418" t="n">
        <v>0</v>
      </c>
      <c r="W249" s="418" t="n">
        <v>0</v>
      </c>
      <c r="X249" s="418" t="n">
        <v>1.455</v>
      </c>
      <c r="Y249" s="418" t="n">
        <v>0</v>
      </c>
      <c r="Z249" s="418" t="n">
        <v>0</v>
      </c>
      <c r="AA249" s="418" t="n">
        <v>0</v>
      </c>
      <c r="AB249" s="418" t="n">
        <v>0.31</v>
      </c>
      <c r="AC249" s="418" t="n">
        <v>0.975</v>
      </c>
      <c r="AP249" s="437"/>
      <c r="AQ249" s="437"/>
      <c r="AR249" s="437"/>
      <c r="AS249" s="437"/>
      <c r="AW249" s="418" t="n">
        <v>0.070733129384981</v>
      </c>
      <c r="BB249" s="442" t="n">
        <f aca="false">B249</f>
        <v>43862</v>
      </c>
      <c r="BF249" s="442" t="n">
        <f aca="false">B249</f>
        <v>43862</v>
      </c>
      <c r="BG249" s="418" t="n">
        <v>223</v>
      </c>
    </row>
    <row r="250" customFormat="false" ht="12" hidden="false" customHeight="false" outlineLevel="0" collapsed="false">
      <c r="B250" s="419" t="n">
        <f aca="false">EOMONTH(B249,0)+1</f>
        <v>43891</v>
      </c>
      <c r="C250" s="420" t="n">
        <v>3.973</v>
      </c>
      <c r="D250" s="420" t="n">
        <v>0.15</v>
      </c>
      <c r="E250" s="420" t="n">
        <v>0.070692504482357</v>
      </c>
      <c r="G250" s="420" t="n">
        <v>4.25E-005</v>
      </c>
      <c r="J250" s="420" t="n">
        <v>0.265</v>
      </c>
      <c r="K250" s="420" t="n">
        <v>0.3025</v>
      </c>
      <c r="L250" s="420" t="n">
        <v>0</v>
      </c>
      <c r="M250" s="420" t="n">
        <v>0</v>
      </c>
      <c r="N250" s="420" t="n">
        <v>0</v>
      </c>
      <c r="P250" s="420" t="n">
        <v>0</v>
      </c>
      <c r="Q250" s="420" t="n">
        <v>0</v>
      </c>
      <c r="R250" s="418" t="n">
        <v>0</v>
      </c>
      <c r="U250" s="418" t="n">
        <v>0.004</v>
      </c>
      <c r="V250" s="418" t="n">
        <v>0</v>
      </c>
      <c r="W250" s="418" t="n">
        <v>0</v>
      </c>
      <c r="X250" s="418" t="n">
        <v>0.835</v>
      </c>
      <c r="Y250" s="418" t="n">
        <v>0</v>
      </c>
      <c r="Z250" s="418" t="n">
        <v>0</v>
      </c>
      <c r="AA250" s="418" t="n">
        <v>0</v>
      </c>
      <c r="AB250" s="418" t="n">
        <v>0.31</v>
      </c>
      <c r="AC250" s="418" t="n">
        <v>0.6075</v>
      </c>
      <c r="AP250" s="437"/>
      <c r="AQ250" s="437"/>
      <c r="AR250" s="437"/>
      <c r="AS250" s="437"/>
      <c r="AW250" s="418" t="n">
        <v>0.070739634289066</v>
      </c>
      <c r="BB250" s="442" t="n">
        <f aca="false">B250</f>
        <v>43891</v>
      </c>
      <c r="BF250" s="442" t="n">
        <f aca="false">B250</f>
        <v>43891</v>
      </c>
      <c r="BG250" s="418" t="n">
        <v>223</v>
      </c>
    </row>
    <row r="251" customFormat="false" ht="12" hidden="false" customHeight="false" outlineLevel="0" collapsed="false">
      <c r="B251" s="419" t="n">
        <f aca="false">EOMONTH(B250,0)+1</f>
        <v>43922</v>
      </c>
      <c r="C251" s="420" t="n">
        <v>3.846</v>
      </c>
      <c r="D251" s="420" t="n">
        <v>0.15</v>
      </c>
      <c r="E251" s="420" t="n">
        <v>0.070693670498034</v>
      </c>
      <c r="G251" s="420" t="n">
        <v>0.0599766</v>
      </c>
      <c r="J251" s="420" t="n">
        <v>0.195</v>
      </c>
      <c r="K251" s="420" t="n">
        <v>0.25</v>
      </c>
      <c r="L251" s="420" t="n">
        <v>0</v>
      </c>
      <c r="M251" s="420" t="n">
        <v>0</v>
      </c>
      <c r="N251" s="420" t="n">
        <v>0</v>
      </c>
      <c r="P251" s="420" t="n">
        <v>0</v>
      </c>
      <c r="Q251" s="420" t="n">
        <v>0</v>
      </c>
      <c r="R251" s="418" t="n">
        <v>0</v>
      </c>
      <c r="U251" s="436" t="n">
        <v>0.004</v>
      </c>
      <c r="V251" s="418" t="n">
        <v>0</v>
      </c>
      <c r="W251" s="418" t="n">
        <v>0</v>
      </c>
      <c r="X251" s="418" t="n">
        <v>0.45</v>
      </c>
      <c r="Y251" s="418" t="n">
        <v>0</v>
      </c>
      <c r="Z251" s="418" t="n">
        <v>0</v>
      </c>
      <c r="AA251" s="418" t="n">
        <v>0</v>
      </c>
      <c r="AB251" s="418" t="n">
        <v>0.3775</v>
      </c>
      <c r="AC251" s="418" t="n">
        <v>0.355</v>
      </c>
      <c r="AP251" s="437"/>
      <c r="AQ251" s="437"/>
      <c r="AR251" s="437"/>
      <c r="AS251" s="437"/>
      <c r="AW251" s="418" t="n">
        <v>0.070746587807243</v>
      </c>
      <c r="BB251" s="442" t="n">
        <f aca="false">B251</f>
        <v>43922</v>
      </c>
      <c r="BF251" s="442" t="n">
        <f aca="false">B251</f>
        <v>43922</v>
      </c>
      <c r="BG251" s="418" t="n">
        <v>223</v>
      </c>
    </row>
    <row r="252" customFormat="false" ht="12" hidden="false" customHeight="false" outlineLevel="0" collapsed="false">
      <c r="B252" s="419" t="n">
        <f aca="false">EOMONTH(B251,0)+1</f>
        <v>43952</v>
      </c>
      <c r="C252" s="420" t="n">
        <v>3.851</v>
      </c>
      <c r="D252" s="420" t="n">
        <v>0.15</v>
      </c>
      <c r="E252" s="420" t="n">
        <v>0.070694798900303</v>
      </c>
      <c r="G252" s="420" t="n">
        <v>0.0599681</v>
      </c>
      <c r="J252" s="420" t="n">
        <v>0.1825</v>
      </c>
      <c r="K252" s="420" t="n">
        <v>0.2025</v>
      </c>
      <c r="L252" s="420" t="n">
        <v>0</v>
      </c>
      <c r="M252" s="420" t="n">
        <v>0</v>
      </c>
      <c r="N252" s="420" t="n">
        <v>0</v>
      </c>
      <c r="P252" s="420" t="n">
        <v>0</v>
      </c>
      <c r="Q252" s="420" t="n">
        <v>0</v>
      </c>
      <c r="R252" s="418" t="n">
        <v>0</v>
      </c>
      <c r="U252" s="436" t="n">
        <v>0.00375</v>
      </c>
      <c r="V252" s="418" t="n">
        <v>0</v>
      </c>
      <c r="W252" s="418" t="n">
        <v>0</v>
      </c>
      <c r="X252" s="418" t="n">
        <v>0.405</v>
      </c>
      <c r="Y252" s="418" t="n">
        <v>0</v>
      </c>
      <c r="Z252" s="418" t="n">
        <v>0</v>
      </c>
      <c r="AA252" s="418" t="n">
        <v>0</v>
      </c>
      <c r="AB252" s="418" t="n">
        <v>0.3775</v>
      </c>
      <c r="AC252" s="418" t="n">
        <v>0.2875</v>
      </c>
      <c r="AP252" s="437"/>
      <c r="AQ252" s="437"/>
      <c r="AR252" s="437"/>
      <c r="AS252" s="437"/>
      <c r="AW252" s="418" t="n">
        <v>0.070753317018396</v>
      </c>
      <c r="BB252" s="442" t="n">
        <f aca="false">B252</f>
        <v>43952</v>
      </c>
      <c r="BF252" s="442" t="n">
        <f aca="false">B252</f>
        <v>43952</v>
      </c>
      <c r="BG252" s="418" t="n">
        <v>223</v>
      </c>
    </row>
    <row r="253" customFormat="false" ht="12" hidden="false" customHeight="false" outlineLevel="0" collapsed="false">
      <c r="B253" s="419" t="n">
        <f aca="false">EOMONTH(B252,0)+1</f>
        <v>43983</v>
      </c>
      <c r="C253" s="420" t="n">
        <v>3.888</v>
      </c>
      <c r="D253" s="420" t="n">
        <v>0.15</v>
      </c>
      <c r="E253" s="420" t="n">
        <v>0.070695964915981</v>
      </c>
      <c r="G253" s="420" t="n">
        <v>0.0599681</v>
      </c>
      <c r="J253" s="420" t="n">
        <v>0.1825</v>
      </c>
      <c r="K253" s="420" t="n">
        <v>0.2025</v>
      </c>
      <c r="L253" s="420" t="n">
        <v>0</v>
      </c>
      <c r="M253" s="420" t="n">
        <v>0</v>
      </c>
      <c r="N253" s="420" t="n">
        <v>0</v>
      </c>
      <c r="P253" s="420" t="n">
        <v>0</v>
      </c>
      <c r="Q253" s="420" t="n">
        <v>0</v>
      </c>
      <c r="R253" s="418" t="n">
        <v>0</v>
      </c>
      <c r="U253" s="436" t="n">
        <v>0.00375</v>
      </c>
      <c r="V253" s="418" t="n">
        <v>0</v>
      </c>
      <c r="W253" s="418" t="n">
        <v>0</v>
      </c>
      <c r="X253" s="418" t="n">
        <v>0.395</v>
      </c>
      <c r="Y253" s="418" t="n">
        <v>0</v>
      </c>
      <c r="Z253" s="418" t="n">
        <v>0</v>
      </c>
      <c r="AA253" s="418" t="n">
        <v>0</v>
      </c>
      <c r="AB253" s="418" t="n">
        <v>0.3775</v>
      </c>
      <c r="AC253" s="418" t="n">
        <v>0.2875</v>
      </c>
      <c r="AP253" s="437"/>
      <c r="AQ253" s="437"/>
      <c r="AR253" s="437"/>
      <c r="AS253" s="437"/>
      <c r="AW253" s="418" t="n">
        <v>0.070760270536604</v>
      </c>
      <c r="BB253" s="442" t="n">
        <f aca="false">B253</f>
        <v>43983</v>
      </c>
      <c r="BF253" s="442" t="n">
        <f aca="false">B253</f>
        <v>43983</v>
      </c>
      <c r="BG253" s="418" t="n">
        <v>223</v>
      </c>
    </row>
    <row r="254" customFormat="false" ht="12" hidden="false" customHeight="false" outlineLevel="0" collapsed="false">
      <c r="B254" s="419" t="n">
        <f aca="false">EOMONTH(B253,0)+1</f>
        <v>44013</v>
      </c>
      <c r="C254" s="420" t="n">
        <v>3.91</v>
      </c>
      <c r="D254" s="420" t="n">
        <v>0.15</v>
      </c>
      <c r="E254" s="420" t="n">
        <v>0.070697093318251</v>
      </c>
      <c r="G254" s="420" t="n">
        <v>0.0599681</v>
      </c>
      <c r="J254" s="420" t="n">
        <v>0.1825</v>
      </c>
      <c r="K254" s="420" t="n">
        <v>0.215</v>
      </c>
      <c r="L254" s="420" t="n">
        <v>0</v>
      </c>
      <c r="M254" s="420" t="n">
        <v>0</v>
      </c>
      <c r="N254" s="420" t="n">
        <v>0</v>
      </c>
      <c r="P254" s="420" t="n">
        <v>0</v>
      </c>
      <c r="Q254" s="420" t="n">
        <v>0</v>
      </c>
      <c r="R254" s="418" t="n">
        <v>0</v>
      </c>
      <c r="U254" s="436" t="n">
        <v>0.00375</v>
      </c>
      <c r="V254" s="418" t="n">
        <v>0</v>
      </c>
      <c r="W254" s="418" t="n">
        <v>0</v>
      </c>
      <c r="X254" s="418" t="n">
        <v>0.43</v>
      </c>
      <c r="Y254" s="418" t="n">
        <v>0</v>
      </c>
      <c r="Z254" s="418" t="n">
        <v>0</v>
      </c>
      <c r="AA254" s="418" t="n">
        <v>0</v>
      </c>
      <c r="AB254" s="418" t="n">
        <v>0.3775</v>
      </c>
      <c r="AC254" s="418" t="n">
        <v>0.3</v>
      </c>
      <c r="AP254" s="437"/>
      <c r="AQ254" s="437"/>
      <c r="AR254" s="437"/>
      <c r="AS254" s="437"/>
      <c r="AW254" s="418" t="n">
        <v>0.070766999747788</v>
      </c>
      <c r="BB254" s="442" t="n">
        <f aca="false">B254</f>
        <v>44013</v>
      </c>
      <c r="BF254" s="442" t="n">
        <f aca="false">B254</f>
        <v>44013</v>
      </c>
      <c r="BG254" s="418" t="n">
        <v>223</v>
      </c>
    </row>
    <row r="255" customFormat="false" ht="12" hidden="false" customHeight="false" outlineLevel="0" collapsed="false">
      <c r="B255" s="419" t="n">
        <f aca="false">EOMONTH(B254,0)+1</f>
        <v>44044</v>
      </c>
      <c r="C255" s="420" t="n">
        <v>3.931</v>
      </c>
      <c r="D255" s="420" t="n">
        <v>0.15</v>
      </c>
      <c r="E255" s="420" t="n">
        <v>0.07069825933393</v>
      </c>
      <c r="G255" s="420" t="n">
        <v>0.0599681</v>
      </c>
      <c r="J255" s="420" t="n">
        <v>0.1825</v>
      </c>
      <c r="K255" s="420" t="n">
        <v>0.215</v>
      </c>
      <c r="L255" s="420" t="n">
        <v>0</v>
      </c>
      <c r="M255" s="420" t="n">
        <v>0</v>
      </c>
      <c r="N255" s="420" t="n">
        <v>0</v>
      </c>
      <c r="P255" s="420" t="n">
        <v>0</v>
      </c>
      <c r="Q255" s="420" t="n">
        <v>0</v>
      </c>
      <c r="R255" s="418" t="n">
        <v>0</v>
      </c>
      <c r="U255" s="436" t="n">
        <v>0.00375</v>
      </c>
      <c r="V255" s="418" t="n">
        <v>0</v>
      </c>
      <c r="W255" s="418" t="n">
        <v>0</v>
      </c>
      <c r="X255" s="418" t="n">
        <v>0.495</v>
      </c>
      <c r="Y255" s="418" t="n">
        <v>0</v>
      </c>
      <c r="Z255" s="418" t="n">
        <v>0</v>
      </c>
      <c r="AA255" s="418" t="n">
        <v>0</v>
      </c>
      <c r="AB255" s="418" t="n">
        <v>0.3775</v>
      </c>
      <c r="AC255" s="418" t="n">
        <v>0.3</v>
      </c>
      <c r="AP255" s="437"/>
      <c r="AQ255" s="437"/>
      <c r="AR255" s="437"/>
      <c r="AS255" s="437"/>
      <c r="AW255" s="418" t="n">
        <v>0.070773953266027</v>
      </c>
      <c r="BB255" s="442" t="n">
        <f aca="false">B255</f>
        <v>44044</v>
      </c>
      <c r="BF255" s="442" t="n">
        <f aca="false">B255</f>
        <v>44044</v>
      </c>
      <c r="BG255" s="418" t="n">
        <v>223</v>
      </c>
    </row>
    <row r="256" customFormat="false" ht="12" hidden="false" customHeight="false" outlineLevel="0" collapsed="false">
      <c r="B256" s="419" t="n">
        <f aca="false">EOMONTH(B255,0)+1</f>
        <v>44075</v>
      </c>
      <c r="C256" s="420" t="n">
        <v>3.897</v>
      </c>
      <c r="D256" s="420" t="n">
        <v>0.15</v>
      </c>
      <c r="E256" s="420" t="n">
        <v>0.070698493806919</v>
      </c>
      <c r="G256" s="420" t="n">
        <v>0.0599681</v>
      </c>
      <c r="J256" s="420" t="n">
        <v>0.1825</v>
      </c>
      <c r="K256" s="420" t="n">
        <v>0.195</v>
      </c>
      <c r="L256" s="420" t="n">
        <v>0</v>
      </c>
      <c r="M256" s="420" t="n">
        <v>0</v>
      </c>
      <c r="N256" s="420" t="n">
        <v>0</v>
      </c>
      <c r="P256" s="420" t="n">
        <v>0</v>
      </c>
      <c r="Q256" s="420" t="n">
        <v>0</v>
      </c>
      <c r="R256" s="418" t="n">
        <v>0</v>
      </c>
      <c r="U256" s="436" t="n">
        <v>0.00375</v>
      </c>
      <c r="V256" s="418" t="n">
        <v>0</v>
      </c>
      <c r="W256" s="418" t="n">
        <v>0</v>
      </c>
      <c r="X256" s="418" t="n">
        <v>0.395</v>
      </c>
      <c r="Y256" s="418" t="n">
        <v>0</v>
      </c>
      <c r="Z256" s="418" t="n">
        <v>0</v>
      </c>
      <c r="AA256" s="418" t="n">
        <v>0</v>
      </c>
      <c r="AB256" s="418" t="n">
        <v>0.3775</v>
      </c>
      <c r="AC256" s="418" t="n">
        <v>0.29</v>
      </c>
      <c r="AP256" s="437"/>
      <c r="AQ256" s="437"/>
      <c r="AR256" s="437"/>
      <c r="AS256" s="437"/>
      <c r="AW256" s="418" t="n">
        <v>0.070778030439624</v>
      </c>
      <c r="BB256" s="442" t="n">
        <f aca="false">B256</f>
        <v>44075</v>
      </c>
      <c r="BF256" s="442" t="n">
        <f aca="false">B256</f>
        <v>44075</v>
      </c>
      <c r="BG256" s="418" t="n">
        <v>223</v>
      </c>
    </row>
    <row r="257" customFormat="false" ht="12" hidden="false" customHeight="false" outlineLevel="0" collapsed="false">
      <c r="B257" s="419" t="n">
        <f aca="false">EOMONTH(B256,0)+1</f>
        <v>44105</v>
      </c>
      <c r="C257" s="420" t="n">
        <v>3.895</v>
      </c>
      <c r="D257" s="420" t="n">
        <v>0.15</v>
      </c>
      <c r="E257" s="420" t="n">
        <v>0.070692635639012</v>
      </c>
      <c r="G257" s="420" t="n">
        <v>0.0599681</v>
      </c>
      <c r="J257" s="420" t="n">
        <v>0.1875</v>
      </c>
      <c r="K257" s="420" t="n">
        <v>0.215</v>
      </c>
      <c r="L257" s="420" t="n">
        <v>0</v>
      </c>
      <c r="M257" s="420" t="n">
        <v>0</v>
      </c>
      <c r="N257" s="420" t="n">
        <v>0</v>
      </c>
      <c r="P257" s="420" t="n">
        <v>0</v>
      </c>
      <c r="Q257" s="420" t="n">
        <v>0</v>
      </c>
      <c r="R257" s="418" t="n">
        <v>0</v>
      </c>
      <c r="U257" s="436" t="n">
        <v>-0.0145</v>
      </c>
      <c r="V257" s="418" t="n">
        <v>0</v>
      </c>
      <c r="W257" s="418" t="n">
        <v>0</v>
      </c>
      <c r="X257" s="418" t="n">
        <v>0.461</v>
      </c>
      <c r="Y257" s="418" t="n">
        <v>0</v>
      </c>
      <c r="Z257" s="418" t="n">
        <v>0</v>
      </c>
      <c r="AA257" s="418" t="n">
        <v>0</v>
      </c>
      <c r="AB257" s="418" t="n">
        <v>0.3775</v>
      </c>
      <c r="AC257" s="418" t="n">
        <v>0.3625</v>
      </c>
      <c r="AP257" s="437"/>
      <c r="AQ257" s="437"/>
      <c r="AR257" s="437"/>
      <c r="AS257" s="437"/>
      <c r="AW257" s="418" t="n">
        <v>0.07077243245946</v>
      </c>
      <c r="BB257" s="442" t="n">
        <f aca="false">B257</f>
        <v>44105</v>
      </c>
      <c r="BF257" s="442" t="n">
        <f aca="false">B257</f>
        <v>44105</v>
      </c>
      <c r="BG257" s="418" t="n">
        <v>223</v>
      </c>
    </row>
    <row r="258" customFormat="false" ht="12" hidden="false" customHeight="false" outlineLevel="0" collapsed="false">
      <c r="B258" s="419" t="n">
        <f aca="false">EOMONTH(B257,0)+1</f>
        <v>44136</v>
      </c>
      <c r="C258" s="420" t="n">
        <v>3.902</v>
      </c>
      <c r="D258" s="420" t="n">
        <v>0.15</v>
      </c>
      <c r="E258" s="420" t="n">
        <v>0.070686582198855</v>
      </c>
      <c r="G258" s="420" t="n">
        <v>-0.0199887</v>
      </c>
      <c r="J258" s="420" t="n">
        <v>0.27</v>
      </c>
      <c r="K258" s="420" t="n">
        <v>0.2875</v>
      </c>
      <c r="L258" s="420" t="n">
        <v>0</v>
      </c>
      <c r="M258" s="420" t="n">
        <v>0</v>
      </c>
      <c r="N258" s="420" t="n">
        <v>0</v>
      </c>
      <c r="P258" s="420" t="n">
        <v>0</v>
      </c>
      <c r="Q258" s="420" t="n">
        <v>0</v>
      </c>
      <c r="R258" s="418" t="n">
        <v>0</v>
      </c>
      <c r="U258" s="418" t="n">
        <v>-0.0135</v>
      </c>
      <c r="V258" s="418" t="n">
        <v>0</v>
      </c>
      <c r="W258" s="418" t="n">
        <v>0</v>
      </c>
      <c r="X258" s="418" t="n">
        <v>0.7675</v>
      </c>
      <c r="Y258" s="418" t="n">
        <v>0</v>
      </c>
      <c r="Z258" s="418" t="n">
        <v>0</v>
      </c>
      <c r="AA258" s="418" t="n">
        <v>0</v>
      </c>
      <c r="AB258" s="418" t="n">
        <v>0.33</v>
      </c>
      <c r="AC258" s="418" t="n">
        <v>0.465</v>
      </c>
      <c r="AP258" s="437"/>
      <c r="AQ258" s="437"/>
      <c r="AR258" s="437"/>
      <c r="AS258" s="437"/>
      <c r="AW258" s="418" t="n">
        <v>0.070766647879968</v>
      </c>
      <c r="BB258" s="442" t="n">
        <f aca="false">B258</f>
        <v>44136</v>
      </c>
      <c r="BF258" s="442" t="n">
        <f aca="false">B258</f>
        <v>44136</v>
      </c>
      <c r="BG258" s="418" t="n">
        <v>223</v>
      </c>
    </row>
    <row r="259" customFormat="false" ht="12" hidden="false" customHeight="false" outlineLevel="0" collapsed="false">
      <c r="B259" s="419" t="n">
        <f aca="false">EOMONTH(B258,0)+1</f>
        <v>44166</v>
      </c>
      <c r="C259" s="420" t="n">
        <v>3.937</v>
      </c>
      <c r="D259" s="420" t="n">
        <v>0.15</v>
      </c>
      <c r="E259" s="420" t="n">
        <v>0.070680724030971</v>
      </c>
      <c r="G259" s="420" t="n">
        <v>-0.0349519</v>
      </c>
      <c r="J259" s="420" t="n">
        <v>0.305</v>
      </c>
      <c r="K259" s="420" t="n">
        <v>0.3375</v>
      </c>
      <c r="L259" s="420" t="n">
        <v>0</v>
      </c>
      <c r="M259" s="420" t="n">
        <v>0</v>
      </c>
      <c r="N259" s="420" t="n">
        <v>0</v>
      </c>
      <c r="P259" s="420" t="n">
        <v>0</v>
      </c>
      <c r="Q259" s="420" t="n">
        <v>0</v>
      </c>
      <c r="R259" s="418" t="n">
        <v>0</v>
      </c>
      <c r="U259" s="418" t="n">
        <v>-0.0135</v>
      </c>
      <c r="V259" s="418" t="n">
        <v>0</v>
      </c>
      <c r="W259" s="418" t="n">
        <v>0</v>
      </c>
      <c r="X259" s="418" t="n">
        <v>1.19</v>
      </c>
      <c r="Y259" s="418" t="n">
        <v>0</v>
      </c>
      <c r="Z259" s="418" t="n">
        <v>0</v>
      </c>
      <c r="AA259" s="418" t="n">
        <v>0</v>
      </c>
      <c r="AB259" s="418" t="n">
        <v>0.33</v>
      </c>
      <c r="AC259" s="418" t="n">
        <v>0.8</v>
      </c>
      <c r="AP259" s="437"/>
      <c r="AQ259" s="437"/>
      <c r="AR259" s="437"/>
      <c r="AS259" s="437"/>
      <c r="AW259" s="418" t="n">
        <v>0.070761049899825</v>
      </c>
      <c r="BB259" s="442" t="n">
        <f aca="false">B259</f>
        <v>44166</v>
      </c>
      <c r="BF259" s="442" t="n">
        <f aca="false">B259</f>
        <v>44166</v>
      </c>
      <c r="BG259" s="418" t="n">
        <v>223</v>
      </c>
    </row>
    <row r="260" customFormat="false" ht="12" hidden="false" customHeight="false" outlineLevel="0" collapsed="false">
      <c r="B260" s="419" t="n">
        <f aca="false">EOMONTH(B259,0)+1</f>
        <v>44197</v>
      </c>
      <c r="C260" s="420" t="n">
        <v>4.2605</v>
      </c>
      <c r="D260" s="420" t="n">
        <v>0.15</v>
      </c>
      <c r="E260" s="420" t="n">
        <v>0.070674670590837</v>
      </c>
      <c r="G260" s="420" t="n">
        <v>-0.0299551</v>
      </c>
      <c r="J260" s="420" t="n">
        <v>0.305</v>
      </c>
      <c r="K260" s="420" t="n">
        <v>0.4375</v>
      </c>
      <c r="N260" s="420" t="n">
        <v>0</v>
      </c>
      <c r="W260" s="418" t="n">
        <v>0</v>
      </c>
      <c r="X260" s="418" t="n">
        <v>1.525</v>
      </c>
      <c r="Z260" s="418" t="n">
        <v>0</v>
      </c>
      <c r="AB260" s="418" t="n">
        <v>0.33</v>
      </c>
      <c r="AC260" s="418" t="n">
        <v>0.975</v>
      </c>
      <c r="AP260" s="437"/>
      <c r="AQ260" s="437"/>
      <c r="AR260" s="437"/>
      <c r="AS260" s="437"/>
      <c r="AW260" s="418" t="n">
        <v>0.070755265320354</v>
      </c>
      <c r="BB260" s="442" t="n">
        <f aca="false">B260</f>
        <v>44197</v>
      </c>
      <c r="BF260" s="442" t="n">
        <f aca="false">B260</f>
        <v>44197</v>
      </c>
      <c r="BG260" s="418" t="n">
        <v>223</v>
      </c>
    </row>
    <row r="261" customFormat="false" ht="12" hidden="false" customHeight="false" outlineLevel="0" collapsed="false">
      <c r="B261" s="419" t="n">
        <f aca="false">EOMONTH(B260,0)+1</f>
        <v>44228</v>
      </c>
      <c r="C261" s="420" t="n">
        <v>4.1905</v>
      </c>
      <c r="D261" s="420" t="n">
        <v>0.15</v>
      </c>
      <c r="E261" s="420" t="n">
        <v>0.070668617150714</v>
      </c>
      <c r="G261" s="420" t="n">
        <v>-0.0049574</v>
      </c>
      <c r="J261" s="420" t="n">
        <v>0.305</v>
      </c>
      <c r="K261" s="420" t="n">
        <v>0.435</v>
      </c>
      <c r="N261" s="420" t="n">
        <v>0</v>
      </c>
      <c r="W261" s="418" t="n">
        <v>0</v>
      </c>
      <c r="X261" s="418" t="n">
        <v>1.455</v>
      </c>
      <c r="Z261" s="418" t="n">
        <v>0</v>
      </c>
      <c r="AB261" s="418" t="n">
        <v>0.33</v>
      </c>
      <c r="AC261" s="418" t="n">
        <v>0.975</v>
      </c>
      <c r="AP261" s="437"/>
      <c r="AQ261" s="437"/>
      <c r="AR261" s="437"/>
      <c r="AS261" s="437"/>
      <c r="AW261" s="418" t="n">
        <v>0.070749480740895</v>
      </c>
      <c r="BB261" s="442" t="n">
        <f aca="false">B261</f>
        <v>44228</v>
      </c>
      <c r="BF261" s="442" t="n">
        <f aca="false">B261</f>
        <v>44228</v>
      </c>
      <c r="BG261" s="418" t="n">
        <v>223</v>
      </c>
    </row>
    <row r="262" customFormat="false" ht="12" hidden="false" customHeight="false" outlineLevel="0" collapsed="false">
      <c r="B262" s="419" t="n">
        <f aca="false">EOMONTH(B261,0)+1</f>
        <v>44256</v>
      </c>
      <c r="C262" s="420" t="n">
        <v>4.0745</v>
      </c>
      <c r="D262" s="420" t="n">
        <v>0.15</v>
      </c>
      <c r="E262" s="420" t="n">
        <v>0.070663149527389</v>
      </c>
      <c r="G262" s="420" t="n">
        <v>0.0050425</v>
      </c>
      <c r="J262" s="420" t="n">
        <v>0.265</v>
      </c>
      <c r="K262" s="420" t="n">
        <v>0.3025</v>
      </c>
      <c r="N262" s="420" t="n">
        <v>0</v>
      </c>
      <c r="W262" s="418" t="n">
        <v>0</v>
      </c>
      <c r="X262" s="418" t="n">
        <v>0.835</v>
      </c>
      <c r="Z262" s="418" t="n">
        <v>0</v>
      </c>
      <c r="AB262" s="418" t="n">
        <v>0.33</v>
      </c>
      <c r="AC262" s="418" t="n">
        <v>0.6075</v>
      </c>
      <c r="AP262" s="437"/>
      <c r="AQ262" s="437"/>
      <c r="AR262" s="437"/>
      <c r="AS262" s="437"/>
      <c r="AW262" s="418" t="n">
        <v>0.070744255959458</v>
      </c>
      <c r="BB262" s="442" t="n">
        <f aca="false">B262</f>
        <v>44256</v>
      </c>
      <c r="BF262" s="442" t="n">
        <f aca="false">B262</f>
        <v>44256</v>
      </c>
      <c r="BG262" s="418" t="n">
        <v>223</v>
      </c>
    </row>
    <row r="263" customFormat="false" ht="12" hidden="false" customHeight="false" outlineLevel="0" collapsed="false">
      <c r="B263" s="419" t="n">
        <f aca="false">EOMONTH(B262,0)+1</f>
        <v>44287</v>
      </c>
      <c r="C263" s="420" t="n">
        <v>3.9505</v>
      </c>
      <c r="D263" s="420" t="n">
        <v>0.15</v>
      </c>
      <c r="E263" s="420" t="n">
        <v>0.07065709608729</v>
      </c>
      <c r="G263" s="420" t="n">
        <v>0.0649766</v>
      </c>
      <c r="J263" s="420" t="n">
        <v>0.195</v>
      </c>
      <c r="K263" s="420" t="n">
        <v>0.25</v>
      </c>
      <c r="N263" s="420" t="n">
        <v>0</v>
      </c>
      <c r="W263" s="418" t="n">
        <v>0</v>
      </c>
      <c r="X263" s="418" t="n">
        <v>0.45</v>
      </c>
      <c r="Z263" s="418" t="n">
        <v>0</v>
      </c>
      <c r="AB263" s="418" t="n">
        <v>0.33</v>
      </c>
      <c r="AC263" s="418" t="n">
        <v>0.355</v>
      </c>
      <c r="AP263" s="437"/>
      <c r="AQ263" s="437"/>
      <c r="AR263" s="437"/>
      <c r="AS263" s="437"/>
      <c r="AW263" s="418" t="n">
        <v>0.070738471380019</v>
      </c>
      <c r="BB263" s="442" t="n">
        <f aca="false">B263</f>
        <v>44287</v>
      </c>
      <c r="BF263" s="442" t="n">
        <f aca="false">B263</f>
        <v>44287</v>
      </c>
      <c r="BG263" s="418" t="n">
        <v>223</v>
      </c>
    </row>
    <row r="264" customFormat="false" ht="12" hidden="false" customHeight="false" outlineLevel="0" collapsed="false">
      <c r="B264" s="419" t="n">
        <f aca="false">EOMONTH(B263,0)+1</f>
        <v>44317</v>
      </c>
      <c r="C264" s="420" t="n">
        <v>3.9565</v>
      </c>
      <c r="D264" s="420" t="n">
        <v>0.15</v>
      </c>
      <c r="E264" s="420" t="n">
        <v>0.070651237919464</v>
      </c>
      <c r="G264" s="420" t="n">
        <v>0.0649681</v>
      </c>
      <c r="J264" s="420" t="n">
        <v>0.1825</v>
      </c>
      <c r="K264" s="420" t="n">
        <v>0.2025</v>
      </c>
      <c r="N264" s="420" t="n">
        <v>0</v>
      </c>
      <c r="W264" s="418" t="n">
        <v>0</v>
      </c>
      <c r="X264" s="418" t="n">
        <v>0.405</v>
      </c>
      <c r="Z264" s="418" t="n">
        <v>0</v>
      </c>
      <c r="AB264" s="418" t="n">
        <v>0.33</v>
      </c>
      <c r="AC264" s="418" t="n">
        <v>0.2875</v>
      </c>
      <c r="AP264" s="437"/>
      <c r="AQ264" s="437"/>
      <c r="AR264" s="437"/>
      <c r="AS264" s="437"/>
      <c r="AW264" s="418" t="n">
        <v>0.070732873399928</v>
      </c>
      <c r="BB264" s="442" t="n">
        <f aca="false">B264</f>
        <v>44317</v>
      </c>
      <c r="BF264" s="442" t="n">
        <f aca="false">B264</f>
        <v>44317</v>
      </c>
      <c r="BG264" s="418" t="n">
        <v>223</v>
      </c>
    </row>
    <row r="265" customFormat="false" ht="12" hidden="false" customHeight="false" outlineLevel="0" collapsed="false">
      <c r="B265" s="419" t="n">
        <f aca="false">EOMONTH(B264,0)+1</f>
        <v>44348</v>
      </c>
      <c r="C265" s="420" t="n">
        <v>3.9945</v>
      </c>
      <c r="D265" s="420" t="n">
        <v>0.15</v>
      </c>
      <c r="E265" s="420" t="n">
        <v>0.070645184479388</v>
      </c>
      <c r="G265" s="420" t="n">
        <v>0.0649681</v>
      </c>
      <c r="J265" s="420" t="n">
        <v>0.1825</v>
      </c>
      <c r="K265" s="420" t="n">
        <v>0.2025</v>
      </c>
      <c r="N265" s="420" t="n">
        <v>0</v>
      </c>
      <c r="W265" s="418" t="n">
        <v>0</v>
      </c>
      <c r="X265" s="418" t="n">
        <v>0.395</v>
      </c>
      <c r="Z265" s="418" t="n">
        <v>0</v>
      </c>
      <c r="AB265" s="418" t="n">
        <v>0.33</v>
      </c>
      <c r="AC265" s="418" t="n">
        <v>0.2875</v>
      </c>
      <c r="AP265" s="437"/>
      <c r="AQ265" s="437"/>
      <c r="AR265" s="437"/>
      <c r="AS265" s="437"/>
      <c r="AW265" s="418" t="n">
        <v>0.070727088820511</v>
      </c>
      <c r="BB265" s="442" t="n">
        <f aca="false">B265</f>
        <v>44348</v>
      </c>
      <c r="BF265" s="442" t="n">
        <f aca="false">B265</f>
        <v>44348</v>
      </c>
      <c r="BG265" s="418" t="n">
        <v>223</v>
      </c>
    </row>
    <row r="266" customFormat="false" ht="12" hidden="false" customHeight="false" outlineLevel="0" collapsed="false">
      <c r="B266" s="419" t="n">
        <f aca="false">EOMONTH(B265,0)+1</f>
        <v>44378</v>
      </c>
      <c r="C266" s="420" t="n">
        <v>4.0165</v>
      </c>
      <c r="D266" s="420" t="n">
        <v>0.15</v>
      </c>
      <c r="E266" s="420" t="n">
        <v>0.070639326311585</v>
      </c>
      <c r="G266" s="420" t="n">
        <v>0.0649681</v>
      </c>
      <c r="J266" s="420" t="n">
        <v>0.1825</v>
      </c>
      <c r="K266" s="420" t="n">
        <v>0.215</v>
      </c>
      <c r="N266" s="420" t="n">
        <v>0</v>
      </c>
      <c r="W266" s="418" t="n">
        <v>0</v>
      </c>
      <c r="X266" s="418" t="n">
        <v>0.43</v>
      </c>
      <c r="Z266" s="418" t="n">
        <v>0</v>
      </c>
      <c r="AB266" s="418" t="n">
        <v>0.33</v>
      </c>
      <c r="AC266" s="418" t="n">
        <v>0.3</v>
      </c>
      <c r="AP266" s="437"/>
      <c r="AQ266" s="437"/>
      <c r="AR266" s="437"/>
      <c r="AS266" s="437"/>
      <c r="AW266" s="418" t="n">
        <v>0.070721490840442</v>
      </c>
      <c r="BB266" s="442" t="n">
        <f aca="false">B266</f>
        <v>44378</v>
      </c>
      <c r="BF266" s="442" t="n">
        <f aca="false">B266</f>
        <v>44378</v>
      </c>
      <c r="BG266" s="418" t="n">
        <v>223</v>
      </c>
    </row>
    <row r="267" customFormat="false" ht="12" hidden="false" customHeight="false" outlineLevel="0" collapsed="false">
      <c r="B267" s="419" t="n">
        <f aca="false">EOMONTH(B266,0)+1</f>
        <v>44409</v>
      </c>
      <c r="C267" s="420" t="n">
        <v>4.0375</v>
      </c>
      <c r="D267" s="420" t="n">
        <v>0.15</v>
      </c>
      <c r="E267" s="420" t="n">
        <v>0.070633272871534</v>
      </c>
      <c r="G267" s="420" t="n">
        <v>0.0649681</v>
      </c>
      <c r="J267" s="420" t="n">
        <v>0.1825</v>
      </c>
      <c r="K267" s="420" t="n">
        <v>0.215</v>
      </c>
      <c r="N267" s="420" t="n">
        <v>0</v>
      </c>
      <c r="W267" s="418" t="n">
        <v>0</v>
      </c>
      <c r="X267" s="418" t="n">
        <v>0.495</v>
      </c>
      <c r="Z267" s="418" t="n">
        <v>0</v>
      </c>
      <c r="AB267" s="418" t="n">
        <v>0.33</v>
      </c>
      <c r="AC267" s="418" t="n">
        <v>0.3</v>
      </c>
      <c r="AP267" s="437"/>
      <c r="AQ267" s="437"/>
      <c r="AR267" s="437"/>
      <c r="AS267" s="437"/>
      <c r="AW267" s="418" t="n">
        <v>0.070715706261047</v>
      </c>
      <c r="BB267" s="442" t="n">
        <f aca="false">B267</f>
        <v>44409</v>
      </c>
      <c r="BF267" s="442" t="n">
        <f aca="false">B267</f>
        <v>44409</v>
      </c>
      <c r="BG267" s="418" t="n">
        <v>223</v>
      </c>
    </row>
    <row r="268" customFormat="false" ht="12" hidden="false" customHeight="false" outlineLevel="0" collapsed="false">
      <c r="B268" s="419" t="n">
        <f aca="false">EOMONTH(B267,0)+1</f>
        <v>44440</v>
      </c>
      <c r="C268" s="420" t="n">
        <v>4.0025</v>
      </c>
      <c r="D268" s="420" t="n">
        <v>0.15</v>
      </c>
      <c r="E268" s="420" t="n">
        <v>0.070627219431495</v>
      </c>
      <c r="G268" s="420" t="n">
        <v>0.0649681</v>
      </c>
      <c r="J268" s="420" t="n">
        <v>0.1825</v>
      </c>
      <c r="K268" s="420" t="n">
        <v>0.195</v>
      </c>
      <c r="N268" s="420" t="n">
        <v>0</v>
      </c>
      <c r="W268" s="418" t="n">
        <v>0</v>
      </c>
      <c r="X268" s="418" t="n">
        <v>0.395</v>
      </c>
      <c r="Z268" s="418" t="n">
        <v>0</v>
      </c>
      <c r="AB268" s="418" t="n">
        <v>0.33</v>
      </c>
      <c r="AC268" s="418" t="n">
        <v>0.29</v>
      </c>
      <c r="AP268" s="437"/>
      <c r="AQ268" s="437"/>
      <c r="AR268" s="437"/>
      <c r="AS268" s="437"/>
      <c r="AW268" s="418" t="n">
        <v>0.070709921681663</v>
      </c>
      <c r="BB268" s="442" t="n">
        <f aca="false">B268</f>
        <v>44440</v>
      </c>
      <c r="BF268" s="442" t="n">
        <f aca="false">B268</f>
        <v>44440</v>
      </c>
      <c r="BG268" s="418" t="n">
        <v>223</v>
      </c>
    </row>
    <row r="269" customFormat="false" ht="12" hidden="false" customHeight="false" outlineLevel="0" collapsed="false">
      <c r="B269" s="419" t="n">
        <f aca="false">EOMONTH(B268,0)+1</f>
        <v>44470</v>
      </c>
      <c r="C269" s="420" t="n">
        <v>3.9995</v>
      </c>
      <c r="D269" s="420" t="n">
        <v>0.15</v>
      </c>
      <c r="E269" s="420" t="n">
        <v>0.070621361263726</v>
      </c>
      <c r="G269" s="420" t="n">
        <v>0.0649681</v>
      </c>
      <c r="J269" s="420" t="n">
        <v>0.1875</v>
      </c>
      <c r="K269" s="420" t="n">
        <v>0.215</v>
      </c>
      <c r="N269" s="420" t="n">
        <v>0</v>
      </c>
      <c r="W269" s="418" t="n">
        <v>0</v>
      </c>
      <c r="X269" s="418" t="n">
        <v>0.461</v>
      </c>
      <c r="Z269" s="418" t="n">
        <v>0</v>
      </c>
      <c r="AB269" s="418" t="n">
        <v>0.33</v>
      </c>
      <c r="AC269" s="418" t="n">
        <v>0.3625</v>
      </c>
      <c r="AP269" s="437"/>
      <c r="AQ269" s="437"/>
      <c r="AR269" s="437"/>
      <c r="AS269" s="437"/>
      <c r="AW269" s="418" t="n">
        <v>0.070704323701625</v>
      </c>
      <c r="BB269" s="442" t="n">
        <f aca="false">B269</f>
        <v>44470</v>
      </c>
      <c r="BF269" s="442" t="n">
        <f aca="false">B269</f>
        <v>44470</v>
      </c>
      <c r="BG269" s="418" t="n">
        <v>223</v>
      </c>
    </row>
    <row r="270" customFormat="false" ht="12" hidden="false" customHeight="false" outlineLevel="0" collapsed="false">
      <c r="B270" s="419" t="n">
        <f aca="false">EOMONTH(B269,0)+1</f>
        <v>44501</v>
      </c>
      <c r="C270" s="420" t="n">
        <v>4.0015</v>
      </c>
      <c r="D270" s="420" t="n">
        <v>0.15</v>
      </c>
      <c r="E270" s="420" t="n">
        <v>0.070615307823711</v>
      </c>
      <c r="G270" s="420" t="n">
        <v>-0.0149887</v>
      </c>
      <c r="J270" s="420" t="n">
        <v>0.27</v>
      </c>
      <c r="K270" s="420" t="n">
        <v>0.2875</v>
      </c>
      <c r="N270" s="420" t="n">
        <v>0</v>
      </c>
      <c r="W270" s="418" t="n">
        <v>0</v>
      </c>
      <c r="X270" s="418" t="n">
        <v>0.7675</v>
      </c>
      <c r="Z270" s="418" t="n">
        <v>0</v>
      </c>
      <c r="AB270" s="418" t="n">
        <v>0</v>
      </c>
      <c r="AC270" s="418" t="n">
        <v>0.465</v>
      </c>
      <c r="AP270" s="437"/>
      <c r="AQ270" s="437"/>
      <c r="AR270" s="437"/>
      <c r="AS270" s="437"/>
      <c r="AW270" s="418" t="n">
        <v>0.070698539122263</v>
      </c>
      <c r="BB270" s="442" t="n">
        <f aca="false">B270</f>
        <v>44501</v>
      </c>
      <c r="BF270" s="442" t="n">
        <f aca="false">B270</f>
        <v>44501</v>
      </c>
      <c r="BG270" s="418" t="n">
        <v>223</v>
      </c>
    </row>
    <row r="271" customFormat="false" ht="12" hidden="false" customHeight="false" outlineLevel="0" collapsed="false">
      <c r="B271" s="419" t="n">
        <f aca="false">EOMONTH(B270,0)+1</f>
        <v>44531</v>
      </c>
      <c r="C271" s="420" t="n">
        <v>4.0335</v>
      </c>
      <c r="D271" s="420" t="n">
        <v>0.15</v>
      </c>
      <c r="E271" s="420" t="n">
        <v>0.070609449655966</v>
      </c>
      <c r="G271" s="420" t="n">
        <v>-0.0299519</v>
      </c>
      <c r="J271" s="420" t="n">
        <v>0.305</v>
      </c>
      <c r="K271" s="420" t="n">
        <v>0.3375</v>
      </c>
      <c r="N271" s="420" t="n">
        <v>0</v>
      </c>
      <c r="W271" s="418" t="n">
        <v>0</v>
      </c>
      <c r="X271" s="418" t="n">
        <v>1.19</v>
      </c>
      <c r="Z271" s="418" t="n">
        <v>0</v>
      </c>
      <c r="AB271" s="418" t="n">
        <v>0</v>
      </c>
      <c r="AC271" s="418" t="n">
        <v>0.8</v>
      </c>
      <c r="AP271" s="437"/>
      <c r="AQ271" s="437"/>
      <c r="AR271" s="437"/>
      <c r="AS271" s="437"/>
      <c r="AW271" s="418" t="n">
        <v>0.070692941142246</v>
      </c>
      <c r="BB271" s="442" t="n">
        <f aca="false">B271</f>
        <v>44531</v>
      </c>
      <c r="BF271" s="442" t="n">
        <f aca="false">B271</f>
        <v>44531</v>
      </c>
      <c r="BG271" s="418" t="n">
        <v>223</v>
      </c>
    </row>
    <row r="272" customFormat="false" ht="12" hidden="false" customHeight="false" outlineLevel="0" collapsed="false">
      <c r="B272" s="419" t="n">
        <f aca="false">EOMONTH(B271,0)+1</f>
        <v>44562</v>
      </c>
      <c r="C272" s="420" t="n">
        <v>4.3575</v>
      </c>
      <c r="D272" s="420" t="n">
        <v>0.15</v>
      </c>
      <c r="E272" s="420" t="n">
        <v>0.070603396215974</v>
      </c>
      <c r="G272" s="420" t="n">
        <v>-0.0249551</v>
      </c>
      <c r="J272" s="420" t="n">
        <v>0.305</v>
      </c>
      <c r="K272" s="420" t="n">
        <v>0.4375</v>
      </c>
      <c r="N272" s="420" t="n">
        <v>0</v>
      </c>
      <c r="W272" s="418" t="n">
        <v>0</v>
      </c>
      <c r="X272" s="418" t="n">
        <v>1.525</v>
      </c>
      <c r="Z272" s="418" t="n">
        <v>0</v>
      </c>
      <c r="AB272" s="418" t="n">
        <v>0</v>
      </c>
      <c r="AC272" s="418" t="n">
        <v>0.975</v>
      </c>
      <c r="AP272" s="437"/>
      <c r="AQ272" s="437"/>
      <c r="AR272" s="437"/>
      <c r="AS272" s="437"/>
      <c r="AW272" s="418" t="n">
        <v>0.070687156562906</v>
      </c>
      <c r="BB272" s="442" t="n">
        <f aca="false">B272</f>
        <v>44562</v>
      </c>
      <c r="BF272" s="442" t="n">
        <f aca="false">B272</f>
        <v>44562</v>
      </c>
      <c r="BG272" s="418" t="n">
        <v>223</v>
      </c>
    </row>
    <row r="273" customFormat="false" ht="12" hidden="false" customHeight="false" outlineLevel="0" collapsed="false">
      <c r="B273" s="419" t="n">
        <f aca="false">EOMONTH(B272,0)+1</f>
        <v>44593</v>
      </c>
      <c r="C273" s="420" t="n">
        <v>4.2915</v>
      </c>
      <c r="D273" s="420" t="n">
        <v>0.15</v>
      </c>
      <c r="E273" s="420" t="n">
        <v>0.070597342776</v>
      </c>
      <c r="G273" s="420" t="n">
        <v>4.25E-005</v>
      </c>
      <c r="J273" s="420" t="n">
        <v>0.305</v>
      </c>
      <c r="K273" s="420" t="n">
        <v>0.435</v>
      </c>
      <c r="N273" s="420" t="n">
        <v>0</v>
      </c>
      <c r="W273" s="418" t="n">
        <v>0</v>
      </c>
      <c r="X273" s="418" t="n">
        <v>1.455</v>
      </c>
      <c r="Z273" s="418" t="n">
        <v>0</v>
      </c>
      <c r="AB273" s="418" t="n">
        <v>0</v>
      </c>
      <c r="AC273" s="418" t="n">
        <v>0.975</v>
      </c>
      <c r="AP273" s="437"/>
      <c r="AQ273" s="437"/>
      <c r="AR273" s="437"/>
      <c r="AS273" s="437"/>
      <c r="AW273" s="418" t="n">
        <v>0.070681371983577</v>
      </c>
    </row>
    <row r="274" customFormat="false" ht="12" hidden="false" customHeight="false" outlineLevel="0" collapsed="false">
      <c r="B274" s="419" t="n">
        <f aca="false">EOMONTH(B273,0)+1</f>
        <v>44621</v>
      </c>
      <c r="C274" s="420" t="n">
        <v>4.1785</v>
      </c>
      <c r="D274" s="420" t="n">
        <v>0.15</v>
      </c>
      <c r="E274" s="420" t="n">
        <v>0.070591875152798</v>
      </c>
      <c r="G274" s="420" t="n">
        <v>0.0100425</v>
      </c>
      <c r="J274" s="420" t="n">
        <v>0.265</v>
      </c>
      <c r="K274" s="420" t="n">
        <v>0.3025</v>
      </c>
      <c r="N274" s="420" t="n">
        <v>0</v>
      </c>
      <c r="W274" s="418" t="n">
        <v>0</v>
      </c>
      <c r="X274" s="418" t="n">
        <v>0.835</v>
      </c>
      <c r="Z274" s="418" t="n">
        <v>0</v>
      </c>
      <c r="AB274" s="418" t="n">
        <v>0</v>
      </c>
      <c r="AC274" s="418" t="n">
        <v>0.6075</v>
      </c>
      <c r="AP274" s="437"/>
      <c r="AQ274" s="437"/>
      <c r="AR274" s="437"/>
      <c r="AS274" s="437"/>
      <c r="AW274" s="418" t="n">
        <v>0.070676147202257</v>
      </c>
    </row>
    <row r="275" customFormat="false" ht="12" hidden="false" customHeight="false" outlineLevel="0" collapsed="false">
      <c r="B275" s="419" t="n">
        <f aca="false">EOMONTH(B274,0)+1</f>
        <v>44652</v>
      </c>
      <c r="C275" s="420" t="n">
        <v>4.0575</v>
      </c>
      <c r="D275" s="420" t="n">
        <v>0.15</v>
      </c>
      <c r="E275" s="420" t="n">
        <v>0.070585821712841</v>
      </c>
      <c r="G275" s="420" t="n">
        <v>0.0699766</v>
      </c>
      <c r="J275" s="420" t="n">
        <v>0.195</v>
      </c>
      <c r="K275" s="420" t="n">
        <v>0.25</v>
      </c>
      <c r="N275" s="420" t="n">
        <v>0</v>
      </c>
      <c r="W275" s="418" t="n">
        <v>0</v>
      </c>
      <c r="X275" s="418" t="n">
        <v>0.45</v>
      </c>
      <c r="Z275" s="418" t="n">
        <v>0</v>
      </c>
      <c r="AB275" s="418" t="n">
        <v>0</v>
      </c>
      <c r="AC275" s="418" t="n">
        <v>0.355</v>
      </c>
      <c r="AP275" s="437"/>
      <c r="AQ275" s="437"/>
      <c r="AR275" s="437"/>
      <c r="AS275" s="437"/>
      <c r="AW275" s="418" t="n">
        <v>0.070670362622949</v>
      </c>
    </row>
    <row r="276" customFormat="false" ht="12" hidden="false" customHeight="false" outlineLevel="0" collapsed="false">
      <c r="B276" s="419" t="n">
        <f aca="false">EOMONTH(B275,0)+1</f>
        <v>44682</v>
      </c>
      <c r="C276" s="420" t="n">
        <v>4.0645</v>
      </c>
      <c r="D276" s="420" t="n">
        <v>0.15</v>
      </c>
      <c r="E276" s="420" t="n">
        <v>0.070579963545153</v>
      </c>
      <c r="G276" s="420" t="n">
        <v>0.0699681</v>
      </c>
      <c r="J276" s="420" t="n">
        <v>0.1825</v>
      </c>
      <c r="K276" s="420" t="n">
        <v>0.2025</v>
      </c>
      <c r="N276" s="420" t="n">
        <v>0</v>
      </c>
      <c r="W276" s="418" t="n">
        <v>0</v>
      </c>
      <c r="X276" s="418" t="n">
        <v>0.405</v>
      </c>
      <c r="Z276" s="418" t="n">
        <v>0</v>
      </c>
      <c r="AB276" s="418" t="n">
        <v>0</v>
      </c>
      <c r="AC276" s="418" t="n">
        <v>0.2875</v>
      </c>
      <c r="AP276" s="437"/>
      <c r="AQ276" s="437"/>
      <c r="AR276" s="437"/>
      <c r="AS276" s="437"/>
      <c r="AW276" s="418" t="n">
        <v>0.070664764642984</v>
      </c>
    </row>
    <row r="277" customFormat="false" ht="12" hidden="false" customHeight="false" outlineLevel="0" collapsed="false">
      <c r="B277" s="419" t="n">
        <f aca="false">EOMONTH(B276,0)+1</f>
        <v>44713</v>
      </c>
      <c r="C277" s="420" t="n">
        <v>4.1035</v>
      </c>
      <c r="D277" s="420" t="n">
        <v>0.15</v>
      </c>
      <c r="E277" s="420" t="n">
        <v>0.070573910105221</v>
      </c>
      <c r="G277" s="420" t="n">
        <v>0.0699681</v>
      </c>
      <c r="J277" s="420" t="n">
        <v>0.1825</v>
      </c>
      <c r="K277" s="420" t="n">
        <v>0.2025</v>
      </c>
      <c r="N277" s="420" t="n">
        <v>0</v>
      </c>
      <c r="W277" s="418" t="n">
        <v>0</v>
      </c>
      <c r="X277" s="418" t="n">
        <v>0.395</v>
      </c>
      <c r="Z277" s="418" t="n">
        <v>0</v>
      </c>
      <c r="AB277" s="418" t="n">
        <v>0</v>
      </c>
      <c r="AC277" s="418" t="n">
        <v>0.2875</v>
      </c>
      <c r="AP277" s="437"/>
      <c r="AQ277" s="437"/>
      <c r="AR277" s="437"/>
      <c r="AS277" s="437"/>
      <c r="AW277" s="418" t="n">
        <v>0.070658980063698</v>
      </c>
    </row>
    <row r="278" customFormat="false" ht="12" hidden="false" customHeight="false" outlineLevel="0" collapsed="false">
      <c r="B278" s="419" t="n">
        <f aca="false">EOMONTH(B277,0)+1</f>
        <v>44743</v>
      </c>
      <c r="C278" s="420" t="n">
        <v>4.1255</v>
      </c>
      <c r="D278" s="420" t="n">
        <v>0.15</v>
      </c>
      <c r="E278" s="420" t="n">
        <v>0.070568051937555</v>
      </c>
      <c r="G278" s="420" t="n">
        <v>0.0699681</v>
      </c>
      <c r="J278" s="420" t="n">
        <v>0.1825</v>
      </c>
      <c r="K278" s="420" t="n">
        <v>0.215</v>
      </c>
      <c r="N278" s="420" t="n">
        <v>0</v>
      </c>
      <c r="W278" s="418" t="n">
        <v>0</v>
      </c>
      <c r="X278" s="418" t="n">
        <v>0.43</v>
      </c>
      <c r="Z278" s="418" t="n">
        <v>0</v>
      </c>
      <c r="AB278" s="418" t="n">
        <v>0</v>
      </c>
      <c r="AC278" s="418" t="n">
        <v>0.3</v>
      </c>
      <c r="AP278" s="437"/>
      <c r="AQ278" s="437"/>
      <c r="AR278" s="437"/>
      <c r="AS278" s="437"/>
      <c r="AW278" s="418" t="n">
        <v>0.070653382083754</v>
      </c>
    </row>
    <row r="279" customFormat="false" ht="12" hidden="false" customHeight="false" outlineLevel="0" collapsed="false">
      <c r="B279" s="419" t="n">
        <f aca="false">EOMONTH(B278,0)+1</f>
        <v>44774</v>
      </c>
      <c r="C279" s="420" t="n">
        <v>4.1465</v>
      </c>
      <c r="D279" s="420" t="n">
        <v>0.15</v>
      </c>
      <c r="E279" s="420" t="n">
        <v>0.070561998497646</v>
      </c>
      <c r="G279" s="420" t="n">
        <v>0.0699681</v>
      </c>
      <c r="J279" s="420" t="n">
        <v>0.1825</v>
      </c>
      <c r="K279" s="420" t="n">
        <v>0.215</v>
      </c>
      <c r="N279" s="420" t="n">
        <v>0</v>
      </c>
      <c r="W279" s="418" t="n">
        <v>0</v>
      </c>
      <c r="X279" s="418" t="n">
        <v>0.495</v>
      </c>
      <c r="Z279" s="418" t="n">
        <v>0</v>
      </c>
      <c r="AB279" s="418" t="n">
        <v>0</v>
      </c>
      <c r="AC279" s="418" t="n">
        <v>0.3</v>
      </c>
      <c r="AP279" s="437"/>
      <c r="AQ279" s="437"/>
      <c r="AR279" s="437"/>
      <c r="AS279" s="437"/>
      <c r="AW279" s="418" t="n">
        <v>0.070647597504489</v>
      </c>
    </row>
    <row r="280" customFormat="false" ht="12" hidden="false" customHeight="false" outlineLevel="0" collapsed="false">
      <c r="B280" s="419" t="n">
        <f aca="false">EOMONTH(B279,0)+1</f>
        <v>44805</v>
      </c>
      <c r="C280" s="420" t="n">
        <v>4.1105</v>
      </c>
      <c r="D280" s="420" t="n">
        <v>0.15</v>
      </c>
      <c r="E280" s="420" t="n">
        <v>0.07055594505775</v>
      </c>
      <c r="G280" s="420" t="n">
        <v>0.0699681</v>
      </c>
      <c r="J280" s="420" t="n">
        <v>0.1825</v>
      </c>
      <c r="K280" s="420" t="n">
        <v>0.195</v>
      </c>
      <c r="N280" s="420" t="n">
        <v>0</v>
      </c>
      <c r="W280" s="418" t="n">
        <v>0</v>
      </c>
      <c r="X280" s="418" t="n">
        <v>0.395</v>
      </c>
      <c r="Z280" s="418" t="n">
        <v>0</v>
      </c>
      <c r="AB280" s="418" t="n">
        <v>0</v>
      </c>
      <c r="AC280" s="418" t="n">
        <v>0.29</v>
      </c>
      <c r="AP280" s="437"/>
      <c r="AQ280" s="437"/>
      <c r="AR280" s="437"/>
      <c r="AS280" s="437"/>
      <c r="AW280" s="418" t="n">
        <v>0.070641812925236</v>
      </c>
    </row>
    <row r="281" customFormat="false" ht="12" hidden="false" customHeight="false" outlineLevel="0" collapsed="false">
      <c r="B281" s="419" t="n">
        <f aca="false">EOMONTH(B280,0)+1</f>
        <v>44835</v>
      </c>
      <c r="C281" s="420" t="n">
        <v>4.1065</v>
      </c>
      <c r="D281" s="420" t="n">
        <v>0.15</v>
      </c>
      <c r="E281" s="420" t="n">
        <v>0.070550086890119</v>
      </c>
      <c r="G281" s="420" t="n">
        <v>0.0699681</v>
      </c>
      <c r="J281" s="420" t="n">
        <v>0.1875</v>
      </c>
      <c r="K281" s="420" t="n">
        <v>0.215</v>
      </c>
      <c r="N281" s="420" t="n">
        <v>0</v>
      </c>
      <c r="W281" s="418" t="n">
        <v>0</v>
      </c>
      <c r="X281" s="418" t="n">
        <v>0.461</v>
      </c>
      <c r="Z281" s="418" t="n">
        <v>0</v>
      </c>
      <c r="AB281" s="418" t="n">
        <v>0</v>
      </c>
      <c r="AC281" s="418" t="n">
        <v>0.3625</v>
      </c>
      <c r="AP281" s="437"/>
      <c r="AQ281" s="437"/>
      <c r="AR281" s="437"/>
      <c r="AS281" s="437"/>
      <c r="AW281" s="418" t="n">
        <v>0.070636214945324</v>
      </c>
    </row>
    <row r="282" customFormat="false" ht="12" hidden="false" customHeight="false" outlineLevel="0" collapsed="false">
      <c r="B282" s="419" t="n">
        <f aca="false">EOMONTH(B281,0)+1</f>
        <v>44866</v>
      </c>
      <c r="C282" s="420" t="n">
        <v>4.1035</v>
      </c>
      <c r="D282" s="420" t="n">
        <v>0.15</v>
      </c>
      <c r="E282" s="420" t="n">
        <v>0.070544033450247</v>
      </c>
      <c r="G282" s="420" t="n">
        <v>-0.0099887</v>
      </c>
      <c r="J282" s="420" t="n">
        <v>0.27</v>
      </c>
      <c r="K282" s="420" t="n">
        <v>0.2875</v>
      </c>
      <c r="N282" s="420" t="n">
        <v>0</v>
      </c>
      <c r="W282" s="418" t="n">
        <v>0</v>
      </c>
      <c r="X282" s="418" t="n">
        <v>0.7675</v>
      </c>
      <c r="Z282" s="418" t="n">
        <v>0</v>
      </c>
      <c r="AB282" s="418" t="n">
        <v>0</v>
      </c>
      <c r="AC282" s="418" t="n">
        <v>0.465</v>
      </c>
      <c r="AP282" s="437"/>
      <c r="AQ282" s="437"/>
      <c r="AR282" s="437"/>
      <c r="AS282" s="437"/>
      <c r="AW282" s="418" t="n">
        <v>0.070630430366092</v>
      </c>
    </row>
    <row r="283" customFormat="false" ht="12" hidden="false" customHeight="false" outlineLevel="0" collapsed="false">
      <c r="B283" s="419" t="n">
        <f aca="false">EOMONTH(B282,0)+1</f>
        <v>44896</v>
      </c>
      <c r="C283" s="420" t="n">
        <v>4.1325</v>
      </c>
      <c r="D283" s="420" t="n">
        <v>0.15</v>
      </c>
      <c r="E283" s="420" t="n">
        <v>0.07053817528264</v>
      </c>
      <c r="G283" s="420" t="n">
        <v>-0.0249519</v>
      </c>
      <c r="J283" s="420" t="n">
        <v>0.305</v>
      </c>
      <c r="K283" s="420" t="n">
        <v>0.3375</v>
      </c>
      <c r="N283" s="420" t="n">
        <v>0</v>
      </c>
      <c r="W283" s="418" t="n">
        <v>0</v>
      </c>
      <c r="X283" s="418" t="n">
        <v>1.19</v>
      </c>
      <c r="Z283" s="418" t="n">
        <v>0</v>
      </c>
      <c r="AB283" s="418" t="n">
        <v>0</v>
      </c>
      <c r="AC283" s="418" t="n">
        <v>0.8</v>
      </c>
      <c r="AP283" s="437"/>
      <c r="AQ283" s="437"/>
      <c r="AR283" s="437"/>
      <c r="AS283" s="437"/>
      <c r="AW283" s="418" t="n">
        <v>0.0706248323862</v>
      </c>
    </row>
    <row r="284" customFormat="false" ht="12" hidden="false" customHeight="false" outlineLevel="0" collapsed="false">
      <c r="B284" s="419" t="n">
        <f aca="false">EOMONTH(B283,0)+1</f>
        <v>44927</v>
      </c>
      <c r="C284" s="420" t="n">
        <v>4.457</v>
      </c>
      <c r="D284" s="420" t="n">
        <v>0.15</v>
      </c>
      <c r="E284" s="420" t="n">
        <v>0.070532121842791</v>
      </c>
      <c r="G284" s="420" t="n">
        <v>-0.0199551</v>
      </c>
      <c r="J284" s="420" t="n">
        <v>0.305</v>
      </c>
      <c r="K284" s="420" t="n">
        <v>0.4375</v>
      </c>
      <c r="N284" s="420" t="n">
        <v>0</v>
      </c>
      <c r="W284" s="418" t="n">
        <v>0</v>
      </c>
      <c r="X284" s="418" t="n">
        <v>1.525</v>
      </c>
      <c r="Z284" s="418" t="n">
        <v>0</v>
      </c>
      <c r="AB284" s="418" t="n">
        <v>0</v>
      </c>
      <c r="AC284" s="418" t="n">
        <v>0.975</v>
      </c>
      <c r="AP284" s="437"/>
      <c r="AQ284" s="437"/>
      <c r="AR284" s="437"/>
      <c r="AS284" s="437"/>
      <c r="AW284" s="418" t="n">
        <v>0.070619047807</v>
      </c>
    </row>
    <row r="285" customFormat="false" ht="12" hidden="false" customHeight="false" outlineLevel="0" collapsed="false">
      <c r="B285" s="419" t="n">
        <f aca="false">EOMONTH(B284,0)+1</f>
        <v>44958</v>
      </c>
      <c r="C285" s="420" t="n">
        <v>4.395</v>
      </c>
      <c r="D285" s="420" t="n">
        <v>0.15</v>
      </c>
      <c r="E285" s="420" t="n">
        <v>0.070526068402954</v>
      </c>
      <c r="G285" s="420" t="n">
        <v>0.0050425</v>
      </c>
      <c r="J285" s="420" t="n">
        <v>0.305</v>
      </c>
      <c r="K285" s="420" t="n">
        <v>0.435</v>
      </c>
      <c r="N285" s="420" t="n">
        <v>0</v>
      </c>
      <c r="W285" s="418" t="n">
        <v>0</v>
      </c>
      <c r="X285" s="418" t="n">
        <v>1.455</v>
      </c>
      <c r="Z285" s="418" t="n">
        <v>0</v>
      </c>
      <c r="AB285" s="418" t="n">
        <v>0</v>
      </c>
      <c r="AC285" s="418" t="n">
        <v>0.975</v>
      </c>
      <c r="AP285" s="437"/>
      <c r="AQ285" s="437"/>
      <c r="AR285" s="437"/>
      <c r="AS285" s="437"/>
      <c r="AW285" s="418" t="n">
        <v>0.070613263227792</v>
      </c>
    </row>
    <row r="286" customFormat="false" ht="12" hidden="false" customHeight="false" outlineLevel="0" collapsed="false">
      <c r="B286" s="419" t="n">
        <f aca="false">EOMONTH(B285,0)+1</f>
        <v>44986</v>
      </c>
      <c r="C286" s="420" t="n">
        <v>4.285</v>
      </c>
      <c r="D286" s="420" t="n">
        <v>0.15</v>
      </c>
      <c r="E286" s="420" t="n">
        <v>0.070520600779886</v>
      </c>
      <c r="G286" s="420" t="n">
        <v>0.0150425</v>
      </c>
      <c r="J286" s="420" t="n">
        <v>0.265</v>
      </c>
      <c r="K286" s="420" t="n">
        <v>0.3025</v>
      </c>
      <c r="N286" s="420" t="n">
        <v>0</v>
      </c>
      <c r="W286" s="418" t="n">
        <v>0</v>
      </c>
      <c r="X286" s="418" t="n">
        <v>0.835</v>
      </c>
      <c r="Z286" s="418" t="n">
        <v>0</v>
      </c>
      <c r="AB286" s="418" t="n">
        <v>0</v>
      </c>
      <c r="AC286" s="418" t="n">
        <v>0.6075</v>
      </c>
      <c r="AP286" s="437"/>
      <c r="AQ286" s="437"/>
      <c r="AR286" s="437"/>
      <c r="AS286" s="437"/>
      <c r="AW286" s="418" t="n">
        <v>0.070608038446589</v>
      </c>
    </row>
    <row r="287" customFormat="false" ht="12" hidden="false" customHeight="false" outlineLevel="0" collapsed="false">
      <c r="B287" s="419" t="n">
        <f aca="false">EOMONTH(B286,0)+1</f>
        <v>45017</v>
      </c>
      <c r="C287" s="420" t="n">
        <v>4.167</v>
      </c>
      <c r="D287" s="420" t="n">
        <v>0.15</v>
      </c>
      <c r="E287" s="420" t="n">
        <v>0.070514547340072</v>
      </c>
      <c r="G287" s="420" t="n">
        <v>0.0749766</v>
      </c>
      <c r="J287" s="420" t="n">
        <v>0.195</v>
      </c>
      <c r="K287" s="420" t="n">
        <v>0.25</v>
      </c>
      <c r="N287" s="420" t="n">
        <v>0</v>
      </c>
      <c r="W287" s="418" t="n">
        <v>0</v>
      </c>
      <c r="X287" s="418" t="n">
        <v>0.45</v>
      </c>
      <c r="Z287" s="418" t="n">
        <v>0</v>
      </c>
      <c r="AB287" s="418" t="n">
        <v>0</v>
      </c>
      <c r="AC287" s="418" t="n">
        <v>0.355</v>
      </c>
      <c r="AP287" s="437"/>
      <c r="AQ287" s="437"/>
      <c r="AR287" s="437"/>
      <c r="AS287" s="437"/>
      <c r="AW287" s="418" t="n">
        <v>0.070602253867411</v>
      </c>
    </row>
    <row r="288" customFormat="false" ht="12" hidden="false" customHeight="false" outlineLevel="0" collapsed="false">
      <c r="B288" s="419" t="n">
        <f aca="false">EOMONTH(B287,0)+1</f>
        <v>45047</v>
      </c>
      <c r="C288" s="420" t="n">
        <v>4.175</v>
      </c>
      <c r="D288" s="420" t="n">
        <v>0.15</v>
      </c>
      <c r="E288" s="420" t="n">
        <v>0.070508689172521</v>
      </c>
      <c r="G288" s="420" t="n">
        <v>0.0749681</v>
      </c>
      <c r="J288" s="420" t="n">
        <v>0.1825</v>
      </c>
      <c r="K288" s="420" t="n">
        <v>0.2025</v>
      </c>
      <c r="N288" s="420" t="n">
        <v>0</v>
      </c>
      <c r="W288" s="418" t="n">
        <v>0</v>
      </c>
      <c r="X288" s="418" t="n">
        <v>0.405</v>
      </c>
      <c r="Z288" s="418" t="n">
        <v>0</v>
      </c>
      <c r="AB288" s="418" t="n">
        <v>0</v>
      </c>
      <c r="AC288" s="418" t="n">
        <v>0.2875</v>
      </c>
      <c r="AP288" s="437"/>
      <c r="AQ288" s="437"/>
      <c r="AR288" s="437"/>
      <c r="AS288" s="437"/>
      <c r="AW288" s="418" t="n">
        <v>0.070596655887573</v>
      </c>
    </row>
    <row r="289" customFormat="false" ht="12" hidden="false" customHeight="false" outlineLevel="0" collapsed="false">
      <c r="B289" s="419" t="n">
        <f aca="false">EOMONTH(B288,0)+1</f>
        <v>45078</v>
      </c>
      <c r="C289" s="420" t="n">
        <v>4.215</v>
      </c>
      <c r="D289" s="420" t="n">
        <v>0.15</v>
      </c>
      <c r="E289" s="420" t="n">
        <v>0.070502635732732</v>
      </c>
      <c r="G289" s="420" t="n">
        <v>0.0749681</v>
      </c>
      <c r="J289" s="420" t="n">
        <v>0.1825</v>
      </c>
      <c r="K289" s="420" t="n">
        <v>0.2025</v>
      </c>
      <c r="N289" s="420" t="n">
        <v>0</v>
      </c>
      <c r="W289" s="418" t="n">
        <v>0</v>
      </c>
      <c r="X289" s="418" t="n">
        <v>0.395</v>
      </c>
      <c r="Z289" s="418" t="n">
        <v>0</v>
      </c>
      <c r="AB289" s="418" t="n">
        <v>0</v>
      </c>
      <c r="AC289" s="418" t="n">
        <v>0.2875</v>
      </c>
      <c r="AP289" s="437"/>
      <c r="AQ289" s="437"/>
      <c r="AR289" s="437"/>
      <c r="AS289" s="437"/>
      <c r="AW289" s="418" t="n">
        <v>0.070590871308417</v>
      </c>
    </row>
    <row r="290" customFormat="false" ht="12" hidden="false" customHeight="false" outlineLevel="0" collapsed="false">
      <c r="B290" s="419" t="n">
        <f aca="false">EOMONTH(B289,0)+1</f>
        <v>45108</v>
      </c>
      <c r="C290" s="420" t="n">
        <v>4.237</v>
      </c>
      <c r="D290" s="420" t="n">
        <v>0.15</v>
      </c>
      <c r="E290" s="420" t="n">
        <v>0.070496777565205</v>
      </c>
      <c r="G290" s="420" t="n">
        <v>0.0749681</v>
      </c>
      <c r="J290" s="420" t="n">
        <v>0.1825</v>
      </c>
      <c r="K290" s="420" t="n">
        <v>0.215</v>
      </c>
      <c r="N290" s="420" t="n">
        <v>0</v>
      </c>
      <c r="W290" s="418" t="n">
        <v>0</v>
      </c>
      <c r="X290" s="418" t="n">
        <v>0.43</v>
      </c>
      <c r="Z290" s="418" t="n">
        <v>0</v>
      </c>
      <c r="AB290" s="418" t="n">
        <v>0</v>
      </c>
      <c r="AC290" s="418" t="n">
        <v>0.3</v>
      </c>
      <c r="AP290" s="437"/>
      <c r="AQ290" s="437"/>
      <c r="AR290" s="437"/>
      <c r="AS290" s="437"/>
      <c r="AW290" s="418" t="n">
        <v>0.070585273328599</v>
      </c>
    </row>
    <row r="291" customFormat="false" ht="12" hidden="false" customHeight="false" outlineLevel="0" collapsed="false">
      <c r="B291" s="419" t="n">
        <f aca="false">EOMONTH(B290,0)+1</f>
        <v>45139</v>
      </c>
      <c r="C291" s="420" t="n">
        <v>4.258</v>
      </c>
      <c r="D291" s="420" t="n">
        <v>0.15</v>
      </c>
      <c r="E291" s="420" t="n">
        <v>0.070490724125438</v>
      </c>
      <c r="G291" s="420" t="n">
        <v>0.0749681</v>
      </c>
      <c r="J291" s="420" t="n">
        <v>0.1825</v>
      </c>
      <c r="K291" s="420" t="n">
        <v>0.215</v>
      </c>
      <c r="N291" s="420" t="n">
        <v>0</v>
      </c>
      <c r="W291" s="418" t="n">
        <v>0</v>
      </c>
      <c r="X291" s="418" t="n">
        <v>0.495</v>
      </c>
      <c r="Z291" s="418" t="n">
        <v>0</v>
      </c>
      <c r="AB291" s="418" t="n">
        <v>0</v>
      </c>
      <c r="AC291" s="418" t="n">
        <v>0.3</v>
      </c>
      <c r="AP291" s="437"/>
      <c r="AQ291" s="437"/>
      <c r="AR291" s="437"/>
      <c r="AS291" s="437"/>
      <c r="AW291" s="418" t="n">
        <v>0.070579488749465</v>
      </c>
    </row>
    <row r="292" customFormat="false" ht="12" hidden="false" customHeight="false" outlineLevel="0" collapsed="false">
      <c r="B292" s="419" t="n">
        <f aca="false">EOMONTH(B291,0)+1</f>
        <v>45170</v>
      </c>
      <c r="C292" s="420" t="n">
        <v>4.221</v>
      </c>
      <c r="E292" s="420" t="n">
        <v>0.070484670685684</v>
      </c>
      <c r="G292" s="420" t="n">
        <v>0.0749681</v>
      </c>
      <c r="J292" s="420" t="n">
        <v>0.1825</v>
      </c>
      <c r="K292" s="420" t="n">
        <v>0.195</v>
      </c>
      <c r="N292" s="420" t="n">
        <v>0</v>
      </c>
      <c r="W292" s="418" t="n">
        <v>0</v>
      </c>
      <c r="X292" s="418" t="n">
        <v>0.395</v>
      </c>
      <c r="Z292" s="418" t="n">
        <v>0</v>
      </c>
      <c r="AB292" s="418" t="n">
        <v>0</v>
      </c>
      <c r="AC292" s="418" t="n">
        <v>0.29</v>
      </c>
      <c r="AP292" s="437"/>
      <c r="AQ292" s="437"/>
      <c r="AR292" s="437"/>
      <c r="AS292" s="437"/>
      <c r="AW292" s="418" t="n">
        <v>0.070573704170342</v>
      </c>
    </row>
    <row r="293" customFormat="false" ht="12" hidden="false" customHeight="false" outlineLevel="0" collapsed="false">
      <c r="B293" s="419" t="n">
        <f aca="false">EOMONTH(B292,0)+1</f>
        <v>45200</v>
      </c>
      <c r="C293" s="420" t="n">
        <v>4.216</v>
      </c>
      <c r="E293" s="420" t="n">
        <v>0.070478812518192</v>
      </c>
      <c r="G293" s="420" t="n">
        <v>0.0749681</v>
      </c>
      <c r="J293" s="420" t="n">
        <v>0.1875</v>
      </c>
      <c r="K293" s="420" t="n">
        <v>0.215</v>
      </c>
      <c r="N293" s="420" t="n">
        <v>0</v>
      </c>
      <c r="W293" s="418" t="n">
        <v>0</v>
      </c>
      <c r="X293" s="418" t="n">
        <v>0.461</v>
      </c>
      <c r="Z293" s="418" t="n">
        <v>0</v>
      </c>
      <c r="AB293" s="418" t="n">
        <v>0</v>
      </c>
      <c r="AC293" s="418" t="n">
        <v>0.3625</v>
      </c>
      <c r="AP293" s="437"/>
      <c r="AQ293" s="437"/>
      <c r="AR293" s="437"/>
      <c r="AS293" s="437"/>
      <c r="AW293" s="418" t="n">
        <v>0.070568106190555</v>
      </c>
    </row>
    <row r="294" customFormat="false" ht="12" hidden="false" customHeight="false" outlineLevel="0" collapsed="false">
      <c r="B294" s="419" t="n">
        <f aca="false">EOMONTH(B293,0)+1</f>
        <v>45231</v>
      </c>
      <c r="C294" s="420" t="n">
        <v>4.208</v>
      </c>
      <c r="E294" s="420" t="n">
        <v>0.070472759078462</v>
      </c>
      <c r="G294" s="420" t="n">
        <v>-0.0049887</v>
      </c>
      <c r="J294" s="420" t="n">
        <v>0.27</v>
      </c>
      <c r="K294" s="420" t="n">
        <v>0.2875</v>
      </c>
      <c r="N294" s="420" t="n">
        <v>0</v>
      </c>
      <c r="W294" s="418" t="n">
        <v>0</v>
      </c>
      <c r="X294" s="418" t="n">
        <v>0.7675</v>
      </c>
      <c r="Z294" s="418" t="n">
        <v>0</v>
      </c>
      <c r="AB294" s="418" t="n">
        <v>0</v>
      </c>
      <c r="AC294" s="418" t="n">
        <v>0.465</v>
      </c>
      <c r="AP294" s="437"/>
      <c r="AQ294" s="437"/>
      <c r="AR294" s="437"/>
      <c r="AS294" s="437"/>
      <c r="AW294" s="418" t="n">
        <v>0.070562321611454</v>
      </c>
    </row>
    <row r="295" customFormat="false" ht="12" hidden="false" customHeight="false" outlineLevel="0" collapsed="false">
      <c r="B295" s="419" t="n">
        <f aca="false">EOMONTH(B294,0)+1</f>
        <v>45261</v>
      </c>
      <c r="C295" s="420" t="n">
        <v>4.234</v>
      </c>
      <c r="E295" s="420" t="n">
        <v>0.070466900911</v>
      </c>
      <c r="G295" s="420" t="n">
        <v>-0.0199519</v>
      </c>
      <c r="J295" s="420" t="n">
        <v>0.305</v>
      </c>
      <c r="K295" s="420" t="n">
        <v>0.3375</v>
      </c>
      <c r="N295" s="420" t="n">
        <v>0</v>
      </c>
      <c r="W295" s="418" t="n">
        <v>0</v>
      </c>
      <c r="X295" s="418" t="n">
        <v>1.19</v>
      </c>
      <c r="Z295" s="418" t="n">
        <v>0</v>
      </c>
      <c r="AB295" s="418" t="n">
        <v>0</v>
      </c>
      <c r="AC295" s="418" t="n">
        <v>0.8</v>
      </c>
      <c r="AP295" s="437"/>
      <c r="AQ295" s="437"/>
      <c r="AR295" s="437"/>
      <c r="AS295" s="437"/>
      <c r="AW295" s="418" t="n">
        <v>0.070556723631689</v>
      </c>
    </row>
    <row r="296" customFormat="false" ht="12" hidden="false" customHeight="false" outlineLevel="0" collapsed="false">
      <c r="B296" s="419" t="n">
        <f aca="false">EOMONTH(B295,0)+1</f>
        <v>45292</v>
      </c>
      <c r="E296" s="420" t="n">
        <v>0.070460847471287</v>
      </c>
      <c r="G296" s="420" t="n">
        <v>-0.0149551</v>
      </c>
      <c r="J296" s="420" t="n">
        <v>0.305</v>
      </c>
      <c r="K296" s="420" t="n">
        <v>0.4375</v>
      </c>
      <c r="N296" s="420" t="n">
        <v>0</v>
      </c>
      <c r="W296" s="418" t="n">
        <v>0</v>
      </c>
      <c r="X296" s="418" t="n">
        <v>1.525</v>
      </c>
      <c r="Z296" s="418" t="n">
        <v>0</v>
      </c>
      <c r="AB296" s="418" t="n">
        <v>0</v>
      </c>
      <c r="AC296" s="418" t="n">
        <v>0.975</v>
      </c>
      <c r="AP296" s="437"/>
      <c r="AQ296" s="437"/>
      <c r="AR296" s="437"/>
      <c r="AS296" s="437"/>
      <c r="AW296" s="418" t="n">
        <v>0.070550939052609</v>
      </c>
    </row>
    <row r="297" customFormat="false" ht="12" hidden="false" customHeight="false" outlineLevel="0" collapsed="false">
      <c r="B297" s="419" t="n">
        <f aca="false">EOMONTH(B296,0)+1</f>
        <v>45323</v>
      </c>
      <c r="E297" s="420" t="n">
        <v>0.070454794031592</v>
      </c>
      <c r="G297" s="420" t="n">
        <v>0.0100425</v>
      </c>
      <c r="J297" s="420" t="n">
        <v>0.305</v>
      </c>
      <c r="K297" s="420" t="n">
        <v>0.435</v>
      </c>
      <c r="N297" s="420" t="n">
        <v>0</v>
      </c>
      <c r="W297" s="418" t="n">
        <v>0</v>
      </c>
      <c r="X297" s="418" t="n">
        <v>1.455</v>
      </c>
      <c r="Z297" s="418" t="n">
        <v>0</v>
      </c>
      <c r="AB297" s="418" t="n">
        <v>0</v>
      </c>
      <c r="AC297" s="418" t="n">
        <v>0.975</v>
      </c>
      <c r="AP297" s="437"/>
      <c r="AQ297" s="437"/>
      <c r="AR297" s="437"/>
      <c r="AS297" s="437"/>
      <c r="AW297" s="418" t="n">
        <v>0.070545154473541</v>
      </c>
    </row>
    <row r="298" customFormat="false" ht="12" hidden="false" customHeight="false" outlineLevel="0" collapsed="false">
      <c r="B298" s="419" t="n">
        <f aca="false">EOMONTH(B297,0)+1</f>
        <v>45352</v>
      </c>
      <c r="E298" s="420" t="n">
        <v>0.070449131136405</v>
      </c>
      <c r="G298" s="420" t="n">
        <v>0.0200425</v>
      </c>
      <c r="J298" s="420" t="n">
        <v>0.265</v>
      </c>
      <c r="K298" s="420" t="n">
        <v>0.3025</v>
      </c>
      <c r="N298" s="420" t="n">
        <v>0</v>
      </c>
      <c r="W298" s="418" t="n">
        <v>0</v>
      </c>
      <c r="X298" s="418" t="n">
        <v>0.835</v>
      </c>
      <c r="Z298" s="418" t="n">
        <v>0</v>
      </c>
      <c r="AB298" s="418" t="n">
        <v>0</v>
      </c>
      <c r="AC298" s="418" t="n">
        <v>0.6075</v>
      </c>
      <c r="AP298" s="437"/>
      <c r="AQ298" s="437"/>
      <c r="AR298" s="437"/>
      <c r="AS298" s="437"/>
      <c r="AW298" s="418" t="n">
        <v>0.070539743093132</v>
      </c>
    </row>
    <row r="299" customFormat="false" ht="12" hidden="false" customHeight="false" outlineLevel="0" collapsed="false">
      <c r="B299" s="419" t="n">
        <f aca="false">EOMONTH(B298,0)+1</f>
        <v>45383</v>
      </c>
      <c r="E299" s="420" t="n">
        <v>0.070443077696734</v>
      </c>
      <c r="G299" s="420" t="n">
        <v>0.0799766</v>
      </c>
      <c r="J299" s="420" t="n">
        <v>0.195</v>
      </c>
      <c r="K299" s="420" t="n">
        <v>0.25</v>
      </c>
      <c r="N299" s="420" t="n">
        <v>0</v>
      </c>
      <c r="W299" s="418" t="n">
        <v>0</v>
      </c>
      <c r="X299" s="418" t="n">
        <v>0.45</v>
      </c>
      <c r="Z299" s="418" t="n">
        <v>0</v>
      </c>
      <c r="AB299" s="418" t="n">
        <v>0</v>
      </c>
      <c r="AC299" s="418" t="n">
        <v>0.355</v>
      </c>
      <c r="AP299" s="437"/>
      <c r="AQ299" s="437"/>
      <c r="AR299" s="437"/>
      <c r="AS299" s="437"/>
      <c r="AW299" s="418" t="n">
        <v>0.070533958514084</v>
      </c>
    </row>
    <row r="300" customFormat="false" ht="12" hidden="false" customHeight="false" outlineLevel="0" collapsed="false">
      <c r="B300" s="419" t="n">
        <f aca="false">EOMONTH(B299,0)+1</f>
        <v>45413</v>
      </c>
      <c r="E300" s="420" t="n">
        <v>0.070437219529323</v>
      </c>
      <c r="G300" s="420" t="n">
        <v>0.0799681</v>
      </c>
      <c r="J300" s="420" t="n">
        <v>0.1825</v>
      </c>
      <c r="K300" s="420" t="n">
        <v>0.2025</v>
      </c>
      <c r="N300" s="420" t="n">
        <v>0</v>
      </c>
      <c r="W300" s="418" t="n">
        <v>0</v>
      </c>
      <c r="X300" s="418" t="n">
        <v>0.405</v>
      </c>
      <c r="Z300" s="418" t="n">
        <v>0</v>
      </c>
      <c r="AB300" s="418" t="n">
        <v>0</v>
      </c>
      <c r="AC300" s="418" t="n">
        <v>0.2875</v>
      </c>
      <c r="AP300" s="437"/>
      <c r="AQ300" s="437"/>
      <c r="AR300" s="437"/>
      <c r="AS300" s="437"/>
      <c r="AW300" s="418" t="n">
        <v>0.070528360534372</v>
      </c>
    </row>
    <row r="301" customFormat="false" ht="12" hidden="false" customHeight="false" outlineLevel="0" collapsed="false">
      <c r="B301" s="419" t="n">
        <f aca="false">EOMONTH(B300,0)+1</f>
        <v>45444</v>
      </c>
      <c r="E301" s="420" t="n">
        <v>0.070431166089675</v>
      </c>
      <c r="G301" s="420" t="n">
        <v>0.0799681</v>
      </c>
      <c r="J301" s="420" t="n">
        <v>0.1825</v>
      </c>
      <c r="K301" s="420" t="n">
        <v>0.2025</v>
      </c>
      <c r="N301" s="420" t="n">
        <v>0</v>
      </c>
      <c r="W301" s="418" t="n">
        <v>0</v>
      </c>
      <c r="X301" s="418" t="n">
        <v>0.395</v>
      </c>
      <c r="Z301" s="418" t="n">
        <v>0</v>
      </c>
      <c r="AB301" s="418" t="n">
        <v>0</v>
      </c>
      <c r="AC301" s="418" t="n">
        <v>0.2875</v>
      </c>
      <c r="AP301" s="437"/>
      <c r="AQ301" s="437"/>
      <c r="AR301" s="437"/>
      <c r="AS301" s="437"/>
      <c r="AW301" s="418" t="n">
        <v>0.070522575955346</v>
      </c>
    </row>
    <row r="302" customFormat="false" ht="12" hidden="false" customHeight="false" outlineLevel="0" collapsed="false">
      <c r="B302" s="419" t="n">
        <f aca="false">EOMONTH(B301,0)+1</f>
        <v>45474</v>
      </c>
      <c r="E302" s="420" t="n">
        <v>0.070425307922287</v>
      </c>
      <c r="G302" s="420" t="n">
        <v>0.0799681</v>
      </c>
      <c r="J302" s="420" t="n">
        <v>0.1825</v>
      </c>
      <c r="K302" s="420" t="n">
        <v>0.215</v>
      </c>
      <c r="N302" s="420" t="n">
        <v>0</v>
      </c>
      <c r="W302" s="418" t="n">
        <v>0</v>
      </c>
      <c r="X302" s="418" t="n">
        <v>0.43</v>
      </c>
      <c r="Z302" s="418" t="n">
        <v>0</v>
      </c>
      <c r="AB302" s="418" t="n">
        <v>0</v>
      </c>
      <c r="AC302" s="418" t="n">
        <v>0.3</v>
      </c>
      <c r="AP302" s="437"/>
      <c r="AQ302" s="437"/>
      <c r="AR302" s="437"/>
      <c r="AS302" s="437"/>
      <c r="AW302" s="418" t="n">
        <v>0.070516977975655</v>
      </c>
    </row>
    <row r="303" customFormat="false" ht="12" hidden="false" customHeight="false" outlineLevel="0" collapsed="false">
      <c r="B303" s="419" t="n">
        <f aca="false">EOMONTH(B302,0)+1</f>
        <v>45505</v>
      </c>
      <c r="E303" s="420" t="n">
        <v>0.070419254482664</v>
      </c>
      <c r="G303" s="420" t="n">
        <v>0.0799681</v>
      </c>
      <c r="J303" s="420" t="n">
        <v>0.1825</v>
      </c>
      <c r="K303" s="420" t="n">
        <v>0.215</v>
      </c>
      <c r="N303" s="420" t="n">
        <v>0</v>
      </c>
      <c r="W303" s="418" t="n">
        <v>0</v>
      </c>
      <c r="X303" s="418" t="n">
        <v>0.495</v>
      </c>
      <c r="Z303" s="418" t="n">
        <v>0</v>
      </c>
      <c r="AB303" s="418" t="n">
        <v>0</v>
      </c>
      <c r="AC303" s="418" t="n">
        <v>0.3</v>
      </c>
      <c r="AP303" s="437"/>
      <c r="AQ303" s="437"/>
      <c r="AR303" s="437"/>
      <c r="AS303" s="437"/>
      <c r="AW303" s="418" t="n">
        <v>0.070511193396651</v>
      </c>
    </row>
    <row r="304" customFormat="false" ht="12" hidden="false" customHeight="false" outlineLevel="0" collapsed="false">
      <c r="B304" s="419" t="n">
        <f aca="false">EOMONTH(B303,0)+1</f>
        <v>45536</v>
      </c>
      <c r="E304" s="420" t="n">
        <v>0.070413201043053</v>
      </c>
      <c r="G304" s="420" t="n">
        <v>0.0799681</v>
      </c>
      <c r="J304" s="420" t="n">
        <v>0.1825</v>
      </c>
      <c r="K304" s="420" t="n">
        <v>0.195</v>
      </c>
      <c r="N304" s="420" t="n">
        <v>0</v>
      </c>
      <c r="W304" s="418" t="n">
        <v>0</v>
      </c>
      <c r="X304" s="418" t="n">
        <v>0.395</v>
      </c>
      <c r="Z304" s="418" t="n">
        <v>0</v>
      </c>
      <c r="AB304" s="418" t="n">
        <v>0</v>
      </c>
      <c r="AC304" s="418" t="n">
        <v>0.29</v>
      </c>
      <c r="AP304" s="437"/>
      <c r="AQ304" s="437"/>
      <c r="AR304" s="437"/>
      <c r="AS304" s="437"/>
      <c r="AW304" s="418" t="n">
        <v>0.070505408817659</v>
      </c>
    </row>
    <row r="305" customFormat="false" ht="12" hidden="false" customHeight="false" outlineLevel="0" collapsed="false">
      <c r="B305" s="419" t="n">
        <f aca="false">EOMONTH(B304,0)+1</f>
        <v>45566</v>
      </c>
      <c r="E305" s="420" t="n">
        <v>0.070407342875699</v>
      </c>
      <c r="G305" s="420" t="n">
        <v>0.0799681</v>
      </c>
      <c r="J305" s="420" t="n">
        <v>0.1875</v>
      </c>
      <c r="K305" s="420" t="n">
        <v>0.215</v>
      </c>
      <c r="N305" s="420" t="n">
        <v>0</v>
      </c>
      <c r="W305" s="418" t="n">
        <v>0</v>
      </c>
      <c r="X305" s="418" t="n">
        <v>0.461</v>
      </c>
      <c r="Z305" s="418" t="n">
        <v>0</v>
      </c>
      <c r="AB305" s="418" t="n">
        <v>0</v>
      </c>
      <c r="AC305" s="418" t="n">
        <v>0.3625</v>
      </c>
      <c r="AP305" s="437"/>
      <c r="AQ305" s="437"/>
      <c r="AR305" s="437"/>
      <c r="AS305" s="437"/>
      <c r="AW305" s="418" t="n">
        <v>0.070499810838</v>
      </c>
    </row>
    <row r="306" customFormat="false" ht="12" hidden="false" customHeight="false" outlineLevel="0" collapsed="false">
      <c r="B306" s="419" t="n">
        <f aca="false">EOMONTH(B305,0)+1</f>
        <v>45597</v>
      </c>
      <c r="E306" s="420" t="n">
        <v>0.070401289436112</v>
      </c>
      <c r="G306" s="420" t="n">
        <v>1.12E-005</v>
      </c>
      <c r="J306" s="420" t="n">
        <v>0.27</v>
      </c>
      <c r="K306" s="420" t="n">
        <v>0.2875</v>
      </c>
      <c r="N306" s="420" t="n">
        <v>0</v>
      </c>
      <c r="W306" s="418" t="n">
        <v>0</v>
      </c>
      <c r="X306" s="418" t="n">
        <v>0.7675</v>
      </c>
      <c r="Z306" s="418" t="n">
        <v>0</v>
      </c>
      <c r="AB306" s="418" t="n">
        <v>0</v>
      </c>
      <c r="AC306" s="418" t="n">
        <v>0.465</v>
      </c>
      <c r="AP306" s="437"/>
      <c r="AQ306" s="437"/>
      <c r="AR306" s="437"/>
      <c r="AS306" s="437"/>
      <c r="AW306" s="418" t="n">
        <v>0.070494026259028</v>
      </c>
    </row>
    <row r="307" customFormat="false" ht="12" hidden="false" customHeight="false" outlineLevel="0" collapsed="false">
      <c r="B307" s="419" t="n">
        <f aca="false">EOMONTH(B306,0)+1</f>
        <v>45627</v>
      </c>
      <c r="E307" s="420" t="n">
        <v>0.070395431268781</v>
      </c>
      <c r="G307" s="420" t="n">
        <v>-0.0149519</v>
      </c>
      <c r="J307" s="420" t="n">
        <v>0.305</v>
      </c>
      <c r="K307" s="420" t="n">
        <v>0.3375</v>
      </c>
      <c r="N307" s="420" t="n">
        <v>0</v>
      </c>
      <c r="W307" s="418" t="n">
        <v>0</v>
      </c>
      <c r="X307" s="418" t="n">
        <v>1.19</v>
      </c>
      <c r="Z307" s="418" t="n">
        <v>0</v>
      </c>
      <c r="AB307" s="418" t="n">
        <v>0</v>
      </c>
      <c r="AC307" s="418" t="n">
        <v>0.8</v>
      </c>
      <c r="AP307" s="437"/>
      <c r="AQ307" s="437"/>
      <c r="AR307" s="437"/>
      <c r="AS307" s="437"/>
      <c r="AW307" s="418" t="n">
        <v>0.070488428279389</v>
      </c>
    </row>
    <row r="308" customFormat="false" ht="12" hidden="false" customHeight="false" outlineLevel="0" collapsed="false">
      <c r="B308" s="419" t="n">
        <f aca="false">EOMONTH(B307,0)+1</f>
        <v>45658</v>
      </c>
      <c r="E308" s="420" t="n">
        <v>0.070389377829218</v>
      </c>
      <c r="G308" s="420" t="n">
        <v>-0.0099551</v>
      </c>
      <c r="J308" s="420" t="n">
        <v>0.305</v>
      </c>
      <c r="K308" s="420" t="n">
        <v>0.4375</v>
      </c>
      <c r="N308" s="420" t="n">
        <v>0</v>
      </c>
      <c r="W308" s="418" t="n">
        <v>0</v>
      </c>
      <c r="X308" s="418" t="n">
        <v>1.525</v>
      </c>
      <c r="Z308" s="418" t="n">
        <v>0</v>
      </c>
      <c r="AB308" s="418" t="n">
        <v>0</v>
      </c>
      <c r="AC308" s="418" t="n">
        <v>0.975</v>
      </c>
      <c r="AP308" s="437"/>
      <c r="AQ308" s="437"/>
      <c r="AR308" s="437"/>
      <c r="AS308" s="437"/>
      <c r="AW308" s="418" t="n">
        <v>0.07048264370044</v>
      </c>
    </row>
    <row r="309" customFormat="false" ht="12" hidden="false" customHeight="false" outlineLevel="0" collapsed="false">
      <c r="B309" s="419" t="n">
        <f aca="false">EOMONTH(B308,0)+1</f>
        <v>45689</v>
      </c>
      <c r="E309" s="420" t="n">
        <v>0.070383324389666</v>
      </c>
      <c r="G309" s="420" t="n">
        <v>0.0150425</v>
      </c>
      <c r="J309" s="420" t="n">
        <v>0.305</v>
      </c>
      <c r="K309" s="420" t="n">
        <v>0.435</v>
      </c>
      <c r="N309" s="420" t="n">
        <v>0</v>
      </c>
      <c r="W309" s="418" t="n">
        <v>0</v>
      </c>
      <c r="X309" s="418" t="n">
        <v>1.455</v>
      </c>
      <c r="Z309" s="418" t="n">
        <v>0</v>
      </c>
      <c r="AB309" s="418" t="n">
        <v>0</v>
      </c>
      <c r="AC309" s="418" t="n">
        <v>0.975</v>
      </c>
      <c r="AP309" s="437"/>
      <c r="AQ309" s="437"/>
      <c r="AR309" s="437"/>
      <c r="AS309" s="437"/>
      <c r="AW309" s="418" t="n">
        <v>0.070476859121502</v>
      </c>
    </row>
    <row r="310" customFormat="false" ht="12" hidden="false" customHeight="false" outlineLevel="0" collapsed="false">
      <c r="B310" s="419" t="n">
        <f aca="false">EOMONTH(B309,0)+1</f>
        <v>45717</v>
      </c>
      <c r="E310" s="420" t="n">
        <v>0.070377856766856</v>
      </c>
      <c r="G310" s="420" t="n">
        <v>0.0250425</v>
      </c>
      <c r="J310" s="420" t="n">
        <v>0.265</v>
      </c>
      <c r="K310" s="420" t="n">
        <v>0.3025</v>
      </c>
      <c r="N310" s="420" t="n">
        <v>0</v>
      </c>
      <c r="W310" s="418" t="n">
        <v>0</v>
      </c>
      <c r="X310" s="418" t="n">
        <v>0.835</v>
      </c>
      <c r="Z310" s="418" t="n">
        <v>0</v>
      </c>
      <c r="AB310" s="418" t="n">
        <v>0</v>
      </c>
      <c r="AC310" s="418" t="n">
        <v>0.6075</v>
      </c>
      <c r="AP310" s="437"/>
      <c r="AQ310" s="437"/>
      <c r="AR310" s="437"/>
      <c r="AS310" s="437"/>
      <c r="AW310" s="418" t="n">
        <v>0.070471634340535</v>
      </c>
    </row>
    <row r="311" customFormat="false" ht="12" hidden="false" customHeight="false" outlineLevel="0" collapsed="false">
      <c r="B311" s="419" t="n">
        <f aca="false">EOMONTH(B310,0)+1</f>
        <v>45748</v>
      </c>
      <c r="E311" s="420" t="n">
        <v>0.070371803327328</v>
      </c>
      <c r="G311" s="420" t="n">
        <v>0.0849766</v>
      </c>
      <c r="J311" s="420" t="n">
        <v>0.195</v>
      </c>
      <c r="K311" s="420" t="n">
        <v>0.25</v>
      </c>
      <c r="N311" s="420" t="n">
        <v>0</v>
      </c>
      <c r="W311" s="418" t="n">
        <v>0</v>
      </c>
      <c r="X311" s="418" t="n">
        <v>0.45</v>
      </c>
      <c r="Z311" s="418" t="n">
        <v>0</v>
      </c>
      <c r="AB311" s="418" t="n">
        <v>0</v>
      </c>
      <c r="AC311" s="418" t="n">
        <v>0.355</v>
      </c>
      <c r="AP311" s="437"/>
      <c r="AQ311" s="437"/>
      <c r="AR311" s="437"/>
      <c r="AS311" s="437"/>
      <c r="AW311" s="418" t="n">
        <v>0.070465849761619</v>
      </c>
    </row>
    <row r="312" customFormat="false" ht="12" hidden="false" customHeight="false" outlineLevel="0" collapsed="false">
      <c r="E312" s="420" t="n">
        <v>0.070365945160054</v>
      </c>
      <c r="G312" s="420" t="n">
        <v>0.0849681</v>
      </c>
      <c r="J312" s="420" t="n">
        <v>0.1825</v>
      </c>
      <c r="K312" s="420" t="n">
        <v>0.2025</v>
      </c>
      <c r="N312" s="420" t="n">
        <v>0</v>
      </c>
      <c r="W312" s="418" t="n">
        <v>0</v>
      </c>
      <c r="X312" s="418" t="n">
        <v>0.405</v>
      </c>
      <c r="Z312" s="418" t="n">
        <v>0</v>
      </c>
      <c r="AB312" s="418" t="n">
        <v>0</v>
      </c>
      <c r="AC312" s="418" t="n">
        <v>0.2875</v>
      </c>
      <c r="AP312" s="437"/>
      <c r="AQ312" s="437"/>
      <c r="AR312" s="437"/>
      <c r="AS312" s="437"/>
      <c r="AW312" s="418" t="n">
        <v>0.070460251782032</v>
      </c>
    </row>
    <row r="313" customFormat="false" ht="12" hidden="false" customHeight="false" outlineLevel="0" collapsed="false">
      <c r="E313" s="420" t="n">
        <v>0.07035989172055</v>
      </c>
      <c r="G313" s="420" t="n">
        <v>0.0849681</v>
      </c>
      <c r="J313" s="420" t="n">
        <v>0.1825</v>
      </c>
      <c r="K313" s="420" t="n">
        <v>0.2025</v>
      </c>
      <c r="N313" s="420" t="n">
        <v>0</v>
      </c>
      <c r="W313" s="418" t="n">
        <v>0</v>
      </c>
      <c r="X313" s="418" t="n">
        <v>0.395</v>
      </c>
      <c r="Z313" s="418" t="n">
        <v>0</v>
      </c>
      <c r="AB313" s="418" t="n">
        <v>0</v>
      </c>
      <c r="AC313" s="418" t="n">
        <v>0.2875</v>
      </c>
      <c r="AP313" s="437"/>
      <c r="AQ313" s="437"/>
      <c r="AR313" s="437"/>
      <c r="AS313" s="437"/>
      <c r="AW313" s="418" t="n">
        <v>0.070454467203136</v>
      </c>
    </row>
    <row r="314" customFormat="false" ht="12" hidden="false" customHeight="false" outlineLevel="0" collapsed="false">
      <c r="E314" s="420" t="n">
        <v>0.070354033553299</v>
      </c>
      <c r="G314" s="420" t="n">
        <v>0.0849681</v>
      </c>
      <c r="J314" s="420" t="n">
        <v>0.1825</v>
      </c>
      <c r="K314" s="420" t="n">
        <v>0.215</v>
      </c>
      <c r="N314" s="420" t="n">
        <v>0</v>
      </c>
      <c r="W314" s="418" t="n">
        <v>0</v>
      </c>
      <c r="X314" s="418" t="n">
        <v>0.43</v>
      </c>
      <c r="Z314" s="418" t="n">
        <v>0</v>
      </c>
      <c r="AB314" s="418" t="n">
        <v>0</v>
      </c>
      <c r="AC314" s="418" t="n">
        <v>0.3</v>
      </c>
      <c r="AP314" s="437"/>
      <c r="AQ314" s="437"/>
      <c r="AR314" s="437"/>
      <c r="AS314" s="437"/>
      <c r="AW314" s="418" t="n">
        <v>0.070448869223571</v>
      </c>
    </row>
    <row r="315" customFormat="false" ht="12" hidden="false" customHeight="false" outlineLevel="0" collapsed="false">
      <c r="E315" s="420" t="n">
        <v>0.070347980113819</v>
      </c>
      <c r="G315" s="420" t="n">
        <v>0.0849681</v>
      </c>
      <c r="J315" s="420" t="n">
        <v>0.1825</v>
      </c>
      <c r="K315" s="420" t="n">
        <v>0.215</v>
      </c>
      <c r="N315" s="420" t="n">
        <v>0</v>
      </c>
      <c r="W315" s="418" t="n">
        <v>0</v>
      </c>
      <c r="X315" s="418" t="n">
        <v>0.495</v>
      </c>
      <c r="Z315" s="418" t="n">
        <v>0</v>
      </c>
      <c r="AB315" s="418" t="n">
        <v>0</v>
      </c>
      <c r="AC315" s="418" t="n">
        <v>0.3</v>
      </c>
      <c r="AP315" s="437"/>
      <c r="AQ315" s="437"/>
      <c r="AR315" s="437"/>
      <c r="AS315" s="437"/>
      <c r="AW315" s="418" t="n">
        <v>0.070443084644698</v>
      </c>
    </row>
    <row r="316" customFormat="false" ht="12" hidden="false" customHeight="false" outlineLevel="0" collapsed="false">
      <c r="E316" s="420" t="n">
        <v>0.070341926674351</v>
      </c>
      <c r="G316" s="420" t="n">
        <v>0.0849681</v>
      </c>
      <c r="J316" s="420" t="n">
        <v>0.1825</v>
      </c>
      <c r="K316" s="420" t="n">
        <v>0.195</v>
      </c>
      <c r="N316" s="420" t="n">
        <v>0</v>
      </c>
      <c r="W316" s="418" t="n">
        <v>0</v>
      </c>
      <c r="X316" s="418" t="n">
        <v>0.395</v>
      </c>
      <c r="Z316" s="418" t="n">
        <v>0</v>
      </c>
      <c r="AB316" s="418" t="n">
        <v>0</v>
      </c>
      <c r="AC316" s="418" t="n">
        <v>0.29</v>
      </c>
      <c r="AP316" s="437"/>
      <c r="AQ316" s="437"/>
      <c r="AR316" s="437"/>
      <c r="AS316" s="437"/>
      <c r="AW316" s="418" t="n">
        <v>0.070437300065835</v>
      </c>
    </row>
    <row r="317" customFormat="false" ht="12" hidden="false" customHeight="false" outlineLevel="0" collapsed="false">
      <c r="E317" s="420" t="n">
        <v>0.070336068507135</v>
      </c>
      <c r="G317" s="420" t="n">
        <v>0.0849681</v>
      </c>
      <c r="J317" s="420" t="n">
        <v>0.1875</v>
      </c>
      <c r="K317" s="420" t="n">
        <v>0.215</v>
      </c>
      <c r="N317" s="420" t="n">
        <v>0</v>
      </c>
      <c r="W317" s="418" t="n">
        <v>0</v>
      </c>
      <c r="X317" s="418" t="n">
        <v>0.461</v>
      </c>
      <c r="Z317" s="418" t="n">
        <v>0</v>
      </c>
      <c r="AB317" s="418" t="n">
        <v>0</v>
      </c>
      <c r="AC317" s="418" t="n">
        <v>0.3625</v>
      </c>
      <c r="AP317" s="437"/>
      <c r="AQ317" s="437"/>
      <c r="AR317" s="437"/>
      <c r="AS317" s="437"/>
      <c r="AW317" s="418" t="n">
        <v>0.070431702086302</v>
      </c>
    </row>
    <row r="318" customFormat="false" ht="12" hidden="false" customHeight="false" outlineLevel="0" collapsed="false">
      <c r="E318" s="420" t="n">
        <v>0.07033001506769</v>
      </c>
      <c r="G318" s="420" t="n">
        <v>0.0050112</v>
      </c>
      <c r="J318" s="420" t="n">
        <v>0.27</v>
      </c>
      <c r="K318" s="420" t="n">
        <v>0.2875</v>
      </c>
      <c r="N318" s="420" t="n">
        <v>0</v>
      </c>
      <c r="W318" s="418" t="n">
        <v>0</v>
      </c>
      <c r="X318" s="418" t="n">
        <v>0.7675</v>
      </c>
      <c r="Z318" s="418" t="n">
        <v>0</v>
      </c>
      <c r="AB318" s="418" t="n">
        <v>0</v>
      </c>
      <c r="AC318" s="418" t="n">
        <v>0.465</v>
      </c>
      <c r="AP318" s="437"/>
      <c r="AQ318" s="437"/>
      <c r="AR318" s="437"/>
      <c r="AS318" s="437"/>
      <c r="AW318" s="418" t="n">
        <v>0.070425917507461</v>
      </c>
    </row>
    <row r="319" customFormat="false" ht="12" hidden="false" customHeight="false" outlineLevel="0" collapsed="false">
      <c r="E319" s="420" t="n">
        <v>0.070324156900498</v>
      </c>
      <c r="G319" s="420" t="n">
        <v>-0.0099519</v>
      </c>
      <c r="J319" s="420" t="n">
        <v>0.305</v>
      </c>
      <c r="K319" s="420" t="n">
        <v>0.3375</v>
      </c>
      <c r="N319" s="420" t="n">
        <v>0</v>
      </c>
      <c r="W319" s="418" t="n">
        <v>0</v>
      </c>
      <c r="X319" s="418" t="n">
        <v>1.19</v>
      </c>
      <c r="Z319" s="418" t="n">
        <v>0</v>
      </c>
      <c r="AB319" s="418" t="n">
        <v>0</v>
      </c>
      <c r="AC319" s="418" t="n">
        <v>0.8</v>
      </c>
      <c r="AP319" s="437"/>
      <c r="AQ319" s="437"/>
      <c r="AR319" s="437"/>
      <c r="AS319" s="437"/>
      <c r="AW319" s="418" t="n">
        <v>0.070420319527948</v>
      </c>
    </row>
    <row r="320" customFormat="false" ht="12" hidden="false" customHeight="false" outlineLevel="0" collapsed="false">
      <c r="E320" s="420" t="n">
        <v>0.070318103461077</v>
      </c>
      <c r="G320" s="420" t="n">
        <v>-0.0049551</v>
      </c>
      <c r="J320" s="420" t="n">
        <v>0.305</v>
      </c>
      <c r="K320" s="420" t="n">
        <v>0.4375</v>
      </c>
      <c r="N320" s="420" t="n">
        <v>0</v>
      </c>
      <c r="W320" s="418" t="n">
        <v>0</v>
      </c>
      <c r="X320" s="418" t="n">
        <v>1.525</v>
      </c>
      <c r="Z320" s="418" t="n">
        <v>0</v>
      </c>
      <c r="AB320" s="418" t="n">
        <v>0</v>
      </c>
      <c r="AC320" s="418" t="n">
        <v>0.975</v>
      </c>
      <c r="AP320" s="437"/>
      <c r="AQ320" s="437"/>
      <c r="AR320" s="437"/>
      <c r="AS320" s="437"/>
      <c r="AW320" s="418" t="n">
        <v>0.07041453494913</v>
      </c>
    </row>
    <row r="321" customFormat="false" ht="12" hidden="false" customHeight="false" outlineLevel="0" collapsed="false">
      <c r="E321" s="420" t="n">
        <v>0.070312050021668</v>
      </c>
      <c r="G321" s="420" t="n">
        <v>0.0200425</v>
      </c>
      <c r="J321" s="420" t="n">
        <v>0.305</v>
      </c>
      <c r="K321" s="420" t="n">
        <v>0.435</v>
      </c>
      <c r="N321" s="420" t="n">
        <v>0</v>
      </c>
      <c r="W321" s="418" t="n">
        <v>0</v>
      </c>
      <c r="X321" s="418" t="n">
        <v>1.455</v>
      </c>
      <c r="Z321" s="418" t="n">
        <v>0</v>
      </c>
      <c r="AB321" s="418" t="n">
        <v>0</v>
      </c>
      <c r="AC321" s="418" t="n">
        <v>0.975</v>
      </c>
      <c r="AP321" s="437"/>
      <c r="AQ321" s="437"/>
      <c r="AR321" s="437"/>
      <c r="AS321" s="437"/>
      <c r="AW321" s="418" t="n">
        <v>0.070408750370322</v>
      </c>
    </row>
    <row r="322" customFormat="false" ht="12" hidden="false" customHeight="false" outlineLevel="0" collapsed="false">
      <c r="E322" s="420" t="n">
        <v>0.070306582398987</v>
      </c>
      <c r="G322" s="420" t="n">
        <v>0.0300425</v>
      </c>
      <c r="J322" s="420" t="n">
        <v>0.265</v>
      </c>
      <c r="K322" s="420" t="n">
        <v>0.3025</v>
      </c>
      <c r="N322" s="420" t="n">
        <v>0</v>
      </c>
      <c r="W322" s="418" t="n">
        <v>0</v>
      </c>
      <c r="X322" s="418" t="n">
        <v>0.835</v>
      </c>
      <c r="Z322" s="418" t="n">
        <v>0</v>
      </c>
      <c r="AB322" s="418" t="n">
        <v>0</v>
      </c>
      <c r="AC322" s="418" t="n">
        <v>0.6075</v>
      </c>
      <c r="AP322" s="437"/>
      <c r="AQ322" s="437"/>
      <c r="AR322" s="437"/>
      <c r="AS322" s="437"/>
      <c r="AW322" s="418" t="n">
        <v>0.070403525589473</v>
      </c>
    </row>
    <row r="323" customFormat="false" ht="12" hidden="false" customHeight="false" outlineLevel="0" collapsed="false">
      <c r="E323" s="420" t="n">
        <v>0.070300528959601</v>
      </c>
      <c r="G323" s="420" t="n">
        <v>0.0899766</v>
      </c>
      <c r="J323" s="420" t="n">
        <v>0.195</v>
      </c>
      <c r="K323" s="420" t="n">
        <v>0.25</v>
      </c>
      <c r="N323" s="420" t="n">
        <v>0</v>
      </c>
      <c r="W323" s="418" t="n">
        <v>0</v>
      </c>
      <c r="X323" s="418" t="n">
        <v>0.45</v>
      </c>
      <c r="Z323" s="418" t="n">
        <v>0</v>
      </c>
      <c r="AB323" s="418" t="n">
        <v>0</v>
      </c>
      <c r="AC323" s="418" t="n">
        <v>0.355</v>
      </c>
      <c r="AP323" s="437"/>
      <c r="AQ323" s="437"/>
      <c r="AR323" s="437"/>
      <c r="AS323" s="437"/>
      <c r="AW323" s="418" t="n">
        <v>0.070397741010686</v>
      </c>
    </row>
    <row r="324" customFormat="false" ht="12" hidden="false" customHeight="false" outlineLevel="0" collapsed="false">
      <c r="E324" s="420" t="n">
        <v>0.070294670792466</v>
      </c>
      <c r="G324" s="420" t="n">
        <v>0.0899681</v>
      </c>
      <c r="J324" s="420" t="n">
        <v>0.1825</v>
      </c>
      <c r="K324" s="420" t="n">
        <v>0.2025</v>
      </c>
      <c r="N324" s="420" t="n">
        <v>0</v>
      </c>
      <c r="W324" s="418" t="n">
        <v>0</v>
      </c>
      <c r="X324" s="418" t="n">
        <v>0.405</v>
      </c>
      <c r="Z324" s="418" t="n">
        <v>0</v>
      </c>
      <c r="AB324" s="418" t="n">
        <v>0</v>
      </c>
      <c r="AC324" s="418" t="n">
        <v>0.2875</v>
      </c>
      <c r="AP324" s="437"/>
      <c r="AQ324" s="437"/>
      <c r="AR324" s="437"/>
      <c r="AS324" s="437"/>
      <c r="AW324" s="418" t="n">
        <v>0.070392143031226</v>
      </c>
    </row>
    <row r="325" customFormat="false" ht="12" hidden="false" customHeight="false" outlineLevel="0" collapsed="false">
      <c r="E325" s="420" t="n">
        <v>0.070288617353104</v>
      </c>
      <c r="G325" s="420" t="n">
        <v>0.0899681</v>
      </c>
      <c r="J325" s="420" t="n">
        <v>0.1825</v>
      </c>
      <c r="K325" s="420" t="n">
        <v>0.2025</v>
      </c>
      <c r="N325" s="420" t="n">
        <v>0</v>
      </c>
      <c r="W325" s="418" t="n">
        <v>0</v>
      </c>
      <c r="X325" s="418" t="n">
        <v>0.395</v>
      </c>
      <c r="Z325" s="418" t="n">
        <v>0</v>
      </c>
      <c r="AB325" s="418" t="n">
        <v>0</v>
      </c>
      <c r="AC325" s="418" t="n">
        <v>0.2875</v>
      </c>
      <c r="AP325" s="437"/>
      <c r="AQ325" s="437"/>
      <c r="AR325" s="437"/>
      <c r="AS325" s="437"/>
      <c r="AW325" s="418" t="n">
        <v>0.070386358452461</v>
      </c>
    </row>
    <row r="326" customFormat="false" ht="12" hidden="false" customHeight="false" outlineLevel="0" collapsed="false">
      <c r="E326" s="420" t="n">
        <v>0.070282759186</v>
      </c>
      <c r="G326" s="420" t="n">
        <v>0.0899681</v>
      </c>
      <c r="J326" s="420" t="n">
        <v>0.1825</v>
      </c>
      <c r="K326" s="420" t="n">
        <v>0.215</v>
      </c>
      <c r="N326" s="420" t="n">
        <v>0</v>
      </c>
      <c r="W326" s="418" t="n">
        <v>0</v>
      </c>
      <c r="X326" s="418" t="n">
        <v>0.43</v>
      </c>
      <c r="Z326" s="418" t="n">
        <v>0</v>
      </c>
      <c r="AB326" s="418" t="n">
        <v>0</v>
      </c>
      <c r="AC326" s="418" t="n">
        <v>0.3</v>
      </c>
      <c r="AP326" s="437"/>
      <c r="AQ326" s="437"/>
      <c r="AR326" s="437"/>
      <c r="AS326" s="437"/>
      <c r="AW326" s="418" t="n">
        <v>0.070380760473021</v>
      </c>
    </row>
    <row r="327" customFormat="false" ht="12" hidden="false" customHeight="false" outlineLevel="0" collapsed="false">
      <c r="E327" s="420" t="n">
        <v>0.070276705746654</v>
      </c>
      <c r="G327" s="420" t="n">
        <v>0.0899681</v>
      </c>
      <c r="J327" s="420" t="n">
        <v>0.1825</v>
      </c>
      <c r="K327" s="420" t="n">
        <v>0.215</v>
      </c>
      <c r="N327" s="420" t="n">
        <v>0</v>
      </c>
      <c r="W327" s="418" t="n">
        <v>0</v>
      </c>
      <c r="X327" s="418" t="n">
        <v>0.495</v>
      </c>
      <c r="Z327" s="418" t="n">
        <v>0</v>
      </c>
      <c r="AB327" s="418" t="n">
        <v>0</v>
      </c>
      <c r="AC327" s="418" t="n">
        <v>0.3</v>
      </c>
      <c r="AP327" s="437"/>
      <c r="AQ327" s="437"/>
      <c r="AR327" s="437"/>
      <c r="AS327" s="437"/>
      <c r="AW327" s="418" t="n">
        <v>0.070374975894278</v>
      </c>
    </row>
    <row r="328" customFormat="false" ht="12" hidden="false" customHeight="false" outlineLevel="0" collapsed="false">
      <c r="E328" s="420" t="n">
        <v>0.070270652307328</v>
      </c>
      <c r="G328" s="420" t="n">
        <v>0.0899681</v>
      </c>
      <c r="J328" s="420" t="n">
        <v>0.1825</v>
      </c>
      <c r="K328" s="420" t="n">
        <v>0.195</v>
      </c>
      <c r="N328" s="420" t="n">
        <v>0</v>
      </c>
      <c r="W328" s="418" t="n">
        <v>0</v>
      </c>
      <c r="X328" s="418" t="n">
        <v>0.395</v>
      </c>
      <c r="Z328" s="418" t="n">
        <v>0</v>
      </c>
      <c r="AB328" s="418" t="n">
        <v>0</v>
      </c>
      <c r="AC328" s="418" t="n">
        <v>0.29</v>
      </c>
      <c r="AP328" s="437"/>
      <c r="AQ328" s="437"/>
      <c r="AR328" s="437"/>
      <c r="AS328" s="437"/>
      <c r="AW328" s="418" t="n">
        <v>0.070369191315546</v>
      </c>
    </row>
    <row r="329" customFormat="false" ht="12" hidden="false" customHeight="false" outlineLevel="0" collapsed="false">
      <c r="E329" s="420" t="n">
        <v>0.07026479414025</v>
      </c>
      <c r="G329" s="420" t="n">
        <v>0.0899681</v>
      </c>
      <c r="J329" s="420" t="n">
        <v>0.1875</v>
      </c>
      <c r="K329" s="420" t="n">
        <v>0.215</v>
      </c>
      <c r="N329" s="420" t="n">
        <v>0</v>
      </c>
      <c r="W329" s="418" t="n">
        <v>0</v>
      </c>
      <c r="X329" s="418" t="n">
        <v>0.461</v>
      </c>
      <c r="Z329" s="418" t="n">
        <v>0</v>
      </c>
      <c r="AB329" s="418" t="n">
        <v>0</v>
      </c>
      <c r="AC329" s="418" t="n">
        <v>0.3625</v>
      </c>
      <c r="AP329" s="437"/>
      <c r="AQ329" s="437"/>
      <c r="AR329" s="437"/>
      <c r="AS329" s="437"/>
      <c r="AW329" s="418" t="n">
        <v>0.070363593336138</v>
      </c>
    </row>
    <row r="330" customFormat="false" ht="12" hidden="false" customHeight="false" outlineLevel="0" collapsed="false">
      <c r="E330" s="420" t="n">
        <v>0.070258740700948</v>
      </c>
      <c r="G330" s="420" t="n">
        <v>0.0100112</v>
      </c>
      <c r="J330" s="420" t="n">
        <v>0.27</v>
      </c>
      <c r="K330" s="420" t="n">
        <v>0.2875</v>
      </c>
      <c r="N330" s="420" t="n">
        <v>0</v>
      </c>
      <c r="W330" s="418" t="n">
        <v>0</v>
      </c>
      <c r="X330" s="418" t="n">
        <v>0.7675</v>
      </c>
      <c r="Z330" s="418" t="n">
        <v>0</v>
      </c>
      <c r="AB330" s="418" t="n">
        <v>0</v>
      </c>
      <c r="AC330" s="418" t="n">
        <v>0.465</v>
      </c>
      <c r="AP330" s="437"/>
      <c r="AQ330" s="437"/>
      <c r="AR330" s="437"/>
      <c r="AS330" s="437"/>
      <c r="AW330" s="418" t="n">
        <v>0.070357808757428</v>
      </c>
    </row>
    <row r="331" customFormat="false" ht="12" hidden="false" customHeight="false" outlineLevel="0" collapsed="false">
      <c r="E331" s="420" t="n">
        <v>0.070252882533894</v>
      </c>
      <c r="G331" s="420" t="n">
        <v>-0.0049519</v>
      </c>
      <c r="J331" s="420" t="n">
        <v>0.305</v>
      </c>
      <c r="K331" s="420" t="n">
        <v>0.3375</v>
      </c>
      <c r="N331" s="420" t="n">
        <v>0</v>
      </c>
      <c r="W331" s="418" t="n">
        <v>0</v>
      </c>
      <c r="X331" s="418" t="n">
        <v>1.19</v>
      </c>
      <c r="Z331" s="418" t="n">
        <v>0</v>
      </c>
      <c r="AB331" s="418" t="n">
        <v>0</v>
      </c>
      <c r="AC331" s="418" t="n">
        <v>0.8</v>
      </c>
      <c r="AP331" s="437"/>
      <c r="AQ331" s="437"/>
      <c r="AR331" s="437"/>
      <c r="AS331" s="437"/>
      <c r="AW331" s="418" t="n">
        <v>0.070352210778041</v>
      </c>
    </row>
    <row r="332" customFormat="false" ht="12" hidden="false" customHeight="false" outlineLevel="0" collapsed="false">
      <c r="E332" s="420" t="n">
        <v>0.070246829094616</v>
      </c>
      <c r="G332" s="420" t="n">
        <v>4.48E-005</v>
      </c>
      <c r="J332" s="420" t="n">
        <v>0.305</v>
      </c>
      <c r="K332" s="420" t="n">
        <v>0.4375</v>
      </c>
      <c r="N332" s="420" t="n">
        <v>0</v>
      </c>
      <c r="W332" s="418" t="n">
        <v>0</v>
      </c>
      <c r="X332" s="418" t="n">
        <v>1.525</v>
      </c>
      <c r="Z332" s="418" t="n">
        <v>0</v>
      </c>
      <c r="AB332" s="418" t="n">
        <v>0</v>
      </c>
      <c r="AC332" s="418" t="n">
        <v>0.975</v>
      </c>
      <c r="AP332" s="437"/>
      <c r="AQ332" s="437"/>
      <c r="AR332" s="437"/>
      <c r="AS332" s="437"/>
      <c r="AW332" s="418" t="n">
        <v>0.070346426199353</v>
      </c>
    </row>
    <row r="333" customFormat="false" ht="12" hidden="false" customHeight="false" outlineLevel="0" collapsed="false">
      <c r="E333" s="420" t="n">
        <v>0.07024077565535</v>
      </c>
      <c r="G333" s="420" t="n">
        <v>0.0250425</v>
      </c>
      <c r="J333" s="420" t="n">
        <v>0.305</v>
      </c>
      <c r="K333" s="420" t="n">
        <v>0.435</v>
      </c>
      <c r="N333" s="420" t="n">
        <v>0</v>
      </c>
      <c r="W333" s="418" t="n">
        <v>0</v>
      </c>
      <c r="X333" s="418" t="n">
        <v>1.455</v>
      </c>
      <c r="Z333" s="418" t="n">
        <v>0</v>
      </c>
      <c r="AB333" s="418" t="n">
        <v>0</v>
      </c>
      <c r="AC333" s="418" t="n">
        <v>0.975</v>
      </c>
      <c r="AP333" s="437"/>
      <c r="AQ333" s="437"/>
      <c r="AR333" s="437"/>
      <c r="AS333" s="437"/>
      <c r="AW333" s="418" t="n">
        <v>0.070340641620675</v>
      </c>
    </row>
    <row r="334" customFormat="false" ht="12" hidden="false" customHeight="false" outlineLevel="0" collapsed="false">
      <c r="E334" s="420" t="n">
        <v>0.070235308032797</v>
      </c>
      <c r="G334" s="420" t="n">
        <v>0.0350425</v>
      </c>
      <c r="J334" s="420" t="n">
        <v>0.265</v>
      </c>
      <c r="K334" s="420" t="n">
        <v>0.3025</v>
      </c>
      <c r="N334" s="420" t="n">
        <v>0</v>
      </c>
      <c r="W334" s="418" t="n">
        <v>0</v>
      </c>
      <c r="X334" s="418" t="n">
        <v>0.835</v>
      </c>
      <c r="Z334" s="418" t="n">
        <v>0</v>
      </c>
      <c r="AB334" s="418" t="n">
        <v>0</v>
      </c>
      <c r="AC334" s="418" t="n">
        <v>0.6075</v>
      </c>
      <c r="AP334" s="437"/>
      <c r="AQ334" s="437"/>
      <c r="AR334" s="437"/>
      <c r="AS334" s="437"/>
      <c r="AW334" s="418" t="n">
        <v>0.070335416839943</v>
      </c>
    </row>
    <row r="335" customFormat="false" ht="12" hidden="false" customHeight="false" outlineLevel="0" collapsed="false">
      <c r="E335" s="420" t="n">
        <v>0.070229254593555</v>
      </c>
      <c r="G335" s="420" t="n">
        <v>0.0949766</v>
      </c>
      <c r="J335" s="420" t="n">
        <v>0.195</v>
      </c>
      <c r="K335" s="420" t="n">
        <v>0.25</v>
      </c>
      <c r="N335" s="420" t="n">
        <v>0</v>
      </c>
      <c r="W335" s="418" t="n">
        <v>0</v>
      </c>
      <c r="X335" s="418" t="n">
        <v>0.45</v>
      </c>
      <c r="Z335" s="418" t="n">
        <v>0</v>
      </c>
      <c r="AB335" s="418" t="n">
        <v>0</v>
      </c>
      <c r="AC335" s="418" t="n">
        <v>0.355</v>
      </c>
      <c r="AP335" s="437"/>
      <c r="AQ335" s="437"/>
      <c r="AR335" s="437"/>
      <c r="AS335" s="437"/>
      <c r="AW335" s="418" t="n">
        <v>0.070329632261287</v>
      </c>
    </row>
    <row r="336" customFormat="false" ht="12" hidden="false" customHeight="false" outlineLevel="0" collapsed="false">
      <c r="E336" s="420" t="n">
        <v>0.070223396426556</v>
      </c>
      <c r="G336" s="420" t="n">
        <v>0.0949681</v>
      </c>
      <c r="J336" s="420" t="n">
        <v>0.1825</v>
      </c>
      <c r="K336" s="420" t="n">
        <v>0.2025</v>
      </c>
      <c r="N336" s="420" t="n">
        <v>0</v>
      </c>
      <c r="W336" s="418" t="n">
        <v>0</v>
      </c>
      <c r="X336" s="418" t="n">
        <v>0.405</v>
      </c>
      <c r="Z336" s="418" t="n">
        <v>0</v>
      </c>
      <c r="AB336" s="418" t="n">
        <v>0</v>
      </c>
      <c r="AC336" s="418" t="n">
        <v>0.2875</v>
      </c>
      <c r="AP336" s="437"/>
      <c r="AQ336" s="437"/>
      <c r="AR336" s="437"/>
      <c r="AS336" s="437"/>
      <c r="AW336" s="418" t="n">
        <v>0.070324034281953</v>
      </c>
    </row>
    <row r="337" customFormat="false" ht="12" hidden="false" customHeight="false" outlineLevel="0" collapsed="false">
      <c r="E337" s="420" t="n">
        <v>0.070217342987338</v>
      </c>
      <c r="G337" s="420" t="n">
        <v>0.0949681</v>
      </c>
      <c r="J337" s="420" t="n">
        <v>0.1825</v>
      </c>
      <c r="K337" s="420" t="n">
        <v>0.2025</v>
      </c>
      <c r="N337" s="420" t="n">
        <v>0</v>
      </c>
      <c r="W337" s="418" t="n">
        <v>0</v>
      </c>
      <c r="X337" s="418" t="n">
        <v>0.395</v>
      </c>
      <c r="Z337" s="418" t="n">
        <v>0</v>
      </c>
      <c r="AB337" s="418" t="n">
        <v>0</v>
      </c>
      <c r="AC337" s="418" t="n">
        <v>0.2875</v>
      </c>
      <c r="AP337" s="437"/>
      <c r="AQ337" s="437"/>
      <c r="AR337" s="437"/>
      <c r="AS337" s="437"/>
      <c r="AW337" s="418" t="n">
        <v>0.070318249703318</v>
      </c>
    </row>
    <row r="338" customFormat="false" ht="12" hidden="false" customHeight="false" outlineLevel="0" collapsed="false">
      <c r="E338" s="420" t="n">
        <v>0.070211484820363</v>
      </c>
      <c r="G338" s="420" t="n">
        <v>0.0949681</v>
      </c>
      <c r="J338" s="420" t="n">
        <v>0.1825</v>
      </c>
      <c r="K338" s="420" t="n">
        <v>0.215</v>
      </c>
      <c r="N338" s="420" t="n">
        <v>0</v>
      </c>
      <c r="W338" s="418" t="n">
        <v>0</v>
      </c>
      <c r="X338" s="418" t="n">
        <v>0.43</v>
      </c>
      <c r="Z338" s="418" t="n">
        <v>0</v>
      </c>
      <c r="AB338" s="418" t="n">
        <v>0</v>
      </c>
      <c r="AC338" s="418" t="n">
        <v>0.3</v>
      </c>
      <c r="AP338" s="437"/>
      <c r="AQ338" s="437"/>
      <c r="AR338" s="437"/>
      <c r="AS338" s="437"/>
      <c r="AW338" s="418" t="n">
        <v>0.070312651724005</v>
      </c>
    </row>
    <row r="339" customFormat="false" ht="12" hidden="false" customHeight="false" outlineLevel="0" collapsed="false">
      <c r="E339" s="420" t="n">
        <v>0.070205431381168</v>
      </c>
      <c r="G339" s="420" t="n">
        <v>0.0949681</v>
      </c>
      <c r="J339" s="420" t="n">
        <v>0.1825</v>
      </c>
      <c r="K339" s="420" t="n">
        <v>0.215</v>
      </c>
      <c r="N339" s="420" t="n">
        <v>0</v>
      </c>
      <c r="W339" s="418" t="n">
        <v>0</v>
      </c>
      <c r="X339" s="418" t="n">
        <v>0.495</v>
      </c>
      <c r="Z339" s="418" t="n">
        <v>0</v>
      </c>
      <c r="AB339" s="418" t="n">
        <v>0</v>
      </c>
      <c r="AC339" s="418" t="n">
        <v>0.3</v>
      </c>
      <c r="AP339" s="437"/>
      <c r="AQ339" s="437"/>
      <c r="AR339" s="437"/>
      <c r="AS339" s="437"/>
      <c r="AW339" s="418" t="n">
        <v>0.070306867145392</v>
      </c>
    </row>
    <row r="340" customFormat="false" ht="12" hidden="false" customHeight="false" outlineLevel="0" collapsed="false">
      <c r="E340" s="420" t="n">
        <v>0.070199377941985</v>
      </c>
      <c r="G340" s="420" t="n">
        <v>0.0949681</v>
      </c>
      <c r="J340" s="420" t="n">
        <v>0.1825</v>
      </c>
      <c r="K340" s="420" t="n">
        <v>0.195</v>
      </c>
      <c r="N340" s="420" t="n">
        <v>0</v>
      </c>
      <c r="W340" s="418" t="n">
        <v>0</v>
      </c>
      <c r="X340" s="418" t="n">
        <v>0.395</v>
      </c>
      <c r="Z340" s="418" t="n">
        <v>0</v>
      </c>
      <c r="AB340" s="418" t="n">
        <v>0</v>
      </c>
      <c r="AC340" s="418" t="n">
        <v>0.29</v>
      </c>
      <c r="AP340" s="437"/>
      <c r="AQ340" s="437"/>
      <c r="AR340" s="437"/>
      <c r="AS340" s="437"/>
      <c r="AW340" s="418" t="n">
        <v>0.07030108256679</v>
      </c>
    </row>
    <row r="341" customFormat="false" ht="12" hidden="false" customHeight="false" outlineLevel="0" collapsed="false">
      <c r="E341" s="420" t="n">
        <v>0.070193519775045</v>
      </c>
      <c r="G341" s="420" t="n">
        <v>0.0949681</v>
      </c>
      <c r="J341" s="420" t="n">
        <v>0.1875</v>
      </c>
      <c r="K341" s="420" t="n">
        <v>0.215</v>
      </c>
      <c r="N341" s="420" t="n">
        <v>0</v>
      </c>
      <c r="W341" s="418" t="n">
        <v>0</v>
      </c>
      <c r="X341" s="418" t="n">
        <v>0.461</v>
      </c>
      <c r="Z341" s="418" t="n">
        <v>0</v>
      </c>
      <c r="AB341" s="418" t="n">
        <v>0</v>
      </c>
      <c r="AC341" s="418" t="n">
        <v>0.3625</v>
      </c>
      <c r="AP341" s="437"/>
      <c r="AQ341" s="437"/>
      <c r="AR341" s="437"/>
      <c r="AS341" s="437"/>
      <c r="AW341" s="418" t="n">
        <v>0.070295484587509</v>
      </c>
    </row>
    <row r="342" customFormat="false" ht="12" hidden="false" customHeight="false" outlineLevel="0" collapsed="false">
      <c r="E342" s="420" t="n">
        <v>0.070187466335886</v>
      </c>
      <c r="G342" s="420" t="n">
        <v>0.0150112</v>
      </c>
      <c r="J342" s="420" t="n">
        <v>0.27</v>
      </c>
      <c r="K342" s="420" t="n">
        <v>0.2875</v>
      </c>
      <c r="N342" s="420" t="n">
        <v>0</v>
      </c>
      <c r="W342" s="418" t="n">
        <v>0</v>
      </c>
      <c r="X342" s="418" t="n">
        <v>0.7675</v>
      </c>
      <c r="Z342" s="418" t="n">
        <v>0</v>
      </c>
      <c r="AB342" s="418" t="n">
        <v>0</v>
      </c>
      <c r="AC342" s="418" t="n">
        <v>0.465</v>
      </c>
      <c r="AP342" s="437"/>
      <c r="AQ342" s="437"/>
      <c r="AR342" s="437"/>
      <c r="AS342" s="437"/>
      <c r="AW342" s="418" t="n">
        <v>0.070289700008928</v>
      </c>
    </row>
    <row r="343" customFormat="false" ht="12" hidden="false" customHeight="false" outlineLevel="0" collapsed="false">
      <c r="E343" s="420" t="n">
        <v>0.070181608168969</v>
      </c>
      <c r="G343" s="420" t="n">
        <v>4.8E-005</v>
      </c>
      <c r="J343" s="420" t="n">
        <v>0.305</v>
      </c>
      <c r="K343" s="420" t="n">
        <v>0.3375</v>
      </c>
      <c r="N343" s="420" t="n">
        <v>0</v>
      </c>
      <c r="W343" s="418" t="n">
        <v>0</v>
      </c>
      <c r="X343" s="418" t="n">
        <v>1.19</v>
      </c>
      <c r="Z343" s="418" t="n">
        <v>0</v>
      </c>
      <c r="AB343" s="418" t="n">
        <v>0</v>
      </c>
      <c r="AC343" s="418" t="n">
        <v>0.8</v>
      </c>
      <c r="AP343" s="437"/>
      <c r="AQ343" s="437"/>
      <c r="AR343" s="437"/>
      <c r="AS343" s="437"/>
      <c r="AW343" s="418" t="n">
        <v>0.070284102029668</v>
      </c>
    </row>
    <row r="344" customFormat="false" ht="12" hidden="false" customHeight="false" outlineLevel="0" collapsed="false">
      <c r="E344" s="420" t="n">
        <v>0.070175554729834</v>
      </c>
      <c r="G344" s="420" t="n">
        <v>0.0050448</v>
      </c>
      <c r="J344" s="420" t="n">
        <v>0.305</v>
      </c>
      <c r="K344" s="420" t="n">
        <v>0.4375</v>
      </c>
      <c r="N344" s="420" t="n">
        <v>0</v>
      </c>
      <c r="W344" s="418" t="n">
        <v>0</v>
      </c>
      <c r="X344" s="418" t="n">
        <v>1.525</v>
      </c>
      <c r="Z344" s="418" t="n">
        <v>0</v>
      </c>
      <c r="AB344" s="418" t="n">
        <v>0</v>
      </c>
      <c r="AC344" s="418" t="n">
        <v>0.975</v>
      </c>
      <c r="AP344" s="437"/>
      <c r="AQ344" s="437"/>
      <c r="AR344" s="437"/>
      <c r="AS344" s="437"/>
      <c r="AW344" s="418" t="n">
        <v>0.070278317451109</v>
      </c>
    </row>
    <row r="345" customFormat="false" ht="12" hidden="false" customHeight="false" outlineLevel="0" collapsed="false">
      <c r="E345" s="420" t="n">
        <v>0.070169501290711</v>
      </c>
      <c r="G345" s="420" t="n">
        <v>0.0300425</v>
      </c>
      <c r="J345" s="420" t="n">
        <v>0.305</v>
      </c>
      <c r="K345" s="420" t="n">
        <v>0.435</v>
      </c>
      <c r="N345" s="420" t="n">
        <v>0</v>
      </c>
      <c r="W345" s="418" t="n">
        <v>0</v>
      </c>
      <c r="X345" s="418" t="n">
        <v>1.455</v>
      </c>
      <c r="Z345" s="418" t="n">
        <v>0</v>
      </c>
      <c r="AB345" s="418" t="n">
        <v>0</v>
      </c>
      <c r="AC345" s="418" t="n">
        <v>0.975</v>
      </c>
      <c r="AP345" s="437"/>
      <c r="AQ345" s="437"/>
      <c r="AR345" s="437"/>
      <c r="AS345" s="437"/>
      <c r="AW345" s="418" t="n">
        <v>0.070272532872562</v>
      </c>
    </row>
    <row r="346" customFormat="false" ht="12" hidden="false" customHeight="false" outlineLevel="0" collapsed="false">
      <c r="E346" s="420" t="n">
        <v>0.070163838396057</v>
      </c>
      <c r="G346" s="420" t="n">
        <v>0.0400425</v>
      </c>
      <c r="J346" s="420" t="n">
        <v>0.265</v>
      </c>
      <c r="K346" s="420" t="n">
        <v>0.3025</v>
      </c>
      <c r="N346" s="420" t="n">
        <v>0</v>
      </c>
      <c r="W346" s="418" t="n">
        <v>0</v>
      </c>
      <c r="X346" s="418" t="n">
        <v>0.835</v>
      </c>
      <c r="Z346" s="418" t="n">
        <v>0</v>
      </c>
      <c r="AB346" s="418" t="n">
        <v>0</v>
      </c>
      <c r="AC346" s="418" t="n">
        <v>0.6075</v>
      </c>
      <c r="AP346" s="437"/>
      <c r="AQ346" s="437"/>
      <c r="AR346" s="437"/>
      <c r="AS346" s="437"/>
      <c r="AW346" s="418" t="n">
        <v>0.070267121492641</v>
      </c>
    </row>
    <row r="347" customFormat="false" ht="12" hidden="false" customHeight="false" outlineLevel="0" collapsed="false">
      <c r="E347" s="420" t="n">
        <v>0.070157784956958</v>
      </c>
      <c r="G347" s="420" t="n">
        <v>0.0999766</v>
      </c>
      <c r="J347" s="420" t="n">
        <v>0.195</v>
      </c>
      <c r="K347" s="420" t="n">
        <v>0.25</v>
      </c>
      <c r="N347" s="420" t="n">
        <v>0</v>
      </c>
      <c r="W347" s="418" t="n">
        <v>0</v>
      </c>
      <c r="X347" s="418" t="n">
        <v>0.45</v>
      </c>
      <c r="Z347" s="418" t="n">
        <v>0</v>
      </c>
      <c r="AB347" s="418" t="n">
        <v>0</v>
      </c>
      <c r="AC347" s="418" t="n">
        <v>0.355</v>
      </c>
      <c r="AP347" s="437"/>
      <c r="AQ347" s="437"/>
      <c r="AR347" s="437"/>
      <c r="AS347" s="437"/>
      <c r="AW347" s="418" t="n">
        <v>0.070261336914115</v>
      </c>
    </row>
    <row r="348" customFormat="false" ht="12" hidden="false" customHeight="false" outlineLevel="0" collapsed="false">
      <c r="E348" s="420" t="n">
        <v>0.070151926790099</v>
      </c>
      <c r="G348" s="420" t="n">
        <v>0.0999681</v>
      </c>
      <c r="J348" s="420" t="n">
        <v>0.1825</v>
      </c>
      <c r="K348" s="420" t="n">
        <v>0.2025</v>
      </c>
      <c r="N348" s="420" t="n">
        <v>0</v>
      </c>
      <c r="W348" s="418" t="n">
        <v>0</v>
      </c>
      <c r="X348" s="418" t="n">
        <v>0.405</v>
      </c>
      <c r="Z348" s="418" t="n">
        <v>0</v>
      </c>
      <c r="AB348" s="418" t="n">
        <v>0</v>
      </c>
      <c r="AC348" s="418" t="n">
        <v>0.2875</v>
      </c>
      <c r="AP348" s="437"/>
      <c r="AQ348" s="437"/>
      <c r="AR348" s="437"/>
      <c r="AS348" s="437"/>
      <c r="AW348" s="418" t="n">
        <v>0.070255738934907</v>
      </c>
    </row>
    <row r="349" customFormat="false" ht="12" hidden="false" customHeight="false" outlineLevel="0" collapsed="false">
      <c r="E349" s="420" t="n">
        <v>0.070145873351023</v>
      </c>
      <c r="G349" s="420" t="n">
        <v>0.0999681</v>
      </c>
      <c r="J349" s="420" t="n">
        <v>0.1825</v>
      </c>
      <c r="K349" s="420" t="n">
        <v>0.2025</v>
      </c>
      <c r="N349" s="420" t="n">
        <v>0</v>
      </c>
      <c r="W349" s="418" t="n">
        <v>0</v>
      </c>
      <c r="X349" s="418" t="n">
        <v>0.395</v>
      </c>
      <c r="Z349" s="418" t="n">
        <v>0</v>
      </c>
      <c r="AB349" s="418" t="n">
        <v>0</v>
      </c>
      <c r="AC349" s="418" t="n">
        <v>0.2875</v>
      </c>
      <c r="AP349" s="437"/>
      <c r="AQ349" s="437"/>
      <c r="AR349" s="437"/>
      <c r="AS349" s="437"/>
      <c r="AW349" s="418" t="n">
        <v>0.070249954356403</v>
      </c>
    </row>
    <row r="350" customFormat="false" ht="12" hidden="false" customHeight="false" outlineLevel="0" collapsed="false">
      <c r="E350" s="420" t="n">
        <v>0.070140015184187</v>
      </c>
      <c r="G350" s="420" t="n">
        <v>0.0999681</v>
      </c>
      <c r="J350" s="420" t="n">
        <v>0.1825</v>
      </c>
      <c r="K350" s="420" t="n">
        <v>0.215</v>
      </c>
      <c r="N350" s="420" t="n">
        <v>0</v>
      </c>
      <c r="W350" s="418" t="n">
        <v>0</v>
      </c>
      <c r="X350" s="418" t="n">
        <v>0.43</v>
      </c>
      <c r="Z350" s="418" t="n">
        <v>0</v>
      </c>
      <c r="AB350" s="418" t="n">
        <v>0</v>
      </c>
      <c r="AC350" s="418" t="n">
        <v>0.3</v>
      </c>
      <c r="AP350" s="437"/>
      <c r="AQ350" s="437"/>
      <c r="AR350" s="437"/>
      <c r="AS350" s="437"/>
      <c r="AW350" s="418" t="n">
        <v>0.070244356377216</v>
      </c>
    </row>
    <row r="351" customFormat="false" ht="12" hidden="false" customHeight="false" outlineLevel="0" collapsed="false">
      <c r="E351" s="420" t="n">
        <v>0.070133961745134</v>
      </c>
      <c r="G351" s="420" t="n">
        <v>0.0999681</v>
      </c>
      <c r="J351" s="420" t="n">
        <v>0.1825</v>
      </c>
      <c r="K351" s="420" t="n">
        <v>0.215</v>
      </c>
      <c r="N351" s="420" t="n">
        <v>0</v>
      </c>
      <c r="W351" s="418" t="n">
        <v>0</v>
      </c>
      <c r="X351" s="418" t="n">
        <v>0.495</v>
      </c>
      <c r="Z351" s="418" t="n">
        <v>0</v>
      </c>
      <c r="AB351" s="418" t="n">
        <v>0</v>
      </c>
      <c r="AC351" s="418" t="n">
        <v>0.3</v>
      </c>
      <c r="AP351" s="437"/>
      <c r="AQ351" s="437"/>
      <c r="AR351" s="437"/>
      <c r="AS351" s="437"/>
      <c r="AW351" s="418" t="n">
        <v>0.070238571798734</v>
      </c>
    </row>
    <row r="352" customFormat="false" ht="12" hidden="false" customHeight="false" outlineLevel="0" collapsed="false">
      <c r="E352" s="420" t="n">
        <v>0.070127908306095</v>
      </c>
      <c r="G352" s="420" t="n">
        <v>0.0999681</v>
      </c>
      <c r="J352" s="420" t="n">
        <v>0.1825</v>
      </c>
      <c r="K352" s="420" t="n">
        <v>0.195</v>
      </c>
      <c r="N352" s="420" t="n">
        <v>0</v>
      </c>
      <c r="W352" s="418" t="n">
        <v>0</v>
      </c>
      <c r="X352" s="418" t="n">
        <v>0.395</v>
      </c>
      <c r="Z352" s="418" t="n">
        <v>0</v>
      </c>
      <c r="AB352" s="418" t="n">
        <v>0</v>
      </c>
      <c r="AC352" s="418" t="n">
        <v>0.29</v>
      </c>
      <c r="AP352" s="437"/>
      <c r="AQ352" s="437"/>
      <c r="AR352" s="437"/>
      <c r="AS352" s="437"/>
      <c r="AW352" s="418" t="n">
        <v>0.070232787220263</v>
      </c>
    </row>
    <row r="353" customFormat="false" ht="12" hidden="false" customHeight="false" outlineLevel="0" collapsed="false">
      <c r="E353" s="420" t="n">
        <v>0.070122050139293</v>
      </c>
      <c r="G353" s="420" t="n">
        <v>0.0999681</v>
      </c>
      <c r="J353" s="420" t="n">
        <v>0.1875</v>
      </c>
      <c r="K353" s="420" t="n">
        <v>0.215</v>
      </c>
      <c r="N353" s="420" t="n">
        <v>0</v>
      </c>
      <c r="W353" s="418" t="n">
        <v>0</v>
      </c>
      <c r="X353" s="418" t="n">
        <v>0.461</v>
      </c>
      <c r="Z353" s="418" t="n">
        <v>0</v>
      </c>
      <c r="AB353" s="418" t="n">
        <v>0</v>
      </c>
      <c r="AC353" s="418" t="n">
        <v>0.3625</v>
      </c>
      <c r="AP353" s="437"/>
      <c r="AQ353" s="437"/>
      <c r="AR353" s="437"/>
      <c r="AS353" s="437"/>
      <c r="AW353" s="418" t="n">
        <v>0.070227189241107</v>
      </c>
    </row>
    <row r="354" customFormat="false" ht="12" hidden="false" customHeight="false" outlineLevel="0" collapsed="false">
      <c r="E354" s="420" t="n">
        <v>0.070115996700277</v>
      </c>
      <c r="G354" s="420" t="n">
        <v>0.0200112</v>
      </c>
      <c r="J354" s="420" t="n">
        <v>0.27</v>
      </c>
      <c r="K354" s="420" t="n">
        <v>0.2875</v>
      </c>
      <c r="N354" s="420" t="n">
        <v>0</v>
      </c>
      <c r="W354" s="418" t="n">
        <v>0</v>
      </c>
      <c r="X354" s="418" t="n">
        <v>0.7675</v>
      </c>
      <c r="Z354" s="418" t="n">
        <v>0</v>
      </c>
      <c r="AB354" s="418" t="n">
        <v>0</v>
      </c>
      <c r="AC354" s="418" t="n">
        <v>0.465</v>
      </c>
      <c r="AP354" s="437"/>
      <c r="AQ354" s="437"/>
      <c r="AR354" s="437"/>
      <c r="AS354" s="437"/>
      <c r="AW354" s="418" t="n">
        <v>0.070221404662658</v>
      </c>
    </row>
    <row r="355" customFormat="false" ht="12" hidden="false" customHeight="false" outlineLevel="0" collapsed="false">
      <c r="E355" s="420" t="n">
        <v>0.070110138533498</v>
      </c>
      <c r="G355" s="420" t="n">
        <v>0.005048</v>
      </c>
      <c r="J355" s="420" t="n">
        <v>0.305</v>
      </c>
      <c r="K355" s="420" t="n">
        <v>0.3375</v>
      </c>
      <c r="N355" s="420" t="n">
        <v>0</v>
      </c>
      <c r="W355" s="418" t="n">
        <v>0</v>
      </c>
      <c r="X355" s="418" t="n">
        <v>1.19</v>
      </c>
      <c r="Z355" s="418" t="n">
        <v>0</v>
      </c>
      <c r="AB355" s="418" t="n">
        <v>0</v>
      </c>
      <c r="AC355" s="418" t="n">
        <v>0.8</v>
      </c>
      <c r="AP355" s="437"/>
      <c r="AQ355" s="437"/>
      <c r="AR355" s="437"/>
      <c r="AS355" s="437"/>
      <c r="AW355" s="418" t="n">
        <v>0.070215806683524</v>
      </c>
    </row>
    <row r="356" customFormat="false" ht="12" hidden="false" customHeight="false" outlineLevel="0" collapsed="false">
      <c r="E356" s="420" t="n">
        <v>0.070104085094506</v>
      </c>
      <c r="G356" s="420" t="n">
        <v>0.0100448</v>
      </c>
      <c r="J356" s="420" t="n">
        <v>0.305</v>
      </c>
      <c r="K356" s="420" t="n">
        <v>0.4375</v>
      </c>
      <c r="N356" s="420" t="n">
        <v>0</v>
      </c>
      <c r="W356" s="418" t="n">
        <v>0</v>
      </c>
      <c r="X356" s="418" t="n">
        <v>1.525</v>
      </c>
      <c r="Z356" s="418" t="n">
        <v>0</v>
      </c>
      <c r="AB356" s="418" t="n">
        <v>0</v>
      </c>
      <c r="AC356" s="418" t="n">
        <v>0.975</v>
      </c>
      <c r="AP356" s="437"/>
      <c r="AQ356" s="437"/>
      <c r="AR356" s="437"/>
      <c r="AS356" s="437"/>
      <c r="AW356" s="418" t="n">
        <v>0.070210022105095</v>
      </c>
    </row>
    <row r="357" customFormat="false" ht="12" hidden="false" customHeight="false" outlineLevel="0" collapsed="false">
      <c r="E357" s="420" t="n">
        <v>0.070098031655526</v>
      </c>
      <c r="G357" s="420" t="n">
        <v>0.0350425</v>
      </c>
      <c r="J357" s="420" t="n">
        <v>0.305</v>
      </c>
      <c r="K357" s="420" t="n">
        <v>0.435</v>
      </c>
      <c r="N357" s="420" t="n">
        <v>0</v>
      </c>
      <c r="W357" s="418" t="n">
        <v>0</v>
      </c>
      <c r="X357" s="418" t="n">
        <v>1.455</v>
      </c>
      <c r="Z357" s="418" t="n">
        <v>0</v>
      </c>
      <c r="AB357" s="418" t="n">
        <v>0</v>
      </c>
      <c r="AC357" s="418" t="n">
        <v>0.975</v>
      </c>
      <c r="AP357" s="437"/>
      <c r="AQ357" s="437"/>
      <c r="AR357" s="437"/>
      <c r="AS357" s="437"/>
      <c r="AW357" s="418" t="n">
        <v>0.070204237526679</v>
      </c>
    </row>
    <row r="358" customFormat="false" ht="12" hidden="false" customHeight="false" outlineLevel="0" collapsed="false">
      <c r="E358" s="420" t="n">
        <v>0.070092564033232</v>
      </c>
      <c r="G358" s="420" t="n">
        <v>0.0450425</v>
      </c>
      <c r="J358" s="420" t="n">
        <v>0.265</v>
      </c>
      <c r="K358" s="420" t="n">
        <v>0.3025</v>
      </c>
      <c r="N358" s="420" t="n">
        <v>0</v>
      </c>
      <c r="W358" s="418" t="n">
        <v>0</v>
      </c>
      <c r="X358" s="418" t="n">
        <v>0.835</v>
      </c>
      <c r="Z358" s="418" t="n">
        <v>0</v>
      </c>
      <c r="AB358" s="418" t="n">
        <v>0</v>
      </c>
      <c r="AC358" s="418" t="n">
        <v>0.6075</v>
      </c>
      <c r="AP358" s="437"/>
      <c r="AQ358" s="437"/>
      <c r="AR358" s="437"/>
      <c r="AS358" s="437"/>
      <c r="AW358" s="418" t="n">
        <v>0.070199012746183</v>
      </c>
    </row>
    <row r="359" customFormat="false" ht="12" hidden="false" customHeight="false" outlineLevel="0" collapsed="false">
      <c r="E359" s="420" t="n">
        <v>0.070086510594274</v>
      </c>
      <c r="G359" s="420" t="n">
        <v>0.1049766</v>
      </c>
      <c r="J359" s="420" t="n">
        <v>0.195</v>
      </c>
      <c r="K359" s="420" t="n">
        <v>0.25</v>
      </c>
      <c r="N359" s="420" t="n">
        <v>0</v>
      </c>
      <c r="W359" s="418" t="n">
        <v>0</v>
      </c>
      <c r="X359" s="418" t="n">
        <v>0.45</v>
      </c>
      <c r="Z359" s="418" t="n">
        <v>0</v>
      </c>
      <c r="AB359" s="418" t="n">
        <v>0</v>
      </c>
      <c r="AC359" s="418" t="n">
        <v>0.355</v>
      </c>
      <c r="AP359" s="437"/>
      <c r="AQ359" s="437"/>
      <c r="AR359" s="437"/>
      <c r="AS359" s="437"/>
      <c r="AW359" s="418" t="n">
        <v>0.070193228167787</v>
      </c>
    </row>
    <row r="360" customFormat="false" ht="12" hidden="false" customHeight="false" outlineLevel="0" collapsed="false">
      <c r="E360" s="420" t="n">
        <v>0.070080652427554</v>
      </c>
      <c r="G360" s="420" t="n">
        <v>0.1049681</v>
      </c>
      <c r="J360" s="420" t="n">
        <v>0.1825</v>
      </c>
      <c r="K360" s="420" t="n">
        <v>0.2025</v>
      </c>
      <c r="N360" s="420" t="n">
        <v>0</v>
      </c>
      <c r="W360" s="418" t="n">
        <v>0</v>
      </c>
      <c r="X360" s="418" t="n">
        <v>0.405</v>
      </c>
      <c r="Z360" s="418" t="n">
        <v>0</v>
      </c>
      <c r="AB360" s="418" t="n">
        <v>0</v>
      </c>
      <c r="AC360" s="418" t="n">
        <v>0.2875</v>
      </c>
      <c r="AP360" s="437"/>
      <c r="AQ360" s="437"/>
      <c r="AR360" s="437"/>
      <c r="AS360" s="437"/>
      <c r="AW360" s="418" t="n">
        <v>0.070187630188706</v>
      </c>
    </row>
    <row r="361" customFormat="false" ht="12" hidden="false" customHeight="false" outlineLevel="0" collapsed="false">
      <c r="E361" s="420" t="n">
        <v>0.07007459898862</v>
      </c>
      <c r="G361" s="420" t="n">
        <v>0.1049681</v>
      </c>
      <c r="J361" s="420" t="n">
        <v>0.1825</v>
      </c>
      <c r="K361" s="420" t="n">
        <v>0.2025</v>
      </c>
      <c r="N361" s="420" t="n">
        <v>0</v>
      </c>
      <c r="W361" s="418" t="n">
        <v>0</v>
      </c>
      <c r="X361" s="418" t="n">
        <v>0.395</v>
      </c>
      <c r="Z361" s="418" t="n">
        <v>0</v>
      </c>
      <c r="AB361" s="418" t="n">
        <v>0</v>
      </c>
      <c r="AC361" s="418" t="n">
        <v>0.2875</v>
      </c>
      <c r="AP361" s="437"/>
      <c r="AQ361" s="437"/>
      <c r="AR361" s="437"/>
      <c r="AS361" s="437"/>
      <c r="AW361" s="418" t="n">
        <v>0.070181845610332</v>
      </c>
    </row>
    <row r="362" customFormat="false" ht="12" hidden="false" customHeight="false" outlineLevel="0" collapsed="false">
      <c r="E362" s="420" t="n">
        <v>0.070068740821922</v>
      </c>
      <c r="G362" s="420" t="n">
        <v>0.1049681</v>
      </c>
      <c r="J362" s="420" t="n">
        <v>0.1825</v>
      </c>
      <c r="K362" s="420" t="n">
        <v>0.215</v>
      </c>
      <c r="N362" s="420" t="n">
        <v>0</v>
      </c>
      <c r="W362" s="418" t="n">
        <v>0</v>
      </c>
      <c r="X362" s="418" t="n">
        <v>0.43</v>
      </c>
      <c r="Z362" s="418" t="n">
        <v>0</v>
      </c>
      <c r="AB362" s="418" t="n">
        <v>0</v>
      </c>
      <c r="AC362" s="418" t="n">
        <v>0.3</v>
      </c>
      <c r="AP362" s="437"/>
      <c r="AQ362" s="437"/>
      <c r="AR362" s="437"/>
      <c r="AS362" s="437"/>
      <c r="AW362" s="418" t="n">
        <v>0.070176247631271</v>
      </c>
    </row>
    <row r="363" customFormat="false" ht="12" hidden="false" customHeight="false" outlineLevel="0" collapsed="false">
      <c r="E363" s="420" t="n">
        <v>0.070062687383013</v>
      </c>
      <c r="G363" s="420" t="n">
        <v>0.1049681</v>
      </c>
      <c r="J363" s="420" t="n">
        <v>0.1825</v>
      </c>
      <c r="K363" s="420" t="n">
        <v>0.215</v>
      </c>
      <c r="N363" s="420" t="n">
        <v>0</v>
      </c>
      <c r="W363" s="418" t="n">
        <v>0</v>
      </c>
      <c r="X363" s="418" t="n">
        <v>0.495</v>
      </c>
      <c r="Z363" s="418" t="n">
        <v>0</v>
      </c>
      <c r="AB363" s="418" t="n">
        <v>0</v>
      </c>
      <c r="AC363" s="418" t="n">
        <v>0.3</v>
      </c>
      <c r="AP363" s="437"/>
      <c r="AQ363" s="437"/>
      <c r="AR363" s="437"/>
      <c r="AS363" s="437"/>
      <c r="AW363" s="418" t="n">
        <v>0.070170463052919</v>
      </c>
    </row>
    <row r="364" customFormat="false" ht="12" hidden="false" customHeight="false" outlineLevel="0" collapsed="false">
      <c r="E364" s="420" t="n">
        <v>0.070056633944116</v>
      </c>
      <c r="G364" s="420" t="n">
        <v>0.1049681</v>
      </c>
      <c r="J364" s="420" t="n">
        <v>0.1825</v>
      </c>
      <c r="K364" s="420" t="n">
        <v>0.195</v>
      </c>
      <c r="N364" s="420" t="n">
        <v>0</v>
      </c>
      <c r="W364" s="418" t="n">
        <v>0</v>
      </c>
      <c r="X364" s="418" t="n">
        <v>0.395</v>
      </c>
      <c r="Z364" s="418" t="n">
        <v>0</v>
      </c>
      <c r="AB364" s="418" t="n">
        <v>0</v>
      </c>
      <c r="AC364" s="418" t="n">
        <v>0.29</v>
      </c>
      <c r="AP364" s="437"/>
      <c r="AQ364" s="437"/>
      <c r="AR364" s="437"/>
      <c r="AS364" s="437"/>
      <c r="AW364" s="418" t="n">
        <v>0.070164678474578</v>
      </c>
    </row>
    <row r="365" customFormat="false" ht="12" hidden="false" customHeight="false" outlineLevel="0" collapsed="false">
      <c r="E365" s="420" t="n">
        <v>0.070050775777452</v>
      </c>
      <c r="G365" s="420" t="n">
        <v>0.1049681</v>
      </c>
      <c r="J365" s="420" t="n">
        <v>0.1875</v>
      </c>
      <c r="K365" s="420" t="n">
        <v>0.215</v>
      </c>
      <c r="N365" s="420" t="n">
        <v>0</v>
      </c>
      <c r="W365" s="418" t="n">
        <v>0</v>
      </c>
      <c r="X365" s="418" t="n">
        <v>0.461</v>
      </c>
      <c r="Z365" s="418" t="n">
        <v>0</v>
      </c>
      <c r="AB365" s="418" t="n">
        <v>0</v>
      </c>
      <c r="AC365" s="418" t="n">
        <v>0.3625</v>
      </c>
      <c r="AP365" s="437"/>
      <c r="AQ365" s="437"/>
      <c r="AR365" s="437"/>
      <c r="AS365" s="437"/>
      <c r="AW365" s="418" t="n">
        <v>0.070159080495549</v>
      </c>
    </row>
    <row r="366" customFormat="false" ht="12" hidden="false" customHeight="false" outlineLevel="0" collapsed="false">
      <c r="E366" s="420" t="n">
        <v>0.070044722338578</v>
      </c>
      <c r="G366" s="420" t="n">
        <v>0.0250112</v>
      </c>
      <c r="J366" s="420" t="n">
        <v>0.27</v>
      </c>
      <c r="K366" s="420" t="n">
        <v>0.2875</v>
      </c>
      <c r="N366" s="420" t="n">
        <v>0</v>
      </c>
      <c r="W366" s="418" t="n">
        <v>0</v>
      </c>
      <c r="X366" s="418" t="n">
        <v>0.7675</v>
      </c>
      <c r="Z366" s="418" t="n">
        <v>0</v>
      </c>
      <c r="AB366" s="418" t="n">
        <v>0</v>
      </c>
      <c r="AC366" s="418" t="n">
        <v>0.465</v>
      </c>
      <c r="AP366" s="437"/>
      <c r="AQ366" s="437"/>
      <c r="AR366" s="437"/>
      <c r="AS366" s="437"/>
      <c r="AW366" s="418" t="n">
        <v>0.07015329591723</v>
      </c>
    </row>
    <row r="367" customFormat="false" ht="12" hidden="false" customHeight="false" outlineLevel="0" collapsed="false">
      <c r="E367" s="420" t="n">
        <v>0.070038864171938</v>
      </c>
      <c r="G367" s="420" t="n">
        <v>0.010048</v>
      </c>
      <c r="J367" s="420" t="n">
        <v>0.305</v>
      </c>
      <c r="K367" s="420" t="n">
        <v>0.3375</v>
      </c>
      <c r="N367" s="420" t="n">
        <v>0</v>
      </c>
      <c r="W367" s="418" t="n">
        <v>0</v>
      </c>
      <c r="X367" s="418" t="n">
        <v>1.19</v>
      </c>
      <c r="Z367" s="418" t="n">
        <v>0</v>
      </c>
      <c r="AB367" s="418" t="n">
        <v>0</v>
      </c>
      <c r="AC367" s="418" t="n">
        <v>0.8</v>
      </c>
      <c r="AP367" s="437"/>
      <c r="AQ367" s="437"/>
      <c r="AR367" s="437"/>
      <c r="AS367" s="437"/>
      <c r="AW367" s="418" t="n">
        <v>0.070147697938221</v>
      </c>
    </row>
    <row r="368" customFormat="false" ht="12" hidden="false" customHeight="false" outlineLevel="0" collapsed="false">
      <c r="E368" s="420" t="n">
        <v>0.070032810733088</v>
      </c>
      <c r="AW368" s="418" t="n">
        <v>0.070141913359924</v>
      </c>
    </row>
    <row r="369" customFormat="false" ht="12" hidden="false" customHeight="false" outlineLevel="0" collapsed="false">
      <c r="E369" s="420" t="n">
        <v>0.070026757294251</v>
      </c>
      <c r="AW369" s="418" t="n">
        <v>0.070136128781638</v>
      </c>
    </row>
    <row r="370" customFormat="false" ht="12" hidden="false" customHeight="false" outlineLevel="0" collapsed="false">
      <c r="E370" s="420" t="n">
        <v>0.070021289672086</v>
      </c>
      <c r="AW370" s="418" t="n">
        <v>0.070130904001259</v>
      </c>
    </row>
    <row r="371" customFormat="false" ht="12" hidden="false" customHeight="false" outlineLevel="0" collapsed="false">
      <c r="E371" s="420" t="n">
        <v>0.070015236233271</v>
      </c>
      <c r="AW371" s="418" t="n">
        <v>0.070125119423</v>
      </c>
    </row>
    <row r="372" customFormat="false" ht="12" hidden="false" customHeight="false" outlineLevel="0" collapsed="false">
      <c r="E372" s="420" t="n">
        <v>0.070009378066688</v>
      </c>
      <c r="AW372" s="418" t="n">
        <v>0.070119521444038</v>
      </c>
    </row>
    <row r="373" customFormat="false" ht="12" hidden="false" customHeight="false" outlineLevel="0" collapsed="false">
      <c r="E373" s="420" t="n">
        <v>0.070003324627897</v>
      </c>
      <c r="AW373" s="418" t="n">
        <v>0.070113736865795</v>
      </c>
    </row>
    <row r="374" customFormat="false" ht="12" hidden="false" customHeight="false" outlineLevel="0" collapsed="false">
      <c r="E374" s="420" t="n">
        <v>0.069997466461337</v>
      </c>
      <c r="AW374" s="418" t="n">
        <v>0.07010813888686</v>
      </c>
    </row>
    <row r="375" customFormat="false" ht="12" hidden="false" customHeight="false" outlineLevel="0" collapsed="false">
      <c r="E375" s="420" t="n">
        <v>0.06999141302257</v>
      </c>
      <c r="AW375" s="418" t="n">
        <v>0.070102354308638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4">
              <controlPr defaultSize="0" print="false" autoFill="0" autoPict="0" macro="xls.Module6.LoadinCurves">
                <anchor moveWithCells="true" sizeWithCells="false">
                  <from>
                    <xdr:col>0</xdr:col>
                    <xdr:colOff>271800</xdr:colOff>
                    <xdr:row>7</xdr:row>
                    <xdr:rowOff>47520</xdr:rowOff>
                  </from>
                  <to>
                    <xdr:col>2</xdr:col>
                    <xdr:colOff>41760</xdr:colOff>
                    <xdr:row>9</xdr:row>
                    <xdr:rowOff>9360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C4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1" activeCellId="0" sqref="L11:N235"/>
    </sheetView>
  </sheetViews>
  <sheetFormatPr defaultColWidth="9.13671875" defaultRowHeight="12" customHeight="true" zeroHeight="false" outlineLevelRow="0" outlineLevelCol="0"/>
  <cols>
    <col collapsed="false" customWidth="false" hidden="false" outlineLevel="0" max="1" min="1" style="418" width="9.14"/>
    <col collapsed="false" customWidth="true" hidden="false" outlineLevel="0" max="2" min="2" style="419" width="11.56"/>
    <col collapsed="false" customWidth="false" hidden="false" outlineLevel="0" max="4" min="3" style="420" width="9.14"/>
    <col collapsed="false" customWidth="true" hidden="false" outlineLevel="0" max="6" min="5" style="420" width="11.42"/>
    <col collapsed="false" customWidth="true" hidden="false" outlineLevel="0" max="7" min="7" style="420" width="13.56"/>
    <col collapsed="false" customWidth="true" hidden="false" outlineLevel="0" max="8" min="8" style="420" width="11.42"/>
    <col collapsed="false" customWidth="true" hidden="false" outlineLevel="0" max="9" min="9" style="420" width="10.56"/>
    <col collapsed="false" customWidth="false" hidden="false" outlineLevel="0" max="11" min="10" style="420" width="9.14"/>
    <col collapsed="false" customWidth="true" hidden="false" outlineLevel="0" max="12" min="12" style="420" width="13.14"/>
    <col collapsed="false" customWidth="true" hidden="false" outlineLevel="0" max="13" min="13" style="420" width="12.99"/>
    <col collapsed="false" customWidth="true" hidden="false" outlineLevel="0" max="14" min="14" style="420" width="10.28"/>
    <col collapsed="false" customWidth="true" hidden="false" outlineLevel="0" max="15" min="15" style="420" width="9.7"/>
    <col collapsed="false" customWidth="true" hidden="false" outlineLevel="0" max="16" min="16" style="420" width="11.85"/>
    <col collapsed="false" customWidth="true" hidden="false" outlineLevel="0" max="17" min="17" style="420" width="10.13"/>
    <col collapsed="false" customWidth="true" hidden="false" outlineLevel="0" max="18" min="18" style="418" width="11.28"/>
    <col collapsed="false" customWidth="true" hidden="false" outlineLevel="0" max="20" min="19" style="418" width="11.13"/>
    <col collapsed="false" customWidth="true" hidden="false" outlineLevel="0" max="21" min="21" style="418" width="11.28"/>
    <col collapsed="false" customWidth="true" hidden="false" outlineLevel="0" max="22" min="22" style="418" width="15.28"/>
    <col collapsed="false" customWidth="true" hidden="false" outlineLevel="0" max="23" min="23" style="418" width="14.99"/>
    <col collapsed="false" customWidth="true" hidden="false" outlineLevel="0" max="24" min="24" style="418" width="14.28"/>
    <col collapsed="false" customWidth="true" hidden="false" outlineLevel="0" max="27" min="25" style="418" width="10.85"/>
    <col collapsed="false" customWidth="false" hidden="false" outlineLevel="0" max="43" min="28" style="418" width="9.14"/>
    <col collapsed="false" customWidth="true" hidden="false" outlineLevel="0" max="44" min="44" style="418" width="9.7"/>
    <col collapsed="false" customWidth="false" hidden="false" outlineLevel="0" max="49" min="45" style="418" width="9.14"/>
    <col collapsed="false" customWidth="true" hidden="false" outlineLevel="0" max="51" min="50" style="418" width="13.14"/>
    <col collapsed="false" customWidth="true" hidden="false" outlineLevel="0" max="52" min="52" style="418" width="9.56"/>
    <col collapsed="false" customWidth="false" hidden="false" outlineLevel="0" max="257" min="53" style="418" width="9.14"/>
  </cols>
  <sheetData>
    <row r="1" customFormat="false" ht="12" hidden="false" customHeight="false" outlineLevel="0" collapsed="false">
      <c r="A1" s="418" t="s">
        <v>552</v>
      </c>
      <c r="B1" s="421" t="s">
        <v>553</v>
      </c>
      <c r="C1" s="422" t="s">
        <v>554</v>
      </c>
    </row>
    <row r="2" customFormat="false" ht="12" hidden="false" customHeight="false" outlineLevel="0" collapsed="false">
      <c r="A2" s="418" t="s">
        <v>555</v>
      </c>
      <c r="B2" s="421" t="s">
        <v>553</v>
      </c>
      <c r="C2" s="422" t="s">
        <v>556</v>
      </c>
    </row>
    <row r="3" customFormat="false" ht="12" hidden="false" customHeight="false" outlineLevel="0" collapsed="false">
      <c r="A3" s="418" t="s">
        <v>557</v>
      </c>
      <c r="B3" s="421" t="s">
        <v>558</v>
      </c>
      <c r="C3" s="422" t="s">
        <v>559</v>
      </c>
      <c r="AD3" s="423"/>
      <c r="AE3" s="423"/>
    </row>
    <row r="4" customFormat="false" ht="12.75" hidden="false" customHeight="false" outlineLevel="0" collapsed="false">
      <c r="B4" s="421"/>
      <c r="C4" s="422"/>
      <c r="AD4" s="421"/>
      <c r="AE4" s="421"/>
      <c r="BA4" s="424"/>
      <c r="BB4" s="424"/>
      <c r="BC4" s="424"/>
    </row>
    <row r="5" customFormat="false" ht="12.75" hidden="false" customHeight="false" outlineLevel="0" collapsed="false">
      <c r="A5" s="418" t="s">
        <v>560</v>
      </c>
      <c r="B5" s="425" t="n">
        <v>36766</v>
      </c>
      <c r="C5" s="422" t="s">
        <v>561</v>
      </c>
      <c r="AD5" s="421"/>
      <c r="AE5" s="421"/>
      <c r="BA5" s="424"/>
      <c r="BB5" s="424"/>
      <c r="BC5" s="424"/>
    </row>
    <row r="6" customFormat="false" ht="12.75" hidden="false" customHeight="false" outlineLevel="0" collapsed="false">
      <c r="B6" s="421"/>
      <c r="C6" s="422"/>
      <c r="AD6" s="426"/>
      <c r="AE6" s="426"/>
      <c r="BA6" s="426"/>
      <c r="BB6" s="426"/>
      <c r="BC6" s="426"/>
    </row>
    <row r="7" customFormat="false" ht="12.75" hidden="false" customHeight="false" outlineLevel="0" collapsed="false">
      <c r="B7" s="421"/>
      <c r="C7" s="422"/>
      <c r="AD7" s="426"/>
      <c r="AE7" s="426"/>
    </row>
    <row r="8" customFormat="false" ht="12" hidden="false" customHeight="false" outlineLevel="0" collapsed="false">
      <c r="C8" s="428"/>
    </row>
    <row r="10" customFormat="false" ht="12" hidden="false" customHeight="false" outlineLevel="0" collapsed="false">
      <c r="C10" s="420" t="n">
        <v>1</v>
      </c>
      <c r="D10" s="420" t="n">
        <v>2</v>
      </c>
      <c r="E10" s="420" t="n">
        <v>3</v>
      </c>
      <c r="F10" s="420" t="n">
        <v>4</v>
      </c>
      <c r="G10" s="420" t="n">
        <v>5</v>
      </c>
      <c r="L10" s="418"/>
      <c r="M10" s="418"/>
      <c r="N10" s="418"/>
      <c r="O10" s="418"/>
      <c r="P10" s="418"/>
      <c r="Q10" s="418"/>
    </row>
    <row r="11" customFormat="false" ht="12" hidden="false" customHeight="false" outlineLevel="0" collapsed="false">
      <c r="B11" s="430" t="s">
        <v>564</v>
      </c>
      <c r="C11" s="423" t="n">
        <f aca="false">EffDt1</f>
        <v>36766</v>
      </c>
      <c r="D11" s="423" t="n">
        <f aca="false">EffDt1</f>
        <v>36766</v>
      </c>
      <c r="E11" s="423" t="n">
        <f aca="false">EffDt1</f>
        <v>36766</v>
      </c>
      <c r="F11" s="423" t="n">
        <f aca="false">EffDt1</f>
        <v>36766</v>
      </c>
      <c r="G11" s="423" t="n">
        <f aca="false">EffDt1</f>
        <v>36766</v>
      </c>
      <c r="H11" s="423"/>
      <c r="I11" s="423"/>
      <c r="J11" s="423"/>
      <c r="K11" s="423"/>
      <c r="L11" s="423" t="n">
        <v>36766</v>
      </c>
      <c r="M11" s="423" t="n">
        <v>36766</v>
      </c>
      <c r="N11" s="423" t="n">
        <v>36766</v>
      </c>
      <c r="O11" s="423" t="n">
        <v>36739</v>
      </c>
      <c r="P11" s="423" t="n">
        <v>36739</v>
      </c>
      <c r="Q11" s="418"/>
    </row>
    <row r="12" customFormat="false" ht="12" hidden="false" customHeight="false" outlineLevel="0" collapsed="false">
      <c r="B12" s="430" t="s">
        <v>567</v>
      </c>
      <c r="C12" s="421" t="n">
        <f aca="false">EOMONTH(C11,-1)+1</f>
        <v>36739</v>
      </c>
      <c r="D12" s="421" t="n">
        <f aca="false">EOMONTH(D11,-1)+1</f>
        <v>36739</v>
      </c>
      <c r="E12" s="421" t="n">
        <f aca="false">EOMONTH(E11,-1)+1</f>
        <v>36739</v>
      </c>
      <c r="F12" s="421" t="n">
        <f aca="false">EOMONTH(F11,-1)+1</f>
        <v>36739</v>
      </c>
      <c r="G12" s="421" t="n">
        <f aca="false">EOMONTH(G11,-1)+1</f>
        <v>36739</v>
      </c>
      <c r="H12" s="421"/>
      <c r="I12" s="421"/>
      <c r="J12" s="421"/>
      <c r="K12" s="421"/>
      <c r="L12" s="418" t="n">
        <v>36739</v>
      </c>
      <c r="M12" s="418" t="n">
        <v>36739</v>
      </c>
      <c r="N12" s="421" t="n">
        <v>36739</v>
      </c>
      <c r="O12" s="421" t="n">
        <v>36739</v>
      </c>
      <c r="P12" s="421" t="n">
        <v>36739</v>
      </c>
      <c r="Q12" s="418"/>
    </row>
    <row r="13" customFormat="false" ht="12.75" hidden="false" customHeight="false" outlineLevel="0" collapsed="false">
      <c r="B13" s="430" t="s">
        <v>568</v>
      </c>
      <c r="C13" s="424" t="s">
        <v>475</v>
      </c>
      <c r="D13" s="424" t="s">
        <v>476</v>
      </c>
      <c r="E13" s="433" t="s">
        <v>477</v>
      </c>
      <c r="F13" s="433" t="s">
        <v>497</v>
      </c>
      <c r="G13" s="433" t="s">
        <v>496</v>
      </c>
      <c r="H13" s="424"/>
      <c r="I13" s="424"/>
      <c r="J13" s="424"/>
      <c r="K13" s="424"/>
      <c r="L13" s="453" t="s">
        <v>475</v>
      </c>
      <c r="M13" s="453" t="s">
        <v>476</v>
      </c>
      <c r="N13" s="424" t="s">
        <v>477</v>
      </c>
      <c r="O13" s="424" t="s">
        <v>476</v>
      </c>
      <c r="P13" s="433" t="s">
        <v>477</v>
      </c>
      <c r="Q13" s="424"/>
      <c r="R13" s="424"/>
      <c r="S13" s="424"/>
      <c r="T13" s="424"/>
      <c r="U13" s="424"/>
      <c r="V13" s="424"/>
      <c r="W13" s="424"/>
      <c r="X13" s="424"/>
    </row>
    <row r="14" customFormat="false" ht="12.75" hidden="false" customHeight="false" outlineLevel="0" collapsed="false">
      <c r="B14" s="430" t="s">
        <v>574</v>
      </c>
      <c r="C14" s="426" t="s">
        <v>575</v>
      </c>
      <c r="D14" s="426" t="s">
        <v>575</v>
      </c>
      <c r="E14" s="420" t="s">
        <v>576</v>
      </c>
      <c r="F14" s="426" t="s">
        <v>575</v>
      </c>
      <c r="G14" s="426" t="s">
        <v>575</v>
      </c>
      <c r="H14" s="426"/>
      <c r="I14" s="426"/>
      <c r="J14" s="426"/>
      <c r="K14" s="426"/>
      <c r="L14" s="418" t="s">
        <v>575</v>
      </c>
      <c r="M14" s="418" t="s">
        <v>575</v>
      </c>
      <c r="N14" s="426" t="s">
        <v>576</v>
      </c>
      <c r="O14" s="426" t="s">
        <v>575</v>
      </c>
      <c r="P14" s="420" t="s">
        <v>576</v>
      </c>
      <c r="Q14" s="426"/>
      <c r="R14" s="426"/>
      <c r="S14" s="426"/>
      <c r="T14" s="426"/>
      <c r="U14" s="426"/>
      <c r="V14" s="426"/>
      <c r="W14" s="426"/>
      <c r="X14" s="426"/>
    </row>
    <row r="15" customFormat="false" ht="12.75" hidden="false" customHeight="false" outlineLevel="0" collapsed="false">
      <c r="B15" s="430" t="s">
        <v>578</v>
      </c>
      <c r="C15" s="426" t="s">
        <v>581</v>
      </c>
      <c r="D15" s="426" t="s">
        <v>581</v>
      </c>
      <c r="E15" s="420" t="s">
        <v>132</v>
      </c>
      <c r="F15" s="426" t="s">
        <v>581</v>
      </c>
      <c r="G15" s="426" t="s">
        <v>581</v>
      </c>
      <c r="H15" s="426"/>
      <c r="I15" s="426"/>
      <c r="J15" s="426"/>
      <c r="K15" s="426"/>
      <c r="L15" s="418" t="s">
        <v>581</v>
      </c>
      <c r="M15" s="418" t="s">
        <v>581</v>
      </c>
      <c r="N15" s="426" t="s">
        <v>132</v>
      </c>
      <c r="O15" s="426" t="s">
        <v>581</v>
      </c>
      <c r="P15" s="420" t="s">
        <v>132</v>
      </c>
      <c r="Q15" s="426"/>
      <c r="R15" s="426"/>
      <c r="S15" s="426"/>
      <c r="T15" s="426"/>
      <c r="U15" s="426"/>
      <c r="V15" s="426"/>
      <c r="W15" s="426"/>
      <c r="X15" s="426"/>
    </row>
    <row r="16" customFormat="false" ht="12" hidden="false" customHeight="false" outlineLevel="0" collapsed="false">
      <c r="B16" s="419" t="n">
        <f aca="false">EOMONTH(EffDt1,-1)+1</f>
        <v>36739</v>
      </c>
      <c r="C16" s="454" t="n">
        <v>4.615</v>
      </c>
      <c r="D16" s="454" t="n">
        <v>3.515</v>
      </c>
      <c r="E16" s="440" t="n">
        <v>0.42</v>
      </c>
      <c r="F16" s="454" t="n">
        <v>3.76</v>
      </c>
      <c r="G16" s="454" t="n">
        <v>4.22</v>
      </c>
      <c r="H16" s="437"/>
      <c r="I16" s="442" t="n">
        <v>36678</v>
      </c>
      <c r="J16" s="418" t="n">
        <v>4</v>
      </c>
      <c r="K16" s="442"/>
      <c r="L16" s="437" t="n">
        <v>4.615</v>
      </c>
      <c r="M16" s="419" t="n">
        <v>3.515</v>
      </c>
      <c r="N16" s="454" t="n">
        <v>0.42</v>
      </c>
      <c r="O16" s="454" t="n">
        <v>3.515</v>
      </c>
      <c r="P16" s="440" t="n">
        <v>0.645</v>
      </c>
      <c r="Q16" s="418"/>
      <c r="R16" s="442" t="n">
        <v>36678</v>
      </c>
      <c r="S16" s="418" t="n">
        <v>4</v>
      </c>
    </row>
    <row r="17" customFormat="false" ht="12" hidden="false" customHeight="false" outlineLevel="0" collapsed="false">
      <c r="B17" s="419" t="n">
        <f aca="false">EOMONTH(B16,0)+1</f>
        <v>36770</v>
      </c>
      <c r="C17" s="454" t="n">
        <v>4.535</v>
      </c>
      <c r="D17" s="454" t="n">
        <v>3.495</v>
      </c>
      <c r="E17" s="440" t="n">
        <v>0.485</v>
      </c>
      <c r="F17" s="454" t="n">
        <v>3.74</v>
      </c>
      <c r="G17" s="454" t="n">
        <v>4.08</v>
      </c>
      <c r="H17" s="437"/>
      <c r="I17" s="442" t="n">
        <v>36679</v>
      </c>
      <c r="J17" s="418" t="n">
        <v>5</v>
      </c>
      <c r="K17" s="442"/>
      <c r="L17" s="437" t="n">
        <v>4.535</v>
      </c>
      <c r="M17" s="419" t="n">
        <v>3.495</v>
      </c>
      <c r="N17" s="454" t="n">
        <v>0.485</v>
      </c>
      <c r="O17" s="454" t="n">
        <v>3.53</v>
      </c>
      <c r="P17" s="440" t="n">
        <v>0.675</v>
      </c>
      <c r="Q17" s="418"/>
      <c r="R17" s="442" t="n">
        <v>36679</v>
      </c>
      <c r="S17" s="418" t="n">
        <v>5</v>
      </c>
    </row>
    <row r="18" customFormat="false" ht="12" hidden="false" customHeight="false" outlineLevel="0" collapsed="false">
      <c r="B18" s="419" t="n">
        <f aca="false">EOMONTH(B17,0)+1</f>
        <v>36800</v>
      </c>
      <c r="C18" s="454" t="n">
        <v>4.645</v>
      </c>
      <c r="D18" s="454" t="n">
        <v>3.625</v>
      </c>
      <c r="E18" s="440" t="n">
        <v>0.485</v>
      </c>
      <c r="F18" s="454" t="n">
        <v>4.04</v>
      </c>
      <c r="G18" s="454" t="n">
        <v>4.415</v>
      </c>
      <c r="H18" s="437"/>
      <c r="I18" s="442" t="n">
        <v>36680</v>
      </c>
      <c r="J18" s="418" t="n">
        <v>6</v>
      </c>
      <c r="K18" s="442"/>
      <c r="L18" s="448" t="n">
        <v>4.645</v>
      </c>
      <c r="M18" s="419" t="n">
        <v>3.625</v>
      </c>
      <c r="N18" s="454" t="n">
        <v>0.485</v>
      </c>
      <c r="O18" s="454" t="n">
        <v>3.65</v>
      </c>
      <c r="P18" s="440" t="n">
        <v>0.725</v>
      </c>
      <c r="Q18" s="418"/>
      <c r="R18" s="442" t="n">
        <v>36680</v>
      </c>
      <c r="S18" s="418" t="n">
        <v>6</v>
      </c>
    </row>
    <row r="19" customFormat="false" ht="12" hidden="false" customHeight="false" outlineLevel="0" collapsed="false">
      <c r="B19" s="419" t="n">
        <f aca="false">EOMONTH(B18,0)+1</f>
        <v>36831</v>
      </c>
      <c r="C19" s="454" t="n">
        <v>4.755</v>
      </c>
      <c r="D19" s="454" t="n">
        <v>3.475</v>
      </c>
      <c r="E19" s="440" t="n">
        <v>1.025</v>
      </c>
      <c r="F19" s="454" t="n">
        <v>4.22</v>
      </c>
      <c r="G19" s="454" t="n">
        <v>4.54</v>
      </c>
      <c r="H19" s="437"/>
      <c r="I19" s="442" t="n">
        <v>36681</v>
      </c>
      <c r="J19" s="418" t="n">
        <v>7</v>
      </c>
      <c r="K19" s="442"/>
      <c r="L19" s="437" t="n">
        <v>4.755</v>
      </c>
      <c r="M19" s="419" t="n">
        <v>3.475</v>
      </c>
      <c r="N19" s="454" t="n">
        <v>1.025</v>
      </c>
      <c r="O19" s="454" t="n">
        <v>3.65</v>
      </c>
      <c r="P19" s="440" t="n">
        <v>1.025</v>
      </c>
      <c r="Q19" s="418"/>
      <c r="R19" s="442" t="n">
        <v>36681</v>
      </c>
      <c r="S19" s="418" t="n">
        <v>7</v>
      </c>
    </row>
    <row r="20" customFormat="false" ht="12" hidden="false" customHeight="false" outlineLevel="0" collapsed="false">
      <c r="B20" s="419" t="n">
        <f aca="false">EOMONTH(B19,0)+1</f>
        <v>36861</v>
      </c>
      <c r="C20" s="454" t="n">
        <v>4.75</v>
      </c>
      <c r="D20" s="454" t="n">
        <v>3.29</v>
      </c>
      <c r="E20" s="440" t="n">
        <v>1.25</v>
      </c>
      <c r="F20" s="454" t="n">
        <v>4.25</v>
      </c>
      <c r="G20" s="454" t="n">
        <v>4.51</v>
      </c>
      <c r="H20" s="437"/>
      <c r="I20" s="442" t="n">
        <v>36682</v>
      </c>
      <c r="J20" s="418" t="n">
        <v>8</v>
      </c>
      <c r="K20" s="442"/>
      <c r="L20" s="437" t="n">
        <v>4.75</v>
      </c>
      <c r="M20" s="419" t="n">
        <v>3.29</v>
      </c>
      <c r="N20" s="454" t="n">
        <v>1.25</v>
      </c>
      <c r="O20" s="454" t="n">
        <v>3.65</v>
      </c>
      <c r="P20" s="440" t="n">
        <v>1.225</v>
      </c>
      <c r="Q20" s="418"/>
      <c r="R20" s="442" t="n">
        <v>36682</v>
      </c>
      <c r="S20" s="418" t="n">
        <v>8</v>
      </c>
    </row>
    <row r="21" customFormat="false" ht="12" hidden="false" customHeight="false" outlineLevel="0" collapsed="false">
      <c r="B21" s="419" t="n">
        <f aca="false">EOMONTH(B20,0)+1</f>
        <v>36892</v>
      </c>
      <c r="C21" s="454" t="n">
        <v>4.75</v>
      </c>
      <c r="D21" s="454" t="n">
        <v>3.29</v>
      </c>
      <c r="E21" s="440" t="n">
        <v>1.25</v>
      </c>
      <c r="F21" s="454" t="n">
        <v>4.25</v>
      </c>
      <c r="G21" s="454" t="n">
        <v>4.51</v>
      </c>
      <c r="H21" s="437"/>
      <c r="I21" s="442" t="n">
        <v>36683</v>
      </c>
      <c r="J21" s="418" t="n">
        <v>9</v>
      </c>
      <c r="K21" s="442"/>
      <c r="L21" s="437" t="n">
        <v>4.75</v>
      </c>
      <c r="M21" s="419" t="n">
        <v>3.29</v>
      </c>
      <c r="N21" s="454" t="n">
        <v>1.25</v>
      </c>
      <c r="O21" s="454" t="n">
        <v>3.65</v>
      </c>
      <c r="P21" s="440" t="n">
        <v>1.225</v>
      </c>
      <c r="Q21" s="418"/>
      <c r="R21" s="442" t="n">
        <v>36683</v>
      </c>
      <c r="S21" s="418" t="n">
        <v>9</v>
      </c>
    </row>
    <row r="22" customFormat="false" ht="12" hidden="false" customHeight="false" outlineLevel="0" collapsed="false">
      <c r="B22" s="419" t="n">
        <f aca="false">EOMONTH(B21,0)+1</f>
        <v>36923</v>
      </c>
      <c r="C22" s="454" t="n">
        <v>4.75</v>
      </c>
      <c r="D22" s="454" t="n">
        <v>3.29</v>
      </c>
      <c r="E22" s="440" t="n">
        <v>1.25</v>
      </c>
      <c r="F22" s="454" t="n">
        <v>4.25</v>
      </c>
      <c r="G22" s="454" t="n">
        <v>4.51</v>
      </c>
      <c r="H22" s="437"/>
      <c r="I22" s="442" t="n">
        <v>36684</v>
      </c>
      <c r="J22" s="418" t="n">
        <v>10</v>
      </c>
      <c r="K22" s="442"/>
      <c r="L22" s="437" t="n">
        <v>4.75</v>
      </c>
      <c r="M22" s="419" t="n">
        <v>3.29</v>
      </c>
      <c r="N22" s="454" t="n">
        <v>1.25</v>
      </c>
      <c r="O22" s="454" t="n">
        <v>3.65</v>
      </c>
      <c r="P22" s="440" t="n">
        <v>1.225</v>
      </c>
      <c r="Q22" s="418"/>
      <c r="R22" s="442" t="n">
        <v>36684</v>
      </c>
      <c r="S22" s="418" t="n">
        <v>10</v>
      </c>
    </row>
    <row r="23" customFormat="false" ht="12" hidden="false" customHeight="false" outlineLevel="0" collapsed="false">
      <c r="B23" s="419" t="n">
        <f aca="false">EOMONTH(B22,0)+1</f>
        <v>36951</v>
      </c>
      <c r="C23" s="454" t="n">
        <v>4.87</v>
      </c>
      <c r="D23" s="454" t="n">
        <v>3.445</v>
      </c>
      <c r="E23" s="440" t="n">
        <v>1</v>
      </c>
      <c r="F23" s="454" t="n">
        <v>4.385</v>
      </c>
      <c r="G23" s="454" t="n">
        <v>4.92</v>
      </c>
      <c r="H23" s="437"/>
      <c r="I23" s="442" t="n">
        <v>36685</v>
      </c>
      <c r="J23" s="418" t="n">
        <v>11</v>
      </c>
      <c r="K23" s="442"/>
      <c r="L23" s="437" t="n">
        <v>4.87</v>
      </c>
      <c r="M23" s="419" t="n">
        <v>3.445</v>
      </c>
      <c r="N23" s="454" t="n">
        <v>1</v>
      </c>
      <c r="O23" s="454" t="n">
        <v>3.65</v>
      </c>
      <c r="P23" s="440" t="n">
        <v>0.975</v>
      </c>
      <c r="Q23" s="418"/>
      <c r="R23" s="442" t="n">
        <v>36685</v>
      </c>
      <c r="S23" s="418" t="n">
        <v>11</v>
      </c>
    </row>
    <row r="24" customFormat="false" ht="12" hidden="false" customHeight="false" outlineLevel="0" collapsed="false">
      <c r="B24" s="419" t="n">
        <f aca="false">EOMONTH(B23,0)+1</f>
        <v>36982</v>
      </c>
      <c r="C24" s="454" t="n">
        <v>4.875</v>
      </c>
      <c r="D24" s="454" t="n">
        <v>3.45</v>
      </c>
      <c r="E24" s="440" t="n">
        <v>0.5</v>
      </c>
      <c r="F24" s="454" t="n">
        <v>4.45</v>
      </c>
      <c r="G24" s="454" t="n">
        <v>4.93</v>
      </c>
      <c r="H24" s="437"/>
      <c r="I24" s="442" t="n">
        <v>36686</v>
      </c>
      <c r="J24" s="418" t="n">
        <v>12</v>
      </c>
      <c r="K24" s="442"/>
      <c r="L24" s="437" t="n">
        <v>4.875</v>
      </c>
      <c r="M24" s="419" t="n">
        <v>3.45</v>
      </c>
      <c r="N24" s="454" t="n">
        <v>0.5</v>
      </c>
      <c r="O24" s="454" t="n">
        <v>3.65</v>
      </c>
      <c r="P24" s="440" t="n">
        <v>0.5</v>
      </c>
      <c r="Q24" s="418"/>
      <c r="R24" s="442" t="n">
        <v>36686</v>
      </c>
      <c r="S24" s="418" t="n">
        <v>12</v>
      </c>
    </row>
    <row r="25" customFormat="false" ht="12" hidden="false" customHeight="false" outlineLevel="0" collapsed="false">
      <c r="B25" s="419" t="n">
        <f aca="false">EOMONTH(B24,0)+1</f>
        <v>37012</v>
      </c>
      <c r="C25" s="454" t="n">
        <v>4.77</v>
      </c>
      <c r="D25" s="454" t="n">
        <v>3.505</v>
      </c>
      <c r="E25" s="440" t="n">
        <v>0.45</v>
      </c>
      <c r="F25" s="454" t="n">
        <v>4.475</v>
      </c>
      <c r="G25" s="454" t="n">
        <v>4.93</v>
      </c>
      <c r="H25" s="437"/>
      <c r="I25" s="442" t="n">
        <v>36687</v>
      </c>
      <c r="J25" s="418" t="n">
        <v>13</v>
      </c>
      <c r="K25" s="442"/>
      <c r="L25" s="437" t="n">
        <v>4.77</v>
      </c>
      <c r="M25" s="419" t="n">
        <v>3.505</v>
      </c>
      <c r="N25" s="454" t="n">
        <v>0.45</v>
      </c>
      <c r="O25" s="454" t="n">
        <v>3.65</v>
      </c>
      <c r="P25" s="440" t="n">
        <v>0.45</v>
      </c>
      <c r="Q25" s="418"/>
      <c r="R25" s="442" t="n">
        <v>36687</v>
      </c>
      <c r="S25" s="418" t="n">
        <v>13</v>
      </c>
    </row>
    <row r="26" customFormat="false" ht="12" hidden="false" customHeight="false" outlineLevel="0" collapsed="false">
      <c r="B26" s="419" t="n">
        <f aca="false">EOMONTH(B25,0)+1</f>
        <v>37043</v>
      </c>
      <c r="C26" s="454" t="n">
        <v>4.765</v>
      </c>
      <c r="D26" s="454" t="n">
        <v>3.51</v>
      </c>
      <c r="E26" s="440" t="n">
        <v>0.55</v>
      </c>
      <c r="F26" s="454" t="n">
        <v>4.43</v>
      </c>
      <c r="G26" s="454" t="n">
        <v>4.81</v>
      </c>
      <c r="H26" s="437"/>
      <c r="I26" s="442" t="n">
        <v>36688</v>
      </c>
      <c r="J26" s="418" t="n">
        <v>14</v>
      </c>
      <c r="K26" s="442"/>
      <c r="L26" s="437" t="n">
        <v>4.765</v>
      </c>
      <c r="M26" s="419" t="n">
        <v>3.51</v>
      </c>
      <c r="N26" s="454" t="n">
        <v>0.55</v>
      </c>
      <c r="O26" s="454" t="n">
        <v>3.65</v>
      </c>
      <c r="P26" s="440" t="n">
        <v>0.55</v>
      </c>
      <c r="Q26" s="418"/>
      <c r="R26" s="442" t="n">
        <v>36688</v>
      </c>
      <c r="S26" s="418" t="n">
        <v>14</v>
      </c>
    </row>
    <row r="27" customFormat="false" ht="12" hidden="false" customHeight="false" outlineLevel="0" collapsed="false">
      <c r="B27" s="419" t="n">
        <f aca="false">EOMONTH(B26,0)+1</f>
        <v>37073</v>
      </c>
      <c r="C27" s="454" t="n">
        <v>4.74</v>
      </c>
      <c r="D27" s="454" t="n">
        <v>3.365</v>
      </c>
      <c r="E27" s="440" t="n">
        <v>0.55</v>
      </c>
      <c r="F27" s="454" t="n">
        <v>4.445</v>
      </c>
      <c r="G27" s="454" t="n">
        <v>4.72</v>
      </c>
      <c r="H27" s="437"/>
      <c r="I27" s="442" t="n">
        <v>36689</v>
      </c>
      <c r="J27" s="418" t="n">
        <v>15</v>
      </c>
      <c r="K27" s="442"/>
      <c r="L27" s="437" t="n">
        <v>4.74</v>
      </c>
      <c r="M27" s="419" t="n">
        <v>3.365</v>
      </c>
      <c r="N27" s="454" t="n">
        <v>0.55</v>
      </c>
      <c r="O27" s="454" t="n">
        <v>3.65</v>
      </c>
      <c r="P27" s="440" t="n">
        <v>0.55</v>
      </c>
      <c r="Q27" s="418"/>
      <c r="R27" s="442" t="n">
        <v>36689</v>
      </c>
      <c r="S27" s="418" t="n">
        <v>15</v>
      </c>
    </row>
    <row r="28" customFormat="false" ht="12" hidden="false" customHeight="false" outlineLevel="0" collapsed="false">
      <c r="B28" s="419" t="n">
        <f aca="false">EOMONTH(B27,0)+1</f>
        <v>37104</v>
      </c>
      <c r="C28" s="454" t="n">
        <v>4.74</v>
      </c>
      <c r="D28" s="454" t="n">
        <v>3.365</v>
      </c>
      <c r="E28" s="440" t="n">
        <v>0.65</v>
      </c>
      <c r="F28" s="454" t="n">
        <v>4.445</v>
      </c>
      <c r="G28" s="454" t="n">
        <v>4.72</v>
      </c>
      <c r="H28" s="437"/>
      <c r="I28" s="442" t="n">
        <v>36690</v>
      </c>
      <c r="J28" s="418" t="n">
        <v>16</v>
      </c>
      <c r="K28" s="442"/>
      <c r="L28" s="437" t="n">
        <v>4.74</v>
      </c>
      <c r="M28" s="419" t="n">
        <v>3.365</v>
      </c>
      <c r="N28" s="454" t="n">
        <v>0.65</v>
      </c>
      <c r="O28" s="454" t="n">
        <v>3.65</v>
      </c>
      <c r="P28" s="440" t="n">
        <v>0.65</v>
      </c>
      <c r="Q28" s="418"/>
      <c r="R28" s="442" t="n">
        <v>36690</v>
      </c>
      <c r="S28" s="418" t="n">
        <v>16</v>
      </c>
    </row>
    <row r="29" customFormat="false" ht="12" hidden="false" customHeight="false" outlineLevel="0" collapsed="false">
      <c r="B29" s="419" t="n">
        <f aca="false">EOMONTH(B28,0)+1</f>
        <v>37135</v>
      </c>
      <c r="C29" s="454" t="n">
        <v>4.74</v>
      </c>
      <c r="D29" s="454" t="n">
        <v>3.365</v>
      </c>
      <c r="E29" s="440" t="n">
        <v>0.6</v>
      </c>
      <c r="F29" s="454" t="n">
        <v>4.445</v>
      </c>
      <c r="G29" s="454" t="n">
        <v>4.72</v>
      </c>
      <c r="H29" s="437"/>
      <c r="I29" s="442" t="n">
        <v>36691</v>
      </c>
      <c r="J29" s="418" t="n">
        <v>17</v>
      </c>
      <c r="K29" s="442"/>
      <c r="L29" s="437" t="n">
        <v>4.74</v>
      </c>
      <c r="M29" s="419" t="n">
        <v>3.365</v>
      </c>
      <c r="N29" s="454" t="n">
        <v>0.6</v>
      </c>
      <c r="O29" s="454" t="n">
        <v>3.65</v>
      </c>
      <c r="P29" s="440" t="n">
        <v>0.6</v>
      </c>
      <c r="Q29" s="418"/>
      <c r="R29" s="442" t="n">
        <v>36691</v>
      </c>
      <c r="S29" s="418" t="n">
        <v>17</v>
      </c>
    </row>
    <row r="30" customFormat="false" ht="12" hidden="false" customHeight="false" outlineLevel="0" collapsed="false">
      <c r="B30" s="419" t="n">
        <f aca="false">EOMONTH(B29,0)+1</f>
        <v>37165</v>
      </c>
      <c r="C30" s="454" t="n">
        <v>4.765</v>
      </c>
      <c r="D30" s="454" t="n">
        <v>3.46</v>
      </c>
      <c r="E30" s="440" t="n">
        <v>0.65</v>
      </c>
      <c r="F30" s="454" t="n">
        <v>4.43</v>
      </c>
      <c r="G30" s="454" t="n">
        <v>4.75</v>
      </c>
      <c r="H30" s="437"/>
      <c r="I30" s="442" t="n">
        <v>36692</v>
      </c>
      <c r="J30" s="418" t="n">
        <v>18</v>
      </c>
      <c r="K30" s="442"/>
      <c r="L30" s="437" t="n">
        <v>4.765</v>
      </c>
      <c r="M30" s="419" t="n">
        <v>3.46</v>
      </c>
      <c r="N30" s="454" t="n">
        <v>0.65</v>
      </c>
      <c r="O30" s="454" t="n">
        <v>3.65</v>
      </c>
      <c r="P30" s="440" t="n">
        <v>0.65</v>
      </c>
      <c r="Q30" s="418"/>
      <c r="R30" s="442" t="n">
        <v>36692</v>
      </c>
      <c r="S30" s="418" t="n">
        <v>18</v>
      </c>
    </row>
    <row r="31" customFormat="false" ht="12" hidden="false" customHeight="false" outlineLevel="0" collapsed="false">
      <c r="B31" s="419" t="n">
        <f aca="false">EOMONTH(B30,0)+1</f>
        <v>37196</v>
      </c>
      <c r="C31" s="454" t="n">
        <v>4.68</v>
      </c>
      <c r="D31" s="454" t="n">
        <v>3.41</v>
      </c>
      <c r="E31" s="440" t="n">
        <v>0.95</v>
      </c>
      <c r="F31" s="454" t="n">
        <v>4.24</v>
      </c>
      <c r="G31" s="454" t="n">
        <v>4.56</v>
      </c>
      <c r="H31" s="437"/>
      <c r="I31" s="442" t="n">
        <v>36693</v>
      </c>
      <c r="J31" s="418" t="n">
        <v>19</v>
      </c>
      <c r="K31" s="442"/>
      <c r="L31" s="437" t="n">
        <v>4.68</v>
      </c>
      <c r="M31" s="419" t="n">
        <v>3.41</v>
      </c>
      <c r="N31" s="454" t="n">
        <v>0.95</v>
      </c>
      <c r="O31" s="454" t="n">
        <v>3.65</v>
      </c>
      <c r="P31" s="440" t="n">
        <v>0.95</v>
      </c>
      <c r="Q31" s="418"/>
      <c r="R31" s="442" t="n">
        <v>36693</v>
      </c>
      <c r="S31" s="418" t="n">
        <v>19</v>
      </c>
    </row>
    <row r="32" customFormat="false" ht="12" hidden="false" customHeight="false" outlineLevel="0" collapsed="false">
      <c r="B32" s="419" t="n">
        <f aca="false">EOMONTH(B31,0)+1</f>
        <v>37226</v>
      </c>
      <c r="C32" s="454" t="n">
        <v>4.73</v>
      </c>
      <c r="D32" s="454" t="n">
        <v>3.41</v>
      </c>
      <c r="E32" s="440" t="n">
        <v>1.15</v>
      </c>
      <c r="F32" s="454" t="n">
        <v>4.235</v>
      </c>
      <c r="G32" s="454" t="n">
        <v>4.53</v>
      </c>
      <c r="H32" s="437"/>
      <c r="I32" s="442" t="n">
        <v>36694</v>
      </c>
      <c r="J32" s="418" t="n">
        <v>20</v>
      </c>
      <c r="K32" s="442"/>
      <c r="L32" s="437" t="n">
        <v>4.73</v>
      </c>
      <c r="M32" s="419" t="n">
        <v>3.41</v>
      </c>
      <c r="N32" s="454" t="n">
        <v>1.15</v>
      </c>
      <c r="O32" s="454" t="n">
        <v>3.65</v>
      </c>
      <c r="P32" s="440" t="n">
        <v>1.15</v>
      </c>
      <c r="Q32" s="418"/>
      <c r="R32" s="442" t="n">
        <v>36694</v>
      </c>
      <c r="S32" s="418" t="n">
        <v>20</v>
      </c>
    </row>
    <row r="33" customFormat="false" ht="12" hidden="false" customHeight="false" outlineLevel="0" collapsed="false">
      <c r="B33" s="419" t="n">
        <f aca="false">EOMONTH(B32,0)+1</f>
        <v>37257</v>
      </c>
      <c r="C33" s="454" t="n">
        <v>4.925</v>
      </c>
      <c r="D33" s="454" t="n">
        <v>3.445</v>
      </c>
      <c r="E33" s="440" t="n">
        <v>1.15</v>
      </c>
      <c r="F33" s="454" t="n">
        <v>4.365</v>
      </c>
      <c r="G33" s="454" t="n">
        <v>4.63</v>
      </c>
      <c r="H33" s="437"/>
      <c r="I33" s="442" t="n">
        <v>36695</v>
      </c>
      <c r="J33" s="418" t="n">
        <v>21</v>
      </c>
      <c r="K33" s="442"/>
      <c r="L33" s="437" t="n">
        <v>4.925</v>
      </c>
      <c r="M33" s="419" t="n">
        <v>3.445</v>
      </c>
      <c r="N33" s="454" t="n">
        <v>1.15</v>
      </c>
      <c r="O33" s="454" t="n">
        <v>3.65</v>
      </c>
      <c r="P33" s="440" t="n">
        <v>1.15</v>
      </c>
      <c r="Q33" s="418"/>
      <c r="R33" s="442" t="n">
        <v>36695</v>
      </c>
      <c r="S33" s="418" t="n">
        <v>21</v>
      </c>
    </row>
    <row r="34" customFormat="false" ht="12" hidden="false" customHeight="false" outlineLevel="0" collapsed="false">
      <c r="B34" s="419" t="n">
        <f aca="false">EOMONTH(B33,0)+1</f>
        <v>37288</v>
      </c>
      <c r="C34" s="454" t="n">
        <v>4.925</v>
      </c>
      <c r="D34" s="454" t="n">
        <v>3.315</v>
      </c>
      <c r="E34" s="440" t="n">
        <v>1.15</v>
      </c>
      <c r="F34" s="454" t="n">
        <v>4.385</v>
      </c>
      <c r="G34" s="454" t="n">
        <v>4.615</v>
      </c>
      <c r="H34" s="437"/>
      <c r="I34" s="442" t="n">
        <v>36696</v>
      </c>
      <c r="J34" s="418" t="n">
        <v>22</v>
      </c>
      <c r="K34" s="442"/>
      <c r="L34" s="437" t="n">
        <v>4.925</v>
      </c>
      <c r="M34" s="419" t="n">
        <v>3.315</v>
      </c>
      <c r="N34" s="454" t="n">
        <v>1.15</v>
      </c>
      <c r="O34" s="454" t="n">
        <v>3.65</v>
      </c>
      <c r="P34" s="440" t="n">
        <v>1.15</v>
      </c>
      <c r="Q34" s="418"/>
      <c r="R34" s="442" t="n">
        <v>36696</v>
      </c>
      <c r="S34" s="418" t="n">
        <v>22</v>
      </c>
    </row>
    <row r="35" customFormat="false" ht="12" hidden="false" customHeight="false" outlineLevel="0" collapsed="false">
      <c r="B35" s="419" t="n">
        <f aca="false">EOMONTH(B34,0)+1</f>
        <v>37316</v>
      </c>
      <c r="C35" s="454" t="n">
        <v>4.925</v>
      </c>
      <c r="D35" s="454" t="n">
        <v>3.315</v>
      </c>
      <c r="E35" s="440" t="n">
        <v>0.9</v>
      </c>
      <c r="F35" s="454" t="n">
        <v>4.385</v>
      </c>
      <c r="G35" s="454" t="n">
        <v>4.615</v>
      </c>
      <c r="H35" s="437"/>
      <c r="I35" s="442" t="n">
        <v>36697</v>
      </c>
      <c r="J35" s="418" t="n">
        <v>23</v>
      </c>
      <c r="K35" s="442"/>
      <c r="L35" s="437" t="n">
        <v>4.925</v>
      </c>
      <c r="M35" s="419" t="n">
        <v>3.315</v>
      </c>
      <c r="N35" s="454" t="n">
        <v>0.9</v>
      </c>
      <c r="O35" s="454" t="n">
        <v>3.65</v>
      </c>
      <c r="P35" s="440" t="n">
        <v>0.9</v>
      </c>
      <c r="Q35" s="418"/>
      <c r="R35" s="442" t="n">
        <v>36697</v>
      </c>
      <c r="S35" s="418" t="n">
        <v>23</v>
      </c>
    </row>
    <row r="36" customFormat="false" ht="12" hidden="false" customHeight="false" outlineLevel="0" collapsed="false">
      <c r="B36" s="419" t="n">
        <f aca="false">EOMONTH(B35,0)+1</f>
        <v>37347</v>
      </c>
      <c r="C36" s="454" t="n">
        <v>4.925</v>
      </c>
      <c r="D36" s="454" t="n">
        <v>3.315</v>
      </c>
      <c r="E36" s="440" t="n">
        <v>0.45</v>
      </c>
      <c r="F36" s="454" t="n">
        <v>4.385</v>
      </c>
      <c r="G36" s="454" t="n">
        <v>4.615</v>
      </c>
      <c r="H36" s="437"/>
      <c r="I36" s="442" t="n">
        <v>36698</v>
      </c>
      <c r="J36" s="418" t="n">
        <v>24</v>
      </c>
      <c r="K36" s="442"/>
      <c r="L36" s="437" t="n">
        <v>4.925</v>
      </c>
      <c r="M36" s="419" t="n">
        <v>3.315</v>
      </c>
      <c r="N36" s="454" t="n">
        <v>0.45</v>
      </c>
      <c r="O36" s="454" t="n">
        <v>3.65</v>
      </c>
      <c r="P36" s="440" t="n">
        <v>0.45</v>
      </c>
      <c r="Q36" s="418"/>
      <c r="R36" s="442" t="n">
        <v>36698</v>
      </c>
      <c r="S36" s="418" t="n">
        <v>24</v>
      </c>
    </row>
    <row r="37" customFormat="false" ht="12" hidden="false" customHeight="false" outlineLevel="0" collapsed="false">
      <c r="B37" s="419" t="n">
        <f aca="false">EOMONTH(B36,0)+1</f>
        <v>37377</v>
      </c>
      <c r="C37" s="454" t="n">
        <v>5.29</v>
      </c>
      <c r="D37" s="454" t="n">
        <v>3.565</v>
      </c>
      <c r="E37" s="440" t="n">
        <v>0.4</v>
      </c>
      <c r="F37" s="454" t="n">
        <v>4.575</v>
      </c>
      <c r="G37" s="454" t="n">
        <v>4.85</v>
      </c>
      <c r="H37" s="437"/>
      <c r="I37" s="442" t="n">
        <v>36699</v>
      </c>
      <c r="J37" s="418" t="n">
        <v>25</v>
      </c>
      <c r="K37" s="442"/>
      <c r="L37" s="437" t="n">
        <v>5.29</v>
      </c>
      <c r="M37" s="419" t="n">
        <v>3.565</v>
      </c>
      <c r="N37" s="454" t="n">
        <v>0.4</v>
      </c>
      <c r="O37" s="454" t="n">
        <v>3.65</v>
      </c>
      <c r="P37" s="440" t="n">
        <v>0.4</v>
      </c>
      <c r="Q37" s="418"/>
      <c r="R37" s="442" t="n">
        <v>36699</v>
      </c>
      <c r="S37" s="418" t="n">
        <v>25</v>
      </c>
    </row>
    <row r="38" customFormat="false" ht="12" hidden="false" customHeight="false" outlineLevel="0" collapsed="false">
      <c r="B38" s="419" t="n">
        <f aca="false">EOMONTH(B37,0)+1</f>
        <v>37408</v>
      </c>
      <c r="C38" s="454" t="n">
        <v>5.775</v>
      </c>
      <c r="D38" s="454" t="n">
        <v>3.68</v>
      </c>
      <c r="E38" s="440" t="n">
        <v>0.5</v>
      </c>
      <c r="F38" s="454" t="n">
        <v>4.785</v>
      </c>
      <c r="G38" s="454" t="n">
        <v>5.08</v>
      </c>
      <c r="H38" s="437"/>
      <c r="I38" s="442" t="n">
        <v>36700</v>
      </c>
      <c r="J38" s="418" t="n">
        <v>26</v>
      </c>
      <c r="K38" s="442"/>
      <c r="L38" s="437" t="n">
        <v>5.775</v>
      </c>
      <c r="M38" s="419" t="n">
        <v>3.68</v>
      </c>
      <c r="N38" s="454" t="n">
        <v>0.5</v>
      </c>
      <c r="O38" s="454" t="n">
        <v>3.65</v>
      </c>
      <c r="P38" s="440" t="n">
        <v>0.5</v>
      </c>
      <c r="Q38" s="418"/>
      <c r="R38" s="442" t="n">
        <v>36700</v>
      </c>
      <c r="S38" s="418" t="n">
        <v>26</v>
      </c>
    </row>
    <row r="39" customFormat="false" ht="12" hidden="false" customHeight="false" outlineLevel="0" collapsed="false">
      <c r="B39" s="419" t="n">
        <f aca="false">EOMONTH(B38,0)+1</f>
        <v>37438</v>
      </c>
      <c r="C39" s="454" t="n">
        <v>5.76</v>
      </c>
      <c r="D39" s="454" t="n">
        <v>3.6</v>
      </c>
      <c r="E39" s="440" t="n">
        <v>0.5</v>
      </c>
      <c r="F39" s="454" t="n">
        <v>4.67</v>
      </c>
      <c r="G39" s="454" t="n">
        <v>4.91</v>
      </c>
      <c r="H39" s="437"/>
      <c r="I39" s="442" t="n">
        <v>36701</v>
      </c>
      <c r="J39" s="418" t="n">
        <v>27</v>
      </c>
      <c r="K39" s="442"/>
      <c r="L39" s="437" t="n">
        <v>5.76</v>
      </c>
      <c r="M39" s="419" t="n">
        <v>3.6</v>
      </c>
      <c r="N39" s="454" t="n">
        <v>0.5</v>
      </c>
      <c r="O39" s="454" t="n">
        <v>3.65</v>
      </c>
      <c r="P39" s="440" t="n">
        <v>0.5</v>
      </c>
      <c r="Q39" s="418"/>
      <c r="R39" s="442" t="n">
        <v>36701</v>
      </c>
      <c r="S39" s="418" t="n">
        <v>27</v>
      </c>
    </row>
    <row r="40" customFormat="false" ht="12" hidden="false" customHeight="false" outlineLevel="0" collapsed="false">
      <c r="B40" s="419" t="n">
        <f aca="false">EOMONTH(B39,0)+1</f>
        <v>37469</v>
      </c>
      <c r="C40" s="454" t="n">
        <v>5.75</v>
      </c>
      <c r="D40" s="454" t="n">
        <v>3.32</v>
      </c>
      <c r="E40" s="440" t="n">
        <v>0.6</v>
      </c>
      <c r="F40" s="454" t="n">
        <v>4.465</v>
      </c>
      <c r="G40" s="454" t="n">
        <v>4.71</v>
      </c>
      <c r="H40" s="437"/>
      <c r="I40" s="442" t="n">
        <v>36702</v>
      </c>
      <c r="J40" s="418" t="n">
        <v>28</v>
      </c>
      <c r="K40" s="442"/>
      <c r="L40" s="437" t="n">
        <v>5.75</v>
      </c>
      <c r="M40" s="419" t="n">
        <v>3.32</v>
      </c>
      <c r="N40" s="454" t="n">
        <v>0.6</v>
      </c>
      <c r="O40" s="454" t="n">
        <v>3.65</v>
      </c>
      <c r="P40" s="440" t="n">
        <v>0.6</v>
      </c>
      <c r="Q40" s="418"/>
      <c r="R40" s="442" t="n">
        <v>36702</v>
      </c>
      <c r="S40" s="418" t="n">
        <v>28</v>
      </c>
    </row>
    <row r="41" customFormat="false" ht="12" hidden="false" customHeight="false" outlineLevel="0" collapsed="false">
      <c r="B41" s="419" t="n">
        <f aca="false">EOMONTH(B40,0)+1</f>
        <v>37500</v>
      </c>
      <c r="C41" s="454" t="n">
        <v>6.475</v>
      </c>
      <c r="D41" s="454" t="n">
        <v>3.195</v>
      </c>
      <c r="E41" s="440" t="n">
        <v>0.55</v>
      </c>
      <c r="F41" s="454" t="n">
        <v>4.53</v>
      </c>
      <c r="G41" s="454" t="n">
        <v>4.74</v>
      </c>
      <c r="H41" s="437"/>
      <c r="I41" s="442" t="n">
        <v>36703</v>
      </c>
      <c r="J41" s="418" t="n">
        <v>29</v>
      </c>
      <c r="K41" s="442"/>
      <c r="L41" s="437" t="n">
        <v>6.475</v>
      </c>
      <c r="M41" s="419" t="n">
        <v>3.195</v>
      </c>
      <c r="N41" s="454" t="n">
        <v>0.55</v>
      </c>
      <c r="O41" s="454" t="n">
        <v>3.65</v>
      </c>
      <c r="P41" s="440" t="n">
        <v>0.55</v>
      </c>
      <c r="Q41" s="418"/>
      <c r="R41" s="442" t="n">
        <v>36703</v>
      </c>
      <c r="S41" s="418" t="n">
        <v>29</v>
      </c>
    </row>
    <row r="42" customFormat="false" ht="12" hidden="false" customHeight="false" outlineLevel="0" collapsed="false">
      <c r="B42" s="419" t="n">
        <f aca="false">EOMONTH(B41,0)+1</f>
        <v>37530</v>
      </c>
      <c r="C42" s="454" t="n">
        <v>6.475</v>
      </c>
      <c r="D42" s="454" t="n">
        <v>3.195</v>
      </c>
      <c r="E42" s="440" t="n">
        <v>0.6</v>
      </c>
      <c r="F42" s="454" t="n">
        <v>4.53</v>
      </c>
      <c r="G42" s="454" t="n">
        <v>4.74</v>
      </c>
      <c r="H42" s="437"/>
      <c r="I42" s="442" t="n">
        <v>36704</v>
      </c>
      <c r="J42" s="418" t="n">
        <v>30</v>
      </c>
      <c r="K42" s="442"/>
      <c r="L42" s="437" t="n">
        <v>6.475</v>
      </c>
      <c r="M42" s="419" t="n">
        <v>3.195</v>
      </c>
      <c r="N42" s="454" t="n">
        <v>0.6</v>
      </c>
      <c r="O42" s="454" t="n">
        <v>3.65</v>
      </c>
      <c r="P42" s="440" t="n">
        <v>0.6</v>
      </c>
      <c r="Q42" s="418"/>
      <c r="R42" s="442" t="n">
        <v>36704</v>
      </c>
      <c r="S42" s="418" t="n">
        <v>30</v>
      </c>
    </row>
    <row r="43" customFormat="false" ht="12" hidden="false" customHeight="false" outlineLevel="0" collapsed="false">
      <c r="B43" s="419" t="n">
        <f aca="false">EOMONTH(B42,0)+1</f>
        <v>37561</v>
      </c>
      <c r="C43" s="454" t="n">
        <v>6.475</v>
      </c>
      <c r="D43" s="454" t="n">
        <v>3.195</v>
      </c>
      <c r="E43" s="440" t="n">
        <v>0.8</v>
      </c>
      <c r="F43" s="454" t="n">
        <v>4.53</v>
      </c>
      <c r="G43" s="454" t="n">
        <v>4.74</v>
      </c>
      <c r="H43" s="437"/>
      <c r="I43" s="442" t="n">
        <v>36705</v>
      </c>
      <c r="J43" s="418" t="n">
        <v>31</v>
      </c>
      <c r="K43" s="442"/>
      <c r="L43" s="437" t="n">
        <v>6.475</v>
      </c>
      <c r="M43" s="419" t="n">
        <v>3.195</v>
      </c>
      <c r="N43" s="454" t="n">
        <v>0.8</v>
      </c>
      <c r="O43" s="454" t="n">
        <v>3.65</v>
      </c>
      <c r="P43" s="440" t="n">
        <v>0.8</v>
      </c>
      <c r="Q43" s="418"/>
      <c r="R43" s="442" t="n">
        <v>36705</v>
      </c>
      <c r="S43" s="418" t="n">
        <v>31</v>
      </c>
    </row>
    <row r="44" customFormat="false" ht="12" hidden="false" customHeight="false" outlineLevel="0" collapsed="false">
      <c r="B44" s="419" t="n">
        <f aca="false">EOMONTH(B43,0)+1</f>
        <v>37591</v>
      </c>
      <c r="C44" s="454" t="n">
        <v>6.94</v>
      </c>
      <c r="D44" s="454" t="n">
        <v>3.29</v>
      </c>
      <c r="E44" s="440" t="n">
        <v>1</v>
      </c>
      <c r="F44" s="454" t="n">
        <v>4.62</v>
      </c>
      <c r="G44" s="454" t="n">
        <v>4.97</v>
      </c>
      <c r="H44" s="437"/>
      <c r="I44" s="442" t="n">
        <v>36706</v>
      </c>
      <c r="J44" s="418" t="n">
        <v>32</v>
      </c>
      <c r="K44" s="442"/>
      <c r="L44" s="437" t="n">
        <v>6.94</v>
      </c>
      <c r="M44" s="419" t="n">
        <v>3.29</v>
      </c>
      <c r="N44" s="454" t="n">
        <v>1</v>
      </c>
      <c r="O44" s="454" t="n">
        <v>3.65</v>
      </c>
      <c r="P44" s="440" t="n">
        <v>1</v>
      </c>
      <c r="Q44" s="418"/>
      <c r="R44" s="442" t="n">
        <v>36706</v>
      </c>
      <c r="S44" s="418" t="n">
        <v>32</v>
      </c>
    </row>
    <row r="45" customFormat="false" ht="12" hidden="false" customHeight="false" outlineLevel="0" collapsed="false">
      <c r="B45" s="419" t="n">
        <f aca="false">EOMONTH(B44,0)+1</f>
        <v>37622</v>
      </c>
      <c r="C45" s="454" t="n">
        <v>7.24</v>
      </c>
      <c r="D45" s="454" t="n">
        <v>3.34</v>
      </c>
      <c r="E45" s="440" t="n">
        <v>1</v>
      </c>
      <c r="F45" s="454" t="n">
        <v>4.69</v>
      </c>
      <c r="G45" s="454" t="n">
        <v>5.01</v>
      </c>
      <c r="H45" s="437"/>
      <c r="I45" s="442" t="n">
        <v>36707</v>
      </c>
      <c r="J45" s="418" t="n">
        <v>33</v>
      </c>
      <c r="K45" s="442"/>
      <c r="L45" s="437" t="n">
        <v>7.24</v>
      </c>
      <c r="M45" s="419" t="n">
        <v>3.34</v>
      </c>
      <c r="N45" s="454" t="n">
        <v>1</v>
      </c>
      <c r="O45" s="454" t="n">
        <v>3.65</v>
      </c>
      <c r="P45" s="440" t="n">
        <v>1</v>
      </c>
      <c r="Q45" s="418"/>
      <c r="R45" s="442" t="n">
        <v>36707</v>
      </c>
      <c r="S45" s="418" t="n">
        <v>33</v>
      </c>
    </row>
    <row r="46" customFormat="false" ht="12" hidden="false" customHeight="false" outlineLevel="0" collapsed="false">
      <c r="B46" s="419" t="n">
        <f aca="false">EOMONTH(B45,0)+1</f>
        <v>37653</v>
      </c>
      <c r="C46" s="454" t="n">
        <v>7.24</v>
      </c>
      <c r="D46" s="454" t="n">
        <v>3.34</v>
      </c>
      <c r="E46" s="440" t="n">
        <v>1</v>
      </c>
      <c r="F46" s="454" t="n">
        <v>4.69</v>
      </c>
      <c r="G46" s="454" t="n">
        <v>5.01</v>
      </c>
      <c r="H46" s="437"/>
      <c r="I46" s="442" t="n">
        <v>36708</v>
      </c>
      <c r="J46" s="418" t="n">
        <v>34</v>
      </c>
      <c r="K46" s="442"/>
      <c r="L46" s="437" t="n">
        <v>7.24</v>
      </c>
      <c r="M46" s="419" t="n">
        <v>3.34</v>
      </c>
      <c r="N46" s="454" t="n">
        <v>1</v>
      </c>
      <c r="O46" s="454" t="n">
        <v>3.65</v>
      </c>
      <c r="P46" s="440" t="n">
        <v>1</v>
      </c>
      <c r="Q46" s="418"/>
      <c r="R46" s="442" t="n">
        <v>36708</v>
      </c>
      <c r="S46" s="418" t="n">
        <v>34</v>
      </c>
    </row>
    <row r="47" customFormat="false" ht="12" hidden="false" customHeight="false" outlineLevel="0" collapsed="false">
      <c r="B47" s="419" t="n">
        <f aca="false">EOMONTH(B46,0)+1</f>
        <v>37681</v>
      </c>
      <c r="C47" s="454"/>
      <c r="D47" s="454"/>
      <c r="E47" s="440" t="n">
        <v>0.75</v>
      </c>
      <c r="F47" s="454"/>
      <c r="G47" s="454" t="n">
        <v>0.01</v>
      </c>
      <c r="H47" s="437"/>
      <c r="I47" s="442" t="n">
        <v>36709</v>
      </c>
      <c r="J47" s="418" t="n">
        <v>35</v>
      </c>
      <c r="K47" s="442"/>
      <c r="L47" s="437"/>
      <c r="M47" s="419"/>
      <c r="N47" s="454" t="n">
        <v>0.75</v>
      </c>
      <c r="O47" s="454"/>
      <c r="P47" s="440" t="n">
        <v>0.75</v>
      </c>
      <c r="Q47" s="418"/>
      <c r="R47" s="442" t="n">
        <v>36709</v>
      </c>
      <c r="S47" s="418" t="n">
        <v>35</v>
      </c>
    </row>
    <row r="48" customFormat="false" ht="12" hidden="false" customHeight="false" outlineLevel="0" collapsed="false">
      <c r="B48" s="419" t="n">
        <f aca="false">EOMONTH(B47,0)+1</f>
        <v>37712</v>
      </c>
      <c r="C48" s="454"/>
      <c r="D48" s="454"/>
      <c r="E48" s="440" t="n">
        <v>0.45</v>
      </c>
      <c r="F48" s="454"/>
      <c r="G48" s="454" t="n">
        <v>0.035</v>
      </c>
      <c r="H48" s="437"/>
      <c r="I48" s="442" t="n">
        <v>36710</v>
      </c>
      <c r="J48" s="418" t="n">
        <v>36</v>
      </c>
      <c r="K48" s="442"/>
      <c r="L48" s="437"/>
      <c r="M48" s="419"/>
      <c r="N48" s="454" t="n">
        <v>0.45</v>
      </c>
      <c r="O48" s="454"/>
      <c r="P48" s="440" t="n">
        <v>0.45</v>
      </c>
      <c r="Q48" s="418"/>
      <c r="R48" s="442" t="n">
        <v>36710</v>
      </c>
      <c r="S48" s="418" t="n">
        <v>36</v>
      </c>
    </row>
    <row r="49" customFormat="false" ht="12" hidden="false" customHeight="false" outlineLevel="0" collapsed="false">
      <c r="B49" s="419" t="n">
        <f aca="false">EOMONTH(B48,0)+1</f>
        <v>37742</v>
      </c>
      <c r="C49" s="454"/>
      <c r="D49" s="454"/>
      <c r="E49" s="440" t="n">
        <v>0.4</v>
      </c>
      <c r="F49" s="454"/>
      <c r="G49" s="454" t="n">
        <v>0.2</v>
      </c>
      <c r="H49" s="437"/>
      <c r="I49" s="442" t="n">
        <v>36711</v>
      </c>
      <c r="J49" s="418" t="n">
        <v>37</v>
      </c>
      <c r="K49" s="442"/>
      <c r="L49" s="437"/>
      <c r="M49" s="419"/>
      <c r="N49" s="454" t="n">
        <v>0.4</v>
      </c>
      <c r="O49" s="454"/>
      <c r="P49" s="440" t="n">
        <v>0.4</v>
      </c>
      <c r="Q49" s="418"/>
      <c r="R49" s="442" t="n">
        <v>36711</v>
      </c>
      <c r="S49" s="418" t="n">
        <v>37</v>
      </c>
    </row>
    <row r="50" customFormat="false" ht="12" hidden="false" customHeight="false" outlineLevel="0" collapsed="false">
      <c r="B50" s="419" t="n">
        <f aca="false">EOMONTH(B49,0)+1</f>
        <v>37773</v>
      </c>
      <c r="C50" s="454"/>
      <c r="D50" s="454"/>
      <c r="E50" s="440" t="n">
        <v>0.5</v>
      </c>
      <c r="F50" s="454"/>
      <c r="G50" s="454" t="n">
        <v>0.26</v>
      </c>
      <c r="H50" s="437"/>
      <c r="I50" s="442" t="n">
        <v>36712</v>
      </c>
      <c r="J50" s="418" t="n">
        <v>38</v>
      </c>
      <c r="K50" s="442"/>
      <c r="L50" s="437"/>
      <c r="M50" s="419"/>
      <c r="N50" s="454" t="n">
        <v>0.5</v>
      </c>
      <c r="O50" s="454"/>
      <c r="P50" s="440" t="n">
        <v>0.5</v>
      </c>
      <c r="Q50" s="418"/>
      <c r="R50" s="442" t="n">
        <v>36712</v>
      </c>
      <c r="S50" s="418" t="n">
        <v>38</v>
      </c>
    </row>
    <row r="51" customFormat="false" ht="12" hidden="false" customHeight="false" outlineLevel="0" collapsed="false">
      <c r="B51" s="419" t="n">
        <f aca="false">EOMONTH(B50,0)+1</f>
        <v>37803</v>
      </c>
      <c r="C51" s="454"/>
      <c r="D51" s="454"/>
      <c r="E51" s="440" t="n">
        <v>0.5</v>
      </c>
      <c r="F51" s="454"/>
      <c r="G51" s="454" t="n">
        <v>0.28</v>
      </c>
      <c r="H51" s="437"/>
      <c r="I51" s="442" t="n">
        <v>36713</v>
      </c>
      <c r="J51" s="418" t="n">
        <v>39</v>
      </c>
      <c r="K51" s="442"/>
      <c r="L51" s="437"/>
      <c r="M51" s="419"/>
      <c r="N51" s="454" t="n">
        <v>0.5</v>
      </c>
      <c r="O51" s="454"/>
      <c r="P51" s="440" t="n">
        <v>0.5</v>
      </c>
      <c r="Q51" s="418"/>
      <c r="R51" s="442" t="n">
        <v>36713</v>
      </c>
      <c r="S51" s="418" t="n">
        <v>39</v>
      </c>
    </row>
    <row r="52" customFormat="false" ht="12" hidden="false" customHeight="false" outlineLevel="0" collapsed="false">
      <c r="B52" s="419" t="n">
        <f aca="false">EOMONTH(B51,0)+1</f>
        <v>37834</v>
      </c>
      <c r="C52" s="454"/>
      <c r="D52" s="454"/>
      <c r="E52" s="440" t="n">
        <v>0.6</v>
      </c>
      <c r="F52" s="454"/>
      <c r="G52" s="454" t="n">
        <v>0.26</v>
      </c>
      <c r="H52" s="437"/>
      <c r="I52" s="442" t="n">
        <v>36714</v>
      </c>
      <c r="J52" s="418" t="n">
        <v>40</v>
      </c>
      <c r="K52" s="442"/>
      <c r="L52" s="437"/>
      <c r="M52" s="419"/>
      <c r="N52" s="454" t="n">
        <v>0.6</v>
      </c>
      <c r="O52" s="454"/>
      <c r="P52" s="440" t="n">
        <v>0.6</v>
      </c>
      <c r="Q52" s="418"/>
      <c r="R52" s="442" t="n">
        <v>36714</v>
      </c>
      <c r="S52" s="418" t="n">
        <v>40</v>
      </c>
    </row>
    <row r="53" customFormat="false" ht="12" hidden="false" customHeight="false" outlineLevel="0" collapsed="false">
      <c r="B53" s="419" t="n">
        <f aca="false">EOMONTH(B52,0)+1</f>
        <v>37865</v>
      </c>
      <c r="C53" s="454"/>
      <c r="D53" s="454"/>
      <c r="E53" s="440" t="n">
        <v>0.55</v>
      </c>
      <c r="F53" s="454"/>
      <c r="G53" s="454" t="n">
        <v>0.2</v>
      </c>
      <c r="H53" s="437"/>
      <c r="I53" s="442" t="n">
        <v>36715</v>
      </c>
      <c r="J53" s="418" t="n">
        <v>41</v>
      </c>
      <c r="K53" s="442"/>
      <c r="L53" s="437"/>
      <c r="M53" s="419"/>
      <c r="N53" s="454" t="n">
        <v>0.55</v>
      </c>
      <c r="O53" s="454"/>
      <c r="P53" s="440" t="n">
        <v>0.55</v>
      </c>
      <c r="Q53" s="418"/>
      <c r="R53" s="442" t="n">
        <v>36715</v>
      </c>
      <c r="S53" s="418" t="n">
        <v>41</v>
      </c>
    </row>
    <row r="54" customFormat="false" ht="12" hidden="false" customHeight="false" outlineLevel="0" collapsed="false">
      <c r="B54" s="419" t="n">
        <f aca="false">EOMONTH(B53,0)+1</f>
        <v>37895</v>
      </c>
      <c r="C54" s="454"/>
      <c r="D54" s="454"/>
      <c r="E54" s="440" t="n">
        <v>0.6</v>
      </c>
      <c r="F54" s="454"/>
      <c r="G54" s="454"/>
      <c r="H54" s="437"/>
      <c r="I54" s="442" t="n">
        <v>36716</v>
      </c>
      <c r="J54" s="418" t="n">
        <v>42</v>
      </c>
      <c r="K54" s="442"/>
      <c r="L54" s="437"/>
      <c r="M54" s="419"/>
      <c r="N54" s="454" t="n">
        <v>0.6</v>
      </c>
      <c r="O54" s="454"/>
      <c r="P54" s="440" t="n">
        <v>0.6</v>
      </c>
      <c r="Q54" s="418"/>
      <c r="R54" s="442" t="n">
        <v>36716</v>
      </c>
      <c r="S54" s="418" t="n">
        <v>42</v>
      </c>
    </row>
    <row r="55" customFormat="false" ht="12" hidden="false" customHeight="false" outlineLevel="0" collapsed="false">
      <c r="B55" s="419" t="n">
        <f aca="false">EOMONTH(B54,0)+1</f>
        <v>37926</v>
      </c>
      <c r="C55" s="454"/>
      <c r="D55" s="454"/>
      <c r="E55" s="440" t="n">
        <v>0.8</v>
      </c>
      <c r="F55" s="454"/>
      <c r="G55" s="454"/>
      <c r="H55" s="437"/>
      <c r="I55" s="442" t="n">
        <v>36717</v>
      </c>
      <c r="J55" s="418" t="n">
        <v>43</v>
      </c>
      <c r="K55" s="442"/>
      <c r="L55" s="437"/>
      <c r="M55" s="419"/>
      <c r="N55" s="454" t="n">
        <v>0.8</v>
      </c>
      <c r="O55" s="454"/>
      <c r="P55" s="440" t="n">
        <v>0.8</v>
      </c>
      <c r="Q55" s="418"/>
      <c r="R55" s="442" t="n">
        <v>36717</v>
      </c>
      <c r="S55" s="418" t="n">
        <v>43</v>
      </c>
    </row>
    <row r="56" customFormat="false" ht="12" hidden="false" customHeight="false" outlineLevel="0" collapsed="false">
      <c r="B56" s="419" t="n">
        <f aca="false">EOMONTH(B55,0)+1</f>
        <v>37956</v>
      </c>
      <c r="C56" s="454"/>
      <c r="D56" s="454"/>
      <c r="E56" s="440" t="n">
        <v>1</v>
      </c>
      <c r="F56" s="454"/>
      <c r="G56" s="454"/>
      <c r="H56" s="437"/>
      <c r="I56" s="442" t="n">
        <v>36718</v>
      </c>
      <c r="J56" s="418" t="n">
        <v>44</v>
      </c>
      <c r="K56" s="442"/>
      <c r="L56" s="437"/>
      <c r="M56" s="419"/>
      <c r="N56" s="454" t="n">
        <v>1</v>
      </c>
      <c r="O56" s="454"/>
      <c r="P56" s="440" t="n">
        <v>1</v>
      </c>
      <c r="Q56" s="418"/>
      <c r="R56" s="442" t="n">
        <v>36718</v>
      </c>
      <c r="S56" s="418" t="n">
        <v>44</v>
      </c>
    </row>
    <row r="57" customFormat="false" ht="12" hidden="false" customHeight="false" outlineLevel="0" collapsed="false">
      <c r="B57" s="419" t="n">
        <f aca="false">EOMONTH(B56,0)+1</f>
        <v>37987</v>
      </c>
      <c r="C57" s="454"/>
      <c r="D57" s="454"/>
      <c r="E57" s="440" t="n">
        <v>1</v>
      </c>
      <c r="F57" s="454"/>
      <c r="G57" s="454"/>
      <c r="H57" s="437"/>
      <c r="I57" s="442" t="n">
        <v>36719</v>
      </c>
      <c r="J57" s="418" t="n">
        <v>45</v>
      </c>
      <c r="K57" s="442"/>
      <c r="L57" s="437"/>
      <c r="M57" s="419"/>
      <c r="N57" s="454" t="n">
        <v>1</v>
      </c>
      <c r="O57" s="454"/>
      <c r="P57" s="440" t="n">
        <v>1</v>
      </c>
      <c r="Q57" s="418"/>
      <c r="R57" s="442" t="n">
        <v>36719</v>
      </c>
      <c r="S57" s="418" t="n">
        <v>45</v>
      </c>
    </row>
    <row r="58" customFormat="false" ht="12" hidden="false" customHeight="false" outlineLevel="0" collapsed="false">
      <c r="B58" s="419" t="n">
        <f aca="false">EOMONTH(B57,0)+1</f>
        <v>38018</v>
      </c>
      <c r="C58" s="454"/>
      <c r="D58" s="454"/>
      <c r="E58" s="440" t="n">
        <v>1</v>
      </c>
      <c r="F58" s="454"/>
      <c r="G58" s="454"/>
      <c r="H58" s="437"/>
      <c r="I58" s="442" t="n">
        <v>36720</v>
      </c>
      <c r="J58" s="418" t="n">
        <v>46</v>
      </c>
      <c r="K58" s="442"/>
      <c r="L58" s="437"/>
      <c r="M58" s="419"/>
      <c r="N58" s="454" t="n">
        <v>1</v>
      </c>
      <c r="O58" s="454"/>
      <c r="P58" s="440" t="n">
        <v>1</v>
      </c>
      <c r="Q58" s="418"/>
      <c r="R58" s="442" t="n">
        <v>36720</v>
      </c>
      <c r="S58" s="418" t="n">
        <v>46</v>
      </c>
    </row>
    <row r="59" customFormat="false" ht="12" hidden="false" customHeight="false" outlineLevel="0" collapsed="false">
      <c r="B59" s="419" t="n">
        <f aca="false">EOMONTH(B58,0)+1</f>
        <v>38047</v>
      </c>
      <c r="C59" s="454"/>
      <c r="D59" s="454"/>
      <c r="E59" s="440" t="n">
        <v>0.75</v>
      </c>
      <c r="F59" s="454"/>
      <c r="G59" s="454"/>
      <c r="H59" s="437"/>
      <c r="I59" s="442" t="n">
        <v>36721</v>
      </c>
      <c r="J59" s="418" t="n">
        <v>47</v>
      </c>
      <c r="K59" s="442"/>
      <c r="L59" s="437"/>
      <c r="M59" s="419"/>
      <c r="N59" s="454" t="n">
        <v>0.75</v>
      </c>
      <c r="O59" s="454"/>
      <c r="P59" s="440" t="n">
        <v>0.75</v>
      </c>
      <c r="Q59" s="418"/>
      <c r="R59" s="442" t="n">
        <v>36721</v>
      </c>
      <c r="S59" s="418" t="n">
        <v>47</v>
      </c>
    </row>
    <row r="60" customFormat="false" ht="12" hidden="false" customHeight="false" outlineLevel="0" collapsed="false">
      <c r="B60" s="419" t="n">
        <f aca="false">EOMONTH(B59,0)+1</f>
        <v>38078</v>
      </c>
      <c r="C60" s="454"/>
      <c r="D60" s="454"/>
      <c r="E60" s="440" t="n">
        <v>0.45</v>
      </c>
      <c r="F60" s="454"/>
      <c r="G60" s="454"/>
      <c r="H60" s="437"/>
      <c r="I60" s="442" t="n">
        <v>36722</v>
      </c>
      <c r="J60" s="418" t="n">
        <v>48</v>
      </c>
      <c r="K60" s="442"/>
      <c r="L60" s="437"/>
      <c r="M60" s="419"/>
      <c r="N60" s="454" t="n">
        <v>0.45</v>
      </c>
      <c r="O60" s="454"/>
      <c r="P60" s="440" t="n">
        <v>0.45</v>
      </c>
      <c r="Q60" s="418"/>
      <c r="R60" s="442" t="n">
        <v>36722</v>
      </c>
      <c r="S60" s="418" t="n">
        <v>48</v>
      </c>
    </row>
    <row r="61" customFormat="false" ht="12" hidden="false" customHeight="false" outlineLevel="0" collapsed="false">
      <c r="B61" s="419" t="n">
        <f aca="false">EOMONTH(B60,0)+1</f>
        <v>38108</v>
      </c>
      <c r="C61" s="454"/>
      <c r="D61" s="454"/>
      <c r="E61" s="440" t="n">
        <v>0.4</v>
      </c>
      <c r="F61" s="454"/>
      <c r="G61" s="454"/>
      <c r="H61" s="437"/>
      <c r="I61" s="442" t="n">
        <v>36723</v>
      </c>
      <c r="J61" s="418" t="n">
        <v>49</v>
      </c>
      <c r="K61" s="442"/>
      <c r="L61" s="437"/>
      <c r="M61" s="419"/>
      <c r="N61" s="454" t="n">
        <v>0.4</v>
      </c>
      <c r="O61" s="454"/>
      <c r="P61" s="440" t="n">
        <v>0.4</v>
      </c>
      <c r="Q61" s="418"/>
      <c r="R61" s="442" t="n">
        <v>36723</v>
      </c>
      <c r="S61" s="418" t="n">
        <v>49</v>
      </c>
    </row>
    <row r="62" customFormat="false" ht="12" hidden="false" customHeight="false" outlineLevel="0" collapsed="false">
      <c r="B62" s="419" t="n">
        <f aca="false">EOMONTH(B61,0)+1</f>
        <v>38139</v>
      </c>
      <c r="C62" s="454"/>
      <c r="D62" s="454"/>
      <c r="E62" s="440" t="n">
        <v>0.5</v>
      </c>
      <c r="F62" s="454"/>
      <c r="G62" s="454"/>
      <c r="H62" s="437"/>
      <c r="I62" s="442" t="n">
        <v>36724</v>
      </c>
      <c r="J62" s="418" t="n">
        <v>50</v>
      </c>
      <c r="K62" s="442"/>
      <c r="L62" s="437"/>
      <c r="M62" s="419"/>
      <c r="N62" s="454" t="n">
        <v>0.5</v>
      </c>
      <c r="O62" s="454"/>
      <c r="P62" s="440" t="n">
        <v>0.5</v>
      </c>
      <c r="Q62" s="418"/>
      <c r="R62" s="442" t="n">
        <v>36724</v>
      </c>
      <c r="S62" s="418" t="n">
        <v>50</v>
      </c>
    </row>
    <row r="63" customFormat="false" ht="12" hidden="false" customHeight="false" outlineLevel="0" collapsed="false">
      <c r="B63" s="419" t="n">
        <f aca="false">EOMONTH(B62,0)+1</f>
        <v>38169</v>
      </c>
      <c r="C63" s="454"/>
      <c r="D63" s="454"/>
      <c r="E63" s="440" t="n">
        <v>0.5</v>
      </c>
      <c r="F63" s="454"/>
      <c r="G63" s="454"/>
      <c r="H63" s="437"/>
      <c r="I63" s="442" t="n">
        <v>36725</v>
      </c>
      <c r="J63" s="418" t="n">
        <v>51</v>
      </c>
      <c r="K63" s="442"/>
      <c r="L63" s="437"/>
      <c r="M63" s="419"/>
      <c r="N63" s="454" t="n">
        <v>0.5</v>
      </c>
      <c r="O63" s="454"/>
      <c r="P63" s="440" t="n">
        <v>0.5</v>
      </c>
      <c r="Q63" s="418"/>
      <c r="R63" s="442" t="n">
        <v>36725</v>
      </c>
      <c r="S63" s="418" t="n">
        <v>51</v>
      </c>
    </row>
    <row r="64" customFormat="false" ht="12" hidden="false" customHeight="false" outlineLevel="0" collapsed="false">
      <c r="B64" s="419" t="n">
        <f aca="false">EOMONTH(B63,0)+1</f>
        <v>38200</v>
      </c>
      <c r="C64" s="454"/>
      <c r="D64" s="454"/>
      <c r="E64" s="440" t="n">
        <v>0.6</v>
      </c>
      <c r="F64" s="454"/>
      <c r="G64" s="454"/>
      <c r="H64" s="437"/>
      <c r="I64" s="442" t="n">
        <v>36726</v>
      </c>
      <c r="J64" s="418" t="n">
        <v>52</v>
      </c>
      <c r="K64" s="442"/>
      <c r="L64" s="437"/>
      <c r="M64" s="419"/>
      <c r="N64" s="454" t="n">
        <v>0.6</v>
      </c>
      <c r="O64" s="454"/>
      <c r="P64" s="440" t="n">
        <v>0.6</v>
      </c>
      <c r="Q64" s="418"/>
      <c r="R64" s="442" t="n">
        <v>36726</v>
      </c>
      <c r="S64" s="418" t="n">
        <v>52</v>
      </c>
    </row>
    <row r="65" customFormat="false" ht="12" hidden="false" customHeight="false" outlineLevel="0" collapsed="false">
      <c r="B65" s="419" t="n">
        <f aca="false">EOMONTH(B64,0)+1</f>
        <v>38231</v>
      </c>
      <c r="C65" s="454"/>
      <c r="D65" s="454"/>
      <c r="E65" s="440" t="n">
        <v>0.55</v>
      </c>
      <c r="F65" s="454"/>
      <c r="G65" s="454"/>
      <c r="H65" s="437"/>
      <c r="I65" s="442" t="n">
        <v>36727</v>
      </c>
      <c r="J65" s="418" t="n">
        <v>53</v>
      </c>
      <c r="K65" s="442"/>
      <c r="L65" s="437"/>
      <c r="M65" s="419"/>
      <c r="N65" s="454" t="n">
        <v>0.55</v>
      </c>
      <c r="O65" s="454"/>
      <c r="P65" s="440" t="n">
        <v>0.55</v>
      </c>
      <c r="Q65" s="418"/>
      <c r="R65" s="442" t="n">
        <v>36727</v>
      </c>
      <c r="S65" s="418" t="n">
        <v>53</v>
      </c>
    </row>
    <row r="66" customFormat="false" ht="12" hidden="false" customHeight="false" outlineLevel="0" collapsed="false">
      <c r="B66" s="419" t="n">
        <f aca="false">EOMONTH(B65,0)+1</f>
        <v>38261</v>
      </c>
      <c r="C66" s="454"/>
      <c r="D66" s="454"/>
      <c r="E66" s="440" t="n">
        <v>0.6</v>
      </c>
      <c r="F66" s="454"/>
      <c r="G66" s="454"/>
      <c r="H66" s="437"/>
      <c r="I66" s="442" t="n">
        <v>36728</v>
      </c>
      <c r="J66" s="418" t="n">
        <v>54</v>
      </c>
      <c r="K66" s="442"/>
      <c r="L66" s="437"/>
      <c r="M66" s="419"/>
      <c r="N66" s="454" t="n">
        <v>0.6</v>
      </c>
      <c r="O66" s="454"/>
      <c r="P66" s="440" t="n">
        <v>0.6</v>
      </c>
      <c r="Q66" s="418"/>
      <c r="R66" s="442" t="n">
        <v>36728</v>
      </c>
      <c r="S66" s="418" t="n">
        <v>54</v>
      </c>
    </row>
    <row r="67" customFormat="false" ht="12" hidden="false" customHeight="false" outlineLevel="0" collapsed="false">
      <c r="B67" s="419" t="n">
        <f aca="false">EOMONTH(B66,0)+1</f>
        <v>38292</v>
      </c>
      <c r="C67" s="454"/>
      <c r="D67" s="454"/>
      <c r="E67" s="440" t="n">
        <v>0.8</v>
      </c>
      <c r="F67" s="454"/>
      <c r="G67" s="454"/>
      <c r="H67" s="437"/>
      <c r="I67" s="442" t="n">
        <v>36729</v>
      </c>
      <c r="J67" s="418" t="n">
        <v>55</v>
      </c>
      <c r="K67" s="442"/>
      <c r="L67" s="437"/>
      <c r="M67" s="419"/>
      <c r="N67" s="454" t="n">
        <v>0.8</v>
      </c>
      <c r="O67" s="454"/>
      <c r="P67" s="440" t="n">
        <v>0.8</v>
      </c>
      <c r="Q67" s="418"/>
      <c r="R67" s="442" t="n">
        <v>36729</v>
      </c>
      <c r="S67" s="418" t="n">
        <v>55</v>
      </c>
    </row>
    <row r="68" customFormat="false" ht="12" hidden="false" customHeight="false" outlineLevel="0" collapsed="false">
      <c r="B68" s="419" t="n">
        <f aca="false">EOMONTH(B67,0)+1</f>
        <v>38322</v>
      </c>
      <c r="C68" s="454"/>
      <c r="D68" s="454"/>
      <c r="E68" s="440" t="n">
        <v>1</v>
      </c>
      <c r="F68" s="454"/>
      <c r="G68" s="454"/>
      <c r="H68" s="437"/>
      <c r="I68" s="442" t="n">
        <v>36730</v>
      </c>
      <c r="J68" s="418" t="n">
        <v>56</v>
      </c>
      <c r="K68" s="442"/>
      <c r="L68" s="437"/>
      <c r="M68" s="419"/>
      <c r="N68" s="454" t="n">
        <v>1</v>
      </c>
      <c r="O68" s="454"/>
      <c r="P68" s="440" t="n">
        <v>1</v>
      </c>
      <c r="Q68" s="418"/>
      <c r="R68" s="442" t="n">
        <v>36730</v>
      </c>
      <c r="S68" s="418" t="n">
        <v>56</v>
      </c>
    </row>
    <row r="69" customFormat="false" ht="12" hidden="false" customHeight="false" outlineLevel="0" collapsed="false">
      <c r="B69" s="419" t="n">
        <f aca="false">EOMONTH(B68,0)+1</f>
        <v>38353</v>
      </c>
      <c r="C69" s="454"/>
      <c r="D69" s="454"/>
      <c r="E69" s="440" t="n">
        <v>1</v>
      </c>
      <c r="F69" s="454"/>
      <c r="G69" s="454"/>
      <c r="H69" s="437"/>
      <c r="I69" s="442" t="n">
        <v>36731</v>
      </c>
      <c r="J69" s="418" t="n">
        <v>57</v>
      </c>
      <c r="K69" s="442"/>
      <c r="L69" s="437"/>
      <c r="M69" s="419"/>
      <c r="N69" s="418" t="n">
        <v>1</v>
      </c>
      <c r="O69" s="442"/>
      <c r="P69" s="418" t="n">
        <v>1</v>
      </c>
      <c r="Q69" s="418"/>
      <c r="R69" s="442" t="n">
        <v>36731</v>
      </c>
      <c r="S69" s="418" t="n">
        <v>57</v>
      </c>
    </row>
    <row r="70" customFormat="false" ht="12" hidden="false" customHeight="false" outlineLevel="0" collapsed="false">
      <c r="B70" s="419" t="n">
        <f aca="false">EOMONTH(B69,0)+1</f>
        <v>38384</v>
      </c>
      <c r="C70" s="454"/>
      <c r="D70" s="454"/>
      <c r="E70" s="440" t="n">
        <v>1</v>
      </c>
      <c r="F70" s="454"/>
      <c r="G70" s="454"/>
      <c r="H70" s="437"/>
      <c r="I70" s="442" t="n">
        <v>36732</v>
      </c>
      <c r="J70" s="418" t="n">
        <v>58</v>
      </c>
      <c r="K70" s="442"/>
      <c r="L70" s="437"/>
      <c r="M70" s="419"/>
      <c r="N70" s="418" t="n">
        <v>1</v>
      </c>
      <c r="O70" s="442"/>
      <c r="P70" s="418" t="n">
        <v>1</v>
      </c>
      <c r="Q70" s="418"/>
      <c r="R70" s="442" t="n">
        <v>36732</v>
      </c>
      <c r="S70" s="418" t="n">
        <v>58</v>
      </c>
    </row>
    <row r="71" customFormat="false" ht="12" hidden="false" customHeight="false" outlineLevel="0" collapsed="false">
      <c r="B71" s="419" t="n">
        <f aca="false">EOMONTH(B70,0)+1</f>
        <v>38412</v>
      </c>
      <c r="C71" s="454"/>
      <c r="D71" s="454"/>
      <c r="E71" s="440" t="n">
        <v>0.75</v>
      </c>
      <c r="F71" s="454"/>
      <c r="G71" s="454"/>
      <c r="H71" s="437"/>
      <c r="I71" s="442" t="n">
        <v>36733</v>
      </c>
      <c r="J71" s="418" t="n">
        <v>59</v>
      </c>
      <c r="K71" s="442"/>
      <c r="L71" s="437"/>
      <c r="M71" s="419"/>
      <c r="N71" s="418" t="n">
        <v>0.75</v>
      </c>
      <c r="O71" s="442"/>
      <c r="P71" s="418" t="n">
        <v>0.75</v>
      </c>
      <c r="Q71" s="418"/>
      <c r="R71" s="442" t="n">
        <v>36733</v>
      </c>
      <c r="S71" s="418" t="n">
        <v>59</v>
      </c>
    </row>
    <row r="72" customFormat="false" ht="12" hidden="false" customHeight="false" outlineLevel="0" collapsed="false">
      <c r="B72" s="419" t="n">
        <f aca="false">EOMONTH(B71,0)+1</f>
        <v>38443</v>
      </c>
      <c r="C72" s="454"/>
      <c r="D72" s="454"/>
      <c r="E72" s="440" t="n">
        <v>0.45</v>
      </c>
      <c r="F72" s="454"/>
      <c r="G72" s="454"/>
      <c r="H72" s="437"/>
      <c r="I72" s="442" t="n">
        <v>36734</v>
      </c>
      <c r="J72" s="418" t="n">
        <v>60</v>
      </c>
      <c r="K72" s="442"/>
      <c r="L72" s="437"/>
      <c r="M72" s="419"/>
      <c r="N72" s="418" t="n">
        <v>0.45</v>
      </c>
      <c r="O72" s="442"/>
      <c r="P72" s="418" t="n">
        <v>0.45</v>
      </c>
      <c r="Q72" s="418"/>
      <c r="R72" s="442" t="n">
        <v>36734</v>
      </c>
      <c r="S72" s="418" t="n">
        <v>60</v>
      </c>
    </row>
    <row r="73" customFormat="false" ht="12" hidden="false" customHeight="false" outlineLevel="0" collapsed="false">
      <c r="B73" s="419" t="n">
        <f aca="false">EOMONTH(B72,0)+1</f>
        <v>38473</v>
      </c>
      <c r="C73" s="454"/>
      <c r="D73" s="454"/>
      <c r="E73" s="440" t="n">
        <v>0.4</v>
      </c>
      <c r="F73" s="454"/>
      <c r="G73" s="454"/>
      <c r="H73" s="437"/>
      <c r="I73" s="442" t="n">
        <v>36735</v>
      </c>
      <c r="J73" s="418" t="n">
        <v>61</v>
      </c>
      <c r="K73" s="442"/>
      <c r="L73" s="437"/>
      <c r="M73" s="419"/>
      <c r="N73" s="418" t="n">
        <v>0.4</v>
      </c>
      <c r="O73" s="442"/>
      <c r="P73" s="418" t="n">
        <v>0.4</v>
      </c>
      <c r="Q73" s="418"/>
      <c r="R73" s="442" t="n">
        <v>36735</v>
      </c>
      <c r="S73" s="418" t="n">
        <v>61</v>
      </c>
    </row>
    <row r="74" customFormat="false" ht="12" hidden="false" customHeight="false" outlineLevel="0" collapsed="false">
      <c r="B74" s="419" t="n">
        <f aca="false">EOMONTH(B73,0)+1</f>
        <v>38504</v>
      </c>
      <c r="C74" s="454"/>
      <c r="D74" s="454"/>
      <c r="E74" s="440" t="n">
        <v>0.5</v>
      </c>
      <c r="F74" s="454"/>
      <c r="G74" s="454"/>
      <c r="H74" s="437"/>
      <c r="I74" s="442" t="n">
        <v>36736</v>
      </c>
      <c r="J74" s="418" t="n">
        <v>62</v>
      </c>
      <c r="K74" s="442"/>
      <c r="L74" s="437"/>
      <c r="M74" s="419"/>
      <c r="N74" s="418" t="n">
        <v>0.5</v>
      </c>
      <c r="O74" s="442"/>
      <c r="P74" s="418" t="n">
        <v>0.5</v>
      </c>
      <c r="Q74" s="418"/>
      <c r="R74" s="442" t="n">
        <v>36736</v>
      </c>
      <c r="S74" s="418" t="n">
        <v>62</v>
      </c>
    </row>
    <row r="75" customFormat="false" ht="12" hidden="false" customHeight="false" outlineLevel="0" collapsed="false">
      <c r="B75" s="419" t="n">
        <f aca="false">EOMONTH(B74,0)+1</f>
        <v>38534</v>
      </c>
      <c r="C75" s="454"/>
      <c r="D75" s="454"/>
      <c r="E75" s="440" t="n">
        <v>0.5</v>
      </c>
      <c r="F75" s="454"/>
      <c r="G75" s="454"/>
      <c r="H75" s="437"/>
      <c r="I75" s="442" t="n">
        <v>36737</v>
      </c>
      <c r="J75" s="418" t="n">
        <v>63</v>
      </c>
      <c r="K75" s="442"/>
      <c r="L75" s="437"/>
      <c r="M75" s="419"/>
      <c r="N75" s="418" t="n">
        <v>0.5</v>
      </c>
      <c r="O75" s="442"/>
      <c r="P75" s="418" t="n">
        <v>0.5</v>
      </c>
      <c r="Q75" s="418"/>
      <c r="R75" s="442" t="n">
        <v>36737</v>
      </c>
      <c r="S75" s="418" t="n">
        <v>63</v>
      </c>
    </row>
    <row r="76" customFormat="false" ht="12" hidden="false" customHeight="false" outlineLevel="0" collapsed="false">
      <c r="B76" s="419" t="n">
        <f aca="false">EOMONTH(B75,0)+1</f>
        <v>38565</v>
      </c>
      <c r="C76" s="454"/>
      <c r="D76" s="454"/>
      <c r="E76" s="440" t="n">
        <v>0.6</v>
      </c>
      <c r="F76" s="454"/>
      <c r="G76" s="454"/>
      <c r="H76" s="437"/>
      <c r="I76" s="442" t="n">
        <v>36738</v>
      </c>
      <c r="J76" s="418" t="n">
        <v>64</v>
      </c>
      <c r="K76" s="442"/>
      <c r="L76" s="437"/>
      <c r="M76" s="419"/>
      <c r="N76" s="418" t="n">
        <v>0.6</v>
      </c>
      <c r="O76" s="442"/>
      <c r="P76" s="418" t="n">
        <v>0.6</v>
      </c>
      <c r="Q76" s="418"/>
      <c r="R76" s="442" t="n">
        <v>36738</v>
      </c>
      <c r="S76" s="418" t="n">
        <v>64</v>
      </c>
    </row>
    <row r="77" customFormat="false" ht="12" hidden="false" customHeight="false" outlineLevel="0" collapsed="false">
      <c r="B77" s="419" t="n">
        <f aca="false">EOMONTH(B76,0)+1</f>
        <v>38596</v>
      </c>
      <c r="C77" s="454"/>
      <c r="D77" s="454"/>
      <c r="E77" s="440" t="n">
        <v>0.55</v>
      </c>
      <c r="F77" s="454"/>
      <c r="G77" s="454"/>
      <c r="H77" s="437"/>
      <c r="I77" s="442" t="n">
        <v>36739</v>
      </c>
      <c r="J77" s="418" t="n">
        <v>65</v>
      </c>
      <c r="K77" s="442"/>
      <c r="L77" s="437"/>
      <c r="M77" s="419"/>
      <c r="N77" s="418" t="n">
        <v>0.55</v>
      </c>
      <c r="O77" s="442"/>
      <c r="P77" s="418" t="n">
        <v>0.55</v>
      </c>
      <c r="Q77" s="418"/>
      <c r="R77" s="442" t="n">
        <v>36739</v>
      </c>
      <c r="S77" s="418" t="n">
        <v>65</v>
      </c>
    </row>
    <row r="78" customFormat="false" ht="12" hidden="false" customHeight="false" outlineLevel="0" collapsed="false">
      <c r="B78" s="419" t="n">
        <f aca="false">EOMONTH(B77,0)+1</f>
        <v>38626</v>
      </c>
      <c r="C78" s="454"/>
      <c r="D78" s="454"/>
      <c r="E78" s="440" t="n">
        <v>0.6</v>
      </c>
      <c r="F78" s="454"/>
      <c r="G78" s="454"/>
      <c r="H78" s="437"/>
      <c r="I78" s="442" t="n">
        <v>36740</v>
      </c>
      <c r="J78" s="418" t="n">
        <v>66</v>
      </c>
      <c r="K78" s="442"/>
      <c r="L78" s="437"/>
      <c r="M78" s="419"/>
      <c r="N78" s="418" t="n">
        <v>0.6</v>
      </c>
      <c r="O78" s="442"/>
      <c r="P78" s="418" t="n">
        <v>0.6</v>
      </c>
      <c r="Q78" s="418"/>
      <c r="R78" s="442" t="n">
        <v>36740</v>
      </c>
      <c r="S78" s="418" t="n">
        <v>66</v>
      </c>
    </row>
    <row r="79" customFormat="false" ht="12" hidden="false" customHeight="false" outlineLevel="0" collapsed="false">
      <c r="B79" s="419" t="n">
        <f aca="false">EOMONTH(B78,0)+1</f>
        <v>38657</v>
      </c>
      <c r="C79" s="454"/>
      <c r="D79" s="454"/>
      <c r="E79" s="440" t="n">
        <v>0.8</v>
      </c>
      <c r="F79" s="454"/>
      <c r="G79" s="454"/>
      <c r="H79" s="437"/>
      <c r="I79" s="442" t="n">
        <v>36741</v>
      </c>
      <c r="J79" s="418" t="n">
        <v>67</v>
      </c>
      <c r="K79" s="442"/>
      <c r="L79" s="437"/>
      <c r="M79" s="419"/>
      <c r="N79" s="418" t="n">
        <v>0.8</v>
      </c>
      <c r="O79" s="442"/>
      <c r="P79" s="418" t="n">
        <v>0.8</v>
      </c>
      <c r="Q79" s="418"/>
      <c r="R79" s="442" t="n">
        <v>36741</v>
      </c>
      <c r="S79" s="418" t="n">
        <v>67</v>
      </c>
    </row>
    <row r="80" customFormat="false" ht="12" hidden="false" customHeight="false" outlineLevel="0" collapsed="false">
      <c r="B80" s="419" t="n">
        <f aca="false">EOMONTH(B79,0)+1</f>
        <v>38687</v>
      </c>
      <c r="C80" s="454"/>
      <c r="D80" s="454"/>
      <c r="E80" s="440" t="n">
        <v>1</v>
      </c>
      <c r="F80" s="454"/>
      <c r="G80" s="454"/>
      <c r="H80" s="437"/>
      <c r="I80" s="442" t="n">
        <v>36742</v>
      </c>
      <c r="J80" s="418" t="n">
        <v>68</v>
      </c>
      <c r="K80" s="442"/>
      <c r="L80" s="437"/>
      <c r="M80" s="419"/>
      <c r="N80" s="418" t="n">
        <v>1</v>
      </c>
      <c r="O80" s="442"/>
      <c r="P80" s="418" t="n">
        <v>1</v>
      </c>
      <c r="Q80" s="418"/>
      <c r="R80" s="442" t="n">
        <v>36742</v>
      </c>
      <c r="S80" s="418" t="n">
        <v>68</v>
      </c>
    </row>
    <row r="81" customFormat="false" ht="12" hidden="false" customHeight="false" outlineLevel="0" collapsed="false">
      <c r="B81" s="419" t="n">
        <f aca="false">EOMONTH(B80,0)+1</f>
        <v>38718</v>
      </c>
      <c r="C81" s="454"/>
      <c r="D81" s="454"/>
      <c r="E81" s="440" t="n">
        <v>1</v>
      </c>
      <c r="F81" s="454"/>
      <c r="G81" s="454"/>
      <c r="H81" s="437"/>
      <c r="I81" s="442" t="n">
        <v>36743</v>
      </c>
      <c r="J81" s="418" t="n">
        <v>69</v>
      </c>
      <c r="K81" s="442"/>
      <c r="L81" s="437"/>
      <c r="M81" s="419"/>
      <c r="N81" s="418" t="n">
        <v>1</v>
      </c>
      <c r="O81" s="442"/>
      <c r="P81" s="418" t="n">
        <v>1</v>
      </c>
      <c r="Q81" s="418"/>
      <c r="R81" s="442" t="n">
        <v>36743</v>
      </c>
      <c r="S81" s="418" t="n">
        <v>69</v>
      </c>
    </row>
    <row r="82" customFormat="false" ht="12" hidden="false" customHeight="false" outlineLevel="0" collapsed="false">
      <c r="B82" s="419" t="n">
        <f aca="false">EOMONTH(B81,0)+1</f>
        <v>38749</v>
      </c>
      <c r="C82" s="454"/>
      <c r="D82" s="454"/>
      <c r="E82" s="440" t="n">
        <v>1</v>
      </c>
      <c r="F82" s="454"/>
      <c r="G82" s="454"/>
      <c r="H82" s="437"/>
      <c r="I82" s="442" t="n">
        <v>36744</v>
      </c>
      <c r="J82" s="418" t="n">
        <v>70</v>
      </c>
      <c r="K82" s="442"/>
      <c r="L82" s="437"/>
      <c r="M82" s="419"/>
      <c r="N82" s="418" t="n">
        <v>1</v>
      </c>
      <c r="O82" s="442"/>
      <c r="P82" s="418" t="n">
        <v>1</v>
      </c>
      <c r="Q82" s="418"/>
      <c r="R82" s="442" t="n">
        <v>36744</v>
      </c>
      <c r="S82" s="418" t="n">
        <v>70</v>
      </c>
    </row>
    <row r="83" customFormat="false" ht="12" hidden="false" customHeight="false" outlineLevel="0" collapsed="false">
      <c r="B83" s="419" t="n">
        <f aca="false">EOMONTH(B82,0)+1</f>
        <v>38777</v>
      </c>
      <c r="C83" s="454"/>
      <c r="D83" s="454"/>
      <c r="E83" s="440" t="n">
        <v>0.75</v>
      </c>
      <c r="F83" s="454"/>
      <c r="G83" s="454"/>
      <c r="H83" s="437"/>
      <c r="I83" s="442" t="n">
        <v>36745</v>
      </c>
      <c r="J83" s="418" t="n">
        <v>71</v>
      </c>
      <c r="K83" s="442"/>
      <c r="L83" s="437"/>
      <c r="M83" s="419"/>
      <c r="N83" s="418" t="n">
        <v>0.75</v>
      </c>
      <c r="O83" s="442"/>
      <c r="P83" s="418" t="n">
        <v>0.75</v>
      </c>
      <c r="Q83" s="418"/>
      <c r="R83" s="442" t="n">
        <v>36745</v>
      </c>
      <c r="S83" s="418" t="n">
        <v>71</v>
      </c>
    </row>
    <row r="84" customFormat="false" ht="12" hidden="false" customHeight="false" outlineLevel="0" collapsed="false">
      <c r="B84" s="419" t="n">
        <f aca="false">EOMONTH(B83,0)+1</f>
        <v>38808</v>
      </c>
      <c r="C84" s="454"/>
      <c r="D84" s="454"/>
      <c r="E84" s="440" t="n">
        <v>0.45</v>
      </c>
      <c r="F84" s="454"/>
      <c r="G84" s="454"/>
      <c r="H84" s="437"/>
      <c r="I84" s="442" t="n">
        <v>36746</v>
      </c>
      <c r="J84" s="418" t="n">
        <v>72</v>
      </c>
      <c r="K84" s="442"/>
      <c r="L84" s="437"/>
      <c r="M84" s="419"/>
      <c r="N84" s="418" t="n">
        <v>0.45</v>
      </c>
      <c r="O84" s="442"/>
      <c r="P84" s="418" t="n">
        <v>0.45</v>
      </c>
      <c r="Q84" s="418"/>
      <c r="R84" s="442" t="n">
        <v>36746</v>
      </c>
      <c r="S84" s="418" t="n">
        <v>72</v>
      </c>
    </row>
    <row r="85" customFormat="false" ht="12" hidden="false" customHeight="false" outlineLevel="0" collapsed="false">
      <c r="B85" s="419" t="n">
        <f aca="false">EOMONTH(B84,0)+1</f>
        <v>38838</v>
      </c>
      <c r="C85" s="454"/>
      <c r="D85" s="454"/>
      <c r="E85" s="440" t="n">
        <v>0.4</v>
      </c>
      <c r="F85" s="454"/>
      <c r="G85" s="454"/>
      <c r="H85" s="437"/>
      <c r="I85" s="442" t="n">
        <v>36747</v>
      </c>
      <c r="J85" s="418" t="n">
        <v>73</v>
      </c>
      <c r="K85" s="442"/>
      <c r="L85" s="437"/>
      <c r="M85" s="419"/>
      <c r="N85" s="418" t="n">
        <v>0.4</v>
      </c>
      <c r="O85" s="442"/>
      <c r="P85" s="418" t="n">
        <v>0.4</v>
      </c>
      <c r="Q85" s="418"/>
      <c r="R85" s="442" t="n">
        <v>36747</v>
      </c>
      <c r="S85" s="418" t="n">
        <v>73</v>
      </c>
    </row>
    <row r="86" customFormat="false" ht="12" hidden="false" customHeight="false" outlineLevel="0" collapsed="false">
      <c r="B86" s="419" t="n">
        <f aca="false">EOMONTH(B85,0)+1</f>
        <v>38869</v>
      </c>
      <c r="C86" s="454"/>
      <c r="D86" s="454"/>
      <c r="E86" s="418" t="n">
        <v>0.5</v>
      </c>
      <c r="F86" s="454"/>
      <c r="G86" s="454"/>
      <c r="H86" s="437"/>
      <c r="I86" s="442" t="n">
        <v>36748</v>
      </c>
      <c r="J86" s="418" t="n">
        <v>74</v>
      </c>
      <c r="K86" s="442"/>
      <c r="L86" s="437"/>
      <c r="M86" s="419"/>
      <c r="N86" s="418" t="n">
        <v>0.5</v>
      </c>
      <c r="O86" s="442"/>
      <c r="P86" s="418" t="n">
        <v>0.5</v>
      </c>
      <c r="Q86" s="418"/>
      <c r="R86" s="442" t="n">
        <v>36748</v>
      </c>
      <c r="S86" s="418" t="n">
        <v>74</v>
      </c>
    </row>
    <row r="87" customFormat="false" ht="12" hidden="false" customHeight="false" outlineLevel="0" collapsed="false">
      <c r="B87" s="419" t="n">
        <f aca="false">EOMONTH(B86,0)+1</f>
        <v>38899</v>
      </c>
      <c r="C87" s="454"/>
      <c r="D87" s="454"/>
      <c r="E87" s="418" t="n">
        <v>0.5</v>
      </c>
      <c r="F87" s="454"/>
      <c r="G87" s="454"/>
      <c r="H87" s="437"/>
      <c r="I87" s="442" t="n">
        <v>36749</v>
      </c>
      <c r="J87" s="418" t="n">
        <v>75</v>
      </c>
      <c r="K87" s="442"/>
      <c r="L87" s="437"/>
      <c r="M87" s="419"/>
      <c r="N87" s="418" t="n">
        <v>0.5</v>
      </c>
      <c r="O87" s="442"/>
      <c r="P87" s="418" t="n">
        <v>0.5</v>
      </c>
      <c r="Q87" s="418"/>
      <c r="R87" s="442" t="n">
        <v>36749</v>
      </c>
      <c r="S87" s="418" t="n">
        <v>75</v>
      </c>
    </row>
    <row r="88" customFormat="false" ht="12" hidden="false" customHeight="false" outlineLevel="0" collapsed="false">
      <c r="B88" s="419" t="n">
        <f aca="false">EOMONTH(B87,0)+1</f>
        <v>38930</v>
      </c>
      <c r="C88" s="454"/>
      <c r="D88" s="454"/>
      <c r="E88" s="418" t="n">
        <v>0.6</v>
      </c>
      <c r="F88" s="454"/>
      <c r="G88" s="454"/>
      <c r="H88" s="437"/>
      <c r="I88" s="442" t="n">
        <v>36750</v>
      </c>
      <c r="J88" s="418" t="n">
        <v>76</v>
      </c>
      <c r="K88" s="442"/>
      <c r="L88" s="437"/>
      <c r="M88" s="419"/>
      <c r="N88" s="418" t="n">
        <v>0.6</v>
      </c>
      <c r="O88" s="442"/>
      <c r="P88" s="418" t="n">
        <v>0.6</v>
      </c>
      <c r="Q88" s="418"/>
      <c r="R88" s="442" t="n">
        <v>36750</v>
      </c>
      <c r="S88" s="418" t="n">
        <v>76</v>
      </c>
    </row>
    <row r="89" customFormat="false" ht="12" hidden="false" customHeight="false" outlineLevel="0" collapsed="false">
      <c r="B89" s="419" t="n">
        <f aca="false">EOMONTH(B88,0)+1</f>
        <v>38961</v>
      </c>
      <c r="C89" s="454"/>
      <c r="D89" s="454"/>
      <c r="E89" s="418" t="n">
        <v>0.55</v>
      </c>
      <c r="F89" s="454"/>
      <c r="G89" s="454"/>
      <c r="H89" s="437"/>
      <c r="I89" s="442" t="n">
        <v>36751</v>
      </c>
      <c r="J89" s="418" t="n">
        <v>77</v>
      </c>
      <c r="K89" s="442"/>
      <c r="L89" s="437"/>
      <c r="M89" s="419"/>
      <c r="N89" s="418" t="n">
        <v>0.55</v>
      </c>
      <c r="O89" s="442"/>
      <c r="P89" s="418" t="n">
        <v>0.55</v>
      </c>
      <c r="Q89" s="418"/>
      <c r="R89" s="442" t="n">
        <v>36751</v>
      </c>
      <c r="S89" s="418" t="n">
        <v>77</v>
      </c>
    </row>
    <row r="90" customFormat="false" ht="12" hidden="false" customHeight="false" outlineLevel="0" collapsed="false">
      <c r="B90" s="419" t="n">
        <f aca="false">EOMONTH(B89,0)+1</f>
        <v>38991</v>
      </c>
      <c r="C90" s="454"/>
      <c r="D90" s="454"/>
      <c r="E90" s="418" t="n">
        <v>0.6</v>
      </c>
      <c r="F90" s="454"/>
      <c r="G90" s="454"/>
      <c r="H90" s="437"/>
      <c r="I90" s="442" t="n">
        <v>36752</v>
      </c>
      <c r="J90" s="418" t="n">
        <v>78</v>
      </c>
      <c r="K90" s="442"/>
      <c r="L90" s="437"/>
      <c r="M90" s="419"/>
      <c r="N90" s="418" t="n">
        <v>0.6</v>
      </c>
      <c r="O90" s="442"/>
      <c r="P90" s="418" t="n">
        <v>0.6</v>
      </c>
      <c r="Q90" s="418"/>
      <c r="R90" s="442" t="n">
        <v>36752</v>
      </c>
      <c r="S90" s="418" t="n">
        <v>78</v>
      </c>
    </row>
    <row r="91" customFormat="false" ht="12" hidden="false" customHeight="false" outlineLevel="0" collapsed="false">
      <c r="B91" s="419" t="n">
        <f aca="false">EOMONTH(B90,0)+1</f>
        <v>39022</v>
      </c>
      <c r="C91" s="454"/>
      <c r="D91" s="454"/>
      <c r="E91" s="418" t="n">
        <v>0.8</v>
      </c>
      <c r="F91" s="454"/>
      <c r="G91" s="454"/>
      <c r="H91" s="437"/>
      <c r="I91" s="442" t="n">
        <v>36753</v>
      </c>
      <c r="J91" s="418" t="n">
        <v>79</v>
      </c>
      <c r="K91" s="442"/>
      <c r="L91" s="437"/>
      <c r="M91" s="419"/>
      <c r="N91" s="418" t="n">
        <v>0.8</v>
      </c>
      <c r="O91" s="442"/>
      <c r="P91" s="418" t="n">
        <v>0.8</v>
      </c>
      <c r="Q91" s="418"/>
      <c r="R91" s="442" t="n">
        <v>36753</v>
      </c>
      <c r="S91" s="418" t="n">
        <v>79</v>
      </c>
    </row>
    <row r="92" customFormat="false" ht="12" hidden="false" customHeight="false" outlineLevel="0" collapsed="false">
      <c r="B92" s="419" t="n">
        <f aca="false">EOMONTH(B91,0)+1</f>
        <v>39052</v>
      </c>
      <c r="C92" s="454"/>
      <c r="D92" s="454"/>
      <c r="E92" s="418" t="n">
        <v>1</v>
      </c>
      <c r="F92" s="454"/>
      <c r="G92" s="454"/>
      <c r="H92" s="437"/>
      <c r="I92" s="442" t="n">
        <v>36754</v>
      </c>
      <c r="J92" s="418" t="n">
        <v>80</v>
      </c>
      <c r="K92" s="442"/>
      <c r="L92" s="437"/>
      <c r="M92" s="419"/>
      <c r="N92" s="418" t="n">
        <v>1</v>
      </c>
      <c r="O92" s="442"/>
      <c r="P92" s="418" t="n">
        <v>1</v>
      </c>
      <c r="Q92" s="418"/>
      <c r="R92" s="442" t="n">
        <v>36754</v>
      </c>
      <c r="S92" s="418" t="n">
        <v>80</v>
      </c>
    </row>
    <row r="93" customFormat="false" ht="12" hidden="false" customHeight="false" outlineLevel="0" collapsed="false">
      <c r="B93" s="419" t="n">
        <f aca="false">EOMONTH(B92,0)+1</f>
        <v>39083</v>
      </c>
      <c r="C93" s="454"/>
      <c r="D93" s="454"/>
      <c r="E93" s="418" t="n">
        <v>1</v>
      </c>
      <c r="F93" s="454"/>
      <c r="G93" s="454"/>
      <c r="H93" s="437"/>
      <c r="I93" s="442" t="n">
        <v>36755</v>
      </c>
      <c r="J93" s="418" t="n">
        <v>81</v>
      </c>
      <c r="K93" s="442"/>
      <c r="L93" s="437"/>
      <c r="M93" s="419"/>
      <c r="N93" s="418" t="n">
        <v>1</v>
      </c>
      <c r="O93" s="442"/>
      <c r="P93" s="418" t="n">
        <v>1</v>
      </c>
      <c r="Q93" s="418"/>
      <c r="R93" s="442" t="n">
        <v>36755</v>
      </c>
      <c r="S93" s="418" t="n">
        <v>81</v>
      </c>
    </row>
    <row r="94" customFormat="false" ht="12" hidden="false" customHeight="false" outlineLevel="0" collapsed="false">
      <c r="B94" s="419" t="n">
        <f aca="false">EOMONTH(B93,0)+1</f>
        <v>39114</v>
      </c>
      <c r="C94" s="454"/>
      <c r="D94" s="454"/>
      <c r="E94" s="418" t="n">
        <v>1</v>
      </c>
      <c r="F94" s="454"/>
      <c r="G94" s="454"/>
      <c r="H94" s="437"/>
      <c r="I94" s="442" t="n">
        <v>36756</v>
      </c>
      <c r="J94" s="418" t="n">
        <v>82</v>
      </c>
      <c r="K94" s="442"/>
      <c r="L94" s="437"/>
      <c r="M94" s="419"/>
      <c r="N94" s="418" t="n">
        <v>1</v>
      </c>
      <c r="O94" s="442"/>
      <c r="P94" s="418" t="n">
        <v>1</v>
      </c>
      <c r="Q94" s="418"/>
      <c r="R94" s="442" t="n">
        <v>36756</v>
      </c>
      <c r="S94" s="418" t="n">
        <v>82</v>
      </c>
    </row>
    <row r="95" customFormat="false" ht="12" hidden="false" customHeight="false" outlineLevel="0" collapsed="false">
      <c r="B95" s="419" t="n">
        <f aca="false">EOMONTH(B94,0)+1</f>
        <v>39142</v>
      </c>
      <c r="C95" s="454"/>
      <c r="D95" s="454"/>
      <c r="E95" s="418" t="n">
        <v>0.75</v>
      </c>
      <c r="F95" s="454"/>
      <c r="G95" s="454"/>
      <c r="H95" s="437"/>
      <c r="I95" s="442" t="n">
        <v>36757</v>
      </c>
      <c r="J95" s="418" t="n">
        <v>83</v>
      </c>
      <c r="K95" s="442"/>
      <c r="L95" s="437"/>
      <c r="M95" s="419"/>
      <c r="N95" s="418" t="n">
        <v>0.75</v>
      </c>
      <c r="O95" s="442"/>
      <c r="P95" s="418" t="n">
        <v>0.75</v>
      </c>
      <c r="Q95" s="418"/>
      <c r="R95" s="442" t="n">
        <v>36757</v>
      </c>
      <c r="S95" s="418" t="n">
        <v>83</v>
      </c>
    </row>
    <row r="96" customFormat="false" ht="12" hidden="false" customHeight="false" outlineLevel="0" collapsed="false">
      <c r="B96" s="419" t="n">
        <f aca="false">EOMONTH(B95,0)+1</f>
        <v>39173</v>
      </c>
      <c r="C96" s="454"/>
      <c r="D96" s="454"/>
      <c r="E96" s="418" t="n">
        <v>0.45</v>
      </c>
      <c r="F96" s="454"/>
      <c r="G96" s="454"/>
      <c r="H96" s="437"/>
      <c r="I96" s="442" t="n">
        <v>36758</v>
      </c>
      <c r="J96" s="418" t="n">
        <v>84</v>
      </c>
      <c r="K96" s="442"/>
      <c r="L96" s="437"/>
      <c r="M96" s="419"/>
      <c r="N96" s="418" t="n">
        <v>0.45</v>
      </c>
      <c r="O96" s="442"/>
      <c r="P96" s="418" t="n">
        <v>0.45</v>
      </c>
      <c r="Q96" s="418"/>
      <c r="R96" s="442" t="n">
        <v>36758</v>
      </c>
      <c r="S96" s="418" t="n">
        <v>84</v>
      </c>
    </row>
    <row r="97" customFormat="false" ht="12" hidden="false" customHeight="false" outlineLevel="0" collapsed="false">
      <c r="B97" s="419" t="n">
        <f aca="false">EOMONTH(B96,0)+1</f>
        <v>39203</v>
      </c>
      <c r="C97" s="454"/>
      <c r="D97" s="454"/>
      <c r="E97" s="418" t="n">
        <v>0.4</v>
      </c>
      <c r="F97" s="454"/>
      <c r="G97" s="454"/>
      <c r="H97" s="437"/>
      <c r="I97" s="442" t="n">
        <v>36759</v>
      </c>
      <c r="J97" s="418" t="n">
        <v>85</v>
      </c>
      <c r="K97" s="442"/>
      <c r="L97" s="437"/>
      <c r="M97" s="419"/>
      <c r="N97" s="418" t="n">
        <v>0.4</v>
      </c>
      <c r="O97" s="442"/>
      <c r="P97" s="418" t="n">
        <v>0.4</v>
      </c>
      <c r="Q97" s="418"/>
      <c r="R97" s="442" t="n">
        <v>36759</v>
      </c>
      <c r="S97" s="418" t="n">
        <v>85</v>
      </c>
    </row>
    <row r="98" customFormat="false" ht="12" hidden="false" customHeight="false" outlineLevel="0" collapsed="false">
      <c r="B98" s="419" t="n">
        <f aca="false">EOMONTH(B97,0)+1</f>
        <v>39234</v>
      </c>
      <c r="C98" s="454"/>
      <c r="D98" s="454"/>
      <c r="E98" s="418" t="n">
        <v>0.5</v>
      </c>
      <c r="F98" s="454"/>
      <c r="G98" s="454"/>
      <c r="H98" s="437"/>
      <c r="I98" s="442" t="n">
        <v>36760</v>
      </c>
      <c r="J98" s="418" t="n">
        <v>86</v>
      </c>
      <c r="K98" s="442"/>
      <c r="L98" s="437"/>
      <c r="M98" s="419"/>
      <c r="N98" s="418" t="n">
        <v>0.5</v>
      </c>
      <c r="O98" s="442"/>
      <c r="P98" s="418" t="n">
        <v>0.5</v>
      </c>
      <c r="Q98" s="418"/>
      <c r="R98" s="442" t="n">
        <v>36760</v>
      </c>
      <c r="S98" s="418" t="n">
        <v>86</v>
      </c>
    </row>
    <row r="99" customFormat="false" ht="12" hidden="false" customHeight="false" outlineLevel="0" collapsed="false">
      <c r="B99" s="419" t="n">
        <f aca="false">EOMONTH(B98,0)+1</f>
        <v>39264</v>
      </c>
      <c r="C99" s="454"/>
      <c r="D99" s="454"/>
      <c r="E99" s="418" t="n">
        <v>0.5</v>
      </c>
      <c r="F99" s="454"/>
      <c r="G99" s="454"/>
      <c r="H99" s="437"/>
      <c r="I99" s="442" t="n">
        <v>36761</v>
      </c>
      <c r="J99" s="418" t="n">
        <v>87</v>
      </c>
      <c r="K99" s="442"/>
      <c r="L99" s="437"/>
      <c r="M99" s="419"/>
      <c r="N99" s="418" t="n">
        <v>0.5</v>
      </c>
      <c r="O99" s="442"/>
      <c r="P99" s="418" t="n">
        <v>0.5</v>
      </c>
      <c r="Q99" s="418"/>
      <c r="R99" s="442" t="n">
        <v>36761</v>
      </c>
      <c r="S99" s="418" t="n">
        <v>87</v>
      </c>
    </row>
    <row r="100" customFormat="false" ht="12" hidden="false" customHeight="false" outlineLevel="0" collapsed="false">
      <c r="B100" s="419" t="n">
        <f aca="false">EOMONTH(B99,0)+1</f>
        <v>39295</v>
      </c>
      <c r="C100" s="454"/>
      <c r="D100" s="454"/>
      <c r="E100" s="418" t="n">
        <v>0.6</v>
      </c>
      <c r="F100" s="454"/>
      <c r="G100" s="454"/>
      <c r="H100" s="437"/>
      <c r="I100" s="442" t="n">
        <v>36762</v>
      </c>
      <c r="J100" s="418" t="n">
        <v>88</v>
      </c>
      <c r="K100" s="442"/>
      <c r="L100" s="437"/>
      <c r="M100" s="419"/>
      <c r="N100" s="418" t="n">
        <v>0.6</v>
      </c>
      <c r="O100" s="442"/>
      <c r="P100" s="418" t="n">
        <v>0.6</v>
      </c>
      <c r="Q100" s="418"/>
      <c r="R100" s="442" t="n">
        <v>36762</v>
      </c>
      <c r="S100" s="418" t="n">
        <v>88</v>
      </c>
    </row>
    <row r="101" customFormat="false" ht="12" hidden="false" customHeight="false" outlineLevel="0" collapsed="false">
      <c r="B101" s="419" t="n">
        <f aca="false">EOMONTH(B100,0)+1</f>
        <v>39326</v>
      </c>
      <c r="C101" s="454"/>
      <c r="D101" s="454"/>
      <c r="E101" s="418" t="n">
        <v>0.55</v>
      </c>
      <c r="F101" s="454"/>
      <c r="G101" s="454"/>
      <c r="H101" s="437"/>
      <c r="I101" s="442" t="n">
        <v>36763</v>
      </c>
      <c r="J101" s="418" t="n">
        <v>89</v>
      </c>
      <c r="K101" s="442"/>
      <c r="L101" s="437"/>
      <c r="M101" s="419"/>
      <c r="N101" s="418" t="n">
        <v>0.55</v>
      </c>
      <c r="O101" s="442"/>
      <c r="P101" s="418" t="n">
        <v>0.55</v>
      </c>
      <c r="Q101" s="418"/>
      <c r="R101" s="442" t="n">
        <v>36763</v>
      </c>
      <c r="S101" s="418" t="n">
        <v>89</v>
      </c>
    </row>
    <row r="102" customFormat="false" ht="12" hidden="false" customHeight="false" outlineLevel="0" collapsed="false">
      <c r="B102" s="419" t="n">
        <f aca="false">EOMONTH(B101,0)+1</f>
        <v>39356</v>
      </c>
      <c r="C102" s="454"/>
      <c r="D102" s="454"/>
      <c r="E102" s="418" t="n">
        <v>0.6</v>
      </c>
      <c r="F102" s="454"/>
      <c r="G102" s="454"/>
      <c r="H102" s="437"/>
      <c r="I102" s="442" t="n">
        <v>36764</v>
      </c>
      <c r="J102" s="418" t="n">
        <v>90</v>
      </c>
      <c r="K102" s="442"/>
      <c r="L102" s="437"/>
      <c r="M102" s="419"/>
      <c r="N102" s="418" t="n">
        <v>0.6</v>
      </c>
      <c r="O102" s="442"/>
      <c r="P102" s="418" t="n">
        <v>0.6</v>
      </c>
      <c r="Q102" s="418"/>
      <c r="R102" s="442" t="n">
        <v>36764</v>
      </c>
      <c r="S102" s="418" t="n">
        <v>90</v>
      </c>
    </row>
    <row r="103" customFormat="false" ht="12" hidden="false" customHeight="false" outlineLevel="0" collapsed="false">
      <c r="B103" s="419" t="n">
        <f aca="false">EOMONTH(B102,0)+1</f>
        <v>39387</v>
      </c>
      <c r="C103" s="454"/>
      <c r="D103" s="454"/>
      <c r="E103" s="418" t="n">
        <v>0.8</v>
      </c>
      <c r="F103" s="454"/>
      <c r="G103" s="454"/>
      <c r="H103" s="437"/>
      <c r="I103" s="442" t="n">
        <v>36765</v>
      </c>
      <c r="J103" s="418" t="n">
        <v>91</v>
      </c>
      <c r="K103" s="442"/>
      <c r="L103" s="437"/>
      <c r="M103" s="419"/>
      <c r="N103" s="418" t="n">
        <v>0.8</v>
      </c>
      <c r="O103" s="442"/>
      <c r="P103" s="418" t="n">
        <v>0.8</v>
      </c>
      <c r="Q103" s="418"/>
      <c r="R103" s="442" t="n">
        <v>36765</v>
      </c>
      <c r="S103" s="418" t="n">
        <v>91</v>
      </c>
    </row>
    <row r="104" customFormat="false" ht="12" hidden="false" customHeight="false" outlineLevel="0" collapsed="false">
      <c r="B104" s="419" t="n">
        <f aca="false">EOMONTH(B103,0)+1</f>
        <v>39417</v>
      </c>
      <c r="C104" s="454"/>
      <c r="D104" s="454"/>
      <c r="E104" s="418" t="n">
        <v>1</v>
      </c>
      <c r="F104" s="454"/>
      <c r="G104" s="454"/>
      <c r="H104" s="437"/>
      <c r="I104" s="442" t="n">
        <v>36766</v>
      </c>
      <c r="J104" s="418" t="n">
        <v>92</v>
      </c>
      <c r="K104" s="442"/>
      <c r="L104" s="437"/>
      <c r="M104" s="419"/>
      <c r="N104" s="418" t="n">
        <v>1</v>
      </c>
      <c r="O104" s="442"/>
      <c r="P104" s="418" t="n">
        <v>1</v>
      </c>
      <c r="Q104" s="418"/>
      <c r="R104" s="442" t="n">
        <v>36766</v>
      </c>
      <c r="S104" s="418" t="n">
        <v>92</v>
      </c>
    </row>
    <row r="105" customFormat="false" ht="12" hidden="false" customHeight="false" outlineLevel="0" collapsed="false">
      <c r="B105" s="419" t="n">
        <f aca="false">EOMONTH(B104,0)+1</f>
        <v>39448</v>
      </c>
      <c r="C105" s="454"/>
      <c r="D105" s="454"/>
      <c r="E105" s="418" t="n">
        <v>1</v>
      </c>
      <c r="F105" s="454"/>
      <c r="G105" s="454"/>
      <c r="H105" s="437"/>
      <c r="I105" s="442" t="n">
        <v>36767</v>
      </c>
      <c r="J105" s="418" t="n">
        <v>93</v>
      </c>
      <c r="K105" s="442"/>
      <c r="L105" s="437"/>
      <c r="M105" s="419"/>
      <c r="N105" s="418" t="n">
        <v>1</v>
      </c>
      <c r="O105" s="442"/>
      <c r="P105" s="418" t="n">
        <v>1</v>
      </c>
      <c r="Q105" s="418"/>
      <c r="R105" s="442" t="n">
        <v>36767</v>
      </c>
      <c r="S105" s="418" t="n">
        <v>93</v>
      </c>
    </row>
    <row r="106" customFormat="false" ht="12" hidden="false" customHeight="false" outlineLevel="0" collapsed="false">
      <c r="B106" s="419" t="n">
        <f aca="false">EOMONTH(B105,0)+1</f>
        <v>39479</v>
      </c>
      <c r="C106" s="454"/>
      <c r="D106" s="454"/>
      <c r="E106" s="418" t="n">
        <v>1</v>
      </c>
      <c r="F106" s="454"/>
      <c r="G106" s="454"/>
      <c r="H106" s="437"/>
      <c r="I106" s="442" t="n">
        <v>36768</v>
      </c>
      <c r="J106" s="418" t="n">
        <v>94</v>
      </c>
      <c r="K106" s="442"/>
      <c r="L106" s="437"/>
      <c r="M106" s="419"/>
      <c r="N106" s="418" t="n">
        <v>1</v>
      </c>
      <c r="O106" s="442"/>
      <c r="P106" s="418" t="n">
        <v>1</v>
      </c>
      <c r="Q106" s="418"/>
      <c r="R106" s="442" t="n">
        <v>36768</v>
      </c>
      <c r="S106" s="418" t="n">
        <v>94</v>
      </c>
    </row>
    <row r="107" customFormat="false" ht="12" hidden="false" customHeight="false" outlineLevel="0" collapsed="false">
      <c r="B107" s="419" t="n">
        <f aca="false">EOMONTH(B106,0)+1</f>
        <v>39508</v>
      </c>
      <c r="C107" s="454"/>
      <c r="D107" s="454"/>
      <c r="E107" s="418" t="n">
        <v>0.75</v>
      </c>
      <c r="F107" s="454"/>
      <c r="G107" s="454"/>
      <c r="H107" s="437"/>
      <c r="I107" s="442" t="n">
        <v>36769</v>
      </c>
      <c r="J107" s="418" t="n">
        <v>95</v>
      </c>
      <c r="K107" s="442"/>
      <c r="L107" s="437"/>
      <c r="M107" s="419"/>
      <c r="N107" s="418" t="n">
        <v>0.75</v>
      </c>
      <c r="O107" s="442"/>
      <c r="P107" s="418" t="n">
        <v>0.75</v>
      </c>
      <c r="Q107" s="418"/>
      <c r="R107" s="442" t="n">
        <v>36769</v>
      </c>
      <c r="S107" s="418" t="n">
        <v>95</v>
      </c>
    </row>
    <row r="108" customFormat="false" ht="12" hidden="false" customHeight="false" outlineLevel="0" collapsed="false">
      <c r="B108" s="419" t="n">
        <f aca="false">EOMONTH(B107,0)+1</f>
        <v>39539</v>
      </c>
      <c r="C108" s="454"/>
      <c r="D108" s="454"/>
      <c r="E108" s="418" t="n">
        <v>0.45</v>
      </c>
      <c r="F108" s="454"/>
      <c r="G108" s="454"/>
      <c r="H108" s="437"/>
      <c r="I108" s="442" t="n">
        <v>36770</v>
      </c>
      <c r="J108" s="418" t="n">
        <v>96</v>
      </c>
      <c r="K108" s="442"/>
      <c r="L108" s="437"/>
      <c r="M108" s="419"/>
      <c r="N108" s="418" t="n">
        <v>0.45</v>
      </c>
      <c r="O108" s="442"/>
      <c r="P108" s="418" t="n">
        <v>0.45</v>
      </c>
      <c r="Q108" s="418"/>
      <c r="R108" s="442" t="n">
        <v>36770</v>
      </c>
      <c r="S108" s="418" t="n">
        <v>96</v>
      </c>
    </row>
    <row r="109" customFormat="false" ht="12" hidden="false" customHeight="false" outlineLevel="0" collapsed="false">
      <c r="B109" s="419" t="n">
        <f aca="false">EOMONTH(B108,0)+1</f>
        <v>39569</v>
      </c>
      <c r="C109" s="454"/>
      <c r="D109" s="454"/>
      <c r="E109" s="418" t="n">
        <v>0.4</v>
      </c>
      <c r="F109" s="454"/>
      <c r="G109" s="454"/>
      <c r="H109" s="437"/>
      <c r="I109" s="442" t="n">
        <v>36771</v>
      </c>
      <c r="J109" s="418" t="n">
        <v>97</v>
      </c>
      <c r="K109" s="442"/>
      <c r="L109" s="437"/>
      <c r="M109" s="419"/>
      <c r="N109" s="418" t="n">
        <v>0.4</v>
      </c>
      <c r="O109" s="442"/>
      <c r="P109" s="418" t="n">
        <v>0.4</v>
      </c>
      <c r="Q109" s="418"/>
      <c r="R109" s="442" t="n">
        <v>36771</v>
      </c>
      <c r="S109" s="418" t="n">
        <v>97</v>
      </c>
    </row>
    <row r="110" customFormat="false" ht="12" hidden="false" customHeight="false" outlineLevel="0" collapsed="false">
      <c r="B110" s="419" t="n">
        <f aca="false">EOMONTH(B109,0)+1</f>
        <v>39600</v>
      </c>
      <c r="C110" s="454"/>
      <c r="D110" s="454"/>
      <c r="E110" s="418" t="n">
        <v>0.5</v>
      </c>
      <c r="F110" s="454"/>
      <c r="G110" s="454"/>
      <c r="H110" s="437"/>
      <c r="I110" s="442" t="n">
        <v>36772</v>
      </c>
      <c r="J110" s="418" t="n">
        <v>98</v>
      </c>
      <c r="K110" s="442"/>
      <c r="L110" s="437"/>
      <c r="M110" s="419"/>
      <c r="N110" s="418" t="n">
        <v>0.5</v>
      </c>
      <c r="O110" s="442"/>
      <c r="P110" s="418" t="n">
        <v>0.5</v>
      </c>
      <c r="Q110" s="418"/>
      <c r="R110" s="442" t="n">
        <v>36772</v>
      </c>
      <c r="S110" s="418" t="n">
        <v>98</v>
      </c>
    </row>
    <row r="111" customFormat="false" ht="12" hidden="false" customHeight="false" outlineLevel="0" collapsed="false">
      <c r="B111" s="419" t="n">
        <f aca="false">EOMONTH(B110,0)+1</f>
        <v>39630</v>
      </c>
      <c r="C111" s="454"/>
      <c r="D111" s="454"/>
      <c r="E111" s="418" t="n">
        <v>0.5</v>
      </c>
      <c r="F111" s="454"/>
      <c r="G111" s="454"/>
      <c r="H111" s="437"/>
      <c r="I111" s="442" t="n">
        <v>36773</v>
      </c>
      <c r="J111" s="418" t="n">
        <v>99</v>
      </c>
      <c r="K111" s="442"/>
      <c r="L111" s="437"/>
      <c r="M111" s="419"/>
      <c r="N111" s="418" t="n">
        <v>0.5</v>
      </c>
      <c r="O111" s="442"/>
      <c r="P111" s="418" t="n">
        <v>0.5</v>
      </c>
      <c r="Q111" s="418"/>
      <c r="R111" s="442" t="n">
        <v>36773</v>
      </c>
      <c r="S111" s="418" t="n">
        <v>99</v>
      </c>
    </row>
    <row r="112" customFormat="false" ht="12" hidden="false" customHeight="false" outlineLevel="0" collapsed="false">
      <c r="B112" s="419" t="n">
        <f aca="false">EOMONTH(B111,0)+1</f>
        <v>39661</v>
      </c>
      <c r="C112" s="454"/>
      <c r="D112" s="454"/>
      <c r="E112" s="418" t="n">
        <v>0.6</v>
      </c>
      <c r="F112" s="454"/>
      <c r="G112" s="454"/>
      <c r="H112" s="437"/>
      <c r="I112" s="442" t="n">
        <v>36774</v>
      </c>
      <c r="J112" s="418" t="n">
        <v>100</v>
      </c>
      <c r="K112" s="442"/>
      <c r="L112" s="437"/>
      <c r="M112" s="419"/>
      <c r="N112" s="418" t="n">
        <v>0.6</v>
      </c>
      <c r="O112" s="442"/>
      <c r="P112" s="418" t="n">
        <v>0.6</v>
      </c>
      <c r="Q112" s="418"/>
      <c r="R112" s="442" t="n">
        <v>36774</v>
      </c>
      <c r="S112" s="418" t="n">
        <v>100</v>
      </c>
    </row>
    <row r="113" customFormat="false" ht="12" hidden="false" customHeight="false" outlineLevel="0" collapsed="false">
      <c r="B113" s="419" t="n">
        <f aca="false">EOMONTH(B112,0)+1</f>
        <v>39692</v>
      </c>
      <c r="C113" s="454"/>
      <c r="D113" s="454"/>
      <c r="E113" s="418" t="n">
        <v>0.55</v>
      </c>
      <c r="F113" s="454"/>
      <c r="G113" s="454"/>
      <c r="H113" s="437"/>
      <c r="I113" s="442" t="n">
        <v>36775</v>
      </c>
      <c r="J113" s="418" t="n">
        <v>101</v>
      </c>
      <c r="K113" s="442"/>
      <c r="L113" s="437"/>
      <c r="M113" s="419"/>
      <c r="N113" s="418" t="n">
        <v>0.55</v>
      </c>
      <c r="O113" s="442"/>
      <c r="P113" s="418" t="n">
        <v>0.55</v>
      </c>
      <c r="Q113" s="418"/>
      <c r="R113" s="442" t="n">
        <v>36775</v>
      </c>
      <c r="S113" s="418" t="n">
        <v>101</v>
      </c>
    </row>
    <row r="114" customFormat="false" ht="12" hidden="false" customHeight="false" outlineLevel="0" collapsed="false">
      <c r="B114" s="419" t="n">
        <f aca="false">EOMONTH(B113,0)+1</f>
        <v>39722</v>
      </c>
      <c r="C114" s="454"/>
      <c r="D114" s="454"/>
      <c r="E114" s="418" t="n">
        <v>0.6</v>
      </c>
      <c r="F114" s="454"/>
      <c r="G114" s="454"/>
      <c r="H114" s="437"/>
      <c r="I114" s="442" t="n">
        <v>36776</v>
      </c>
      <c r="J114" s="418" t="n">
        <v>102</v>
      </c>
      <c r="K114" s="442"/>
      <c r="L114" s="437"/>
      <c r="M114" s="419"/>
      <c r="N114" s="418" t="n">
        <v>0.6</v>
      </c>
      <c r="O114" s="442"/>
      <c r="P114" s="418" t="n">
        <v>0.6</v>
      </c>
      <c r="Q114" s="418"/>
      <c r="R114" s="442" t="n">
        <v>36776</v>
      </c>
      <c r="S114" s="418" t="n">
        <v>102</v>
      </c>
    </row>
    <row r="115" customFormat="false" ht="12" hidden="false" customHeight="false" outlineLevel="0" collapsed="false">
      <c r="B115" s="419" t="n">
        <f aca="false">EOMONTH(B114,0)+1</f>
        <v>39753</v>
      </c>
      <c r="C115" s="454"/>
      <c r="D115" s="454"/>
      <c r="E115" s="418" t="n">
        <v>0.8</v>
      </c>
      <c r="F115" s="454"/>
      <c r="G115" s="454"/>
      <c r="H115" s="437"/>
      <c r="I115" s="442" t="n">
        <v>36777</v>
      </c>
      <c r="J115" s="418" t="n">
        <v>103</v>
      </c>
      <c r="K115" s="442"/>
      <c r="L115" s="437"/>
      <c r="M115" s="419"/>
      <c r="N115" s="418" t="n">
        <v>0.8</v>
      </c>
      <c r="O115" s="442"/>
      <c r="P115" s="418" t="n">
        <v>0.8</v>
      </c>
      <c r="Q115" s="418"/>
      <c r="R115" s="442" t="n">
        <v>36777</v>
      </c>
      <c r="S115" s="418" t="n">
        <v>103</v>
      </c>
    </row>
    <row r="116" customFormat="false" ht="12" hidden="false" customHeight="false" outlineLevel="0" collapsed="false">
      <c r="B116" s="419" t="n">
        <f aca="false">EOMONTH(B115,0)+1</f>
        <v>39783</v>
      </c>
      <c r="C116" s="454"/>
      <c r="D116" s="454"/>
      <c r="E116" s="418" t="n">
        <v>1</v>
      </c>
      <c r="F116" s="454"/>
      <c r="G116" s="454"/>
      <c r="H116" s="437"/>
      <c r="I116" s="442" t="n">
        <v>36778</v>
      </c>
      <c r="J116" s="418" t="n">
        <v>104</v>
      </c>
      <c r="K116" s="442"/>
      <c r="L116" s="437"/>
      <c r="M116" s="419"/>
      <c r="N116" s="418" t="n">
        <v>1</v>
      </c>
      <c r="O116" s="442"/>
      <c r="P116" s="418" t="n">
        <v>1</v>
      </c>
      <c r="Q116" s="418"/>
      <c r="R116" s="442" t="n">
        <v>36778</v>
      </c>
      <c r="S116" s="418" t="n">
        <v>104</v>
      </c>
    </row>
    <row r="117" customFormat="false" ht="12" hidden="false" customHeight="false" outlineLevel="0" collapsed="false">
      <c r="B117" s="419" t="n">
        <f aca="false">EOMONTH(B116,0)+1</f>
        <v>39814</v>
      </c>
      <c r="C117" s="454"/>
      <c r="D117" s="454"/>
      <c r="E117" s="418" t="n">
        <v>1</v>
      </c>
      <c r="F117" s="454"/>
      <c r="G117" s="454"/>
      <c r="H117" s="437"/>
      <c r="I117" s="442" t="n">
        <v>36779</v>
      </c>
      <c r="J117" s="418" t="n">
        <v>105</v>
      </c>
      <c r="K117" s="442"/>
      <c r="L117" s="437"/>
      <c r="M117" s="419"/>
      <c r="N117" s="418" t="n">
        <v>1</v>
      </c>
      <c r="O117" s="442"/>
      <c r="P117" s="418" t="n">
        <v>1</v>
      </c>
      <c r="Q117" s="418"/>
      <c r="R117" s="442" t="n">
        <v>36779</v>
      </c>
      <c r="S117" s="418" t="n">
        <v>105</v>
      </c>
    </row>
    <row r="118" customFormat="false" ht="12" hidden="false" customHeight="false" outlineLevel="0" collapsed="false">
      <c r="B118" s="419" t="n">
        <f aca="false">EOMONTH(B117,0)+1</f>
        <v>39845</v>
      </c>
      <c r="C118" s="454"/>
      <c r="D118" s="454"/>
      <c r="E118" s="418" t="n">
        <v>1</v>
      </c>
      <c r="F118" s="454"/>
      <c r="G118" s="454"/>
      <c r="H118" s="437"/>
      <c r="I118" s="442" t="n">
        <v>36780</v>
      </c>
      <c r="J118" s="418" t="n">
        <v>106</v>
      </c>
      <c r="K118" s="442"/>
      <c r="L118" s="437"/>
      <c r="M118" s="419"/>
      <c r="N118" s="418" t="n">
        <v>1</v>
      </c>
      <c r="O118" s="442"/>
      <c r="P118" s="418" t="n">
        <v>1</v>
      </c>
      <c r="Q118" s="418"/>
      <c r="R118" s="442" t="n">
        <v>36780</v>
      </c>
      <c r="S118" s="418" t="n">
        <v>106</v>
      </c>
    </row>
    <row r="119" customFormat="false" ht="12" hidden="false" customHeight="false" outlineLevel="0" collapsed="false">
      <c r="B119" s="419" t="n">
        <f aca="false">EOMONTH(B118,0)+1</f>
        <v>39873</v>
      </c>
      <c r="C119" s="454"/>
      <c r="D119" s="454"/>
      <c r="E119" s="418" t="n">
        <v>0.75</v>
      </c>
      <c r="F119" s="454"/>
      <c r="G119" s="454"/>
      <c r="H119" s="437"/>
      <c r="I119" s="442" t="n">
        <v>36781</v>
      </c>
      <c r="J119" s="418" t="n">
        <v>107</v>
      </c>
      <c r="K119" s="442"/>
      <c r="L119" s="437"/>
      <c r="M119" s="419"/>
      <c r="N119" s="418" t="n">
        <v>0.75</v>
      </c>
      <c r="O119" s="442"/>
      <c r="P119" s="418" t="n">
        <v>0.75</v>
      </c>
      <c r="Q119" s="418"/>
      <c r="R119" s="442" t="n">
        <v>36781</v>
      </c>
      <c r="S119" s="418" t="n">
        <v>107</v>
      </c>
    </row>
    <row r="120" customFormat="false" ht="12" hidden="false" customHeight="false" outlineLevel="0" collapsed="false">
      <c r="B120" s="419" t="n">
        <f aca="false">EOMONTH(B119,0)+1</f>
        <v>39904</v>
      </c>
      <c r="C120" s="454"/>
      <c r="D120" s="454"/>
      <c r="E120" s="418" t="n">
        <v>0.45</v>
      </c>
      <c r="F120" s="454"/>
      <c r="G120" s="454"/>
      <c r="H120" s="437"/>
      <c r="I120" s="442" t="n">
        <v>36782</v>
      </c>
      <c r="J120" s="418" t="n">
        <v>108</v>
      </c>
      <c r="K120" s="442"/>
      <c r="L120" s="437"/>
      <c r="M120" s="419"/>
      <c r="N120" s="418" t="n">
        <v>0.45</v>
      </c>
      <c r="O120" s="442"/>
      <c r="P120" s="418" t="n">
        <v>0.45</v>
      </c>
      <c r="Q120" s="418"/>
      <c r="R120" s="442" t="n">
        <v>36782</v>
      </c>
      <c r="S120" s="418" t="n">
        <v>108</v>
      </c>
    </row>
    <row r="121" customFormat="false" ht="12" hidden="false" customHeight="false" outlineLevel="0" collapsed="false">
      <c r="B121" s="419" t="n">
        <f aca="false">EOMONTH(B120,0)+1</f>
        <v>39934</v>
      </c>
      <c r="C121" s="454"/>
      <c r="D121" s="454"/>
      <c r="E121" s="418" t="n">
        <v>0.4</v>
      </c>
      <c r="F121" s="454"/>
      <c r="G121" s="454"/>
      <c r="H121" s="437"/>
      <c r="I121" s="442" t="n">
        <v>36783</v>
      </c>
      <c r="J121" s="418" t="n">
        <v>109</v>
      </c>
      <c r="K121" s="442"/>
      <c r="L121" s="437"/>
      <c r="M121" s="419"/>
      <c r="N121" s="418" t="n">
        <v>0.4</v>
      </c>
      <c r="O121" s="442"/>
      <c r="P121" s="418" t="n">
        <v>0.4</v>
      </c>
      <c r="Q121" s="418"/>
      <c r="R121" s="442" t="n">
        <v>36783</v>
      </c>
      <c r="S121" s="418" t="n">
        <v>109</v>
      </c>
    </row>
    <row r="122" customFormat="false" ht="12" hidden="false" customHeight="false" outlineLevel="0" collapsed="false">
      <c r="B122" s="419" t="n">
        <f aca="false">EOMONTH(B121,0)+1</f>
        <v>39965</v>
      </c>
      <c r="C122" s="454"/>
      <c r="D122" s="454"/>
      <c r="E122" s="418" t="n">
        <v>0.5</v>
      </c>
      <c r="F122" s="454"/>
      <c r="G122" s="454"/>
      <c r="H122" s="437"/>
      <c r="I122" s="442" t="n">
        <v>36784</v>
      </c>
      <c r="J122" s="418" t="n">
        <v>110</v>
      </c>
      <c r="K122" s="442"/>
      <c r="L122" s="437"/>
      <c r="M122" s="419"/>
      <c r="N122" s="418" t="n">
        <v>0.5</v>
      </c>
      <c r="O122" s="442"/>
      <c r="P122" s="418" t="n">
        <v>0.5</v>
      </c>
      <c r="Q122" s="418"/>
      <c r="R122" s="442" t="n">
        <v>36784</v>
      </c>
      <c r="S122" s="418" t="n">
        <v>110</v>
      </c>
    </row>
    <row r="123" customFormat="false" ht="12" hidden="false" customHeight="false" outlineLevel="0" collapsed="false">
      <c r="B123" s="419" t="n">
        <f aca="false">EOMONTH(B122,0)+1</f>
        <v>39995</v>
      </c>
      <c r="C123" s="454"/>
      <c r="D123" s="454"/>
      <c r="E123" s="418" t="n">
        <v>0.5</v>
      </c>
      <c r="F123" s="454"/>
      <c r="G123" s="454"/>
      <c r="H123" s="437"/>
      <c r="I123" s="442" t="n">
        <v>36785</v>
      </c>
      <c r="J123" s="418" t="n">
        <v>111</v>
      </c>
      <c r="K123" s="442"/>
      <c r="L123" s="437"/>
      <c r="M123" s="419"/>
      <c r="N123" s="418" t="n">
        <v>0.5</v>
      </c>
      <c r="O123" s="442"/>
      <c r="P123" s="418" t="n">
        <v>0.5</v>
      </c>
      <c r="Q123" s="418"/>
      <c r="R123" s="442" t="n">
        <v>36785</v>
      </c>
      <c r="S123" s="418" t="n">
        <v>111</v>
      </c>
    </row>
    <row r="124" customFormat="false" ht="12" hidden="false" customHeight="false" outlineLevel="0" collapsed="false">
      <c r="B124" s="419" t="n">
        <f aca="false">EOMONTH(B123,0)+1</f>
        <v>40026</v>
      </c>
      <c r="C124" s="454"/>
      <c r="D124" s="454"/>
      <c r="E124" s="418" t="n">
        <v>0.6</v>
      </c>
      <c r="F124" s="454"/>
      <c r="G124" s="454"/>
      <c r="H124" s="437"/>
      <c r="I124" s="442" t="n">
        <v>36786</v>
      </c>
      <c r="J124" s="418" t="n">
        <v>112</v>
      </c>
      <c r="K124" s="442"/>
      <c r="L124" s="437"/>
      <c r="M124" s="419"/>
      <c r="N124" s="418" t="n">
        <v>0.6</v>
      </c>
      <c r="O124" s="442"/>
      <c r="P124" s="418" t="n">
        <v>0.6</v>
      </c>
      <c r="Q124" s="418"/>
      <c r="R124" s="442" t="n">
        <v>36786</v>
      </c>
      <c r="S124" s="418" t="n">
        <v>112</v>
      </c>
    </row>
    <row r="125" customFormat="false" ht="12" hidden="false" customHeight="false" outlineLevel="0" collapsed="false">
      <c r="B125" s="419" t="n">
        <f aca="false">EOMONTH(B124,0)+1</f>
        <v>40057</v>
      </c>
      <c r="C125" s="454"/>
      <c r="D125" s="454"/>
      <c r="E125" s="418" t="n">
        <v>0.55</v>
      </c>
      <c r="F125" s="454"/>
      <c r="G125" s="454"/>
      <c r="H125" s="437"/>
      <c r="I125" s="442" t="n">
        <v>36787</v>
      </c>
      <c r="J125" s="418" t="n">
        <v>113</v>
      </c>
      <c r="K125" s="442"/>
      <c r="L125" s="437"/>
      <c r="M125" s="419"/>
      <c r="N125" s="418" t="n">
        <v>0.55</v>
      </c>
      <c r="O125" s="442"/>
      <c r="P125" s="418" t="n">
        <v>0.55</v>
      </c>
      <c r="Q125" s="418"/>
      <c r="R125" s="442" t="n">
        <v>36787</v>
      </c>
      <c r="S125" s="418" t="n">
        <v>113</v>
      </c>
    </row>
    <row r="126" customFormat="false" ht="12" hidden="false" customHeight="false" outlineLevel="0" collapsed="false">
      <c r="B126" s="419" t="n">
        <f aca="false">EOMONTH(B125,0)+1</f>
        <v>40087</v>
      </c>
      <c r="C126" s="454"/>
      <c r="D126" s="454"/>
      <c r="E126" s="418" t="n">
        <v>0.6</v>
      </c>
      <c r="F126" s="454"/>
      <c r="G126" s="454"/>
      <c r="H126" s="437"/>
      <c r="I126" s="442" t="n">
        <v>36788</v>
      </c>
      <c r="J126" s="418" t="n">
        <v>114</v>
      </c>
      <c r="K126" s="442"/>
      <c r="L126" s="437"/>
      <c r="M126" s="419"/>
      <c r="N126" s="418" t="n">
        <v>0.6</v>
      </c>
      <c r="O126" s="442"/>
      <c r="P126" s="418" t="n">
        <v>0.6</v>
      </c>
      <c r="Q126" s="418"/>
      <c r="R126" s="442" t="n">
        <v>36788</v>
      </c>
      <c r="S126" s="418" t="n">
        <v>114</v>
      </c>
    </row>
    <row r="127" customFormat="false" ht="12" hidden="false" customHeight="false" outlineLevel="0" collapsed="false">
      <c r="B127" s="419" t="n">
        <f aca="false">EOMONTH(B126,0)+1</f>
        <v>40118</v>
      </c>
      <c r="C127" s="454"/>
      <c r="D127" s="454"/>
      <c r="E127" s="418" t="n">
        <v>0.8</v>
      </c>
      <c r="F127" s="454"/>
      <c r="G127" s="454"/>
      <c r="H127" s="437"/>
      <c r="I127" s="442" t="n">
        <v>36789</v>
      </c>
      <c r="J127" s="418" t="n">
        <v>115</v>
      </c>
      <c r="K127" s="442"/>
      <c r="L127" s="437"/>
      <c r="M127" s="419"/>
      <c r="N127" s="418" t="n">
        <v>0.8</v>
      </c>
      <c r="O127" s="442"/>
      <c r="P127" s="418" t="n">
        <v>0.8</v>
      </c>
      <c r="Q127" s="418"/>
      <c r="R127" s="442" t="n">
        <v>36789</v>
      </c>
      <c r="S127" s="418" t="n">
        <v>115</v>
      </c>
    </row>
    <row r="128" customFormat="false" ht="12" hidden="false" customHeight="false" outlineLevel="0" collapsed="false">
      <c r="B128" s="419" t="n">
        <f aca="false">EOMONTH(B127,0)+1</f>
        <v>40148</v>
      </c>
      <c r="C128" s="454"/>
      <c r="D128" s="454"/>
      <c r="E128" s="418" t="n">
        <v>1</v>
      </c>
      <c r="F128" s="454"/>
      <c r="G128" s="454"/>
      <c r="H128" s="437"/>
      <c r="I128" s="442" t="n">
        <v>36790</v>
      </c>
      <c r="J128" s="418" t="n">
        <v>116</v>
      </c>
      <c r="K128" s="442"/>
      <c r="L128" s="437"/>
      <c r="M128" s="419"/>
      <c r="N128" s="418" t="n">
        <v>1</v>
      </c>
      <c r="O128" s="442"/>
      <c r="P128" s="418" t="n">
        <v>1</v>
      </c>
      <c r="Q128" s="418"/>
      <c r="R128" s="442" t="n">
        <v>36790</v>
      </c>
      <c r="S128" s="418" t="n">
        <v>116</v>
      </c>
    </row>
    <row r="129" customFormat="false" ht="12" hidden="false" customHeight="false" outlineLevel="0" collapsed="false">
      <c r="B129" s="419" t="n">
        <f aca="false">EOMONTH(B128,0)+1</f>
        <v>40179</v>
      </c>
      <c r="C129" s="454"/>
      <c r="D129" s="454"/>
      <c r="E129" s="418" t="n">
        <v>1</v>
      </c>
      <c r="F129" s="454"/>
      <c r="G129" s="454"/>
      <c r="H129" s="437"/>
      <c r="I129" s="442" t="n">
        <v>36791</v>
      </c>
      <c r="J129" s="418" t="n">
        <v>117</v>
      </c>
      <c r="K129" s="442"/>
      <c r="L129" s="437"/>
      <c r="M129" s="419"/>
      <c r="N129" s="418" t="n">
        <v>1</v>
      </c>
      <c r="O129" s="442"/>
      <c r="P129" s="418" t="n">
        <v>1</v>
      </c>
      <c r="Q129" s="418"/>
      <c r="R129" s="442" t="n">
        <v>36791</v>
      </c>
      <c r="S129" s="418" t="n">
        <v>117</v>
      </c>
    </row>
    <row r="130" customFormat="false" ht="12" hidden="false" customHeight="false" outlineLevel="0" collapsed="false">
      <c r="B130" s="419" t="n">
        <f aca="false">EOMONTH(B129,0)+1</f>
        <v>40210</v>
      </c>
      <c r="C130" s="454"/>
      <c r="D130" s="454"/>
      <c r="E130" s="418" t="n">
        <v>1</v>
      </c>
      <c r="F130" s="454"/>
      <c r="G130" s="454"/>
      <c r="H130" s="437"/>
      <c r="I130" s="442" t="n">
        <v>36792</v>
      </c>
      <c r="J130" s="418" t="n">
        <v>118</v>
      </c>
      <c r="K130" s="442"/>
      <c r="L130" s="437"/>
      <c r="M130" s="419"/>
      <c r="N130" s="418" t="n">
        <v>1</v>
      </c>
      <c r="O130" s="442"/>
      <c r="P130" s="418" t="n">
        <v>1</v>
      </c>
      <c r="Q130" s="418"/>
      <c r="R130" s="442" t="n">
        <v>36792</v>
      </c>
      <c r="S130" s="418" t="n">
        <v>118</v>
      </c>
    </row>
    <row r="131" customFormat="false" ht="12" hidden="false" customHeight="false" outlineLevel="0" collapsed="false">
      <c r="B131" s="419" t="n">
        <f aca="false">EOMONTH(B130,0)+1</f>
        <v>40238</v>
      </c>
      <c r="C131" s="454"/>
      <c r="D131" s="454"/>
      <c r="E131" s="418" t="n">
        <v>0.75</v>
      </c>
      <c r="F131" s="454"/>
      <c r="G131" s="454"/>
      <c r="H131" s="437"/>
      <c r="I131" s="442" t="n">
        <v>36793</v>
      </c>
      <c r="J131" s="418" t="n">
        <v>119</v>
      </c>
      <c r="K131" s="442"/>
      <c r="L131" s="437"/>
      <c r="M131" s="419"/>
      <c r="N131" s="418" t="n">
        <v>0.75</v>
      </c>
      <c r="O131" s="442"/>
      <c r="P131" s="418" t="n">
        <v>0.75</v>
      </c>
      <c r="Q131" s="418"/>
      <c r="R131" s="442" t="n">
        <v>36793</v>
      </c>
      <c r="S131" s="418" t="n">
        <v>119</v>
      </c>
    </row>
    <row r="132" customFormat="false" ht="12" hidden="false" customHeight="false" outlineLevel="0" collapsed="false">
      <c r="B132" s="419" t="n">
        <f aca="false">EOMONTH(B131,0)+1</f>
        <v>40269</v>
      </c>
      <c r="C132" s="454"/>
      <c r="D132" s="454"/>
      <c r="E132" s="418" t="n">
        <v>0.45</v>
      </c>
      <c r="F132" s="454"/>
      <c r="G132" s="454"/>
      <c r="H132" s="437"/>
      <c r="I132" s="442" t="n">
        <v>36794</v>
      </c>
      <c r="J132" s="418" t="n">
        <v>120</v>
      </c>
      <c r="K132" s="442"/>
      <c r="L132" s="437"/>
      <c r="M132" s="419"/>
      <c r="N132" s="418" t="n">
        <v>0.45</v>
      </c>
      <c r="O132" s="442"/>
      <c r="P132" s="418" t="n">
        <v>0.45</v>
      </c>
      <c r="Q132" s="418"/>
      <c r="R132" s="442" t="n">
        <v>36794</v>
      </c>
      <c r="S132" s="418" t="n">
        <v>120</v>
      </c>
    </row>
    <row r="133" customFormat="false" ht="12" hidden="false" customHeight="false" outlineLevel="0" collapsed="false">
      <c r="B133" s="419" t="n">
        <f aca="false">EOMONTH(B132,0)+1</f>
        <v>40299</v>
      </c>
      <c r="C133" s="454"/>
      <c r="D133" s="454"/>
      <c r="E133" s="418" t="n">
        <v>0.4</v>
      </c>
      <c r="F133" s="454"/>
      <c r="G133" s="454"/>
      <c r="H133" s="437"/>
      <c r="I133" s="442" t="n">
        <v>36795</v>
      </c>
      <c r="J133" s="418" t="n">
        <v>121</v>
      </c>
      <c r="K133" s="442"/>
      <c r="L133" s="437"/>
      <c r="M133" s="419"/>
      <c r="N133" s="418" t="n">
        <v>0.4</v>
      </c>
      <c r="O133" s="442"/>
      <c r="P133" s="418" t="n">
        <v>0.4</v>
      </c>
      <c r="Q133" s="418"/>
      <c r="R133" s="442" t="n">
        <v>36795</v>
      </c>
      <c r="S133" s="418" t="n">
        <v>121</v>
      </c>
    </row>
    <row r="134" customFormat="false" ht="12" hidden="false" customHeight="false" outlineLevel="0" collapsed="false">
      <c r="B134" s="419" t="n">
        <f aca="false">EOMONTH(B133,0)+1</f>
        <v>40330</v>
      </c>
      <c r="C134" s="454"/>
      <c r="D134" s="454"/>
      <c r="E134" s="418" t="n">
        <v>0.5</v>
      </c>
      <c r="F134" s="454"/>
      <c r="G134" s="454"/>
      <c r="H134" s="437"/>
      <c r="I134" s="442" t="n">
        <v>36796</v>
      </c>
      <c r="J134" s="418" t="n">
        <v>122</v>
      </c>
      <c r="K134" s="442"/>
      <c r="L134" s="437"/>
      <c r="M134" s="419"/>
      <c r="N134" s="418" t="n">
        <v>0.5</v>
      </c>
      <c r="O134" s="442"/>
      <c r="P134" s="418" t="n">
        <v>0.5</v>
      </c>
      <c r="Q134" s="418"/>
      <c r="R134" s="442" t="n">
        <v>36796</v>
      </c>
      <c r="S134" s="418" t="n">
        <v>122</v>
      </c>
    </row>
    <row r="135" customFormat="false" ht="12" hidden="false" customHeight="false" outlineLevel="0" collapsed="false">
      <c r="B135" s="419" t="n">
        <f aca="false">EOMONTH(B134,0)+1</f>
        <v>40360</v>
      </c>
      <c r="C135" s="454"/>
      <c r="D135" s="454"/>
      <c r="E135" s="418" t="n">
        <v>0.5</v>
      </c>
      <c r="F135" s="454"/>
      <c r="G135" s="454"/>
      <c r="H135" s="437"/>
      <c r="I135" s="442" t="n">
        <v>36797</v>
      </c>
      <c r="J135" s="418" t="n">
        <v>123</v>
      </c>
      <c r="K135" s="442"/>
      <c r="L135" s="437"/>
      <c r="M135" s="419"/>
      <c r="N135" s="418" t="n">
        <v>0.5</v>
      </c>
      <c r="O135" s="442"/>
      <c r="P135" s="418" t="n">
        <v>0.5</v>
      </c>
      <c r="Q135" s="418"/>
      <c r="R135" s="442" t="n">
        <v>36797</v>
      </c>
      <c r="S135" s="418" t="n">
        <v>123</v>
      </c>
    </row>
    <row r="136" customFormat="false" ht="12" hidden="false" customHeight="false" outlineLevel="0" collapsed="false">
      <c r="B136" s="419" t="n">
        <f aca="false">EOMONTH(B135,0)+1</f>
        <v>40391</v>
      </c>
      <c r="C136" s="454"/>
      <c r="D136" s="454"/>
      <c r="E136" s="418" t="n">
        <v>0.6</v>
      </c>
      <c r="F136" s="454"/>
      <c r="G136" s="454"/>
      <c r="H136" s="437"/>
      <c r="I136" s="442" t="n">
        <v>36798</v>
      </c>
      <c r="J136" s="418" t="n">
        <v>124</v>
      </c>
      <c r="K136" s="442"/>
      <c r="L136" s="437"/>
      <c r="M136" s="419"/>
      <c r="N136" s="418" t="n">
        <v>0.6</v>
      </c>
      <c r="O136" s="442"/>
      <c r="P136" s="418" t="n">
        <v>0.6</v>
      </c>
      <c r="Q136" s="418"/>
      <c r="R136" s="442" t="n">
        <v>36798</v>
      </c>
      <c r="S136" s="418" t="n">
        <v>124</v>
      </c>
    </row>
    <row r="137" customFormat="false" ht="12" hidden="false" customHeight="false" outlineLevel="0" collapsed="false">
      <c r="B137" s="419" t="n">
        <f aca="false">EOMONTH(B136,0)+1</f>
        <v>40422</v>
      </c>
      <c r="C137" s="454"/>
      <c r="D137" s="454"/>
      <c r="E137" s="418" t="n">
        <v>0.55</v>
      </c>
      <c r="F137" s="454"/>
      <c r="G137" s="454"/>
      <c r="H137" s="437"/>
      <c r="I137" s="442" t="n">
        <v>36799</v>
      </c>
      <c r="J137" s="418" t="n">
        <v>125</v>
      </c>
      <c r="K137" s="442"/>
      <c r="L137" s="437"/>
      <c r="M137" s="419"/>
      <c r="N137" s="418" t="n">
        <v>0.55</v>
      </c>
      <c r="O137" s="442"/>
      <c r="P137" s="418" t="n">
        <v>0.55</v>
      </c>
      <c r="Q137" s="418"/>
      <c r="R137" s="442" t="n">
        <v>36799</v>
      </c>
      <c r="S137" s="418" t="n">
        <v>125</v>
      </c>
    </row>
    <row r="138" customFormat="false" ht="12" hidden="false" customHeight="false" outlineLevel="0" collapsed="false">
      <c r="B138" s="419" t="n">
        <f aca="false">EOMONTH(B137,0)+1</f>
        <v>40452</v>
      </c>
      <c r="C138" s="454"/>
      <c r="D138" s="454"/>
      <c r="E138" s="418" t="n">
        <v>0.6</v>
      </c>
      <c r="F138" s="454"/>
      <c r="G138" s="454"/>
      <c r="H138" s="437"/>
      <c r="I138" s="442" t="n">
        <v>36800</v>
      </c>
      <c r="J138" s="418" t="n">
        <v>126</v>
      </c>
      <c r="K138" s="442"/>
      <c r="L138" s="437"/>
      <c r="M138" s="419"/>
      <c r="N138" s="418" t="n">
        <v>0.6</v>
      </c>
      <c r="O138" s="442"/>
      <c r="P138" s="418" t="n">
        <v>0.6</v>
      </c>
      <c r="Q138" s="418"/>
      <c r="R138" s="442" t="n">
        <v>36800</v>
      </c>
      <c r="S138" s="418" t="n">
        <v>126</v>
      </c>
    </row>
    <row r="139" customFormat="false" ht="12" hidden="false" customHeight="false" outlineLevel="0" collapsed="false">
      <c r="B139" s="419" t="n">
        <f aca="false">EOMONTH(B138,0)+1</f>
        <v>40483</v>
      </c>
      <c r="C139" s="454"/>
      <c r="D139" s="454"/>
      <c r="E139" s="418" t="n">
        <v>0.8</v>
      </c>
      <c r="F139" s="454"/>
      <c r="G139" s="454"/>
      <c r="H139" s="437"/>
      <c r="I139" s="442" t="n">
        <v>36801</v>
      </c>
      <c r="J139" s="418" t="n">
        <v>127</v>
      </c>
      <c r="K139" s="442"/>
      <c r="L139" s="437"/>
      <c r="M139" s="419"/>
      <c r="N139" s="418" t="n">
        <v>0.8</v>
      </c>
      <c r="O139" s="442"/>
      <c r="P139" s="418" t="n">
        <v>0.8</v>
      </c>
      <c r="Q139" s="418"/>
      <c r="R139" s="442" t="n">
        <v>36801</v>
      </c>
      <c r="S139" s="418" t="n">
        <v>127</v>
      </c>
    </row>
    <row r="140" customFormat="false" ht="12" hidden="false" customHeight="false" outlineLevel="0" collapsed="false">
      <c r="B140" s="419" t="n">
        <f aca="false">EOMONTH(B139,0)+1</f>
        <v>40513</v>
      </c>
      <c r="C140" s="454"/>
      <c r="D140" s="454"/>
      <c r="E140" s="418" t="n">
        <v>1</v>
      </c>
      <c r="F140" s="454"/>
      <c r="G140" s="454"/>
      <c r="H140" s="437"/>
      <c r="I140" s="442" t="n">
        <v>36802</v>
      </c>
      <c r="J140" s="418" t="n">
        <v>128</v>
      </c>
      <c r="K140" s="442"/>
      <c r="L140" s="437"/>
      <c r="M140" s="419"/>
      <c r="N140" s="418" t="n">
        <v>1</v>
      </c>
      <c r="O140" s="442"/>
      <c r="P140" s="418" t="n">
        <v>1</v>
      </c>
      <c r="Q140" s="418"/>
      <c r="R140" s="442" t="n">
        <v>36802</v>
      </c>
      <c r="S140" s="418" t="n">
        <v>128</v>
      </c>
    </row>
    <row r="141" customFormat="false" ht="12" hidden="false" customHeight="false" outlineLevel="0" collapsed="false">
      <c r="B141" s="419" t="n">
        <f aca="false">EOMONTH(B140,0)+1</f>
        <v>40544</v>
      </c>
      <c r="C141" s="454"/>
      <c r="D141" s="454"/>
      <c r="E141" s="418" t="n">
        <v>1</v>
      </c>
      <c r="F141" s="454"/>
      <c r="G141" s="454"/>
      <c r="H141" s="437"/>
      <c r="I141" s="442" t="n">
        <v>36803</v>
      </c>
      <c r="J141" s="418" t="n">
        <v>129</v>
      </c>
      <c r="K141" s="442"/>
      <c r="L141" s="437"/>
      <c r="M141" s="419"/>
      <c r="N141" s="418" t="n">
        <v>1</v>
      </c>
      <c r="O141" s="442"/>
      <c r="P141" s="418" t="n">
        <v>1</v>
      </c>
      <c r="Q141" s="418"/>
      <c r="R141" s="442" t="n">
        <v>36803</v>
      </c>
      <c r="S141" s="418" t="n">
        <v>129</v>
      </c>
    </row>
    <row r="142" customFormat="false" ht="12" hidden="false" customHeight="false" outlineLevel="0" collapsed="false">
      <c r="B142" s="419" t="n">
        <f aca="false">EOMONTH(B141,0)+1</f>
        <v>40575</v>
      </c>
      <c r="C142" s="454"/>
      <c r="D142" s="454"/>
      <c r="E142" s="418" t="n">
        <v>1</v>
      </c>
      <c r="F142" s="454"/>
      <c r="G142" s="454"/>
      <c r="H142" s="437"/>
      <c r="I142" s="442" t="n">
        <v>36804</v>
      </c>
      <c r="J142" s="418" t="n">
        <v>130</v>
      </c>
      <c r="K142" s="442"/>
      <c r="L142" s="437"/>
      <c r="M142" s="419"/>
      <c r="N142" s="418" t="n">
        <v>1</v>
      </c>
      <c r="O142" s="442"/>
      <c r="P142" s="418" t="n">
        <v>1</v>
      </c>
      <c r="Q142" s="418"/>
      <c r="R142" s="442" t="n">
        <v>36804</v>
      </c>
      <c r="S142" s="418" t="n">
        <v>130</v>
      </c>
    </row>
    <row r="143" customFormat="false" ht="12" hidden="false" customHeight="false" outlineLevel="0" collapsed="false">
      <c r="B143" s="419" t="n">
        <f aca="false">EOMONTH(B142,0)+1</f>
        <v>40603</v>
      </c>
      <c r="C143" s="454"/>
      <c r="D143" s="454"/>
      <c r="E143" s="418" t="n">
        <v>0.75</v>
      </c>
      <c r="F143" s="454"/>
      <c r="G143" s="454"/>
      <c r="H143" s="437"/>
      <c r="I143" s="442" t="n">
        <v>36805</v>
      </c>
      <c r="J143" s="418" t="n">
        <v>131</v>
      </c>
      <c r="K143" s="442"/>
      <c r="L143" s="437"/>
      <c r="M143" s="419"/>
      <c r="N143" s="418" t="n">
        <v>0.75</v>
      </c>
      <c r="O143" s="442"/>
      <c r="P143" s="418" t="n">
        <v>0.75</v>
      </c>
      <c r="Q143" s="418"/>
      <c r="R143" s="442" t="n">
        <v>36805</v>
      </c>
      <c r="S143" s="418" t="n">
        <v>131</v>
      </c>
    </row>
    <row r="144" customFormat="false" ht="12" hidden="false" customHeight="false" outlineLevel="0" collapsed="false">
      <c r="B144" s="419" t="n">
        <f aca="false">EOMONTH(B143,0)+1</f>
        <v>40634</v>
      </c>
      <c r="C144" s="454"/>
      <c r="D144" s="454"/>
      <c r="E144" s="418" t="n">
        <v>0.45</v>
      </c>
      <c r="F144" s="454"/>
      <c r="G144" s="454"/>
      <c r="H144" s="437"/>
      <c r="I144" s="442" t="n">
        <v>36806</v>
      </c>
      <c r="J144" s="418" t="n">
        <v>132</v>
      </c>
      <c r="K144" s="442"/>
      <c r="L144" s="437"/>
      <c r="M144" s="419"/>
      <c r="N144" s="418" t="n">
        <v>0.45</v>
      </c>
      <c r="O144" s="442"/>
      <c r="P144" s="418" t="n">
        <v>0.45</v>
      </c>
      <c r="Q144" s="418"/>
      <c r="R144" s="442" t="n">
        <v>36806</v>
      </c>
      <c r="S144" s="418" t="n">
        <v>132</v>
      </c>
    </row>
    <row r="145" customFormat="false" ht="12" hidden="false" customHeight="false" outlineLevel="0" collapsed="false">
      <c r="B145" s="419" t="n">
        <f aca="false">EOMONTH(B144,0)+1</f>
        <v>40664</v>
      </c>
      <c r="C145" s="454"/>
      <c r="D145" s="454"/>
      <c r="E145" s="418" t="n">
        <v>0.4</v>
      </c>
      <c r="F145" s="454"/>
      <c r="G145" s="454"/>
      <c r="H145" s="437"/>
      <c r="I145" s="442" t="n">
        <v>36807</v>
      </c>
      <c r="J145" s="418" t="n">
        <v>133</v>
      </c>
      <c r="K145" s="442"/>
      <c r="L145" s="437"/>
      <c r="M145" s="419"/>
      <c r="N145" s="418" t="n">
        <v>0.4</v>
      </c>
      <c r="O145" s="442"/>
      <c r="P145" s="418" t="n">
        <v>0.4</v>
      </c>
      <c r="Q145" s="418"/>
      <c r="R145" s="442" t="n">
        <v>36807</v>
      </c>
      <c r="S145" s="418" t="n">
        <v>133</v>
      </c>
    </row>
    <row r="146" customFormat="false" ht="12" hidden="false" customHeight="false" outlineLevel="0" collapsed="false">
      <c r="B146" s="419" t="n">
        <f aca="false">EOMONTH(B145,0)+1</f>
        <v>40695</v>
      </c>
      <c r="C146" s="454"/>
      <c r="D146" s="454"/>
      <c r="E146" s="418" t="n">
        <v>0.5</v>
      </c>
      <c r="F146" s="454"/>
      <c r="G146" s="454"/>
      <c r="H146" s="437"/>
      <c r="I146" s="442" t="n">
        <v>36808</v>
      </c>
      <c r="J146" s="418" t="n">
        <v>134</v>
      </c>
      <c r="K146" s="442"/>
      <c r="L146" s="437"/>
      <c r="M146" s="419"/>
      <c r="N146" s="418" t="n">
        <v>0.5</v>
      </c>
      <c r="O146" s="442"/>
      <c r="P146" s="418" t="n">
        <v>0.5</v>
      </c>
      <c r="Q146" s="418"/>
      <c r="R146" s="442" t="n">
        <v>36808</v>
      </c>
      <c r="S146" s="418" t="n">
        <v>134</v>
      </c>
    </row>
    <row r="147" customFormat="false" ht="12" hidden="false" customHeight="false" outlineLevel="0" collapsed="false">
      <c r="B147" s="419" t="n">
        <f aca="false">EOMONTH(B146,0)+1</f>
        <v>40725</v>
      </c>
      <c r="C147" s="454"/>
      <c r="D147" s="454"/>
      <c r="E147" s="418" t="n">
        <v>0.5</v>
      </c>
      <c r="F147" s="454"/>
      <c r="G147" s="454"/>
      <c r="H147" s="437"/>
      <c r="I147" s="442" t="n">
        <v>36809</v>
      </c>
      <c r="J147" s="418" t="n">
        <v>135</v>
      </c>
      <c r="K147" s="442"/>
      <c r="L147" s="437"/>
      <c r="M147" s="419"/>
      <c r="N147" s="418" t="n">
        <v>0.5</v>
      </c>
      <c r="O147" s="442"/>
      <c r="P147" s="418" t="n">
        <v>0.5</v>
      </c>
      <c r="Q147" s="418"/>
      <c r="R147" s="442" t="n">
        <v>36809</v>
      </c>
      <c r="S147" s="418" t="n">
        <v>135</v>
      </c>
    </row>
    <row r="148" customFormat="false" ht="12" hidden="false" customHeight="false" outlineLevel="0" collapsed="false">
      <c r="B148" s="419" t="n">
        <f aca="false">EOMONTH(B147,0)+1</f>
        <v>40756</v>
      </c>
      <c r="C148" s="454"/>
      <c r="D148" s="454"/>
      <c r="E148" s="418" t="n">
        <v>0.6</v>
      </c>
      <c r="F148" s="454"/>
      <c r="G148" s="454"/>
      <c r="H148" s="437"/>
      <c r="I148" s="442" t="n">
        <v>36810</v>
      </c>
      <c r="J148" s="418" t="n">
        <v>136</v>
      </c>
      <c r="K148" s="442"/>
      <c r="L148" s="437"/>
      <c r="M148" s="419"/>
      <c r="N148" s="418" t="n">
        <v>0.6</v>
      </c>
      <c r="O148" s="442"/>
      <c r="P148" s="418" t="n">
        <v>0.6</v>
      </c>
      <c r="Q148" s="418"/>
      <c r="R148" s="442" t="n">
        <v>36810</v>
      </c>
      <c r="S148" s="418" t="n">
        <v>136</v>
      </c>
    </row>
    <row r="149" customFormat="false" ht="12" hidden="false" customHeight="false" outlineLevel="0" collapsed="false">
      <c r="B149" s="419" t="n">
        <f aca="false">EOMONTH(B148,0)+1</f>
        <v>40787</v>
      </c>
      <c r="C149" s="454"/>
      <c r="D149" s="454"/>
      <c r="E149" s="418" t="n">
        <v>0.55</v>
      </c>
      <c r="F149" s="454"/>
      <c r="G149" s="454"/>
      <c r="H149" s="437"/>
      <c r="I149" s="442" t="n">
        <v>36811</v>
      </c>
      <c r="J149" s="418" t="n">
        <v>137</v>
      </c>
      <c r="K149" s="442"/>
      <c r="L149" s="437"/>
      <c r="M149" s="419"/>
      <c r="N149" s="418" t="n">
        <v>0.55</v>
      </c>
      <c r="O149" s="442"/>
      <c r="P149" s="418" t="n">
        <v>0.55</v>
      </c>
      <c r="Q149" s="418"/>
      <c r="R149" s="442" t="n">
        <v>36811</v>
      </c>
      <c r="S149" s="418" t="n">
        <v>137</v>
      </c>
    </row>
    <row r="150" customFormat="false" ht="12" hidden="false" customHeight="false" outlineLevel="0" collapsed="false">
      <c r="B150" s="419" t="n">
        <f aca="false">EOMONTH(B149,0)+1</f>
        <v>40817</v>
      </c>
      <c r="C150" s="454"/>
      <c r="D150" s="454"/>
      <c r="E150" s="418" t="n">
        <v>0.6</v>
      </c>
      <c r="F150" s="454"/>
      <c r="G150" s="454"/>
      <c r="H150" s="437"/>
      <c r="I150" s="442" t="n">
        <v>36812</v>
      </c>
      <c r="J150" s="418" t="n">
        <v>138</v>
      </c>
      <c r="K150" s="442"/>
      <c r="L150" s="437"/>
      <c r="M150" s="419"/>
      <c r="N150" s="418" t="n">
        <v>0.6</v>
      </c>
      <c r="O150" s="442"/>
      <c r="P150" s="418" t="n">
        <v>0.6</v>
      </c>
      <c r="Q150" s="418"/>
      <c r="R150" s="442" t="n">
        <v>36812</v>
      </c>
      <c r="S150" s="418" t="n">
        <v>138</v>
      </c>
    </row>
    <row r="151" customFormat="false" ht="12" hidden="false" customHeight="false" outlineLevel="0" collapsed="false">
      <c r="B151" s="419" t="n">
        <f aca="false">EOMONTH(B150,0)+1</f>
        <v>40848</v>
      </c>
      <c r="C151" s="454"/>
      <c r="D151" s="454"/>
      <c r="E151" s="418" t="n">
        <v>0.8</v>
      </c>
      <c r="F151" s="454"/>
      <c r="G151" s="454"/>
      <c r="H151" s="437"/>
      <c r="I151" s="442" t="n">
        <v>36813</v>
      </c>
      <c r="J151" s="418" t="n">
        <v>139</v>
      </c>
      <c r="K151" s="442"/>
      <c r="L151" s="437"/>
      <c r="M151" s="419"/>
      <c r="N151" s="418" t="n">
        <v>0.8</v>
      </c>
      <c r="O151" s="442"/>
      <c r="P151" s="418" t="n">
        <v>0.8</v>
      </c>
      <c r="Q151" s="418"/>
      <c r="R151" s="442" t="n">
        <v>36813</v>
      </c>
      <c r="S151" s="418" t="n">
        <v>139</v>
      </c>
    </row>
    <row r="152" customFormat="false" ht="12" hidden="false" customHeight="false" outlineLevel="0" collapsed="false">
      <c r="B152" s="419" t="n">
        <f aca="false">EOMONTH(B151,0)+1</f>
        <v>40878</v>
      </c>
      <c r="C152" s="454"/>
      <c r="D152" s="454"/>
      <c r="E152" s="418" t="n">
        <v>1</v>
      </c>
      <c r="F152" s="454"/>
      <c r="G152" s="454"/>
      <c r="H152" s="437"/>
      <c r="I152" s="442" t="n">
        <v>36814</v>
      </c>
      <c r="J152" s="418" t="n">
        <v>140</v>
      </c>
      <c r="K152" s="442"/>
      <c r="L152" s="437"/>
      <c r="M152" s="419"/>
      <c r="N152" s="418" t="n">
        <v>1</v>
      </c>
      <c r="O152" s="442"/>
      <c r="P152" s="418" t="n">
        <v>1</v>
      </c>
      <c r="Q152" s="418"/>
      <c r="R152" s="442" t="n">
        <v>36814</v>
      </c>
      <c r="S152" s="418" t="n">
        <v>140</v>
      </c>
    </row>
    <row r="153" customFormat="false" ht="12" hidden="false" customHeight="false" outlineLevel="0" collapsed="false">
      <c r="B153" s="419" t="n">
        <f aca="false">EOMONTH(B152,0)+1</f>
        <v>40909</v>
      </c>
      <c r="C153" s="454"/>
      <c r="D153" s="454"/>
      <c r="E153" s="418" t="n">
        <v>1</v>
      </c>
      <c r="F153" s="454"/>
      <c r="G153" s="454"/>
      <c r="H153" s="437"/>
      <c r="I153" s="442" t="n">
        <v>36815</v>
      </c>
      <c r="J153" s="418" t="n">
        <v>141</v>
      </c>
      <c r="K153" s="442"/>
      <c r="L153" s="437"/>
      <c r="M153" s="419"/>
      <c r="N153" s="418" t="n">
        <v>1</v>
      </c>
      <c r="O153" s="442"/>
      <c r="P153" s="418" t="n">
        <v>1</v>
      </c>
      <c r="Q153" s="418"/>
      <c r="R153" s="442" t="n">
        <v>36815</v>
      </c>
      <c r="S153" s="418" t="n">
        <v>141</v>
      </c>
    </row>
    <row r="154" customFormat="false" ht="12" hidden="false" customHeight="false" outlineLevel="0" collapsed="false">
      <c r="B154" s="419" t="n">
        <f aca="false">EOMONTH(B153,0)+1</f>
        <v>40940</v>
      </c>
      <c r="C154" s="454"/>
      <c r="D154" s="454"/>
      <c r="E154" s="418" t="n">
        <v>1</v>
      </c>
      <c r="F154" s="454"/>
      <c r="G154" s="454"/>
      <c r="H154" s="437"/>
      <c r="I154" s="442" t="n">
        <v>36816</v>
      </c>
      <c r="J154" s="418" t="n">
        <v>142</v>
      </c>
      <c r="K154" s="442"/>
      <c r="L154" s="437"/>
      <c r="M154" s="419"/>
      <c r="N154" s="418" t="n">
        <v>1</v>
      </c>
      <c r="O154" s="442"/>
      <c r="P154" s="418" t="n">
        <v>1</v>
      </c>
      <c r="Q154" s="418"/>
      <c r="R154" s="442" t="n">
        <v>36816</v>
      </c>
      <c r="S154" s="418" t="n">
        <v>142</v>
      </c>
    </row>
    <row r="155" customFormat="false" ht="12" hidden="false" customHeight="false" outlineLevel="0" collapsed="false">
      <c r="B155" s="419" t="n">
        <f aca="false">EOMONTH(B154,0)+1</f>
        <v>40969</v>
      </c>
      <c r="C155" s="454"/>
      <c r="D155" s="454"/>
      <c r="E155" s="418" t="n">
        <v>0.75</v>
      </c>
      <c r="F155" s="454"/>
      <c r="G155" s="454"/>
      <c r="H155" s="437"/>
      <c r="I155" s="442" t="n">
        <v>36817</v>
      </c>
      <c r="J155" s="418" t="n">
        <v>143</v>
      </c>
      <c r="K155" s="442"/>
      <c r="L155" s="437"/>
      <c r="M155" s="419"/>
      <c r="N155" s="418" t="n">
        <v>0.75</v>
      </c>
      <c r="O155" s="442"/>
      <c r="P155" s="418" t="n">
        <v>0.75</v>
      </c>
      <c r="Q155" s="418"/>
      <c r="R155" s="442" t="n">
        <v>36817</v>
      </c>
      <c r="S155" s="418" t="n">
        <v>143</v>
      </c>
    </row>
    <row r="156" customFormat="false" ht="12" hidden="false" customHeight="false" outlineLevel="0" collapsed="false">
      <c r="B156" s="419" t="n">
        <f aca="false">EOMONTH(B155,0)+1</f>
        <v>41000</v>
      </c>
      <c r="C156" s="454"/>
      <c r="D156" s="454"/>
      <c r="E156" s="418" t="n">
        <v>0.45</v>
      </c>
      <c r="F156" s="454"/>
      <c r="G156" s="454"/>
      <c r="H156" s="437"/>
      <c r="I156" s="442" t="n">
        <v>36818</v>
      </c>
      <c r="J156" s="418" t="n">
        <v>144</v>
      </c>
      <c r="K156" s="442"/>
      <c r="L156" s="437"/>
      <c r="M156" s="419"/>
      <c r="N156" s="418" t="n">
        <v>0.45</v>
      </c>
      <c r="O156" s="442"/>
      <c r="P156" s="418" t="n">
        <v>0.45</v>
      </c>
      <c r="Q156" s="418"/>
      <c r="R156" s="442" t="n">
        <v>36818</v>
      </c>
      <c r="S156" s="418" t="n">
        <v>144</v>
      </c>
    </row>
    <row r="157" customFormat="false" ht="12" hidden="false" customHeight="false" outlineLevel="0" collapsed="false">
      <c r="B157" s="419" t="n">
        <f aca="false">EOMONTH(B156,0)+1</f>
        <v>41030</v>
      </c>
      <c r="C157" s="454"/>
      <c r="D157" s="454"/>
      <c r="E157" s="418" t="n">
        <v>0.4</v>
      </c>
      <c r="F157" s="454"/>
      <c r="G157" s="454"/>
      <c r="H157" s="437"/>
      <c r="I157" s="442" t="n">
        <v>36819</v>
      </c>
      <c r="J157" s="418" t="n">
        <v>145</v>
      </c>
      <c r="K157" s="442"/>
      <c r="L157" s="437"/>
      <c r="M157" s="419"/>
      <c r="N157" s="418" t="n">
        <v>0.4</v>
      </c>
      <c r="O157" s="442"/>
      <c r="P157" s="418" t="n">
        <v>0.4</v>
      </c>
      <c r="Q157" s="418"/>
      <c r="R157" s="442" t="n">
        <v>36819</v>
      </c>
      <c r="S157" s="418" t="n">
        <v>145</v>
      </c>
    </row>
    <row r="158" customFormat="false" ht="12" hidden="false" customHeight="false" outlineLevel="0" collapsed="false">
      <c r="B158" s="419" t="n">
        <f aca="false">EOMONTH(B157,0)+1</f>
        <v>41061</v>
      </c>
      <c r="C158" s="454"/>
      <c r="D158" s="454"/>
      <c r="E158" s="418" t="n">
        <v>0.5</v>
      </c>
      <c r="F158" s="454"/>
      <c r="G158" s="454"/>
      <c r="H158" s="437"/>
      <c r="I158" s="442" t="n">
        <v>36820</v>
      </c>
      <c r="J158" s="418" t="n">
        <v>146</v>
      </c>
      <c r="K158" s="442"/>
      <c r="L158" s="437"/>
      <c r="M158" s="419"/>
      <c r="N158" s="418" t="n">
        <v>0.5</v>
      </c>
      <c r="O158" s="442"/>
      <c r="P158" s="418" t="n">
        <v>0.5</v>
      </c>
      <c r="Q158" s="418"/>
      <c r="R158" s="442" t="n">
        <v>36820</v>
      </c>
      <c r="S158" s="418" t="n">
        <v>146</v>
      </c>
    </row>
    <row r="159" customFormat="false" ht="12" hidden="false" customHeight="false" outlineLevel="0" collapsed="false">
      <c r="B159" s="419" t="n">
        <f aca="false">EOMONTH(B158,0)+1</f>
        <v>41091</v>
      </c>
      <c r="C159" s="454"/>
      <c r="D159" s="454"/>
      <c r="E159" s="418" t="n">
        <v>0.5</v>
      </c>
      <c r="F159" s="454"/>
      <c r="G159" s="454"/>
      <c r="H159" s="437"/>
      <c r="I159" s="442" t="n">
        <v>36821</v>
      </c>
      <c r="J159" s="418" t="n">
        <v>147</v>
      </c>
      <c r="K159" s="442"/>
      <c r="L159" s="437"/>
      <c r="M159" s="419"/>
      <c r="N159" s="418" t="n">
        <v>0.5</v>
      </c>
      <c r="O159" s="442"/>
      <c r="P159" s="418" t="n">
        <v>0.5</v>
      </c>
      <c r="Q159" s="418"/>
      <c r="R159" s="442" t="n">
        <v>36821</v>
      </c>
      <c r="S159" s="418" t="n">
        <v>147</v>
      </c>
    </row>
    <row r="160" customFormat="false" ht="12" hidden="false" customHeight="false" outlineLevel="0" collapsed="false">
      <c r="B160" s="419" t="n">
        <f aca="false">EOMONTH(B159,0)+1</f>
        <v>41122</v>
      </c>
      <c r="C160" s="454"/>
      <c r="D160" s="454"/>
      <c r="E160" s="418" t="n">
        <v>0.6</v>
      </c>
      <c r="F160" s="454"/>
      <c r="G160" s="454"/>
      <c r="H160" s="437"/>
      <c r="I160" s="442" t="n">
        <v>36822</v>
      </c>
      <c r="J160" s="418" t="n">
        <v>148</v>
      </c>
      <c r="K160" s="442"/>
      <c r="L160" s="437"/>
      <c r="M160" s="419"/>
      <c r="N160" s="418" t="n">
        <v>0.6</v>
      </c>
      <c r="O160" s="442"/>
      <c r="P160" s="418" t="n">
        <v>0.6</v>
      </c>
      <c r="Q160" s="418"/>
      <c r="R160" s="442" t="n">
        <v>36822</v>
      </c>
      <c r="S160" s="418" t="n">
        <v>148</v>
      </c>
    </row>
    <row r="161" customFormat="false" ht="12" hidden="false" customHeight="false" outlineLevel="0" collapsed="false">
      <c r="B161" s="419" t="n">
        <f aca="false">EOMONTH(B160,0)+1</f>
        <v>41153</v>
      </c>
      <c r="C161" s="454"/>
      <c r="D161" s="454"/>
      <c r="E161" s="418" t="n">
        <v>0.55</v>
      </c>
      <c r="F161" s="454"/>
      <c r="G161" s="454"/>
      <c r="H161" s="437"/>
      <c r="I161" s="442" t="n">
        <v>36823</v>
      </c>
      <c r="J161" s="418" t="n">
        <v>149</v>
      </c>
      <c r="K161" s="442"/>
      <c r="L161" s="437"/>
      <c r="M161" s="419"/>
      <c r="N161" s="418" t="n">
        <v>0.55</v>
      </c>
      <c r="O161" s="442"/>
      <c r="P161" s="418" t="n">
        <v>0.55</v>
      </c>
      <c r="Q161" s="418"/>
      <c r="R161" s="442" t="n">
        <v>36823</v>
      </c>
      <c r="S161" s="418" t="n">
        <v>149</v>
      </c>
    </row>
    <row r="162" customFormat="false" ht="12" hidden="false" customHeight="false" outlineLevel="0" collapsed="false">
      <c r="B162" s="419" t="n">
        <f aca="false">EOMONTH(B161,0)+1</f>
        <v>41183</v>
      </c>
      <c r="C162" s="454"/>
      <c r="D162" s="454"/>
      <c r="E162" s="418" t="n">
        <v>0.6</v>
      </c>
      <c r="F162" s="454"/>
      <c r="G162" s="454"/>
      <c r="H162" s="437"/>
      <c r="I162" s="442" t="n">
        <v>36824</v>
      </c>
      <c r="J162" s="418" t="n">
        <v>150</v>
      </c>
      <c r="K162" s="442"/>
      <c r="L162" s="437"/>
      <c r="M162" s="419"/>
      <c r="N162" s="418" t="n">
        <v>0.6</v>
      </c>
      <c r="O162" s="442"/>
      <c r="P162" s="418" t="n">
        <v>0.6</v>
      </c>
      <c r="Q162" s="418"/>
      <c r="R162" s="442" t="n">
        <v>36824</v>
      </c>
      <c r="S162" s="418" t="n">
        <v>150</v>
      </c>
    </row>
    <row r="163" customFormat="false" ht="12" hidden="false" customHeight="false" outlineLevel="0" collapsed="false">
      <c r="B163" s="419" t="n">
        <f aca="false">EOMONTH(B162,0)+1</f>
        <v>41214</v>
      </c>
      <c r="C163" s="454"/>
      <c r="D163" s="454"/>
      <c r="E163" s="418" t="n">
        <v>0.8</v>
      </c>
      <c r="F163" s="454"/>
      <c r="G163" s="454"/>
      <c r="H163" s="437"/>
      <c r="I163" s="442" t="n">
        <v>36825</v>
      </c>
      <c r="J163" s="418" t="n">
        <v>151</v>
      </c>
      <c r="K163" s="442"/>
      <c r="L163" s="437"/>
      <c r="M163" s="419"/>
      <c r="N163" s="418" t="n">
        <v>0.8</v>
      </c>
      <c r="O163" s="442"/>
      <c r="P163" s="418" t="n">
        <v>0.8</v>
      </c>
      <c r="Q163" s="418"/>
      <c r="R163" s="442" t="n">
        <v>36825</v>
      </c>
      <c r="S163" s="418" t="n">
        <v>151</v>
      </c>
    </row>
    <row r="164" customFormat="false" ht="12" hidden="false" customHeight="false" outlineLevel="0" collapsed="false">
      <c r="B164" s="419" t="n">
        <f aca="false">EOMONTH(B163,0)+1</f>
        <v>41244</v>
      </c>
      <c r="C164" s="454"/>
      <c r="D164" s="454"/>
      <c r="E164" s="418" t="n">
        <v>1</v>
      </c>
      <c r="F164" s="454"/>
      <c r="G164" s="454"/>
      <c r="H164" s="437"/>
      <c r="I164" s="442" t="n">
        <v>36826</v>
      </c>
      <c r="J164" s="418" t="n">
        <v>152</v>
      </c>
      <c r="K164" s="442"/>
      <c r="L164" s="437"/>
      <c r="M164" s="419"/>
      <c r="N164" s="418" t="n">
        <v>1</v>
      </c>
      <c r="O164" s="442"/>
      <c r="P164" s="418" t="n">
        <v>1</v>
      </c>
      <c r="Q164" s="418"/>
      <c r="R164" s="442" t="n">
        <v>36826</v>
      </c>
      <c r="S164" s="418" t="n">
        <v>152</v>
      </c>
    </row>
    <row r="165" customFormat="false" ht="12" hidden="false" customHeight="false" outlineLevel="0" collapsed="false">
      <c r="B165" s="419" t="n">
        <f aca="false">EOMONTH(B164,0)+1</f>
        <v>41275</v>
      </c>
      <c r="C165" s="454"/>
      <c r="D165" s="454"/>
      <c r="E165" s="418" t="n">
        <v>1</v>
      </c>
      <c r="F165" s="454"/>
      <c r="G165" s="454"/>
      <c r="H165" s="437"/>
      <c r="I165" s="442" t="n">
        <v>36827</v>
      </c>
      <c r="J165" s="418" t="n">
        <v>153</v>
      </c>
      <c r="K165" s="442"/>
      <c r="L165" s="437"/>
      <c r="M165" s="419"/>
      <c r="N165" s="418" t="n">
        <v>1</v>
      </c>
      <c r="O165" s="442"/>
      <c r="P165" s="418" t="n">
        <v>1</v>
      </c>
      <c r="Q165" s="418"/>
      <c r="R165" s="442" t="n">
        <v>36827</v>
      </c>
      <c r="S165" s="418" t="n">
        <v>153</v>
      </c>
    </row>
    <row r="166" customFormat="false" ht="12" hidden="false" customHeight="false" outlineLevel="0" collapsed="false">
      <c r="B166" s="419" t="n">
        <f aca="false">EOMONTH(B165,0)+1</f>
        <v>41306</v>
      </c>
      <c r="C166" s="454"/>
      <c r="D166" s="454"/>
      <c r="E166" s="418" t="n">
        <v>1</v>
      </c>
      <c r="F166" s="454"/>
      <c r="G166" s="454"/>
      <c r="H166" s="437"/>
      <c r="I166" s="442" t="n">
        <v>36828</v>
      </c>
      <c r="J166" s="418" t="n">
        <v>154</v>
      </c>
      <c r="K166" s="442"/>
      <c r="L166" s="437"/>
      <c r="M166" s="419"/>
      <c r="N166" s="418" t="n">
        <v>1</v>
      </c>
      <c r="O166" s="442"/>
      <c r="P166" s="418" t="n">
        <v>1</v>
      </c>
      <c r="Q166" s="418"/>
      <c r="R166" s="442" t="n">
        <v>36828</v>
      </c>
      <c r="S166" s="418" t="n">
        <v>154</v>
      </c>
    </row>
    <row r="167" customFormat="false" ht="12" hidden="false" customHeight="false" outlineLevel="0" collapsed="false">
      <c r="B167" s="419" t="n">
        <f aca="false">EOMONTH(B166,0)+1</f>
        <v>41334</v>
      </c>
      <c r="C167" s="454"/>
      <c r="D167" s="454"/>
      <c r="E167" s="418" t="n">
        <v>0.75</v>
      </c>
      <c r="F167" s="454"/>
      <c r="G167" s="454"/>
      <c r="H167" s="437"/>
      <c r="I167" s="442" t="n">
        <v>36829</v>
      </c>
      <c r="J167" s="418" t="n">
        <v>155</v>
      </c>
      <c r="K167" s="442"/>
      <c r="L167" s="437"/>
      <c r="M167" s="419"/>
      <c r="N167" s="418" t="n">
        <v>0.75</v>
      </c>
      <c r="O167" s="442"/>
      <c r="P167" s="418" t="n">
        <v>0.75</v>
      </c>
      <c r="Q167" s="418"/>
      <c r="R167" s="442" t="n">
        <v>36829</v>
      </c>
      <c r="S167" s="418" t="n">
        <v>155</v>
      </c>
    </row>
    <row r="168" customFormat="false" ht="12" hidden="false" customHeight="false" outlineLevel="0" collapsed="false">
      <c r="B168" s="419" t="n">
        <f aca="false">EOMONTH(B167,0)+1</f>
        <v>41365</v>
      </c>
      <c r="C168" s="454"/>
      <c r="D168" s="454"/>
      <c r="E168" s="418" t="n">
        <v>0.45</v>
      </c>
      <c r="F168" s="454"/>
      <c r="G168" s="454"/>
      <c r="H168" s="437"/>
      <c r="I168" s="442" t="n">
        <v>36830</v>
      </c>
      <c r="J168" s="418" t="n">
        <v>156</v>
      </c>
      <c r="K168" s="442"/>
      <c r="L168" s="437"/>
      <c r="M168" s="419"/>
      <c r="N168" s="418" t="n">
        <v>0.45</v>
      </c>
      <c r="O168" s="442"/>
      <c r="P168" s="418" t="n">
        <v>0.45</v>
      </c>
      <c r="Q168" s="418"/>
      <c r="R168" s="442" t="n">
        <v>36830</v>
      </c>
      <c r="S168" s="418" t="n">
        <v>156</v>
      </c>
    </row>
    <row r="169" customFormat="false" ht="12" hidden="false" customHeight="false" outlineLevel="0" collapsed="false">
      <c r="B169" s="419" t="n">
        <f aca="false">EOMONTH(B168,0)+1</f>
        <v>41395</v>
      </c>
      <c r="C169" s="454"/>
      <c r="D169" s="454"/>
      <c r="E169" s="418" t="n">
        <v>0.4</v>
      </c>
      <c r="F169" s="454"/>
      <c r="G169" s="454"/>
      <c r="H169" s="437"/>
      <c r="I169" s="442" t="n">
        <v>36831</v>
      </c>
      <c r="J169" s="418" t="n">
        <v>157</v>
      </c>
      <c r="K169" s="442"/>
      <c r="L169" s="437"/>
      <c r="M169" s="419"/>
      <c r="N169" s="418" t="n">
        <v>0.4</v>
      </c>
      <c r="O169" s="442"/>
      <c r="P169" s="418" t="n">
        <v>0.4</v>
      </c>
      <c r="Q169" s="418"/>
      <c r="R169" s="442" t="n">
        <v>36831</v>
      </c>
      <c r="S169" s="418" t="n">
        <v>157</v>
      </c>
    </row>
    <row r="170" customFormat="false" ht="12" hidden="false" customHeight="false" outlineLevel="0" collapsed="false">
      <c r="B170" s="419" t="n">
        <f aca="false">EOMONTH(B169,0)+1</f>
        <v>41426</v>
      </c>
      <c r="C170" s="454"/>
      <c r="D170" s="454"/>
      <c r="E170" s="418" t="n">
        <v>0.5</v>
      </c>
      <c r="F170" s="454"/>
      <c r="G170" s="454"/>
      <c r="H170" s="437"/>
      <c r="I170" s="442" t="n">
        <v>36832</v>
      </c>
      <c r="J170" s="418" t="n">
        <v>158</v>
      </c>
      <c r="K170" s="442"/>
      <c r="L170" s="437"/>
      <c r="M170" s="419"/>
      <c r="N170" s="418" t="n">
        <v>0.5</v>
      </c>
      <c r="O170" s="442"/>
      <c r="P170" s="418" t="n">
        <v>0.5</v>
      </c>
      <c r="Q170" s="418"/>
      <c r="R170" s="442" t="n">
        <v>36832</v>
      </c>
      <c r="S170" s="418" t="n">
        <v>158</v>
      </c>
    </row>
    <row r="171" customFormat="false" ht="12" hidden="false" customHeight="false" outlineLevel="0" collapsed="false">
      <c r="B171" s="419" t="n">
        <f aca="false">EOMONTH(B170,0)+1</f>
        <v>41456</v>
      </c>
      <c r="C171" s="454"/>
      <c r="D171" s="454"/>
      <c r="E171" s="418" t="n">
        <v>0.5</v>
      </c>
      <c r="F171" s="454"/>
      <c r="G171" s="454"/>
      <c r="H171" s="437"/>
      <c r="I171" s="442" t="n">
        <v>36833</v>
      </c>
      <c r="J171" s="418" t="n">
        <v>159</v>
      </c>
      <c r="K171" s="442"/>
      <c r="L171" s="437"/>
      <c r="M171" s="419"/>
      <c r="N171" s="418" t="n">
        <v>0.5</v>
      </c>
      <c r="O171" s="442"/>
      <c r="P171" s="418" t="n">
        <v>0.5</v>
      </c>
      <c r="Q171" s="418"/>
      <c r="R171" s="442" t="n">
        <v>36833</v>
      </c>
      <c r="S171" s="418" t="n">
        <v>159</v>
      </c>
    </row>
    <row r="172" customFormat="false" ht="12" hidden="false" customHeight="false" outlineLevel="0" collapsed="false">
      <c r="B172" s="419" t="n">
        <f aca="false">EOMONTH(B171,0)+1</f>
        <v>41487</v>
      </c>
      <c r="C172" s="454"/>
      <c r="D172" s="454"/>
      <c r="E172" s="418" t="n">
        <v>0.6</v>
      </c>
      <c r="F172" s="454"/>
      <c r="G172" s="454"/>
      <c r="H172" s="437"/>
      <c r="I172" s="442" t="n">
        <v>36834</v>
      </c>
      <c r="J172" s="418" t="n">
        <v>160</v>
      </c>
      <c r="K172" s="442"/>
      <c r="L172" s="437"/>
      <c r="M172" s="419"/>
      <c r="N172" s="418" t="n">
        <v>0.6</v>
      </c>
      <c r="O172" s="442"/>
      <c r="P172" s="418" t="n">
        <v>0.6</v>
      </c>
      <c r="Q172" s="418"/>
      <c r="R172" s="442" t="n">
        <v>36834</v>
      </c>
      <c r="S172" s="418" t="n">
        <v>160</v>
      </c>
    </row>
    <row r="173" customFormat="false" ht="12" hidden="false" customHeight="false" outlineLevel="0" collapsed="false">
      <c r="B173" s="419" t="n">
        <f aca="false">EOMONTH(B172,0)+1</f>
        <v>41518</v>
      </c>
      <c r="C173" s="454"/>
      <c r="D173" s="454"/>
      <c r="E173" s="418" t="n">
        <v>0.55</v>
      </c>
      <c r="F173" s="454"/>
      <c r="G173" s="454"/>
      <c r="H173" s="437"/>
      <c r="I173" s="442" t="n">
        <v>36835</v>
      </c>
      <c r="J173" s="418" t="n">
        <v>161</v>
      </c>
      <c r="K173" s="442"/>
      <c r="L173" s="437"/>
      <c r="M173" s="419"/>
      <c r="N173" s="418" t="n">
        <v>0.55</v>
      </c>
      <c r="O173" s="442"/>
      <c r="P173" s="418" t="n">
        <v>0.55</v>
      </c>
      <c r="Q173" s="418"/>
      <c r="R173" s="442" t="n">
        <v>36835</v>
      </c>
      <c r="S173" s="418" t="n">
        <v>161</v>
      </c>
    </row>
    <row r="174" customFormat="false" ht="12" hidden="false" customHeight="false" outlineLevel="0" collapsed="false">
      <c r="B174" s="419" t="n">
        <f aca="false">EOMONTH(B173,0)+1</f>
        <v>41548</v>
      </c>
      <c r="C174" s="454"/>
      <c r="D174" s="454"/>
      <c r="E174" s="418" t="n">
        <v>0.6</v>
      </c>
      <c r="F174" s="454"/>
      <c r="G174" s="454"/>
      <c r="H174" s="437"/>
      <c r="I174" s="442" t="n">
        <v>36836</v>
      </c>
      <c r="J174" s="418" t="n">
        <v>162</v>
      </c>
      <c r="K174" s="442"/>
      <c r="L174" s="437"/>
      <c r="M174" s="419"/>
      <c r="N174" s="418" t="n">
        <v>0.6</v>
      </c>
      <c r="O174" s="442"/>
      <c r="P174" s="418" t="n">
        <v>0.6</v>
      </c>
      <c r="Q174" s="418"/>
      <c r="R174" s="442" t="n">
        <v>36836</v>
      </c>
      <c r="S174" s="418" t="n">
        <v>162</v>
      </c>
    </row>
    <row r="175" customFormat="false" ht="12" hidden="false" customHeight="false" outlineLevel="0" collapsed="false">
      <c r="B175" s="419" t="n">
        <f aca="false">EOMONTH(B174,0)+1</f>
        <v>41579</v>
      </c>
      <c r="C175" s="454"/>
      <c r="D175" s="454"/>
      <c r="E175" s="418" t="n">
        <v>0.8</v>
      </c>
      <c r="F175" s="454"/>
      <c r="G175" s="454"/>
      <c r="H175" s="437"/>
      <c r="I175" s="442" t="n">
        <v>36837</v>
      </c>
      <c r="J175" s="418" t="n">
        <v>163</v>
      </c>
      <c r="K175" s="442"/>
      <c r="L175" s="437"/>
      <c r="M175" s="419"/>
      <c r="N175" s="418" t="n">
        <v>0.8</v>
      </c>
      <c r="O175" s="442"/>
      <c r="P175" s="418" t="n">
        <v>0.8</v>
      </c>
      <c r="Q175" s="418"/>
      <c r="R175" s="442" t="n">
        <v>36837</v>
      </c>
      <c r="S175" s="418" t="n">
        <v>163</v>
      </c>
    </row>
    <row r="176" customFormat="false" ht="12" hidden="false" customHeight="false" outlineLevel="0" collapsed="false">
      <c r="B176" s="419" t="n">
        <f aca="false">EOMONTH(B175,0)+1</f>
        <v>41609</v>
      </c>
      <c r="C176" s="454"/>
      <c r="D176" s="454"/>
      <c r="E176" s="418" t="n">
        <v>1</v>
      </c>
      <c r="F176" s="454"/>
      <c r="G176" s="454"/>
      <c r="H176" s="437"/>
      <c r="I176" s="442" t="n">
        <v>36838</v>
      </c>
      <c r="J176" s="418" t="n">
        <v>164</v>
      </c>
      <c r="K176" s="442"/>
      <c r="L176" s="437"/>
      <c r="M176" s="419"/>
      <c r="N176" s="418" t="n">
        <v>1</v>
      </c>
      <c r="O176" s="442"/>
      <c r="P176" s="418" t="n">
        <v>1</v>
      </c>
      <c r="Q176" s="418"/>
      <c r="R176" s="442" t="n">
        <v>36838</v>
      </c>
      <c r="S176" s="418" t="n">
        <v>164</v>
      </c>
    </row>
    <row r="177" customFormat="false" ht="12" hidden="false" customHeight="false" outlineLevel="0" collapsed="false">
      <c r="B177" s="419" t="n">
        <f aca="false">EOMONTH(B176,0)+1</f>
        <v>41640</v>
      </c>
      <c r="C177" s="454"/>
      <c r="D177" s="454"/>
      <c r="E177" s="418" t="n">
        <v>1</v>
      </c>
      <c r="F177" s="454"/>
      <c r="G177" s="454"/>
      <c r="H177" s="437"/>
      <c r="I177" s="442" t="n">
        <v>36839</v>
      </c>
      <c r="J177" s="418" t="n">
        <v>165</v>
      </c>
      <c r="K177" s="442"/>
      <c r="L177" s="437"/>
      <c r="M177" s="419"/>
      <c r="N177" s="418" t="n">
        <v>1</v>
      </c>
      <c r="O177" s="442"/>
      <c r="P177" s="418" t="n">
        <v>1</v>
      </c>
      <c r="Q177" s="418"/>
      <c r="R177" s="442" t="n">
        <v>36839</v>
      </c>
      <c r="S177" s="418" t="n">
        <v>165</v>
      </c>
    </row>
    <row r="178" customFormat="false" ht="12" hidden="false" customHeight="false" outlineLevel="0" collapsed="false">
      <c r="B178" s="419" t="n">
        <f aca="false">EOMONTH(B177,0)+1</f>
        <v>41671</v>
      </c>
      <c r="C178" s="454"/>
      <c r="D178" s="454"/>
      <c r="E178" s="418" t="n">
        <v>1</v>
      </c>
      <c r="F178" s="454"/>
      <c r="G178" s="454"/>
      <c r="H178" s="437"/>
      <c r="I178" s="442" t="n">
        <v>36840</v>
      </c>
      <c r="J178" s="418" t="n">
        <v>166</v>
      </c>
      <c r="K178" s="442"/>
      <c r="L178" s="437"/>
      <c r="M178" s="419"/>
      <c r="N178" s="418" t="n">
        <v>1</v>
      </c>
      <c r="O178" s="442"/>
      <c r="P178" s="418" t="n">
        <v>1</v>
      </c>
      <c r="Q178" s="418"/>
      <c r="R178" s="442" t="n">
        <v>36840</v>
      </c>
      <c r="S178" s="418" t="n">
        <v>166</v>
      </c>
    </row>
    <row r="179" customFormat="false" ht="12" hidden="false" customHeight="false" outlineLevel="0" collapsed="false">
      <c r="B179" s="419" t="n">
        <f aca="false">EOMONTH(B178,0)+1</f>
        <v>41699</v>
      </c>
      <c r="C179" s="454"/>
      <c r="D179" s="454"/>
      <c r="E179" s="418" t="n">
        <v>0.75</v>
      </c>
      <c r="F179" s="454"/>
      <c r="G179" s="454"/>
      <c r="H179" s="437"/>
      <c r="I179" s="442" t="n">
        <v>36841</v>
      </c>
      <c r="J179" s="418" t="n">
        <v>167</v>
      </c>
      <c r="K179" s="442"/>
      <c r="L179" s="437"/>
      <c r="M179" s="419"/>
      <c r="N179" s="418" t="n">
        <v>0.75</v>
      </c>
      <c r="O179" s="442"/>
      <c r="P179" s="418" t="n">
        <v>0.75</v>
      </c>
      <c r="Q179" s="418"/>
      <c r="R179" s="442" t="n">
        <v>36841</v>
      </c>
      <c r="S179" s="418" t="n">
        <v>167</v>
      </c>
    </row>
    <row r="180" customFormat="false" ht="12" hidden="false" customHeight="false" outlineLevel="0" collapsed="false">
      <c r="B180" s="419" t="n">
        <f aca="false">EOMONTH(B179,0)+1</f>
        <v>41730</v>
      </c>
      <c r="C180" s="454"/>
      <c r="D180" s="454"/>
      <c r="E180" s="418" t="n">
        <v>0.45</v>
      </c>
      <c r="F180" s="454"/>
      <c r="G180" s="454"/>
      <c r="H180" s="437"/>
      <c r="I180" s="442" t="n">
        <v>36842</v>
      </c>
      <c r="J180" s="418" t="n">
        <v>168</v>
      </c>
      <c r="K180" s="442"/>
      <c r="L180" s="437"/>
      <c r="M180" s="419"/>
      <c r="N180" s="418" t="n">
        <v>0.45</v>
      </c>
      <c r="O180" s="442"/>
      <c r="P180" s="418" t="n">
        <v>0.45</v>
      </c>
      <c r="Q180" s="418"/>
      <c r="R180" s="442" t="n">
        <v>36842</v>
      </c>
      <c r="S180" s="418" t="n">
        <v>168</v>
      </c>
    </row>
    <row r="181" customFormat="false" ht="12" hidden="false" customHeight="false" outlineLevel="0" collapsed="false">
      <c r="B181" s="419" t="n">
        <f aca="false">EOMONTH(B180,0)+1</f>
        <v>41760</v>
      </c>
      <c r="C181" s="454"/>
      <c r="D181" s="454"/>
      <c r="E181" s="418" t="n">
        <v>0.4</v>
      </c>
      <c r="F181" s="454"/>
      <c r="G181" s="454"/>
      <c r="H181" s="437"/>
      <c r="I181" s="442" t="n">
        <v>36843</v>
      </c>
      <c r="J181" s="418" t="n">
        <v>169</v>
      </c>
      <c r="K181" s="442"/>
      <c r="L181" s="437"/>
      <c r="M181" s="419"/>
      <c r="N181" s="418" t="n">
        <v>0.4</v>
      </c>
      <c r="O181" s="442"/>
      <c r="P181" s="418" t="n">
        <v>0.4</v>
      </c>
      <c r="Q181" s="418"/>
      <c r="R181" s="442" t="n">
        <v>36843</v>
      </c>
      <c r="S181" s="418" t="n">
        <v>169</v>
      </c>
    </row>
    <row r="182" customFormat="false" ht="12" hidden="false" customHeight="false" outlineLevel="0" collapsed="false">
      <c r="B182" s="419" t="n">
        <f aca="false">EOMONTH(B181,0)+1</f>
        <v>41791</v>
      </c>
      <c r="C182" s="454"/>
      <c r="D182" s="454"/>
      <c r="E182" s="418" t="n">
        <v>0.5</v>
      </c>
      <c r="F182" s="454"/>
      <c r="G182" s="454"/>
      <c r="H182" s="437"/>
      <c r="I182" s="442" t="n">
        <v>36844</v>
      </c>
      <c r="J182" s="418" t="n">
        <v>170</v>
      </c>
      <c r="K182" s="442"/>
      <c r="L182" s="437"/>
      <c r="M182" s="419"/>
      <c r="N182" s="418" t="n">
        <v>0.5</v>
      </c>
      <c r="O182" s="442"/>
      <c r="P182" s="418" t="n">
        <v>0.5</v>
      </c>
      <c r="Q182" s="418"/>
      <c r="R182" s="442" t="n">
        <v>36844</v>
      </c>
      <c r="S182" s="418" t="n">
        <v>170</v>
      </c>
    </row>
    <row r="183" customFormat="false" ht="12" hidden="false" customHeight="false" outlineLevel="0" collapsed="false">
      <c r="B183" s="419" t="n">
        <f aca="false">EOMONTH(B182,0)+1</f>
        <v>41821</v>
      </c>
      <c r="C183" s="454"/>
      <c r="D183" s="454"/>
      <c r="E183" s="418" t="n">
        <v>0.5</v>
      </c>
      <c r="F183" s="454"/>
      <c r="G183" s="454"/>
      <c r="H183" s="437"/>
      <c r="I183" s="442" t="n">
        <v>36845</v>
      </c>
      <c r="J183" s="418" t="n">
        <v>171</v>
      </c>
      <c r="K183" s="442"/>
      <c r="L183" s="437"/>
      <c r="M183" s="419"/>
      <c r="N183" s="418" t="n">
        <v>0.5</v>
      </c>
      <c r="O183" s="442"/>
      <c r="P183" s="418" t="n">
        <v>0.5</v>
      </c>
      <c r="Q183" s="418"/>
      <c r="R183" s="442" t="n">
        <v>36845</v>
      </c>
      <c r="S183" s="418" t="n">
        <v>171</v>
      </c>
    </row>
    <row r="184" customFormat="false" ht="12" hidden="false" customHeight="false" outlineLevel="0" collapsed="false">
      <c r="B184" s="419" t="n">
        <f aca="false">EOMONTH(B183,0)+1</f>
        <v>41852</v>
      </c>
      <c r="C184" s="454"/>
      <c r="D184" s="454"/>
      <c r="E184" s="418" t="n">
        <v>0.6</v>
      </c>
      <c r="F184" s="454"/>
      <c r="G184" s="454"/>
      <c r="H184" s="437"/>
      <c r="I184" s="442" t="n">
        <v>36846</v>
      </c>
      <c r="J184" s="418" t="n">
        <v>172</v>
      </c>
      <c r="K184" s="442"/>
      <c r="L184" s="437"/>
      <c r="M184" s="419"/>
      <c r="N184" s="418" t="n">
        <v>0.6</v>
      </c>
      <c r="O184" s="442"/>
      <c r="P184" s="418" t="n">
        <v>0.6</v>
      </c>
      <c r="Q184" s="418"/>
      <c r="R184" s="442" t="n">
        <v>36846</v>
      </c>
      <c r="S184" s="418" t="n">
        <v>172</v>
      </c>
    </row>
    <row r="185" customFormat="false" ht="12" hidden="false" customHeight="false" outlineLevel="0" collapsed="false">
      <c r="B185" s="419" t="n">
        <f aca="false">EOMONTH(B184,0)+1</f>
        <v>41883</v>
      </c>
      <c r="C185" s="454"/>
      <c r="D185" s="454"/>
      <c r="E185" s="418" t="n">
        <v>0.55</v>
      </c>
      <c r="F185" s="454"/>
      <c r="G185" s="454"/>
      <c r="H185" s="437"/>
      <c r="I185" s="442" t="n">
        <v>36847</v>
      </c>
      <c r="J185" s="418" t="n">
        <v>173</v>
      </c>
      <c r="K185" s="442"/>
      <c r="L185" s="437"/>
      <c r="M185" s="419"/>
      <c r="N185" s="418" t="n">
        <v>0.55</v>
      </c>
      <c r="O185" s="442"/>
      <c r="P185" s="418" t="n">
        <v>0.55</v>
      </c>
      <c r="Q185" s="418"/>
      <c r="R185" s="442" t="n">
        <v>36847</v>
      </c>
      <c r="S185" s="418" t="n">
        <v>173</v>
      </c>
    </row>
    <row r="186" customFormat="false" ht="12" hidden="false" customHeight="false" outlineLevel="0" collapsed="false">
      <c r="B186" s="419" t="n">
        <f aca="false">EOMONTH(B185,0)+1</f>
        <v>41913</v>
      </c>
      <c r="C186" s="454"/>
      <c r="D186" s="454"/>
      <c r="E186" s="418" t="n">
        <v>0.6</v>
      </c>
      <c r="F186" s="454"/>
      <c r="G186" s="454"/>
      <c r="H186" s="437"/>
      <c r="I186" s="442" t="n">
        <v>36848</v>
      </c>
      <c r="J186" s="418" t="n">
        <v>174</v>
      </c>
      <c r="K186" s="442"/>
      <c r="L186" s="437"/>
      <c r="M186" s="419"/>
      <c r="N186" s="418" t="n">
        <v>0.6</v>
      </c>
      <c r="O186" s="442"/>
      <c r="P186" s="418" t="n">
        <v>0.6</v>
      </c>
      <c r="Q186" s="418"/>
      <c r="R186" s="442" t="n">
        <v>36848</v>
      </c>
      <c r="S186" s="418" t="n">
        <v>174</v>
      </c>
    </row>
    <row r="187" customFormat="false" ht="12" hidden="false" customHeight="false" outlineLevel="0" collapsed="false">
      <c r="B187" s="419" t="n">
        <f aca="false">EOMONTH(B186,0)+1</f>
        <v>41944</v>
      </c>
      <c r="C187" s="454"/>
      <c r="D187" s="454"/>
      <c r="E187" s="418" t="n">
        <v>0.8</v>
      </c>
      <c r="F187" s="454"/>
      <c r="G187" s="454"/>
      <c r="H187" s="437"/>
      <c r="I187" s="442" t="n">
        <v>36849</v>
      </c>
      <c r="J187" s="418" t="n">
        <v>175</v>
      </c>
      <c r="K187" s="442"/>
      <c r="L187" s="437"/>
      <c r="M187" s="419"/>
      <c r="N187" s="418" t="n">
        <v>0.8</v>
      </c>
      <c r="O187" s="442"/>
      <c r="P187" s="418" t="n">
        <v>0.8</v>
      </c>
      <c r="Q187" s="418"/>
      <c r="R187" s="442" t="n">
        <v>36849</v>
      </c>
      <c r="S187" s="418" t="n">
        <v>175</v>
      </c>
    </row>
    <row r="188" customFormat="false" ht="12" hidden="false" customHeight="false" outlineLevel="0" collapsed="false">
      <c r="B188" s="419" t="n">
        <f aca="false">EOMONTH(B187,0)+1</f>
        <v>41974</v>
      </c>
      <c r="C188" s="454"/>
      <c r="D188" s="454"/>
      <c r="E188" s="418" t="n">
        <v>1</v>
      </c>
      <c r="F188" s="454"/>
      <c r="G188" s="454"/>
      <c r="H188" s="437"/>
      <c r="I188" s="442" t="n">
        <v>36850</v>
      </c>
      <c r="J188" s="418" t="n">
        <v>176</v>
      </c>
      <c r="K188" s="442"/>
      <c r="L188" s="437"/>
      <c r="M188" s="419"/>
      <c r="N188" s="418" t="n">
        <v>1</v>
      </c>
      <c r="O188" s="442"/>
      <c r="P188" s="418" t="n">
        <v>1</v>
      </c>
      <c r="Q188" s="418"/>
      <c r="R188" s="442" t="n">
        <v>36850</v>
      </c>
      <c r="S188" s="418" t="n">
        <v>176</v>
      </c>
    </row>
    <row r="189" customFormat="false" ht="12" hidden="false" customHeight="false" outlineLevel="0" collapsed="false">
      <c r="B189" s="419" t="n">
        <f aca="false">EOMONTH(B188,0)+1</f>
        <v>42005</v>
      </c>
      <c r="C189" s="454"/>
      <c r="D189" s="454"/>
      <c r="E189" s="418" t="n">
        <v>1</v>
      </c>
      <c r="F189" s="454"/>
      <c r="G189" s="454"/>
      <c r="H189" s="437"/>
      <c r="I189" s="442" t="n">
        <v>36851</v>
      </c>
      <c r="J189" s="418" t="n">
        <v>177</v>
      </c>
      <c r="K189" s="442"/>
      <c r="L189" s="437"/>
      <c r="M189" s="419"/>
      <c r="N189" s="418" t="n">
        <v>1</v>
      </c>
      <c r="O189" s="442"/>
      <c r="P189" s="418" t="n">
        <v>1</v>
      </c>
      <c r="Q189" s="418"/>
      <c r="R189" s="442" t="n">
        <v>36851</v>
      </c>
      <c r="S189" s="418" t="n">
        <v>177</v>
      </c>
    </row>
    <row r="190" customFormat="false" ht="12" hidden="false" customHeight="false" outlineLevel="0" collapsed="false">
      <c r="B190" s="419" t="n">
        <f aca="false">EOMONTH(B189,0)+1</f>
        <v>42036</v>
      </c>
      <c r="C190" s="454"/>
      <c r="D190" s="454"/>
      <c r="E190" s="418" t="n">
        <v>1</v>
      </c>
      <c r="F190" s="454"/>
      <c r="G190" s="454"/>
      <c r="H190" s="437"/>
      <c r="I190" s="442" t="n">
        <v>36852</v>
      </c>
      <c r="J190" s="418" t="n">
        <v>178</v>
      </c>
      <c r="K190" s="442"/>
      <c r="L190" s="437"/>
      <c r="M190" s="419"/>
      <c r="N190" s="418" t="n">
        <v>1</v>
      </c>
      <c r="O190" s="442"/>
      <c r="P190" s="418" t="n">
        <v>1</v>
      </c>
      <c r="Q190" s="418"/>
      <c r="R190" s="442" t="n">
        <v>36852</v>
      </c>
      <c r="S190" s="418" t="n">
        <v>178</v>
      </c>
    </row>
    <row r="191" customFormat="false" ht="12" hidden="false" customHeight="false" outlineLevel="0" collapsed="false">
      <c r="B191" s="419" t="n">
        <f aca="false">EOMONTH(B190,0)+1</f>
        <v>42064</v>
      </c>
      <c r="C191" s="454"/>
      <c r="D191" s="454"/>
      <c r="E191" s="418" t="n">
        <v>0.75</v>
      </c>
      <c r="F191" s="454"/>
      <c r="G191" s="454"/>
      <c r="H191" s="437"/>
      <c r="I191" s="442" t="n">
        <v>36853</v>
      </c>
      <c r="J191" s="418" t="n">
        <v>179</v>
      </c>
      <c r="K191" s="442"/>
      <c r="L191" s="437"/>
      <c r="M191" s="419"/>
      <c r="N191" s="418" t="n">
        <v>0.75</v>
      </c>
      <c r="O191" s="442"/>
      <c r="P191" s="418" t="n">
        <v>0.75</v>
      </c>
      <c r="Q191" s="418"/>
      <c r="R191" s="442" t="n">
        <v>36853</v>
      </c>
      <c r="S191" s="418" t="n">
        <v>179</v>
      </c>
    </row>
    <row r="192" customFormat="false" ht="12" hidden="false" customHeight="false" outlineLevel="0" collapsed="false">
      <c r="B192" s="419" t="n">
        <f aca="false">EOMONTH(B191,0)+1</f>
        <v>42095</v>
      </c>
      <c r="C192" s="454"/>
      <c r="D192" s="454"/>
      <c r="E192" s="418" t="n">
        <v>0.45</v>
      </c>
      <c r="F192" s="454"/>
      <c r="G192" s="454"/>
      <c r="H192" s="437"/>
      <c r="I192" s="442" t="n">
        <v>36854</v>
      </c>
      <c r="J192" s="418" t="n">
        <v>180</v>
      </c>
      <c r="K192" s="442"/>
      <c r="L192" s="437"/>
      <c r="M192" s="419"/>
      <c r="N192" s="418" t="n">
        <v>0.45</v>
      </c>
      <c r="O192" s="442"/>
      <c r="P192" s="418" t="n">
        <v>0.45</v>
      </c>
      <c r="Q192" s="418"/>
      <c r="R192" s="442" t="n">
        <v>36854</v>
      </c>
      <c r="S192" s="418" t="n">
        <v>180</v>
      </c>
    </row>
    <row r="193" customFormat="false" ht="12" hidden="false" customHeight="false" outlineLevel="0" collapsed="false">
      <c r="B193" s="419" t="n">
        <f aca="false">EOMONTH(B192,0)+1</f>
        <v>42125</v>
      </c>
      <c r="C193" s="454"/>
      <c r="D193" s="454"/>
      <c r="E193" s="418" t="n">
        <v>0.4</v>
      </c>
      <c r="F193" s="454"/>
      <c r="G193" s="454"/>
      <c r="H193" s="437"/>
      <c r="I193" s="442" t="n">
        <v>36855</v>
      </c>
      <c r="J193" s="418" t="n">
        <v>181</v>
      </c>
      <c r="K193" s="442"/>
      <c r="L193" s="437"/>
      <c r="M193" s="419"/>
      <c r="N193" s="418" t="n">
        <v>0.4</v>
      </c>
      <c r="O193" s="442"/>
      <c r="P193" s="418" t="n">
        <v>0.4</v>
      </c>
      <c r="Q193" s="418"/>
      <c r="R193" s="442" t="n">
        <v>36855</v>
      </c>
      <c r="S193" s="418" t="n">
        <v>181</v>
      </c>
    </row>
    <row r="194" customFormat="false" ht="12" hidden="false" customHeight="false" outlineLevel="0" collapsed="false">
      <c r="B194" s="419" t="n">
        <f aca="false">EOMONTH(B193,0)+1</f>
        <v>42156</v>
      </c>
      <c r="C194" s="454"/>
      <c r="D194" s="454"/>
      <c r="E194" s="418" t="n">
        <v>0.5</v>
      </c>
      <c r="F194" s="454"/>
      <c r="G194" s="454"/>
      <c r="H194" s="437"/>
      <c r="I194" s="442" t="n">
        <v>36856</v>
      </c>
      <c r="J194" s="418" t="n">
        <v>182</v>
      </c>
      <c r="K194" s="442"/>
      <c r="L194" s="437"/>
      <c r="M194" s="419"/>
      <c r="N194" s="418" t="n">
        <v>0.5</v>
      </c>
      <c r="O194" s="442"/>
      <c r="P194" s="418" t="n">
        <v>0.5</v>
      </c>
      <c r="Q194" s="418"/>
      <c r="R194" s="442" t="n">
        <v>36856</v>
      </c>
      <c r="S194" s="418" t="n">
        <v>182</v>
      </c>
    </row>
    <row r="195" customFormat="false" ht="12" hidden="false" customHeight="false" outlineLevel="0" collapsed="false">
      <c r="B195" s="419" t="n">
        <f aca="false">EOMONTH(B194,0)+1</f>
        <v>42186</v>
      </c>
      <c r="C195" s="454"/>
      <c r="D195" s="454"/>
      <c r="E195" s="418" t="n">
        <v>0.5</v>
      </c>
      <c r="F195" s="454"/>
      <c r="G195" s="454"/>
      <c r="H195" s="437"/>
      <c r="I195" s="442" t="n">
        <v>36857</v>
      </c>
      <c r="J195" s="418" t="n">
        <v>183</v>
      </c>
      <c r="K195" s="442"/>
      <c r="L195" s="437"/>
      <c r="M195" s="419"/>
      <c r="N195" s="418" t="n">
        <v>0.5</v>
      </c>
      <c r="O195" s="442"/>
      <c r="P195" s="418" t="n">
        <v>0.5</v>
      </c>
      <c r="Q195" s="418"/>
      <c r="R195" s="442" t="n">
        <v>36857</v>
      </c>
      <c r="S195" s="418" t="n">
        <v>183</v>
      </c>
    </row>
    <row r="196" customFormat="false" ht="12" hidden="false" customHeight="false" outlineLevel="0" collapsed="false">
      <c r="B196" s="419" t="n">
        <f aca="false">EOMONTH(B195,0)+1</f>
        <v>42217</v>
      </c>
      <c r="C196" s="454"/>
      <c r="D196" s="454"/>
      <c r="E196" s="418" t="n">
        <v>0.6</v>
      </c>
      <c r="F196" s="454"/>
      <c r="G196" s="454"/>
      <c r="H196" s="437"/>
      <c r="I196" s="442" t="n">
        <v>36858</v>
      </c>
      <c r="J196" s="418" t="n">
        <v>184</v>
      </c>
      <c r="K196" s="442"/>
      <c r="L196" s="437"/>
      <c r="M196" s="419"/>
      <c r="N196" s="418" t="n">
        <v>0.6</v>
      </c>
      <c r="O196" s="442"/>
      <c r="P196" s="418" t="n">
        <v>0.6</v>
      </c>
      <c r="Q196" s="418"/>
      <c r="R196" s="442" t="n">
        <v>36858</v>
      </c>
      <c r="S196" s="418" t="n">
        <v>184</v>
      </c>
    </row>
    <row r="197" customFormat="false" ht="12" hidden="false" customHeight="false" outlineLevel="0" collapsed="false">
      <c r="B197" s="419" t="n">
        <f aca="false">EOMONTH(B196,0)+1</f>
        <v>42248</v>
      </c>
      <c r="C197" s="454"/>
      <c r="D197" s="454"/>
      <c r="E197" s="418" t="n">
        <v>0.55</v>
      </c>
      <c r="F197" s="454"/>
      <c r="G197" s="454"/>
      <c r="H197" s="437"/>
      <c r="I197" s="442" t="n">
        <v>36859</v>
      </c>
      <c r="J197" s="418" t="n">
        <v>185</v>
      </c>
      <c r="K197" s="442"/>
      <c r="L197" s="437"/>
      <c r="M197" s="419"/>
      <c r="N197" s="418" t="n">
        <v>0.55</v>
      </c>
      <c r="O197" s="442"/>
      <c r="P197" s="418" t="n">
        <v>0.55</v>
      </c>
      <c r="Q197" s="418"/>
      <c r="R197" s="442" t="n">
        <v>36859</v>
      </c>
      <c r="S197" s="418" t="n">
        <v>185</v>
      </c>
    </row>
    <row r="198" customFormat="false" ht="12" hidden="false" customHeight="false" outlineLevel="0" collapsed="false">
      <c r="B198" s="419" t="n">
        <f aca="false">EOMONTH(B197,0)+1</f>
        <v>42278</v>
      </c>
      <c r="C198" s="454"/>
      <c r="D198" s="454"/>
      <c r="E198" s="418" t="n">
        <v>0.6</v>
      </c>
      <c r="F198" s="454"/>
      <c r="G198" s="454"/>
      <c r="H198" s="437"/>
      <c r="I198" s="442" t="n">
        <v>36860</v>
      </c>
      <c r="J198" s="418" t="n">
        <v>186</v>
      </c>
      <c r="K198" s="442"/>
      <c r="L198" s="437"/>
      <c r="M198" s="419"/>
      <c r="N198" s="418" t="n">
        <v>0.6</v>
      </c>
      <c r="O198" s="442"/>
      <c r="P198" s="418" t="n">
        <v>0.6</v>
      </c>
      <c r="Q198" s="418"/>
      <c r="R198" s="442" t="n">
        <v>36860</v>
      </c>
      <c r="S198" s="418" t="n">
        <v>186</v>
      </c>
    </row>
    <row r="199" customFormat="false" ht="12" hidden="false" customHeight="false" outlineLevel="0" collapsed="false">
      <c r="B199" s="419" t="n">
        <f aca="false">EOMONTH(B198,0)+1</f>
        <v>42309</v>
      </c>
      <c r="C199" s="454"/>
      <c r="D199" s="454"/>
      <c r="E199" s="418" t="n">
        <v>0.8</v>
      </c>
      <c r="F199" s="454"/>
      <c r="G199" s="454"/>
      <c r="H199" s="437"/>
      <c r="I199" s="442" t="n">
        <v>36861</v>
      </c>
      <c r="J199" s="418" t="n">
        <v>187</v>
      </c>
      <c r="K199" s="442"/>
      <c r="L199" s="437"/>
      <c r="M199" s="419"/>
      <c r="N199" s="418" t="n">
        <v>0.8</v>
      </c>
      <c r="O199" s="442"/>
      <c r="P199" s="418" t="n">
        <v>0.8</v>
      </c>
      <c r="Q199" s="418"/>
      <c r="R199" s="442" t="n">
        <v>36861</v>
      </c>
      <c r="S199" s="418" t="n">
        <v>187</v>
      </c>
    </row>
    <row r="200" customFormat="false" ht="12" hidden="false" customHeight="false" outlineLevel="0" collapsed="false">
      <c r="B200" s="419" t="n">
        <f aca="false">EOMONTH(B199,0)+1</f>
        <v>42339</v>
      </c>
      <c r="C200" s="454"/>
      <c r="D200" s="454"/>
      <c r="E200" s="418" t="n">
        <v>1</v>
      </c>
      <c r="F200" s="454"/>
      <c r="G200" s="454"/>
      <c r="H200" s="437"/>
      <c r="I200" s="442" t="n">
        <v>36862</v>
      </c>
      <c r="J200" s="418" t="n">
        <v>188</v>
      </c>
      <c r="K200" s="442"/>
      <c r="L200" s="437"/>
      <c r="M200" s="419"/>
      <c r="N200" s="418" t="n">
        <v>1</v>
      </c>
      <c r="O200" s="442"/>
      <c r="P200" s="418" t="n">
        <v>1</v>
      </c>
      <c r="Q200" s="418"/>
      <c r="R200" s="442" t="n">
        <v>36862</v>
      </c>
      <c r="S200" s="418" t="n">
        <v>188</v>
      </c>
    </row>
    <row r="201" customFormat="false" ht="12" hidden="false" customHeight="false" outlineLevel="0" collapsed="false">
      <c r="B201" s="419" t="n">
        <f aca="false">EOMONTH(B200,0)+1</f>
        <v>42370</v>
      </c>
      <c r="C201" s="454"/>
      <c r="D201" s="454"/>
      <c r="E201" s="418" t="n">
        <v>1</v>
      </c>
      <c r="F201" s="454"/>
      <c r="G201" s="454"/>
      <c r="H201" s="437"/>
      <c r="I201" s="442" t="n">
        <v>36863</v>
      </c>
      <c r="J201" s="418" t="n">
        <v>189</v>
      </c>
      <c r="K201" s="442"/>
      <c r="L201" s="437"/>
      <c r="M201" s="419"/>
      <c r="N201" s="418" t="n">
        <v>1</v>
      </c>
      <c r="O201" s="442"/>
      <c r="P201" s="418" t="n">
        <v>1</v>
      </c>
      <c r="Q201" s="418"/>
      <c r="R201" s="442" t="n">
        <v>36863</v>
      </c>
      <c r="S201" s="418" t="n">
        <v>189</v>
      </c>
    </row>
    <row r="202" customFormat="false" ht="12" hidden="false" customHeight="false" outlineLevel="0" collapsed="false">
      <c r="B202" s="419" t="n">
        <f aca="false">EOMONTH(B201,0)+1</f>
        <v>42401</v>
      </c>
      <c r="C202" s="454"/>
      <c r="D202" s="454"/>
      <c r="E202" s="418" t="n">
        <v>1</v>
      </c>
      <c r="F202" s="454"/>
      <c r="G202" s="454"/>
      <c r="H202" s="437"/>
      <c r="I202" s="442" t="n">
        <v>36864</v>
      </c>
      <c r="J202" s="418" t="n">
        <v>190</v>
      </c>
      <c r="K202" s="442"/>
      <c r="L202" s="437"/>
      <c r="M202" s="419"/>
      <c r="N202" s="418" t="n">
        <v>1</v>
      </c>
      <c r="O202" s="442"/>
      <c r="P202" s="418" t="n">
        <v>1</v>
      </c>
      <c r="Q202" s="418"/>
      <c r="R202" s="442" t="n">
        <v>36864</v>
      </c>
      <c r="S202" s="418" t="n">
        <v>190</v>
      </c>
    </row>
    <row r="203" customFormat="false" ht="12" hidden="false" customHeight="false" outlineLevel="0" collapsed="false">
      <c r="B203" s="419" t="n">
        <f aca="false">EOMONTH(B202,0)+1</f>
        <v>42430</v>
      </c>
      <c r="C203" s="454"/>
      <c r="D203" s="454"/>
      <c r="E203" s="418" t="n">
        <v>0.75</v>
      </c>
      <c r="F203" s="454"/>
      <c r="G203" s="454"/>
      <c r="H203" s="437"/>
      <c r="I203" s="442" t="n">
        <v>36865</v>
      </c>
      <c r="J203" s="418" t="n">
        <v>191</v>
      </c>
      <c r="K203" s="442"/>
      <c r="L203" s="437"/>
      <c r="M203" s="419"/>
      <c r="N203" s="418" t="n">
        <v>0.75</v>
      </c>
      <c r="O203" s="442"/>
      <c r="P203" s="418" t="n">
        <v>0.75</v>
      </c>
      <c r="Q203" s="418"/>
      <c r="R203" s="442" t="n">
        <v>36865</v>
      </c>
      <c r="S203" s="418" t="n">
        <v>191</v>
      </c>
    </row>
    <row r="204" customFormat="false" ht="12" hidden="false" customHeight="false" outlineLevel="0" collapsed="false">
      <c r="B204" s="419" t="n">
        <f aca="false">EOMONTH(B203,0)+1</f>
        <v>42461</v>
      </c>
      <c r="C204" s="454"/>
      <c r="D204" s="454"/>
      <c r="E204" s="418" t="n">
        <v>0.45</v>
      </c>
      <c r="F204" s="454"/>
      <c r="G204" s="454"/>
      <c r="H204" s="437"/>
      <c r="I204" s="442" t="n">
        <v>36866</v>
      </c>
      <c r="J204" s="418" t="n">
        <v>192</v>
      </c>
      <c r="K204" s="442"/>
      <c r="L204" s="437"/>
      <c r="M204" s="419"/>
      <c r="N204" s="418" t="n">
        <v>0.45</v>
      </c>
      <c r="O204" s="442"/>
      <c r="P204" s="418" t="n">
        <v>0.45</v>
      </c>
      <c r="Q204" s="418"/>
      <c r="R204" s="442" t="n">
        <v>36866</v>
      </c>
      <c r="S204" s="418" t="n">
        <v>192</v>
      </c>
    </row>
    <row r="205" customFormat="false" ht="12" hidden="false" customHeight="false" outlineLevel="0" collapsed="false">
      <c r="B205" s="419" t="n">
        <f aca="false">EOMONTH(B204,0)+1</f>
        <v>42491</v>
      </c>
      <c r="C205" s="454"/>
      <c r="D205" s="454"/>
      <c r="E205" s="418" t="n">
        <v>0.4</v>
      </c>
      <c r="F205" s="454"/>
      <c r="G205" s="454"/>
      <c r="H205" s="437"/>
      <c r="I205" s="442" t="n">
        <v>36867</v>
      </c>
      <c r="J205" s="418" t="n">
        <v>193</v>
      </c>
      <c r="K205" s="442"/>
      <c r="L205" s="437"/>
      <c r="M205" s="419"/>
      <c r="N205" s="418" t="n">
        <v>0.4</v>
      </c>
      <c r="O205" s="442"/>
      <c r="P205" s="418" t="n">
        <v>0.4</v>
      </c>
      <c r="Q205" s="418"/>
      <c r="R205" s="442" t="n">
        <v>36867</v>
      </c>
      <c r="S205" s="418" t="n">
        <v>193</v>
      </c>
    </row>
    <row r="206" customFormat="false" ht="12" hidden="false" customHeight="false" outlineLevel="0" collapsed="false">
      <c r="B206" s="419" t="n">
        <f aca="false">EOMONTH(B205,0)+1</f>
        <v>42522</v>
      </c>
      <c r="C206" s="454"/>
      <c r="D206" s="454"/>
      <c r="E206" s="418" t="n">
        <v>0.5</v>
      </c>
      <c r="F206" s="454"/>
      <c r="G206" s="454"/>
      <c r="H206" s="437"/>
      <c r="I206" s="442" t="n">
        <v>36868</v>
      </c>
      <c r="J206" s="418" t="n">
        <v>194</v>
      </c>
      <c r="K206" s="442"/>
      <c r="L206" s="437"/>
      <c r="M206" s="419"/>
      <c r="N206" s="418" t="n">
        <v>0.5</v>
      </c>
      <c r="O206" s="442"/>
      <c r="P206" s="418" t="n">
        <v>0.5</v>
      </c>
      <c r="Q206" s="418"/>
      <c r="R206" s="442" t="n">
        <v>36868</v>
      </c>
      <c r="S206" s="418" t="n">
        <v>194</v>
      </c>
    </row>
    <row r="207" customFormat="false" ht="12" hidden="false" customHeight="false" outlineLevel="0" collapsed="false">
      <c r="B207" s="419" t="n">
        <f aca="false">EOMONTH(B206,0)+1</f>
        <v>42552</v>
      </c>
      <c r="C207" s="454"/>
      <c r="D207" s="454"/>
      <c r="E207" s="418" t="n">
        <v>0.5</v>
      </c>
      <c r="F207" s="454"/>
      <c r="G207" s="454"/>
      <c r="H207" s="437"/>
      <c r="I207" s="442" t="n">
        <v>36869</v>
      </c>
      <c r="J207" s="418" t="n">
        <v>195</v>
      </c>
      <c r="K207" s="442"/>
      <c r="L207" s="437"/>
      <c r="M207" s="419"/>
      <c r="N207" s="418" t="n">
        <v>0.5</v>
      </c>
      <c r="O207" s="442"/>
      <c r="P207" s="418" t="n">
        <v>0.5</v>
      </c>
      <c r="Q207" s="418"/>
      <c r="R207" s="442" t="n">
        <v>36869</v>
      </c>
      <c r="S207" s="418" t="n">
        <v>195</v>
      </c>
    </row>
    <row r="208" customFormat="false" ht="12" hidden="false" customHeight="false" outlineLevel="0" collapsed="false">
      <c r="B208" s="419" t="n">
        <f aca="false">EOMONTH(B207,0)+1</f>
        <v>42583</v>
      </c>
      <c r="C208" s="454"/>
      <c r="D208" s="454"/>
      <c r="E208" s="418" t="n">
        <v>0.6</v>
      </c>
      <c r="F208" s="454"/>
      <c r="G208" s="454"/>
      <c r="H208" s="437"/>
      <c r="I208" s="442" t="n">
        <v>36870</v>
      </c>
      <c r="J208" s="418" t="n">
        <v>196</v>
      </c>
      <c r="K208" s="442"/>
      <c r="L208" s="437"/>
      <c r="M208" s="419"/>
      <c r="N208" s="418" t="n">
        <v>0.6</v>
      </c>
      <c r="O208" s="442"/>
      <c r="P208" s="418" t="n">
        <v>0.6</v>
      </c>
      <c r="Q208" s="418"/>
      <c r="R208" s="442" t="n">
        <v>36870</v>
      </c>
      <c r="S208" s="418" t="n">
        <v>196</v>
      </c>
    </row>
    <row r="209" customFormat="false" ht="12" hidden="false" customHeight="false" outlineLevel="0" collapsed="false">
      <c r="B209" s="419" t="n">
        <f aca="false">EOMONTH(B208,0)+1</f>
        <v>42614</v>
      </c>
      <c r="C209" s="454"/>
      <c r="D209" s="454"/>
      <c r="E209" s="418" t="n">
        <v>0.55</v>
      </c>
      <c r="F209" s="454"/>
      <c r="G209" s="454"/>
      <c r="H209" s="437"/>
      <c r="I209" s="442" t="n">
        <v>36871</v>
      </c>
      <c r="J209" s="418" t="n">
        <v>197</v>
      </c>
      <c r="K209" s="442"/>
      <c r="L209" s="437"/>
      <c r="M209" s="419"/>
      <c r="N209" s="418" t="n">
        <v>0.55</v>
      </c>
      <c r="O209" s="442"/>
      <c r="P209" s="418" t="n">
        <v>0.55</v>
      </c>
      <c r="Q209" s="418"/>
      <c r="R209" s="442" t="n">
        <v>36871</v>
      </c>
      <c r="S209" s="418" t="n">
        <v>197</v>
      </c>
    </row>
    <row r="210" customFormat="false" ht="12" hidden="false" customHeight="false" outlineLevel="0" collapsed="false">
      <c r="B210" s="419" t="n">
        <f aca="false">EOMONTH(B209,0)+1</f>
        <v>42644</v>
      </c>
      <c r="C210" s="454"/>
      <c r="D210" s="454"/>
      <c r="E210" s="418" t="n">
        <v>0.6</v>
      </c>
      <c r="F210" s="454"/>
      <c r="G210" s="454"/>
      <c r="H210" s="437"/>
      <c r="I210" s="442" t="n">
        <v>36872</v>
      </c>
      <c r="J210" s="418" t="n">
        <v>198</v>
      </c>
      <c r="K210" s="442"/>
      <c r="L210" s="437"/>
      <c r="M210" s="419"/>
      <c r="N210" s="418" t="n">
        <v>0.6</v>
      </c>
      <c r="O210" s="442"/>
      <c r="P210" s="418" t="n">
        <v>0.6</v>
      </c>
      <c r="Q210" s="418"/>
      <c r="R210" s="442" t="n">
        <v>36872</v>
      </c>
      <c r="S210" s="418" t="n">
        <v>198</v>
      </c>
    </row>
    <row r="211" customFormat="false" ht="12" hidden="false" customHeight="false" outlineLevel="0" collapsed="false">
      <c r="B211" s="419" t="n">
        <f aca="false">EOMONTH(B210,0)+1</f>
        <v>42675</v>
      </c>
      <c r="C211" s="454"/>
      <c r="D211" s="454"/>
      <c r="E211" s="418" t="n">
        <v>0.8</v>
      </c>
      <c r="F211" s="454"/>
      <c r="G211" s="454"/>
      <c r="H211" s="437"/>
      <c r="I211" s="442" t="n">
        <v>36873</v>
      </c>
      <c r="J211" s="418" t="n">
        <v>199</v>
      </c>
      <c r="K211" s="442"/>
      <c r="L211" s="437"/>
      <c r="M211" s="419"/>
      <c r="N211" s="418" t="n">
        <v>0.8</v>
      </c>
      <c r="O211" s="442"/>
      <c r="P211" s="418" t="n">
        <v>0.8</v>
      </c>
      <c r="Q211" s="418"/>
      <c r="R211" s="442" t="n">
        <v>36873</v>
      </c>
      <c r="S211" s="418" t="n">
        <v>199</v>
      </c>
    </row>
    <row r="212" customFormat="false" ht="12" hidden="false" customHeight="false" outlineLevel="0" collapsed="false">
      <c r="B212" s="419" t="n">
        <f aca="false">EOMONTH(B211,0)+1</f>
        <v>42705</v>
      </c>
      <c r="C212" s="454"/>
      <c r="D212" s="454"/>
      <c r="E212" s="418" t="n">
        <v>1</v>
      </c>
      <c r="F212" s="454"/>
      <c r="G212" s="454"/>
      <c r="H212" s="437"/>
      <c r="I212" s="442" t="n">
        <v>36874</v>
      </c>
      <c r="J212" s="418" t="n">
        <v>200</v>
      </c>
      <c r="K212" s="442"/>
      <c r="L212" s="437"/>
      <c r="M212" s="419"/>
      <c r="N212" s="418" t="n">
        <v>1</v>
      </c>
      <c r="O212" s="442"/>
      <c r="P212" s="418" t="n">
        <v>1</v>
      </c>
      <c r="Q212" s="418"/>
      <c r="R212" s="442" t="n">
        <v>36874</v>
      </c>
      <c r="S212" s="418" t="n">
        <v>200</v>
      </c>
    </row>
    <row r="213" customFormat="false" ht="12" hidden="false" customHeight="false" outlineLevel="0" collapsed="false">
      <c r="B213" s="419" t="n">
        <f aca="false">EOMONTH(B212,0)+1</f>
        <v>42736</v>
      </c>
      <c r="C213" s="454"/>
      <c r="D213" s="454"/>
      <c r="E213" s="418" t="n">
        <v>1</v>
      </c>
      <c r="F213" s="454"/>
      <c r="G213" s="454"/>
      <c r="H213" s="437"/>
      <c r="I213" s="442" t="n">
        <v>36875</v>
      </c>
      <c r="J213" s="418" t="n">
        <v>201</v>
      </c>
      <c r="K213" s="442"/>
      <c r="L213" s="437"/>
      <c r="M213" s="419"/>
      <c r="N213" s="418" t="n">
        <v>1</v>
      </c>
      <c r="O213" s="442"/>
      <c r="P213" s="418" t="n">
        <v>1</v>
      </c>
      <c r="Q213" s="418"/>
      <c r="R213" s="442" t="n">
        <v>36875</v>
      </c>
      <c r="S213" s="418" t="n">
        <v>201</v>
      </c>
    </row>
    <row r="214" customFormat="false" ht="12" hidden="false" customHeight="false" outlineLevel="0" collapsed="false">
      <c r="B214" s="419" t="n">
        <f aca="false">EOMONTH(B213,0)+1</f>
        <v>42767</v>
      </c>
      <c r="C214" s="454"/>
      <c r="D214" s="454"/>
      <c r="E214" s="418" t="n">
        <v>1</v>
      </c>
      <c r="F214" s="454"/>
      <c r="G214" s="454"/>
      <c r="H214" s="437"/>
      <c r="I214" s="442" t="n">
        <v>36876</v>
      </c>
      <c r="J214" s="418" t="n">
        <v>202</v>
      </c>
      <c r="K214" s="442"/>
      <c r="L214" s="437"/>
      <c r="M214" s="419"/>
      <c r="N214" s="418" t="n">
        <v>1</v>
      </c>
      <c r="O214" s="442"/>
      <c r="P214" s="418" t="n">
        <v>1</v>
      </c>
      <c r="Q214" s="418"/>
      <c r="R214" s="442" t="n">
        <v>36876</v>
      </c>
      <c r="S214" s="418" t="n">
        <v>202</v>
      </c>
    </row>
    <row r="215" customFormat="false" ht="12" hidden="false" customHeight="false" outlineLevel="0" collapsed="false">
      <c r="B215" s="419" t="n">
        <f aca="false">EOMONTH(B214,0)+1</f>
        <v>42795</v>
      </c>
      <c r="C215" s="454"/>
      <c r="D215" s="454"/>
      <c r="E215" s="418" t="n">
        <v>0.75</v>
      </c>
      <c r="F215" s="454"/>
      <c r="G215" s="454"/>
      <c r="H215" s="437"/>
      <c r="I215" s="442" t="n">
        <v>36877</v>
      </c>
      <c r="J215" s="418" t="n">
        <v>203</v>
      </c>
      <c r="K215" s="442"/>
      <c r="L215" s="437"/>
      <c r="M215" s="419"/>
      <c r="N215" s="418" t="n">
        <v>0.75</v>
      </c>
      <c r="O215" s="442"/>
      <c r="P215" s="418" t="n">
        <v>0.75</v>
      </c>
      <c r="Q215" s="418"/>
      <c r="R215" s="442" t="n">
        <v>36877</v>
      </c>
      <c r="S215" s="418" t="n">
        <v>203</v>
      </c>
    </row>
    <row r="216" customFormat="false" ht="12" hidden="false" customHeight="false" outlineLevel="0" collapsed="false">
      <c r="B216" s="419" t="n">
        <f aca="false">EOMONTH(B215,0)+1</f>
        <v>42826</v>
      </c>
      <c r="C216" s="454"/>
      <c r="D216" s="454"/>
      <c r="E216" s="418" t="n">
        <v>0.45</v>
      </c>
      <c r="F216" s="454"/>
      <c r="G216" s="454"/>
      <c r="H216" s="437"/>
      <c r="I216" s="442" t="n">
        <v>36878</v>
      </c>
      <c r="J216" s="418" t="n">
        <v>204</v>
      </c>
      <c r="K216" s="442"/>
      <c r="L216" s="437"/>
      <c r="M216" s="419"/>
      <c r="N216" s="418" t="n">
        <v>0.45</v>
      </c>
      <c r="O216" s="442"/>
      <c r="P216" s="418" t="n">
        <v>0.45</v>
      </c>
      <c r="Q216" s="418"/>
      <c r="R216" s="442" t="n">
        <v>36878</v>
      </c>
      <c r="S216" s="418" t="n">
        <v>204</v>
      </c>
    </row>
    <row r="217" customFormat="false" ht="12" hidden="false" customHeight="false" outlineLevel="0" collapsed="false">
      <c r="B217" s="419" t="n">
        <f aca="false">EOMONTH(B216,0)+1</f>
        <v>42856</v>
      </c>
      <c r="C217" s="454"/>
      <c r="D217" s="454"/>
      <c r="E217" s="418" t="n">
        <v>0.4</v>
      </c>
      <c r="F217" s="454"/>
      <c r="G217" s="454"/>
      <c r="H217" s="437"/>
      <c r="I217" s="442" t="n">
        <v>36879</v>
      </c>
      <c r="J217" s="418" t="n">
        <v>205</v>
      </c>
      <c r="K217" s="442"/>
      <c r="L217" s="437"/>
      <c r="M217" s="419"/>
      <c r="N217" s="418" t="n">
        <v>0.4</v>
      </c>
      <c r="O217" s="442"/>
      <c r="P217" s="418" t="n">
        <v>0.4</v>
      </c>
      <c r="Q217" s="418"/>
      <c r="R217" s="442" t="n">
        <v>36879</v>
      </c>
      <c r="S217" s="418" t="n">
        <v>205</v>
      </c>
    </row>
    <row r="218" customFormat="false" ht="12" hidden="false" customHeight="false" outlineLevel="0" collapsed="false">
      <c r="B218" s="419" t="n">
        <f aca="false">EOMONTH(B217,0)+1</f>
        <v>42887</v>
      </c>
      <c r="C218" s="454"/>
      <c r="D218" s="454"/>
      <c r="E218" s="418" t="n">
        <v>0.5</v>
      </c>
      <c r="F218" s="454"/>
      <c r="G218" s="454"/>
      <c r="H218" s="437"/>
      <c r="I218" s="442" t="n">
        <v>36880</v>
      </c>
      <c r="J218" s="418" t="n">
        <v>206</v>
      </c>
      <c r="K218" s="442"/>
      <c r="L218" s="437"/>
      <c r="M218" s="419"/>
      <c r="N218" s="418" t="n">
        <v>0.5</v>
      </c>
      <c r="O218" s="442"/>
      <c r="P218" s="418" t="n">
        <v>0.5</v>
      </c>
      <c r="Q218" s="418"/>
      <c r="R218" s="442" t="n">
        <v>36880</v>
      </c>
      <c r="S218" s="418" t="n">
        <v>206</v>
      </c>
    </row>
    <row r="219" customFormat="false" ht="12" hidden="false" customHeight="false" outlineLevel="0" collapsed="false">
      <c r="B219" s="419" t="n">
        <f aca="false">EOMONTH(B218,0)+1</f>
        <v>42917</v>
      </c>
      <c r="C219" s="454"/>
      <c r="D219" s="454"/>
      <c r="E219" s="418" t="n">
        <v>0.5</v>
      </c>
      <c r="F219" s="454"/>
      <c r="G219" s="454"/>
      <c r="H219" s="437"/>
      <c r="I219" s="442" t="n">
        <v>36881</v>
      </c>
      <c r="J219" s="418" t="n">
        <v>207</v>
      </c>
      <c r="K219" s="442"/>
      <c r="L219" s="437"/>
      <c r="M219" s="419"/>
      <c r="N219" s="418" t="n">
        <v>0.5</v>
      </c>
      <c r="O219" s="442"/>
      <c r="P219" s="418" t="n">
        <v>0.5</v>
      </c>
      <c r="Q219" s="418"/>
      <c r="R219" s="442" t="n">
        <v>36881</v>
      </c>
      <c r="S219" s="418" t="n">
        <v>207</v>
      </c>
    </row>
    <row r="220" customFormat="false" ht="12" hidden="false" customHeight="false" outlineLevel="0" collapsed="false">
      <c r="B220" s="419" t="n">
        <f aca="false">EOMONTH(B219,0)+1</f>
        <v>42948</v>
      </c>
      <c r="C220" s="454"/>
      <c r="D220" s="454"/>
      <c r="E220" s="418" t="n">
        <v>0.6</v>
      </c>
      <c r="F220" s="454"/>
      <c r="G220" s="454"/>
      <c r="H220" s="437"/>
      <c r="I220" s="442" t="n">
        <v>36882</v>
      </c>
      <c r="J220" s="418" t="n">
        <v>208</v>
      </c>
      <c r="K220" s="442"/>
      <c r="L220" s="437"/>
      <c r="M220" s="419"/>
      <c r="N220" s="418" t="n">
        <v>0.6</v>
      </c>
      <c r="O220" s="442"/>
      <c r="P220" s="418" t="n">
        <v>0.6</v>
      </c>
      <c r="Q220" s="418"/>
      <c r="R220" s="442" t="n">
        <v>36882</v>
      </c>
      <c r="S220" s="418" t="n">
        <v>208</v>
      </c>
    </row>
    <row r="221" customFormat="false" ht="12" hidden="false" customHeight="false" outlineLevel="0" collapsed="false">
      <c r="B221" s="419" t="n">
        <f aca="false">EOMONTH(B220,0)+1</f>
        <v>42979</v>
      </c>
      <c r="C221" s="454"/>
      <c r="D221" s="454"/>
      <c r="E221" s="418" t="n">
        <v>0.55</v>
      </c>
      <c r="F221" s="454"/>
      <c r="G221" s="454"/>
      <c r="H221" s="437"/>
      <c r="I221" s="442" t="n">
        <v>36883</v>
      </c>
      <c r="J221" s="418" t="n">
        <v>209</v>
      </c>
      <c r="K221" s="442"/>
      <c r="L221" s="437"/>
      <c r="M221" s="419"/>
      <c r="N221" s="418" t="n">
        <v>0.55</v>
      </c>
      <c r="O221" s="442"/>
      <c r="P221" s="418" t="n">
        <v>0.55</v>
      </c>
      <c r="Q221" s="418"/>
      <c r="R221" s="442" t="n">
        <v>36883</v>
      </c>
      <c r="S221" s="418" t="n">
        <v>209</v>
      </c>
    </row>
    <row r="222" customFormat="false" ht="12" hidden="false" customHeight="false" outlineLevel="0" collapsed="false">
      <c r="B222" s="419" t="n">
        <f aca="false">EOMONTH(B221,0)+1</f>
        <v>43009</v>
      </c>
      <c r="C222" s="454"/>
      <c r="D222" s="454"/>
      <c r="E222" s="418" t="n">
        <v>0.6</v>
      </c>
      <c r="F222" s="454"/>
      <c r="G222" s="454"/>
      <c r="H222" s="437"/>
      <c r="I222" s="442" t="n">
        <v>36884</v>
      </c>
      <c r="J222" s="418" t="n">
        <v>210</v>
      </c>
      <c r="K222" s="442"/>
      <c r="L222" s="437"/>
      <c r="M222" s="419"/>
      <c r="N222" s="418" t="n">
        <v>0.6</v>
      </c>
      <c r="O222" s="442"/>
      <c r="P222" s="418" t="n">
        <v>0.6</v>
      </c>
      <c r="Q222" s="418"/>
      <c r="R222" s="442" t="n">
        <v>36884</v>
      </c>
      <c r="S222" s="418" t="n">
        <v>210</v>
      </c>
    </row>
    <row r="223" customFormat="false" ht="12" hidden="false" customHeight="false" outlineLevel="0" collapsed="false">
      <c r="B223" s="419" t="n">
        <f aca="false">EOMONTH(B222,0)+1</f>
        <v>43040</v>
      </c>
      <c r="C223" s="454"/>
      <c r="D223" s="454"/>
      <c r="E223" s="418" t="n">
        <v>0.8</v>
      </c>
      <c r="F223" s="454"/>
      <c r="G223" s="454"/>
      <c r="H223" s="437"/>
      <c r="I223" s="442" t="n">
        <v>36885</v>
      </c>
      <c r="J223" s="418" t="n">
        <v>211</v>
      </c>
      <c r="K223" s="442"/>
      <c r="L223" s="437"/>
      <c r="M223" s="419"/>
      <c r="N223" s="418" t="n">
        <v>0.8</v>
      </c>
      <c r="O223" s="442"/>
      <c r="P223" s="418" t="n">
        <v>0.8</v>
      </c>
      <c r="Q223" s="418"/>
      <c r="R223" s="442" t="n">
        <v>36885</v>
      </c>
      <c r="S223" s="418" t="n">
        <v>211</v>
      </c>
    </row>
    <row r="224" customFormat="false" ht="12" hidden="false" customHeight="false" outlineLevel="0" collapsed="false">
      <c r="B224" s="419" t="n">
        <f aca="false">EOMONTH(B223,0)+1</f>
        <v>43070</v>
      </c>
      <c r="C224" s="454"/>
      <c r="D224" s="454"/>
      <c r="E224" s="418" t="n">
        <v>1</v>
      </c>
      <c r="F224" s="454"/>
      <c r="G224" s="454"/>
      <c r="H224" s="437"/>
      <c r="I224" s="442" t="n">
        <v>36886</v>
      </c>
      <c r="J224" s="418" t="n">
        <v>212</v>
      </c>
      <c r="K224" s="442"/>
      <c r="L224" s="437"/>
      <c r="M224" s="419"/>
      <c r="N224" s="418" t="n">
        <v>1</v>
      </c>
      <c r="O224" s="442"/>
      <c r="P224" s="418" t="n">
        <v>1</v>
      </c>
      <c r="Q224" s="418"/>
      <c r="R224" s="442" t="n">
        <v>36886</v>
      </c>
      <c r="S224" s="418" t="n">
        <v>212</v>
      </c>
    </row>
    <row r="225" customFormat="false" ht="12" hidden="false" customHeight="false" outlineLevel="0" collapsed="false">
      <c r="B225" s="419" t="n">
        <f aca="false">EOMONTH(B224,0)+1</f>
        <v>43101</v>
      </c>
      <c r="C225" s="454"/>
      <c r="D225" s="454"/>
      <c r="E225" s="418" t="n">
        <v>1</v>
      </c>
      <c r="F225" s="454"/>
      <c r="G225" s="454"/>
      <c r="H225" s="437"/>
      <c r="I225" s="442" t="n">
        <v>36887</v>
      </c>
      <c r="J225" s="418" t="n">
        <v>213</v>
      </c>
      <c r="K225" s="442"/>
      <c r="L225" s="437"/>
      <c r="M225" s="419"/>
      <c r="N225" s="418" t="n">
        <v>1</v>
      </c>
      <c r="O225" s="442"/>
      <c r="P225" s="418" t="n">
        <v>1</v>
      </c>
      <c r="Q225" s="418"/>
      <c r="R225" s="442" t="n">
        <v>36887</v>
      </c>
      <c r="S225" s="418" t="n">
        <v>213</v>
      </c>
    </row>
    <row r="226" customFormat="false" ht="12" hidden="false" customHeight="false" outlineLevel="0" collapsed="false">
      <c r="B226" s="419" t="n">
        <f aca="false">EOMONTH(B225,0)+1</f>
        <v>43132</v>
      </c>
      <c r="C226" s="454"/>
      <c r="D226" s="454"/>
      <c r="E226" s="418" t="n">
        <v>1</v>
      </c>
      <c r="F226" s="454"/>
      <c r="G226" s="454"/>
      <c r="H226" s="437"/>
      <c r="I226" s="442" t="n">
        <v>36888</v>
      </c>
      <c r="J226" s="418" t="n">
        <v>214</v>
      </c>
      <c r="K226" s="442"/>
      <c r="L226" s="437"/>
      <c r="M226" s="419"/>
      <c r="N226" s="418" t="n">
        <v>1</v>
      </c>
      <c r="O226" s="442"/>
      <c r="P226" s="418" t="n">
        <v>1</v>
      </c>
      <c r="Q226" s="418"/>
      <c r="R226" s="442" t="n">
        <v>36888</v>
      </c>
      <c r="S226" s="418" t="n">
        <v>214</v>
      </c>
    </row>
    <row r="227" customFormat="false" ht="12" hidden="false" customHeight="false" outlineLevel="0" collapsed="false">
      <c r="B227" s="419" t="n">
        <f aca="false">EOMONTH(B226,0)+1</f>
        <v>43160</v>
      </c>
      <c r="C227" s="454"/>
      <c r="D227" s="454"/>
      <c r="E227" s="418" t="n">
        <v>0.75</v>
      </c>
      <c r="F227" s="454"/>
      <c r="G227" s="454"/>
      <c r="H227" s="437"/>
      <c r="I227" s="442" t="n">
        <v>36889</v>
      </c>
      <c r="J227" s="418" t="n">
        <v>215</v>
      </c>
      <c r="K227" s="442"/>
      <c r="L227" s="437"/>
      <c r="M227" s="419"/>
      <c r="N227" s="418" t="n">
        <v>0.75</v>
      </c>
      <c r="O227" s="442"/>
      <c r="P227" s="418" t="n">
        <v>0.75</v>
      </c>
      <c r="Q227" s="418"/>
      <c r="R227" s="442" t="n">
        <v>36889</v>
      </c>
      <c r="S227" s="418" t="n">
        <v>215</v>
      </c>
    </row>
    <row r="228" customFormat="false" ht="12" hidden="false" customHeight="false" outlineLevel="0" collapsed="false">
      <c r="B228" s="419" t="n">
        <f aca="false">EOMONTH(B227,0)+1</f>
        <v>43191</v>
      </c>
      <c r="C228" s="454"/>
      <c r="D228" s="454"/>
      <c r="E228" s="418" t="n">
        <v>0.45</v>
      </c>
      <c r="F228" s="454"/>
      <c r="G228" s="454"/>
      <c r="H228" s="437"/>
      <c r="I228" s="442" t="n">
        <v>36890</v>
      </c>
      <c r="J228" s="418" t="n">
        <v>216</v>
      </c>
      <c r="K228" s="442"/>
      <c r="L228" s="437"/>
      <c r="M228" s="419"/>
      <c r="N228" s="418" t="n">
        <v>0.45</v>
      </c>
      <c r="O228" s="442"/>
      <c r="P228" s="418" t="n">
        <v>0.45</v>
      </c>
      <c r="Q228" s="418"/>
      <c r="R228" s="442" t="n">
        <v>36890</v>
      </c>
      <c r="S228" s="418" t="n">
        <v>216</v>
      </c>
    </row>
    <row r="229" customFormat="false" ht="12" hidden="false" customHeight="false" outlineLevel="0" collapsed="false">
      <c r="B229" s="419" t="n">
        <f aca="false">EOMONTH(B228,0)+1</f>
        <v>43221</v>
      </c>
      <c r="C229" s="454"/>
      <c r="D229" s="454"/>
      <c r="E229" s="418" t="n">
        <v>0.4</v>
      </c>
      <c r="F229" s="454"/>
      <c r="G229" s="454"/>
      <c r="H229" s="437"/>
      <c r="I229" s="442" t="n">
        <v>36891</v>
      </c>
      <c r="J229" s="418" t="n">
        <v>217</v>
      </c>
      <c r="K229" s="442"/>
      <c r="L229" s="437"/>
      <c r="M229" s="419"/>
      <c r="N229" s="418" t="n">
        <v>0.4</v>
      </c>
      <c r="O229" s="442"/>
      <c r="P229" s="418" t="n">
        <v>0.4</v>
      </c>
      <c r="Q229" s="418"/>
      <c r="R229" s="442" t="n">
        <v>36891</v>
      </c>
      <c r="S229" s="418" t="n">
        <v>217</v>
      </c>
    </row>
    <row r="230" customFormat="false" ht="12" hidden="false" customHeight="false" outlineLevel="0" collapsed="false">
      <c r="B230" s="419" t="n">
        <f aca="false">EOMONTH(B229,0)+1</f>
        <v>43252</v>
      </c>
      <c r="C230" s="454"/>
      <c r="D230" s="454"/>
      <c r="E230" s="418" t="n">
        <v>0.5</v>
      </c>
      <c r="F230" s="454"/>
      <c r="G230" s="454"/>
      <c r="H230" s="437"/>
      <c r="I230" s="442" t="n">
        <v>36892</v>
      </c>
      <c r="J230" s="418" t="n">
        <v>218</v>
      </c>
      <c r="K230" s="442"/>
      <c r="L230" s="437"/>
      <c r="M230" s="419"/>
      <c r="N230" s="418" t="n">
        <v>0.5</v>
      </c>
      <c r="O230" s="442"/>
      <c r="P230" s="418" t="n">
        <v>0.5</v>
      </c>
      <c r="Q230" s="418"/>
      <c r="R230" s="442" t="n">
        <v>36892</v>
      </c>
      <c r="S230" s="418" t="n">
        <v>218</v>
      </c>
    </row>
    <row r="231" customFormat="false" ht="12" hidden="false" customHeight="false" outlineLevel="0" collapsed="false">
      <c r="B231" s="419" t="n">
        <f aca="false">EOMONTH(B230,0)+1</f>
        <v>43282</v>
      </c>
      <c r="C231" s="454"/>
      <c r="D231" s="454"/>
      <c r="E231" s="418" t="n">
        <v>0.5</v>
      </c>
      <c r="F231" s="454"/>
      <c r="G231" s="454"/>
      <c r="H231" s="437"/>
      <c r="I231" s="442" t="n">
        <v>36893</v>
      </c>
      <c r="J231" s="418" t="n">
        <v>219</v>
      </c>
      <c r="K231" s="442"/>
      <c r="L231" s="437"/>
      <c r="M231" s="419"/>
      <c r="N231" s="418" t="n">
        <v>0.5</v>
      </c>
      <c r="O231" s="442"/>
      <c r="P231" s="418" t="n">
        <v>0.5</v>
      </c>
      <c r="Q231" s="418"/>
      <c r="R231" s="442" t="n">
        <v>36893</v>
      </c>
      <c r="S231" s="418" t="n">
        <v>219</v>
      </c>
    </row>
    <row r="232" customFormat="false" ht="12" hidden="false" customHeight="false" outlineLevel="0" collapsed="false">
      <c r="B232" s="419" t="n">
        <f aca="false">EOMONTH(B231,0)+1</f>
        <v>43313</v>
      </c>
      <c r="C232" s="454"/>
      <c r="D232" s="454"/>
      <c r="E232" s="418" t="n">
        <v>0.6</v>
      </c>
      <c r="F232" s="454"/>
      <c r="G232" s="454"/>
      <c r="H232" s="437"/>
      <c r="I232" s="442" t="n">
        <v>36894</v>
      </c>
      <c r="J232" s="418" t="n">
        <v>220</v>
      </c>
      <c r="K232" s="442"/>
      <c r="L232" s="437"/>
      <c r="M232" s="419"/>
      <c r="N232" s="418" t="n">
        <v>0.6</v>
      </c>
      <c r="O232" s="442"/>
      <c r="P232" s="418" t="n">
        <v>0.6</v>
      </c>
      <c r="Q232" s="418"/>
      <c r="R232" s="442" t="n">
        <v>36894</v>
      </c>
      <c r="S232" s="418" t="n">
        <v>220</v>
      </c>
    </row>
    <row r="233" customFormat="false" ht="12" hidden="false" customHeight="false" outlineLevel="0" collapsed="false">
      <c r="B233" s="419" t="n">
        <f aca="false">EOMONTH(B232,0)+1</f>
        <v>43344</v>
      </c>
      <c r="C233" s="454"/>
      <c r="D233" s="454"/>
      <c r="E233" s="418" t="n">
        <v>0.55</v>
      </c>
      <c r="F233" s="454"/>
      <c r="G233" s="454"/>
      <c r="H233" s="437"/>
      <c r="I233" s="442" t="n">
        <v>36895</v>
      </c>
      <c r="J233" s="418" t="n">
        <v>221</v>
      </c>
      <c r="K233" s="442"/>
      <c r="L233" s="437"/>
      <c r="M233" s="419"/>
      <c r="N233" s="418" t="n">
        <v>0.55</v>
      </c>
      <c r="O233" s="442"/>
      <c r="P233" s="418" t="n">
        <v>0.55</v>
      </c>
      <c r="Q233" s="418"/>
      <c r="R233" s="442" t="n">
        <v>36895</v>
      </c>
      <c r="S233" s="418" t="n">
        <v>221</v>
      </c>
    </row>
    <row r="234" customFormat="false" ht="12" hidden="false" customHeight="false" outlineLevel="0" collapsed="false">
      <c r="B234" s="419" t="n">
        <f aca="false">EOMONTH(B233,0)+1</f>
        <v>43374</v>
      </c>
      <c r="C234" s="454"/>
      <c r="D234" s="454"/>
      <c r="E234" s="418" t="n">
        <v>0.6</v>
      </c>
      <c r="F234" s="454"/>
      <c r="G234" s="454"/>
      <c r="H234" s="437"/>
      <c r="I234" s="442" t="n">
        <v>36896</v>
      </c>
      <c r="J234" s="418" t="n">
        <v>222</v>
      </c>
      <c r="K234" s="442"/>
      <c r="L234" s="437"/>
      <c r="M234" s="419"/>
      <c r="N234" s="418" t="n">
        <v>0.6</v>
      </c>
      <c r="O234" s="442"/>
      <c r="P234" s="418" t="n">
        <v>0.6</v>
      </c>
      <c r="Q234" s="418"/>
      <c r="R234" s="442" t="n">
        <v>36896</v>
      </c>
      <c r="S234" s="418" t="n">
        <v>222</v>
      </c>
    </row>
    <row r="235" customFormat="false" ht="12" hidden="false" customHeight="false" outlineLevel="0" collapsed="false">
      <c r="B235" s="419" t="n">
        <f aca="false">EOMONTH(B234,0)+1</f>
        <v>43405</v>
      </c>
      <c r="C235" s="454"/>
      <c r="D235" s="454"/>
      <c r="E235" s="418" t="n">
        <v>0.8</v>
      </c>
      <c r="F235" s="454"/>
      <c r="G235" s="454"/>
      <c r="H235" s="437"/>
      <c r="I235" s="442" t="n">
        <v>36897</v>
      </c>
      <c r="J235" s="418" t="n">
        <v>223</v>
      </c>
      <c r="K235" s="442"/>
      <c r="L235" s="418"/>
      <c r="M235" s="419"/>
      <c r="N235" s="418" t="n">
        <v>0.8</v>
      </c>
      <c r="O235" s="442"/>
      <c r="P235" s="418" t="n">
        <v>0.8</v>
      </c>
      <c r="Q235" s="418"/>
      <c r="R235" s="442" t="n">
        <v>36897</v>
      </c>
      <c r="S235" s="418" t="n">
        <v>223</v>
      </c>
    </row>
    <row r="236" customFormat="false" ht="12" hidden="false" customHeight="false" outlineLevel="0" collapsed="false">
      <c r="B236" s="419" t="n">
        <f aca="false">EOMONTH(B235,0)+1</f>
        <v>43435</v>
      </c>
      <c r="C236" s="454"/>
      <c r="D236" s="454"/>
      <c r="E236" s="418" t="n">
        <v>1</v>
      </c>
      <c r="F236" s="454"/>
      <c r="G236" s="454"/>
      <c r="H236" s="418"/>
      <c r="I236" s="442" t="n">
        <v>36898</v>
      </c>
      <c r="J236" s="418" t="n">
        <v>223</v>
      </c>
      <c r="K236" s="442"/>
      <c r="L236" s="418"/>
      <c r="M236" s="419" t="n">
        <f aca="false">EOMONTH(M235,0)+1</f>
        <v>2</v>
      </c>
      <c r="N236" s="418"/>
      <c r="O236" s="442"/>
      <c r="P236" s="418"/>
      <c r="Q236" s="418"/>
      <c r="R236" s="442" t="n">
        <v>36898</v>
      </c>
      <c r="S236" s="418" t="n">
        <v>223</v>
      </c>
    </row>
    <row r="237" customFormat="false" ht="12" hidden="false" customHeight="false" outlineLevel="0" collapsed="false">
      <c r="B237" s="419" t="n">
        <f aca="false">EOMONTH(B236,0)+1</f>
        <v>43466</v>
      </c>
      <c r="C237" s="454"/>
      <c r="D237" s="454"/>
      <c r="E237" s="418" t="n">
        <v>1</v>
      </c>
      <c r="F237" s="454"/>
      <c r="G237" s="454"/>
      <c r="H237" s="418"/>
      <c r="I237" s="442" t="n">
        <v>36899</v>
      </c>
      <c r="J237" s="418" t="n">
        <v>223</v>
      </c>
      <c r="K237" s="442"/>
      <c r="L237" s="418"/>
      <c r="M237" s="419" t="n">
        <f aca="false">EOMONTH(M236,0)+1</f>
        <v>33</v>
      </c>
      <c r="N237" s="418"/>
      <c r="O237" s="442"/>
      <c r="P237" s="418"/>
      <c r="Q237" s="418"/>
      <c r="R237" s="442" t="n">
        <v>36899</v>
      </c>
      <c r="S237" s="418" t="n">
        <v>223</v>
      </c>
    </row>
    <row r="238" customFormat="false" ht="12" hidden="false" customHeight="false" outlineLevel="0" collapsed="false">
      <c r="B238" s="419" t="n">
        <f aca="false">EOMONTH(B237,0)+1</f>
        <v>43497</v>
      </c>
      <c r="C238" s="454"/>
      <c r="D238" s="454"/>
      <c r="E238" s="418" t="n">
        <v>1</v>
      </c>
      <c r="F238" s="454"/>
      <c r="G238" s="454"/>
      <c r="H238" s="418"/>
      <c r="I238" s="442" t="n">
        <v>36900</v>
      </c>
      <c r="J238" s="418" t="n">
        <v>223</v>
      </c>
      <c r="K238" s="442"/>
      <c r="L238" s="418"/>
      <c r="M238" s="419" t="n">
        <f aca="false">EOMONTH(M237,0)+1</f>
        <v>61</v>
      </c>
      <c r="N238" s="418"/>
      <c r="O238" s="442"/>
      <c r="P238" s="418"/>
      <c r="Q238" s="418"/>
      <c r="R238" s="442" t="n">
        <v>36900</v>
      </c>
      <c r="S238" s="418" t="n">
        <v>223</v>
      </c>
    </row>
    <row r="239" customFormat="false" ht="12" hidden="false" customHeight="false" outlineLevel="0" collapsed="false">
      <c r="B239" s="419" t="n">
        <f aca="false">EOMONTH(B238,0)+1</f>
        <v>43525</v>
      </c>
      <c r="C239" s="454"/>
      <c r="D239" s="454"/>
      <c r="E239" s="418" t="n">
        <v>0.75</v>
      </c>
      <c r="F239" s="454"/>
      <c r="G239" s="454"/>
      <c r="H239" s="418"/>
      <c r="I239" s="442" t="n">
        <v>36901</v>
      </c>
      <c r="J239" s="418" t="n">
        <v>223</v>
      </c>
      <c r="K239" s="442"/>
      <c r="L239" s="418"/>
      <c r="M239" s="419" t="n">
        <f aca="false">EOMONTH(M238,0)+1</f>
        <v>92</v>
      </c>
      <c r="N239" s="418"/>
      <c r="O239" s="442"/>
      <c r="P239" s="418"/>
      <c r="Q239" s="418"/>
      <c r="R239" s="442" t="n">
        <v>36901</v>
      </c>
      <c r="S239" s="418" t="n">
        <v>223</v>
      </c>
    </row>
    <row r="240" customFormat="false" ht="12" hidden="false" customHeight="false" outlineLevel="0" collapsed="false">
      <c r="B240" s="419" t="n">
        <f aca="false">EOMONTH(B239,0)+1</f>
        <v>43556</v>
      </c>
      <c r="C240" s="454"/>
      <c r="D240" s="454"/>
      <c r="E240" s="418" t="n">
        <v>0.45</v>
      </c>
      <c r="F240" s="454"/>
      <c r="G240" s="454"/>
      <c r="H240" s="418"/>
      <c r="I240" s="442" t="n">
        <v>36902</v>
      </c>
      <c r="J240" s="418" t="n">
        <v>223</v>
      </c>
      <c r="K240" s="442"/>
      <c r="L240" s="418"/>
      <c r="M240" s="419" t="n">
        <f aca="false">EOMONTH(M239,0)+1</f>
        <v>122</v>
      </c>
      <c r="N240" s="418"/>
      <c r="O240" s="442"/>
      <c r="P240" s="418"/>
      <c r="Q240" s="418"/>
      <c r="R240" s="442" t="n">
        <v>36902</v>
      </c>
      <c r="S240" s="418" t="n">
        <v>223</v>
      </c>
    </row>
    <row r="241" customFormat="false" ht="12" hidden="false" customHeight="false" outlineLevel="0" collapsed="false">
      <c r="B241" s="419" t="n">
        <f aca="false">EOMONTH(B240,0)+1</f>
        <v>43586</v>
      </c>
      <c r="C241" s="454"/>
      <c r="D241" s="454"/>
      <c r="E241" s="418" t="n">
        <v>0.4</v>
      </c>
      <c r="F241" s="454"/>
      <c r="G241" s="454"/>
      <c r="H241" s="418"/>
      <c r="I241" s="442" t="n">
        <v>36903</v>
      </c>
      <c r="J241" s="418" t="n">
        <v>223</v>
      </c>
      <c r="K241" s="442"/>
      <c r="L241" s="418"/>
      <c r="M241" s="419" t="n">
        <f aca="false">EOMONTH(M240,0)+1</f>
        <v>153</v>
      </c>
      <c r="N241" s="418"/>
      <c r="O241" s="442"/>
      <c r="P241" s="418"/>
      <c r="Q241" s="418"/>
      <c r="R241" s="442" t="n">
        <v>36903</v>
      </c>
      <c r="S241" s="418" t="n">
        <v>223</v>
      </c>
    </row>
    <row r="242" customFormat="false" ht="12" hidden="false" customHeight="false" outlineLevel="0" collapsed="false">
      <c r="B242" s="419" t="n">
        <f aca="false">EOMONTH(B241,0)+1</f>
        <v>43617</v>
      </c>
      <c r="C242" s="454"/>
      <c r="D242" s="454"/>
      <c r="E242" s="418" t="n">
        <v>0.5</v>
      </c>
      <c r="F242" s="454"/>
      <c r="G242" s="454"/>
      <c r="H242" s="418"/>
      <c r="I242" s="442" t="n">
        <v>36904</v>
      </c>
      <c r="J242" s="418" t="n">
        <v>223</v>
      </c>
      <c r="K242" s="442"/>
      <c r="L242" s="418"/>
      <c r="M242" s="419" t="n">
        <f aca="false">EOMONTH(M241,0)+1</f>
        <v>183</v>
      </c>
      <c r="N242" s="418"/>
      <c r="O242" s="442"/>
      <c r="P242" s="418"/>
      <c r="Q242" s="418"/>
      <c r="R242" s="442" t="n">
        <v>36904</v>
      </c>
      <c r="S242" s="418" t="n">
        <v>223</v>
      </c>
    </row>
    <row r="243" customFormat="false" ht="12" hidden="false" customHeight="false" outlineLevel="0" collapsed="false">
      <c r="B243" s="419" t="n">
        <f aca="false">EOMONTH(B242,0)+1</f>
        <v>43647</v>
      </c>
      <c r="C243" s="454"/>
      <c r="D243" s="454"/>
      <c r="E243" s="418" t="n">
        <v>0.5</v>
      </c>
      <c r="F243" s="454"/>
      <c r="G243" s="454"/>
      <c r="H243" s="418"/>
      <c r="I243" s="442" t="n">
        <v>36905</v>
      </c>
      <c r="J243" s="418" t="n">
        <v>223</v>
      </c>
      <c r="K243" s="442"/>
      <c r="L243" s="418"/>
      <c r="M243" s="419" t="n">
        <f aca="false">EOMONTH(M242,0)+1</f>
        <v>214</v>
      </c>
      <c r="N243" s="418"/>
      <c r="O243" s="442"/>
      <c r="P243" s="418"/>
      <c r="Q243" s="418"/>
      <c r="R243" s="442" t="n">
        <v>36905</v>
      </c>
      <c r="S243" s="418" t="n">
        <v>223</v>
      </c>
    </row>
    <row r="244" customFormat="false" ht="12" hidden="false" customHeight="false" outlineLevel="0" collapsed="false">
      <c r="B244" s="419" t="n">
        <f aca="false">EOMONTH(B243,0)+1</f>
        <v>43678</v>
      </c>
      <c r="C244" s="454"/>
      <c r="D244" s="454"/>
      <c r="E244" s="418" t="n">
        <v>0.6</v>
      </c>
      <c r="F244" s="454"/>
      <c r="G244" s="454"/>
      <c r="H244" s="418"/>
      <c r="I244" s="442" t="n">
        <v>36906</v>
      </c>
      <c r="J244" s="418" t="n">
        <v>223</v>
      </c>
      <c r="K244" s="442"/>
      <c r="L244" s="418"/>
      <c r="M244" s="419" t="n">
        <f aca="false">EOMONTH(M243,0)+1</f>
        <v>245</v>
      </c>
      <c r="N244" s="418"/>
      <c r="O244" s="442"/>
      <c r="P244" s="418"/>
      <c r="Q244" s="418"/>
      <c r="R244" s="442" t="n">
        <v>36906</v>
      </c>
      <c r="S244" s="418" t="n">
        <v>223</v>
      </c>
    </row>
    <row r="245" customFormat="false" ht="12" hidden="false" customHeight="false" outlineLevel="0" collapsed="false">
      <c r="B245" s="419" t="n">
        <f aca="false">EOMONTH(B244,0)+1</f>
        <v>43709</v>
      </c>
      <c r="C245" s="454"/>
      <c r="D245" s="454"/>
      <c r="E245" s="418" t="n">
        <v>0.55</v>
      </c>
      <c r="F245" s="454"/>
      <c r="G245" s="454"/>
      <c r="H245" s="418"/>
      <c r="I245" s="442" t="n">
        <v>36907</v>
      </c>
      <c r="J245" s="418" t="n">
        <v>223</v>
      </c>
      <c r="K245" s="442"/>
      <c r="L245" s="418"/>
      <c r="M245" s="419" t="n">
        <f aca="false">EOMONTH(M244,0)+1</f>
        <v>275</v>
      </c>
      <c r="N245" s="418"/>
      <c r="O245" s="442"/>
      <c r="P245" s="418"/>
      <c r="Q245" s="418"/>
      <c r="R245" s="442" t="n">
        <v>36907</v>
      </c>
      <c r="S245" s="418" t="n">
        <v>223</v>
      </c>
    </row>
    <row r="246" customFormat="false" ht="12" hidden="false" customHeight="false" outlineLevel="0" collapsed="false">
      <c r="B246" s="419" t="n">
        <f aca="false">EOMONTH(B245,0)+1</f>
        <v>43739</v>
      </c>
      <c r="C246" s="454"/>
      <c r="D246" s="454"/>
      <c r="E246" s="418" t="n">
        <v>0.6</v>
      </c>
      <c r="F246" s="454"/>
      <c r="G246" s="454"/>
      <c r="H246" s="418"/>
      <c r="I246" s="442" t="n">
        <v>36908</v>
      </c>
      <c r="J246" s="418" t="n">
        <v>223</v>
      </c>
      <c r="K246" s="442"/>
      <c r="L246" s="418"/>
      <c r="M246" s="419" t="n">
        <f aca="false">EOMONTH(M245,0)+1</f>
        <v>306</v>
      </c>
      <c r="N246" s="418"/>
      <c r="O246" s="442"/>
      <c r="P246" s="418"/>
      <c r="Q246" s="418"/>
      <c r="R246" s="442" t="n">
        <v>36908</v>
      </c>
      <c r="S246" s="418" t="n">
        <v>223</v>
      </c>
    </row>
    <row r="247" customFormat="false" ht="12" hidden="false" customHeight="false" outlineLevel="0" collapsed="false">
      <c r="B247" s="419" t="n">
        <f aca="false">EOMONTH(B246,0)+1</f>
        <v>43770</v>
      </c>
      <c r="C247" s="454"/>
      <c r="D247" s="454"/>
      <c r="E247" s="418" t="n">
        <v>0.8</v>
      </c>
      <c r="F247" s="454"/>
      <c r="G247" s="454"/>
      <c r="H247" s="418"/>
      <c r="I247" s="442" t="n">
        <v>36909</v>
      </c>
      <c r="J247" s="418" t="n">
        <v>223</v>
      </c>
      <c r="K247" s="442"/>
      <c r="L247" s="418"/>
      <c r="M247" s="419" t="n">
        <f aca="false">EOMONTH(M246,0)+1</f>
        <v>336</v>
      </c>
      <c r="N247" s="418"/>
      <c r="O247" s="442"/>
      <c r="P247" s="418"/>
      <c r="Q247" s="418"/>
      <c r="R247" s="442" t="n">
        <v>36909</v>
      </c>
      <c r="S247" s="418" t="n">
        <v>223</v>
      </c>
    </row>
    <row r="248" customFormat="false" ht="12" hidden="false" customHeight="false" outlineLevel="0" collapsed="false">
      <c r="B248" s="419" t="n">
        <f aca="false">EOMONTH(B247,0)+1</f>
        <v>43800</v>
      </c>
      <c r="C248" s="454"/>
      <c r="D248" s="454"/>
      <c r="E248" s="418" t="n">
        <v>1</v>
      </c>
      <c r="F248" s="454"/>
      <c r="G248" s="454"/>
      <c r="H248" s="418"/>
      <c r="I248" s="442" t="n">
        <v>36910</v>
      </c>
      <c r="J248" s="418" t="n">
        <v>223</v>
      </c>
      <c r="K248" s="442"/>
      <c r="L248" s="418"/>
      <c r="M248" s="419" t="n">
        <f aca="false">EOMONTH(M247,0)+1</f>
        <v>367</v>
      </c>
      <c r="N248" s="418"/>
      <c r="O248" s="442"/>
      <c r="P248" s="418"/>
      <c r="Q248" s="418"/>
      <c r="R248" s="442" t="n">
        <v>36910</v>
      </c>
      <c r="S248" s="418" t="n">
        <v>223</v>
      </c>
    </row>
    <row r="249" customFormat="false" ht="12" hidden="false" customHeight="false" outlineLevel="0" collapsed="false">
      <c r="B249" s="419" t="n">
        <f aca="false">EOMONTH(B248,0)+1</f>
        <v>43831</v>
      </c>
      <c r="C249" s="454"/>
      <c r="D249" s="454"/>
      <c r="E249" s="418" t="n">
        <v>1</v>
      </c>
      <c r="F249" s="454"/>
      <c r="G249" s="454"/>
      <c r="H249" s="418"/>
      <c r="I249" s="442" t="n">
        <v>36911</v>
      </c>
      <c r="J249" s="418" t="n">
        <v>223</v>
      </c>
      <c r="K249" s="442"/>
      <c r="L249" s="418"/>
      <c r="M249" s="419" t="n">
        <f aca="false">EOMONTH(M248,0)+1</f>
        <v>398</v>
      </c>
      <c r="N249" s="418"/>
      <c r="O249" s="442"/>
      <c r="P249" s="418"/>
      <c r="Q249" s="418"/>
      <c r="R249" s="442" t="n">
        <v>36911</v>
      </c>
      <c r="S249" s="418" t="n">
        <v>223</v>
      </c>
    </row>
    <row r="250" customFormat="false" ht="12" hidden="false" customHeight="false" outlineLevel="0" collapsed="false">
      <c r="B250" s="419" t="n">
        <f aca="false">EOMONTH(B249,0)+1</f>
        <v>43862</v>
      </c>
      <c r="C250" s="454"/>
      <c r="D250" s="454"/>
      <c r="E250" s="418" t="n">
        <v>1</v>
      </c>
      <c r="F250" s="454"/>
      <c r="G250" s="454"/>
      <c r="H250" s="418"/>
      <c r="I250" s="442" t="n">
        <v>36912</v>
      </c>
      <c r="J250" s="418" t="n">
        <v>223</v>
      </c>
      <c r="K250" s="442"/>
      <c r="L250" s="418"/>
      <c r="M250" s="419" t="n">
        <f aca="false">EOMONTH(M249,0)+1</f>
        <v>426</v>
      </c>
      <c r="N250" s="418"/>
      <c r="O250" s="442"/>
      <c r="P250" s="418"/>
      <c r="Q250" s="418"/>
      <c r="R250" s="442" t="n">
        <v>36912</v>
      </c>
      <c r="S250" s="418" t="n">
        <v>223</v>
      </c>
    </row>
    <row r="251" customFormat="false" ht="12" hidden="false" customHeight="false" outlineLevel="0" collapsed="false">
      <c r="B251" s="419" t="n">
        <f aca="false">EOMONTH(B250,0)+1</f>
        <v>43891</v>
      </c>
      <c r="C251" s="454"/>
      <c r="D251" s="454"/>
      <c r="E251" s="418" t="n">
        <v>0.75</v>
      </c>
      <c r="F251" s="454"/>
      <c r="G251" s="454"/>
      <c r="H251" s="418"/>
      <c r="I251" s="442" t="n">
        <v>36913</v>
      </c>
      <c r="J251" s="418" t="n">
        <v>223</v>
      </c>
      <c r="K251" s="442"/>
      <c r="L251" s="418"/>
      <c r="M251" s="419" t="n">
        <f aca="false">EOMONTH(M250,0)+1</f>
        <v>457</v>
      </c>
      <c r="N251" s="418"/>
      <c r="O251" s="442"/>
      <c r="P251" s="418"/>
      <c r="Q251" s="418"/>
      <c r="R251" s="442" t="n">
        <v>36913</v>
      </c>
      <c r="S251" s="418" t="n">
        <v>223</v>
      </c>
    </row>
    <row r="252" customFormat="false" ht="12" hidden="false" customHeight="false" outlineLevel="0" collapsed="false">
      <c r="B252" s="419" t="n">
        <f aca="false">EOMONTH(B251,0)+1</f>
        <v>43922</v>
      </c>
      <c r="C252" s="454"/>
      <c r="D252" s="454"/>
      <c r="E252" s="418" t="n">
        <v>0.45</v>
      </c>
      <c r="F252" s="454"/>
      <c r="G252" s="454"/>
      <c r="H252" s="418"/>
      <c r="I252" s="442" t="n">
        <v>36914</v>
      </c>
      <c r="J252" s="418" t="n">
        <v>223</v>
      </c>
      <c r="K252" s="442"/>
      <c r="L252" s="418"/>
      <c r="M252" s="419" t="n">
        <f aca="false">EOMONTH(M251,0)+1</f>
        <v>487</v>
      </c>
      <c r="N252" s="418"/>
      <c r="O252" s="442"/>
      <c r="P252" s="418"/>
      <c r="Q252" s="418"/>
      <c r="R252" s="442" t="n">
        <v>36914</v>
      </c>
      <c r="S252" s="418" t="n">
        <v>223</v>
      </c>
    </row>
    <row r="253" customFormat="false" ht="12" hidden="false" customHeight="false" outlineLevel="0" collapsed="false">
      <c r="B253" s="419" t="n">
        <f aca="false">EOMONTH(B252,0)+1</f>
        <v>43952</v>
      </c>
      <c r="C253" s="454"/>
      <c r="D253" s="454"/>
      <c r="E253" s="418" t="n">
        <v>0.4</v>
      </c>
      <c r="F253" s="454"/>
      <c r="G253" s="454"/>
      <c r="H253" s="418"/>
      <c r="I253" s="442" t="n">
        <v>36915</v>
      </c>
      <c r="J253" s="418" t="n">
        <v>223</v>
      </c>
      <c r="K253" s="442"/>
      <c r="L253" s="418"/>
      <c r="M253" s="419" t="n">
        <f aca="false">EOMONTH(M252,0)+1</f>
        <v>518</v>
      </c>
      <c r="N253" s="418"/>
      <c r="O253" s="442"/>
      <c r="P253" s="418"/>
      <c r="Q253" s="418"/>
      <c r="R253" s="442" t="n">
        <v>36915</v>
      </c>
      <c r="S253" s="418" t="n">
        <v>223</v>
      </c>
    </row>
    <row r="254" customFormat="false" ht="12" hidden="false" customHeight="false" outlineLevel="0" collapsed="false">
      <c r="B254" s="419" t="n">
        <f aca="false">EOMONTH(B253,0)+1</f>
        <v>43983</v>
      </c>
      <c r="C254" s="454"/>
      <c r="D254" s="454"/>
      <c r="E254" s="418" t="n">
        <v>0.5</v>
      </c>
      <c r="F254" s="454"/>
      <c r="G254" s="454"/>
      <c r="H254" s="418"/>
      <c r="I254" s="442" t="n">
        <v>36916</v>
      </c>
      <c r="J254" s="418" t="n">
        <v>223</v>
      </c>
      <c r="K254" s="442"/>
      <c r="L254" s="418"/>
      <c r="M254" s="419" t="n">
        <f aca="false">EOMONTH(M253,0)+1</f>
        <v>548</v>
      </c>
      <c r="N254" s="418"/>
      <c r="O254" s="442"/>
      <c r="P254" s="418"/>
      <c r="Q254" s="418"/>
      <c r="R254" s="442" t="n">
        <v>36916</v>
      </c>
      <c r="S254" s="418" t="n">
        <v>223</v>
      </c>
    </row>
    <row r="255" customFormat="false" ht="12" hidden="false" customHeight="false" outlineLevel="0" collapsed="false">
      <c r="B255" s="419" t="n">
        <f aca="false">EOMONTH(B254,0)+1</f>
        <v>44013</v>
      </c>
      <c r="C255" s="454"/>
      <c r="D255" s="454"/>
      <c r="E255" s="418" t="n">
        <v>0.5</v>
      </c>
      <c r="F255" s="454"/>
      <c r="G255" s="454"/>
      <c r="H255" s="418"/>
      <c r="I255" s="442" t="n">
        <v>36917</v>
      </c>
      <c r="J255" s="418" t="n">
        <v>223</v>
      </c>
      <c r="K255" s="442"/>
      <c r="L255" s="418"/>
      <c r="M255" s="419" t="n">
        <f aca="false">EOMONTH(M254,0)+1</f>
        <v>579</v>
      </c>
      <c r="N255" s="418"/>
      <c r="O255" s="442"/>
      <c r="P255" s="418"/>
      <c r="Q255" s="418"/>
      <c r="R255" s="442" t="n">
        <v>36917</v>
      </c>
      <c r="S255" s="418" t="n">
        <v>223</v>
      </c>
    </row>
    <row r="256" customFormat="false" ht="12" hidden="false" customHeight="false" outlineLevel="0" collapsed="false">
      <c r="B256" s="419" t="n">
        <f aca="false">EOMONTH(B255,0)+1</f>
        <v>44044</v>
      </c>
      <c r="C256" s="454"/>
      <c r="D256" s="454"/>
      <c r="E256" s="418" t="n">
        <v>0.6</v>
      </c>
      <c r="F256" s="454"/>
      <c r="G256" s="454"/>
      <c r="H256" s="418"/>
      <c r="I256" s="442" t="n">
        <v>36918</v>
      </c>
      <c r="J256" s="418" t="n">
        <v>223</v>
      </c>
      <c r="K256" s="442"/>
      <c r="L256" s="418"/>
      <c r="M256" s="419" t="n">
        <f aca="false">EOMONTH(M255,0)+1</f>
        <v>610</v>
      </c>
      <c r="N256" s="418"/>
      <c r="O256" s="442"/>
      <c r="P256" s="418"/>
      <c r="Q256" s="418"/>
      <c r="R256" s="442" t="n">
        <v>36918</v>
      </c>
      <c r="S256" s="418" t="n">
        <v>223</v>
      </c>
    </row>
    <row r="257" customFormat="false" ht="12" hidden="false" customHeight="false" outlineLevel="0" collapsed="false">
      <c r="B257" s="419" t="n">
        <f aca="false">EOMONTH(B256,0)+1</f>
        <v>44075</v>
      </c>
      <c r="C257" s="454"/>
      <c r="D257" s="454"/>
      <c r="E257" s="418" t="n">
        <v>0.55</v>
      </c>
      <c r="F257" s="454"/>
      <c r="G257" s="454"/>
      <c r="H257" s="418"/>
      <c r="I257" s="442" t="n">
        <v>36919</v>
      </c>
      <c r="J257" s="418" t="n">
        <v>223</v>
      </c>
      <c r="K257" s="442"/>
      <c r="L257" s="418"/>
      <c r="M257" s="419" t="n">
        <f aca="false">EOMONTH(M256,0)+1</f>
        <v>640</v>
      </c>
      <c r="N257" s="418"/>
      <c r="O257" s="442"/>
      <c r="P257" s="418"/>
      <c r="Q257" s="418"/>
      <c r="R257" s="442" t="n">
        <v>36919</v>
      </c>
      <c r="S257" s="418" t="n">
        <v>223</v>
      </c>
    </row>
    <row r="258" customFormat="false" ht="12" hidden="false" customHeight="false" outlineLevel="0" collapsed="false">
      <c r="B258" s="419" t="n">
        <f aca="false">EOMONTH(B257,0)+1</f>
        <v>44105</v>
      </c>
      <c r="C258" s="454"/>
      <c r="D258" s="454"/>
      <c r="E258" s="418" t="n">
        <v>0.6</v>
      </c>
      <c r="F258" s="454"/>
      <c r="G258" s="454"/>
      <c r="H258" s="418"/>
      <c r="I258" s="442" t="n">
        <v>36920</v>
      </c>
      <c r="J258" s="418" t="n">
        <v>223</v>
      </c>
      <c r="K258" s="442"/>
      <c r="L258" s="418"/>
      <c r="M258" s="419" t="n">
        <f aca="false">EOMONTH(M257,0)+1</f>
        <v>671</v>
      </c>
      <c r="N258" s="418"/>
      <c r="O258" s="442"/>
      <c r="P258" s="418"/>
      <c r="Q258" s="418"/>
      <c r="R258" s="442" t="n">
        <v>36920</v>
      </c>
      <c r="S258" s="418" t="n">
        <v>223</v>
      </c>
    </row>
    <row r="259" customFormat="false" ht="12" hidden="false" customHeight="false" outlineLevel="0" collapsed="false">
      <c r="B259" s="419" t="n">
        <f aca="false">EOMONTH(B258,0)+1</f>
        <v>44136</v>
      </c>
      <c r="C259" s="454"/>
      <c r="D259" s="454"/>
      <c r="E259" s="418" t="n">
        <v>0.8</v>
      </c>
      <c r="F259" s="454"/>
      <c r="G259" s="454"/>
      <c r="H259" s="418"/>
      <c r="I259" s="442" t="n">
        <v>36921</v>
      </c>
      <c r="J259" s="418" t="n">
        <v>223</v>
      </c>
      <c r="K259" s="442"/>
      <c r="L259" s="418"/>
      <c r="M259" s="419" t="n">
        <f aca="false">EOMONTH(M258,0)+1</f>
        <v>701</v>
      </c>
      <c r="N259" s="418"/>
      <c r="O259" s="442"/>
      <c r="P259" s="418"/>
      <c r="Q259" s="418"/>
      <c r="R259" s="442" t="n">
        <v>36921</v>
      </c>
      <c r="S259" s="418" t="n">
        <v>223</v>
      </c>
    </row>
    <row r="260" customFormat="false" ht="12" hidden="false" customHeight="false" outlineLevel="0" collapsed="false">
      <c r="B260" s="419" t="n">
        <f aca="false">EOMONTH(B259,0)+1</f>
        <v>44166</v>
      </c>
      <c r="C260" s="454"/>
      <c r="D260" s="454"/>
      <c r="E260" s="418" t="n">
        <v>1</v>
      </c>
      <c r="F260" s="454"/>
      <c r="G260" s="454"/>
      <c r="H260" s="418"/>
      <c r="I260" s="442" t="n">
        <v>36922</v>
      </c>
      <c r="J260" s="418" t="n">
        <v>223</v>
      </c>
      <c r="K260" s="442"/>
      <c r="L260" s="418"/>
      <c r="M260" s="419" t="n">
        <f aca="false">EOMONTH(M259,0)+1</f>
        <v>732</v>
      </c>
      <c r="N260" s="418"/>
      <c r="O260" s="442"/>
      <c r="P260" s="418"/>
      <c r="Q260" s="418"/>
      <c r="R260" s="442" t="n">
        <v>36922</v>
      </c>
      <c r="S260" s="418" t="n">
        <v>223</v>
      </c>
    </row>
    <row r="261" customFormat="false" ht="12" hidden="false" customHeight="false" outlineLevel="0" collapsed="false">
      <c r="B261" s="419" t="n">
        <f aca="false">EOMONTH(B260,0)+1</f>
        <v>44197</v>
      </c>
      <c r="C261" s="454"/>
      <c r="D261" s="454"/>
      <c r="E261" s="418" t="n">
        <v>1</v>
      </c>
      <c r="F261" s="454"/>
      <c r="G261" s="454"/>
      <c r="H261" s="418"/>
      <c r="I261" s="442" t="n">
        <v>36923</v>
      </c>
      <c r="J261" s="418" t="n">
        <v>223</v>
      </c>
      <c r="K261" s="442"/>
      <c r="L261" s="418"/>
      <c r="M261" s="419" t="n">
        <f aca="false">EOMONTH(M260,0)+1</f>
        <v>763</v>
      </c>
      <c r="N261" s="418"/>
      <c r="O261" s="442"/>
      <c r="P261" s="418"/>
      <c r="Q261" s="418"/>
      <c r="R261" s="442" t="n">
        <v>36923</v>
      </c>
      <c r="S261" s="418" t="n">
        <v>223</v>
      </c>
    </row>
    <row r="262" customFormat="false" ht="12" hidden="false" customHeight="false" outlineLevel="0" collapsed="false">
      <c r="B262" s="419" t="n">
        <f aca="false">EOMONTH(B261,0)+1</f>
        <v>44228</v>
      </c>
      <c r="C262" s="454"/>
      <c r="D262" s="454"/>
      <c r="E262" s="418" t="n">
        <v>1</v>
      </c>
      <c r="F262" s="454"/>
      <c r="G262" s="454"/>
      <c r="H262" s="418"/>
      <c r="I262" s="442" t="n">
        <v>36924</v>
      </c>
      <c r="J262" s="418" t="n">
        <v>223</v>
      </c>
      <c r="K262" s="442"/>
      <c r="L262" s="418"/>
      <c r="M262" s="419" t="n">
        <f aca="false">EOMONTH(M261,0)+1</f>
        <v>791</v>
      </c>
      <c r="N262" s="418"/>
      <c r="O262" s="442"/>
      <c r="P262" s="418"/>
      <c r="Q262" s="418"/>
      <c r="R262" s="442" t="n">
        <v>36924</v>
      </c>
      <c r="S262" s="418" t="n">
        <v>223</v>
      </c>
    </row>
    <row r="263" customFormat="false" ht="12" hidden="false" customHeight="false" outlineLevel="0" collapsed="false">
      <c r="B263" s="419" t="n">
        <f aca="false">EOMONTH(B262,0)+1</f>
        <v>44256</v>
      </c>
      <c r="C263" s="454"/>
      <c r="D263" s="454"/>
      <c r="E263" s="418" t="n">
        <v>0.75</v>
      </c>
      <c r="F263" s="454"/>
      <c r="G263" s="454"/>
      <c r="H263" s="418"/>
      <c r="I263" s="442" t="n">
        <v>36925</v>
      </c>
      <c r="J263" s="418" t="n">
        <v>223</v>
      </c>
      <c r="K263" s="442"/>
      <c r="L263" s="418"/>
      <c r="M263" s="419" t="n">
        <f aca="false">EOMONTH(M262,0)+1</f>
        <v>822</v>
      </c>
      <c r="N263" s="418"/>
      <c r="O263" s="442"/>
      <c r="P263" s="418"/>
      <c r="Q263" s="418"/>
      <c r="R263" s="442" t="n">
        <v>36925</v>
      </c>
      <c r="S263" s="418" t="n">
        <v>223</v>
      </c>
    </row>
    <row r="264" customFormat="false" ht="12" hidden="false" customHeight="false" outlineLevel="0" collapsed="false">
      <c r="B264" s="419" t="n">
        <f aca="false">EOMONTH(B263,0)+1</f>
        <v>44287</v>
      </c>
      <c r="C264" s="454"/>
      <c r="D264" s="454"/>
      <c r="E264" s="418" t="n">
        <v>0.45</v>
      </c>
      <c r="F264" s="454"/>
      <c r="G264" s="454"/>
      <c r="H264" s="418"/>
      <c r="I264" s="442" t="n">
        <v>36926</v>
      </c>
      <c r="J264" s="418" t="n">
        <v>223</v>
      </c>
      <c r="K264" s="442"/>
      <c r="L264" s="418"/>
      <c r="M264" s="419" t="n">
        <f aca="false">EOMONTH(M263,0)+1</f>
        <v>852</v>
      </c>
      <c r="N264" s="418"/>
      <c r="O264" s="442"/>
      <c r="P264" s="418"/>
      <c r="Q264" s="418"/>
      <c r="R264" s="442" t="n">
        <v>36926</v>
      </c>
      <c r="S264" s="418" t="n">
        <v>223</v>
      </c>
    </row>
    <row r="265" customFormat="false" ht="12" hidden="false" customHeight="false" outlineLevel="0" collapsed="false">
      <c r="B265" s="419" t="n">
        <f aca="false">EOMONTH(B264,0)+1</f>
        <v>44317</v>
      </c>
      <c r="C265" s="454"/>
      <c r="D265" s="454"/>
      <c r="E265" s="418" t="n">
        <v>0.4</v>
      </c>
      <c r="F265" s="454"/>
      <c r="G265" s="454"/>
      <c r="H265" s="418"/>
      <c r="I265" s="442" t="n">
        <v>36927</v>
      </c>
      <c r="J265" s="418" t="n">
        <v>223</v>
      </c>
      <c r="K265" s="442"/>
      <c r="L265" s="418"/>
      <c r="M265" s="419" t="n">
        <f aca="false">EOMONTH(M264,0)+1</f>
        <v>883</v>
      </c>
      <c r="N265" s="418"/>
      <c r="O265" s="442"/>
      <c r="P265" s="418"/>
      <c r="Q265" s="418"/>
      <c r="R265" s="442" t="n">
        <v>36927</v>
      </c>
      <c r="S265" s="418" t="n">
        <v>223</v>
      </c>
    </row>
    <row r="266" customFormat="false" ht="12" hidden="false" customHeight="false" outlineLevel="0" collapsed="false">
      <c r="B266" s="419" t="n">
        <f aca="false">EOMONTH(B265,0)+1</f>
        <v>44348</v>
      </c>
      <c r="C266" s="454"/>
      <c r="D266" s="454"/>
      <c r="E266" s="418" t="n">
        <v>0.5</v>
      </c>
      <c r="F266" s="454"/>
      <c r="G266" s="454"/>
      <c r="H266" s="418"/>
      <c r="I266" s="442" t="n">
        <v>36928</v>
      </c>
      <c r="J266" s="418" t="n">
        <v>223</v>
      </c>
      <c r="K266" s="442"/>
      <c r="L266" s="418"/>
      <c r="M266" s="419" t="n">
        <f aca="false">EOMONTH(M265,0)+1</f>
        <v>913</v>
      </c>
      <c r="N266" s="418"/>
      <c r="O266" s="442"/>
      <c r="P266" s="418"/>
      <c r="Q266" s="418"/>
      <c r="R266" s="442" t="n">
        <v>36928</v>
      </c>
      <c r="S266" s="418" t="n">
        <v>223</v>
      </c>
    </row>
    <row r="267" customFormat="false" ht="12" hidden="false" customHeight="false" outlineLevel="0" collapsed="false">
      <c r="B267" s="419" t="n">
        <f aca="false">EOMONTH(B266,0)+1</f>
        <v>44378</v>
      </c>
      <c r="C267" s="454"/>
      <c r="D267" s="454"/>
      <c r="E267" s="418" t="n">
        <v>0.5</v>
      </c>
      <c r="F267" s="454"/>
      <c r="G267" s="454"/>
      <c r="H267" s="418"/>
      <c r="I267" s="442" t="n">
        <v>36929</v>
      </c>
      <c r="J267" s="418" t="n">
        <v>223</v>
      </c>
      <c r="K267" s="442"/>
      <c r="L267" s="418"/>
      <c r="M267" s="419" t="n">
        <f aca="false">EOMONTH(M266,0)+1</f>
        <v>944</v>
      </c>
      <c r="N267" s="418"/>
      <c r="O267" s="442"/>
      <c r="P267" s="418"/>
      <c r="Q267" s="418"/>
      <c r="R267" s="442" t="n">
        <v>36929</v>
      </c>
      <c r="S267" s="418" t="n">
        <v>223</v>
      </c>
    </row>
    <row r="268" customFormat="false" ht="12" hidden="false" customHeight="false" outlineLevel="0" collapsed="false">
      <c r="B268" s="419" t="n">
        <f aca="false">EOMONTH(B267,0)+1</f>
        <v>44409</v>
      </c>
      <c r="C268" s="454"/>
      <c r="D268" s="454"/>
      <c r="E268" s="418" t="n">
        <v>0.6</v>
      </c>
      <c r="F268" s="454"/>
      <c r="G268" s="454"/>
      <c r="H268" s="418"/>
      <c r="I268" s="442" t="n">
        <v>36930</v>
      </c>
      <c r="J268" s="418" t="n">
        <v>223</v>
      </c>
      <c r="K268" s="442"/>
      <c r="L268" s="418"/>
      <c r="M268" s="419" t="n">
        <f aca="false">EOMONTH(M267,0)+1</f>
        <v>975</v>
      </c>
      <c r="N268" s="418"/>
      <c r="O268" s="442"/>
      <c r="P268" s="418"/>
      <c r="Q268" s="418"/>
      <c r="R268" s="442" t="n">
        <v>36930</v>
      </c>
      <c r="S268" s="418" t="n">
        <v>223</v>
      </c>
    </row>
    <row r="269" customFormat="false" ht="12" hidden="false" customHeight="false" outlineLevel="0" collapsed="false">
      <c r="B269" s="419" t="n">
        <f aca="false">EOMONTH(B268,0)+1</f>
        <v>44440</v>
      </c>
      <c r="C269" s="454"/>
      <c r="D269" s="454"/>
      <c r="E269" s="418" t="n">
        <v>0.55</v>
      </c>
      <c r="F269" s="454"/>
      <c r="G269" s="454"/>
      <c r="H269" s="418"/>
      <c r="I269" s="442" t="n">
        <v>36931</v>
      </c>
      <c r="J269" s="418" t="n">
        <v>223</v>
      </c>
      <c r="K269" s="442"/>
      <c r="L269" s="418"/>
      <c r="M269" s="419" t="n">
        <f aca="false">EOMONTH(M268,0)+1</f>
        <v>1005</v>
      </c>
      <c r="N269" s="418"/>
      <c r="O269" s="442"/>
      <c r="P269" s="418"/>
      <c r="Q269" s="418"/>
      <c r="R269" s="442" t="n">
        <v>36931</v>
      </c>
      <c r="S269" s="418" t="n">
        <v>223</v>
      </c>
    </row>
    <row r="270" customFormat="false" ht="12" hidden="false" customHeight="false" outlineLevel="0" collapsed="false">
      <c r="B270" s="419" t="n">
        <f aca="false">EOMONTH(B269,0)+1</f>
        <v>44470</v>
      </c>
      <c r="C270" s="454"/>
      <c r="D270" s="454"/>
      <c r="E270" s="418" t="n">
        <v>0.6</v>
      </c>
      <c r="F270" s="454"/>
      <c r="G270" s="454"/>
      <c r="H270" s="418"/>
      <c r="I270" s="442" t="n">
        <v>36932</v>
      </c>
      <c r="J270" s="418" t="n">
        <v>223</v>
      </c>
      <c r="K270" s="442"/>
      <c r="L270" s="418"/>
      <c r="M270" s="419" t="n">
        <f aca="false">EOMONTH(M269,0)+1</f>
        <v>1036</v>
      </c>
      <c r="N270" s="418"/>
      <c r="O270" s="442"/>
      <c r="P270" s="418"/>
      <c r="Q270" s="418"/>
      <c r="R270" s="442" t="n">
        <v>36932</v>
      </c>
      <c r="S270" s="418" t="n">
        <v>223</v>
      </c>
    </row>
    <row r="271" customFormat="false" ht="12" hidden="false" customHeight="false" outlineLevel="0" collapsed="false">
      <c r="B271" s="419" t="n">
        <f aca="false">EOMONTH(B270,0)+1</f>
        <v>44501</v>
      </c>
      <c r="C271" s="454"/>
      <c r="D271" s="454"/>
      <c r="E271" s="418" t="n">
        <v>0.8</v>
      </c>
      <c r="F271" s="454"/>
      <c r="G271" s="454"/>
      <c r="H271" s="418"/>
      <c r="I271" s="442" t="n">
        <v>36933</v>
      </c>
      <c r="J271" s="418" t="n">
        <v>223</v>
      </c>
      <c r="K271" s="442"/>
      <c r="L271" s="418"/>
      <c r="M271" s="419" t="n">
        <f aca="false">EOMONTH(M270,0)+1</f>
        <v>1066</v>
      </c>
      <c r="N271" s="418"/>
      <c r="O271" s="442"/>
      <c r="P271" s="418"/>
      <c r="Q271" s="418"/>
      <c r="R271" s="442" t="n">
        <v>36933</v>
      </c>
      <c r="S271" s="418" t="n">
        <v>223</v>
      </c>
    </row>
    <row r="272" customFormat="false" ht="12" hidden="false" customHeight="false" outlineLevel="0" collapsed="false">
      <c r="B272" s="419" t="n">
        <f aca="false">EOMONTH(B271,0)+1</f>
        <v>44531</v>
      </c>
      <c r="C272" s="454"/>
      <c r="D272" s="454"/>
      <c r="E272" s="418" t="n">
        <v>1</v>
      </c>
      <c r="F272" s="454"/>
      <c r="G272" s="454"/>
      <c r="H272" s="418"/>
      <c r="I272" s="442" t="n">
        <v>36934</v>
      </c>
      <c r="J272" s="418" t="n">
        <v>223</v>
      </c>
      <c r="K272" s="442"/>
      <c r="L272" s="418"/>
      <c r="M272" s="419" t="n">
        <f aca="false">EOMONTH(M271,0)+1</f>
        <v>1097</v>
      </c>
      <c r="N272" s="418"/>
      <c r="O272" s="442"/>
      <c r="P272" s="418"/>
      <c r="Q272" s="418"/>
      <c r="R272" s="442" t="n">
        <v>36934</v>
      </c>
      <c r="S272" s="418" t="n">
        <v>223</v>
      </c>
    </row>
    <row r="273" customFormat="false" ht="12" hidden="false" customHeight="false" outlineLevel="0" collapsed="false">
      <c r="B273" s="419" t="n">
        <f aca="false">EOMONTH(B272,0)+1</f>
        <v>44562</v>
      </c>
      <c r="C273" s="454"/>
      <c r="D273" s="454"/>
      <c r="E273" s="418" t="n">
        <v>1</v>
      </c>
      <c r="F273" s="454"/>
      <c r="G273" s="454"/>
      <c r="H273" s="418"/>
      <c r="I273" s="418"/>
      <c r="J273" s="418"/>
      <c r="K273" s="418"/>
      <c r="L273" s="418"/>
      <c r="M273" s="419" t="n">
        <f aca="false">EOMONTH(M272,0)+1</f>
        <v>1128</v>
      </c>
      <c r="N273" s="418"/>
      <c r="O273" s="418"/>
      <c r="P273" s="418"/>
      <c r="Q273" s="418"/>
    </row>
    <row r="274" customFormat="false" ht="12" hidden="false" customHeight="false" outlineLevel="0" collapsed="false">
      <c r="B274" s="419" t="n">
        <f aca="false">EOMONTH(B273,0)+1</f>
        <v>44593</v>
      </c>
      <c r="C274" s="454"/>
      <c r="D274" s="454"/>
      <c r="E274" s="418" t="n">
        <v>1</v>
      </c>
      <c r="F274" s="454"/>
      <c r="G274" s="454"/>
      <c r="H274" s="418"/>
      <c r="I274" s="418"/>
      <c r="J274" s="418"/>
      <c r="K274" s="418"/>
      <c r="L274" s="418"/>
      <c r="M274" s="419" t="n">
        <f aca="false">EOMONTH(M273,0)+1</f>
        <v>1156</v>
      </c>
      <c r="N274" s="418"/>
      <c r="O274" s="418"/>
      <c r="P274" s="418"/>
      <c r="Q274" s="418"/>
    </row>
    <row r="275" customFormat="false" ht="12" hidden="false" customHeight="false" outlineLevel="0" collapsed="false">
      <c r="B275" s="419" t="n">
        <f aca="false">EOMONTH(B274,0)+1</f>
        <v>44621</v>
      </c>
      <c r="C275" s="454"/>
      <c r="D275" s="454"/>
      <c r="E275" s="418" t="n">
        <v>0.75</v>
      </c>
      <c r="F275" s="454"/>
      <c r="G275" s="454"/>
      <c r="H275" s="418"/>
      <c r="I275" s="418"/>
      <c r="J275" s="418"/>
      <c r="K275" s="418"/>
      <c r="L275" s="418"/>
      <c r="M275" s="419" t="n">
        <f aca="false">EOMONTH(M274,0)+1</f>
        <v>1187</v>
      </c>
      <c r="N275" s="418"/>
      <c r="O275" s="418"/>
      <c r="P275" s="418"/>
      <c r="Q275" s="418"/>
    </row>
    <row r="276" customFormat="false" ht="12" hidden="false" customHeight="false" outlineLevel="0" collapsed="false">
      <c r="B276" s="419" t="n">
        <f aca="false">EOMONTH(B275,0)+1</f>
        <v>44652</v>
      </c>
      <c r="C276" s="454"/>
      <c r="D276" s="454"/>
      <c r="E276" s="418" t="n">
        <v>0.45</v>
      </c>
      <c r="F276" s="454"/>
      <c r="G276" s="454"/>
      <c r="H276" s="418"/>
      <c r="I276" s="418"/>
      <c r="J276" s="418"/>
      <c r="K276" s="418"/>
      <c r="L276" s="418"/>
      <c r="M276" s="419" t="n">
        <f aca="false">EOMONTH(M275,0)+1</f>
        <v>1217</v>
      </c>
      <c r="N276" s="418"/>
      <c r="O276" s="418"/>
      <c r="P276" s="418"/>
      <c r="Q276" s="418"/>
    </row>
    <row r="277" customFormat="false" ht="12" hidden="false" customHeight="false" outlineLevel="0" collapsed="false">
      <c r="B277" s="419" t="n">
        <f aca="false">EOMONTH(B276,0)+1</f>
        <v>44682</v>
      </c>
      <c r="C277" s="454"/>
      <c r="D277" s="454"/>
      <c r="E277" s="418" t="n">
        <v>0.4</v>
      </c>
      <c r="F277" s="454"/>
      <c r="G277" s="454"/>
      <c r="H277" s="418"/>
      <c r="I277" s="418"/>
      <c r="J277" s="418"/>
      <c r="K277" s="418"/>
      <c r="L277" s="418"/>
      <c r="M277" s="419" t="n">
        <f aca="false">EOMONTH(M276,0)+1</f>
        <v>1248</v>
      </c>
      <c r="N277" s="418"/>
      <c r="O277" s="418"/>
      <c r="P277" s="418"/>
      <c r="Q277" s="418"/>
    </row>
    <row r="278" customFormat="false" ht="12" hidden="false" customHeight="false" outlineLevel="0" collapsed="false">
      <c r="B278" s="419" t="n">
        <f aca="false">EOMONTH(B277,0)+1</f>
        <v>44713</v>
      </c>
      <c r="C278" s="454"/>
      <c r="D278" s="454"/>
      <c r="E278" s="418" t="n">
        <v>0.5</v>
      </c>
      <c r="F278" s="454"/>
      <c r="G278" s="454"/>
      <c r="H278" s="418"/>
      <c r="I278" s="418"/>
      <c r="J278" s="418"/>
      <c r="K278" s="418"/>
      <c r="L278" s="418"/>
      <c r="M278" s="419" t="n">
        <f aca="false">EOMONTH(M277,0)+1</f>
        <v>1278</v>
      </c>
      <c r="N278" s="418"/>
      <c r="O278" s="418"/>
      <c r="P278" s="418"/>
      <c r="Q278" s="418"/>
    </row>
    <row r="279" customFormat="false" ht="12" hidden="false" customHeight="false" outlineLevel="0" collapsed="false">
      <c r="B279" s="419" t="n">
        <f aca="false">EOMONTH(B278,0)+1</f>
        <v>44743</v>
      </c>
      <c r="C279" s="454"/>
      <c r="D279" s="454"/>
      <c r="E279" s="418" t="n">
        <v>0.5</v>
      </c>
      <c r="F279" s="454"/>
      <c r="G279" s="454"/>
      <c r="H279" s="418"/>
      <c r="I279" s="418"/>
      <c r="J279" s="418"/>
      <c r="K279" s="418"/>
      <c r="L279" s="418"/>
      <c r="M279" s="419" t="n">
        <f aca="false">EOMONTH(M278,0)+1</f>
        <v>1309</v>
      </c>
      <c r="N279" s="418"/>
      <c r="O279" s="418"/>
      <c r="P279" s="418"/>
      <c r="Q279" s="418"/>
    </row>
    <row r="280" customFormat="false" ht="12" hidden="false" customHeight="false" outlineLevel="0" collapsed="false">
      <c r="B280" s="419" t="n">
        <f aca="false">EOMONTH(B279,0)+1</f>
        <v>44774</v>
      </c>
      <c r="C280" s="454"/>
      <c r="D280" s="454"/>
      <c r="E280" s="418" t="n">
        <v>0.6</v>
      </c>
      <c r="F280" s="454"/>
      <c r="G280" s="454"/>
      <c r="H280" s="418"/>
      <c r="I280" s="418"/>
      <c r="J280" s="418"/>
      <c r="K280" s="418"/>
      <c r="L280" s="418"/>
      <c r="M280" s="419" t="n">
        <f aca="false">EOMONTH(M279,0)+1</f>
        <v>1340</v>
      </c>
      <c r="N280" s="418"/>
      <c r="O280" s="418"/>
      <c r="P280" s="418"/>
      <c r="Q280" s="418"/>
    </row>
    <row r="281" customFormat="false" ht="12" hidden="false" customHeight="false" outlineLevel="0" collapsed="false">
      <c r="B281" s="419" t="n">
        <f aca="false">EOMONTH(B280,0)+1</f>
        <v>44805</v>
      </c>
      <c r="C281" s="454"/>
      <c r="D281" s="454"/>
      <c r="E281" s="418" t="n">
        <v>0.55</v>
      </c>
      <c r="F281" s="454"/>
      <c r="G281" s="454"/>
      <c r="H281" s="418"/>
      <c r="I281" s="418"/>
      <c r="J281" s="418"/>
      <c r="K281" s="418"/>
      <c r="L281" s="418"/>
      <c r="M281" s="419" t="n">
        <f aca="false">EOMONTH(M280,0)+1</f>
        <v>1370</v>
      </c>
      <c r="N281" s="418"/>
      <c r="O281" s="418"/>
      <c r="P281" s="418"/>
      <c r="Q281" s="418"/>
    </row>
    <row r="282" customFormat="false" ht="12" hidden="false" customHeight="false" outlineLevel="0" collapsed="false">
      <c r="B282" s="419" t="n">
        <f aca="false">EOMONTH(B281,0)+1</f>
        <v>44835</v>
      </c>
      <c r="C282" s="454"/>
      <c r="D282" s="454"/>
      <c r="E282" s="418" t="n">
        <v>0.6</v>
      </c>
      <c r="F282" s="454"/>
      <c r="G282" s="454"/>
      <c r="H282" s="418"/>
      <c r="I282" s="418"/>
      <c r="J282" s="418"/>
      <c r="K282" s="418"/>
      <c r="L282" s="418"/>
      <c r="M282" s="419" t="n">
        <f aca="false">EOMONTH(M281,0)+1</f>
        <v>1401</v>
      </c>
      <c r="N282" s="418"/>
      <c r="O282" s="418"/>
      <c r="P282" s="418"/>
      <c r="Q282" s="418"/>
    </row>
    <row r="283" customFormat="false" ht="12" hidden="false" customHeight="false" outlineLevel="0" collapsed="false">
      <c r="B283" s="419" t="n">
        <f aca="false">EOMONTH(B282,0)+1</f>
        <v>44866</v>
      </c>
      <c r="C283" s="454"/>
      <c r="D283" s="454"/>
      <c r="E283" s="418" t="n">
        <v>0.8</v>
      </c>
      <c r="F283" s="454"/>
      <c r="G283" s="454"/>
      <c r="H283" s="418"/>
      <c r="I283" s="418"/>
      <c r="J283" s="418"/>
      <c r="K283" s="418"/>
      <c r="L283" s="418"/>
      <c r="M283" s="419" t="n">
        <f aca="false">EOMONTH(M282,0)+1</f>
        <v>1431</v>
      </c>
      <c r="N283" s="418"/>
      <c r="O283" s="418"/>
      <c r="P283" s="418"/>
      <c r="Q283" s="418"/>
    </row>
    <row r="284" customFormat="false" ht="12" hidden="false" customHeight="false" outlineLevel="0" collapsed="false">
      <c r="B284" s="419" t="n">
        <f aca="false">EOMONTH(B283,0)+1</f>
        <v>44896</v>
      </c>
      <c r="C284" s="454"/>
      <c r="D284" s="454"/>
      <c r="E284" s="418" t="n">
        <v>1</v>
      </c>
      <c r="F284" s="454"/>
      <c r="G284" s="454"/>
      <c r="H284" s="418"/>
      <c r="I284" s="418"/>
      <c r="J284" s="418"/>
      <c r="K284" s="418"/>
      <c r="L284" s="418"/>
      <c r="M284" s="419" t="n">
        <f aca="false">EOMONTH(M283,0)+1</f>
        <v>1462</v>
      </c>
      <c r="N284" s="418"/>
      <c r="O284" s="418"/>
      <c r="P284" s="418"/>
      <c r="Q284" s="418"/>
    </row>
    <row r="285" customFormat="false" ht="12" hidden="false" customHeight="false" outlineLevel="0" collapsed="false">
      <c r="B285" s="419" t="n">
        <f aca="false">EOMONTH(B284,0)+1</f>
        <v>44927</v>
      </c>
      <c r="C285" s="454"/>
      <c r="D285" s="454"/>
      <c r="E285" s="418" t="n">
        <v>1</v>
      </c>
      <c r="F285" s="454"/>
      <c r="G285" s="454"/>
      <c r="H285" s="418"/>
      <c r="I285" s="418"/>
      <c r="J285" s="418"/>
      <c r="K285" s="418"/>
      <c r="L285" s="418"/>
      <c r="M285" s="419" t="n">
        <f aca="false">EOMONTH(M284,0)+1</f>
        <v>1493</v>
      </c>
      <c r="N285" s="418"/>
      <c r="O285" s="418"/>
      <c r="P285" s="418"/>
      <c r="Q285" s="418"/>
    </row>
    <row r="286" customFormat="false" ht="12" hidden="false" customHeight="false" outlineLevel="0" collapsed="false">
      <c r="B286" s="419" t="n">
        <f aca="false">EOMONTH(B285,0)+1</f>
        <v>44958</v>
      </c>
      <c r="C286" s="454"/>
      <c r="D286" s="454"/>
      <c r="E286" s="418" t="n">
        <v>1</v>
      </c>
      <c r="F286" s="454"/>
      <c r="G286" s="454"/>
      <c r="H286" s="418"/>
      <c r="I286" s="418"/>
      <c r="J286" s="418"/>
      <c r="K286" s="418"/>
      <c r="L286" s="418"/>
      <c r="M286" s="419" t="n">
        <f aca="false">EOMONTH(M285,0)+1</f>
        <v>1522</v>
      </c>
      <c r="N286" s="418"/>
      <c r="O286" s="418"/>
      <c r="P286" s="418"/>
      <c r="Q286" s="418"/>
    </row>
    <row r="287" customFormat="false" ht="12" hidden="false" customHeight="false" outlineLevel="0" collapsed="false">
      <c r="B287" s="419" t="n">
        <f aca="false">EOMONTH(B286,0)+1</f>
        <v>44986</v>
      </c>
      <c r="C287" s="454"/>
      <c r="D287" s="454"/>
      <c r="E287" s="418" t="n">
        <v>0.75</v>
      </c>
      <c r="F287" s="454"/>
      <c r="G287" s="454"/>
      <c r="H287" s="418"/>
      <c r="I287" s="418"/>
      <c r="J287" s="418"/>
      <c r="K287" s="418"/>
      <c r="L287" s="418"/>
      <c r="M287" s="419" t="n">
        <f aca="false">EOMONTH(M286,0)+1</f>
        <v>1553</v>
      </c>
      <c r="N287" s="418"/>
      <c r="O287" s="418"/>
      <c r="P287" s="418"/>
      <c r="Q287" s="418"/>
    </row>
    <row r="288" customFormat="false" ht="12" hidden="false" customHeight="false" outlineLevel="0" collapsed="false">
      <c r="B288" s="419" t="n">
        <f aca="false">EOMONTH(B287,0)+1</f>
        <v>45017</v>
      </c>
      <c r="C288" s="454"/>
      <c r="D288" s="454"/>
      <c r="E288" s="418" t="n">
        <v>0.45</v>
      </c>
      <c r="F288" s="454"/>
      <c r="G288" s="454"/>
      <c r="H288" s="418"/>
      <c r="I288" s="418"/>
      <c r="J288" s="418"/>
      <c r="K288" s="418"/>
      <c r="L288" s="418"/>
      <c r="M288" s="419" t="n">
        <f aca="false">EOMONTH(M287,0)+1</f>
        <v>1583</v>
      </c>
      <c r="N288" s="418"/>
      <c r="O288" s="418"/>
      <c r="P288" s="418"/>
      <c r="Q288" s="418"/>
    </row>
    <row r="289" customFormat="false" ht="12" hidden="false" customHeight="false" outlineLevel="0" collapsed="false">
      <c r="B289" s="419" t="n">
        <f aca="false">EOMONTH(B288,0)+1</f>
        <v>45047</v>
      </c>
      <c r="C289" s="454"/>
      <c r="D289" s="454"/>
      <c r="E289" s="418" t="n">
        <v>0.4</v>
      </c>
      <c r="F289" s="454"/>
      <c r="G289" s="454"/>
      <c r="H289" s="418"/>
      <c r="I289" s="418"/>
      <c r="J289" s="418"/>
      <c r="K289" s="418"/>
      <c r="L289" s="418"/>
      <c r="M289" s="419" t="n">
        <f aca="false">EOMONTH(M288,0)+1</f>
        <v>1614</v>
      </c>
      <c r="N289" s="418"/>
      <c r="O289" s="418"/>
      <c r="P289" s="418"/>
      <c r="Q289" s="418"/>
    </row>
    <row r="290" customFormat="false" ht="12" hidden="false" customHeight="false" outlineLevel="0" collapsed="false">
      <c r="B290" s="419" t="n">
        <f aca="false">EOMONTH(B289,0)+1</f>
        <v>45078</v>
      </c>
      <c r="C290" s="454"/>
      <c r="D290" s="454"/>
      <c r="E290" s="418" t="n">
        <v>0.5</v>
      </c>
      <c r="F290" s="454"/>
      <c r="G290" s="454"/>
      <c r="H290" s="418"/>
      <c r="I290" s="418"/>
      <c r="J290" s="418"/>
      <c r="K290" s="418"/>
      <c r="L290" s="418"/>
      <c r="M290" s="419" t="n">
        <f aca="false">EOMONTH(M289,0)+1</f>
        <v>1644</v>
      </c>
      <c r="N290" s="418"/>
      <c r="O290" s="418"/>
      <c r="P290" s="418"/>
      <c r="Q290" s="418"/>
    </row>
    <row r="291" customFormat="false" ht="12" hidden="false" customHeight="false" outlineLevel="0" collapsed="false">
      <c r="B291" s="419" t="n">
        <f aca="false">EOMONTH(B290,0)+1</f>
        <v>45108</v>
      </c>
      <c r="C291" s="454"/>
      <c r="D291" s="454"/>
      <c r="E291" s="418" t="n">
        <v>0.5</v>
      </c>
      <c r="F291" s="454"/>
      <c r="G291" s="454"/>
      <c r="H291" s="418"/>
      <c r="I291" s="418"/>
      <c r="J291" s="418"/>
      <c r="K291" s="418"/>
      <c r="L291" s="418"/>
      <c r="M291" s="419" t="n">
        <f aca="false">EOMONTH(M290,0)+1</f>
        <v>1675</v>
      </c>
      <c r="N291" s="418"/>
      <c r="O291" s="418"/>
      <c r="P291" s="418"/>
      <c r="Q291" s="418"/>
    </row>
    <row r="292" customFormat="false" ht="12" hidden="false" customHeight="false" outlineLevel="0" collapsed="false">
      <c r="B292" s="419" t="n">
        <f aca="false">EOMONTH(B291,0)+1</f>
        <v>45139</v>
      </c>
      <c r="C292" s="454"/>
      <c r="D292" s="454"/>
      <c r="E292" s="418" t="n">
        <v>0.6</v>
      </c>
      <c r="F292" s="454"/>
      <c r="G292" s="454"/>
      <c r="H292" s="418"/>
      <c r="I292" s="418"/>
      <c r="J292" s="418"/>
      <c r="K292" s="418"/>
      <c r="L292" s="418"/>
      <c r="M292" s="419" t="n">
        <f aca="false">EOMONTH(M291,0)+1</f>
        <v>1706</v>
      </c>
      <c r="N292" s="418"/>
      <c r="O292" s="418"/>
      <c r="P292" s="418"/>
      <c r="Q292" s="418"/>
    </row>
    <row r="293" customFormat="false" ht="12" hidden="false" customHeight="false" outlineLevel="0" collapsed="false">
      <c r="B293" s="419" t="n">
        <f aca="false">EOMONTH(B292,0)+1</f>
        <v>45170</v>
      </c>
      <c r="C293" s="454"/>
      <c r="D293" s="454"/>
      <c r="E293" s="418" t="n">
        <v>0.55</v>
      </c>
      <c r="F293" s="454"/>
      <c r="G293" s="454"/>
      <c r="H293" s="418"/>
      <c r="I293" s="418"/>
      <c r="J293" s="418"/>
      <c r="K293" s="418"/>
      <c r="L293" s="418"/>
      <c r="M293" s="419" t="n">
        <f aca="false">EOMONTH(M292,0)+1</f>
        <v>1736</v>
      </c>
      <c r="N293" s="418"/>
      <c r="O293" s="418"/>
      <c r="P293" s="418"/>
      <c r="Q293" s="418"/>
    </row>
    <row r="294" customFormat="false" ht="12" hidden="false" customHeight="false" outlineLevel="0" collapsed="false">
      <c r="B294" s="419" t="n">
        <f aca="false">EOMONTH(B293,0)+1</f>
        <v>45200</v>
      </c>
      <c r="C294" s="454"/>
      <c r="D294" s="454"/>
      <c r="E294" s="418" t="n">
        <v>0.6</v>
      </c>
      <c r="F294" s="454"/>
      <c r="G294" s="454"/>
      <c r="H294" s="418"/>
      <c r="I294" s="418"/>
      <c r="J294" s="418"/>
      <c r="K294" s="418"/>
      <c r="L294" s="418"/>
      <c r="M294" s="419" t="n">
        <f aca="false">EOMONTH(M293,0)+1</f>
        <v>1767</v>
      </c>
      <c r="N294" s="418"/>
      <c r="O294" s="418"/>
      <c r="P294" s="418"/>
      <c r="Q294" s="418"/>
    </row>
    <row r="295" customFormat="false" ht="12" hidden="false" customHeight="false" outlineLevel="0" collapsed="false">
      <c r="B295" s="419" t="n">
        <f aca="false">EOMONTH(B294,0)+1</f>
        <v>45231</v>
      </c>
      <c r="C295" s="454"/>
      <c r="D295" s="454"/>
      <c r="E295" s="418" t="n">
        <v>0.8</v>
      </c>
      <c r="F295" s="454"/>
      <c r="G295" s="454"/>
      <c r="H295" s="418"/>
      <c r="I295" s="418"/>
      <c r="J295" s="418"/>
      <c r="K295" s="418"/>
      <c r="L295" s="418"/>
      <c r="M295" s="419" t="n">
        <f aca="false">EOMONTH(M294,0)+1</f>
        <v>1797</v>
      </c>
      <c r="N295" s="418"/>
      <c r="O295" s="418"/>
      <c r="P295" s="418"/>
      <c r="Q295" s="418"/>
    </row>
    <row r="296" customFormat="false" ht="12" hidden="false" customHeight="false" outlineLevel="0" collapsed="false">
      <c r="B296" s="419" t="n">
        <f aca="false">EOMONTH(B295,0)+1</f>
        <v>45261</v>
      </c>
      <c r="C296" s="454"/>
      <c r="D296" s="454"/>
      <c r="E296" s="418" t="n">
        <v>1</v>
      </c>
      <c r="F296" s="454"/>
      <c r="G296" s="454"/>
      <c r="H296" s="418"/>
      <c r="I296" s="418"/>
      <c r="J296" s="418"/>
      <c r="K296" s="418"/>
      <c r="L296" s="418"/>
      <c r="M296" s="419" t="n">
        <f aca="false">EOMONTH(M295,0)+1</f>
        <v>1828</v>
      </c>
      <c r="N296" s="418"/>
      <c r="O296" s="418"/>
      <c r="P296" s="418"/>
      <c r="Q296" s="418"/>
    </row>
    <row r="297" customFormat="false" ht="12" hidden="false" customHeight="false" outlineLevel="0" collapsed="false">
      <c r="B297" s="419" t="n">
        <f aca="false">EOMONTH(B296,0)+1</f>
        <v>45292</v>
      </c>
      <c r="C297" s="454"/>
      <c r="D297" s="454"/>
      <c r="E297" s="418" t="n">
        <v>1</v>
      </c>
      <c r="F297" s="454"/>
      <c r="G297" s="454"/>
      <c r="H297" s="418"/>
      <c r="I297" s="418"/>
      <c r="J297" s="418"/>
      <c r="K297" s="418"/>
      <c r="L297" s="418"/>
      <c r="M297" s="419" t="n">
        <f aca="false">EOMONTH(M296,0)+1</f>
        <v>1859</v>
      </c>
      <c r="N297" s="418"/>
      <c r="O297" s="418"/>
      <c r="P297" s="418"/>
      <c r="Q297" s="418"/>
    </row>
    <row r="298" customFormat="false" ht="12" hidden="false" customHeight="false" outlineLevel="0" collapsed="false">
      <c r="B298" s="419" t="n">
        <f aca="false">EOMONTH(B297,0)+1</f>
        <v>45323</v>
      </c>
      <c r="C298" s="454"/>
      <c r="D298" s="454"/>
      <c r="E298" s="418" t="n">
        <v>1</v>
      </c>
      <c r="F298" s="454"/>
      <c r="G298" s="454"/>
      <c r="H298" s="418"/>
      <c r="I298" s="418"/>
      <c r="J298" s="418"/>
      <c r="K298" s="418"/>
      <c r="L298" s="418"/>
      <c r="M298" s="419" t="n">
        <f aca="false">EOMONTH(M297,0)+1</f>
        <v>1887</v>
      </c>
      <c r="N298" s="418"/>
      <c r="O298" s="418"/>
      <c r="P298" s="418"/>
      <c r="Q298" s="418"/>
    </row>
    <row r="299" customFormat="false" ht="12" hidden="false" customHeight="false" outlineLevel="0" collapsed="false">
      <c r="B299" s="419" t="n">
        <f aca="false">EOMONTH(B298,0)+1</f>
        <v>45352</v>
      </c>
      <c r="C299" s="454"/>
      <c r="D299" s="454"/>
      <c r="E299" s="418" t="n">
        <v>0.75</v>
      </c>
      <c r="F299" s="454"/>
      <c r="G299" s="454"/>
      <c r="H299" s="418"/>
      <c r="I299" s="418"/>
      <c r="J299" s="418"/>
      <c r="K299" s="418"/>
      <c r="L299" s="418"/>
      <c r="M299" s="419" t="n">
        <f aca="false">EOMONTH(M298,0)+1</f>
        <v>1918</v>
      </c>
      <c r="N299" s="418"/>
      <c r="O299" s="418"/>
      <c r="P299" s="418"/>
      <c r="Q299" s="418"/>
    </row>
    <row r="300" customFormat="false" ht="12" hidden="false" customHeight="false" outlineLevel="0" collapsed="false">
      <c r="B300" s="419" t="n">
        <f aca="false">EOMONTH(B299,0)+1</f>
        <v>45383</v>
      </c>
      <c r="C300" s="454"/>
      <c r="D300" s="454"/>
      <c r="E300" s="418" t="n">
        <v>0.45</v>
      </c>
      <c r="F300" s="454"/>
      <c r="G300" s="454"/>
      <c r="H300" s="418"/>
      <c r="I300" s="418"/>
      <c r="J300" s="418"/>
      <c r="K300" s="418"/>
      <c r="L300" s="418"/>
      <c r="M300" s="419" t="n">
        <f aca="false">EOMONTH(M299,0)+1</f>
        <v>1948</v>
      </c>
      <c r="N300" s="418"/>
      <c r="O300" s="418"/>
      <c r="P300" s="418"/>
      <c r="Q300" s="418"/>
    </row>
    <row r="301" customFormat="false" ht="12" hidden="false" customHeight="false" outlineLevel="0" collapsed="false">
      <c r="B301" s="419" t="n">
        <f aca="false">EOMONTH(B300,0)+1</f>
        <v>45413</v>
      </c>
      <c r="C301" s="454"/>
      <c r="D301" s="454"/>
      <c r="E301" s="418" t="n">
        <v>0.4</v>
      </c>
      <c r="F301" s="454"/>
      <c r="G301" s="454"/>
      <c r="H301" s="418"/>
      <c r="I301" s="418"/>
      <c r="J301" s="418"/>
      <c r="K301" s="418"/>
      <c r="L301" s="418"/>
      <c r="M301" s="419" t="n">
        <f aca="false">EOMONTH(M300,0)+1</f>
        <v>1979</v>
      </c>
      <c r="N301" s="418"/>
      <c r="O301" s="418"/>
      <c r="P301" s="418"/>
      <c r="Q301" s="418"/>
    </row>
    <row r="302" customFormat="false" ht="12" hidden="false" customHeight="false" outlineLevel="0" collapsed="false">
      <c r="B302" s="419" t="n">
        <f aca="false">EOMONTH(B301,0)+1</f>
        <v>45444</v>
      </c>
      <c r="C302" s="454"/>
      <c r="D302" s="454"/>
      <c r="E302" s="418" t="n">
        <v>0.5</v>
      </c>
      <c r="F302" s="454"/>
      <c r="G302" s="454"/>
      <c r="H302" s="418"/>
      <c r="I302" s="418"/>
      <c r="J302" s="418"/>
      <c r="K302" s="418"/>
      <c r="L302" s="418"/>
      <c r="M302" s="419" t="n">
        <f aca="false">EOMONTH(M301,0)+1</f>
        <v>2009</v>
      </c>
      <c r="N302" s="418"/>
      <c r="O302" s="418"/>
      <c r="P302" s="418"/>
      <c r="Q302" s="418"/>
    </row>
    <row r="303" customFormat="false" ht="12" hidden="false" customHeight="false" outlineLevel="0" collapsed="false">
      <c r="B303" s="419" t="n">
        <f aca="false">EOMONTH(B302,0)+1</f>
        <v>45474</v>
      </c>
      <c r="C303" s="454"/>
      <c r="D303" s="454"/>
      <c r="E303" s="418" t="n">
        <v>0.5</v>
      </c>
      <c r="F303" s="454"/>
      <c r="G303" s="454"/>
      <c r="H303" s="418"/>
      <c r="I303" s="418"/>
      <c r="J303" s="418"/>
      <c r="K303" s="418"/>
      <c r="L303" s="418"/>
      <c r="M303" s="419" t="n">
        <f aca="false">EOMONTH(M302,0)+1</f>
        <v>2040</v>
      </c>
      <c r="N303" s="418"/>
      <c r="O303" s="418"/>
      <c r="P303" s="418"/>
      <c r="Q303" s="418"/>
    </row>
    <row r="304" customFormat="false" ht="12" hidden="false" customHeight="false" outlineLevel="0" collapsed="false">
      <c r="B304" s="419" t="n">
        <f aca="false">EOMONTH(B303,0)+1</f>
        <v>45505</v>
      </c>
      <c r="C304" s="454"/>
      <c r="D304" s="454"/>
      <c r="E304" s="420" t="n">
        <v>0.6</v>
      </c>
      <c r="F304" s="454"/>
      <c r="G304" s="454"/>
      <c r="M304" s="419" t="n">
        <f aca="false">EOMONTH(M303,0)+1</f>
        <v>2071</v>
      </c>
      <c r="AL304" s="437"/>
      <c r="AM304" s="437"/>
      <c r="AN304" s="437"/>
      <c r="AO304" s="437"/>
    </row>
    <row r="305" customFormat="false" ht="12" hidden="false" customHeight="false" outlineLevel="0" collapsed="false">
      <c r="B305" s="419" t="n">
        <f aca="false">EOMONTH(B304,0)+1</f>
        <v>45536</v>
      </c>
      <c r="C305" s="454"/>
      <c r="D305" s="454"/>
      <c r="E305" s="420" t="n">
        <v>0.55</v>
      </c>
      <c r="F305" s="454"/>
      <c r="G305" s="454"/>
      <c r="M305" s="419" t="n">
        <f aca="false">EOMONTH(M304,0)+1</f>
        <v>2101</v>
      </c>
      <c r="AL305" s="437"/>
      <c r="AM305" s="437"/>
      <c r="AN305" s="437"/>
      <c r="AO305" s="437"/>
    </row>
    <row r="306" customFormat="false" ht="12" hidden="false" customHeight="false" outlineLevel="0" collapsed="false">
      <c r="B306" s="419" t="n">
        <f aca="false">EOMONTH(B305,0)+1</f>
        <v>45566</v>
      </c>
      <c r="C306" s="454"/>
      <c r="D306" s="454"/>
      <c r="E306" s="420" t="n">
        <v>0.6</v>
      </c>
      <c r="F306" s="454"/>
      <c r="G306" s="454"/>
      <c r="M306" s="419" t="n">
        <f aca="false">EOMONTH(M305,0)+1</f>
        <v>2132</v>
      </c>
      <c r="AL306" s="437"/>
      <c r="AM306" s="437"/>
      <c r="AN306" s="437"/>
      <c r="AO306" s="437"/>
    </row>
    <row r="307" customFormat="false" ht="12" hidden="false" customHeight="false" outlineLevel="0" collapsed="false">
      <c r="B307" s="419" t="n">
        <f aca="false">EOMONTH(B306,0)+1</f>
        <v>45597</v>
      </c>
      <c r="C307" s="454"/>
      <c r="D307" s="454"/>
      <c r="E307" s="420" t="n">
        <v>0.8</v>
      </c>
      <c r="F307" s="454"/>
      <c r="G307" s="454"/>
      <c r="M307" s="419" t="n">
        <f aca="false">EOMONTH(M306,0)+1</f>
        <v>2162</v>
      </c>
      <c r="AL307" s="437"/>
      <c r="AM307" s="437"/>
      <c r="AN307" s="437"/>
      <c r="AO307" s="437"/>
    </row>
    <row r="308" customFormat="false" ht="12" hidden="false" customHeight="false" outlineLevel="0" collapsed="false">
      <c r="B308" s="419" t="n">
        <f aca="false">EOMONTH(B307,0)+1</f>
        <v>45627</v>
      </c>
      <c r="C308" s="454"/>
      <c r="D308" s="454"/>
      <c r="E308" s="420" t="n">
        <v>1</v>
      </c>
      <c r="F308" s="454"/>
      <c r="G308" s="454"/>
      <c r="M308" s="419" t="n">
        <f aca="false">EOMONTH(M307,0)+1</f>
        <v>2193</v>
      </c>
      <c r="AL308" s="437"/>
      <c r="AM308" s="437"/>
      <c r="AN308" s="437"/>
      <c r="AO308" s="437"/>
    </row>
    <row r="309" customFormat="false" ht="12" hidden="false" customHeight="false" outlineLevel="0" collapsed="false">
      <c r="B309" s="419" t="n">
        <f aca="false">EOMONTH(B308,0)+1</f>
        <v>45658</v>
      </c>
      <c r="C309" s="454"/>
      <c r="D309" s="454"/>
      <c r="E309" s="420" t="n">
        <v>1</v>
      </c>
      <c r="F309" s="454"/>
      <c r="G309" s="454"/>
      <c r="M309" s="419" t="n">
        <f aca="false">EOMONTH(M308,0)+1</f>
        <v>2224</v>
      </c>
      <c r="AL309" s="437"/>
      <c r="AM309" s="437"/>
      <c r="AN309" s="437"/>
      <c r="AO309" s="437"/>
    </row>
    <row r="310" customFormat="false" ht="12" hidden="false" customHeight="false" outlineLevel="0" collapsed="false">
      <c r="B310" s="419" t="n">
        <f aca="false">EOMONTH(B309,0)+1</f>
        <v>45689</v>
      </c>
      <c r="C310" s="454"/>
      <c r="D310" s="454"/>
      <c r="E310" s="420" t="n">
        <v>1</v>
      </c>
      <c r="F310" s="454"/>
      <c r="G310" s="454"/>
      <c r="M310" s="419" t="n">
        <f aca="false">EOMONTH(M309,0)+1</f>
        <v>2252</v>
      </c>
      <c r="AL310" s="437"/>
      <c r="AM310" s="437"/>
      <c r="AN310" s="437"/>
      <c r="AO310" s="437"/>
    </row>
    <row r="311" customFormat="false" ht="12" hidden="false" customHeight="false" outlineLevel="0" collapsed="false">
      <c r="B311" s="419" t="n">
        <f aca="false">EOMONTH(B310,0)+1</f>
        <v>45717</v>
      </c>
      <c r="C311" s="454"/>
      <c r="D311" s="454"/>
      <c r="E311" s="420" t="n">
        <v>0.75</v>
      </c>
      <c r="F311" s="454"/>
      <c r="G311" s="454"/>
      <c r="M311" s="419" t="n">
        <f aca="false">EOMONTH(M310,0)+1</f>
        <v>2283</v>
      </c>
      <c r="AL311" s="437"/>
      <c r="AM311" s="437"/>
      <c r="AN311" s="437"/>
      <c r="AO311" s="437"/>
    </row>
    <row r="312" customFormat="false" ht="12" hidden="false" customHeight="false" outlineLevel="0" collapsed="false">
      <c r="E312" s="420" t="n">
        <v>0.45</v>
      </c>
      <c r="AL312" s="437"/>
      <c r="AM312" s="437"/>
      <c r="AN312" s="437"/>
      <c r="AO312" s="437"/>
    </row>
    <row r="313" customFormat="false" ht="12" hidden="false" customHeight="false" outlineLevel="0" collapsed="false">
      <c r="E313" s="420" t="n">
        <v>0.4</v>
      </c>
      <c r="AL313" s="437"/>
      <c r="AM313" s="437"/>
      <c r="AN313" s="437"/>
      <c r="AO313" s="437"/>
    </row>
    <row r="314" customFormat="false" ht="12" hidden="false" customHeight="false" outlineLevel="0" collapsed="false">
      <c r="E314" s="420" t="n">
        <v>0.5</v>
      </c>
      <c r="AL314" s="437"/>
      <c r="AM314" s="437"/>
      <c r="AN314" s="437"/>
      <c r="AO314" s="437"/>
    </row>
    <row r="315" customFormat="false" ht="12" hidden="false" customHeight="false" outlineLevel="0" collapsed="false">
      <c r="E315" s="420" t="n">
        <v>0.5</v>
      </c>
      <c r="AL315" s="437"/>
      <c r="AM315" s="437"/>
      <c r="AN315" s="437"/>
      <c r="AO315" s="437"/>
    </row>
    <row r="316" customFormat="false" ht="12" hidden="false" customHeight="false" outlineLevel="0" collapsed="false">
      <c r="E316" s="420" t="n">
        <v>0.6</v>
      </c>
      <c r="AL316" s="437"/>
      <c r="AM316" s="437"/>
      <c r="AN316" s="437"/>
      <c r="AO316" s="437"/>
    </row>
    <row r="317" customFormat="false" ht="12" hidden="false" customHeight="false" outlineLevel="0" collapsed="false">
      <c r="E317" s="420" t="n">
        <v>0.55</v>
      </c>
      <c r="AL317" s="437"/>
      <c r="AM317" s="437"/>
      <c r="AN317" s="437"/>
      <c r="AO317" s="437"/>
    </row>
    <row r="318" customFormat="false" ht="12" hidden="false" customHeight="false" outlineLevel="0" collapsed="false">
      <c r="E318" s="420" t="n">
        <v>0.6</v>
      </c>
      <c r="AL318" s="437"/>
      <c r="AM318" s="437"/>
      <c r="AN318" s="437"/>
      <c r="AO318" s="437"/>
    </row>
    <row r="319" customFormat="false" ht="12" hidden="false" customHeight="false" outlineLevel="0" collapsed="false">
      <c r="E319" s="420" t="n">
        <v>0.8</v>
      </c>
      <c r="AL319" s="437"/>
      <c r="AM319" s="437"/>
      <c r="AN319" s="437"/>
      <c r="AO319" s="437"/>
    </row>
    <row r="320" customFormat="false" ht="12" hidden="false" customHeight="false" outlineLevel="0" collapsed="false">
      <c r="E320" s="420" t="n">
        <v>1</v>
      </c>
      <c r="AL320" s="437"/>
      <c r="AM320" s="437"/>
      <c r="AN320" s="437"/>
      <c r="AO320" s="437"/>
    </row>
    <row r="321" customFormat="false" ht="12" hidden="false" customHeight="false" outlineLevel="0" collapsed="false">
      <c r="E321" s="420" t="n">
        <v>1</v>
      </c>
      <c r="AL321" s="437"/>
      <c r="AM321" s="437"/>
      <c r="AN321" s="437"/>
      <c r="AO321" s="437"/>
    </row>
    <row r="322" customFormat="false" ht="12" hidden="false" customHeight="false" outlineLevel="0" collapsed="false">
      <c r="E322" s="420" t="n">
        <v>1</v>
      </c>
      <c r="AL322" s="437"/>
      <c r="AM322" s="437"/>
      <c r="AN322" s="437"/>
      <c r="AO322" s="437"/>
    </row>
    <row r="323" customFormat="false" ht="12" hidden="false" customHeight="false" outlineLevel="0" collapsed="false">
      <c r="E323" s="420" t="n">
        <v>0.75</v>
      </c>
      <c r="AL323" s="437"/>
      <c r="AM323" s="437"/>
      <c r="AN323" s="437"/>
      <c r="AO323" s="437"/>
    </row>
    <row r="324" customFormat="false" ht="12" hidden="false" customHeight="false" outlineLevel="0" collapsed="false">
      <c r="E324" s="420" t="n">
        <v>0.45</v>
      </c>
      <c r="AL324" s="437"/>
      <c r="AM324" s="437"/>
      <c r="AN324" s="437"/>
      <c r="AO324" s="437"/>
    </row>
    <row r="325" customFormat="false" ht="12" hidden="false" customHeight="false" outlineLevel="0" collapsed="false">
      <c r="E325" s="420" t="n">
        <v>0.4</v>
      </c>
      <c r="AL325" s="437"/>
      <c r="AM325" s="437"/>
      <c r="AN325" s="437"/>
      <c r="AO325" s="437"/>
    </row>
    <row r="326" customFormat="false" ht="12" hidden="false" customHeight="false" outlineLevel="0" collapsed="false">
      <c r="E326" s="420" t="n">
        <v>0.5</v>
      </c>
      <c r="AL326" s="437"/>
      <c r="AM326" s="437"/>
      <c r="AN326" s="437"/>
      <c r="AO326" s="437"/>
    </row>
    <row r="327" customFormat="false" ht="12" hidden="false" customHeight="false" outlineLevel="0" collapsed="false">
      <c r="E327" s="420" t="n">
        <v>0.5</v>
      </c>
      <c r="AL327" s="437"/>
      <c r="AM327" s="437"/>
      <c r="AN327" s="437"/>
      <c r="AO327" s="437"/>
    </row>
    <row r="328" customFormat="false" ht="12" hidden="false" customHeight="false" outlineLevel="0" collapsed="false">
      <c r="E328" s="420" t="n">
        <v>0.6</v>
      </c>
      <c r="AL328" s="437"/>
      <c r="AM328" s="437"/>
      <c r="AN328" s="437"/>
      <c r="AO328" s="437"/>
    </row>
    <row r="329" customFormat="false" ht="12" hidden="false" customHeight="false" outlineLevel="0" collapsed="false">
      <c r="E329" s="420" t="n">
        <v>0.55</v>
      </c>
      <c r="AL329" s="437"/>
      <c r="AM329" s="437"/>
      <c r="AN329" s="437"/>
      <c r="AO329" s="437"/>
    </row>
    <row r="330" customFormat="false" ht="12" hidden="false" customHeight="false" outlineLevel="0" collapsed="false">
      <c r="E330" s="420" t="n">
        <v>0.6</v>
      </c>
      <c r="AL330" s="437"/>
      <c r="AM330" s="437"/>
      <c r="AN330" s="437"/>
      <c r="AO330" s="437"/>
    </row>
    <row r="331" customFormat="false" ht="12" hidden="false" customHeight="false" outlineLevel="0" collapsed="false">
      <c r="E331" s="420" t="n">
        <v>0.8</v>
      </c>
      <c r="AL331" s="437"/>
      <c r="AM331" s="437"/>
      <c r="AN331" s="437"/>
      <c r="AO331" s="437"/>
    </row>
    <row r="332" customFormat="false" ht="12" hidden="false" customHeight="false" outlineLevel="0" collapsed="false">
      <c r="E332" s="420" t="n">
        <v>1</v>
      </c>
      <c r="AL332" s="437"/>
      <c r="AM332" s="437"/>
      <c r="AN332" s="437"/>
      <c r="AO332" s="437"/>
    </row>
    <row r="333" customFormat="false" ht="12" hidden="false" customHeight="false" outlineLevel="0" collapsed="false">
      <c r="E333" s="420" t="n">
        <v>1</v>
      </c>
      <c r="AL333" s="437"/>
      <c r="AM333" s="437"/>
      <c r="AN333" s="437"/>
      <c r="AO333" s="437"/>
    </row>
    <row r="334" customFormat="false" ht="12" hidden="false" customHeight="false" outlineLevel="0" collapsed="false">
      <c r="E334" s="420" t="n">
        <v>1</v>
      </c>
      <c r="AL334" s="437"/>
      <c r="AM334" s="437"/>
      <c r="AN334" s="437"/>
      <c r="AO334" s="437"/>
    </row>
    <row r="335" customFormat="false" ht="12" hidden="false" customHeight="false" outlineLevel="0" collapsed="false">
      <c r="E335" s="420" t="n">
        <v>0.75</v>
      </c>
      <c r="AL335" s="437"/>
      <c r="AM335" s="437"/>
      <c r="AN335" s="437"/>
      <c r="AO335" s="437"/>
    </row>
    <row r="336" customFormat="false" ht="12" hidden="false" customHeight="false" outlineLevel="0" collapsed="false">
      <c r="E336" s="420" t="n">
        <v>0.45</v>
      </c>
      <c r="AL336" s="437"/>
      <c r="AM336" s="437"/>
      <c r="AN336" s="437"/>
      <c r="AO336" s="437"/>
    </row>
    <row r="337" customFormat="false" ht="12" hidden="false" customHeight="false" outlineLevel="0" collapsed="false">
      <c r="E337" s="420" t="n">
        <v>0.4</v>
      </c>
      <c r="AL337" s="437"/>
      <c r="AM337" s="437"/>
      <c r="AN337" s="437"/>
      <c r="AO337" s="437"/>
    </row>
    <row r="338" customFormat="false" ht="12" hidden="false" customHeight="false" outlineLevel="0" collapsed="false">
      <c r="E338" s="420" t="n">
        <v>0.5</v>
      </c>
      <c r="AL338" s="437"/>
      <c r="AM338" s="437"/>
      <c r="AN338" s="437"/>
      <c r="AO338" s="437"/>
    </row>
    <row r="339" customFormat="false" ht="12" hidden="false" customHeight="false" outlineLevel="0" collapsed="false">
      <c r="E339" s="420" t="n">
        <v>0.5</v>
      </c>
      <c r="AL339" s="437"/>
      <c r="AM339" s="437"/>
      <c r="AN339" s="437"/>
      <c r="AO339" s="437"/>
    </row>
    <row r="340" customFormat="false" ht="12" hidden="false" customHeight="false" outlineLevel="0" collapsed="false">
      <c r="E340" s="420" t="n">
        <v>0.6</v>
      </c>
      <c r="AL340" s="437"/>
      <c r="AM340" s="437"/>
      <c r="AN340" s="437"/>
      <c r="AO340" s="437"/>
    </row>
    <row r="341" customFormat="false" ht="12" hidden="false" customHeight="false" outlineLevel="0" collapsed="false">
      <c r="E341" s="420" t="n">
        <v>0.55</v>
      </c>
      <c r="AL341" s="437"/>
      <c r="AM341" s="437"/>
      <c r="AN341" s="437"/>
      <c r="AO341" s="437"/>
    </row>
    <row r="342" customFormat="false" ht="12" hidden="false" customHeight="false" outlineLevel="0" collapsed="false">
      <c r="E342" s="420" t="n">
        <v>0.6</v>
      </c>
      <c r="AL342" s="437"/>
      <c r="AM342" s="437"/>
      <c r="AN342" s="437"/>
      <c r="AO342" s="437"/>
    </row>
    <row r="343" customFormat="false" ht="12" hidden="false" customHeight="false" outlineLevel="0" collapsed="false">
      <c r="E343" s="420" t="n">
        <v>0.8</v>
      </c>
      <c r="AL343" s="437"/>
      <c r="AM343" s="437"/>
      <c r="AN343" s="437"/>
      <c r="AO343" s="437"/>
    </row>
    <row r="344" customFormat="false" ht="12" hidden="false" customHeight="false" outlineLevel="0" collapsed="false">
      <c r="E344" s="420" t="n">
        <v>1</v>
      </c>
      <c r="AL344" s="437"/>
      <c r="AM344" s="437"/>
      <c r="AN344" s="437"/>
      <c r="AO344" s="437"/>
    </row>
    <row r="345" customFormat="false" ht="12" hidden="false" customHeight="false" outlineLevel="0" collapsed="false">
      <c r="AL345" s="437"/>
      <c r="AM345" s="437"/>
      <c r="AN345" s="437"/>
      <c r="AO345" s="437"/>
    </row>
    <row r="346" customFormat="false" ht="12" hidden="false" customHeight="false" outlineLevel="0" collapsed="false">
      <c r="AL346" s="437"/>
      <c r="AM346" s="437"/>
      <c r="AN346" s="437"/>
      <c r="AO346" s="437"/>
    </row>
    <row r="347" customFormat="false" ht="12" hidden="false" customHeight="false" outlineLevel="0" collapsed="false">
      <c r="AL347" s="437"/>
      <c r="AM347" s="437"/>
      <c r="AN347" s="437"/>
      <c r="AO347" s="437"/>
    </row>
    <row r="348" customFormat="false" ht="12" hidden="false" customHeight="false" outlineLevel="0" collapsed="false">
      <c r="AL348" s="437"/>
      <c r="AM348" s="437"/>
      <c r="AN348" s="437"/>
      <c r="AO348" s="437"/>
    </row>
    <row r="349" customFormat="false" ht="12" hidden="false" customHeight="false" outlineLevel="0" collapsed="false">
      <c r="AL349" s="437"/>
      <c r="AM349" s="437"/>
      <c r="AN349" s="437"/>
      <c r="AO349" s="437"/>
    </row>
    <row r="350" customFormat="false" ht="12" hidden="false" customHeight="false" outlineLevel="0" collapsed="false">
      <c r="AL350" s="437"/>
      <c r="AM350" s="437"/>
      <c r="AN350" s="437"/>
      <c r="AO350" s="437"/>
    </row>
    <row r="351" customFormat="false" ht="12" hidden="false" customHeight="false" outlineLevel="0" collapsed="false">
      <c r="AL351" s="437"/>
      <c r="AM351" s="437"/>
      <c r="AN351" s="437"/>
      <c r="AO351" s="437"/>
    </row>
    <row r="352" customFormat="false" ht="12" hidden="false" customHeight="false" outlineLevel="0" collapsed="false">
      <c r="AL352" s="437"/>
      <c r="AM352" s="437"/>
      <c r="AN352" s="437"/>
      <c r="AO352" s="437"/>
    </row>
    <row r="353" customFormat="false" ht="12" hidden="false" customHeight="false" outlineLevel="0" collapsed="false">
      <c r="AL353" s="437"/>
      <c r="AM353" s="437"/>
      <c r="AN353" s="437"/>
      <c r="AO353" s="437"/>
    </row>
    <row r="354" customFormat="false" ht="12" hidden="false" customHeight="false" outlineLevel="0" collapsed="false">
      <c r="AL354" s="437"/>
      <c r="AM354" s="437"/>
      <c r="AN354" s="437"/>
      <c r="AO354" s="437"/>
    </row>
    <row r="355" customFormat="false" ht="12" hidden="false" customHeight="false" outlineLevel="0" collapsed="false">
      <c r="AL355" s="437"/>
      <c r="AM355" s="437"/>
      <c r="AN355" s="437"/>
      <c r="AO355" s="437"/>
    </row>
    <row r="356" customFormat="false" ht="12" hidden="false" customHeight="false" outlineLevel="0" collapsed="false">
      <c r="AL356" s="437"/>
      <c r="AM356" s="437"/>
      <c r="AN356" s="437"/>
      <c r="AO356" s="437"/>
    </row>
    <row r="357" customFormat="false" ht="12" hidden="false" customHeight="false" outlineLevel="0" collapsed="false">
      <c r="AL357" s="437"/>
      <c r="AM357" s="437"/>
      <c r="AN357" s="437"/>
      <c r="AO357" s="437"/>
    </row>
    <row r="358" customFormat="false" ht="12" hidden="false" customHeight="false" outlineLevel="0" collapsed="false">
      <c r="AL358" s="437"/>
      <c r="AM358" s="437"/>
      <c r="AN358" s="437"/>
      <c r="AO358" s="437"/>
    </row>
    <row r="359" customFormat="false" ht="12" hidden="false" customHeight="false" outlineLevel="0" collapsed="false">
      <c r="AL359" s="437"/>
      <c r="AM359" s="437"/>
      <c r="AN359" s="437"/>
      <c r="AO359" s="437"/>
    </row>
    <row r="360" customFormat="false" ht="12" hidden="false" customHeight="false" outlineLevel="0" collapsed="false">
      <c r="AL360" s="437"/>
      <c r="AM360" s="437"/>
      <c r="AN360" s="437"/>
      <c r="AO360" s="437"/>
    </row>
    <row r="361" customFormat="false" ht="12" hidden="false" customHeight="false" outlineLevel="0" collapsed="false">
      <c r="AL361" s="437"/>
      <c r="AM361" s="437"/>
      <c r="AN361" s="437"/>
      <c r="AO361" s="437"/>
    </row>
    <row r="362" customFormat="false" ht="12" hidden="false" customHeight="false" outlineLevel="0" collapsed="false">
      <c r="AL362" s="437"/>
      <c r="AM362" s="437"/>
      <c r="AN362" s="437"/>
      <c r="AO362" s="437"/>
    </row>
    <row r="363" customFormat="false" ht="12" hidden="false" customHeight="false" outlineLevel="0" collapsed="false">
      <c r="AL363" s="437"/>
      <c r="AM363" s="437"/>
      <c r="AN363" s="437"/>
      <c r="AO363" s="437"/>
    </row>
    <row r="364" customFormat="false" ht="12" hidden="false" customHeight="false" outlineLevel="0" collapsed="false">
      <c r="AL364" s="437"/>
      <c r="AM364" s="437"/>
      <c r="AN364" s="437"/>
      <c r="AO364" s="437"/>
    </row>
    <row r="365" customFormat="false" ht="12" hidden="false" customHeight="false" outlineLevel="0" collapsed="false">
      <c r="AL365" s="437"/>
      <c r="AM365" s="437"/>
      <c r="AN365" s="437"/>
      <c r="AO365" s="437"/>
    </row>
    <row r="366" customFormat="false" ht="12" hidden="false" customHeight="false" outlineLevel="0" collapsed="false">
      <c r="AL366" s="437"/>
      <c r="AM366" s="437"/>
      <c r="AN366" s="437"/>
      <c r="AO366" s="437"/>
    </row>
    <row r="367" customFormat="false" ht="12" hidden="false" customHeight="false" outlineLevel="0" collapsed="false">
      <c r="AL367" s="437"/>
      <c r="AM367" s="437"/>
      <c r="AN367" s="437"/>
      <c r="AO367" s="437"/>
    </row>
    <row r="389" customFormat="false" ht="12" hidden="false" customHeight="false" outlineLevel="0" collapsed="false">
      <c r="F389" s="454"/>
      <c r="G389" s="454"/>
    </row>
    <row r="390" customFormat="false" ht="12" hidden="false" customHeight="false" outlineLevel="0" collapsed="false">
      <c r="F390" s="454"/>
      <c r="G390" s="454"/>
    </row>
    <row r="391" customFormat="false" ht="12" hidden="false" customHeight="false" outlineLevel="0" collapsed="false">
      <c r="F391" s="454"/>
      <c r="G391" s="454"/>
    </row>
    <row r="392" customFormat="false" ht="12" hidden="false" customHeight="false" outlineLevel="0" collapsed="false">
      <c r="F392" s="454"/>
      <c r="G392" s="454"/>
    </row>
    <row r="393" customFormat="false" ht="12" hidden="false" customHeight="false" outlineLevel="0" collapsed="false">
      <c r="F393" s="454"/>
      <c r="G393" s="454"/>
    </row>
    <row r="394" customFormat="false" ht="12" hidden="false" customHeight="false" outlineLevel="0" collapsed="false">
      <c r="F394" s="454"/>
      <c r="G394" s="454"/>
    </row>
    <row r="395" customFormat="false" ht="12" hidden="false" customHeight="false" outlineLevel="0" collapsed="false">
      <c r="F395" s="454"/>
      <c r="G395" s="454"/>
    </row>
    <row r="396" customFormat="false" ht="12" hidden="false" customHeight="false" outlineLevel="0" collapsed="false">
      <c r="F396" s="454"/>
      <c r="G396" s="454"/>
    </row>
    <row r="397" customFormat="false" ht="12" hidden="false" customHeight="false" outlineLevel="0" collapsed="false">
      <c r="F397" s="454"/>
      <c r="G397" s="454"/>
    </row>
    <row r="398" customFormat="false" ht="12" hidden="false" customHeight="false" outlineLevel="0" collapsed="false">
      <c r="F398" s="454"/>
      <c r="G398" s="454"/>
    </row>
    <row r="399" customFormat="false" ht="12" hidden="false" customHeight="false" outlineLevel="0" collapsed="false">
      <c r="F399" s="454"/>
      <c r="G399" s="454"/>
    </row>
    <row r="400" customFormat="false" ht="12" hidden="false" customHeight="false" outlineLevel="0" collapsed="false">
      <c r="F400" s="454"/>
      <c r="G400" s="454"/>
    </row>
    <row r="401" customFormat="false" ht="12" hidden="false" customHeight="false" outlineLevel="0" collapsed="false">
      <c r="F401" s="454"/>
      <c r="G401" s="454"/>
    </row>
    <row r="402" customFormat="false" ht="12" hidden="false" customHeight="false" outlineLevel="0" collapsed="false">
      <c r="F402" s="454"/>
      <c r="G402" s="454"/>
    </row>
    <row r="403" customFormat="false" ht="12" hidden="false" customHeight="false" outlineLevel="0" collapsed="false">
      <c r="F403" s="454"/>
      <c r="G403" s="454"/>
    </row>
    <row r="404" customFormat="false" ht="12" hidden="false" customHeight="false" outlineLevel="0" collapsed="false">
      <c r="F404" s="454"/>
      <c r="G404" s="454"/>
    </row>
    <row r="405" customFormat="false" ht="12" hidden="false" customHeight="false" outlineLevel="0" collapsed="false">
      <c r="F405" s="454"/>
      <c r="G405" s="454"/>
    </row>
    <row r="406" customFormat="false" ht="12" hidden="false" customHeight="false" outlineLevel="0" collapsed="false">
      <c r="F406" s="454"/>
      <c r="G406" s="454"/>
    </row>
    <row r="407" customFormat="false" ht="12" hidden="false" customHeight="false" outlineLevel="0" collapsed="false">
      <c r="F407" s="454"/>
      <c r="G407" s="454"/>
    </row>
    <row r="408" customFormat="false" ht="12" hidden="false" customHeight="false" outlineLevel="0" collapsed="false">
      <c r="F408" s="454"/>
      <c r="G408" s="454"/>
    </row>
    <row r="409" customFormat="false" ht="12" hidden="false" customHeight="false" outlineLevel="0" collapsed="false">
      <c r="F409" s="454"/>
      <c r="G409" s="454"/>
    </row>
    <row r="410" customFormat="false" ht="12" hidden="false" customHeight="false" outlineLevel="0" collapsed="false">
      <c r="F410" s="454"/>
      <c r="G410" s="454"/>
    </row>
    <row r="411" customFormat="false" ht="12" hidden="false" customHeight="false" outlineLevel="0" collapsed="false">
      <c r="F411" s="454"/>
      <c r="G411" s="454"/>
    </row>
    <row r="412" customFormat="false" ht="12" hidden="false" customHeight="false" outlineLevel="0" collapsed="false">
      <c r="F412" s="454"/>
      <c r="G412" s="454"/>
    </row>
    <row r="413" customFormat="false" ht="12" hidden="false" customHeight="false" outlineLevel="0" collapsed="false">
      <c r="F413" s="454"/>
      <c r="G413" s="454"/>
    </row>
    <row r="414" customFormat="false" ht="12" hidden="false" customHeight="false" outlineLevel="0" collapsed="false">
      <c r="F414" s="454"/>
      <c r="G414" s="454"/>
    </row>
    <row r="415" customFormat="false" ht="12" hidden="false" customHeight="false" outlineLevel="0" collapsed="false">
      <c r="F415" s="454"/>
      <c r="G415" s="454"/>
    </row>
    <row r="416" customFormat="false" ht="12" hidden="false" customHeight="false" outlineLevel="0" collapsed="false">
      <c r="F416" s="454"/>
      <c r="G416" s="454"/>
    </row>
    <row r="417" customFormat="false" ht="12" hidden="false" customHeight="false" outlineLevel="0" collapsed="false">
      <c r="F417" s="454"/>
      <c r="G417" s="454"/>
    </row>
    <row r="418" customFormat="false" ht="12" hidden="false" customHeight="false" outlineLevel="0" collapsed="false">
      <c r="F418" s="454"/>
      <c r="G418" s="454"/>
    </row>
    <row r="419" customFormat="false" ht="12" hidden="false" customHeight="false" outlineLevel="0" collapsed="false">
      <c r="F419" s="454"/>
      <c r="G419" s="454"/>
    </row>
    <row r="420" customFormat="false" ht="12" hidden="false" customHeight="false" outlineLevel="0" collapsed="false">
      <c r="F420" s="454"/>
      <c r="G420" s="454"/>
    </row>
    <row r="421" customFormat="false" ht="12" hidden="false" customHeight="false" outlineLevel="0" collapsed="false">
      <c r="F421" s="454"/>
      <c r="G421" s="454"/>
    </row>
    <row r="422" customFormat="false" ht="12" hidden="false" customHeight="false" outlineLevel="0" collapsed="false">
      <c r="F422" s="454"/>
      <c r="G422" s="454"/>
    </row>
    <row r="423" customFormat="false" ht="12" hidden="false" customHeight="false" outlineLevel="0" collapsed="false">
      <c r="F423" s="454"/>
      <c r="G423" s="454"/>
    </row>
    <row r="424" customFormat="false" ht="12" hidden="false" customHeight="false" outlineLevel="0" collapsed="false">
      <c r="F424" s="454"/>
      <c r="G424" s="454"/>
    </row>
    <row r="425" customFormat="false" ht="12" hidden="false" customHeight="false" outlineLevel="0" collapsed="false">
      <c r="F425" s="454"/>
      <c r="G425" s="454"/>
    </row>
    <row r="426" customFormat="false" ht="12" hidden="false" customHeight="false" outlineLevel="0" collapsed="false">
      <c r="F426" s="454"/>
      <c r="G426" s="454"/>
    </row>
    <row r="427" customFormat="false" ht="12" hidden="false" customHeight="false" outlineLevel="0" collapsed="false">
      <c r="F427" s="454"/>
      <c r="G427" s="454"/>
    </row>
    <row r="428" customFormat="false" ht="12" hidden="false" customHeight="false" outlineLevel="0" collapsed="false">
      <c r="F428" s="454"/>
      <c r="G428" s="454"/>
    </row>
    <row r="429" customFormat="false" ht="12" hidden="false" customHeight="false" outlineLevel="0" collapsed="false">
      <c r="F429" s="454"/>
      <c r="G429" s="454"/>
    </row>
    <row r="430" customFormat="false" ht="12" hidden="false" customHeight="false" outlineLevel="0" collapsed="false">
      <c r="F430" s="454"/>
      <c r="G430" s="454"/>
    </row>
    <row r="431" customFormat="false" ht="12" hidden="false" customHeight="false" outlineLevel="0" collapsed="false">
      <c r="F431" s="454"/>
      <c r="G431" s="454"/>
    </row>
    <row r="432" customFormat="false" ht="12" hidden="false" customHeight="false" outlineLevel="0" collapsed="false">
      <c r="F432" s="454"/>
      <c r="G432" s="454"/>
    </row>
    <row r="433" customFormat="false" ht="12" hidden="false" customHeight="false" outlineLevel="0" collapsed="false">
      <c r="F433" s="454"/>
      <c r="G433" s="454"/>
    </row>
    <row r="434" customFormat="false" ht="12" hidden="false" customHeight="false" outlineLevel="0" collapsed="false">
      <c r="F434" s="454"/>
      <c r="G434" s="454"/>
    </row>
    <row r="435" customFormat="false" ht="12" hidden="false" customHeight="false" outlineLevel="0" collapsed="false">
      <c r="F435" s="454"/>
      <c r="G435" s="454"/>
    </row>
    <row r="436" customFormat="false" ht="12" hidden="false" customHeight="false" outlineLevel="0" collapsed="false">
      <c r="F436" s="454"/>
      <c r="G436" s="454"/>
    </row>
    <row r="437" customFormat="false" ht="12" hidden="false" customHeight="false" outlineLevel="0" collapsed="false">
      <c r="F437" s="454"/>
      <c r="G437" s="454"/>
    </row>
    <row r="438" customFormat="false" ht="12" hidden="false" customHeight="false" outlineLevel="0" collapsed="false">
      <c r="F438" s="454"/>
      <c r="G438" s="454"/>
    </row>
    <row r="439" customFormat="false" ht="12" hidden="false" customHeight="false" outlineLevel="0" collapsed="false">
      <c r="F439" s="454"/>
      <c r="G439" s="454"/>
    </row>
    <row r="440" customFormat="false" ht="12" hidden="false" customHeight="false" outlineLevel="0" collapsed="false">
      <c r="F440" s="454"/>
      <c r="G440" s="454"/>
    </row>
    <row r="441" customFormat="false" ht="12" hidden="false" customHeight="false" outlineLevel="0" collapsed="false">
      <c r="F441" s="454"/>
      <c r="G441" s="454"/>
    </row>
    <row r="442" customFormat="false" ht="12" hidden="false" customHeight="false" outlineLevel="0" collapsed="false">
      <c r="F442" s="454"/>
      <c r="G442" s="454"/>
    </row>
    <row r="443" customFormat="false" ht="12" hidden="false" customHeight="false" outlineLevel="0" collapsed="false">
      <c r="F443" s="454"/>
      <c r="G443" s="454"/>
    </row>
    <row r="444" customFormat="false" ht="12" hidden="false" customHeight="false" outlineLevel="0" collapsed="false">
      <c r="F444" s="454"/>
      <c r="G444" s="454"/>
    </row>
    <row r="445" customFormat="false" ht="12" hidden="false" customHeight="false" outlineLevel="0" collapsed="false">
      <c r="F445" s="454"/>
      <c r="G445" s="454"/>
    </row>
    <row r="446" customFormat="false" ht="12" hidden="false" customHeight="false" outlineLevel="0" collapsed="false">
      <c r="F446" s="454"/>
      <c r="G446" s="454"/>
    </row>
    <row r="447" customFormat="false" ht="12" hidden="false" customHeight="false" outlineLevel="0" collapsed="false">
      <c r="F447" s="454"/>
      <c r="G447" s="454"/>
    </row>
    <row r="448" customFormat="false" ht="12" hidden="false" customHeight="false" outlineLevel="0" collapsed="false">
      <c r="F448" s="454"/>
      <c r="G448" s="454"/>
    </row>
    <row r="449" customFormat="false" ht="12" hidden="false" customHeight="false" outlineLevel="0" collapsed="false">
      <c r="F449" s="454"/>
      <c r="G449" s="454"/>
    </row>
    <row r="450" customFormat="false" ht="12" hidden="false" customHeight="false" outlineLevel="0" collapsed="false">
      <c r="F450" s="454"/>
      <c r="G450" s="454"/>
    </row>
    <row r="451" customFormat="false" ht="12" hidden="false" customHeight="false" outlineLevel="0" collapsed="false">
      <c r="F451" s="454"/>
      <c r="G451" s="454"/>
    </row>
    <row r="452" customFormat="false" ht="12" hidden="false" customHeight="false" outlineLevel="0" collapsed="false">
      <c r="F452" s="454"/>
      <c r="G452" s="454"/>
    </row>
    <row r="453" customFormat="false" ht="12" hidden="false" customHeight="false" outlineLevel="0" collapsed="false">
      <c r="F453" s="454"/>
      <c r="G453" s="454"/>
    </row>
    <row r="454" customFormat="false" ht="12" hidden="false" customHeight="false" outlineLevel="0" collapsed="false">
      <c r="F454" s="454"/>
      <c r="G454" s="454"/>
    </row>
    <row r="455" customFormat="false" ht="12" hidden="false" customHeight="false" outlineLevel="0" collapsed="false">
      <c r="F455" s="454"/>
      <c r="G455" s="454"/>
    </row>
    <row r="456" customFormat="false" ht="12" hidden="false" customHeight="false" outlineLevel="0" collapsed="false">
      <c r="F456" s="454"/>
      <c r="G456" s="454"/>
    </row>
    <row r="457" customFormat="false" ht="12" hidden="false" customHeight="false" outlineLevel="0" collapsed="false">
      <c r="F457" s="454"/>
      <c r="G457" s="454"/>
    </row>
    <row r="458" customFormat="false" ht="12" hidden="false" customHeight="false" outlineLevel="0" collapsed="false">
      <c r="F458" s="454"/>
      <c r="G458" s="454"/>
    </row>
    <row r="459" customFormat="false" ht="12" hidden="false" customHeight="false" outlineLevel="0" collapsed="false">
      <c r="F459" s="454"/>
      <c r="G459" s="454"/>
    </row>
    <row r="460" customFormat="false" ht="12" hidden="false" customHeight="false" outlineLevel="0" collapsed="false">
      <c r="F460" s="454"/>
      <c r="G460" s="454"/>
    </row>
    <row r="461" customFormat="false" ht="12" hidden="false" customHeight="false" outlineLevel="0" collapsed="false">
      <c r="F461" s="454"/>
      <c r="G461" s="454"/>
    </row>
    <row r="462" customFormat="false" ht="12" hidden="false" customHeight="false" outlineLevel="0" collapsed="false">
      <c r="F462" s="454"/>
      <c r="G462" s="454"/>
    </row>
    <row r="463" customFormat="false" ht="12" hidden="false" customHeight="false" outlineLevel="0" collapsed="false">
      <c r="F463" s="454"/>
      <c r="G463" s="454"/>
    </row>
    <row r="464" customFormat="false" ht="12" hidden="false" customHeight="false" outlineLevel="0" collapsed="false">
      <c r="F464" s="454"/>
      <c r="G464" s="454"/>
    </row>
    <row r="465" customFormat="false" ht="12" hidden="false" customHeight="false" outlineLevel="0" collapsed="false">
      <c r="F465" s="454"/>
      <c r="G465" s="454"/>
    </row>
    <row r="466" customFormat="false" ht="12" hidden="false" customHeight="false" outlineLevel="0" collapsed="false">
      <c r="F466" s="454"/>
      <c r="G466" s="454"/>
    </row>
    <row r="467" customFormat="false" ht="12" hidden="false" customHeight="false" outlineLevel="0" collapsed="false">
      <c r="F467" s="454"/>
      <c r="G467" s="454"/>
    </row>
    <row r="468" customFormat="false" ht="12" hidden="false" customHeight="false" outlineLevel="0" collapsed="false">
      <c r="F468" s="454"/>
      <c r="G468" s="454"/>
    </row>
    <row r="469" customFormat="false" ht="12" hidden="false" customHeight="false" outlineLevel="0" collapsed="false">
      <c r="F469" s="454"/>
      <c r="G469" s="454"/>
    </row>
    <row r="470" customFormat="false" ht="12" hidden="false" customHeight="false" outlineLevel="0" collapsed="false">
      <c r="F470" s="454"/>
      <c r="G470" s="454"/>
    </row>
    <row r="471" customFormat="false" ht="12" hidden="false" customHeight="false" outlineLevel="0" collapsed="false">
      <c r="F471" s="454"/>
      <c r="G471" s="454"/>
    </row>
    <row r="472" customFormat="false" ht="12" hidden="false" customHeight="false" outlineLevel="0" collapsed="false">
      <c r="F472" s="454"/>
      <c r="G472" s="454"/>
    </row>
    <row r="473" customFormat="false" ht="12" hidden="false" customHeight="false" outlineLevel="0" collapsed="false">
      <c r="F473" s="454"/>
      <c r="G473" s="454"/>
    </row>
    <row r="474" customFormat="false" ht="12" hidden="false" customHeight="false" outlineLevel="0" collapsed="false">
      <c r="F474" s="454"/>
      <c r="G474" s="454"/>
    </row>
    <row r="475" customFormat="false" ht="12" hidden="false" customHeight="false" outlineLevel="0" collapsed="false">
      <c r="F475" s="454"/>
      <c r="G475" s="454"/>
    </row>
    <row r="476" customFormat="false" ht="12" hidden="false" customHeight="false" outlineLevel="0" collapsed="false">
      <c r="F476" s="454"/>
      <c r="G476" s="454"/>
    </row>
    <row r="477" customFormat="false" ht="12" hidden="false" customHeight="false" outlineLevel="0" collapsed="false">
      <c r="F477" s="454"/>
      <c r="G477" s="454"/>
    </row>
    <row r="478" customFormat="false" ht="12" hidden="false" customHeight="false" outlineLevel="0" collapsed="false">
      <c r="F478" s="454"/>
      <c r="G478" s="454"/>
    </row>
    <row r="479" customFormat="false" ht="12" hidden="false" customHeight="false" outlineLevel="0" collapsed="false">
      <c r="F479" s="454"/>
      <c r="G479" s="454"/>
    </row>
    <row r="480" customFormat="false" ht="12" hidden="false" customHeight="false" outlineLevel="0" collapsed="false">
      <c r="F480" s="454"/>
      <c r="G480" s="454"/>
    </row>
    <row r="481" customFormat="false" ht="12" hidden="false" customHeight="false" outlineLevel="0" collapsed="false">
      <c r="F481" s="454"/>
      <c r="G481" s="454"/>
    </row>
    <row r="482" customFormat="false" ht="12" hidden="false" customHeight="false" outlineLevel="0" collapsed="false">
      <c r="F482" s="454"/>
      <c r="G482" s="454"/>
    </row>
    <row r="483" customFormat="false" ht="12" hidden="false" customHeight="false" outlineLevel="0" collapsed="false">
      <c r="F483" s="454"/>
      <c r="G483" s="454"/>
    </row>
    <row r="484" customFormat="false" ht="12" hidden="false" customHeight="false" outlineLevel="0" collapsed="false">
      <c r="F484" s="454"/>
      <c r="G484" s="454"/>
    </row>
    <row r="485" customFormat="false" ht="12" hidden="false" customHeight="false" outlineLevel="0" collapsed="false">
      <c r="F485" s="454"/>
      <c r="G485" s="454"/>
    </row>
    <row r="486" customFormat="false" ht="12" hidden="false" customHeight="false" outlineLevel="0" collapsed="false">
      <c r="F486" s="454"/>
      <c r="G486" s="454"/>
    </row>
    <row r="487" customFormat="false" ht="12" hidden="false" customHeight="false" outlineLevel="0" collapsed="false">
      <c r="F487" s="454"/>
      <c r="G487" s="454"/>
    </row>
    <row r="488" customFormat="false" ht="12" hidden="false" customHeight="false" outlineLevel="0" collapsed="false">
      <c r="F488" s="454"/>
      <c r="G488" s="45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A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11" activeCellId="0" sqref="C11:BB235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66" width="9.14"/>
    <col collapsed="false" customWidth="true" hidden="false" outlineLevel="0" max="2" min="2" style="66" width="16.13"/>
    <col collapsed="false" customWidth="true" hidden="false" outlineLevel="0" max="3" min="3" style="66" width="14.14"/>
    <col collapsed="false" customWidth="true" hidden="false" outlineLevel="0" max="4" min="4" style="455" width="12.7"/>
    <col collapsed="false" customWidth="true" hidden="false" outlineLevel="0" max="6" min="5" style="456" width="16.7"/>
    <col collapsed="false" customWidth="true" hidden="false" outlineLevel="0" max="7" min="7" style="455" width="16.7"/>
    <col collapsed="false" customWidth="true" hidden="false" outlineLevel="0" max="8" min="8" style="66" width="16.7"/>
    <col collapsed="false" customWidth="true" hidden="false" outlineLevel="0" max="9" min="9" style="455" width="16.7"/>
    <col collapsed="false" customWidth="true" hidden="false" outlineLevel="0" max="10" min="10" style="66" width="16.7"/>
    <col collapsed="false" customWidth="true" hidden="false" outlineLevel="0" max="37" min="11" style="457" width="16.7"/>
    <col collapsed="false" customWidth="true" hidden="false" outlineLevel="0" max="40" min="38" style="66" width="12.14"/>
    <col collapsed="false" customWidth="true" hidden="false" outlineLevel="0" max="41" min="41" style="66" width="15.41"/>
    <col collapsed="false" customWidth="true" hidden="false" outlineLevel="0" max="43" min="42" style="66" width="12.99"/>
    <col collapsed="false" customWidth="true" hidden="false" outlineLevel="0" max="45" min="44" style="66" width="13.14"/>
    <col collapsed="false" customWidth="true" hidden="false" outlineLevel="0" max="46" min="46" style="66" width="15.56"/>
    <col collapsed="false" customWidth="true" hidden="false" outlineLevel="0" max="48" min="47" style="66" width="14.14"/>
    <col collapsed="false" customWidth="true" hidden="false" outlineLevel="0" max="49" min="49" style="66" width="17.99"/>
    <col collapsed="false" customWidth="true" hidden="false" outlineLevel="0" max="50" min="50" style="66" width="14.14"/>
    <col collapsed="false" customWidth="true" hidden="false" outlineLevel="0" max="51" min="51" style="66" width="12.28"/>
    <col collapsed="false" customWidth="true" hidden="false" outlineLevel="0" max="52" min="52" style="66" width="13.99"/>
    <col collapsed="false" customWidth="true" hidden="false" outlineLevel="0" max="53" min="53" style="66" width="10.56"/>
    <col collapsed="false" customWidth="true" hidden="false" outlineLevel="0" max="54" min="54" style="66" width="12.42"/>
    <col collapsed="false" customWidth="true" hidden="false" outlineLevel="0" max="55" min="55" style="66" width="10.85"/>
    <col collapsed="false" customWidth="true" hidden="false" outlineLevel="0" max="56" min="56" style="66" width="16.13"/>
    <col collapsed="false" customWidth="true" hidden="false" outlineLevel="0" max="57" min="57" style="66" width="14.14"/>
    <col collapsed="false" customWidth="true" hidden="false" outlineLevel="0" max="58" min="58" style="455" width="15.41"/>
    <col collapsed="false" customWidth="true" hidden="false" outlineLevel="0" max="60" min="59" style="66" width="14.14"/>
    <col collapsed="false" customWidth="false" hidden="false" outlineLevel="0" max="257" min="61" style="66" width="9.14"/>
  </cols>
  <sheetData>
    <row r="1" customFormat="false" ht="12.75" hidden="false" customHeight="false" outlineLevel="0" collapsed="false">
      <c r="A1" s="455"/>
      <c r="D1" s="458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60"/>
      <c r="BG1" s="459"/>
      <c r="BH1" s="459"/>
    </row>
    <row r="2" customFormat="false" ht="12.75" hidden="false" customHeight="false" outlineLevel="0" collapsed="false">
      <c r="B2" s="460"/>
      <c r="C2" s="455"/>
      <c r="D2" s="461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2"/>
    </row>
    <row r="3" customFormat="false" ht="12.75" hidden="false" customHeight="false" outlineLevel="0" collapsed="false">
      <c r="B3" s="463"/>
      <c r="D3" s="461"/>
      <c r="E3" s="464"/>
      <c r="F3" s="464"/>
      <c r="G3" s="464"/>
      <c r="H3" s="464"/>
      <c r="I3" s="464"/>
      <c r="J3" s="464"/>
      <c r="K3" s="464"/>
      <c r="L3" s="464"/>
      <c r="M3" s="464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64"/>
      <c r="Y3" s="464"/>
      <c r="Z3" s="464"/>
      <c r="AA3" s="464"/>
      <c r="AB3" s="464"/>
      <c r="AC3" s="464"/>
      <c r="AD3" s="464"/>
      <c r="AE3" s="464"/>
      <c r="AF3" s="464"/>
      <c r="AG3" s="464"/>
      <c r="AH3" s="464"/>
      <c r="AI3" s="464"/>
      <c r="AJ3" s="464"/>
      <c r="AK3" s="464"/>
      <c r="AL3" s="464"/>
      <c r="AM3" s="464"/>
      <c r="AN3" s="464"/>
      <c r="AO3" s="464"/>
      <c r="AP3" s="464"/>
      <c r="AQ3" s="464"/>
      <c r="AR3" s="464"/>
      <c r="AS3" s="464"/>
      <c r="AT3" s="464"/>
      <c r="AU3" s="464"/>
      <c r="AV3" s="464"/>
      <c r="AW3" s="464"/>
      <c r="AX3" s="464"/>
      <c r="AY3" s="464"/>
      <c r="AZ3" s="464"/>
      <c r="BA3" s="464"/>
      <c r="BB3" s="464"/>
      <c r="BC3" s="464"/>
      <c r="BD3" s="464"/>
      <c r="BE3" s="464"/>
      <c r="BF3" s="462"/>
      <c r="BG3" s="464"/>
      <c r="BH3" s="464"/>
    </row>
    <row r="4" customFormat="false" ht="12.75" hidden="false" customHeight="false" outlineLevel="0" collapsed="false">
      <c r="B4" s="463"/>
      <c r="D4" s="461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464"/>
      <c r="AT4" s="464"/>
      <c r="AU4" s="464"/>
      <c r="AV4" s="464"/>
      <c r="AW4" s="464"/>
      <c r="AX4" s="464"/>
      <c r="AY4" s="464"/>
      <c r="AZ4" s="464"/>
      <c r="BA4" s="464"/>
      <c r="BB4" s="464"/>
      <c r="BC4" s="464"/>
      <c r="BD4" s="464"/>
      <c r="BE4" s="464"/>
      <c r="BF4" s="462"/>
      <c r="BG4" s="464"/>
      <c r="BH4" s="464"/>
    </row>
    <row r="5" customFormat="false" ht="12.75" hidden="false" customHeight="false" outlineLevel="0" collapsed="false">
      <c r="B5" s="465"/>
      <c r="D5" s="461"/>
      <c r="E5" s="466"/>
      <c r="F5" s="466"/>
      <c r="G5" s="466"/>
      <c r="H5" s="466"/>
      <c r="I5" s="466"/>
      <c r="J5" s="459"/>
      <c r="K5" s="459"/>
      <c r="L5" s="466"/>
      <c r="M5" s="459"/>
      <c r="N5" s="459"/>
      <c r="O5" s="466"/>
      <c r="P5" s="459"/>
      <c r="Q5" s="459"/>
      <c r="R5" s="459"/>
      <c r="S5" s="459"/>
      <c r="T5" s="459"/>
      <c r="U5" s="459"/>
      <c r="V5" s="459"/>
      <c r="W5" s="466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59"/>
      <c r="AS5" s="459"/>
      <c r="AT5" s="459"/>
      <c r="AU5" s="466"/>
      <c r="AV5" s="459"/>
      <c r="AW5" s="459"/>
      <c r="AX5" s="466"/>
      <c r="AY5" s="459"/>
      <c r="AZ5" s="459"/>
      <c r="BA5" s="459"/>
      <c r="BB5" s="459"/>
      <c r="BC5" s="459"/>
      <c r="BD5" s="459"/>
      <c r="BE5" s="459"/>
      <c r="BF5" s="462"/>
      <c r="BG5" s="459"/>
      <c r="BH5" s="459"/>
    </row>
    <row r="6" customFormat="false" ht="12.75" hidden="false" customHeight="false" outlineLevel="0" collapsed="false">
      <c r="B6" s="465"/>
      <c r="D6" s="461"/>
      <c r="E6" s="466"/>
      <c r="F6" s="466"/>
      <c r="G6" s="466"/>
      <c r="H6" s="466"/>
      <c r="I6" s="466"/>
      <c r="J6" s="459"/>
      <c r="K6" s="459"/>
      <c r="L6" s="466"/>
      <c r="M6" s="459"/>
      <c r="N6" s="459"/>
      <c r="O6" s="466"/>
      <c r="P6" s="459"/>
      <c r="Q6" s="459"/>
      <c r="R6" s="459"/>
      <c r="S6" s="459"/>
      <c r="T6" s="459"/>
      <c r="U6" s="459"/>
      <c r="V6" s="459"/>
      <c r="W6" s="466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66"/>
      <c r="AI6" s="466"/>
      <c r="AJ6" s="466"/>
      <c r="AK6" s="466"/>
      <c r="AL6" s="466"/>
      <c r="AM6" s="466"/>
      <c r="AN6" s="466"/>
      <c r="AO6" s="466"/>
      <c r="AP6" s="466"/>
      <c r="AQ6" s="466"/>
      <c r="AR6" s="459"/>
      <c r="AS6" s="459"/>
      <c r="AT6" s="459"/>
      <c r="AU6" s="466"/>
      <c r="AV6" s="459"/>
      <c r="AW6" s="459"/>
      <c r="AX6" s="466"/>
      <c r="AY6" s="459"/>
      <c r="AZ6" s="459"/>
      <c r="BA6" s="459"/>
      <c r="BB6" s="459"/>
      <c r="BC6" s="459"/>
      <c r="BD6" s="459"/>
      <c r="BE6" s="459"/>
      <c r="BF6" s="462"/>
      <c r="BG6" s="459"/>
      <c r="BH6" s="459"/>
    </row>
    <row r="7" customFormat="false" ht="12.75" hidden="false" customHeight="false" outlineLevel="0" collapsed="false">
      <c r="B7" s="465"/>
      <c r="D7" s="461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  <c r="Q7" s="466"/>
      <c r="R7" s="466"/>
      <c r="S7" s="466"/>
      <c r="T7" s="466"/>
      <c r="U7" s="466"/>
      <c r="V7" s="466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  <c r="AM7" s="466"/>
      <c r="AN7" s="466"/>
      <c r="AO7" s="466"/>
      <c r="AP7" s="466"/>
      <c r="AQ7" s="466"/>
      <c r="AR7" s="466"/>
      <c r="AS7" s="466"/>
      <c r="AT7" s="466"/>
      <c r="AU7" s="466"/>
      <c r="AV7" s="466"/>
      <c r="AW7" s="466"/>
      <c r="AX7" s="466"/>
      <c r="AY7" s="466"/>
      <c r="AZ7" s="466"/>
      <c r="BA7" s="466"/>
      <c r="BB7" s="466"/>
      <c r="BC7" s="466"/>
      <c r="BD7" s="466"/>
      <c r="BE7" s="466"/>
      <c r="BF7" s="462"/>
      <c r="BG7" s="466"/>
      <c r="BH7" s="466"/>
    </row>
    <row r="8" customFormat="false" ht="12.75" hidden="false" customHeight="false" outlineLevel="0" collapsed="false">
      <c r="B8" s="467"/>
      <c r="D8" s="468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469"/>
      <c r="AI8" s="469"/>
      <c r="AJ8" s="469"/>
      <c r="AK8" s="469"/>
      <c r="AL8" s="470"/>
      <c r="AM8" s="469"/>
    </row>
    <row r="9" customFormat="false" ht="15.75" hidden="false" customHeight="false" outlineLevel="0" collapsed="false">
      <c r="B9" s="471"/>
      <c r="C9" s="472"/>
      <c r="D9" s="468"/>
      <c r="E9" s="469"/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69"/>
      <c r="Q9" s="469"/>
      <c r="R9" s="469"/>
      <c r="S9" s="469"/>
      <c r="T9" s="469"/>
      <c r="U9" s="469"/>
      <c r="V9" s="469"/>
      <c r="W9" s="469"/>
      <c r="X9" s="469"/>
      <c r="Y9" s="469"/>
      <c r="Z9" s="469"/>
      <c r="AA9" s="469"/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70"/>
      <c r="AM9" s="469"/>
    </row>
    <row r="10" customFormat="false" ht="12.75" hidden="false" customHeight="false" outlineLevel="0" collapsed="false">
      <c r="B10" s="419"/>
      <c r="C10" s="420" t="n">
        <v>1</v>
      </c>
      <c r="D10" s="420" t="n">
        <v>2</v>
      </c>
      <c r="E10" s="420" t="n">
        <v>3</v>
      </c>
      <c r="F10" s="420" t="n">
        <v>4</v>
      </c>
      <c r="G10" s="420" t="n">
        <v>5</v>
      </c>
      <c r="H10" s="420" t="n">
        <v>6</v>
      </c>
      <c r="I10" s="420" t="n">
        <v>7</v>
      </c>
      <c r="J10" s="420" t="n">
        <v>8</v>
      </c>
      <c r="K10" s="420" t="n">
        <v>9</v>
      </c>
      <c r="L10" s="420" t="n">
        <v>10</v>
      </c>
      <c r="M10" s="420" t="n">
        <v>11</v>
      </c>
      <c r="N10" s="420" t="n">
        <v>12</v>
      </c>
      <c r="O10" s="420" t="n">
        <v>13</v>
      </c>
      <c r="P10" s="420" t="n">
        <v>14</v>
      </c>
      <c r="Q10" s="420" t="n">
        <v>15</v>
      </c>
      <c r="R10" s="420" t="n">
        <v>16</v>
      </c>
      <c r="S10" s="420" t="n">
        <v>17</v>
      </c>
      <c r="T10" s="420" t="n">
        <v>18</v>
      </c>
      <c r="U10" s="420" t="n">
        <v>19</v>
      </c>
      <c r="V10" s="420" t="n">
        <v>20</v>
      </c>
      <c r="W10" s="420" t="n">
        <v>21</v>
      </c>
      <c r="X10" s="420" t="n">
        <v>22</v>
      </c>
      <c r="Y10" s="420" t="n">
        <v>23</v>
      </c>
      <c r="Z10" s="420" t="n">
        <v>24</v>
      </c>
      <c r="AA10" s="420" t="n">
        <v>25</v>
      </c>
      <c r="AB10" s="420" t="n">
        <v>26</v>
      </c>
      <c r="AC10" s="420" t="n">
        <v>27</v>
      </c>
      <c r="AD10" s="420" t="n">
        <v>28</v>
      </c>
      <c r="AE10" s="420" t="n">
        <v>29</v>
      </c>
      <c r="AF10" s="420" t="n">
        <v>30</v>
      </c>
      <c r="AG10" s="420" t="n">
        <v>31</v>
      </c>
      <c r="AH10" s="420" t="n">
        <v>32</v>
      </c>
      <c r="AI10" s="469" t="n">
        <v>33</v>
      </c>
      <c r="AJ10" s="469" t="n">
        <v>34</v>
      </c>
      <c r="AK10" s="420" t="n">
        <v>35</v>
      </c>
      <c r="AL10" s="470" t="n">
        <v>36</v>
      </c>
      <c r="AM10" s="469" t="n">
        <v>37</v>
      </c>
      <c r="AN10" s="66" t="n">
        <v>38</v>
      </c>
      <c r="AO10" s="66" t="n">
        <v>39</v>
      </c>
      <c r="AP10" s="66" t="n">
        <v>40</v>
      </c>
      <c r="AQ10" s="66" t="n">
        <v>41</v>
      </c>
      <c r="AR10" s="66" t="n">
        <v>42</v>
      </c>
      <c r="AS10" s="66" t="n">
        <v>43</v>
      </c>
      <c r="AT10" s="66" t="n">
        <v>44</v>
      </c>
      <c r="AU10" s="66" t="n">
        <v>45</v>
      </c>
      <c r="AV10" s="66" t="n">
        <v>46</v>
      </c>
      <c r="AW10" s="66" t="n">
        <v>47</v>
      </c>
    </row>
    <row r="11" customFormat="false" ht="12.75" hidden="false" customHeight="false" outlineLevel="0" collapsed="false">
      <c r="B11" s="430" t="s">
        <v>564</v>
      </c>
      <c r="C11" s="423" t="n">
        <f aca="false">EffDt</f>
        <v>36767</v>
      </c>
      <c r="D11" s="423" t="n">
        <f aca="false">EffDt</f>
        <v>36767</v>
      </c>
      <c r="E11" s="423" t="n">
        <f aca="false">EffDt</f>
        <v>36767</v>
      </c>
      <c r="F11" s="423" t="n">
        <f aca="false">EffDt</f>
        <v>36767</v>
      </c>
      <c r="G11" s="423" t="n">
        <f aca="false">EffDt</f>
        <v>36767</v>
      </c>
      <c r="H11" s="423" t="n">
        <f aca="false">EffDt</f>
        <v>36767</v>
      </c>
      <c r="I11" s="423" t="n">
        <f aca="false">EffDt</f>
        <v>36767</v>
      </c>
      <c r="J11" s="423" t="n">
        <f aca="false">EffDt</f>
        <v>36767</v>
      </c>
      <c r="K11" s="423" t="n">
        <f aca="false">EffDt</f>
        <v>36767</v>
      </c>
      <c r="L11" s="423" t="n">
        <f aca="false">EffDt</f>
        <v>36767</v>
      </c>
      <c r="M11" s="423" t="n">
        <f aca="false">EffDt</f>
        <v>36767</v>
      </c>
      <c r="N11" s="423" t="n">
        <f aca="false">EffDt</f>
        <v>36767</v>
      </c>
      <c r="O11" s="423" t="n">
        <f aca="false">EffDt</f>
        <v>36767</v>
      </c>
      <c r="P11" s="423" t="n">
        <f aca="false">EffDt</f>
        <v>36767</v>
      </c>
      <c r="Q11" s="423" t="n">
        <f aca="false">EffDt</f>
        <v>36767</v>
      </c>
      <c r="R11" s="423" t="n">
        <f aca="false">EffDt</f>
        <v>36767</v>
      </c>
      <c r="S11" s="423" t="n">
        <f aca="false">EffDt</f>
        <v>36767</v>
      </c>
      <c r="T11" s="423" t="n">
        <f aca="false">EffDt</f>
        <v>36767</v>
      </c>
      <c r="U11" s="423" t="n">
        <f aca="false">EffDt</f>
        <v>36767</v>
      </c>
      <c r="V11" s="423" t="n">
        <f aca="false">EffDt</f>
        <v>36767</v>
      </c>
      <c r="W11" s="423" t="n">
        <f aca="false">EffDt</f>
        <v>36767</v>
      </c>
      <c r="X11" s="423" t="n">
        <f aca="false">EffDt</f>
        <v>36767</v>
      </c>
      <c r="Y11" s="423" t="n">
        <f aca="false">EffDt</f>
        <v>36767</v>
      </c>
      <c r="Z11" s="423" t="n">
        <f aca="false">EffDt</f>
        <v>36767</v>
      </c>
      <c r="AA11" s="423" t="n">
        <f aca="false">EffDt</f>
        <v>36767</v>
      </c>
      <c r="AB11" s="423" t="n">
        <f aca="false">EffDt</f>
        <v>36767</v>
      </c>
      <c r="AC11" s="423" t="n">
        <f aca="false">EffDt</f>
        <v>36767</v>
      </c>
      <c r="AD11" s="423" t="n">
        <f aca="false">EffDt</f>
        <v>36767</v>
      </c>
      <c r="AE11" s="423" t="n">
        <f aca="false">EffDt</f>
        <v>36767</v>
      </c>
      <c r="AF11" s="423" t="n">
        <f aca="false">EffDt</f>
        <v>36767</v>
      </c>
      <c r="AG11" s="423" t="n">
        <f aca="false">EffDt</f>
        <v>36767</v>
      </c>
      <c r="AH11" s="423" t="n">
        <f aca="false">EffDt</f>
        <v>36767</v>
      </c>
      <c r="AI11" s="423" t="n">
        <f aca="false">EffDt</f>
        <v>36767</v>
      </c>
      <c r="AJ11" s="423" t="n">
        <f aca="false">EffDt</f>
        <v>36767</v>
      </c>
      <c r="AK11" s="423" t="n">
        <f aca="false">EffDt</f>
        <v>36767</v>
      </c>
      <c r="AL11" s="423" t="n">
        <f aca="false">EffDt</f>
        <v>36767</v>
      </c>
      <c r="AM11" s="423" t="n">
        <f aca="false">EffDt</f>
        <v>36767</v>
      </c>
      <c r="AN11" s="423" t="n">
        <f aca="false">EffDt</f>
        <v>36767</v>
      </c>
      <c r="AO11" s="423" t="n">
        <f aca="false">EffDt</f>
        <v>36767</v>
      </c>
      <c r="AP11" s="423" t="n">
        <f aca="false">EffDt</f>
        <v>36767</v>
      </c>
      <c r="AQ11" s="423" t="n">
        <f aca="false">EffDt</f>
        <v>36767</v>
      </c>
      <c r="AR11" s="423" t="n">
        <f aca="false">EffDt</f>
        <v>36767</v>
      </c>
      <c r="AS11" s="423" t="n">
        <f aca="false">EffDt</f>
        <v>36767</v>
      </c>
      <c r="AT11" s="423" t="n">
        <f aca="false">EffDt</f>
        <v>36767</v>
      </c>
      <c r="AU11" s="423" t="n">
        <f aca="false">EffDt</f>
        <v>36767</v>
      </c>
      <c r="AV11" s="423" t="n">
        <f aca="false">EffDt</f>
        <v>36767</v>
      </c>
      <c r="AW11" s="423" t="n">
        <f aca="false">WORKDAY(AT11,-3)</f>
        <v>36762</v>
      </c>
      <c r="AX11" s="423"/>
      <c r="AY11" s="423" t="n">
        <f aca="false">EffDt</f>
        <v>36767</v>
      </c>
      <c r="AZ11" s="423" t="n">
        <f aca="false">EffDt</f>
        <v>36767</v>
      </c>
      <c r="BA11" s="423" t="n">
        <f aca="false">EffDt</f>
        <v>36767</v>
      </c>
      <c r="BB11" s="423"/>
      <c r="BC11" s="423" t="n">
        <v>36761</v>
      </c>
      <c r="BD11" s="423" t="n">
        <v>36762</v>
      </c>
    </row>
    <row r="12" customFormat="false" ht="12.75" hidden="false" customHeight="false" outlineLevel="0" collapsed="false">
      <c r="B12" s="430" t="s">
        <v>567</v>
      </c>
      <c r="C12" s="421" t="n">
        <f aca="false">EOMONTH(C11,0)+1</f>
        <v>36770</v>
      </c>
      <c r="D12" s="421" t="n">
        <f aca="false">EOMONTH(D11,0)+1</f>
        <v>36770</v>
      </c>
      <c r="E12" s="421" t="n">
        <f aca="false">EOMONTH(E11,0)+1</f>
        <v>36770</v>
      </c>
      <c r="F12" s="421" t="n">
        <f aca="false">EOMONTH(F11,0)+1</f>
        <v>36770</v>
      </c>
      <c r="G12" s="421" t="n">
        <f aca="false">EOMONTH(G11,0)+1</f>
        <v>36770</v>
      </c>
      <c r="H12" s="421" t="n">
        <f aca="false">EOMONTH(H11,0)+1</f>
        <v>36770</v>
      </c>
      <c r="I12" s="421" t="n">
        <f aca="false">EOMONTH(I11,0)+1</f>
        <v>36770</v>
      </c>
      <c r="J12" s="421" t="n">
        <f aca="false">EOMONTH(J11,0)+1</f>
        <v>36770</v>
      </c>
      <c r="K12" s="421" t="n">
        <f aca="false">EOMONTH(K11,0)+1</f>
        <v>36770</v>
      </c>
      <c r="L12" s="421" t="n">
        <f aca="false">EOMONTH(L11,0)+1</f>
        <v>36770</v>
      </c>
      <c r="M12" s="421" t="n">
        <f aca="false">EOMONTH(M11,0)+1</f>
        <v>36770</v>
      </c>
      <c r="N12" s="421" t="n">
        <f aca="false">EOMONTH(N11,0)+1</f>
        <v>36770</v>
      </c>
      <c r="O12" s="421" t="n">
        <f aca="false">EOMONTH(O11,0)+1</f>
        <v>36770</v>
      </c>
      <c r="P12" s="421" t="n">
        <f aca="false">EOMONTH(P11,0)+1</f>
        <v>36770</v>
      </c>
      <c r="Q12" s="421" t="n">
        <f aca="false">EOMONTH(Q11,0)+1</f>
        <v>36770</v>
      </c>
      <c r="R12" s="421" t="n">
        <f aca="false">EOMONTH(R11,0)+1</f>
        <v>36770</v>
      </c>
      <c r="S12" s="421" t="n">
        <f aca="false">EOMONTH(S11,0)+1</f>
        <v>36770</v>
      </c>
      <c r="T12" s="421" t="n">
        <f aca="false">EOMONTH(T11,0)+1</f>
        <v>36770</v>
      </c>
      <c r="U12" s="421" t="n">
        <f aca="false">EOMONTH(U11,0)+1</f>
        <v>36770</v>
      </c>
      <c r="V12" s="421" t="n">
        <f aca="false">EOMONTH(V11,0)+1</f>
        <v>36770</v>
      </c>
      <c r="W12" s="421" t="n">
        <f aca="false">EOMONTH(W11,0)+1</f>
        <v>36770</v>
      </c>
      <c r="X12" s="421" t="n">
        <f aca="false">EOMONTH(X11,0)+1</f>
        <v>36770</v>
      </c>
      <c r="Y12" s="421" t="n">
        <f aca="false">EOMONTH(Y11,0)+1</f>
        <v>36770</v>
      </c>
      <c r="Z12" s="421" t="n">
        <f aca="false">EOMONTH(Z11,0)+1</f>
        <v>36770</v>
      </c>
      <c r="AA12" s="421" t="n">
        <f aca="false">EOMONTH(AA11,0)+1</f>
        <v>36770</v>
      </c>
      <c r="AB12" s="421" t="n">
        <f aca="false">EOMONTH(AB11,0)+1</f>
        <v>36770</v>
      </c>
      <c r="AC12" s="421" t="n">
        <f aca="false">EOMONTH(AC11,0)+1</f>
        <v>36770</v>
      </c>
      <c r="AD12" s="421" t="n">
        <f aca="false">EOMONTH(AD11,0)+1</f>
        <v>36770</v>
      </c>
      <c r="AE12" s="421" t="n">
        <f aca="false">EOMONTH(AE11,0)+1</f>
        <v>36770</v>
      </c>
      <c r="AF12" s="421" t="n">
        <f aca="false">EOMONTH(AF11,0)+1</f>
        <v>36770</v>
      </c>
      <c r="AG12" s="421" t="n">
        <f aca="false">EOMONTH(AG11,0)+1</f>
        <v>36770</v>
      </c>
      <c r="AH12" s="421" t="n">
        <f aca="false">EOMONTH(AH11,0)+1</f>
        <v>36770</v>
      </c>
      <c r="AI12" s="421" t="n">
        <f aca="false">EOMONTH(AI11,0)+1</f>
        <v>36770</v>
      </c>
      <c r="AJ12" s="421" t="n">
        <f aca="false">EOMONTH(AJ11,0)+1</f>
        <v>36770</v>
      </c>
      <c r="AK12" s="421" t="n">
        <f aca="false">EOMONTH(AK11,0)+1</f>
        <v>36770</v>
      </c>
      <c r="AL12" s="421" t="n">
        <f aca="false">EOMONTH(AL11,0)+1</f>
        <v>36770</v>
      </c>
      <c r="AM12" s="421" t="n">
        <f aca="false">EOMONTH(AM11,0)+1</f>
        <v>36770</v>
      </c>
      <c r="AN12" s="421" t="n">
        <f aca="false">EOMONTH(AN11,0)+1</f>
        <v>36770</v>
      </c>
      <c r="AO12" s="421" t="n">
        <f aca="false">EOMONTH(AO11,0)+1</f>
        <v>36770</v>
      </c>
      <c r="AP12" s="421" t="n">
        <f aca="false">EOMONTH(AP11,0)+1</f>
        <v>36770</v>
      </c>
      <c r="AQ12" s="421" t="n">
        <f aca="false">EOMONTH(AQ11,0)+1</f>
        <v>36770</v>
      </c>
      <c r="AR12" s="421" t="n">
        <f aca="false">EOMONTH(AR11,0)+1</f>
        <v>36770</v>
      </c>
      <c r="AS12" s="421" t="n">
        <f aca="false">EOMONTH(AS11,0)+1</f>
        <v>36770</v>
      </c>
      <c r="AT12" s="421" t="n">
        <f aca="false">EOMONTH(AT11,0)+1</f>
        <v>36770</v>
      </c>
      <c r="AU12" s="421" t="n">
        <f aca="false">EOMONTH(AU11,0)+1</f>
        <v>36770</v>
      </c>
      <c r="AV12" s="421" t="n">
        <f aca="false">EOMONTH(AV11,0)+1</f>
        <v>36770</v>
      </c>
      <c r="AW12" s="421" t="n">
        <f aca="false">EOMONTH(AW11,0)+1</f>
        <v>36770</v>
      </c>
      <c r="AX12" s="421"/>
      <c r="AY12" s="421" t="n">
        <f aca="false">EOMONTH(AY11,0)+1</f>
        <v>36770</v>
      </c>
      <c r="AZ12" s="421" t="n">
        <f aca="false">EOMONTH(AZ11,0)+1</f>
        <v>36770</v>
      </c>
      <c r="BA12" s="421" t="n">
        <f aca="false">EOMONTH(BA11,0)+1</f>
        <v>36770</v>
      </c>
      <c r="BB12" s="421"/>
      <c r="BC12" s="418"/>
      <c r="BD12" s="418"/>
    </row>
    <row r="13" customFormat="false" ht="12.75" hidden="false" customHeight="false" outlineLevel="0" collapsed="false">
      <c r="B13" s="430" t="s">
        <v>568</v>
      </c>
      <c r="C13" s="420" t="s">
        <v>569</v>
      </c>
      <c r="D13" s="431" t="s">
        <v>569</v>
      </c>
      <c r="E13" s="431" t="s">
        <v>570</v>
      </c>
      <c r="F13" s="431" t="s">
        <v>506</v>
      </c>
      <c r="G13" s="431" t="s">
        <v>74</v>
      </c>
      <c r="H13" s="431" t="s">
        <v>68</v>
      </c>
      <c r="I13" s="431" t="s">
        <v>152</v>
      </c>
      <c r="J13" s="431" t="s">
        <v>150</v>
      </c>
      <c r="K13" s="431" t="s">
        <v>157</v>
      </c>
      <c r="L13" s="431" t="s">
        <v>71</v>
      </c>
      <c r="M13" s="432" t="s">
        <v>72</v>
      </c>
      <c r="N13" s="431" t="s">
        <v>151</v>
      </c>
      <c r="O13" s="431" t="s">
        <v>158</v>
      </c>
      <c r="P13" s="431" t="s">
        <v>73</v>
      </c>
      <c r="Q13" s="431" t="s">
        <v>69</v>
      </c>
      <c r="R13" s="431" t="s">
        <v>70</v>
      </c>
      <c r="S13" s="431" t="s">
        <v>130</v>
      </c>
      <c r="T13" s="431" t="s">
        <v>153</v>
      </c>
      <c r="U13" s="431" t="s">
        <v>133</v>
      </c>
      <c r="V13" s="431" t="s">
        <v>134</v>
      </c>
      <c r="W13" s="431" t="s">
        <v>135</v>
      </c>
      <c r="X13" s="431" t="s">
        <v>149</v>
      </c>
      <c r="Y13" s="424" t="s">
        <v>154</v>
      </c>
      <c r="Z13" s="424" t="s">
        <v>483</v>
      </c>
      <c r="AA13" s="424" t="s">
        <v>571</v>
      </c>
      <c r="AB13" s="424" t="s">
        <v>137</v>
      </c>
      <c r="AC13" s="424" t="s">
        <v>155</v>
      </c>
      <c r="AD13" s="424" t="s">
        <v>156</v>
      </c>
      <c r="AE13" s="424" t="s">
        <v>156</v>
      </c>
      <c r="AF13" s="431" t="s">
        <v>74</v>
      </c>
      <c r="AG13" s="424" t="s">
        <v>149</v>
      </c>
      <c r="AH13" s="424" t="s">
        <v>151</v>
      </c>
      <c r="AI13" s="431" t="s">
        <v>158</v>
      </c>
      <c r="AJ13" s="424" t="s">
        <v>152</v>
      </c>
      <c r="AK13" s="424" t="s">
        <v>150</v>
      </c>
      <c r="AL13" s="424" t="s">
        <v>157</v>
      </c>
      <c r="AM13" s="424" t="s">
        <v>73</v>
      </c>
      <c r="AN13" s="424" t="s">
        <v>70</v>
      </c>
      <c r="AO13" s="424" t="s">
        <v>68</v>
      </c>
      <c r="AP13" s="424" t="s">
        <v>154</v>
      </c>
      <c r="AQ13" s="424" t="s">
        <v>483</v>
      </c>
      <c r="AR13" s="424" t="s">
        <v>135</v>
      </c>
      <c r="AS13" s="424" t="s">
        <v>153</v>
      </c>
      <c r="AT13" s="433" t="s">
        <v>506</v>
      </c>
      <c r="AU13" s="433" t="s">
        <v>137</v>
      </c>
      <c r="AV13" s="433" t="s">
        <v>155</v>
      </c>
      <c r="AW13" s="431" t="s">
        <v>570</v>
      </c>
      <c r="AX13" s="433"/>
      <c r="AY13" s="424" t="s">
        <v>71</v>
      </c>
      <c r="AZ13" s="424" t="s">
        <v>72</v>
      </c>
      <c r="BA13" s="424" t="s">
        <v>69</v>
      </c>
      <c r="BB13" s="424"/>
      <c r="BC13" s="424" t="s">
        <v>572</v>
      </c>
      <c r="BD13" s="424" t="s">
        <v>573</v>
      </c>
    </row>
    <row r="14" customFormat="false" ht="12.75" hidden="false" customHeight="false" outlineLevel="0" collapsed="false">
      <c r="B14" s="430" t="s">
        <v>574</v>
      </c>
      <c r="C14" s="420" t="s">
        <v>575</v>
      </c>
      <c r="D14" s="420" t="s">
        <v>576</v>
      </c>
      <c r="E14" s="420" t="s">
        <v>577</v>
      </c>
      <c r="F14" s="420" t="s">
        <v>575</v>
      </c>
      <c r="G14" s="420" t="s">
        <v>575</v>
      </c>
      <c r="H14" s="420" t="s">
        <v>575</v>
      </c>
      <c r="I14" s="420" t="s">
        <v>575</v>
      </c>
      <c r="J14" s="420" t="s">
        <v>575</v>
      </c>
      <c r="K14" s="420" t="s">
        <v>575</v>
      </c>
      <c r="L14" s="420" t="s">
        <v>575</v>
      </c>
      <c r="M14" s="420" t="s">
        <v>575</v>
      </c>
      <c r="N14" s="420" t="s">
        <v>575</v>
      </c>
      <c r="O14" s="420" t="s">
        <v>575</v>
      </c>
      <c r="P14" s="420" t="s">
        <v>575</v>
      </c>
      <c r="Q14" s="420" t="s">
        <v>575</v>
      </c>
      <c r="R14" s="420" t="s">
        <v>575</v>
      </c>
      <c r="S14" s="420" t="s">
        <v>575</v>
      </c>
      <c r="T14" s="420" t="s">
        <v>575</v>
      </c>
      <c r="U14" s="420" t="s">
        <v>575</v>
      </c>
      <c r="V14" s="420" t="s">
        <v>575</v>
      </c>
      <c r="W14" s="420" t="s">
        <v>575</v>
      </c>
      <c r="X14" s="420" t="s">
        <v>575</v>
      </c>
      <c r="Y14" s="426" t="s">
        <v>575</v>
      </c>
      <c r="Z14" s="426" t="s">
        <v>575</v>
      </c>
      <c r="AA14" s="426" t="s">
        <v>575</v>
      </c>
      <c r="AB14" s="426" t="s">
        <v>575</v>
      </c>
      <c r="AC14" s="426" t="s">
        <v>575</v>
      </c>
      <c r="AD14" s="426" t="s">
        <v>575</v>
      </c>
      <c r="AE14" s="420" t="s">
        <v>576</v>
      </c>
      <c r="AF14" s="420" t="s">
        <v>576</v>
      </c>
      <c r="AG14" s="426" t="s">
        <v>576</v>
      </c>
      <c r="AH14" s="426" t="s">
        <v>576</v>
      </c>
      <c r="AI14" s="426" t="s">
        <v>576</v>
      </c>
      <c r="AJ14" s="426" t="s">
        <v>576</v>
      </c>
      <c r="AK14" s="426" t="s">
        <v>576</v>
      </c>
      <c r="AL14" s="426" t="s">
        <v>576</v>
      </c>
      <c r="AM14" s="426" t="s">
        <v>576</v>
      </c>
      <c r="AN14" s="426" t="s">
        <v>576</v>
      </c>
      <c r="AO14" s="426" t="s">
        <v>576</v>
      </c>
      <c r="AP14" s="426" t="s">
        <v>576</v>
      </c>
      <c r="AQ14" s="426" t="s">
        <v>576</v>
      </c>
      <c r="AR14" s="426" t="s">
        <v>576</v>
      </c>
      <c r="AS14" s="426" t="s">
        <v>576</v>
      </c>
      <c r="AT14" s="420" t="s">
        <v>576</v>
      </c>
      <c r="AU14" s="420" t="s">
        <v>576</v>
      </c>
      <c r="AV14" s="420" t="s">
        <v>576</v>
      </c>
      <c r="AW14" s="420" t="s">
        <v>577</v>
      </c>
      <c r="AX14" s="420"/>
      <c r="AY14" s="426" t="s">
        <v>576</v>
      </c>
      <c r="AZ14" s="426" t="s">
        <v>576</v>
      </c>
      <c r="BA14" s="426" t="s">
        <v>576</v>
      </c>
      <c r="BB14" s="426"/>
      <c r="BC14" s="426"/>
      <c r="BD14" s="426"/>
      <c r="HZ14" s="442" t="n">
        <f aca="false">B16</f>
        <v>36770</v>
      </c>
      <c r="IA14" s="418" t="n">
        <v>4</v>
      </c>
    </row>
    <row r="15" customFormat="false" ht="12.75" hidden="false" customHeight="false" outlineLevel="0" collapsed="false">
      <c r="A15" s="473"/>
      <c r="B15" s="430" t="s">
        <v>578</v>
      </c>
      <c r="C15" s="420" t="s">
        <v>132</v>
      </c>
      <c r="D15" s="420" t="s">
        <v>132</v>
      </c>
      <c r="E15" s="420" t="s">
        <v>579</v>
      </c>
      <c r="F15" s="420" t="s">
        <v>580</v>
      </c>
      <c r="G15" s="420" t="s">
        <v>580</v>
      </c>
      <c r="H15" s="420" t="s">
        <v>580</v>
      </c>
      <c r="I15" s="420" t="s">
        <v>580</v>
      </c>
      <c r="J15" s="420" t="s">
        <v>580</v>
      </c>
      <c r="K15" s="420" t="s">
        <v>580</v>
      </c>
      <c r="L15" s="420" t="s">
        <v>580</v>
      </c>
      <c r="M15" s="420" t="s">
        <v>580</v>
      </c>
      <c r="N15" s="420" t="s">
        <v>580</v>
      </c>
      <c r="O15" s="420" t="s">
        <v>580</v>
      </c>
      <c r="P15" s="420" t="s">
        <v>580</v>
      </c>
      <c r="Q15" s="420" t="s">
        <v>580</v>
      </c>
      <c r="R15" s="420" t="s">
        <v>580</v>
      </c>
      <c r="S15" s="420" t="s">
        <v>580</v>
      </c>
      <c r="T15" s="420" t="s">
        <v>580</v>
      </c>
      <c r="U15" s="420" t="s">
        <v>580</v>
      </c>
      <c r="V15" s="420" t="s">
        <v>580</v>
      </c>
      <c r="W15" s="420" t="s">
        <v>580</v>
      </c>
      <c r="X15" s="420" t="s">
        <v>580</v>
      </c>
      <c r="Y15" s="426" t="s">
        <v>580</v>
      </c>
      <c r="Z15" s="426" t="s">
        <v>580</v>
      </c>
      <c r="AA15" s="426" t="s">
        <v>580</v>
      </c>
      <c r="AB15" s="426" t="s">
        <v>580</v>
      </c>
      <c r="AC15" s="426" t="s">
        <v>580</v>
      </c>
      <c r="AD15" s="426" t="s">
        <v>580</v>
      </c>
      <c r="AE15" s="420" t="s">
        <v>132</v>
      </c>
      <c r="AF15" s="420" t="s">
        <v>132</v>
      </c>
      <c r="AG15" s="426" t="s">
        <v>132</v>
      </c>
      <c r="AH15" s="426" t="s">
        <v>132</v>
      </c>
      <c r="AI15" s="426" t="s">
        <v>132</v>
      </c>
      <c r="AJ15" s="426" t="s">
        <v>132</v>
      </c>
      <c r="AK15" s="426" t="s">
        <v>132</v>
      </c>
      <c r="AL15" s="426" t="s">
        <v>132</v>
      </c>
      <c r="AM15" s="426" t="s">
        <v>132</v>
      </c>
      <c r="AN15" s="426" t="s">
        <v>132</v>
      </c>
      <c r="AO15" s="426" t="s">
        <v>132</v>
      </c>
      <c r="AP15" s="426" t="s">
        <v>132</v>
      </c>
      <c r="AQ15" s="426" t="s">
        <v>132</v>
      </c>
      <c r="AR15" s="426" t="s">
        <v>132</v>
      </c>
      <c r="AS15" s="426" t="s">
        <v>132</v>
      </c>
      <c r="AT15" s="420" t="s">
        <v>132</v>
      </c>
      <c r="AU15" s="420" t="s">
        <v>132</v>
      </c>
      <c r="AV15" s="420" t="s">
        <v>132</v>
      </c>
      <c r="AW15" s="420" t="s">
        <v>579</v>
      </c>
      <c r="AX15" s="420"/>
      <c r="AY15" s="426" t="s">
        <v>132</v>
      </c>
      <c r="AZ15" s="426" t="s">
        <v>132</v>
      </c>
      <c r="BA15" s="426" t="s">
        <v>132</v>
      </c>
      <c r="BB15" s="426"/>
      <c r="BC15" s="426"/>
      <c r="BD15" s="426"/>
      <c r="HZ15" s="442" t="n">
        <f aca="false">B17</f>
        <v>36800</v>
      </c>
      <c r="IA15" s="418" t="n">
        <v>5</v>
      </c>
    </row>
    <row r="16" customFormat="false" ht="12.75" hidden="false" customHeight="false" outlineLevel="0" collapsed="false">
      <c r="A16" s="470"/>
      <c r="B16" s="419" t="n">
        <f aca="false">EOMONTH(EffDt,0)+1</f>
        <v>36770</v>
      </c>
      <c r="C16" s="420" t="n">
        <v>4.685</v>
      </c>
      <c r="D16" s="420" t="n">
        <v>0.4</v>
      </c>
      <c r="E16" s="420" t="n">
        <v>0.067216196212185</v>
      </c>
      <c r="F16" s="420" t="n">
        <v>-0.14</v>
      </c>
      <c r="G16" s="435" t="n">
        <v>0</v>
      </c>
      <c r="H16" s="420" t="n">
        <v>-0.14</v>
      </c>
      <c r="I16" s="435" t="n">
        <v>0.05</v>
      </c>
      <c r="J16" s="420" t="n">
        <v>0.17</v>
      </c>
      <c r="K16" s="420" t="n">
        <v>0.2</v>
      </c>
      <c r="L16" s="420" t="n">
        <v>-0.06</v>
      </c>
      <c r="M16" s="420" t="n">
        <v>-0.0475</v>
      </c>
      <c r="N16" s="420" t="n">
        <v>-1.24</v>
      </c>
      <c r="O16" s="420" t="n">
        <v>-1.24</v>
      </c>
      <c r="P16" s="420" t="n">
        <v>-0.0075</v>
      </c>
      <c r="Q16" s="420" t="n">
        <v>-0.0125</v>
      </c>
      <c r="R16" s="418" t="n">
        <v>-0.0325</v>
      </c>
      <c r="S16" s="436" t="n">
        <v>-0.075</v>
      </c>
      <c r="T16" s="418" t="n">
        <v>-0.11</v>
      </c>
      <c r="U16" s="418" t="n">
        <v>-0.0375</v>
      </c>
      <c r="V16" s="418" t="n">
        <v>-0.135</v>
      </c>
      <c r="W16" s="418" t="n">
        <v>-0.165</v>
      </c>
      <c r="X16" s="418" t="n">
        <v>0.315</v>
      </c>
      <c r="Y16" s="418" t="n">
        <v>-0.0075</v>
      </c>
      <c r="Z16" s="418" t="n">
        <v>-1.24</v>
      </c>
      <c r="AA16" s="418" t="n">
        <v>-0.03</v>
      </c>
      <c r="AB16" s="437" t="n">
        <v>2.5</v>
      </c>
      <c r="AC16" s="437" t="n">
        <v>0.305</v>
      </c>
      <c r="AD16" s="437" t="n">
        <v>0.11</v>
      </c>
      <c r="AE16" s="438" t="n">
        <v>0.4</v>
      </c>
      <c r="AF16" s="438" t="n">
        <v>0.4</v>
      </c>
      <c r="AG16" s="438" t="n">
        <v>0.392</v>
      </c>
      <c r="AH16" s="438" t="n">
        <v>0.384</v>
      </c>
      <c r="AI16" s="438" t="n">
        <v>0.408</v>
      </c>
      <c r="AJ16" s="438" t="n">
        <v>0.4</v>
      </c>
      <c r="AK16" s="438" t="n">
        <v>0.392</v>
      </c>
      <c r="AL16" s="438" t="n">
        <v>0.392</v>
      </c>
      <c r="AM16" s="438" t="n">
        <v>0.4</v>
      </c>
      <c r="AN16" s="438" t="n">
        <v>0.4</v>
      </c>
      <c r="AO16" s="438" t="n">
        <v>0.4</v>
      </c>
      <c r="AP16" s="439" t="n">
        <v>0.4</v>
      </c>
      <c r="AQ16" s="439" t="n">
        <v>0.384</v>
      </c>
      <c r="AR16" s="439" t="n">
        <v>0.4</v>
      </c>
      <c r="AS16" s="439" t="n">
        <v>0.4</v>
      </c>
      <c r="AT16" s="438" t="n">
        <v>0.4</v>
      </c>
      <c r="AU16" s="438" t="n">
        <v>0.376</v>
      </c>
      <c r="AV16" s="438" t="n">
        <v>0.392</v>
      </c>
      <c r="AW16" s="440" t="n">
        <v>0.067633985079411</v>
      </c>
      <c r="AX16" s="440"/>
      <c r="AY16" s="437" t="n">
        <f aca="false">AG16</f>
        <v>0.392</v>
      </c>
      <c r="AZ16" s="437" t="n">
        <f aca="false">AG16</f>
        <v>0.392</v>
      </c>
      <c r="BA16" s="441" t="n">
        <f aca="false">AG16</f>
        <v>0.392</v>
      </c>
      <c r="BB16" s="442" t="n">
        <f aca="false">B16</f>
        <v>36770</v>
      </c>
      <c r="BC16" s="442" t="n">
        <v>0.998364021074322</v>
      </c>
      <c r="BD16" s="418" t="n">
        <v>0.998545664261119</v>
      </c>
      <c r="BF16" s="455" t="n">
        <v>36770</v>
      </c>
      <c r="BG16" s="66" t="n">
        <v>4</v>
      </c>
      <c r="HZ16" s="442" t="n">
        <f aca="false">B18</f>
        <v>36831</v>
      </c>
      <c r="IA16" s="418" t="n">
        <v>6</v>
      </c>
    </row>
    <row r="17" customFormat="false" ht="12.75" hidden="false" customHeight="false" outlineLevel="0" collapsed="false">
      <c r="A17" s="470"/>
      <c r="B17" s="419" t="n">
        <f aca="false">EOMONTH(B16,0)+1</f>
        <v>36800</v>
      </c>
      <c r="C17" s="420" t="n">
        <v>4.692</v>
      </c>
      <c r="D17" s="420" t="n">
        <v>0.575</v>
      </c>
      <c r="E17" s="420" t="n">
        <v>0.068050789414654</v>
      </c>
      <c r="F17" s="420" t="n">
        <v>-0.1475</v>
      </c>
      <c r="G17" s="435" t="n">
        <v>-0.01</v>
      </c>
      <c r="H17" s="420" t="n">
        <v>-0.1475</v>
      </c>
      <c r="I17" s="420" t="n">
        <v>0.055</v>
      </c>
      <c r="J17" s="420" t="n">
        <v>0.185</v>
      </c>
      <c r="K17" s="420" t="n">
        <v>0.24</v>
      </c>
      <c r="L17" s="420" t="n">
        <v>-0.07</v>
      </c>
      <c r="M17" s="420" t="n">
        <v>-0.04</v>
      </c>
      <c r="N17" s="420" t="n">
        <v>-0.805</v>
      </c>
      <c r="O17" s="420" t="n">
        <v>-0.55</v>
      </c>
      <c r="P17" s="420" t="n">
        <v>0</v>
      </c>
      <c r="Q17" s="420" t="n">
        <v>-0.01</v>
      </c>
      <c r="R17" s="418" t="n">
        <v>-0.0275</v>
      </c>
      <c r="S17" s="418" t="n">
        <v>-0.075</v>
      </c>
      <c r="T17" s="418" t="n">
        <v>-0.09</v>
      </c>
      <c r="U17" s="418" t="n">
        <v>-0.03</v>
      </c>
      <c r="V17" s="418" t="n">
        <v>-0.135</v>
      </c>
      <c r="W17" s="418" t="n">
        <v>-0.17</v>
      </c>
      <c r="X17" s="418" t="n">
        <v>0.415</v>
      </c>
      <c r="Y17" s="418" t="n">
        <v>0</v>
      </c>
      <c r="Z17" s="418" t="n">
        <v>-0.805</v>
      </c>
      <c r="AA17" s="418" t="n">
        <v>-0.0275</v>
      </c>
      <c r="AB17" s="437" t="n">
        <v>1.99</v>
      </c>
      <c r="AC17" s="437" t="n">
        <v>0.36</v>
      </c>
      <c r="AD17" s="437" t="n">
        <v>0.115</v>
      </c>
      <c r="AE17" s="438" t="n">
        <v>0.575</v>
      </c>
      <c r="AF17" s="438" t="n">
        <v>0.575</v>
      </c>
      <c r="AG17" s="438" t="n">
        <v>0.564</v>
      </c>
      <c r="AH17" s="438" t="n">
        <v>0.552</v>
      </c>
      <c r="AI17" s="438" t="n">
        <v>0.587</v>
      </c>
      <c r="AJ17" s="438" t="n">
        <v>0.575</v>
      </c>
      <c r="AK17" s="438" t="n">
        <v>0.564</v>
      </c>
      <c r="AL17" s="438" t="n">
        <v>0.564</v>
      </c>
      <c r="AM17" s="438" t="n">
        <v>0.575</v>
      </c>
      <c r="AN17" s="438" t="n">
        <v>0.575</v>
      </c>
      <c r="AO17" s="438" t="n">
        <v>0.575</v>
      </c>
      <c r="AP17" s="439" t="n">
        <v>0.575</v>
      </c>
      <c r="AQ17" s="439" t="n">
        <v>0.552</v>
      </c>
      <c r="AR17" s="439" t="n">
        <v>0.575</v>
      </c>
      <c r="AS17" s="439" t="n">
        <v>0.575</v>
      </c>
      <c r="AT17" s="438" t="n">
        <v>0.575</v>
      </c>
      <c r="AU17" s="438" t="n">
        <v>0.541</v>
      </c>
      <c r="AV17" s="438" t="n">
        <v>0.564</v>
      </c>
      <c r="AW17" s="440" t="n">
        <v>0.068056178914903</v>
      </c>
      <c r="AX17" s="440"/>
      <c r="AY17" s="437" t="n">
        <f aca="false">AG17</f>
        <v>0.564</v>
      </c>
      <c r="AZ17" s="437" t="n">
        <f aca="false">AG17</f>
        <v>0.564</v>
      </c>
      <c r="BA17" s="441" t="n">
        <f aca="false">AG17</f>
        <v>0.564</v>
      </c>
      <c r="BB17" s="442" t="n">
        <f aca="false">B17</f>
        <v>36800</v>
      </c>
      <c r="BC17" s="442" t="n">
        <v>0.992879881565685</v>
      </c>
      <c r="BD17" s="418" t="n">
        <v>0.993061813873438</v>
      </c>
      <c r="BF17" s="455" t="n">
        <v>36800</v>
      </c>
      <c r="BG17" s="66" t="n">
        <v>5</v>
      </c>
      <c r="HZ17" s="442" t="n">
        <f aca="false">B19</f>
        <v>36861</v>
      </c>
      <c r="IA17" s="418" t="n">
        <v>7</v>
      </c>
    </row>
    <row r="18" customFormat="false" ht="12.75" hidden="false" customHeight="false" outlineLevel="0" collapsed="false">
      <c r="A18" s="470"/>
      <c r="B18" s="419" t="n">
        <f aca="false">EOMONTH(B17,0)+1</f>
        <v>36831</v>
      </c>
      <c r="C18" s="420" t="n">
        <v>4.736</v>
      </c>
      <c r="D18" s="420" t="n">
        <v>0.595</v>
      </c>
      <c r="E18" s="420" t="n">
        <v>0.06810675983792</v>
      </c>
      <c r="F18" s="420" t="n">
        <v>-0.1425</v>
      </c>
      <c r="G18" s="420" t="n">
        <v>-0.03</v>
      </c>
      <c r="H18" s="420" t="n">
        <v>-0.1425</v>
      </c>
      <c r="I18" s="420" t="n">
        <v>0.0875</v>
      </c>
      <c r="J18" s="420" t="n">
        <v>0.265</v>
      </c>
      <c r="K18" s="420" t="n">
        <v>0.3215</v>
      </c>
      <c r="L18" s="420" t="n">
        <v>-0.08</v>
      </c>
      <c r="M18" s="420" t="n">
        <v>-0.0225</v>
      </c>
      <c r="N18" s="420" t="n">
        <v>-0.4675</v>
      </c>
      <c r="O18" s="420" t="n">
        <v>-0.175</v>
      </c>
      <c r="P18" s="420" t="n">
        <v>0.0125</v>
      </c>
      <c r="Q18" s="420" t="n">
        <v>-0.02</v>
      </c>
      <c r="R18" s="418" t="n">
        <v>-0.0275</v>
      </c>
      <c r="S18" s="418" t="n">
        <v>-0.075</v>
      </c>
      <c r="T18" s="418" t="n">
        <v>-0.0025</v>
      </c>
      <c r="U18" s="418" t="n">
        <v>-0.04</v>
      </c>
      <c r="V18" s="418" t="n">
        <v>-0.1125</v>
      </c>
      <c r="W18" s="418" t="n">
        <v>-0.185</v>
      </c>
      <c r="X18" s="418" t="n">
        <v>0.77</v>
      </c>
      <c r="Y18" s="418" t="n">
        <v>0.005</v>
      </c>
      <c r="Z18" s="418" t="n">
        <v>-0.4</v>
      </c>
      <c r="AA18" s="418" t="n">
        <v>-0.0275</v>
      </c>
      <c r="AB18" s="437" t="n">
        <v>1.545</v>
      </c>
      <c r="AC18" s="437" t="n">
        <v>0.5</v>
      </c>
      <c r="AD18" s="437" t="n">
        <v>0.17</v>
      </c>
      <c r="AE18" s="438" t="n">
        <v>0.595</v>
      </c>
      <c r="AF18" s="438" t="n">
        <v>0.595</v>
      </c>
      <c r="AG18" s="438" t="n">
        <v>0.625</v>
      </c>
      <c r="AH18" s="438" t="n">
        <v>0.571</v>
      </c>
      <c r="AI18" s="438" t="n">
        <v>0.607</v>
      </c>
      <c r="AJ18" s="438" t="n">
        <v>0.595</v>
      </c>
      <c r="AK18" s="438" t="n">
        <v>0.595</v>
      </c>
      <c r="AL18" s="438" t="n">
        <v>0.595</v>
      </c>
      <c r="AM18" s="438" t="n">
        <v>0.595</v>
      </c>
      <c r="AN18" s="438" t="n">
        <v>0.595</v>
      </c>
      <c r="AO18" s="438" t="n">
        <v>0.595</v>
      </c>
      <c r="AP18" s="439" t="n">
        <v>0.595</v>
      </c>
      <c r="AQ18" s="439" t="n">
        <v>0.571</v>
      </c>
      <c r="AR18" s="439" t="n">
        <v>0.595</v>
      </c>
      <c r="AS18" s="439" t="n">
        <v>0.625</v>
      </c>
      <c r="AT18" s="438" t="n">
        <v>0.595</v>
      </c>
      <c r="AU18" s="438" t="n">
        <v>0.577</v>
      </c>
      <c r="AV18" s="438" t="n">
        <v>0.655</v>
      </c>
      <c r="AW18" s="440" t="n">
        <v>0.068168606297117</v>
      </c>
      <c r="AX18" s="440"/>
      <c r="AY18" s="437" t="n">
        <f aca="false">AG18</f>
        <v>0.625</v>
      </c>
      <c r="AZ18" s="437" t="n">
        <f aca="false">AG18</f>
        <v>0.625</v>
      </c>
      <c r="BA18" s="441" t="n">
        <f aca="false">AG18</f>
        <v>0.625</v>
      </c>
      <c r="BB18" s="442" t="n">
        <f aca="false">B18</f>
        <v>36831</v>
      </c>
      <c r="BC18" s="442" t="n">
        <v>0.987232312232736</v>
      </c>
      <c r="BD18" s="418" t="n">
        <v>0.987413555035095</v>
      </c>
      <c r="BF18" s="455" t="n">
        <v>36831</v>
      </c>
      <c r="BG18" s="66" t="n">
        <v>6</v>
      </c>
      <c r="HZ18" s="442" t="n">
        <f aca="false">B20</f>
        <v>36892</v>
      </c>
      <c r="IA18" s="418" t="n">
        <v>8</v>
      </c>
    </row>
    <row r="19" customFormat="false" ht="12.75" hidden="false" customHeight="false" outlineLevel="0" collapsed="false">
      <c r="A19" s="470"/>
      <c r="B19" s="419" t="n">
        <f aca="false">EOMONTH(B18,0)+1</f>
        <v>36861</v>
      </c>
      <c r="C19" s="420" t="n">
        <v>4.8</v>
      </c>
      <c r="D19" s="420" t="n">
        <v>0.6</v>
      </c>
      <c r="E19" s="420" t="n">
        <v>0.068314027999354</v>
      </c>
      <c r="F19" s="420" t="n">
        <v>-0.1525</v>
      </c>
      <c r="G19" s="435" t="n">
        <v>-0.065</v>
      </c>
      <c r="H19" s="420" t="n">
        <v>-0.1525</v>
      </c>
      <c r="I19" s="420" t="n">
        <v>0.1</v>
      </c>
      <c r="J19" s="420" t="n">
        <v>0.295</v>
      </c>
      <c r="K19" s="420" t="n">
        <v>0.375</v>
      </c>
      <c r="L19" s="420" t="n">
        <v>-0.08</v>
      </c>
      <c r="M19" s="420" t="n">
        <v>-0.0225</v>
      </c>
      <c r="N19" s="420" t="n">
        <v>-0.3575</v>
      </c>
      <c r="O19" s="420" t="n">
        <v>0.53</v>
      </c>
      <c r="P19" s="420" t="n">
        <v>0.0125</v>
      </c>
      <c r="Q19" s="420" t="n">
        <v>-0.02</v>
      </c>
      <c r="R19" s="418" t="n">
        <v>-0.0275</v>
      </c>
      <c r="S19" s="418" t="n">
        <v>-0.075</v>
      </c>
      <c r="T19" s="418" t="n">
        <v>0.0175</v>
      </c>
      <c r="U19" s="418" t="n">
        <v>-0.04</v>
      </c>
      <c r="V19" s="418" t="n">
        <v>-0.1475</v>
      </c>
      <c r="W19" s="418" t="n">
        <v>-0.18</v>
      </c>
      <c r="X19" s="418" t="n">
        <v>1.645</v>
      </c>
      <c r="Y19" s="418" t="n">
        <v>0.005</v>
      </c>
      <c r="Z19" s="418" t="n">
        <v>-0.3525</v>
      </c>
      <c r="AA19" s="418" t="n">
        <v>-0.0275</v>
      </c>
      <c r="AB19" s="437" t="n">
        <v>1.005</v>
      </c>
      <c r="AC19" s="437" t="n">
        <v>0.83</v>
      </c>
      <c r="AD19" s="437" t="n">
        <v>0.1925</v>
      </c>
      <c r="AE19" s="438" t="n">
        <v>0.6</v>
      </c>
      <c r="AF19" s="438" t="n">
        <v>0.6</v>
      </c>
      <c r="AG19" s="438" t="n">
        <v>0.69</v>
      </c>
      <c r="AH19" s="438" t="n">
        <v>0.576</v>
      </c>
      <c r="AI19" s="438" t="n">
        <v>0.612</v>
      </c>
      <c r="AJ19" s="438" t="n">
        <v>0.6</v>
      </c>
      <c r="AK19" s="438" t="n">
        <v>0.6</v>
      </c>
      <c r="AL19" s="438" t="n">
        <v>0.6</v>
      </c>
      <c r="AM19" s="438" t="n">
        <v>0.6</v>
      </c>
      <c r="AN19" s="438" t="n">
        <v>0.6</v>
      </c>
      <c r="AO19" s="438" t="n">
        <v>0.6</v>
      </c>
      <c r="AP19" s="439" t="n">
        <v>0.6</v>
      </c>
      <c r="AQ19" s="439" t="n">
        <v>0.576</v>
      </c>
      <c r="AR19" s="439" t="n">
        <v>0.6</v>
      </c>
      <c r="AS19" s="439" t="n">
        <v>0.63</v>
      </c>
      <c r="AT19" s="438" t="n">
        <v>0.6</v>
      </c>
      <c r="AU19" s="438" t="n">
        <v>0.582</v>
      </c>
      <c r="AV19" s="438" t="n">
        <v>0.66</v>
      </c>
      <c r="AW19" s="440" t="n">
        <v>0.068388259024859</v>
      </c>
      <c r="AX19" s="440"/>
      <c r="AY19" s="437" t="n">
        <f aca="false">AG19</f>
        <v>0.69</v>
      </c>
      <c r="AZ19" s="437" t="n">
        <f aca="false">AG19</f>
        <v>0.69</v>
      </c>
      <c r="BA19" s="441" t="n">
        <f aca="false">AG19</f>
        <v>0.69</v>
      </c>
      <c r="BB19" s="442" t="n">
        <f aca="false">B19</f>
        <v>36861</v>
      </c>
      <c r="BC19" s="442" t="n">
        <v>0.981751812878426</v>
      </c>
      <c r="BD19" s="418" t="n">
        <v>0.981932636197281</v>
      </c>
      <c r="BF19" s="455" t="n">
        <v>36861</v>
      </c>
      <c r="BG19" s="66" t="n">
        <v>7</v>
      </c>
      <c r="HZ19" s="442" t="n">
        <f aca="false">B21</f>
        <v>36923</v>
      </c>
      <c r="IA19" s="418" t="n">
        <v>9</v>
      </c>
    </row>
    <row r="20" customFormat="false" ht="12.75" hidden="false" customHeight="false" outlineLevel="0" collapsed="false">
      <c r="A20" s="470"/>
      <c r="B20" s="419" t="n">
        <f aca="false">EOMONTH(B19,0)+1</f>
        <v>36892</v>
      </c>
      <c r="C20" s="420" t="n">
        <v>4.744</v>
      </c>
      <c r="D20" s="420" t="n">
        <v>0.605</v>
      </c>
      <c r="E20" s="420" t="n">
        <v>0.068374831148491</v>
      </c>
      <c r="F20" s="420" t="n">
        <v>-0.16</v>
      </c>
      <c r="G20" s="420" t="n">
        <v>-0.07</v>
      </c>
      <c r="H20" s="420" t="n">
        <v>-0.16</v>
      </c>
      <c r="I20" s="420" t="n">
        <v>0.1275</v>
      </c>
      <c r="J20" s="420" t="n">
        <v>0.3</v>
      </c>
      <c r="K20" s="420" t="n">
        <v>0.455</v>
      </c>
      <c r="L20" s="420" t="n">
        <v>-0.08</v>
      </c>
      <c r="M20" s="420" t="n">
        <v>-0.0225</v>
      </c>
      <c r="N20" s="420" t="n">
        <v>-0.3675</v>
      </c>
      <c r="O20" s="420" t="n">
        <v>0.53</v>
      </c>
      <c r="P20" s="420" t="n">
        <v>0.0125</v>
      </c>
      <c r="Q20" s="420" t="n">
        <v>-0.02</v>
      </c>
      <c r="R20" s="418" t="n">
        <v>-0.0275</v>
      </c>
      <c r="S20" s="418" t="n">
        <v>-0.075</v>
      </c>
      <c r="T20" s="418" t="n">
        <v>0.03</v>
      </c>
      <c r="U20" s="418" t="n">
        <v>-0.04</v>
      </c>
      <c r="V20" s="418" t="n">
        <v>-0.1525</v>
      </c>
      <c r="W20" s="418" t="n">
        <v>-0.18</v>
      </c>
      <c r="X20" s="418" t="n">
        <v>2.17</v>
      </c>
      <c r="Y20" s="418" t="n">
        <v>0.005</v>
      </c>
      <c r="Z20" s="418" t="n">
        <v>-0.3375</v>
      </c>
      <c r="AA20" s="418" t="n">
        <v>-0.0275</v>
      </c>
      <c r="AB20" s="437" t="n">
        <v>0.7675</v>
      </c>
      <c r="AC20" s="437" t="n">
        <v>1.05</v>
      </c>
      <c r="AD20" s="437" t="n">
        <v>0.22</v>
      </c>
      <c r="AE20" s="438" t="n">
        <v>0.605</v>
      </c>
      <c r="AF20" s="438" t="n">
        <v>0.605</v>
      </c>
      <c r="AG20" s="438" t="n">
        <v>0.696</v>
      </c>
      <c r="AH20" s="438" t="n">
        <v>0.581</v>
      </c>
      <c r="AI20" s="438" t="n">
        <v>0.617</v>
      </c>
      <c r="AJ20" s="438" t="n">
        <v>0.605</v>
      </c>
      <c r="AK20" s="438" t="n">
        <v>0.605</v>
      </c>
      <c r="AL20" s="438" t="n">
        <v>0.605</v>
      </c>
      <c r="AM20" s="438" t="n">
        <v>0.605</v>
      </c>
      <c r="AN20" s="438" t="n">
        <v>0.605</v>
      </c>
      <c r="AO20" s="438" t="n">
        <v>0.605</v>
      </c>
      <c r="AP20" s="439" t="n">
        <v>0.605</v>
      </c>
      <c r="AQ20" s="439" t="n">
        <v>0.581</v>
      </c>
      <c r="AR20" s="439" t="n">
        <v>0.605</v>
      </c>
      <c r="AS20" s="439" t="n">
        <v>0.635</v>
      </c>
      <c r="AT20" s="438" t="n">
        <v>0.605</v>
      </c>
      <c r="AU20" s="438" t="n">
        <v>0.587</v>
      </c>
      <c r="AV20" s="438" t="n">
        <v>0.605</v>
      </c>
      <c r="AW20" s="440" t="n">
        <v>0.068399434497721</v>
      </c>
      <c r="AX20" s="440"/>
      <c r="AY20" s="437" t="n">
        <f aca="false">AG20</f>
        <v>0.696</v>
      </c>
      <c r="AZ20" s="437" t="n">
        <f aca="false">AG20</f>
        <v>0.696</v>
      </c>
      <c r="BA20" s="441" t="n">
        <f aca="false">AG20</f>
        <v>0.696</v>
      </c>
      <c r="BB20" s="442" t="n">
        <f aca="false">B20</f>
        <v>36892</v>
      </c>
      <c r="BC20" s="442" t="n">
        <v>0.976129949498837</v>
      </c>
      <c r="BD20" s="418" t="n">
        <v>0.976309987982647</v>
      </c>
      <c r="BF20" s="455" t="n">
        <v>36892</v>
      </c>
      <c r="BG20" s="66" t="n">
        <v>8</v>
      </c>
      <c r="HZ20" s="442" t="n">
        <f aca="false">B22</f>
        <v>36951</v>
      </c>
      <c r="IA20" s="418" t="n">
        <v>10</v>
      </c>
    </row>
    <row r="21" customFormat="false" ht="12.75" hidden="false" customHeight="false" outlineLevel="0" collapsed="false">
      <c r="A21" s="470"/>
      <c r="B21" s="419" t="n">
        <f aca="false">EOMONTH(B20,0)+1</f>
        <v>36923</v>
      </c>
      <c r="C21" s="420" t="n">
        <v>4.48</v>
      </c>
      <c r="D21" s="420" t="n">
        <v>0.5925</v>
      </c>
      <c r="E21" s="420" t="n">
        <v>0.068640161611372</v>
      </c>
      <c r="F21" s="420" t="n">
        <v>-0.145</v>
      </c>
      <c r="G21" s="420" t="n">
        <v>-0.0525</v>
      </c>
      <c r="H21" s="420" t="n">
        <v>-0.145</v>
      </c>
      <c r="I21" s="420" t="n">
        <v>0.1375</v>
      </c>
      <c r="J21" s="420" t="n">
        <v>0.295</v>
      </c>
      <c r="K21" s="420" t="n">
        <v>0.415</v>
      </c>
      <c r="L21" s="420" t="n">
        <v>-0.08</v>
      </c>
      <c r="M21" s="420" t="n">
        <v>-0.0225</v>
      </c>
      <c r="N21" s="420" t="n">
        <v>-0.3875</v>
      </c>
      <c r="O21" s="420" t="n">
        <v>0.345</v>
      </c>
      <c r="P21" s="420" t="n">
        <v>0.0125</v>
      </c>
      <c r="Q21" s="420" t="n">
        <v>-0.02</v>
      </c>
      <c r="R21" s="418" t="n">
        <v>-0.0275</v>
      </c>
      <c r="S21" s="418" t="n">
        <v>-0.075</v>
      </c>
      <c r="T21" s="436" t="n">
        <v>0.035</v>
      </c>
      <c r="U21" s="418" t="n">
        <v>-0.04</v>
      </c>
      <c r="V21" s="418" t="n">
        <v>-0.135</v>
      </c>
      <c r="W21" s="418" t="n">
        <v>-0.18</v>
      </c>
      <c r="X21" s="418" t="n">
        <v>2.09</v>
      </c>
      <c r="Y21" s="418" t="n">
        <v>0.005</v>
      </c>
      <c r="Z21" s="418" t="n">
        <v>-0.3425</v>
      </c>
      <c r="AA21" s="418" t="n">
        <v>-0.0275</v>
      </c>
      <c r="AB21" s="437" t="n">
        <v>0.6175</v>
      </c>
      <c r="AC21" s="437" t="n">
        <v>1.05</v>
      </c>
      <c r="AD21" s="437" t="n">
        <v>0.24</v>
      </c>
      <c r="AE21" s="438" t="n">
        <v>0.593</v>
      </c>
      <c r="AF21" s="438" t="n">
        <v>0.593</v>
      </c>
      <c r="AG21" s="438" t="n">
        <v>0.681</v>
      </c>
      <c r="AH21" s="438" t="n">
        <v>0.569</v>
      </c>
      <c r="AI21" s="438" t="n">
        <v>0.604</v>
      </c>
      <c r="AJ21" s="438" t="n">
        <v>0.593</v>
      </c>
      <c r="AK21" s="438" t="n">
        <v>0.593</v>
      </c>
      <c r="AL21" s="438" t="n">
        <v>0.593</v>
      </c>
      <c r="AM21" s="438" t="n">
        <v>0.593</v>
      </c>
      <c r="AN21" s="438" t="n">
        <v>0.593</v>
      </c>
      <c r="AO21" s="438" t="n">
        <v>0.593</v>
      </c>
      <c r="AP21" s="439" t="n">
        <v>0.593</v>
      </c>
      <c r="AQ21" s="439" t="n">
        <v>0.569</v>
      </c>
      <c r="AR21" s="439" t="n">
        <v>0.593</v>
      </c>
      <c r="AS21" s="439" t="n">
        <v>0.622</v>
      </c>
      <c r="AT21" s="438" t="n">
        <v>0.593</v>
      </c>
      <c r="AU21" s="438" t="n">
        <v>0.575</v>
      </c>
      <c r="AV21" s="438" t="n">
        <v>0.652</v>
      </c>
      <c r="AW21" s="440" t="n">
        <v>0.068637921506616</v>
      </c>
      <c r="AX21" s="440"/>
      <c r="AY21" s="437" t="n">
        <f aca="false">AG21</f>
        <v>0.681</v>
      </c>
      <c r="AZ21" s="437" t="n">
        <f aca="false">AG21</f>
        <v>0.681</v>
      </c>
      <c r="BA21" s="441" t="n">
        <f aca="false">AG21</f>
        <v>0.681</v>
      </c>
      <c r="BB21" s="442" t="n">
        <f aca="false">B21</f>
        <v>36923</v>
      </c>
      <c r="BC21" s="442" t="n">
        <v>0.970443265939811</v>
      </c>
      <c r="BD21" s="418" t="n">
        <v>0.970623008296887</v>
      </c>
      <c r="BF21" s="455" t="n">
        <v>36923</v>
      </c>
      <c r="BG21" s="66" t="n">
        <v>9</v>
      </c>
      <c r="HZ21" s="442" t="n">
        <f aca="false">B23</f>
        <v>36982</v>
      </c>
      <c r="IA21" s="418" t="n">
        <v>11</v>
      </c>
    </row>
    <row r="22" customFormat="false" ht="12.75" hidden="false" customHeight="false" outlineLevel="0" collapsed="false">
      <c r="A22" s="470"/>
      <c r="B22" s="419" t="n">
        <f aca="false">EOMONTH(B21,0)+1</f>
        <v>36951</v>
      </c>
      <c r="C22" s="420" t="n">
        <v>4.213</v>
      </c>
      <c r="D22" s="420" t="n">
        <v>0.5325</v>
      </c>
      <c r="E22" s="420" t="n">
        <v>0.068879814952707</v>
      </c>
      <c r="F22" s="420" t="n">
        <v>-0.1375</v>
      </c>
      <c r="G22" s="420" t="n">
        <v>-0.035</v>
      </c>
      <c r="H22" s="420" t="n">
        <v>-0.1375</v>
      </c>
      <c r="I22" s="420" t="n">
        <v>0.1225</v>
      </c>
      <c r="J22" s="420" t="n">
        <v>0.27</v>
      </c>
      <c r="K22" s="420" t="n">
        <v>0.36</v>
      </c>
      <c r="L22" s="420" t="n">
        <v>-0.08</v>
      </c>
      <c r="M22" s="420" t="n">
        <v>-0.0225</v>
      </c>
      <c r="N22" s="420" t="n">
        <v>-0.3975</v>
      </c>
      <c r="O22" s="420" t="n">
        <v>-0.03</v>
      </c>
      <c r="P22" s="420" t="n">
        <v>0.0125</v>
      </c>
      <c r="Q22" s="420" t="n">
        <v>-0.02</v>
      </c>
      <c r="R22" s="418" t="n">
        <v>-0.0275</v>
      </c>
      <c r="S22" s="418" t="n">
        <v>-0.075</v>
      </c>
      <c r="T22" s="418" t="n">
        <v>0.0325</v>
      </c>
      <c r="U22" s="418" t="n">
        <v>-0.04</v>
      </c>
      <c r="V22" s="418" t="n">
        <v>-0.1175</v>
      </c>
      <c r="W22" s="418" t="n">
        <v>-0.185</v>
      </c>
      <c r="X22" s="418" t="n">
        <v>1.075</v>
      </c>
      <c r="Y22" s="418" t="n">
        <v>0.005</v>
      </c>
      <c r="Z22" s="418" t="n">
        <v>-0.415</v>
      </c>
      <c r="AA22" s="418" t="n">
        <v>-0.0275</v>
      </c>
      <c r="AB22" s="437" t="n">
        <v>0.5975</v>
      </c>
      <c r="AC22" s="437" t="n">
        <v>0.72</v>
      </c>
      <c r="AD22" s="437" t="n">
        <v>0.2275</v>
      </c>
      <c r="AE22" s="438" t="n">
        <v>0.533</v>
      </c>
      <c r="AF22" s="438" t="n">
        <v>0.533</v>
      </c>
      <c r="AG22" s="438" t="n">
        <v>0.612</v>
      </c>
      <c r="AH22" s="438" t="n">
        <v>0.511</v>
      </c>
      <c r="AI22" s="438" t="n">
        <v>0.543</v>
      </c>
      <c r="AJ22" s="438" t="n">
        <v>0.533</v>
      </c>
      <c r="AK22" s="438" t="n">
        <v>0.533</v>
      </c>
      <c r="AL22" s="438" t="n">
        <v>0.533</v>
      </c>
      <c r="AM22" s="438" t="n">
        <v>0.533</v>
      </c>
      <c r="AN22" s="438" t="n">
        <v>0.533</v>
      </c>
      <c r="AO22" s="438" t="n">
        <v>0.533</v>
      </c>
      <c r="AP22" s="439" t="n">
        <v>0.533</v>
      </c>
      <c r="AQ22" s="439" t="n">
        <v>0.511</v>
      </c>
      <c r="AR22" s="439" t="n">
        <v>0.533</v>
      </c>
      <c r="AS22" s="439" t="n">
        <v>0.559</v>
      </c>
      <c r="AT22" s="438" t="n">
        <v>0.533</v>
      </c>
      <c r="AU22" s="438" t="n">
        <v>0.517</v>
      </c>
      <c r="AV22" s="438" t="n">
        <v>0.586</v>
      </c>
      <c r="AW22" s="440" t="n">
        <v>0.068853329143729</v>
      </c>
      <c r="AX22" s="440"/>
      <c r="AY22" s="437" t="n">
        <f aca="false">AG22</f>
        <v>0.612</v>
      </c>
      <c r="AZ22" s="437" t="n">
        <f aca="false">AG22</f>
        <v>0.612</v>
      </c>
      <c r="BA22" s="441" t="n">
        <f aca="false">AG22</f>
        <v>0.612</v>
      </c>
      <c r="BB22" s="442" t="n">
        <f aca="false">B22</f>
        <v>36951</v>
      </c>
      <c r="BC22" s="442" t="n">
        <v>0.965295510510823</v>
      </c>
      <c r="BD22" s="418" t="n">
        <v>0.965474975606733</v>
      </c>
      <c r="BF22" s="455" t="n">
        <v>36951</v>
      </c>
      <c r="BG22" s="66" t="n">
        <v>10</v>
      </c>
      <c r="HZ22" s="442" t="n">
        <f aca="false">B24</f>
        <v>37012</v>
      </c>
      <c r="IA22" s="418" t="n">
        <v>12</v>
      </c>
    </row>
    <row r="23" customFormat="false" ht="12.75" hidden="false" customHeight="false" outlineLevel="0" collapsed="false">
      <c r="A23" s="470"/>
      <c r="B23" s="419" t="n">
        <f aca="false">EOMONTH(B22,0)+1</f>
        <v>36982</v>
      </c>
      <c r="C23" s="420" t="n">
        <v>3.938</v>
      </c>
      <c r="D23" s="420" t="n">
        <v>0.4425</v>
      </c>
      <c r="E23" s="420" t="n">
        <v>0.069061726541121</v>
      </c>
      <c r="F23" s="420" t="n">
        <v>-0.1525</v>
      </c>
      <c r="G23" s="420" t="n">
        <v>0.005</v>
      </c>
      <c r="H23" s="420" t="n">
        <v>-0.1525</v>
      </c>
      <c r="I23" s="420" t="n">
        <v>0.065</v>
      </c>
      <c r="J23" s="420" t="n">
        <v>0.195</v>
      </c>
      <c r="K23" s="420" t="n">
        <v>0.23</v>
      </c>
      <c r="L23" s="420" t="n">
        <v>-0.078</v>
      </c>
      <c r="M23" s="420" t="n">
        <v>-0.03</v>
      </c>
      <c r="N23" s="420" t="n">
        <v>-0.65</v>
      </c>
      <c r="O23" s="420" t="n">
        <v>-0.375</v>
      </c>
      <c r="P23" s="420" t="n">
        <v>0.005</v>
      </c>
      <c r="Q23" s="420" t="n">
        <v>-0.0075</v>
      </c>
      <c r="R23" s="418" t="n">
        <v>-0.025</v>
      </c>
      <c r="S23" s="418" t="n">
        <v>-0.06</v>
      </c>
      <c r="T23" s="418" t="n">
        <v>-0.1175</v>
      </c>
      <c r="U23" s="418" t="n">
        <v>-0.0225</v>
      </c>
      <c r="V23" s="418" t="n">
        <v>-0.11</v>
      </c>
      <c r="W23" s="418" t="n">
        <v>-0.14</v>
      </c>
      <c r="X23" s="418" t="n">
        <v>0.52</v>
      </c>
      <c r="Y23" s="418" t="n">
        <v>0.005</v>
      </c>
      <c r="Z23" s="418" t="n">
        <v>-0.4425</v>
      </c>
      <c r="AA23" s="418" t="n">
        <v>-0.025</v>
      </c>
      <c r="AB23" s="437" t="n">
        <v>0.59</v>
      </c>
      <c r="AC23" s="437" t="n">
        <v>0.3775</v>
      </c>
      <c r="AD23" s="437" t="n">
        <v>0.1375</v>
      </c>
      <c r="AE23" s="438" t="n">
        <v>0.443</v>
      </c>
      <c r="AF23" s="438" t="n">
        <v>0.443</v>
      </c>
      <c r="AG23" s="438" t="n">
        <v>0.434</v>
      </c>
      <c r="AH23" s="438" t="n">
        <v>0.429</v>
      </c>
      <c r="AI23" s="438" t="n">
        <v>0.451</v>
      </c>
      <c r="AJ23" s="438" t="n">
        <v>0.443</v>
      </c>
      <c r="AK23" s="438" t="n">
        <v>0.434</v>
      </c>
      <c r="AL23" s="438" t="n">
        <v>0.434</v>
      </c>
      <c r="AM23" s="438" t="n">
        <v>0.443</v>
      </c>
      <c r="AN23" s="438" t="n">
        <v>0.443</v>
      </c>
      <c r="AO23" s="438" t="n">
        <v>0.443</v>
      </c>
      <c r="AP23" s="439" t="n">
        <v>0.443</v>
      </c>
      <c r="AQ23" s="439" t="n">
        <v>0.429</v>
      </c>
      <c r="AR23" s="439" t="n">
        <v>0.443</v>
      </c>
      <c r="AS23" s="439" t="n">
        <v>0.443</v>
      </c>
      <c r="AT23" s="438" t="n">
        <v>0.443</v>
      </c>
      <c r="AU23" s="438" t="n">
        <v>0.443</v>
      </c>
      <c r="AV23" s="438" t="n">
        <v>0.434</v>
      </c>
      <c r="AW23" s="440" t="n">
        <v>0.069015986222381</v>
      </c>
      <c r="AX23" s="440"/>
      <c r="AY23" s="437" t="n">
        <f aca="false">AG23</f>
        <v>0.434</v>
      </c>
      <c r="AZ23" s="437" t="n">
        <f aca="false">AG23</f>
        <v>0.434</v>
      </c>
      <c r="BA23" s="441" t="n">
        <f aca="false">AG23</f>
        <v>0.434</v>
      </c>
      <c r="BB23" s="442" t="n">
        <f aca="false">B23</f>
        <v>36982</v>
      </c>
      <c r="BC23" s="442" t="n">
        <v>0.959632365120529</v>
      </c>
      <c r="BD23" s="418" t="n">
        <v>0.959811303392432</v>
      </c>
      <c r="BF23" s="455" t="n">
        <v>36982</v>
      </c>
      <c r="BG23" s="66" t="n">
        <v>11</v>
      </c>
      <c r="HZ23" s="442" t="n">
        <f aca="false">B25</f>
        <v>37043</v>
      </c>
      <c r="IA23" s="418" t="n">
        <v>13</v>
      </c>
    </row>
    <row r="24" customFormat="false" ht="12.75" hidden="false" customHeight="false" outlineLevel="0" collapsed="false">
      <c r="A24" s="470"/>
      <c r="B24" s="419" t="n">
        <f aca="false">EOMONTH(B23,0)+1</f>
        <v>37012</v>
      </c>
      <c r="C24" s="420" t="n">
        <v>3.838</v>
      </c>
      <c r="D24" s="420" t="n">
        <v>0.405</v>
      </c>
      <c r="E24" s="420" t="n">
        <v>0.069101151219</v>
      </c>
      <c r="F24" s="420" t="n">
        <v>-0.1475</v>
      </c>
      <c r="G24" s="420" t="n">
        <v>0.0075</v>
      </c>
      <c r="H24" s="420" t="n">
        <v>-0.1475</v>
      </c>
      <c r="I24" s="420" t="n">
        <v>0.0525</v>
      </c>
      <c r="J24" s="420" t="n">
        <v>0.185</v>
      </c>
      <c r="K24" s="420" t="n">
        <v>0.22</v>
      </c>
      <c r="L24" s="420" t="n">
        <v>-0.078</v>
      </c>
      <c r="M24" s="420" t="n">
        <v>-0.03</v>
      </c>
      <c r="N24" s="420" t="n">
        <v>-0.65</v>
      </c>
      <c r="O24" s="420" t="n">
        <v>-0.375</v>
      </c>
      <c r="P24" s="420" t="n">
        <v>0.005</v>
      </c>
      <c r="Q24" s="420" t="n">
        <v>-0.0075</v>
      </c>
      <c r="R24" s="418" t="n">
        <v>-0.025</v>
      </c>
      <c r="S24" s="418" t="n">
        <v>-0.06</v>
      </c>
      <c r="T24" s="418" t="n">
        <v>-0.1125</v>
      </c>
      <c r="U24" s="418" t="n">
        <v>-0.02275</v>
      </c>
      <c r="V24" s="418" t="n">
        <v>-0.1075</v>
      </c>
      <c r="W24" s="418" t="n">
        <v>-0.14</v>
      </c>
      <c r="X24" s="418" t="n">
        <v>0.405</v>
      </c>
      <c r="Y24" s="418" t="n">
        <v>0.005</v>
      </c>
      <c r="Z24" s="418" t="n">
        <v>-0.4425</v>
      </c>
      <c r="AA24" s="418" t="n">
        <v>-0.025</v>
      </c>
      <c r="AB24" s="437" t="n">
        <v>0.6</v>
      </c>
      <c r="AC24" s="437" t="n">
        <v>0.315</v>
      </c>
      <c r="AD24" s="437" t="n">
        <v>0.125</v>
      </c>
      <c r="AE24" s="438" t="n">
        <v>0.405</v>
      </c>
      <c r="AF24" s="438" t="n">
        <v>0.405</v>
      </c>
      <c r="AG24" s="438" t="n">
        <v>0.397</v>
      </c>
      <c r="AH24" s="438" t="n">
        <v>0.393</v>
      </c>
      <c r="AI24" s="438" t="n">
        <v>0.413</v>
      </c>
      <c r="AJ24" s="438" t="n">
        <v>0.405</v>
      </c>
      <c r="AK24" s="438" t="n">
        <v>0.397</v>
      </c>
      <c r="AL24" s="438" t="n">
        <v>0.397</v>
      </c>
      <c r="AM24" s="438" t="n">
        <v>0.405</v>
      </c>
      <c r="AN24" s="438" t="n">
        <v>0.405</v>
      </c>
      <c r="AO24" s="438" t="n">
        <v>0.405</v>
      </c>
      <c r="AP24" s="439" t="n">
        <v>0.405</v>
      </c>
      <c r="AQ24" s="439" t="n">
        <v>0.393</v>
      </c>
      <c r="AR24" s="439" t="n">
        <v>0.405</v>
      </c>
      <c r="AS24" s="439" t="n">
        <v>0.405</v>
      </c>
      <c r="AT24" s="438" t="n">
        <v>0.405</v>
      </c>
      <c r="AU24" s="438" t="n">
        <v>0.405</v>
      </c>
      <c r="AV24" s="438" t="n">
        <v>0.397</v>
      </c>
      <c r="AW24" s="440" t="n">
        <v>0.06904887678972</v>
      </c>
      <c r="AX24" s="440"/>
      <c r="AY24" s="437" t="n">
        <f aca="false">AG24</f>
        <v>0.397</v>
      </c>
      <c r="AZ24" s="437" t="n">
        <f aca="false">AG24</f>
        <v>0.397</v>
      </c>
      <c r="BA24" s="441" t="n">
        <f aca="false">AG24</f>
        <v>0.397</v>
      </c>
      <c r="BB24" s="442" t="n">
        <f aca="false">B24</f>
        <v>37012</v>
      </c>
      <c r="BC24" s="442" t="n">
        <v>0.954241997696269</v>
      </c>
      <c r="BD24" s="418" t="n">
        <v>0.954420081089352</v>
      </c>
      <c r="BF24" s="455" t="n">
        <v>37012</v>
      </c>
      <c r="BG24" s="66" t="n">
        <v>12</v>
      </c>
      <c r="HZ24" s="442" t="n">
        <f aca="false">B26</f>
        <v>37073</v>
      </c>
      <c r="IA24" s="418" t="n">
        <v>14</v>
      </c>
    </row>
    <row r="25" customFormat="false" ht="12.75" hidden="false" customHeight="false" outlineLevel="0" collapsed="false">
      <c r="A25" s="470"/>
      <c r="B25" s="419" t="n">
        <f aca="false">EOMONTH(B24,0)+1</f>
        <v>37043</v>
      </c>
      <c r="C25" s="420" t="n">
        <v>3.818</v>
      </c>
      <c r="D25" s="420" t="n">
        <v>0.4</v>
      </c>
      <c r="E25" s="420" t="n">
        <v>0.069141890053328</v>
      </c>
      <c r="F25" s="420" t="n">
        <v>-0.1425</v>
      </c>
      <c r="G25" s="420" t="n">
        <v>0.015</v>
      </c>
      <c r="H25" s="420" t="n">
        <v>-0.1425</v>
      </c>
      <c r="I25" s="420" t="n">
        <v>0.05</v>
      </c>
      <c r="J25" s="420" t="n">
        <v>0.185</v>
      </c>
      <c r="K25" s="420" t="n">
        <v>0.22</v>
      </c>
      <c r="L25" s="420" t="n">
        <v>-0.094</v>
      </c>
      <c r="M25" s="420" t="n">
        <v>-0.03</v>
      </c>
      <c r="N25" s="420" t="n">
        <v>-0.65</v>
      </c>
      <c r="O25" s="420" t="n">
        <v>-0.375</v>
      </c>
      <c r="P25" s="420" t="n">
        <v>0.005</v>
      </c>
      <c r="Q25" s="420" t="n">
        <v>-0.0075</v>
      </c>
      <c r="R25" s="418" t="n">
        <v>-0.025</v>
      </c>
      <c r="S25" s="418" t="n">
        <v>-0.06</v>
      </c>
      <c r="T25" s="418" t="n">
        <v>-0.1075</v>
      </c>
      <c r="U25" s="418" t="n">
        <v>-0.02275</v>
      </c>
      <c r="V25" s="418" t="n">
        <v>-0.1</v>
      </c>
      <c r="W25" s="418" t="n">
        <v>-0.14</v>
      </c>
      <c r="X25" s="418" t="n">
        <v>0.395</v>
      </c>
      <c r="Y25" s="418" t="n">
        <v>0.005</v>
      </c>
      <c r="Z25" s="418" t="n">
        <v>-0.4425</v>
      </c>
      <c r="AA25" s="418" t="n">
        <v>-0.025</v>
      </c>
      <c r="AB25" s="437" t="n">
        <v>0.62</v>
      </c>
      <c r="AC25" s="437" t="n">
        <v>0.315</v>
      </c>
      <c r="AD25" s="437" t="n">
        <v>0.12</v>
      </c>
      <c r="AE25" s="438" t="n">
        <v>0.4</v>
      </c>
      <c r="AF25" s="438" t="n">
        <v>0.4</v>
      </c>
      <c r="AG25" s="438" t="n">
        <v>0.392</v>
      </c>
      <c r="AH25" s="438" t="n">
        <v>0.388</v>
      </c>
      <c r="AI25" s="438" t="n">
        <v>0.408</v>
      </c>
      <c r="AJ25" s="438" t="n">
        <v>0.4</v>
      </c>
      <c r="AK25" s="438" t="n">
        <v>0.392</v>
      </c>
      <c r="AL25" s="438" t="n">
        <v>0.392</v>
      </c>
      <c r="AM25" s="438" t="n">
        <v>0.4</v>
      </c>
      <c r="AN25" s="438" t="n">
        <v>0.4</v>
      </c>
      <c r="AO25" s="438" t="n">
        <v>0.4</v>
      </c>
      <c r="AP25" s="439" t="n">
        <v>0.4</v>
      </c>
      <c r="AQ25" s="439" t="n">
        <v>0.388</v>
      </c>
      <c r="AR25" s="439" t="n">
        <v>0.4</v>
      </c>
      <c r="AS25" s="439" t="n">
        <v>0.4</v>
      </c>
      <c r="AT25" s="438" t="n">
        <v>0.4</v>
      </c>
      <c r="AU25" s="438" t="n">
        <v>0.4</v>
      </c>
      <c r="AV25" s="438" t="n">
        <v>0.392</v>
      </c>
      <c r="AW25" s="440" t="n">
        <v>0.069082863709679</v>
      </c>
      <c r="AX25" s="440"/>
      <c r="AY25" s="437" t="n">
        <f aca="false">AG25</f>
        <v>0.392</v>
      </c>
      <c r="AZ25" s="437" t="n">
        <f aca="false">AG25</f>
        <v>0.392</v>
      </c>
      <c r="BA25" s="441" t="n">
        <f aca="false">AG25</f>
        <v>0.392</v>
      </c>
      <c r="BB25" s="442" t="n">
        <f aca="false">B25</f>
        <v>37043</v>
      </c>
      <c r="BC25" s="442" t="n">
        <v>0.948694346440451</v>
      </c>
      <c r="BD25" s="418" t="n">
        <v>0.94887154885419</v>
      </c>
      <c r="BF25" s="455" t="n">
        <v>37043</v>
      </c>
      <c r="BG25" s="66" t="n">
        <v>13</v>
      </c>
      <c r="HZ25" s="442" t="n">
        <f aca="false">B27</f>
        <v>37104</v>
      </c>
      <c r="IA25" s="418" t="n">
        <v>15</v>
      </c>
    </row>
    <row r="26" customFormat="false" ht="12.75" hidden="false" customHeight="false" outlineLevel="0" collapsed="false">
      <c r="A26" s="470"/>
      <c r="B26" s="419" t="n">
        <f aca="false">EOMONTH(B25,0)+1</f>
        <v>37073</v>
      </c>
      <c r="C26" s="420" t="n">
        <v>3.803</v>
      </c>
      <c r="D26" s="420" t="n">
        <v>0.4</v>
      </c>
      <c r="E26" s="420" t="n">
        <v>0.069181571268568</v>
      </c>
      <c r="F26" s="420" t="n">
        <v>-0.1375</v>
      </c>
      <c r="G26" s="420" t="n">
        <v>0.02</v>
      </c>
      <c r="H26" s="420" t="n">
        <v>-0.1375</v>
      </c>
      <c r="I26" s="420" t="n">
        <v>0.04</v>
      </c>
      <c r="J26" s="420" t="n">
        <v>0.185</v>
      </c>
      <c r="K26" s="420" t="n">
        <v>0.2325</v>
      </c>
      <c r="L26" s="420" t="n">
        <v>-0.087</v>
      </c>
      <c r="M26" s="420" t="n">
        <v>-0.03</v>
      </c>
      <c r="N26" s="420" t="n">
        <v>-0.685</v>
      </c>
      <c r="O26" s="420" t="n">
        <v>-0.375</v>
      </c>
      <c r="P26" s="420" t="n">
        <v>0.005</v>
      </c>
      <c r="Q26" s="420" t="n">
        <v>-0.0075</v>
      </c>
      <c r="R26" s="418" t="n">
        <v>-0.025</v>
      </c>
      <c r="S26" s="418" t="n">
        <v>-0.06</v>
      </c>
      <c r="T26" s="418" t="n">
        <v>-0.1025</v>
      </c>
      <c r="U26" s="418" t="n">
        <v>-0.02275</v>
      </c>
      <c r="V26" s="418" t="n">
        <v>-0.095</v>
      </c>
      <c r="W26" s="418" t="n">
        <v>-0.14</v>
      </c>
      <c r="X26" s="418" t="n">
        <v>0.46</v>
      </c>
      <c r="Y26" s="418" t="n">
        <v>0.005</v>
      </c>
      <c r="Z26" s="418" t="n">
        <v>-0.4425</v>
      </c>
      <c r="AA26" s="418" t="n">
        <v>-0.025</v>
      </c>
      <c r="AB26" s="437" t="n">
        <v>1.225</v>
      </c>
      <c r="AC26" s="437" t="n">
        <v>0.3275</v>
      </c>
      <c r="AD26" s="437" t="n">
        <v>0.1125</v>
      </c>
      <c r="AE26" s="438" t="n">
        <v>0.4</v>
      </c>
      <c r="AF26" s="438" t="n">
        <v>0.4</v>
      </c>
      <c r="AG26" s="438" t="n">
        <v>0.392</v>
      </c>
      <c r="AH26" s="438" t="n">
        <v>0.388</v>
      </c>
      <c r="AI26" s="438" t="n">
        <v>0.408</v>
      </c>
      <c r="AJ26" s="438" t="n">
        <v>0.4</v>
      </c>
      <c r="AK26" s="438" t="n">
        <v>0.392</v>
      </c>
      <c r="AL26" s="438" t="n">
        <v>0.392</v>
      </c>
      <c r="AM26" s="438" t="n">
        <v>0.4</v>
      </c>
      <c r="AN26" s="438" t="n">
        <v>0.4</v>
      </c>
      <c r="AO26" s="438" t="n">
        <v>0.4</v>
      </c>
      <c r="AP26" s="439" t="n">
        <v>0.4</v>
      </c>
      <c r="AQ26" s="439" t="n">
        <v>0.388</v>
      </c>
      <c r="AR26" s="439" t="n">
        <v>0.4</v>
      </c>
      <c r="AS26" s="439" t="n">
        <v>0.4</v>
      </c>
      <c r="AT26" s="438" t="n">
        <v>0.4</v>
      </c>
      <c r="AU26" s="438" t="n">
        <v>0.4</v>
      </c>
      <c r="AV26" s="438" t="n">
        <v>0.392</v>
      </c>
      <c r="AW26" s="440" t="n">
        <v>0.069112852033843</v>
      </c>
      <c r="AX26" s="440"/>
      <c r="AY26" s="437" t="n">
        <f aca="false">AG26</f>
        <v>0.392</v>
      </c>
      <c r="AZ26" s="437" t="n">
        <f aca="false">AG26</f>
        <v>0.392</v>
      </c>
      <c r="BA26" s="441" t="n">
        <f aca="false">AG26</f>
        <v>0.392</v>
      </c>
      <c r="BB26" s="442" t="n">
        <f aca="false">B26</f>
        <v>37073</v>
      </c>
      <c r="BC26" s="442" t="n">
        <v>0.943352978517387</v>
      </c>
      <c r="BD26" s="418" t="n">
        <v>0.943529313569462</v>
      </c>
      <c r="BF26" s="455" t="n">
        <v>37073</v>
      </c>
      <c r="BG26" s="66" t="n">
        <v>14</v>
      </c>
      <c r="HZ26" s="442" t="n">
        <f aca="false">B28</f>
        <v>37135</v>
      </c>
      <c r="IA26" s="418" t="n">
        <v>16</v>
      </c>
    </row>
    <row r="27" customFormat="false" ht="12.75" hidden="false" customHeight="false" outlineLevel="0" collapsed="false">
      <c r="A27" s="470"/>
      <c r="B27" s="419" t="n">
        <f aca="false">EOMONTH(B26,0)+1</f>
        <v>37104</v>
      </c>
      <c r="C27" s="420" t="n">
        <v>3.808</v>
      </c>
      <c r="D27" s="420" t="n">
        <v>0.4</v>
      </c>
      <c r="E27" s="420" t="n">
        <v>0.069223060737755</v>
      </c>
      <c r="F27" s="420" t="n">
        <v>-0.1325</v>
      </c>
      <c r="G27" s="435" t="n">
        <v>0.02</v>
      </c>
      <c r="H27" s="420" t="n">
        <v>-0.1325</v>
      </c>
      <c r="I27" s="420" t="n">
        <v>0.0525</v>
      </c>
      <c r="J27" s="420" t="n">
        <v>0.185</v>
      </c>
      <c r="K27" s="420" t="n">
        <v>0.2325</v>
      </c>
      <c r="L27" s="420" t="n">
        <v>-0.078</v>
      </c>
      <c r="M27" s="420" t="n">
        <v>-0.03</v>
      </c>
      <c r="N27" s="420" t="n">
        <v>-0.685</v>
      </c>
      <c r="O27" s="420" t="n">
        <v>-0.375</v>
      </c>
      <c r="P27" s="420" t="n">
        <v>0.005</v>
      </c>
      <c r="Q27" s="420" t="n">
        <v>-0.0075</v>
      </c>
      <c r="R27" s="418" t="n">
        <v>-0.025</v>
      </c>
      <c r="S27" s="418" t="n">
        <v>-0.06</v>
      </c>
      <c r="T27" s="418" t="n">
        <v>-0.0975</v>
      </c>
      <c r="U27" s="418" t="n">
        <v>-0.02275</v>
      </c>
      <c r="V27" s="418" t="n">
        <v>-0.095</v>
      </c>
      <c r="W27" s="418" t="n">
        <v>-0.14</v>
      </c>
      <c r="X27" s="418" t="n">
        <v>0.46</v>
      </c>
      <c r="Y27" s="418" t="n">
        <v>0.005</v>
      </c>
      <c r="Z27" s="418" t="n">
        <v>-0.4425</v>
      </c>
      <c r="AA27" s="418" t="n">
        <v>-0.025</v>
      </c>
      <c r="AB27" s="437" t="n">
        <v>1.275</v>
      </c>
      <c r="AC27" s="437" t="n">
        <v>0.3275</v>
      </c>
      <c r="AD27" s="437" t="n">
        <v>0.11</v>
      </c>
      <c r="AE27" s="438" t="n">
        <v>0.4</v>
      </c>
      <c r="AF27" s="438" t="n">
        <v>0.4</v>
      </c>
      <c r="AG27" s="438" t="n">
        <v>0.392</v>
      </c>
      <c r="AH27" s="438" t="n">
        <v>0.388</v>
      </c>
      <c r="AI27" s="438" t="n">
        <v>0.408</v>
      </c>
      <c r="AJ27" s="438" t="n">
        <v>0.4</v>
      </c>
      <c r="AK27" s="438" t="n">
        <v>0.392</v>
      </c>
      <c r="AL27" s="438" t="n">
        <v>0.392</v>
      </c>
      <c r="AM27" s="438" t="n">
        <v>0.4</v>
      </c>
      <c r="AN27" s="438" t="n">
        <v>0.4</v>
      </c>
      <c r="AO27" s="438" t="n">
        <v>0.4</v>
      </c>
      <c r="AP27" s="439" t="n">
        <v>0.4</v>
      </c>
      <c r="AQ27" s="439" t="n">
        <v>0.388</v>
      </c>
      <c r="AR27" s="439" t="n">
        <v>0.4</v>
      </c>
      <c r="AS27" s="439" t="n">
        <v>0.4</v>
      </c>
      <c r="AT27" s="438" t="n">
        <v>0.4</v>
      </c>
      <c r="AU27" s="438" t="n">
        <v>0.4</v>
      </c>
      <c r="AV27" s="438" t="n">
        <v>0.392</v>
      </c>
      <c r="AW27" s="440" t="n">
        <v>0.069138395475162</v>
      </c>
      <c r="AX27" s="440"/>
      <c r="AY27" s="437" t="n">
        <f aca="false">AG27</f>
        <v>0.392</v>
      </c>
      <c r="AZ27" s="437" t="n">
        <f aca="false">AG27</f>
        <v>0.392</v>
      </c>
      <c r="BA27" s="441" t="n">
        <f aca="false">AG27</f>
        <v>0.392</v>
      </c>
      <c r="BB27" s="442" t="n">
        <f aca="false">B27</f>
        <v>37104</v>
      </c>
      <c r="BC27" s="442" t="n">
        <v>0.937868626481647</v>
      </c>
      <c r="BD27" s="418" t="n">
        <v>0.938044036338562</v>
      </c>
      <c r="BF27" s="455" t="n">
        <v>37104</v>
      </c>
      <c r="BG27" s="66" t="n">
        <v>15</v>
      </c>
      <c r="HZ27" s="442" t="n">
        <f aca="false">B29</f>
        <v>37165</v>
      </c>
      <c r="IA27" s="418" t="n">
        <v>17</v>
      </c>
    </row>
    <row r="28" customFormat="false" ht="12.75" hidden="false" customHeight="false" outlineLevel="0" collapsed="false">
      <c r="A28" s="470"/>
      <c r="B28" s="419" t="n">
        <f aca="false">EOMONTH(B27,0)+1</f>
        <v>37135</v>
      </c>
      <c r="C28" s="420" t="n">
        <v>3.788</v>
      </c>
      <c r="D28" s="420" t="n">
        <v>0.4</v>
      </c>
      <c r="E28" s="420" t="n">
        <v>0.069264550207512</v>
      </c>
      <c r="F28" s="420" t="n">
        <v>-0.1275</v>
      </c>
      <c r="G28" s="420" t="n">
        <v>0.015</v>
      </c>
      <c r="H28" s="420" t="n">
        <v>-0.1275</v>
      </c>
      <c r="I28" s="420" t="n">
        <v>0.0525</v>
      </c>
      <c r="J28" s="420" t="n">
        <v>0.18</v>
      </c>
      <c r="K28" s="420" t="n">
        <v>0.21</v>
      </c>
      <c r="L28" s="420" t="n">
        <v>-0.058</v>
      </c>
      <c r="M28" s="420" t="n">
        <v>-0.03</v>
      </c>
      <c r="N28" s="420" t="n">
        <v>-0.685</v>
      </c>
      <c r="O28" s="420" t="n">
        <v>-0.375</v>
      </c>
      <c r="P28" s="420" t="n">
        <v>0.005</v>
      </c>
      <c r="Q28" s="420" t="n">
        <v>-0.0075</v>
      </c>
      <c r="R28" s="418" t="n">
        <v>-0.025</v>
      </c>
      <c r="S28" s="418" t="n">
        <v>-0.06</v>
      </c>
      <c r="T28" s="418" t="n">
        <v>-0.0925</v>
      </c>
      <c r="U28" s="418" t="n">
        <v>-0.02275</v>
      </c>
      <c r="V28" s="418" t="n">
        <v>-0.11</v>
      </c>
      <c r="W28" s="418" t="n">
        <v>-0.14</v>
      </c>
      <c r="X28" s="418" t="n">
        <v>0.395</v>
      </c>
      <c r="Y28" s="418" t="n">
        <v>0.005</v>
      </c>
      <c r="Z28" s="418" t="n">
        <v>-0.4425</v>
      </c>
      <c r="AA28" s="418" t="n">
        <v>-0.025</v>
      </c>
      <c r="AB28" s="437" t="n">
        <v>1.2525</v>
      </c>
      <c r="AC28" s="437" t="n">
        <v>0.3175</v>
      </c>
      <c r="AD28" s="437" t="n">
        <v>0.11</v>
      </c>
      <c r="AE28" s="438" t="n">
        <v>0.4</v>
      </c>
      <c r="AF28" s="438" t="n">
        <v>0.4</v>
      </c>
      <c r="AG28" s="438" t="n">
        <v>0.392</v>
      </c>
      <c r="AH28" s="438" t="n">
        <v>0.388</v>
      </c>
      <c r="AI28" s="438" t="n">
        <v>0.408</v>
      </c>
      <c r="AJ28" s="438" t="n">
        <v>0.4</v>
      </c>
      <c r="AK28" s="438" t="n">
        <v>0.392</v>
      </c>
      <c r="AL28" s="438" t="n">
        <v>0.392</v>
      </c>
      <c r="AM28" s="438" t="n">
        <v>0.4</v>
      </c>
      <c r="AN28" s="438" t="n">
        <v>0.4</v>
      </c>
      <c r="AO28" s="438" t="n">
        <v>0.4</v>
      </c>
      <c r="AP28" s="439" t="n">
        <v>0.4</v>
      </c>
      <c r="AQ28" s="439" t="n">
        <v>0.388</v>
      </c>
      <c r="AR28" s="439" t="n">
        <v>0.4</v>
      </c>
      <c r="AS28" s="439" t="n">
        <v>0.4</v>
      </c>
      <c r="AT28" s="438" t="n">
        <v>0.4</v>
      </c>
      <c r="AU28" s="438" t="n">
        <v>0.4</v>
      </c>
      <c r="AV28" s="438" t="n">
        <v>0.392</v>
      </c>
      <c r="AW28" s="440" t="n">
        <v>0.069163938916697</v>
      </c>
      <c r="AX28" s="440"/>
      <c r="AY28" s="437" t="n">
        <f aca="false">AG28</f>
        <v>0.392</v>
      </c>
      <c r="AZ28" s="437" t="n">
        <f aca="false">AG28</f>
        <v>0.392</v>
      </c>
      <c r="BA28" s="441" t="n">
        <f aca="false">AG28</f>
        <v>0.392</v>
      </c>
      <c r="BB28" s="442" t="n">
        <f aca="false">B28</f>
        <v>37135</v>
      </c>
      <c r="BC28" s="442" t="n">
        <v>0.932409999095616</v>
      </c>
      <c r="BD28" s="418" t="n">
        <v>0.93258448740041</v>
      </c>
      <c r="BF28" s="455" t="n">
        <v>37135</v>
      </c>
      <c r="BG28" s="66" t="n">
        <v>16</v>
      </c>
      <c r="HZ28" s="442" t="n">
        <f aca="false">B30</f>
        <v>37196</v>
      </c>
      <c r="IA28" s="418" t="n">
        <v>18</v>
      </c>
    </row>
    <row r="29" customFormat="false" ht="12.75" hidden="false" customHeight="false" outlineLevel="0" collapsed="false">
      <c r="A29" s="470"/>
      <c r="B29" s="419" t="n">
        <f aca="false">EOMONTH(B28,0)+1</f>
        <v>37165</v>
      </c>
      <c r="C29" s="420" t="n">
        <v>3.773</v>
      </c>
      <c r="D29" s="420" t="n">
        <v>0.4025</v>
      </c>
      <c r="E29" s="420" t="n">
        <v>0.069300944538364</v>
      </c>
      <c r="F29" s="420" t="n">
        <v>-0.1225</v>
      </c>
      <c r="G29" s="420" t="n">
        <v>0.005</v>
      </c>
      <c r="H29" s="420" t="n">
        <v>-0.1225</v>
      </c>
      <c r="I29" s="420" t="n">
        <v>0.0725</v>
      </c>
      <c r="J29" s="420" t="n">
        <v>0.185</v>
      </c>
      <c r="K29" s="420" t="n">
        <v>0.23</v>
      </c>
      <c r="L29" s="420" t="n">
        <v>-0.068</v>
      </c>
      <c r="M29" s="420" t="n">
        <v>-0.03</v>
      </c>
      <c r="N29" s="420" t="n">
        <v>-0.685</v>
      </c>
      <c r="O29" s="420" t="n">
        <v>-0.375</v>
      </c>
      <c r="P29" s="420" t="n">
        <v>0.005</v>
      </c>
      <c r="Q29" s="420" t="n">
        <v>-0.0075</v>
      </c>
      <c r="R29" s="418" t="n">
        <v>-0.025</v>
      </c>
      <c r="S29" s="418" t="n">
        <v>-0.06</v>
      </c>
      <c r="T29" s="418" t="n">
        <v>-0.0875</v>
      </c>
      <c r="U29" s="418" t="n">
        <v>-0.02275</v>
      </c>
      <c r="V29" s="418" t="n">
        <v>-0.1125</v>
      </c>
      <c r="W29" s="418" t="n">
        <v>-0.14</v>
      </c>
      <c r="X29" s="418" t="n">
        <v>0.461</v>
      </c>
      <c r="Y29" s="418" t="n">
        <v>0.005</v>
      </c>
      <c r="Z29" s="418" t="n">
        <v>-0.4425</v>
      </c>
      <c r="AA29" s="418" t="n">
        <v>-0.025</v>
      </c>
      <c r="AB29" s="437" t="n">
        <v>0.7475</v>
      </c>
      <c r="AC29" s="437" t="n">
        <v>0.33</v>
      </c>
      <c r="AD29" s="437" t="n">
        <v>0.125</v>
      </c>
      <c r="AE29" s="438" t="n">
        <v>0.403</v>
      </c>
      <c r="AF29" s="438" t="n">
        <v>0.403</v>
      </c>
      <c r="AG29" s="438" t="n">
        <v>0.394</v>
      </c>
      <c r="AH29" s="438" t="n">
        <v>0.39</v>
      </c>
      <c r="AI29" s="438" t="n">
        <v>0.411</v>
      </c>
      <c r="AJ29" s="438" t="n">
        <v>0.403</v>
      </c>
      <c r="AK29" s="438" t="n">
        <v>0.394</v>
      </c>
      <c r="AL29" s="438" t="n">
        <v>0.394</v>
      </c>
      <c r="AM29" s="438" t="n">
        <v>0.403</v>
      </c>
      <c r="AN29" s="438" t="n">
        <v>0.403</v>
      </c>
      <c r="AO29" s="438" t="n">
        <v>0.403</v>
      </c>
      <c r="AP29" s="439" t="n">
        <v>0.403</v>
      </c>
      <c r="AQ29" s="439" t="n">
        <v>0.39</v>
      </c>
      <c r="AR29" s="439" t="n">
        <v>0.403</v>
      </c>
      <c r="AS29" s="439" t="n">
        <v>0.403</v>
      </c>
      <c r="AT29" s="438" t="n">
        <v>0.403</v>
      </c>
      <c r="AU29" s="438" t="n">
        <v>0.403</v>
      </c>
      <c r="AV29" s="438" t="n">
        <v>0.394</v>
      </c>
      <c r="AW29" s="440" t="n">
        <v>0.069185955527669</v>
      </c>
      <c r="AX29" s="440"/>
      <c r="AY29" s="437" t="n">
        <f aca="false">AG29</f>
        <v>0.394</v>
      </c>
      <c r="AZ29" s="437" t="n">
        <f aca="false">AG29</f>
        <v>0.394</v>
      </c>
      <c r="BA29" s="441" t="n">
        <f aca="false">AG29</f>
        <v>0.394</v>
      </c>
      <c r="BB29" s="442" t="n">
        <f aca="false">B29</f>
        <v>37165</v>
      </c>
      <c r="BC29" s="442" t="n">
        <v>0.927156601236806</v>
      </c>
      <c r="BD29" s="418" t="n">
        <v>0.927330190367564</v>
      </c>
      <c r="BF29" s="455" t="n">
        <v>37165</v>
      </c>
      <c r="BG29" s="66" t="n">
        <v>17</v>
      </c>
      <c r="HZ29" s="442" t="n">
        <f aca="false">B31</f>
        <v>37226</v>
      </c>
      <c r="IA29" s="418" t="n">
        <v>19</v>
      </c>
    </row>
    <row r="30" customFormat="false" ht="12.75" hidden="false" customHeight="false" outlineLevel="0" collapsed="false">
      <c r="A30" s="470"/>
      <c r="B30" s="419" t="n">
        <f aca="false">EOMONTH(B29,0)+1</f>
        <v>37196</v>
      </c>
      <c r="C30" s="420" t="n">
        <v>3.878</v>
      </c>
      <c r="D30" s="420" t="n">
        <v>0.4025</v>
      </c>
      <c r="E30" s="420" t="n">
        <v>0.069332408860559</v>
      </c>
      <c r="F30" s="420" t="n">
        <v>-0.13</v>
      </c>
      <c r="G30" s="420" t="n">
        <v>-0.0425</v>
      </c>
      <c r="H30" s="420" t="n">
        <v>-0.13</v>
      </c>
      <c r="I30" s="420" t="n">
        <v>0.09</v>
      </c>
      <c r="J30" s="420" t="n">
        <v>0.2675</v>
      </c>
      <c r="K30" s="420" t="n">
        <v>0.285</v>
      </c>
      <c r="L30" s="420" t="n">
        <v>-0.085</v>
      </c>
      <c r="M30" s="420" t="n">
        <v>-0.0225</v>
      </c>
      <c r="N30" s="420" t="n">
        <v>-0.33</v>
      </c>
      <c r="O30" s="420" t="n">
        <v>0.19</v>
      </c>
      <c r="P30" s="420" t="n">
        <v>0.0125</v>
      </c>
      <c r="Q30" s="420" t="n">
        <v>-0.0175</v>
      </c>
      <c r="R30" s="418" t="n">
        <v>-0.028</v>
      </c>
      <c r="S30" s="418" t="n">
        <v>-0.0775</v>
      </c>
      <c r="T30" s="418" t="n">
        <v>0.0025</v>
      </c>
      <c r="U30" s="418" t="n">
        <v>-0.0375</v>
      </c>
      <c r="V30" s="418" t="n">
        <v>-0.11</v>
      </c>
      <c r="W30" s="418" t="n">
        <v>-0.14</v>
      </c>
      <c r="X30" s="418" t="n">
        <v>0.89</v>
      </c>
      <c r="Y30" s="418" t="n">
        <v>0.005</v>
      </c>
      <c r="Z30" s="418" t="n">
        <v>-0.2675</v>
      </c>
      <c r="AA30" s="418" t="n">
        <v>-0.0265</v>
      </c>
      <c r="AB30" s="437" t="n">
        <v>-1.0225</v>
      </c>
      <c r="AC30" s="437" t="n">
        <v>0.55</v>
      </c>
      <c r="AD30" s="437" t="n">
        <v>0.18</v>
      </c>
      <c r="AE30" s="438" t="n">
        <v>0.403</v>
      </c>
      <c r="AF30" s="438" t="n">
        <v>0.403</v>
      </c>
      <c r="AG30" s="438" t="n">
        <v>0.443</v>
      </c>
      <c r="AH30" s="438" t="n">
        <v>0.39</v>
      </c>
      <c r="AI30" s="438" t="n">
        <v>0.411</v>
      </c>
      <c r="AJ30" s="438" t="n">
        <v>0.403</v>
      </c>
      <c r="AK30" s="438" t="n">
        <v>0.403</v>
      </c>
      <c r="AL30" s="438" t="n">
        <v>0.403</v>
      </c>
      <c r="AM30" s="438" t="n">
        <v>0.403</v>
      </c>
      <c r="AN30" s="438" t="n">
        <v>0.403</v>
      </c>
      <c r="AO30" s="438" t="n">
        <v>0.403</v>
      </c>
      <c r="AP30" s="439" t="n">
        <v>0.403</v>
      </c>
      <c r="AQ30" s="439" t="n">
        <v>0.39</v>
      </c>
      <c r="AR30" s="439" t="n">
        <v>0.403</v>
      </c>
      <c r="AS30" s="439" t="n">
        <v>0.403</v>
      </c>
      <c r="AT30" s="438" t="n">
        <v>0.403</v>
      </c>
      <c r="AU30" s="438" t="n">
        <v>0.403</v>
      </c>
      <c r="AV30" s="438" t="n">
        <v>0.443</v>
      </c>
      <c r="AW30" s="440" t="n">
        <v>0.069204285342738</v>
      </c>
      <c r="AX30" s="440"/>
      <c r="AY30" s="437" t="n">
        <f aca="false">AG30</f>
        <v>0.443</v>
      </c>
      <c r="AZ30" s="437" t="n">
        <f aca="false">AG30</f>
        <v>0.443</v>
      </c>
      <c r="BA30" s="441" t="n">
        <f aca="false">AG30</f>
        <v>0.443</v>
      </c>
      <c r="BB30" s="442" t="n">
        <f aca="false">B30</f>
        <v>37196</v>
      </c>
      <c r="BC30" s="442" t="n">
        <v>0.92176219746786</v>
      </c>
      <c r="BD30" s="418" t="n">
        <v>0.921934843820425</v>
      </c>
      <c r="BF30" s="455" t="n">
        <v>37196</v>
      </c>
      <c r="BG30" s="66" t="n">
        <v>18</v>
      </c>
      <c r="HZ30" s="442" t="n">
        <f aca="false">B32</f>
        <v>37257</v>
      </c>
      <c r="IA30" s="418" t="n">
        <v>20</v>
      </c>
    </row>
    <row r="31" customFormat="false" ht="12.75" hidden="false" customHeight="false" outlineLevel="0" collapsed="false">
      <c r="A31" s="470"/>
      <c r="B31" s="419" t="n">
        <f aca="false">EOMONTH(B30,0)+1</f>
        <v>37226</v>
      </c>
      <c r="C31" s="420" t="n">
        <v>3.968</v>
      </c>
      <c r="D31" s="420" t="n">
        <v>0.4075</v>
      </c>
      <c r="E31" s="420" t="n">
        <v>0.069362858204931</v>
      </c>
      <c r="F31" s="420" t="n">
        <v>-0.1325</v>
      </c>
      <c r="G31" s="420" t="n">
        <v>-0.065</v>
      </c>
      <c r="H31" s="420" t="n">
        <v>-0.1325</v>
      </c>
      <c r="I31" s="420" t="n">
        <v>0.13</v>
      </c>
      <c r="J31" s="420" t="n">
        <v>0.3025</v>
      </c>
      <c r="K31" s="420" t="n">
        <v>0.375</v>
      </c>
      <c r="L31" s="420" t="n">
        <v>-0.085</v>
      </c>
      <c r="M31" s="420" t="n">
        <v>-0.0225</v>
      </c>
      <c r="N31" s="420" t="n">
        <v>-0.33</v>
      </c>
      <c r="O31" s="420" t="n">
        <v>0.29</v>
      </c>
      <c r="P31" s="420" t="n">
        <v>0.0125</v>
      </c>
      <c r="Q31" s="420" t="n">
        <v>-0.0175</v>
      </c>
      <c r="R31" s="418" t="n">
        <v>-0.0255</v>
      </c>
      <c r="S31" s="418" t="n">
        <v>-0.0775</v>
      </c>
      <c r="T31" s="418" t="n">
        <v>0.0225</v>
      </c>
      <c r="U31" s="418" t="n">
        <v>-0.0375</v>
      </c>
      <c r="V31" s="418" t="n">
        <v>-0.145</v>
      </c>
      <c r="W31" s="418" t="n">
        <v>-0.135</v>
      </c>
      <c r="X31" s="418" t="n">
        <v>1.31</v>
      </c>
      <c r="Y31" s="418" t="n">
        <v>0.005</v>
      </c>
      <c r="Z31" s="418" t="n">
        <v>-0.2675</v>
      </c>
      <c r="AA31" s="418" t="n">
        <v>-0.0265</v>
      </c>
      <c r="AB31" s="437" t="n">
        <v>-1.0225</v>
      </c>
      <c r="AC31" s="437" t="n">
        <v>0.87</v>
      </c>
      <c r="AD31" s="437" t="n">
        <v>0.22</v>
      </c>
      <c r="AE31" s="438" t="n">
        <v>0.408</v>
      </c>
      <c r="AF31" s="438" t="n">
        <v>0.408</v>
      </c>
      <c r="AG31" s="438" t="n">
        <v>0.448</v>
      </c>
      <c r="AH31" s="438" t="n">
        <v>0.395</v>
      </c>
      <c r="AI31" s="438" t="n">
        <v>0.416</v>
      </c>
      <c r="AJ31" s="438" t="n">
        <v>0.408</v>
      </c>
      <c r="AK31" s="438" t="n">
        <v>0.408</v>
      </c>
      <c r="AL31" s="438" t="n">
        <v>0.408</v>
      </c>
      <c r="AM31" s="438" t="n">
        <v>0.408</v>
      </c>
      <c r="AN31" s="438" t="n">
        <v>0.408</v>
      </c>
      <c r="AO31" s="438" t="n">
        <v>0.408</v>
      </c>
      <c r="AP31" s="439" t="n">
        <v>0.408</v>
      </c>
      <c r="AQ31" s="439" t="n">
        <v>0.395</v>
      </c>
      <c r="AR31" s="439" t="n">
        <v>0.408</v>
      </c>
      <c r="AS31" s="439" t="n">
        <v>0.408</v>
      </c>
      <c r="AT31" s="438" t="n">
        <v>0.408</v>
      </c>
      <c r="AU31" s="438" t="n">
        <v>0.408</v>
      </c>
      <c r="AV31" s="438" t="n">
        <v>0.448</v>
      </c>
      <c r="AW31" s="440" t="n">
        <v>0.069222023873555</v>
      </c>
      <c r="AX31" s="440"/>
      <c r="AY31" s="437" t="n">
        <f aca="false">AG31</f>
        <v>0.448</v>
      </c>
      <c r="AZ31" s="437" t="n">
        <f aca="false">AG31</f>
        <v>0.448</v>
      </c>
      <c r="BA31" s="441" t="n">
        <f aca="false">AG31</f>
        <v>0.448</v>
      </c>
      <c r="BB31" s="442" t="n">
        <f aca="false">B31</f>
        <v>37226</v>
      </c>
      <c r="BC31" s="442" t="n">
        <v>0.916567748489521</v>
      </c>
      <c r="BD31" s="418" t="n">
        <v>0.916739486587064</v>
      </c>
      <c r="BF31" s="455" t="n">
        <v>37226</v>
      </c>
      <c r="BG31" s="66" t="n">
        <v>19</v>
      </c>
      <c r="HZ31" s="442" t="n">
        <f aca="false">B33</f>
        <v>37288</v>
      </c>
      <c r="IA31" s="418" t="n">
        <v>21</v>
      </c>
    </row>
    <row r="32" customFormat="false" ht="12.75" hidden="false" customHeight="false" outlineLevel="0" collapsed="false">
      <c r="A32" s="470"/>
      <c r="B32" s="419" t="n">
        <f aca="false">EOMONTH(B31,0)+1</f>
        <v>37257</v>
      </c>
      <c r="C32" s="420" t="n">
        <v>3.94</v>
      </c>
      <c r="D32" s="420" t="n">
        <v>0.4125</v>
      </c>
      <c r="E32" s="420" t="n">
        <v>0.069402566234751</v>
      </c>
      <c r="F32" s="420" t="n">
        <v>-0.135</v>
      </c>
      <c r="G32" s="420" t="n">
        <v>-0.0675</v>
      </c>
      <c r="H32" s="420" t="n">
        <v>-0.135</v>
      </c>
      <c r="I32" s="420" t="n">
        <v>0.1425</v>
      </c>
      <c r="J32" s="420" t="n">
        <v>0.3075</v>
      </c>
      <c r="K32" s="420" t="n">
        <v>0.455</v>
      </c>
      <c r="L32" s="420" t="n">
        <v>-0.085</v>
      </c>
      <c r="M32" s="420" t="n">
        <v>-0.0205</v>
      </c>
      <c r="N32" s="420" t="n">
        <v>-0.33</v>
      </c>
      <c r="O32" s="420" t="n">
        <v>0.3</v>
      </c>
      <c r="P32" s="420" t="n">
        <v>0.0125</v>
      </c>
      <c r="Q32" s="420" t="n">
        <v>-0.0175</v>
      </c>
      <c r="R32" s="418" t="n">
        <v>-0.0255</v>
      </c>
      <c r="S32" s="418" t="n">
        <v>-0.0775</v>
      </c>
      <c r="T32" s="418" t="n">
        <v>0.035</v>
      </c>
      <c r="U32" s="418" t="n">
        <v>-0.0375</v>
      </c>
      <c r="V32" s="418" t="n">
        <v>-0.15</v>
      </c>
      <c r="W32" s="418" t="n">
        <v>-0.135</v>
      </c>
      <c r="X32" s="418" t="n">
        <v>1.56</v>
      </c>
      <c r="Y32" s="418" t="n">
        <v>0.005</v>
      </c>
      <c r="Z32" s="418" t="n">
        <v>-0.2675</v>
      </c>
      <c r="AA32" s="418" t="n">
        <v>-0.0265</v>
      </c>
      <c r="AB32" s="437" t="n">
        <v>1.0625</v>
      </c>
      <c r="AC32" s="437" t="n">
        <v>1.02</v>
      </c>
      <c r="AD32" s="437" t="n">
        <v>0.2325</v>
      </c>
      <c r="AE32" s="438" t="n">
        <v>0.413</v>
      </c>
      <c r="AF32" s="438" t="n">
        <v>0.413</v>
      </c>
      <c r="AG32" s="438" t="n">
        <v>0.454</v>
      </c>
      <c r="AH32" s="438" t="n">
        <v>0.4</v>
      </c>
      <c r="AI32" s="438" t="n">
        <v>0.421</v>
      </c>
      <c r="AJ32" s="438" t="n">
        <v>0.413</v>
      </c>
      <c r="AK32" s="438" t="n">
        <v>0.413</v>
      </c>
      <c r="AL32" s="438" t="n">
        <v>0.413</v>
      </c>
      <c r="AM32" s="438" t="n">
        <v>0.413</v>
      </c>
      <c r="AN32" s="438" t="n">
        <v>0.413</v>
      </c>
      <c r="AO32" s="438" t="n">
        <v>0.413</v>
      </c>
      <c r="AP32" s="439" t="n">
        <v>0.413</v>
      </c>
      <c r="AQ32" s="439" t="n">
        <v>0.4</v>
      </c>
      <c r="AR32" s="439" t="n">
        <v>0.413</v>
      </c>
      <c r="AS32" s="439" t="n">
        <v>0.413</v>
      </c>
      <c r="AT32" s="438" t="n">
        <v>0.413</v>
      </c>
      <c r="AU32" s="438" t="n">
        <v>0.413</v>
      </c>
      <c r="AV32" s="438" t="n">
        <v>0.413</v>
      </c>
      <c r="AW32" s="440" t="n">
        <v>0.069246747982448</v>
      </c>
      <c r="AX32" s="440"/>
      <c r="AY32" s="437" t="n">
        <f aca="false">AG32</f>
        <v>0.454</v>
      </c>
      <c r="AZ32" s="437" t="n">
        <f aca="false">AG32</f>
        <v>0.454</v>
      </c>
      <c r="BA32" s="441" t="n">
        <f aca="false">AG32</f>
        <v>0.454</v>
      </c>
      <c r="BB32" s="442" t="n">
        <f aca="false">B32</f>
        <v>37257</v>
      </c>
      <c r="BC32" s="442" t="n">
        <v>0.911216470782367</v>
      </c>
      <c r="BD32" s="418" t="n">
        <v>0.911387293568386</v>
      </c>
      <c r="BF32" s="455" t="n">
        <v>37257</v>
      </c>
      <c r="BG32" s="66" t="n">
        <v>20</v>
      </c>
      <c r="HZ32" s="442" t="n">
        <f aca="false">B34</f>
        <v>37316</v>
      </c>
      <c r="IA32" s="418" t="n">
        <v>22</v>
      </c>
    </row>
    <row r="33" customFormat="false" ht="12.75" hidden="false" customHeight="false" outlineLevel="0" collapsed="false">
      <c r="A33" s="470"/>
      <c r="B33" s="419" t="n">
        <f aca="false">EOMONTH(B32,0)+1</f>
        <v>37288</v>
      </c>
      <c r="C33" s="420" t="n">
        <v>3.77</v>
      </c>
      <c r="D33" s="420" t="n">
        <v>0.395</v>
      </c>
      <c r="E33" s="420" t="n">
        <v>0.069453688628792</v>
      </c>
      <c r="F33" s="420" t="n">
        <v>-0.1375</v>
      </c>
      <c r="G33" s="420" t="n">
        <v>-0.05</v>
      </c>
      <c r="H33" s="420" t="n">
        <v>-0.1375</v>
      </c>
      <c r="I33" s="420" t="n">
        <v>0.12</v>
      </c>
      <c r="J33" s="420" t="n">
        <v>0.3075</v>
      </c>
      <c r="K33" s="420" t="n">
        <v>0.45</v>
      </c>
      <c r="L33" s="420" t="n">
        <v>-0.085</v>
      </c>
      <c r="M33" s="420" t="n">
        <v>-0.0205</v>
      </c>
      <c r="N33" s="420" t="n">
        <v>-0.33</v>
      </c>
      <c r="O33" s="420" t="n">
        <v>0.22</v>
      </c>
      <c r="P33" s="420" t="n">
        <v>0.0125</v>
      </c>
      <c r="Q33" s="420" t="n">
        <v>-0.0175</v>
      </c>
      <c r="R33" s="418" t="n">
        <v>-0.0255</v>
      </c>
      <c r="S33" s="418" t="n">
        <v>-0.0775</v>
      </c>
      <c r="T33" s="418" t="n">
        <v>0.04</v>
      </c>
      <c r="U33" s="418" t="n">
        <v>-0.0375</v>
      </c>
      <c r="V33" s="418" t="n">
        <v>-0.1325</v>
      </c>
      <c r="W33" s="418" t="n">
        <v>-0.135</v>
      </c>
      <c r="X33" s="418" t="n">
        <v>1.56</v>
      </c>
      <c r="Y33" s="418" t="n">
        <v>0.005</v>
      </c>
      <c r="Z33" s="418" t="n">
        <v>-0.2675</v>
      </c>
      <c r="AA33" s="418" t="n">
        <v>-0.0265</v>
      </c>
      <c r="AB33" s="437" t="n">
        <v>1.0625</v>
      </c>
      <c r="AC33" s="437" t="n">
        <v>1.02</v>
      </c>
      <c r="AD33" s="437" t="n">
        <v>0.21</v>
      </c>
      <c r="AE33" s="438" t="n">
        <v>0.395</v>
      </c>
      <c r="AF33" s="438" t="n">
        <v>0.395</v>
      </c>
      <c r="AG33" s="438" t="n">
        <v>0.435</v>
      </c>
      <c r="AH33" s="438" t="n">
        <v>0.383</v>
      </c>
      <c r="AI33" s="438" t="n">
        <v>0.403</v>
      </c>
      <c r="AJ33" s="438" t="n">
        <v>0.395</v>
      </c>
      <c r="AK33" s="438" t="n">
        <v>0.395</v>
      </c>
      <c r="AL33" s="438" t="n">
        <v>0.395</v>
      </c>
      <c r="AM33" s="438" t="n">
        <v>0.395</v>
      </c>
      <c r="AN33" s="438" t="n">
        <v>0.395</v>
      </c>
      <c r="AO33" s="438" t="n">
        <v>0.395</v>
      </c>
      <c r="AP33" s="439" t="n">
        <v>0.395</v>
      </c>
      <c r="AQ33" s="439" t="n">
        <v>0.383</v>
      </c>
      <c r="AR33" s="439" t="n">
        <v>0.395</v>
      </c>
      <c r="AS33" s="439" t="n">
        <v>0.395</v>
      </c>
      <c r="AT33" s="438" t="n">
        <v>0.395</v>
      </c>
      <c r="AU33" s="438" t="n">
        <v>0.395</v>
      </c>
      <c r="AV33" s="438" t="n">
        <v>0.435</v>
      </c>
      <c r="AW33" s="440" t="n">
        <v>0.069280325728939</v>
      </c>
      <c r="AX33" s="440"/>
      <c r="AY33" s="437" t="n">
        <f aca="false">AG33</f>
        <v>0.435</v>
      </c>
      <c r="AZ33" s="437" t="n">
        <f aca="false">AG33</f>
        <v>0.435</v>
      </c>
      <c r="BA33" s="441" t="n">
        <f aca="false">AG33</f>
        <v>0.435</v>
      </c>
      <c r="BB33" s="442" t="n">
        <f aca="false">B33</f>
        <v>37288</v>
      </c>
      <c r="BC33" s="442" t="n">
        <v>0.905875872618509</v>
      </c>
      <c r="BD33" s="418" t="n">
        <v>0.906045809878748</v>
      </c>
      <c r="BF33" s="455" t="n">
        <v>37288</v>
      </c>
      <c r="BG33" s="66" t="n">
        <v>21</v>
      </c>
      <c r="HZ33" s="442" t="n">
        <f aca="false">B35</f>
        <v>37347</v>
      </c>
      <c r="IA33" s="418" t="n">
        <v>23</v>
      </c>
    </row>
    <row r="34" customFormat="false" ht="12.75" hidden="false" customHeight="false" outlineLevel="0" collapsed="false">
      <c r="B34" s="419" t="n">
        <f aca="false">EOMONTH(B33,0)+1</f>
        <v>37316</v>
      </c>
      <c r="C34" s="420" t="n">
        <v>3.605</v>
      </c>
      <c r="D34" s="420" t="n">
        <v>0.365</v>
      </c>
      <c r="E34" s="420" t="n">
        <v>0.069499863695119</v>
      </c>
      <c r="F34" s="420" t="n">
        <v>-0.14</v>
      </c>
      <c r="G34" s="420" t="n">
        <v>-0.0375</v>
      </c>
      <c r="H34" s="420" t="n">
        <v>-0.14</v>
      </c>
      <c r="I34" s="420" t="n">
        <v>0.1175</v>
      </c>
      <c r="J34" s="420" t="n">
        <v>0.2665</v>
      </c>
      <c r="K34" s="420" t="n">
        <v>0.34</v>
      </c>
      <c r="L34" s="420" t="n">
        <v>-0.085</v>
      </c>
      <c r="M34" s="420" t="n">
        <v>-0.0205</v>
      </c>
      <c r="N34" s="420" t="n">
        <v>-0.33</v>
      </c>
      <c r="O34" s="420" t="n">
        <v>0</v>
      </c>
      <c r="P34" s="420" t="n">
        <v>0.0125</v>
      </c>
      <c r="Q34" s="420" t="n">
        <v>-0.0175</v>
      </c>
      <c r="R34" s="418" t="n">
        <v>-0.0255</v>
      </c>
      <c r="S34" s="418" t="n">
        <v>-0.0775</v>
      </c>
      <c r="T34" s="418" t="n">
        <v>0.0375</v>
      </c>
      <c r="U34" s="418" t="n">
        <v>-0.0375</v>
      </c>
      <c r="V34" s="418" t="n">
        <v>-0.115</v>
      </c>
      <c r="W34" s="418" t="n">
        <v>-0.14</v>
      </c>
      <c r="X34" s="418" t="n">
        <v>0.99</v>
      </c>
      <c r="Y34" s="418" t="n">
        <v>0.005</v>
      </c>
      <c r="Z34" s="418" t="n">
        <v>-0.2675</v>
      </c>
      <c r="AA34" s="418" t="n">
        <v>-0.0265</v>
      </c>
      <c r="AB34" s="437" t="n">
        <v>1.0625</v>
      </c>
      <c r="AC34" s="437" t="n">
        <v>0.7025</v>
      </c>
      <c r="AD34" s="437" t="n">
        <v>0.2075</v>
      </c>
      <c r="AE34" s="438" t="n">
        <v>0.365</v>
      </c>
      <c r="AF34" s="438" t="n">
        <v>0.365</v>
      </c>
      <c r="AG34" s="438" t="n">
        <v>0.402</v>
      </c>
      <c r="AH34" s="438" t="n">
        <v>0.354</v>
      </c>
      <c r="AI34" s="438" t="n">
        <v>0.372</v>
      </c>
      <c r="AJ34" s="438" t="n">
        <v>0.365</v>
      </c>
      <c r="AK34" s="438" t="n">
        <v>0.365</v>
      </c>
      <c r="AL34" s="438" t="n">
        <v>0.365</v>
      </c>
      <c r="AM34" s="438" t="n">
        <v>0.365</v>
      </c>
      <c r="AN34" s="438" t="n">
        <v>0.365</v>
      </c>
      <c r="AO34" s="438" t="n">
        <v>0.365</v>
      </c>
      <c r="AP34" s="439" t="n">
        <v>0.365</v>
      </c>
      <c r="AQ34" s="439" t="n">
        <v>0.354</v>
      </c>
      <c r="AR34" s="439" t="n">
        <v>0.365</v>
      </c>
      <c r="AS34" s="439" t="n">
        <v>0.365</v>
      </c>
      <c r="AT34" s="438" t="n">
        <v>0.365</v>
      </c>
      <c r="AU34" s="438" t="n">
        <v>0.365</v>
      </c>
      <c r="AV34" s="438" t="n">
        <v>0.402</v>
      </c>
      <c r="AW34" s="440" t="n">
        <v>0.069310654016413</v>
      </c>
      <c r="AX34" s="440"/>
      <c r="AY34" s="437" t="n">
        <f aca="false">AG34</f>
        <v>0.402</v>
      </c>
      <c r="AZ34" s="437" t="n">
        <f aca="false">AG34</f>
        <v>0.402</v>
      </c>
      <c r="BA34" s="441" t="n">
        <f aca="false">AG34</f>
        <v>0.402</v>
      </c>
      <c r="BB34" s="442" t="n">
        <f aca="false">B34</f>
        <v>37316</v>
      </c>
      <c r="BC34" s="442" t="n">
        <v>0.901072887101337</v>
      </c>
      <c r="BD34" s="418" t="n">
        <v>0.901242027258105</v>
      </c>
      <c r="BF34" s="455" t="n">
        <v>37316</v>
      </c>
      <c r="BG34" s="66" t="n">
        <v>22</v>
      </c>
      <c r="HZ34" s="442" t="n">
        <f aca="false">B36</f>
        <v>37377</v>
      </c>
      <c r="IA34" s="418" t="n">
        <v>24</v>
      </c>
    </row>
    <row r="35" customFormat="false" ht="12.75" hidden="false" customHeight="false" outlineLevel="0" collapsed="false">
      <c r="B35" s="419" t="n">
        <f aca="false">EOMONTH(B34,0)+1</f>
        <v>37347</v>
      </c>
      <c r="C35" s="420" t="n">
        <v>3.43</v>
      </c>
      <c r="D35" s="420" t="n">
        <v>0.3</v>
      </c>
      <c r="E35" s="420" t="n">
        <v>0.069530816323869</v>
      </c>
      <c r="F35" s="420" t="n">
        <v>-0.1325</v>
      </c>
      <c r="G35" s="420" t="n">
        <v>0.015</v>
      </c>
      <c r="H35" s="420" t="n">
        <v>-0.1325</v>
      </c>
      <c r="I35" s="420" t="n">
        <v>0.0675</v>
      </c>
      <c r="J35" s="420" t="n">
        <v>0.195</v>
      </c>
      <c r="K35" s="420" t="n">
        <v>0.25</v>
      </c>
      <c r="L35" s="420" t="n">
        <v>-0.078</v>
      </c>
      <c r="M35" s="420" t="n">
        <v>-0.028</v>
      </c>
      <c r="N35" s="420" t="n">
        <v>-0.52</v>
      </c>
      <c r="O35" s="420" t="n">
        <v>-0.385</v>
      </c>
      <c r="P35" s="420" t="n">
        <v>0.006</v>
      </c>
      <c r="Q35" s="420" t="n">
        <v>-0.0075</v>
      </c>
      <c r="R35" s="418" t="n">
        <v>-0.025</v>
      </c>
      <c r="S35" s="418" t="n">
        <v>-0.06</v>
      </c>
      <c r="T35" s="418" t="n">
        <v>-0.06</v>
      </c>
      <c r="U35" s="418" t="n">
        <v>-0.02</v>
      </c>
      <c r="V35" s="418" t="n">
        <v>-0.1075</v>
      </c>
      <c r="W35" s="418" t="n">
        <v>-0.1275</v>
      </c>
      <c r="X35" s="418" t="n">
        <v>0.45</v>
      </c>
      <c r="Y35" s="418" t="n">
        <v>0.006</v>
      </c>
      <c r="Z35" s="418" t="n">
        <v>-0.25</v>
      </c>
      <c r="AA35" s="418" t="n">
        <v>-0.024</v>
      </c>
      <c r="AB35" s="437" t="n">
        <v>-0.32</v>
      </c>
      <c r="AC35" s="437" t="n">
        <v>0.335</v>
      </c>
      <c r="AD35" s="437" t="n">
        <v>0.1375</v>
      </c>
      <c r="AE35" s="438" t="n">
        <v>0.3</v>
      </c>
      <c r="AF35" s="438" t="n">
        <v>0.3</v>
      </c>
      <c r="AG35" s="438" t="n">
        <v>0.294</v>
      </c>
      <c r="AH35" s="438" t="n">
        <v>0.3</v>
      </c>
      <c r="AI35" s="438" t="n">
        <v>0.306</v>
      </c>
      <c r="AJ35" s="438" t="n">
        <v>0.3</v>
      </c>
      <c r="AK35" s="438" t="n">
        <v>0.294</v>
      </c>
      <c r="AL35" s="438" t="n">
        <v>0.294</v>
      </c>
      <c r="AM35" s="438" t="n">
        <v>0.3</v>
      </c>
      <c r="AN35" s="438" t="n">
        <v>0.3</v>
      </c>
      <c r="AO35" s="438" t="n">
        <v>0.3</v>
      </c>
      <c r="AP35" s="439" t="n">
        <v>0.3</v>
      </c>
      <c r="AQ35" s="439" t="n">
        <v>0.3</v>
      </c>
      <c r="AR35" s="439" t="n">
        <v>0.3</v>
      </c>
      <c r="AS35" s="439" t="n">
        <v>0.3</v>
      </c>
      <c r="AT35" s="438" t="n">
        <v>0.3</v>
      </c>
      <c r="AU35" s="438" t="n">
        <v>0.3</v>
      </c>
      <c r="AV35" s="438" t="n">
        <v>0.294</v>
      </c>
      <c r="AW35" s="440" t="n">
        <v>0.069327187093251</v>
      </c>
      <c r="AX35" s="440"/>
      <c r="AY35" s="437" t="n">
        <f aca="false">AG35</f>
        <v>0.294</v>
      </c>
      <c r="AZ35" s="437" t="n">
        <f aca="false">AG35</f>
        <v>0.294</v>
      </c>
      <c r="BA35" s="441" t="n">
        <f aca="false">AG35</f>
        <v>0.294</v>
      </c>
      <c r="BB35" s="442" t="n">
        <f aca="false">B35</f>
        <v>37347</v>
      </c>
      <c r="BC35" s="442" t="n">
        <v>0.895802726538373</v>
      </c>
      <c r="BD35" s="418" t="n">
        <v>0.895970950024854</v>
      </c>
      <c r="BF35" s="455" t="n">
        <v>37347</v>
      </c>
      <c r="BG35" s="66" t="n">
        <v>23</v>
      </c>
      <c r="HZ35" s="442" t="n">
        <f aca="false">B37</f>
        <v>37408</v>
      </c>
      <c r="IA35" s="418" t="n">
        <v>25</v>
      </c>
    </row>
    <row r="36" customFormat="false" ht="12.75" hidden="false" customHeight="false" outlineLevel="0" collapsed="false">
      <c r="B36" s="419" t="n">
        <f aca="false">EOMONTH(B35,0)+1</f>
        <v>37377</v>
      </c>
      <c r="C36" s="420" t="n">
        <v>3.348</v>
      </c>
      <c r="D36" s="420" t="n">
        <v>0.285</v>
      </c>
      <c r="E36" s="420" t="n">
        <v>0.069531303989146</v>
      </c>
      <c r="F36" s="420" t="n">
        <v>-0.1325</v>
      </c>
      <c r="G36" s="420" t="n">
        <v>0.015</v>
      </c>
      <c r="H36" s="420" t="n">
        <v>-0.1325</v>
      </c>
      <c r="I36" s="420" t="n">
        <v>0.0575</v>
      </c>
      <c r="J36" s="420" t="n">
        <v>0.1825</v>
      </c>
      <c r="K36" s="420" t="n">
        <v>0.2025</v>
      </c>
      <c r="L36" s="420" t="n">
        <v>-0.078</v>
      </c>
      <c r="M36" s="420" t="n">
        <v>-0.028</v>
      </c>
      <c r="N36" s="420" t="n">
        <v>-0.52</v>
      </c>
      <c r="O36" s="420" t="n">
        <v>-0.385</v>
      </c>
      <c r="P36" s="420" t="n">
        <v>0.006</v>
      </c>
      <c r="Q36" s="420" t="n">
        <v>-0.0075</v>
      </c>
      <c r="R36" s="418" t="n">
        <v>-0.025</v>
      </c>
      <c r="S36" s="418" t="n">
        <v>-0.06</v>
      </c>
      <c r="T36" s="418" t="n">
        <v>-0.075</v>
      </c>
      <c r="U36" s="418" t="n">
        <v>-0.02025</v>
      </c>
      <c r="V36" s="418" t="n">
        <v>-0.1075</v>
      </c>
      <c r="W36" s="418" t="n">
        <v>-0.1275</v>
      </c>
      <c r="X36" s="418" t="n">
        <v>0.405</v>
      </c>
      <c r="Y36" s="418" t="n">
        <v>0.006</v>
      </c>
      <c r="Z36" s="418" t="n">
        <v>-0.25</v>
      </c>
      <c r="AA36" s="418" t="n">
        <v>-0.024</v>
      </c>
      <c r="AB36" s="437" t="n">
        <v>-0.32</v>
      </c>
      <c r="AC36" s="437" t="n">
        <v>0.2675</v>
      </c>
      <c r="AD36" s="437" t="n">
        <v>0.1275</v>
      </c>
      <c r="AE36" s="438" t="n">
        <v>0.285</v>
      </c>
      <c r="AF36" s="438" t="n">
        <v>0.285</v>
      </c>
      <c r="AG36" s="438" t="n">
        <v>0.279</v>
      </c>
      <c r="AH36" s="438" t="n">
        <v>0.285</v>
      </c>
      <c r="AI36" s="438" t="n">
        <v>0.291</v>
      </c>
      <c r="AJ36" s="438" t="n">
        <v>0.285</v>
      </c>
      <c r="AK36" s="438" t="n">
        <v>0.279</v>
      </c>
      <c r="AL36" s="438" t="n">
        <v>0.279</v>
      </c>
      <c r="AM36" s="438" t="n">
        <v>0.285</v>
      </c>
      <c r="AN36" s="438" t="n">
        <v>0.285</v>
      </c>
      <c r="AO36" s="438" t="n">
        <v>0.285</v>
      </c>
      <c r="AP36" s="439" t="n">
        <v>0.285</v>
      </c>
      <c r="AQ36" s="439" t="n">
        <v>0.285</v>
      </c>
      <c r="AR36" s="439" t="n">
        <v>0.285</v>
      </c>
      <c r="AS36" s="439" t="n">
        <v>0.285</v>
      </c>
      <c r="AT36" s="438" t="n">
        <v>0.285</v>
      </c>
      <c r="AU36" s="438" t="n">
        <v>0.285</v>
      </c>
      <c r="AV36" s="438" t="n">
        <v>0.279</v>
      </c>
      <c r="AW36" s="440" t="n">
        <v>0.06931807604022</v>
      </c>
      <c r="AX36" s="440"/>
      <c r="AY36" s="437" t="n">
        <f aca="false">AG36</f>
        <v>0.279</v>
      </c>
      <c r="AZ36" s="437" t="n">
        <f aca="false">AG36</f>
        <v>0.279</v>
      </c>
      <c r="BA36" s="441" t="n">
        <f aca="false">AG36</f>
        <v>0.279</v>
      </c>
      <c r="BB36" s="442" t="n">
        <f aca="false">B36</f>
        <v>37377</v>
      </c>
      <c r="BC36" s="442" t="n">
        <v>0.890765535101563</v>
      </c>
      <c r="BD36" s="418" t="n">
        <v>0.890932821007349</v>
      </c>
      <c r="BF36" s="455" t="n">
        <v>37377</v>
      </c>
      <c r="BG36" s="66" t="n">
        <v>24</v>
      </c>
      <c r="HZ36" s="442" t="n">
        <f aca="false">B38</f>
        <v>37438</v>
      </c>
      <c r="IA36" s="418" t="n">
        <v>26</v>
      </c>
    </row>
    <row r="37" customFormat="false" ht="12.75" hidden="false" customHeight="false" outlineLevel="0" collapsed="false">
      <c r="B37" s="419" t="n">
        <f aca="false">EOMONTH(B36,0)+1</f>
        <v>37408</v>
      </c>
      <c r="C37" s="420" t="n">
        <v>3.325</v>
      </c>
      <c r="D37" s="420" t="n">
        <v>0.2825</v>
      </c>
      <c r="E37" s="420" t="n">
        <v>0.069531807909932</v>
      </c>
      <c r="F37" s="420" t="n">
        <v>-0.1325</v>
      </c>
      <c r="G37" s="420" t="n">
        <v>0.02</v>
      </c>
      <c r="H37" s="420" t="n">
        <v>-0.1325</v>
      </c>
      <c r="I37" s="420" t="n">
        <v>0.0525</v>
      </c>
      <c r="J37" s="420" t="n">
        <v>0.1825</v>
      </c>
      <c r="K37" s="420" t="n">
        <v>0.2025</v>
      </c>
      <c r="L37" s="420" t="n">
        <v>-0.094</v>
      </c>
      <c r="M37" s="420" t="n">
        <v>-0.028</v>
      </c>
      <c r="N37" s="420" t="n">
        <v>-0.52</v>
      </c>
      <c r="O37" s="420" t="n">
        <v>-0.385</v>
      </c>
      <c r="P37" s="420" t="n">
        <v>0.006</v>
      </c>
      <c r="Q37" s="420" t="n">
        <v>-0.0075</v>
      </c>
      <c r="R37" s="418" t="n">
        <v>-0.025</v>
      </c>
      <c r="S37" s="418" t="n">
        <v>-0.06</v>
      </c>
      <c r="T37" s="418" t="n">
        <v>-0.085</v>
      </c>
      <c r="U37" s="418" t="n">
        <v>-0.02025</v>
      </c>
      <c r="V37" s="418" t="n">
        <v>-0.0975</v>
      </c>
      <c r="W37" s="418" t="n">
        <v>-0.1275</v>
      </c>
      <c r="X37" s="418" t="n">
        <v>0.395</v>
      </c>
      <c r="Y37" s="418" t="n">
        <v>0.006</v>
      </c>
      <c r="Z37" s="418" t="n">
        <v>-0.25</v>
      </c>
      <c r="AA37" s="418" t="n">
        <v>-0.024</v>
      </c>
      <c r="AB37" s="437" t="n">
        <v>-0.32</v>
      </c>
      <c r="AC37" s="437" t="n">
        <v>0.2675</v>
      </c>
      <c r="AD37" s="437" t="n">
        <v>0.1225</v>
      </c>
      <c r="AE37" s="438" t="n">
        <v>0.283</v>
      </c>
      <c r="AF37" s="438" t="n">
        <v>0.283</v>
      </c>
      <c r="AG37" s="438" t="n">
        <v>0.277</v>
      </c>
      <c r="AH37" s="438" t="n">
        <v>0.283</v>
      </c>
      <c r="AI37" s="438" t="n">
        <v>0.288</v>
      </c>
      <c r="AJ37" s="438" t="n">
        <v>0.283</v>
      </c>
      <c r="AK37" s="438" t="n">
        <v>0.277</v>
      </c>
      <c r="AL37" s="438" t="n">
        <v>0.277</v>
      </c>
      <c r="AM37" s="438" t="n">
        <v>0.283</v>
      </c>
      <c r="AN37" s="438" t="n">
        <v>0.283</v>
      </c>
      <c r="AO37" s="438" t="n">
        <v>0.283</v>
      </c>
      <c r="AP37" s="439" t="n">
        <v>0.283</v>
      </c>
      <c r="AQ37" s="439" t="n">
        <v>0.283</v>
      </c>
      <c r="AR37" s="439" t="n">
        <v>0.283</v>
      </c>
      <c r="AS37" s="439" t="n">
        <v>0.283</v>
      </c>
      <c r="AT37" s="438" t="n">
        <v>0.283</v>
      </c>
      <c r="AU37" s="438" t="n">
        <v>0.283</v>
      </c>
      <c r="AV37" s="438" t="n">
        <v>0.277</v>
      </c>
      <c r="AW37" s="440" t="n">
        <v>0.06930866128545</v>
      </c>
      <c r="AX37" s="440"/>
      <c r="AY37" s="437" t="n">
        <f aca="false">AG37</f>
        <v>0.277</v>
      </c>
      <c r="AZ37" s="437" t="n">
        <f aca="false">AG37</f>
        <v>0.277</v>
      </c>
      <c r="BA37" s="441" t="n">
        <f aca="false">AG37</f>
        <v>0.277</v>
      </c>
      <c r="BB37" s="442" t="n">
        <f aca="false">B37</f>
        <v>37408</v>
      </c>
      <c r="BC37" s="442" t="n">
        <v>0.885589668414306</v>
      </c>
      <c r="BD37" s="418" t="n">
        <v>0.885755990877288</v>
      </c>
      <c r="BF37" s="455" t="n">
        <v>37408</v>
      </c>
      <c r="BG37" s="66" t="n">
        <v>25</v>
      </c>
      <c r="HZ37" s="442" t="n">
        <f aca="false">B39</f>
        <v>37469</v>
      </c>
      <c r="IA37" s="418" t="n">
        <v>27</v>
      </c>
    </row>
    <row r="38" customFormat="false" ht="12.75" hidden="false" customHeight="false" outlineLevel="0" collapsed="false">
      <c r="B38" s="419" t="n">
        <f aca="false">EOMONTH(B37,0)+1</f>
        <v>37438</v>
      </c>
      <c r="C38" s="420" t="n">
        <v>3.313</v>
      </c>
      <c r="D38" s="420" t="n">
        <v>0.2825</v>
      </c>
      <c r="E38" s="420" t="n">
        <v>0.069530816511165</v>
      </c>
      <c r="F38" s="420" t="n">
        <v>-0.1325</v>
      </c>
      <c r="G38" s="420" t="n">
        <v>0.0225</v>
      </c>
      <c r="H38" s="420" t="n">
        <v>-0.1325</v>
      </c>
      <c r="I38" s="420" t="n">
        <v>0.0425</v>
      </c>
      <c r="J38" s="420" t="n">
        <v>0.1825</v>
      </c>
      <c r="K38" s="420" t="n">
        <v>0.215</v>
      </c>
      <c r="L38" s="420" t="n">
        <v>-0.087</v>
      </c>
      <c r="M38" s="420" t="n">
        <v>-0.028</v>
      </c>
      <c r="N38" s="420" t="n">
        <v>-0.52</v>
      </c>
      <c r="O38" s="420" t="n">
        <v>-0.385</v>
      </c>
      <c r="P38" s="420" t="n">
        <v>0.006</v>
      </c>
      <c r="Q38" s="420" t="n">
        <v>-0.0075</v>
      </c>
      <c r="R38" s="418" t="n">
        <v>-0.025</v>
      </c>
      <c r="S38" s="418" t="n">
        <v>-0.06</v>
      </c>
      <c r="T38" s="418" t="n">
        <v>-0.085</v>
      </c>
      <c r="U38" s="418" t="n">
        <v>-0.02025</v>
      </c>
      <c r="V38" s="418" t="n">
        <v>-0.0925</v>
      </c>
      <c r="W38" s="418" t="n">
        <v>-0.1275</v>
      </c>
      <c r="X38" s="418" t="n">
        <v>0.43</v>
      </c>
      <c r="Y38" s="418" t="n">
        <v>0.006</v>
      </c>
      <c r="Z38" s="418" t="n">
        <v>-0.25</v>
      </c>
      <c r="AA38" s="418" t="n">
        <v>-0.024</v>
      </c>
      <c r="AB38" s="437" t="n">
        <v>-0.32</v>
      </c>
      <c r="AC38" s="437" t="n">
        <v>0.28</v>
      </c>
      <c r="AD38" s="437" t="n">
        <v>0.1125</v>
      </c>
      <c r="AE38" s="438" t="n">
        <v>0.283</v>
      </c>
      <c r="AF38" s="438" t="n">
        <v>0.283</v>
      </c>
      <c r="AG38" s="438" t="n">
        <v>0.277</v>
      </c>
      <c r="AH38" s="438" t="n">
        <v>0.283</v>
      </c>
      <c r="AI38" s="438" t="n">
        <v>0.288</v>
      </c>
      <c r="AJ38" s="438" t="n">
        <v>0.283</v>
      </c>
      <c r="AK38" s="438" t="n">
        <v>0.277</v>
      </c>
      <c r="AL38" s="438" t="n">
        <v>0.277</v>
      </c>
      <c r="AM38" s="438" t="n">
        <v>0.283</v>
      </c>
      <c r="AN38" s="438" t="n">
        <v>0.283</v>
      </c>
      <c r="AO38" s="438" t="n">
        <v>0.283</v>
      </c>
      <c r="AP38" s="439" t="n">
        <v>0.283</v>
      </c>
      <c r="AQ38" s="439" t="n">
        <v>0.283</v>
      </c>
      <c r="AR38" s="439" t="n">
        <v>0.283</v>
      </c>
      <c r="AS38" s="439" t="n">
        <v>0.283</v>
      </c>
      <c r="AT38" s="438" t="n">
        <v>0.283</v>
      </c>
      <c r="AU38" s="438" t="n">
        <v>0.283</v>
      </c>
      <c r="AV38" s="438" t="n">
        <v>0.277</v>
      </c>
      <c r="AW38" s="440" t="n">
        <v>0.069298174796184</v>
      </c>
      <c r="AX38" s="440"/>
      <c r="AY38" s="437" t="n">
        <f aca="false">AG38</f>
        <v>0.277</v>
      </c>
      <c r="AZ38" s="437" t="n">
        <f aca="false">AG38</f>
        <v>0.277</v>
      </c>
      <c r="BA38" s="441" t="n">
        <f aca="false">AG38</f>
        <v>0.277</v>
      </c>
      <c r="BB38" s="442" t="n">
        <f aca="false">B38</f>
        <v>37438</v>
      </c>
      <c r="BC38" s="442" t="n">
        <v>0.880611661969614</v>
      </c>
      <c r="BD38" s="418" t="n">
        <v>0.880777053693024</v>
      </c>
      <c r="BF38" s="455" t="n">
        <v>37438</v>
      </c>
      <c r="BG38" s="66" t="n">
        <v>26</v>
      </c>
      <c r="HZ38" s="442" t="n">
        <f aca="false">B40</f>
        <v>37500</v>
      </c>
      <c r="IA38" s="418" t="n">
        <v>28</v>
      </c>
    </row>
    <row r="39" customFormat="false" ht="12.75" hidden="false" customHeight="false" outlineLevel="0" collapsed="false">
      <c r="B39" s="419" t="n">
        <f aca="false">EOMONTH(B38,0)+1</f>
        <v>37469</v>
      </c>
      <c r="C39" s="420" t="n">
        <v>3.318</v>
      </c>
      <c r="D39" s="420" t="n">
        <v>0.2825</v>
      </c>
      <c r="E39" s="420" t="n">
        <v>0.069527358699475</v>
      </c>
      <c r="F39" s="420" t="n">
        <v>-0.1325</v>
      </c>
      <c r="G39" s="420" t="n">
        <v>0.025</v>
      </c>
      <c r="H39" s="420" t="n">
        <v>-0.1325</v>
      </c>
      <c r="I39" s="420" t="n">
        <v>0.04</v>
      </c>
      <c r="J39" s="420" t="n">
        <v>0.1825</v>
      </c>
      <c r="K39" s="420" t="n">
        <v>0.215</v>
      </c>
      <c r="L39" s="420" t="n">
        <v>-0.078</v>
      </c>
      <c r="M39" s="420" t="n">
        <v>-0.028</v>
      </c>
      <c r="N39" s="420" t="n">
        <v>-0.52</v>
      </c>
      <c r="O39" s="420" t="n">
        <v>-0.385</v>
      </c>
      <c r="P39" s="420" t="n">
        <v>0.006</v>
      </c>
      <c r="Q39" s="420" t="n">
        <v>-0.0075</v>
      </c>
      <c r="R39" s="418" t="n">
        <v>-0.025</v>
      </c>
      <c r="S39" s="418" t="n">
        <v>-0.06</v>
      </c>
      <c r="T39" s="418" t="n">
        <v>-0.085</v>
      </c>
      <c r="U39" s="418" t="n">
        <v>-0.02025</v>
      </c>
      <c r="V39" s="418" t="n">
        <v>-0.0925</v>
      </c>
      <c r="W39" s="418" t="n">
        <v>-0.1275</v>
      </c>
      <c r="X39" s="418" t="n">
        <v>0.495</v>
      </c>
      <c r="Y39" s="418" t="n">
        <v>0.006</v>
      </c>
      <c r="Z39" s="418" t="n">
        <v>-0.25</v>
      </c>
      <c r="AA39" s="418" t="n">
        <v>-0.024</v>
      </c>
      <c r="AB39" s="437" t="n">
        <v>-0.32</v>
      </c>
      <c r="AC39" s="437" t="n">
        <v>0.28</v>
      </c>
      <c r="AD39" s="437" t="n">
        <v>0.11</v>
      </c>
      <c r="AE39" s="438" t="n">
        <v>0.283</v>
      </c>
      <c r="AF39" s="438" t="n">
        <v>0.283</v>
      </c>
      <c r="AG39" s="438" t="n">
        <v>0.277</v>
      </c>
      <c r="AH39" s="438" t="n">
        <v>0.283</v>
      </c>
      <c r="AI39" s="438" t="n">
        <v>0.288</v>
      </c>
      <c r="AJ39" s="438" t="n">
        <v>0.283</v>
      </c>
      <c r="AK39" s="438" t="n">
        <v>0.277</v>
      </c>
      <c r="AL39" s="438" t="n">
        <v>0.277</v>
      </c>
      <c r="AM39" s="438" t="n">
        <v>0.283</v>
      </c>
      <c r="AN39" s="438" t="n">
        <v>0.283</v>
      </c>
      <c r="AO39" s="438" t="n">
        <v>0.283</v>
      </c>
      <c r="AP39" s="439" t="n">
        <v>0.283</v>
      </c>
      <c r="AQ39" s="439" t="n">
        <v>0.283</v>
      </c>
      <c r="AR39" s="439" t="n">
        <v>0.283</v>
      </c>
      <c r="AS39" s="439" t="n">
        <v>0.283</v>
      </c>
      <c r="AT39" s="438" t="n">
        <v>0.283</v>
      </c>
      <c r="AU39" s="438" t="n">
        <v>0.283</v>
      </c>
      <c r="AV39" s="438" t="n">
        <v>0.277</v>
      </c>
      <c r="AW39" s="440" t="n">
        <v>0.069285074601954</v>
      </c>
      <c r="AX39" s="440"/>
      <c r="AY39" s="437" t="n">
        <f aca="false">AG39</f>
        <v>0.277</v>
      </c>
      <c r="AZ39" s="437" t="n">
        <f aca="false">AG39</f>
        <v>0.277</v>
      </c>
      <c r="BA39" s="441" t="n">
        <f aca="false">AG39</f>
        <v>0.277</v>
      </c>
      <c r="BB39" s="442" t="n">
        <f aca="false">B39</f>
        <v>37469</v>
      </c>
      <c r="BC39" s="442" t="n">
        <v>0.875501582955164</v>
      </c>
      <c r="BD39" s="418" t="n">
        <v>0.875666012545171</v>
      </c>
      <c r="BF39" s="455" t="n">
        <v>37469</v>
      </c>
      <c r="BG39" s="66" t="n">
        <v>27</v>
      </c>
      <c r="HZ39" s="442" t="n">
        <f aca="false">B41</f>
        <v>37530</v>
      </c>
      <c r="IA39" s="418" t="n">
        <v>29</v>
      </c>
    </row>
    <row r="40" customFormat="false" ht="12.75" hidden="false" customHeight="false" outlineLevel="0" collapsed="false">
      <c r="B40" s="419" t="n">
        <f aca="false">EOMONTH(B39,0)+1</f>
        <v>37500</v>
      </c>
      <c r="C40" s="420" t="n">
        <v>3.311</v>
      </c>
      <c r="D40" s="420" t="n">
        <v>0.2825</v>
      </c>
      <c r="E40" s="420" t="n">
        <v>0.06952390088779</v>
      </c>
      <c r="F40" s="420" t="n">
        <v>-0.1325</v>
      </c>
      <c r="G40" s="420" t="n">
        <v>0.0175</v>
      </c>
      <c r="H40" s="420" t="n">
        <v>-0.1325</v>
      </c>
      <c r="I40" s="420" t="n">
        <v>0.0375</v>
      </c>
      <c r="J40" s="420" t="n">
        <v>0.1825</v>
      </c>
      <c r="K40" s="420" t="n">
        <v>0.195</v>
      </c>
      <c r="L40" s="420" t="n">
        <v>-0.058</v>
      </c>
      <c r="M40" s="420" t="n">
        <v>-0.028</v>
      </c>
      <c r="N40" s="420" t="n">
        <v>-0.52</v>
      </c>
      <c r="O40" s="420" t="n">
        <v>-0.385</v>
      </c>
      <c r="P40" s="420" t="n">
        <v>0.006</v>
      </c>
      <c r="Q40" s="420" t="n">
        <v>-0.0075</v>
      </c>
      <c r="R40" s="418" t="n">
        <v>-0.025</v>
      </c>
      <c r="S40" s="418" t="n">
        <v>-0.06</v>
      </c>
      <c r="T40" s="418" t="n">
        <v>-0.075</v>
      </c>
      <c r="U40" s="418" t="n">
        <v>-0.02025</v>
      </c>
      <c r="V40" s="418" t="n">
        <v>-0.1075</v>
      </c>
      <c r="W40" s="418" t="n">
        <v>-0.1275</v>
      </c>
      <c r="X40" s="418" t="n">
        <v>0.395</v>
      </c>
      <c r="Y40" s="418" t="n">
        <v>0.006</v>
      </c>
      <c r="Z40" s="418" t="n">
        <v>-0.25</v>
      </c>
      <c r="AA40" s="418" t="n">
        <v>-0.024</v>
      </c>
      <c r="AB40" s="437" t="n">
        <v>-0.32</v>
      </c>
      <c r="AC40" s="437" t="n">
        <v>0.27</v>
      </c>
      <c r="AD40" s="437" t="n">
        <v>0.1075</v>
      </c>
      <c r="AE40" s="438" t="n">
        <v>0.283</v>
      </c>
      <c r="AF40" s="438" t="n">
        <v>0.283</v>
      </c>
      <c r="AG40" s="438" t="n">
        <v>0.277</v>
      </c>
      <c r="AH40" s="438" t="n">
        <v>0.283</v>
      </c>
      <c r="AI40" s="438" t="n">
        <v>0.288</v>
      </c>
      <c r="AJ40" s="438" t="n">
        <v>0.283</v>
      </c>
      <c r="AK40" s="438" t="n">
        <v>0.277</v>
      </c>
      <c r="AL40" s="438" t="n">
        <v>0.277</v>
      </c>
      <c r="AM40" s="438" t="n">
        <v>0.283</v>
      </c>
      <c r="AN40" s="438" t="n">
        <v>0.283</v>
      </c>
      <c r="AO40" s="438" t="n">
        <v>0.283</v>
      </c>
      <c r="AP40" s="439" t="n">
        <v>0.283</v>
      </c>
      <c r="AQ40" s="439" t="n">
        <v>0.283</v>
      </c>
      <c r="AR40" s="439" t="n">
        <v>0.283</v>
      </c>
      <c r="AS40" s="439" t="n">
        <v>0.283</v>
      </c>
      <c r="AT40" s="438" t="n">
        <v>0.283</v>
      </c>
      <c r="AU40" s="438" t="n">
        <v>0.283</v>
      </c>
      <c r="AV40" s="438" t="n">
        <v>0.277</v>
      </c>
      <c r="AW40" s="440" t="n">
        <v>0.06927197440778</v>
      </c>
      <c r="AX40" s="440"/>
      <c r="AY40" s="437" t="n">
        <f aca="false">AG40</f>
        <v>0.277</v>
      </c>
      <c r="AZ40" s="437" t="n">
        <f aca="false">AG40</f>
        <v>0.277</v>
      </c>
      <c r="BA40" s="441" t="n">
        <f aca="false">AG40</f>
        <v>0.277</v>
      </c>
      <c r="BB40" s="442" t="n">
        <f aca="false">B40</f>
        <v>37500</v>
      </c>
      <c r="BC40" s="442" t="n">
        <v>0.870421304133706</v>
      </c>
      <c r="BD40" s="418" t="n">
        <v>0.870584777214911</v>
      </c>
      <c r="BF40" s="455" t="n">
        <v>37500</v>
      </c>
      <c r="BG40" s="66" t="n">
        <v>28</v>
      </c>
      <c r="HZ40" s="442" t="n">
        <f aca="false">B42</f>
        <v>37561</v>
      </c>
      <c r="IA40" s="418" t="n">
        <v>30</v>
      </c>
    </row>
    <row r="41" customFormat="false" ht="12.75" hidden="false" customHeight="false" outlineLevel="0" collapsed="false">
      <c r="A41" s="473"/>
      <c r="B41" s="419" t="n">
        <f aca="false">EOMONTH(B40,0)+1</f>
        <v>37530</v>
      </c>
      <c r="C41" s="420" t="n">
        <v>3.326</v>
      </c>
      <c r="D41" s="420" t="n">
        <v>0.285</v>
      </c>
      <c r="E41" s="420" t="n">
        <v>0.069518630269067</v>
      </c>
      <c r="F41" s="420" t="n">
        <v>-0.1325</v>
      </c>
      <c r="G41" s="420" t="n">
        <v>0.0075</v>
      </c>
      <c r="H41" s="420" t="n">
        <v>-0.1325</v>
      </c>
      <c r="I41" s="420" t="n">
        <v>0.0525</v>
      </c>
      <c r="J41" s="420" t="n">
        <v>0.1875</v>
      </c>
      <c r="K41" s="420" t="n">
        <v>0.215</v>
      </c>
      <c r="L41" s="420" t="n">
        <v>-0.068</v>
      </c>
      <c r="M41" s="420" t="n">
        <v>-0.028</v>
      </c>
      <c r="N41" s="420" t="n">
        <v>-0.52</v>
      </c>
      <c r="O41" s="420" t="n">
        <v>-0.385</v>
      </c>
      <c r="P41" s="420" t="n">
        <v>0.006</v>
      </c>
      <c r="Q41" s="420" t="n">
        <v>-0.0075</v>
      </c>
      <c r="R41" s="418" t="n">
        <v>-0.025</v>
      </c>
      <c r="S41" s="418" t="n">
        <v>-0.06</v>
      </c>
      <c r="T41" s="418" t="n">
        <v>-0.06</v>
      </c>
      <c r="U41" s="418" t="n">
        <v>-0.02025</v>
      </c>
      <c r="V41" s="418" t="n">
        <v>-0.11</v>
      </c>
      <c r="W41" s="418" t="n">
        <v>-0.1275</v>
      </c>
      <c r="X41" s="418" t="n">
        <v>0.461</v>
      </c>
      <c r="Y41" s="418" t="n">
        <v>0.006</v>
      </c>
      <c r="Z41" s="418" t="n">
        <v>-0.25</v>
      </c>
      <c r="AA41" s="418" t="n">
        <v>-0.024</v>
      </c>
      <c r="AB41" s="437" t="n">
        <v>-0.32</v>
      </c>
      <c r="AC41" s="437" t="n">
        <v>0.3425</v>
      </c>
      <c r="AD41" s="437" t="n">
        <v>0.1225</v>
      </c>
      <c r="AE41" s="438" t="n">
        <v>0.285</v>
      </c>
      <c r="AF41" s="438" t="n">
        <v>0.285</v>
      </c>
      <c r="AG41" s="438" t="n">
        <v>0.279</v>
      </c>
      <c r="AH41" s="438" t="n">
        <v>0.285</v>
      </c>
      <c r="AI41" s="438" t="n">
        <v>0.291</v>
      </c>
      <c r="AJ41" s="438" t="n">
        <v>0.285</v>
      </c>
      <c r="AK41" s="438" t="n">
        <v>0.279</v>
      </c>
      <c r="AL41" s="438" t="n">
        <v>0.279</v>
      </c>
      <c r="AM41" s="438" t="n">
        <v>0.285</v>
      </c>
      <c r="AN41" s="438" t="n">
        <v>0.285</v>
      </c>
      <c r="AO41" s="438" t="n">
        <v>0.285</v>
      </c>
      <c r="AP41" s="439" t="n">
        <v>0.285</v>
      </c>
      <c r="AQ41" s="439" t="n">
        <v>0.285</v>
      </c>
      <c r="AR41" s="439" t="n">
        <v>0.285</v>
      </c>
      <c r="AS41" s="439" t="n">
        <v>0.285</v>
      </c>
      <c r="AT41" s="438" t="n">
        <v>0.285</v>
      </c>
      <c r="AU41" s="438" t="n">
        <v>0.285</v>
      </c>
      <c r="AV41" s="438" t="n">
        <v>0.279</v>
      </c>
      <c r="AW41" s="440" t="n">
        <v>0.069258999075703</v>
      </c>
      <c r="AX41" s="440"/>
      <c r="AY41" s="437" t="n">
        <f aca="false">AG41</f>
        <v>0.279</v>
      </c>
      <c r="AZ41" s="437" t="n">
        <f aca="false">AG41</f>
        <v>0.279</v>
      </c>
      <c r="BA41" s="441" t="n">
        <f aca="false">AG41</f>
        <v>0.279</v>
      </c>
      <c r="BB41" s="442" t="n">
        <f aca="false">B41</f>
        <v>37530</v>
      </c>
      <c r="BC41" s="442" t="n">
        <v>0.865536849159027</v>
      </c>
      <c r="BD41" s="418" t="n">
        <v>0.865699397754793</v>
      </c>
      <c r="BF41" s="455" t="n">
        <v>37530</v>
      </c>
      <c r="BG41" s="66" t="n">
        <v>29</v>
      </c>
      <c r="HZ41" s="442" t="n">
        <f aca="false">B43</f>
        <v>37591</v>
      </c>
      <c r="IA41" s="418" t="n">
        <v>31</v>
      </c>
    </row>
    <row r="42" customFormat="false" ht="12.75" hidden="false" customHeight="false" outlineLevel="0" collapsed="false">
      <c r="A42" s="470"/>
      <c r="B42" s="419" t="n">
        <f aca="false">EOMONTH(B41,0)+1</f>
        <v>37561</v>
      </c>
      <c r="C42" s="420" t="n">
        <v>3.418</v>
      </c>
      <c r="D42" s="420" t="n">
        <v>0.2925</v>
      </c>
      <c r="E42" s="420" t="n">
        <v>0.069510422951367</v>
      </c>
      <c r="F42" s="420" t="n">
        <v>-0.125</v>
      </c>
      <c r="G42" s="420" t="n">
        <v>-0.0325</v>
      </c>
      <c r="H42" s="420" t="n">
        <v>-0.125</v>
      </c>
      <c r="I42" s="420" t="n">
        <v>0.0925</v>
      </c>
      <c r="J42" s="420" t="n">
        <v>0.27</v>
      </c>
      <c r="K42" s="420" t="n">
        <v>0.2875</v>
      </c>
      <c r="L42" s="420" t="n">
        <v>-0.083</v>
      </c>
      <c r="M42" s="420" t="n">
        <v>-0.0205</v>
      </c>
      <c r="N42" s="420" t="n">
        <v>-0.295</v>
      </c>
      <c r="O42" s="420" t="n">
        <v>0</v>
      </c>
      <c r="P42" s="420" t="n">
        <v>0.0125</v>
      </c>
      <c r="Q42" s="420" t="n">
        <v>-0.0155</v>
      </c>
      <c r="R42" s="418" t="n">
        <v>-0.028</v>
      </c>
      <c r="S42" s="418" t="n">
        <v>-0.06</v>
      </c>
      <c r="T42" s="418" t="n">
        <v>-0.005</v>
      </c>
      <c r="U42" s="418" t="n">
        <v>-0.04</v>
      </c>
      <c r="V42" s="418" t="n">
        <v>-0.1075</v>
      </c>
      <c r="W42" s="418" t="n">
        <v>-0.14</v>
      </c>
      <c r="X42" s="418" t="n">
        <v>0.7525</v>
      </c>
      <c r="Y42" s="418" t="n">
        <v>0.006</v>
      </c>
      <c r="Z42" s="418" t="n">
        <v>-0.2</v>
      </c>
      <c r="AA42" s="418" t="n">
        <v>-0.0255</v>
      </c>
      <c r="AB42" s="437" t="n">
        <v>0.955</v>
      </c>
      <c r="AC42" s="437" t="n">
        <v>0.47</v>
      </c>
      <c r="AD42" s="437" t="n">
        <v>0.1875</v>
      </c>
      <c r="AE42" s="438" t="n">
        <v>0.293</v>
      </c>
      <c r="AF42" s="438" t="n">
        <v>0.293</v>
      </c>
      <c r="AG42" s="438" t="n">
        <v>0.322</v>
      </c>
      <c r="AH42" s="438" t="n">
        <v>0.293</v>
      </c>
      <c r="AI42" s="438" t="n">
        <v>0.298</v>
      </c>
      <c r="AJ42" s="438" t="n">
        <v>0.293</v>
      </c>
      <c r="AK42" s="438" t="n">
        <v>0.293</v>
      </c>
      <c r="AL42" s="438" t="n">
        <v>0.293</v>
      </c>
      <c r="AM42" s="438" t="n">
        <v>0.293</v>
      </c>
      <c r="AN42" s="438" t="n">
        <v>0.293</v>
      </c>
      <c r="AO42" s="438" t="n">
        <v>0.293</v>
      </c>
      <c r="AP42" s="439" t="n">
        <v>0.293</v>
      </c>
      <c r="AQ42" s="439" t="n">
        <v>0.293</v>
      </c>
      <c r="AR42" s="439" t="n">
        <v>0.293</v>
      </c>
      <c r="AS42" s="439" t="n">
        <v>0.293</v>
      </c>
      <c r="AT42" s="438" t="n">
        <v>0.293</v>
      </c>
      <c r="AU42" s="438" t="n">
        <v>0.293</v>
      </c>
      <c r="AV42" s="438" t="n">
        <v>0.322</v>
      </c>
      <c r="AW42" s="440" t="n">
        <v>0.069245164042116</v>
      </c>
      <c r="AX42" s="440"/>
      <c r="AY42" s="437" t="n">
        <f aca="false">AG42</f>
        <v>0.322</v>
      </c>
      <c r="AZ42" s="437" t="n">
        <f aca="false">AG42</f>
        <v>0.322</v>
      </c>
      <c r="BA42" s="441" t="n">
        <f aca="false">AG42</f>
        <v>0.322</v>
      </c>
      <c r="BB42" s="442" t="n">
        <f aca="false">B42</f>
        <v>37561</v>
      </c>
      <c r="BC42" s="442" t="n">
        <v>0.860524362362118</v>
      </c>
      <c r="BD42" s="418" t="n">
        <v>0.860685955343571</v>
      </c>
      <c r="BF42" s="455" t="n">
        <v>37561</v>
      </c>
      <c r="BG42" s="66" t="n">
        <v>30</v>
      </c>
      <c r="HZ42" s="442" t="n">
        <f aca="false">B44</f>
        <v>37622</v>
      </c>
      <c r="IA42" s="418" t="n">
        <v>32</v>
      </c>
    </row>
    <row r="43" customFormat="false" ht="12.75" hidden="false" customHeight="false" outlineLevel="0" collapsed="false">
      <c r="A43" s="470"/>
      <c r="B43" s="419" t="n">
        <f aca="false">EOMONTH(B42,0)+1</f>
        <v>37591</v>
      </c>
      <c r="C43" s="420" t="n">
        <v>3.504</v>
      </c>
      <c r="D43" s="420" t="n">
        <v>0.295</v>
      </c>
      <c r="E43" s="420" t="n">
        <v>0.069502480385871</v>
      </c>
      <c r="F43" s="420" t="n">
        <v>-0.1275</v>
      </c>
      <c r="G43" s="420" t="n">
        <v>-0.055</v>
      </c>
      <c r="H43" s="420" t="n">
        <v>-0.1275</v>
      </c>
      <c r="I43" s="420" t="n">
        <v>0.1325</v>
      </c>
      <c r="J43" s="420" t="n">
        <v>0.305</v>
      </c>
      <c r="K43" s="420" t="n">
        <v>0.3375</v>
      </c>
      <c r="L43" s="420" t="n">
        <v>-0.083</v>
      </c>
      <c r="M43" s="420" t="n">
        <v>-0.0205</v>
      </c>
      <c r="N43" s="420" t="n">
        <v>-0.295</v>
      </c>
      <c r="O43" s="420" t="n">
        <v>0.06</v>
      </c>
      <c r="P43" s="420" t="n">
        <v>0.0125</v>
      </c>
      <c r="Q43" s="420" t="n">
        <v>-0.0155</v>
      </c>
      <c r="R43" s="418" t="n">
        <v>-0.028</v>
      </c>
      <c r="S43" s="418" t="n">
        <v>-0.06</v>
      </c>
      <c r="T43" s="418" t="n">
        <v>0.0025</v>
      </c>
      <c r="U43" s="418" t="n">
        <v>-0.04</v>
      </c>
      <c r="V43" s="418" t="n">
        <v>-0.1425</v>
      </c>
      <c r="W43" s="418" t="n">
        <v>-0.135</v>
      </c>
      <c r="X43" s="418" t="n">
        <v>1.16</v>
      </c>
      <c r="Y43" s="418" t="n">
        <v>0.006</v>
      </c>
      <c r="Z43" s="418" t="n">
        <v>-0.2</v>
      </c>
      <c r="AA43" s="418" t="n">
        <v>-0.0255</v>
      </c>
      <c r="AB43" s="437" t="n">
        <v>0.955</v>
      </c>
      <c r="AC43" s="437" t="n">
        <v>0.81</v>
      </c>
      <c r="AD43" s="437" t="n">
        <v>0.2275</v>
      </c>
      <c r="AE43" s="438" t="n">
        <v>0.295</v>
      </c>
      <c r="AF43" s="438" t="n">
        <v>0.295</v>
      </c>
      <c r="AG43" s="438" t="n">
        <v>0.325</v>
      </c>
      <c r="AH43" s="438" t="n">
        <v>0.295</v>
      </c>
      <c r="AI43" s="438" t="n">
        <v>0.301</v>
      </c>
      <c r="AJ43" s="438" t="n">
        <v>0.295</v>
      </c>
      <c r="AK43" s="438" t="n">
        <v>0.295</v>
      </c>
      <c r="AL43" s="438" t="n">
        <v>0.295</v>
      </c>
      <c r="AM43" s="438" t="n">
        <v>0.295</v>
      </c>
      <c r="AN43" s="438" t="n">
        <v>0.295</v>
      </c>
      <c r="AO43" s="438" t="n">
        <v>0.295</v>
      </c>
      <c r="AP43" s="439" t="n">
        <v>0.295</v>
      </c>
      <c r="AQ43" s="439" t="n">
        <v>0.295</v>
      </c>
      <c r="AR43" s="439" t="n">
        <v>0.295</v>
      </c>
      <c r="AS43" s="439" t="n">
        <v>0.295</v>
      </c>
      <c r="AT43" s="438" t="n">
        <v>0.295</v>
      </c>
      <c r="AU43" s="438" t="n">
        <v>0.295</v>
      </c>
      <c r="AV43" s="438" t="n">
        <v>0.325</v>
      </c>
      <c r="AW43" s="440" t="n">
        <v>0.0692317753</v>
      </c>
      <c r="AX43" s="440"/>
      <c r="AY43" s="437" t="n">
        <f aca="false">AG43</f>
        <v>0.325</v>
      </c>
      <c r="AZ43" s="437" t="n">
        <f aca="false">AG43</f>
        <v>0.325</v>
      </c>
      <c r="BA43" s="441" t="n">
        <f aca="false">AG43</f>
        <v>0.325</v>
      </c>
      <c r="BB43" s="442" t="n">
        <f aca="false">B43</f>
        <v>37591</v>
      </c>
      <c r="BC43" s="442" t="n">
        <v>0.855702046416675</v>
      </c>
      <c r="BD43" s="418" t="n">
        <v>0.855862720115486</v>
      </c>
      <c r="BF43" s="455" t="n">
        <v>37591</v>
      </c>
      <c r="BG43" s="66" t="n">
        <v>31</v>
      </c>
      <c r="HZ43" s="442" t="n">
        <f aca="false">B45</f>
        <v>37653</v>
      </c>
      <c r="IA43" s="418" t="n">
        <v>33</v>
      </c>
    </row>
    <row r="44" customFormat="false" ht="12.75" hidden="false" customHeight="false" outlineLevel="0" collapsed="false">
      <c r="A44" s="470"/>
      <c r="B44" s="419" t="n">
        <f aca="false">EOMONTH(B43,0)+1</f>
        <v>37622</v>
      </c>
      <c r="C44" s="420" t="n">
        <v>3.497</v>
      </c>
      <c r="D44" s="420" t="n">
        <v>0.2825</v>
      </c>
      <c r="E44" s="420" t="n">
        <v>0.069501922465244</v>
      </c>
      <c r="F44" s="420" t="n">
        <v>-0.13</v>
      </c>
      <c r="G44" s="420" t="n">
        <v>-0.0575</v>
      </c>
      <c r="H44" s="420" t="n">
        <v>-0.13</v>
      </c>
      <c r="I44" s="420" t="n">
        <v>0.145</v>
      </c>
      <c r="J44" s="420" t="n">
        <v>0.305</v>
      </c>
      <c r="K44" s="420" t="n">
        <v>0.4375</v>
      </c>
      <c r="L44" s="420" t="n">
        <v>-0.083</v>
      </c>
      <c r="M44" s="420" t="n">
        <v>-0.0185</v>
      </c>
      <c r="N44" s="420" t="n">
        <v>-0.295</v>
      </c>
      <c r="O44" s="420" t="n">
        <v>0.13</v>
      </c>
      <c r="P44" s="420" t="n">
        <v>0.0125</v>
      </c>
      <c r="Q44" s="420" t="n">
        <v>-0.0155</v>
      </c>
      <c r="R44" s="418" t="n">
        <v>-0.0255</v>
      </c>
      <c r="S44" s="418" t="n">
        <v>-0.06</v>
      </c>
      <c r="T44" s="418" t="n">
        <v>0.0175</v>
      </c>
      <c r="U44" s="418" t="n">
        <v>-0.04</v>
      </c>
      <c r="V44" s="418" t="n">
        <v>-0.1475</v>
      </c>
      <c r="W44" s="418" t="n">
        <v>-0.135</v>
      </c>
      <c r="X44" s="418" t="n">
        <v>1.48</v>
      </c>
      <c r="Y44" s="418" t="n">
        <v>0.005</v>
      </c>
      <c r="Z44" s="418" t="n">
        <v>-0.2</v>
      </c>
      <c r="AA44" s="418" t="n">
        <v>-0.0255</v>
      </c>
      <c r="AB44" s="437" t="n">
        <v>-0.435</v>
      </c>
      <c r="AC44" s="437" t="n">
        <v>0.97</v>
      </c>
      <c r="AD44" s="437" t="n">
        <v>0.24</v>
      </c>
      <c r="AE44" s="438" t="n">
        <v>0.283</v>
      </c>
      <c r="AF44" s="438" t="n">
        <v>0.283</v>
      </c>
      <c r="AG44" s="438" t="n">
        <v>0.311</v>
      </c>
      <c r="AH44" s="438" t="n">
        <v>0.283</v>
      </c>
      <c r="AI44" s="438" t="n">
        <v>0.288</v>
      </c>
      <c r="AJ44" s="438" t="n">
        <v>0.283</v>
      </c>
      <c r="AK44" s="438" t="n">
        <v>0.283</v>
      </c>
      <c r="AL44" s="438" t="n">
        <v>0.283</v>
      </c>
      <c r="AM44" s="438" t="n">
        <v>0.283</v>
      </c>
      <c r="AN44" s="438" t="n">
        <v>0.283</v>
      </c>
      <c r="AO44" s="438" t="n">
        <v>0.283</v>
      </c>
      <c r="AP44" s="439" t="n">
        <v>0.283</v>
      </c>
      <c r="AQ44" s="439" t="n">
        <v>0.283</v>
      </c>
      <c r="AR44" s="439" t="n">
        <v>0.283</v>
      </c>
      <c r="AS44" s="439" t="n">
        <v>0.283</v>
      </c>
      <c r="AT44" s="438" t="n">
        <v>0.283</v>
      </c>
      <c r="AU44" s="438" t="n">
        <v>0.283</v>
      </c>
      <c r="AV44" s="438" t="n">
        <v>0.311</v>
      </c>
      <c r="AW44" s="440" t="n">
        <v>0.069226802546413</v>
      </c>
      <c r="AX44" s="440"/>
      <c r="AY44" s="437" t="n">
        <f aca="false">AG44</f>
        <v>0.311</v>
      </c>
      <c r="AZ44" s="437" t="n">
        <f aca="false">AG44</f>
        <v>0.311</v>
      </c>
      <c r="BA44" s="441" t="n">
        <f aca="false">AG44</f>
        <v>0.311</v>
      </c>
      <c r="BB44" s="442" t="n">
        <f aca="false">B44</f>
        <v>37622</v>
      </c>
      <c r="BC44" s="442" t="n">
        <v>0.850732337524149</v>
      </c>
      <c r="BD44" s="418" t="n">
        <v>0.850892082434095</v>
      </c>
      <c r="BF44" s="455" t="n">
        <v>37622</v>
      </c>
      <c r="BG44" s="66" t="n">
        <v>32</v>
      </c>
      <c r="HZ44" s="442" t="n">
        <f aca="false">B46</f>
        <v>37681</v>
      </c>
      <c r="IA44" s="418" t="n">
        <v>34</v>
      </c>
    </row>
    <row r="45" customFormat="false" ht="12.75" hidden="false" customHeight="false" outlineLevel="0" collapsed="false">
      <c r="A45" s="470"/>
      <c r="B45" s="419" t="n">
        <f aca="false">EOMONTH(B44,0)+1</f>
        <v>37653</v>
      </c>
      <c r="C45" s="420" t="n">
        <v>3.355</v>
      </c>
      <c r="D45" s="420" t="n">
        <v>0.2825</v>
      </c>
      <c r="E45" s="420" t="n">
        <v>0.06951065309818</v>
      </c>
      <c r="F45" s="420" t="n">
        <v>-0.1325</v>
      </c>
      <c r="G45" s="420" t="n">
        <v>-0.04</v>
      </c>
      <c r="H45" s="420" t="n">
        <v>-0.1325</v>
      </c>
      <c r="I45" s="420" t="n">
        <v>0.1225</v>
      </c>
      <c r="J45" s="420" t="n">
        <v>0.305</v>
      </c>
      <c r="K45" s="420" t="n">
        <v>0.435</v>
      </c>
      <c r="L45" s="420" t="n">
        <v>-0.083</v>
      </c>
      <c r="M45" s="420" t="n">
        <v>-0.0185</v>
      </c>
      <c r="N45" s="420" t="n">
        <v>-0.295</v>
      </c>
      <c r="O45" s="420" t="n">
        <v>0</v>
      </c>
      <c r="P45" s="420" t="n">
        <v>0.0125</v>
      </c>
      <c r="Q45" s="420" t="n">
        <v>-0.0155</v>
      </c>
      <c r="R45" s="418" t="n">
        <v>-0.0255</v>
      </c>
      <c r="S45" s="418" t="n">
        <v>-0.06</v>
      </c>
      <c r="T45" s="418" t="n">
        <v>0.0175</v>
      </c>
      <c r="U45" s="418" t="n">
        <v>-0.04</v>
      </c>
      <c r="V45" s="418" t="n">
        <v>-0.13</v>
      </c>
      <c r="W45" s="418" t="n">
        <v>-0.135</v>
      </c>
      <c r="X45" s="418" t="n">
        <v>1.41</v>
      </c>
      <c r="Y45" s="418" t="n">
        <v>0.005</v>
      </c>
      <c r="Z45" s="418" t="n">
        <v>-0.2</v>
      </c>
      <c r="AA45" s="418" t="n">
        <v>-0.0255</v>
      </c>
      <c r="AB45" s="437" t="n">
        <v>-0.435</v>
      </c>
      <c r="AC45" s="437" t="n">
        <v>0.97</v>
      </c>
      <c r="AD45" s="437" t="n">
        <v>0.2175</v>
      </c>
      <c r="AE45" s="438" t="n">
        <v>0.283</v>
      </c>
      <c r="AF45" s="438" t="n">
        <v>0.283</v>
      </c>
      <c r="AG45" s="438" t="n">
        <v>0.311</v>
      </c>
      <c r="AH45" s="438" t="n">
        <v>0.283</v>
      </c>
      <c r="AI45" s="438" t="n">
        <v>0.288</v>
      </c>
      <c r="AJ45" s="438" t="n">
        <v>0.283</v>
      </c>
      <c r="AK45" s="438" t="n">
        <v>0.283</v>
      </c>
      <c r="AL45" s="438" t="n">
        <v>0.283</v>
      </c>
      <c r="AM45" s="438" t="n">
        <v>0.283</v>
      </c>
      <c r="AN45" s="438" t="n">
        <v>0.283</v>
      </c>
      <c r="AO45" s="438" t="n">
        <v>0.283</v>
      </c>
      <c r="AP45" s="439" t="n">
        <v>0.283</v>
      </c>
      <c r="AQ45" s="439" t="n">
        <v>0.283</v>
      </c>
      <c r="AR45" s="439" t="n">
        <v>0.283</v>
      </c>
      <c r="AS45" s="439" t="n">
        <v>0.283</v>
      </c>
      <c r="AT45" s="438" t="n">
        <v>0.283</v>
      </c>
      <c r="AU45" s="438" t="n">
        <v>0.283</v>
      </c>
      <c r="AV45" s="438" t="n">
        <v>0.311</v>
      </c>
      <c r="AW45" s="440" t="n">
        <v>0.069232591132706</v>
      </c>
      <c r="AX45" s="440"/>
      <c r="AY45" s="437" t="n">
        <f aca="false">AG45</f>
        <v>0.311</v>
      </c>
      <c r="AZ45" s="437" t="n">
        <f aca="false">AG45</f>
        <v>0.311</v>
      </c>
      <c r="BA45" s="441" t="n">
        <f aca="false">AG45</f>
        <v>0.311</v>
      </c>
      <c r="BB45" s="442" t="n">
        <f aca="false">B45</f>
        <v>37653</v>
      </c>
      <c r="BC45" s="442" t="n">
        <v>0.845771339943154</v>
      </c>
      <c r="BD45" s="418" t="n">
        <v>0.845930179942816</v>
      </c>
      <c r="BF45" s="455" t="n">
        <v>37653</v>
      </c>
      <c r="BG45" s="66" t="n">
        <v>33</v>
      </c>
      <c r="HZ45" s="442" t="n">
        <f aca="false">B47</f>
        <v>37712</v>
      </c>
      <c r="IA45" s="418" t="n">
        <v>35</v>
      </c>
    </row>
    <row r="46" customFormat="false" ht="12.75" hidden="false" customHeight="false" outlineLevel="0" collapsed="false">
      <c r="A46" s="470"/>
      <c r="B46" s="419" t="n">
        <f aca="false">EOMONTH(B45,0)+1</f>
        <v>37681</v>
      </c>
      <c r="C46" s="420" t="n">
        <v>3.185</v>
      </c>
      <c r="D46" s="420" t="n">
        <v>0.2725</v>
      </c>
      <c r="E46" s="420" t="n">
        <v>0.069518538831175</v>
      </c>
      <c r="F46" s="420" t="n">
        <v>-0.135</v>
      </c>
      <c r="G46" s="420" t="n">
        <v>-0.0275</v>
      </c>
      <c r="H46" s="420" t="n">
        <v>-0.135</v>
      </c>
      <c r="I46" s="420" t="n">
        <v>0.12</v>
      </c>
      <c r="J46" s="420" t="n">
        <v>0.265</v>
      </c>
      <c r="K46" s="420" t="n">
        <v>0.3025</v>
      </c>
      <c r="L46" s="420" t="n">
        <v>-0.083</v>
      </c>
      <c r="M46" s="420" t="n">
        <v>-0.0185</v>
      </c>
      <c r="N46" s="420" t="n">
        <v>-0.295</v>
      </c>
      <c r="O46" s="420" t="n">
        <v>-0.2</v>
      </c>
      <c r="P46" s="420" t="n">
        <v>0.0125</v>
      </c>
      <c r="Q46" s="420" t="n">
        <v>-0.0155</v>
      </c>
      <c r="R46" s="418" t="n">
        <v>-0.0255</v>
      </c>
      <c r="S46" s="418" t="n">
        <v>-0.06</v>
      </c>
      <c r="T46" s="418" t="n">
        <v>0.0175</v>
      </c>
      <c r="U46" s="418" t="n">
        <v>-0.04</v>
      </c>
      <c r="V46" s="418" t="n">
        <v>-0.1125</v>
      </c>
      <c r="W46" s="418" t="n">
        <v>-0.14</v>
      </c>
      <c r="X46" s="418" t="n">
        <v>0.82</v>
      </c>
      <c r="Y46" s="418" t="n">
        <v>0.005</v>
      </c>
      <c r="Z46" s="418" t="n">
        <v>-0.2</v>
      </c>
      <c r="AA46" s="418" t="n">
        <v>-0.0255</v>
      </c>
      <c r="AB46" s="437" t="n">
        <v>-0.435</v>
      </c>
      <c r="AC46" s="437" t="n">
        <v>0.6325</v>
      </c>
      <c r="AD46" s="437" t="n">
        <v>0.215</v>
      </c>
      <c r="AE46" s="438" t="n">
        <v>0.273</v>
      </c>
      <c r="AF46" s="438" t="n">
        <v>0.273</v>
      </c>
      <c r="AG46" s="438" t="n">
        <v>0.3</v>
      </c>
      <c r="AH46" s="438" t="n">
        <v>0.273</v>
      </c>
      <c r="AI46" s="438" t="n">
        <v>0.278</v>
      </c>
      <c r="AJ46" s="438" t="n">
        <v>0.273</v>
      </c>
      <c r="AK46" s="438" t="n">
        <v>0.273</v>
      </c>
      <c r="AL46" s="438" t="n">
        <v>0.273</v>
      </c>
      <c r="AM46" s="438" t="n">
        <v>0.273</v>
      </c>
      <c r="AN46" s="438" t="n">
        <v>0.273</v>
      </c>
      <c r="AO46" s="438" t="n">
        <v>0.273</v>
      </c>
      <c r="AP46" s="439" t="n">
        <v>0.273</v>
      </c>
      <c r="AQ46" s="439" t="n">
        <v>0.273</v>
      </c>
      <c r="AR46" s="439" t="n">
        <v>0.273</v>
      </c>
      <c r="AS46" s="439" t="n">
        <v>0.273</v>
      </c>
      <c r="AT46" s="438" t="n">
        <v>0.273</v>
      </c>
      <c r="AU46" s="438" t="n">
        <v>0.273</v>
      </c>
      <c r="AV46" s="438" t="n">
        <v>0.3</v>
      </c>
      <c r="AW46" s="440" t="n">
        <v>0.069237819533238</v>
      </c>
      <c r="AX46" s="440"/>
      <c r="AY46" s="437" t="n">
        <f aca="false">AG46</f>
        <v>0.3</v>
      </c>
      <c r="AZ46" s="437" t="n">
        <f aca="false">AG46</f>
        <v>0.3</v>
      </c>
      <c r="BA46" s="441" t="n">
        <f aca="false">AG46</f>
        <v>0.3</v>
      </c>
      <c r="BB46" s="442" t="n">
        <f aca="false">B46</f>
        <v>37681</v>
      </c>
      <c r="BC46" s="442" t="n">
        <v>0.841313897923763</v>
      </c>
      <c r="BD46" s="418" t="n">
        <v>0.84147192472281</v>
      </c>
      <c r="BF46" s="455" t="n">
        <v>37681</v>
      </c>
      <c r="BG46" s="66" t="n">
        <v>34</v>
      </c>
      <c r="HZ46" s="442" t="n">
        <f aca="false">B48</f>
        <v>37742</v>
      </c>
      <c r="IA46" s="418" t="n">
        <v>36</v>
      </c>
    </row>
    <row r="47" customFormat="false" ht="12.75" hidden="false" customHeight="false" outlineLevel="0" collapsed="false">
      <c r="A47" s="470"/>
      <c r="B47" s="419" t="n">
        <f aca="false">EOMONTH(B46,0)+1</f>
        <v>37712</v>
      </c>
      <c r="C47" s="420" t="n">
        <v>3.007</v>
      </c>
      <c r="D47" s="420" t="n">
        <v>0.2625</v>
      </c>
      <c r="E47" s="420" t="n">
        <v>0.069517808408011</v>
      </c>
      <c r="F47" s="420" t="n">
        <v>-0.185</v>
      </c>
      <c r="G47" s="420" t="n">
        <v>0.015</v>
      </c>
      <c r="H47" s="420" t="n">
        <v>-0.185</v>
      </c>
      <c r="I47" s="420" t="n">
        <v>0.07</v>
      </c>
      <c r="J47" s="420" t="n">
        <v>0.195</v>
      </c>
      <c r="K47" s="420" t="n">
        <v>0.25</v>
      </c>
      <c r="L47" s="420" t="n">
        <v>-0.076</v>
      </c>
      <c r="M47" s="420" t="n">
        <v>-0.026</v>
      </c>
      <c r="N47" s="420" t="n">
        <v>-0.36</v>
      </c>
      <c r="O47" s="420" t="n">
        <v>-0.34</v>
      </c>
      <c r="P47" s="420" t="n">
        <v>0.006</v>
      </c>
      <c r="Q47" s="420" t="n">
        <v>-0.0055</v>
      </c>
      <c r="R47" s="418" t="n">
        <v>-0.025</v>
      </c>
      <c r="S47" s="418" t="n">
        <v>-0.0575</v>
      </c>
      <c r="T47" s="418" t="n">
        <v>-0.065</v>
      </c>
      <c r="U47" s="418" t="n">
        <v>-0.02</v>
      </c>
      <c r="V47" s="418" t="n">
        <v>-0.105</v>
      </c>
      <c r="W47" s="418" t="n">
        <v>-0.125</v>
      </c>
      <c r="X47" s="418" t="n">
        <v>0.45</v>
      </c>
      <c r="Y47" s="418" t="n">
        <v>0.005</v>
      </c>
      <c r="Z47" s="418" t="n">
        <v>-0.205</v>
      </c>
      <c r="AA47" s="418" t="n">
        <v>-0.023</v>
      </c>
      <c r="AB47" s="437" t="n">
        <v>0.295</v>
      </c>
      <c r="AC47" s="437" t="n">
        <v>0.355</v>
      </c>
      <c r="AD47" s="437" t="n">
        <v>0.165</v>
      </c>
      <c r="AE47" s="438" t="n">
        <v>0.263</v>
      </c>
      <c r="AF47" s="438" t="n">
        <v>0.263</v>
      </c>
      <c r="AG47" s="438" t="n">
        <v>0.257</v>
      </c>
      <c r="AH47" s="438" t="n">
        <v>0.263</v>
      </c>
      <c r="AI47" s="438" t="n">
        <v>0.268</v>
      </c>
      <c r="AJ47" s="438" t="n">
        <v>0.263</v>
      </c>
      <c r="AK47" s="438" t="n">
        <v>0.257</v>
      </c>
      <c r="AL47" s="438" t="n">
        <v>0.257</v>
      </c>
      <c r="AM47" s="438" t="n">
        <v>0.263</v>
      </c>
      <c r="AN47" s="438" t="n">
        <v>0.263</v>
      </c>
      <c r="AO47" s="438" t="n">
        <v>0.263</v>
      </c>
      <c r="AP47" s="439" t="n">
        <v>0.263</v>
      </c>
      <c r="AQ47" s="439" t="n">
        <v>0.263</v>
      </c>
      <c r="AR47" s="439" t="n">
        <v>0.263</v>
      </c>
      <c r="AS47" s="439" t="n">
        <v>0.263</v>
      </c>
      <c r="AT47" s="438" t="n">
        <v>0.263</v>
      </c>
      <c r="AU47" s="438" t="n">
        <v>0.263</v>
      </c>
      <c r="AV47" s="438" t="n">
        <v>0.257</v>
      </c>
      <c r="AW47" s="440" t="n">
        <v>0.069235120641373</v>
      </c>
      <c r="AX47" s="440"/>
      <c r="AY47" s="437" t="n">
        <f aca="false">AG47</f>
        <v>0.257</v>
      </c>
      <c r="AZ47" s="437" t="n">
        <f aca="false">AG47</f>
        <v>0.257</v>
      </c>
      <c r="BA47" s="441" t="n">
        <f aca="false">AG47</f>
        <v>0.257</v>
      </c>
      <c r="BB47" s="442" t="n">
        <f aca="false">B47</f>
        <v>37712</v>
      </c>
      <c r="BC47" s="442" t="n">
        <v>0.836419046944287</v>
      </c>
      <c r="BD47" s="418" t="n">
        <v>0.836576165593586</v>
      </c>
      <c r="BF47" s="455" t="n">
        <v>37712</v>
      </c>
      <c r="BG47" s="66" t="n">
        <v>35</v>
      </c>
      <c r="HZ47" s="442" t="n">
        <f aca="false">B49</f>
        <v>37773</v>
      </c>
      <c r="IA47" s="418" t="n">
        <v>37</v>
      </c>
    </row>
    <row r="48" customFormat="false" ht="12.75" hidden="false" customHeight="false" outlineLevel="0" collapsed="false">
      <c r="A48" s="470"/>
      <c r="B48" s="419" t="n">
        <f aca="false">EOMONTH(B47,0)+1</f>
        <v>37742</v>
      </c>
      <c r="C48" s="420" t="n">
        <v>2.995</v>
      </c>
      <c r="D48" s="420" t="n">
        <v>0.2575</v>
      </c>
      <c r="E48" s="420" t="n">
        <v>0.069504716741151</v>
      </c>
      <c r="F48" s="420" t="n">
        <v>-0.185</v>
      </c>
      <c r="G48" s="420" t="n">
        <v>0.015</v>
      </c>
      <c r="H48" s="420" t="n">
        <v>-0.185</v>
      </c>
      <c r="I48" s="420" t="n">
        <v>0.06</v>
      </c>
      <c r="J48" s="420" t="n">
        <v>0.1825</v>
      </c>
      <c r="K48" s="420" t="n">
        <v>0.2025</v>
      </c>
      <c r="L48" s="420" t="n">
        <v>-0.076</v>
      </c>
      <c r="M48" s="420" t="n">
        <v>-0.026</v>
      </c>
      <c r="N48" s="420" t="n">
        <v>-0.36</v>
      </c>
      <c r="O48" s="420" t="n">
        <v>-0.34</v>
      </c>
      <c r="P48" s="420" t="n">
        <v>0.006</v>
      </c>
      <c r="Q48" s="420" t="n">
        <v>-0.0055</v>
      </c>
      <c r="R48" s="418" t="n">
        <v>-0.025</v>
      </c>
      <c r="S48" s="418" t="n">
        <v>-0.0575</v>
      </c>
      <c r="T48" s="418" t="n">
        <v>-0.08</v>
      </c>
      <c r="U48" s="418" t="n">
        <v>-0.02025</v>
      </c>
      <c r="V48" s="418" t="n">
        <v>-0.105</v>
      </c>
      <c r="W48" s="418" t="n">
        <v>-0.125</v>
      </c>
      <c r="X48" s="418" t="n">
        <v>0.405</v>
      </c>
      <c r="Y48" s="418" t="n">
        <v>0.005</v>
      </c>
      <c r="Z48" s="418" t="n">
        <v>-0.205</v>
      </c>
      <c r="AA48" s="418" t="n">
        <v>-0.023</v>
      </c>
      <c r="AB48" s="437" t="n">
        <v>0.295</v>
      </c>
      <c r="AC48" s="437" t="n">
        <v>0.2875</v>
      </c>
      <c r="AD48" s="437" t="n">
        <v>0.155</v>
      </c>
      <c r="AE48" s="438" t="n">
        <v>0.258</v>
      </c>
      <c r="AF48" s="438" t="n">
        <v>0.258</v>
      </c>
      <c r="AG48" s="438" t="n">
        <v>0.252</v>
      </c>
      <c r="AH48" s="438" t="n">
        <v>0.258</v>
      </c>
      <c r="AI48" s="438" t="n">
        <v>0.263</v>
      </c>
      <c r="AJ48" s="438" t="n">
        <v>0.258</v>
      </c>
      <c r="AK48" s="438" t="n">
        <v>0.252</v>
      </c>
      <c r="AL48" s="438" t="n">
        <v>0.252</v>
      </c>
      <c r="AM48" s="438" t="n">
        <v>0.258</v>
      </c>
      <c r="AN48" s="438" t="n">
        <v>0.258</v>
      </c>
      <c r="AO48" s="438" t="n">
        <v>0.258</v>
      </c>
      <c r="AP48" s="439" t="n">
        <v>0.258</v>
      </c>
      <c r="AQ48" s="439" t="n">
        <v>0.258</v>
      </c>
      <c r="AR48" s="439" t="n">
        <v>0.258</v>
      </c>
      <c r="AS48" s="439" t="n">
        <v>0.258</v>
      </c>
      <c r="AT48" s="438" t="n">
        <v>0.258</v>
      </c>
      <c r="AU48" s="438" t="n">
        <v>0.258</v>
      </c>
      <c r="AV48" s="438" t="n">
        <v>0.252</v>
      </c>
      <c r="AW48" s="440" t="n">
        <v>0.069221292115571</v>
      </c>
      <c r="AX48" s="440"/>
      <c r="AY48" s="437" t="n">
        <f aca="false">AG48</f>
        <v>0.252</v>
      </c>
      <c r="AZ48" s="437" t="n">
        <f aca="false">AG48</f>
        <v>0.252</v>
      </c>
      <c r="BA48" s="441" t="n">
        <f aca="false">AG48</f>
        <v>0.252</v>
      </c>
      <c r="BB48" s="442" t="n">
        <f aca="false">B48</f>
        <v>37742</v>
      </c>
      <c r="BC48" s="442" t="n">
        <v>0.831728720660272</v>
      </c>
      <c r="BD48" s="418" t="n">
        <v>0.831884948523627</v>
      </c>
      <c r="BF48" s="455" t="n">
        <v>37742</v>
      </c>
      <c r="BG48" s="66" t="n">
        <v>36</v>
      </c>
      <c r="HZ48" s="442" t="n">
        <f aca="false">B50</f>
        <v>37803</v>
      </c>
      <c r="IA48" s="418" t="n">
        <v>38</v>
      </c>
    </row>
    <row r="49" customFormat="false" ht="12.75" hidden="false" customHeight="false" outlineLevel="0" collapsed="false">
      <c r="A49" s="470"/>
      <c r="B49" s="419" t="n">
        <f aca="false">EOMONTH(B48,0)+1</f>
        <v>37773</v>
      </c>
      <c r="C49" s="420" t="n">
        <v>3.015</v>
      </c>
      <c r="D49" s="420" t="n">
        <v>0.255</v>
      </c>
      <c r="E49" s="420" t="n">
        <v>0.069491188685456</v>
      </c>
      <c r="F49" s="420" t="n">
        <v>-0.185</v>
      </c>
      <c r="G49" s="420" t="n">
        <v>0.02</v>
      </c>
      <c r="H49" s="420" t="n">
        <v>-0.185</v>
      </c>
      <c r="I49" s="420" t="n">
        <v>0.055</v>
      </c>
      <c r="J49" s="420" t="n">
        <v>0.1825</v>
      </c>
      <c r="K49" s="420" t="n">
        <v>0.2025</v>
      </c>
      <c r="L49" s="420" t="n">
        <v>-0.092</v>
      </c>
      <c r="M49" s="420" t="n">
        <v>-0.026</v>
      </c>
      <c r="N49" s="420" t="n">
        <v>-0.36</v>
      </c>
      <c r="O49" s="420" t="n">
        <v>-0.34</v>
      </c>
      <c r="P49" s="420" t="n">
        <v>0.006</v>
      </c>
      <c r="Q49" s="420" t="n">
        <v>-0.0055</v>
      </c>
      <c r="R49" s="418" t="n">
        <v>-0.025</v>
      </c>
      <c r="S49" s="418" t="n">
        <v>-0.0575</v>
      </c>
      <c r="T49" s="418" t="n">
        <v>-0.09</v>
      </c>
      <c r="U49" s="418" t="n">
        <v>-0.02025</v>
      </c>
      <c r="V49" s="418" t="n">
        <v>-0.095</v>
      </c>
      <c r="W49" s="418" t="n">
        <v>-0.125</v>
      </c>
      <c r="X49" s="418" t="n">
        <v>0.395</v>
      </c>
      <c r="Y49" s="418" t="n">
        <v>0.005</v>
      </c>
      <c r="Z49" s="418" t="n">
        <v>-0.205</v>
      </c>
      <c r="AA49" s="418" t="n">
        <v>-0.023</v>
      </c>
      <c r="AB49" s="437" t="n">
        <v>0.295</v>
      </c>
      <c r="AC49" s="437" t="n">
        <v>0.2875</v>
      </c>
      <c r="AD49" s="437" t="n">
        <v>0.15</v>
      </c>
      <c r="AE49" s="438" t="n">
        <v>0.255</v>
      </c>
      <c r="AF49" s="438" t="n">
        <v>0.255</v>
      </c>
      <c r="AG49" s="438" t="n">
        <v>0.25</v>
      </c>
      <c r="AH49" s="438" t="n">
        <v>0.255</v>
      </c>
      <c r="AI49" s="438" t="n">
        <v>0.26</v>
      </c>
      <c r="AJ49" s="438" t="n">
        <v>0.255</v>
      </c>
      <c r="AK49" s="438" t="n">
        <v>0.25</v>
      </c>
      <c r="AL49" s="438" t="n">
        <v>0.25</v>
      </c>
      <c r="AM49" s="438" t="n">
        <v>0.255</v>
      </c>
      <c r="AN49" s="438" t="n">
        <v>0.255</v>
      </c>
      <c r="AO49" s="438" t="n">
        <v>0.255</v>
      </c>
      <c r="AP49" s="439" t="n">
        <v>0.255</v>
      </c>
      <c r="AQ49" s="439" t="n">
        <v>0.255</v>
      </c>
      <c r="AR49" s="439" t="n">
        <v>0.255</v>
      </c>
      <c r="AS49" s="439" t="n">
        <v>0.255</v>
      </c>
      <c r="AT49" s="438" t="n">
        <v>0.255</v>
      </c>
      <c r="AU49" s="438" t="n">
        <v>0.255</v>
      </c>
      <c r="AV49" s="438" t="n">
        <v>0.25</v>
      </c>
      <c r="AW49" s="440" t="n">
        <v>0.069207002638976</v>
      </c>
      <c r="AX49" s="440"/>
      <c r="AY49" s="437" t="n">
        <f aca="false">AG49</f>
        <v>0.25</v>
      </c>
      <c r="AZ49" s="437" t="n">
        <f aca="false">AG49</f>
        <v>0.25</v>
      </c>
      <c r="BA49" s="441" t="n">
        <f aca="false">AG49</f>
        <v>0.25</v>
      </c>
      <c r="BB49" s="442" t="n">
        <f aca="false">B49</f>
        <v>37773</v>
      </c>
      <c r="BC49" s="442" t="n">
        <v>0.826910288973758</v>
      </c>
      <c r="BD49" s="418" t="n">
        <v>0.827065601777388</v>
      </c>
      <c r="BF49" s="455" t="n">
        <v>37773</v>
      </c>
      <c r="BG49" s="66" t="n">
        <v>37</v>
      </c>
      <c r="HZ49" s="442" t="n">
        <f aca="false">B51</f>
        <v>37834</v>
      </c>
      <c r="IA49" s="418" t="n">
        <v>39</v>
      </c>
    </row>
    <row r="50" customFormat="false" ht="12.75" hidden="false" customHeight="false" outlineLevel="0" collapsed="false">
      <c r="A50" s="470"/>
      <c r="B50" s="419" t="n">
        <f aca="false">EOMONTH(B49,0)+1</f>
        <v>37803</v>
      </c>
      <c r="C50" s="420" t="n">
        <v>3.037</v>
      </c>
      <c r="D50" s="420" t="n">
        <v>0.255</v>
      </c>
      <c r="E50" s="420" t="n">
        <v>0.069478647267651</v>
      </c>
      <c r="F50" s="420" t="n">
        <v>-0.185</v>
      </c>
      <c r="G50" s="420" t="n">
        <v>0.0225</v>
      </c>
      <c r="H50" s="420" t="n">
        <v>-0.185</v>
      </c>
      <c r="I50" s="420" t="n">
        <v>0.045</v>
      </c>
      <c r="J50" s="420" t="n">
        <v>0.1825</v>
      </c>
      <c r="K50" s="420" t="n">
        <v>0.215</v>
      </c>
      <c r="L50" s="420" t="n">
        <v>-0.085</v>
      </c>
      <c r="M50" s="420" t="n">
        <v>-0.026</v>
      </c>
      <c r="N50" s="420" t="n">
        <v>-0.36</v>
      </c>
      <c r="O50" s="420" t="n">
        <v>-0.34</v>
      </c>
      <c r="P50" s="420" t="n">
        <v>0.006</v>
      </c>
      <c r="Q50" s="420" t="n">
        <v>-0.0055</v>
      </c>
      <c r="R50" s="418" t="n">
        <v>-0.025</v>
      </c>
      <c r="S50" s="418" t="n">
        <v>-0.0575</v>
      </c>
      <c r="T50" s="418" t="n">
        <v>-0.09</v>
      </c>
      <c r="U50" s="418" t="n">
        <v>-0.02025</v>
      </c>
      <c r="V50" s="418" t="n">
        <v>-0.09</v>
      </c>
      <c r="W50" s="418" t="n">
        <v>-0.125</v>
      </c>
      <c r="X50" s="418" t="n">
        <v>0.43</v>
      </c>
      <c r="Y50" s="418" t="n">
        <v>0.005</v>
      </c>
      <c r="Z50" s="418" t="n">
        <v>-0.205</v>
      </c>
      <c r="AA50" s="418" t="n">
        <v>-0.023</v>
      </c>
      <c r="AB50" s="437" t="n">
        <v>0.295</v>
      </c>
      <c r="AC50" s="437" t="n">
        <v>0.3</v>
      </c>
      <c r="AD50" s="437" t="n">
        <v>0.14</v>
      </c>
      <c r="AE50" s="438" t="n">
        <v>0.255</v>
      </c>
      <c r="AF50" s="438" t="n">
        <v>0.255</v>
      </c>
      <c r="AG50" s="438" t="n">
        <v>0.25</v>
      </c>
      <c r="AH50" s="438" t="n">
        <v>0.255</v>
      </c>
      <c r="AI50" s="438" t="n">
        <v>0.26</v>
      </c>
      <c r="AJ50" s="438" t="n">
        <v>0.255</v>
      </c>
      <c r="AK50" s="438" t="n">
        <v>0.25</v>
      </c>
      <c r="AL50" s="438" t="n">
        <v>0.25</v>
      </c>
      <c r="AM50" s="438" t="n">
        <v>0.255</v>
      </c>
      <c r="AN50" s="438" t="n">
        <v>0.255</v>
      </c>
      <c r="AO50" s="438" t="n">
        <v>0.255</v>
      </c>
      <c r="AP50" s="439" t="n">
        <v>0.255</v>
      </c>
      <c r="AQ50" s="439" t="n">
        <v>0.255</v>
      </c>
      <c r="AR50" s="439" t="n">
        <v>0.255</v>
      </c>
      <c r="AS50" s="439" t="n">
        <v>0.255</v>
      </c>
      <c r="AT50" s="438" t="n">
        <v>0.255</v>
      </c>
      <c r="AU50" s="438" t="n">
        <v>0.255</v>
      </c>
      <c r="AV50" s="438" t="n">
        <v>0.25</v>
      </c>
      <c r="AW50" s="440" t="n">
        <v>0.069194353161541</v>
      </c>
      <c r="AX50" s="440"/>
      <c r="AY50" s="437" t="n">
        <f aca="false">AG50</f>
        <v>0.25</v>
      </c>
      <c r="AZ50" s="437" t="n">
        <f aca="false">AG50</f>
        <v>0.25</v>
      </c>
      <c r="BA50" s="441" t="n">
        <f aca="false">AG50</f>
        <v>0.25</v>
      </c>
      <c r="BB50" s="442" t="n">
        <f aca="false">B50</f>
        <v>37803</v>
      </c>
      <c r="BC50" s="442" t="n">
        <v>0.822278546968678</v>
      </c>
      <c r="BD50" s="418" t="n">
        <v>0.822432976285731</v>
      </c>
      <c r="BF50" s="455" t="n">
        <v>37803</v>
      </c>
      <c r="BG50" s="66" t="n">
        <v>38</v>
      </c>
      <c r="HZ50" s="442" t="n">
        <f aca="false">B52</f>
        <v>37865</v>
      </c>
      <c r="IA50" s="418" t="n">
        <v>40</v>
      </c>
    </row>
    <row r="51" customFormat="false" ht="12.75" hidden="false" customHeight="false" outlineLevel="0" collapsed="false">
      <c r="A51" s="470"/>
      <c r="B51" s="419" t="n">
        <f aca="false">EOMONTH(B50,0)+1</f>
        <v>37834</v>
      </c>
      <c r="C51" s="420" t="n">
        <v>3.058</v>
      </c>
      <c r="D51" s="420" t="n">
        <v>0.255</v>
      </c>
      <c r="E51" s="420" t="n">
        <v>0.06946647893763</v>
      </c>
      <c r="F51" s="420" t="n">
        <v>-0.185</v>
      </c>
      <c r="G51" s="420" t="n">
        <v>0.025</v>
      </c>
      <c r="H51" s="420" t="n">
        <v>-0.185</v>
      </c>
      <c r="I51" s="420" t="n">
        <v>0.0425</v>
      </c>
      <c r="J51" s="420" t="n">
        <v>0.1825</v>
      </c>
      <c r="K51" s="420" t="n">
        <v>0.215</v>
      </c>
      <c r="L51" s="420" t="n">
        <v>-0.076</v>
      </c>
      <c r="M51" s="420" t="n">
        <v>-0.026</v>
      </c>
      <c r="N51" s="420" t="n">
        <v>-0.36</v>
      </c>
      <c r="O51" s="420" t="n">
        <v>-0.34</v>
      </c>
      <c r="P51" s="420" t="n">
        <v>0.006</v>
      </c>
      <c r="Q51" s="420" t="n">
        <v>-0.0055</v>
      </c>
      <c r="R51" s="418" t="n">
        <v>-0.025</v>
      </c>
      <c r="S51" s="418" t="n">
        <v>-0.0575</v>
      </c>
      <c r="T51" s="418" t="n">
        <v>-0.09</v>
      </c>
      <c r="U51" s="418" t="n">
        <v>-0.02025</v>
      </c>
      <c r="V51" s="418" t="n">
        <v>-0.09</v>
      </c>
      <c r="W51" s="418" t="n">
        <v>-0.125</v>
      </c>
      <c r="X51" s="418" t="n">
        <v>0.495</v>
      </c>
      <c r="Y51" s="418" t="n">
        <v>0.005</v>
      </c>
      <c r="Z51" s="418" t="n">
        <v>-0.205</v>
      </c>
      <c r="AA51" s="418" t="n">
        <v>-0.023</v>
      </c>
      <c r="AB51" s="437" t="n">
        <v>0.295</v>
      </c>
      <c r="AC51" s="437" t="n">
        <v>0.3</v>
      </c>
      <c r="AD51" s="437" t="n">
        <v>0.1375</v>
      </c>
      <c r="AE51" s="438" t="n">
        <v>0.255</v>
      </c>
      <c r="AF51" s="438" t="n">
        <v>0.255</v>
      </c>
      <c r="AG51" s="438" t="n">
        <v>0.25</v>
      </c>
      <c r="AH51" s="438" t="n">
        <v>0.255</v>
      </c>
      <c r="AI51" s="438" t="n">
        <v>0.26</v>
      </c>
      <c r="AJ51" s="438" t="n">
        <v>0.255</v>
      </c>
      <c r="AK51" s="438" t="n">
        <v>0.25</v>
      </c>
      <c r="AL51" s="438" t="n">
        <v>0.25</v>
      </c>
      <c r="AM51" s="438" t="n">
        <v>0.255</v>
      </c>
      <c r="AN51" s="438" t="n">
        <v>0.255</v>
      </c>
      <c r="AO51" s="438" t="n">
        <v>0.255</v>
      </c>
      <c r="AP51" s="439" t="n">
        <v>0.255</v>
      </c>
      <c r="AQ51" s="439" t="n">
        <v>0.255</v>
      </c>
      <c r="AR51" s="439" t="n">
        <v>0.255</v>
      </c>
      <c r="AS51" s="439" t="n">
        <v>0.255</v>
      </c>
      <c r="AT51" s="438" t="n">
        <v>0.255</v>
      </c>
      <c r="AU51" s="438" t="n">
        <v>0.255</v>
      </c>
      <c r="AV51" s="438" t="n">
        <v>0.25</v>
      </c>
      <c r="AW51" s="440" t="n">
        <v>0.069182977019876</v>
      </c>
      <c r="AX51" s="440"/>
      <c r="AY51" s="437" t="n">
        <f aca="false">AG51</f>
        <v>0.25</v>
      </c>
      <c r="AZ51" s="437" t="n">
        <f aca="false">AG51</f>
        <v>0.25</v>
      </c>
      <c r="BA51" s="441" t="n">
        <f aca="false">AG51</f>
        <v>0.25</v>
      </c>
      <c r="BB51" s="442" t="n">
        <f aca="false">B51</f>
        <v>37834</v>
      </c>
      <c r="BC51" s="442" t="n">
        <v>0.817526538770643</v>
      </c>
      <c r="BD51" s="418" t="n">
        <v>0.817680056105462</v>
      </c>
      <c r="BF51" s="455" t="n">
        <v>37834</v>
      </c>
      <c r="BG51" s="66" t="n">
        <v>39</v>
      </c>
      <c r="HZ51" s="442" t="n">
        <f aca="false">B53</f>
        <v>37895</v>
      </c>
      <c r="IA51" s="418" t="n">
        <v>41</v>
      </c>
    </row>
    <row r="52" customFormat="false" ht="12.75" hidden="false" customHeight="false" outlineLevel="0" collapsed="false">
      <c r="A52" s="470"/>
      <c r="B52" s="419" t="n">
        <f aca="false">EOMONTH(B51,0)+1</f>
        <v>37865</v>
      </c>
      <c r="C52" s="420" t="n">
        <v>3.041</v>
      </c>
      <c r="D52" s="420" t="n">
        <v>0.255</v>
      </c>
      <c r="E52" s="420" t="n">
        <v>0.069454310607658</v>
      </c>
      <c r="F52" s="420" t="n">
        <v>-0.185</v>
      </c>
      <c r="G52" s="420" t="n">
        <v>0.0175</v>
      </c>
      <c r="H52" s="420" t="n">
        <v>-0.185</v>
      </c>
      <c r="I52" s="420" t="n">
        <v>0.04</v>
      </c>
      <c r="J52" s="420" t="n">
        <v>0.1825</v>
      </c>
      <c r="K52" s="420" t="n">
        <v>0.195</v>
      </c>
      <c r="L52" s="420" t="n">
        <v>-0.056</v>
      </c>
      <c r="M52" s="420" t="n">
        <v>-0.026</v>
      </c>
      <c r="N52" s="420" t="n">
        <v>-0.36</v>
      </c>
      <c r="O52" s="420" t="n">
        <v>-0.34</v>
      </c>
      <c r="P52" s="420" t="n">
        <v>0.006</v>
      </c>
      <c r="Q52" s="420" t="n">
        <v>-0.0055</v>
      </c>
      <c r="R52" s="418" t="n">
        <v>-0.025</v>
      </c>
      <c r="S52" s="418" t="n">
        <v>-0.0575</v>
      </c>
      <c r="T52" s="418" t="n">
        <v>-0.08</v>
      </c>
      <c r="U52" s="418" t="n">
        <v>-0.02025</v>
      </c>
      <c r="V52" s="418" t="n">
        <v>-0.105</v>
      </c>
      <c r="W52" s="418" t="n">
        <v>-0.125</v>
      </c>
      <c r="X52" s="418" t="n">
        <v>0.395</v>
      </c>
      <c r="Y52" s="418" t="n">
        <v>0.005</v>
      </c>
      <c r="Z52" s="418" t="n">
        <v>-0.205</v>
      </c>
      <c r="AA52" s="418" t="n">
        <v>-0.023</v>
      </c>
      <c r="AB52" s="437" t="n">
        <v>0.295</v>
      </c>
      <c r="AC52" s="437" t="n">
        <v>0.29</v>
      </c>
      <c r="AD52" s="437" t="n">
        <v>0.135</v>
      </c>
      <c r="AE52" s="438" t="n">
        <v>0.255</v>
      </c>
      <c r="AF52" s="438" t="n">
        <v>0.255</v>
      </c>
      <c r="AG52" s="438" t="n">
        <v>0.25</v>
      </c>
      <c r="AH52" s="438" t="n">
        <v>0.255</v>
      </c>
      <c r="AI52" s="438" t="n">
        <v>0.26</v>
      </c>
      <c r="AJ52" s="438" t="n">
        <v>0.255</v>
      </c>
      <c r="AK52" s="438" t="n">
        <v>0.25</v>
      </c>
      <c r="AL52" s="438" t="n">
        <v>0.25</v>
      </c>
      <c r="AM52" s="438" t="n">
        <v>0.255</v>
      </c>
      <c r="AN52" s="438" t="n">
        <v>0.255</v>
      </c>
      <c r="AO52" s="438" t="n">
        <v>0.255</v>
      </c>
      <c r="AP52" s="439" t="n">
        <v>0.255</v>
      </c>
      <c r="AQ52" s="439" t="n">
        <v>0.255</v>
      </c>
      <c r="AR52" s="439" t="n">
        <v>0.255</v>
      </c>
      <c r="AS52" s="439" t="n">
        <v>0.255</v>
      </c>
      <c r="AT52" s="438" t="n">
        <v>0.255</v>
      </c>
      <c r="AU52" s="438" t="n">
        <v>0.255</v>
      </c>
      <c r="AV52" s="438" t="n">
        <v>0.25</v>
      </c>
      <c r="AW52" s="440" t="n">
        <v>0.069171600878253</v>
      </c>
      <c r="AX52" s="440"/>
      <c r="AY52" s="437" t="n">
        <f aca="false">AG52</f>
        <v>0.25</v>
      </c>
      <c r="AZ52" s="437" t="n">
        <f aca="false">AG52</f>
        <v>0.25</v>
      </c>
      <c r="BA52" s="441" t="n">
        <f aca="false">AG52</f>
        <v>0.25</v>
      </c>
      <c r="BB52" s="442" t="n">
        <f aca="false">B52</f>
        <v>37865</v>
      </c>
      <c r="BC52" s="442" t="n">
        <v>0.812803196129196</v>
      </c>
      <c r="BD52" s="418" t="n">
        <v>0.812955807090879</v>
      </c>
      <c r="BF52" s="455" t="n">
        <v>37865</v>
      </c>
      <c r="BG52" s="66" t="n">
        <v>40</v>
      </c>
      <c r="HZ52" s="442" t="n">
        <f aca="false">B54</f>
        <v>37926</v>
      </c>
      <c r="IA52" s="418" t="n">
        <v>42</v>
      </c>
    </row>
    <row r="53" customFormat="false" ht="12.75" hidden="false" customHeight="false" outlineLevel="0" collapsed="false">
      <c r="A53" s="470"/>
      <c r="B53" s="419" t="n">
        <f aca="false">EOMONTH(B52,0)+1</f>
        <v>37895</v>
      </c>
      <c r="C53" s="420" t="n">
        <v>3.056</v>
      </c>
      <c r="D53" s="420" t="n">
        <v>0.255</v>
      </c>
      <c r="E53" s="420" t="n">
        <v>0.069442592308781</v>
      </c>
      <c r="F53" s="420" t="n">
        <v>-0.185</v>
      </c>
      <c r="G53" s="420" t="n">
        <v>0.0075</v>
      </c>
      <c r="H53" s="420" t="n">
        <v>-0.185</v>
      </c>
      <c r="I53" s="420" t="n">
        <v>0.055</v>
      </c>
      <c r="J53" s="420" t="n">
        <v>0.1875</v>
      </c>
      <c r="K53" s="420" t="n">
        <v>0.215</v>
      </c>
      <c r="L53" s="420" t="n">
        <v>-0.066</v>
      </c>
      <c r="M53" s="420" t="n">
        <v>-0.026</v>
      </c>
      <c r="N53" s="420" t="n">
        <v>-0.36</v>
      </c>
      <c r="O53" s="420" t="n">
        <v>-0.34</v>
      </c>
      <c r="P53" s="420" t="n">
        <v>0.006</v>
      </c>
      <c r="Q53" s="420" t="n">
        <v>-0.0055</v>
      </c>
      <c r="R53" s="418" t="n">
        <v>-0.025</v>
      </c>
      <c r="S53" s="418" t="n">
        <v>-0.0575</v>
      </c>
      <c r="T53" s="418" t="n">
        <v>-0.065</v>
      </c>
      <c r="U53" s="418" t="n">
        <v>-0.02025</v>
      </c>
      <c r="V53" s="418" t="n">
        <v>-0.1075</v>
      </c>
      <c r="W53" s="418" t="n">
        <v>-0.125</v>
      </c>
      <c r="X53" s="418" t="n">
        <v>0.461</v>
      </c>
      <c r="Y53" s="418" t="n">
        <v>0.005</v>
      </c>
      <c r="Z53" s="418" t="n">
        <v>-0.205</v>
      </c>
      <c r="AA53" s="418" t="n">
        <v>-0.023</v>
      </c>
      <c r="AB53" s="437" t="n">
        <v>0.295</v>
      </c>
      <c r="AC53" s="437" t="n">
        <v>0.3625</v>
      </c>
      <c r="AD53" s="437" t="n">
        <v>0.15</v>
      </c>
      <c r="AE53" s="438" t="n">
        <v>0.255</v>
      </c>
      <c r="AF53" s="438" t="n">
        <v>0.255</v>
      </c>
      <c r="AG53" s="438" t="n">
        <v>0.25</v>
      </c>
      <c r="AH53" s="438" t="n">
        <v>0.255</v>
      </c>
      <c r="AI53" s="438" t="n">
        <v>0.26</v>
      </c>
      <c r="AJ53" s="438" t="n">
        <v>0.255</v>
      </c>
      <c r="AK53" s="438" t="n">
        <v>0.25</v>
      </c>
      <c r="AL53" s="438" t="n">
        <v>0.25</v>
      </c>
      <c r="AM53" s="438" t="n">
        <v>0.255</v>
      </c>
      <c r="AN53" s="438" t="n">
        <v>0.255</v>
      </c>
      <c r="AO53" s="438" t="n">
        <v>0.255</v>
      </c>
      <c r="AP53" s="439" t="n">
        <v>0.255</v>
      </c>
      <c r="AQ53" s="439" t="n">
        <v>0.255</v>
      </c>
      <c r="AR53" s="439" t="n">
        <v>0.255</v>
      </c>
      <c r="AS53" s="439" t="n">
        <v>0.255</v>
      </c>
      <c r="AT53" s="438" t="n">
        <v>0.255</v>
      </c>
      <c r="AU53" s="438" t="n">
        <v>0.255</v>
      </c>
      <c r="AV53" s="438" t="n">
        <v>0.25</v>
      </c>
      <c r="AW53" s="440" t="n">
        <v>0.069161176466711</v>
      </c>
      <c r="AX53" s="440"/>
      <c r="AY53" s="437" t="n">
        <f aca="false">AG53</f>
        <v>0.25</v>
      </c>
      <c r="AZ53" s="437" t="n">
        <f aca="false">AG53</f>
        <v>0.25</v>
      </c>
      <c r="BA53" s="441" t="n">
        <f aca="false">AG53</f>
        <v>0.25</v>
      </c>
      <c r="BB53" s="442" t="n">
        <f aca="false">B53</f>
        <v>37895</v>
      </c>
      <c r="BC53" s="442" t="n">
        <v>0.808255440086451</v>
      </c>
      <c r="BD53" s="418" t="n">
        <v>0.808407181929878</v>
      </c>
      <c r="BF53" s="455" t="n">
        <v>37895</v>
      </c>
      <c r="BG53" s="66" t="n">
        <v>41</v>
      </c>
      <c r="HZ53" s="442" t="n">
        <f aca="false">B55</f>
        <v>37956</v>
      </c>
      <c r="IA53" s="418" t="n">
        <v>43</v>
      </c>
    </row>
    <row r="54" customFormat="false" ht="12.75" hidden="false" customHeight="false" outlineLevel="0" collapsed="false">
      <c r="A54" s="470"/>
      <c r="B54" s="419" t="n">
        <f aca="false">EOMONTH(B53,0)+1</f>
        <v>37926</v>
      </c>
      <c r="C54" s="420" t="n">
        <v>3.148</v>
      </c>
      <c r="D54" s="420" t="n">
        <v>0.265</v>
      </c>
      <c r="E54" s="420" t="n">
        <v>0.069430555630712</v>
      </c>
      <c r="F54" s="420" t="n">
        <v>-0.19</v>
      </c>
      <c r="G54" s="420" t="n">
        <v>-0.0325</v>
      </c>
      <c r="H54" s="420" t="n">
        <v>-0.19</v>
      </c>
      <c r="I54" s="420" t="n">
        <v>0.1075</v>
      </c>
      <c r="J54" s="420" t="n">
        <v>0.27</v>
      </c>
      <c r="K54" s="420" t="n">
        <v>0.2875</v>
      </c>
      <c r="L54" s="420" t="n">
        <v>-0.081</v>
      </c>
      <c r="M54" s="420" t="n">
        <v>-0.0185</v>
      </c>
      <c r="N54" s="420" t="n">
        <v>-0.29</v>
      </c>
      <c r="O54" s="420" t="n">
        <v>0</v>
      </c>
      <c r="P54" s="420" t="n">
        <v>0.0125</v>
      </c>
      <c r="Q54" s="420" t="n">
        <v>-0.0135</v>
      </c>
      <c r="R54" s="418" t="n">
        <v>-0.028</v>
      </c>
      <c r="S54" s="418" t="n">
        <v>-0.06</v>
      </c>
      <c r="T54" s="418" t="n">
        <v>-0.02</v>
      </c>
      <c r="U54" s="418" t="n">
        <v>-0.0345</v>
      </c>
      <c r="V54" s="418" t="n">
        <v>-0.105</v>
      </c>
      <c r="W54" s="418" t="n">
        <v>-0.1375</v>
      </c>
      <c r="X54" s="418" t="n">
        <v>0.7575</v>
      </c>
      <c r="Y54" s="418" t="n">
        <v>0.005</v>
      </c>
      <c r="Z54" s="418" t="n">
        <v>-0.195</v>
      </c>
      <c r="AA54" s="418" t="n">
        <v>-0.0245</v>
      </c>
      <c r="AB54" s="437" t="n">
        <v>0.115</v>
      </c>
      <c r="AC54" s="437" t="n">
        <v>0.495</v>
      </c>
      <c r="AD54" s="437" t="n">
        <v>0.2025</v>
      </c>
      <c r="AE54" s="438" t="n">
        <v>0.265</v>
      </c>
      <c r="AF54" s="438" t="n">
        <v>0.265</v>
      </c>
      <c r="AG54" s="438" t="n">
        <v>0.292</v>
      </c>
      <c r="AH54" s="438" t="n">
        <v>0.265</v>
      </c>
      <c r="AI54" s="438" t="n">
        <v>0.27</v>
      </c>
      <c r="AJ54" s="438" t="n">
        <v>0.265</v>
      </c>
      <c r="AK54" s="438" t="n">
        <v>0.265</v>
      </c>
      <c r="AL54" s="438" t="n">
        <v>0.265</v>
      </c>
      <c r="AM54" s="438" t="n">
        <v>0.265</v>
      </c>
      <c r="AN54" s="438" t="n">
        <v>0.265</v>
      </c>
      <c r="AO54" s="438" t="n">
        <v>0.265</v>
      </c>
      <c r="AP54" s="439" t="n">
        <v>0.265</v>
      </c>
      <c r="AQ54" s="439" t="n">
        <v>0.265</v>
      </c>
      <c r="AR54" s="439" t="n">
        <v>0.265</v>
      </c>
      <c r="AS54" s="439" t="n">
        <v>0.265</v>
      </c>
      <c r="AT54" s="438" t="n">
        <v>0.265</v>
      </c>
      <c r="AU54" s="438" t="n">
        <v>0.265</v>
      </c>
      <c r="AV54" s="438" t="n">
        <v>0.292</v>
      </c>
      <c r="AW54" s="440" t="n">
        <v>0.069151139097126</v>
      </c>
      <c r="AX54" s="440"/>
      <c r="AY54" s="437" t="n">
        <f aca="false">AG54</f>
        <v>0.292</v>
      </c>
      <c r="AZ54" s="437" t="n">
        <f aca="false">AG54</f>
        <v>0.292</v>
      </c>
      <c r="BA54" s="441" t="n">
        <f aca="false">AG54</f>
        <v>0.292</v>
      </c>
      <c r="BB54" s="442" t="n">
        <f aca="false">B54</f>
        <v>37926</v>
      </c>
      <c r="BC54" s="442" t="n">
        <v>0.803578768777936</v>
      </c>
      <c r="BD54" s="418" t="n">
        <v>0.803729621269195</v>
      </c>
      <c r="BF54" s="455" t="n">
        <v>37926</v>
      </c>
      <c r="BG54" s="66" t="n">
        <v>42</v>
      </c>
      <c r="HZ54" s="442" t="n">
        <f aca="false">B56</f>
        <v>37987</v>
      </c>
      <c r="IA54" s="418" t="n">
        <v>44</v>
      </c>
    </row>
    <row r="55" customFormat="false" ht="12.75" hidden="false" customHeight="false" outlineLevel="0" collapsed="false">
      <c r="A55" s="470"/>
      <c r="B55" s="419" t="n">
        <f aca="false">EOMONTH(B54,0)+1</f>
        <v>37956</v>
      </c>
      <c r="C55" s="420" t="n">
        <v>3.234</v>
      </c>
      <c r="D55" s="420" t="n">
        <v>0.27</v>
      </c>
      <c r="E55" s="420" t="n">
        <v>0.069418907232626</v>
      </c>
      <c r="F55" s="420" t="n">
        <v>-0.1975</v>
      </c>
      <c r="G55" s="420" t="n">
        <v>-0.055</v>
      </c>
      <c r="H55" s="420" t="n">
        <v>-0.1975</v>
      </c>
      <c r="I55" s="420" t="n">
        <v>0.1475</v>
      </c>
      <c r="J55" s="420" t="n">
        <v>0.305</v>
      </c>
      <c r="K55" s="420" t="n">
        <v>0.3375</v>
      </c>
      <c r="L55" s="420" t="n">
        <v>-0.081</v>
      </c>
      <c r="M55" s="420" t="n">
        <v>-0.0185</v>
      </c>
      <c r="N55" s="420" t="n">
        <v>-0.29</v>
      </c>
      <c r="O55" s="420" t="n">
        <v>0.06</v>
      </c>
      <c r="P55" s="420" t="n">
        <v>0.0125</v>
      </c>
      <c r="Q55" s="420" t="n">
        <v>-0.0135</v>
      </c>
      <c r="R55" s="418" t="n">
        <v>-0.028</v>
      </c>
      <c r="S55" s="418" t="n">
        <v>-0.06</v>
      </c>
      <c r="T55" s="418" t="n">
        <v>-0.0125</v>
      </c>
      <c r="U55" s="418" t="n">
        <v>-0.0345</v>
      </c>
      <c r="V55" s="418" t="n">
        <v>-0.14</v>
      </c>
      <c r="W55" s="418" t="n">
        <v>-0.1325</v>
      </c>
      <c r="X55" s="418" t="n">
        <v>1.17</v>
      </c>
      <c r="Y55" s="418" t="n">
        <v>0.005</v>
      </c>
      <c r="Z55" s="418" t="n">
        <v>-0.195</v>
      </c>
      <c r="AA55" s="418" t="n">
        <v>-0.0245</v>
      </c>
      <c r="AB55" s="437" t="n">
        <v>0.115</v>
      </c>
      <c r="AC55" s="437" t="n">
        <v>0.84</v>
      </c>
      <c r="AD55" s="437" t="n">
        <v>0.2425</v>
      </c>
      <c r="AE55" s="438" t="n">
        <v>0.27</v>
      </c>
      <c r="AF55" s="438" t="n">
        <v>0.27</v>
      </c>
      <c r="AG55" s="438" t="n">
        <v>0.297</v>
      </c>
      <c r="AH55" s="438" t="n">
        <v>0.27</v>
      </c>
      <c r="AI55" s="438" t="n">
        <v>0.275</v>
      </c>
      <c r="AJ55" s="438" t="n">
        <v>0.27</v>
      </c>
      <c r="AK55" s="438" t="n">
        <v>0.27</v>
      </c>
      <c r="AL55" s="438" t="n">
        <v>0.27</v>
      </c>
      <c r="AM55" s="438" t="n">
        <v>0.27</v>
      </c>
      <c r="AN55" s="438" t="n">
        <v>0.27</v>
      </c>
      <c r="AO55" s="438" t="n">
        <v>0.27</v>
      </c>
      <c r="AP55" s="439" t="n">
        <v>0.27</v>
      </c>
      <c r="AQ55" s="439" t="n">
        <v>0.27</v>
      </c>
      <c r="AR55" s="439" t="n">
        <v>0.27</v>
      </c>
      <c r="AS55" s="439" t="n">
        <v>0.27</v>
      </c>
      <c r="AT55" s="438" t="n">
        <v>0.27</v>
      </c>
      <c r="AU55" s="438" t="n">
        <v>0.27</v>
      </c>
      <c r="AV55" s="438" t="n">
        <v>0.297</v>
      </c>
      <c r="AW55" s="440" t="n">
        <v>0.069141425513687</v>
      </c>
      <c r="AX55" s="440"/>
      <c r="AY55" s="437" t="n">
        <f aca="false">AG55</f>
        <v>0.297</v>
      </c>
      <c r="AZ55" s="437" t="n">
        <f aca="false">AG55</f>
        <v>0.297</v>
      </c>
      <c r="BA55" s="441" t="n">
        <f aca="false">AG55</f>
        <v>0.297</v>
      </c>
      <c r="BB55" s="442" t="n">
        <f aca="false">B55</f>
        <v>37956</v>
      </c>
      <c r="BC55" s="442" t="n">
        <v>0.799079390413898</v>
      </c>
      <c r="BD55" s="418" t="n">
        <v>0.799229387329289</v>
      </c>
      <c r="BF55" s="455" t="n">
        <v>37956</v>
      </c>
      <c r="BG55" s="66" t="n">
        <v>43</v>
      </c>
      <c r="HZ55" s="442" t="n">
        <f aca="false">B57</f>
        <v>38018</v>
      </c>
      <c r="IA55" s="418" t="n">
        <v>45</v>
      </c>
    </row>
    <row r="56" customFormat="false" ht="12.75" hidden="false" customHeight="false" outlineLevel="0" collapsed="false">
      <c r="A56" s="470"/>
      <c r="B56" s="419" t="n">
        <f aca="false">EOMONTH(B55,0)+1</f>
        <v>37987</v>
      </c>
      <c r="C56" s="420" t="n">
        <v>3.374</v>
      </c>
      <c r="D56" s="420" t="n">
        <v>0.2875</v>
      </c>
      <c r="E56" s="420" t="n">
        <v>0.069413894764454</v>
      </c>
      <c r="F56" s="420" t="n">
        <v>-0.2</v>
      </c>
      <c r="G56" s="420" t="n">
        <v>-0.0575</v>
      </c>
      <c r="H56" s="420" t="n">
        <v>-0.2</v>
      </c>
      <c r="I56" s="420" t="n">
        <v>0.1825</v>
      </c>
      <c r="J56" s="420" t="n">
        <v>0.305</v>
      </c>
      <c r="K56" s="420" t="n">
        <v>0.4375</v>
      </c>
      <c r="L56" s="420" t="n">
        <v>-0.081</v>
      </c>
      <c r="M56" s="420" t="n">
        <v>-0.0165</v>
      </c>
      <c r="N56" s="420" t="n">
        <v>-0.29</v>
      </c>
      <c r="O56" s="420" t="n">
        <v>0.13</v>
      </c>
      <c r="P56" s="420" t="n">
        <v>0.0125</v>
      </c>
      <c r="Q56" s="420" t="n">
        <v>-0.0135</v>
      </c>
      <c r="R56" s="418" t="n">
        <v>-0.028</v>
      </c>
      <c r="S56" s="418" t="n">
        <v>-0.06</v>
      </c>
      <c r="T56" s="418" t="n">
        <v>0.0025</v>
      </c>
      <c r="U56" s="418" t="n">
        <v>-0.0345</v>
      </c>
      <c r="V56" s="418" t="n">
        <v>-0.145</v>
      </c>
      <c r="W56" s="418" t="n">
        <v>-0.1325</v>
      </c>
      <c r="X56" s="418" t="n">
        <v>1.495</v>
      </c>
      <c r="Y56" s="418" t="n">
        <v>0.005</v>
      </c>
      <c r="Z56" s="418" t="n">
        <v>-0.195</v>
      </c>
      <c r="AA56" s="418" t="n">
        <v>-0.0245</v>
      </c>
      <c r="AB56" s="437" t="n">
        <v>0.115</v>
      </c>
      <c r="AC56" s="437" t="n">
        <v>0.985</v>
      </c>
      <c r="AD56" s="437" t="n">
        <v>0.2775</v>
      </c>
      <c r="AE56" s="438" t="n">
        <v>0.288</v>
      </c>
      <c r="AF56" s="438" t="n">
        <v>0.288</v>
      </c>
      <c r="AG56" s="438" t="n">
        <v>0.316</v>
      </c>
      <c r="AH56" s="438" t="n">
        <v>0.288</v>
      </c>
      <c r="AI56" s="438" t="n">
        <v>0.293</v>
      </c>
      <c r="AJ56" s="438" t="n">
        <v>0.288</v>
      </c>
      <c r="AK56" s="438" t="n">
        <v>0.288</v>
      </c>
      <c r="AL56" s="438" t="n">
        <v>0.288</v>
      </c>
      <c r="AM56" s="438" t="n">
        <v>0.288</v>
      </c>
      <c r="AN56" s="438" t="n">
        <v>0.288</v>
      </c>
      <c r="AO56" s="438" t="n">
        <v>0.288</v>
      </c>
      <c r="AP56" s="439" t="n">
        <v>0.288</v>
      </c>
      <c r="AQ56" s="439" t="n">
        <v>0.288</v>
      </c>
      <c r="AR56" s="439" t="n">
        <v>0.288</v>
      </c>
      <c r="AS56" s="439" t="n">
        <v>0.288</v>
      </c>
      <c r="AT56" s="438" t="n">
        <v>0.288</v>
      </c>
      <c r="AU56" s="438" t="n">
        <v>0.288</v>
      </c>
      <c r="AV56" s="438" t="n">
        <v>0.316</v>
      </c>
      <c r="AW56" s="440" t="n">
        <v>0.069138841546618</v>
      </c>
      <c r="AX56" s="440"/>
      <c r="AY56" s="437" t="n">
        <f aca="false">AG56</f>
        <v>0.316</v>
      </c>
      <c r="AZ56" s="437" t="n">
        <f aca="false">AG56</f>
        <v>0.316</v>
      </c>
      <c r="BA56" s="441" t="n">
        <f aca="false">AG56</f>
        <v>0.316</v>
      </c>
      <c r="BB56" s="442" t="n">
        <f aca="false">B56</f>
        <v>37987</v>
      </c>
      <c r="BC56" s="442" t="n">
        <v>0.794432697128912</v>
      </c>
      <c r="BD56" s="418" t="n">
        <v>0.794581830553532</v>
      </c>
      <c r="BF56" s="455" t="n">
        <v>37987</v>
      </c>
      <c r="BG56" s="66" t="n">
        <v>44</v>
      </c>
      <c r="HZ56" s="442" t="n">
        <f aca="false">B58</f>
        <v>38047</v>
      </c>
      <c r="IA56" s="418" t="n">
        <v>46</v>
      </c>
    </row>
    <row r="57" customFormat="false" ht="12.75" hidden="false" customHeight="false" outlineLevel="0" collapsed="false">
      <c r="A57" s="470"/>
      <c r="B57" s="419" t="n">
        <f aca="false">EOMONTH(B56,0)+1</f>
        <v>38018</v>
      </c>
      <c r="C57" s="420" t="n">
        <v>3.236</v>
      </c>
      <c r="D57" s="420" t="n">
        <v>0.275</v>
      </c>
      <c r="E57" s="420" t="n">
        <v>0.069416374786754</v>
      </c>
      <c r="F57" s="420" t="n">
        <v>-0.2025</v>
      </c>
      <c r="G57" s="420" t="n">
        <v>-0.04</v>
      </c>
      <c r="H57" s="420" t="n">
        <v>-0.2025</v>
      </c>
      <c r="I57" s="420" t="n">
        <v>0.1575</v>
      </c>
      <c r="J57" s="420" t="n">
        <v>0.305</v>
      </c>
      <c r="K57" s="420" t="n">
        <v>0.435</v>
      </c>
      <c r="L57" s="420" t="n">
        <v>-0.081</v>
      </c>
      <c r="M57" s="420" t="n">
        <v>-0.0165</v>
      </c>
      <c r="N57" s="420" t="n">
        <v>-0.29</v>
      </c>
      <c r="O57" s="420" t="n">
        <v>0</v>
      </c>
      <c r="P57" s="420" t="n">
        <v>0.0125</v>
      </c>
      <c r="Q57" s="420" t="n">
        <v>-0.0135</v>
      </c>
      <c r="R57" s="418" t="n">
        <v>-0.028</v>
      </c>
      <c r="S57" s="418" t="n">
        <v>-0.06</v>
      </c>
      <c r="T57" s="418" t="n">
        <v>0.0025</v>
      </c>
      <c r="U57" s="418" t="n">
        <v>-0.0345</v>
      </c>
      <c r="V57" s="418" t="n">
        <v>-0.1275</v>
      </c>
      <c r="W57" s="418" t="n">
        <v>-0.1325</v>
      </c>
      <c r="X57" s="418" t="n">
        <v>1.425</v>
      </c>
      <c r="Y57" s="418" t="n">
        <v>0.005</v>
      </c>
      <c r="Z57" s="418" t="n">
        <v>-0.195</v>
      </c>
      <c r="AA57" s="418" t="n">
        <v>-0.0245</v>
      </c>
      <c r="AB57" s="437" t="n">
        <v>0.115</v>
      </c>
      <c r="AC57" s="437" t="n">
        <v>0.985</v>
      </c>
      <c r="AD57" s="437" t="n">
        <v>0.2525</v>
      </c>
      <c r="AE57" s="438" t="n">
        <v>0.275</v>
      </c>
      <c r="AF57" s="438" t="n">
        <v>0.275</v>
      </c>
      <c r="AG57" s="438" t="n">
        <v>0.303</v>
      </c>
      <c r="AH57" s="438" t="n">
        <v>0.275</v>
      </c>
      <c r="AI57" s="438" t="n">
        <v>0.281</v>
      </c>
      <c r="AJ57" s="438" t="n">
        <v>0.275</v>
      </c>
      <c r="AK57" s="438" t="n">
        <v>0.275</v>
      </c>
      <c r="AL57" s="438" t="n">
        <v>0.275</v>
      </c>
      <c r="AM57" s="438" t="n">
        <v>0.275</v>
      </c>
      <c r="AN57" s="438" t="n">
        <v>0.275</v>
      </c>
      <c r="AO57" s="438" t="n">
        <v>0.275</v>
      </c>
      <c r="AP57" s="439" t="n">
        <v>0.275</v>
      </c>
      <c r="AQ57" s="439" t="n">
        <v>0.275</v>
      </c>
      <c r="AR57" s="439" t="n">
        <v>0.275</v>
      </c>
      <c r="AS57" s="439" t="n">
        <v>0.275</v>
      </c>
      <c r="AT57" s="438" t="n">
        <v>0.275</v>
      </c>
      <c r="AU57" s="438" t="n">
        <v>0.275</v>
      </c>
      <c r="AV57" s="438" t="n">
        <v>0.303</v>
      </c>
      <c r="AW57" s="440" t="n">
        <v>0.069144207875512</v>
      </c>
      <c r="AX57" s="440"/>
      <c r="AY57" s="437" t="n">
        <f aca="false">AG57</f>
        <v>0.303</v>
      </c>
      <c r="AZ57" s="437" t="n">
        <f aca="false">AG57</f>
        <v>0.303</v>
      </c>
      <c r="BA57" s="441" t="n">
        <f aca="false">AG57</f>
        <v>0.303</v>
      </c>
      <c r="BB57" s="442" t="n">
        <f aca="false">B57</f>
        <v>38018</v>
      </c>
      <c r="BC57" s="442" t="n">
        <v>0.78978586436955</v>
      </c>
      <c r="BD57" s="418" t="n">
        <v>0.789934155356694</v>
      </c>
      <c r="BF57" s="455" t="n">
        <v>38018</v>
      </c>
      <c r="BG57" s="66" t="n">
        <v>45</v>
      </c>
      <c r="HZ57" s="442" t="n">
        <f aca="false">B59</f>
        <v>38078</v>
      </c>
      <c r="IA57" s="418" t="n">
        <v>47</v>
      </c>
    </row>
    <row r="58" customFormat="false" ht="12.75" hidden="false" customHeight="false" outlineLevel="0" collapsed="false">
      <c r="A58" s="470"/>
      <c r="B58" s="419" t="n">
        <f aca="false">EOMONTH(B57,0)+1</f>
        <v>38047</v>
      </c>
      <c r="C58" s="420" t="n">
        <v>3.069</v>
      </c>
      <c r="D58" s="420" t="n">
        <v>0.2725</v>
      </c>
      <c r="E58" s="420" t="n">
        <v>0.069418694807617</v>
      </c>
      <c r="F58" s="420" t="n">
        <v>-0.205</v>
      </c>
      <c r="G58" s="420" t="n">
        <v>-0.0275</v>
      </c>
      <c r="H58" s="420" t="n">
        <v>-0.205</v>
      </c>
      <c r="I58" s="420" t="n">
        <v>0.155</v>
      </c>
      <c r="J58" s="420" t="n">
        <v>0.265</v>
      </c>
      <c r="K58" s="420" t="n">
        <v>0.3025</v>
      </c>
      <c r="L58" s="420" t="n">
        <v>-0.081</v>
      </c>
      <c r="M58" s="420" t="n">
        <v>-0.0165</v>
      </c>
      <c r="N58" s="420" t="n">
        <v>-0.29</v>
      </c>
      <c r="O58" s="420" t="n">
        <v>-0.18</v>
      </c>
      <c r="P58" s="420" t="n">
        <v>0.0125</v>
      </c>
      <c r="Q58" s="420" t="n">
        <v>-0.0135</v>
      </c>
      <c r="R58" s="418" t="n">
        <v>-0.028</v>
      </c>
      <c r="S58" s="418" t="n">
        <v>-0.06</v>
      </c>
      <c r="T58" s="418" t="n">
        <v>0.0025</v>
      </c>
      <c r="U58" s="418" t="n">
        <v>-0.0345</v>
      </c>
      <c r="V58" s="418" t="n">
        <v>-0.11</v>
      </c>
      <c r="W58" s="418" t="n">
        <v>-0.1375</v>
      </c>
      <c r="X58" s="418" t="n">
        <v>0.825</v>
      </c>
      <c r="Y58" s="418" t="n">
        <v>0.005</v>
      </c>
      <c r="Z58" s="418" t="n">
        <v>-0.195</v>
      </c>
      <c r="AA58" s="418" t="n">
        <v>-0.0245</v>
      </c>
      <c r="AB58" s="437" t="n">
        <v>0.115</v>
      </c>
      <c r="AC58" s="437" t="n">
        <v>0.6375</v>
      </c>
      <c r="AD58" s="437" t="n">
        <v>0.25</v>
      </c>
      <c r="AE58" s="438" t="n">
        <v>0.273</v>
      </c>
      <c r="AF58" s="438" t="n">
        <v>0.273</v>
      </c>
      <c r="AG58" s="438" t="n">
        <v>0.3</v>
      </c>
      <c r="AH58" s="438" t="n">
        <v>0.273</v>
      </c>
      <c r="AI58" s="438" t="n">
        <v>0.278</v>
      </c>
      <c r="AJ58" s="438" t="n">
        <v>0.273</v>
      </c>
      <c r="AK58" s="438" t="n">
        <v>0.273</v>
      </c>
      <c r="AL58" s="438" t="n">
        <v>0.273</v>
      </c>
      <c r="AM58" s="438" t="n">
        <v>0.273</v>
      </c>
      <c r="AN58" s="438" t="n">
        <v>0.273</v>
      </c>
      <c r="AO58" s="438" t="n">
        <v>0.273</v>
      </c>
      <c r="AP58" s="439" t="n">
        <v>0.273</v>
      </c>
      <c r="AQ58" s="439" t="n">
        <v>0.273</v>
      </c>
      <c r="AR58" s="439" t="n">
        <v>0.273</v>
      </c>
      <c r="AS58" s="439" t="n">
        <v>0.273</v>
      </c>
      <c r="AT58" s="438" t="n">
        <v>0.273</v>
      </c>
      <c r="AU58" s="438" t="n">
        <v>0.273</v>
      </c>
      <c r="AV58" s="438" t="n">
        <v>0.3</v>
      </c>
      <c r="AW58" s="440" t="n">
        <v>0.069149227989648</v>
      </c>
      <c r="AX58" s="440"/>
      <c r="AY58" s="437" t="n">
        <f aca="false">AG58</f>
        <v>0.3</v>
      </c>
      <c r="AZ58" s="437" t="n">
        <f aca="false">AG58</f>
        <v>0.3</v>
      </c>
      <c r="BA58" s="441" t="n">
        <f aca="false">AG58</f>
        <v>0.3</v>
      </c>
      <c r="BB58" s="442" t="n">
        <f aca="false">B58</f>
        <v>38047</v>
      </c>
      <c r="BC58" s="442" t="n">
        <v>0.785461769599688</v>
      </c>
      <c r="BD58" s="418" t="n">
        <v>0.785609276490142</v>
      </c>
      <c r="BF58" s="455" t="n">
        <v>38047</v>
      </c>
      <c r="BG58" s="66" t="n">
        <v>46</v>
      </c>
      <c r="HZ58" s="442" t="n">
        <f aca="false">B60</f>
        <v>38108</v>
      </c>
      <c r="IA58" s="418" t="n">
        <v>48</v>
      </c>
    </row>
    <row r="59" customFormat="false" ht="12.75" hidden="false" customHeight="false" outlineLevel="0" collapsed="false">
      <c r="A59" s="470"/>
      <c r="B59" s="419" t="n">
        <f aca="false">EOMONTH(B58,0)+1</f>
        <v>38078</v>
      </c>
      <c r="C59" s="420" t="n">
        <v>2.894</v>
      </c>
      <c r="D59" s="420" t="n">
        <v>0.2525</v>
      </c>
      <c r="E59" s="420" t="n">
        <v>0.069415039312736</v>
      </c>
      <c r="F59" s="420" t="n">
        <v>-0.195</v>
      </c>
      <c r="G59" s="420" t="n">
        <v>0.015</v>
      </c>
      <c r="H59" s="420" t="n">
        <v>-0.195</v>
      </c>
      <c r="I59" s="420" t="n">
        <v>0.0725</v>
      </c>
      <c r="J59" s="420" t="n">
        <v>0.195</v>
      </c>
      <c r="K59" s="420" t="n">
        <v>0.25</v>
      </c>
      <c r="L59" s="420" t="n">
        <v>-0.074</v>
      </c>
      <c r="M59" s="420" t="n">
        <v>-0.024</v>
      </c>
      <c r="N59" s="420" t="n">
        <v>-0.37</v>
      </c>
      <c r="O59" s="420" t="n">
        <v>-0.33</v>
      </c>
      <c r="P59" s="420" t="n">
        <v>0.006</v>
      </c>
      <c r="Q59" s="420" t="n">
        <v>-0.0035</v>
      </c>
      <c r="R59" s="418" t="n">
        <v>-0.0275</v>
      </c>
      <c r="S59" s="418" t="n">
        <v>-0.0575</v>
      </c>
      <c r="T59" s="418" t="n">
        <v>-0.085</v>
      </c>
      <c r="U59" s="418" t="n">
        <v>-0.0135</v>
      </c>
      <c r="V59" s="418" t="n">
        <v>-0.1025</v>
      </c>
      <c r="W59" s="418" t="n">
        <v>-0.1225</v>
      </c>
      <c r="X59" s="418" t="n">
        <v>0.45</v>
      </c>
      <c r="Y59" s="418" t="n">
        <v>0.005</v>
      </c>
      <c r="Z59" s="418" t="n">
        <v>-0.2</v>
      </c>
      <c r="AA59" s="418" t="n">
        <v>-0.022</v>
      </c>
      <c r="AB59" s="437" t="n">
        <v>0.285</v>
      </c>
      <c r="AC59" s="437" t="n">
        <v>0.355</v>
      </c>
      <c r="AD59" s="437" t="n">
        <v>0.1675</v>
      </c>
      <c r="AE59" s="438" t="n">
        <v>0.253</v>
      </c>
      <c r="AF59" s="438" t="n">
        <v>0.253</v>
      </c>
      <c r="AG59" s="438" t="n">
        <v>0.247</v>
      </c>
      <c r="AH59" s="438" t="n">
        <v>0.253</v>
      </c>
      <c r="AI59" s="438" t="n">
        <v>0.258</v>
      </c>
      <c r="AJ59" s="438" t="n">
        <v>0.253</v>
      </c>
      <c r="AK59" s="438" t="n">
        <v>0.247</v>
      </c>
      <c r="AL59" s="438" t="n">
        <v>0.247</v>
      </c>
      <c r="AM59" s="438" t="n">
        <v>0.253</v>
      </c>
      <c r="AN59" s="438" t="n">
        <v>0.253</v>
      </c>
      <c r="AO59" s="438" t="n">
        <v>0.253</v>
      </c>
      <c r="AP59" s="439" t="n">
        <v>0.253</v>
      </c>
      <c r="AQ59" s="439" t="n">
        <v>0.253</v>
      </c>
      <c r="AR59" s="439" t="n">
        <v>0.253</v>
      </c>
      <c r="AS59" s="439" t="n">
        <v>0.253</v>
      </c>
      <c r="AT59" s="438" t="n">
        <v>0.253</v>
      </c>
      <c r="AU59" s="438" t="n">
        <v>0.253</v>
      </c>
      <c r="AV59" s="438" t="n">
        <v>0.247</v>
      </c>
      <c r="AW59" s="440" t="n">
        <v>0.06914774312081</v>
      </c>
      <c r="AX59" s="440"/>
      <c r="AY59" s="437" t="n">
        <f aca="false">AG59</f>
        <v>0.247</v>
      </c>
      <c r="AZ59" s="437" t="n">
        <f aca="false">AG59</f>
        <v>0.247</v>
      </c>
      <c r="BA59" s="441" t="n">
        <f aca="false">AG59</f>
        <v>0.247</v>
      </c>
      <c r="BB59" s="442" t="n">
        <f aca="false">B59</f>
        <v>38078</v>
      </c>
      <c r="BC59" s="442" t="n">
        <v>0.780890080217622</v>
      </c>
      <c r="BD59" s="418" t="n">
        <v>0.781036738196471</v>
      </c>
      <c r="BF59" s="455" t="n">
        <v>38078</v>
      </c>
      <c r="BG59" s="66" t="n">
        <v>47</v>
      </c>
      <c r="HZ59" s="442" t="n">
        <f aca="false">B61</f>
        <v>38139</v>
      </c>
      <c r="IA59" s="418" t="n">
        <v>49</v>
      </c>
    </row>
    <row r="60" customFormat="false" ht="12.75" hidden="false" customHeight="false" outlineLevel="0" collapsed="false">
      <c r="B60" s="419" t="n">
        <f aca="false">EOMONTH(B59,0)+1</f>
        <v>38108</v>
      </c>
      <c r="C60" s="420" t="n">
        <v>2.883</v>
      </c>
      <c r="D60" s="420" t="n">
        <v>0.2525</v>
      </c>
      <c r="E60" s="420" t="n">
        <v>0.069405168299975</v>
      </c>
      <c r="F60" s="420" t="n">
        <v>-0.195</v>
      </c>
      <c r="G60" s="420" t="n">
        <v>0.015</v>
      </c>
      <c r="H60" s="420" t="n">
        <v>-0.195</v>
      </c>
      <c r="I60" s="420" t="n">
        <v>0.0625</v>
      </c>
      <c r="J60" s="420" t="n">
        <v>0.1825</v>
      </c>
      <c r="K60" s="420" t="n">
        <v>0.2025</v>
      </c>
      <c r="L60" s="420" t="n">
        <v>-0.074</v>
      </c>
      <c r="M60" s="420" t="n">
        <v>-0.024</v>
      </c>
      <c r="N60" s="420" t="n">
        <v>-0.37</v>
      </c>
      <c r="O60" s="420" t="n">
        <v>-0.33</v>
      </c>
      <c r="P60" s="420" t="n">
        <v>0.006</v>
      </c>
      <c r="Q60" s="420" t="n">
        <v>-0.0035</v>
      </c>
      <c r="R60" s="418" t="n">
        <v>-0.0275</v>
      </c>
      <c r="S60" s="418" t="n">
        <v>-0.0575</v>
      </c>
      <c r="T60" s="418" t="n">
        <v>-0.1</v>
      </c>
      <c r="U60" s="418" t="n">
        <v>-0.01375</v>
      </c>
      <c r="V60" s="418" t="n">
        <v>-0.1025</v>
      </c>
      <c r="W60" s="418" t="n">
        <v>-0.1225</v>
      </c>
      <c r="X60" s="418" t="n">
        <v>0.405</v>
      </c>
      <c r="Y60" s="418" t="n">
        <v>0.005</v>
      </c>
      <c r="Z60" s="418" t="n">
        <v>-0.2</v>
      </c>
      <c r="AA60" s="418" t="n">
        <v>-0.022</v>
      </c>
      <c r="AB60" s="437" t="n">
        <v>0.285</v>
      </c>
      <c r="AC60" s="437" t="n">
        <v>0.2875</v>
      </c>
      <c r="AD60" s="437" t="n">
        <v>0.1575</v>
      </c>
      <c r="AE60" s="438" t="n">
        <v>0.253</v>
      </c>
      <c r="AF60" s="438" t="n">
        <v>0.253</v>
      </c>
      <c r="AG60" s="438" t="n">
        <v>0.247</v>
      </c>
      <c r="AH60" s="438" t="n">
        <v>0.253</v>
      </c>
      <c r="AI60" s="438" t="n">
        <v>0.258</v>
      </c>
      <c r="AJ60" s="438" t="n">
        <v>0.253</v>
      </c>
      <c r="AK60" s="438" t="n">
        <v>0.247</v>
      </c>
      <c r="AL60" s="438" t="n">
        <v>0.247</v>
      </c>
      <c r="AM60" s="438" t="n">
        <v>0.253</v>
      </c>
      <c r="AN60" s="438" t="n">
        <v>0.253</v>
      </c>
      <c r="AO60" s="438" t="n">
        <v>0.253</v>
      </c>
      <c r="AP60" s="439" t="n">
        <v>0.253</v>
      </c>
      <c r="AQ60" s="439" t="n">
        <v>0.253</v>
      </c>
      <c r="AR60" s="439" t="n">
        <v>0.253</v>
      </c>
      <c r="AS60" s="439" t="n">
        <v>0.253</v>
      </c>
      <c r="AT60" s="438" t="n">
        <v>0.253</v>
      </c>
      <c r="AU60" s="438" t="n">
        <v>0.253</v>
      </c>
      <c r="AV60" s="438" t="n">
        <v>0.247</v>
      </c>
      <c r="AW60" s="440" t="n">
        <v>0.069139233946856</v>
      </c>
      <c r="AX60" s="440"/>
      <c r="AY60" s="437" t="n">
        <f aca="false">AG60</f>
        <v>0.247</v>
      </c>
      <c r="AZ60" s="437" t="n">
        <f aca="false">AG60</f>
        <v>0.247</v>
      </c>
      <c r="BA60" s="441" t="n">
        <f aca="false">AG60</f>
        <v>0.247</v>
      </c>
      <c r="BB60" s="442" t="n">
        <f aca="false">B60</f>
        <v>38108</v>
      </c>
      <c r="BC60" s="442" t="n">
        <v>0.776518157443837</v>
      </c>
      <c r="BD60" s="418" t="n">
        <v>0.776663983173787</v>
      </c>
      <c r="BF60" s="455" t="n">
        <v>38108</v>
      </c>
      <c r="BG60" s="66" t="n">
        <v>48</v>
      </c>
      <c r="HZ60" s="442" t="n">
        <f aca="false">B62</f>
        <v>38169</v>
      </c>
      <c r="IA60" s="418" t="n">
        <v>50</v>
      </c>
    </row>
    <row r="61" customFormat="false" ht="12.75" hidden="false" customHeight="false" outlineLevel="0" collapsed="false">
      <c r="B61" s="419" t="n">
        <f aca="false">EOMONTH(B60,0)+1</f>
        <v>38139</v>
      </c>
      <c r="C61" s="420" t="n">
        <v>2.904</v>
      </c>
      <c r="D61" s="420" t="n">
        <v>0.2525</v>
      </c>
      <c r="E61" s="420" t="n">
        <v>0.06939496825349</v>
      </c>
      <c r="F61" s="420" t="n">
        <v>-0.195</v>
      </c>
      <c r="G61" s="420" t="n">
        <v>0.02</v>
      </c>
      <c r="H61" s="420" t="n">
        <v>-0.195</v>
      </c>
      <c r="I61" s="420" t="n">
        <v>0.0575</v>
      </c>
      <c r="J61" s="420" t="n">
        <v>0.1825</v>
      </c>
      <c r="K61" s="420" t="n">
        <v>0.2025</v>
      </c>
      <c r="L61" s="420" t="n">
        <v>-0.09</v>
      </c>
      <c r="M61" s="420" t="n">
        <v>-0.024</v>
      </c>
      <c r="N61" s="420" t="n">
        <v>-0.37</v>
      </c>
      <c r="O61" s="420" t="n">
        <v>-0.33</v>
      </c>
      <c r="P61" s="420" t="n">
        <v>0.006</v>
      </c>
      <c r="Q61" s="420" t="n">
        <v>-0.0035</v>
      </c>
      <c r="R61" s="418" t="n">
        <v>-0.0275</v>
      </c>
      <c r="S61" s="418" t="n">
        <v>-0.0575</v>
      </c>
      <c r="T61" s="418" t="n">
        <v>-0.11</v>
      </c>
      <c r="U61" s="418" t="n">
        <v>-0.01375</v>
      </c>
      <c r="V61" s="418" t="n">
        <v>-0.0925</v>
      </c>
      <c r="W61" s="418" t="n">
        <v>-0.1225</v>
      </c>
      <c r="X61" s="418" t="n">
        <v>0.395</v>
      </c>
      <c r="Y61" s="418" t="n">
        <v>0.005</v>
      </c>
      <c r="Z61" s="418" t="n">
        <v>-0.2</v>
      </c>
      <c r="AA61" s="418" t="n">
        <v>-0.022</v>
      </c>
      <c r="AB61" s="437" t="n">
        <v>0.285</v>
      </c>
      <c r="AC61" s="437" t="n">
        <v>0.2875</v>
      </c>
      <c r="AD61" s="437" t="n">
        <v>0.1525</v>
      </c>
      <c r="AE61" s="438" t="n">
        <v>0.253</v>
      </c>
      <c r="AF61" s="438" t="n">
        <v>0.253</v>
      </c>
      <c r="AG61" s="438" t="n">
        <v>0.247</v>
      </c>
      <c r="AH61" s="438" t="n">
        <v>0.253</v>
      </c>
      <c r="AI61" s="438" t="n">
        <v>0.258</v>
      </c>
      <c r="AJ61" s="438" t="n">
        <v>0.253</v>
      </c>
      <c r="AK61" s="438" t="n">
        <v>0.247</v>
      </c>
      <c r="AL61" s="438" t="n">
        <v>0.247</v>
      </c>
      <c r="AM61" s="438" t="n">
        <v>0.253</v>
      </c>
      <c r="AN61" s="438" t="n">
        <v>0.253</v>
      </c>
      <c r="AO61" s="438" t="n">
        <v>0.253</v>
      </c>
      <c r="AP61" s="439" t="n">
        <v>0.253</v>
      </c>
      <c r="AQ61" s="439" t="n">
        <v>0.253</v>
      </c>
      <c r="AR61" s="439" t="n">
        <v>0.253</v>
      </c>
      <c r="AS61" s="439" t="n">
        <v>0.253</v>
      </c>
      <c r="AT61" s="438" t="n">
        <v>0.253</v>
      </c>
      <c r="AU61" s="438" t="n">
        <v>0.253</v>
      </c>
      <c r="AV61" s="438" t="n">
        <v>0.247</v>
      </c>
      <c r="AW61" s="440" t="n">
        <v>0.069130441133797</v>
      </c>
      <c r="AX61" s="440"/>
      <c r="AY61" s="437" t="n">
        <f aca="false">AG61</f>
        <v>0.247</v>
      </c>
      <c r="AZ61" s="437" t="n">
        <f aca="false">AG61</f>
        <v>0.247</v>
      </c>
      <c r="BA61" s="441" t="n">
        <f aca="false">AG61</f>
        <v>0.247</v>
      </c>
      <c r="BB61" s="442" t="n">
        <f aca="false">B61</f>
        <v>38139</v>
      </c>
      <c r="BC61" s="442" t="n">
        <v>0.772026916092173</v>
      </c>
      <c r="BD61" s="418" t="n">
        <v>0.772171886923291</v>
      </c>
      <c r="BF61" s="455" t="n">
        <v>38139</v>
      </c>
      <c r="BG61" s="66" t="n">
        <v>49</v>
      </c>
      <c r="HZ61" s="442" t="n">
        <f aca="false">B63</f>
        <v>38200</v>
      </c>
      <c r="IA61" s="418" t="n">
        <v>51</v>
      </c>
    </row>
    <row r="62" customFormat="false" ht="12.75" hidden="false" customHeight="false" outlineLevel="0" collapsed="false">
      <c r="B62" s="419" t="n">
        <f aca="false">EOMONTH(B61,0)+1</f>
        <v>38169</v>
      </c>
      <c r="C62" s="420" t="n">
        <v>2.926</v>
      </c>
      <c r="D62" s="420" t="n">
        <v>0.25</v>
      </c>
      <c r="E62" s="420" t="n">
        <v>0.06940395221143</v>
      </c>
      <c r="F62" s="420" t="n">
        <v>-0.195</v>
      </c>
      <c r="G62" s="420" t="n">
        <v>0.0225</v>
      </c>
      <c r="H62" s="420" t="n">
        <v>-0.195</v>
      </c>
      <c r="I62" s="420" t="n">
        <v>0.0475</v>
      </c>
      <c r="J62" s="420" t="n">
        <v>0.1825</v>
      </c>
      <c r="K62" s="420" t="n">
        <v>0.215</v>
      </c>
      <c r="L62" s="420" t="n">
        <v>-0.083</v>
      </c>
      <c r="M62" s="420" t="n">
        <v>-0.024</v>
      </c>
      <c r="N62" s="420" t="n">
        <v>-0.37</v>
      </c>
      <c r="O62" s="420" t="n">
        <v>-0.33</v>
      </c>
      <c r="P62" s="420" t="n">
        <v>0.006</v>
      </c>
      <c r="Q62" s="420" t="n">
        <v>-0.0035</v>
      </c>
      <c r="R62" s="418" t="n">
        <v>-0.0275</v>
      </c>
      <c r="S62" s="418" t="n">
        <v>-0.0575</v>
      </c>
      <c r="T62" s="418" t="n">
        <v>-0.11</v>
      </c>
      <c r="U62" s="418" t="n">
        <v>-0.01375</v>
      </c>
      <c r="V62" s="418" t="n">
        <v>-0.0875</v>
      </c>
      <c r="W62" s="418" t="n">
        <v>-0.1225</v>
      </c>
      <c r="X62" s="418" t="n">
        <v>0.43</v>
      </c>
      <c r="Y62" s="418" t="n">
        <v>0.005</v>
      </c>
      <c r="Z62" s="418" t="n">
        <v>-0.2</v>
      </c>
      <c r="AA62" s="418" t="n">
        <v>-0.022</v>
      </c>
      <c r="AB62" s="437" t="n">
        <v>0.285</v>
      </c>
      <c r="AC62" s="437" t="n">
        <v>0.3</v>
      </c>
      <c r="AD62" s="437" t="n">
        <v>0.1425</v>
      </c>
      <c r="AE62" s="438" t="n">
        <v>0.25</v>
      </c>
      <c r="AF62" s="438" t="n">
        <v>0.25</v>
      </c>
      <c r="AG62" s="438" t="n">
        <v>0.245</v>
      </c>
      <c r="AH62" s="438" t="n">
        <v>0.25</v>
      </c>
      <c r="AI62" s="438" t="n">
        <v>0.255</v>
      </c>
      <c r="AJ62" s="438" t="n">
        <v>0.25</v>
      </c>
      <c r="AK62" s="438" t="n">
        <v>0.245</v>
      </c>
      <c r="AL62" s="438" t="n">
        <v>0.245</v>
      </c>
      <c r="AM62" s="438" t="n">
        <v>0.25</v>
      </c>
      <c r="AN62" s="438" t="n">
        <v>0.25</v>
      </c>
      <c r="AO62" s="438" t="n">
        <v>0.25</v>
      </c>
      <c r="AP62" s="439" t="n">
        <v>0.25</v>
      </c>
      <c r="AQ62" s="439" t="n">
        <v>0.25</v>
      </c>
      <c r="AR62" s="439" t="n">
        <v>0.25</v>
      </c>
      <c r="AS62" s="439" t="n">
        <v>0.25</v>
      </c>
      <c r="AT62" s="438" t="n">
        <v>0.25</v>
      </c>
      <c r="AU62" s="438" t="n">
        <v>0.25</v>
      </c>
      <c r="AV62" s="438" t="n">
        <v>0.245</v>
      </c>
      <c r="AW62" s="440" t="n">
        <v>0.069134503944115</v>
      </c>
      <c r="AX62" s="440"/>
      <c r="AY62" s="437" t="n">
        <f aca="false">AG62</f>
        <v>0.245</v>
      </c>
      <c r="AZ62" s="437" t="n">
        <f aca="false">AG62</f>
        <v>0.245</v>
      </c>
      <c r="BA62" s="441" t="n">
        <f aca="false">AG62</f>
        <v>0.245</v>
      </c>
      <c r="BB62" s="442" t="n">
        <f aca="false">B62</f>
        <v>38169</v>
      </c>
      <c r="BC62" s="442" t="n">
        <v>0.767676196182775</v>
      </c>
      <c r="BD62" s="418" t="n">
        <v>0.76782036014489</v>
      </c>
      <c r="BF62" s="455" t="n">
        <v>38169</v>
      </c>
      <c r="BG62" s="66" t="n">
        <v>50</v>
      </c>
      <c r="HZ62" s="442" t="n">
        <f aca="false">B64</f>
        <v>38231</v>
      </c>
      <c r="IA62" s="418" t="n">
        <v>52</v>
      </c>
    </row>
    <row r="63" customFormat="false" ht="12.75" hidden="false" customHeight="false" outlineLevel="0" collapsed="false">
      <c r="B63" s="419" t="n">
        <f aca="false">EOMONTH(B62,0)+1</f>
        <v>38200</v>
      </c>
      <c r="C63" s="420" t="n">
        <v>2.947</v>
      </c>
      <c r="D63" s="420" t="n">
        <v>0.25</v>
      </c>
      <c r="E63" s="420" t="n">
        <v>0.069435502457345</v>
      </c>
      <c r="F63" s="420" t="n">
        <v>-0.195</v>
      </c>
      <c r="G63" s="420" t="n">
        <v>0.025</v>
      </c>
      <c r="H63" s="420" t="n">
        <v>-0.195</v>
      </c>
      <c r="I63" s="420" t="n">
        <v>0.045</v>
      </c>
      <c r="J63" s="420" t="n">
        <v>0.1825</v>
      </c>
      <c r="K63" s="420" t="n">
        <v>0.215</v>
      </c>
      <c r="L63" s="420" t="n">
        <v>-0.074</v>
      </c>
      <c r="M63" s="420" t="n">
        <v>-0.024</v>
      </c>
      <c r="N63" s="420" t="n">
        <v>-0.37</v>
      </c>
      <c r="O63" s="420" t="n">
        <v>-0.33</v>
      </c>
      <c r="P63" s="420" t="n">
        <v>0.006</v>
      </c>
      <c r="Q63" s="420" t="n">
        <v>-0.0035</v>
      </c>
      <c r="R63" s="418" t="n">
        <v>-0.0275</v>
      </c>
      <c r="S63" s="418" t="n">
        <v>-0.0575</v>
      </c>
      <c r="T63" s="418" t="n">
        <v>-0.11</v>
      </c>
      <c r="U63" s="418" t="n">
        <v>-0.01375</v>
      </c>
      <c r="V63" s="418" t="n">
        <v>-0.0875</v>
      </c>
      <c r="W63" s="418" t="n">
        <v>-0.1225</v>
      </c>
      <c r="X63" s="418" t="n">
        <v>0.495</v>
      </c>
      <c r="Y63" s="418" t="n">
        <v>0.005</v>
      </c>
      <c r="Z63" s="418" t="n">
        <v>-0.2</v>
      </c>
      <c r="AA63" s="418" t="n">
        <v>-0.022</v>
      </c>
      <c r="AB63" s="437" t="n">
        <v>0.285</v>
      </c>
      <c r="AC63" s="437" t="n">
        <v>0.3</v>
      </c>
      <c r="AD63" s="437" t="n">
        <v>0.14</v>
      </c>
      <c r="AE63" s="438" t="n">
        <v>0.25</v>
      </c>
      <c r="AF63" s="438" t="n">
        <v>0.25</v>
      </c>
      <c r="AG63" s="438" t="n">
        <v>0.245</v>
      </c>
      <c r="AH63" s="438" t="n">
        <v>0.25</v>
      </c>
      <c r="AI63" s="438" t="n">
        <v>0.255</v>
      </c>
      <c r="AJ63" s="438" t="n">
        <v>0.25</v>
      </c>
      <c r="AK63" s="438" t="n">
        <v>0.245</v>
      </c>
      <c r="AL63" s="438" t="n">
        <v>0.245</v>
      </c>
      <c r="AM63" s="438" t="n">
        <v>0.25</v>
      </c>
      <c r="AN63" s="438" t="n">
        <v>0.25</v>
      </c>
      <c r="AO63" s="438" t="n">
        <v>0.25</v>
      </c>
      <c r="AP63" s="439" t="n">
        <v>0.25</v>
      </c>
      <c r="AQ63" s="439" t="n">
        <v>0.25</v>
      </c>
      <c r="AR63" s="439" t="n">
        <v>0.25</v>
      </c>
      <c r="AS63" s="439" t="n">
        <v>0.25</v>
      </c>
      <c r="AT63" s="438" t="n">
        <v>0.25</v>
      </c>
      <c r="AU63" s="438" t="n">
        <v>0.25</v>
      </c>
      <c r="AV63" s="438" t="n">
        <v>0.245</v>
      </c>
      <c r="AW63" s="440" t="n">
        <v>0.069153549096239</v>
      </c>
      <c r="AX63" s="440"/>
      <c r="AY63" s="437" t="n">
        <f aca="false">AG63</f>
        <v>0.245</v>
      </c>
      <c r="AZ63" s="437" t="n">
        <f aca="false">AG63</f>
        <v>0.245</v>
      </c>
      <c r="BA63" s="441" t="n">
        <f aca="false">AG63</f>
        <v>0.245</v>
      </c>
      <c r="BB63" s="442" t="n">
        <f aca="false">B63</f>
        <v>38200</v>
      </c>
      <c r="BC63" s="442" t="n">
        <v>0.763169861139102</v>
      </c>
      <c r="BD63" s="418" t="n">
        <v>0.763313214049902</v>
      </c>
      <c r="BF63" s="455" t="n">
        <v>38200</v>
      </c>
      <c r="BG63" s="66" t="n">
        <v>51</v>
      </c>
      <c r="HZ63" s="442" t="n">
        <f aca="false">B65</f>
        <v>38261</v>
      </c>
      <c r="IA63" s="418" t="n">
        <v>53</v>
      </c>
    </row>
    <row r="64" customFormat="false" ht="12.75" hidden="false" customHeight="false" outlineLevel="0" collapsed="false">
      <c r="B64" s="419" t="n">
        <f aca="false">EOMONTH(B63,0)+1</f>
        <v>38231</v>
      </c>
      <c r="C64" s="420" t="n">
        <v>2.929</v>
      </c>
      <c r="D64" s="420" t="n">
        <v>0.25</v>
      </c>
      <c r="E64" s="420" t="n">
        <v>0.069467052703591</v>
      </c>
      <c r="F64" s="420" t="n">
        <v>-0.195</v>
      </c>
      <c r="G64" s="420" t="n">
        <v>0.0175</v>
      </c>
      <c r="H64" s="420" t="n">
        <v>-0.195</v>
      </c>
      <c r="I64" s="420" t="n">
        <v>0.0425</v>
      </c>
      <c r="J64" s="420" t="n">
        <v>0.1825</v>
      </c>
      <c r="K64" s="420" t="n">
        <v>0.195</v>
      </c>
      <c r="L64" s="420" t="n">
        <v>-0.054</v>
      </c>
      <c r="M64" s="420" t="n">
        <v>-0.024</v>
      </c>
      <c r="N64" s="420" t="n">
        <v>-0.37</v>
      </c>
      <c r="O64" s="420" t="n">
        <v>-0.33</v>
      </c>
      <c r="P64" s="420" t="n">
        <v>0.006</v>
      </c>
      <c r="Q64" s="420" t="n">
        <v>-0.0035</v>
      </c>
      <c r="R64" s="418" t="n">
        <v>-0.0275</v>
      </c>
      <c r="S64" s="418" t="n">
        <v>-0.0575</v>
      </c>
      <c r="T64" s="418" t="n">
        <v>-0.1</v>
      </c>
      <c r="U64" s="418" t="n">
        <v>-0.01375</v>
      </c>
      <c r="V64" s="418" t="n">
        <v>-0.1025</v>
      </c>
      <c r="W64" s="418" t="n">
        <v>-0.1225</v>
      </c>
      <c r="X64" s="418" t="n">
        <v>0.395</v>
      </c>
      <c r="Y64" s="418" t="n">
        <v>0.005</v>
      </c>
      <c r="Z64" s="418" t="n">
        <v>-0.2</v>
      </c>
      <c r="AA64" s="418" t="n">
        <v>-0.022</v>
      </c>
      <c r="AB64" s="437" t="n">
        <v>0.285</v>
      </c>
      <c r="AC64" s="437" t="n">
        <v>0.29</v>
      </c>
      <c r="AD64" s="437" t="n">
        <v>0.1375</v>
      </c>
      <c r="AE64" s="438" t="n">
        <v>0.25</v>
      </c>
      <c r="AF64" s="438" t="n">
        <v>0.25</v>
      </c>
      <c r="AG64" s="438" t="n">
        <v>0.245</v>
      </c>
      <c r="AH64" s="438" t="n">
        <v>0.25</v>
      </c>
      <c r="AI64" s="438" t="n">
        <v>0.255</v>
      </c>
      <c r="AJ64" s="438" t="n">
        <v>0.25</v>
      </c>
      <c r="AK64" s="438" t="n">
        <v>0.245</v>
      </c>
      <c r="AL64" s="438" t="n">
        <v>0.245</v>
      </c>
      <c r="AM64" s="438" t="n">
        <v>0.25</v>
      </c>
      <c r="AN64" s="438" t="n">
        <v>0.25</v>
      </c>
      <c r="AO64" s="438" t="n">
        <v>0.25</v>
      </c>
      <c r="AP64" s="439" t="n">
        <v>0.25</v>
      </c>
      <c r="AQ64" s="439" t="n">
        <v>0.25</v>
      </c>
      <c r="AR64" s="439" t="n">
        <v>0.25</v>
      </c>
      <c r="AS64" s="439" t="n">
        <v>0.25</v>
      </c>
      <c r="AT64" s="438" t="n">
        <v>0.25</v>
      </c>
      <c r="AU64" s="438" t="n">
        <v>0.25</v>
      </c>
      <c r="AV64" s="438" t="n">
        <v>0.245</v>
      </c>
      <c r="AW64" s="440" t="n">
        <v>0.069172594248482</v>
      </c>
      <c r="AX64" s="440"/>
      <c r="AY64" s="437" t="n">
        <f aca="false">AG64</f>
        <v>0.245</v>
      </c>
      <c r="AZ64" s="437" t="n">
        <f aca="false">AG64</f>
        <v>0.245</v>
      </c>
      <c r="BA64" s="441" t="n">
        <f aca="false">AG64</f>
        <v>0.245</v>
      </c>
      <c r="BB64" s="442" t="n">
        <f aca="false">B64</f>
        <v>38231</v>
      </c>
      <c r="BC64" s="442" t="n">
        <v>0.758687809650196</v>
      </c>
      <c r="BD64" s="418" t="n">
        <v>0.758830355656144</v>
      </c>
      <c r="BF64" s="455" t="n">
        <v>38231</v>
      </c>
      <c r="BG64" s="66" t="n">
        <v>52</v>
      </c>
      <c r="HZ64" s="442" t="n">
        <f aca="false">B66</f>
        <v>38292</v>
      </c>
      <c r="IA64" s="418" t="n">
        <v>54</v>
      </c>
    </row>
    <row r="65" customFormat="false" ht="12.75" hidden="false" customHeight="false" outlineLevel="0" collapsed="false">
      <c r="B65" s="419" t="n">
        <f aca="false">EOMONTH(B64,0)+1</f>
        <v>38261</v>
      </c>
      <c r="C65" s="420" t="n">
        <v>2.943</v>
      </c>
      <c r="D65" s="420" t="n">
        <v>0.25</v>
      </c>
      <c r="E65" s="420" t="n">
        <v>0.069497585200271</v>
      </c>
      <c r="F65" s="420" t="n">
        <v>-0.195</v>
      </c>
      <c r="G65" s="420" t="n">
        <v>0.0075</v>
      </c>
      <c r="H65" s="420" t="n">
        <v>-0.195</v>
      </c>
      <c r="I65" s="420" t="n">
        <v>0.0575</v>
      </c>
      <c r="J65" s="420" t="n">
        <v>0.1875</v>
      </c>
      <c r="K65" s="420" t="n">
        <v>0.215</v>
      </c>
      <c r="L65" s="420" t="n">
        <v>-0.064</v>
      </c>
      <c r="M65" s="420" t="n">
        <v>-0.024</v>
      </c>
      <c r="N65" s="420" t="n">
        <v>-0.37</v>
      </c>
      <c r="O65" s="420" t="n">
        <v>-0.33</v>
      </c>
      <c r="P65" s="420" t="n">
        <v>0.006</v>
      </c>
      <c r="Q65" s="420" t="n">
        <v>-0.0035</v>
      </c>
      <c r="R65" s="418" t="n">
        <v>-0.0275</v>
      </c>
      <c r="S65" s="418" t="n">
        <v>-0.0575</v>
      </c>
      <c r="T65" s="418" t="n">
        <v>-0.085</v>
      </c>
      <c r="U65" s="418" t="n">
        <v>-0.01375</v>
      </c>
      <c r="V65" s="418" t="n">
        <v>-0.105</v>
      </c>
      <c r="W65" s="418" t="n">
        <v>-0.1225</v>
      </c>
      <c r="X65" s="418" t="n">
        <v>0.461</v>
      </c>
      <c r="Y65" s="418" t="n">
        <v>0.005</v>
      </c>
      <c r="Z65" s="418" t="n">
        <v>-0.2</v>
      </c>
      <c r="AA65" s="418" t="n">
        <v>-0.022</v>
      </c>
      <c r="AB65" s="437" t="n">
        <v>0.285</v>
      </c>
      <c r="AC65" s="437" t="n">
        <v>0.3625</v>
      </c>
      <c r="AD65" s="437" t="n">
        <v>0.1525</v>
      </c>
      <c r="AE65" s="438" t="n">
        <v>0.25</v>
      </c>
      <c r="AF65" s="438" t="n">
        <v>0.25</v>
      </c>
      <c r="AG65" s="438" t="n">
        <v>0.245</v>
      </c>
      <c r="AH65" s="438" t="n">
        <v>0.25</v>
      </c>
      <c r="AI65" s="438" t="n">
        <v>0.255</v>
      </c>
      <c r="AJ65" s="438" t="n">
        <v>0.25</v>
      </c>
      <c r="AK65" s="438" t="n">
        <v>0.245</v>
      </c>
      <c r="AL65" s="438" t="n">
        <v>0.245</v>
      </c>
      <c r="AM65" s="438" t="n">
        <v>0.25</v>
      </c>
      <c r="AN65" s="438" t="n">
        <v>0.25</v>
      </c>
      <c r="AO65" s="438" t="n">
        <v>0.25</v>
      </c>
      <c r="AP65" s="439" t="n">
        <v>0.25</v>
      </c>
      <c r="AQ65" s="439" t="n">
        <v>0.25</v>
      </c>
      <c r="AR65" s="439" t="n">
        <v>0.25</v>
      </c>
      <c r="AS65" s="439" t="n">
        <v>0.25</v>
      </c>
      <c r="AT65" s="438" t="n">
        <v>0.25</v>
      </c>
      <c r="AU65" s="438" t="n">
        <v>0.25</v>
      </c>
      <c r="AV65" s="438" t="n">
        <v>0.245</v>
      </c>
      <c r="AW65" s="440" t="n">
        <v>0.06919102504109</v>
      </c>
      <c r="AX65" s="440"/>
      <c r="AY65" s="437" t="n">
        <f aca="false">AG65</f>
        <v>0.245</v>
      </c>
      <c r="AZ65" s="437" t="n">
        <f aca="false">AG65</f>
        <v>0.245</v>
      </c>
      <c r="BA65" s="441" t="n">
        <f aca="false">AG65</f>
        <v>0.245</v>
      </c>
      <c r="BB65" s="442" t="n">
        <f aca="false">B65</f>
        <v>38261</v>
      </c>
      <c r="BC65" s="442" t="n">
        <v>0.754373351406899</v>
      </c>
      <c r="BD65" s="418" t="n">
        <v>0.754515120467622</v>
      </c>
      <c r="BF65" s="455" t="n">
        <v>38261</v>
      </c>
      <c r="BG65" s="66" t="n">
        <v>53</v>
      </c>
      <c r="HZ65" s="442" t="n">
        <f aca="false">B67</f>
        <v>38322</v>
      </c>
      <c r="IA65" s="418" t="n">
        <v>55</v>
      </c>
    </row>
    <row r="66" customFormat="false" ht="12.75" hidden="false" customHeight="false" outlineLevel="0" collapsed="false">
      <c r="B66" s="419" t="n">
        <f aca="false">EOMONTH(B65,0)+1</f>
        <v>38292</v>
      </c>
      <c r="C66" s="420" t="n">
        <v>3.03</v>
      </c>
      <c r="D66" s="420" t="n">
        <v>0.2525</v>
      </c>
      <c r="E66" s="420" t="n">
        <v>0.069529135447163</v>
      </c>
      <c r="F66" s="420" t="n">
        <v>-0.19</v>
      </c>
      <c r="G66" s="420" t="n">
        <v>-0.0325</v>
      </c>
      <c r="H66" s="420" t="n">
        <v>-0.19</v>
      </c>
      <c r="I66" s="420" t="n">
        <v>0.1075</v>
      </c>
      <c r="J66" s="420" t="n">
        <v>0.27</v>
      </c>
      <c r="K66" s="420" t="n">
        <v>0.2875</v>
      </c>
      <c r="L66" s="420" t="n">
        <v>-0.079</v>
      </c>
      <c r="M66" s="420" t="n">
        <v>-0.0165</v>
      </c>
      <c r="N66" s="420" t="n">
        <v>-0.28</v>
      </c>
      <c r="O66" s="420" t="n">
        <v>0</v>
      </c>
      <c r="P66" s="420" t="n">
        <v>0.0125</v>
      </c>
      <c r="Q66" s="420" t="n">
        <v>-0.0115</v>
      </c>
      <c r="R66" s="418" t="n">
        <v>-0.0305</v>
      </c>
      <c r="S66" s="418" t="n">
        <v>-0.0525</v>
      </c>
      <c r="T66" s="418" t="n">
        <v>-0.025</v>
      </c>
      <c r="U66" s="418" t="n">
        <v>-0.031</v>
      </c>
      <c r="V66" s="418" t="n">
        <v>-0.1025</v>
      </c>
      <c r="W66" s="418" t="n">
        <v>-0.135</v>
      </c>
      <c r="X66" s="418" t="n">
        <v>0.7625</v>
      </c>
      <c r="Y66" s="418" t="n">
        <v>0.005</v>
      </c>
      <c r="Z66" s="418" t="n">
        <v>-0.19</v>
      </c>
      <c r="AA66" s="418" t="n">
        <v>-0.0235</v>
      </c>
      <c r="AB66" s="437" t="n">
        <v>0.12</v>
      </c>
      <c r="AC66" s="437" t="n">
        <v>0.46</v>
      </c>
      <c r="AD66" s="437" t="n">
        <v>0.2025</v>
      </c>
      <c r="AE66" s="438" t="n">
        <v>0.253</v>
      </c>
      <c r="AF66" s="438" t="n">
        <v>0.253</v>
      </c>
      <c r="AG66" s="438" t="n">
        <v>0.278</v>
      </c>
      <c r="AH66" s="438" t="n">
        <v>0.253</v>
      </c>
      <c r="AI66" s="438" t="n">
        <v>0.258</v>
      </c>
      <c r="AJ66" s="438" t="n">
        <v>0.253</v>
      </c>
      <c r="AK66" s="438" t="n">
        <v>0.253</v>
      </c>
      <c r="AL66" s="438" t="n">
        <v>0.253</v>
      </c>
      <c r="AM66" s="438" t="n">
        <v>0.253</v>
      </c>
      <c r="AN66" s="438" t="n">
        <v>0.253</v>
      </c>
      <c r="AO66" s="438" t="n">
        <v>0.253</v>
      </c>
      <c r="AP66" s="439" t="n">
        <v>0.253</v>
      </c>
      <c r="AQ66" s="439" t="n">
        <v>0.253</v>
      </c>
      <c r="AR66" s="439" t="n">
        <v>0.253</v>
      </c>
      <c r="AS66" s="439" t="n">
        <v>0.253</v>
      </c>
      <c r="AT66" s="438" t="n">
        <v>0.253</v>
      </c>
      <c r="AU66" s="438" t="n">
        <v>0.253</v>
      </c>
      <c r="AV66" s="438" t="n">
        <v>0.278</v>
      </c>
      <c r="AW66" s="440" t="n">
        <v>0.06921007019357</v>
      </c>
      <c r="AX66" s="440"/>
      <c r="AY66" s="437" t="n">
        <f aca="false">AG66</f>
        <v>0.278</v>
      </c>
      <c r="AZ66" s="437" t="n">
        <f aca="false">AG66</f>
        <v>0.278</v>
      </c>
      <c r="BA66" s="441" t="n">
        <f aca="false">AG66</f>
        <v>0.278</v>
      </c>
      <c r="BB66" s="442" t="n">
        <f aca="false">B66</f>
        <v>38292</v>
      </c>
      <c r="BC66" s="442" t="n">
        <v>0.749938742409726</v>
      </c>
      <c r="BD66" s="418" t="n">
        <v>0.750079712670436</v>
      </c>
      <c r="BF66" s="455" t="n">
        <v>38292</v>
      </c>
      <c r="BG66" s="66" t="n">
        <v>54</v>
      </c>
      <c r="HZ66" s="442" t="n">
        <f aca="false">B68</f>
        <v>38353</v>
      </c>
      <c r="IA66" s="418" t="n">
        <v>56</v>
      </c>
    </row>
    <row r="67" customFormat="false" ht="12.75" hidden="false" customHeight="false" outlineLevel="0" collapsed="false">
      <c r="A67" s="473"/>
      <c r="B67" s="419" t="n">
        <f aca="false">EOMONTH(B66,0)+1</f>
        <v>38322</v>
      </c>
      <c r="C67" s="420" t="n">
        <v>3.113</v>
      </c>
      <c r="D67" s="420" t="n">
        <v>0.255</v>
      </c>
      <c r="E67" s="420" t="n">
        <v>0.06955966794447</v>
      </c>
      <c r="F67" s="420" t="n">
        <v>-0.1975</v>
      </c>
      <c r="G67" s="420" t="n">
        <v>-0.055</v>
      </c>
      <c r="H67" s="420" t="n">
        <v>-0.1975</v>
      </c>
      <c r="I67" s="420" t="n">
        <v>0.1475</v>
      </c>
      <c r="J67" s="420" t="n">
        <v>0.305</v>
      </c>
      <c r="K67" s="420" t="n">
        <v>0.3375</v>
      </c>
      <c r="L67" s="420" t="n">
        <v>-0.079</v>
      </c>
      <c r="M67" s="420" t="n">
        <v>-0.0165</v>
      </c>
      <c r="N67" s="420" t="n">
        <v>-0.28</v>
      </c>
      <c r="O67" s="420" t="n">
        <v>0.06</v>
      </c>
      <c r="P67" s="420" t="n">
        <v>0.0125</v>
      </c>
      <c r="Q67" s="420" t="n">
        <v>-0.0115</v>
      </c>
      <c r="R67" s="418" t="n">
        <v>-0.0305</v>
      </c>
      <c r="S67" s="418" t="n">
        <v>-0.0525</v>
      </c>
      <c r="T67" s="418" t="n">
        <v>-0.0175</v>
      </c>
      <c r="U67" s="418" t="n">
        <v>-0.031</v>
      </c>
      <c r="V67" s="418" t="n">
        <v>-0.1375</v>
      </c>
      <c r="W67" s="418" t="n">
        <v>-0.13</v>
      </c>
      <c r="X67" s="418" t="n">
        <v>1.18</v>
      </c>
      <c r="Y67" s="418" t="n">
        <v>0.005</v>
      </c>
      <c r="Z67" s="418" t="n">
        <v>-0.19</v>
      </c>
      <c r="AA67" s="418" t="n">
        <v>-0.0235</v>
      </c>
      <c r="AB67" s="437" t="n">
        <v>0.12</v>
      </c>
      <c r="AC67" s="437" t="n">
        <v>0.79</v>
      </c>
      <c r="AD67" s="437" t="n">
        <v>0.2425</v>
      </c>
      <c r="AE67" s="438" t="n">
        <v>0.255</v>
      </c>
      <c r="AF67" s="438" t="n">
        <v>0.255</v>
      </c>
      <c r="AG67" s="438" t="n">
        <v>0.281</v>
      </c>
      <c r="AH67" s="438" t="n">
        <v>0.255</v>
      </c>
      <c r="AI67" s="438" t="n">
        <v>0.26</v>
      </c>
      <c r="AJ67" s="438" t="n">
        <v>0.255</v>
      </c>
      <c r="AK67" s="438" t="n">
        <v>0.255</v>
      </c>
      <c r="AL67" s="438" t="n">
        <v>0.255</v>
      </c>
      <c r="AM67" s="438" t="n">
        <v>0.255</v>
      </c>
      <c r="AN67" s="438" t="n">
        <v>0.255</v>
      </c>
      <c r="AO67" s="438" t="n">
        <v>0.255</v>
      </c>
      <c r="AP67" s="439" t="n">
        <v>0.255</v>
      </c>
      <c r="AQ67" s="439" t="n">
        <v>0.255</v>
      </c>
      <c r="AR67" s="439" t="n">
        <v>0.255</v>
      </c>
      <c r="AS67" s="439" t="n">
        <v>0.255</v>
      </c>
      <c r="AT67" s="438" t="n">
        <v>0.255</v>
      </c>
      <c r="AU67" s="438" t="n">
        <v>0.255</v>
      </c>
      <c r="AV67" s="438" t="n">
        <v>0.281</v>
      </c>
      <c r="AW67" s="440" t="n">
        <v>0.069228500986406</v>
      </c>
      <c r="AX67" s="440"/>
      <c r="AY67" s="437" t="n">
        <f aca="false">AG67</f>
        <v>0.281</v>
      </c>
      <c r="AZ67" s="437" t="n">
        <f aca="false">AG67</f>
        <v>0.281</v>
      </c>
      <c r="BA67" s="441" t="n">
        <f aca="false">AG67</f>
        <v>0.281</v>
      </c>
      <c r="BB67" s="442" t="n">
        <f aca="false">B67</f>
        <v>38322</v>
      </c>
      <c r="BC67" s="442" t="n">
        <v>0.745669978307069</v>
      </c>
      <c r="BD67" s="418" t="n">
        <v>0.745810179431234</v>
      </c>
      <c r="BF67" s="455" t="n">
        <v>38322</v>
      </c>
      <c r="BG67" s="66" t="n">
        <v>55</v>
      </c>
      <c r="HZ67" s="442" t="n">
        <f aca="false">B69</f>
        <v>38384</v>
      </c>
      <c r="IA67" s="418" t="n">
        <v>57</v>
      </c>
    </row>
    <row r="68" customFormat="false" ht="12.75" hidden="false" customHeight="false" outlineLevel="0" collapsed="false">
      <c r="A68" s="470"/>
      <c r="B68" s="419" t="n">
        <f aca="false">EOMONTH(B67,0)+1</f>
        <v>38353</v>
      </c>
      <c r="C68" s="420" t="n">
        <v>3.311</v>
      </c>
      <c r="D68" s="420" t="n">
        <v>0.26</v>
      </c>
      <c r="E68" s="420" t="n">
        <v>0.069591218192011</v>
      </c>
      <c r="F68" s="420" t="n">
        <v>-0.2</v>
      </c>
      <c r="G68" s="420" t="n">
        <v>-0.0575</v>
      </c>
      <c r="H68" s="420" t="n">
        <v>-0.2</v>
      </c>
      <c r="I68" s="420" t="n">
        <v>0.1825</v>
      </c>
      <c r="J68" s="420" t="n">
        <v>0.305</v>
      </c>
      <c r="K68" s="420" t="n">
        <v>0.4375</v>
      </c>
      <c r="L68" s="420" t="n">
        <v>-0.079</v>
      </c>
      <c r="M68" s="420" t="n">
        <v>-0.0145</v>
      </c>
      <c r="N68" s="420" t="n">
        <v>-0.28</v>
      </c>
      <c r="O68" s="420" t="n">
        <v>0.13</v>
      </c>
      <c r="P68" s="420" t="n">
        <v>0.0125</v>
      </c>
      <c r="Q68" s="420" t="n">
        <v>-0.0115</v>
      </c>
      <c r="R68" s="418" t="n">
        <v>-0.028</v>
      </c>
      <c r="S68" s="418" t="n">
        <v>-0.0525</v>
      </c>
      <c r="T68" s="418" t="n">
        <v>-0.0025</v>
      </c>
      <c r="U68" s="418" t="n">
        <v>-0.031</v>
      </c>
      <c r="V68" s="418" t="n">
        <v>-0.143</v>
      </c>
      <c r="W68" s="418" t="n">
        <v>-0.13</v>
      </c>
      <c r="X68" s="418" t="n">
        <v>1.51</v>
      </c>
      <c r="Y68" s="418" t="n">
        <v>0.005</v>
      </c>
      <c r="Z68" s="418" t="n">
        <v>-0.19</v>
      </c>
      <c r="AA68" s="418" t="n">
        <v>-0.0235</v>
      </c>
      <c r="AB68" s="437" t="n">
        <v>0.12</v>
      </c>
      <c r="AC68" s="437" t="n">
        <v>0.96</v>
      </c>
      <c r="AD68" s="437" t="n">
        <v>0.2775</v>
      </c>
      <c r="AE68" s="438" t="n">
        <v>0.26</v>
      </c>
      <c r="AF68" s="438" t="n">
        <v>0.26</v>
      </c>
      <c r="AG68" s="438" t="n">
        <v>0.286</v>
      </c>
      <c r="AH68" s="438" t="n">
        <v>0.26</v>
      </c>
      <c r="AI68" s="438" t="n">
        <v>0.265</v>
      </c>
      <c r="AJ68" s="438" t="n">
        <v>0.26</v>
      </c>
      <c r="AK68" s="438" t="n">
        <v>0.26</v>
      </c>
      <c r="AL68" s="438" t="n">
        <v>0.26</v>
      </c>
      <c r="AM68" s="438" t="n">
        <v>0.26</v>
      </c>
      <c r="AN68" s="438" t="n">
        <v>0.26</v>
      </c>
      <c r="AO68" s="438" t="n">
        <v>0.26</v>
      </c>
      <c r="AP68" s="439" t="n">
        <v>0.26</v>
      </c>
      <c r="AQ68" s="439" t="n">
        <v>0.26</v>
      </c>
      <c r="AR68" s="439" t="n">
        <v>0.26</v>
      </c>
      <c r="AS68" s="439" t="n">
        <v>0.26</v>
      </c>
      <c r="AT68" s="438" t="n">
        <v>0.26</v>
      </c>
      <c r="AU68" s="438" t="n">
        <v>0.26</v>
      </c>
      <c r="AV68" s="438" t="n">
        <v>0.286</v>
      </c>
      <c r="AW68" s="440" t="n">
        <v>0.069247546139122</v>
      </c>
      <c r="AX68" s="440"/>
      <c r="AY68" s="437" t="n">
        <f aca="false">AG68</f>
        <v>0.286</v>
      </c>
      <c r="AZ68" s="437" t="n">
        <f aca="false">AG68</f>
        <v>0.286</v>
      </c>
      <c r="BA68" s="441" t="n">
        <f aca="false">AG68</f>
        <v>0.286</v>
      </c>
      <c r="BB68" s="442" t="n">
        <f aca="false">B68</f>
        <v>38353</v>
      </c>
      <c r="BC68" s="442" t="n">
        <v>0.741282362291295</v>
      </c>
      <c r="BD68" s="418" t="n">
        <v>0.741421772648677</v>
      </c>
      <c r="BF68" s="455" t="n">
        <v>38353</v>
      </c>
      <c r="BG68" s="66" t="n">
        <v>56</v>
      </c>
      <c r="HZ68" s="442" t="n">
        <f aca="false">B70</f>
        <v>38412</v>
      </c>
      <c r="IA68" s="418" t="n">
        <v>58</v>
      </c>
    </row>
    <row r="69" customFormat="false" ht="12.75" hidden="false" customHeight="false" outlineLevel="0" collapsed="false">
      <c r="A69" s="470"/>
      <c r="B69" s="419" t="n">
        <f aca="false">EOMONTH(B68,0)+1</f>
        <v>38384</v>
      </c>
      <c r="C69" s="420" t="n">
        <v>3.177</v>
      </c>
      <c r="D69" s="420" t="n">
        <v>0.2475</v>
      </c>
      <c r="E69" s="420" t="n">
        <v>0.069622768439881</v>
      </c>
      <c r="F69" s="420" t="n">
        <v>-0.2025</v>
      </c>
      <c r="G69" s="420" t="n">
        <v>-0.04</v>
      </c>
      <c r="H69" s="420" t="n">
        <v>-0.2025</v>
      </c>
      <c r="I69" s="420" t="n">
        <v>0.1625</v>
      </c>
      <c r="J69" s="420" t="n">
        <v>0.305</v>
      </c>
      <c r="K69" s="420" t="n">
        <v>0.435</v>
      </c>
      <c r="L69" s="420" t="n">
        <v>-0.079</v>
      </c>
      <c r="M69" s="420" t="n">
        <v>-0.0145</v>
      </c>
      <c r="N69" s="420" t="n">
        <v>-0.28</v>
      </c>
      <c r="O69" s="420" t="n">
        <v>0</v>
      </c>
      <c r="P69" s="420" t="n">
        <v>0.0125</v>
      </c>
      <c r="Q69" s="420" t="n">
        <v>-0.0115</v>
      </c>
      <c r="R69" s="418" t="n">
        <v>-0.028</v>
      </c>
      <c r="S69" s="418" t="n">
        <v>-0.0525</v>
      </c>
      <c r="T69" s="418" t="n">
        <v>-0.0025</v>
      </c>
      <c r="U69" s="418" t="n">
        <v>-0.031</v>
      </c>
      <c r="V69" s="418" t="n">
        <v>-0.1255</v>
      </c>
      <c r="W69" s="418" t="n">
        <v>-0.13</v>
      </c>
      <c r="X69" s="418" t="n">
        <v>1.44</v>
      </c>
      <c r="Y69" s="418" t="n">
        <v>0.005</v>
      </c>
      <c r="Z69" s="418" t="n">
        <v>-0.19</v>
      </c>
      <c r="AA69" s="418" t="n">
        <v>-0.0235</v>
      </c>
      <c r="AB69" s="437" t="n">
        <v>0.12</v>
      </c>
      <c r="AC69" s="437" t="n">
        <v>0.96</v>
      </c>
      <c r="AD69" s="437" t="n">
        <v>0.2575</v>
      </c>
      <c r="AE69" s="438" t="n">
        <v>0.248</v>
      </c>
      <c r="AF69" s="438" t="n">
        <v>0.248</v>
      </c>
      <c r="AG69" s="438" t="n">
        <v>0.272</v>
      </c>
      <c r="AH69" s="438" t="n">
        <v>0.248</v>
      </c>
      <c r="AI69" s="438" t="n">
        <v>0.252</v>
      </c>
      <c r="AJ69" s="438" t="n">
        <v>0.248</v>
      </c>
      <c r="AK69" s="438" t="n">
        <v>0.248</v>
      </c>
      <c r="AL69" s="438" t="n">
        <v>0.248</v>
      </c>
      <c r="AM69" s="438" t="n">
        <v>0.248</v>
      </c>
      <c r="AN69" s="438" t="n">
        <v>0.248</v>
      </c>
      <c r="AO69" s="438" t="n">
        <v>0.248</v>
      </c>
      <c r="AP69" s="439" t="n">
        <v>0.248</v>
      </c>
      <c r="AQ69" s="439" t="n">
        <v>0.248</v>
      </c>
      <c r="AR69" s="439" t="n">
        <v>0.248</v>
      </c>
      <c r="AS69" s="439" t="n">
        <v>0.248</v>
      </c>
      <c r="AT69" s="438" t="n">
        <v>0.248</v>
      </c>
      <c r="AU69" s="438" t="n">
        <v>0.248</v>
      </c>
      <c r="AV69" s="438" t="n">
        <v>0.272</v>
      </c>
      <c r="AW69" s="440" t="n">
        <v>0.069266591291958</v>
      </c>
      <c r="AX69" s="440"/>
      <c r="AY69" s="437" t="n">
        <f aca="false">AG69</f>
        <v>0.272</v>
      </c>
      <c r="AZ69" s="437" t="n">
        <f aca="false">AG69</f>
        <v>0.272</v>
      </c>
      <c r="BA69" s="441" t="n">
        <f aca="false">AG69</f>
        <v>0.272</v>
      </c>
      <c r="BB69" s="442" t="n">
        <f aca="false">B69</f>
        <v>38384</v>
      </c>
      <c r="BC69" s="442" t="n">
        <v>0.73691845685325</v>
      </c>
      <c r="BD69" s="418" t="n">
        <v>0.737057080499033</v>
      </c>
      <c r="BF69" s="455" t="n">
        <v>38384</v>
      </c>
      <c r="BG69" s="66" t="n">
        <v>57</v>
      </c>
      <c r="HZ69" s="442" t="n">
        <f aca="false">B71</f>
        <v>38443</v>
      </c>
      <c r="IA69" s="418" t="n">
        <v>59</v>
      </c>
    </row>
    <row r="70" customFormat="false" ht="12.75" hidden="false" customHeight="false" outlineLevel="0" collapsed="false">
      <c r="A70" s="470"/>
      <c r="B70" s="419" t="n">
        <f aca="false">EOMONTH(B69,0)+1</f>
        <v>38412</v>
      </c>
      <c r="C70" s="420" t="n">
        <v>3.013</v>
      </c>
      <c r="D70" s="420" t="n">
        <v>0.2425</v>
      </c>
      <c r="E70" s="420" t="n">
        <v>0.069651265438239</v>
      </c>
      <c r="F70" s="420" t="n">
        <v>-0.205</v>
      </c>
      <c r="G70" s="420" t="n">
        <v>-0.0275</v>
      </c>
      <c r="H70" s="420" t="n">
        <v>-0.205</v>
      </c>
      <c r="I70" s="420" t="n">
        <v>0.1625</v>
      </c>
      <c r="J70" s="420" t="n">
        <v>0.265</v>
      </c>
      <c r="K70" s="420" t="n">
        <v>0.3025</v>
      </c>
      <c r="L70" s="420" t="n">
        <v>-0.079</v>
      </c>
      <c r="M70" s="420" t="n">
        <v>-0.0145</v>
      </c>
      <c r="N70" s="420" t="n">
        <v>-0.28</v>
      </c>
      <c r="O70" s="420" t="n">
        <v>-0.18</v>
      </c>
      <c r="P70" s="420" t="n">
        <v>0.0125</v>
      </c>
      <c r="Q70" s="420" t="n">
        <v>-0.0115</v>
      </c>
      <c r="R70" s="418" t="n">
        <v>-0.028</v>
      </c>
      <c r="S70" s="418" t="n">
        <v>-0.0525</v>
      </c>
      <c r="T70" s="418" t="n">
        <v>-0.0025</v>
      </c>
      <c r="U70" s="418" t="n">
        <v>-0.031</v>
      </c>
      <c r="V70" s="418" t="n">
        <v>-0.108</v>
      </c>
      <c r="W70" s="418" t="n">
        <v>-0.135</v>
      </c>
      <c r="X70" s="418" t="n">
        <v>0.83</v>
      </c>
      <c r="Y70" s="418" t="n">
        <v>0.005</v>
      </c>
      <c r="Z70" s="418" t="n">
        <v>-0.19</v>
      </c>
      <c r="AA70" s="418" t="n">
        <v>-0.0235</v>
      </c>
      <c r="AB70" s="437" t="n">
        <v>0.12</v>
      </c>
      <c r="AC70" s="437" t="n">
        <v>0.6025</v>
      </c>
      <c r="AD70" s="437" t="n">
        <v>0.2575</v>
      </c>
      <c r="AE70" s="438" t="n">
        <v>0.243</v>
      </c>
      <c r="AF70" s="438" t="n">
        <v>0.243</v>
      </c>
      <c r="AG70" s="438" t="n">
        <v>0.267</v>
      </c>
      <c r="AH70" s="438" t="n">
        <v>0.243</v>
      </c>
      <c r="AI70" s="438" t="n">
        <v>0.247</v>
      </c>
      <c r="AJ70" s="438" t="n">
        <v>0.243</v>
      </c>
      <c r="AK70" s="438" t="n">
        <v>0.243</v>
      </c>
      <c r="AL70" s="438" t="n">
        <v>0.243</v>
      </c>
      <c r="AM70" s="438" t="n">
        <v>0.243</v>
      </c>
      <c r="AN70" s="438" t="n">
        <v>0.243</v>
      </c>
      <c r="AO70" s="438" t="n">
        <v>0.243</v>
      </c>
      <c r="AP70" s="439" t="n">
        <v>0.243</v>
      </c>
      <c r="AQ70" s="439" t="n">
        <v>0.243</v>
      </c>
      <c r="AR70" s="439" t="n">
        <v>0.243</v>
      </c>
      <c r="AS70" s="439" t="n">
        <v>0.243</v>
      </c>
      <c r="AT70" s="438" t="n">
        <v>0.243</v>
      </c>
      <c r="AU70" s="438" t="n">
        <v>0.243</v>
      </c>
      <c r="AV70" s="438" t="n">
        <v>0.267</v>
      </c>
      <c r="AW70" s="440" t="n">
        <v>0.06928379336559</v>
      </c>
      <c r="AX70" s="440"/>
      <c r="AY70" s="437" t="n">
        <f aca="false">AG70</f>
        <v>0.267</v>
      </c>
      <c r="AZ70" s="437" t="n">
        <f aca="false">AG70</f>
        <v>0.267</v>
      </c>
      <c r="BA70" s="441" t="n">
        <f aca="false">AG70</f>
        <v>0.267</v>
      </c>
      <c r="BB70" s="442" t="n">
        <f aca="false">B70</f>
        <v>38412</v>
      </c>
      <c r="BC70" s="442" t="n">
        <v>0.732997149192817</v>
      </c>
      <c r="BD70" s="418" t="n">
        <v>0.733135065730685</v>
      </c>
      <c r="BF70" s="455" t="n">
        <v>38412</v>
      </c>
      <c r="BG70" s="66" t="n">
        <v>58</v>
      </c>
      <c r="HZ70" s="442" t="n">
        <f aca="false">B72</f>
        <v>38473</v>
      </c>
      <c r="IA70" s="418" t="n">
        <v>60</v>
      </c>
    </row>
    <row r="71" customFormat="false" ht="12.75" hidden="false" customHeight="false" outlineLevel="0" collapsed="false">
      <c r="A71" s="470"/>
      <c r="B71" s="419" t="n">
        <f aca="false">EOMONTH(B70,0)+1</f>
        <v>38443</v>
      </c>
      <c r="C71" s="420" t="n">
        <v>2.841</v>
      </c>
      <c r="D71" s="420" t="n">
        <v>0.23</v>
      </c>
      <c r="E71" s="420" t="n">
        <v>0.069682815686736</v>
      </c>
      <c r="F71" s="420" t="n">
        <v>-0.195</v>
      </c>
      <c r="G71" s="420" t="n">
        <v>0.015</v>
      </c>
      <c r="H71" s="420" t="n">
        <v>-0.195</v>
      </c>
      <c r="I71" s="420" t="n">
        <v>0.0675</v>
      </c>
      <c r="J71" s="420" t="n">
        <v>0.195</v>
      </c>
      <c r="K71" s="420" t="n">
        <v>0.25</v>
      </c>
      <c r="L71" s="420" t="n">
        <v>-0.072</v>
      </c>
      <c r="M71" s="420" t="n">
        <v>-0.022</v>
      </c>
      <c r="N71" s="420" t="n">
        <v>-0.36</v>
      </c>
      <c r="O71" s="420" t="n">
        <v>-0.29</v>
      </c>
      <c r="P71" s="420" t="n">
        <v>0.006</v>
      </c>
      <c r="Q71" s="420" t="n">
        <v>-0.0015</v>
      </c>
      <c r="R71" s="418" t="n">
        <v>-0.0275</v>
      </c>
      <c r="S71" s="418" t="n">
        <v>-0.055</v>
      </c>
      <c r="T71" s="418" t="n">
        <v>-0.09</v>
      </c>
      <c r="U71" s="418" t="n">
        <v>-0.0125</v>
      </c>
      <c r="V71" s="418" t="n">
        <v>-0.1005</v>
      </c>
      <c r="W71" s="418" t="n">
        <v>-0.12</v>
      </c>
      <c r="X71" s="418" t="n">
        <v>0.45</v>
      </c>
      <c r="Y71" s="418" t="n">
        <v>0.005</v>
      </c>
      <c r="Z71" s="418" t="n">
        <v>-0.195</v>
      </c>
      <c r="AA71" s="418" t="n">
        <v>-0.021</v>
      </c>
      <c r="AB71" s="437" t="n">
        <v>0.29</v>
      </c>
      <c r="AC71" s="437" t="n">
        <v>0.355</v>
      </c>
      <c r="AD71" s="437" t="n">
        <v>0.1625</v>
      </c>
      <c r="AE71" s="438" t="n">
        <v>0.23</v>
      </c>
      <c r="AF71" s="438" t="n">
        <v>0.23</v>
      </c>
      <c r="AG71" s="438" t="n">
        <v>0.225</v>
      </c>
      <c r="AH71" s="438" t="n">
        <v>0.23</v>
      </c>
      <c r="AI71" s="438" t="n">
        <v>0.235</v>
      </c>
      <c r="AJ71" s="438" t="n">
        <v>0.23</v>
      </c>
      <c r="AK71" s="438" t="n">
        <v>0.225</v>
      </c>
      <c r="AL71" s="438" t="n">
        <v>0.225</v>
      </c>
      <c r="AM71" s="438" t="n">
        <v>0.23</v>
      </c>
      <c r="AN71" s="438" t="n">
        <v>0.23</v>
      </c>
      <c r="AO71" s="438" t="n">
        <v>0.23</v>
      </c>
      <c r="AP71" s="439" t="n">
        <v>0.23</v>
      </c>
      <c r="AQ71" s="439" t="n">
        <v>0.23</v>
      </c>
      <c r="AR71" s="439" t="n">
        <v>0.23</v>
      </c>
      <c r="AS71" s="439" t="n">
        <v>0.23</v>
      </c>
      <c r="AT71" s="438" t="n">
        <v>0.23</v>
      </c>
      <c r="AU71" s="438" t="n">
        <v>0.23</v>
      </c>
      <c r="AV71" s="438" t="n">
        <v>0.225</v>
      </c>
      <c r="AW71" s="440" t="n">
        <v>0.069302838518654</v>
      </c>
      <c r="AX71" s="440"/>
      <c r="AY71" s="437" t="n">
        <f aca="false">AG71</f>
        <v>0.225</v>
      </c>
      <c r="AZ71" s="437" t="n">
        <f aca="false">AG71</f>
        <v>0.225</v>
      </c>
      <c r="BA71" s="441" t="n">
        <f aca="false">AG71</f>
        <v>0.225</v>
      </c>
      <c r="BB71" s="442" t="n">
        <f aca="false">B71</f>
        <v>38443</v>
      </c>
      <c r="BC71" s="442" t="n">
        <v>0.72867805390161</v>
      </c>
      <c r="BD71" s="418" t="n">
        <v>0.728815191395335</v>
      </c>
      <c r="BF71" s="455" t="n">
        <v>38443</v>
      </c>
      <c r="BG71" s="66" t="n">
        <v>59</v>
      </c>
      <c r="HZ71" s="442" t="n">
        <f aca="false">B73</f>
        <v>38504</v>
      </c>
      <c r="IA71" s="418" t="n">
        <v>61</v>
      </c>
    </row>
    <row r="72" customFormat="false" ht="12.75" hidden="false" customHeight="false" outlineLevel="0" collapsed="false">
      <c r="A72" s="470"/>
      <c r="B72" s="419" t="n">
        <f aca="false">EOMONTH(B71,0)+1</f>
        <v>38473</v>
      </c>
      <c r="C72" s="420" t="n">
        <v>2.831</v>
      </c>
      <c r="D72" s="420" t="n">
        <v>0.23</v>
      </c>
      <c r="E72" s="420" t="n">
        <v>0.069713348185594</v>
      </c>
      <c r="F72" s="420" t="n">
        <v>-0.195</v>
      </c>
      <c r="G72" s="420" t="n">
        <v>0.015</v>
      </c>
      <c r="H72" s="420" t="n">
        <v>-0.195</v>
      </c>
      <c r="I72" s="420" t="n">
        <v>0.0775</v>
      </c>
      <c r="J72" s="420" t="n">
        <v>0.1825</v>
      </c>
      <c r="K72" s="420" t="n">
        <v>0.2025</v>
      </c>
      <c r="L72" s="420" t="n">
        <v>-0.072</v>
      </c>
      <c r="M72" s="420" t="n">
        <v>-0.022</v>
      </c>
      <c r="N72" s="420" t="n">
        <v>-0.36</v>
      </c>
      <c r="O72" s="420" t="n">
        <v>-0.29</v>
      </c>
      <c r="P72" s="420" t="n">
        <v>0.006</v>
      </c>
      <c r="Q72" s="420" t="n">
        <v>-0.0015</v>
      </c>
      <c r="R72" s="418" t="n">
        <v>-0.0275</v>
      </c>
      <c r="S72" s="418" t="n">
        <v>-0.055</v>
      </c>
      <c r="T72" s="418" t="n">
        <v>-0.105</v>
      </c>
      <c r="U72" s="418" t="n">
        <v>-0.01275</v>
      </c>
      <c r="V72" s="418" t="n">
        <v>-0.1005</v>
      </c>
      <c r="W72" s="418" t="n">
        <v>-0.12</v>
      </c>
      <c r="X72" s="418" t="n">
        <v>0.405</v>
      </c>
      <c r="Y72" s="418" t="n">
        <v>0.005</v>
      </c>
      <c r="Z72" s="418" t="n">
        <v>-0.195</v>
      </c>
      <c r="AA72" s="418" t="n">
        <v>-0.021</v>
      </c>
      <c r="AB72" s="437" t="n">
        <v>0.29</v>
      </c>
      <c r="AC72" s="437" t="n">
        <v>0.2875</v>
      </c>
      <c r="AD72" s="437" t="n">
        <v>0.1725</v>
      </c>
      <c r="AE72" s="438" t="n">
        <v>0.23</v>
      </c>
      <c r="AF72" s="438" t="n">
        <v>0.23</v>
      </c>
      <c r="AG72" s="438" t="n">
        <v>0.225</v>
      </c>
      <c r="AH72" s="438" t="n">
        <v>0.23</v>
      </c>
      <c r="AI72" s="438" t="n">
        <v>0.235</v>
      </c>
      <c r="AJ72" s="438" t="n">
        <v>0.23</v>
      </c>
      <c r="AK72" s="438" t="n">
        <v>0.225</v>
      </c>
      <c r="AL72" s="438" t="n">
        <v>0.225</v>
      </c>
      <c r="AM72" s="438" t="n">
        <v>0.23</v>
      </c>
      <c r="AN72" s="438" t="n">
        <v>0.23</v>
      </c>
      <c r="AO72" s="438" t="n">
        <v>0.23</v>
      </c>
      <c r="AP72" s="439" t="n">
        <v>0.23</v>
      </c>
      <c r="AQ72" s="439" t="n">
        <v>0.23</v>
      </c>
      <c r="AR72" s="439" t="n">
        <v>0.23</v>
      </c>
      <c r="AS72" s="439" t="n">
        <v>0.23</v>
      </c>
      <c r="AT72" s="438" t="n">
        <v>0.23</v>
      </c>
      <c r="AU72" s="438" t="n">
        <v>0.23</v>
      </c>
      <c r="AV72" s="438" t="n">
        <v>0.225</v>
      </c>
      <c r="AW72" s="440" t="n">
        <v>0.069321269312056</v>
      </c>
      <c r="AX72" s="440"/>
      <c r="AY72" s="437" t="n">
        <f aca="false">AG72</f>
        <v>0.225</v>
      </c>
      <c r="AZ72" s="437" t="n">
        <f aca="false">AG72</f>
        <v>0.225</v>
      </c>
      <c r="BA72" s="441" t="n">
        <f aca="false">AG72</f>
        <v>0.225</v>
      </c>
      <c r="BB72" s="442" t="n">
        <f aca="false">B72</f>
        <v>38473</v>
      </c>
      <c r="BC72" s="442" t="n">
        <v>0.724520545294231</v>
      </c>
      <c r="BD72" s="418" t="n">
        <v>0.724656932685144</v>
      </c>
      <c r="BF72" s="455" t="n">
        <v>38473</v>
      </c>
      <c r="BG72" s="66" t="n">
        <v>60</v>
      </c>
      <c r="HZ72" s="442" t="n">
        <f aca="false">B74</f>
        <v>38534</v>
      </c>
      <c r="IA72" s="418" t="n">
        <v>62</v>
      </c>
    </row>
    <row r="73" customFormat="false" ht="12.75" hidden="false" customHeight="false" outlineLevel="0" collapsed="false">
      <c r="A73" s="470"/>
      <c r="B73" s="419" t="n">
        <f aca="false">EOMONTH(B72,0)+1</f>
        <v>38504</v>
      </c>
      <c r="C73" s="420" t="n">
        <v>2.853</v>
      </c>
      <c r="D73" s="420" t="n">
        <v>0.23</v>
      </c>
      <c r="E73" s="420" t="n">
        <v>0.069744898434739</v>
      </c>
      <c r="F73" s="420" t="n">
        <v>-0.195</v>
      </c>
      <c r="G73" s="420" t="n">
        <v>0.02</v>
      </c>
      <c r="H73" s="420" t="n">
        <v>-0.195</v>
      </c>
      <c r="I73" s="420" t="n">
        <v>0.0725</v>
      </c>
      <c r="J73" s="420" t="n">
        <v>0.1825</v>
      </c>
      <c r="K73" s="420" t="n">
        <v>0.2025</v>
      </c>
      <c r="L73" s="420" t="n">
        <v>-0.088</v>
      </c>
      <c r="M73" s="420" t="n">
        <v>-0.022</v>
      </c>
      <c r="N73" s="420" t="n">
        <v>-0.36</v>
      </c>
      <c r="O73" s="420" t="n">
        <v>-0.29</v>
      </c>
      <c r="P73" s="420" t="n">
        <v>0.006</v>
      </c>
      <c r="Q73" s="420" t="n">
        <v>-0.0015</v>
      </c>
      <c r="R73" s="418" t="n">
        <v>-0.0275</v>
      </c>
      <c r="S73" s="418" t="n">
        <v>-0.055</v>
      </c>
      <c r="T73" s="418" t="n">
        <v>-0.115</v>
      </c>
      <c r="U73" s="418" t="n">
        <v>-0.01275</v>
      </c>
      <c r="V73" s="418" t="n">
        <v>-0.0905</v>
      </c>
      <c r="W73" s="418" t="n">
        <v>-0.12</v>
      </c>
      <c r="X73" s="418" t="n">
        <v>0.395</v>
      </c>
      <c r="Y73" s="418" t="n">
        <v>0.005</v>
      </c>
      <c r="Z73" s="418" t="n">
        <v>-0.195</v>
      </c>
      <c r="AA73" s="418" t="n">
        <v>-0.021</v>
      </c>
      <c r="AB73" s="437" t="n">
        <v>0.29</v>
      </c>
      <c r="AC73" s="437" t="n">
        <v>0.2875</v>
      </c>
      <c r="AD73" s="437" t="n">
        <v>0.1675</v>
      </c>
      <c r="AE73" s="438" t="n">
        <v>0.23</v>
      </c>
      <c r="AF73" s="438" t="n">
        <v>0.23</v>
      </c>
      <c r="AG73" s="438" t="n">
        <v>0.225</v>
      </c>
      <c r="AH73" s="438" t="n">
        <v>0.23</v>
      </c>
      <c r="AI73" s="438" t="n">
        <v>0.235</v>
      </c>
      <c r="AJ73" s="438" t="n">
        <v>0.23</v>
      </c>
      <c r="AK73" s="438" t="n">
        <v>0.225</v>
      </c>
      <c r="AL73" s="438" t="n">
        <v>0.225</v>
      </c>
      <c r="AM73" s="438" t="n">
        <v>0.23</v>
      </c>
      <c r="AN73" s="438" t="n">
        <v>0.23</v>
      </c>
      <c r="AO73" s="438" t="n">
        <v>0.23</v>
      </c>
      <c r="AP73" s="439" t="n">
        <v>0.23</v>
      </c>
      <c r="AQ73" s="439" t="n">
        <v>0.23</v>
      </c>
      <c r="AR73" s="439" t="n">
        <v>0.23</v>
      </c>
      <c r="AS73" s="439" t="n">
        <v>0.23</v>
      </c>
      <c r="AT73" s="438" t="n">
        <v>0.23</v>
      </c>
      <c r="AU73" s="438" t="n">
        <v>0.23</v>
      </c>
      <c r="AV73" s="438" t="n">
        <v>0.225</v>
      </c>
      <c r="AW73" s="440" t="n">
        <v>0.069340314465356</v>
      </c>
      <c r="AX73" s="440"/>
      <c r="AY73" s="437" t="n">
        <f aca="false">AG73</f>
        <v>0.225</v>
      </c>
      <c r="AZ73" s="437" t="n">
        <f aca="false">AG73</f>
        <v>0.225</v>
      </c>
      <c r="BA73" s="441" t="n">
        <f aca="false">AG73</f>
        <v>0.225</v>
      </c>
      <c r="BB73" s="442" t="n">
        <f aca="false">B73</f>
        <v>38504</v>
      </c>
      <c r="BC73" s="442" t="n">
        <v>0.720247345839033</v>
      </c>
      <c r="BD73" s="418" t="n">
        <v>0.720382962044002</v>
      </c>
      <c r="BF73" s="455" t="n">
        <v>38504</v>
      </c>
      <c r="BG73" s="66" t="n">
        <v>61</v>
      </c>
      <c r="HZ73" s="442" t="n">
        <f aca="false">B75</f>
        <v>38565</v>
      </c>
      <c r="IA73" s="418" t="n">
        <v>63</v>
      </c>
    </row>
    <row r="74" customFormat="false" ht="12.75" hidden="false" customHeight="false" outlineLevel="0" collapsed="false">
      <c r="A74" s="470"/>
      <c r="B74" s="419" t="n">
        <f aca="false">EOMONTH(B73,0)+1</f>
        <v>38534</v>
      </c>
      <c r="C74" s="420" t="n">
        <v>2.875</v>
      </c>
      <c r="D74" s="420" t="n">
        <v>0.23</v>
      </c>
      <c r="E74" s="420" t="n">
        <v>0.069775430934224</v>
      </c>
      <c r="F74" s="420" t="n">
        <v>-0.195</v>
      </c>
      <c r="G74" s="420" t="n">
        <v>0.0225</v>
      </c>
      <c r="H74" s="420" t="n">
        <v>-0.195</v>
      </c>
      <c r="I74" s="420" t="n">
        <v>0.0625</v>
      </c>
      <c r="J74" s="420" t="n">
        <v>0.1825</v>
      </c>
      <c r="K74" s="420" t="n">
        <v>0.215</v>
      </c>
      <c r="L74" s="420" t="n">
        <v>-0.081</v>
      </c>
      <c r="M74" s="420" t="n">
        <v>-0.022</v>
      </c>
      <c r="N74" s="420" t="n">
        <v>-0.36</v>
      </c>
      <c r="O74" s="420" t="n">
        <v>-0.29</v>
      </c>
      <c r="P74" s="420" t="n">
        <v>0.006</v>
      </c>
      <c r="Q74" s="420" t="n">
        <v>-0.0015</v>
      </c>
      <c r="R74" s="418" t="n">
        <v>-0.0275</v>
      </c>
      <c r="S74" s="418" t="n">
        <v>-0.055</v>
      </c>
      <c r="T74" s="418" t="n">
        <v>-0.115</v>
      </c>
      <c r="U74" s="418" t="n">
        <v>-0.01275</v>
      </c>
      <c r="V74" s="418" t="n">
        <v>-0.0855</v>
      </c>
      <c r="W74" s="418" t="n">
        <v>-0.12</v>
      </c>
      <c r="X74" s="418" t="n">
        <v>0.43</v>
      </c>
      <c r="Y74" s="418" t="n">
        <v>0.005</v>
      </c>
      <c r="Z74" s="418" t="n">
        <v>-0.195</v>
      </c>
      <c r="AA74" s="418" t="n">
        <v>-0.021</v>
      </c>
      <c r="AB74" s="437" t="n">
        <v>0.29</v>
      </c>
      <c r="AC74" s="437" t="n">
        <v>0.3</v>
      </c>
      <c r="AD74" s="437" t="n">
        <v>0.1575</v>
      </c>
      <c r="AE74" s="438" t="n">
        <v>0.23</v>
      </c>
      <c r="AF74" s="438" t="n">
        <v>0.23</v>
      </c>
      <c r="AG74" s="438" t="n">
        <v>0.225</v>
      </c>
      <c r="AH74" s="438" t="n">
        <v>0.23</v>
      </c>
      <c r="AI74" s="438" t="n">
        <v>0.235</v>
      </c>
      <c r="AJ74" s="438" t="n">
        <v>0.23</v>
      </c>
      <c r="AK74" s="438" t="n">
        <v>0.225</v>
      </c>
      <c r="AL74" s="438" t="n">
        <v>0.225</v>
      </c>
      <c r="AM74" s="438" t="n">
        <v>0.23</v>
      </c>
      <c r="AN74" s="438" t="n">
        <v>0.23</v>
      </c>
      <c r="AO74" s="438" t="n">
        <v>0.23</v>
      </c>
      <c r="AP74" s="439" t="n">
        <v>0.23</v>
      </c>
      <c r="AQ74" s="439" t="n">
        <v>0.23</v>
      </c>
      <c r="AR74" s="439" t="n">
        <v>0.23</v>
      </c>
      <c r="AS74" s="439" t="n">
        <v>0.23</v>
      </c>
      <c r="AT74" s="438" t="n">
        <v>0.23</v>
      </c>
      <c r="AU74" s="438" t="n">
        <v>0.23</v>
      </c>
      <c r="AV74" s="438" t="n">
        <v>0.225</v>
      </c>
      <c r="AW74" s="440" t="n">
        <v>0.069358745258987</v>
      </c>
      <c r="AX74" s="440"/>
      <c r="AY74" s="437" t="n">
        <f aca="false">AG74</f>
        <v>0.225</v>
      </c>
      <c r="AZ74" s="437" t="n">
        <f aca="false">AG74</f>
        <v>0.225</v>
      </c>
      <c r="BA74" s="441" t="n">
        <f aca="false">AG74</f>
        <v>0.225</v>
      </c>
      <c r="BB74" s="442" t="n">
        <f aca="false">B74</f>
        <v>38534</v>
      </c>
      <c r="BC74" s="442" t="n">
        <v>0.716134040679907</v>
      </c>
      <c r="BD74" s="418" t="n">
        <v>0.716268914352933</v>
      </c>
      <c r="BF74" s="455" t="n">
        <v>38534</v>
      </c>
      <c r="BG74" s="66" t="n">
        <v>62</v>
      </c>
      <c r="HZ74" s="442" t="n">
        <f aca="false">B76</f>
        <v>38596</v>
      </c>
      <c r="IA74" s="418" t="n">
        <v>64</v>
      </c>
    </row>
    <row r="75" customFormat="false" ht="12.75" hidden="false" customHeight="false" outlineLevel="0" collapsed="false">
      <c r="A75" s="470"/>
      <c r="B75" s="419" t="n">
        <f aca="false">EOMONTH(B74,0)+1</f>
        <v>38565</v>
      </c>
      <c r="C75" s="420" t="n">
        <v>2.896</v>
      </c>
      <c r="D75" s="420" t="n">
        <v>0.23</v>
      </c>
      <c r="E75" s="420" t="n">
        <v>0.069806981184016</v>
      </c>
      <c r="F75" s="420" t="n">
        <v>-0.195</v>
      </c>
      <c r="G75" s="420" t="n">
        <v>0.025</v>
      </c>
      <c r="H75" s="420" t="n">
        <v>-0.195</v>
      </c>
      <c r="I75" s="420" t="n">
        <v>0.06</v>
      </c>
      <c r="J75" s="420" t="n">
        <v>0.1825</v>
      </c>
      <c r="K75" s="420" t="n">
        <v>0.215</v>
      </c>
      <c r="L75" s="420" t="n">
        <v>-0.072</v>
      </c>
      <c r="M75" s="420" t="n">
        <v>-0.022</v>
      </c>
      <c r="N75" s="420" t="n">
        <v>-0.36</v>
      </c>
      <c r="O75" s="420" t="n">
        <v>-0.29</v>
      </c>
      <c r="P75" s="420" t="n">
        <v>0.006</v>
      </c>
      <c r="Q75" s="420" t="n">
        <v>-0.0015</v>
      </c>
      <c r="R75" s="418" t="n">
        <v>-0.0275</v>
      </c>
      <c r="S75" s="418" t="n">
        <v>-0.055</v>
      </c>
      <c r="T75" s="418" t="n">
        <v>-0.115</v>
      </c>
      <c r="U75" s="418" t="n">
        <v>-0.01275</v>
      </c>
      <c r="V75" s="418" t="n">
        <v>-0.0855</v>
      </c>
      <c r="W75" s="418" t="n">
        <v>-0.12</v>
      </c>
      <c r="X75" s="418" t="n">
        <v>0.495</v>
      </c>
      <c r="Y75" s="418" t="n">
        <v>0.005</v>
      </c>
      <c r="Z75" s="418" t="n">
        <v>-0.195</v>
      </c>
      <c r="AA75" s="418" t="n">
        <v>-0.021</v>
      </c>
      <c r="AB75" s="437" t="n">
        <v>0.29</v>
      </c>
      <c r="AC75" s="437" t="n">
        <v>0.3</v>
      </c>
      <c r="AD75" s="437" t="n">
        <v>0.155</v>
      </c>
      <c r="AE75" s="438" t="n">
        <v>0.23</v>
      </c>
      <c r="AF75" s="438" t="n">
        <v>0.23</v>
      </c>
      <c r="AG75" s="438" t="n">
        <v>0.225</v>
      </c>
      <c r="AH75" s="438" t="n">
        <v>0.23</v>
      </c>
      <c r="AI75" s="438" t="n">
        <v>0.235</v>
      </c>
      <c r="AJ75" s="438" t="n">
        <v>0.23</v>
      </c>
      <c r="AK75" s="438" t="n">
        <v>0.225</v>
      </c>
      <c r="AL75" s="438" t="n">
        <v>0.225</v>
      </c>
      <c r="AM75" s="438" t="n">
        <v>0.23</v>
      </c>
      <c r="AN75" s="438" t="n">
        <v>0.23</v>
      </c>
      <c r="AO75" s="438" t="n">
        <v>0.23</v>
      </c>
      <c r="AP75" s="439" t="n">
        <v>0.23</v>
      </c>
      <c r="AQ75" s="439" t="n">
        <v>0.23</v>
      </c>
      <c r="AR75" s="439" t="n">
        <v>0.23</v>
      </c>
      <c r="AS75" s="439" t="n">
        <v>0.23</v>
      </c>
      <c r="AT75" s="438" t="n">
        <v>0.23</v>
      </c>
      <c r="AU75" s="438" t="n">
        <v>0.23</v>
      </c>
      <c r="AV75" s="438" t="n">
        <v>0.225</v>
      </c>
      <c r="AW75" s="440" t="n">
        <v>0.069377790412523</v>
      </c>
      <c r="AX75" s="440"/>
      <c r="AY75" s="437" t="n">
        <f aca="false">AG75</f>
        <v>0.225</v>
      </c>
      <c r="AZ75" s="437" t="n">
        <f aca="false">AG75</f>
        <v>0.225</v>
      </c>
      <c r="BA75" s="441" t="n">
        <f aca="false">AG75</f>
        <v>0.225</v>
      </c>
      <c r="BB75" s="442" t="n">
        <f aca="false">B75</f>
        <v>38565</v>
      </c>
      <c r="BC75" s="442" t="n">
        <v>0.711906300078187</v>
      </c>
      <c r="BD75" s="418" t="n">
        <v>0.712040410353656</v>
      </c>
      <c r="BF75" s="455" t="n">
        <v>38565</v>
      </c>
      <c r="BG75" s="66" t="n">
        <v>63</v>
      </c>
      <c r="HZ75" s="442" t="n">
        <f aca="false">B77</f>
        <v>38626</v>
      </c>
      <c r="IA75" s="418" t="n">
        <v>65</v>
      </c>
    </row>
    <row r="76" customFormat="false" ht="12.75" hidden="false" customHeight="false" outlineLevel="0" collapsed="false">
      <c r="A76" s="470"/>
      <c r="B76" s="419" t="n">
        <f aca="false">EOMONTH(B75,0)+1</f>
        <v>38596</v>
      </c>
      <c r="C76" s="420" t="n">
        <v>2.877</v>
      </c>
      <c r="D76" s="420" t="n">
        <v>0.23</v>
      </c>
      <c r="E76" s="420" t="n">
        <v>0.069837238133672</v>
      </c>
      <c r="F76" s="420" t="n">
        <v>-0.195</v>
      </c>
      <c r="G76" s="420" t="n">
        <v>0.0175</v>
      </c>
      <c r="H76" s="420" t="n">
        <v>-0.195</v>
      </c>
      <c r="I76" s="420" t="n">
        <v>0.0575</v>
      </c>
      <c r="J76" s="420" t="n">
        <v>0.1825</v>
      </c>
      <c r="K76" s="420" t="n">
        <v>0.195</v>
      </c>
      <c r="L76" s="420" t="n">
        <v>-0.052</v>
      </c>
      <c r="M76" s="420" t="n">
        <v>-0.022</v>
      </c>
      <c r="N76" s="420" t="n">
        <v>-0.36</v>
      </c>
      <c r="O76" s="420" t="n">
        <v>-0.29</v>
      </c>
      <c r="P76" s="420" t="n">
        <v>0.006</v>
      </c>
      <c r="Q76" s="420" t="n">
        <v>-0.0015</v>
      </c>
      <c r="R76" s="418" t="n">
        <v>-0.0275</v>
      </c>
      <c r="S76" s="418" t="n">
        <v>-0.055</v>
      </c>
      <c r="T76" s="418" t="n">
        <v>-0.105</v>
      </c>
      <c r="U76" s="418" t="n">
        <v>-0.01275</v>
      </c>
      <c r="V76" s="418" t="n">
        <v>-0.1005</v>
      </c>
      <c r="W76" s="418" t="n">
        <v>-0.12</v>
      </c>
      <c r="X76" s="418" t="n">
        <v>0.395</v>
      </c>
      <c r="Y76" s="418" t="n">
        <v>0.005</v>
      </c>
      <c r="Z76" s="418" t="n">
        <v>-0.195</v>
      </c>
      <c r="AA76" s="418" t="n">
        <v>-0.021</v>
      </c>
      <c r="AB76" s="437" t="n">
        <v>0.29</v>
      </c>
      <c r="AC76" s="437" t="n">
        <v>0.29</v>
      </c>
      <c r="AD76" s="437" t="n">
        <v>0.1525</v>
      </c>
      <c r="AE76" s="438" t="n">
        <v>0.23</v>
      </c>
      <c r="AF76" s="438" t="n">
        <v>0.23</v>
      </c>
      <c r="AG76" s="438" t="n">
        <v>0.225</v>
      </c>
      <c r="AH76" s="438" t="n">
        <v>0.23</v>
      </c>
      <c r="AI76" s="438" t="n">
        <v>0.235</v>
      </c>
      <c r="AJ76" s="438" t="n">
        <v>0.23</v>
      </c>
      <c r="AK76" s="438" t="n">
        <v>0.225</v>
      </c>
      <c r="AL76" s="438" t="n">
        <v>0.225</v>
      </c>
      <c r="AM76" s="438" t="n">
        <v>0.23</v>
      </c>
      <c r="AN76" s="438" t="n">
        <v>0.23</v>
      </c>
      <c r="AO76" s="438" t="n">
        <v>0.23</v>
      </c>
      <c r="AP76" s="439" t="n">
        <v>0.23</v>
      </c>
      <c r="AQ76" s="439" t="n">
        <v>0.23</v>
      </c>
      <c r="AR76" s="439" t="n">
        <v>0.23</v>
      </c>
      <c r="AS76" s="439" t="n">
        <v>0.23</v>
      </c>
      <c r="AT76" s="438" t="n">
        <v>0.23</v>
      </c>
      <c r="AU76" s="438" t="n">
        <v>0.23</v>
      </c>
      <c r="AV76" s="438" t="n">
        <v>0.225</v>
      </c>
      <c r="AW76" s="440" t="n">
        <v>0.069398003258868</v>
      </c>
      <c r="AX76" s="440"/>
      <c r="AY76" s="437" t="n">
        <f aca="false">AG76</f>
        <v>0.225</v>
      </c>
      <c r="AZ76" s="437" t="n">
        <f aca="false">AG76</f>
        <v>0.225</v>
      </c>
      <c r="BA76" s="441" t="n">
        <f aca="false">AG76</f>
        <v>0.225</v>
      </c>
      <c r="BB76" s="442" t="n">
        <f aca="false">B76</f>
        <v>38596</v>
      </c>
      <c r="BC76" s="442" t="n">
        <v>0.707697466533219</v>
      </c>
      <c r="BD76" s="418" t="n">
        <v>0.707830818779321</v>
      </c>
      <c r="BF76" s="455" t="n">
        <v>38596</v>
      </c>
      <c r="BG76" s="66" t="n">
        <v>64</v>
      </c>
      <c r="HZ76" s="442" t="n">
        <f aca="false">B78</f>
        <v>38657</v>
      </c>
      <c r="IA76" s="418" t="n">
        <v>66</v>
      </c>
    </row>
    <row r="77" customFormat="false" ht="12.75" hidden="false" customHeight="false" outlineLevel="0" collapsed="false">
      <c r="A77" s="470"/>
      <c r="B77" s="419" t="n">
        <f aca="false">EOMONTH(B76,0)+1</f>
        <v>38626</v>
      </c>
      <c r="C77" s="420" t="n">
        <v>2.89</v>
      </c>
      <c r="D77" s="420" t="n">
        <v>0.23</v>
      </c>
      <c r="E77" s="420" t="n">
        <v>0.069848371126986</v>
      </c>
      <c r="F77" s="420" t="n">
        <v>-0.195</v>
      </c>
      <c r="G77" s="420" t="n">
        <v>0.0075</v>
      </c>
      <c r="H77" s="420" t="n">
        <v>-0.195</v>
      </c>
      <c r="I77" s="420" t="n">
        <v>0.0725</v>
      </c>
      <c r="J77" s="420" t="n">
        <v>0.1875</v>
      </c>
      <c r="K77" s="420" t="n">
        <v>0.215</v>
      </c>
      <c r="L77" s="420" t="n">
        <v>-0.062</v>
      </c>
      <c r="M77" s="420" t="n">
        <v>-0.022</v>
      </c>
      <c r="N77" s="420" t="n">
        <v>-0.36</v>
      </c>
      <c r="O77" s="420" t="n">
        <v>-0.29</v>
      </c>
      <c r="P77" s="420" t="n">
        <v>0.006</v>
      </c>
      <c r="Q77" s="420" t="n">
        <v>-0.0015</v>
      </c>
      <c r="R77" s="418" t="n">
        <v>-0.0275</v>
      </c>
      <c r="S77" s="418" t="n">
        <v>-0.055</v>
      </c>
      <c r="T77" s="418" t="n">
        <v>-0.09</v>
      </c>
      <c r="U77" s="418" t="n">
        <v>-0.01275</v>
      </c>
      <c r="V77" s="418" t="n">
        <v>-0.103</v>
      </c>
      <c r="W77" s="418" t="n">
        <v>-0.12</v>
      </c>
      <c r="X77" s="418" t="n">
        <v>0.461</v>
      </c>
      <c r="Y77" s="418" t="n">
        <v>0.005</v>
      </c>
      <c r="Z77" s="418" t="n">
        <v>-0.195</v>
      </c>
      <c r="AA77" s="418" t="n">
        <v>-0.021</v>
      </c>
      <c r="AB77" s="437" t="n">
        <v>0.29</v>
      </c>
      <c r="AC77" s="437" t="n">
        <v>0.3625</v>
      </c>
      <c r="AD77" s="437" t="n">
        <v>0.1675</v>
      </c>
      <c r="AE77" s="438" t="n">
        <v>0.23</v>
      </c>
      <c r="AF77" s="438" t="n">
        <v>0.23</v>
      </c>
      <c r="AG77" s="438" t="n">
        <v>0.225</v>
      </c>
      <c r="AH77" s="438" t="n">
        <v>0.23</v>
      </c>
      <c r="AI77" s="438" t="n">
        <v>0.235</v>
      </c>
      <c r="AJ77" s="438" t="n">
        <v>0.23</v>
      </c>
      <c r="AK77" s="438" t="n">
        <v>0.225</v>
      </c>
      <c r="AL77" s="438" t="n">
        <v>0.225</v>
      </c>
      <c r="AM77" s="438" t="n">
        <v>0.23</v>
      </c>
      <c r="AN77" s="438" t="n">
        <v>0.23</v>
      </c>
      <c r="AO77" s="438" t="n">
        <v>0.23</v>
      </c>
      <c r="AP77" s="439" t="n">
        <v>0.23</v>
      </c>
      <c r="AQ77" s="439" t="n">
        <v>0.23</v>
      </c>
      <c r="AR77" s="439" t="n">
        <v>0.23</v>
      </c>
      <c r="AS77" s="439" t="n">
        <v>0.23</v>
      </c>
      <c r="AT77" s="438" t="n">
        <v>0.23</v>
      </c>
      <c r="AU77" s="438" t="n">
        <v>0.23</v>
      </c>
      <c r="AV77" s="438" t="n">
        <v>0.225</v>
      </c>
      <c r="AW77" s="440" t="n">
        <v>0.069421438450126</v>
      </c>
      <c r="AX77" s="440"/>
      <c r="AY77" s="437" t="n">
        <f aca="false">AG77</f>
        <v>0.225</v>
      </c>
      <c r="AZ77" s="437" t="n">
        <f aca="false">AG77</f>
        <v>0.225</v>
      </c>
      <c r="BA77" s="441" t="n">
        <f aca="false">AG77</f>
        <v>0.225</v>
      </c>
      <c r="BB77" s="442" t="n">
        <f aca="false">B77</f>
        <v>38626</v>
      </c>
      <c r="BC77" s="442" t="n">
        <v>0.703634724667812</v>
      </c>
      <c r="BD77" s="418" t="n">
        <v>0.703767350962224</v>
      </c>
      <c r="BF77" s="455" t="n">
        <v>38626</v>
      </c>
      <c r="BG77" s="66" t="n">
        <v>65</v>
      </c>
      <c r="HZ77" s="442" t="n">
        <f aca="false">B79</f>
        <v>38687</v>
      </c>
      <c r="IA77" s="418" t="n">
        <v>67</v>
      </c>
    </row>
    <row r="78" customFormat="false" ht="12.75" hidden="false" customHeight="false" outlineLevel="0" collapsed="false">
      <c r="A78" s="470"/>
      <c r="B78" s="419" t="n">
        <f aca="false">EOMONTH(B77,0)+1</f>
        <v>38657</v>
      </c>
      <c r="C78" s="420" t="n">
        <v>2.972</v>
      </c>
      <c r="D78" s="420" t="n">
        <v>0.23</v>
      </c>
      <c r="E78" s="420" t="n">
        <v>0.06985987522012</v>
      </c>
      <c r="F78" s="420" t="n">
        <v>-0.19</v>
      </c>
      <c r="G78" s="420" t="n">
        <v>-0.0325</v>
      </c>
      <c r="H78" s="420" t="n">
        <v>-0.19</v>
      </c>
      <c r="I78" s="420" t="n">
        <v>0.13</v>
      </c>
      <c r="J78" s="420" t="n">
        <v>0.27</v>
      </c>
      <c r="K78" s="420" t="n">
        <v>0.2875</v>
      </c>
      <c r="L78" s="420" t="n">
        <v>-0.077</v>
      </c>
      <c r="M78" s="420" t="n">
        <v>-0.0145</v>
      </c>
      <c r="N78" s="420" t="n">
        <v>-0.28</v>
      </c>
      <c r="O78" s="420" t="n">
        <v>0</v>
      </c>
      <c r="P78" s="420" t="n">
        <v>0.0135</v>
      </c>
      <c r="Q78" s="420" t="n">
        <v>-0.0095</v>
      </c>
      <c r="R78" s="418" t="n">
        <v>-0.0305</v>
      </c>
      <c r="S78" s="418" t="n">
        <v>-0.06</v>
      </c>
      <c r="T78" s="418" t="n">
        <v>-0.025</v>
      </c>
      <c r="U78" s="418" t="n">
        <v>-0.031</v>
      </c>
      <c r="V78" s="418" t="n">
        <v>-0.1005</v>
      </c>
      <c r="W78" s="418" t="n">
        <v>-0.1325</v>
      </c>
      <c r="X78" s="418" t="n">
        <v>0.7675</v>
      </c>
      <c r="Y78" s="418" t="n">
        <v>0.005</v>
      </c>
      <c r="Z78" s="418" t="n">
        <v>-0.19</v>
      </c>
      <c r="AA78" s="418" t="n">
        <v>-0.0225</v>
      </c>
      <c r="AB78" s="437" t="n">
        <v>0.12</v>
      </c>
      <c r="AC78" s="437" t="n">
        <v>0.465</v>
      </c>
      <c r="AD78" s="437" t="n">
        <v>0.225</v>
      </c>
      <c r="AE78" s="438" t="n">
        <v>0.23</v>
      </c>
      <c r="AF78" s="438" t="n">
        <v>0.23</v>
      </c>
      <c r="AG78" s="438" t="n">
        <v>0.253</v>
      </c>
      <c r="AH78" s="438" t="n">
        <v>0.23</v>
      </c>
      <c r="AI78" s="438" t="n">
        <v>0.235</v>
      </c>
      <c r="AJ78" s="438" t="n">
        <v>0.23</v>
      </c>
      <c r="AK78" s="438" t="n">
        <v>0.23</v>
      </c>
      <c r="AL78" s="438" t="n">
        <v>0.23</v>
      </c>
      <c r="AM78" s="438" t="n">
        <v>0.23</v>
      </c>
      <c r="AN78" s="438" t="n">
        <v>0.23</v>
      </c>
      <c r="AO78" s="438" t="n">
        <v>0.23</v>
      </c>
      <c r="AP78" s="439" t="n">
        <v>0.23</v>
      </c>
      <c r="AQ78" s="439" t="n">
        <v>0.23</v>
      </c>
      <c r="AR78" s="439" t="n">
        <v>0.23</v>
      </c>
      <c r="AS78" s="439" t="n">
        <v>0.23</v>
      </c>
      <c r="AT78" s="438" t="n">
        <v>0.23</v>
      </c>
      <c r="AU78" s="438" t="n">
        <v>0.23</v>
      </c>
      <c r="AV78" s="438" t="n">
        <v>0.253</v>
      </c>
      <c r="AW78" s="440" t="n">
        <v>0.069445654814616</v>
      </c>
      <c r="AX78" s="440"/>
      <c r="AY78" s="437" t="n">
        <f aca="false">AG78</f>
        <v>0.253</v>
      </c>
      <c r="AZ78" s="437" t="n">
        <f aca="false">AG78</f>
        <v>0.253</v>
      </c>
      <c r="BA78" s="441" t="n">
        <f aca="false">AG78</f>
        <v>0.253</v>
      </c>
      <c r="BB78" s="442" t="n">
        <f aca="false">B78</f>
        <v>38657</v>
      </c>
      <c r="BC78" s="442" t="n">
        <v>0.699458579226569</v>
      </c>
      <c r="BD78" s="418" t="n">
        <v>0.699590459042108</v>
      </c>
      <c r="BF78" s="455" t="n">
        <v>38657</v>
      </c>
      <c r="BG78" s="66" t="n">
        <v>66</v>
      </c>
      <c r="HZ78" s="442" t="n">
        <f aca="false">B80</f>
        <v>38718</v>
      </c>
      <c r="IA78" s="418" t="n">
        <v>68</v>
      </c>
    </row>
    <row r="79" customFormat="false" ht="12.75" hidden="false" customHeight="false" outlineLevel="0" collapsed="false">
      <c r="A79" s="470"/>
      <c r="B79" s="419" t="n">
        <f aca="false">EOMONTH(B78,0)+1</f>
        <v>38687</v>
      </c>
      <c r="C79" s="420" t="n">
        <v>3.052</v>
      </c>
      <c r="D79" s="420" t="n">
        <v>0.2325</v>
      </c>
      <c r="E79" s="420" t="n">
        <v>0.069871008213518</v>
      </c>
      <c r="F79" s="420" t="n">
        <v>-0.1975</v>
      </c>
      <c r="G79" s="420" t="n">
        <v>-0.055</v>
      </c>
      <c r="H79" s="420" t="n">
        <v>-0.1975</v>
      </c>
      <c r="I79" s="420" t="n">
        <v>0.17</v>
      </c>
      <c r="J79" s="420" t="n">
        <v>0.305</v>
      </c>
      <c r="K79" s="420" t="n">
        <v>0.3375</v>
      </c>
      <c r="L79" s="420" t="n">
        <v>-0.077</v>
      </c>
      <c r="M79" s="420" t="n">
        <v>-0.0145</v>
      </c>
      <c r="N79" s="420" t="n">
        <v>-0.28</v>
      </c>
      <c r="O79" s="420" t="n">
        <v>0.06</v>
      </c>
      <c r="P79" s="420" t="n">
        <v>0.0135</v>
      </c>
      <c r="Q79" s="420" t="n">
        <v>-0.0095</v>
      </c>
      <c r="R79" s="418" t="n">
        <v>-0.0305</v>
      </c>
      <c r="S79" s="418" t="n">
        <v>-0.06</v>
      </c>
      <c r="T79" s="418" t="n">
        <v>-0.0175</v>
      </c>
      <c r="U79" s="418" t="n">
        <v>-0.031</v>
      </c>
      <c r="V79" s="418" t="n">
        <v>-0.1355</v>
      </c>
      <c r="W79" s="418" t="n">
        <v>-0.1275</v>
      </c>
      <c r="X79" s="418" t="n">
        <v>1.19</v>
      </c>
      <c r="Y79" s="418" t="n">
        <v>0.005</v>
      </c>
      <c r="Z79" s="418" t="n">
        <v>-0.19</v>
      </c>
      <c r="AA79" s="418" t="n">
        <v>-0.0225</v>
      </c>
      <c r="AB79" s="437" t="n">
        <v>0.12</v>
      </c>
      <c r="AC79" s="437" t="n">
        <v>0.8</v>
      </c>
      <c r="AD79" s="437" t="n">
        <v>0.265</v>
      </c>
      <c r="AE79" s="438" t="n">
        <v>0.233</v>
      </c>
      <c r="AF79" s="438" t="n">
        <v>0.233</v>
      </c>
      <c r="AG79" s="438" t="n">
        <v>0.256</v>
      </c>
      <c r="AH79" s="438" t="n">
        <v>0.233</v>
      </c>
      <c r="AI79" s="438" t="n">
        <v>0.237</v>
      </c>
      <c r="AJ79" s="438" t="n">
        <v>0.233</v>
      </c>
      <c r="AK79" s="438" t="n">
        <v>0.233</v>
      </c>
      <c r="AL79" s="438" t="n">
        <v>0.233</v>
      </c>
      <c r="AM79" s="438" t="n">
        <v>0.233</v>
      </c>
      <c r="AN79" s="438" t="n">
        <v>0.233</v>
      </c>
      <c r="AO79" s="438" t="n">
        <v>0.233</v>
      </c>
      <c r="AP79" s="439" t="n">
        <v>0.233</v>
      </c>
      <c r="AQ79" s="439" t="n">
        <v>0.233</v>
      </c>
      <c r="AR79" s="439" t="n">
        <v>0.233</v>
      </c>
      <c r="AS79" s="439" t="n">
        <v>0.233</v>
      </c>
      <c r="AT79" s="438" t="n">
        <v>0.233</v>
      </c>
      <c r="AU79" s="438" t="n">
        <v>0.233</v>
      </c>
      <c r="AV79" s="438" t="n">
        <v>0.256</v>
      </c>
      <c r="AW79" s="440" t="n">
        <v>0.069469090006243</v>
      </c>
      <c r="AX79" s="440"/>
      <c r="AY79" s="437" t="n">
        <f aca="false">AG79</f>
        <v>0.256</v>
      </c>
      <c r="AZ79" s="437" t="n">
        <f aca="false">AG79</f>
        <v>0.256</v>
      </c>
      <c r="BA79" s="441" t="n">
        <f aca="false">AG79</f>
        <v>0.256</v>
      </c>
      <c r="BB79" s="442" t="n">
        <f aca="false">B79</f>
        <v>38687</v>
      </c>
      <c r="BC79" s="442" t="n">
        <v>0.695438363173057</v>
      </c>
      <c r="BD79" s="418" t="n">
        <v>0.695569524128054</v>
      </c>
      <c r="BF79" s="455" t="n">
        <v>38687</v>
      </c>
      <c r="BG79" s="66" t="n">
        <v>67</v>
      </c>
      <c r="HZ79" s="442" t="n">
        <f aca="false">B81</f>
        <v>38749</v>
      </c>
      <c r="IA79" s="418" t="n">
        <v>69</v>
      </c>
    </row>
    <row r="80" customFormat="false" ht="12.75" hidden="false" customHeight="false" outlineLevel="0" collapsed="false">
      <c r="A80" s="470"/>
      <c r="B80" s="419" t="n">
        <f aca="false">EOMONTH(B79,0)+1</f>
        <v>38718</v>
      </c>
      <c r="C80" s="420" t="n">
        <v>3.298</v>
      </c>
      <c r="D80" s="420" t="n">
        <v>0.2325</v>
      </c>
      <c r="E80" s="420" t="n">
        <v>0.069882512306738</v>
      </c>
      <c r="F80" s="420" t="n">
        <v>-0.2</v>
      </c>
      <c r="G80" s="420" t="n">
        <v>-0.0575</v>
      </c>
      <c r="H80" s="420" t="n">
        <v>-0.2</v>
      </c>
      <c r="I80" s="420" t="n">
        <v>0.215</v>
      </c>
      <c r="J80" s="420" t="n">
        <v>0.305</v>
      </c>
      <c r="K80" s="420" t="n">
        <v>0.4375</v>
      </c>
      <c r="L80" s="420" t="n">
        <v>-0.077</v>
      </c>
      <c r="M80" s="420" t="n">
        <v>-0.0125</v>
      </c>
      <c r="N80" s="420" t="n">
        <v>-0.28</v>
      </c>
      <c r="O80" s="420" t="n">
        <v>0.13</v>
      </c>
      <c r="P80" s="420" t="n">
        <v>0.0135</v>
      </c>
      <c r="Q80" s="420" t="n">
        <v>-0.0095</v>
      </c>
      <c r="R80" s="418" t="n">
        <v>-0.026</v>
      </c>
      <c r="S80" s="418" t="n">
        <v>-0.06</v>
      </c>
      <c r="T80" s="418" t="n">
        <v>-0.0025</v>
      </c>
      <c r="U80" s="418" t="n">
        <v>-0.031</v>
      </c>
      <c r="V80" s="418" t="n">
        <v>-0.141</v>
      </c>
      <c r="W80" s="418" t="n">
        <v>-0.1275</v>
      </c>
      <c r="X80" s="418" t="n">
        <v>1.525</v>
      </c>
      <c r="Y80" s="418" t="n">
        <v>0.005</v>
      </c>
      <c r="Z80" s="418" t="n">
        <v>-0.19</v>
      </c>
      <c r="AA80" s="418" t="n">
        <v>-0.0225</v>
      </c>
      <c r="AB80" s="437" t="n">
        <v>0.12</v>
      </c>
      <c r="AC80" s="437" t="n">
        <v>0.975</v>
      </c>
      <c r="AD80" s="437" t="n">
        <v>0.31</v>
      </c>
      <c r="AE80" s="438" t="n">
        <v>0.233</v>
      </c>
      <c r="AF80" s="438" t="n">
        <v>0.233</v>
      </c>
      <c r="AG80" s="438" t="n">
        <v>0.256</v>
      </c>
      <c r="AH80" s="438" t="n">
        <v>0.233</v>
      </c>
      <c r="AI80" s="438" t="n">
        <v>0.237</v>
      </c>
      <c r="AJ80" s="438" t="n">
        <v>0.233</v>
      </c>
      <c r="AK80" s="438" t="n">
        <v>0.233</v>
      </c>
      <c r="AL80" s="438" t="n">
        <v>0.233</v>
      </c>
      <c r="AM80" s="438" t="n">
        <v>0.233</v>
      </c>
      <c r="AN80" s="438" t="n">
        <v>0.233</v>
      </c>
      <c r="AO80" s="438" t="n">
        <v>0.233</v>
      </c>
      <c r="AP80" s="439" t="n">
        <v>0.233</v>
      </c>
      <c r="AQ80" s="439" t="n">
        <v>0.233</v>
      </c>
      <c r="AR80" s="439" t="n">
        <v>0.233</v>
      </c>
      <c r="AS80" s="439" t="n">
        <v>0.233</v>
      </c>
      <c r="AT80" s="438" t="n">
        <v>0.233</v>
      </c>
      <c r="AU80" s="438" t="n">
        <v>0.233</v>
      </c>
      <c r="AV80" s="438" t="n">
        <v>0.256</v>
      </c>
      <c r="AW80" s="440" t="n">
        <v>0.069493306371115</v>
      </c>
      <c r="AX80" s="440"/>
      <c r="AY80" s="437" t="n">
        <f aca="false">AG80</f>
        <v>0.256</v>
      </c>
      <c r="AZ80" s="437" t="n">
        <f aca="false">AG80</f>
        <v>0.256</v>
      </c>
      <c r="BA80" s="441" t="n">
        <f aca="false">AG80</f>
        <v>0.256</v>
      </c>
      <c r="BB80" s="442" t="n">
        <f aca="false">B80</f>
        <v>38718</v>
      </c>
      <c r="BC80" s="442" t="n">
        <v>0.691305962402915</v>
      </c>
      <c r="BD80" s="418" t="n">
        <v>0.691436384176642</v>
      </c>
      <c r="BF80" s="455" t="n">
        <v>38718</v>
      </c>
      <c r="BG80" s="66" t="n">
        <v>68</v>
      </c>
      <c r="HZ80" s="442" t="n">
        <f aca="false">B82</f>
        <v>38777</v>
      </c>
      <c r="IA80" s="418" t="n">
        <v>70</v>
      </c>
    </row>
    <row r="81" customFormat="false" ht="12.75" hidden="false" customHeight="false" outlineLevel="0" collapsed="false">
      <c r="A81" s="470"/>
      <c r="B81" s="419" t="n">
        <f aca="false">EOMONTH(B80,0)+1</f>
        <v>38749</v>
      </c>
      <c r="C81" s="420" t="n">
        <v>3.168</v>
      </c>
      <c r="D81" s="420" t="n">
        <v>0.23</v>
      </c>
      <c r="E81" s="420" t="n">
        <v>0.069894016400002</v>
      </c>
      <c r="F81" s="420" t="n">
        <v>-0.2025</v>
      </c>
      <c r="G81" s="420" t="n">
        <v>-0.04</v>
      </c>
      <c r="H81" s="420" t="n">
        <v>-0.2025</v>
      </c>
      <c r="I81" s="420" t="n">
        <v>0.19</v>
      </c>
      <c r="J81" s="420" t="n">
        <v>0.305</v>
      </c>
      <c r="K81" s="420" t="n">
        <v>0.435</v>
      </c>
      <c r="L81" s="420" t="n">
        <v>-0.077</v>
      </c>
      <c r="M81" s="420" t="n">
        <v>-0.0125</v>
      </c>
      <c r="N81" s="420" t="n">
        <v>-0.28</v>
      </c>
      <c r="O81" s="420" t="n">
        <v>0</v>
      </c>
      <c r="P81" s="420" t="n">
        <v>0.0135</v>
      </c>
      <c r="Q81" s="420" t="n">
        <v>-0.0095</v>
      </c>
      <c r="R81" s="418" t="n">
        <v>-0.026</v>
      </c>
      <c r="S81" s="418" t="n">
        <v>-0.06</v>
      </c>
      <c r="T81" s="418" t="n">
        <v>-0.0025</v>
      </c>
      <c r="U81" s="418" t="n">
        <v>-0.031</v>
      </c>
      <c r="V81" s="418" t="n">
        <v>-0.1235</v>
      </c>
      <c r="W81" s="418" t="n">
        <v>-0.1275</v>
      </c>
      <c r="X81" s="418" t="n">
        <v>1.455</v>
      </c>
      <c r="Y81" s="418" t="n">
        <v>0.005</v>
      </c>
      <c r="Z81" s="418" t="n">
        <v>-0.19</v>
      </c>
      <c r="AA81" s="418" t="n">
        <v>-0.0225</v>
      </c>
      <c r="AB81" s="437" t="n">
        <v>0.12</v>
      </c>
      <c r="AC81" s="437" t="n">
        <v>0.975</v>
      </c>
      <c r="AD81" s="437" t="n">
        <v>0.285</v>
      </c>
      <c r="AE81" s="438" t="n">
        <v>0.23</v>
      </c>
      <c r="AF81" s="438" t="n">
        <v>0.23</v>
      </c>
      <c r="AG81" s="438" t="n">
        <v>0.253</v>
      </c>
      <c r="AH81" s="438" t="n">
        <v>0.23</v>
      </c>
      <c r="AI81" s="438" t="n">
        <v>0.235</v>
      </c>
      <c r="AJ81" s="438" t="n">
        <v>0.23</v>
      </c>
      <c r="AK81" s="438" t="n">
        <v>0.23</v>
      </c>
      <c r="AL81" s="438" t="n">
        <v>0.23</v>
      </c>
      <c r="AM81" s="438" t="n">
        <v>0.23</v>
      </c>
      <c r="AN81" s="438" t="n">
        <v>0.23</v>
      </c>
      <c r="AO81" s="438" t="n">
        <v>0.23</v>
      </c>
      <c r="AP81" s="439" t="n">
        <v>0.23</v>
      </c>
      <c r="AQ81" s="439" t="n">
        <v>0.23</v>
      </c>
      <c r="AR81" s="439" t="n">
        <v>0.23</v>
      </c>
      <c r="AS81" s="439" t="n">
        <v>0.23</v>
      </c>
      <c r="AT81" s="438" t="n">
        <v>0.23</v>
      </c>
      <c r="AU81" s="438" t="n">
        <v>0.23</v>
      </c>
      <c r="AV81" s="438" t="n">
        <v>0.253</v>
      </c>
      <c r="AW81" s="440" t="n">
        <v>0.069517522736181</v>
      </c>
      <c r="AX81" s="440"/>
      <c r="AY81" s="437" t="n">
        <f aca="false">AG81</f>
        <v>0.253</v>
      </c>
      <c r="AZ81" s="437" t="n">
        <f aca="false">AG81</f>
        <v>0.253</v>
      </c>
      <c r="BA81" s="441" t="n">
        <f aca="false">AG81</f>
        <v>0.253</v>
      </c>
      <c r="BB81" s="442" t="n">
        <f aca="false">B81</f>
        <v>38749</v>
      </c>
      <c r="BC81" s="442" t="n">
        <v>0.687195640890192</v>
      </c>
      <c r="BD81" s="418" t="n">
        <v>0.687325327168413</v>
      </c>
      <c r="BF81" s="455" t="n">
        <v>38749</v>
      </c>
      <c r="BG81" s="66" t="n">
        <v>69</v>
      </c>
      <c r="HZ81" s="442" t="n">
        <f aca="false">B83</f>
        <v>38808</v>
      </c>
      <c r="IA81" s="418" t="n">
        <v>71</v>
      </c>
    </row>
    <row r="82" customFormat="false" ht="12.75" hidden="false" customHeight="false" outlineLevel="0" collapsed="false">
      <c r="A82" s="470"/>
      <c r="B82" s="419" t="n">
        <f aca="false">EOMONTH(B81,0)+1</f>
        <v>38777</v>
      </c>
      <c r="C82" s="420" t="n">
        <v>3.007</v>
      </c>
      <c r="D82" s="420" t="n">
        <v>0.2275</v>
      </c>
      <c r="E82" s="420" t="n">
        <v>0.069904407193956</v>
      </c>
      <c r="F82" s="420" t="n">
        <v>-0.205</v>
      </c>
      <c r="G82" s="420" t="n">
        <v>-0.0275</v>
      </c>
      <c r="H82" s="420" t="n">
        <v>-0.205</v>
      </c>
      <c r="I82" s="420" t="n">
        <v>0.1875</v>
      </c>
      <c r="J82" s="420" t="n">
        <v>0.265</v>
      </c>
      <c r="K82" s="420" t="n">
        <v>0.3025</v>
      </c>
      <c r="L82" s="420" t="n">
        <v>-0.077</v>
      </c>
      <c r="M82" s="420" t="n">
        <v>-0.0125</v>
      </c>
      <c r="N82" s="420" t="n">
        <v>-0.28</v>
      </c>
      <c r="O82" s="420" t="n">
        <v>-0.18</v>
      </c>
      <c r="P82" s="420" t="n">
        <v>0.0135</v>
      </c>
      <c r="Q82" s="420" t="n">
        <v>-0.0095</v>
      </c>
      <c r="R82" s="418" t="n">
        <v>-0.026</v>
      </c>
      <c r="S82" s="418" t="n">
        <v>-0.06</v>
      </c>
      <c r="T82" s="418" t="n">
        <v>-0.0025</v>
      </c>
      <c r="U82" s="418" t="n">
        <v>-0.0125</v>
      </c>
      <c r="V82" s="418" t="n">
        <v>-0.106</v>
      </c>
      <c r="W82" s="418" t="n">
        <v>-0.1325</v>
      </c>
      <c r="X82" s="418" t="n">
        <v>0.835</v>
      </c>
      <c r="Y82" s="418" t="n">
        <v>0.005</v>
      </c>
      <c r="Z82" s="418" t="n">
        <v>-0.19</v>
      </c>
      <c r="AA82" s="418" t="n">
        <v>-0.0225</v>
      </c>
      <c r="AB82" s="437" t="n">
        <v>0.12</v>
      </c>
      <c r="AC82" s="437" t="n">
        <v>0.6075</v>
      </c>
      <c r="AD82" s="437" t="n">
        <v>0.2825</v>
      </c>
      <c r="AE82" s="438" t="n">
        <v>0.228</v>
      </c>
      <c r="AF82" s="438" t="n">
        <v>0.228</v>
      </c>
      <c r="AG82" s="438" t="n">
        <v>0.25</v>
      </c>
      <c r="AH82" s="438" t="n">
        <v>0.228</v>
      </c>
      <c r="AI82" s="438" t="n">
        <v>0.232</v>
      </c>
      <c r="AJ82" s="438" t="n">
        <v>0.228</v>
      </c>
      <c r="AK82" s="438" t="n">
        <v>0.228</v>
      </c>
      <c r="AL82" s="438" t="n">
        <v>0.228</v>
      </c>
      <c r="AM82" s="438" t="n">
        <v>0.228</v>
      </c>
      <c r="AN82" s="438" t="n">
        <v>0.228</v>
      </c>
      <c r="AO82" s="438" t="n">
        <v>0.228</v>
      </c>
      <c r="AP82" s="439" t="n">
        <v>0.228</v>
      </c>
      <c r="AQ82" s="439" t="n">
        <v>0.228</v>
      </c>
      <c r="AR82" s="439" t="n">
        <v>0.228</v>
      </c>
      <c r="AS82" s="439" t="n">
        <v>0.228</v>
      </c>
      <c r="AT82" s="438" t="n">
        <v>0.228</v>
      </c>
      <c r="AU82" s="438" t="n">
        <v>0.228</v>
      </c>
      <c r="AV82" s="438" t="n">
        <v>0.25</v>
      </c>
      <c r="AW82" s="440" t="n">
        <v>0.069539395582214</v>
      </c>
      <c r="AX82" s="440"/>
      <c r="AY82" s="437" t="n">
        <f aca="false">AG82</f>
        <v>0.25</v>
      </c>
      <c r="AZ82" s="437" t="n">
        <f aca="false">AG82</f>
        <v>0.25</v>
      </c>
      <c r="BA82" s="441" t="n">
        <f aca="false">AG82</f>
        <v>0.25</v>
      </c>
      <c r="BB82" s="442" t="n">
        <f aca="false">B82</f>
        <v>38777</v>
      </c>
      <c r="BC82" s="442" t="n">
        <v>0.68350198541405</v>
      </c>
      <c r="BD82" s="418" t="n">
        <v>0.683631010528981</v>
      </c>
      <c r="BF82" s="455" t="n">
        <v>38777</v>
      </c>
      <c r="BG82" s="66" t="n">
        <v>70</v>
      </c>
      <c r="HZ82" s="442" t="n">
        <f aca="false">B84</f>
        <v>38838</v>
      </c>
      <c r="IA82" s="418" t="n">
        <v>72</v>
      </c>
    </row>
    <row r="83" customFormat="false" ht="12.75" hidden="false" customHeight="false" outlineLevel="0" collapsed="false">
      <c r="A83" s="470"/>
      <c r="B83" s="419" t="n">
        <f aca="false">EOMONTH(B82,0)+1</f>
        <v>38808</v>
      </c>
      <c r="C83" s="420" t="n">
        <v>2.838</v>
      </c>
      <c r="D83" s="420" t="n">
        <v>0.2275</v>
      </c>
      <c r="E83" s="420" t="n">
        <v>0.069915911287303</v>
      </c>
      <c r="F83" s="420" t="n">
        <v>-0.195</v>
      </c>
      <c r="G83" s="420" t="n">
        <v>0.015</v>
      </c>
      <c r="H83" s="420" t="n">
        <v>-0.195</v>
      </c>
      <c r="I83" s="420" t="n">
        <v>0.0875</v>
      </c>
      <c r="J83" s="420" t="n">
        <v>0.195</v>
      </c>
      <c r="K83" s="420" t="n">
        <v>0.25</v>
      </c>
      <c r="L83" s="420" t="n">
        <v>-0.07</v>
      </c>
      <c r="M83" s="420" t="n">
        <v>-0.02</v>
      </c>
      <c r="N83" s="420" t="n">
        <v>-0.36</v>
      </c>
      <c r="O83" s="420" t="n">
        <v>-0.29</v>
      </c>
      <c r="P83" s="420" t="n">
        <v>0.0065</v>
      </c>
      <c r="Q83" s="420" t="n">
        <v>0.0005</v>
      </c>
      <c r="R83" s="418" t="n">
        <v>-0.0255</v>
      </c>
      <c r="S83" s="418" t="n">
        <v>-0.0575</v>
      </c>
      <c r="T83" s="418" t="n">
        <v>-0.13</v>
      </c>
      <c r="U83" s="418" t="n">
        <v>-0.01275</v>
      </c>
      <c r="V83" s="418" t="n">
        <v>-0.0985</v>
      </c>
      <c r="W83" s="418" t="n">
        <v>-0.12</v>
      </c>
      <c r="X83" s="418" t="n">
        <v>0.45</v>
      </c>
      <c r="Y83" s="418" t="n">
        <v>0.005</v>
      </c>
      <c r="Z83" s="418" t="n">
        <v>-0.195</v>
      </c>
      <c r="AA83" s="418" t="n">
        <v>-0.02</v>
      </c>
      <c r="AB83" s="437" t="n">
        <v>0.29</v>
      </c>
      <c r="AC83" s="437" t="n">
        <v>0.355</v>
      </c>
      <c r="AD83" s="437" t="n">
        <v>0.1825</v>
      </c>
      <c r="AE83" s="438" t="n">
        <v>0.228</v>
      </c>
      <c r="AF83" s="438" t="n">
        <v>0.228</v>
      </c>
      <c r="AG83" s="438" t="n">
        <v>0.223</v>
      </c>
      <c r="AH83" s="438" t="n">
        <v>0.228</v>
      </c>
      <c r="AI83" s="438" t="n">
        <v>0.232</v>
      </c>
      <c r="AJ83" s="438" t="n">
        <v>0.228</v>
      </c>
      <c r="AK83" s="438" t="n">
        <v>0.223</v>
      </c>
      <c r="AL83" s="438" t="n">
        <v>0.223</v>
      </c>
      <c r="AM83" s="438" t="n">
        <v>0.228</v>
      </c>
      <c r="AN83" s="438" t="n">
        <v>0.228</v>
      </c>
      <c r="AO83" s="438" t="n">
        <v>0.228</v>
      </c>
      <c r="AP83" s="439" t="n">
        <v>0.228</v>
      </c>
      <c r="AQ83" s="439" t="n">
        <v>0.228</v>
      </c>
      <c r="AR83" s="439" t="n">
        <v>0.228</v>
      </c>
      <c r="AS83" s="439" t="n">
        <v>0.228</v>
      </c>
      <c r="AT83" s="438" t="n">
        <v>0.228</v>
      </c>
      <c r="AU83" s="438" t="n">
        <v>0.228</v>
      </c>
      <c r="AV83" s="438" t="n">
        <v>0.223</v>
      </c>
      <c r="AW83" s="440" t="n">
        <v>0.069563611947649</v>
      </c>
      <c r="AX83" s="440"/>
      <c r="AY83" s="437" t="n">
        <f aca="false">AG83</f>
        <v>0.223</v>
      </c>
      <c r="AZ83" s="437" t="n">
        <f aca="false">AG83</f>
        <v>0.223</v>
      </c>
      <c r="BA83" s="441" t="n">
        <f aca="false">AG83</f>
        <v>0.223</v>
      </c>
      <c r="BB83" s="442" t="n">
        <f aca="false">B83</f>
        <v>38808</v>
      </c>
      <c r="BC83" s="442" t="n">
        <v>0.67943340503189</v>
      </c>
      <c r="BD83" s="418" t="n">
        <v>0.679561701623813</v>
      </c>
      <c r="BF83" s="455" t="n">
        <v>38808</v>
      </c>
      <c r="BG83" s="66" t="n">
        <v>71</v>
      </c>
      <c r="HZ83" s="442" t="n">
        <f aca="false">B85</f>
        <v>38869</v>
      </c>
      <c r="IA83" s="418" t="n">
        <v>73</v>
      </c>
    </row>
    <row r="84" customFormat="false" ht="12.75" hidden="false" customHeight="false" outlineLevel="0" collapsed="false">
      <c r="A84" s="470"/>
      <c r="B84" s="419" t="n">
        <f aca="false">EOMONTH(B83,0)+1</f>
        <v>38838</v>
      </c>
      <c r="C84" s="420" t="n">
        <v>2.829</v>
      </c>
      <c r="D84" s="420" t="n">
        <v>0.2275</v>
      </c>
      <c r="E84" s="420" t="n">
        <v>0.069927044280907</v>
      </c>
      <c r="F84" s="420" t="n">
        <v>-0.195</v>
      </c>
      <c r="G84" s="420" t="n">
        <v>0.015</v>
      </c>
      <c r="H84" s="420" t="n">
        <v>-0.195</v>
      </c>
      <c r="I84" s="420" t="n">
        <v>0.0975</v>
      </c>
      <c r="J84" s="420" t="n">
        <v>0.1825</v>
      </c>
      <c r="K84" s="420" t="n">
        <v>0.2025</v>
      </c>
      <c r="L84" s="420" t="n">
        <v>-0.07</v>
      </c>
      <c r="M84" s="420" t="n">
        <v>-0.02</v>
      </c>
      <c r="N84" s="420" t="n">
        <v>-0.36</v>
      </c>
      <c r="O84" s="420" t="n">
        <v>-0.29</v>
      </c>
      <c r="P84" s="420" t="n">
        <v>0.0065</v>
      </c>
      <c r="Q84" s="420" t="n">
        <v>0.0005</v>
      </c>
      <c r="R84" s="418" t="n">
        <v>-0.0255</v>
      </c>
      <c r="S84" s="418" t="n">
        <v>-0.0575</v>
      </c>
      <c r="T84" s="418" t="n">
        <v>-0.145</v>
      </c>
      <c r="U84" s="418" t="n">
        <v>-0.01275</v>
      </c>
      <c r="V84" s="418" t="n">
        <v>-0.0985</v>
      </c>
      <c r="W84" s="418" t="n">
        <v>-0.12</v>
      </c>
      <c r="X84" s="418" t="n">
        <v>0.405</v>
      </c>
      <c r="Y84" s="418" t="n">
        <v>0.005</v>
      </c>
      <c r="Z84" s="418" t="n">
        <v>-0.195</v>
      </c>
      <c r="AA84" s="418" t="n">
        <v>-0.02</v>
      </c>
      <c r="AB84" s="437" t="n">
        <v>0.29</v>
      </c>
      <c r="AC84" s="437" t="n">
        <v>0.2875</v>
      </c>
      <c r="AD84" s="437" t="n">
        <v>0.1925</v>
      </c>
      <c r="AE84" s="438" t="n">
        <v>0.228</v>
      </c>
      <c r="AF84" s="438" t="n">
        <v>0.228</v>
      </c>
      <c r="AG84" s="438" t="n">
        <v>0.223</v>
      </c>
      <c r="AH84" s="438" t="n">
        <v>0.228</v>
      </c>
      <c r="AI84" s="438" t="n">
        <v>0.232</v>
      </c>
      <c r="AJ84" s="438" t="n">
        <v>0.228</v>
      </c>
      <c r="AK84" s="438" t="n">
        <v>0.223</v>
      </c>
      <c r="AL84" s="438" t="n">
        <v>0.223</v>
      </c>
      <c r="AM84" s="438" t="n">
        <v>0.228</v>
      </c>
      <c r="AN84" s="438" t="n">
        <v>0.228</v>
      </c>
      <c r="AO84" s="438" t="n">
        <v>0.228</v>
      </c>
      <c r="AP84" s="439" t="n">
        <v>0.228</v>
      </c>
      <c r="AQ84" s="439" t="n">
        <v>0.228</v>
      </c>
      <c r="AR84" s="439" t="n">
        <v>0.228</v>
      </c>
      <c r="AS84" s="439" t="n">
        <v>0.228</v>
      </c>
      <c r="AT84" s="438" t="n">
        <v>0.228</v>
      </c>
      <c r="AU84" s="438" t="n">
        <v>0.228</v>
      </c>
      <c r="AV84" s="438" t="n">
        <v>0.223</v>
      </c>
      <c r="AW84" s="440" t="n">
        <v>0.06958704714019</v>
      </c>
      <c r="AX84" s="440"/>
      <c r="AY84" s="437" t="n">
        <f aca="false">AG84</f>
        <v>0.223</v>
      </c>
      <c r="AZ84" s="437" t="n">
        <f aca="false">AG84</f>
        <v>0.223</v>
      </c>
      <c r="BA84" s="441" t="n">
        <f aca="false">AG84</f>
        <v>0.223</v>
      </c>
      <c r="BB84" s="442" t="n">
        <f aca="false">B84</f>
        <v>38838</v>
      </c>
      <c r="BC84" s="442" t="n">
        <v>0.675516812427989</v>
      </c>
      <c r="BD84" s="418" t="n">
        <v>0.675644407464855</v>
      </c>
      <c r="BF84" s="455" t="n">
        <v>38838</v>
      </c>
      <c r="BG84" s="66" t="n">
        <v>72</v>
      </c>
      <c r="HZ84" s="442" t="n">
        <f aca="false">B86</f>
        <v>38899</v>
      </c>
      <c r="IA84" s="418" t="n">
        <v>74</v>
      </c>
    </row>
    <row r="85" customFormat="false" ht="12.75" hidden="false" customHeight="false" outlineLevel="0" collapsed="false">
      <c r="A85" s="470"/>
      <c r="B85" s="419" t="n">
        <f aca="false">EOMONTH(B84,0)+1</f>
        <v>38869</v>
      </c>
      <c r="C85" s="420" t="n">
        <v>2.852</v>
      </c>
      <c r="D85" s="420" t="n">
        <v>0.2275</v>
      </c>
      <c r="E85" s="420" t="n">
        <v>0.06993854837434</v>
      </c>
      <c r="F85" s="420" t="n">
        <v>-0.195</v>
      </c>
      <c r="G85" s="420" t="n">
        <v>0.02</v>
      </c>
      <c r="H85" s="420" t="n">
        <v>-0.195</v>
      </c>
      <c r="I85" s="420" t="n">
        <v>0.0925</v>
      </c>
      <c r="J85" s="420" t="n">
        <v>0.1825</v>
      </c>
      <c r="K85" s="420" t="n">
        <v>0.2025</v>
      </c>
      <c r="L85" s="420" t="n">
        <v>-0.086</v>
      </c>
      <c r="M85" s="420" t="n">
        <v>-0.02</v>
      </c>
      <c r="N85" s="420" t="n">
        <v>-0.36</v>
      </c>
      <c r="O85" s="420" t="n">
        <v>-0.29</v>
      </c>
      <c r="P85" s="420" t="n">
        <v>0.0065</v>
      </c>
      <c r="Q85" s="420" t="n">
        <v>0.0005</v>
      </c>
      <c r="R85" s="418" t="n">
        <v>-0.0255</v>
      </c>
      <c r="S85" s="418" t="n">
        <v>-0.0575</v>
      </c>
      <c r="T85" s="418" t="n">
        <v>-0.155</v>
      </c>
      <c r="U85" s="418" t="n">
        <v>-0.01275</v>
      </c>
      <c r="V85" s="418" t="n">
        <v>-0.0885</v>
      </c>
      <c r="W85" s="418" t="n">
        <v>-0.12</v>
      </c>
      <c r="X85" s="418" t="n">
        <v>0.395</v>
      </c>
      <c r="Y85" s="418" t="n">
        <v>0.005</v>
      </c>
      <c r="Z85" s="418" t="n">
        <v>-0.195</v>
      </c>
      <c r="AA85" s="418" t="n">
        <v>-0.02</v>
      </c>
      <c r="AB85" s="437" t="n">
        <v>0.29</v>
      </c>
      <c r="AC85" s="437" t="n">
        <v>0.2875</v>
      </c>
      <c r="AD85" s="437" t="n">
        <v>0.1875</v>
      </c>
      <c r="AE85" s="438" t="n">
        <v>0.228</v>
      </c>
      <c r="AF85" s="438" t="n">
        <v>0.228</v>
      </c>
      <c r="AG85" s="438" t="n">
        <v>0.223</v>
      </c>
      <c r="AH85" s="438" t="n">
        <v>0.228</v>
      </c>
      <c r="AI85" s="438" t="n">
        <v>0.232</v>
      </c>
      <c r="AJ85" s="438" t="n">
        <v>0.228</v>
      </c>
      <c r="AK85" s="438" t="n">
        <v>0.223</v>
      </c>
      <c r="AL85" s="438" t="n">
        <v>0.223</v>
      </c>
      <c r="AM85" s="438" t="n">
        <v>0.228</v>
      </c>
      <c r="AN85" s="438" t="n">
        <v>0.228</v>
      </c>
      <c r="AO85" s="438" t="n">
        <v>0.228</v>
      </c>
      <c r="AP85" s="439" t="n">
        <v>0.228</v>
      </c>
      <c r="AQ85" s="439" t="n">
        <v>0.228</v>
      </c>
      <c r="AR85" s="439" t="n">
        <v>0.228</v>
      </c>
      <c r="AS85" s="439" t="n">
        <v>0.228</v>
      </c>
      <c r="AT85" s="438" t="n">
        <v>0.228</v>
      </c>
      <c r="AU85" s="438" t="n">
        <v>0.228</v>
      </c>
      <c r="AV85" s="438" t="n">
        <v>0.223</v>
      </c>
      <c r="AW85" s="440" t="n">
        <v>0.069611263506007</v>
      </c>
      <c r="AX85" s="440"/>
      <c r="AY85" s="437" t="n">
        <f aca="false">AG85</f>
        <v>0.223</v>
      </c>
      <c r="AZ85" s="437" t="n">
        <f aca="false">AG85</f>
        <v>0.223</v>
      </c>
      <c r="BA85" s="441" t="n">
        <f aca="false">AG85</f>
        <v>0.223</v>
      </c>
      <c r="BB85" s="442" t="n">
        <f aca="false">B85</f>
        <v>38869</v>
      </c>
      <c r="BC85" s="442" t="n">
        <v>0.671491003469608</v>
      </c>
      <c r="BD85" s="418" t="n">
        <v>0.671617877134227</v>
      </c>
      <c r="BF85" s="455" t="n">
        <v>38869</v>
      </c>
      <c r="BG85" s="66" t="n">
        <v>73</v>
      </c>
      <c r="HZ85" s="442" t="n">
        <f aca="false">B87</f>
        <v>38930</v>
      </c>
      <c r="IA85" s="418" t="n">
        <v>75</v>
      </c>
    </row>
    <row r="86" customFormat="false" ht="12.75" hidden="false" customHeight="false" outlineLevel="0" collapsed="false">
      <c r="B86" s="419" t="n">
        <f aca="false">EOMONTH(B85,0)+1</f>
        <v>38899</v>
      </c>
      <c r="C86" s="420" t="n">
        <v>2.874</v>
      </c>
      <c r="D86" s="420" t="n">
        <v>0.2275</v>
      </c>
      <c r="E86" s="420" t="n">
        <v>0.069949681368027</v>
      </c>
      <c r="F86" s="420" t="n">
        <v>-0.195</v>
      </c>
      <c r="G86" s="420" t="n">
        <v>0.0225</v>
      </c>
      <c r="H86" s="420" t="n">
        <v>-0.195</v>
      </c>
      <c r="I86" s="420" t="n">
        <v>0.0825</v>
      </c>
      <c r="J86" s="420" t="n">
        <v>0.1825</v>
      </c>
      <c r="K86" s="420" t="n">
        <v>0.215</v>
      </c>
      <c r="L86" s="420" t="n">
        <v>-0.079</v>
      </c>
      <c r="M86" s="420" t="n">
        <v>-0.02</v>
      </c>
      <c r="N86" s="420" t="n">
        <v>-0.36</v>
      </c>
      <c r="O86" s="420" t="n">
        <v>-0.29</v>
      </c>
      <c r="P86" s="420" t="n">
        <v>0.0065</v>
      </c>
      <c r="Q86" s="420" t="n">
        <v>0.0005</v>
      </c>
      <c r="R86" s="418" t="n">
        <v>-0.0255</v>
      </c>
      <c r="S86" s="418" t="n">
        <v>-0.0575</v>
      </c>
      <c r="T86" s="418" t="n">
        <v>-0.155</v>
      </c>
      <c r="U86" s="418" t="n">
        <v>-0.01275</v>
      </c>
      <c r="V86" s="418" t="n">
        <v>-0.0835</v>
      </c>
      <c r="W86" s="418" t="n">
        <v>-0.12</v>
      </c>
      <c r="X86" s="418" t="n">
        <v>0.43</v>
      </c>
      <c r="Y86" s="418" t="n">
        <v>0.005</v>
      </c>
      <c r="Z86" s="418" t="n">
        <v>-0.195</v>
      </c>
      <c r="AA86" s="418" t="n">
        <v>-0.02</v>
      </c>
      <c r="AB86" s="437" t="n">
        <v>0.29</v>
      </c>
      <c r="AC86" s="437" t="n">
        <v>0.3</v>
      </c>
      <c r="AD86" s="437" t="n">
        <v>0.1775</v>
      </c>
      <c r="AE86" s="438" t="n">
        <v>0.228</v>
      </c>
      <c r="AF86" s="438" t="n">
        <v>0.228</v>
      </c>
      <c r="AG86" s="438" t="n">
        <v>0.223</v>
      </c>
      <c r="AH86" s="438" t="n">
        <v>0.228</v>
      </c>
      <c r="AI86" s="438" t="n">
        <v>0.232</v>
      </c>
      <c r="AJ86" s="438" t="n">
        <v>0.228</v>
      </c>
      <c r="AK86" s="438" t="n">
        <v>0.223</v>
      </c>
      <c r="AL86" s="438" t="n">
        <v>0.223</v>
      </c>
      <c r="AM86" s="438" t="n">
        <v>0.228</v>
      </c>
      <c r="AN86" s="438" t="n">
        <v>0.228</v>
      </c>
      <c r="AO86" s="438" t="n">
        <v>0.228</v>
      </c>
      <c r="AP86" s="439" t="n">
        <v>0.228</v>
      </c>
      <c r="AQ86" s="439" t="n">
        <v>0.228</v>
      </c>
      <c r="AR86" s="439" t="n">
        <v>0.228</v>
      </c>
      <c r="AS86" s="439" t="n">
        <v>0.228</v>
      </c>
      <c r="AT86" s="438" t="n">
        <v>0.228</v>
      </c>
      <c r="AU86" s="438" t="n">
        <v>0.228</v>
      </c>
      <c r="AV86" s="438" t="n">
        <v>0.223</v>
      </c>
      <c r="AW86" s="418" t="n">
        <v>0.069634698698918</v>
      </c>
      <c r="AX86" s="418"/>
      <c r="AY86" s="437" t="n">
        <f aca="false">AG86</f>
        <v>0.223</v>
      </c>
      <c r="AZ86" s="437" t="n">
        <f aca="false">AG86</f>
        <v>0.223</v>
      </c>
      <c r="BA86" s="441" t="n">
        <f aca="false">AG86</f>
        <v>0.223</v>
      </c>
      <c r="BB86" s="442" t="n">
        <f aca="false">B86</f>
        <v>38899</v>
      </c>
      <c r="BC86" s="442" t="n">
        <v>0.667615614333019</v>
      </c>
      <c r="BD86" s="418" t="n">
        <v>0.66774179333422</v>
      </c>
      <c r="BF86" s="455" t="n">
        <v>38899</v>
      </c>
      <c r="BG86" s="66" t="n">
        <v>74</v>
      </c>
      <c r="HZ86" s="442" t="n">
        <f aca="false">B88</f>
        <v>38961</v>
      </c>
      <c r="IA86" s="418" t="n">
        <v>76</v>
      </c>
    </row>
    <row r="87" customFormat="false" ht="12.75" hidden="false" customHeight="false" outlineLevel="0" collapsed="false">
      <c r="B87" s="419" t="n">
        <f aca="false">EOMONTH(B86,0)+1</f>
        <v>38930</v>
      </c>
      <c r="C87" s="420" t="n">
        <v>2.895</v>
      </c>
      <c r="D87" s="420" t="n">
        <v>0.2275</v>
      </c>
      <c r="E87" s="420" t="n">
        <v>0.069961185461547</v>
      </c>
      <c r="F87" s="420" t="n">
        <v>-0.195</v>
      </c>
      <c r="G87" s="420" t="n">
        <v>0.025</v>
      </c>
      <c r="H87" s="420" t="n">
        <v>-0.195</v>
      </c>
      <c r="I87" s="420" t="n">
        <v>0.08</v>
      </c>
      <c r="J87" s="420" t="n">
        <v>0.1825</v>
      </c>
      <c r="K87" s="420" t="n">
        <v>0.215</v>
      </c>
      <c r="L87" s="420" t="n">
        <v>-0.07</v>
      </c>
      <c r="M87" s="420" t="n">
        <v>-0.02</v>
      </c>
      <c r="N87" s="420" t="n">
        <v>-0.36</v>
      </c>
      <c r="O87" s="420" t="n">
        <v>-0.29</v>
      </c>
      <c r="P87" s="420" t="n">
        <v>0.0065</v>
      </c>
      <c r="Q87" s="420" t="n">
        <v>0.0005</v>
      </c>
      <c r="R87" s="418" t="n">
        <v>-0.0255</v>
      </c>
      <c r="S87" s="418" t="n">
        <v>-0.0575</v>
      </c>
      <c r="T87" s="418" t="n">
        <v>-0.155</v>
      </c>
      <c r="U87" s="418" t="n">
        <v>-0.01275</v>
      </c>
      <c r="V87" s="418" t="n">
        <v>-0.0835</v>
      </c>
      <c r="W87" s="418" t="n">
        <v>-0.12</v>
      </c>
      <c r="X87" s="418" t="n">
        <v>0.495</v>
      </c>
      <c r="Y87" s="418" t="n">
        <v>0.005</v>
      </c>
      <c r="Z87" s="418" t="n">
        <v>-0.195</v>
      </c>
      <c r="AA87" s="418" t="n">
        <v>-0.02</v>
      </c>
      <c r="AB87" s="437" t="n">
        <v>0.29</v>
      </c>
      <c r="AC87" s="437" t="n">
        <v>0.3</v>
      </c>
      <c r="AD87" s="437" t="n">
        <v>0.175</v>
      </c>
      <c r="AE87" s="438" t="n">
        <v>0.228</v>
      </c>
      <c r="AF87" s="438" t="n">
        <v>0.228</v>
      </c>
      <c r="AG87" s="438" t="n">
        <v>0.223</v>
      </c>
      <c r="AH87" s="438" t="n">
        <v>0.228</v>
      </c>
      <c r="AI87" s="438" t="n">
        <v>0.232</v>
      </c>
      <c r="AJ87" s="438" t="n">
        <v>0.228</v>
      </c>
      <c r="AK87" s="438" t="n">
        <v>0.223</v>
      </c>
      <c r="AL87" s="438" t="n">
        <v>0.223</v>
      </c>
      <c r="AM87" s="438" t="n">
        <v>0.228</v>
      </c>
      <c r="AN87" s="438" t="n">
        <v>0.228</v>
      </c>
      <c r="AO87" s="438" t="n">
        <v>0.228</v>
      </c>
      <c r="AP87" s="439" t="n">
        <v>0.228</v>
      </c>
      <c r="AQ87" s="439" t="n">
        <v>0.228</v>
      </c>
      <c r="AR87" s="439" t="n">
        <v>0.228</v>
      </c>
      <c r="AS87" s="439" t="n">
        <v>0.228</v>
      </c>
      <c r="AT87" s="438" t="n">
        <v>0.228</v>
      </c>
      <c r="AU87" s="438" t="n">
        <v>0.228</v>
      </c>
      <c r="AV87" s="438" t="n">
        <v>0.223</v>
      </c>
      <c r="AW87" s="418" t="n">
        <v>0.069658915065116</v>
      </c>
      <c r="AX87" s="418"/>
      <c r="AY87" s="437" t="n">
        <f aca="false">AG87</f>
        <v>0.223</v>
      </c>
      <c r="AZ87" s="437" t="n">
        <f aca="false">AG87</f>
        <v>0.223</v>
      </c>
      <c r="BA87" s="441" t="n">
        <f aca="false">AG87</f>
        <v>0.223</v>
      </c>
      <c r="BB87" s="442" t="n">
        <f aca="false">B87</f>
        <v>38930</v>
      </c>
      <c r="BC87" s="442" t="n">
        <v>0.66363218848214</v>
      </c>
      <c r="BD87" s="418" t="n">
        <v>0.66375765320314</v>
      </c>
      <c r="BF87" s="455" t="n">
        <v>38930</v>
      </c>
      <c r="BG87" s="66" t="n">
        <v>75</v>
      </c>
      <c r="HZ87" s="442" t="n">
        <f aca="false">B89</f>
        <v>38991</v>
      </c>
      <c r="IA87" s="418" t="n">
        <v>77</v>
      </c>
    </row>
    <row r="88" customFormat="false" ht="12.75" hidden="false" customHeight="false" outlineLevel="0" collapsed="false">
      <c r="B88" s="419" t="n">
        <f aca="false">EOMONTH(B87,0)+1</f>
        <v>38961</v>
      </c>
      <c r="C88" s="420" t="n">
        <v>2.875</v>
      </c>
      <c r="D88" s="420" t="n">
        <v>0.2275</v>
      </c>
      <c r="E88" s="420" t="n">
        <v>0.069972689555111</v>
      </c>
      <c r="F88" s="420" t="n">
        <v>-0.195</v>
      </c>
      <c r="G88" s="420" t="n">
        <v>0.0175</v>
      </c>
      <c r="H88" s="420" t="n">
        <v>-0.195</v>
      </c>
      <c r="I88" s="420" t="n">
        <v>0.0775</v>
      </c>
      <c r="J88" s="420" t="n">
        <v>0.1825</v>
      </c>
      <c r="K88" s="420" t="n">
        <v>0.195</v>
      </c>
      <c r="L88" s="420" t="n">
        <v>-0.05</v>
      </c>
      <c r="M88" s="420" t="n">
        <v>-0.02</v>
      </c>
      <c r="N88" s="420" t="n">
        <v>-0.36</v>
      </c>
      <c r="O88" s="420" t="n">
        <v>-0.29</v>
      </c>
      <c r="P88" s="420" t="n">
        <v>0.0065</v>
      </c>
      <c r="Q88" s="420" t="n">
        <v>0.0005</v>
      </c>
      <c r="R88" s="418" t="n">
        <v>-0.0255</v>
      </c>
      <c r="S88" s="418" t="n">
        <v>-0.0575</v>
      </c>
      <c r="T88" s="418" t="n">
        <v>-0.145</v>
      </c>
      <c r="U88" s="418" t="n">
        <v>-0.01275</v>
      </c>
      <c r="V88" s="418" t="n">
        <v>-0.0985</v>
      </c>
      <c r="W88" s="418" t="n">
        <v>-0.12</v>
      </c>
      <c r="X88" s="418" t="n">
        <v>0.395</v>
      </c>
      <c r="Y88" s="418" t="n">
        <v>0.005</v>
      </c>
      <c r="Z88" s="418" t="n">
        <v>-0.195</v>
      </c>
      <c r="AA88" s="418" t="n">
        <v>-0.02</v>
      </c>
      <c r="AB88" s="437" t="n">
        <v>0.29</v>
      </c>
      <c r="AC88" s="437" t="n">
        <v>0.29</v>
      </c>
      <c r="AD88" s="437" t="n">
        <v>0.1725</v>
      </c>
      <c r="AE88" s="438" t="n">
        <v>0.228</v>
      </c>
      <c r="AF88" s="438" t="n">
        <v>0.228</v>
      </c>
      <c r="AG88" s="438" t="n">
        <v>0.223</v>
      </c>
      <c r="AH88" s="438" t="n">
        <v>0.228</v>
      </c>
      <c r="AI88" s="438" t="n">
        <v>0.232</v>
      </c>
      <c r="AJ88" s="438" t="n">
        <v>0.228</v>
      </c>
      <c r="AK88" s="438" t="n">
        <v>0.223</v>
      </c>
      <c r="AL88" s="438" t="n">
        <v>0.223</v>
      </c>
      <c r="AM88" s="438" t="n">
        <v>0.228</v>
      </c>
      <c r="AN88" s="438" t="n">
        <v>0.228</v>
      </c>
      <c r="AO88" s="438" t="n">
        <v>0.228</v>
      </c>
      <c r="AP88" s="439" t="n">
        <v>0.228</v>
      </c>
      <c r="AQ88" s="439" t="n">
        <v>0.228</v>
      </c>
      <c r="AR88" s="439" t="n">
        <v>0.228</v>
      </c>
      <c r="AS88" s="439" t="n">
        <v>0.228</v>
      </c>
      <c r="AT88" s="438" t="n">
        <v>0.228</v>
      </c>
      <c r="AU88" s="438" t="n">
        <v>0.228</v>
      </c>
      <c r="AV88" s="438" t="n">
        <v>0.223</v>
      </c>
      <c r="AW88" s="418" t="n">
        <v>0.069683131431508</v>
      </c>
      <c r="AX88" s="418"/>
      <c r="AY88" s="437" t="n">
        <f aca="false">AG88</f>
        <v>0.223</v>
      </c>
      <c r="AZ88" s="437" t="n">
        <f aca="false">AG88</f>
        <v>0.223</v>
      </c>
      <c r="BA88" s="441" t="n">
        <f aca="false">AG88</f>
        <v>0.223</v>
      </c>
      <c r="BB88" s="442" t="n">
        <f aca="false">B88</f>
        <v>38961</v>
      </c>
      <c r="BC88" s="442" t="n">
        <v>0.659670153662414</v>
      </c>
      <c r="BD88" s="418" t="n">
        <v>0.659794907684979</v>
      </c>
      <c r="BF88" s="455" t="n">
        <v>38961</v>
      </c>
      <c r="BG88" s="66" t="n">
        <v>76</v>
      </c>
      <c r="HZ88" s="442" t="n">
        <f aca="false">B90</f>
        <v>39022</v>
      </c>
      <c r="IA88" s="418" t="n">
        <v>78</v>
      </c>
    </row>
    <row r="89" customFormat="false" ht="12.75" hidden="false" customHeight="false" outlineLevel="0" collapsed="false">
      <c r="B89" s="419" t="n">
        <f aca="false">EOMONTH(B88,0)+1</f>
        <v>38991</v>
      </c>
      <c r="C89" s="420" t="n">
        <v>2.887</v>
      </c>
      <c r="D89" s="420" t="n">
        <v>0.2275</v>
      </c>
      <c r="E89" s="420" t="n">
        <v>0.069983822548923</v>
      </c>
      <c r="F89" s="420" t="n">
        <v>-0.195</v>
      </c>
      <c r="G89" s="420" t="n">
        <v>0.0075</v>
      </c>
      <c r="H89" s="420" t="n">
        <v>-0.195</v>
      </c>
      <c r="I89" s="420" t="n">
        <v>0.0925</v>
      </c>
      <c r="J89" s="420" t="n">
        <v>0.1875</v>
      </c>
      <c r="K89" s="420" t="n">
        <v>0.215</v>
      </c>
      <c r="L89" s="420" t="n">
        <v>-0.06</v>
      </c>
      <c r="M89" s="420" t="n">
        <v>-0.02</v>
      </c>
      <c r="N89" s="420" t="n">
        <v>-0.36</v>
      </c>
      <c r="O89" s="420" t="n">
        <v>-0.29</v>
      </c>
      <c r="P89" s="420" t="n">
        <v>0.0065</v>
      </c>
      <c r="Q89" s="420" t="n">
        <v>0.0005</v>
      </c>
      <c r="R89" s="418" t="n">
        <v>-0.0255</v>
      </c>
      <c r="S89" s="418" t="n">
        <v>-0.0575</v>
      </c>
      <c r="T89" s="418" t="n">
        <v>-0.13</v>
      </c>
      <c r="U89" s="418" t="n">
        <v>-0.031</v>
      </c>
      <c r="V89" s="418" t="n">
        <v>-0.101</v>
      </c>
      <c r="W89" s="418" t="n">
        <v>-0.12</v>
      </c>
      <c r="X89" s="418" t="n">
        <v>0.461</v>
      </c>
      <c r="Y89" s="418" t="n">
        <v>0.005</v>
      </c>
      <c r="Z89" s="418" t="n">
        <v>-0.195</v>
      </c>
      <c r="AA89" s="418" t="n">
        <v>-0.02</v>
      </c>
      <c r="AB89" s="437" t="n">
        <v>0.29</v>
      </c>
      <c r="AC89" s="437" t="n">
        <v>0.3625</v>
      </c>
      <c r="AD89" s="437" t="n">
        <v>0.1875</v>
      </c>
      <c r="AE89" s="438" t="n">
        <v>0.228</v>
      </c>
      <c r="AF89" s="438" t="n">
        <v>0.228</v>
      </c>
      <c r="AG89" s="438" t="n">
        <v>0.223</v>
      </c>
      <c r="AH89" s="438" t="n">
        <v>0.228</v>
      </c>
      <c r="AI89" s="438" t="n">
        <v>0.232</v>
      </c>
      <c r="AJ89" s="438" t="n">
        <v>0.228</v>
      </c>
      <c r="AK89" s="438" t="n">
        <v>0.223</v>
      </c>
      <c r="AL89" s="438" t="n">
        <v>0.223</v>
      </c>
      <c r="AM89" s="438" t="n">
        <v>0.228</v>
      </c>
      <c r="AN89" s="438" t="n">
        <v>0.228</v>
      </c>
      <c r="AO89" s="438" t="n">
        <v>0.228</v>
      </c>
      <c r="AP89" s="439" t="n">
        <v>0.228</v>
      </c>
      <c r="AQ89" s="439" t="n">
        <v>0.228</v>
      </c>
      <c r="AR89" s="439" t="n">
        <v>0.228</v>
      </c>
      <c r="AS89" s="439" t="n">
        <v>0.228</v>
      </c>
      <c r="AT89" s="438" t="n">
        <v>0.228</v>
      </c>
      <c r="AU89" s="438" t="n">
        <v>0.228</v>
      </c>
      <c r="AV89" s="438" t="n">
        <v>0.223</v>
      </c>
      <c r="AW89" s="418" t="n">
        <v>0.069706566624976</v>
      </c>
      <c r="AX89" s="418"/>
      <c r="AY89" s="437" t="n">
        <f aca="false">AG89</f>
        <v>0.223</v>
      </c>
      <c r="AZ89" s="437" t="n">
        <f aca="false">AG89</f>
        <v>0.223</v>
      </c>
      <c r="BA89" s="441" t="n">
        <f aca="false">AG89</f>
        <v>0.223</v>
      </c>
      <c r="BB89" s="442" t="n">
        <f aca="false">B89</f>
        <v>38991</v>
      </c>
      <c r="BC89" s="442" t="n">
        <v>0.655856200081868</v>
      </c>
      <c r="BD89" s="418" t="n">
        <v>0.655980269727914</v>
      </c>
      <c r="BF89" s="455" t="n">
        <v>38991</v>
      </c>
      <c r="BG89" s="66" t="n">
        <v>77</v>
      </c>
      <c r="HZ89" s="442" t="n">
        <f aca="false">B91</f>
        <v>39052</v>
      </c>
      <c r="IA89" s="418" t="n">
        <v>79</v>
      </c>
    </row>
    <row r="90" customFormat="false" ht="12.75" hidden="false" customHeight="false" outlineLevel="0" collapsed="false">
      <c r="B90" s="419" t="n">
        <f aca="false">EOMONTH(B89,0)+1</f>
        <v>39022</v>
      </c>
      <c r="C90" s="420" t="n">
        <v>2.964</v>
      </c>
      <c r="D90" s="420" t="n">
        <v>0.23</v>
      </c>
      <c r="E90" s="420" t="n">
        <v>0.069995326642573</v>
      </c>
      <c r="F90" s="420" t="n">
        <v>-0.19</v>
      </c>
      <c r="G90" s="420" t="n">
        <v>-0.0325</v>
      </c>
      <c r="H90" s="420" t="n">
        <v>-0.19</v>
      </c>
      <c r="I90" s="420" t="n">
        <v>0.135</v>
      </c>
      <c r="J90" s="420" t="n">
        <v>0.27</v>
      </c>
      <c r="K90" s="420" t="n">
        <v>0.2875</v>
      </c>
      <c r="L90" s="420" t="n">
        <v>-0.075</v>
      </c>
      <c r="M90" s="420" t="n">
        <v>-0.0125</v>
      </c>
      <c r="N90" s="420" t="n">
        <v>-0.28</v>
      </c>
      <c r="O90" s="420" t="n">
        <v>0</v>
      </c>
      <c r="P90" s="420" t="n">
        <v>0.014</v>
      </c>
      <c r="Q90" s="420" t="n">
        <v>-0.0075</v>
      </c>
      <c r="R90" s="418" t="n">
        <v>-0.0285</v>
      </c>
      <c r="S90" s="418" t="n">
        <v>-0.0575</v>
      </c>
      <c r="T90" s="418" t="n">
        <v>-0.0925</v>
      </c>
      <c r="U90" s="418" t="n">
        <v>-0.03</v>
      </c>
      <c r="V90" s="418" t="n">
        <v>-0.0985</v>
      </c>
      <c r="W90" s="418" t="n">
        <v>-0.1325</v>
      </c>
      <c r="X90" s="418" t="n">
        <v>0.7675</v>
      </c>
      <c r="Y90" s="418" t="n">
        <v>0.005</v>
      </c>
      <c r="Z90" s="418" t="n">
        <v>-0.19</v>
      </c>
      <c r="AA90" s="418" t="n">
        <v>-0.0215</v>
      </c>
      <c r="AB90" s="437" t="n">
        <v>0.12</v>
      </c>
      <c r="AC90" s="437" t="n">
        <v>0.465</v>
      </c>
      <c r="AD90" s="437" t="n">
        <v>0.23</v>
      </c>
      <c r="AE90" s="438" t="n">
        <v>0.23</v>
      </c>
      <c r="AF90" s="438" t="n">
        <v>0.23</v>
      </c>
      <c r="AG90" s="438" t="n">
        <v>0.253</v>
      </c>
      <c r="AH90" s="438" t="n">
        <v>0.23</v>
      </c>
      <c r="AI90" s="438" t="n">
        <v>0.235</v>
      </c>
      <c r="AJ90" s="438" t="n">
        <v>0.23</v>
      </c>
      <c r="AK90" s="438" t="n">
        <v>0.23</v>
      </c>
      <c r="AL90" s="438" t="n">
        <v>0.23</v>
      </c>
      <c r="AM90" s="438" t="n">
        <v>0.23</v>
      </c>
      <c r="AN90" s="438" t="n">
        <v>0.23</v>
      </c>
      <c r="AO90" s="438" t="n">
        <v>0.23</v>
      </c>
      <c r="AP90" s="439" t="n">
        <v>0.23</v>
      </c>
      <c r="AQ90" s="439" t="n">
        <v>0.23</v>
      </c>
      <c r="AR90" s="439" t="n">
        <v>0.23</v>
      </c>
      <c r="AS90" s="439" t="n">
        <v>0.23</v>
      </c>
      <c r="AT90" s="438" t="n">
        <v>0.23</v>
      </c>
      <c r="AU90" s="438" t="n">
        <v>0.23</v>
      </c>
      <c r="AV90" s="438" t="n">
        <v>0.253</v>
      </c>
      <c r="AW90" s="418" t="n">
        <v>0.06973078299175</v>
      </c>
      <c r="AX90" s="418"/>
      <c r="AY90" s="437" t="n">
        <f aca="false">AG90</f>
        <v>0.253</v>
      </c>
      <c r="AZ90" s="437" t="n">
        <f aca="false">AG90</f>
        <v>0.253</v>
      </c>
      <c r="BA90" s="441" t="n">
        <f aca="false">AG90</f>
        <v>0.253</v>
      </c>
      <c r="BB90" s="442" t="n">
        <f aca="false">B90</f>
        <v>39022</v>
      </c>
      <c r="BC90" s="442" t="n">
        <v>0.651935967956931</v>
      </c>
      <c r="BD90" s="418" t="n">
        <v>0.652059333908689</v>
      </c>
      <c r="BF90" s="455" t="n">
        <v>39022</v>
      </c>
      <c r="BG90" s="66" t="n">
        <v>78</v>
      </c>
      <c r="HZ90" s="442" t="n">
        <f aca="false">B92</f>
        <v>39083</v>
      </c>
      <c r="IA90" s="418" t="n">
        <v>80</v>
      </c>
    </row>
    <row r="91" customFormat="false" ht="12.75" hidden="false" customHeight="false" outlineLevel="0" collapsed="false">
      <c r="B91" s="419" t="n">
        <f aca="false">EOMONTH(B90,0)+1</f>
        <v>39052</v>
      </c>
      <c r="C91" s="420" t="n">
        <v>3.041</v>
      </c>
      <c r="D91" s="420" t="n">
        <v>0.24</v>
      </c>
      <c r="E91" s="420" t="n">
        <v>0.070006459636469</v>
      </c>
      <c r="F91" s="420" t="n">
        <v>-0.1975</v>
      </c>
      <c r="G91" s="420" t="n">
        <v>-0.055</v>
      </c>
      <c r="H91" s="420" t="n">
        <v>-0.1975</v>
      </c>
      <c r="I91" s="420" t="n">
        <v>0.175</v>
      </c>
      <c r="J91" s="420" t="n">
        <v>0.305</v>
      </c>
      <c r="K91" s="420" t="n">
        <v>0.3375</v>
      </c>
      <c r="L91" s="420" t="n">
        <v>-0.075</v>
      </c>
      <c r="M91" s="420" t="n">
        <v>-0.0125</v>
      </c>
      <c r="N91" s="420" t="n">
        <v>-0.28</v>
      </c>
      <c r="O91" s="420" t="n">
        <v>0.06</v>
      </c>
      <c r="P91" s="420" t="n">
        <v>0.014</v>
      </c>
      <c r="Q91" s="420" t="n">
        <v>-0.0075</v>
      </c>
      <c r="R91" s="418" t="n">
        <v>-0.0285</v>
      </c>
      <c r="S91" s="418" t="n">
        <v>-0.0575</v>
      </c>
      <c r="T91" s="418" t="n">
        <v>-0.085</v>
      </c>
      <c r="U91" s="418" t="n">
        <v>-0.03</v>
      </c>
      <c r="V91" s="418" t="n">
        <v>-0.1335</v>
      </c>
      <c r="W91" s="418" t="n">
        <v>-0.1275</v>
      </c>
      <c r="X91" s="418" t="n">
        <v>1.19</v>
      </c>
      <c r="Y91" s="418" t="n">
        <v>0.005</v>
      </c>
      <c r="Z91" s="418" t="n">
        <v>-0.19</v>
      </c>
      <c r="AA91" s="418" t="n">
        <v>-0.0215</v>
      </c>
      <c r="AB91" s="437" t="n">
        <v>0.12</v>
      </c>
      <c r="AC91" s="437" t="n">
        <v>0.8</v>
      </c>
      <c r="AD91" s="437" t="n">
        <v>0.27</v>
      </c>
      <c r="AE91" s="438" t="n">
        <v>0.24</v>
      </c>
      <c r="AF91" s="438" t="n">
        <v>0.24</v>
      </c>
      <c r="AG91" s="438" t="n">
        <v>0.264</v>
      </c>
      <c r="AH91" s="438" t="n">
        <v>0.24</v>
      </c>
      <c r="AI91" s="438" t="n">
        <v>0.245</v>
      </c>
      <c r="AJ91" s="438" t="n">
        <v>0.24</v>
      </c>
      <c r="AK91" s="438" t="n">
        <v>0.24</v>
      </c>
      <c r="AL91" s="438" t="n">
        <v>0.24</v>
      </c>
      <c r="AM91" s="438" t="n">
        <v>0.24</v>
      </c>
      <c r="AN91" s="438" t="n">
        <v>0.24</v>
      </c>
      <c r="AO91" s="438" t="n">
        <v>0.24</v>
      </c>
      <c r="AP91" s="439" t="n">
        <v>0.24</v>
      </c>
      <c r="AQ91" s="439" t="n">
        <v>0.24</v>
      </c>
      <c r="AR91" s="439" t="n">
        <v>0.24</v>
      </c>
      <c r="AS91" s="439" t="n">
        <v>0.24</v>
      </c>
      <c r="AT91" s="438" t="n">
        <v>0.24</v>
      </c>
      <c r="AU91" s="438" t="n">
        <v>0.24</v>
      </c>
      <c r="AV91" s="438" t="n">
        <v>0.264</v>
      </c>
      <c r="AW91" s="418" t="n">
        <v>0.069754218185586</v>
      </c>
      <c r="AX91" s="418"/>
      <c r="AY91" s="437" t="n">
        <f aca="false">AG91</f>
        <v>0.264</v>
      </c>
      <c r="AZ91" s="437" t="n">
        <f aca="false">AG91</f>
        <v>0.264</v>
      </c>
      <c r="BA91" s="441" t="n">
        <f aca="false">AG91</f>
        <v>0.264</v>
      </c>
      <c r="BB91" s="442" t="n">
        <f aca="false">B91</f>
        <v>39052</v>
      </c>
      <c r="BC91" s="442" t="n">
        <v>0.648162283724816</v>
      </c>
      <c r="BD91" s="418" t="n">
        <v>0.648284972050229</v>
      </c>
      <c r="BF91" s="455" t="n">
        <v>39052</v>
      </c>
      <c r="BG91" s="66" t="n">
        <v>79</v>
      </c>
      <c r="HZ91" s="442" t="n">
        <f aca="false">B93</f>
        <v>39114</v>
      </c>
      <c r="IA91" s="418" t="n">
        <v>81</v>
      </c>
    </row>
    <row r="92" customFormat="false" ht="12.75" hidden="false" customHeight="false" outlineLevel="0" collapsed="false">
      <c r="B92" s="419" t="n">
        <f aca="false">EOMONTH(B91,0)+1</f>
        <v>39083</v>
      </c>
      <c r="C92" s="420" t="n">
        <v>3.305</v>
      </c>
      <c r="D92" s="420" t="n">
        <v>0.245</v>
      </c>
      <c r="E92" s="420" t="n">
        <v>0.070017963730204</v>
      </c>
      <c r="F92" s="420" t="n">
        <v>-0.2</v>
      </c>
      <c r="G92" s="420" t="n">
        <v>-0.0575</v>
      </c>
      <c r="H92" s="420" t="n">
        <v>-0.2</v>
      </c>
      <c r="I92" s="420" t="n">
        <v>0.22</v>
      </c>
      <c r="J92" s="420" t="n">
        <v>0.305</v>
      </c>
      <c r="K92" s="420" t="n">
        <v>0.4375</v>
      </c>
      <c r="L92" s="420" t="n">
        <v>-0.075</v>
      </c>
      <c r="M92" s="420" t="n">
        <v>-0.0105</v>
      </c>
      <c r="N92" s="420" t="n">
        <v>-0.28</v>
      </c>
      <c r="O92" s="420" t="n">
        <v>0.13</v>
      </c>
      <c r="P92" s="420" t="n">
        <v>0.014</v>
      </c>
      <c r="Q92" s="420" t="n">
        <v>-0.0075</v>
      </c>
      <c r="R92" s="418" t="n">
        <v>-0.024</v>
      </c>
      <c r="S92" s="418" t="n">
        <v>-0.0575</v>
      </c>
      <c r="T92" s="418" t="n">
        <v>-0.07</v>
      </c>
      <c r="U92" s="418" t="n">
        <v>-0.03</v>
      </c>
      <c r="V92" s="418" t="n">
        <v>-0.139</v>
      </c>
      <c r="W92" s="418" t="n">
        <v>-0.1275</v>
      </c>
      <c r="X92" s="418" t="n">
        <v>1.525</v>
      </c>
      <c r="Y92" s="418" t="n">
        <v>0.005</v>
      </c>
      <c r="Z92" s="418" t="n">
        <v>-0.19</v>
      </c>
      <c r="AA92" s="418" t="n">
        <v>-0.0215</v>
      </c>
      <c r="AB92" s="437" t="n">
        <v>0.12</v>
      </c>
      <c r="AC92" s="437" t="n">
        <v>0.975</v>
      </c>
      <c r="AD92" s="437" t="n">
        <v>0.315</v>
      </c>
      <c r="AE92" s="438" t="n">
        <v>0.245</v>
      </c>
      <c r="AF92" s="438" t="n">
        <v>0.245</v>
      </c>
      <c r="AG92" s="438" t="n">
        <v>0.27</v>
      </c>
      <c r="AH92" s="438" t="n">
        <v>0.245</v>
      </c>
      <c r="AI92" s="438" t="n">
        <v>0.25</v>
      </c>
      <c r="AJ92" s="438" t="n">
        <v>0.245</v>
      </c>
      <c r="AK92" s="438" t="n">
        <v>0.245</v>
      </c>
      <c r="AL92" s="438" t="n">
        <v>0.245</v>
      </c>
      <c r="AM92" s="438" t="n">
        <v>0.245</v>
      </c>
      <c r="AN92" s="438" t="n">
        <v>0.245</v>
      </c>
      <c r="AO92" s="438" t="n">
        <v>0.245</v>
      </c>
      <c r="AP92" s="439" t="n">
        <v>0.245</v>
      </c>
      <c r="AQ92" s="439" t="n">
        <v>0.245</v>
      </c>
      <c r="AR92" s="439" t="n">
        <v>0.245</v>
      </c>
      <c r="AS92" s="439" t="n">
        <v>0.245</v>
      </c>
      <c r="AT92" s="438" t="n">
        <v>0.245</v>
      </c>
      <c r="AU92" s="438" t="n">
        <v>0.245</v>
      </c>
      <c r="AV92" s="438" t="n">
        <v>0.27</v>
      </c>
      <c r="AW92" s="418" t="n">
        <v>0.069778434552742</v>
      </c>
      <c r="AX92" s="418"/>
      <c r="AY92" s="437" t="n">
        <f aca="false">AG92</f>
        <v>0.27</v>
      </c>
      <c r="AZ92" s="437" t="n">
        <f aca="false">AG92</f>
        <v>0.27</v>
      </c>
      <c r="BA92" s="441" t="n">
        <f aca="false">AG92</f>
        <v>0.27</v>
      </c>
      <c r="BB92" s="442" t="n">
        <f aca="false">B92</f>
        <v>39083</v>
      </c>
      <c r="BC92" s="442" t="n">
        <v>0.644283472917083</v>
      </c>
      <c r="BD92" s="418" t="n">
        <v>0.644405464494507</v>
      </c>
      <c r="BF92" s="455" t="n">
        <v>39083</v>
      </c>
      <c r="BG92" s="66" t="n">
        <v>80</v>
      </c>
      <c r="HZ92" s="442" t="n">
        <f aca="false">B94</f>
        <v>39142</v>
      </c>
      <c r="IA92" s="418" t="n">
        <v>82</v>
      </c>
    </row>
    <row r="93" customFormat="false" ht="12.75" hidden="false" customHeight="false" outlineLevel="0" collapsed="false">
      <c r="A93" s="473"/>
      <c r="B93" s="419" t="n">
        <f aca="false">EOMONTH(B92,0)+1</f>
        <v>39114</v>
      </c>
      <c r="C93" s="420" t="n">
        <v>3.179</v>
      </c>
      <c r="D93" s="420" t="n">
        <v>0.23</v>
      </c>
      <c r="E93" s="420" t="n">
        <v>0.070029467823984</v>
      </c>
      <c r="F93" s="420" t="n">
        <v>-0.2025</v>
      </c>
      <c r="G93" s="420" t="n">
        <v>-0.04</v>
      </c>
      <c r="H93" s="420" t="n">
        <v>-0.2025</v>
      </c>
      <c r="I93" s="420" t="n">
        <v>0.195</v>
      </c>
      <c r="J93" s="420" t="n">
        <v>0.305</v>
      </c>
      <c r="K93" s="420" t="n">
        <v>0.435</v>
      </c>
      <c r="L93" s="420" t="n">
        <v>-0.075</v>
      </c>
      <c r="M93" s="420" t="n">
        <v>-0.0105</v>
      </c>
      <c r="N93" s="420" t="n">
        <v>-0.28</v>
      </c>
      <c r="O93" s="420" t="n">
        <v>0</v>
      </c>
      <c r="P93" s="420" t="n">
        <v>0.014</v>
      </c>
      <c r="Q93" s="420" t="n">
        <v>-0.0075</v>
      </c>
      <c r="R93" s="418" t="n">
        <v>-0.024</v>
      </c>
      <c r="S93" s="418" t="n">
        <v>-0.0575</v>
      </c>
      <c r="T93" s="418" t="n">
        <v>-0.07</v>
      </c>
      <c r="U93" s="418" t="n">
        <v>-0.03</v>
      </c>
      <c r="V93" s="418" t="n">
        <v>-0.1215</v>
      </c>
      <c r="W93" s="418" t="n">
        <v>-0.1275</v>
      </c>
      <c r="X93" s="418" t="n">
        <v>1.455</v>
      </c>
      <c r="Y93" s="418" t="n">
        <v>0.005</v>
      </c>
      <c r="Z93" s="418" t="n">
        <v>-0.19</v>
      </c>
      <c r="AA93" s="418" t="n">
        <v>-0.0215</v>
      </c>
      <c r="AB93" s="437" t="n">
        <v>0.12</v>
      </c>
      <c r="AC93" s="437" t="n">
        <v>0.975</v>
      </c>
      <c r="AD93" s="437" t="n">
        <v>0.29</v>
      </c>
      <c r="AE93" s="438" t="n">
        <v>0.23</v>
      </c>
      <c r="AF93" s="438" t="n">
        <v>0.23</v>
      </c>
      <c r="AG93" s="438" t="n">
        <v>0.253</v>
      </c>
      <c r="AH93" s="438" t="n">
        <v>0.23</v>
      </c>
      <c r="AI93" s="438" t="n">
        <v>0.235</v>
      </c>
      <c r="AJ93" s="438" t="n">
        <v>0.23</v>
      </c>
      <c r="AK93" s="438" t="n">
        <v>0.23</v>
      </c>
      <c r="AL93" s="438" t="n">
        <v>0.23</v>
      </c>
      <c r="AM93" s="438" t="n">
        <v>0.23</v>
      </c>
      <c r="AN93" s="438" t="n">
        <v>0.23</v>
      </c>
      <c r="AO93" s="438" t="n">
        <v>0.23</v>
      </c>
      <c r="AP93" s="439" t="n">
        <v>0.23</v>
      </c>
      <c r="AQ93" s="439" t="n">
        <v>0.23</v>
      </c>
      <c r="AR93" s="439" t="n">
        <v>0.23</v>
      </c>
      <c r="AS93" s="439" t="n">
        <v>0.23</v>
      </c>
      <c r="AT93" s="438" t="n">
        <v>0.23</v>
      </c>
      <c r="AU93" s="438" t="n">
        <v>0.23</v>
      </c>
      <c r="AV93" s="438" t="n">
        <v>0.253</v>
      </c>
      <c r="AW93" s="418" t="n">
        <v>0.069802650920091</v>
      </c>
      <c r="AX93" s="418"/>
      <c r="AY93" s="437" t="n">
        <f aca="false">AG93</f>
        <v>0.253</v>
      </c>
      <c r="AZ93" s="437" t="n">
        <f aca="false">AG93</f>
        <v>0.253</v>
      </c>
      <c r="BA93" s="441" t="n">
        <f aca="false">AG93</f>
        <v>0.253</v>
      </c>
      <c r="BB93" s="442" t="n">
        <f aca="false">B93</f>
        <v>39114</v>
      </c>
      <c r="BC93" s="442" t="n">
        <v>0.640425567012107</v>
      </c>
      <c r="BD93" s="418" t="n">
        <v>0.640546865349572</v>
      </c>
      <c r="BF93" s="455" t="n">
        <v>39114</v>
      </c>
      <c r="BG93" s="66" t="n">
        <v>81</v>
      </c>
      <c r="HZ93" s="442" t="n">
        <f aca="false">B95</f>
        <v>39173</v>
      </c>
      <c r="IA93" s="418" t="n">
        <v>83</v>
      </c>
    </row>
    <row r="94" customFormat="false" ht="12.75" hidden="false" customHeight="false" outlineLevel="0" collapsed="false">
      <c r="A94" s="470"/>
      <c r="B94" s="419" t="n">
        <f aca="false">EOMONTH(B93,0)+1</f>
        <v>39142</v>
      </c>
      <c r="C94" s="420" t="n">
        <v>3.021</v>
      </c>
      <c r="D94" s="420" t="n">
        <v>0.22</v>
      </c>
      <c r="E94" s="420" t="n">
        <v>0.070039858618403</v>
      </c>
      <c r="F94" s="420" t="n">
        <v>-0.205</v>
      </c>
      <c r="G94" s="420" t="n">
        <v>-0.0275</v>
      </c>
      <c r="H94" s="420" t="n">
        <v>-0.205</v>
      </c>
      <c r="I94" s="420" t="n">
        <v>0.1925</v>
      </c>
      <c r="J94" s="420" t="n">
        <v>0.265</v>
      </c>
      <c r="K94" s="420" t="n">
        <v>0.3025</v>
      </c>
      <c r="L94" s="420" t="n">
        <v>-0.075</v>
      </c>
      <c r="M94" s="420" t="n">
        <v>-0.0105</v>
      </c>
      <c r="N94" s="420" t="n">
        <v>-0.28</v>
      </c>
      <c r="O94" s="420" t="n">
        <v>-0.18</v>
      </c>
      <c r="P94" s="420" t="n">
        <v>0.014</v>
      </c>
      <c r="Q94" s="420" t="n">
        <v>-0.0075</v>
      </c>
      <c r="R94" s="418" t="n">
        <v>-0.024</v>
      </c>
      <c r="S94" s="418" t="n">
        <v>-0.0575</v>
      </c>
      <c r="T94" s="418" t="n">
        <v>-0.07</v>
      </c>
      <c r="U94" s="418" t="n">
        <v>-0.0115</v>
      </c>
      <c r="V94" s="418" t="n">
        <v>-0.104</v>
      </c>
      <c r="W94" s="418" t="n">
        <v>-0.1325</v>
      </c>
      <c r="X94" s="418" t="n">
        <v>0.835</v>
      </c>
      <c r="Y94" s="418" t="n">
        <v>0.005</v>
      </c>
      <c r="Z94" s="418" t="n">
        <v>-0.19</v>
      </c>
      <c r="AA94" s="418" t="n">
        <v>-0.0215</v>
      </c>
      <c r="AB94" s="437" t="n">
        <v>0.12</v>
      </c>
      <c r="AC94" s="437" t="n">
        <v>0.6075</v>
      </c>
      <c r="AD94" s="437" t="n">
        <v>0.2875</v>
      </c>
      <c r="AE94" s="438" t="n">
        <v>0.22</v>
      </c>
      <c r="AF94" s="438" t="n">
        <v>0.22</v>
      </c>
      <c r="AG94" s="438" t="n">
        <v>0.242</v>
      </c>
      <c r="AH94" s="438" t="n">
        <v>0.22</v>
      </c>
      <c r="AI94" s="438" t="n">
        <v>0.224</v>
      </c>
      <c r="AJ94" s="438" t="n">
        <v>0.22</v>
      </c>
      <c r="AK94" s="438" t="n">
        <v>0.22</v>
      </c>
      <c r="AL94" s="438" t="n">
        <v>0.22</v>
      </c>
      <c r="AM94" s="438" t="n">
        <v>0.22</v>
      </c>
      <c r="AN94" s="438" t="n">
        <v>0.22</v>
      </c>
      <c r="AO94" s="438" t="n">
        <v>0.22</v>
      </c>
      <c r="AP94" s="439" t="n">
        <v>0.22</v>
      </c>
      <c r="AQ94" s="439" t="n">
        <v>0.22</v>
      </c>
      <c r="AR94" s="439" t="n">
        <v>0.22</v>
      </c>
      <c r="AS94" s="439" t="n">
        <v>0.22</v>
      </c>
      <c r="AT94" s="438" t="n">
        <v>0.22</v>
      </c>
      <c r="AU94" s="438" t="n">
        <v>0.22</v>
      </c>
      <c r="AV94" s="438" t="n">
        <v>0.242</v>
      </c>
      <c r="AW94" s="418" t="n">
        <v>0.069824523768187</v>
      </c>
      <c r="AX94" s="418"/>
      <c r="AY94" s="437" t="n">
        <f aca="false">AG94</f>
        <v>0.242</v>
      </c>
      <c r="AZ94" s="437" t="n">
        <f aca="false">AG94</f>
        <v>0.242</v>
      </c>
      <c r="BA94" s="441" t="n">
        <f aca="false">AG94</f>
        <v>0.242</v>
      </c>
      <c r="BB94" s="442" t="n">
        <f aca="false">B94</f>
        <v>39142</v>
      </c>
      <c r="BC94" s="442" t="n">
        <v>0.63695889400323</v>
      </c>
      <c r="BD94" s="418" t="n">
        <v>0.637079569191383</v>
      </c>
      <c r="BF94" s="455" t="n">
        <v>39142</v>
      </c>
      <c r="BG94" s="66" t="n">
        <v>82</v>
      </c>
      <c r="HZ94" s="442" t="n">
        <f aca="false">B96</f>
        <v>39203</v>
      </c>
      <c r="IA94" s="418" t="n">
        <v>84</v>
      </c>
    </row>
    <row r="95" customFormat="false" ht="12.75" hidden="false" customHeight="false" outlineLevel="0" collapsed="false">
      <c r="A95" s="470"/>
      <c r="B95" s="419" t="n">
        <f aca="false">EOMONTH(B94,0)+1</f>
        <v>39173</v>
      </c>
      <c r="C95" s="420" t="n">
        <v>2.855</v>
      </c>
      <c r="D95" s="420" t="n">
        <v>0.22</v>
      </c>
      <c r="E95" s="420" t="n">
        <v>0.070051362712266</v>
      </c>
      <c r="F95" s="420" t="n">
        <v>-0.195</v>
      </c>
      <c r="G95" s="420" t="n">
        <v>0.015</v>
      </c>
      <c r="H95" s="420" t="n">
        <v>-0.195</v>
      </c>
      <c r="I95" s="420" t="n">
        <v>0.0975</v>
      </c>
      <c r="J95" s="420" t="n">
        <v>0.195</v>
      </c>
      <c r="K95" s="420" t="n">
        <v>0.25</v>
      </c>
      <c r="L95" s="420" t="n">
        <v>-0.068</v>
      </c>
      <c r="M95" s="420" t="n">
        <v>-0.018</v>
      </c>
      <c r="N95" s="420" t="n">
        <v>-0.36</v>
      </c>
      <c r="O95" s="420" t="n">
        <v>-0.29</v>
      </c>
      <c r="P95" s="420" t="n">
        <v>0.0065</v>
      </c>
      <c r="Q95" s="420" t="n">
        <v>0.0025</v>
      </c>
      <c r="R95" s="418" t="n">
        <v>-0.0235</v>
      </c>
      <c r="S95" s="418" t="n">
        <v>-0.055</v>
      </c>
      <c r="T95" s="418" t="n">
        <v>-0.15</v>
      </c>
      <c r="U95" s="418" t="n">
        <v>-0.0115</v>
      </c>
      <c r="V95" s="418" t="n">
        <v>-0.0965</v>
      </c>
      <c r="W95" s="418" t="n">
        <v>-0.12</v>
      </c>
      <c r="X95" s="418" t="n">
        <v>0.45</v>
      </c>
      <c r="Y95" s="418" t="n">
        <v>0.005</v>
      </c>
      <c r="Z95" s="418" t="n">
        <v>-0.195</v>
      </c>
      <c r="AA95" s="418" t="n">
        <v>-0.019</v>
      </c>
      <c r="AB95" s="437" t="n">
        <v>0.29</v>
      </c>
      <c r="AC95" s="437" t="n">
        <v>0.355</v>
      </c>
      <c r="AD95" s="437" t="n">
        <v>0.1925</v>
      </c>
      <c r="AE95" s="438" t="n">
        <v>0.22</v>
      </c>
      <c r="AF95" s="438" t="n">
        <v>0.22</v>
      </c>
      <c r="AG95" s="438" t="n">
        <v>0.216</v>
      </c>
      <c r="AH95" s="438" t="n">
        <v>0.22</v>
      </c>
      <c r="AI95" s="438" t="n">
        <v>0.224</v>
      </c>
      <c r="AJ95" s="438" t="n">
        <v>0.22</v>
      </c>
      <c r="AK95" s="438" t="n">
        <v>0.216</v>
      </c>
      <c r="AL95" s="438" t="n">
        <v>0.216</v>
      </c>
      <c r="AM95" s="438" t="n">
        <v>0.22</v>
      </c>
      <c r="AN95" s="438" t="n">
        <v>0.22</v>
      </c>
      <c r="AO95" s="438" t="n">
        <v>0.22</v>
      </c>
      <c r="AP95" s="439" t="n">
        <v>0.22</v>
      </c>
      <c r="AQ95" s="439" t="n">
        <v>0.22</v>
      </c>
      <c r="AR95" s="439" t="n">
        <v>0.22</v>
      </c>
      <c r="AS95" s="439" t="n">
        <v>0.22</v>
      </c>
      <c r="AT95" s="438" t="n">
        <v>0.22</v>
      </c>
      <c r="AU95" s="438" t="n">
        <v>0.22</v>
      </c>
      <c r="AV95" s="438" t="n">
        <v>0.216</v>
      </c>
      <c r="AW95" s="418" t="n">
        <v>0.069848740135905</v>
      </c>
      <c r="AX95" s="418"/>
      <c r="AY95" s="437" t="n">
        <f aca="false">AG95</f>
        <v>0.216</v>
      </c>
      <c r="AZ95" s="437" t="n">
        <f aca="false">AG95</f>
        <v>0.216</v>
      </c>
      <c r="BA95" s="441" t="n">
        <f aca="false">AG95</f>
        <v>0.216</v>
      </c>
      <c r="BB95" s="442" t="n">
        <f aca="false">B95</f>
        <v>39173</v>
      </c>
      <c r="BC95" s="442" t="n">
        <v>0.633140505980897</v>
      </c>
      <c r="BD95" s="418" t="n">
        <v>0.633260494564795</v>
      </c>
      <c r="BF95" s="455" t="n">
        <v>39173</v>
      </c>
      <c r="BG95" s="66" t="n">
        <v>83</v>
      </c>
      <c r="HZ95" s="442" t="n">
        <f aca="false">B97</f>
        <v>39234</v>
      </c>
      <c r="IA95" s="418" t="n">
        <v>85</v>
      </c>
    </row>
    <row r="96" customFormat="false" ht="12.75" hidden="false" customHeight="false" outlineLevel="0" collapsed="false">
      <c r="A96" s="470"/>
      <c r="B96" s="419" t="n">
        <f aca="false">EOMONTH(B95,0)+1</f>
        <v>39203</v>
      </c>
      <c r="C96" s="420" t="n">
        <v>2.847</v>
      </c>
      <c r="D96" s="420" t="n">
        <v>0.22</v>
      </c>
      <c r="E96" s="420" t="n">
        <v>0.070062495706368</v>
      </c>
      <c r="F96" s="420" t="n">
        <v>-0.195</v>
      </c>
      <c r="G96" s="420" t="n">
        <v>0.015</v>
      </c>
      <c r="H96" s="420" t="n">
        <v>-0.195</v>
      </c>
      <c r="I96" s="420" t="n">
        <v>0.1075</v>
      </c>
      <c r="J96" s="420" t="n">
        <v>0.1825</v>
      </c>
      <c r="K96" s="420" t="n">
        <v>0.2025</v>
      </c>
      <c r="L96" s="420" t="n">
        <v>-0.068</v>
      </c>
      <c r="M96" s="420" t="n">
        <v>-0.018</v>
      </c>
      <c r="N96" s="420" t="n">
        <v>-0.36</v>
      </c>
      <c r="O96" s="420" t="n">
        <v>-0.29</v>
      </c>
      <c r="P96" s="420" t="n">
        <v>0.0065</v>
      </c>
      <c r="Q96" s="420" t="n">
        <v>0.0025</v>
      </c>
      <c r="R96" s="418" t="n">
        <v>-0.0235</v>
      </c>
      <c r="S96" s="418" t="n">
        <v>-0.055</v>
      </c>
      <c r="T96" s="418" t="n">
        <v>-0.165</v>
      </c>
      <c r="U96" s="418" t="n">
        <v>-0.01175</v>
      </c>
      <c r="V96" s="418" t="n">
        <v>-0.0965</v>
      </c>
      <c r="W96" s="418" t="n">
        <v>-0.12</v>
      </c>
      <c r="X96" s="418" t="n">
        <v>0.405</v>
      </c>
      <c r="Y96" s="418" t="n">
        <v>0.005</v>
      </c>
      <c r="Z96" s="418" t="n">
        <v>-0.195</v>
      </c>
      <c r="AA96" s="418" t="n">
        <v>-0.019</v>
      </c>
      <c r="AB96" s="437" t="n">
        <v>0.29</v>
      </c>
      <c r="AC96" s="437" t="n">
        <v>0.2875</v>
      </c>
      <c r="AD96" s="437" t="n">
        <v>0.2025</v>
      </c>
      <c r="AE96" s="438" t="n">
        <v>0.22</v>
      </c>
      <c r="AF96" s="438" t="n">
        <v>0.22</v>
      </c>
      <c r="AG96" s="438" t="n">
        <v>0.216</v>
      </c>
      <c r="AH96" s="438" t="n">
        <v>0.22</v>
      </c>
      <c r="AI96" s="438" t="n">
        <v>0.224</v>
      </c>
      <c r="AJ96" s="438" t="n">
        <v>0.22</v>
      </c>
      <c r="AK96" s="438" t="n">
        <v>0.216</v>
      </c>
      <c r="AL96" s="438" t="n">
        <v>0.216</v>
      </c>
      <c r="AM96" s="438" t="n">
        <v>0.22</v>
      </c>
      <c r="AN96" s="438" t="n">
        <v>0.22</v>
      </c>
      <c r="AO96" s="438" t="n">
        <v>0.22</v>
      </c>
      <c r="AP96" s="439" t="n">
        <v>0.22</v>
      </c>
      <c r="AQ96" s="439" t="n">
        <v>0.22</v>
      </c>
      <c r="AR96" s="439" t="n">
        <v>0.22</v>
      </c>
      <c r="AS96" s="439" t="n">
        <v>0.22</v>
      </c>
      <c r="AT96" s="438" t="n">
        <v>0.22</v>
      </c>
      <c r="AU96" s="438" t="n">
        <v>0.22</v>
      </c>
      <c r="AV96" s="438" t="n">
        <v>0.216</v>
      </c>
      <c r="AW96" s="418" t="n">
        <v>0.069872175330656</v>
      </c>
      <c r="AX96" s="418"/>
      <c r="AY96" s="437" t="n">
        <f aca="false">AG96</f>
        <v>0.216</v>
      </c>
      <c r="AZ96" s="437" t="n">
        <f aca="false">AG96</f>
        <v>0.216</v>
      </c>
      <c r="BA96" s="441" t="n">
        <f aca="false">AG96</f>
        <v>0.216</v>
      </c>
      <c r="BB96" s="442" t="n">
        <f aca="false">B96</f>
        <v>39203</v>
      </c>
      <c r="BC96" s="442" t="n">
        <v>0.629464928634999</v>
      </c>
      <c r="BD96" s="418" t="n">
        <v>0.629584256062621</v>
      </c>
      <c r="BF96" s="455" t="n">
        <v>39203</v>
      </c>
      <c r="BG96" s="66" t="n">
        <v>84</v>
      </c>
      <c r="HZ96" s="442" t="n">
        <f aca="false">B98</f>
        <v>39264</v>
      </c>
      <c r="IA96" s="418" t="n">
        <v>86</v>
      </c>
    </row>
    <row r="97" customFormat="false" ht="12.75" hidden="false" customHeight="false" outlineLevel="0" collapsed="false">
      <c r="A97" s="470"/>
      <c r="B97" s="419" t="n">
        <f aca="false">EOMONTH(B96,0)+1</f>
        <v>39234</v>
      </c>
      <c r="C97" s="420" t="n">
        <v>2.871</v>
      </c>
      <c r="D97" s="420" t="n">
        <v>0.21</v>
      </c>
      <c r="E97" s="420" t="n">
        <v>0.070073999800317</v>
      </c>
      <c r="F97" s="420" t="n">
        <v>-0.195</v>
      </c>
      <c r="G97" s="420" t="n">
        <v>0.02</v>
      </c>
      <c r="H97" s="420" t="n">
        <v>-0.195</v>
      </c>
      <c r="I97" s="420" t="n">
        <v>0.1025</v>
      </c>
      <c r="J97" s="420" t="n">
        <v>0.1825</v>
      </c>
      <c r="K97" s="420" t="n">
        <v>0.2025</v>
      </c>
      <c r="L97" s="420" t="n">
        <v>-0.084</v>
      </c>
      <c r="M97" s="420" t="n">
        <v>-0.018</v>
      </c>
      <c r="N97" s="420" t="n">
        <v>-0.36</v>
      </c>
      <c r="O97" s="420" t="n">
        <v>-0.29</v>
      </c>
      <c r="P97" s="420" t="n">
        <v>0.0065</v>
      </c>
      <c r="Q97" s="420" t="n">
        <v>0.0025</v>
      </c>
      <c r="R97" s="418" t="n">
        <v>-0.0235</v>
      </c>
      <c r="S97" s="418" t="n">
        <v>-0.055</v>
      </c>
      <c r="T97" s="418" t="n">
        <v>-0.175</v>
      </c>
      <c r="U97" s="418" t="n">
        <v>-0.01175</v>
      </c>
      <c r="V97" s="418" t="n">
        <v>-0.0865</v>
      </c>
      <c r="W97" s="418" t="n">
        <v>-0.12</v>
      </c>
      <c r="X97" s="418" t="n">
        <v>0.395</v>
      </c>
      <c r="Y97" s="418" t="n">
        <v>0.005</v>
      </c>
      <c r="Z97" s="418" t="n">
        <v>-0.195</v>
      </c>
      <c r="AA97" s="418" t="n">
        <v>-0.019</v>
      </c>
      <c r="AB97" s="437" t="n">
        <v>0.29</v>
      </c>
      <c r="AC97" s="437" t="n">
        <v>0.2875</v>
      </c>
      <c r="AD97" s="437" t="n">
        <v>0.1975</v>
      </c>
      <c r="AE97" s="438" t="n">
        <v>0.21</v>
      </c>
      <c r="AF97" s="438" t="n">
        <v>0.21</v>
      </c>
      <c r="AG97" s="438" t="n">
        <v>0.206</v>
      </c>
      <c r="AH97" s="438" t="n">
        <v>0.21</v>
      </c>
      <c r="AI97" s="438" t="n">
        <v>0.214</v>
      </c>
      <c r="AJ97" s="438" t="n">
        <v>0.21</v>
      </c>
      <c r="AK97" s="438" t="n">
        <v>0.206</v>
      </c>
      <c r="AL97" s="438" t="n">
        <v>0.206</v>
      </c>
      <c r="AM97" s="438" t="n">
        <v>0.21</v>
      </c>
      <c r="AN97" s="438" t="n">
        <v>0.21</v>
      </c>
      <c r="AO97" s="438" t="n">
        <v>0.21</v>
      </c>
      <c r="AP97" s="439" t="n">
        <v>0.21</v>
      </c>
      <c r="AQ97" s="439" t="n">
        <v>0.21</v>
      </c>
      <c r="AR97" s="439" t="n">
        <v>0.21</v>
      </c>
      <c r="AS97" s="439" t="n">
        <v>0.21</v>
      </c>
      <c r="AT97" s="438" t="n">
        <v>0.21</v>
      </c>
      <c r="AU97" s="438" t="n">
        <v>0.21</v>
      </c>
      <c r="AV97" s="438" t="n">
        <v>0.206</v>
      </c>
      <c r="AW97" s="418" t="n">
        <v>0.069896391698756</v>
      </c>
      <c r="AX97" s="418"/>
      <c r="AY97" s="437" t="n">
        <f aca="false">AG97</f>
        <v>0.206</v>
      </c>
      <c r="AZ97" s="437" t="n">
        <f aca="false">AG97</f>
        <v>0.206</v>
      </c>
      <c r="BA97" s="441" t="n">
        <f aca="false">AG97</f>
        <v>0.206</v>
      </c>
      <c r="BB97" s="442" t="n">
        <f aca="false">B97</f>
        <v>39234</v>
      </c>
      <c r="BC97" s="442" t="n">
        <v>0.625687029656891</v>
      </c>
      <c r="BD97" s="418" t="n">
        <v>0.625805677284847</v>
      </c>
      <c r="BF97" s="455" t="n">
        <v>39234</v>
      </c>
      <c r="BG97" s="66" t="n">
        <v>85</v>
      </c>
      <c r="HZ97" s="442" t="n">
        <f aca="false">B99</f>
        <v>39295</v>
      </c>
      <c r="IA97" s="418" t="n">
        <v>87</v>
      </c>
    </row>
    <row r="98" customFormat="false" ht="12.75" hidden="false" customHeight="false" outlineLevel="0" collapsed="false">
      <c r="A98" s="470"/>
      <c r="B98" s="419" t="n">
        <f aca="false">EOMONTH(B97,0)+1</f>
        <v>39264</v>
      </c>
      <c r="C98" s="420" t="n">
        <v>2.893</v>
      </c>
      <c r="D98" s="420" t="n">
        <v>0.21</v>
      </c>
      <c r="E98" s="420" t="n">
        <v>0.070085132794502</v>
      </c>
      <c r="F98" s="420" t="n">
        <v>-0.195</v>
      </c>
      <c r="G98" s="420" t="n">
        <v>0.0225</v>
      </c>
      <c r="H98" s="420" t="n">
        <v>-0.195</v>
      </c>
      <c r="I98" s="420" t="n">
        <v>0.0925</v>
      </c>
      <c r="J98" s="420" t="n">
        <v>0.1825</v>
      </c>
      <c r="K98" s="420" t="n">
        <v>0.215</v>
      </c>
      <c r="L98" s="420" t="n">
        <v>-0.077</v>
      </c>
      <c r="M98" s="420" t="n">
        <v>-0.018</v>
      </c>
      <c r="N98" s="420" t="n">
        <v>-0.36</v>
      </c>
      <c r="O98" s="420" t="n">
        <v>-0.29</v>
      </c>
      <c r="P98" s="420" t="n">
        <v>0.0065</v>
      </c>
      <c r="Q98" s="420" t="n">
        <v>0.0025</v>
      </c>
      <c r="R98" s="418" t="n">
        <v>-0.0235</v>
      </c>
      <c r="S98" s="418" t="n">
        <v>-0.055</v>
      </c>
      <c r="T98" s="418" t="n">
        <v>-0.175</v>
      </c>
      <c r="U98" s="418" t="n">
        <v>-0.01175</v>
      </c>
      <c r="V98" s="418" t="n">
        <v>-0.0815</v>
      </c>
      <c r="W98" s="418" t="n">
        <v>-0.12</v>
      </c>
      <c r="X98" s="418" t="n">
        <v>0.43</v>
      </c>
      <c r="Y98" s="418" t="n">
        <v>0.005</v>
      </c>
      <c r="Z98" s="418" t="n">
        <v>-0.195</v>
      </c>
      <c r="AA98" s="418" t="n">
        <v>-0.019</v>
      </c>
      <c r="AB98" s="437" t="n">
        <v>0.29</v>
      </c>
      <c r="AC98" s="437" t="n">
        <v>0.3</v>
      </c>
      <c r="AD98" s="437" t="n">
        <v>0.1875</v>
      </c>
      <c r="AE98" s="438" t="n">
        <v>0.21</v>
      </c>
      <c r="AF98" s="438" t="n">
        <v>0.21</v>
      </c>
      <c r="AG98" s="438" t="n">
        <v>0.206</v>
      </c>
      <c r="AH98" s="438" t="n">
        <v>0.21</v>
      </c>
      <c r="AI98" s="438" t="n">
        <v>0.214</v>
      </c>
      <c r="AJ98" s="438" t="n">
        <v>0.21</v>
      </c>
      <c r="AK98" s="438" t="n">
        <v>0.206</v>
      </c>
      <c r="AL98" s="438" t="n">
        <v>0.206</v>
      </c>
      <c r="AM98" s="438" t="n">
        <v>0.21</v>
      </c>
      <c r="AN98" s="438" t="n">
        <v>0.21</v>
      </c>
      <c r="AO98" s="438" t="n">
        <v>0.21</v>
      </c>
      <c r="AP98" s="439" t="n">
        <v>0.21</v>
      </c>
      <c r="AQ98" s="439" t="n">
        <v>0.21</v>
      </c>
      <c r="AR98" s="439" t="n">
        <v>0.21</v>
      </c>
      <c r="AS98" s="439" t="n">
        <v>0.21</v>
      </c>
      <c r="AT98" s="438" t="n">
        <v>0.21</v>
      </c>
      <c r="AU98" s="438" t="n">
        <v>0.21</v>
      </c>
      <c r="AV98" s="438" t="n">
        <v>0.206</v>
      </c>
      <c r="AW98" s="418" t="n">
        <v>0.069919826893877</v>
      </c>
      <c r="AX98" s="418"/>
      <c r="AY98" s="437" t="n">
        <f aca="false">AG98</f>
        <v>0.206</v>
      </c>
      <c r="AZ98" s="437" t="n">
        <f aca="false">AG98</f>
        <v>0.206</v>
      </c>
      <c r="BA98" s="441" t="n">
        <f aca="false">AG98</f>
        <v>0.206</v>
      </c>
      <c r="BB98" s="442" t="n">
        <f aca="false">B98</f>
        <v>39264</v>
      </c>
      <c r="BC98" s="442" t="n">
        <v>0.622050454985696</v>
      </c>
      <c r="BD98" s="418" t="n">
        <v>0.62216844801501</v>
      </c>
      <c r="BF98" s="455" t="n">
        <v>39264</v>
      </c>
      <c r="BG98" s="66" t="n">
        <v>86</v>
      </c>
      <c r="HZ98" s="442" t="n">
        <f aca="false">B100</f>
        <v>39326</v>
      </c>
      <c r="IA98" s="418" t="n">
        <v>88</v>
      </c>
    </row>
    <row r="99" customFormat="false" ht="12.75" hidden="false" customHeight="false" outlineLevel="0" collapsed="false">
      <c r="A99" s="470"/>
      <c r="B99" s="419" t="n">
        <f aca="false">EOMONTH(B98,0)+1</f>
        <v>39295</v>
      </c>
      <c r="C99" s="420" t="n">
        <v>2.914</v>
      </c>
      <c r="D99" s="420" t="n">
        <v>0.21</v>
      </c>
      <c r="E99" s="420" t="n">
        <v>0.070096636888537</v>
      </c>
      <c r="F99" s="420" t="n">
        <v>-0.195</v>
      </c>
      <c r="G99" s="420" t="n">
        <v>0.025</v>
      </c>
      <c r="H99" s="420" t="n">
        <v>-0.195</v>
      </c>
      <c r="I99" s="420" t="n">
        <v>0.09</v>
      </c>
      <c r="J99" s="420" t="n">
        <v>0.1825</v>
      </c>
      <c r="K99" s="420" t="n">
        <v>0.215</v>
      </c>
      <c r="L99" s="420" t="n">
        <v>-0.068</v>
      </c>
      <c r="M99" s="420" t="n">
        <v>-0.018</v>
      </c>
      <c r="N99" s="420" t="n">
        <v>-0.36</v>
      </c>
      <c r="O99" s="420" t="n">
        <v>-0.29</v>
      </c>
      <c r="P99" s="420" t="n">
        <v>0.0065</v>
      </c>
      <c r="Q99" s="420" t="n">
        <v>0.0025</v>
      </c>
      <c r="R99" s="418" t="n">
        <v>-0.0235</v>
      </c>
      <c r="S99" s="418" t="n">
        <v>-0.055</v>
      </c>
      <c r="T99" s="418" t="n">
        <v>-0.175</v>
      </c>
      <c r="U99" s="418" t="n">
        <v>-0.01175</v>
      </c>
      <c r="V99" s="418" t="n">
        <v>-0.0815</v>
      </c>
      <c r="W99" s="418" t="n">
        <v>-0.12</v>
      </c>
      <c r="X99" s="418" t="n">
        <v>0.495</v>
      </c>
      <c r="Y99" s="418" t="n">
        <v>0.005</v>
      </c>
      <c r="Z99" s="418" t="n">
        <v>-0.195</v>
      </c>
      <c r="AA99" s="418" t="n">
        <v>-0.019</v>
      </c>
      <c r="AB99" s="437" t="n">
        <v>0.29</v>
      </c>
      <c r="AC99" s="437" t="n">
        <v>0.3</v>
      </c>
      <c r="AD99" s="437" t="n">
        <v>0.185</v>
      </c>
      <c r="AE99" s="438" t="n">
        <v>0.21</v>
      </c>
      <c r="AF99" s="438" t="n">
        <v>0.21</v>
      </c>
      <c r="AG99" s="438" t="n">
        <v>0.206</v>
      </c>
      <c r="AH99" s="438" t="n">
        <v>0.21</v>
      </c>
      <c r="AI99" s="438" t="n">
        <v>0.214</v>
      </c>
      <c r="AJ99" s="438" t="n">
        <v>0.21</v>
      </c>
      <c r="AK99" s="438" t="n">
        <v>0.206</v>
      </c>
      <c r="AL99" s="438" t="n">
        <v>0.206</v>
      </c>
      <c r="AM99" s="438" t="n">
        <v>0.21</v>
      </c>
      <c r="AN99" s="438" t="n">
        <v>0.21</v>
      </c>
      <c r="AO99" s="438" t="n">
        <v>0.21</v>
      </c>
      <c r="AP99" s="439" t="n">
        <v>0.21</v>
      </c>
      <c r="AQ99" s="439" t="n">
        <v>0.21</v>
      </c>
      <c r="AR99" s="439" t="n">
        <v>0.21</v>
      </c>
      <c r="AS99" s="439" t="n">
        <v>0.21</v>
      </c>
      <c r="AT99" s="438" t="n">
        <v>0.21</v>
      </c>
      <c r="AU99" s="438" t="n">
        <v>0.21</v>
      </c>
      <c r="AV99" s="438" t="n">
        <v>0.206</v>
      </c>
      <c r="AW99" s="418" t="n">
        <v>0.069944043262359</v>
      </c>
      <c r="AX99" s="418"/>
      <c r="AY99" s="437" t="n">
        <f aca="false">AG99</f>
        <v>0.206</v>
      </c>
      <c r="AZ99" s="437" t="n">
        <f aca="false">AG99</f>
        <v>0.206</v>
      </c>
      <c r="BA99" s="441" t="n">
        <f aca="false">AG99</f>
        <v>0.206</v>
      </c>
      <c r="BB99" s="442" t="n">
        <f aca="false">B99</f>
        <v>39295</v>
      </c>
      <c r="BC99" s="442" t="n">
        <v>0.618312673173209</v>
      </c>
      <c r="BD99" s="418" t="n">
        <v>0.618429993150799</v>
      </c>
      <c r="BF99" s="455" t="n">
        <v>39295</v>
      </c>
      <c r="BG99" s="66" t="n">
        <v>87</v>
      </c>
      <c r="HZ99" s="442" t="n">
        <f aca="false">B101</f>
        <v>39356</v>
      </c>
      <c r="IA99" s="418" t="n">
        <v>89</v>
      </c>
    </row>
    <row r="100" customFormat="false" ht="12.75" hidden="false" customHeight="false" outlineLevel="0" collapsed="false">
      <c r="A100" s="470"/>
      <c r="B100" s="419" t="n">
        <f aca="false">EOMONTH(B99,0)+1</f>
        <v>39326</v>
      </c>
      <c r="C100" s="420" t="n">
        <v>2.893</v>
      </c>
      <c r="D100" s="420" t="n">
        <v>0.21</v>
      </c>
      <c r="E100" s="420" t="n">
        <v>0.070108227565383</v>
      </c>
      <c r="F100" s="420" t="n">
        <v>-0.195</v>
      </c>
      <c r="G100" s="420" t="n">
        <v>0.0175</v>
      </c>
      <c r="H100" s="420" t="n">
        <v>-0.195</v>
      </c>
      <c r="I100" s="420" t="n">
        <v>0.0875</v>
      </c>
      <c r="J100" s="420" t="n">
        <v>0.1825</v>
      </c>
      <c r="K100" s="420" t="n">
        <v>0.195</v>
      </c>
      <c r="L100" s="420" t="n">
        <v>-0.048</v>
      </c>
      <c r="M100" s="420" t="n">
        <v>-0.018</v>
      </c>
      <c r="N100" s="420" t="n">
        <v>-0.36</v>
      </c>
      <c r="O100" s="420" t="n">
        <v>-0.29</v>
      </c>
      <c r="P100" s="420" t="n">
        <v>0.0065</v>
      </c>
      <c r="Q100" s="420" t="n">
        <v>0.0025</v>
      </c>
      <c r="R100" s="418" t="n">
        <v>-0.0235</v>
      </c>
      <c r="S100" s="418" t="n">
        <v>-0.055</v>
      </c>
      <c r="T100" s="418" t="n">
        <v>-0.165</v>
      </c>
      <c r="U100" s="418" t="n">
        <v>-0.01175</v>
      </c>
      <c r="V100" s="418" t="n">
        <v>-0.0965</v>
      </c>
      <c r="W100" s="418" t="n">
        <v>-0.12</v>
      </c>
      <c r="X100" s="418" t="n">
        <v>0.395</v>
      </c>
      <c r="Y100" s="418" t="n">
        <v>0.005</v>
      </c>
      <c r="Z100" s="418" t="n">
        <v>-0.195</v>
      </c>
      <c r="AA100" s="418" t="n">
        <v>-0.019</v>
      </c>
      <c r="AB100" s="437" t="n">
        <v>0.29</v>
      </c>
      <c r="AC100" s="437" t="n">
        <v>0.29</v>
      </c>
      <c r="AD100" s="437" t="n">
        <v>0.1825</v>
      </c>
      <c r="AE100" s="438" t="n">
        <v>0.21</v>
      </c>
      <c r="AF100" s="438" t="n">
        <v>0.21</v>
      </c>
      <c r="AG100" s="438" t="n">
        <v>0.206</v>
      </c>
      <c r="AH100" s="438" t="n">
        <v>0.21</v>
      </c>
      <c r="AI100" s="438" t="n">
        <v>0.214</v>
      </c>
      <c r="AJ100" s="438" t="n">
        <v>0.21</v>
      </c>
      <c r="AK100" s="438" t="n">
        <v>0.206</v>
      </c>
      <c r="AL100" s="438" t="n">
        <v>0.206</v>
      </c>
      <c r="AM100" s="438" t="n">
        <v>0.21</v>
      </c>
      <c r="AN100" s="438" t="n">
        <v>0.21</v>
      </c>
      <c r="AO100" s="438" t="n">
        <v>0.21</v>
      </c>
      <c r="AP100" s="439" t="n">
        <v>0.21</v>
      </c>
      <c r="AQ100" s="439" t="n">
        <v>0.21</v>
      </c>
      <c r="AR100" s="439" t="n">
        <v>0.21</v>
      </c>
      <c r="AS100" s="439" t="n">
        <v>0.21</v>
      </c>
      <c r="AT100" s="438" t="n">
        <v>0.21</v>
      </c>
      <c r="AU100" s="438" t="n">
        <v>0.21</v>
      </c>
      <c r="AV100" s="438" t="n">
        <v>0.206</v>
      </c>
      <c r="AW100" s="418" t="n">
        <v>0.069965115938065</v>
      </c>
      <c r="AX100" s="418"/>
      <c r="AY100" s="437" t="n">
        <f aca="false">AG100</f>
        <v>0.206</v>
      </c>
      <c r="AZ100" s="437" t="n">
        <f aca="false">AG100</f>
        <v>0.206</v>
      </c>
      <c r="BA100" s="441" t="n">
        <f aca="false">AG100</f>
        <v>0.206</v>
      </c>
      <c r="BB100" s="442" t="n">
        <f aca="false">B100</f>
        <v>39326</v>
      </c>
      <c r="BC100" s="442" t="n">
        <v>0.614619529064928</v>
      </c>
      <c r="BD100" s="418" t="n">
        <v>0.61473617451655</v>
      </c>
      <c r="BF100" s="455" t="n">
        <v>39326</v>
      </c>
      <c r="BG100" s="66" t="n">
        <v>88</v>
      </c>
      <c r="HZ100" s="442" t="n">
        <f aca="false">B102</f>
        <v>39387</v>
      </c>
      <c r="IA100" s="418" t="n">
        <v>90</v>
      </c>
    </row>
    <row r="101" customFormat="false" ht="12.75" hidden="false" customHeight="false" outlineLevel="0" collapsed="false">
      <c r="A101" s="470"/>
      <c r="B101" s="419" t="n">
        <f aca="false">EOMONTH(B100,0)+1</f>
        <v>39356</v>
      </c>
      <c r="C101" s="420" t="n">
        <v>2.904</v>
      </c>
      <c r="D101" s="420" t="n">
        <v>0.2</v>
      </c>
      <c r="E101" s="420" t="n">
        <v>0.070120659301209</v>
      </c>
      <c r="F101" s="420" t="n">
        <v>-0.195</v>
      </c>
      <c r="G101" s="420" t="n">
        <v>0.0075</v>
      </c>
      <c r="H101" s="420" t="n">
        <v>-0.195</v>
      </c>
      <c r="I101" s="420" t="n">
        <v>0.1025</v>
      </c>
      <c r="J101" s="420" t="n">
        <v>0.1875</v>
      </c>
      <c r="K101" s="420" t="n">
        <v>0.215</v>
      </c>
      <c r="L101" s="420" t="n">
        <v>-0.058</v>
      </c>
      <c r="M101" s="420" t="n">
        <v>-0.018</v>
      </c>
      <c r="N101" s="420" t="n">
        <v>-0.36</v>
      </c>
      <c r="O101" s="420" t="n">
        <v>-0.29</v>
      </c>
      <c r="P101" s="420" t="n">
        <v>0.0065</v>
      </c>
      <c r="Q101" s="420" t="n">
        <v>0.0025</v>
      </c>
      <c r="R101" s="418" t="n">
        <v>-0.0235</v>
      </c>
      <c r="S101" s="418" t="n">
        <v>-0.055</v>
      </c>
      <c r="T101" s="418" t="n">
        <v>-0.15</v>
      </c>
      <c r="U101" s="418" t="n">
        <v>-0.03</v>
      </c>
      <c r="V101" s="418" t="n">
        <v>-0.099</v>
      </c>
      <c r="W101" s="418" t="n">
        <v>-0.12</v>
      </c>
      <c r="X101" s="418" t="n">
        <v>0.461</v>
      </c>
      <c r="Y101" s="418" t="n">
        <v>0.005</v>
      </c>
      <c r="Z101" s="418" t="n">
        <v>-0.195</v>
      </c>
      <c r="AA101" s="418" t="n">
        <v>-0.019</v>
      </c>
      <c r="AB101" s="437" t="n">
        <v>0.29</v>
      </c>
      <c r="AC101" s="437" t="n">
        <v>0.3625</v>
      </c>
      <c r="AD101" s="437" t="n">
        <v>0.1975</v>
      </c>
      <c r="AE101" s="438" t="n">
        <v>0.2</v>
      </c>
      <c r="AF101" s="438" t="n">
        <v>0.2</v>
      </c>
      <c r="AG101" s="438" t="n">
        <v>0.196</v>
      </c>
      <c r="AH101" s="438" t="n">
        <v>0.2</v>
      </c>
      <c r="AI101" s="438" t="n">
        <v>0.204</v>
      </c>
      <c r="AJ101" s="438" t="n">
        <v>0.2</v>
      </c>
      <c r="AK101" s="438" t="n">
        <v>0.196</v>
      </c>
      <c r="AL101" s="438" t="n">
        <v>0.196</v>
      </c>
      <c r="AM101" s="438" t="n">
        <v>0.2</v>
      </c>
      <c r="AN101" s="438" t="n">
        <v>0.2</v>
      </c>
      <c r="AO101" s="438" t="n">
        <v>0.2</v>
      </c>
      <c r="AP101" s="439" t="n">
        <v>0.2</v>
      </c>
      <c r="AQ101" s="439" t="n">
        <v>0.2</v>
      </c>
      <c r="AR101" s="439" t="n">
        <v>0.2</v>
      </c>
      <c r="AS101" s="439" t="n">
        <v>0.2</v>
      </c>
      <c r="AT101" s="438" t="n">
        <v>0.2</v>
      </c>
      <c r="AU101" s="438" t="n">
        <v>0.2</v>
      </c>
      <c r="AV101" s="438" t="n">
        <v>0.196</v>
      </c>
      <c r="AW101" s="418" t="n">
        <v>0.06996497343637</v>
      </c>
      <c r="AX101" s="418"/>
      <c r="AY101" s="437" t="n">
        <f aca="false">AG101</f>
        <v>0.196</v>
      </c>
      <c r="AZ101" s="437" t="n">
        <f aca="false">AG101</f>
        <v>0.196</v>
      </c>
      <c r="BA101" s="441" t="n">
        <f aca="false">AG101</f>
        <v>0.196</v>
      </c>
      <c r="BB101" s="442" t="n">
        <f aca="false">B101</f>
        <v>39356</v>
      </c>
      <c r="BC101" s="442" t="n">
        <v>0.611133251343677</v>
      </c>
      <c r="BD101" s="418" t="n">
        <v>0.611249234068645</v>
      </c>
      <c r="BF101" s="455" t="n">
        <v>39356</v>
      </c>
      <c r="BG101" s="66" t="n">
        <v>89</v>
      </c>
      <c r="HZ101" s="442" t="n">
        <f aca="false">B103</f>
        <v>39417</v>
      </c>
      <c r="IA101" s="418" t="n">
        <v>91</v>
      </c>
    </row>
    <row r="102" customFormat="false" ht="12.75" hidden="false" customHeight="false" outlineLevel="0" collapsed="false">
      <c r="A102" s="470"/>
      <c r="B102" s="419" t="n">
        <f aca="false">EOMONTH(B101,0)+1</f>
        <v>39387</v>
      </c>
      <c r="C102" s="420" t="n">
        <v>2.976</v>
      </c>
      <c r="D102" s="420" t="n">
        <v>0.2</v>
      </c>
      <c r="E102" s="420" t="n">
        <v>0.070133505428283</v>
      </c>
      <c r="F102" s="420" t="n">
        <v>-0.19</v>
      </c>
      <c r="G102" s="420" t="n">
        <v>-0.0325</v>
      </c>
      <c r="H102" s="420" t="n">
        <v>-0.19</v>
      </c>
      <c r="I102" s="420" t="n">
        <v>0.165</v>
      </c>
      <c r="J102" s="420" t="n">
        <v>0.27</v>
      </c>
      <c r="K102" s="420" t="n">
        <v>0.2875</v>
      </c>
      <c r="L102" s="420" t="n">
        <v>-0.073</v>
      </c>
      <c r="M102" s="420" t="n">
        <v>-0.0105</v>
      </c>
      <c r="N102" s="420" t="n">
        <v>-0.28</v>
      </c>
      <c r="O102" s="420" t="n">
        <v>0</v>
      </c>
      <c r="P102" s="420" t="n">
        <v>0.015</v>
      </c>
      <c r="Q102" s="420" t="n">
        <v>-0.0055</v>
      </c>
      <c r="R102" s="418" t="n">
        <v>-0.0265</v>
      </c>
      <c r="S102" s="418" t="n">
        <v>-0.055</v>
      </c>
      <c r="T102" s="418" t="n">
        <v>-0.1125</v>
      </c>
      <c r="U102" s="418" t="n">
        <v>-0.029</v>
      </c>
      <c r="V102" s="418" t="n">
        <v>-0.0965</v>
      </c>
      <c r="W102" s="418" t="n">
        <v>-0.1325</v>
      </c>
      <c r="X102" s="418" t="n">
        <v>0.7675</v>
      </c>
      <c r="Y102" s="418" t="n">
        <v>0.005</v>
      </c>
      <c r="Z102" s="418" t="n">
        <v>-0.19</v>
      </c>
      <c r="AA102" s="418" t="n">
        <v>-0.0205</v>
      </c>
      <c r="AB102" s="437" t="n">
        <v>0.12</v>
      </c>
      <c r="AC102" s="437" t="n">
        <v>0.465</v>
      </c>
      <c r="AD102" s="437" t="n">
        <v>0.26</v>
      </c>
      <c r="AE102" s="438" t="n">
        <v>0.2</v>
      </c>
      <c r="AF102" s="438" t="n">
        <v>0.2</v>
      </c>
      <c r="AG102" s="438" t="n">
        <v>0.22</v>
      </c>
      <c r="AH102" s="438" t="n">
        <v>0.2</v>
      </c>
      <c r="AI102" s="438" t="n">
        <v>0.204</v>
      </c>
      <c r="AJ102" s="438" t="n">
        <v>0.2</v>
      </c>
      <c r="AK102" s="438" t="n">
        <v>0.2</v>
      </c>
      <c r="AL102" s="438" t="n">
        <v>0.2</v>
      </c>
      <c r="AM102" s="438" t="n">
        <v>0.2</v>
      </c>
      <c r="AN102" s="438" t="n">
        <v>0.2</v>
      </c>
      <c r="AO102" s="438" t="n">
        <v>0.2</v>
      </c>
      <c r="AP102" s="439" t="n">
        <v>0.2</v>
      </c>
      <c r="AQ102" s="439" t="n">
        <v>0.2</v>
      </c>
      <c r="AR102" s="439" t="n">
        <v>0.2</v>
      </c>
      <c r="AS102" s="439" t="n">
        <v>0.2</v>
      </c>
      <c r="AT102" s="438" t="n">
        <v>0.2</v>
      </c>
      <c r="AU102" s="438" t="n">
        <v>0.2</v>
      </c>
      <c r="AV102" s="438" t="n">
        <v>0.22</v>
      </c>
      <c r="AW102" s="418" t="n">
        <v>0.069964826184619</v>
      </c>
      <c r="AX102" s="418"/>
      <c r="AY102" s="437" t="n">
        <f aca="false">AG102</f>
        <v>0.22</v>
      </c>
      <c r="AZ102" s="437" t="n">
        <f aca="false">AG102</f>
        <v>0.22</v>
      </c>
      <c r="BA102" s="441" t="n">
        <f aca="false">AG102</f>
        <v>0.22</v>
      </c>
      <c r="BB102" s="442" t="n">
        <f aca="false">B102</f>
        <v>39387</v>
      </c>
      <c r="BC102" s="442" t="n">
        <v>0.607551605764856</v>
      </c>
      <c r="BD102" s="418" t="n">
        <v>0.607666907640582</v>
      </c>
      <c r="BF102" s="455" t="n">
        <v>39387</v>
      </c>
      <c r="BG102" s="66" t="n">
        <v>90</v>
      </c>
      <c r="HZ102" s="442" t="n">
        <f aca="false">B104</f>
        <v>39448</v>
      </c>
      <c r="IA102" s="418" t="n">
        <v>92</v>
      </c>
    </row>
    <row r="103" customFormat="false" ht="12.75" hidden="false" customHeight="false" outlineLevel="0" collapsed="false">
      <c r="A103" s="470"/>
      <c r="B103" s="419" t="n">
        <f aca="false">EOMONTH(B102,0)+1</f>
        <v>39417</v>
      </c>
      <c r="C103" s="420" t="n">
        <v>3.05</v>
      </c>
      <c r="D103" s="420" t="n">
        <v>0.2</v>
      </c>
      <c r="E103" s="420" t="n">
        <v>0.070145937164213</v>
      </c>
      <c r="F103" s="420" t="n">
        <v>-0.1975</v>
      </c>
      <c r="G103" s="420" t="n">
        <v>-0.055</v>
      </c>
      <c r="H103" s="420" t="n">
        <v>-0.1975</v>
      </c>
      <c r="I103" s="420" t="n">
        <v>0.205</v>
      </c>
      <c r="J103" s="420" t="n">
        <v>0.305</v>
      </c>
      <c r="K103" s="420" t="n">
        <v>0.3375</v>
      </c>
      <c r="L103" s="420" t="n">
        <v>-0.073</v>
      </c>
      <c r="M103" s="420" t="n">
        <v>-0.0105</v>
      </c>
      <c r="N103" s="420" t="n">
        <v>-0.28</v>
      </c>
      <c r="O103" s="420" t="n">
        <v>0.06</v>
      </c>
      <c r="P103" s="420" t="n">
        <v>0.015</v>
      </c>
      <c r="Q103" s="435" t="n">
        <v>-0.0055</v>
      </c>
      <c r="R103" s="418" t="n">
        <v>-0.0265</v>
      </c>
      <c r="S103" s="418" t="n">
        <v>-0.055</v>
      </c>
      <c r="T103" s="418" t="n">
        <v>-0.105</v>
      </c>
      <c r="U103" s="418" t="n">
        <v>-0.029</v>
      </c>
      <c r="V103" s="418" t="n">
        <v>-0.1315</v>
      </c>
      <c r="W103" s="418" t="n">
        <v>-0.1275</v>
      </c>
      <c r="X103" s="418" t="n">
        <v>1.19</v>
      </c>
      <c r="Y103" s="418" t="n">
        <v>0.005</v>
      </c>
      <c r="Z103" s="418" t="n">
        <v>-0.19</v>
      </c>
      <c r="AA103" s="418" t="n">
        <v>-0.0205</v>
      </c>
      <c r="AB103" s="437" t="n">
        <v>0.12</v>
      </c>
      <c r="AC103" s="437" t="n">
        <v>0.8</v>
      </c>
      <c r="AD103" s="437" t="n">
        <v>0.3</v>
      </c>
      <c r="AE103" s="438" t="n">
        <v>0.2</v>
      </c>
      <c r="AF103" s="438" t="n">
        <v>0.2</v>
      </c>
      <c r="AG103" s="438" t="n">
        <v>0.22</v>
      </c>
      <c r="AH103" s="438" t="n">
        <v>0.2</v>
      </c>
      <c r="AI103" s="438" t="n">
        <v>0.204</v>
      </c>
      <c r="AJ103" s="438" t="n">
        <v>0.2</v>
      </c>
      <c r="AK103" s="438" t="n">
        <v>0.2</v>
      </c>
      <c r="AL103" s="438" t="n">
        <v>0.2</v>
      </c>
      <c r="AM103" s="438" t="n">
        <v>0.2</v>
      </c>
      <c r="AN103" s="438" t="n">
        <v>0.2</v>
      </c>
      <c r="AO103" s="438" t="n">
        <v>0.2</v>
      </c>
      <c r="AP103" s="439" t="n">
        <v>0.2</v>
      </c>
      <c r="AQ103" s="439" t="n">
        <v>0.2</v>
      </c>
      <c r="AR103" s="439" t="n">
        <v>0.2</v>
      </c>
      <c r="AS103" s="439" t="n">
        <v>0.2</v>
      </c>
      <c r="AT103" s="438" t="n">
        <v>0.2</v>
      </c>
      <c r="AU103" s="438" t="n">
        <v>0.2</v>
      </c>
      <c r="AV103" s="438" t="n">
        <v>0.22</v>
      </c>
      <c r="AW103" s="418" t="n">
        <v>0.069964683682925</v>
      </c>
      <c r="AX103" s="418"/>
      <c r="AY103" s="437" t="n">
        <f aca="false">AG103</f>
        <v>0.22</v>
      </c>
      <c r="AZ103" s="437" t="n">
        <f aca="false">AG103</f>
        <v>0.22</v>
      </c>
      <c r="BA103" s="441" t="n">
        <f aca="false">AG103</f>
        <v>0.22</v>
      </c>
      <c r="BB103" s="442" t="n">
        <f aca="false">B103</f>
        <v>39417</v>
      </c>
      <c r="BC103" s="442" t="n">
        <v>0.604105549811104</v>
      </c>
      <c r="BD103" s="418" t="n">
        <v>0.604220196618552</v>
      </c>
      <c r="BF103" s="455" t="n">
        <v>39417</v>
      </c>
      <c r="BG103" s="66" t="n">
        <v>91</v>
      </c>
      <c r="HZ103" s="442" t="n">
        <f aca="false">B105</f>
        <v>39479</v>
      </c>
      <c r="IA103" s="418" t="n">
        <v>93</v>
      </c>
    </row>
    <row r="104" customFormat="false" ht="12.75" hidden="false" customHeight="false" outlineLevel="0" collapsed="false">
      <c r="A104" s="470"/>
      <c r="B104" s="419" t="n">
        <f aca="false">EOMONTH(B103,0)+1</f>
        <v>39448</v>
      </c>
      <c r="C104" s="420" t="n">
        <v>3.327</v>
      </c>
      <c r="D104" s="420" t="n">
        <v>0.2</v>
      </c>
      <c r="E104" s="420" t="n">
        <v>0.070158783291394</v>
      </c>
      <c r="F104" s="420" t="n">
        <v>-0.2</v>
      </c>
      <c r="G104" s="420" t="n">
        <v>-0.0575</v>
      </c>
      <c r="H104" s="420" t="n">
        <v>-0.2</v>
      </c>
      <c r="I104" s="420" t="n">
        <v>0.26</v>
      </c>
      <c r="J104" s="420" t="n">
        <v>0.305</v>
      </c>
      <c r="K104" s="420" t="n">
        <v>0.4375</v>
      </c>
      <c r="L104" s="420" t="n">
        <v>-0.073</v>
      </c>
      <c r="M104" s="420" t="n">
        <v>-0.0085</v>
      </c>
      <c r="N104" s="420" t="n">
        <v>-0.28</v>
      </c>
      <c r="O104" s="420" t="n">
        <v>0.13</v>
      </c>
      <c r="P104" s="420" t="n">
        <v>0.015</v>
      </c>
      <c r="Q104" s="435" t="n">
        <v>-0.0055</v>
      </c>
      <c r="R104" s="418" t="n">
        <v>-0.022</v>
      </c>
      <c r="S104" s="418" t="n">
        <v>-0.055</v>
      </c>
      <c r="T104" s="418" t="n">
        <v>-0.09</v>
      </c>
      <c r="U104" s="418" t="n">
        <v>-0.029</v>
      </c>
      <c r="V104" s="418" t="n">
        <v>-0.137</v>
      </c>
      <c r="W104" s="418" t="n">
        <v>-0.1275</v>
      </c>
      <c r="X104" s="418" t="n">
        <v>1.525</v>
      </c>
      <c r="Y104" s="418" t="n">
        <v>0.005</v>
      </c>
      <c r="Z104" s="418" t="n">
        <v>-0.19</v>
      </c>
      <c r="AA104" s="418" t="n">
        <v>-0.0205</v>
      </c>
      <c r="AB104" s="437" t="n">
        <v>0.12</v>
      </c>
      <c r="AC104" s="437" t="n">
        <v>0.975</v>
      </c>
      <c r="AD104" s="437" t="n">
        <v>0.355</v>
      </c>
      <c r="AE104" s="438" t="n">
        <v>0.2</v>
      </c>
      <c r="AF104" s="438" t="n">
        <v>0.2</v>
      </c>
      <c r="AG104" s="438" t="n">
        <v>0.22</v>
      </c>
      <c r="AH104" s="438" t="n">
        <v>0.2</v>
      </c>
      <c r="AI104" s="438" t="n">
        <v>0.204</v>
      </c>
      <c r="AJ104" s="438" t="n">
        <v>0.2</v>
      </c>
      <c r="AK104" s="438" t="n">
        <v>0.2</v>
      </c>
      <c r="AL104" s="438" t="n">
        <v>0.2</v>
      </c>
      <c r="AM104" s="438" t="n">
        <v>0.2</v>
      </c>
      <c r="AN104" s="438" t="n">
        <v>0.2</v>
      </c>
      <c r="AO104" s="438" t="n">
        <v>0.2</v>
      </c>
      <c r="AP104" s="439" t="n">
        <v>0.2</v>
      </c>
      <c r="AQ104" s="439" t="n">
        <v>0.2</v>
      </c>
      <c r="AR104" s="439" t="n">
        <v>0.2</v>
      </c>
      <c r="AS104" s="439" t="n">
        <v>0.2</v>
      </c>
      <c r="AT104" s="438" t="n">
        <v>0.2</v>
      </c>
      <c r="AU104" s="438" t="n">
        <v>0.2</v>
      </c>
      <c r="AV104" s="438" t="n">
        <v>0.22</v>
      </c>
      <c r="AW104" s="418" t="n">
        <v>0.069964536431174</v>
      </c>
      <c r="AX104" s="418"/>
      <c r="AY104" s="437" t="n">
        <f aca="false">AG104</f>
        <v>0.22</v>
      </c>
      <c r="AZ104" s="437" t="n">
        <f aca="false">AG104</f>
        <v>0.22</v>
      </c>
      <c r="BA104" s="441" t="n">
        <f aca="false">AG104</f>
        <v>0.22</v>
      </c>
      <c r="BB104" s="442" t="n">
        <f aca="false">B104</f>
        <v>39448</v>
      </c>
      <c r="BC104" s="442" t="n">
        <v>0.600565225498488</v>
      </c>
      <c r="BD104" s="418" t="n">
        <v>0.600679199324344</v>
      </c>
      <c r="BF104" s="455" t="n">
        <v>39448</v>
      </c>
      <c r="BG104" s="66" t="n">
        <v>92</v>
      </c>
      <c r="HZ104" s="442" t="n">
        <f aca="false">B106</f>
        <v>39508</v>
      </c>
      <c r="IA104" s="418" t="n">
        <v>94</v>
      </c>
    </row>
    <row r="105" customFormat="false" ht="12.75" hidden="false" customHeight="false" outlineLevel="0" collapsed="false">
      <c r="A105" s="470"/>
      <c r="B105" s="419" t="n">
        <f aca="false">EOMONTH(B104,0)+1</f>
        <v>39479</v>
      </c>
      <c r="C105" s="420" t="n">
        <v>3.205</v>
      </c>
      <c r="D105" s="420" t="n">
        <v>0.2</v>
      </c>
      <c r="E105" s="420" t="n">
        <v>0.07017162941863</v>
      </c>
      <c r="F105" s="420" t="n">
        <v>-0.2025</v>
      </c>
      <c r="G105" s="420" t="n">
        <v>-0.04</v>
      </c>
      <c r="H105" s="420" t="n">
        <v>-0.2025</v>
      </c>
      <c r="I105" s="420" t="n">
        <v>0.235</v>
      </c>
      <c r="J105" s="420" t="n">
        <v>0.305</v>
      </c>
      <c r="K105" s="420" t="n">
        <v>0.435</v>
      </c>
      <c r="L105" s="420" t="n">
        <v>-0.073</v>
      </c>
      <c r="M105" s="420" t="n">
        <v>-0.0085</v>
      </c>
      <c r="N105" s="420" t="n">
        <v>-0.28</v>
      </c>
      <c r="O105" s="420" t="n">
        <v>0</v>
      </c>
      <c r="P105" s="420" t="n">
        <v>0.015</v>
      </c>
      <c r="Q105" s="435" t="n">
        <v>-0.0055</v>
      </c>
      <c r="R105" s="418" t="n">
        <v>-0.022</v>
      </c>
      <c r="S105" s="418" t="n">
        <v>-0.055</v>
      </c>
      <c r="T105" s="418" t="n">
        <v>-0.09</v>
      </c>
      <c r="U105" s="418" t="n">
        <v>-0.029</v>
      </c>
      <c r="V105" s="418" t="n">
        <v>-0.1195</v>
      </c>
      <c r="W105" s="418" t="n">
        <v>-0.1275</v>
      </c>
      <c r="X105" s="418" t="n">
        <v>1.455</v>
      </c>
      <c r="Y105" s="418" t="n">
        <v>0.005</v>
      </c>
      <c r="Z105" s="418" t="n">
        <v>-0.19</v>
      </c>
      <c r="AA105" s="418" t="n">
        <v>-0.0205</v>
      </c>
      <c r="AB105" s="437" t="n">
        <v>0.12</v>
      </c>
      <c r="AC105" s="437" t="n">
        <v>0.975</v>
      </c>
      <c r="AD105" s="437" t="n">
        <v>0.33</v>
      </c>
      <c r="AE105" s="438" t="n">
        <v>0.2</v>
      </c>
      <c r="AF105" s="438" t="n">
        <v>0.2</v>
      </c>
      <c r="AG105" s="438" t="n">
        <v>0.22</v>
      </c>
      <c r="AH105" s="438" t="n">
        <v>0.2</v>
      </c>
      <c r="AI105" s="438" t="n">
        <v>0.204</v>
      </c>
      <c r="AJ105" s="438" t="n">
        <v>0.2</v>
      </c>
      <c r="AK105" s="438" t="n">
        <v>0.2</v>
      </c>
      <c r="AL105" s="438" t="n">
        <v>0.2</v>
      </c>
      <c r="AM105" s="438" t="n">
        <v>0.2</v>
      </c>
      <c r="AN105" s="438" t="n">
        <v>0.2</v>
      </c>
      <c r="AO105" s="438" t="n">
        <v>0.2</v>
      </c>
      <c r="AP105" s="439" t="n">
        <v>0.2</v>
      </c>
      <c r="AQ105" s="439" t="n">
        <v>0.2</v>
      </c>
      <c r="AR105" s="439" t="n">
        <v>0.2</v>
      </c>
      <c r="AS105" s="439" t="n">
        <v>0.2</v>
      </c>
      <c r="AT105" s="438" t="n">
        <v>0.2</v>
      </c>
      <c r="AU105" s="438" t="n">
        <v>0.2</v>
      </c>
      <c r="AV105" s="438" t="n">
        <v>0.22</v>
      </c>
      <c r="AW105" s="418" t="n">
        <v>0.069964389179423</v>
      </c>
      <c r="AX105" s="418"/>
      <c r="AY105" s="437" t="n">
        <f aca="false">AG105</f>
        <v>0.22</v>
      </c>
      <c r="AZ105" s="437" t="n">
        <f aca="false">AG105</f>
        <v>0.22</v>
      </c>
      <c r="BA105" s="441" t="n">
        <f aca="false">AG105</f>
        <v>0.22</v>
      </c>
      <c r="BB105" s="442" t="n">
        <f aca="false">B105</f>
        <v>39479</v>
      </c>
      <c r="BC105" s="442" t="n">
        <v>0.597045716885352</v>
      </c>
      <c r="BD105" s="418" t="n">
        <v>0.597159021692911</v>
      </c>
      <c r="BF105" s="455" t="n">
        <v>39479</v>
      </c>
      <c r="BG105" s="66" t="n">
        <v>93</v>
      </c>
      <c r="HZ105" s="442" t="n">
        <f aca="false">B107</f>
        <v>39539</v>
      </c>
      <c r="IA105" s="418" t="n">
        <v>95</v>
      </c>
    </row>
    <row r="106" customFormat="false" ht="12.75" hidden="false" customHeight="false" outlineLevel="0" collapsed="false">
      <c r="A106" s="470"/>
      <c r="B106" s="419" t="n">
        <f aca="false">EOMONTH(B105,0)+1</f>
        <v>39508</v>
      </c>
      <c r="C106" s="420" t="n">
        <v>3.05</v>
      </c>
      <c r="D106" s="420" t="n">
        <v>0.2</v>
      </c>
      <c r="E106" s="420" t="n">
        <v>0.070183646763513</v>
      </c>
      <c r="F106" s="420" t="n">
        <v>-0.205</v>
      </c>
      <c r="G106" s="420" t="n">
        <v>-0.0275</v>
      </c>
      <c r="H106" s="420" t="n">
        <v>-0.205</v>
      </c>
      <c r="I106" s="420" t="n">
        <v>0.2325</v>
      </c>
      <c r="J106" s="420" t="n">
        <v>0.265</v>
      </c>
      <c r="K106" s="420" t="n">
        <v>0.3025</v>
      </c>
      <c r="L106" s="420" t="n">
        <v>-0.073</v>
      </c>
      <c r="M106" s="420" t="n">
        <v>-0.0085</v>
      </c>
      <c r="N106" s="420" t="n">
        <v>-0.28</v>
      </c>
      <c r="O106" s="420" t="n">
        <v>-0.18</v>
      </c>
      <c r="P106" s="420" t="n">
        <v>0.015</v>
      </c>
      <c r="Q106" s="435" t="n">
        <v>-0.0055</v>
      </c>
      <c r="R106" s="418" t="n">
        <v>-0.022</v>
      </c>
      <c r="S106" s="418" t="n">
        <v>-0.055</v>
      </c>
      <c r="T106" s="418" t="n">
        <v>-0.09</v>
      </c>
      <c r="U106" s="418" t="n">
        <v>-0.0105</v>
      </c>
      <c r="V106" s="418" t="n">
        <v>-0.102</v>
      </c>
      <c r="W106" s="418" t="n">
        <v>-0.1325</v>
      </c>
      <c r="X106" s="418" t="n">
        <v>0.835</v>
      </c>
      <c r="Y106" s="418" t="n">
        <v>0.005</v>
      </c>
      <c r="Z106" s="418" t="n">
        <v>-0.19</v>
      </c>
      <c r="AA106" s="418" t="n">
        <v>-0.0205</v>
      </c>
      <c r="AB106" s="437" t="n">
        <v>0.12</v>
      </c>
      <c r="AC106" s="437" t="n">
        <v>0.6075</v>
      </c>
      <c r="AD106" s="437" t="n">
        <v>0.3275</v>
      </c>
      <c r="AE106" s="438" t="n">
        <v>0.2</v>
      </c>
      <c r="AF106" s="438" t="n">
        <v>0.2</v>
      </c>
      <c r="AG106" s="438" t="n">
        <v>0.22</v>
      </c>
      <c r="AH106" s="438" t="n">
        <v>0.2</v>
      </c>
      <c r="AI106" s="438" t="n">
        <v>0.204</v>
      </c>
      <c r="AJ106" s="438" t="n">
        <v>0.2</v>
      </c>
      <c r="AK106" s="438" t="n">
        <v>0.2</v>
      </c>
      <c r="AL106" s="438" t="n">
        <v>0.2</v>
      </c>
      <c r="AM106" s="438" t="n">
        <v>0.2</v>
      </c>
      <c r="AN106" s="438" t="n">
        <v>0.2</v>
      </c>
      <c r="AO106" s="438" t="n">
        <v>0.2</v>
      </c>
      <c r="AP106" s="439" t="n">
        <v>0.2</v>
      </c>
      <c r="AQ106" s="439" t="n">
        <v>0.2</v>
      </c>
      <c r="AR106" s="439" t="n">
        <v>0.2</v>
      </c>
      <c r="AS106" s="439" t="n">
        <v>0.2</v>
      </c>
      <c r="AT106" s="438" t="n">
        <v>0.2</v>
      </c>
      <c r="AU106" s="438" t="n">
        <v>0.2</v>
      </c>
      <c r="AV106" s="438" t="n">
        <v>0.22</v>
      </c>
      <c r="AW106" s="418" t="n">
        <v>0.069964251427785</v>
      </c>
      <c r="AX106" s="418"/>
      <c r="AY106" s="437" t="n">
        <f aca="false">AG106</f>
        <v>0.22</v>
      </c>
      <c r="AZ106" s="437" t="n">
        <f aca="false">AG106</f>
        <v>0.22</v>
      </c>
      <c r="BA106" s="441" t="n">
        <f aca="false">AG106</f>
        <v>0.22</v>
      </c>
      <c r="BB106" s="442" t="n">
        <f aca="false">B106</f>
        <v>39508</v>
      </c>
      <c r="BC106" s="442" t="n">
        <v>0.59377200916453</v>
      </c>
      <c r="BD106" s="418" t="n">
        <v>0.593884691683515</v>
      </c>
      <c r="BF106" s="455" t="n">
        <v>39508</v>
      </c>
      <c r="BG106" s="66" t="n">
        <v>94</v>
      </c>
      <c r="HZ106" s="442" t="n">
        <f aca="false">B108</f>
        <v>39569</v>
      </c>
      <c r="IA106" s="418" t="n">
        <v>96</v>
      </c>
    </row>
    <row r="107" customFormat="false" ht="12.75" hidden="false" customHeight="false" outlineLevel="0" collapsed="false">
      <c r="A107" s="470"/>
      <c r="B107" s="419" t="n">
        <f aca="false">EOMONTH(B106,0)+1</f>
        <v>39539</v>
      </c>
      <c r="C107" s="420" t="n">
        <v>2.887</v>
      </c>
      <c r="D107" s="420" t="n">
        <v>0.2</v>
      </c>
      <c r="E107" s="420" t="n">
        <v>0.070196492890854</v>
      </c>
      <c r="F107" s="420" t="n">
        <v>-0.195</v>
      </c>
      <c r="G107" s="420" t="n">
        <v>0.015</v>
      </c>
      <c r="H107" s="420" t="n">
        <v>-0.195</v>
      </c>
      <c r="I107" s="420" t="n">
        <v>0.1375</v>
      </c>
      <c r="J107" s="420" t="n">
        <v>0.195</v>
      </c>
      <c r="K107" s="420" t="n">
        <v>0.25</v>
      </c>
      <c r="L107" s="420" t="n">
        <v>-0.066</v>
      </c>
      <c r="M107" s="420" t="n">
        <v>-0.016</v>
      </c>
      <c r="N107" s="420" t="n">
        <v>-0.36</v>
      </c>
      <c r="O107" s="420" t="n">
        <v>-0.29</v>
      </c>
      <c r="P107" s="420" t="n">
        <v>0.0065</v>
      </c>
      <c r="Q107" s="435" t="n">
        <v>0.0045</v>
      </c>
      <c r="R107" s="418" t="n">
        <v>-0.0215</v>
      </c>
      <c r="S107" s="418" t="n">
        <v>-0.0525</v>
      </c>
      <c r="T107" s="418" t="n">
        <v>-0.17</v>
      </c>
      <c r="U107" s="418" t="n">
        <v>-0.0105</v>
      </c>
      <c r="V107" s="418" t="n">
        <v>-0.0945</v>
      </c>
      <c r="W107" s="418" t="n">
        <v>-0.12</v>
      </c>
      <c r="X107" s="418" t="n">
        <v>0.45</v>
      </c>
      <c r="Y107" s="418" t="n">
        <v>0.005</v>
      </c>
      <c r="Z107" s="418" t="n">
        <v>-0.195</v>
      </c>
      <c r="AA107" s="418" t="n">
        <v>-0.018</v>
      </c>
      <c r="AB107" s="437" t="n">
        <v>0.29</v>
      </c>
      <c r="AC107" s="437" t="n">
        <v>0.355</v>
      </c>
      <c r="AD107" s="437" t="n">
        <v>0.2325</v>
      </c>
      <c r="AE107" s="438" t="n">
        <v>0.2</v>
      </c>
      <c r="AF107" s="438" t="n">
        <v>0.2</v>
      </c>
      <c r="AG107" s="438" t="n">
        <v>0.196</v>
      </c>
      <c r="AH107" s="438" t="n">
        <v>0.2</v>
      </c>
      <c r="AI107" s="438" t="n">
        <v>0.204</v>
      </c>
      <c r="AJ107" s="438" t="n">
        <v>0.2</v>
      </c>
      <c r="AK107" s="438" t="n">
        <v>0.196</v>
      </c>
      <c r="AL107" s="438" t="n">
        <v>0.196</v>
      </c>
      <c r="AM107" s="438" t="n">
        <v>0.2</v>
      </c>
      <c r="AN107" s="438" t="n">
        <v>0.2</v>
      </c>
      <c r="AO107" s="438" t="n">
        <v>0.2</v>
      </c>
      <c r="AP107" s="439" t="n">
        <v>0.2</v>
      </c>
      <c r="AQ107" s="439" t="n">
        <v>0.2</v>
      </c>
      <c r="AR107" s="439" t="n">
        <v>0.2</v>
      </c>
      <c r="AS107" s="439" t="n">
        <v>0.2</v>
      </c>
      <c r="AT107" s="438" t="n">
        <v>0.2</v>
      </c>
      <c r="AU107" s="438" t="n">
        <v>0.2</v>
      </c>
      <c r="AV107" s="438" t="n">
        <v>0.196</v>
      </c>
      <c r="AW107" s="418" t="n">
        <v>0.069964104176034</v>
      </c>
      <c r="AX107" s="418"/>
      <c r="AY107" s="437" t="n">
        <f aca="false">AG107</f>
        <v>0.196</v>
      </c>
      <c r="AZ107" s="437" t="n">
        <f aca="false">AG107</f>
        <v>0.196</v>
      </c>
      <c r="BA107" s="441" t="n">
        <f aca="false">AG107</f>
        <v>0.196</v>
      </c>
      <c r="BB107" s="442" t="n">
        <f aca="false">B107</f>
        <v>39539</v>
      </c>
      <c r="BC107" s="442" t="n">
        <v>0.59029244084128</v>
      </c>
      <c r="BD107" s="418" t="n">
        <v>0.590404461946463</v>
      </c>
      <c r="BF107" s="455" t="n">
        <v>39539</v>
      </c>
      <c r="BG107" s="66" t="n">
        <v>95</v>
      </c>
      <c r="HZ107" s="442" t="n">
        <f aca="false">B109</f>
        <v>39600</v>
      </c>
      <c r="IA107" s="418" t="n">
        <v>97</v>
      </c>
    </row>
    <row r="108" customFormat="false" ht="12.75" hidden="false" customHeight="false" outlineLevel="0" collapsed="false">
      <c r="A108" s="470"/>
      <c r="B108" s="419" t="n">
        <f aca="false">EOMONTH(B107,0)+1</f>
        <v>39569</v>
      </c>
      <c r="C108" s="420" t="n">
        <v>2.88</v>
      </c>
      <c r="D108" s="420" t="n">
        <v>0.2</v>
      </c>
      <c r="E108" s="420" t="n">
        <v>0.070208924627043</v>
      </c>
      <c r="F108" s="420" t="n">
        <v>-0.195</v>
      </c>
      <c r="G108" s="420" t="n">
        <v>0.015</v>
      </c>
      <c r="H108" s="420" t="n">
        <v>-0.195</v>
      </c>
      <c r="I108" s="420" t="n">
        <v>0.1475</v>
      </c>
      <c r="J108" s="420" t="n">
        <v>0.1825</v>
      </c>
      <c r="K108" s="420" t="n">
        <v>0.2025</v>
      </c>
      <c r="L108" s="420" t="n">
        <v>-0.066</v>
      </c>
      <c r="M108" s="420" t="n">
        <v>-0.016</v>
      </c>
      <c r="N108" s="420" t="n">
        <v>-0.36</v>
      </c>
      <c r="O108" s="420" t="n">
        <v>-0.29</v>
      </c>
      <c r="P108" s="420" t="n">
        <v>0.0065</v>
      </c>
      <c r="Q108" s="420" t="n">
        <v>0.0045</v>
      </c>
      <c r="R108" s="418" t="n">
        <v>-0.0215</v>
      </c>
      <c r="S108" s="418" t="n">
        <v>-0.0525</v>
      </c>
      <c r="T108" s="418" t="n">
        <v>-0.185</v>
      </c>
      <c r="U108" s="418" t="n">
        <v>-0.01075</v>
      </c>
      <c r="V108" s="418" t="n">
        <v>-0.0945</v>
      </c>
      <c r="W108" s="418" t="n">
        <v>-0.12</v>
      </c>
      <c r="X108" s="418" t="n">
        <v>0.405</v>
      </c>
      <c r="Y108" s="418" t="n">
        <v>0.005</v>
      </c>
      <c r="Z108" s="418" t="n">
        <v>-0.195</v>
      </c>
      <c r="AA108" s="418" t="n">
        <v>-0.018</v>
      </c>
      <c r="AB108" s="437" t="n">
        <v>0.29</v>
      </c>
      <c r="AC108" s="437" t="n">
        <v>0.2875</v>
      </c>
      <c r="AD108" s="437" t="n">
        <v>0.2425</v>
      </c>
      <c r="AE108" s="438" t="n">
        <v>0.2</v>
      </c>
      <c r="AF108" s="438" t="n">
        <v>0.2</v>
      </c>
      <c r="AG108" s="438" t="n">
        <v>0.196</v>
      </c>
      <c r="AH108" s="438" t="n">
        <v>0.2</v>
      </c>
      <c r="AI108" s="438" t="n">
        <v>0.204</v>
      </c>
      <c r="AJ108" s="438" t="n">
        <v>0.2</v>
      </c>
      <c r="AK108" s="438" t="n">
        <v>0.196</v>
      </c>
      <c r="AL108" s="438" t="n">
        <v>0.196</v>
      </c>
      <c r="AM108" s="438" t="n">
        <v>0.2</v>
      </c>
      <c r="AN108" s="438" t="n">
        <v>0.2</v>
      </c>
      <c r="AO108" s="438" t="n">
        <v>0.2</v>
      </c>
      <c r="AP108" s="439" t="n">
        <v>0.2</v>
      </c>
      <c r="AQ108" s="439" t="n">
        <v>0.2</v>
      </c>
      <c r="AR108" s="439" t="n">
        <v>0.2</v>
      </c>
      <c r="AS108" s="439" t="n">
        <v>0.2</v>
      </c>
      <c r="AT108" s="438" t="n">
        <v>0.2</v>
      </c>
      <c r="AU108" s="438" t="n">
        <v>0.2</v>
      </c>
      <c r="AV108" s="438" t="n">
        <v>0.196</v>
      </c>
      <c r="AW108" s="418" t="n">
        <v>0.069963961674339</v>
      </c>
      <c r="AX108" s="418"/>
      <c r="AY108" s="437" t="n">
        <f aca="false">AG108</f>
        <v>0.196</v>
      </c>
      <c r="AZ108" s="437" t="n">
        <f aca="false">AG108</f>
        <v>0.196</v>
      </c>
      <c r="BA108" s="441" t="n">
        <f aca="false">AG108</f>
        <v>0.196</v>
      </c>
      <c r="BB108" s="442" t="n">
        <f aca="false">B108</f>
        <v>39569</v>
      </c>
      <c r="BC108" s="442" t="n">
        <v>0.586944595996279</v>
      </c>
      <c r="BD108" s="418" t="n">
        <v>0.587055980732337</v>
      </c>
      <c r="BF108" s="455" t="n">
        <v>39569</v>
      </c>
      <c r="BG108" s="66" t="n">
        <v>96</v>
      </c>
      <c r="HZ108" s="442" t="n">
        <f aca="false">B110</f>
        <v>39630</v>
      </c>
      <c r="IA108" s="418" t="n">
        <v>98</v>
      </c>
    </row>
    <row r="109" customFormat="false" ht="12.75" hidden="false" customHeight="false" outlineLevel="0" collapsed="false">
      <c r="A109" s="470"/>
      <c r="B109" s="419" t="n">
        <f aca="false">EOMONTH(B108,0)+1</f>
        <v>39600</v>
      </c>
      <c r="C109" s="420" t="n">
        <v>2.905</v>
      </c>
      <c r="D109" s="420" t="n">
        <v>0.2</v>
      </c>
      <c r="E109" s="420" t="n">
        <v>0.070221770754491</v>
      </c>
      <c r="F109" s="420" t="n">
        <v>-0.195</v>
      </c>
      <c r="G109" s="420" t="n">
        <v>0.02</v>
      </c>
      <c r="H109" s="420" t="n">
        <v>-0.195</v>
      </c>
      <c r="I109" s="420" t="n">
        <v>0.1425</v>
      </c>
      <c r="J109" s="420" t="n">
        <v>0.1825</v>
      </c>
      <c r="K109" s="420" t="n">
        <v>0.2025</v>
      </c>
      <c r="L109" s="420" t="n">
        <v>-0.082</v>
      </c>
      <c r="M109" s="420" t="n">
        <v>-0.016</v>
      </c>
      <c r="N109" s="420" t="n">
        <v>-0.36</v>
      </c>
      <c r="O109" s="420" t="n">
        <v>-0.29</v>
      </c>
      <c r="P109" s="420" t="n">
        <v>0.0065</v>
      </c>
      <c r="Q109" s="420" t="n">
        <v>0.0045</v>
      </c>
      <c r="R109" s="418" t="n">
        <v>-0.0215</v>
      </c>
      <c r="S109" s="418" t="n">
        <v>-0.0525</v>
      </c>
      <c r="T109" s="418" t="n">
        <v>-0.195</v>
      </c>
      <c r="U109" s="418" t="n">
        <v>-0.01075</v>
      </c>
      <c r="V109" s="418" t="n">
        <v>-0.0845</v>
      </c>
      <c r="W109" s="418" t="n">
        <v>-0.12</v>
      </c>
      <c r="X109" s="418" t="n">
        <v>0.395</v>
      </c>
      <c r="Y109" s="418" t="n">
        <v>0.005</v>
      </c>
      <c r="Z109" s="418" t="n">
        <v>-0.195</v>
      </c>
      <c r="AA109" s="418" t="n">
        <v>-0.018</v>
      </c>
      <c r="AB109" s="437" t="n">
        <v>0.29</v>
      </c>
      <c r="AC109" s="437" t="n">
        <v>0.2875</v>
      </c>
      <c r="AD109" s="437" t="n">
        <v>0.2375</v>
      </c>
      <c r="AE109" s="438" t="n">
        <v>0.2</v>
      </c>
      <c r="AF109" s="438" t="n">
        <v>0.2</v>
      </c>
      <c r="AG109" s="438" t="n">
        <v>0.196</v>
      </c>
      <c r="AH109" s="438" t="n">
        <v>0.2</v>
      </c>
      <c r="AI109" s="438" t="n">
        <v>0.204</v>
      </c>
      <c r="AJ109" s="438" t="n">
        <v>0.2</v>
      </c>
      <c r="AK109" s="438" t="n">
        <v>0.196</v>
      </c>
      <c r="AL109" s="438" t="n">
        <v>0.196</v>
      </c>
      <c r="AM109" s="438" t="n">
        <v>0.2</v>
      </c>
      <c r="AN109" s="438" t="n">
        <v>0.2</v>
      </c>
      <c r="AO109" s="438" t="n">
        <v>0.2</v>
      </c>
      <c r="AP109" s="439" t="n">
        <v>0.2</v>
      </c>
      <c r="AQ109" s="439" t="n">
        <v>0.2</v>
      </c>
      <c r="AR109" s="439" t="n">
        <v>0.2</v>
      </c>
      <c r="AS109" s="439" t="n">
        <v>0.2</v>
      </c>
      <c r="AT109" s="438" t="n">
        <v>0.2</v>
      </c>
      <c r="AU109" s="438" t="n">
        <v>0.2</v>
      </c>
      <c r="AV109" s="438" t="n">
        <v>0.196</v>
      </c>
      <c r="AW109" s="418" t="n">
        <v>0.069963814422588</v>
      </c>
      <c r="AX109" s="418"/>
      <c r="AY109" s="437" t="n">
        <f aca="false">AG109</f>
        <v>0.196</v>
      </c>
      <c r="AZ109" s="437" t="n">
        <f aca="false">AG109</f>
        <v>0.196</v>
      </c>
      <c r="BA109" s="441" t="n">
        <f aca="false">AG109</f>
        <v>0.196</v>
      </c>
      <c r="BB109" s="442" t="n">
        <f aca="false">B109</f>
        <v>39600</v>
      </c>
      <c r="BC109" s="442" t="n">
        <v>0.583505167521051</v>
      </c>
      <c r="BD109" s="418" t="n">
        <v>0.583615898485655</v>
      </c>
      <c r="BF109" s="455" t="n">
        <v>39600</v>
      </c>
      <c r="BG109" s="66" t="n">
        <v>97</v>
      </c>
      <c r="HZ109" s="442" t="n">
        <f aca="false">B111</f>
        <v>39661</v>
      </c>
      <c r="IA109" s="418" t="n">
        <v>99</v>
      </c>
    </row>
    <row r="110" customFormat="false" ht="12.75" hidden="false" customHeight="false" outlineLevel="0" collapsed="false">
      <c r="A110" s="470"/>
      <c r="B110" s="419" t="n">
        <f aca="false">EOMONTH(B109,0)+1</f>
        <v>39630</v>
      </c>
      <c r="C110" s="420" t="n">
        <v>2.927</v>
      </c>
      <c r="D110" s="420" t="n">
        <v>0.18</v>
      </c>
      <c r="E110" s="420" t="n">
        <v>0.070234202490785</v>
      </c>
      <c r="F110" s="420" t="n">
        <v>-0.195</v>
      </c>
      <c r="G110" s="420" t="n">
        <v>0.0225</v>
      </c>
      <c r="H110" s="420" t="n">
        <v>-0.195</v>
      </c>
      <c r="I110" s="420" t="n">
        <v>0.1325</v>
      </c>
      <c r="J110" s="420" t="n">
        <v>0.1825</v>
      </c>
      <c r="K110" s="420" t="n">
        <v>0.215</v>
      </c>
      <c r="L110" s="420" t="n">
        <v>-0.075</v>
      </c>
      <c r="M110" s="420" t="n">
        <v>-0.016</v>
      </c>
      <c r="N110" s="420" t="n">
        <v>-0.36</v>
      </c>
      <c r="O110" s="420" t="n">
        <v>-0.29</v>
      </c>
      <c r="P110" s="420" t="n">
        <v>0.0065</v>
      </c>
      <c r="Q110" s="420" t="n">
        <v>0.0045</v>
      </c>
      <c r="R110" s="418" t="n">
        <v>-0.0215</v>
      </c>
      <c r="S110" s="418" t="n">
        <v>-0.0525</v>
      </c>
      <c r="T110" s="418" t="n">
        <v>-0.195</v>
      </c>
      <c r="U110" s="418" t="n">
        <v>-0.01075</v>
      </c>
      <c r="V110" s="418" t="n">
        <v>-0.0795</v>
      </c>
      <c r="W110" s="418" t="n">
        <v>-0.12</v>
      </c>
      <c r="X110" s="418" t="n">
        <v>0.43</v>
      </c>
      <c r="Y110" s="418" t="n">
        <v>0.005</v>
      </c>
      <c r="Z110" s="418" t="n">
        <v>-0.195</v>
      </c>
      <c r="AA110" s="418" t="n">
        <v>-0.018</v>
      </c>
      <c r="AB110" s="437" t="n">
        <v>0.29</v>
      </c>
      <c r="AC110" s="437" t="n">
        <v>0.3</v>
      </c>
      <c r="AD110" s="437" t="n">
        <v>0.2275</v>
      </c>
      <c r="AE110" s="438" t="n">
        <v>0.18</v>
      </c>
      <c r="AF110" s="438" t="n">
        <v>0.18</v>
      </c>
      <c r="AG110" s="438" t="n">
        <v>0.176</v>
      </c>
      <c r="AH110" s="438" t="n">
        <v>0.18</v>
      </c>
      <c r="AI110" s="438" t="n">
        <v>0.184</v>
      </c>
      <c r="AJ110" s="438" t="n">
        <v>0.18</v>
      </c>
      <c r="AK110" s="438" t="n">
        <v>0.176</v>
      </c>
      <c r="AL110" s="438" t="n">
        <v>0.176</v>
      </c>
      <c r="AM110" s="438" t="n">
        <v>0.18</v>
      </c>
      <c r="AN110" s="438" t="n">
        <v>0.18</v>
      </c>
      <c r="AO110" s="438" t="n">
        <v>0.18</v>
      </c>
      <c r="AP110" s="439" t="n">
        <v>0.18</v>
      </c>
      <c r="AQ110" s="439" t="n">
        <v>0.18</v>
      </c>
      <c r="AR110" s="439" t="n">
        <v>0.18</v>
      </c>
      <c r="AS110" s="439" t="n">
        <v>0.18</v>
      </c>
      <c r="AT110" s="438" t="n">
        <v>0.18</v>
      </c>
      <c r="AU110" s="438" t="n">
        <v>0.18</v>
      </c>
      <c r="AV110" s="438" t="n">
        <v>0.176</v>
      </c>
      <c r="AW110" s="418" t="n">
        <v>0.069963671920894</v>
      </c>
      <c r="AX110" s="418"/>
      <c r="AY110" s="437" t="n">
        <f aca="false">AG110</f>
        <v>0.176</v>
      </c>
      <c r="AZ110" s="437" t="n">
        <f aca="false">AG110</f>
        <v>0.176</v>
      </c>
      <c r="BA110" s="441" t="n">
        <f aca="false">AG110</f>
        <v>0.176</v>
      </c>
      <c r="BB110" s="442" t="n">
        <f aca="false">B110</f>
        <v>39630</v>
      </c>
      <c r="BC110" s="442" t="n">
        <v>0.580195942253603</v>
      </c>
      <c r="BD110" s="418" t="n">
        <v>0.580306044201912</v>
      </c>
      <c r="BF110" s="455" t="n">
        <v>39630</v>
      </c>
      <c r="BG110" s="66" t="n">
        <v>98</v>
      </c>
      <c r="HZ110" s="442" t="n">
        <f aca="false">B112</f>
        <v>39692</v>
      </c>
      <c r="IA110" s="418" t="n">
        <v>100</v>
      </c>
    </row>
    <row r="111" customFormat="false" ht="12.75" hidden="false" customHeight="false" outlineLevel="0" collapsed="false">
      <c r="A111" s="470"/>
      <c r="B111" s="419" t="n">
        <f aca="false">EOMONTH(B110,0)+1</f>
        <v>39661</v>
      </c>
      <c r="C111" s="420" t="n">
        <v>2.948</v>
      </c>
      <c r="D111" s="420" t="n">
        <v>0.18</v>
      </c>
      <c r="E111" s="420" t="n">
        <v>0.070247048618341</v>
      </c>
      <c r="F111" s="420" t="n">
        <v>-0.195</v>
      </c>
      <c r="G111" s="420" t="n">
        <v>0.025</v>
      </c>
      <c r="H111" s="420" t="n">
        <v>-0.195</v>
      </c>
      <c r="I111" s="420" t="n">
        <v>0.13</v>
      </c>
      <c r="J111" s="420" t="n">
        <v>0.1825</v>
      </c>
      <c r="K111" s="420" t="n">
        <v>0.215</v>
      </c>
      <c r="L111" s="420" t="n">
        <v>-0.066</v>
      </c>
      <c r="M111" s="420" t="n">
        <v>-0.016</v>
      </c>
      <c r="N111" s="420" t="n">
        <v>-0.36</v>
      </c>
      <c r="O111" s="420" t="n">
        <v>-0.29</v>
      </c>
      <c r="P111" s="420" t="n">
        <v>0.0065</v>
      </c>
      <c r="Q111" s="420" t="n">
        <v>0.0045</v>
      </c>
      <c r="R111" s="418" t="n">
        <v>-0.0215</v>
      </c>
      <c r="S111" s="418" t="n">
        <v>-0.0525</v>
      </c>
      <c r="T111" s="418" t="n">
        <v>-0.195</v>
      </c>
      <c r="U111" s="418" t="n">
        <v>-0.01075</v>
      </c>
      <c r="V111" s="418" t="n">
        <v>-0.0795</v>
      </c>
      <c r="W111" s="418" t="n">
        <v>-0.12</v>
      </c>
      <c r="X111" s="418" t="n">
        <v>0.495</v>
      </c>
      <c r="Y111" s="418" t="n">
        <v>0.005</v>
      </c>
      <c r="Z111" s="418" t="n">
        <v>-0.195</v>
      </c>
      <c r="AA111" s="418" t="n">
        <v>-0.018</v>
      </c>
      <c r="AB111" s="437" t="n">
        <v>0.29</v>
      </c>
      <c r="AC111" s="437" t="n">
        <v>0.3</v>
      </c>
      <c r="AD111" s="437" t="n">
        <v>0.225</v>
      </c>
      <c r="AE111" s="438" t="n">
        <v>0.18</v>
      </c>
      <c r="AF111" s="438" t="n">
        <v>0.18</v>
      </c>
      <c r="AG111" s="438" t="n">
        <v>0.176</v>
      </c>
      <c r="AH111" s="438" t="n">
        <v>0.18</v>
      </c>
      <c r="AI111" s="438" t="n">
        <v>0.184</v>
      </c>
      <c r="AJ111" s="438" t="n">
        <v>0.18</v>
      </c>
      <c r="AK111" s="438" t="n">
        <v>0.176</v>
      </c>
      <c r="AL111" s="438" t="n">
        <v>0.176</v>
      </c>
      <c r="AM111" s="438" t="n">
        <v>0.18</v>
      </c>
      <c r="AN111" s="438" t="n">
        <v>0.18</v>
      </c>
      <c r="AO111" s="438" t="n">
        <v>0.18</v>
      </c>
      <c r="AP111" s="439" t="n">
        <v>0.18</v>
      </c>
      <c r="AQ111" s="439" t="n">
        <v>0.18</v>
      </c>
      <c r="AR111" s="439" t="n">
        <v>0.18</v>
      </c>
      <c r="AS111" s="439" t="n">
        <v>0.18</v>
      </c>
      <c r="AT111" s="438" t="n">
        <v>0.18</v>
      </c>
      <c r="AU111" s="438" t="n">
        <v>0.18</v>
      </c>
      <c r="AV111" s="438" t="n">
        <v>0.176</v>
      </c>
      <c r="AW111" s="418" t="n">
        <v>0.069963524669143</v>
      </c>
      <c r="AX111" s="418"/>
      <c r="AY111" s="437" t="n">
        <f aca="false">AG111</f>
        <v>0.176</v>
      </c>
      <c r="AZ111" s="437" t="n">
        <f aca="false">AG111</f>
        <v>0.176</v>
      </c>
      <c r="BA111" s="441" t="n">
        <f aca="false">AG111</f>
        <v>0.176</v>
      </c>
      <c r="BB111" s="442" t="n">
        <f aca="false">B111</f>
        <v>39661</v>
      </c>
      <c r="BC111" s="442" t="n">
        <v>0.576796189087585</v>
      </c>
      <c r="BD111" s="418" t="n">
        <v>0.576905644818201</v>
      </c>
      <c r="BF111" s="455" t="n">
        <v>39661</v>
      </c>
      <c r="BG111" s="66" t="n">
        <v>99</v>
      </c>
      <c r="HZ111" s="442" t="n">
        <f aca="false">B113</f>
        <v>39722</v>
      </c>
      <c r="IA111" s="418" t="n">
        <v>101</v>
      </c>
    </row>
    <row r="112" customFormat="false" ht="12.75" hidden="false" customHeight="false" outlineLevel="0" collapsed="false">
      <c r="B112" s="419" t="n">
        <f aca="false">EOMONTH(B111,0)+1</f>
        <v>39692</v>
      </c>
      <c r="C112" s="420" t="n">
        <v>2.926</v>
      </c>
      <c r="D112" s="420" t="n">
        <v>0.18</v>
      </c>
      <c r="E112" s="420" t="n">
        <v>0.070259894745952</v>
      </c>
      <c r="F112" s="420" t="n">
        <v>-0.195</v>
      </c>
      <c r="G112" s="420" t="n">
        <v>0.0175</v>
      </c>
      <c r="H112" s="420" t="n">
        <v>-0.195</v>
      </c>
      <c r="I112" s="420" t="n">
        <v>0.1275</v>
      </c>
      <c r="J112" s="420" t="n">
        <v>0.1825</v>
      </c>
      <c r="K112" s="420" t="n">
        <v>0.195</v>
      </c>
      <c r="L112" s="420" t="n">
        <v>-0.046</v>
      </c>
      <c r="M112" s="420" t="n">
        <v>-0.016</v>
      </c>
      <c r="N112" s="420" t="n">
        <v>-0.36</v>
      </c>
      <c r="O112" s="420" t="n">
        <v>-0.29</v>
      </c>
      <c r="P112" s="420" t="n">
        <v>0.0065</v>
      </c>
      <c r="Q112" s="420" t="n">
        <v>0.0045</v>
      </c>
      <c r="R112" s="418" t="n">
        <v>-0.0215</v>
      </c>
      <c r="S112" s="418" t="n">
        <v>-0.0525</v>
      </c>
      <c r="T112" s="418" t="n">
        <v>-0.185</v>
      </c>
      <c r="U112" s="418" t="n">
        <v>-0.01075</v>
      </c>
      <c r="V112" s="418" t="n">
        <v>-0.0945</v>
      </c>
      <c r="W112" s="418" t="n">
        <v>-0.12</v>
      </c>
      <c r="X112" s="418" t="n">
        <v>0.395</v>
      </c>
      <c r="Y112" s="418" t="n">
        <v>0.005</v>
      </c>
      <c r="Z112" s="418" t="n">
        <v>-0.195</v>
      </c>
      <c r="AA112" s="418" t="n">
        <v>-0.018</v>
      </c>
      <c r="AB112" s="437" t="n">
        <v>0.29</v>
      </c>
      <c r="AC112" s="437" t="n">
        <v>0.29</v>
      </c>
      <c r="AD112" s="437" t="n">
        <v>0.2225</v>
      </c>
      <c r="AE112" s="438" t="n">
        <v>0.18</v>
      </c>
      <c r="AF112" s="438" t="n">
        <v>0.18</v>
      </c>
      <c r="AG112" s="438" t="n">
        <v>0.176</v>
      </c>
      <c r="AH112" s="438" t="n">
        <v>0.18</v>
      </c>
      <c r="AI112" s="438" t="n">
        <v>0.184</v>
      </c>
      <c r="AJ112" s="438" t="n">
        <v>0.18</v>
      </c>
      <c r="AK112" s="438" t="n">
        <v>0.176</v>
      </c>
      <c r="AL112" s="438" t="n">
        <v>0.176</v>
      </c>
      <c r="AM112" s="438" t="n">
        <v>0.18</v>
      </c>
      <c r="AN112" s="438" t="n">
        <v>0.18</v>
      </c>
      <c r="AO112" s="438" t="n">
        <v>0.18</v>
      </c>
      <c r="AP112" s="439" t="n">
        <v>0.18</v>
      </c>
      <c r="AQ112" s="439" t="n">
        <v>0.18</v>
      </c>
      <c r="AR112" s="439" t="n">
        <v>0.18</v>
      </c>
      <c r="AS112" s="439" t="n">
        <v>0.18</v>
      </c>
      <c r="AT112" s="438" t="n">
        <v>0.18</v>
      </c>
      <c r="AU112" s="438" t="n">
        <v>0.18</v>
      </c>
      <c r="AV112" s="438" t="n">
        <v>0.176</v>
      </c>
      <c r="AW112" s="418" t="n">
        <v>0.069963377417392</v>
      </c>
      <c r="AX112" s="418"/>
      <c r="AY112" s="437" t="n">
        <f aca="false">AG112</f>
        <v>0.176</v>
      </c>
      <c r="AZ112" s="437" t="n">
        <f aca="false">AG112</f>
        <v>0.176</v>
      </c>
      <c r="BA112" s="441" t="n">
        <f aca="false">AG112</f>
        <v>0.176</v>
      </c>
      <c r="BB112" s="442" t="n">
        <f aca="false">B112</f>
        <v>39692</v>
      </c>
      <c r="BC112" s="442" t="n">
        <v>0.57341642248878</v>
      </c>
      <c r="BD112" s="418" t="n">
        <v>0.57352523580688</v>
      </c>
      <c r="BF112" s="455" t="n">
        <v>39692</v>
      </c>
      <c r="BG112" s="66" t="n">
        <v>100</v>
      </c>
      <c r="HZ112" s="442" t="n">
        <f aca="false">B114</f>
        <v>39753</v>
      </c>
      <c r="IA112" s="418" t="n">
        <v>102</v>
      </c>
    </row>
    <row r="113" customFormat="false" ht="12.75" hidden="false" customHeight="false" outlineLevel="0" collapsed="false">
      <c r="B113" s="419" t="n">
        <f aca="false">EOMONTH(B112,0)+1</f>
        <v>39722</v>
      </c>
      <c r="C113" s="420" t="n">
        <v>2.936</v>
      </c>
      <c r="D113" s="420" t="n">
        <v>0.18</v>
      </c>
      <c r="E113" s="420" t="n">
        <v>0.070272326482401</v>
      </c>
      <c r="F113" s="420" t="n">
        <v>-0.195</v>
      </c>
      <c r="G113" s="420" t="n">
        <v>0.0075</v>
      </c>
      <c r="H113" s="420" t="n">
        <v>-0.195</v>
      </c>
      <c r="I113" s="420" t="n">
        <v>0.1425</v>
      </c>
      <c r="J113" s="420" t="n">
        <v>0.1875</v>
      </c>
      <c r="K113" s="420" t="n">
        <v>0.215</v>
      </c>
      <c r="L113" s="420" t="n">
        <v>-0.056</v>
      </c>
      <c r="M113" s="420" t="n">
        <v>-0.016</v>
      </c>
      <c r="N113" s="420" t="n">
        <v>-0.36</v>
      </c>
      <c r="O113" s="420" t="n">
        <v>-0.29</v>
      </c>
      <c r="P113" s="420" t="n">
        <v>0.0065</v>
      </c>
      <c r="Q113" s="420" t="n">
        <v>0.0045</v>
      </c>
      <c r="R113" s="418" t="n">
        <v>-0.0215</v>
      </c>
      <c r="S113" s="418" t="n">
        <v>-0.0525</v>
      </c>
      <c r="T113" s="418" t="n">
        <v>-0.17</v>
      </c>
      <c r="U113" s="418" t="n">
        <v>-0.029</v>
      </c>
      <c r="V113" s="418" t="n">
        <v>-0.097</v>
      </c>
      <c r="W113" s="418" t="n">
        <v>-0.12</v>
      </c>
      <c r="X113" s="418" t="n">
        <v>0.461</v>
      </c>
      <c r="Y113" s="418" t="n">
        <v>0.005</v>
      </c>
      <c r="Z113" s="418" t="n">
        <v>-0.195</v>
      </c>
      <c r="AA113" s="418" t="n">
        <v>-0.018</v>
      </c>
      <c r="AB113" s="437" t="n">
        <v>0.29</v>
      </c>
      <c r="AC113" s="437" t="n">
        <v>0.3625</v>
      </c>
      <c r="AD113" s="437" t="n">
        <v>0.2375</v>
      </c>
      <c r="AE113" s="438" t="n">
        <v>0.18</v>
      </c>
      <c r="AF113" s="438" t="n">
        <v>0.18</v>
      </c>
      <c r="AG113" s="438" t="n">
        <v>0.176</v>
      </c>
      <c r="AH113" s="438" t="n">
        <v>0.18</v>
      </c>
      <c r="AI113" s="438" t="n">
        <v>0.184</v>
      </c>
      <c r="AJ113" s="438" t="n">
        <v>0.18</v>
      </c>
      <c r="AK113" s="438" t="n">
        <v>0.176</v>
      </c>
      <c r="AL113" s="438" t="n">
        <v>0.176</v>
      </c>
      <c r="AM113" s="438" t="n">
        <v>0.18</v>
      </c>
      <c r="AN113" s="438" t="n">
        <v>0.18</v>
      </c>
      <c r="AO113" s="438" t="n">
        <v>0.18</v>
      </c>
      <c r="AP113" s="439" t="n">
        <v>0.18</v>
      </c>
      <c r="AQ113" s="439" t="n">
        <v>0.18</v>
      </c>
      <c r="AR113" s="439" t="n">
        <v>0.18</v>
      </c>
      <c r="AS113" s="439" t="n">
        <v>0.18</v>
      </c>
      <c r="AT113" s="438" t="n">
        <v>0.18</v>
      </c>
      <c r="AU113" s="438" t="n">
        <v>0.18</v>
      </c>
      <c r="AV113" s="438" t="n">
        <v>0.176</v>
      </c>
      <c r="AW113" s="418" t="n">
        <v>0.069963234915698</v>
      </c>
      <c r="AX113" s="418"/>
      <c r="AY113" s="437" t="n">
        <f aca="false">AG113</f>
        <v>0.176</v>
      </c>
      <c r="AZ113" s="437" t="n">
        <f aca="false">AG113</f>
        <v>0.176</v>
      </c>
      <c r="BA113" s="441" t="n">
        <f aca="false">AG113</f>
        <v>0.176</v>
      </c>
      <c r="BB113" s="442" t="n">
        <f aca="false">B113</f>
        <v>39722</v>
      </c>
      <c r="BC113" s="442" t="n">
        <v>0.570164599458934</v>
      </c>
      <c r="BD113" s="418" t="n">
        <v>0.570272794689365</v>
      </c>
      <c r="BF113" s="455" t="n">
        <v>39722</v>
      </c>
      <c r="BG113" s="66" t="n">
        <v>101</v>
      </c>
      <c r="HZ113" s="442" t="n">
        <f aca="false">B115</f>
        <v>39783</v>
      </c>
      <c r="IA113" s="418" t="n">
        <v>103</v>
      </c>
    </row>
    <row r="114" customFormat="false" ht="12.75" hidden="false" customHeight="false" outlineLevel="0" collapsed="false">
      <c r="B114" s="419" t="n">
        <f aca="false">EOMONTH(B113,0)+1</f>
        <v>39753</v>
      </c>
      <c r="C114" s="420" t="n">
        <v>3.003</v>
      </c>
      <c r="D114" s="420" t="n">
        <v>0.18</v>
      </c>
      <c r="E114" s="420" t="n">
        <v>0.070285172610119</v>
      </c>
      <c r="F114" s="420" t="n">
        <v>-0.19</v>
      </c>
      <c r="G114" s="420" t="n">
        <v>-0.0325</v>
      </c>
      <c r="H114" s="420" t="n">
        <v>-0.19</v>
      </c>
      <c r="I114" s="420" t="n">
        <v>0.205</v>
      </c>
      <c r="J114" s="420" t="n">
        <v>0.27</v>
      </c>
      <c r="K114" s="420" t="n">
        <v>0.2875</v>
      </c>
      <c r="L114" s="420" t="n">
        <v>-0.071</v>
      </c>
      <c r="M114" s="420" t="n">
        <v>-0.0085</v>
      </c>
      <c r="N114" s="420" t="n">
        <v>-0.28</v>
      </c>
      <c r="O114" s="420" t="n">
        <v>0</v>
      </c>
      <c r="P114" s="420" t="n">
        <v>0.016</v>
      </c>
      <c r="Q114" s="420" t="n">
        <v>-0.0035</v>
      </c>
      <c r="R114" s="418" t="n">
        <v>-0.0245</v>
      </c>
      <c r="S114" s="418" t="n">
        <v>-0.0525</v>
      </c>
      <c r="T114" s="418" t="n">
        <v>-0.1325</v>
      </c>
      <c r="U114" s="418" t="n">
        <v>-0.0305</v>
      </c>
      <c r="V114" s="418" t="n">
        <v>-0.0945</v>
      </c>
      <c r="W114" s="418" t="n">
        <v>-0.1325</v>
      </c>
      <c r="X114" s="418" t="n">
        <v>0.7675</v>
      </c>
      <c r="Y114" s="418" t="n">
        <v>0.005</v>
      </c>
      <c r="Z114" s="418" t="n">
        <v>-0.19</v>
      </c>
      <c r="AA114" s="418" t="n">
        <v>-0.0195</v>
      </c>
      <c r="AB114" s="437" t="n">
        <v>0.12</v>
      </c>
      <c r="AC114" s="437" t="n">
        <v>0.465</v>
      </c>
      <c r="AD114" s="437" t="n">
        <v>0.3</v>
      </c>
      <c r="AE114" s="438" t="n">
        <v>0.18</v>
      </c>
      <c r="AF114" s="438" t="n">
        <v>0.18</v>
      </c>
      <c r="AG114" s="438" t="n">
        <v>0.198</v>
      </c>
      <c r="AH114" s="438" t="n">
        <v>0.18</v>
      </c>
      <c r="AI114" s="438" t="n">
        <v>0.184</v>
      </c>
      <c r="AJ114" s="438" t="n">
        <v>0.18</v>
      </c>
      <c r="AK114" s="438" t="n">
        <v>0.18</v>
      </c>
      <c r="AL114" s="438" t="n">
        <v>0.18</v>
      </c>
      <c r="AM114" s="438" t="n">
        <v>0.18</v>
      </c>
      <c r="AN114" s="438" t="n">
        <v>0.18</v>
      </c>
      <c r="AO114" s="438" t="n">
        <v>0.18</v>
      </c>
      <c r="AP114" s="439" t="n">
        <v>0.18</v>
      </c>
      <c r="AQ114" s="439" t="n">
        <v>0.18</v>
      </c>
      <c r="AR114" s="439" t="n">
        <v>0.18</v>
      </c>
      <c r="AS114" s="439" t="n">
        <v>0.18</v>
      </c>
      <c r="AT114" s="438" t="n">
        <v>0.18</v>
      </c>
      <c r="AU114" s="438" t="n">
        <v>0.18</v>
      </c>
      <c r="AV114" s="438" t="n">
        <v>0.198</v>
      </c>
      <c r="AW114" s="418" t="n">
        <v>0.069963087663946</v>
      </c>
      <c r="AX114" s="418"/>
      <c r="AY114" s="437" t="n">
        <f aca="false">AG114</f>
        <v>0.198</v>
      </c>
      <c r="AZ114" s="437" t="n">
        <f aca="false">AG114</f>
        <v>0.198</v>
      </c>
      <c r="BA114" s="441" t="n">
        <f aca="false">AG114</f>
        <v>0.198</v>
      </c>
      <c r="BB114" s="442" t="n">
        <f aca="false">B114</f>
        <v>39753</v>
      </c>
      <c r="BC114" s="442" t="n">
        <v>0.566823817734208</v>
      </c>
      <c r="BD114" s="418" t="n">
        <v>0.566931377974222</v>
      </c>
      <c r="BF114" s="455" t="n">
        <v>39753</v>
      </c>
      <c r="BG114" s="66" t="n">
        <v>102</v>
      </c>
      <c r="HZ114" s="442" t="n">
        <f aca="false">B116</f>
        <v>39814</v>
      </c>
      <c r="IA114" s="418" t="n">
        <v>104</v>
      </c>
    </row>
    <row r="115" customFormat="false" ht="12.75" hidden="false" customHeight="false" outlineLevel="0" collapsed="false">
      <c r="B115" s="419" t="n">
        <f aca="false">EOMONTH(B114,0)+1</f>
        <v>39783</v>
      </c>
      <c r="C115" s="420" t="n">
        <v>3.074</v>
      </c>
      <c r="D115" s="420" t="n">
        <v>0.18</v>
      </c>
      <c r="E115" s="420" t="n">
        <v>0.070297604346672</v>
      </c>
      <c r="F115" s="420" t="n">
        <v>-0.1975</v>
      </c>
      <c r="G115" s="420" t="n">
        <v>-0.055</v>
      </c>
      <c r="H115" s="420" t="n">
        <v>-0.1975</v>
      </c>
      <c r="I115" s="420" t="n">
        <v>0.245</v>
      </c>
      <c r="J115" s="420" t="n">
        <v>0.305</v>
      </c>
      <c r="K115" s="420" t="n">
        <v>0.3375</v>
      </c>
      <c r="L115" s="420" t="n">
        <v>-0.071</v>
      </c>
      <c r="M115" s="420" t="n">
        <v>-0.0085</v>
      </c>
      <c r="N115" s="420" t="n">
        <v>-0.28</v>
      </c>
      <c r="O115" s="420" t="n">
        <v>0.06</v>
      </c>
      <c r="P115" s="420" t="n">
        <v>0.016</v>
      </c>
      <c r="Q115" s="420" t="n">
        <v>-0.0035</v>
      </c>
      <c r="R115" s="418" t="n">
        <v>-0.0245</v>
      </c>
      <c r="S115" s="418" t="n">
        <v>-0.0525</v>
      </c>
      <c r="T115" s="418" t="n">
        <v>-0.125</v>
      </c>
      <c r="U115" s="418" t="n">
        <v>-0.0305</v>
      </c>
      <c r="V115" s="418" t="n">
        <v>-0.1295</v>
      </c>
      <c r="W115" s="418" t="n">
        <v>-0.1275</v>
      </c>
      <c r="X115" s="418" t="n">
        <v>1.19</v>
      </c>
      <c r="Y115" s="418" t="n">
        <v>0.005</v>
      </c>
      <c r="Z115" s="418" t="n">
        <v>-0.19</v>
      </c>
      <c r="AA115" s="418" t="n">
        <v>-0.0195</v>
      </c>
      <c r="AB115" s="437" t="n">
        <v>0.12</v>
      </c>
      <c r="AC115" s="437" t="n">
        <v>0.8</v>
      </c>
      <c r="AD115" s="437" t="n">
        <v>0.34</v>
      </c>
      <c r="AE115" s="438" t="n">
        <v>0.18</v>
      </c>
      <c r="AF115" s="438" t="n">
        <v>0.18</v>
      </c>
      <c r="AG115" s="438" t="n">
        <v>0.198</v>
      </c>
      <c r="AH115" s="438" t="n">
        <v>0.18</v>
      </c>
      <c r="AI115" s="438" t="n">
        <v>0.184</v>
      </c>
      <c r="AJ115" s="438" t="n">
        <v>0.18</v>
      </c>
      <c r="AK115" s="438" t="n">
        <v>0.18</v>
      </c>
      <c r="AL115" s="438" t="n">
        <v>0.18</v>
      </c>
      <c r="AM115" s="438" t="n">
        <v>0.18</v>
      </c>
      <c r="AN115" s="438" t="n">
        <v>0.18</v>
      </c>
      <c r="AO115" s="438" t="n">
        <v>0.18</v>
      </c>
      <c r="AP115" s="439" t="n">
        <v>0.18</v>
      </c>
      <c r="AQ115" s="439" t="n">
        <v>0.18</v>
      </c>
      <c r="AR115" s="439" t="n">
        <v>0.18</v>
      </c>
      <c r="AS115" s="439" t="n">
        <v>0.18</v>
      </c>
      <c r="AT115" s="438" t="n">
        <v>0.18</v>
      </c>
      <c r="AU115" s="438" t="n">
        <v>0.18</v>
      </c>
      <c r="AV115" s="438" t="n">
        <v>0.198</v>
      </c>
      <c r="AW115" s="418" t="n">
        <v>0.069962945162252</v>
      </c>
      <c r="AX115" s="418"/>
      <c r="AY115" s="437" t="n">
        <f aca="false">AG115</f>
        <v>0.198</v>
      </c>
      <c r="AZ115" s="437" t="n">
        <f aca="false">AG115</f>
        <v>0.198</v>
      </c>
      <c r="BA115" s="441" t="n">
        <f aca="false">AG115</f>
        <v>0.198</v>
      </c>
      <c r="BB115" s="442" t="n">
        <f aca="false">B115</f>
        <v>39783</v>
      </c>
      <c r="BC115" s="442" t="n">
        <v>0.563609503072404</v>
      </c>
      <c r="BD115" s="418" t="n">
        <v>0.563716452365678</v>
      </c>
      <c r="BF115" s="455" t="n">
        <v>39783</v>
      </c>
      <c r="BG115" s="66" t="n">
        <v>103</v>
      </c>
      <c r="HZ115" s="442" t="n">
        <f aca="false">B117</f>
        <v>39845</v>
      </c>
      <c r="IA115" s="418" t="n">
        <v>105</v>
      </c>
    </row>
    <row r="116" customFormat="false" ht="12.75" hidden="false" customHeight="false" outlineLevel="0" collapsed="false">
      <c r="B116" s="419" t="n">
        <f aca="false">EOMONTH(B115,0)+1</f>
        <v>39814</v>
      </c>
      <c r="C116" s="420" t="n">
        <v>3.359</v>
      </c>
      <c r="D116" s="420" t="n">
        <v>0.18</v>
      </c>
      <c r="E116" s="420" t="n">
        <v>0.070310450474497</v>
      </c>
      <c r="F116" s="420" t="n">
        <v>-0.2</v>
      </c>
      <c r="G116" s="420" t="n">
        <v>-0.0575</v>
      </c>
      <c r="H116" s="420" t="n">
        <v>-0.2</v>
      </c>
      <c r="I116" s="420" t="n">
        <v>0.31</v>
      </c>
      <c r="J116" s="420" t="n">
        <v>0.305</v>
      </c>
      <c r="K116" s="420" t="n">
        <v>0.4375</v>
      </c>
      <c r="L116" s="420" t="n">
        <v>-0.071</v>
      </c>
      <c r="M116" s="420" t="n">
        <v>-0.0065</v>
      </c>
      <c r="N116" s="420" t="n">
        <v>-0.28</v>
      </c>
      <c r="O116" s="420" t="n">
        <v>0.13</v>
      </c>
      <c r="P116" s="420" t="n">
        <v>0.016</v>
      </c>
      <c r="Q116" s="420" t="n">
        <v>-0.0035</v>
      </c>
      <c r="R116" s="418" t="n">
        <v>-0.02</v>
      </c>
      <c r="S116" s="418" t="n">
        <v>-0.0525</v>
      </c>
      <c r="T116" s="418" t="n">
        <v>-0.11</v>
      </c>
      <c r="U116" s="418" t="n">
        <v>-0.0305</v>
      </c>
      <c r="V116" s="418" t="n">
        <v>-0.135</v>
      </c>
      <c r="W116" s="418" t="n">
        <v>-0.1275</v>
      </c>
      <c r="X116" s="418" t="n">
        <v>1.525</v>
      </c>
      <c r="Y116" s="418" t="n">
        <v>0.005</v>
      </c>
      <c r="Z116" s="418" t="n">
        <v>-0.19</v>
      </c>
      <c r="AA116" s="418" t="n">
        <v>-0.0195</v>
      </c>
      <c r="AB116" s="437" t="n">
        <v>0.12</v>
      </c>
      <c r="AC116" s="437" t="n">
        <v>0.975</v>
      </c>
      <c r="AD116" s="437" t="n">
        <v>0.405</v>
      </c>
      <c r="AE116" s="438" t="n">
        <v>0.18</v>
      </c>
      <c r="AF116" s="438" t="n">
        <v>0.18</v>
      </c>
      <c r="AG116" s="438" t="n">
        <v>0.198</v>
      </c>
      <c r="AH116" s="438" t="n">
        <v>0.18</v>
      </c>
      <c r="AI116" s="438" t="n">
        <v>0.184</v>
      </c>
      <c r="AJ116" s="438" t="n">
        <v>0.18</v>
      </c>
      <c r="AK116" s="438" t="n">
        <v>0.18</v>
      </c>
      <c r="AL116" s="438" t="n">
        <v>0.18</v>
      </c>
      <c r="AM116" s="438" t="n">
        <v>0.18</v>
      </c>
      <c r="AN116" s="438" t="n">
        <v>0.18</v>
      </c>
      <c r="AO116" s="438" t="n">
        <v>0.18</v>
      </c>
      <c r="AP116" s="439" t="n">
        <v>0.18</v>
      </c>
      <c r="AQ116" s="439" t="n">
        <v>0.18</v>
      </c>
      <c r="AR116" s="439" t="n">
        <v>0.18</v>
      </c>
      <c r="AS116" s="439" t="n">
        <v>0.18</v>
      </c>
      <c r="AT116" s="438" t="n">
        <v>0.18</v>
      </c>
      <c r="AU116" s="438" t="n">
        <v>0.18</v>
      </c>
      <c r="AV116" s="438" t="n">
        <v>0.198</v>
      </c>
      <c r="AW116" s="418" t="n">
        <v>0.069962797910501</v>
      </c>
      <c r="AX116" s="418"/>
      <c r="AY116" s="437" t="n">
        <f aca="false">AG116</f>
        <v>0.198</v>
      </c>
      <c r="AZ116" s="437" t="n">
        <f aca="false">AG116</f>
        <v>0.198</v>
      </c>
      <c r="BA116" s="441" t="n">
        <f aca="false">AG116</f>
        <v>0.198</v>
      </c>
      <c r="BB116" s="442" t="n">
        <f aca="false">B116</f>
        <v>39814</v>
      </c>
      <c r="BC116" s="442" t="n">
        <v>0.5603072550917</v>
      </c>
      <c r="BD116" s="418" t="n">
        <v>0.56041357673063</v>
      </c>
      <c r="BF116" s="455" t="n">
        <v>39814</v>
      </c>
      <c r="BG116" s="66" t="n">
        <v>104</v>
      </c>
      <c r="HZ116" s="442" t="n">
        <f aca="false">B118</f>
        <v>39873</v>
      </c>
      <c r="IA116" s="418" t="n">
        <v>106</v>
      </c>
    </row>
    <row r="117" customFormat="false" ht="12.75" hidden="false" customHeight="false" outlineLevel="0" collapsed="false">
      <c r="B117" s="419" t="n">
        <f aca="false">EOMONTH(B116,0)+1</f>
        <v>39845</v>
      </c>
      <c r="C117" s="420" t="n">
        <v>3.241</v>
      </c>
      <c r="D117" s="420" t="n">
        <v>0.18</v>
      </c>
      <c r="E117" s="420" t="n">
        <v>0.070323296602377</v>
      </c>
      <c r="F117" s="420" t="n">
        <v>-0.2025</v>
      </c>
      <c r="G117" s="420" t="n">
        <v>-0.04</v>
      </c>
      <c r="H117" s="420" t="n">
        <v>-0.2025</v>
      </c>
      <c r="I117" s="420" t="n">
        <v>0.285</v>
      </c>
      <c r="J117" s="420" t="n">
        <v>0.305</v>
      </c>
      <c r="K117" s="420" t="n">
        <v>0.435</v>
      </c>
      <c r="L117" s="420" t="n">
        <v>-0.071</v>
      </c>
      <c r="M117" s="420" t="n">
        <v>-0.0065</v>
      </c>
      <c r="N117" s="420" t="n">
        <v>-0.28</v>
      </c>
      <c r="O117" s="420" t="n">
        <v>0</v>
      </c>
      <c r="P117" s="420" t="n">
        <v>0.016</v>
      </c>
      <c r="Q117" s="420" t="n">
        <v>-0.0035</v>
      </c>
      <c r="R117" s="418" t="n">
        <v>-0.02</v>
      </c>
      <c r="S117" s="418" t="n">
        <v>-0.0525</v>
      </c>
      <c r="T117" s="418" t="n">
        <v>-0.11</v>
      </c>
      <c r="U117" s="418" t="n">
        <v>-0.0305</v>
      </c>
      <c r="V117" s="418" t="n">
        <v>-0.1175</v>
      </c>
      <c r="W117" s="418" t="n">
        <v>-0.1275</v>
      </c>
      <c r="X117" s="418" t="n">
        <v>1.455</v>
      </c>
      <c r="Y117" s="418" t="n">
        <v>0.005</v>
      </c>
      <c r="Z117" s="418" t="n">
        <v>-0.19</v>
      </c>
      <c r="AA117" s="418" t="n">
        <v>-0.0195</v>
      </c>
      <c r="AB117" s="437" t="n">
        <v>0.12</v>
      </c>
      <c r="AC117" s="437" t="n">
        <v>0.975</v>
      </c>
      <c r="AD117" s="437" t="n">
        <v>0.38</v>
      </c>
      <c r="AE117" s="438" t="n">
        <v>0.18</v>
      </c>
      <c r="AF117" s="438" t="n">
        <v>0.18</v>
      </c>
      <c r="AG117" s="438" t="n">
        <v>0.198</v>
      </c>
      <c r="AH117" s="438" t="n">
        <v>0.18</v>
      </c>
      <c r="AI117" s="438" t="n">
        <v>0.184</v>
      </c>
      <c r="AJ117" s="438" t="n">
        <v>0.18</v>
      </c>
      <c r="AK117" s="438" t="n">
        <v>0.18</v>
      </c>
      <c r="AL117" s="438" t="n">
        <v>0.18</v>
      </c>
      <c r="AM117" s="438" t="n">
        <v>0.18</v>
      </c>
      <c r="AN117" s="438" t="n">
        <v>0.18</v>
      </c>
      <c r="AO117" s="438" t="n">
        <v>0.18</v>
      </c>
      <c r="AP117" s="439" t="n">
        <v>0.18</v>
      </c>
      <c r="AQ117" s="439" t="n">
        <v>0.18</v>
      </c>
      <c r="AR117" s="439" t="n">
        <v>0.18</v>
      </c>
      <c r="AS117" s="439" t="n">
        <v>0.18</v>
      </c>
      <c r="AT117" s="438" t="n">
        <v>0.18</v>
      </c>
      <c r="AU117" s="438" t="n">
        <v>0.18</v>
      </c>
      <c r="AV117" s="438" t="n">
        <v>0.198</v>
      </c>
      <c r="AW117" s="418" t="n">
        <v>0.06996265065875</v>
      </c>
      <c r="AX117" s="418"/>
      <c r="AY117" s="437" t="n">
        <f aca="false">AG117</f>
        <v>0.198</v>
      </c>
      <c r="AZ117" s="437" t="n">
        <f aca="false">AG117</f>
        <v>0.198</v>
      </c>
      <c r="BA117" s="441" t="n">
        <f aca="false">AG117</f>
        <v>0.198</v>
      </c>
      <c r="BB117" s="442" t="n">
        <f aca="false">B117</f>
        <v>39845</v>
      </c>
      <c r="BC117" s="442" t="n">
        <v>0.557024418627057</v>
      </c>
      <c r="BD117" s="418" t="n">
        <v>0.557130116307164</v>
      </c>
      <c r="BF117" s="455" t="n">
        <v>39845</v>
      </c>
      <c r="BG117" s="66" t="n">
        <v>105</v>
      </c>
      <c r="HZ117" s="442" t="n">
        <f aca="false">B119</f>
        <v>39904</v>
      </c>
      <c r="IA117" s="418" t="n">
        <v>107</v>
      </c>
    </row>
    <row r="118" customFormat="false" ht="12.75" hidden="false" customHeight="false" outlineLevel="0" collapsed="false">
      <c r="B118" s="419" t="n">
        <f aca="false">EOMONTH(B117,0)+1</f>
        <v>39873</v>
      </c>
      <c r="C118" s="420" t="n">
        <v>3.089</v>
      </c>
      <c r="D118" s="420" t="n">
        <v>0.17</v>
      </c>
      <c r="E118" s="420" t="n">
        <v>0.070334899556638</v>
      </c>
      <c r="F118" s="420" t="n">
        <v>-0.205</v>
      </c>
      <c r="G118" s="420" t="n">
        <v>-0.0275</v>
      </c>
      <c r="H118" s="420" t="n">
        <v>-0.205</v>
      </c>
      <c r="I118" s="420" t="n">
        <v>0.2825</v>
      </c>
      <c r="J118" s="420" t="n">
        <v>0.265</v>
      </c>
      <c r="K118" s="420" t="n">
        <v>0.3025</v>
      </c>
      <c r="L118" s="420" t="n">
        <v>-0.071</v>
      </c>
      <c r="M118" s="420" t="n">
        <v>-0.0065</v>
      </c>
      <c r="N118" s="420" t="n">
        <v>-0.28</v>
      </c>
      <c r="O118" s="420" t="n">
        <v>-0.18</v>
      </c>
      <c r="P118" s="420" t="n">
        <v>0.016</v>
      </c>
      <c r="Q118" s="420" t="n">
        <v>-0.0035</v>
      </c>
      <c r="R118" s="418" t="n">
        <v>-0.02</v>
      </c>
      <c r="S118" s="418" t="n">
        <v>-0.0525</v>
      </c>
      <c r="T118" s="418" t="n">
        <v>-0.11</v>
      </c>
      <c r="U118" s="418" t="n">
        <v>-0.012</v>
      </c>
      <c r="V118" s="418" t="n">
        <v>-0.1</v>
      </c>
      <c r="W118" s="418" t="n">
        <v>-0.1325</v>
      </c>
      <c r="X118" s="418" t="n">
        <v>0.835</v>
      </c>
      <c r="Y118" s="418" t="n">
        <v>0.005</v>
      </c>
      <c r="Z118" s="418" t="n">
        <v>-0.19</v>
      </c>
      <c r="AA118" s="418" t="n">
        <v>-0.0195</v>
      </c>
      <c r="AB118" s="437" t="n">
        <v>0.12</v>
      </c>
      <c r="AC118" s="437" t="n">
        <v>0.6075</v>
      </c>
      <c r="AD118" s="437" t="n">
        <v>0.3775</v>
      </c>
      <c r="AE118" s="438" t="n">
        <v>0.17</v>
      </c>
      <c r="AF118" s="438" t="n">
        <v>0.17</v>
      </c>
      <c r="AG118" s="438" t="n">
        <v>0.187</v>
      </c>
      <c r="AH118" s="438" t="n">
        <v>0.17</v>
      </c>
      <c r="AI118" s="438" t="n">
        <v>0.173</v>
      </c>
      <c r="AJ118" s="438" t="n">
        <v>0.17</v>
      </c>
      <c r="AK118" s="438" t="n">
        <v>0.17</v>
      </c>
      <c r="AL118" s="438" t="n">
        <v>0.17</v>
      </c>
      <c r="AM118" s="438" t="n">
        <v>0.17</v>
      </c>
      <c r="AN118" s="438" t="n">
        <v>0.17</v>
      </c>
      <c r="AO118" s="438" t="n">
        <v>0.17</v>
      </c>
      <c r="AP118" s="439" t="n">
        <v>0.17</v>
      </c>
      <c r="AQ118" s="439" t="n">
        <v>0.17</v>
      </c>
      <c r="AR118" s="439" t="n">
        <v>0.17</v>
      </c>
      <c r="AS118" s="439" t="n">
        <v>0.17</v>
      </c>
      <c r="AT118" s="438" t="n">
        <v>0.17</v>
      </c>
      <c r="AU118" s="438" t="n">
        <v>0.17</v>
      </c>
      <c r="AV118" s="438" t="n">
        <v>0.187</v>
      </c>
      <c r="AW118" s="418" t="n">
        <v>0.069962517657169</v>
      </c>
      <c r="AX118" s="418"/>
      <c r="AY118" s="437" t="n">
        <f aca="false">AG118</f>
        <v>0.187</v>
      </c>
      <c r="AZ118" s="437" t="n">
        <f aca="false">AG118</f>
        <v>0.187</v>
      </c>
      <c r="BA118" s="441" t="n">
        <f aca="false">AG118</f>
        <v>0.187</v>
      </c>
      <c r="BB118" s="442" t="n">
        <f aca="false">B118</f>
        <v>39873</v>
      </c>
      <c r="BC118" s="442" t="n">
        <v>0.554075865391967</v>
      </c>
      <c r="BD118" s="418" t="n">
        <v>0.554181002654583</v>
      </c>
      <c r="BF118" s="455" t="n">
        <v>39873</v>
      </c>
      <c r="BG118" s="66" t="n">
        <v>106</v>
      </c>
      <c r="HZ118" s="442" t="n">
        <f aca="false">B120</f>
        <v>39934</v>
      </c>
      <c r="IA118" s="418" t="n">
        <v>108</v>
      </c>
    </row>
    <row r="119" customFormat="false" ht="12.75" hidden="false" customHeight="false" outlineLevel="0" collapsed="false">
      <c r="A119" s="473"/>
      <c r="B119" s="419" t="n">
        <f aca="false">EOMONTH(B118,0)+1</f>
        <v>39904</v>
      </c>
      <c r="C119" s="420" t="n">
        <v>2.929</v>
      </c>
      <c r="D119" s="420" t="n">
        <v>0.17</v>
      </c>
      <c r="E119" s="420" t="n">
        <v>0.070347745684622</v>
      </c>
      <c r="F119" s="420" t="n">
        <v>-0.195</v>
      </c>
      <c r="G119" s="420" t="n">
        <v>0.015</v>
      </c>
      <c r="H119" s="420" t="n">
        <v>-0.195</v>
      </c>
      <c r="I119" s="420" t="n">
        <v>0.1875</v>
      </c>
      <c r="J119" s="420" t="n">
        <v>0.195</v>
      </c>
      <c r="K119" s="420" t="n">
        <v>0.25</v>
      </c>
      <c r="L119" s="420" t="n">
        <v>-0.064</v>
      </c>
      <c r="M119" s="420" t="n">
        <v>-0.014</v>
      </c>
      <c r="N119" s="420" t="n">
        <v>-0.36</v>
      </c>
      <c r="O119" s="420" t="n">
        <v>-0.29</v>
      </c>
      <c r="P119" s="420" t="n">
        <v>0.0065</v>
      </c>
      <c r="Q119" s="420" t="n">
        <v>0.0065</v>
      </c>
      <c r="R119" s="418" t="n">
        <v>-0.0195</v>
      </c>
      <c r="S119" s="418" t="n">
        <v>-0.05</v>
      </c>
      <c r="T119" s="418" t="n">
        <v>-0.155</v>
      </c>
      <c r="U119" s="418" t="n">
        <v>-0.012</v>
      </c>
      <c r="V119" s="418" t="n">
        <v>-0.0925</v>
      </c>
      <c r="W119" s="418" t="n">
        <v>-0.12</v>
      </c>
      <c r="X119" s="418" t="n">
        <v>0.45</v>
      </c>
      <c r="Y119" s="418" t="n">
        <v>0.005</v>
      </c>
      <c r="Z119" s="418" t="n">
        <v>-0.195</v>
      </c>
      <c r="AA119" s="418" t="n">
        <v>-0.017</v>
      </c>
      <c r="AB119" s="437" t="n">
        <v>0.29</v>
      </c>
      <c r="AC119" s="437" t="n">
        <v>0.355</v>
      </c>
      <c r="AD119" s="437" t="n">
        <v>0.2825</v>
      </c>
      <c r="AE119" s="438" t="n">
        <v>0.17</v>
      </c>
      <c r="AF119" s="438" t="n">
        <v>0.17</v>
      </c>
      <c r="AG119" s="438" t="n">
        <v>0.167</v>
      </c>
      <c r="AH119" s="438" t="n">
        <v>0.17</v>
      </c>
      <c r="AI119" s="438" t="n">
        <v>0.173</v>
      </c>
      <c r="AJ119" s="438" t="n">
        <v>0.17</v>
      </c>
      <c r="AK119" s="438" t="n">
        <v>0.167</v>
      </c>
      <c r="AL119" s="438" t="n">
        <v>0.167</v>
      </c>
      <c r="AM119" s="438" t="n">
        <v>0.17</v>
      </c>
      <c r="AN119" s="438" t="n">
        <v>0.17</v>
      </c>
      <c r="AO119" s="438" t="n">
        <v>0.17</v>
      </c>
      <c r="AP119" s="439" t="n">
        <v>0.17</v>
      </c>
      <c r="AQ119" s="439" t="n">
        <v>0.17</v>
      </c>
      <c r="AR119" s="439" t="n">
        <v>0.17</v>
      </c>
      <c r="AS119" s="439" t="n">
        <v>0.17</v>
      </c>
      <c r="AT119" s="438" t="n">
        <v>0.17</v>
      </c>
      <c r="AU119" s="438" t="n">
        <v>0.17</v>
      </c>
      <c r="AV119" s="438" t="n">
        <v>0.167</v>
      </c>
      <c r="AW119" s="418" t="n">
        <v>0.069962370405418</v>
      </c>
      <c r="AX119" s="418"/>
      <c r="AY119" s="437" t="n">
        <f aca="false">AG119</f>
        <v>0.167</v>
      </c>
      <c r="AZ119" s="437" t="n">
        <f aca="false">AG119</f>
        <v>0.167</v>
      </c>
      <c r="BA119" s="441" t="n">
        <f aca="false">AG119</f>
        <v>0.167</v>
      </c>
      <c r="BB119" s="442" t="n">
        <f aca="false">B119</f>
        <v>39904</v>
      </c>
      <c r="BC119" s="442" t="n">
        <v>0.550829657721446</v>
      </c>
      <c r="BD119" s="418" t="n">
        <v>0.55093417799845</v>
      </c>
      <c r="BF119" s="455" t="n">
        <v>39904</v>
      </c>
      <c r="BG119" s="66" t="n">
        <v>107</v>
      </c>
      <c r="HZ119" s="442" t="n">
        <f aca="false">B121</f>
        <v>39965</v>
      </c>
      <c r="IA119" s="418" t="n">
        <v>109</v>
      </c>
    </row>
    <row r="120" customFormat="false" ht="12.75" hidden="false" customHeight="false" outlineLevel="0" collapsed="false">
      <c r="A120" s="470"/>
      <c r="B120" s="419" t="n">
        <f aca="false">EOMONTH(B119,0)+1</f>
        <v>39934</v>
      </c>
      <c r="C120" s="420" t="n">
        <v>2.923</v>
      </c>
      <c r="D120" s="420" t="n">
        <v>0.17</v>
      </c>
      <c r="E120" s="420" t="n">
        <v>0.070360177421433</v>
      </c>
      <c r="F120" s="420" t="n">
        <v>-0.195</v>
      </c>
      <c r="G120" s="420" t="n">
        <v>0.015</v>
      </c>
      <c r="H120" s="420" t="n">
        <v>-0.195</v>
      </c>
      <c r="I120" s="420" t="n">
        <v>0.1975</v>
      </c>
      <c r="J120" s="420" t="n">
        <v>0.1825</v>
      </c>
      <c r="K120" s="420" t="n">
        <v>0.2025</v>
      </c>
      <c r="L120" s="420" t="n">
        <v>-0.064</v>
      </c>
      <c r="M120" s="420" t="n">
        <v>-0.014</v>
      </c>
      <c r="N120" s="420" t="n">
        <v>-0.36</v>
      </c>
      <c r="O120" s="420" t="n">
        <v>-0.29</v>
      </c>
      <c r="P120" s="420" t="n">
        <v>0.0065</v>
      </c>
      <c r="Q120" s="435" t="n">
        <v>0.0065</v>
      </c>
      <c r="R120" s="418" t="n">
        <v>-0.0195</v>
      </c>
      <c r="S120" s="418" t="n">
        <v>-0.05</v>
      </c>
      <c r="T120" s="418" t="n">
        <v>-0.17</v>
      </c>
      <c r="U120" s="418" t="n">
        <v>-0.01225</v>
      </c>
      <c r="V120" s="418" t="n">
        <v>-0.0925</v>
      </c>
      <c r="W120" s="418" t="n">
        <v>-0.12</v>
      </c>
      <c r="X120" s="418" t="n">
        <v>0.405</v>
      </c>
      <c r="Y120" s="418" t="n">
        <v>0.005</v>
      </c>
      <c r="Z120" s="418" t="n">
        <v>-0.195</v>
      </c>
      <c r="AA120" s="418" t="n">
        <v>-0.017</v>
      </c>
      <c r="AB120" s="437" t="n">
        <v>0.29</v>
      </c>
      <c r="AC120" s="437" t="n">
        <v>0.2875</v>
      </c>
      <c r="AD120" s="437" t="n">
        <v>0.2925</v>
      </c>
      <c r="AE120" s="438" t="n">
        <v>0.17</v>
      </c>
      <c r="AF120" s="438" t="n">
        <v>0.17</v>
      </c>
      <c r="AG120" s="438" t="n">
        <v>0.167</v>
      </c>
      <c r="AH120" s="438" t="n">
        <v>0.17</v>
      </c>
      <c r="AI120" s="438" t="n">
        <v>0.173</v>
      </c>
      <c r="AJ120" s="438" t="n">
        <v>0.17</v>
      </c>
      <c r="AK120" s="438" t="n">
        <v>0.167</v>
      </c>
      <c r="AL120" s="438" t="n">
        <v>0.167</v>
      </c>
      <c r="AM120" s="438" t="n">
        <v>0.17</v>
      </c>
      <c r="AN120" s="438" t="n">
        <v>0.17</v>
      </c>
      <c r="AO120" s="438" t="n">
        <v>0.17</v>
      </c>
      <c r="AP120" s="439" t="n">
        <v>0.17</v>
      </c>
      <c r="AQ120" s="439" t="n">
        <v>0.17</v>
      </c>
      <c r="AR120" s="439" t="n">
        <v>0.17</v>
      </c>
      <c r="AS120" s="439" t="n">
        <v>0.17</v>
      </c>
      <c r="AT120" s="438" t="n">
        <v>0.17</v>
      </c>
      <c r="AU120" s="438" t="n">
        <v>0.17</v>
      </c>
      <c r="AV120" s="438" t="n">
        <v>0.167</v>
      </c>
      <c r="AW120" s="418" t="n">
        <v>0.069962227903724</v>
      </c>
      <c r="AX120" s="418"/>
      <c r="AY120" s="437" t="n">
        <f aca="false">AG120</f>
        <v>0.167</v>
      </c>
      <c r="AZ120" s="437" t="n">
        <f aca="false">AG120</f>
        <v>0.167</v>
      </c>
      <c r="BA120" s="441" t="n">
        <f aca="false">AG120</f>
        <v>0.167</v>
      </c>
      <c r="BB120" s="442" t="n">
        <f aca="false">B120</f>
        <v>39934</v>
      </c>
      <c r="BC120" s="442" t="n">
        <v>0.54770633526776</v>
      </c>
      <c r="BD120" s="418" t="n">
        <v>0.547810261920761</v>
      </c>
      <c r="BF120" s="455" t="n">
        <v>39934</v>
      </c>
      <c r="BG120" s="66" t="n">
        <v>108</v>
      </c>
      <c r="HZ120" s="442" t="n">
        <f aca="false">B122</f>
        <v>39995</v>
      </c>
      <c r="IA120" s="418" t="n">
        <v>110</v>
      </c>
    </row>
    <row r="121" customFormat="false" ht="12.75" hidden="false" customHeight="false" outlineLevel="0" collapsed="false">
      <c r="A121" s="470"/>
      <c r="B121" s="419" t="n">
        <f aca="false">EOMONTH(B120,0)+1</f>
        <v>39965</v>
      </c>
      <c r="C121" s="420" t="n">
        <v>2.949</v>
      </c>
      <c r="D121" s="420" t="n">
        <v>0.17</v>
      </c>
      <c r="E121" s="420" t="n">
        <v>0.070373023549524</v>
      </c>
      <c r="F121" s="420" t="n">
        <v>-0.195</v>
      </c>
      <c r="G121" s="420" t="n">
        <v>0.02</v>
      </c>
      <c r="H121" s="420" t="n">
        <v>-0.195</v>
      </c>
      <c r="I121" s="420" t="n">
        <v>0.1925</v>
      </c>
      <c r="J121" s="420" t="n">
        <v>0.1825</v>
      </c>
      <c r="K121" s="420" t="n">
        <v>0.2025</v>
      </c>
      <c r="L121" s="420" t="n">
        <v>-0.08</v>
      </c>
      <c r="M121" s="420" t="n">
        <v>-0.014</v>
      </c>
      <c r="N121" s="420" t="n">
        <v>-0.36</v>
      </c>
      <c r="O121" s="420" t="n">
        <v>-0.29</v>
      </c>
      <c r="P121" s="420" t="n">
        <v>0.0065</v>
      </c>
      <c r="Q121" s="435" t="n">
        <v>0.0065</v>
      </c>
      <c r="R121" s="418" t="n">
        <v>-0.0195</v>
      </c>
      <c r="S121" s="418" t="n">
        <v>-0.05</v>
      </c>
      <c r="T121" s="418" t="n">
        <v>-0.18</v>
      </c>
      <c r="U121" s="418" t="n">
        <v>-0.01225</v>
      </c>
      <c r="V121" s="418" t="n">
        <v>-0.0825</v>
      </c>
      <c r="W121" s="418" t="n">
        <v>-0.12</v>
      </c>
      <c r="X121" s="418" t="n">
        <v>0.395</v>
      </c>
      <c r="Y121" s="418" t="n">
        <v>0.005</v>
      </c>
      <c r="Z121" s="418" t="n">
        <v>-0.195</v>
      </c>
      <c r="AA121" s="418" t="n">
        <v>-0.017</v>
      </c>
      <c r="AB121" s="437" t="n">
        <v>0.29</v>
      </c>
      <c r="AC121" s="437" t="n">
        <v>0.2875</v>
      </c>
      <c r="AD121" s="437" t="n">
        <v>0.2875</v>
      </c>
      <c r="AE121" s="438" t="n">
        <v>0.17</v>
      </c>
      <c r="AF121" s="438" t="n">
        <v>0.17</v>
      </c>
      <c r="AG121" s="438" t="n">
        <v>0.167</v>
      </c>
      <c r="AH121" s="438" t="n">
        <v>0.17</v>
      </c>
      <c r="AI121" s="438" t="n">
        <v>0.173</v>
      </c>
      <c r="AJ121" s="438" t="n">
        <v>0.17</v>
      </c>
      <c r="AK121" s="438" t="n">
        <v>0.167</v>
      </c>
      <c r="AL121" s="438" t="n">
        <v>0.167</v>
      </c>
      <c r="AM121" s="438" t="n">
        <v>0.17</v>
      </c>
      <c r="AN121" s="438" t="n">
        <v>0.17</v>
      </c>
      <c r="AO121" s="438" t="n">
        <v>0.17</v>
      </c>
      <c r="AP121" s="439" t="n">
        <v>0.17</v>
      </c>
      <c r="AQ121" s="439" t="n">
        <v>0.17</v>
      </c>
      <c r="AR121" s="439" t="n">
        <v>0.17</v>
      </c>
      <c r="AS121" s="439" t="n">
        <v>0.17</v>
      </c>
      <c r="AT121" s="438" t="n">
        <v>0.17</v>
      </c>
      <c r="AU121" s="438" t="n">
        <v>0.17</v>
      </c>
      <c r="AV121" s="438" t="n">
        <v>0.167</v>
      </c>
      <c r="AW121" s="418" t="n">
        <v>0.069962080651973</v>
      </c>
      <c r="AX121" s="418"/>
      <c r="AY121" s="437" t="n">
        <f aca="false">AG121</f>
        <v>0.167</v>
      </c>
      <c r="AZ121" s="437" t="n">
        <f aca="false">AG121</f>
        <v>0.167</v>
      </c>
      <c r="BA121" s="441" t="n">
        <f aca="false">AG121</f>
        <v>0.167</v>
      </c>
      <c r="BB121" s="442" t="n">
        <f aca="false">B121</f>
        <v>39965</v>
      </c>
      <c r="BC121" s="442" t="n">
        <v>0.544497567008152</v>
      </c>
      <c r="BD121" s="418" t="n">
        <v>0.544600883802942</v>
      </c>
      <c r="BF121" s="455" t="n">
        <v>39965</v>
      </c>
      <c r="BG121" s="66" t="n">
        <v>109</v>
      </c>
      <c r="HZ121" s="442" t="n">
        <f aca="false">B123</f>
        <v>40026</v>
      </c>
      <c r="IA121" s="418" t="n">
        <v>111</v>
      </c>
    </row>
    <row r="122" customFormat="false" ht="12.75" hidden="false" customHeight="false" outlineLevel="0" collapsed="false">
      <c r="A122" s="470"/>
      <c r="B122" s="419" t="n">
        <f aca="false">EOMONTH(B121,0)+1</f>
        <v>39995</v>
      </c>
      <c r="C122" s="420" t="n">
        <v>2.971</v>
      </c>
      <c r="D122" s="420" t="n">
        <v>0.17</v>
      </c>
      <c r="E122" s="420" t="n">
        <v>0.070385455286438</v>
      </c>
      <c r="F122" s="420" t="n">
        <v>-0.195</v>
      </c>
      <c r="G122" s="420" t="n">
        <v>0.0225</v>
      </c>
      <c r="H122" s="420" t="n">
        <v>-0.195</v>
      </c>
      <c r="I122" s="420" t="n">
        <v>0.1825</v>
      </c>
      <c r="J122" s="420" t="n">
        <v>0.1825</v>
      </c>
      <c r="K122" s="420" t="n">
        <v>0.215</v>
      </c>
      <c r="L122" s="420" t="n">
        <v>-0.073</v>
      </c>
      <c r="M122" s="420" t="n">
        <v>-0.014</v>
      </c>
      <c r="N122" s="420" t="n">
        <v>-0.36</v>
      </c>
      <c r="O122" s="420" t="n">
        <v>-0.29</v>
      </c>
      <c r="P122" s="420" t="n">
        <v>0.0065</v>
      </c>
      <c r="Q122" s="435" t="n">
        <v>0.0065</v>
      </c>
      <c r="R122" s="418" t="n">
        <v>-0.0195</v>
      </c>
      <c r="S122" s="418" t="n">
        <v>-0.05</v>
      </c>
      <c r="T122" s="418" t="n">
        <v>-0.18</v>
      </c>
      <c r="U122" s="418" t="n">
        <v>-0.01225</v>
      </c>
      <c r="V122" s="418" t="n">
        <v>-0.0775</v>
      </c>
      <c r="W122" s="418" t="n">
        <v>-0.12</v>
      </c>
      <c r="X122" s="418" t="n">
        <v>0.43</v>
      </c>
      <c r="Y122" s="418" t="n">
        <v>0.005</v>
      </c>
      <c r="Z122" s="418" t="n">
        <v>-0.195</v>
      </c>
      <c r="AA122" s="418" t="n">
        <v>-0.017</v>
      </c>
      <c r="AB122" s="437" t="n">
        <v>0.29</v>
      </c>
      <c r="AC122" s="437" t="n">
        <v>0.3</v>
      </c>
      <c r="AD122" s="437" t="n">
        <v>0.2775</v>
      </c>
      <c r="AE122" s="438" t="n">
        <v>0.17</v>
      </c>
      <c r="AF122" s="438" t="n">
        <v>0.17</v>
      </c>
      <c r="AG122" s="438" t="n">
        <v>0.167</v>
      </c>
      <c r="AH122" s="438" t="n">
        <v>0.17</v>
      </c>
      <c r="AI122" s="438" t="n">
        <v>0.173</v>
      </c>
      <c r="AJ122" s="438" t="n">
        <v>0.17</v>
      </c>
      <c r="AK122" s="438" t="n">
        <v>0.167</v>
      </c>
      <c r="AL122" s="438" t="n">
        <v>0.167</v>
      </c>
      <c r="AM122" s="438" t="n">
        <v>0.17</v>
      </c>
      <c r="AN122" s="438" t="n">
        <v>0.17</v>
      </c>
      <c r="AO122" s="438" t="n">
        <v>0.17</v>
      </c>
      <c r="AP122" s="439" t="n">
        <v>0.17</v>
      </c>
      <c r="AQ122" s="439" t="n">
        <v>0.17</v>
      </c>
      <c r="AR122" s="439" t="n">
        <v>0.17</v>
      </c>
      <c r="AS122" s="439" t="n">
        <v>0.17</v>
      </c>
      <c r="AT122" s="438" t="n">
        <v>0.17</v>
      </c>
      <c r="AU122" s="438" t="n">
        <v>0.17</v>
      </c>
      <c r="AV122" s="438" t="n">
        <v>0.167</v>
      </c>
      <c r="AW122" s="418" t="n">
        <v>0.069961938150278</v>
      </c>
      <c r="AX122" s="418"/>
      <c r="AY122" s="437" t="n">
        <f aca="false">AG122</f>
        <v>0.167</v>
      </c>
      <c r="AZ122" s="437" t="n">
        <f aca="false">AG122</f>
        <v>0.167</v>
      </c>
      <c r="BA122" s="441" t="n">
        <f aca="false">AG122</f>
        <v>0.167</v>
      </c>
      <c r="BB122" s="442" t="n">
        <f aca="false">B122</f>
        <v>39995</v>
      </c>
      <c r="BC122" s="442" t="n">
        <v>0.541410266019291</v>
      </c>
      <c r="BD122" s="418" t="n">
        <v>0.541512996047479</v>
      </c>
      <c r="BF122" s="455" t="n">
        <v>39995</v>
      </c>
      <c r="BG122" s="66" t="n">
        <v>110</v>
      </c>
      <c r="HZ122" s="442" t="n">
        <f aca="false">B124</f>
        <v>40057</v>
      </c>
      <c r="IA122" s="418" t="n">
        <v>112</v>
      </c>
    </row>
    <row r="123" customFormat="false" ht="12.75" hidden="false" customHeight="false" outlineLevel="0" collapsed="false">
      <c r="A123" s="470"/>
      <c r="B123" s="419" t="n">
        <f aca="false">EOMONTH(B122,0)+1</f>
        <v>40026</v>
      </c>
      <c r="C123" s="420" t="n">
        <v>2.992</v>
      </c>
      <c r="D123" s="420" t="n">
        <v>0.17</v>
      </c>
      <c r="E123" s="420" t="n">
        <v>0.070398301414636</v>
      </c>
      <c r="F123" s="420" t="n">
        <v>-0.195</v>
      </c>
      <c r="G123" s="420" t="n">
        <v>0.025</v>
      </c>
      <c r="H123" s="420" t="n">
        <v>-0.195</v>
      </c>
      <c r="I123" s="420" t="n">
        <v>0.18</v>
      </c>
      <c r="J123" s="420" t="n">
        <v>0.1825</v>
      </c>
      <c r="K123" s="420" t="n">
        <v>0.215</v>
      </c>
      <c r="L123" s="420" t="n">
        <v>-0.064</v>
      </c>
      <c r="M123" s="420" t="n">
        <v>-0.014</v>
      </c>
      <c r="N123" s="420" t="n">
        <v>-0.36</v>
      </c>
      <c r="O123" s="420" t="n">
        <v>-0.29</v>
      </c>
      <c r="P123" s="420" t="n">
        <v>0.0065</v>
      </c>
      <c r="Q123" s="435" t="n">
        <v>0.0065</v>
      </c>
      <c r="R123" s="418" t="n">
        <v>-0.0195</v>
      </c>
      <c r="S123" s="418" t="n">
        <v>-0.05</v>
      </c>
      <c r="T123" s="418" t="n">
        <v>-0.18</v>
      </c>
      <c r="U123" s="418" t="n">
        <v>-0.01225</v>
      </c>
      <c r="V123" s="418" t="n">
        <v>-0.0775</v>
      </c>
      <c r="W123" s="418" t="n">
        <v>-0.12</v>
      </c>
      <c r="X123" s="418" t="n">
        <v>0.495</v>
      </c>
      <c r="Y123" s="418" t="n">
        <v>0.005</v>
      </c>
      <c r="Z123" s="418" t="n">
        <v>-0.195</v>
      </c>
      <c r="AA123" s="418" t="n">
        <v>-0.017</v>
      </c>
      <c r="AB123" s="437" t="n">
        <v>0.29</v>
      </c>
      <c r="AC123" s="437" t="n">
        <v>0.3</v>
      </c>
      <c r="AD123" s="437" t="n">
        <v>0.275</v>
      </c>
      <c r="AE123" s="438" t="n">
        <v>0.17</v>
      </c>
      <c r="AF123" s="438" t="n">
        <v>0.17</v>
      </c>
      <c r="AG123" s="438" t="n">
        <v>0.167</v>
      </c>
      <c r="AH123" s="438" t="n">
        <v>0.17</v>
      </c>
      <c r="AI123" s="438" t="n">
        <v>0.173</v>
      </c>
      <c r="AJ123" s="438" t="n">
        <v>0.17</v>
      </c>
      <c r="AK123" s="438" t="n">
        <v>0.167</v>
      </c>
      <c r="AL123" s="438" t="n">
        <v>0.167</v>
      </c>
      <c r="AM123" s="438" t="n">
        <v>0.17</v>
      </c>
      <c r="AN123" s="438" t="n">
        <v>0.17</v>
      </c>
      <c r="AO123" s="438" t="n">
        <v>0.17</v>
      </c>
      <c r="AP123" s="439" t="n">
        <v>0.17</v>
      </c>
      <c r="AQ123" s="439" t="n">
        <v>0.17</v>
      </c>
      <c r="AR123" s="439" t="n">
        <v>0.17</v>
      </c>
      <c r="AS123" s="439" t="n">
        <v>0.17</v>
      </c>
      <c r="AT123" s="438" t="n">
        <v>0.17</v>
      </c>
      <c r="AU123" s="438" t="n">
        <v>0.17</v>
      </c>
      <c r="AV123" s="438" t="n">
        <v>0.167</v>
      </c>
      <c r="AW123" s="418" t="n">
        <v>0.069961790898527</v>
      </c>
      <c r="AX123" s="418"/>
      <c r="AY123" s="437" t="n">
        <f aca="false">AG123</f>
        <v>0.167</v>
      </c>
      <c r="AZ123" s="437" t="n">
        <f aca="false">AG123</f>
        <v>0.167</v>
      </c>
      <c r="BA123" s="441" t="n">
        <f aca="false">AG123</f>
        <v>0.167</v>
      </c>
      <c r="BB123" s="442" t="n">
        <f aca="false">B123</f>
        <v>40026</v>
      </c>
      <c r="BC123" s="442" t="n">
        <v>0.53823850398074</v>
      </c>
      <c r="BD123" s="418" t="n">
        <v>0.538340631195518</v>
      </c>
      <c r="BF123" s="455" t="n">
        <v>40026</v>
      </c>
      <c r="BG123" s="66" t="n">
        <v>111</v>
      </c>
      <c r="HZ123" s="442" t="n">
        <f aca="false">B125</f>
        <v>40087</v>
      </c>
      <c r="IA123" s="418" t="n">
        <v>113</v>
      </c>
    </row>
    <row r="124" customFormat="false" ht="12.75" hidden="false" customHeight="false" outlineLevel="0" collapsed="false">
      <c r="A124" s="470"/>
      <c r="B124" s="419" t="n">
        <f aca="false">EOMONTH(B123,0)+1</f>
        <v>40057</v>
      </c>
      <c r="C124" s="420" t="n">
        <v>2.969</v>
      </c>
      <c r="D124" s="420" t="n">
        <v>0.17</v>
      </c>
      <c r="E124" s="420" t="n">
        <v>0.07041114754289</v>
      </c>
      <c r="F124" s="420" t="n">
        <v>-0.195</v>
      </c>
      <c r="G124" s="420" t="n">
        <v>0.0175</v>
      </c>
      <c r="H124" s="420" t="n">
        <v>-0.195</v>
      </c>
      <c r="I124" s="420" t="n">
        <v>0.1775</v>
      </c>
      <c r="J124" s="420" t="n">
        <v>0.1825</v>
      </c>
      <c r="K124" s="420" t="n">
        <v>0.195</v>
      </c>
      <c r="L124" s="420" t="n">
        <v>-0.044</v>
      </c>
      <c r="M124" s="420" t="n">
        <v>-0.014</v>
      </c>
      <c r="N124" s="420" t="n">
        <v>-0.36</v>
      </c>
      <c r="O124" s="420" t="n">
        <v>-0.29</v>
      </c>
      <c r="P124" s="420" t="n">
        <v>0.0065</v>
      </c>
      <c r="Q124" s="435" t="n">
        <v>0.0065</v>
      </c>
      <c r="R124" s="418" t="n">
        <v>-0.0195</v>
      </c>
      <c r="S124" s="418" t="n">
        <v>-0.05</v>
      </c>
      <c r="T124" s="418" t="n">
        <v>-0.17</v>
      </c>
      <c r="U124" s="418" t="n">
        <v>-0.01225</v>
      </c>
      <c r="V124" s="418" t="n">
        <v>-0.0925</v>
      </c>
      <c r="W124" s="418" t="n">
        <v>-0.12</v>
      </c>
      <c r="X124" s="418" t="n">
        <v>0.395</v>
      </c>
      <c r="Y124" s="418" t="n">
        <v>0.005</v>
      </c>
      <c r="Z124" s="418" t="n">
        <v>-0.195</v>
      </c>
      <c r="AA124" s="418" t="n">
        <v>-0.017</v>
      </c>
      <c r="AB124" s="437" t="n">
        <v>0.29</v>
      </c>
      <c r="AC124" s="437" t="n">
        <v>0.29</v>
      </c>
      <c r="AD124" s="437" t="n">
        <v>0.2725</v>
      </c>
      <c r="AE124" s="438" t="n">
        <v>0.17</v>
      </c>
      <c r="AF124" s="438" t="n">
        <v>0.17</v>
      </c>
      <c r="AG124" s="438" t="n">
        <v>0.167</v>
      </c>
      <c r="AH124" s="438" t="n">
        <v>0.17</v>
      </c>
      <c r="AI124" s="438" t="n">
        <v>0.173</v>
      </c>
      <c r="AJ124" s="438" t="n">
        <v>0.17</v>
      </c>
      <c r="AK124" s="438" t="n">
        <v>0.167</v>
      </c>
      <c r="AL124" s="438" t="n">
        <v>0.167</v>
      </c>
      <c r="AM124" s="438" t="n">
        <v>0.17</v>
      </c>
      <c r="AN124" s="438" t="n">
        <v>0.17</v>
      </c>
      <c r="AO124" s="438" t="n">
        <v>0.17</v>
      </c>
      <c r="AP124" s="439" t="n">
        <v>0.17</v>
      </c>
      <c r="AQ124" s="439" t="n">
        <v>0.17</v>
      </c>
      <c r="AR124" s="439" t="n">
        <v>0.17</v>
      </c>
      <c r="AS124" s="439" t="n">
        <v>0.17</v>
      </c>
      <c r="AT124" s="438" t="n">
        <v>0.17</v>
      </c>
      <c r="AU124" s="438" t="n">
        <v>0.17</v>
      </c>
      <c r="AV124" s="438" t="n">
        <v>0.167</v>
      </c>
      <c r="AW124" s="418" t="n">
        <v>0.069961643646776</v>
      </c>
      <c r="AX124" s="418"/>
      <c r="AY124" s="437" t="n">
        <f aca="false">AG124</f>
        <v>0.167</v>
      </c>
      <c r="AZ124" s="437" t="n">
        <f aca="false">AG124</f>
        <v>0.167</v>
      </c>
      <c r="BA124" s="441" t="n">
        <f aca="false">AG124</f>
        <v>0.167</v>
      </c>
      <c r="BB124" s="442" t="n">
        <f aca="false">B124</f>
        <v>40057</v>
      </c>
      <c r="BC124" s="442" t="n">
        <v>0.535085383984275</v>
      </c>
      <c r="BD124" s="418" t="n">
        <v>0.535186911934443</v>
      </c>
      <c r="BF124" s="455" t="n">
        <v>40057</v>
      </c>
      <c r="BG124" s="66" t="n">
        <v>112</v>
      </c>
      <c r="HZ124" s="442" t="n">
        <f aca="false">B126</f>
        <v>40118</v>
      </c>
      <c r="IA124" s="418" t="n">
        <v>114</v>
      </c>
    </row>
    <row r="125" customFormat="false" ht="12.75" hidden="false" customHeight="false" outlineLevel="0" collapsed="false">
      <c r="A125" s="470"/>
      <c r="B125" s="419" t="n">
        <f aca="false">EOMONTH(B124,0)+1</f>
        <v>40087</v>
      </c>
      <c r="C125" s="420" t="n">
        <v>2.978</v>
      </c>
      <c r="D125" s="420" t="n">
        <v>0.17</v>
      </c>
      <c r="E125" s="420" t="n">
        <v>0.070423579279961</v>
      </c>
      <c r="F125" s="420" t="n">
        <v>-0.195</v>
      </c>
      <c r="G125" s="420" t="n">
        <v>0.0075</v>
      </c>
      <c r="H125" s="420" t="n">
        <v>-0.195</v>
      </c>
      <c r="I125" s="420" t="n">
        <v>0.1925</v>
      </c>
      <c r="J125" s="420" t="n">
        <v>0.1875</v>
      </c>
      <c r="K125" s="420" t="n">
        <v>0.215</v>
      </c>
      <c r="L125" s="420" t="n">
        <v>-0.054</v>
      </c>
      <c r="M125" s="420" t="n">
        <v>-0.014</v>
      </c>
      <c r="N125" s="420" t="n">
        <v>-0.36</v>
      </c>
      <c r="O125" s="420" t="n">
        <v>-0.29</v>
      </c>
      <c r="P125" s="420" t="n">
        <v>0.0065</v>
      </c>
      <c r="Q125" s="435" t="n">
        <v>0.0065</v>
      </c>
      <c r="R125" s="418" t="n">
        <v>-0.0195</v>
      </c>
      <c r="S125" s="418" t="n">
        <v>-0.05</v>
      </c>
      <c r="T125" s="418" t="n">
        <v>-0.155</v>
      </c>
      <c r="U125" s="418" t="n">
        <v>-0.0305</v>
      </c>
      <c r="V125" s="418" t="n">
        <v>-0.095</v>
      </c>
      <c r="W125" s="418" t="n">
        <v>-0.12</v>
      </c>
      <c r="X125" s="418" t="n">
        <v>0.461</v>
      </c>
      <c r="Y125" s="418" t="n">
        <v>0.005</v>
      </c>
      <c r="Z125" s="418" t="n">
        <v>-0.195</v>
      </c>
      <c r="AA125" s="418" t="n">
        <v>-0.017</v>
      </c>
      <c r="AB125" s="437" t="n">
        <v>0.29</v>
      </c>
      <c r="AC125" s="437" t="n">
        <v>0.3625</v>
      </c>
      <c r="AD125" s="437" t="n">
        <v>0.2875</v>
      </c>
      <c r="AE125" s="438" t="n">
        <v>0.17</v>
      </c>
      <c r="AF125" s="438" t="n">
        <v>0.17</v>
      </c>
      <c r="AG125" s="438" t="n">
        <v>0.167</v>
      </c>
      <c r="AH125" s="438" t="n">
        <v>0.17</v>
      </c>
      <c r="AI125" s="438" t="n">
        <v>0.173</v>
      </c>
      <c r="AJ125" s="438" t="n">
        <v>0.17</v>
      </c>
      <c r="AK125" s="438" t="n">
        <v>0.167</v>
      </c>
      <c r="AL125" s="438" t="n">
        <v>0.167</v>
      </c>
      <c r="AM125" s="438" t="n">
        <v>0.17</v>
      </c>
      <c r="AN125" s="438" t="n">
        <v>0.17</v>
      </c>
      <c r="AO125" s="438" t="n">
        <v>0.17</v>
      </c>
      <c r="AP125" s="439" t="n">
        <v>0.17</v>
      </c>
      <c r="AQ125" s="439" t="n">
        <v>0.17</v>
      </c>
      <c r="AR125" s="439" t="n">
        <v>0.17</v>
      </c>
      <c r="AS125" s="439" t="n">
        <v>0.17</v>
      </c>
      <c r="AT125" s="438" t="n">
        <v>0.17</v>
      </c>
      <c r="AU125" s="438" t="n">
        <v>0.17</v>
      </c>
      <c r="AV125" s="438" t="n">
        <v>0.167</v>
      </c>
      <c r="AW125" s="418" t="n">
        <v>0.069961501145082</v>
      </c>
      <c r="AX125" s="418"/>
      <c r="AY125" s="437" t="n">
        <f aca="false">AG125</f>
        <v>0.167</v>
      </c>
      <c r="AZ125" s="437" t="n">
        <f aca="false">AG125</f>
        <v>0.167</v>
      </c>
      <c r="BA125" s="441" t="n">
        <f aca="false">AG125</f>
        <v>0.167</v>
      </c>
      <c r="BB125" s="442" t="n">
        <f aca="false">B125</f>
        <v>40087</v>
      </c>
      <c r="BC125" s="442" t="n">
        <v>0.532051623701684</v>
      </c>
      <c r="BD125" s="418" t="n">
        <v>0.532152575077543</v>
      </c>
      <c r="BF125" s="455" t="n">
        <v>40087</v>
      </c>
      <c r="BG125" s="66" t="n">
        <v>113</v>
      </c>
      <c r="HZ125" s="442" t="n">
        <f aca="false">B127</f>
        <v>40148</v>
      </c>
      <c r="IA125" s="418" t="n">
        <v>115</v>
      </c>
    </row>
    <row r="126" customFormat="false" ht="12.75" hidden="false" customHeight="false" outlineLevel="0" collapsed="false">
      <c r="A126" s="470"/>
      <c r="B126" s="419" t="n">
        <f aca="false">EOMONTH(B125,0)+1</f>
        <v>40118</v>
      </c>
      <c r="C126" s="420" t="n">
        <v>3.04</v>
      </c>
      <c r="D126" s="420" t="n">
        <v>0.17</v>
      </c>
      <c r="E126" s="420" t="n">
        <v>0.070436425408321</v>
      </c>
      <c r="F126" s="420" t="n">
        <v>-0.19</v>
      </c>
      <c r="G126" s="420" t="n">
        <v>-0.0325</v>
      </c>
      <c r="H126" s="420" t="n">
        <v>-0.19</v>
      </c>
      <c r="I126" s="420" t="n">
        <v>0.255</v>
      </c>
      <c r="J126" s="420" t="n">
        <v>0.27</v>
      </c>
      <c r="K126" s="420" t="n">
        <v>0.2875</v>
      </c>
      <c r="L126" s="420" t="n">
        <v>-0.069</v>
      </c>
      <c r="M126" s="420" t="n">
        <v>-0.0065</v>
      </c>
      <c r="N126" s="420" t="n">
        <v>-0.28</v>
      </c>
      <c r="O126" s="420" t="n">
        <v>0</v>
      </c>
      <c r="P126" s="420" t="n">
        <v>0.016</v>
      </c>
      <c r="Q126" s="435" t="n">
        <v>-0.0015</v>
      </c>
      <c r="R126" s="418" t="n">
        <v>-0.0225</v>
      </c>
      <c r="S126" s="418" t="n">
        <v>-0.0495</v>
      </c>
      <c r="T126" s="418" t="n">
        <v>-0.1175</v>
      </c>
      <c r="U126" s="418" t="n">
        <v>-0.027</v>
      </c>
      <c r="V126" s="418" t="n">
        <v>-0.0925</v>
      </c>
      <c r="W126" s="418" t="n">
        <v>-0.1325</v>
      </c>
      <c r="X126" s="418" t="n">
        <v>0.7675</v>
      </c>
      <c r="Y126" s="418" t="n">
        <v>0.005</v>
      </c>
      <c r="Z126" s="418" t="n">
        <v>-0.19</v>
      </c>
      <c r="AA126" s="418" t="n">
        <v>-0.0185</v>
      </c>
      <c r="AB126" s="437" t="n">
        <v>0.12</v>
      </c>
      <c r="AC126" s="437" t="n">
        <v>0.465</v>
      </c>
      <c r="AD126" s="437" t="n">
        <v>0.35</v>
      </c>
      <c r="AE126" s="438" t="n">
        <v>0.17</v>
      </c>
      <c r="AF126" s="438" t="n">
        <v>0.17</v>
      </c>
      <c r="AG126" s="438" t="n">
        <v>0.187</v>
      </c>
      <c r="AH126" s="438" t="n">
        <v>0.17</v>
      </c>
      <c r="AI126" s="438" t="n">
        <v>0.173</v>
      </c>
      <c r="AJ126" s="438" t="n">
        <v>0.17</v>
      </c>
      <c r="AK126" s="438" t="n">
        <v>0.17</v>
      </c>
      <c r="AL126" s="438" t="n">
        <v>0.17</v>
      </c>
      <c r="AM126" s="438" t="n">
        <v>0.17</v>
      </c>
      <c r="AN126" s="438" t="n">
        <v>0.17</v>
      </c>
      <c r="AO126" s="438" t="n">
        <v>0.17</v>
      </c>
      <c r="AP126" s="439" t="n">
        <v>0.17</v>
      </c>
      <c r="AQ126" s="439" t="n">
        <v>0.17</v>
      </c>
      <c r="AR126" s="439" t="n">
        <v>0.17</v>
      </c>
      <c r="AS126" s="439" t="n">
        <v>0.17</v>
      </c>
      <c r="AT126" s="438" t="n">
        <v>0.17</v>
      </c>
      <c r="AU126" s="438" t="n">
        <v>0.17</v>
      </c>
      <c r="AV126" s="438" t="n">
        <v>0.187</v>
      </c>
      <c r="AW126" s="418" t="n">
        <v>0.069961353893331</v>
      </c>
      <c r="AX126" s="418"/>
      <c r="AY126" s="437" t="n">
        <f aca="false">AG126</f>
        <v>0.187</v>
      </c>
      <c r="AZ126" s="437" t="n">
        <f aca="false">AG126</f>
        <v>0.187</v>
      </c>
      <c r="BA126" s="441" t="n">
        <f aca="false">AG126</f>
        <v>0.187</v>
      </c>
      <c r="BB126" s="442" t="n">
        <f aca="false">B126</f>
        <v>40118</v>
      </c>
      <c r="BC126" s="442" t="n">
        <v>0.528934866082393</v>
      </c>
      <c r="BD126" s="418" t="n">
        <v>0.529035225115678</v>
      </c>
      <c r="BF126" s="455" t="n">
        <v>40118</v>
      </c>
      <c r="BG126" s="66" t="n">
        <v>114</v>
      </c>
      <c r="HZ126" s="442" t="n">
        <f aca="false">B128</f>
        <v>40179</v>
      </c>
      <c r="IA126" s="418" t="n">
        <v>116</v>
      </c>
    </row>
    <row r="127" customFormat="false" ht="12.75" hidden="false" customHeight="false" outlineLevel="0" collapsed="false">
      <c r="A127" s="470"/>
      <c r="B127" s="419" t="n">
        <f aca="false">EOMONTH(B126,0)+1</f>
        <v>40148</v>
      </c>
      <c r="C127" s="420" t="n">
        <v>3.108</v>
      </c>
      <c r="D127" s="420" t="n">
        <v>0.17</v>
      </c>
      <c r="E127" s="420" t="n">
        <v>0.070448857145496</v>
      </c>
      <c r="F127" s="420" t="n">
        <v>-0.1975</v>
      </c>
      <c r="G127" s="420" t="n">
        <v>-0.055</v>
      </c>
      <c r="H127" s="420" t="n">
        <v>-0.1975</v>
      </c>
      <c r="I127" s="420" t="n">
        <v>0.295</v>
      </c>
      <c r="J127" s="420" t="n">
        <v>0.305</v>
      </c>
      <c r="K127" s="420" t="n">
        <v>0.3375</v>
      </c>
      <c r="L127" s="420" t="n">
        <v>-0.069</v>
      </c>
      <c r="M127" s="420" t="n">
        <v>-0.0065</v>
      </c>
      <c r="N127" s="420" t="n">
        <v>-0.28</v>
      </c>
      <c r="O127" s="420" t="n">
        <v>0.06</v>
      </c>
      <c r="P127" s="420" t="n">
        <v>0.016</v>
      </c>
      <c r="Q127" s="435" t="n">
        <v>-0.0015</v>
      </c>
      <c r="R127" s="418" t="n">
        <v>-0.0225</v>
      </c>
      <c r="S127" s="418" t="n">
        <v>-0.0495</v>
      </c>
      <c r="T127" s="418" t="n">
        <v>-0.11</v>
      </c>
      <c r="U127" s="418" t="n">
        <v>-0.027</v>
      </c>
      <c r="V127" s="418" t="n">
        <v>-0.1275</v>
      </c>
      <c r="W127" s="418" t="n">
        <v>-0.1275</v>
      </c>
      <c r="X127" s="418" t="n">
        <v>1.19</v>
      </c>
      <c r="Y127" s="418" t="n">
        <v>0.005</v>
      </c>
      <c r="Z127" s="418" t="n">
        <v>-0.19</v>
      </c>
      <c r="AA127" s="418" t="n">
        <v>-0.0185</v>
      </c>
      <c r="AB127" s="437" t="n">
        <v>0.12</v>
      </c>
      <c r="AC127" s="437" t="n">
        <v>0.8</v>
      </c>
      <c r="AD127" s="437" t="n">
        <v>0.39</v>
      </c>
      <c r="AE127" s="438" t="n">
        <v>0.17</v>
      </c>
      <c r="AF127" s="438" t="n">
        <v>0.17</v>
      </c>
      <c r="AG127" s="438" t="n">
        <v>0.187</v>
      </c>
      <c r="AH127" s="438" t="n">
        <v>0.17</v>
      </c>
      <c r="AI127" s="438" t="n">
        <v>0.173</v>
      </c>
      <c r="AJ127" s="438" t="n">
        <v>0.17</v>
      </c>
      <c r="AK127" s="438" t="n">
        <v>0.17</v>
      </c>
      <c r="AL127" s="438" t="n">
        <v>0.17</v>
      </c>
      <c r="AM127" s="438" t="n">
        <v>0.17</v>
      </c>
      <c r="AN127" s="438" t="n">
        <v>0.17</v>
      </c>
      <c r="AO127" s="438" t="n">
        <v>0.17</v>
      </c>
      <c r="AP127" s="439" t="n">
        <v>0.17</v>
      </c>
      <c r="AQ127" s="439" t="n">
        <v>0.17</v>
      </c>
      <c r="AR127" s="439" t="n">
        <v>0.17</v>
      </c>
      <c r="AS127" s="439" t="n">
        <v>0.17</v>
      </c>
      <c r="AT127" s="438" t="n">
        <v>0.17</v>
      </c>
      <c r="AU127" s="438" t="n">
        <v>0.17</v>
      </c>
      <c r="AV127" s="438" t="n">
        <v>0.187</v>
      </c>
      <c r="AW127" s="418" t="n">
        <v>0.069961211391637</v>
      </c>
      <c r="AX127" s="418"/>
      <c r="AY127" s="437" t="n">
        <f aca="false">AG127</f>
        <v>0.187</v>
      </c>
      <c r="AZ127" s="437" t="n">
        <f aca="false">AG127</f>
        <v>0.187</v>
      </c>
      <c r="BA127" s="441" t="n">
        <f aca="false">AG127</f>
        <v>0.187</v>
      </c>
      <c r="BB127" s="442" t="n">
        <f aca="false">B127</f>
        <v>40148</v>
      </c>
      <c r="BC127" s="442" t="n">
        <v>0.525936091040647</v>
      </c>
      <c r="BD127" s="418" t="n">
        <v>0.526035880159443</v>
      </c>
      <c r="BF127" s="455" t="n">
        <v>40148</v>
      </c>
      <c r="BG127" s="66" t="n">
        <v>115</v>
      </c>
      <c r="HZ127" s="442" t="n">
        <f aca="false">B129</f>
        <v>40210</v>
      </c>
      <c r="IA127" s="418" t="n">
        <v>117</v>
      </c>
    </row>
    <row r="128" customFormat="false" ht="12.75" hidden="false" customHeight="false" outlineLevel="0" collapsed="false">
      <c r="A128" s="470"/>
      <c r="B128" s="419" t="n">
        <f aca="false">EOMONTH(B127,0)+1</f>
        <v>40179</v>
      </c>
      <c r="C128" s="420" t="n">
        <v>3.401</v>
      </c>
      <c r="D128" s="420" t="n">
        <v>0.17</v>
      </c>
      <c r="E128" s="420" t="n">
        <v>0.070461703273964</v>
      </c>
      <c r="F128" s="420" t="n">
        <v>-0.2</v>
      </c>
      <c r="G128" s="420" t="n">
        <v>-0.0575</v>
      </c>
      <c r="H128" s="420" t="n">
        <v>-0.2</v>
      </c>
      <c r="I128" s="420" t="n">
        <v>0.305</v>
      </c>
      <c r="J128" s="420" t="n">
        <v>0.305</v>
      </c>
      <c r="K128" s="420" t="n">
        <v>0.4375</v>
      </c>
      <c r="L128" s="420" t="n">
        <v>-0.069</v>
      </c>
      <c r="M128" s="420" t="n">
        <v>-0.0045</v>
      </c>
      <c r="N128" s="420" t="n">
        <v>-0.28</v>
      </c>
      <c r="O128" s="420" t="n">
        <v>0.13</v>
      </c>
      <c r="P128" s="420" t="n">
        <v>0.016</v>
      </c>
      <c r="Q128" s="435" t="n">
        <v>-0.0015</v>
      </c>
      <c r="R128" s="418" t="n">
        <v>-0.018</v>
      </c>
      <c r="S128" s="418" t="n">
        <v>-0.0495</v>
      </c>
      <c r="T128" s="418" t="n">
        <v>-0.095</v>
      </c>
      <c r="U128" s="418" t="n">
        <v>-0.027</v>
      </c>
      <c r="V128" s="418" t="n">
        <v>-0.133</v>
      </c>
      <c r="W128" s="418" t="n">
        <v>-0.1275</v>
      </c>
      <c r="X128" s="418" t="n">
        <v>1.525</v>
      </c>
      <c r="Y128" s="418" t="n">
        <v>0.005</v>
      </c>
      <c r="Z128" s="418" t="n">
        <v>-0.19</v>
      </c>
      <c r="AA128" s="418" t="n">
        <v>-0.0185</v>
      </c>
      <c r="AB128" s="437" t="n">
        <v>0.12</v>
      </c>
      <c r="AC128" s="437" t="n">
        <v>0.975</v>
      </c>
      <c r="AD128" s="437" t="n">
        <v>0.4</v>
      </c>
      <c r="AE128" s="438" t="n">
        <v>0.17</v>
      </c>
      <c r="AF128" s="438" t="n">
        <v>0.17</v>
      </c>
      <c r="AG128" s="438" t="n">
        <v>0.187</v>
      </c>
      <c r="AH128" s="438" t="n">
        <v>0.17</v>
      </c>
      <c r="AI128" s="438" t="n">
        <v>0.173</v>
      </c>
      <c r="AJ128" s="438" t="n">
        <v>0.17</v>
      </c>
      <c r="AK128" s="438" t="n">
        <v>0.17</v>
      </c>
      <c r="AL128" s="438" t="n">
        <v>0.17</v>
      </c>
      <c r="AM128" s="438" t="n">
        <v>0.17</v>
      </c>
      <c r="AN128" s="438" t="n">
        <v>0.17</v>
      </c>
      <c r="AO128" s="438" t="n">
        <v>0.17</v>
      </c>
      <c r="AP128" s="439" t="n">
        <v>0.17</v>
      </c>
      <c r="AQ128" s="439" t="n">
        <v>0.17</v>
      </c>
      <c r="AR128" s="439" t="n">
        <v>0.17</v>
      </c>
      <c r="AS128" s="439" t="n">
        <v>0.17</v>
      </c>
      <c r="AT128" s="438" t="n">
        <v>0.17</v>
      </c>
      <c r="AU128" s="438" t="n">
        <v>0.17</v>
      </c>
      <c r="AV128" s="438" t="n">
        <v>0.187</v>
      </c>
      <c r="AW128" s="418" t="n">
        <v>0.069961064139886</v>
      </c>
      <c r="AX128" s="418"/>
      <c r="AY128" s="437" t="n">
        <f aca="false">AG128</f>
        <v>0.187</v>
      </c>
      <c r="AZ128" s="437" t="n">
        <f aca="false">AG128</f>
        <v>0.187</v>
      </c>
      <c r="BA128" s="441" t="n">
        <f aca="false">AG128</f>
        <v>0.187</v>
      </c>
      <c r="BB128" s="442" t="n">
        <f aca="false">B128</f>
        <v>40179</v>
      </c>
      <c r="BC128" s="442" t="n">
        <v>0.522855275109801</v>
      </c>
      <c r="BD128" s="418" t="n">
        <v>0.522954478727848</v>
      </c>
      <c r="BF128" s="455" t="n">
        <v>40179</v>
      </c>
      <c r="BG128" s="66" t="n">
        <v>116</v>
      </c>
      <c r="HZ128" s="442" t="n">
        <f aca="false">B130</f>
        <v>40238</v>
      </c>
      <c r="IA128" s="418" t="n">
        <v>118</v>
      </c>
    </row>
    <row r="129" customFormat="false" ht="12.75" hidden="false" customHeight="false" outlineLevel="0" collapsed="false">
      <c r="A129" s="470"/>
      <c r="B129" s="419" t="n">
        <f aca="false">EOMONTH(B128,0)+1</f>
        <v>40210</v>
      </c>
      <c r="C129" s="420" t="n">
        <v>3.287</v>
      </c>
      <c r="D129" s="420" t="n">
        <v>0.17</v>
      </c>
      <c r="E129" s="420" t="n">
        <v>0.070474549402486</v>
      </c>
      <c r="F129" s="420" t="n">
        <v>-0.2025</v>
      </c>
      <c r="G129" s="420" t="n">
        <v>-0.04</v>
      </c>
      <c r="H129" s="420" t="n">
        <v>-0.2025</v>
      </c>
      <c r="I129" s="420" t="n">
        <v>0.28</v>
      </c>
      <c r="J129" s="420" t="n">
        <v>0.305</v>
      </c>
      <c r="K129" s="420" t="n">
        <v>0.435</v>
      </c>
      <c r="L129" s="420" t="n">
        <v>-0.069</v>
      </c>
      <c r="M129" s="420" t="n">
        <v>-0.0045</v>
      </c>
      <c r="N129" s="420" t="n">
        <v>-0.28</v>
      </c>
      <c r="O129" s="420" t="n">
        <v>0</v>
      </c>
      <c r="P129" s="420" t="n">
        <v>0.016</v>
      </c>
      <c r="Q129" s="435" t="n">
        <v>-0.0015</v>
      </c>
      <c r="R129" s="418" t="n">
        <v>-0.018</v>
      </c>
      <c r="S129" s="418" t="n">
        <v>-0.0495</v>
      </c>
      <c r="T129" s="418" t="n">
        <v>-0.095</v>
      </c>
      <c r="U129" s="418" t="n">
        <v>-0.027</v>
      </c>
      <c r="V129" s="418" t="n">
        <v>-0.1155</v>
      </c>
      <c r="W129" s="418" t="n">
        <v>-0.1275</v>
      </c>
      <c r="X129" s="418" t="n">
        <v>1.455</v>
      </c>
      <c r="Y129" s="418" t="n">
        <v>0.005</v>
      </c>
      <c r="Z129" s="418" t="n">
        <v>-0.19</v>
      </c>
      <c r="AA129" s="418" t="n">
        <v>-0.0185</v>
      </c>
      <c r="AB129" s="437" t="n">
        <v>0.12</v>
      </c>
      <c r="AC129" s="437" t="n">
        <v>0.975</v>
      </c>
      <c r="AD129" s="437" t="n">
        <v>0.375</v>
      </c>
      <c r="AE129" s="438" t="n">
        <v>0.17</v>
      </c>
      <c r="AF129" s="438" t="n">
        <v>0.17</v>
      </c>
      <c r="AG129" s="438" t="n">
        <v>0.187</v>
      </c>
      <c r="AH129" s="438" t="n">
        <v>0.17</v>
      </c>
      <c r="AI129" s="438" t="n">
        <v>0.173</v>
      </c>
      <c r="AJ129" s="438" t="n">
        <v>0.17</v>
      </c>
      <c r="AK129" s="438" t="n">
        <v>0.17</v>
      </c>
      <c r="AL129" s="438" t="n">
        <v>0.17</v>
      </c>
      <c r="AM129" s="438" t="n">
        <v>0.17</v>
      </c>
      <c r="AN129" s="438" t="n">
        <v>0.17</v>
      </c>
      <c r="AO129" s="438" t="n">
        <v>0.17</v>
      </c>
      <c r="AP129" s="439" t="n">
        <v>0.17</v>
      </c>
      <c r="AQ129" s="439" t="n">
        <v>0.17</v>
      </c>
      <c r="AR129" s="439" t="n">
        <v>0.17</v>
      </c>
      <c r="AS129" s="439" t="n">
        <v>0.17</v>
      </c>
      <c r="AT129" s="438" t="n">
        <v>0.17</v>
      </c>
      <c r="AU129" s="438" t="n">
        <v>0.17</v>
      </c>
      <c r="AV129" s="438" t="n">
        <v>0.187</v>
      </c>
      <c r="AW129" s="418" t="n">
        <v>0.069960916888135</v>
      </c>
      <c r="AX129" s="418"/>
      <c r="AY129" s="437" t="n">
        <f aca="false">AG129</f>
        <v>0.187</v>
      </c>
      <c r="AZ129" s="437" t="n">
        <f aca="false">AG129</f>
        <v>0.187</v>
      </c>
      <c r="BA129" s="441" t="n">
        <f aca="false">AG129</f>
        <v>0.187</v>
      </c>
      <c r="BB129" s="442" t="n">
        <f aca="false">B129</f>
        <v>40210</v>
      </c>
      <c r="BC129" s="442" t="n">
        <v>0.519792564973169</v>
      </c>
      <c r="BD129" s="418" t="n">
        <v>0.519891186537021</v>
      </c>
      <c r="BF129" s="455" t="n">
        <v>40210</v>
      </c>
      <c r="BG129" s="66" t="n">
        <v>117</v>
      </c>
      <c r="HZ129" s="442" t="n">
        <f aca="false">B131</f>
        <v>40269</v>
      </c>
      <c r="IA129" s="418" t="n">
        <v>119</v>
      </c>
    </row>
    <row r="130" customFormat="false" ht="12.75" hidden="false" customHeight="false" outlineLevel="0" collapsed="false">
      <c r="A130" s="470"/>
      <c r="B130" s="419" t="n">
        <f aca="false">EOMONTH(B129,0)+1</f>
        <v>40238</v>
      </c>
      <c r="C130" s="420" t="n">
        <v>3.138</v>
      </c>
      <c r="D130" s="420" t="n">
        <v>0.16</v>
      </c>
      <c r="E130" s="420" t="n">
        <v>0.070486152357327</v>
      </c>
      <c r="F130" s="420" t="n">
        <v>-0.205</v>
      </c>
      <c r="G130" s="420" t="n">
        <v>-0.0275</v>
      </c>
      <c r="H130" s="420" t="n">
        <v>-0.205</v>
      </c>
      <c r="I130" s="420" t="n">
        <v>0.278</v>
      </c>
      <c r="J130" s="420" t="n">
        <v>0.265</v>
      </c>
      <c r="K130" s="420" t="n">
        <v>0.3025</v>
      </c>
      <c r="L130" s="420" t="n">
        <v>-0.069</v>
      </c>
      <c r="M130" s="420" t="n">
        <v>-0.0045</v>
      </c>
      <c r="N130" s="420" t="n">
        <v>-0.28</v>
      </c>
      <c r="O130" s="420" t="n">
        <v>-0.18</v>
      </c>
      <c r="P130" s="420" t="n">
        <v>0.016</v>
      </c>
      <c r="Q130" s="435" t="n">
        <v>-0.0015</v>
      </c>
      <c r="R130" s="418" t="n">
        <v>-0.018</v>
      </c>
      <c r="S130" s="418" t="n">
        <v>-0.0495</v>
      </c>
      <c r="T130" s="418" t="n">
        <v>-0.095</v>
      </c>
      <c r="U130" s="418" t="n">
        <v>-0.0085</v>
      </c>
      <c r="V130" s="418" t="n">
        <v>-0.098</v>
      </c>
      <c r="W130" s="418" t="n">
        <v>-0.1325</v>
      </c>
      <c r="X130" s="418" t="n">
        <v>0.835</v>
      </c>
      <c r="Y130" s="418" t="n">
        <v>0.005</v>
      </c>
      <c r="Z130" s="418" t="n">
        <v>-0.19</v>
      </c>
      <c r="AA130" s="418" t="n">
        <v>-0.0185</v>
      </c>
      <c r="AB130" s="437" t="n">
        <v>0.12</v>
      </c>
      <c r="AC130" s="437" t="n">
        <v>0.6075</v>
      </c>
      <c r="AD130" s="437" t="n">
        <v>0.373</v>
      </c>
      <c r="AE130" s="438" t="n">
        <v>0.16</v>
      </c>
      <c r="AF130" s="438" t="n">
        <v>0.16</v>
      </c>
      <c r="AG130" s="438" t="n">
        <v>0.176</v>
      </c>
      <c r="AH130" s="438" t="n">
        <v>0.16</v>
      </c>
      <c r="AI130" s="438" t="n">
        <v>0.163</v>
      </c>
      <c r="AJ130" s="438" t="n">
        <v>0.16</v>
      </c>
      <c r="AK130" s="438" t="n">
        <v>0.16</v>
      </c>
      <c r="AL130" s="438" t="n">
        <v>0.16</v>
      </c>
      <c r="AM130" s="438" t="n">
        <v>0.16</v>
      </c>
      <c r="AN130" s="438" t="n">
        <v>0.16</v>
      </c>
      <c r="AO130" s="438" t="n">
        <v>0.16</v>
      </c>
      <c r="AP130" s="439" t="n">
        <v>0.16</v>
      </c>
      <c r="AQ130" s="439" t="n">
        <v>0.16</v>
      </c>
      <c r="AR130" s="439" t="n">
        <v>0.16</v>
      </c>
      <c r="AS130" s="439" t="n">
        <v>0.16</v>
      </c>
      <c r="AT130" s="438" t="n">
        <v>0.16</v>
      </c>
      <c r="AU130" s="438" t="n">
        <v>0.16</v>
      </c>
      <c r="AV130" s="438" t="n">
        <v>0.176</v>
      </c>
      <c r="AW130" s="418" t="n">
        <v>0.069960783886554</v>
      </c>
      <c r="AX130" s="418"/>
      <c r="AY130" s="437" t="n">
        <f aca="false">AG130</f>
        <v>0.176</v>
      </c>
      <c r="AZ130" s="437" t="n">
        <f aca="false">AG130</f>
        <v>0.176</v>
      </c>
      <c r="BA130" s="441" t="n">
        <f aca="false">AG130</f>
        <v>0.176</v>
      </c>
      <c r="BB130" s="442" t="n">
        <f aca="false">B130</f>
        <v>40238</v>
      </c>
      <c r="BC130" s="442" t="n">
        <v>0.517041719648288</v>
      </c>
      <c r="BD130" s="418" t="n">
        <v>0.517139818431222</v>
      </c>
      <c r="BF130" s="455" t="n">
        <v>40238</v>
      </c>
      <c r="BG130" s="66" t="n">
        <v>118</v>
      </c>
      <c r="HZ130" s="442" t="n">
        <f aca="false">B132</f>
        <v>40299</v>
      </c>
      <c r="IA130" s="418" t="n">
        <v>120</v>
      </c>
    </row>
    <row r="131" customFormat="false" ht="12.75" hidden="false" customHeight="false" outlineLevel="0" collapsed="false">
      <c r="A131" s="470"/>
      <c r="B131" s="419" t="n">
        <f aca="false">EOMONTH(B130,0)+1</f>
        <v>40269</v>
      </c>
      <c r="C131" s="420" t="n">
        <v>2.981</v>
      </c>
      <c r="D131" s="420" t="n">
        <v>0.16</v>
      </c>
      <c r="E131" s="420" t="n">
        <v>0.070498998485953</v>
      </c>
      <c r="F131" s="420" t="n">
        <v>-0.195</v>
      </c>
      <c r="G131" s="420" t="n">
        <v>0.015</v>
      </c>
      <c r="H131" s="420" t="n">
        <v>-0.195</v>
      </c>
      <c r="I131" s="420" t="n">
        <v>0.183</v>
      </c>
      <c r="J131" s="420" t="n">
        <v>0.195</v>
      </c>
      <c r="K131" s="420" t="n">
        <v>0.25</v>
      </c>
      <c r="L131" s="420" t="n">
        <v>-0.062</v>
      </c>
      <c r="M131" s="420" t="n">
        <v>-0.012</v>
      </c>
      <c r="N131" s="420" t="n">
        <v>-0.36</v>
      </c>
      <c r="O131" s="420" t="n">
        <v>-0.29</v>
      </c>
      <c r="P131" s="420" t="n">
        <v>0.0065</v>
      </c>
      <c r="Q131" s="435" t="n">
        <v>0.0085</v>
      </c>
      <c r="R131" s="418" t="n">
        <v>-0.0175</v>
      </c>
      <c r="S131" s="418" t="n">
        <v>-0.047</v>
      </c>
      <c r="T131" s="418" t="n">
        <v>-0.14</v>
      </c>
      <c r="U131" s="418" t="n">
        <v>-0.0085</v>
      </c>
      <c r="V131" s="418" t="n">
        <v>-0.0905</v>
      </c>
      <c r="W131" s="418" t="n">
        <v>-0.12</v>
      </c>
      <c r="X131" s="418" t="n">
        <v>0.45</v>
      </c>
      <c r="Y131" s="418" t="n">
        <v>0.005</v>
      </c>
      <c r="Z131" s="418" t="n">
        <v>-0.195</v>
      </c>
      <c r="AA131" s="418" t="n">
        <v>-0.016</v>
      </c>
      <c r="AB131" s="437" t="n">
        <v>0.29</v>
      </c>
      <c r="AC131" s="437" t="n">
        <v>0.355</v>
      </c>
      <c r="AD131" s="437" t="n">
        <v>0.278</v>
      </c>
      <c r="AE131" s="438" t="n">
        <v>0.16</v>
      </c>
      <c r="AF131" s="438" t="n">
        <v>0.16</v>
      </c>
      <c r="AG131" s="438" t="n">
        <v>0.157</v>
      </c>
      <c r="AH131" s="438" t="n">
        <v>0.16</v>
      </c>
      <c r="AI131" s="438" t="n">
        <v>0.163</v>
      </c>
      <c r="AJ131" s="438" t="n">
        <v>0.16</v>
      </c>
      <c r="AK131" s="438" t="n">
        <v>0.157</v>
      </c>
      <c r="AL131" s="438" t="n">
        <v>0.157</v>
      </c>
      <c r="AM131" s="438" t="n">
        <v>0.16</v>
      </c>
      <c r="AN131" s="438" t="n">
        <v>0.16</v>
      </c>
      <c r="AO131" s="438" t="n">
        <v>0.16</v>
      </c>
      <c r="AP131" s="439" t="n">
        <v>0.16</v>
      </c>
      <c r="AQ131" s="439" t="n">
        <v>0.16</v>
      </c>
      <c r="AR131" s="439" t="n">
        <v>0.16</v>
      </c>
      <c r="AS131" s="439" t="n">
        <v>0.16</v>
      </c>
      <c r="AT131" s="438" t="n">
        <v>0.16</v>
      </c>
      <c r="AU131" s="438" t="n">
        <v>0.16</v>
      </c>
      <c r="AV131" s="438" t="n">
        <v>0.157</v>
      </c>
      <c r="AW131" s="418" t="n">
        <v>0.069960636634803</v>
      </c>
      <c r="AX131" s="418"/>
      <c r="AY131" s="437" t="n">
        <f aca="false">AG131</f>
        <v>0.157</v>
      </c>
      <c r="AZ131" s="437" t="n">
        <f aca="false">AG131</f>
        <v>0.157</v>
      </c>
      <c r="BA131" s="441" t="n">
        <f aca="false">AG131</f>
        <v>0.157</v>
      </c>
      <c r="BB131" s="442" t="n">
        <f aca="false">B131</f>
        <v>40269</v>
      </c>
      <c r="BC131" s="442" t="n">
        <v>0.514013174524058</v>
      </c>
      <c r="BD131" s="418" t="n">
        <v>0.514110697756233</v>
      </c>
      <c r="BF131" s="455" t="n">
        <v>40269</v>
      </c>
      <c r="BG131" s="66" t="n">
        <v>119</v>
      </c>
      <c r="HZ131" s="442" t="n">
        <f aca="false">B133</f>
        <v>40330</v>
      </c>
      <c r="IA131" s="418" t="n">
        <v>121</v>
      </c>
    </row>
    <row r="132" customFormat="false" ht="12.75" hidden="false" customHeight="false" outlineLevel="0" collapsed="false">
      <c r="A132" s="470"/>
      <c r="B132" s="419" t="n">
        <f aca="false">EOMONTH(B131,0)+1</f>
        <v>40299</v>
      </c>
      <c r="C132" s="420" t="n">
        <v>2.976</v>
      </c>
      <c r="D132" s="420" t="n">
        <v>0.16</v>
      </c>
      <c r="E132" s="420" t="n">
        <v>0.070511430223386</v>
      </c>
      <c r="F132" s="420" t="n">
        <v>-0.195</v>
      </c>
      <c r="G132" s="420" t="n">
        <v>0.015</v>
      </c>
      <c r="H132" s="420" t="n">
        <v>-0.195</v>
      </c>
      <c r="I132" s="420" t="n">
        <v>0.193</v>
      </c>
      <c r="J132" s="420" t="n">
        <v>0.1825</v>
      </c>
      <c r="K132" s="420" t="n">
        <v>0.2025</v>
      </c>
      <c r="L132" s="420" t="n">
        <v>-0.062</v>
      </c>
      <c r="M132" s="420" t="n">
        <v>-0.012</v>
      </c>
      <c r="N132" s="420" t="n">
        <v>-0.36</v>
      </c>
      <c r="O132" s="420" t="n">
        <v>-0.29</v>
      </c>
      <c r="P132" s="420" t="n">
        <v>0.0065</v>
      </c>
      <c r="Q132" s="420" t="n">
        <v>0.0085</v>
      </c>
      <c r="R132" s="418" t="n">
        <v>-0.0175</v>
      </c>
      <c r="S132" s="418" t="n">
        <v>-0.047</v>
      </c>
      <c r="T132" s="418" t="n">
        <v>-0.155</v>
      </c>
      <c r="U132" s="418" t="n">
        <v>-0.00875</v>
      </c>
      <c r="V132" s="418" t="n">
        <v>-0.0905</v>
      </c>
      <c r="W132" s="418" t="n">
        <v>-0.12</v>
      </c>
      <c r="X132" s="418" t="n">
        <v>0.405</v>
      </c>
      <c r="Y132" s="418" t="n">
        <v>0.005</v>
      </c>
      <c r="Z132" s="418" t="n">
        <v>-0.195</v>
      </c>
      <c r="AA132" s="418" t="n">
        <v>-0.016</v>
      </c>
      <c r="AB132" s="437" t="n">
        <v>0.29</v>
      </c>
      <c r="AC132" s="437" t="n">
        <v>0.2875</v>
      </c>
      <c r="AD132" s="437" t="n">
        <v>0.288</v>
      </c>
      <c r="AE132" s="438" t="n">
        <v>0.16</v>
      </c>
      <c r="AF132" s="438" t="n">
        <v>0.16</v>
      </c>
      <c r="AG132" s="438" t="n">
        <v>0.157</v>
      </c>
      <c r="AH132" s="438" t="n">
        <v>0.16</v>
      </c>
      <c r="AI132" s="438" t="n">
        <v>0.163</v>
      </c>
      <c r="AJ132" s="438" t="n">
        <v>0.16</v>
      </c>
      <c r="AK132" s="438" t="n">
        <v>0.157</v>
      </c>
      <c r="AL132" s="438" t="n">
        <v>0.157</v>
      </c>
      <c r="AM132" s="438" t="n">
        <v>0.16</v>
      </c>
      <c r="AN132" s="438" t="n">
        <v>0.16</v>
      </c>
      <c r="AO132" s="438" t="n">
        <v>0.16</v>
      </c>
      <c r="AP132" s="439" t="n">
        <v>0.16</v>
      </c>
      <c r="AQ132" s="439" t="n">
        <v>0.16</v>
      </c>
      <c r="AR132" s="439" t="n">
        <v>0.16</v>
      </c>
      <c r="AS132" s="439" t="n">
        <v>0.16</v>
      </c>
      <c r="AT132" s="438" t="n">
        <v>0.16</v>
      </c>
      <c r="AU132" s="438" t="n">
        <v>0.16</v>
      </c>
      <c r="AV132" s="438" t="n">
        <v>0.157</v>
      </c>
      <c r="AW132" s="418" t="n">
        <v>0.069960494133109</v>
      </c>
      <c r="AX132" s="418"/>
      <c r="AY132" s="437" t="n">
        <f aca="false">AG132</f>
        <v>0.157</v>
      </c>
      <c r="AZ132" s="437" t="n">
        <f aca="false">AG132</f>
        <v>0.157</v>
      </c>
      <c r="BA132" s="441" t="n">
        <f aca="false">AG132</f>
        <v>0.157</v>
      </c>
      <c r="BB132" s="442" t="n">
        <f aca="false">B132</f>
        <v>40299</v>
      </c>
      <c r="BC132" s="442" t="n">
        <v>0.51109927117647</v>
      </c>
      <c r="BD132" s="418" t="n">
        <v>0.511196240649875</v>
      </c>
      <c r="BF132" s="455" t="n">
        <v>40299</v>
      </c>
      <c r="BG132" s="66" t="n">
        <v>120</v>
      </c>
      <c r="HZ132" s="442" t="n">
        <f aca="false">B134</f>
        <v>40360</v>
      </c>
      <c r="IA132" s="418" t="n">
        <v>122</v>
      </c>
    </row>
    <row r="133" customFormat="false" ht="12.75" hidden="false" customHeight="false" outlineLevel="0" collapsed="false">
      <c r="A133" s="470"/>
      <c r="B133" s="419" t="n">
        <f aca="false">EOMONTH(B132,0)+1</f>
        <v>40330</v>
      </c>
      <c r="C133" s="420" t="n">
        <v>3.003</v>
      </c>
      <c r="D133" s="420" t="n">
        <v>0.16</v>
      </c>
      <c r="E133" s="420" t="n">
        <v>0.070524276352119</v>
      </c>
      <c r="F133" s="420" t="n">
        <v>-0.195</v>
      </c>
      <c r="G133" s="420" t="n">
        <v>0.02</v>
      </c>
      <c r="H133" s="420" t="n">
        <v>-0.195</v>
      </c>
      <c r="I133" s="420" t="n">
        <v>0.188</v>
      </c>
      <c r="J133" s="420" t="n">
        <v>0.1825</v>
      </c>
      <c r="K133" s="420" t="n">
        <v>0.2025</v>
      </c>
      <c r="L133" s="420" t="n">
        <v>-0.078</v>
      </c>
      <c r="M133" s="420" t="n">
        <v>-0.012</v>
      </c>
      <c r="N133" s="420" t="n">
        <v>-0.36</v>
      </c>
      <c r="O133" s="420" t="n">
        <v>-0.29</v>
      </c>
      <c r="P133" s="420" t="n">
        <v>0.0065</v>
      </c>
      <c r="Q133" s="420" t="n">
        <v>0.0085</v>
      </c>
      <c r="R133" s="418" t="n">
        <v>-0.0175</v>
      </c>
      <c r="S133" s="418" t="n">
        <v>-0.047</v>
      </c>
      <c r="T133" s="418" t="n">
        <v>-0.165</v>
      </c>
      <c r="U133" s="418" t="n">
        <v>-0.00875</v>
      </c>
      <c r="V133" s="418" t="n">
        <v>-0.0805</v>
      </c>
      <c r="W133" s="418" t="n">
        <v>-0.12</v>
      </c>
      <c r="X133" s="418" t="n">
        <v>0.395</v>
      </c>
      <c r="Y133" s="418" t="n">
        <v>0.005</v>
      </c>
      <c r="Z133" s="418" t="n">
        <v>-0.195</v>
      </c>
      <c r="AA133" s="418" t="n">
        <v>-0.016</v>
      </c>
      <c r="AB133" s="437" t="n">
        <v>0.29</v>
      </c>
      <c r="AC133" s="437" t="n">
        <v>0.2875</v>
      </c>
      <c r="AD133" s="437" t="n">
        <v>0.283</v>
      </c>
      <c r="AE133" s="438" t="n">
        <v>0.16</v>
      </c>
      <c r="AF133" s="438" t="n">
        <v>0.16</v>
      </c>
      <c r="AG133" s="438" t="n">
        <v>0.157</v>
      </c>
      <c r="AH133" s="438" t="n">
        <v>0.16</v>
      </c>
      <c r="AI133" s="438" t="n">
        <v>0.163</v>
      </c>
      <c r="AJ133" s="438" t="n">
        <v>0.16</v>
      </c>
      <c r="AK133" s="438" t="n">
        <v>0.157</v>
      </c>
      <c r="AL133" s="438" t="n">
        <v>0.157</v>
      </c>
      <c r="AM133" s="438" t="n">
        <v>0.16</v>
      </c>
      <c r="AN133" s="438" t="n">
        <v>0.16</v>
      </c>
      <c r="AO133" s="438" t="n">
        <v>0.16</v>
      </c>
      <c r="AP133" s="439" t="n">
        <v>0.16</v>
      </c>
      <c r="AQ133" s="439" t="n">
        <v>0.16</v>
      </c>
      <c r="AR133" s="439" t="n">
        <v>0.16</v>
      </c>
      <c r="AS133" s="439" t="n">
        <v>0.16</v>
      </c>
      <c r="AT133" s="438" t="n">
        <v>0.16</v>
      </c>
      <c r="AU133" s="438" t="n">
        <v>0.16</v>
      </c>
      <c r="AV133" s="438" t="n">
        <v>0.157</v>
      </c>
      <c r="AW133" s="418" t="n">
        <v>0.069960346881358</v>
      </c>
      <c r="AX133" s="418"/>
      <c r="AY133" s="437" t="n">
        <f aca="false">AG133</f>
        <v>0.157</v>
      </c>
      <c r="AZ133" s="437" t="n">
        <f aca="false">AG133</f>
        <v>0.157</v>
      </c>
      <c r="BA133" s="441" t="n">
        <f aca="false">AG133</f>
        <v>0.157</v>
      </c>
      <c r="BB133" s="442" t="n">
        <f aca="false">B133</f>
        <v>40330</v>
      </c>
      <c r="BC133" s="442" t="n">
        <v>0.508105647246314</v>
      </c>
      <c r="BD133" s="418" t="n">
        <v>0.508202047816214</v>
      </c>
      <c r="BF133" s="455" t="n">
        <v>40330</v>
      </c>
      <c r="BG133" s="66" t="n">
        <v>121</v>
      </c>
      <c r="HZ133" s="442" t="n">
        <f aca="false">B135</f>
        <v>40391</v>
      </c>
      <c r="IA133" s="418" t="n">
        <v>123</v>
      </c>
    </row>
    <row r="134" customFormat="false" ht="12.75" hidden="false" customHeight="false" outlineLevel="0" collapsed="false">
      <c r="A134" s="470"/>
      <c r="B134" s="419" t="n">
        <f aca="false">EOMONTH(B133,0)+1</f>
        <v>40360</v>
      </c>
      <c r="C134" s="420" t="n">
        <v>3.025</v>
      </c>
      <c r="D134" s="420" t="n">
        <v>0.16</v>
      </c>
      <c r="E134" s="420" t="n">
        <v>0.070536708089655</v>
      </c>
      <c r="F134" s="420" t="n">
        <v>-0.195</v>
      </c>
      <c r="G134" s="420" t="n">
        <v>0.0225</v>
      </c>
      <c r="H134" s="420" t="n">
        <v>-0.195</v>
      </c>
      <c r="I134" s="420" t="n">
        <v>0.178</v>
      </c>
      <c r="J134" s="420" t="n">
        <v>0.1825</v>
      </c>
      <c r="K134" s="420" t="n">
        <v>0.215</v>
      </c>
      <c r="L134" s="420" t="n">
        <v>-0.071</v>
      </c>
      <c r="M134" s="420" t="n">
        <v>-0.012</v>
      </c>
      <c r="N134" s="420" t="n">
        <v>-0.36</v>
      </c>
      <c r="O134" s="420" t="n">
        <v>-0.29</v>
      </c>
      <c r="P134" s="420" t="n">
        <v>0.0065</v>
      </c>
      <c r="Q134" s="420" t="n">
        <v>0.0085</v>
      </c>
      <c r="R134" s="418" t="n">
        <v>-0.0175</v>
      </c>
      <c r="S134" s="418" t="n">
        <v>-0.047</v>
      </c>
      <c r="T134" s="418" t="n">
        <v>-0.165</v>
      </c>
      <c r="U134" s="418" t="n">
        <v>-0.00875</v>
      </c>
      <c r="V134" s="418" t="n">
        <v>-0.0755</v>
      </c>
      <c r="W134" s="418" t="n">
        <v>-0.12</v>
      </c>
      <c r="X134" s="418" t="n">
        <v>0.43</v>
      </c>
      <c r="Y134" s="418" t="n">
        <v>0.005</v>
      </c>
      <c r="Z134" s="418" t="n">
        <v>-0.195</v>
      </c>
      <c r="AA134" s="418" t="n">
        <v>-0.016</v>
      </c>
      <c r="AB134" s="437" t="n">
        <v>0.29</v>
      </c>
      <c r="AC134" s="437" t="n">
        <v>0.3</v>
      </c>
      <c r="AD134" s="437" t="n">
        <v>0.273</v>
      </c>
      <c r="AE134" s="438" t="n">
        <v>0.16</v>
      </c>
      <c r="AF134" s="438" t="n">
        <v>0.16</v>
      </c>
      <c r="AG134" s="438" t="n">
        <v>0.157</v>
      </c>
      <c r="AH134" s="438" t="n">
        <v>0.16</v>
      </c>
      <c r="AI134" s="438" t="n">
        <v>0.163</v>
      </c>
      <c r="AJ134" s="438" t="n">
        <v>0.16</v>
      </c>
      <c r="AK134" s="438" t="n">
        <v>0.157</v>
      </c>
      <c r="AL134" s="438" t="n">
        <v>0.157</v>
      </c>
      <c r="AM134" s="438" t="n">
        <v>0.16</v>
      </c>
      <c r="AN134" s="438" t="n">
        <v>0.16</v>
      </c>
      <c r="AO134" s="438" t="n">
        <v>0.16</v>
      </c>
      <c r="AP134" s="439" t="n">
        <v>0.16</v>
      </c>
      <c r="AQ134" s="439" t="n">
        <v>0.16</v>
      </c>
      <c r="AR134" s="439" t="n">
        <v>0.16</v>
      </c>
      <c r="AS134" s="439" t="n">
        <v>0.16</v>
      </c>
      <c r="AT134" s="438" t="n">
        <v>0.16</v>
      </c>
      <c r="AU134" s="438" t="n">
        <v>0.16</v>
      </c>
      <c r="AV134" s="438" t="n">
        <v>0.157</v>
      </c>
      <c r="AW134" s="418" t="n">
        <v>0.069960204379663</v>
      </c>
      <c r="AX134" s="418"/>
      <c r="AY134" s="437" t="n">
        <f aca="false">AG134</f>
        <v>0.157</v>
      </c>
      <c r="AZ134" s="437" t="n">
        <f aca="false">AG134</f>
        <v>0.157</v>
      </c>
      <c r="BA134" s="441" t="n">
        <f aca="false">AG134</f>
        <v>0.157</v>
      </c>
      <c r="BB134" s="442" t="n">
        <f aca="false">B134</f>
        <v>40360</v>
      </c>
      <c r="BC134" s="442" t="n">
        <v>0.505225342563291</v>
      </c>
      <c r="BD134" s="418" t="n">
        <v>0.505321195769873</v>
      </c>
      <c r="BF134" s="455" t="n">
        <v>40360</v>
      </c>
      <c r="BG134" s="66" t="n">
        <v>122</v>
      </c>
      <c r="HZ134" s="442" t="n">
        <f aca="false">B136</f>
        <v>40422</v>
      </c>
      <c r="IA134" s="418" t="n">
        <v>124</v>
      </c>
    </row>
    <row r="135" customFormat="false" ht="12.75" hidden="false" customHeight="false" outlineLevel="0" collapsed="false">
      <c r="A135" s="470"/>
      <c r="B135" s="419" t="n">
        <f aca="false">EOMONTH(B134,0)+1</f>
        <v>40391</v>
      </c>
      <c r="C135" s="420" t="n">
        <v>3.046</v>
      </c>
      <c r="D135" s="420" t="n">
        <v>0.16</v>
      </c>
      <c r="E135" s="420" t="n">
        <v>0.070549554218496</v>
      </c>
      <c r="F135" s="420" t="n">
        <v>-0.195</v>
      </c>
      <c r="G135" s="420" t="n">
        <v>0.025</v>
      </c>
      <c r="H135" s="420" t="n">
        <v>-0.195</v>
      </c>
      <c r="I135" s="420" t="n">
        <v>0.175</v>
      </c>
      <c r="J135" s="420" t="n">
        <v>0.1825</v>
      </c>
      <c r="K135" s="420" t="n">
        <v>0.215</v>
      </c>
      <c r="L135" s="420" t="n">
        <v>-0.062</v>
      </c>
      <c r="M135" s="420" t="n">
        <v>-0.012</v>
      </c>
      <c r="N135" s="420" t="n">
        <v>-0.36</v>
      </c>
      <c r="O135" s="420" t="n">
        <v>-0.29</v>
      </c>
      <c r="P135" s="420" t="n">
        <v>0.0065</v>
      </c>
      <c r="Q135" s="420" t="n">
        <v>0.0085</v>
      </c>
      <c r="R135" s="418" t="n">
        <v>-0.0175</v>
      </c>
      <c r="S135" s="418" t="n">
        <v>-0.047</v>
      </c>
      <c r="T135" s="418" t="n">
        <v>-0.165</v>
      </c>
      <c r="U135" s="418" t="n">
        <v>-0.00875</v>
      </c>
      <c r="V135" s="418" t="n">
        <v>-0.0755</v>
      </c>
      <c r="W135" s="418" t="n">
        <v>-0.12</v>
      </c>
      <c r="X135" s="418" t="n">
        <v>0.495</v>
      </c>
      <c r="Y135" s="418" t="n">
        <v>0.005</v>
      </c>
      <c r="Z135" s="418" t="n">
        <v>-0.195</v>
      </c>
      <c r="AA135" s="418" t="n">
        <v>-0.016</v>
      </c>
      <c r="AB135" s="437" t="n">
        <v>0.29</v>
      </c>
      <c r="AC135" s="437" t="n">
        <v>0.3</v>
      </c>
      <c r="AD135" s="437" t="n">
        <v>0.27</v>
      </c>
      <c r="AE135" s="438" t="n">
        <v>0.16</v>
      </c>
      <c r="AF135" s="438" t="n">
        <v>0.16</v>
      </c>
      <c r="AG135" s="438" t="n">
        <v>0.157</v>
      </c>
      <c r="AH135" s="438" t="n">
        <v>0.16</v>
      </c>
      <c r="AI135" s="438" t="n">
        <v>0.163</v>
      </c>
      <c r="AJ135" s="438" t="n">
        <v>0.16</v>
      </c>
      <c r="AK135" s="438" t="n">
        <v>0.157</v>
      </c>
      <c r="AL135" s="438" t="n">
        <v>0.157</v>
      </c>
      <c r="AM135" s="438" t="n">
        <v>0.16</v>
      </c>
      <c r="AN135" s="438" t="n">
        <v>0.16</v>
      </c>
      <c r="AO135" s="438" t="n">
        <v>0.16</v>
      </c>
      <c r="AP135" s="439" t="n">
        <v>0.16</v>
      </c>
      <c r="AQ135" s="439" t="n">
        <v>0.16</v>
      </c>
      <c r="AR135" s="439" t="n">
        <v>0.16</v>
      </c>
      <c r="AS135" s="439" t="n">
        <v>0.16</v>
      </c>
      <c r="AT135" s="438" t="n">
        <v>0.16</v>
      </c>
      <c r="AU135" s="438" t="n">
        <v>0.16</v>
      </c>
      <c r="AV135" s="438" t="n">
        <v>0.157</v>
      </c>
      <c r="AW135" s="418" t="n">
        <v>0.069960057127913</v>
      </c>
      <c r="AX135" s="418"/>
      <c r="AY135" s="437" t="n">
        <f aca="false">AG135</f>
        <v>0.157</v>
      </c>
      <c r="AZ135" s="437" t="n">
        <f aca="false">AG135</f>
        <v>0.157</v>
      </c>
      <c r="BA135" s="441" t="n">
        <f aca="false">AG135</f>
        <v>0.157</v>
      </c>
      <c r="BB135" s="442" t="n">
        <f aca="false">B135</f>
        <v>40391</v>
      </c>
      <c r="BC135" s="442" t="n">
        <v>0.502266235864441</v>
      </c>
      <c r="BD135" s="418" t="n">
        <v>0.502361526737755</v>
      </c>
      <c r="BF135" s="455" t="n">
        <v>40391</v>
      </c>
      <c r="BG135" s="66" t="n">
        <v>123</v>
      </c>
      <c r="HZ135" s="442" t="n">
        <f aca="false">B137</f>
        <v>40452</v>
      </c>
      <c r="IA135" s="418" t="n">
        <v>125</v>
      </c>
    </row>
    <row r="136" customFormat="false" ht="12.75" hidden="false" customHeight="false" outlineLevel="0" collapsed="false">
      <c r="A136" s="470"/>
      <c r="B136" s="419" t="n">
        <f aca="false">EOMONTH(B135,0)+1</f>
        <v>40422</v>
      </c>
      <c r="C136" s="420" t="n">
        <v>3.022</v>
      </c>
      <c r="D136" s="420" t="n">
        <v>0.16</v>
      </c>
      <c r="E136" s="420" t="n">
        <v>0.070562023569542</v>
      </c>
      <c r="F136" s="420" t="n">
        <v>-0.195</v>
      </c>
      <c r="G136" s="420" t="n">
        <v>0.0175</v>
      </c>
      <c r="H136" s="420" t="n">
        <v>-0.195</v>
      </c>
      <c r="I136" s="420" t="n">
        <v>0.173</v>
      </c>
      <c r="J136" s="420" t="n">
        <v>0.1825</v>
      </c>
      <c r="K136" s="420" t="n">
        <v>0.195</v>
      </c>
      <c r="L136" s="420" t="n">
        <v>-0.042</v>
      </c>
      <c r="M136" s="435" t="n">
        <v>-0.012</v>
      </c>
      <c r="N136" s="420" t="n">
        <v>-0.36</v>
      </c>
      <c r="O136" s="420" t="n">
        <v>-0.29</v>
      </c>
      <c r="P136" s="420" t="n">
        <v>0.0065</v>
      </c>
      <c r="Q136" s="420" t="n">
        <v>0.0085</v>
      </c>
      <c r="R136" s="418" t="n">
        <v>-0.0175</v>
      </c>
      <c r="S136" s="418" t="n">
        <v>-0.047</v>
      </c>
      <c r="T136" s="418" t="n">
        <v>-0.155</v>
      </c>
      <c r="U136" s="418" t="n">
        <v>-0.00875</v>
      </c>
      <c r="V136" s="418" t="n">
        <v>-0.0905</v>
      </c>
      <c r="W136" s="418" t="n">
        <v>-0.12</v>
      </c>
      <c r="X136" s="418" t="n">
        <v>0.395</v>
      </c>
      <c r="Y136" s="418" t="n">
        <v>0.005</v>
      </c>
      <c r="Z136" s="418" t="n">
        <v>-0.195</v>
      </c>
      <c r="AA136" s="418" t="n">
        <v>-0.016</v>
      </c>
      <c r="AB136" s="437" t="n">
        <v>0.29</v>
      </c>
      <c r="AC136" s="437" t="n">
        <v>0.29</v>
      </c>
      <c r="AD136" s="437" t="n">
        <v>0.268</v>
      </c>
      <c r="AE136" s="438" t="n">
        <v>0.16</v>
      </c>
      <c r="AF136" s="438" t="n">
        <v>0.16</v>
      </c>
      <c r="AG136" s="438" t="n">
        <v>0.157</v>
      </c>
      <c r="AH136" s="438" t="n">
        <v>0.16</v>
      </c>
      <c r="AI136" s="438" t="n">
        <v>0.163</v>
      </c>
      <c r="AJ136" s="438" t="n">
        <v>0.16</v>
      </c>
      <c r="AK136" s="438" t="n">
        <v>0.157</v>
      </c>
      <c r="AL136" s="438" t="n">
        <v>0.157</v>
      </c>
      <c r="AM136" s="438" t="n">
        <v>0.16</v>
      </c>
      <c r="AN136" s="438" t="n">
        <v>0.16</v>
      </c>
      <c r="AO136" s="438" t="n">
        <v>0.16</v>
      </c>
      <c r="AP136" s="439" t="n">
        <v>0.16</v>
      </c>
      <c r="AQ136" s="439" t="n">
        <v>0.16</v>
      </c>
      <c r="AR136" s="439" t="n">
        <v>0.16</v>
      </c>
      <c r="AS136" s="439" t="n">
        <v>0.16</v>
      </c>
      <c r="AT136" s="438" t="n">
        <v>0.16</v>
      </c>
      <c r="AU136" s="438" t="n">
        <v>0.16</v>
      </c>
      <c r="AV136" s="438" t="n">
        <v>0.157</v>
      </c>
      <c r="AW136" s="418" t="n">
        <v>0.069961513275417</v>
      </c>
      <c r="AX136" s="418"/>
      <c r="AY136" s="437" t="n">
        <f aca="false">AG136</f>
        <v>0.157</v>
      </c>
      <c r="AZ136" s="437" t="n">
        <f aca="false">AG136</f>
        <v>0.157</v>
      </c>
      <c r="BA136" s="441" t="n">
        <f aca="false">AG136</f>
        <v>0.157</v>
      </c>
      <c r="BB136" s="442" t="n">
        <f aca="false">B136</f>
        <v>40422</v>
      </c>
      <c r="BC136" s="442" t="n">
        <v>0.499317453998438</v>
      </c>
      <c r="BD136" s="418" t="n">
        <v>0.499412186437877</v>
      </c>
      <c r="BF136" s="455" t="n">
        <v>40422</v>
      </c>
      <c r="BG136" s="66" t="n">
        <v>124</v>
      </c>
      <c r="HZ136" s="442" t="n">
        <f aca="false">B138</f>
        <v>40483</v>
      </c>
      <c r="IA136" s="418" t="n">
        <v>126</v>
      </c>
    </row>
    <row r="137" customFormat="false" ht="12.75" hidden="false" customHeight="false" outlineLevel="0" collapsed="false">
      <c r="A137" s="470"/>
      <c r="B137" s="419" t="n">
        <f aca="false">EOMONTH(B136,0)+1</f>
        <v>40452</v>
      </c>
      <c r="C137" s="420" t="n">
        <v>3.03</v>
      </c>
      <c r="D137" s="420" t="n">
        <v>0.16</v>
      </c>
      <c r="E137" s="420" t="n">
        <v>0.070563151971763</v>
      </c>
      <c r="F137" s="420" t="n">
        <v>-0.195</v>
      </c>
      <c r="G137" s="420" t="n">
        <v>0.0075</v>
      </c>
      <c r="H137" s="420" t="n">
        <v>-0.195</v>
      </c>
      <c r="I137" s="420" t="n">
        <v>0.188</v>
      </c>
      <c r="J137" s="420" t="n">
        <v>0.1875</v>
      </c>
      <c r="K137" s="420" t="n">
        <v>0.215</v>
      </c>
      <c r="L137" s="420" t="n">
        <v>-0.052</v>
      </c>
      <c r="M137" s="435" t="n">
        <v>-0.012</v>
      </c>
      <c r="N137" s="420" t="n">
        <v>-0.36</v>
      </c>
      <c r="O137" s="420" t="n">
        <v>-0.29</v>
      </c>
      <c r="P137" s="420" t="n">
        <v>0.0065</v>
      </c>
      <c r="Q137" s="420" t="n">
        <v>0.0085</v>
      </c>
      <c r="R137" s="418" t="n">
        <v>-0.0175</v>
      </c>
      <c r="S137" s="418" t="n">
        <v>-0.047</v>
      </c>
      <c r="T137" s="418" t="n">
        <v>-0.14</v>
      </c>
      <c r="U137" s="418" t="n">
        <v>-0.027</v>
      </c>
      <c r="V137" s="418" t="n">
        <v>-0.093</v>
      </c>
      <c r="W137" s="418" t="n">
        <v>-0.12</v>
      </c>
      <c r="X137" s="418" t="n">
        <v>0.461</v>
      </c>
      <c r="Y137" s="418" t="n">
        <v>0.005</v>
      </c>
      <c r="Z137" s="418" t="n">
        <v>-0.195</v>
      </c>
      <c r="AA137" s="418" t="n">
        <v>-0.016</v>
      </c>
      <c r="AB137" s="437" t="n">
        <v>0.29</v>
      </c>
      <c r="AC137" s="437" t="n">
        <v>0.3625</v>
      </c>
      <c r="AD137" s="437" t="n">
        <v>0.283</v>
      </c>
      <c r="AE137" s="438" t="n">
        <v>0.16</v>
      </c>
      <c r="AF137" s="438" t="n">
        <v>0.16</v>
      </c>
      <c r="AG137" s="438" t="n">
        <v>0.157</v>
      </c>
      <c r="AH137" s="438" t="n">
        <v>0.16</v>
      </c>
      <c r="AI137" s="438" t="n">
        <v>0.163</v>
      </c>
      <c r="AJ137" s="438" t="n">
        <v>0.16</v>
      </c>
      <c r="AK137" s="438" t="n">
        <v>0.157</v>
      </c>
      <c r="AL137" s="438" t="n">
        <v>0.157</v>
      </c>
      <c r="AM137" s="438" t="n">
        <v>0.16</v>
      </c>
      <c r="AN137" s="438" t="n">
        <v>0.16</v>
      </c>
      <c r="AO137" s="438" t="n">
        <v>0.16</v>
      </c>
      <c r="AP137" s="439" t="n">
        <v>0.16</v>
      </c>
      <c r="AQ137" s="439" t="n">
        <v>0.16</v>
      </c>
      <c r="AR137" s="439" t="n">
        <v>0.16</v>
      </c>
      <c r="AS137" s="439" t="n">
        <v>0.16</v>
      </c>
      <c r="AT137" s="438" t="n">
        <v>0.16</v>
      </c>
      <c r="AU137" s="438" t="n">
        <v>0.16</v>
      </c>
      <c r="AV137" s="438" t="n">
        <v>0.157</v>
      </c>
      <c r="AW137" s="418" t="n">
        <v>0.069968242484824</v>
      </c>
      <c r="AX137" s="418"/>
      <c r="AY137" s="437" t="n">
        <f aca="false">AG137</f>
        <v>0.157</v>
      </c>
      <c r="AZ137" s="437" t="n">
        <f aca="false">AG137</f>
        <v>0.157</v>
      </c>
      <c r="BA137" s="441" t="n">
        <f aca="false">AG137</f>
        <v>0.157</v>
      </c>
      <c r="BB137" s="442" t="n">
        <f aca="false">B137</f>
        <v>40452</v>
      </c>
      <c r="BC137" s="442" t="n">
        <v>0.496460519016198</v>
      </c>
      <c r="BD137" s="418" t="n">
        <v>0.496554715741219</v>
      </c>
      <c r="BF137" s="455" t="n">
        <v>40452</v>
      </c>
      <c r="BG137" s="66" t="n">
        <v>125</v>
      </c>
      <c r="HZ137" s="442" t="n">
        <f aca="false">B139</f>
        <v>40513</v>
      </c>
      <c r="IA137" s="418" t="n">
        <v>127</v>
      </c>
    </row>
    <row r="138" customFormat="false" ht="12.75" hidden="false" customHeight="false" outlineLevel="0" collapsed="false">
      <c r="B138" s="419" t="n">
        <f aca="false">EOMONTH(B137,0)+1</f>
        <v>40483</v>
      </c>
      <c r="C138" s="420" t="n">
        <v>3.087</v>
      </c>
      <c r="D138" s="420" t="n">
        <v>0.16</v>
      </c>
      <c r="E138" s="420" t="n">
        <v>0.07056431798739</v>
      </c>
      <c r="F138" s="420" t="n">
        <v>-0.19</v>
      </c>
      <c r="G138" s="420" t="n">
        <v>-0.0325</v>
      </c>
      <c r="H138" s="420" t="n">
        <v>-0.19</v>
      </c>
      <c r="I138" s="420" t="n">
        <v>0.25</v>
      </c>
      <c r="J138" s="420" t="n">
        <v>0.27</v>
      </c>
      <c r="K138" s="420" t="n">
        <v>0.2875</v>
      </c>
      <c r="L138" s="420" t="n">
        <v>-0.067</v>
      </c>
      <c r="M138" s="435" t="n">
        <v>-0.0045</v>
      </c>
      <c r="N138" s="420" t="n">
        <v>-0.28</v>
      </c>
      <c r="O138" s="420" t="n">
        <v>0</v>
      </c>
      <c r="P138" s="420" t="n">
        <v>0.016</v>
      </c>
      <c r="Q138" s="435" t="n">
        <v>0.000499999999999999</v>
      </c>
      <c r="R138" s="418" t="n">
        <v>-0.0205</v>
      </c>
      <c r="S138" s="418" t="n">
        <v>-0.0465</v>
      </c>
      <c r="T138" s="418" t="n">
        <v>-0.1025</v>
      </c>
      <c r="U138" s="418" t="n">
        <v>-0.026</v>
      </c>
      <c r="V138" s="418" t="n">
        <v>-0.0905</v>
      </c>
      <c r="W138" s="418" t="n">
        <v>-0.1325</v>
      </c>
      <c r="X138" s="418" t="n">
        <v>0.7675</v>
      </c>
      <c r="Y138" s="418" t="n">
        <v>0.005</v>
      </c>
      <c r="Z138" s="418" t="n">
        <v>-0.19</v>
      </c>
      <c r="AA138" s="418" t="n">
        <v>-0.0175</v>
      </c>
      <c r="AB138" s="437" t="n">
        <v>0.12</v>
      </c>
      <c r="AC138" s="437" t="n">
        <v>0.465</v>
      </c>
      <c r="AD138" s="437" t="n">
        <v>0.345</v>
      </c>
      <c r="AE138" s="438" t="n">
        <v>0.16</v>
      </c>
      <c r="AF138" s="438" t="n">
        <v>0.16</v>
      </c>
      <c r="AG138" s="438" t="n">
        <v>0.176</v>
      </c>
      <c r="AH138" s="438" t="n">
        <v>0.16</v>
      </c>
      <c r="AI138" s="438" t="n">
        <v>0.163</v>
      </c>
      <c r="AJ138" s="438" t="n">
        <v>0.16</v>
      </c>
      <c r="AK138" s="438" t="n">
        <v>0.16</v>
      </c>
      <c r="AL138" s="438" t="n">
        <v>0.16</v>
      </c>
      <c r="AM138" s="438" t="n">
        <v>0.16</v>
      </c>
      <c r="AN138" s="438" t="n">
        <v>0.16</v>
      </c>
      <c r="AO138" s="438" t="n">
        <v>0.16</v>
      </c>
      <c r="AP138" s="439" t="n">
        <v>0.16</v>
      </c>
      <c r="AQ138" s="439" t="n">
        <v>0.16</v>
      </c>
      <c r="AR138" s="439" t="n">
        <v>0.16</v>
      </c>
      <c r="AS138" s="439" t="n">
        <v>0.16</v>
      </c>
      <c r="AT138" s="438" t="n">
        <v>0.16</v>
      </c>
      <c r="AU138" s="438" t="n">
        <v>0.16</v>
      </c>
      <c r="AV138" s="438" t="n">
        <v>0.176</v>
      </c>
      <c r="AW138" s="418" t="n">
        <v>0.069975196001226</v>
      </c>
      <c r="AX138" s="418"/>
      <c r="AY138" s="437" t="n">
        <f aca="false">AG138</f>
        <v>0.176</v>
      </c>
      <c r="AZ138" s="437" t="n">
        <f aca="false">AG138</f>
        <v>0.176</v>
      </c>
      <c r="BA138" s="441" t="n">
        <f aca="false">AG138</f>
        <v>0.176</v>
      </c>
      <c r="BB138" s="442" t="n">
        <f aca="false">B138</f>
        <v>40483</v>
      </c>
      <c r="BC138" s="442" t="n">
        <v>0.493525129120047</v>
      </c>
      <c r="BD138" s="418" t="n">
        <v>0.493618775380431</v>
      </c>
      <c r="BF138" s="455" t="n">
        <v>40483</v>
      </c>
      <c r="BG138" s="66" t="n">
        <v>126</v>
      </c>
      <c r="HZ138" s="442" t="n">
        <f aca="false">B140</f>
        <v>40544</v>
      </c>
      <c r="IA138" s="418" t="n">
        <v>128</v>
      </c>
    </row>
    <row r="139" customFormat="false" ht="12.75" hidden="false" customHeight="false" outlineLevel="0" collapsed="false">
      <c r="B139" s="419" t="n">
        <f aca="false">EOMONTH(B138,0)+1</f>
        <v>40513</v>
      </c>
      <c r="C139" s="420" t="n">
        <v>3.152</v>
      </c>
      <c r="D139" s="420" t="n">
        <v>0.16</v>
      </c>
      <c r="E139" s="420" t="n">
        <v>0.070565446389611</v>
      </c>
      <c r="F139" s="420" t="n">
        <v>-0.1975</v>
      </c>
      <c r="G139" s="420" t="n">
        <v>-0.055</v>
      </c>
      <c r="H139" s="420" t="n">
        <v>-0.1975</v>
      </c>
      <c r="I139" s="420" t="n">
        <v>0.29</v>
      </c>
      <c r="J139" s="420" t="n">
        <v>0.305</v>
      </c>
      <c r="K139" s="420" t="n">
        <v>0.3375</v>
      </c>
      <c r="L139" s="420" t="n">
        <v>-0.067</v>
      </c>
      <c r="M139" s="435" t="n">
        <v>-0.0045</v>
      </c>
      <c r="N139" s="420" t="n">
        <v>-0.28</v>
      </c>
      <c r="O139" s="420" t="n">
        <v>0.06</v>
      </c>
      <c r="P139" s="420" t="n">
        <v>0.016</v>
      </c>
      <c r="Q139" s="435" t="n">
        <v>0.000499999999999999</v>
      </c>
      <c r="R139" s="418" t="n">
        <v>-0.0205</v>
      </c>
      <c r="S139" s="418" t="n">
        <v>-0.0465</v>
      </c>
      <c r="T139" s="418" t="n">
        <v>-0.095</v>
      </c>
      <c r="U139" s="418" t="n">
        <v>-0.026</v>
      </c>
      <c r="V139" s="418" t="n">
        <v>-0.1255</v>
      </c>
      <c r="W139" s="418" t="n">
        <v>-0.1275</v>
      </c>
      <c r="X139" s="418" t="n">
        <v>1.19</v>
      </c>
      <c r="Y139" s="418" t="n">
        <v>0.005</v>
      </c>
      <c r="Z139" s="418" t="n">
        <v>-0.19</v>
      </c>
      <c r="AA139" s="418" t="n">
        <v>-0.0175</v>
      </c>
      <c r="AB139" s="437" t="n">
        <v>0.12</v>
      </c>
      <c r="AC139" s="437" t="n">
        <v>0.8</v>
      </c>
      <c r="AD139" s="437" t="n">
        <v>0.385</v>
      </c>
      <c r="AE139" s="438" t="n">
        <v>0.16</v>
      </c>
      <c r="AF139" s="438" t="n">
        <v>0.16</v>
      </c>
      <c r="AG139" s="438" t="n">
        <v>0.176</v>
      </c>
      <c r="AH139" s="438" t="n">
        <v>0.16</v>
      </c>
      <c r="AI139" s="438" t="n">
        <v>0.163</v>
      </c>
      <c r="AJ139" s="438" t="n">
        <v>0.16</v>
      </c>
      <c r="AK139" s="438" t="n">
        <v>0.16</v>
      </c>
      <c r="AL139" s="438" t="n">
        <v>0.16</v>
      </c>
      <c r="AM139" s="438" t="n">
        <v>0.16</v>
      </c>
      <c r="AN139" s="438" t="n">
        <v>0.16</v>
      </c>
      <c r="AO139" s="438" t="n">
        <v>0.16</v>
      </c>
      <c r="AP139" s="439" t="n">
        <v>0.16</v>
      </c>
      <c r="AQ139" s="439" t="n">
        <v>0.16</v>
      </c>
      <c r="AR139" s="439" t="n">
        <v>0.16</v>
      </c>
      <c r="AS139" s="439" t="n">
        <v>0.16</v>
      </c>
      <c r="AT139" s="438" t="n">
        <v>0.16</v>
      </c>
      <c r="AU139" s="438" t="n">
        <v>0.16</v>
      </c>
      <c r="AV139" s="438" t="n">
        <v>0.176</v>
      </c>
      <c r="AW139" s="418" t="n">
        <v>0.069981925210664</v>
      </c>
      <c r="AX139" s="418"/>
      <c r="AY139" s="437" t="n">
        <f aca="false">AG139</f>
        <v>0.176</v>
      </c>
      <c r="AZ139" s="437" t="n">
        <f aca="false">AG139</f>
        <v>0.176</v>
      </c>
      <c r="BA139" s="441" t="n">
        <f aca="false">AG139</f>
        <v>0.176</v>
      </c>
      <c r="BB139" s="442" t="n">
        <f aca="false">B139</f>
        <v>40513</v>
      </c>
      <c r="BC139" s="442" t="n">
        <v>0.49070057481335</v>
      </c>
      <c r="BD139" s="418" t="n">
        <v>0.490793691356367</v>
      </c>
      <c r="BF139" s="455" t="n">
        <v>40513</v>
      </c>
      <c r="BG139" s="66" t="n">
        <v>127</v>
      </c>
      <c r="HZ139" s="442" t="n">
        <f aca="false">B141</f>
        <v>40575</v>
      </c>
      <c r="IA139" s="418" t="n">
        <v>129</v>
      </c>
    </row>
    <row r="140" customFormat="false" ht="12.75" hidden="false" customHeight="false" outlineLevel="0" collapsed="false">
      <c r="B140" s="419" t="n">
        <f aca="false">EOMONTH(B139,0)+1</f>
        <v>40544</v>
      </c>
      <c r="C140" s="420" t="n">
        <v>3.453</v>
      </c>
      <c r="D140" s="420" t="n">
        <v>0.16</v>
      </c>
      <c r="E140" s="420" t="n">
        <v>0.07056661240524</v>
      </c>
      <c r="F140" s="420" t="n">
        <v>-0.2</v>
      </c>
      <c r="G140" s="420" t="n">
        <v>-0.0575</v>
      </c>
      <c r="H140" s="420" t="n">
        <v>-0.2</v>
      </c>
      <c r="I140" s="420" t="n">
        <v>0.3</v>
      </c>
      <c r="J140" s="420" t="n">
        <v>0.305</v>
      </c>
      <c r="K140" s="420" t="n">
        <v>0.4375</v>
      </c>
      <c r="L140" s="420" t="n">
        <v>-0.067</v>
      </c>
      <c r="M140" s="435" t="n">
        <v>-0.0025</v>
      </c>
      <c r="N140" s="420" t="n">
        <v>-0.28</v>
      </c>
      <c r="O140" s="420" t="n">
        <v>0.13</v>
      </c>
      <c r="P140" s="420" t="n">
        <v>0.016</v>
      </c>
      <c r="Q140" s="435" t="n">
        <v>0.000499999999999999</v>
      </c>
      <c r="R140" s="418" t="n">
        <v>-0.016</v>
      </c>
      <c r="S140" s="418" t="n">
        <v>-0.0465</v>
      </c>
      <c r="T140" s="418" t="n">
        <v>-0.08</v>
      </c>
      <c r="U140" s="418" t="n">
        <v>-0.0235</v>
      </c>
      <c r="V140" s="418" t="n">
        <v>-0.131</v>
      </c>
      <c r="W140" s="418" t="n">
        <v>-0.1275</v>
      </c>
      <c r="X140" s="418" t="n">
        <v>1.525</v>
      </c>
      <c r="Y140" s="418" t="n">
        <v>0.005</v>
      </c>
      <c r="Z140" s="418" t="n">
        <v>-0.19</v>
      </c>
      <c r="AA140" s="418" t="n">
        <v>-0.0175</v>
      </c>
      <c r="AB140" s="437" t="n">
        <v>0.12</v>
      </c>
      <c r="AC140" s="437" t="n">
        <v>0.975</v>
      </c>
      <c r="AD140" s="437" t="n">
        <v>0.395</v>
      </c>
      <c r="AE140" s="438" t="n">
        <v>0.16</v>
      </c>
      <c r="AF140" s="438" t="n">
        <v>0.16</v>
      </c>
      <c r="AG140" s="438" t="n">
        <v>0.176</v>
      </c>
      <c r="AH140" s="438" t="n">
        <v>0.16</v>
      </c>
      <c r="AI140" s="438" t="n">
        <v>0.163</v>
      </c>
      <c r="AJ140" s="438" t="n">
        <v>0.16</v>
      </c>
      <c r="AK140" s="438" t="n">
        <v>0.16</v>
      </c>
      <c r="AL140" s="438" t="n">
        <v>0.16</v>
      </c>
      <c r="AM140" s="438" t="n">
        <v>0.16</v>
      </c>
      <c r="AN140" s="438" t="n">
        <v>0.16</v>
      </c>
      <c r="AO140" s="438" t="n">
        <v>0.16</v>
      </c>
      <c r="AP140" s="439" t="n">
        <v>0.16</v>
      </c>
      <c r="AQ140" s="439" t="n">
        <v>0.16</v>
      </c>
      <c r="AR140" s="439" t="n">
        <v>0.16</v>
      </c>
      <c r="AS140" s="439" t="n">
        <v>0.16</v>
      </c>
      <c r="AT140" s="438" t="n">
        <v>0.16</v>
      </c>
      <c r="AU140" s="438" t="n">
        <v>0.16</v>
      </c>
      <c r="AV140" s="438" t="n">
        <v>0.176</v>
      </c>
      <c r="AW140" s="418" t="n">
        <v>0.069988878727098</v>
      </c>
      <c r="AX140" s="418"/>
      <c r="AY140" s="437" t="n">
        <f aca="false">AG140</f>
        <v>0.176</v>
      </c>
      <c r="AZ140" s="437" t="n">
        <f aca="false">AG140</f>
        <v>0.176</v>
      </c>
      <c r="BA140" s="441" t="n">
        <f aca="false">AG140</f>
        <v>0.176</v>
      </c>
      <c r="BB140" s="442" t="n">
        <f aca="false">B140</f>
        <v>40544</v>
      </c>
      <c r="BC140" s="442" t="n">
        <v>0.487798459490836</v>
      </c>
      <c r="BD140" s="418" t="n">
        <v>0.487891031732272</v>
      </c>
      <c r="BF140" s="455" t="n">
        <v>40544</v>
      </c>
      <c r="BG140" s="66" t="n">
        <v>128</v>
      </c>
      <c r="HZ140" s="442" t="n">
        <f aca="false">B142</f>
        <v>40603</v>
      </c>
      <c r="IA140" s="418" t="n">
        <v>130</v>
      </c>
    </row>
    <row r="141" customFormat="false" ht="12.75" hidden="false" customHeight="false" outlineLevel="0" collapsed="false">
      <c r="B141" s="419" t="n">
        <f aca="false">EOMONTH(B140,0)+1</f>
        <v>40575</v>
      </c>
      <c r="C141" s="420" t="n">
        <v>3.343</v>
      </c>
      <c r="D141" s="420" t="n">
        <v>0.16</v>
      </c>
      <c r="E141" s="420" t="n">
        <v>0.070567778420869</v>
      </c>
      <c r="F141" s="420" t="n">
        <v>-0.2025</v>
      </c>
      <c r="G141" s="420" t="n">
        <v>-0.04</v>
      </c>
      <c r="H141" s="420" t="n">
        <v>-0.2025</v>
      </c>
      <c r="I141" s="420" t="n">
        <v>0.275</v>
      </c>
      <c r="J141" s="420" t="n">
        <v>0.305</v>
      </c>
      <c r="K141" s="420" t="n">
        <v>0.435</v>
      </c>
      <c r="L141" s="420" t="n">
        <v>-0.067</v>
      </c>
      <c r="M141" s="435" t="n">
        <v>-0.0025</v>
      </c>
      <c r="N141" s="420" t="n">
        <v>-0.28</v>
      </c>
      <c r="O141" s="420" t="n">
        <v>0</v>
      </c>
      <c r="P141" s="420" t="n">
        <v>0.016</v>
      </c>
      <c r="Q141" s="435" t="n">
        <v>0.000499999999999999</v>
      </c>
      <c r="R141" s="418" t="n">
        <v>-0.016</v>
      </c>
      <c r="S141" s="418" t="n">
        <v>-0.0465</v>
      </c>
      <c r="T141" s="418" t="n">
        <v>-0.08</v>
      </c>
      <c r="U141" s="418" t="n">
        <v>-0.0235</v>
      </c>
      <c r="V141" s="418" t="n">
        <v>-0.1135</v>
      </c>
      <c r="W141" s="418" t="n">
        <v>-0.1275</v>
      </c>
      <c r="X141" s="418" t="n">
        <v>1.455</v>
      </c>
      <c r="Y141" s="418" t="n">
        <v>0.005</v>
      </c>
      <c r="Z141" s="418" t="n">
        <v>-0.19</v>
      </c>
      <c r="AA141" s="418" t="n">
        <v>-0.0175</v>
      </c>
      <c r="AB141" s="437" t="n">
        <v>0.12</v>
      </c>
      <c r="AC141" s="437" t="n">
        <v>0.975</v>
      </c>
      <c r="AD141" s="437" t="n">
        <v>0.37</v>
      </c>
      <c r="AE141" s="438" t="n">
        <v>0.16</v>
      </c>
      <c r="AF141" s="438" t="n">
        <v>0.16</v>
      </c>
      <c r="AG141" s="438" t="n">
        <v>0.176</v>
      </c>
      <c r="AH141" s="438" t="n">
        <v>0.16</v>
      </c>
      <c r="AI141" s="438" t="n">
        <v>0.163</v>
      </c>
      <c r="AJ141" s="438" t="n">
        <v>0.16</v>
      </c>
      <c r="AK141" s="438" t="n">
        <v>0.16</v>
      </c>
      <c r="AL141" s="438" t="n">
        <v>0.16</v>
      </c>
      <c r="AM141" s="438" t="n">
        <v>0.16</v>
      </c>
      <c r="AN141" s="438" t="n">
        <v>0.16</v>
      </c>
      <c r="AO141" s="438" t="n">
        <v>0.16</v>
      </c>
      <c r="AP141" s="439" t="n">
        <v>0.16</v>
      </c>
      <c r="AQ141" s="439" t="n">
        <v>0.16</v>
      </c>
      <c r="AR141" s="439" t="n">
        <v>0.16</v>
      </c>
      <c r="AS141" s="439" t="n">
        <v>0.16</v>
      </c>
      <c r="AT141" s="438" t="n">
        <v>0.16</v>
      </c>
      <c r="AU141" s="438" t="n">
        <v>0.16</v>
      </c>
      <c r="AV141" s="438" t="n">
        <v>0.176</v>
      </c>
      <c r="AW141" s="418" t="n">
        <v>0.069995832243549</v>
      </c>
      <c r="AX141" s="418"/>
      <c r="AY141" s="437" t="n">
        <f aca="false">AG141</f>
        <v>0.176</v>
      </c>
      <c r="AZ141" s="437" t="n">
        <f aca="false">AG141</f>
        <v>0.176</v>
      </c>
      <c r="BA141" s="441" t="n">
        <f aca="false">AG141</f>
        <v>0.176</v>
      </c>
      <c r="BB141" s="442" t="n">
        <f aca="false">B141</f>
        <v>40575</v>
      </c>
      <c r="BC141" s="442" t="n">
        <v>0.484913112947883</v>
      </c>
      <c r="BD141" s="418" t="n">
        <v>0.485005143993966</v>
      </c>
      <c r="BF141" s="455" t="n">
        <v>40575</v>
      </c>
      <c r="BG141" s="66" t="n">
        <v>129</v>
      </c>
      <c r="HZ141" s="442" t="n">
        <f aca="false">B143</f>
        <v>40634</v>
      </c>
      <c r="IA141" s="418" t="n">
        <v>131</v>
      </c>
    </row>
    <row r="142" customFormat="false" ht="12.75" hidden="false" customHeight="false" outlineLevel="0" collapsed="false">
      <c r="B142" s="419" t="n">
        <f aca="false">EOMONTH(B141,0)+1</f>
        <v>40603</v>
      </c>
      <c r="C142" s="420" t="n">
        <v>3.197</v>
      </c>
      <c r="D142" s="420" t="n">
        <v>0.155</v>
      </c>
      <c r="E142" s="420" t="n">
        <v>0.070568831596276</v>
      </c>
      <c r="F142" s="420" t="n">
        <v>-0.205</v>
      </c>
      <c r="G142" s="420" t="n">
        <v>-0.0275</v>
      </c>
      <c r="H142" s="420" t="n">
        <v>-0.205</v>
      </c>
      <c r="I142" s="420" t="n">
        <v>0.273</v>
      </c>
      <c r="J142" s="420" t="n">
        <v>0.265</v>
      </c>
      <c r="K142" s="420" t="n">
        <v>0.3025</v>
      </c>
      <c r="L142" s="420" t="n">
        <v>-0.067</v>
      </c>
      <c r="M142" s="435" t="n">
        <v>-0.0025</v>
      </c>
      <c r="N142" s="420" t="n">
        <v>-0.28</v>
      </c>
      <c r="O142" s="420" t="n">
        <v>-0.18</v>
      </c>
      <c r="P142" s="420" t="n">
        <v>0.016</v>
      </c>
      <c r="Q142" s="435" t="n">
        <v>0.000499999999999999</v>
      </c>
      <c r="R142" s="418" t="n">
        <v>-0.016</v>
      </c>
      <c r="S142" s="418" t="n">
        <v>-0.0465</v>
      </c>
      <c r="T142" s="418" t="n">
        <v>-0.08</v>
      </c>
      <c r="U142" s="418" t="n">
        <v>-0.005</v>
      </c>
      <c r="V142" s="418" t="n">
        <v>-0.096</v>
      </c>
      <c r="W142" s="418" t="n">
        <v>-0.1325</v>
      </c>
      <c r="X142" s="418" t="n">
        <v>0.835</v>
      </c>
      <c r="Y142" s="418" t="n">
        <v>0.005</v>
      </c>
      <c r="Z142" s="418" t="n">
        <v>-0.19</v>
      </c>
      <c r="AA142" s="418" t="n">
        <v>-0.0175</v>
      </c>
      <c r="AB142" s="437" t="n">
        <v>0.12</v>
      </c>
      <c r="AC142" s="437" t="n">
        <v>0.6075</v>
      </c>
      <c r="AD142" s="437" t="n">
        <v>0.368</v>
      </c>
      <c r="AE142" s="438" t="n">
        <v>0.155</v>
      </c>
      <c r="AF142" s="438" t="n">
        <v>0.155</v>
      </c>
      <c r="AG142" s="438" t="n">
        <v>0.171</v>
      </c>
      <c r="AH142" s="438" t="n">
        <v>0.155</v>
      </c>
      <c r="AI142" s="438" t="n">
        <v>0.158</v>
      </c>
      <c r="AJ142" s="438" t="n">
        <v>0.155</v>
      </c>
      <c r="AK142" s="438" t="n">
        <v>0.155</v>
      </c>
      <c r="AL142" s="438" t="n">
        <v>0.155</v>
      </c>
      <c r="AM142" s="438" t="n">
        <v>0.155</v>
      </c>
      <c r="AN142" s="438" t="n">
        <v>0.155</v>
      </c>
      <c r="AO142" s="438" t="n">
        <v>0.155</v>
      </c>
      <c r="AP142" s="439" t="n">
        <v>0.155</v>
      </c>
      <c r="AQ142" s="439" t="n">
        <v>0.155</v>
      </c>
      <c r="AR142" s="439" t="n">
        <v>0.155</v>
      </c>
      <c r="AS142" s="439" t="n">
        <v>0.155</v>
      </c>
      <c r="AT142" s="438" t="n">
        <v>0.155</v>
      </c>
      <c r="AU142" s="438" t="n">
        <v>0.155</v>
      </c>
      <c r="AV142" s="438" t="n">
        <v>0.171</v>
      </c>
      <c r="AW142" s="418" t="n">
        <v>0.070002112839066</v>
      </c>
      <c r="AX142" s="418"/>
      <c r="AY142" s="437" t="n">
        <f aca="false">AG142</f>
        <v>0.171</v>
      </c>
      <c r="AZ142" s="437" t="n">
        <f aca="false">AG142</f>
        <v>0.171</v>
      </c>
      <c r="BA142" s="441" t="n">
        <f aca="false">AG142</f>
        <v>0.171</v>
      </c>
      <c r="BB142" s="442" t="n">
        <f aca="false">B142</f>
        <v>40603</v>
      </c>
      <c r="BC142" s="442" t="n">
        <v>0.482321327998536</v>
      </c>
      <c r="BD142" s="418" t="n">
        <v>0.482412872878508</v>
      </c>
      <c r="BF142" s="455" t="n">
        <v>40603</v>
      </c>
      <c r="BG142" s="66" t="n">
        <v>130</v>
      </c>
      <c r="HZ142" s="442" t="n">
        <f aca="false">B144</f>
        <v>40664</v>
      </c>
      <c r="IA142" s="418" t="n">
        <v>132</v>
      </c>
    </row>
    <row r="143" customFormat="false" ht="12.75" hidden="false" customHeight="false" outlineLevel="0" collapsed="false">
      <c r="B143" s="419" t="n">
        <f aca="false">EOMONTH(B142,0)+1</f>
        <v>40634</v>
      </c>
      <c r="C143" s="420" t="n">
        <v>3.043</v>
      </c>
      <c r="D143" s="420" t="n">
        <v>0.155</v>
      </c>
      <c r="E143" s="420" t="n">
        <v>0.070569997611905</v>
      </c>
      <c r="F143" s="420" t="n">
        <v>-0.195</v>
      </c>
      <c r="G143" s="420" t="n">
        <v>0.015</v>
      </c>
      <c r="H143" s="420" t="n">
        <v>-0.195</v>
      </c>
      <c r="I143" s="420" t="n">
        <v>0.178</v>
      </c>
      <c r="J143" s="420" t="n">
        <v>0.195</v>
      </c>
      <c r="K143" s="420" t="n">
        <v>0.25</v>
      </c>
      <c r="L143" s="420" t="n">
        <v>-0.06</v>
      </c>
      <c r="M143" s="420" t="n">
        <v>-0.009999999</v>
      </c>
      <c r="N143" s="420" t="n">
        <v>0</v>
      </c>
      <c r="O143" s="420" t="n">
        <v>-0.29</v>
      </c>
      <c r="P143" s="420" t="n">
        <v>0.0065</v>
      </c>
      <c r="Q143" s="420" t="n">
        <v>0.0105</v>
      </c>
      <c r="R143" s="418" t="n">
        <v>-0.0155</v>
      </c>
      <c r="S143" s="418" t="n">
        <v>-0.044</v>
      </c>
      <c r="T143" s="418" t="n">
        <v>-0.125</v>
      </c>
      <c r="U143" s="418" t="n">
        <v>-0.005</v>
      </c>
      <c r="V143" s="418" t="n">
        <v>-0.0885</v>
      </c>
      <c r="W143" s="418" t="n">
        <v>-0.12</v>
      </c>
      <c r="X143" s="418" t="n">
        <v>0.45</v>
      </c>
      <c r="Y143" s="418" t="n">
        <v>0.005</v>
      </c>
      <c r="Z143" s="418" t="n">
        <v>-0.19</v>
      </c>
      <c r="AA143" s="418" t="n">
        <v>-0.015</v>
      </c>
      <c r="AB143" s="437" t="n">
        <v>0.295</v>
      </c>
      <c r="AC143" s="437" t="n">
        <v>0.355</v>
      </c>
      <c r="AD143" s="437" t="n">
        <v>0.273</v>
      </c>
      <c r="AE143" s="438" t="n">
        <v>0.155</v>
      </c>
      <c r="AF143" s="438" t="n">
        <v>0.155</v>
      </c>
      <c r="AG143" s="438" t="n">
        <v>0.152</v>
      </c>
      <c r="AH143" s="438" t="n">
        <v>0.155</v>
      </c>
      <c r="AI143" s="438" t="n">
        <v>0.158</v>
      </c>
      <c r="AJ143" s="438" t="n">
        <v>0.155</v>
      </c>
      <c r="AK143" s="438" t="n">
        <v>0.152</v>
      </c>
      <c r="AL143" s="438" t="n">
        <v>0.152</v>
      </c>
      <c r="AM143" s="438" t="n">
        <v>0.155</v>
      </c>
      <c r="AN143" s="438" t="n">
        <v>0.155</v>
      </c>
      <c r="AO143" s="438" t="n">
        <v>0.155</v>
      </c>
      <c r="AP143" s="439" t="n">
        <v>0.155</v>
      </c>
      <c r="AQ143" s="439" t="n">
        <v>0.155</v>
      </c>
      <c r="AR143" s="439" t="n">
        <v>0.155</v>
      </c>
      <c r="AS143" s="439" t="n">
        <v>0.155</v>
      </c>
      <c r="AT143" s="438" t="n">
        <v>0.155</v>
      </c>
      <c r="AU143" s="438" t="n">
        <v>0.155</v>
      </c>
      <c r="AV143" s="438" t="n">
        <v>0.152</v>
      </c>
      <c r="AW143" s="418" t="n">
        <v>0.070009066355547</v>
      </c>
      <c r="AX143" s="418"/>
      <c r="AY143" s="437" t="n">
        <f aca="false">AG143</f>
        <v>0.152</v>
      </c>
      <c r="AZ143" s="437" t="n">
        <f aca="false">AG143</f>
        <v>0.152</v>
      </c>
      <c r="BA143" s="441" t="n">
        <f aca="false">AG143</f>
        <v>0.152</v>
      </c>
      <c r="BB143" s="442" t="n">
        <f aca="false">B143</f>
        <v>40634</v>
      </c>
      <c r="BC143" s="442" t="n">
        <v>0.479467635581594</v>
      </c>
      <c r="BD143" s="418" t="n">
        <v>0.479558645130418</v>
      </c>
      <c r="BF143" s="455" t="n">
        <v>40634</v>
      </c>
      <c r="BG143" s="66" t="n">
        <v>131</v>
      </c>
      <c r="HZ143" s="442" t="n">
        <f aca="false">B145</f>
        <v>40695</v>
      </c>
      <c r="IA143" s="418" t="n">
        <v>133</v>
      </c>
    </row>
    <row r="144" customFormat="false" ht="12.75" hidden="false" customHeight="false" outlineLevel="0" collapsed="false">
      <c r="B144" s="419" t="n">
        <f aca="false">EOMONTH(B143,0)+1</f>
        <v>40664</v>
      </c>
      <c r="C144" s="420" t="n">
        <v>3.039</v>
      </c>
      <c r="D144" s="420" t="n">
        <v>0.155</v>
      </c>
      <c r="E144" s="420" t="n">
        <v>0.070571126014129</v>
      </c>
      <c r="F144" s="420" t="n">
        <v>-0.195</v>
      </c>
      <c r="G144" s="420" t="n">
        <v>0.015</v>
      </c>
      <c r="H144" s="420" t="n">
        <v>-0.195</v>
      </c>
      <c r="I144" s="420" t="n">
        <v>0.188</v>
      </c>
      <c r="J144" s="420" t="n">
        <v>0.1825</v>
      </c>
      <c r="K144" s="420" t="n">
        <v>0.2025</v>
      </c>
      <c r="L144" s="420" t="n">
        <v>-0.06</v>
      </c>
      <c r="M144" s="435" t="n">
        <v>-0.009999999</v>
      </c>
      <c r="N144" s="420" t="n">
        <v>0</v>
      </c>
      <c r="O144" s="420" t="n">
        <v>-0.29</v>
      </c>
      <c r="P144" s="420" t="n">
        <v>0.0065</v>
      </c>
      <c r="Q144" s="420" t="n">
        <v>0.0105</v>
      </c>
      <c r="R144" s="418" t="n">
        <v>-0.0155</v>
      </c>
      <c r="S144" s="418" t="n">
        <v>-0.044</v>
      </c>
      <c r="T144" s="418" t="n">
        <v>-0.14</v>
      </c>
      <c r="U144" s="418" t="n">
        <v>-0.00525</v>
      </c>
      <c r="V144" s="418" t="n">
        <v>-0.0885</v>
      </c>
      <c r="W144" s="418" t="n">
        <v>-0.12</v>
      </c>
      <c r="X144" s="418" t="n">
        <v>0.405</v>
      </c>
      <c r="Y144" s="418" t="n">
        <v>0.005</v>
      </c>
      <c r="Z144" s="418" t="n">
        <v>-0.19</v>
      </c>
      <c r="AA144" s="418" t="n">
        <v>-0.015</v>
      </c>
      <c r="AB144" s="437" t="n">
        <v>0.295</v>
      </c>
      <c r="AC144" s="437" t="n">
        <v>0.2875</v>
      </c>
      <c r="AD144" s="437" t="n">
        <v>0.283</v>
      </c>
      <c r="AE144" s="438" t="n">
        <v>0.155</v>
      </c>
      <c r="AF144" s="438" t="n">
        <v>0.155</v>
      </c>
      <c r="AG144" s="438" t="n">
        <v>0.152</v>
      </c>
      <c r="AH144" s="438" t="n">
        <v>0.155</v>
      </c>
      <c r="AI144" s="438" t="n">
        <v>0.158</v>
      </c>
      <c r="AJ144" s="438" t="n">
        <v>0.155</v>
      </c>
      <c r="AK144" s="438" t="n">
        <v>0.152</v>
      </c>
      <c r="AL144" s="438" t="n">
        <v>0.152</v>
      </c>
      <c r="AM144" s="438" t="n">
        <v>0.155</v>
      </c>
      <c r="AN144" s="438" t="n">
        <v>0.155</v>
      </c>
      <c r="AO144" s="438" t="n">
        <v>0.155</v>
      </c>
      <c r="AP144" s="439" t="n">
        <v>0.155</v>
      </c>
      <c r="AQ144" s="439" t="n">
        <v>0.155</v>
      </c>
      <c r="AR144" s="439" t="n">
        <v>0.155</v>
      </c>
      <c r="AS144" s="439" t="n">
        <v>0.155</v>
      </c>
      <c r="AT144" s="438" t="n">
        <v>0.155</v>
      </c>
      <c r="AU144" s="438" t="n">
        <v>0.155</v>
      </c>
      <c r="AV144" s="438" t="n">
        <v>0.152</v>
      </c>
      <c r="AW144" s="418" t="n">
        <v>0.07001579556506</v>
      </c>
      <c r="AX144" s="418"/>
      <c r="AY144" s="437" t="n">
        <f aca="false">AG144</f>
        <v>0.152</v>
      </c>
      <c r="AZ144" s="437" t="n">
        <f aca="false">AG144</f>
        <v>0.152</v>
      </c>
      <c r="BA144" s="441" t="n">
        <f aca="false">AG144</f>
        <v>0.152</v>
      </c>
      <c r="BB144" s="442" t="n">
        <f aca="false">B144</f>
        <v>40664</v>
      </c>
      <c r="BC144" s="442" t="n">
        <v>0.476721704963315</v>
      </c>
      <c r="BD144" s="418" t="n">
        <v>0.476812199359947</v>
      </c>
      <c r="BF144" s="455" t="n">
        <v>40664</v>
      </c>
      <c r="BG144" s="66" t="n">
        <v>132</v>
      </c>
      <c r="HZ144" s="442" t="n">
        <f aca="false">B146</f>
        <v>40725</v>
      </c>
      <c r="IA144" s="418" t="n">
        <v>134</v>
      </c>
    </row>
    <row r="145" customFormat="false" ht="12.75" hidden="false" customHeight="false" outlineLevel="0" collapsed="false">
      <c r="A145" s="473"/>
      <c r="B145" s="419" t="n">
        <f aca="false">EOMONTH(B144,0)+1</f>
        <v>40695</v>
      </c>
      <c r="C145" s="420" t="n">
        <v>3.067</v>
      </c>
      <c r="D145" s="420" t="n">
        <v>0.155</v>
      </c>
      <c r="E145" s="420" t="n">
        <v>0.070572292029759</v>
      </c>
      <c r="F145" s="420" t="n">
        <v>-0.195</v>
      </c>
      <c r="G145" s="420" t="n">
        <v>0.02</v>
      </c>
      <c r="H145" s="420" t="n">
        <v>-0.195</v>
      </c>
      <c r="I145" s="420" t="n">
        <v>0.183</v>
      </c>
      <c r="J145" s="420" t="n">
        <v>0.1825</v>
      </c>
      <c r="K145" s="420" t="n">
        <v>0.2025</v>
      </c>
      <c r="L145" s="420" t="n">
        <v>-0.076</v>
      </c>
      <c r="M145" s="435" t="n">
        <v>-0.009999999</v>
      </c>
      <c r="N145" s="420" t="n">
        <v>0</v>
      </c>
      <c r="O145" s="420" t="n">
        <v>-0.29</v>
      </c>
      <c r="P145" s="420" t="n">
        <v>0.0065</v>
      </c>
      <c r="Q145" s="420" t="n">
        <v>0.0105</v>
      </c>
      <c r="R145" s="418" t="n">
        <v>-0.0155</v>
      </c>
      <c r="S145" s="418" t="n">
        <v>-0.044</v>
      </c>
      <c r="T145" s="418" t="n">
        <v>-0.15</v>
      </c>
      <c r="U145" s="418" t="n">
        <v>-0.00525</v>
      </c>
      <c r="V145" s="418" t="n">
        <v>-0.0785</v>
      </c>
      <c r="W145" s="418" t="n">
        <v>-0.12</v>
      </c>
      <c r="X145" s="418" t="n">
        <v>0.395</v>
      </c>
      <c r="Y145" s="418" t="n">
        <v>0.005</v>
      </c>
      <c r="Z145" s="418" t="n">
        <v>-0.19</v>
      </c>
      <c r="AA145" s="418" t="n">
        <v>-0.015</v>
      </c>
      <c r="AB145" s="437" t="n">
        <v>0.295</v>
      </c>
      <c r="AC145" s="437" t="n">
        <v>0.2875</v>
      </c>
      <c r="AD145" s="437" t="n">
        <v>0.278</v>
      </c>
      <c r="AE145" s="438" t="n">
        <v>0.155</v>
      </c>
      <c r="AF145" s="438" t="n">
        <v>0.155</v>
      </c>
      <c r="AG145" s="438" t="n">
        <v>0.152</v>
      </c>
      <c r="AH145" s="438" t="n">
        <v>0.155</v>
      </c>
      <c r="AI145" s="438" t="n">
        <v>0.158</v>
      </c>
      <c r="AJ145" s="438" t="n">
        <v>0.155</v>
      </c>
      <c r="AK145" s="438" t="n">
        <v>0.152</v>
      </c>
      <c r="AL145" s="438" t="n">
        <v>0.152</v>
      </c>
      <c r="AM145" s="438" t="n">
        <v>0.155</v>
      </c>
      <c r="AN145" s="438" t="n">
        <v>0.155</v>
      </c>
      <c r="AO145" s="438" t="n">
        <v>0.155</v>
      </c>
      <c r="AP145" s="439" t="n">
        <v>0.155</v>
      </c>
      <c r="AQ145" s="439" t="n">
        <v>0.155</v>
      </c>
      <c r="AR145" s="439" t="n">
        <v>0.155</v>
      </c>
      <c r="AS145" s="439" t="n">
        <v>0.155</v>
      </c>
      <c r="AT145" s="438" t="n">
        <v>0.155</v>
      </c>
      <c r="AU145" s="438" t="n">
        <v>0.155</v>
      </c>
      <c r="AV145" s="438" t="n">
        <v>0.152</v>
      </c>
      <c r="AW145" s="418" t="n">
        <v>0.070022749081572</v>
      </c>
      <c r="AX145" s="418"/>
      <c r="AY145" s="437" t="n">
        <f aca="false">AG145</f>
        <v>0.152</v>
      </c>
      <c r="AZ145" s="437" t="n">
        <f aca="false">AG145</f>
        <v>0.152</v>
      </c>
      <c r="BA145" s="441" t="n">
        <f aca="false">AG145</f>
        <v>0.152</v>
      </c>
      <c r="BB145" s="442" t="n">
        <f aca="false">B145</f>
        <v>40695</v>
      </c>
      <c r="BC145" s="442" t="n">
        <v>0.473900383575815</v>
      </c>
      <c r="BD145" s="418" t="n">
        <v>0.473990348639181</v>
      </c>
      <c r="BF145" s="455" t="n">
        <v>40695</v>
      </c>
      <c r="BG145" s="66" t="n">
        <v>133</v>
      </c>
      <c r="HZ145" s="442" t="n">
        <f aca="false">B147</f>
        <v>40756</v>
      </c>
      <c r="IA145" s="418" t="n">
        <v>135</v>
      </c>
    </row>
    <row r="146" customFormat="false" ht="12.75" hidden="false" customHeight="false" outlineLevel="0" collapsed="false">
      <c r="A146" s="470"/>
      <c r="B146" s="419" t="n">
        <f aca="false">EOMONTH(B145,0)+1</f>
        <v>40725</v>
      </c>
      <c r="C146" s="420" t="n">
        <v>3.089</v>
      </c>
      <c r="D146" s="420" t="n">
        <v>0.155</v>
      </c>
      <c r="E146" s="420" t="n">
        <v>0.070573420431983</v>
      </c>
      <c r="F146" s="420" t="n">
        <v>-0.195</v>
      </c>
      <c r="G146" s="420" t="n">
        <v>0.0225</v>
      </c>
      <c r="H146" s="420" t="n">
        <v>-0.195</v>
      </c>
      <c r="I146" s="420" t="n">
        <v>0.173</v>
      </c>
      <c r="J146" s="420" t="n">
        <v>0.1825</v>
      </c>
      <c r="K146" s="420" t="n">
        <v>0.215</v>
      </c>
      <c r="L146" s="420" t="n">
        <v>-0.069</v>
      </c>
      <c r="M146" s="435" t="n">
        <v>-0.009999999</v>
      </c>
      <c r="N146" s="420" t="n">
        <v>0</v>
      </c>
      <c r="O146" s="420" t="n">
        <v>-0.29</v>
      </c>
      <c r="P146" s="420" t="n">
        <v>0.0065</v>
      </c>
      <c r="Q146" s="420" t="n">
        <v>0.0105</v>
      </c>
      <c r="R146" s="418" t="n">
        <v>-0.0155</v>
      </c>
      <c r="S146" s="418" t="n">
        <v>-0.044</v>
      </c>
      <c r="T146" s="418" t="n">
        <v>-0.15</v>
      </c>
      <c r="U146" s="418" t="n">
        <v>-0.00525</v>
      </c>
      <c r="V146" s="418" t="n">
        <v>-0.0735</v>
      </c>
      <c r="W146" s="418" t="n">
        <v>-0.12</v>
      </c>
      <c r="X146" s="418" t="n">
        <v>0.43</v>
      </c>
      <c r="Y146" s="418" t="n">
        <v>0.005</v>
      </c>
      <c r="Z146" s="418" t="n">
        <v>-0.19</v>
      </c>
      <c r="AA146" s="418" t="n">
        <v>-0.015</v>
      </c>
      <c r="AB146" s="437" t="n">
        <v>0.295</v>
      </c>
      <c r="AC146" s="437" t="n">
        <v>0.3</v>
      </c>
      <c r="AD146" s="437" t="n">
        <v>0.268</v>
      </c>
      <c r="AE146" s="438" t="n">
        <v>0.155</v>
      </c>
      <c r="AF146" s="438" t="n">
        <v>0.155</v>
      </c>
      <c r="AG146" s="438" t="n">
        <v>0.152</v>
      </c>
      <c r="AH146" s="438" t="n">
        <v>0.155</v>
      </c>
      <c r="AI146" s="438" t="n">
        <v>0.158</v>
      </c>
      <c r="AJ146" s="438" t="n">
        <v>0.155</v>
      </c>
      <c r="AK146" s="438" t="n">
        <v>0.152</v>
      </c>
      <c r="AL146" s="438" t="n">
        <v>0.152</v>
      </c>
      <c r="AM146" s="438" t="n">
        <v>0.155</v>
      </c>
      <c r="AN146" s="438" t="n">
        <v>0.155</v>
      </c>
      <c r="AO146" s="438" t="n">
        <v>0.155</v>
      </c>
      <c r="AP146" s="439" t="n">
        <v>0.155</v>
      </c>
      <c r="AQ146" s="439" t="n">
        <v>0.155</v>
      </c>
      <c r="AR146" s="439" t="n">
        <v>0.155</v>
      </c>
      <c r="AS146" s="439" t="n">
        <v>0.155</v>
      </c>
      <c r="AT146" s="438" t="n">
        <v>0.155</v>
      </c>
      <c r="AU146" s="438" t="n">
        <v>0.155</v>
      </c>
      <c r="AV146" s="438" t="n">
        <v>0.152</v>
      </c>
      <c r="AW146" s="418" t="n">
        <v>0.070029478291115</v>
      </c>
      <c r="AX146" s="418"/>
      <c r="AY146" s="437" t="n">
        <f aca="false">AG146</f>
        <v>0.152</v>
      </c>
      <c r="AZ146" s="437" t="n">
        <f aca="false">AG146</f>
        <v>0.152</v>
      </c>
      <c r="BA146" s="441" t="n">
        <f aca="false">AG146</f>
        <v>0.152</v>
      </c>
      <c r="BB146" s="442" t="n">
        <f aca="false">B146</f>
        <v>40725</v>
      </c>
      <c r="BC146" s="442" t="n">
        <v>0.471185605967478</v>
      </c>
      <c r="BD146" s="418" t="n">
        <v>0.471275061651276</v>
      </c>
      <c r="BF146" s="455" t="n">
        <v>40725</v>
      </c>
      <c r="BG146" s="66" t="n">
        <v>134</v>
      </c>
      <c r="HZ146" s="442" t="n">
        <f aca="false">B148</f>
        <v>40787</v>
      </c>
      <c r="IA146" s="418" t="n">
        <v>136</v>
      </c>
    </row>
    <row r="147" customFormat="false" ht="12.75" hidden="false" customHeight="false" outlineLevel="0" collapsed="false">
      <c r="A147" s="470"/>
      <c r="B147" s="419" t="n">
        <f aca="false">EOMONTH(B146,0)+1</f>
        <v>40756</v>
      </c>
      <c r="C147" s="420" t="n">
        <v>3.11</v>
      </c>
      <c r="D147" s="420" t="n">
        <v>0.155</v>
      </c>
      <c r="E147" s="420" t="n">
        <v>0.070574586447614</v>
      </c>
      <c r="F147" s="420" t="n">
        <v>-0.195</v>
      </c>
      <c r="G147" s="420" t="n">
        <v>0.025</v>
      </c>
      <c r="H147" s="420" t="n">
        <v>-0.195</v>
      </c>
      <c r="I147" s="420" t="n">
        <v>0.17</v>
      </c>
      <c r="J147" s="420" t="n">
        <v>0.1825</v>
      </c>
      <c r="K147" s="420" t="n">
        <v>0.215</v>
      </c>
      <c r="L147" s="420" t="n">
        <v>-0.06</v>
      </c>
      <c r="M147" s="435" t="n">
        <v>-0.009999999</v>
      </c>
      <c r="N147" s="420" t="n">
        <v>0</v>
      </c>
      <c r="O147" s="420" t="n">
        <v>-0.29</v>
      </c>
      <c r="P147" s="420" t="n">
        <v>0.0065</v>
      </c>
      <c r="Q147" s="420" t="n">
        <v>0.0105</v>
      </c>
      <c r="R147" s="418" t="n">
        <v>-0.0155</v>
      </c>
      <c r="S147" s="418" t="n">
        <v>-0.044</v>
      </c>
      <c r="T147" s="418" t="n">
        <v>-0.15</v>
      </c>
      <c r="U147" s="418" t="n">
        <v>-0.00525</v>
      </c>
      <c r="V147" s="418" t="n">
        <v>-0.0735</v>
      </c>
      <c r="W147" s="418" t="n">
        <v>-0.12</v>
      </c>
      <c r="X147" s="418" t="n">
        <v>0.495</v>
      </c>
      <c r="Y147" s="418" t="n">
        <v>0.005</v>
      </c>
      <c r="Z147" s="418" t="n">
        <v>-0.19</v>
      </c>
      <c r="AA147" s="418" t="n">
        <v>-0.015</v>
      </c>
      <c r="AB147" s="437" t="n">
        <v>0.295</v>
      </c>
      <c r="AC147" s="437" t="n">
        <v>0.3</v>
      </c>
      <c r="AD147" s="437" t="n">
        <v>0.265</v>
      </c>
      <c r="AE147" s="438" t="n">
        <v>0.155</v>
      </c>
      <c r="AF147" s="438" t="n">
        <v>0.155</v>
      </c>
      <c r="AG147" s="438" t="n">
        <v>0.152</v>
      </c>
      <c r="AH147" s="438" t="n">
        <v>0.155</v>
      </c>
      <c r="AI147" s="438" t="n">
        <v>0.158</v>
      </c>
      <c r="AJ147" s="438" t="n">
        <v>0.155</v>
      </c>
      <c r="AK147" s="438" t="n">
        <v>0.152</v>
      </c>
      <c r="AL147" s="438" t="n">
        <v>0.152</v>
      </c>
      <c r="AM147" s="438" t="n">
        <v>0.155</v>
      </c>
      <c r="AN147" s="438" t="n">
        <v>0.155</v>
      </c>
      <c r="AO147" s="438" t="n">
        <v>0.155</v>
      </c>
      <c r="AP147" s="439" t="n">
        <v>0.155</v>
      </c>
      <c r="AQ147" s="439" t="n">
        <v>0.155</v>
      </c>
      <c r="AR147" s="439" t="n">
        <v>0.155</v>
      </c>
      <c r="AS147" s="439" t="n">
        <v>0.155</v>
      </c>
      <c r="AT147" s="438" t="n">
        <v>0.155</v>
      </c>
      <c r="AU147" s="438" t="n">
        <v>0.155</v>
      </c>
      <c r="AV147" s="438" t="n">
        <v>0.152</v>
      </c>
      <c r="AW147" s="418" t="n">
        <v>0.070036431807659</v>
      </c>
      <c r="AX147" s="418"/>
      <c r="AY147" s="437" t="n">
        <f aca="false">AG147</f>
        <v>0.152</v>
      </c>
      <c r="AZ147" s="437" t="n">
        <f aca="false">AG147</f>
        <v>0.152</v>
      </c>
      <c r="BA147" s="441" t="n">
        <f aca="false">AG147</f>
        <v>0.152</v>
      </c>
      <c r="BB147" s="442" t="n">
        <f aca="false">B147</f>
        <v>40756</v>
      </c>
      <c r="BC147" s="442" t="n">
        <v>0.468396297412811</v>
      </c>
      <c r="BD147" s="418" t="n">
        <v>0.468485229695726</v>
      </c>
      <c r="BF147" s="455" t="n">
        <v>40756</v>
      </c>
      <c r="BG147" s="66" t="n">
        <v>135</v>
      </c>
      <c r="HZ147" s="442" t="n">
        <f aca="false">B149</f>
        <v>40817</v>
      </c>
      <c r="IA147" s="418" t="n">
        <v>137</v>
      </c>
    </row>
    <row r="148" customFormat="false" ht="12.75" hidden="false" customHeight="false" outlineLevel="0" collapsed="false">
      <c r="A148" s="470"/>
      <c r="B148" s="419" t="n">
        <f aca="false">EOMONTH(B147,0)+1</f>
        <v>40787</v>
      </c>
      <c r="C148" s="420" t="n">
        <v>3.085</v>
      </c>
      <c r="D148" s="420" t="n">
        <v>0.155</v>
      </c>
      <c r="E148" s="420" t="n">
        <v>0.070575752463247</v>
      </c>
      <c r="F148" s="420" t="n">
        <v>-0.195</v>
      </c>
      <c r="G148" s="420" t="n">
        <v>0.0175</v>
      </c>
      <c r="H148" s="420" t="n">
        <v>-0.195</v>
      </c>
      <c r="I148" s="420" t="n">
        <v>0.168</v>
      </c>
      <c r="J148" s="420" t="n">
        <v>0.1825</v>
      </c>
      <c r="K148" s="420" t="n">
        <v>0.195</v>
      </c>
      <c r="L148" s="420" t="n">
        <v>-0.04</v>
      </c>
      <c r="M148" s="435" t="n">
        <v>-0.009999999</v>
      </c>
      <c r="N148" s="420" t="n">
        <v>0</v>
      </c>
      <c r="O148" s="420" t="n">
        <v>-0.29</v>
      </c>
      <c r="P148" s="420" t="n">
        <v>0.0065</v>
      </c>
      <c r="Q148" s="420" t="n">
        <v>0.0105</v>
      </c>
      <c r="R148" s="418" t="n">
        <v>-0.0155</v>
      </c>
      <c r="S148" s="418" t="n">
        <v>-0.044</v>
      </c>
      <c r="T148" s="418" t="n">
        <v>-0.14</v>
      </c>
      <c r="U148" s="418" t="n">
        <v>-0.00525</v>
      </c>
      <c r="V148" s="418" t="n">
        <v>-0.0885</v>
      </c>
      <c r="W148" s="418" t="n">
        <v>-0.12</v>
      </c>
      <c r="X148" s="418" t="n">
        <v>0.395</v>
      </c>
      <c r="Y148" s="418" t="n">
        <v>0.005</v>
      </c>
      <c r="Z148" s="418" t="n">
        <v>-0.19</v>
      </c>
      <c r="AA148" s="418" t="n">
        <v>-0.015</v>
      </c>
      <c r="AB148" s="437" t="n">
        <v>0.295</v>
      </c>
      <c r="AC148" s="437" t="n">
        <v>0.29</v>
      </c>
      <c r="AD148" s="437" t="n">
        <v>0.263</v>
      </c>
      <c r="AE148" s="438" t="n">
        <v>0.155</v>
      </c>
      <c r="AF148" s="438" t="n">
        <v>0.155</v>
      </c>
      <c r="AG148" s="438" t="n">
        <v>0.152</v>
      </c>
      <c r="AH148" s="438" t="n">
        <v>0.155</v>
      </c>
      <c r="AI148" s="438" t="n">
        <v>0.158</v>
      </c>
      <c r="AJ148" s="438" t="n">
        <v>0.155</v>
      </c>
      <c r="AK148" s="438" t="n">
        <v>0.152</v>
      </c>
      <c r="AL148" s="438" t="n">
        <v>0.152</v>
      </c>
      <c r="AM148" s="438" t="n">
        <v>0.155</v>
      </c>
      <c r="AN148" s="438" t="n">
        <v>0.155</v>
      </c>
      <c r="AO148" s="438" t="n">
        <v>0.155</v>
      </c>
      <c r="AP148" s="439" t="n">
        <v>0.155</v>
      </c>
      <c r="AQ148" s="439" t="n">
        <v>0.155</v>
      </c>
      <c r="AR148" s="439" t="n">
        <v>0.155</v>
      </c>
      <c r="AS148" s="439" t="n">
        <v>0.155</v>
      </c>
      <c r="AT148" s="438" t="n">
        <v>0.155</v>
      </c>
      <c r="AU148" s="438" t="n">
        <v>0.155</v>
      </c>
      <c r="AV148" s="438" t="n">
        <v>0.152</v>
      </c>
      <c r="AW148" s="418" t="n">
        <v>0.070043385324219</v>
      </c>
      <c r="AX148" s="418"/>
      <c r="AY148" s="437" t="n">
        <f aca="false">AG148</f>
        <v>0.152</v>
      </c>
      <c r="AZ148" s="437" t="n">
        <f aca="false">AG148</f>
        <v>0.152</v>
      </c>
      <c r="BA148" s="441" t="n">
        <f aca="false">AG148</f>
        <v>0.152</v>
      </c>
      <c r="BB148" s="442" t="n">
        <f aca="false">B148</f>
        <v>40787</v>
      </c>
      <c r="BC148" s="442" t="n">
        <v>0.465623121640945</v>
      </c>
      <c r="BD148" s="418" t="n">
        <v>0.465711533512915</v>
      </c>
      <c r="BF148" s="455" t="n">
        <v>40787</v>
      </c>
      <c r="BG148" s="66" t="n">
        <v>136</v>
      </c>
      <c r="HZ148" s="442" t="n">
        <f aca="false">B150</f>
        <v>40848</v>
      </c>
      <c r="IA148" s="418" t="n">
        <v>138</v>
      </c>
    </row>
    <row r="149" customFormat="false" ht="12.75" hidden="false" customHeight="false" outlineLevel="0" collapsed="false">
      <c r="A149" s="470"/>
      <c r="B149" s="419" t="n">
        <f aca="false">EOMONTH(B148,0)+1</f>
        <v>40817</v>
      </c>
      <c r="C149" s="420" t="n">
        <v>3.092</v>
      </c>
      <c r="D149" s="420" t="n">
        <v>0.155</v>
      </c>
      <c r="E149" s="420" t="n">
        <v>0.070576880865472</v>
      </c>
      <c r="F149" s="420" t="n">
        <v>-0.195</v>
      </c>
      <c r="G149" s="420" t="n">
        <v>0.0075</v>
      </c>
      <c r="H149" s="420" t="n">
        <v>-0.195</v>
      </c>
      <c r="I149" s="420" t="n">
        <v>0.183</v>
      </c>
      <c r="J149" s="420" t="n">
        <v>0.1875</v>
      </c>
      <c r="K149" s="420" t="n">
        <v>0.215</v>
      </c>
      <c r="L149" s="420" t="n">
        <v>-0.05</v>
      </c>
      <c r="M149" s="435" t="n">
        <v>-0.009999999</v>
      </c>
      <c r="N149" s="420" t="n">
        <v>0</v>
      </c>
      <c r="O149" s="420" t="n">
        <v>-0.29</v>
      </c>
      <c r="P149" s="420" t="n">
        <v>0.0065</v>
      </c>
      <c r="Q149" s="420" t="n">
        <v>0.0105</v>
      </c>
      <c r="R149" s="418" t="n">
        <v>-0.0155</v>
      </c>
      <c r="S149" s="418" t="n">
        <v>-0.044</v>
      </c>
      <c r="T149" s="418" t="n">
        <v>-0.125</v>
      </c>
      <c r="U149" s="418" t="n">
        <v>-0.0235</v>
      </c>
      <c r="V149" s="418" t="n">
        <v>-0.091</v>
      </c>
      <c r="W149" s="418" t="n">
        <v>-0.12</v>
      </c>
      <c r="X149" s="418" t="n">
        <v>0.461</v>
      </c>
      <c r="Y149" s="418" t="n">
        <v>0.005</v>
      </c>
      <c r="Z149" s="418" t="n">
        <v>-0.19</v>
      </c>
      <c r="AA149" s="418" t="n">
        <v>-0.015</v>
      </c>
      <c r="AB149" s="437" t="n">
        <v>0.295</v>
      </c>
      <c r="AC149" s="437" t="n">
        <v>0.3625</v>
      </c>
      <c r="AD149" s="437" t="n">
        <v>0.278</v>
      </c>
      <c r="AE149" s="438" t="n">
        <v>0.155</v>
      </c>
      <c r="AF149" s="438" t="n">
        <v>0.155</v>
      </c>
      <c r="AG149" s="438" t="n">
        <v>0.152</v>
      </c>
      <c r="AH149" s="438" t="n">
        <v>0.155</v>
      </c>
      <c r="AI149" s="438" t="n">
        <v>0.158</v>
      </c>
      <c r="AJ149" s="438" t="n">
        <v>0.155</v>
      </c>
      <c r="AK149" s="438" t="n">
        <v>0.152</v>
      </c>
      <c r="AL149" s="438" t="n">
        <v>0.152</v>
      </c>
      <c r="AM149" s="438" t="n">
        <v>0.155</v>
      </c>
      <c r="AN149" s="438" t="n">
        <v>0.155</v>
      </c>
      <c r="AO149" s="438" t="n">
        <v>0.155</v>
      </c>
      <c r="AP149" s="439" t="n">
        <v>0.155</v>
      </c>
      <c r="AQ149" s="439" t="n">
        <v>0.155</v>
      </c>
      <c r="AR149" s="439" t="n">
        <v>0.155</v>
      </c>
      <c r="AS149" s="439" t="n">
        <v>0.155</v>
      </c>
      <c r="AT149" s="438" t="n">
        <v>0.155</v>
      </c>
      <c r="AU149" s="438" t="n">
        <v>0.155</v>
      </c>
      <c r="AV149" s="438" t="n">
        <v>0.152</v>
      </c>
      <c r="AW149" s="418" t="n">
        <v>0.070050114533807</v>
      </c>
      <c r="AX149" s="418"/>
      <c r="AY149" s="437" t="n">
        <f aca="false">AG149</f>
        <v>0.152</v>
      </c>
      <c r="AZ149" s="437" t="n">
        <f aca="false">AG149</f>
        <v>0.152</v>
      </c>
      <c r="BA149" s="441" t="n">
        <f aca="false">AG149</f>
        <v>0.152</v>
      </c>
      <c r="BB149" s="442" t="n">
        <f aca="false">B149</f>
        <v>40817</v>
      </c>
      <c r="BC149" s="442" t="n">
        <v>0.46295467798475</v>
      </c>
      <c r="BD149" s="418" t="n">
        <v>0.463042589064368</v>
      </c>
      <c r="BF149" s="455" t="n">
        <v>40817</v>
      </c>
      <c r="BG149" s="66" t="n">
        <v>137</v>
      </c>
      <c r="HZ149" s="442" t="n">
        <f aca="false">B151</f>
        <v>40878</v>
      </c>
      <c r="IA149" s="418" t="n">
        <v>139</v>
      </c>
    </row>
    <row r="150" customFormat="false" ht="12.75" hidden="false" customHeight="false" outlineLevel="0" collapsed="false">
      <c r="A150" s="470"/>
      <c r="B150" s="419" t="n">
        <f aca="false">EOMONTH(B149,0)+1</f>
        <v>40848</v>
      </c>
      <c r="C150" s="420" t="n">
        <v>3.144</v>
      </c>
      <c r="D150" s="420" t="n">
        <v>0.155</v>
      </c>
      <c r="E150" s="420" t="n">
        <v>0.070578046881105</v>
      </c>
      <c r="F150" s="420" t="n">
        <v>-0.19</v>
      </c>
      <c r="G150" s="420" t="n">
        <v>-0.0325</v>
      </c>
      <c r="H150" s="420" t="n">
        <v>-0.19</v>
      </c>
      <c r="I150" s="420" t="n">
        <v>0.245</v>
      </c>
      <c r="J150" s="420" t="n">
        <v>0.27</v>
      </c>
      <c r="K150" s="420" t="n">
        <v>0.2875</v>
      </c>
      <c r="L150" s="420" t="n">
        <v>-0.065</v>
      </c>
      <c r="M150" s="435" t="n">
        <v>-0.0025</v>
      </c>
      <c r="N150" s="420" t="n">
        <v>0</v>
      </c>
      <c r="O150" s="420" t="n">
        <v>0</v>
      </c>
      <c r="P150" s="420" t="n">
        <v>0.016</v>
      </c>
      <c r="Q150" s="420" t="n">
        <v>0.0025</v>
      </c>
      <c r="R150" s="418" t="n">
        <v>-0.0185</v>
      </c>
      <c r="S150" s="418" t="n">
        <v>-0.0435</v>
      </c>
      <c r="T150" s="418" t="n">
        <v>-0.0875</v>
      </c>
      <c r="U150" s="418" t="n">
        <v>-0.0225</v>
      </c>
      <c r="V150" s="418" t="n">
        <v>-0.0885</v>
      </c>
      <c r="W150" s="418" t="n">
        <v>-0.1325</v>
      </c>
      <c r="X150" s="418" t="n">
        <v>0.7675</v>
      </c>
      <c r="Y150" s="418" t="n">
        <v>0.005</v>
      </c>
      <c r="Z150" s="418" t="n">
        <v>-0.19</v>
      </c>
      <c r="AA150" s="418" t="n">
        <v>-0.0165</v>
      </c>
      <c r="AB150" s="437" t="n">
        <v>0.12</v>
      </c>
      <c r="AC150" s="437" t="n">
        <v>0.465</v>
      </c>
      <c r="AD150" s="437" t="n">
        <v>0.34</v>
      </c>
      <c r="AE150" s="438" t="n">
        <v>0.155</v>
      </c>
      <c r="AF150" s="438" t="n">
        <v>0.155</v>
      </c>
      <c r="AG150" s="438" t="n">
        <v>0.171</v>
      </c>
      <c r="AH150" s="438" t="n">
        <v>0.155</v>
      </c>
      <c r="AI150" s="438" t="n">
        <v>0.158</v>
      </c>
      <c r="AJ150" s="438" t="n">
        <v>0.155</v>
      </c>
      <c r="AK150" s="438" t="n">
        <v>0.155</v>
      </c>
      <c r="AL150" s="438" t="n">
        <v>0.155</v>
      </c>
      <c r="AM150" s="438" t="n">
        <v>0.155</v>
      </c>
      <c r="AN150" s="438" t="n">
        <v>0.155</v>
      </c>
      <c r="AO150" s="438" t="n">
        <v>0.155</v>
      </c>
      <c r="AP150" s="439" t="n">
        <v>0.155</v>
      </c>
      <c r="AQ150" s="439" t="n">
        <v>0.155</v>
      </c>
      <c r="AR150" s="439" t="n">
        <v>0.155</v>
      </c>
      <c r="AS150" s="439" t="n">
        <v>0.155</v>
      </c>
      <c r="AT150" s="438" t="n">
        <v>0.155</v>
      </c>
      <c r="AU150" s="438" t="n">
        <v>0.155</v>
      </c>
      <c r="AV150" s="438" t="n">
        <v>0.171</v>
      </c>
      <c r="AW150" s="418" t="n">
        <v>0.070057068050398</v>
      </c>
      <c r="AX150" s="418"/>
      <c r="AY150" s="437" t="n">
        <f aca="false">AG150</f>
        <v>0.171</v>
      </c>
      <c r="AZ150" s="437" t="n">
        <f aca="false">AG150</f>
        <v>0.171</v>
      </c>
      <c r="BA150" s="441" t="n">
        <f aca="false">AG150</f>
        <v>0.171</v>
      </c>
      <c r="BB150" s="442" t="n">
        <f aca="false">B150</f>
        <v>40848</v>
      </c>
      <c r="BC150" s="442" t="n">
        <v>0.460212982100146</v>
      </c>
      <c r="BD150" s="418" t="n">
        <v>0.460300378603731</v>
      </c>
      <c r="BF150" s="455" t="n">
        <v>40848</v>
      </c>
      <c r="BG150" s="66" t="n">
        <v>138</v>
      </c>
      <c r="HZ150" s="442" t="n">
        <f aca="false">B152</f>
        <v>40909</v>
      </c>
      <c r="IA150" s="418" t="n">
        <v>140</v>
      </c>
    </row>
    <row r="151" customFormat="false" ht="12.75" hidden="false" customHeight="false" outlineLevel="0" collapsed="false">
      <c r="A151" s="470"/>
      <c r="B151" s="419" t="n">
        <f aca="false">EOMONTH(B150,0)+1</f>
        <v>40878</v>
      </c>
      <c r="C151" s="420" t="n">
        <v>3.206</v>
      </c>
      <c r="D151" s="420" t="n">
        <v>0.155</v>
      </c>
      <c r="E151" s="420" t="n">
        <v>0.07057917528333</v>
      </c>
      <c r="F151" s="420" t="n">
        <v>-0.1975</v>
      </c>
      <c r="G151" s="420" t="n">
        <v>-0.055</v>
      </c>
      <c r="H151" s="420" t="n">
        <v>-0.1975</v>
      </c>
      <c r="I151" s="420" t="n">
        <v>0.285</v>
      </c>
      <c r="J151" s="420" t="n">
        <v>0.305</v>
      </c>
      <c r="K151" s="420" t="n">
        <v>0.3375</v>
      </c>
      <c r="L151" s="420" t="n">
        <v>-0.065</v>
      </c>
      <c r="M151" s="420" t="n">
        <v>-0.0025</v>
      </c>
      <c r="N151" s="420" t="n">
        <v>0</v>
      </c>
      <c r="O151" s="420" t="n">
        <v>0.06</v>
      </c>
      <c r="P151" s="420" t="n">
        <v>0.016</v>
      </c>
      <c r="Q151" s="420" t="n">
        <v>0.0025</v>
      </c>
      <c r="R151" s="418" t="n">
        <v>-0.0185</v>
      </c>
      <c r="S151" s="418" t="n">
        <v>-0.0435</v>
      </c>
      <c r="T151" s="418" t="n">
        <v>-0.08</v>
      </c>
      <c r="U151" s="418" t="n">
        <v>-0.0225</v>
      </c>
      <c r="V151" s="418" t="n">
        <v>-0.1235</v>
      </c>
      <c r="W151" s="418" t="n">
        <v>-0.1275</v>
      </c>
      <c r="X151" s="418" t="n">
        <v>1.19</v>
      </c>
      <c r="Y151" s="418" t="n">
        <v>0.005</v>
      </c>
      <c r="Z151" s="418" t="n">
        <v>-0.19</v>
      </c>
      <c r="AA151" s="418" t="n">
        <v>-0.0165</v>
      </c>
      <c r="AB151" s="437" t="n">
        <v>0.12</v>
      </c>
      <c r="AC151" s="437" t="n">
        <v>0.8</v>
      </c>
      <c r="AD151" s="437" t="n">
        <v>0.38</v>
      </c>
      <c r="AE151" s="438" t="n">
        <v>0.155</v>
      </c>
      <c r="AF151" s="438" t="n">
        <v>0.155</v>
      </c>
      <c r="AG151" s="438" t="n">
        <v>0.171</v>
      </c>
      <c r="AH151" s="438" t="n">
        <v>0.155</v>
      </c>
      <c r="AI151" s="438" t="n">
        <v>0.158</v>
      </c>
      <c r="AJ151" s="438" t="n">
        <v>0.155</v>
      </c>
      <c r="AK151" s="438" t="n">
        <v>0.155</v>
      </c>
      <c r="AL151" s="438" t="n">
        <v>0.155</v>
      </c>
      <c r="AM151" s="438" t="n">
        <v>0.155</v>
      </c>
      <c r="AN151" s="438" t="n">
        <v>0.155</v>
      </c>
      <c r="AO151" s="438" t="n">
        <v>0.155</v>
      </c>
      <c r="AP151" s="439" t="n">
        <v>0.155</v>
      </c>
      <c r="AQ151" s="439" t="n">
        <v>0.155</v>
      </c>
      <c r="AR151" s="439" t="n">
        <v>0.155</v>
      </c>
      <c r="AS151" s="439" t="n">
        <v>0.155</v>
      </c>
      <c r="AT151" s="438" t="n">
        <v>0.155</v>
      </c>
      <c r="AU151" s="438" t="n">
        <v>0.155</v>
      </c>
      <c r="AV151" s="438" t="n">
        <v>0.171</v>
      </c>
      <c r="AW151" s="418" t="n">
        <v>0.070063797260018</v>
      </c>
      <c r="AX151" s="418"/>
      <c r="AY151" s="437" t="n">
        <f aca="false">AG151</f>
        <v>0.171</v>
      </c>
      <c r="AZ151" s="437" t="n">
        <f aca="false">AG151</f>
        <v>0.171</v>
      </c>
      <c r="BA151" s="441" t="n">
        <f aca="false">AG151</f>
        <v>0.171</v>
      </c>
      <c r="BB151" s="442" t="n">
        <f aca="false">B151</f>
        <v>40878</v>
      </c>
      <c r="BC151" s="442" t="n">
        <v>0.457574833716648</v>
      </c>
      <c r="BD151" s="418" t="n">
        <v>0.45766173504363</v>
      </c>
      <c r="BF151" s="455" t="n">
        <v>40878</v>
      </c>
      <c r="BG151" s="66" t="n">
        <v>139</v>
      </c>
      <c r="HZ151" s="442" t="n">
        <f aca="false">B153</f>
        <v>40940</v>
      </c>
      <c r="IA151" s="418" t="n">
        <v>141</v>
      </c>
    </row>
    <row r="152" customFormat="false" ht="12.75" hidden="false" customHeight="false" outlineLevel="0" collapsed="false">
      <c r="A152" s="470"/>
      <c r="B152" s="419" t="n">
        <f aca="false">EOMONTH(B151,0)+1</f>
        <v>40909</v>
      </c>
      <c r="C152" s="420" t="n">
        <v>3.515</v>
      </c>
      <c r="D152" s="420" t="n">
        <v>0.155</v>
      </c>
      <c r="E152" s="420" t="n">
        <v>0.070580341298964</v>
      </c>
      <c r="F152" s="420" t="n">
        <v>-0.2</v>
      </c>
      <c r="G152" s="420" t="n">
        <v>-0.0575</v>
      </c>
      <c r="H152" s="420" t="n">
        <v>-0.2</v>
      </c>
      <c r="I152" s="420" t="n">
        <v>0.295</v>
      </c>
      <c r="J152" s="420" t="n">
        <v>0.305</v>
      </c>
      <c r="K152" s="420" t="n">
        <v>0.4375</v>
      </c>
      <c r="L152" s="420" t="n">
        <v>-0.065</v>
      </c>
      <c r="M152" s="420" t="n">
        <v>-0.0005</v>
      </c>
      <c r="N152" s="420" t="n">
        <v>0</v>
      </c>
      <c r="O152" s="420" t="n">
        <v>0.13</v>
      </c>
      <c r="P152" s="420" t="n">
        <v>0.016</v>
      </c>
      <c r="Q152" s="420" t="n">
        <v>0.0025</v>
      </c>
      <c r="R152" s="418" t="n">
        <v>-0.014</v>
      </c>
      <c r="S152" s="418" t="n">
        <v>-0.0435</v>
      </c>
      <c r="T152" s="418" t="n">
        <v>-0.065</v>
      </c>
      <c r="U152" s="418" t="n">
        <v>-0.0225</v>
      </c>
      <c r="V152" s="418" t="n">
        <v>-0.129</v>
      </c>
      <c r="W152" s="418" t="n">
        <v>-0.1275</v>
      </c>
      <c r="X152" s="418" t="n">
        <v>1.525</v>
      </c>
      <c r="Y152" s="418" t="n">
        <v>0.005</v>
      </c>
      <c r="Z152" s="418" t="n">
        <v>-0.19</v>
      </c>
      <c r="AA152" s="418" t="n">
        <v>-0.0165</v>
      </c>
      <c r="AB152" s="437" t="n">
        <v>0.12</v>
      </c>
      <c r="AC152" s="437" t="n">
        <v>0.975</v>
      </c>
      <c r="AD152" s="437" t="n">
        <v>0.39</v>
      </c>
      <c r="AE152" s="438" t="n">
        <v>0.155</v>
      </c>
      <c r="AF152" s="438" t="n">
        <v>0.155</v>
      </c>
      <c r="AG152" s="438" t="n">
        <v>0.171</v>
      </c>
      <c r="AH152" s="438" t="n">
        <v>0.155</v>
      </c>
      <c r="AI152" s="438" t="n">
        <v>0.158</v>
      </c>
      <c r="AJ152" s="438" t="n">
        <v>0.155</v>
      </c>
      <c r="AK152" s="438" t="n">
        <v>0.155</v>
      </c>
      <c r="AL152" s="438" t="n">
        <v>0.155</v>
      </c>
      <c r="AM152" s="438" t="n">
        <v>0.155</v>
      </c>
      <c r="AN152" s="438" t="n">
        <v>0.155</v>
      </c>
      <c r="AO152" s="438" t="n">
        <v>0.155</v>
      </c>
      <c r="AP152" s="439" t="n">
        <v>0.155</v>
      </c>
      <c r="AQ152" s="439" t="n">
        <v>0.155</v>
      </c>
      <c r="AR152" s="439" t="n">
        <v>0.155</v>
      </c>
      <c r="AS152" s="439" t="n">
        <v>0.155</v>
      </c>
      <c r="AT152" s="438" t="n">
        <v>0.155</v>
      </c>
      <c r="AU152" s="438" t="n">
        <v>0.155</v>
      </c>
      <c r="AV152" s="438" t="n">
        <v>0.171</v>
      </c>
      <c r="AW152" s="418" t="n">
        <v>0.070070750776641</v>
      </c>
      <c r="AX152" s="418"/>
      <c r="AY152" s="437" t="n">
        <f aca="false">AG152</f>
        <v>0.171</v>
      </c>
      <c r="AZ152" s="437" t="n">
        <f aca="false">AG152</f>
        <v>0.171</v>
      </c>
      <c r="BA152" s="441" t="n">
        <f aca="false">AG152</f>
        <v>0.171</v>
      </c>
      <c r="BB152" s="442" t="n">
        <f aca="false">B152</f>
        <v>40909</v>
      </c>
      <c r="BC152" s="442" t="n">
        <v>0.454864269124694</v>
      </c>
      <c r="BD152" s="418" t="n">
        <v>0.454950661646788</v>
      </c>
      <c r="BF152" s="455" t="n">
        <v>40909</v>
      </c>
      <c r="BG152" s="66" t="n">
        <v>140</v>
      </c>
      <c r="HZ152" s="442" t="n">
        <f aca="false">B154</f>
        <v>40969</v>
      </c>
      <c r="IA152" s="418" t="n">
        <v>142</v>
      </c>
    </row>
    <row r="153" customFormat="false" ht="12.75" hidden="false" customHeight="false" outlineLevel="0" collapsed="false">
      <c r="A153" s="470"/>
      <c r="B153" s="419" t="n">
        <f aca="false">EOMONTH(B152,0)+1</f>
        <v>40940</v>
      </c>
      <c r="C153" s="420" t="n">
        <v>3.409</v>
      </c>
      <c r="D153" s="420" t="n">
        <v>0.155</v>
      </c>
      <c r="E153" s="420" t="n">
        <v>0.070581507314598</v>
      </c>
      <c r="F153" s="420" t="n">
        <v>-0.2025</v>
      </c>
      <c r="G153" s="420" t="n">
        <v>-0.04</v>
      </c>
      <c r="H153" s="420" t="n">
        <v>-0.2025</v>
      </c>
      <c r="I153" s="420" t="n">
        <v>0.27</v>
      </c>
      <c r="J153" s="420" t="n">
        <v>0.305</v>
      </c>
      <c r="K153" s="420" t="n">
        <v>0.435</v>
      </c>
      <c r="L153" s="420" t="n">
        <v>-0.065</v>
      </c>
      <c r="M153" s="420" t="n">
        <v>-0.0005</v>
      </c>
      <c r="N153" s="420" t="n">
        <v>0</v>
      </c>
      <c r="O153" s="420" t="n">
        <v>0</v>
      </c>
      <c r="P153" s="420" t="n">
        <v>0.016</v>
      </c>
      <c r="Q153" s="420" t="n">
        <v>0.0025</v>
      </c>
      <c r="R153" s="418" t="n">
        <v>-0.014</v>
      </c>
      <c r="S153" s="418" t="n">
        <v>-0.0435</v>
      </c>
      <c r="T153" s="418" t="n">
        <v>-0.065</v>
      </c>
      <c r="U153" s="418" t="n">
        <v>-0.0225</v>
      </c>
      <c r="V153" s="418" t="n">
        <v>-0.1115</v>
      </c>
      <c r="W153" s="418" t="n">
        <v>-0.1275</v>
      </c>
      <c r="X153" s="418" t="n">
        <v>1.455</v>
      </c>
      <c r="Y153" s="418" t="n">
        <v>0.005</v>
      </c>
      <c r="Z153" s="418" t="n">
        <v>-0.19</v>
      </c>
      <c r="AA153" s="418" t="n">
        <v>-0.0165</v>
      </c>
      <c r="AB153" s="437" t="n">
        <v>0.12</v>
      </c>
      <c r="AC153" s="437" t="n">
        <v>0.975</v>
      </c>
      <c r="AD153" s="437" t="n">
        <v>0.365</v>
      </c>
      <c r="AE153" s="438" t="n">
        <v>0.155</v>
      </c>
      <c r="AF153" s="438" t="n">
        <v>0.155</v>
      </c>
      <c r="AG153" s="438" t="n">
        <v>0.171</v>
      </c>
      <c r="AH153" s="438" t="n">
        <v>0.155</v>
      </c>
      <c r="AI153" s="438" t="n">
        <v>0.158</v>
      </c>
      <c r="AJ153" s="438" t="n">
        <v>0.155</v>
      </c>
      <c r="AK153" s="438" t="n">
        <v>0.155</v>
      </c>
      <c r="AL153" s="438" t="n">
        <v>0.155</v>
      </c>
      <c r="AM153" s="438" t="n">
        <v>0.155</v>
      </c>
      <c r="AN153" s="438" t="n">
        <v>0.155</v>
      </c>
      <c r="AO153" s="438" t="n">
        <v>0.155</v>
      </c>
      <c r="AP153" s="439" t="n">
        <v>0.155</v>
      </c>
      <c r="AQ153" s="439" t="n">
        <v>0.155</v>
      </c>
      <c r="AR153" s="439" t="n">
        <v>0.155</v>
      </c>
      <c r="AS153" s="439" t="n">
        <v>0.155</v>
      </c>
      <c r="AT153" s="438" t="n">
        <v>0.155</v>
      </c>
      <c r="AU153" s="438" t="n">
        <v>0.155</v>
      </c>
      <c r="AV153" s="438" t="n">
        <v>0.171</v>
      </c>
      <c r="AW153" s="418" t="n">
        <v>0.07007770429328</v>
      </c>
      <c r="AX153" s="418"/>
      <c r="AY153" s="437" t="n">
        <f aca="false">AG153</f>
        <v>0.171</v>
      </c>
      <c r="AZ153" s="437" t="n">
        <f aca="false">AG153</f>
        <v>0.171</v>
      </c>
      <c r="BA153" s="441" t="n">
        <f aca="false">AG153</f>
        <v>0.171</v>
      </c>
      <c r="BB153" s="442" t="n">
        <f aca="false">B153</f>
        <v>40940</v>
      </c>
      <c r="BC153" s="442" t="n">
        <v>0.452169392967265</v>
      </c>
      <c r="BD153" s="418" t="n">
        <v>0.452255279593125</v>
      </c>
      <c r="BF153" s="455" t="n">
        <v>40940</v>
      </c>
      <c r="BG153" s="66" t="n">
        <v>141</v>
      </c>
      <c r="HZ153" s="442" t="n">
        <f aca="false">B155</f>
        <v>41000</v>
      </c>
      <c r="IA153" s="418" t="n">
        <v>143</v>
      </c>
    </row>
    <row r="154" customFormat="false" ht="12.75" hidden="false" customHeight="false" outlineLevel="0" collapsed="false">
      <c r="A154" s="470"/>
      <c r="B154" s="419" t="n">
        <f aca="false">EOMONTH(B153,0)+1</f>
        <v>40969</v>
      </c>
      <c r="C154" s="420" t="n">
        <v>3.266</v>
      </c>
      <c r="D154" s="420" t="n">
        <v>0.15</v>
      </c>
      <c r="E154" s="420" t="n">
        <v>0.070582598103418</v>
      </c>
      <c r="F154" s="420" t="n">
        <v>-0.205</v>
      </c>
      <c r="G154" s="420" t="n">
        <v>-0.0275</v>
      </c>
      <c r="H154" s="420" t="n">
        <v>-0.205</v>
      </c>
      <c r="I154" s="420" t="n">
        <v>0.268</v>
      </c>
      <c r="J154" s="420" t="n">
        <v>0.265</v>
      </c>
      <c r="K154" s="420" t="n">
        <v>0.3025</v>
      </c>
      <c r="L154" s="420" t="n">
        <v>-0.065</v>
      </c>
      <c r="M154" s="420" t="n">
        <v>-0.0005</v>
      </c>
      <c r="N154" s="420" t="n">
        <v>0</v>
      </c>
      <c r="O154" s="420" t="n">
        <v>-0.18</v>
      </c>
      <c r="P154" s="420" t="n">
        <v>0.016</v>
      </c>
      <c r="Q154" s="420" t="n">
        <v>0.0025</v>
      </c>
      <c r="R154" s="418" t="n">
        <v>-0.014</v>
      </c>
      <c r="S154" s="418" t="n">
        <v>-0.0435</v>
      </c>
      <c r="T154" s="418" t="n">
        <v>-0.065</v>
      </c>
      <c r="U154" s="418" t="n">
        <v>-0.004</v>
      </c>
      <c r="V154" s="418" t="n">
        <v>-0.094</v>
      </c>
      <c r="W154" s="418" t="n">
        <v>-0.1325</v>
      </c>
      <c r="X154" s="418" t="n">
        <v>0.835</v>
      </c>
      <c r="Y154" s="418" t="n">
        <v>0.005</v>
      </c>
      <c r="Z154" s="418" t="n">
        <v>-0.19</v>
      </c>
      <c r="AA154" s="418" t="n">
        <v>-0.0165</v>
      </c>
      <c r="AB154" s="437" t="n">
        <v>0.12</v>
      </c>
      <c r="AC154" s="437" t="n">
        <v>0.6075</v>
      </c>
      <c r="AD154" s="437" t="n">
        <v>0.363</v>
      </c>
      <c r="AE154" s="438" t="n">
        <v>0.15</v>
      </c>
      <c r="AF154" s="438" t="n">
        <v>0.15</v>
      </c>
      <c r="AG154" s="438" t="n">
        <v>0.165</v>
      </c>
      <c r="AH154" s="438" t="n">
        <v>0.15</v>
      </c>
      <c r="AI154" s="438" t="n">
        <v>0.153</v>
      </c>
      <c r="AJ154" s="438" t="n">
        <v>0.15</v>
      </c>
      <c r="AK154" s="438" t="n">
        <v>0.15</v>
      </c>
      <c r="AL154" s="438" t="n">
        <v>0.15</v>
      </c>
      <c r="AM154" s="438" t="n">
        <v>0.15</v>
      </c>
      <c r="AN154" s="438" t="n">
        <v>0.15</v>
      </c>
      <c r="AO154" s="438" t="n">
        <v>0.15</v>
      </c>
      <c r="AP154" s="439" t="n">
        <v>0.15</v>
      </c>
      <c r="AQ154" s="439" t="n">
        <v>0.15</v>
      </c>
      <c r="AR154" s="439" t="n">
        <v>0.15</v>
      </c>
      <c r="AS154" s="439" t="n">
        <v>0.15</v>
      </c>
      <c r="AT154" s="438" t="n">
        <v>0.15</v>
      </c>
      <c r="AU154" s="438" t="n">
        <v>0.15</v>
      </c>
      <c r="AV154" s="438" t="n">
        <v>0.165</v>
      </c>
      <c r="AW154" s="418" t="n">
        <v>0.070084209195956</v>
      </c>
      <c r="AX154" s="418"/>
      <c r="AY154" s="437" t="n">
        <f aca="false">AG154</f>
        <v>0.165</v>
      </c>
      <c r="AZ154" s="437" t="n">
        <f aca="false">AG154</f>
        <v>0.165</v>
      </c>
      <c r="BA154" s="441" t="n">
        <f aca="false">AG154</f>
        <v>0.165</v>
      </c>
      <c r="BB154" s="442" t="n">
        <f aca="false">B154</f>
        <v>40969</v>
      </c>
      <c r="BC154" s="442" t="n">
        <v>0.449662504172285</v>
      </c>
      <c r="BD154" s="418" t="n">
        <v>0.449747920159249</v>
      </c>
      <c r="BF154" s="455" t="n">
        <v>40969</v>
      </c>
      <c r="BG154" s="66" t="n">
        <v>142</v>
      </c>
      <c r="HZ154" s="442" t="n">
        <f aca="false">B156</f>
        <v>41030</v>
      </c>
      <c r="IA154" s="418" t="n">
        <v>144</v>
      </c>
    </row>
    <row r="155" customFormat="false" ht="12.75" hidden="false" customHeight="false" outlineLevel="0" collapsed="false">
      <c r="A155" s="470"/>
      <c r="B155" s="419" t="n">
        <f aca="false">EOMONTH(B154,0)+1</f>
        <v>41000</v>
      </c>
      <c r="C155" s="420" t="n">
        <v>3.115</v>
      </c>
      <c r="D155" s="420" t="n">
        <v>0.15</v>
      </c>
      <c r="E155" s="420" t="n">
        <v>0.070583764119053</v>
      </c>
      <c r="F155" s="420" t="n">
        <v>-0.195</v>
      </c>
      <c r="G155" s="420" t="n">
        <v>0.015</v>
      </c>
      <c r="H155" s="420" t="n">
        <v>-0.195</v>
      </c>
      <c r="I155" s="420" t="n">
        <v>0.173</v>
      </c>
      <c r="J155" s="420" t="n">
        <v>0.195</v>
      </c>
      <c r="K155" s="420" t="n">
        <v>0.25</v>
      </c>
      <c r="L155" s="420" t="n">
        <v>-0.058</v>
      </c>
      <c r="M155" s="420" t="n">
        <v>-0.007999999</v>
      </c>
      <c r="N155" s="420" t="n">
        <v>0</v>
      </c>
      <c r="O155" s="420" t="n">
        <v>-0.29</v>
      </c>
      <c r="P155" s="420" t="n">
        <v>0.0065</v>
      </c>
      <c r="Q155" s="420" t="n">
        <v>0.0125</v>
      </c>
      <c r="R155" s="418" t="n">
        <v>-0.0135</v>
      </c>
      <c r="S155" s="418" t="n">
        <v>-0.041</v>
      </c>
      <c r="T155" s="418" t="n">
        <v>-0.11</v>
      </c>
      <c r="U155" s="418" t="n">
        <v>-0.004</v>
      </c>
      <c r="V155" s="418" t="n">
        <v>-0.0865</v>
      </c>
      <c r="W155" s="418" t="n">
        <v>-0.12</v>
      </c>
      <c r="X155" s="418" t="n">
        <v>0.45</v>
      </c>
      <c r="Y155" s="418" t="n">
        <v>0.005</v>
      </c>
      <c r="Z155" s="418" t="n">
        <v>-0.19</v>
      </c>
      <c r="AA155" s="418" t="n">
        <v>-0.014</v>
      </c>
      <c r="AB155" s="437" t="n">
        <v>0.295</v>
      </c>
      <c r="AC155" s="437" t="n">
        <v>0.355</v>
      </c>
      <c r="AD155" s="437" t="n">
        <v>0.268</v>
      </c>
      <c r="AE155" s="438" t="n">
        <v>0.15</v>
      </c>
      <c r="AF155" s="438" t="n">
        <v>0.15</v>
      </c>
      <c r="AG155" s="438" t="n">
        <v>0.147</v>
      </c>
      <c r="AH155" s="438" t="n">
        <v>0.15</v>
      </c>
      <c r="AI155" s="438" t="n">
        <v>0.153</v>
      </c>
      <c r="AJ155" s="438" t="n">
        <v>0.15</v>
      </c>
      <c r="AK155" s="438" t="n">
        <v>0.147</v>
      </c>
      <c r="AL155" s="438" t="n">
        <v>0.147</v>
      </c>
      <c r="AM155" s="438" t="n">
        <v>0.15</v>
      </c>
      <c r="AN155" s="438" t="n">
        <v>0.15</v>
      </c>
      <c r="AO155" s="438" t="n">
        <v>0.15</v>
      </c>
      <c r="AP155" s="439" t="n">
        <v>0.15</v>
      </c>
      <c r="AQ155" s="439" t="n">
        <v>0.15</v>
      </c>
      <c r="AR155" s="439" t="n">
        <v>0.15</v>
      </c>
      <c r="AS155" s="439" t="n">
        <v>0.15</v>
      </c>
      <c r="AT155" s="438" t="n">
        <v>0.15</v>
      </c>
      <c r="AU155" s="438" t="n">
        <v>0.15</v>
      </c>
      <c r="AV155" s="438" t="n">
        <v>0.147</v>
      </c>
      <c r="AW155" s="418" t="n">
        <v>0.070091162712625</v>
      </c>
      <c r="AX155" s="418"/>
      <c r="AY155" s="437" t="n">
        <f aca="false">AG155</f>
        <v>0.147</v>
      </c>
      <c r="AZ155" s="437" t="n">
        <f aca="false">AG155</f>
        <v>0.147</v>
      </c>
      <c r="BA155" s="441" t="n">
        <f aca="false">AG155</f>
        <v>0.147</v>
      </c>
      <c r="BB155" s="442" t="n">
        <f aca="false">B155</f>
        <v>41000</v>
      </c>
      <c r="BC155" s="442" t="n">
        <v>0.446997741552519</v>
      </c>
      <c r="BD155" s="418" t="n">
        <v>0.447082657226948</v>
      </c>
      <c r="BF155" s="455" t="n">
        <v>41000</v>
      </c>
      <c r="BG155" s="66" t="n">
        <v>143</v>
      </c>
      <c r="HZ155" s="442" t="n">
        <f aca="false">B157</f>
        <v>41061</v>
      </c>
      <c r="IA155" s="418" t="n">
        <v>145</v>
      </c>
    </row>
    <row r="156" customFormat="false" ht="12.75" hidden="false" customHeight="false" outlineLevel="0" collapsed="false">
      <c r="A156" s="470"/>
      <c r="B156" s="419" t="n">
        <f aca="false">EOMONTH(B155,0)+1</f>
        <v>41030</v>
      </c>
      <c r="C156" s="420" t="n">
        <v>3.112</v>
      </c>
      <c r="D156" s="420" t="n">
        <v>0.15</v>
      </c>
      <c r="E156" s="420" t="n">
        <v>0.070584892521281</v>
      </c>
      <c r="F156" s="420" t="n">
        <v>-0.195</v>
      </c>
      <c r="G156" s="420" t="n">
        <v>0.015</v>
      </c>
      <c r="H156" s="420" t="n">
        <v>-0.195</v>
      </c>
      <c r="I156" s="420" t="n">
        <v>0.183</v>
      </c>
      <c r="J156" s="420" t="n">
        <v>0.1825</v>
      </c>
      <c r="K156" s="420" t="n">
        <v>0.2025</v>
      </c>
      <c r="L156" s="420" t="n">
        <v>-0.058</v>
      </c>
      <c r="M156" s="435" t="n">
        <v>-0.007999999</v>
      </c>
      <c r="N156" s="420" t="n">
        <v>0</v>
      </c>
      <c r="O156" s="420" t="n">
        <v>-0.29</v>
      </c>
      <c r="P156" s="420" t="n">
        <v>0.0065</v>
      </c>
      <c r="Q156" s="420" t="n">
        <v>0.0125</v>
      </c>
      <c r="R156" s="418" t="n">
        <v>-0.0135</v>
      </c>
      <c r="S156" s="418" t="n">
        <v>-0.041</v>
      </c>
      <c r="T156" s="418" t="n">
        <v>-0.125</v>
      </c>
      <c r="U156" s="418" t="n">
        <v>-0.00425</v>
      </c>
      <c r="V156" s="418" t="n">
        <v>-0.0865</v>
      </c>
      <c r="W156" s="418" t="n">
        <v>-0.12</v>
      </c>
      <c r="X156" s="418" t="n">
        <v>0.405</v>
      </c>
      <c r="Y156" s="418" t="n">
        <v>0.005</v>
      </c>
      <c r="Z156" s="418" t="n">
        <v>-0.19</v>
      </c>
      <c r="AA156" s="418" t="n">
        <v>-0.014</v>
      </c>
      <c r="AB156" s="437" t="n">
        <v>0.295</v>
      </c>
      <c r="AC156" s="437" t="n">
        <v>0.2875</v>
      </c>
      <c r="AD156" s="437" t="n">
        <v>0.278</v>
      </c>
      <c r="AE156" s="438" t="n">
        <v>0.15</v>
      </c>
      <c r="AF156" s="438" t="n">
        <v>0.15</v>
      </c>
      <c r="AG156" s="438" t="n">
        <v>0.147</v>
      </c>
      <c r="AH156" s="438" t="n">
        <v>0.15</v>
      </c>
      <c r="AI156" s="438" t="n">
        <v>0.153</v>
      </c>
      <c r="AJ156" s="438" t="n">
        <v>0.15</v>
      </c>
      <c r="AK156" s="438" t="n">
        <v>0.147</v>
      </c>
      <c r="AL156" s="438" t="n">
        <v>0.147</v>
      </c>
      <c r="AM156" s="438" t="n">
        <v>0.15</v>
      </c>
      <c r="AN156" s="438" t="n">
        <v>0.15</v>
      </c>
      <c r="AO156" s="438" t="n">
        <v>0.15</v>
      </c>
      <c r="AP156" s="439" t="n">
        <v>0.15</v>
      </c>
      <c r="AQ156" s="439" t="n">
        <v>0.15</v>
      </c>
      <c r="AR156" s="439" t="n">
        <v>0.15</v>
      </c>
      <c r="AS156" s="439" t="n">
        <v>0.15</v>
      </c>
      <c r="AT156" s="438" t="n">
        <v>0.15</v>
      </c>
      <c r="AU156" s="438" t="n">
        <v>0.15</v>
      </c>
      <c r="AV156" s="438" t="n">
        <v>0.147</v>
      </c>
      <c r="AW156" s="418" t="n">
        <v>0.070097891922321</v>
      </c>
      <c r="AX156" s="418"/>
      <c r="AY156" s="437" t="n">
        <f aca="false">AG156</f>
        <v>0.147</v>
      </c>
      <c r="AZ156" s="437" t="n">
        <f aca="false">AG156</f>
        <v>0.147</v>
      </c>
      <c r="BA156" s="441" t="n">
        <f aca="false">AG156</f>
        <v>0.147</v>
      </c>
      <c r="BB156" s="442" t="n">
        <f aca="false">B156</f>
        <v>41030</v>
      </c>
      <c r="BC156" s="442" t="n">
        <v>0.444433631156995</v>
      </c>
      <c r="BD156" s="418" t="n">
        <v>0.444518065382537</v>
      </c>
      <c r="BF156" s="455" t="n">
        <v>41030</v>
      </c>
      <c r="BG156" s="66" t="n">
        <v>144</v>
      </c>
      <c r="HZ156" s="442" t="n">
        <f aca="false">B158</f>
        <v>0</v>
      </c>
      <c r="IA156" s="418" t="n">
        <v>146</v>
      </c>
    </row>
    <row r="157" customFormat="false" ht="12.75" hidden="false" customHeight="false" outlineLevel="0" collapsed="false">
      <c r="A157" s="470"/>
      <c r="B157" s="419" t="n">
        <f aca="false">EOMONTH(B156,0)+1</f>
        <v>41061</v>
      </c>
      <c r="C157" s="420" t="n">
        <v>3.141</v>
      </c>
      <c r="D157" s="420" t="n">
        <v>0.15</v>
      </c>
      <c r="E157" s="420" t="n">
        <v>0.070586058536917</v>
      </c>
      <c r="F157" s="420" t="n">
        <v>-0.195</v>
      </c>
      <c r="G157" s="420" t="n">
        <v>0.02</v>
      </c>
      <c r="H157" s="420" t="n">
        <v>-0.195</v>
      </c>
      <c r="I157" s="420" t="n">
        <v>0.178</v>
      </c>
      <c r="J157" s="420" t="n">
        <v>0.1825</v>
      </c>
      <c r="K157" s="420" t="n">
        <v>0.2025</v>
      </c>
      <c r="L157" s="420" t="n">
        <v>-0.074</v>
      </c>
      <c r="M157" s="435" t="n">
        <v>-0.007999999</v>
      </c>
      <c r="N157" s="420" t="n">
        <v>0</v>
      </c>
      <c r="O157" s="420" t="n">
        <v>-0.29</v>
      </c>
      <c r="P157" s="420" t="n">
        <v>0.0065</v>
      </c>
      <c r="Q157" s="420" t="n">
        <v>0.0125</v>
      </c>
      <c r="R157" s="418" t="n">
        <v>-0.0135</v>
      </c>
      <c r="S157" s="418" t="n">
        <v>-0.041</v>
      </c>
      <c r="T157" s="418" t="n">
        <v>-0.135</v>
      </c>
      <c r="U157" s="418" t="n">
        <v>-0.00425</v>
      </c>
      <c r="V157" s="418" t="n">
        <v>-0.0765</v>
      </c>
      <c r="W157" s="418" t="n">
        <v>-0.12</v>
      </c>
      <c r="X157" s="418" t="n">
        <v>0.395</v>
      </c>
      <c r="Y157" s="418" t="n">
        <v>0.005</v>
      </c>
      <c r="Z157" s="418" t="n">
        <v>-0.19</v>
      </c>
      <c r="AA157" s="418" t="n">
        <v>-0.014</v>
      </c>
      <c r="AB157" s="437" t="n">
        <v>0.295</v>
      </c>
      <c r="AC157" s="437" t="n">
        <v>0.2875</v>
      </c>
      <c r="AD157" s="437" t="n">
        <v>0.273</v>
      </c>
      <c r="AE157" s="438" t="n">
        <v>0.15</v>
      </c>
      <c r="AF157" s="438" t="n">
        <v>0.15</v>
      </c>
      <c r="AG157" s="438" t="n">
        <v>0.147</v>
      </c>
      <c r="AH157" s="438" t="n">
        <v>0.15</v>
      </c>
      <c r="AI157" s="438" t="n">
        <v>0.153</v>
      </c>
      <c r="AJ157" s="438" t="n">
        <v>0.15</v>
      </c>
      <c r="AK157" s="438" t="n">
        <v>0.147</v>
      </c>
      <c r="AL157" s="438" t="n">
        <v>0.147</v>
      </c>
      <c r="AM157" s="438" t="n">
        <v>0.15</v>
      </c>
      <c r="AN157" s="438" t="n">
        <v>0.15</v>
      </c>
      <c r="AO157" s="438" t="n">
        <v>0.15</v>
      </c>
      <c r="AP157" s="439" t="n">
        <v>0.15</v>
      </c>
      <c r="AQ157" s="439" t="n">
        <v>0.15</v>
      </c>
      <c r="AR157" s="439" t="n">
        <v>0.15</v>
      </c>
      <c r="AS157" s="439" t="n">
        <v>0.15</v>
      </c>
      <c r="AT157" s="438" t="n">
        <v>0.15</v>
      </c>
      <c r="AU157" s="438" t="n">
        <v>0.15</v>
      </c>
      <c r="AV157" s="438" t="n">
        <v>0.147</v>
      </c>
      <c r="AW157" s="418" t="n">
        <v>0.070104845439022</v>
      </c>
      <c r="AX157" s="418"/>
      <c r="AY157" s="437" t="n">
        <f aca="false">AG157</f>
        <v>0.147</v>
      </c>
      <c r="AZ157" s="437" t="n">
        <f aca="false">AG157</f>
        <v>0.147</v>
      </c>
      <c r="BA157" s="441" t="n">
        <f aca="false">AG157</f>
        <v>0.147</v>
      </c>
      <c r="BB157" s="442" t="n">
        <f aca="false">B157</f>
        <v>41061</v>
      </c>
      <c r="BC157" s="442" t="n">
        <v>0.441799147465314</v>
      </c>
      <c r="BD157" s="418" t="n">
        <v>0.441883086993502</v>
      </c>
      <c r="BF157" s="455" t="n">
        <v>41061</v>
      </c>
      <c r="BG157" s="66" t="n">
        <v>145</v>
      </c>
      <c r="HZ157" s="442" t="n">
        <f aca="false">B159</f>
        <v>0</v>
      </c>
      <c r="IA157" s="418" t="n">
        <v>147</v>
      </c>
    </row>
    <row r="158" customFormat="false" ht="12.75" hidden="false" customHeight="false" outlineLevel="0" collapsed="false">
      <c r="A158" s="470"/>
      <c r="B158" s="467"/>
      <c r="C158" s="420" t="n">
        <v>3.163</v>
      </c>
      <c r="D158" s="420" t="n">
        <v>0.15</v>
      </c>
      <c r="E158" s="420" t="n">
        <v>0.070587186939146</v>
      </c>
      <c r="F158" s="420" t="n">
        <v>-0.195</v>
      </c>
      <c r="G158" s="420" t="n">
        <v>0.0225</v>
      </c>
      <c r="H158" s="420" t="n">
        <v>-0.195</v>
      </c>
      <c r="I158" s="420" t="n">
        <v>0.168</v>
      </c>
      <c r="J158" s="420" t="n">
        <v>0.1825</v>
      </c>
      <c r="K158" s="420" t="n">
        <v>0.215</v>
      </c>
      <c r="L158" s="420" t="n">
        <v>-0.067</v>
      </c>
      <c r="M158" s="435" t="n">
        <v>-0.007999999</v>
      </c>
      <c r="N158" s="420" t="n">
        <v>0</v>
      </c>
      <c r="O158" s="420" t="n">
        <v>-0.29</v>
      </c>
      <c r="P158" s="420" t="n">
        <v>0.0065</v>
      </c>
      <c r="Q158" s="420" t="n">
        <v>0.0125</v>
      </c>
      <c r="R158" s="418" t="n">
        <v>-0.0135</v>
      </c>
      <c r="S158" s="418" t="n">
        <v>-0.041</v>
      </c>
      <c r="T158" s="418" t="n">
        <v>-0.135</v>
      </c>
      <c r="U158" s="418" t="n">
        <v>-0.00425</v>
      </c>
      <c r="V158" s="418" t="n">
        <v>-0.0715</v>
      </c>
      <c r="W158" s="418" t="n">
        <v>-0.12</v>
      </c>
      <c r="X158" s="418" t="n">
        <v>0.43</v>
      </c>
      <c r="Y158" s="418" t="n">
        <v>0.005</v>
      </c>
      <c r="Z158" s="418" t="n">
        <v>-0.19</v>
      </c>
      <c r="AA158" s="418" t="n">
        <v>-0.014</v>
      </c>
      <c r="AB158" s="437" t="n">
        <v>0.295</v>
      </c>
      <c r="AC158" s="437" t="n">
        <v>0.3</v>
      </c>
      <c r="AD158" s="437" t="n">
        <v>0.263</v>
      </c>
      <c r="AE158" s="438" t="n">
        <v>0.15</v>
      </c>
      <c r="AF158" s="438" t="n">
        <v>0.15</v>
      </c>
      <c r="AG158" s="438" t="n">
        <v>0.147</v>
      </c>
      <c r="AH158" s="438" t="n">
        <v>0.15</v>
      </c>
      <c r="AI158" s="438" t="n">
        <v>0.153</v>
      </c>
      <c r="AJ158" s="438" t="n">
        <v>0.15</v>
      </c>
      <c r="AK158" s="438" t="n">
        <v>0.147</v>
      </c>
      <c r="AL158" s="438" t="n">
        <v>0.147</v>
      </c>
      <c r="AM158" s="438" t="n">
        <v>0.15</v>
      </c>
      <c r="AN158" s="438" t="n">
        <v>0.15</v>
      </c>
      <c r="AO158" s="438" t="n">
        <v>0.15</v>
      </c>
      <c r="AP158" s="439" t="n">
        <v>0.15</v>
      </c>
      <c r="AQ158" s="439" t="n">
        <v>0.15</v>
      </c>
      <c r="AR158" s="439" t="n">
        <v>0.15</v>
      </c>
      <c r="AS158" s="439" t="n">
        <v>0.15</v>
      </c>
      <c r="AT158" s="438" t="n">
        <v>0.15</v>
      </c>
      <c r="AU158" s="438" t="n">
        <v>0.15</v>
      </c>
      <c r="AV158" s="438" t="n">
        <v>0.147</v>
      </c>
      <c r="AW158" s="418" t="n">
        <v>0.070111574648748</v>
      </c>
      <c r="AX158" s="418"/>
      <c r="AY158" s="437" t="n">
        <f aca="false">AG158</f>
        <v>0.147</v>
      </c>
      <c r="AZ158" s="437" t="n">
        <f aca="false">AG158</f>
        <v>0.147</v>
      </c>
      <c r="BA158" s="441" t="n">
        <f aca="false">AG158</f>
        <v>0.147</v>
      </c>
      <c r="BB158" s="442" t="n">
        <f aca="false">B158</f>
        <v>0</v>
      </c>
      <c r="BC158" s="442" t="n">
        <v>0.439264176407831</v>
      </c>
      <c r="BD158" s="418" t="n">
        <v>0.439347639891374</v>
      </c>
      <c r="BF158" s="455" t="n">
        <v>41091</v>
      </c>
      <c r="BG158" s="66" t="n">
        <v>146</v>
      </c>
      <c r="HZ158" s="442" t="n">
        <f aca="false">B160</f>
        <v>0</v>
      </c>
      <c r="IA158" s="418" t="n">
        <v>148</v>
      </c>
    </row>
    <row r="159" customFormat="false" ht="12.75" hidden="false" customHeight="false" outlineLevel="0" collapsed="false">
      <c r="A159" s="470"/>
      <c r="B159" s="467"/>
      <c r="C159" s="420" t="n">
        <v>3.184</v>
      </c>
      <c r="D159" s="420" t="n">
        <v>0.15</v>
      </c>
      <c r="E159" s="420" t="n">
        <v>0.070588352954783</v>
      </c>
      <c r="F159" s="420" t="n">
        <v>-0.195</v>
      </c>
      <c r="G159" s="420" t="n">
        <v>0.025</v>
      </c>
      <c r="H159" s="420" t="n">
        <v>-0.195</v>
      </c>
      <c r="I159" s="420" t="n">
        <v>0.165</v>
      </c>
      <c r="J159" s="420" t="n">
        <v>0.1825</v>
      </c>
      <c r="K159" s="420" t="n">
        <v>0.215</v>
      </c>
      <c r="L159" s="420" t="n">
        <v>-0.058</v>
      </c>
      <c r="M159" s="435" t="n">
        <v>-0.007999999</v>
      </c>
      <c r="N159" s="420" t="n">
        <v>0</v>
      </c>
      <c r="O159" s="420" t="n">
        <v>-0.29</v>
      </c>
      <c r="P159" s="420" t="n">
        <v>0.0065</v>
      </c>
      <c r="Q159" s="420" t="n">
        <v>0.0125</v>
      </c>
      <c r="R159" s="418" t="n">
        <v>-0.0135</v>
      </c>
      <c r="S159" s="418" t="n">
        <v>-0.041</v>
      </c>
      <c r="T159" s="418" t="n">
        <v>-0.135</v>
      </c>
      <c r="U159" s="418" t="n">
        <v>-0.00425</v>
      </c>
      <c r="V159" s="418" t="n">
        <v>-0.0715</v>
      </c>
      <c r="W159" s="418" t="n">
        <v>-0.12</v>
      </c>
      <c r="X159" s="418" t="n">
        <v>0.495</v>
      </c>
      <c r="Y159" s="418" t="n">
        <v>0.005</v>
      </c>
      <c r="Z159" s="418" t="n">
        <v>-0.19</v>
      </c>
      <c r="AA159" s="418" t="n">
        <v>-0.014</v>
      </c>
      <c r="AB159" s="437" t="n">
        <v>0.295</v>
      </c>
      <c r="AC159" s="437" t="n">
        <v>0.3</v>
      </c>
      <c r="AD159" s="437" t="n">
        <v>0.26</v>
      </c>
      <c r="AE159" s="438" t="n">
        <v>0.15</v>
      </c>
      <c r="AF159" s="438" t="n">
        <v>0.15</v>
      </c>
      <c r="AG159" s="438" t="n">
        <v>0.147</v>
      </c>
      <c r="AH159" s="438" t="n">
        <v>0.15</v>
      </c>
      <c r="AI159" s="438" t="n">
        <v>0.153</v>
      </c>
      <c r="AJ159" s="438" t="n">
        <v>0.15</v>
      </c>
      <c r="AK159" s="438" t="n">
        <v>0.147</v>
      </c>
      <c r="AL159" s="438" t="n">
        <v>0.147</v>
      </c>
      <c r="AM159" s="438" t="n">
        <v>0.15</v>
      </c>
      <c r="AN159" s="438" t="n">
        <v>0.15</v>
      </c>
      <c r="AO159" s="438" t="n">
        <v>0.15</v>
      </c>
      <c r="AP159" s="439" t="n">
        <v>0.15</v>
      </c>
      <c r="AQ159" s="439" t="n">
        <v>0.15</v>
      </c>
      <c r="AR159" s="439" t="n">
        <v>0.15</v>
      </c>
      <c r="AS159" s="439" t="n">
        <v>0.15</v>
      </c>
      <c r="AT159" s="438" t="n">
        <v>0.15</v>
      </c>
      <c r="AU159" s="438" t="n">
        <v>0.15</v>
      </c>
      <c r="AV159" s="438" t="n">
        <v>0.147</v>
      </c>
      <c r="AW159" s="418" t="n">
        <v>0.07011852816548</v>
      </c>
      <c r="AX159" s="418"/>
      <c r="AY159" s="437" t="n">
        <f aca="false">AG159</f>
        <v>0.147</v>
      </c>
      <c r="AZ159" s="437" t="n">
        <f aca="false">AG159</f>
        <v>0.147</v>
      </c>
      <c r="BA159" s="441" t="n">
        <f aca="false">AG159</f>
        <v>0.147</v>
      </c>
      <c r="BB159" s="442" t="n">
        <f aca="false">B159</f>
        <v>0</v>
      </c>
      <c r="BC159" s="442" t="n">
        <v>0.436659636002047</v>
      </c>
      <c r="BD159" s="418" t="n">
        <v>0.436742610341985</v>
      </c>
      <c r="BF159" s="455" t="n">
        <v>41122</v>
      </c>
      <c r="BG159" s="66" t="n">
        <v>147</v>
      </c>
      <c r="HZ159" s="442" t="n">
        <f aca="false">B161</f>
        <v>0</v>
      </c>
      <c r="IA159" s="418" t="n">
        <v>149</v>
      </c>
    </row>
    <row r="160" customFormat="false" ht="12.75" hidden="false" customHeight="false" outlineLevel="0" collapsed="false">
      <c r="A160" s="470"/>
      <c r="B160" s="467"/>
      <c r="C160" s="420" t="n">
        <v>3.158</v>
      </c>
      <c r="D160" s="420" t="n">
        <v>0.15</v>
      </c>
      <c r="E160" s="420" t="n">
        <v>0.07058951897042</v>
      </c>
      <c r="F160" s="420" t="n">
        <v>-0.195</v>
      </c>
      <c r="G160" s="420" t="n">
        <v>0.0175</v>
      </c>
      <c r="H160" s="420" t="n">
        <v>-0.195</v>
      </c>
      <c r="I160" s="420" t="n">
        <v>0.163</v>
      </c>
      <c r="J160" s="420" t="n">
        <v>0.1825</v>
      </c>
      <c r="K160" s="420" t="n">
        <v>0.195</v>
      </c>
      <c r="L160" s="420" t="n">
        <v>-0.038</v>
      </c>
      <c r="M160" s="435" t="n">
        <v>-0.007999999</v>
      </c>
      <c r="N160" s="420" t="n">
        <v>0</v>
      </c>
      <c r="O160" s="420" t="n">
        <v>-0.29</v>
      </c>
      <c r="P160" s="420" t="n">
        <v>0.0065</v>
      </c>
      <c r="Q160" s="420" t="n">
        <v>0.0125</v>
      </c>
      <c r="R160" s="418" t="n">
        <v>-0.0135</v>
      </c>
      <c r="S160" s="418" t="n">
        <v>-0.041</v>
      </c>
      <c r="T160" s="418" t="n">
        <v>-0.125</v>
      </c>
      <c r="U160" s="418" t="n">
        <v>-0.00425</v>
      </c>
      <c r="V160" s="418" t="n">
        <v>-0.0865</v>
      </c>
      <c r="W160" s="418" t="n">
        <v>-0.12</v>
      </c>
      <c r="X160" s="418" t="n">
        <v>0.395</v>
      </c>
      <c r="Y160" s="418" t="n">
        <v>0.005</v>
      </c>
      <c r="Z160" s="418" t="n">
        <v>-0.19</v>
      </c>
      <c r="AA160" s="418" t="n">
        <v>-0.014</v>
      </c>
      <c r="AB160" s="437" t="n">
        <v>0.295</v>
      </c>
      <c r="AC160" s="437" t="n">
        <v>0.29</v>
      </c>
      <c r="AD160" s="437" t="n">
        <v>0.258</v>
      </c>
      <c r="AE160" s="438" t="n">
        <v>0.15</v>
      </c>
      <c r="AF160" s="438" t="n">
        <v>0.15</v>
      </c>
      <c r="AG160" s="438" t="n">
        <v>0.147</v>
      </c>
      <c r="AH160" s="438" t="n">
        <v>0.15</v>
      </c>
      <c r="AI160" s="438" t="n">
        <v>0.153</v>
      </c>
      <c r="AJ160" s="438" t="n">
        <v>0.15</v>
      </c>
      <c r="AK160" s="438" t="n">
        <v>0.147</v>
      </c>
      <c r="AL160" s="438" t="n">
        <v>0.147</v>
      </c>
      <c r="AM160" s="438" t="n">
        <v>0.15</v>
      </c>
      <c r="AN160" s="438" t="n">
        <v>0.15</v>
      </c>
      <c r="AO160" s="438" t="n">
        <v>0.15</v>
      </c>
      <c r="AP160" s="439" t="n">
        <v>0.15</v>
      </c>
      <c r="AQ160" s="439" t="n">
        <v>0.15</v>
      </c>
      <c r="AR160" s="439" t="n">
        <v>0.15</v>
      </c>
      <c r="AS160" s="439" t="n">
        <v>0.15</v>
      </c>
      <c r="AT160" s="438" t="n">
        <v>0.15</v>
      </c>
      <c r="AU160" s="438" t="n">
        <v>0.15</v>
      </c>
      <c r="AV160" s="438" t="n">
        <v>0.147</v>
      </c>
      <c r="AW160" s="418" t="n">
        <v>0.070125481682228</v>
      </c>
      <c r="AX160" s="418"/>
      <c r="AY160" s="437" t="n">
        <f aca="false">AG160</f>
        <v>0.147</v>
      </c>
      <c r="AZ160" s="437" t="n">
        <f aca="false">AG160</f>
        <v>0.147</v>
      </c>
      <c r="BA160" s="441" t="n">
        <f aca="false">AG160</f>
        <v>0.147</v>
      </c>
      <c r="BB160" s="442" t="n">
        <f aca="false">B160</f>
        <v>0</v>
      </c>
      <c r="BC160" s="442" t="n">
        <v>0.434070185209871</v>
      </c>
      <c r="BD160" s="418" t="n">
        <v>0.43415267320527</v>
      </c>
      <c r="BF160" s="455" t="n">
        <v>41153</v>
      </c>
      <c r="BG160" s="66" t="n">
        <v>148</v>
      </c>
      <c r="HZ160" s="442" t="n">
        <f aca="false">B162</f>
        <v>0</v>
      </c>
      <c r="IA160" s="418" t="n">
        <v>150</v>
      </c>
    </row>
    <row r="161" customFormat="false" ht="12.75" hidden="false" customHeight="false" outlineLevel="0" collapsed="false">
      <c r="A161" s="470"/>
      <c r="B161" s="467"/>
      <c r="C161" s="420" t="n">
        <v>3.164</v>
      </c>
      <c r="D161" s="420" t="n">
        <v>0.15</v>
      </c>
      <c r="E161" s="420" t="n">
        <v>0.07059064737265</v>
      </c>
      <c r="F161" s="420" t="n">
        <v>-0.195</v>
      </c>
      <c r="G161" s="420" t="n">
        <v>0.0075</v>
      </c>
      <c r="H161" s="420" t="n">
        <v>-0.195</v>
      </c>
      <c r="I161" s="420" t="n">
        <v>0.178</v>
      </c>
      <c r="J161" s="420" t="n">
        <v>0.1875</v>
      </c>
      <c r="K161" s="420" t="n">
        <v>0.215</v>
      </c>
      <c r="L161" s="420" t="n">
        <v>-0.048</v>
      </c>
      <c r="M161" s="435" t="n">
        <v>-0.007999999</v>
      </c>
      <c r="N161" s="420" t="n">
        <v>0</v>
      </c>
      <c r="O161" s="420" t="n">
        <v>-0.29</v>
      </c>
      <c r="P161" s="420" t="n">
        <v>0.0065</v>
      </c>
      <c r="Q161" s="420" t="n">
        <v>0.0125</v>
      </c>
      <c r="R161" s="418" t="n">
        <v>-0.0135</v>
      </c>
      <c r="S161" s="418" t="n">
        <v>-0.041</v>
      </c>
      <c r="T161" s="418" t="n">
        <v>-0.11</v>
      </c>
      <c r="U161" s="418" t="n">
        <v>-0.0225</v>
      </c>
      <c r="V161" s="418" t="n">
        <v>-0.089</v>
      </c>
      <c r="W161" s="418" t="n">
        <v>-0.12</v>
      </c>
      <c r="X161" s="418" t="n">
        <v>0.461</v>
      </c>
      <c r="Y161" s="418" t="n">
        <v>0.005</v>
      </c>
      <c r="Z161" s="418" t="n">
        <v>-0.19</v>
      </c>
      <c r="AA161" s="418" t="n">
        <v>-0.014</v>
      </c>
      <c r="AB161" s="437" t="n">
        <v>0.295</v>
      </c>
      <c r="AC161" s="437" t="n">
        <v>0.3625</v>
      </c>
      <c r="AD161" s="437" t="n">
        <v>0.273</v>
      </c>
      <c r="AE161" s="438" t="n">
        <v>0.15</v>
      </c>
      <c r="AF161" s="438" t="n">
        <v>0.15</v>
      </c>
      <c r="AG161" s="438" t="n">
        <v>0.147</v>
      </c>
      <c r="AH161" s="438" t="n">
        <v>0.15</v>
      </c>
      <c r="AI161" s="438" t="n">
        <v>0.153</v>
      </c>
      <c r="AJ161" s="438" t="n">
        <v>0.15</v>
      </c>
      <c r="AK161" s="438" t="n">
        <v>0.147</v>
      </c>
      <c r="AL161" s="438" t="n">
        <v>0.147</v>
      </c>
      <c r="AM161" s="438" t="n">
        <v>0.15</v>
      </c>
      <c r="AN161" s="438" t="n">
        <v>0.15</v>
      </c>
      <c r="AO161" s="438" t="n">
        <v>0.15</v>
      </c>
      <c r="AP161" s="439" t="n">
        <v>0.15</v>
      </c>
      <c r="AQ161" s="439" t="n">
        <v>0.15</v>
      </c>
      <c r="AR161" s="439" t="n">
        <v>0.15</v>
      </c>
      <c r="AS161" s="439" t="n">
        <v>0.15</v>
      </c>
      <c r="AT161" s="438" t="n">
        <v>0.15</v>
      </c>
      <c r="AU161" s="438" t="n">
        <v>0.15</v>
      </c>
      <c r="AV161" s="438" t="n">
        <v>0.147</v>
      </c>
      <c r="AW161" s="418" t="n">
        <v>0.070132210892</v>
      </c>
      <c r="AX161" s="418"/>
      <c r="AY161" s="437" t="n">
        <f aca="false">AG161</f>
        <v>0.147</v>
      </c>
      <c r="AZ161" s="437" t="n">
        <f aca="false">AG161</f>
        <v>0.147</v>
      </c>
      <c r="BA161" s="441" t="n">
        <f aca="false">AG161</f>
        <v>0.147</v>
      </c>
      <c r="BB161" s="442" t="n">
        <f aca="false">B161</f>
        <v>0</v>
      </c>
      <c r="BC161" s="442" t="n">
        <v>0.431578552085401</v>
      </c>
      <c r="BD161" s="418" t="n">
        <v>0.431660572075171</v>
      </c>
      <c r="BF161" s="455" t="n">
        <v>41183</v>
      </c>
      <c r="BG161" s="66" t="n">
        <v>149</v>
      </c>
      <c r="HZ161" s="442" t="n">
        <f aca="false">B163</f>
        <v>0</v>
      </c>
      <c r="IA161" s="418" t="n">
        <v>151</v>
      </c>
    </row>
    <row r="162" customFormat="false" ht="12.75" hidden="false" customHeight="false" outlineLevel="0" collapsed="false">
      <c r="A162" s="470"/>
      <c r="B162" s="467"/>
      <c r="C162" s="420" t="n">
        <v>3.211</v>
      </c>
      <c r="D162" s="420" t="n">
        <v>0.15</v>
      </c>
      <c r="E162" s="420" t="n">
        <v>0.070591813388288</v>
      </c>
      <c r="F162" s="420" t="n">
        <v>-0.19</v>
      </c>
      <c r="G162" s="420" t="n">
        <v>-0.0325</v>
      </c>
      <c r="H162" s="420" t="n">
        <v>-0.19</v>
      </c>
      <c r="I162" s="420" t="n">
        <v>0.24</v>
      </c>
      <c r="J162" s="420" t="n">
        <v>0.27</v>
      </c>
      <c r="K162" s="420" t="n">
        <v>0.2875</v>
      </c>
      <c r="L162" s="420" t="n">
        <v>-0.063</v>
      </c>
      <c r="M162" s="435" t="n">
        <v>-0.0005</v>
      </c>
      <c r="N162" s="420" t="n">
        <v>0</v>
      </c>
      <c r="O162" s="420" t="n">
        <v>0</v>
      </c>
      <c r="P162" s="420" t="n">
        <v>0.016</v>
      </c>
      <c r="Q162" s="420" t="n">
        <v>0.0045</v>
      </c>
      <c r="R162" s="418" t="n">
        <v>-0.0165</v>
      </c>
      <c r="S162" s="418" t="n">
        <v>-0.0405</v>
      </c>
      <c r="T162" s="418" t="n">
        <v>-0.0725</v>
      </c>
      <c r="U162" s="418" t="n">
        <v>-0.0215</v>
      </c>
      <c r="V162" s="418" t="n">
        <v>-0.0865</v>
      </c>
      <c r="W162" s="418" t="n">
        <v>-0.1325</v>
      </c>
      <c r="X162" s="418" t="n">
        <v>0.7675</v>
      </c>
      <c r="Y162" s="418" t="n">
        <v>0.005</v>
      </c>
      <c r="Z162" s="418" t="n">
        <v>-0.19</v>
      </c>
      <c r="AA162" s="418" t="n">
        <v>-0.0155</v>
      </c>
      <c r="AB162" s="437" t="n">
        <v>0.12</v>
      </c>
      <c r="AC162" s="437" t="n">
        <v>0.465</v>
      </c>
      <c r="AD162" s="437" t="n">
        <v>0.335</v>
      </c>
      <c r="AE162" s="438" t="n">
        <v>0.15</v>
      </c>
      <c r="AF162" s="438" t="n">
        <v>0.15</v>
      </c>
      <c r="AG162" s="438" t="n">
        <v>0.165</v>
      </c>
      <c r="AH162" s="438" t="n">
        <v>0.15</v>
      </c>
      <c r="AI162" s="438" t="n">
        <v>0.153</v>
      </c>
      <c r="AJ162" s="438" t="n">
        <v>0.15</v>
      </c>
      <c r="AK162" s="438" t="n">
        <v>0.15</v>
      </c>
      <c r="AL162" s="438" t="n">
        <v>0.15</v>
      </c>
      <c r="AM162" s="438" t="n">
        <v>0.15</v>
      </c>
      <c r="AN162" s="438" t="n">
        <v>0.15</v>
      </c>
      <c r="AO162" s="438" t="n">
        <v>0.15</v>
      </c>
      <c r="AP162" s="439" t="n">
        <v>0.15</v>
      </c>
      <c r="AQ162" s="439" t="n">
        <v>0.15</v>
      </c>
      <c r="AR162" s="439" t="n">
        <v>0.15</v>
      </c>
      <c r="AS162" s="439" t="n">
        <v>0.15</v>
      </c>
      <c r="AT162" s="438" t="n">
        <v>0.15</v>
      </c>
      <c r="AU162" s="438" t="n">
        <v>0.15</v>
      </c>
      <c r="AV162" s="438" t="n">
        <v>0.165</v>
      </c>
      <c r="AW162" s="418" t="n">
        <v>0.07013916440878</v>
      </c>
      <c r="AX162" s="418"/>
      <c r="AY162" s="437" t="n">
        <f aca="false">AG162</f>
        <v>0.165</v>
      </c>
      <c r="AZ162" s="437" t="n">
        <f aca="false">AG162</f>
        <v>0.165</v>
      </c>
      <c r="BA162" s="441" t="n">
        <f aca="false">AG162</f>
        <v>0.165</v>
      </c>
      <c r="BB162" s="442" t="n">
        <f aca="false">B162</f>
        <v>0</v>
      </c>
      <c r="BC162" s="442" t="n">
        <v>0.429018545204123</v>
      </c>
      <c r="BD162" s="418" t="n">
        <v>0.429100084311688</v>
      </c>
      <c r="BF162" s="455" t="n">
        <v>41214</v>
      </c>
      <c r="BG162" s="66" t="n">
        <v>150</v>
      </c>
      <c r="HZ162" s="442" t="n">
        <f aca="false">B164</f>
        <v>0</v>
      </c>
      <c r="IA162" s="418" t="n">
        <v>152</v>
      </c>
    </row>
    <row r="163" customFormat="false" ht="12.75" hidden="false" customHeight="false" outlineLevel="0" collapsed="false">
      <c r="A163" s="470"/>
      <c r="B163" s="467"/>
      <c r="C163" s="420" t="n">
        <v>3.27</v>
      </c>
      <c r="D163" s="420" t="n">
        <v>0.15</v>
      </c>
      <c r="E163" s="420" t="n">
        <v>0.070592941790519</v>
      </c>
      <c r="F163" s="420" t="n">
        <v>-0.1975</v>
      </c>
      <c r="G163" s="420" t="n">
        <v>-0.055</v>
      </c>
      <c r="H163" s="420" t="n">
        <v>-0.1975</v>
      </c>
      <c r="I163" s="420" t="n">
        <v>0.28</v>
      </c>
      <c r="J163" s="420" t="n">
        <v>0.305</v>
      </c>
      <c r="K163" s="420" t="n">
        <v>0.3375</v>
      </c>
      <c r="L163" s="420" t="n">
        <v>-0.063</v>
      </c>
      <c r="M163" s="420" t="n">
        <v>-0.0005</v>
      </c>
      <c r="N163" s="420" t="n">
        <v>0</v>
      </c>
      <c r="O163" s="420" t="n">
        <v>0.06</v>
      </c>
      <c r="P163" s="420" t="n">
        <v>0.016</v>
      </c>
      <c r="Q163" s="420" t="n">
        <v>0.0045</v>
      </c>
      <c r="R163" s="418" t="n">
        <v>-0.0165</v>
      </c>
      <c r="S163" s="418" t="n">
        <v>-0.0405</v>
      </c>
      <c r="T163" s="418" t="n">
        <v>-0.065</v>
      </c>
      <c r="U163" s="418" t="n">
        <v>-0.0215</v>
      </c>
      <c r="V163" s="418" t="n">
        <v>-0.1215</v>
      </c>
      <c r="W163" s="418" t="n">
        <v>-0.1275</v>
      </c>
      <c r="X163" s="418" t="n">
        <v>1.19</v>
      </c>
      <c r="Y163" s="418" t="n">
        <v>0.005</v>
      </c>
      <c r="Z163" s="418" t="n">
        <v>-0.19</v>
      </c>
      <c r="AA163" s="418" t="n">
        <v>-0.0155</v>
      </c>
      <c r="AB163" s="437" t="n">
        <v>0.12</v>
      </c>
      <c r="AC163" s="437" t="n">
        <v>0.8</v>
      </c>
      <c r="AD163" s="437" t="n">
        <v>0.375</v>
      </c>
      <c r="AE163" s="438" t="n">
        <v>0.15</v>
      </c>
      <c r="AF163" s="438" t="n">
        <v>0.15</v>
      </c>
      <c r="AG163" s="438" t="n">
        <v>0.165</v>
      </c>
      <c r="AH163" s="438" t="n">
        <v>0.15</v>
      </c>
      <c r="AI163" s="438" t="n">
        <v>0.153</v>
      </c>
      <c r="AJ163" s="438" t="n">
        <v>0.15</v>
      </c>
      <c r="AK163" s="438" t="n">
        <v>0.15</v>
      </c>
      <c r="AL163" s="438" t="n">
        <v>0.15</v>
      </c>
      <c r="AM163" s="438" t="n">
        <v>0.15</v>
      </c>
      <c r="AN163" s="438" t="n">
        <v>0.15</v>
      </c>
      <c r="AO163" s="438" t="n">
        <v>0.15</v>
      </c>
      <c r="AP163" s="439" t="n">
        <v>0.15</v>
      </c>
      <c r="AQ163" s="439" t="n">
        <v>0.15</v>
      </c>
      <c r="AR163" s="439" t="n">
        <v>0.15</v>
      </c>
      <c r="AS163" s="439" t="n">
        <v>0.15</v>
      </c>
      <c r="AT163" s="438" t="n">
        <v>0.15</v>
      </c>
      <c r="AU163" s="438" t="n">
        <v>0.15</v>
      </c>
      <c r="AV163" s="438" t="n">
        <v>0.165</v>
      </c>
      <c r="AW163" s="418" t="n">
        <v>0.070145893618583</v>
      </c>
      <c r="AX163" s="418"/>
      <c r="AY163" s="437" t="n">
        <f aca="false">AG163</f>
        <v>0.165</v>
      </c>
      <c r="AZ163" s="437" t="n">
        <f aca="false">AG163</f>
        <v>0.165</v>
      </c>
      <c r="BA163" s="441" t="n">
        <f aca="false">AG163</f>
        <v>0.165</v>
      </c>
      <c r="BB163" s="442" t="n">
        <f aca="false">B163</f>
        <v>0</v>
      </c>
      <c r="BC163" s="442" t="n">
        <v>0.426555247709781</v>
      </c>
      <c r="BD163" s="418" t="n">
        <v>0.426636324068832</v>
      </c>
      <c r="BF163" s="455" t="n">
        <v>41244</v>
      </c>
      <c r="BG163" s="66" t="n">
        <v>151</v>
      </c>
      <c r="HZ163" s="442" t="n">
        <f aca="false">B165</f>
        <v>0</v>
      </c>
      <c r="IA163" s="418" t="n">
        <v>153</v>
      </c>
    </row>
    <row r="164" customFormat="false" ht="12.75" hidden="false" customHeight="false" outlineLevel="0" collapsed="false">
      <c r="B164" s="467"/>
      <c r="C164" s="420" t="n">
        <v>3.582</v>
      </c>
      <c r="D164" s="420" t="n">
        <v>0.15</v>
      </c>
      <c r="E164" s="420" t="n">
        <v>0.070594107806159</v>
      </c>
      <c r="F164" s="420" t="n">
        <v>-0.2</v>
      </c>
      <c r="G164" s="420" t="n">
        <v>-0.0575</v>
      </c>
      <c r="H164" s="420" t="n">
        <v>-0.2</v>
      </c>
      <c r="I164" s="420" t="n">
        <v>0.29</v>
      </c>
      <c r="J164" s="420" t="n">
        <v>0.305</v>
      </c>
      <c r="K164" s="420" t="n">
        <v>0.4375</v>
      </c>
      <c r="L164" s="420" t="n">
        <v>-0.063</v>
      </c>
      <c r="M164" s="420" t="n">
        <v>0.0015</v>
      </c>
      <c r="N164" s="420" t="n">
        <v>0</v>
      </c>
      <c r="O164" s="420" t="n">
        <v>0.13</v>
      </c>
      <c r="P164" s="420" t="n">
        <v>0.016</v>
      </c>
      <c r="Q164" s="420" t="n">
        <v>0.0045</v>
      </c>
      <c r="R164" s="418" t="n">
        <v>-0.012</v>
      </c>
      <c r="S164" s="418" t="n">
        <v>-0.0405</v>
      </c>
      <c r="T164" s="418" t="n">
        <v>-0.05</v>
      </c>
      <c r="U164" s="418" t="n">
        <v>-0.0215</v>
      </c>
      <c r="V164" s="418" t="n">
        <v>-0.127</v>
      </c>
      <c r="W164" s="418" t="n">
        <v>-0.1275</v>
      </c>
      <c r="X164" s="418" t="n">
        <v>1.525</v>
      </c>
      <c r="Y164" s="418" t="n">
        <v>0.005</v>
      </c>
      <c r="Z164" s="418" t="n">
        <v>-0.19</v>
      </c>
      <c r="AA164" s="418" t="n">
        <v>-0.0155</v>
      </c>
      <c r="AB164" s="437" t="n">
        <v>0.12</v>
      </c>
      <c r="AC164" s="437" t="n">
        <v>0.975</v>
      </c>
      <c r="AD164" s="437" t="n">
        <v>0.385</v>
      </c>
      <c r="AE164" s="438" t="n">
        <v>0.15</v>
      </c>
      <c r="AF164" s="438" t="n">
        <v>0.15</v>
      </c>
      <c r="AG164" s="438" t="n">
        <v>0.165</v>
      </c>
      <c r="AH164" s="438" t="n">
        <v>0.15</v>
      </c>
      <c r="AI164" s="438" t="n">
        <v>0.153</v>
      </c>
      <c r="AJ164" s="438" t="n">
        <v>0.15</v>
      </c>
      <c r="AK164" s="438" t="n">
        <v>0.15</v>
      </c>
      <c r="AL164" s="438" t="n">
        <v>0.15</v>
      </c>
      <c r="AM164" s="438" t="n">
        <v>0.15</v>
      </c>
      <c r="AN164" s="438" t="n">
        <v>0.15</v>
      </c>
      <c r="AO164" s="438" t="n">
        <v>0.15</v>
      </c>
      <c r="AP164" s="439" t="n">
        <v>0.15</v>
      </c>
      <c r="AQ164" s="439" t="n">
        <v>0.15</v>
      </c>
      <c r="AR164" s="439" t="n">
        <v>0.15</v>
      </c>
      <c r="AS164" s="439" t="n">
        <v>0.15</v>
      </c>
      <c r="AT164" s="438" t="n">
        <v>0.15</v>
      </c>
      <c r="AU164" s="438" t="n">
        <v>0.15</v>
      </c>
      <c r="AV164" s="438" t="n">
        <v>0.165</v>
      </c>
      <c r="AW164" s="418" t="n">
        <v>0.070152847135394</v>
      </c>
      <c r="AX164" s="418"/>
      <c r="AY164" s="437" t="n">
        <f aca="false">AG164</f>
        <v>0.165</v>
      </c>
      <c r="AZ164" s="437" t="n">
        <f aca="false">AG164</f>
        <v>0.165</v>
      </c>
      <c r="BA164" s="441" t="n">
        <f aca="false">AG164</f>
        <v>0.165</v>
      </c>
      <c r="BB164" s="442" t="n">
        <f aca="false">B164</f>
        <v>0</v>
      </c>
      <c r="BC164" s="442" t="n">
        <v>0.424024358111371</v>
      </c>
      <c r="BD164" s="418" t="n">
        <v>0.424104958990746</v>
      </c>
      <c r="BF164" s="455" t="n">
        <v>41275</v>
      </c>
      <c r="BG164" s="66" t="n">
        <v>152</v>
      </c>
      <c r="HZ164" s="442" t="n">
        <f aca="false">B166</f>
        <v>0</v>
      </c>
      <c r="IA164" s="418" t="n">
        <v>154</v>
      </c>
    </row>
    <row r="165" customFormat="false" ht="12.75" hidden="false" customHeight="false" outlineLevel="0" collapsed="false">
      <c r="B165" s="467"/>
      <c r="C165" s="420" t="n">
        <v>3.48</v>
      </c>
      <c r="D165" s="420" t="n">
        <v>0.15</v>
      </c>
      <c r="E165" s="420" t="n">
        <v>0.070595273821798</v>
      </c>
      <c r="F165" s="420" t="n">
        <v>-0.2025</v>
      </c>
      <c r="G165" s="420" t="n">
        <v>-0.04</v>
      </c>
      <c r="H165" s="420" t="n">
        <v>-0.2025</v>
      </c>
      <c r="I165" s="420" t="n">
        <v>0.265</v>
      </c>
      <c r="J165" s="420" t="n">
        <v>0.305</v>
      </c>
      <c r="K165" s="420" t="n">
        <v>0.435</v>
      </c>
      <c r="L165" s="420" t="n">
        <v>-0.063</v>
      </c>
      <c r="M165" s="420" t="n">
        <v>0.0015</v>
      </c>
      <c r="N165" s="420" t="n">
        <v>0</v>
      </c>
      <c r="O165" s="420" t="n">
        <v>0</v>
      </c>
      <c r="P165" s="420" t="n">
        <v>0.016</v>
      </c>
      <c r="Q165" s="420" t="n">
        <v>0.0045</v>
      </c>
      <c r="R165" s="418" t="n">
        <v>-0.012</v>
      </c>
      <c r="S165" s="418" t="n">
        <v>-0.0405</v>
      </c>
      <c r="T165" s="418" t="n">
        <v>-0.05</v>
      </c>
      <c r="U165" s="418" t="n">
        <v>-0.0215</v>
      </c>
      <c r="V165" s="418" t="n">
        <v>-0.1095</v>
      </c>
      <c r="W165" s="418" t="n">
        <v>-0.1275</v>
      </c>
      <c r="X165" s="418" t="n">
        <v>1.455</v>
      </c>
      <c r="Y165" s="418" t="n">
        <v>0.005</v>
      </c>
      <c r="Z165" s="418" t="n">
        <v>-0.19</v>
      </c>
      <c r="AA165" s="418" t="n">
        <v>-0.0155</v>
      </c>
      <c r="AB165" s="437" t="n">
        <v>0.12</v>
      </c>
      <c r="AC165" s="437" t="n">
        <v>0.975</v>
      </c>
      <c r="AD165" s="437" t="n">
        <v>0.36</v>
      </c>
      <c r="AE165" s="438" t="n">
        <v>0.15</v>
      </c>
      <c r="AF165" s="438" t="n">
        <v>0.15</v>
      </c>
      <c r="AG165" s="438" t="n">
        <v>0.165</v>
      </c>
      <c r="AH165" s="438" t="n">
        <v>0.15</v>
      </c>
      <c r="AI165" s="438" t="n">
        <v>0.153</v>
      </c>
      <c r="AJ165" s="438" t="n">
        <v>0.15</v>
      </c>
      <c r="AK165" s="438" t="n">
        <v>0.15</v>
      </c>
      <c r="AL165" s="438" t="n">
        <v>0.15</v>
      </c>
      <c r="AM165" s="438" t="n">
        <v>0.15</v>
      </c>
      <c r="AN165" s="438" t="n">
        <v>0.15</v>
      </c>
      <c r="AO165" s="438" t="n">
        <v>0.15</v>
      </c>
      <c r="AP165" s="439" t="n">
        <v>0.15</v>
      </c>
      <c r="AQ165" s="439" t="n">
        <v>0.15</v>
      </c>
      <c r="AR165" s="439" t="n">
        <v>0.15</v>
      </c>
      <c r="AS165" s="439" t="n">
        <v>0.15</v>
      </c>
      <c r="AT165" s="438" t="n">
        <v>0.15</v>
      </c>
      <c r="AU165" s="438" t="n">
        <v>0.15</v>
      </c>
      <c r="AV165" s="438" t="n">
        <v>0.165</v>
      </c>
      <c r="AW165" s="418" t="n">
        <v>0.070159800652221</v>
      </c>
      <c r="AX165" s="418"/>
      <c r="AY165" s="437" t="n">
        <f aca="false">AG165</f>
        <v>0.165</v>
      </c>
      <c r="AZ165" s="437" t="n">
        <f aca="false">AG165</f>
        <v>0.165</v>
      </c>
      <c r="BA165" s="441" t="n">
        <f aca="false">AG165</f>
        <v>0.165</v>
      </c>
      <c r="BB165" s="442" t="n">
        <f aca="false">B165</f>
        <v>0</v>
      </c>
      <c r="BC165" s="442" t="n">
        <v>0.421508141778731</v>
      </c>
      <c r="BD165" s="418" t="n">
        <v>0.421588269901263</v>
      </c>
      <c r="BF165" s="455" t="n">
        <v>41306</v>
      </c>
      <c r="BG165" s="66" t="n">
        <v>153</v>
      </c>
      <c r="HZ165" s="442" t="n">
        <f aca="false">B167</f>
        <v>0</v>
      </c>
      <c r="IA165" s="418" t="n">
        <v>155</v>
      </c>
    </row>
    <row r="166" customFormat="false" ht="12.75" hidden="false" customHeight="false" outlineLevel="0" collapsed="false">
      <c r="B166" s="467"/>
      <c r="C166" s="420" t="n">
        <v>3.34</v>
      </c>
      <c r="D166" s="420" t="n">
        <v>0.15</v>
      </c>
      <c r="E166" s="420" t="n">
        <v>0.070596326997215</v>
      </c>
      <c r="F166" s="420" t="n">
        <v>-0.205</v>
      </c>
      <c r="G166" s="420" t="n">
        <v>-0.0275</v>
      </c>
      <c r="H166" s="420" t="n">
        <v>-0.205</v>
      </c>
      <c r="I166" s="420" t="n">
        <v>0.263</v>
      </c>
      <c r="J166" s="420" t="n">
        <v>0.265</v>
      </c>
      <c r="K166" s="420" t="n">
        <v>0.3025</v>
      </c>
      <c r="L166" s="420" t="n">
        <v>-0.063</v>
      </c>
      <c r="M166" s="420" t="n">
        <v>0.0015</v>
      </c>
      <c r="N166" s="420" t="n">
        <v>0</v>
      </c>
      <c r="O166" s="420" t="n">
        <v>-0.18</v>
      </c>
      <c r="P166" s="420" t="n">
        <v>0.016</v>
      </c>
      <c r="Q166" s="420" t="n">
        <v>0.0045</v>
      </c>
      <c r="R166" s="418" t="n">
        <v>-0.012</v>
      </c>
      <c r="S166" s="418" t="n">
        <v>-0.0405</v>
      </c>
      <c r="T166" s="418" t="n">
        <v>-0.05</v>
      </c>
      <c r="U166" s="418" t="n">
        <v>-0.003</v>
      </c>
      <c r="V166" s="418" t="n">
        <v>-0.092</v>
      </c>
      <c r="W166" s="418" t="n">
        <v>-0.1325</v>
      </c>
      <c r="X166" s="418" t="n">
        <v>0.835</v>
      </c>
      <c r="Y166" s="418" t="n">
        <v>0.005</v>
      </c>
      <c r="Z166" s="418" t="n">
        <v>-0.19</v>
      </c>
      <c r="AA166" s="418" t="n">
        <v>-0.0155</v>
      </c>
      <c r="AB166" s="437" t="n">
        <v>0.12</v>
      </c>
      <c r="AC166" s="437" t="n">
        <v>0.6075</v>
      </c>
      <c r="AD166" s="437" t="n">
        <v>0.358</v>
      </c>
      <c r="AE166" s="438" t="n">
        <v>0.15</v>
      </c>
      <c r="AF166" s="438" t="n">
        <v>0.15</v>
      </c>
      <c r="AG166" s="438" t="n">
        <v>0.165</v>
      </c>
      <c r="AH166" s="438" t="n">
        <v>0.15</v>
      </c>
      <c r="AI166" s="438" t="n">
        <v>0.153</v>
      </c>
      <c r="AJ166" s="438" t="n">
        <v>0.15</v>
      </c>
      <c r="AK166" s="438" t="n">
        <v>0.15</v>
      </c>
      <c r="AL166" s="438" t="n">
        <v>0.15</v>
      </c>
      <c r="AM166" s="438" t="n">
        <v>0.15</v>
      </c>
      <c r="AN166" s="438" t="n">
        <v>0.15</v>
      </c>
      <c r="AO166" s="438" t="n">
        <v>0.15</v>
      </c>
      <c r="AP166" s="439" t="n">
        <v>0.15</v>
      </c>
      <c r="AQ166" s="439" t="n">
        <v>0.15</v>
      </c>
      <c r="AR166" s="439" t="n">
        <v>0.15</v>
      </c>
      <c r="AS166" s="439" t="n">
        <v>0.15</v>
      </c>
      <c r="AT166" s="438" t="n">
        <v>0.15</v>
      </c>
      <c r="AU166" s="438" t="n">
        <v>0.15</v>
      </c>
      <c r="AV166" s="438" t="n">
        <v>0.165</v>
      </c>
      <c r="AW166" s="418" t="n">
        <v>0.070166081248079</v>
      </c>
      <c r="AX166" s="418"/>
      <c r="AY166" s="437" t="n">
        <f aca="false">AG166</f>
        <v>0.165</v>
      </c>
      <c r="AZ166" s="437" t="n">
        <f aca="false">AG166</f>
        <v>0.165</v>
      </c>
      <c r="BA166" s="441" t="n">
        <f aca="false">AG166</f>
        <v>0.165</v>
      </c>
      <c r="BB166" s="442" t="n">
        <f aca="false">B166</f>
        <v>0</v>
      </c>
      <c r="BC166" s="442" t="n">
        <v>0.419247973201608</v>
      </c>
      <c r="BD166" s="418" t="n">
        <v>0.41932767664565</v>
      </c>
      <c r="BF166" s="455" t="n">
        <v>41334</v>
      </c>
      <c r="BG166" s="66" t="n">
        <v>154</v>
      </c>
      <c r="HZ166" s="442" t="n">
        <f aca="false">B168</f>
        <v>0</v>
      </c>
      <c r="IA166" s="418" t="n">
        <v>156</v>
      </c>
    </row>
    <row r="167" customFormat="false" ht="12.75" hidden="false" customHeight="false" outlineLevel="0" collapsed="false">
      <c r="B167" s="467"/>
      <c r="C167" s="420" t="n">
        <v>3.192</v>
      </c>
      <c r="D167" s="420" t="n">
        <v>0.15</v>
      </c>
      <c r="E167" s="420" t="n">
        <v>0.070597493012855</v>
      </c>
      <c r="F167" s="420" t="n">
        <v>-0.195</v>
      </c>
      <c r="G167" s="420" t="n">
        <v>0.015</v>
      </c>
      <c r="H167" s="420" t="n">
        <v>-0.195</v>
      </c>
      <c r="I167" s="420" t="n">
        <v>0.168</v>
      </c>
      <c r="J167" s="420" t="n">
        <v>0.195</v>
      </c>
      <c r="K167" s="420" t="n">
        <v>0.25</v>
      </c>
      <c r="L167" s="420" t="n">
        <v>-0.056</v>
      </c>
      <c r="M167" s="420" t="n">
        <v>-0.005999999</v>
      </c>
      <c r="N167" s="420" t="n">
        <v>0</v>
      </c>
      <c r="O167" s="420" t="n">
        <v>-0.29</v>
      </c>
      <c r="P167" s="420" t="n">
        <v>0.0065</v>
      </c>
      <c r="Q167" s="420" t="n">
        <v>0.0145</v>
      </c>
      <c r="R167" s="418" t="n">
        <v>-0.0115</v>
      </c>
      <c r="S167" s="418" t="n">
        <v>-0.038</v>
      </c>
      <c r="T167" s="418" t="n">
        <v>-0.095</v>
      </c>
      <c r="U167" s="418" t="n">
        <v>-0.003</v>
      </c>
      <c r="V167" s="418" t="n">
        <v>-0.0845</v>
      </c>
      <c r="W167" s="418" t="n">
        <v>-0.12</v>
      </c>
      <c r="X167" s="418" t="n">
        <v>0.45</v>
      </c>
      <c r="Y167" s="418" t="n">
        <v>0.005</v>
      </c>
      <c r="Z167" s="418" t="n">
        <v>-0.19</v>
      </c>
      <c r="AA167" s="418" t="n">
        <v>-0.013</v>
      </c>
      <c r="AB167" s="437" t="n">
        <v>0.295</v>
      </c>
      <c r="AC167" s="437" t="n">
        <v>0.355</v>
      </c>
      <c r="AD167" s="437" t="n">
        <v>0.263</v>
      </c>
      <c r="AE167" s="438" t="n">
        <v>0.15</v>
      </c>
      <c r="AF167" s="438" t="n">
        <v>0.15</v>
      </c>
      <c r="AG167" s="438" t="n">
        <v>0.147</v>
      </c>
      <c r="AH167" s="438" t="n">
        <v>0.15</v>
      </c>
      <c r="AI167" s="438" t="n">
        <v>0.153</v>
      </c>
      <c r="AJ167" s="438" t="n">
        <v>0.15</v>
      </c>
      <c r="AK167" s="438" t="n">
        <v>0.147</v>
      </c>
      <c r="AL167" s="438" t="n">
        <v>0.147</v>
      </c>
      <c r="AM167" s="438" t="n">
        <v>0.15</v>
      </c>
      <c r="AN167" s="438" t="n">
        <v>0.15</v>
      </c>
      <c r="AO167" s="438" t="n">
        <v>0.15</v>
      </c>
      <c r="AP167" s="439" t="n">
        <v>0.15</v>
      </c>
      <c r="AQ167" s="439" t="n">
        <v>0.15</v>
      </c>
      <c r="AR167" s="439" t="n">
        <v>0.15</v>
      </c>
      <c r="AS167" s="439" t="n">
        <v>0.15</v>
      </c>
      <c r="AT167" s="438" t="n">
        <v>0.15</v>
      </c>
      <c r="AU167" s="438" t="n">
        <v>0.15</v>
      </c>
      <c r="AV167" s="438" t="n">
        <v>0.147</v>
      </c>
      <c r="AW167" s="418" t="n">
        <v>0.070173034764937</v>
      </c>
      <c r="AX167" s="418"/>
      <c r="AY167" s="437" t="n">
        <f aca="false">AG167</f>
        <v>0.147</v>
      </c>
      <c r="AZ167" s="437" t="n">
        <f aca="false">AG167</f>
        <v>0.147</v>
      </c>
      <c r="BA167" s="441" t="n">
        <f aca="false">AG167</f>
        <v>0.147</v>
      </c>
      <c r="BB167" s="442" t="n">
        <f aca="false">B167</f>
        <v>0</v>
      </c>
      <c r="BC167" s="442" t="n">
        <v>0.416759454520225</v>
      </c>
      <c r="BD167" s="418" t="n">
        <v>0.416838690347673</v>
      </c>
      <c r="BF167" s="455" t="n">
        <v>41365</v>
      </c>
      <c r="BG167" s="66" t="n">
        <v>155</v>
      </c>
      <c r="HZ167" s="442" t="n">
        <f aca="false">B169</f>
        <v>0</v>
      </c>
      <c r="IA167" s="418" t="n">
        <v>157</v>
      </c>
    </row>
    <row r="168" customFormat="false" ht="12.75" hidden="false" customHeight="false" outlineLevel="0" collapsed="false">
      <c r="B168" s="467"/>
      <c r="C168" s="420" t="n">
        <v>3.19</v>
      </c>
      <c r="D168" s="420" t="n">
        <v>0.15</v>
      </c>
      <c r="E168" s="420" t="n">
        <v>0.070598621415089</v>
      </c>
      <c r="F168" s="420" t="n">
        <v>-0.195</v>
      </c>
      <c r="G168" s="420" t="n">
        <v>0.015</v>
      </c>
      <c r="H168" s="420" t="n">
        <v>-0.195</v>
      </c>
      <c r="I168" s="420" t="n">
        <v>0.178</v>
      </c>
      <c r="J168" s="420" t="n">
        <v>0.1825</v>
      </c>
      <c r="K168" s="420" t="n">
        <v>0.2025</v>
      </c>
      <c r="L168" s="420" t="n">
        <v>-0.056</v>
      </c>
      <c r="M168" s="435" t="n">
        <v>-0.005999999</v>
      </c>
      <c r="N168" s="420" t="n">
        <v>0</v>
      </c>
      <c r="O168" s="420" t="n">
        <v>-0.29</v>
      </c>
      <c r="P168" s="420" t="n">
        <v>0.0065</v>
      </c>
      <c r="Q168" s="420" t="n">
        <v>0.0145</v>
      </c>
      <c r="R168" s="418" t="n">
        <v>-0.0115</v>
      </c>
      <c r="S168" s="418" t="n">
        <v>-0.038</v>
      </c>
      <c r="T168" s="418" t="n">
        <v>-0.11</v>
      </c>
      <c r="U168" s="418" t="n">
        <v>-0.00325</v>
      </c>
      <c r="V168" s="418" t="n">
        <v>-0.0845</v>
      </c>
      <c r="W168" s="418" t="n">
        <v>-0.12</v>
      </c>
      <c r="X168" s="418" t="n">
        <v>0.405</v>
      </c>
      <c r="Y168" s="418" t="n">
        <v>0.005</v>
      </c>
      <c r="Z168" s="418" t="n">
        <v>-0.19</v>
      </c>
      <c r="AA168" s="418" t="n">
        <v>-0.013</v>
      </c>
      <c r="AB168" s="437" t="n">
        <v>0.295</v>
      </c>
      <c r="AC168" s="437" t="n">
        <v>0.2875</v>
      </c>
      <c r="AD168" s="437" t="n">
        <v>0.273</v>
      </c>
      <c r="AE168" s="438" t="n">
        <v>0.15</v>
      </c>
      <c r="AF168" s="438" t="n">
        <v>0.15</v>
      </c>
      <c r="AG168" s="438" t="n">
        <v>0.147</v>
      </c>
      <c r="AH168" s="438" t="n">
        <v>0.15</v>
      </c>
      <c r="AI168" s="438" t="n">
        <v>0.153</v>
      </c>
      <c r="AJ168" s="438" t="n">
        <v>0.15</v>
      </c>
      <c r="AK168" s="438" t="n">
        <v>0.147</v>
      </c>
      <c r="AL168" s="438" t="n">
        <v>0.147</v>
      </c>
      <c r="AM168" s="438" t="n">
        <v>0.15</v>
      </c>
      <c r="AN168" s="438" t="n">
        <v>0.15</v>
      </c>
      <c r="AO168" s="438" t="n">
        <v>0.15</v>
      </c>
      <c r="AP168" s="439" t="n">
        <v>0.15</v>
      </c>
      <c r="AQ168" s="439" t="n">
        <v>0.15</v>
      </c>
      <c r="AR168" s="439" t="n">
        <v>0.15</v>
      </c>
      <c r="AS168" s="439" t="n">
        <v>0.15</v>
      </c>
      <c r="AT168" s="438" t="n">
        <v>0.15</v>
      </c>
      <c r="AU168" s="438" t="n">
        <v>0.15</v>
      </c>
      <c r="AV168" s="438" t="n">
        <v>0.147</v>
      </c>
      <c r="AW168" s="418" t="n">
        <v>0.070179763974815</v>
      </c>
      <c r="AX168" s="418"/>
      <c r="AY168" s="437" t="n">
        <f aca="false">AG168</f>
        <v>0.147</v>
      </c>
      <c r="AZ168" s="437" t="n">
        <f aca="false">AG168</f>
        <v>0.147</v>
      </c>
      <c r="BA168" s="441" t="n">
        <f aca="false">AG168</f>
        <v>0.147</v>
      </c>
      <c r="BB168" s="442" t="n">
        <f aca="false">B168</f>
        <v>0</v>
      </c>
      <c r="BC168" s="442" t="n">
        <v>0.4143649541834</v>
      </c>
      <c r="BD168" s="418" t="n">
        <v>0.41444374002952</v>
      </c>
      <c r="BF168" s="455" t="n">
        <v>41395</v>
      </c>
      <c r="BG168" s="66" t="n">
        <v>156</v>
      </c>
      <c r="HZ168" s="442" t="n">
        <f aca="false">B170</f>
        <v>0</v>
      </c>
      <c r="IA168" s="418" t="n">
        <v>158</v>
      </c>
    </row>
    <row r="169" customFormat="false" ht="12.75" hidden="false" customHeight="false" outlineLevel="0" collapsed="false">
      <c r="B169" s="467"/>
      <c r="C169" s="420" t="n">
        <v>3.22</v>
      </c>
      <c r="D169" s="420" t="n">
        <v>0.15</v>
      </c>
      <c r="E169" s="420" t="n">
        <v>0.07059978743073</v>
      </c>
      <c r="F169" s="420" t="n">
        <v>-0.195</v>
      </c>
      <c r="G169" s="420" t="n">
        <v>0.02</v>
      </c>
      <c r="H169" s="420" t="n">
        <v>-0.195</v>
      </c>
      <c r="I169" s="420" t="n">
        <v>0.173</v>
      </c>
      <c r="J169" s="420" t="n">
        <v>0.1825</v>
      </c>
      <c r="K169" s="420" t="n">
        <v>0.2025</v>
      </c>
      <c r="L169" s="420" t="n">
        <v>-0.072</v>
      </c>
      <c r="M169" s="435" t="n">
        <v>-0.005999999</v>
      </c>
      <c r="N169" s="420" t="n">
        <v>0</v>
      </c>
      <c r="O169" s="420" t="n">
        <v>-0.29</v>
      </c>
      <c r="P169" s="420" t="n">
        <v>0.0065</v>
      </c>
      <c r="Q169" s="420" t="n">
        <v>0.0145</v>
      </c>
      <c r="R169" s="418" t="n">
        <v>-0.0115</v>
      </c>
      <c r="S169" s="418" t="n">
        <v>-0.038</v>
      </c>
      <c r="T169" s="418" t="n">
        <v>-0.12</v>
      </c>
      <c r="U169" s="418" t="n">
        <v>-0.00325</v>
      </c>
      <c r="V169" s="418" t="n">
        <v>-0.0745</v>
      </c>
      <c r="W169" s="418" t="n">
        <v>-0.12</v>
      </c>
      <c r="X169" s="418" t="n">
        <v>0.395</v>
      </c>
      <c r="Y169" s="418" t="n">
        <v>0.005</v>
      </c>
      <c r="Z169" s="418" t="n">
        <v>-0.19</v>
      </c>
      <c r="AA169" s="418" t="n">
        <v>-0.013</v>
      </c>
      <c r="AB169" s="437" t="n">
        <v>0.295</v>
      </c>
      <c r="AC169" s="437" t="n">
        <v>0.2875</v>
      </c>
      <c r="AD169" s="437" t="n">
        <v>0.268</v>
      </c>
      <c r="AE169" s="438" t="n">
        <v>0.15</v>
      </c>
      <c r="AF169" s="438" t="n">
        <v>0.15</v>
      </c>
      <c r="AG169" s="438" t="n">
        <v>0.147</v>
      </c>
      <c r="AH169" s="438" t="n">
        <v>0.15</v>
      </c>
      <c r="AI169" s="438" t="n">
        <v>0.153</v>
      </c>
      <c r="AJ169" s="438" t="n">
        <v>0.15</v>
      </c>
      <c r="AK169" s="438" t="n">
        <v>0.147</v>
      </c>
      <c r="AL169" s="438" t="n">
        <v>0.147</v>
      </c>
      <c r="AM169" s="438" t="n">
        <v>0.15</v>
      </c>
      <c r="AN169" s="438" t="n">
        <v>0.15</v>
      </c>
      <c r="AO169" s="438" t="n">
        <v>0.15</v>
      </c>
      <c r="AP169" s="439" t="n">
        <v>0.15</v>
      </c>
      <c r="AQ169" s="439" t="n">
        <v>0.15</v>
      </c>
      <c r="AR169" s="439" t="n">
        <v>0.15</v>
      </c>
      <c r="AS169" s="439" t="n">
        <v>0.15</v>
      </c>
      <c r="AT169" s="438" t="n">
        <v>0.15</v>
      </c>
      <c r="AU169" s="438" t="n">
        <v>0.15</v>
      </c>
      <c r="AV169" s="438" t="n">
        <v>0.147</v>
      </c>
      <c r="AW169" s="418" t="n">
        <v>0.070186717491703</v>
      </c>
      <c r="AX169" s="418"/>
      <c r="AY169" s="437" t="n">
        <f aca="false">AG169</f>
        <v>0.147</v>
      </c>
      <c r="AZ169" s="437" t="n">
        <f aca="false">AG169</f>
        <v>0.147</v>
      </c>
      <c r="BA169" s="441" t="n">
        <f aca="false">AG169</f>
        <v>0.147</v>
      </c>
      <c r="BB169" s="442" t="n">
        <f aca="false">B169</f>
        <v>0</v>
      </c>
      <c r="BC169" s="442" t="n">
        <v>0.411904759344066</v>
      </c>
      <c r="BD169" s="418" t="n">
        <v>0.411983082830807</v>
      </c>
      <c r="BF169" s="455" t="n">
        <v>41426</v>
      </c>
      <c r="BG169" s="66" t="n">
        <v>157</v>
      </c>
      <c r="HZ169" s="442" t="n">
        <f aca="false">B171</f>
        <v>0</v>
      </c>
      <c r="IA169" s="418" t="n">
        <v>159</v>
      </c>
    </row>
    <row r="170" customFormat="false" ht="12.75" hidden="false" customHeight="false" outlineLevel="0" collapsed="false">
      <c r="B170" s="467"/>
      <c r="C170" s="420" t="n">
        <v>3.242</v>
      </c>
      <c r="D170" s="420" t="n">
        <v>0.15</v>
      </c>
      <c r="E170" s="420" t="n">
        <v>0.070600915832963</v>
      </c>
      <c r="F170" s="420" t="n">
        <v>-0.195</v>
      </c>
      <c r="G170" s="420" t="n">
        <v>0.0225</v>
      </c>
      <c r="H170" s="420" t="n">
        <v>-0.195</v>
      </c>
      <c r="I170" s="420" t="n">
        <v>0.163</v>
      </c>
      <c r="J170" s="420" t="n">
        <v>0.1825</v>
      </c>
      <c r="K170" s="420" t="n">
        <v>0.215</v>
      </c>
      <c r="L170" s="420" t="n">
        <v>-0.065</v>
      </c>
      <c r="M170" s="435" t="n">
        <v>-0.005999999</v>
      </c>
      <c r="N170" s="420" t="n">
        <v>0</v>
      </c>
      <c r="O170" s="420" t="n">
        <v>-0.29</v>
      </c>
      <c r="P170" s="420" t="n">
        <v>0.0065</v>
      </c>
      <c r="Q170" s="420" t="n">
        <v>0.0145</v>
      </c>
      <c r="R170" s="418" t="n">
        <v>-0.0115</v>
      </c>
      <c r="S170" s="418" t="n">
        <v>-0.038</v>
      </c>
      <c r="T170" s="418" t="n">
        <v>-0.12</v>
      </c>
      <c r="U170" s="418" t="n">
        <v>-0.00325</v>
      </c>
      <c r="V170" s="418" t="n">
        <v>-0.0695</v>
      </c>
      <c r="W170" s="418" t="n">
        <v>-0.12</v>
      </c>
      <c r="X170" s="418" t="n">
        <v>0.43</v>
      </c>
      <c r="Y170" s="418" t="n">
        <v>0.005</v>
      </c>
      <c r="Z170" s="418" t="n">
        <v>-0.19</v>
      </c>
      <c r="AA170" s="418" t="n">
        <v>-0.013</v>
      </c>
      <c r="AB170" s="437" t="n">
        <v>0.295</v>
      </c>
      <c r="AC170" s="437" t="n">
        <v>0.3</v>
      </c>
      <c r="AD170" s="437" t="n">
        <v>0.258</v>
      </c>
      <c r="AE170" s="438" t="n">
        <v>0.15</v>
      </c>
      <c r="AF170" s="438" t="n">
        <v>0.15</v>
      </c>
      <c r="AG170" s="438" t="n">
        <v>0.147</v>
      </c>
      <c r="AH170" s="438" t="n">
        <v>0.15</v>
      </c>
      <c r="AI170" s="438" t="n">
        <v>0.153</v>
      </c>
      <c r="AJ170" s="438" t="n">
        <v>0.15</v>
      </c>
      <c r="AK170" s="438" t="n">
        <v>0.147</v>
      </c>
      <c r="AL170" s="438" t="n">
        <v>0.147</v>
      </c>
      <c r="AM170" s="438" t="n">
        <v>0.15</v>
      </c>
      <c r="AN170" s="438" t="n">
        <v>0.15</v>
      </c>
      <c r="AO170" s="438" t="n">
        <v>0.15</v>
      </c>
      <c r="AP170" s="439" t="n">
        <v>0.15</v>
      </c>
      <c r="AQ170" s="439" t="n">
        <v>0.15</v>
      </c>
      <c r="AR170" s="439" t="n">
        <v>0.15</v>
      </c>
      <c r="AS170" s="439" t="n">
        <v>0.15</v>
      </c>
      <c r="AT170" s="438" t="n">
        <v>0.15</v>
      </c>
      <c r="AU170" s="438" t="n">
        <v>0.15</v>
      </c>
      <c r="AV170" s="438" t="n">
        <v>0.147</v>
      </c>
      <c r="AW170" s="418" t="n">
        <v>0.070193446701612</v>
      </c>
      <c r="AX170" s="418"/>
      <c r="AY170" s="437" t="n">
        <f aca="false">AG170</f>
        <v>0.147</v>
      </c>
      <c r="AZ170" s="437" t="n">
        <f aca="false">AG170</f>
        <v>0.147</v>
      </c>
      <c r="BA170" s="441" t="n">
        <f aca="false">AG170</f>
        <v>0.147</v>
      </c>
      <c r="BB170" s="442" t="n">
        <f aca="false">B170</f>
        <v>0</v>
      </c>
      <c r="BC170" s="442" t="n">
        <v>0.409537516571433</v>
      </c>
      <c r="BD170" s="418" t="n">
        <v>0.409615395136518</v>
      </c>
      <c r="BF170" s="455" t="n">
        <v>41456</v>
      </c>
      <c r="BG170" s="66" t="n">
        <v>158</v>
      </c>
      <c r="HZ170" s="442" t="n">
        <f aca="false">B172</f>
        <v>0</v>
      </c>
      <c r="IA170" s="418" t="n">
        <v>160</v>
      </c>
    </row>
    <row r="171" customFormat="false" ht="12.75" hidden="false" customHeight="false" outlineLevel="0" collapsed="false">
      <c r="A171" s="473"/>
      <c r="B171" s="467"/>
      <c r="C171" s="420" t="n">
        <v>3.263</v>
      </c>
      <c r="D171" s="420" t="n">
        <v>0.15</v>
      </c>
      <c r="E171" s="420" t="n">
        <v>0.070602081848606</v>
      </c>
      <c r="F171" s="420" t="n">
        <v>-0.195</v>
      </c>
      <c r="G171" s="420" t="n">
        <v>0.025</v>
      </c>
      <c r="H171" s="420" t="n">
        <v>-0.195</v>
      </c>
      <c r="I171" s="420" t="n">
        <v>0.16</v>
      </c>
      <c r="J171" s="420" t="n">
        <v>0.1825</v>
      </c>
      <c r="K171" s="420" t="n">
        <v>0.215</v>
      </c>
      <c r="L171" s="420" t="n">
        <v>-0.056</v>
      </c>
      <c r="M171" s="435" t="n">
        <v>-0.005999999</v>
      </c>
      <c r="N171" s="420" t="n">
        <v>0</v>
      </c>
      <c r="O171" s="420" t="n">
        <v>-0.29</v>
      </c>
      <c r="P171" s="420" t="n">
        <v>0.0065</v>
      </c>
      <c r="Q171" s="420" t="n">
        <v>0.0145</v>
      </c>
      <c r="R171" s="418" t="n">
        <v>-0.0115</v>
      </c>
      <c r="S171" s="418" t="n">
        <v>-0.038</v>
      </c>
      <c r="T171" s="418" t="n">
        <v>-0.12</v>
      </c>
      <c r="U171" s="418" t="n">
        <v>-0.00325</v>
      </c>
      <c r="V171" s="418" t="n">
        <v>-0.0695</v>
      </c>
      <c r="W171" s="418" t="n">
        <v>-0.12</v>
      </c>
      <c r="X171" s="418" t="n">
        <v>0.495</v>
      </c>
      <c r="Y171" s="418" t="n">
        <v>0.005</v>
      </c>
      <c r="Z171" s="418" t="n">
        <v>-0.19</v>
      </c>
      <c r="AA171" s="418" t="n">
        <v>-0.013</v>
      </c>
      <c r="AB171" s="437" t="n">
        <v>0.295</v>
      </c>
      <c r="AC171" s="437" t="n">
        <v>0.3</v>
      </c>
      <c r="AD171" s="437" t="n">
        <v>0.255</v>
      </c>
      <c r="AE171" s="438" t="n">
        <v>0.15</v>
      </c>
      <c r="AF171" s="438" t="n">
        <v>0.15</v>
      </c>
      <c r="AG171" s="438" t="n">
        <v>0.147</v>
      </c>
      <c r="AH171" s="438" t="n">
        <v>0.15</v>
      </c>
      <c r="AI171" s="438" t="n">
        <v>0.153</v>
      </c>
      <c r="AJ171" s="438" t="n">
        <v>0.15</v>
      </c>
      <c r="AK171" s="438" t="n">
        <v>0.147</v>
      </c>
      <c r="AL171" s="438" t="n">
        <v>0.147</v>
      </c>
      <c r="AM171" s="438" t="n">
        <v>0.15</v>
      </c>
      <c r="AN171" s="438" t="n">
        <v>0.15</v>
      </c>
      <c r="AO171" s="438" t="n">
        <v>0.15</v>
      </c>
      <c r="AP171" s="439" t="n">
        <v>0.15</v>
      </c>
      <c r="AQ171" s="439" t="n">
        <v>0.15</v>
      </c>
      <c r="AR171" s="439" t="n">
        <v>0.15</v>
      </c>
      <c r="AS171" s="439" t="n">
        <v>0.15</v>
      </c>
      <c r="AT171" s="438" t="n">
        <v>0.15</v>
      </c>
      <c r="AU171" s="438" t="n">
        <v>0.15</v>
      </c>
      <c r="AV171" s="438" t="n">
        <v>0.147</v>
      </c>
      <c r="AW171" s="418" t="n">
        <v>0.070200400218532</v>
      </c>
      <c r="AX171" s="418"/>
      <c r="AY171" s="437" t="n">
        <f aca="false">AG171</f>
        <v>0.147</v>
      </c>
      <c r="AZ171" s="437" t="n">
        <f aca="false">AG171</f>
        <v>0.147</v>
      </c>
      <c r="BA171" s="441" t="n">
        <f aca="false">AG171</f>
        <v>0.147</v>
      </c>
      <c r="BB171" s="442" t="n">
        <f aca="false">B171</f>
        <v>0</v>
      </c>
      <c r="BC171" s="442" t="n">
        <v>0.407105331048781</v>
      </c>
      <c r="BD171" s="418" t="n">
        <v>0.407182752454085</v>
      </c>
      <c r="BF171" s="455" t="n">
        <v>41487</v>
      </c>
      <c r="BG171" s="66" t="n">
        <v>159</v>
      </c>
      <c r="HZ171" s="442" t="n">
        <f aca="false">B173</f>
        <v>0</v>
      </c>
      <c r="IA171" s="418" t="n">
        <v>161</v>
      </c>
    </row>
    <row r="172" customFormat="false" ht="12.75" hidden="false" customHeight="false" outlineLevel="0" collapsed="false">
      <c r="A172" s="470"/>
      <c r="B172" s="467"/>
      <c r="C172" s="420" t="n">
        <v>3.236</v>
      </c>
      <c r="D172" s="420" t="n">
        <v>0.15</v>
      </c>
      <c r="E172" s="420" t="n">
        <v>0.070603247864249</v>
      </c>
      <c r="F172" s="420" t="n">
        <v>-0.195</v>
      </c>
      <c r="G172" s="420" t="n">
        <v>0.0175</v>
      </c>
      <c r="H172" s="420" t="n">
        <v>-0.195</v>
      </c>
      <c r="I172" s="420" t="n">
        <v>0.158</v>
      </c>
      <c r="J172" s="420" t="n">
        <v>0.1825</v>
      </c>
      <c r="K172" s="420" t="n">
        <v>0.195</v>
      </c>
      <c r="L172" s="420" t="n">
        <v>-0.036</v>
      </c>
      <c r="M172" s="435" t="n">
        <v>-0.005999999</v>
      </c>
      <c r="N172" s="420" t="n">
        <v>0</v>
      </c>
      <c r="O172" s="420" t="n">
        <v>-0.29</v>
      </c>
      <c r="P172" s="420" t="n">
        <v>0.0065</v>
      </c>
      <c r="Q172" s="420" t="n">
        <v>0.0145</v>
      </c>
      <c r="R172" s="418" t="n">
        <v>-0.0115</v>
      </c>
      <c r="S172" s="418" t="n">
        <v>-0.038</v>
      </c>
      <c r="T172" s="418" t="n">
        <v>-0.11</v>
      </c>
      <c r="U172" s="418" t="n">
        <v>-0.00325</v>
      </c>
      <c r="V172" s="418" t="n">
        <v>-0.0845</v>
      </c>
      <c r="W172" s="418" t="n">
        <v>-0.12</v>
      </c>
      <c r="X172" s="418" t="n">
        <v>0.395</v>
      </c>
      <c r="Y172" s="418" t="n">
        <v>0.005</v>
      </c>
      <c r="Z172" s="418" t="n">
        <v>-0.19</v>
      </c>
      <c r="AA172" s="418" t="n">
        <v>-0.013</v>
      </c>
      <c r="AB172" s="437" t="n">
        <v>0.295</v>
      </c>
      <c r="AC172" s="437" t="n">
        <v>0.29</v>
      </c>
      <c r="AD172" s="437" t="n">
        <v>0.253</v>
      </c>
      <c r="AE172" s="438" t="n">
        <v>0.15</v>
      </c>
      <c r="AF172" s="438" t="n">
        <v>0.15</v>
      </c>
      <c r="AG172" s="438" t="n">
        <v>0.147</v>
      </c>
      <c r="AH172" s="438" t="n">
        <v>0.15</v>
      </c>
      <c r="AI172" s="438" t="n">
        <v>0.153</v>
      </c>
      <c r="AJ172" s="438" t="n">
        <v>0.15</v>
      </c>
      <c r="AK172" s="438" t="n">
        <v>0.147</v>
      </c>
      <c r="AL172" s="438" t="n">
        <v>0.147</v>
      </c>
      <c r="AM172" s="438" t="n">
        <v>0.15</v>
      </c>
      <c r="AN172" s="438" t="n">
        <v>0.15</v>
      </c>
      <c r="AO172" s="438" t="n">
        <v>0.15</v>
      </c>
      <c r="AP172" s="439" t="n">
        <v>0.15</v>
      </c>
      <c r="AQ172" s="439" t="n">
        <v>0.15</v>
      </c>
      <c r="AR172" s="439" t="n">
        <v>0.15</v>
      </c>
      <c r="AS172" s="439" t="n">
        <v>0.15</v>
      </c>
      <c r="AT172" s="438" t="n">
        <v>0.15</v>
      </c>
      <c r="AU172" s="438" t="n">
        <v>0.15</v>
      </c>
      <c r="AV172" s="438" t="n">
        <v>0.147</v>
      </c>
      <c r="AW172" s="418" t="n">
        <v>0.070207353735469</v>
      </c>
      <c r="AX172" s="418"/>
      <c r="AY172" s="437" t="n">
        <f aca="false">AG172</f>
        <v>0.147</v>
      </c>
      <c r="AZ172" s="437" t="n">
        <f aca="false">AG172</f>
        <v>0.147</v>
      </c>
      <c r="BA172" s="441" t="n">
        <f aca="false">AG172</f>
        <v>0.147</v>
      </c>
      <c r="BB172" s="442" t="n">
        <f aca="false">B172</f>
        <v>0</v>
      </c>
      <c r="BC172" s="442" t="n">
        <v>0.404687260324461</v>
      </c>
      <c r="BD172" s="418" t="n">
        <v>0.404764227190517</v>
      </c>
      <c r="BF172" s="455" t="n">
        <v>41518</v>
      </c>
      <c r="BG172" s="66" t="n">
        <v>160</v>
      </c>
      <c r="HZ172" s="442" t="n">
        <f aca="false">B174</f>
        <v>0</v>
      </c>
      <c r="IA172" s="418" t="n">
        <v>162</v>
      </c>
    </row>
    <row r="173" customFormat="false" ht="12.75" hidden="false" customHeight="false" outlineLevel="0" collapsed="false">
      <c r="A173" s="470"/>
      <c r="B173" s="467"/>
      <c r="C173" s="420" t="n">
        <v>3.241</v>
      </c>
      <c r="D173" s="420" t="n">
        <v>0.15</v>
      </c>
      <c r="E173" s="420" t="n">
        <v>0.070604376266484</v>
      </c>
      <c r="F173" s="420" t="n">
        <v>-0.195</v>
      </c>
      <c r="G173" s="420" t="n">
        <v>0.0075</v>
      </c>
      <c r="H173" s="420" t="n">
        <v>-0.195</v>
      </c>
      <c r="I173" s="420" t="n">
        <v>0.173</v>
      </c>
      <c r="J173" s="420" t="n">
        <v>0.1875</v>
      </c>
      <c r="K173" s="420" t="n">
        <v>0.215</v>
      </c>
      <c r="L173" s="420" t="n">
        <v>-0.046</v>
      </c>
      <c r="M173" s="435" t="n">
        <v>-0.005999999</v>
      </c>
      <c r="N173" s="420" t="n">
        <v>0</v>
      </c>
      <c r="O173" s="420" t="n">
        <v>-0.29</v>
      </c>
      <c r="P173" s="420" t="n">
        <v>0.0065</v>
      </c>
      <c r="Q173" s="420" t="n">
        <v>0.0145</v>
      </c>
      <c r="R173" s="418" t="n">
        <v>-0.0115</v>
      </c>
      <c r="S173" s="418" t="n">
        <v>-0.038</v>
      </c>
      <c r="T173" s="418" t="n">
        <v>-0.095</v>
      </c>
      <c r="U173" s="418" t="n">
        <v>-0.0215</v>
      </c>
      <c r="V173" s="418" t="n">
        <v>-0.087</v>
      </c>
      <c r="W173" s="418" t="n">
        <v>-0.12</v>
      </c>
      <c r="X173" s="418" t="n">
        <v>0.461</v>
      </c>
      <c r="Y173" s="418" t="n">
        <v>0.005</v>
      </c>
      <c r="Z173" s="418" t="n">
        <v>-0.19</v>
      </c>
      <c r="AA173" s="418" t="n">
        <v>-0.013</v>
      </c>
      <c r="AB173" s="437" t="n">
        <v>0.295</v>
      </c>
      <c r="AC173" s="437" t="n">
        <v>0.3625</v>
      </c>
      <c r="AD173" s="437" t="n">
        <v>0.268</v>
      </c>
      <c r="AE173" s="438" t="n">
        <v>0.15</v>
      </c>
      <c r="AF173" s="438" t="n">
        <v>0.15</v>
      </c>
      <c r="AG173" s="438" t="n">
        <v>0.147</v>
      </c>
      <c r="AH173" s="438" t="n">
        <v>0.15</v>
      </c>
      <c r="AI173" s="438" t="n">
        <v>0.153</v>
      </c>
      <c r="AJ173" s="438" t="n">
        <v>0.15</v>
      </c>
      <c r="AK173" s="438" t="n">
        <v>0.147</v>
      </c>
      <c r="AL173" s="438" t="n">
        <v>0.147</v>
      </c>
      <c r="AM173" s="438" t="n">
        <v>0.15</v>
      </c>
      <c r="AN173" s="438" t="n">
        <v>0.15</v>
      </c>
      <c r="AO173" s="438" t="n">
        <v>0.15</v>
      </c>
      <c r="AP173" s="439" t="n">
        <v>0.15</v>
      </c>
      <c r="AQ173" s="439" t="n">
        <v>0.15</v>
      </c>
      <c r="AR173" s="439" t="n">
        <v>0.15</v>
      </c>
      <c r="AS173" s="439" t="n">
        <v>0.15</v>
      </c>
      <c r="AT173" s="438" t="n">
        <v>0.15</v>
      </c>
      <c r="AU173" s="438" t="n">
        <v>0.15</v>
      </c>
      <c r="AV173" s="438" t="n">
        <v>0.147</v>
      </c>
      <c r="AW173" s="418" t="n">
        <v>0.070214082945423</v>
      </c>
      <c r="AX173" s="418"/>
      <c r="AY173" s="437" t="n">
        <f aca="false">AG173</f>
        <v>0.147</v>
      </c>
      <c r="AZ173" s="437" t="n">
        <f aca="false">AG173</f>
        <v>0.147</v>
      </c>
      <c r="BA173" s="441" t="n">
        <f aca="false">AG173</f>
        <v>0.147</v>
      </c>
      <c r="BB173" s="442" t="n">
        <f aca="false">B173</f>
        <v>0</v>
      </c>
      <c r="BC173" s="442" t="n">
        <v>0.402360555780514</v>
      </c>
      <c r="BD173" s="418" t="n">
        <v>0.402437085251185</v>
      </c>
      <c r="BF173" s="455" t="n">
        <v>41548</v>
      </c>
      <c r="BG173" s="66" t="n">
        <v>161</v>
      </c>
      <c r="HZ173" s="442" t="n">
        <f aca="false">B175</f>
        <v>0</v>
      </c>
      <c r="IA173" s="418" t="n">
        <v>163</v>
      </c>
    </row>
    <row r="174" customFormat="false" ht="12.75" hidden="false" customHeight="false" outlineLevel="0" collapsed="false">
      <c r="A174" s="470"/>
      <c r="B174" s="467"/>
      <c r="C174" s="420" t="n">
        <v>3.283</v>
      </c>
      <c r="D174" s="420" t="n">
        <v>0.15</v>
      </c>
      <c r="E174" s="420" t="n">
        <v>0.070605542282127</v>
      </c>
      <c r="F174" s="420" t="n">
        <v>-0.19</v>
      </c>
      <c r="G174" s="420" t="n">
        <v>-0.0325</v>
      </c>
      <c r="H174" s="420" t="n">
        <v>-0.19</v>
      </c>
      <c r="I174" s="420" t="n">
        <v>0.235</v>
      </c>
      <c r="J174" s="420" t="n">
        <v>0.27</v>
      </c>
      <c r="K174" s="420" t="n">
        <v>0.2875</v>
      </c>
      <c r="L174" s="420" t="n">
        <v>-0.061</v>
      </c>
      <c r="M174" s="435" t="n">
        <v>0.0015</v>
      </c>
      <c r="N174" s="420" t="n">
        <v>0</v>
      </c>
      <c r="O174" s="420" t="n">
        <v>0</v>
      </c>
      <c r="P174" s="420" t="n">
        <v>0.016</v>
      </c>
      <c r="Q174" s="420" t="n">
        <v>0.0065</v>
      </c>
      <c r="R174" s="418" t="n">
        <v>-0.0145</v>
      </c>
      <c r="S174" s="418" t="n">
        <v>-0.0375</v>
      </c>
      <c r="T174" s="418" t="n">
        <v>-0.0575</v>
      </c>
      <c r="U174" s="418" t="n">
        <v>-0.0205</v>
      </c>
      <c r="V174" s="418" t="n">
        <v>-0.0845</v>
      </c>
      <c r="W174" s="418" t="n">
        <v>-0.1325</v>
      </c>
      <c r="X174" s="418" t="n">
        <v>0.7675</v>
      </c>
      <c r="Y174" s="418" t="n">
        <v>0.005</v>
      </c>
      <c r="Z174" s="418" t="n">
        <v>-0.19</v>
      </c>
      <c r="AA174" s="418" t="n">
        <v>-0.0145</v>
      </c>
      <c r="AB174" s="437" t="n">
        <v>0.12</v>
      </c>
      <c r="AC174" s="437" t="n">
        <v>0.465</v>
      </c>
      <c r="AD174" s="437" t="n">
        <v>0.33</v>
      </c>
      <c r="AE174" s="438" t="n">
        <v>0.15</v>
      </c>
      <c r="AF174" s="438" t="n">
        <v>0.15</v>
      </c>
      <c r="AG174" s="438" t="n">
        <v>0.165</v>
      </c>
      <c r="AH174" s="438" t="n">
        <v>0.15</v>
      </c>
      <c r="AI174" s="438" t="n">
        <v>0.153</v>
      </c>
      <c r="AJ174" s="438" t="n">
        <v>0.15</v>
      </c>
      <c r="AK174" s="438" t="n">
        <v>0.15</v>
      </c>
      <c r="AL174" s="438" t="n">
        <v>0.15</v>
      </c>
      <c r="AM174" s="438" t="n">
        <v>0.15</v>
      </c>
      <c r="AN174" s="438" t="n">
        <v>0.15</v>
      </c>
      <c r="AO174" s="438" t="n">
        <v>0.15</v>
      </c>
      <c r="AP174" s="439" t="n">
        <v>0.15</v>
      </c>
      <c r="AQ174" s="439" t="n">
        <v>0.15</v>
      </c>
      <c r="AR174" s="439" t="n">
        <v>0.15</v>
      </c>
      <c r="AS174" s="439" t="n">
        <v>0.15</v>
      </c>
      <c r="AT174" s="438" t="n">
        <v>0.15</v>
      </c>
      <c r="AU174" s="438" t="n">
        <v>0.15</v>
      </c>
      <c r="AV174" s="438" t="n">
        <v>0.165</v>
      </c>
      <c r="AW174" s="418" t="n">
        <v>0.070221036462391</v>
      </c>
      <c r="AX174" s="418"/>
      <c r="AY174" s="437" t="n">
        <f aca="false">AG174</f>
        <v>0.165</v>
      </c>
      <c r="AZ174" s="437" t="n">
        <f aca="false">AG174</f>
        <v>0.165</v>
      </c>
      <c r="BA174" s="441" t="n">
        <f aca="false">AG174</f>
        <v>0.165</v>
      </c>
      <c r="BB174" s="442" t="n">
        <f aca="false">B174</f>
        <v>0</v>
      </c>
      <c r="BC174" s="442" t="n">
        <v>0.399970026427888</v>
      </c>
      <c r="BD174" s="418" t="n">
        <v>0.400046106473167</v>
      </c>
      <c r="BF174" s="455" t="n">
        <v>41579</v>
      </c>
      <c r="BG174" s="66" t="n">
        <v>162</v>
      </c>
      <c r="HZ174" s="442" t="n">
        <f aca="false">B176</f>
        <v>0</v>
      </c>
      <c r="IA174" s="418" t="n">
        <v>164</v>
      </c>
    </row>
    <row r="175" customFormat="false" ht="12.75" hidden="false" customHeight="false" outlineLevel="0" collapsed="false">
      <c r="A175" s="470"/>
      <c r="B175" s="467"/>
      <c r="C175" s="420" t="n">
        <v>3.339</v>
      </c>
      <c r="D175" s="420" t="n">
        <v>0.15</v>
      </c>
      <c r="E175" s="420" t="n">
        <v>0.070606670684364</v>
      </c>
      <c r="F175" s="420" t="n">
        <v>-0.1975</v>
      </c>
      <c r="G175" s="420" t="n">
        <v>-0.055</v>
      </c>
      <c r="H175" s="420" t="n">
        <v>-0.1975</v>
      </c>
      <c r="I175" s="420" t="n">
        <v>0.275</v>
      </c>
      <c r="J175" s="420" t="n">
        <v>0.305</v>
      </c>
      <c r="K175" s="420" t="n">
        <v>0.3375</v>
      </c>
      <c r="L175" s="420" t="n">
        <v>-0.061</v>
      </c>
      <c r="M175" s="420" t="n">
        <v>0.0015</v>
      </c>
      <c r="N175" s="420" t="n">
        <v>0</v>
      </c>
      <c r="O175" s="420" t="n">
        <v>0.06</v>
      </c>
      <c r="P175" s="420" t="n">
        <v>0.016</v>
      </c>
      <c r="Q175" s="420" t="n">
        <v>0.0065</v>
      </c>
      <c r="R175" s="418" t="n">
        <v>-0.0145</v>
      </c>
      <c r="S175" s="418" t="n">
        <v>-0.0375</v>
      </c>
      <c r="T175" s="418" t="n">
        <v>-0.05</v>
      </c>
      <c r="U175" s="418" t="n">
        <v>-0.0205</v>
      </c>
      <c r="V175" s="418" t="n">
        <v>-0.1195</v>
      </c>
      <c r="W175" s="418" t="n">
        <v>-0.1275</v>
      </c>
      <c r="X175" s="418" t="n">
        <v>1.19</v>
      </c>
      <c r="Y175" s="418" t="n">
        <v>0.005</v>
      </c>
      <c r="Z175" s="418" t="n">
        <v>-0.19</v>
      </c>
      <c r="AA175" s="418" t="n">
        <v>-0.0145</v>
      </c>
      <c r="AB175" s="437" t="n">
        <v>0.12</v>
      </c>
      <c r="AC175" s="437" t="n">
        <v>0.8</v>
      </c>
      <c r="AD175" s="437" t="n">
        <v>0.37</v>
      </c>
      <c r="AE175" s="438" t="n">
        <v>0.15</v>
      </c>
      <c r="AF175" s="438" t="n">
        <v>0.15</v>
      </c>
      <c r="AG175" s="438" t="n">
        <v>0.165</v>
      </c>
      <c r="AH175" s="438" t="n">
        <v>0.15</v>
      </c>
      <c r="AI175" s="438" t="n">
        <v>0.153</v>
      </c>
      <c r="AJ175" s="438" t="n">
        <v>0.15</v>
      </c>
      <c r="AK175" s="438" t="n">
        <v>0.15</v>
      </c>
      <c r="AL175" s="438" t="n">
        <v>0.15</v>
      </c>
      <c r="AM175" s="438" t="n">
        <v>0.15</v>
      </c>
      <c r="AN175" s="438" t="n">
        <v>0.15</v>
      </c>
      <c r="AO175" s="438" t="n">
        <v>0.15</v>
      </c>
      <c r="AP175" s="439" t="n">
        <v>0.15</v>
      </c>
      <c r="AQ175" s="439" t="n">
        <v>0.15</v>
      </c>
      <c r="AR175" s="439" t="n">
        <v>0.15</v>
      </c>
      <c r="AS175" s="439" t="n">
        <v>0.15</v>
      </c>
      <c r="AT175" s="438" t="n">
        <v>0.15</v>
      </c>
      <c r="AU175" s="438" t="n">
        <v>0.15</v>
      </c>
      <c r="AV175" s="438" t="n">
        <v>0.165</v>
      </c>
      <c r="AW175" s="418" t="n">
        <v>0.070227765672376</v>
      </c>
      <c r="AX175" s="418"/>
      <c r="AY175" s="437" t="n">
        <f aca="false">AG175</f>
        <v>0.165</v>
      </c>
      <c r="AZ175" s="437" t="n">
        <f aca="false">AG175</f>
        <v>0.165</v>
      </c>
      <c r="BA175" s="441" t="n">
        <f aca="false">AG175</f>
        <v>0.165</v>
      </c>
      <c r="BB175" s="442" t="n">
        <f aca="false">B175</f>
        <v>0</v>
      </c>
      <c r="BC175" s="442" t="n">
        <v>0.397669826324495</v>
      </c>
      <c r="BD175" s="418" t="n">
        <v>0.397745473896069</v>
      </c>
      <c r="BF175" s="455" t="n">
        <v>41609</v>
      </c>
      <c r="BG175" s="66" t="n">
        <v>163</v>
      </c>
      <c r="HZ175" s="442" t="n">
        <f aca="false">B177</f>
        <v>0</v>
      </c>
      <c r="IA175" s="418" t="n">
        <v>165</v>
      </c>
    </row>
    <row r="176" customFormat="false" ht="12.75" hidden="false" customHeight="false" outlineLevel="0" collapsed="false">
      <c r="A176" s="470"/>
      <c r="B176" s="467"/>
      <c r="C176" s="420" t="n">
        <v>3.654</v>
      </c>
      <c r="D176" s="420" t="n">
        <v>0.15</v>
      </c>
      <c r="E176" s="420" t="n">
        <v>0.070607836700008</v>
      </c>
      <c r="F176" s="420" t="n">
        <v>-0.2</v>
      </c>
      <c r="G176" s="420" t="n">
        <v>-0.0575</v>
      </c>
      <c r="H176" s="420" t="n">
        <v>-0.2</v>
      </c>
      <c r="I176" s="420" t="n">
        <v>0.285</v>
      </c>
      <c r="J176" s="420" t="n">
        <v>0.305</v>
      </c>
      <c r="K176" s="420" t="n">
        <v>0.4375</v>
      </c>
      <c r="L176" s="420" t="n">
        <v>-0.061</v>
      </c>
      <c r="M176" s="420" t="n">
        <v>0.0035</v>
      </c>
      <c r="N176" s="420" t="n">
        <v>0</v>
      </c>
      <c r="O176" s="420" t="n">
        <v>0.13</v>
      </c>
      <c r="P176" s="420" t="n">
        <v>0.016</v>
      </c>
      <c r="Q176" s="420" t="n">
        <v>0.0065</v>
      </c>
      <c r="R176" s="418" t="n">
        <v>-0.009999999</v>
      </c>
      <c r="S176" s="418" t="n">
        <v>-0.0375</v>
      </c>
      <c r="T176" s="418" t="n">
        <v>-0.035</v>
      </c>
      <c r="U176" s="418" t="n">
        <v>-0.0205</v>
      </c>
      <c r="V176" s="418" t="n">
        <v>-0.125</v>
      </c>
      <c r="W176" s="418" t="n">
        <v>-0.1275</v>
      </c>
      <c r="X176" s="418" t="n">
        <v>1.525</v>
      </c>
      <c r="Y176" s="418" t="n">
        <v>0.005</v>
      </c>
      <c r="Z176" s="418" t="n">
        <v>-0.19</v>
      </c>
      <c r="AA176" s="418" t="n">
        <v>-0.0145</v>
      </c>
      <c r="AB176" s="437" t="n">
        <v>0.12</v>
      </c>
      <c r="AC176" s="437" t="n">
        <v>0.975</v>
      </c>
      <c r="AD176" s="437" t="n">
        <v>0.38</v>
      </c>
      <c r="AE176" s="438" t="n">
        <v>0.15</v>
      </c>
      <c r="AF176" s="438" t="n">
        <v>0.15</v>
      </c>
      <c r="AG176" s="438" t="n">
        <v>0.165</v>
      </c>
      <c r="AH176" s="438" t="n">
        <v>0.15</v>
      </c>
      <c r="AI176" s="438" t="n">
        <v>0.153</v>
      </c>
      <c r="AJ176" s="438" t="n">
        <v>0.15</v>
      </c>
      <c r="AK176" s="438" t="n">
        <v>0.15</v>
      </c>
      <c r="AL176" s="438" t="n">
        <v>0.15</v>
      </c>
      <c r="AM176" s="438" t="n">
        <v>0.15</v>
      </c>
      <c r="AN176" s="438" t="n">
        <v>0.15</v>
      </c>
      <c r="AO176" s="438" t="n">
        <v>0.15</v>
      </c>
      <c r="AP176" s="439" t="n">
        <v>0.15</v>
      </c>
      <c r="AQ176" s="439" t="n">
        <v>0.15</v>
      </c>
      <c r="AR176" s="439" t="n">
        <v>0.15</v>
      </c>
      <c r="AS176" s="439" t="n">
        <v>0.15</v>
      </c>
      <c r="AT176" s="438" t="n">
        <v>0.15</v>
      </c>
      <c r="AU176" s="438" t="n">
        <v>0.15</v>
      </c>
      <c r="AV176" s="438" t="n">
        <v>0.165</v>
      </c>
      <c r="AW176" s="418" t="n">
        <v>0.070234719189375</v>
      </c>
      <c r="AX176" s="418"/>
      <c r="AY176" s="437" t="n">
        <f aca="false">AG176</f>
        <v>0.165</v>
      </c>
      <c r="AZ176" s="437" t="n">
        <f aca="false">AG176</f>
        <v>0.165</v>
      </c>
      <c r="BA176" s="441" t="n">
        <f aca="false">AG176</f>
        <v>0.165</v>
      </c>
      <c r="BB176" s="442" t="n">
        <f aca="false">B176</f>
        <v>0</v>
      </c>
      <c r="BC176" s="442" t="n">
        <v>0.395306532280908</v>
      </c>
      <c r="BD176" s="418" t="n">
        <v>0.395381735484858</v>
      </c>
      <c r="BF176" s="455" t="n">
        <v>41640</v>
      </c>
      <c r="BG176" s="66" t="n">
        <v>164</v>
      </c>
      <c r="HZ176" s="442" t="n">
        <f aca="false">B178</f>
        <v>0</v>
      </c>
      <c r="IA176" s="418" t="n">
        <v>166</v>
      </c>
    </row>
    <row r="177" customFormat="false" ht="12.75" hidden="false" customHeight="false" outlineLevel="0" collapsed="false">
      <c r="A177" s="470"/>
      <c r="B177" s="467"/>
      <c r="C177" s="420" t="n">
        <v>3.556</v>
      </c>
      <c r="D177" s="420" t="n">
        <v>0.15</v>
      </c>
      <c r="E177" s="420" t="n">
        <v>0.070609002715653</v>
      </c>
      <c r="F177" s="420" t="n">
        <v>-0.2025</v>
      </c>
      <c r="G177" s="420" t="n">
        <v>-0.04</v>
      </c>
      <c r="H177" s="420" t="n">
        <v>-0.2025</v>
      </c>
      <c r="I177" s="420" t="n">
        <v>0.26</v>
      </c>
      <c r="J177" s="420" t="n">
        <v>0.305</v>
      </c>
      <c r="K177" s="420" t="n">
        <v>0.435</v>
      </c>
      <c r="L177" s="420" t="n">
        <v>-0.061</v>
      </c>
      <c r="M177" s="420" t="n">
        <v>0.0035</v>
      </c>
      <c r="N177" s="420" t="n">
        <v>0</v>
      </c>
      <c r="O177" s="420" t="n">
        <v>0</v>
      </c>
      <c r="P177" s="420" t="n">
        <v>0.016</v>
      </c>
      <c r="Q177" s="420" t="n">
        <v>0.0065</v>
      </c>
      <c r="R177" s="436" t="n">
        <v>-0.009999999</v>
      </c>
      <c r="S177" s="418" t="n">
        <v>-0.0375</v>
      </c>
      <c r="T177" s="418" t="n">
        <v>-0.035</v>
      </c>
      <c r="U177" s="418" t="n">
        <v>-0.0205</v>
      </c>
      <c r="V177" s="418" t="n">
        <v>-0.1075</v>
      </c>
      <c r="W177" s="418" t="n">
        <v>-0.1275</v>
      </c>
      <c r="X177" s="418" t="n">
        <v>1.455</v>
      </c>
      <c r="Y177" s="418" t="n">
        <v>0.005</v>
      </c>
      <c r="Z177" s="418" t="n">
        <v>-0.19</v>
      </c>
      <c r="AA177" s="418" t="n">
        <v>-0.0145</v>
      </c>
      <c r="AB177" s="437" t="n">
        <v>0.12</v>
      </c>
      <c r="AC177" s="437" t="n">
        <v>0.975</v>
      </c>
      <c r="AD177" s="437" t="n">
        <v>0.355</v>
      </c>
      <c r="AE177" s="438" t="n">
        <v>0.15</v>
      </c>
      <c r="AF177" s="438" t="n">
        <v>0.15</v>
      </c>
      <c r="AG177" s="438" t="n">
        <v>0.165</v>
      </c>
      <c r="AH177" s="438" t="n">
        <v>0.15</v>
      </c>
      <c r="AI177" s="438" t="n">
        <v>0.153</v>
      </c>
      <c r="AJ177" s="438" t="n">
        <v>0.15</v>
      </c>
      <c r="AK177" s="438" t="n">
        <v>0.15</v>
      </c>
      <c r="AL177" s="438" t="n">
        <v>0.15</v>
      </c>
      <c r="AM177" s="438" t="n">
        <v>0.15</v>
      </c>
      <c r="AN177" s="438" t="n">
        <v>0.15</v>
      </c>
      <c r="AO177" s="438" t="n">
        <v>0.15</v>
      </c>
      <c r="AP177" s="439" t="n">
        <v>0.15</v>
      </c>
      <c r="AQ177" s="439" t="n">
        <v>0.15</v>
      </c>
      <c r="AR177" s="439" t="n">
        <v>0.15</v>
      </c>
      <c r="AS177" s="439" t="n">
        <v>0.15</v>
      </c>
      <c r="AT177" s="438" t="n">
        <v>0.15</v>
      </c>
      <c r="AU177" s="438" t="n">
        <v>0.15</v>
      </c>
      <c r="AV177" s="438" t="n">
        <v>0.165</v>
      </c>
      <c r="AW177" s="418" t="n">
        <v>0.070241672706391</v>
      </c>
      <c r="AX177" s="418"/>
      <c r="AY177" s="437" t="n">
        <f aca="false">AG177</f>
        <v>0.165</v>
      </c>
      <c r="AZ177" s="437" t="n">
        <f aca="false">AG177</f>
        <v>0.165</v>
      </c>
      <c r="BA177" s="441" t="n">
        <f aca="false">AG177</f>
        <v>0.165</v>
      </c>
      <c r="BB177" s="442" t="n">
        <f aca="false">B177</f>
        <v>0</v>
      </c>
      <c r="BC177" s="442" t="n">
        <v>0.392956962902165</v>
      </c>
      <c r="BD177" s="418" t="n">
        <v>0.393031724287528</v>
      </c>
      <c r="BF177" s="455" t="n">
        <v>41671</v>
      </c>
      <c r="BG177" s="66" t="n">
        <v>165</v>
      </c>
      <c r="HZ177" s="442" t="n">
        <f aca="false">B179</f>
        <v>0</v>
      </c>
      <c r="IA177" s="418" t="n">
        <v>167</v>
      </c>
    </row>
    <row r="178" customFormat="false" ht="12.75" hidden="false" customHeight="false" outlineLevel="0" collapsed="false">
      <c r="A178" s="470"/>
      <c r="B178" s="467"/>
      <c r="C178" s="420" t="n">
        <v>3.419</v>
      </c>
      <c r="D178" s="420" t="n">
        <v>0.15</v>
      </c>
      <c r="E178" s="420" t="n">
        <v>0.070610055891074</v>
      </c>
      <c r="F178" s="420" t="n">
        <v>-0.205</v>
      </c>
      <c r="G178" s="420" t="n">
        <v>-0.0275</v>
      </c>
      <c r="H178" s="420" t="n">
        <v>-0.205</v>
      </c>
      <c r="I178" s="420" t="n">
        <v>0.258</v>
      </c>
      <c r="J178" s="420" t="n">
        <v>0.265</v>
      </c>
      <c r="K178" s="420" t="n">
        <v>0.3025</v>
      </c>
      <c r="L178" s="420" t="n">
        <v>-0.061</v>
      </c>
      <c r="M178" s="420" t="n">
        <v>0.0035</v>
      </c>
      <c r="N178" s="420" t="n">
        <v>0</v>
      </c>
      <c r="O178" s="420" t="n">
        <v>-0.18</v>
      </c>
      <c r="P178" s="420" t="n">
        <v>0.016</v>
      </c>
      <c r="Q178" s="420" t="n">
        <v>0.0065</v>
      </c>
      <c r="R178" s="436" t="n">
        <v>-0.009999999</v>
      </c>
      <c r="S178" s="418" t="n">
        <v>-0.0375</v>
      </c>
      <c r="T178" s="418" t="n">
        <v>-0.035</v>
      </c>
      <c r="U178" s="418" t="n">
        <v>-0.001999999</v>
      </c>
      <c r="V178" s="418" t="n">
        <v>-0.09</v>
      </c>
      <c r="W178" s="418" t="n">
        <v>-0.1325</v>
      </c>
      <c r="X178" s="418" t="n">
        <v>0.835</v>
      </c>
      <c r="Y178" s="418" t="n">
        <v>0.005</v>
      </c>
      <c r="Z178" s="418" t="n">
        <v>-0.19</v>
      </c>
      <c r="AA178" s="418" t="n">
        <v>-0.0145</v>
      </c>
      <c r="AB178" s="437" t="n">
        <v>0.12</v>
      </c>
      <c r="AC178" s="437" t="n">
        <v>0.6075</v>
      </c>
      <c r="AD178" s="437" t="n">
        <v>0.353</v>
      </c>
      <c r="AE178" s="438" t="n">
        <v>0.15</v>
      </c>
      <c r="AF178" s="438" t="n">
        <v>0.15</v>
      </c>
      <c r="AG178" s="438" t="n">
        <v>0.165</v>
      </c>
      <c r="AH178" s="438" t="n">
        <v>0.15</v>
      </c>
      <c r="AI178" s="438" t="n">
        <v>0.153</v>
      </c>
      <c r="AJ178" s="438" t="n">
        <v>0.15</v>
      </c>
      <c r="AK178" s="438" t="n">
        <v>0.15</v>
      </c>
      <c r="AL178" s="438" t="n">
        <v>0.15</v>
      </c>
      <c r="AM178" s="438" t="n">
        <v>0.15</v>
      </c>
      <c r="AN178" s="438" t="n">
        <v>0.15</v>
      </c>
      <c r="AO178" s="438" t="n">
        <v>0.15</v>
      </c>
      <c r="AP178" s="439" t="n">
        <v>0.15</v>
      </c>
      <c r="AQ178" s="439" t="n">
        <v>0.15</v>
      </c>
      <c r="AR178" s="439" t="n">
        <v>0.15</v>
      </c>
      <c r="AS178" s="439" t="n">
        <v>0.15</v>
      </c>
      <c r="AT178" s="438" t="n">
        <v>0.15</v>
      </c>
      <c r="AU178" s="438" t="n">
        <v>0.15</v>
      </c>
      <c r="AV178" s="438" t="n">
        <v>0.165</v>
      </c>
      <c r="AW178" s="418" t="n">
        <v>0.070247953302418</v>
      </c>
      <c r="AX178" s="418"/>
      <c r="AY178" s="437" t="n">
        <f aca="false">AG178</f>
        <v>0.165</v>
      </c>
      <c r="AZ178" s="437" t="n">
        <f aca="false">AG178</f>
        <v>0.165</v>
      </c>
      <c r="BA178" s="441" t="n">
        <f aca="false">AG178</f>
        <v>0.165</v>
      </c>
      <c r="BB178" s="442" t="n">
        <f aca="false">B178</f>
        <v>0</v>
      </c>
      <c r="BC178" s="442" t="n">
        <v>0.390846503160296</v>
      </c>
      <c r="BD178" s="418" t="n">
        <v>0.390920867662802</v>
      </c>
      <c r="BF178" s="455" t="n">
        <v>41699</v>
      </c>
      <c r="BG178" s="66" t="n">
        <v>166</v>
      </c>
      <c r="HZ178" s="442" t="n">
        <f aca="false">B180</f>
        <v>0</v>
      </c>
      <c r="IA178" s="418" t="n">
        <v>168</v>
      </c>
    </row>
    <row r="179" customFormat="false" ht="12.75" hidden="false" customHeight="false" outlineLevel="0" collapsed="false">
      <c r="A179" s="470"/>
      <c r="B179" s="467"/>
      <c r="C179" s="420" t="n">
        <v>3.274</v>
      </c>
      <c r="D179" s="420" t="n">
        <v>0.15</v>
      </c>
      <c r="E179" s="420" t="n">
        <v>0.07061122190672</v>
      </c>
      <c r="F179" s="420" t="n">
        <v>-0.195</v>
      </c>
      <c r="G179" s="420" t="n">
        <v>0.015</v>
      </c>
      <c r="H179" s="420" t="n">
        <v>-0.195</v>
      </c>
      <c r="I179" s="420" t="n">
        <v>0.163</v>
      </c>
      <c r="J179" s="420" t="n">
        <v>0.195</v>
      </c>
      <c r="K179" s="420" t="n">
        <v>0.25</v>
      </c>
      <c r="L179" s="420" t="n">
        <v>-0.054</v>
      </c>
      <c r="M179" s="420" t="n">
        <v>-0.003999999</v>
      </c>
      <c r="N179" s="420" t="n">
        <v>0</v>
      </c>
      <c r="O179" s="420" t="n">
        <v>-0.29</v>
      </c>
      <c r="P179" s="420" t="n">
        <v>0.0065</v>
      </c>
      <c r="Q179" s="420" t="n">
        <v>0.0165</v>
      </c>
      <c r="R179" s="436" t="n">
        <v>-0.009499999</v>
      </c>
      <c r="S179" s="418" t="n">
        <v>-0.03</v>
      </c>
      <c r="T179" s="418" t="n">
        <v>-0.08</v>
      </c>
      <c r="U179" s="436" t="n">
        <v>-0.001999999</v>
      </c>
      <c r="V179" s="418" t="n">
        <v>-0.0825</v>
      </c>
      <c r="W179" s="418" t="n">
        <v>-0.12</v>
      </c>
      <c r="X179" s="418" t="n">
        <v>0.45</v>
      </c>
      <c r="Y179" s="418" t="n">
        <v>0.005</v>
      </c>
      <c r="Z179" s="418" t="n">
        <v>-0.19</v>
      </c>
      <c r="AA179" s="418" t="n">
        <v>-0.012</v>
      </c>
      <c r="AB179" s="437" t="n">
        <v>0.295</v>
      </c>
      <c r="AC179" s="437" t="n">
        <v>0.355</v>
      </c>
      <c r="AD179" s="437" t="n">
        <v>0.258</v>
      </c>
      <c r="AE179" s="438" t="n">
        <v>0.15</v>
      </c>
      <c r="AF179" s="438" t="n">
        <v>0.15</v>
      </c>
      <c r="AG179" s="438" t="n">
        <v>0.147</v>
      </c>
      <c r="AH179" s="438" t="n">
        <v>0.15</v>
      </c>
      <c r="AI179" s="438" t="n">
        <v>0.153</v>
      </c>
      <c r="AJ179" s="438" t="n">
        <v>0.15</v>
      </c>
      <c r="AK179" s="438" t="n">
        <v>0.147</v>
      </c>
      <c r="AL179" s="438" t="n">
        <v>0.147</v>
      </c>
      <c r="AM179" s="438" t="n">
        <v>0.15</v>
      </c>
      <c r="AN179" s="438" t="n">
        <v>0.15</v>
      </c>
      <c r="AO179" s="438" t="n">
        <v>0.15</v>
      </c>
      <c r="AP179" s="439" t="n">
        <v>0.15</v>
      </c>
      <c r="AQ179" s="439" t="n">
        <v>0.15</v>
      </c>
      <c r="AR179" s="439" t="n">
        <v>0.15</v>
      </c>
      <c r="AS179" s="439" t="n">
        <v>0.15</v>
      </c>
      <c r="AT179" s="438" t="n">
        <v>0.15</v>
      </c>
      <c r="AU179" s="438" t="n">
        <v>0.15</v>
      </c>
      <c r="AV179" s="438" t="n">
        <v>0.147</v>
      </c>
      <c r="AW179" s="418" t="n">
        <v>0.070254906819465</v>
      </c>
      <c r="AX179" s="418"/>
      <c r="AY179" s="437" t="n">
        <f aca="false">AG179</f>
        <v>0.147</v>
      </c>
      <c r="AZ179" s="437" t="n">
        <f aca="false">AG179</f>
        <v>0.147</v>
      </c>
      <c r="BA179" s="441" t="n">
        <f aca="false">AG179</f>
        <v>0.147</v>
      </c>
      <c r="BB179" s="442" t="n">
        <f aca="false">B179</f>
        <v>0</v>
      </c>
      <c r="BC179" s="442" t="n">
        <v>0.388522840449652</v>
      </c>
      <c r="BD179" s="418" t="n">
        <v>0.38859676794565</v>
      </c>
      <c r="BF179" s="455" t="n">
        <v>41730</v>
      </c>
      <c r="BG179" s="66" t="n">
        <v>167</v>
      </c>
      <c r="HZ179" s="442" t="n">
        <f aca="false">B181</f>
        <v>0</v>
      </c>
      <c r="IA179" s="418" t="n">
        <v>169</v>
      </c>
    </row>
    <row r="180" customFormat="false" ht="12.75" hidden="false" customHeight="false" outlineLevel="0" collapsed="false">
      <c r="A180" s="470"/>
      <c r="B180" s="467"/>
      <c r="C180" s="420" t="n">
        <v>3.273</v>
      </c>
      <c r="D180" s="420" t="n">
        <v>0.15</v>
      </c>
      <c r="E180" s="420" t="n">
        <v>0.070612350308958</v>
      </c>
      <c r="F180" s="420" t="n">
        <v>-0.195</v>
      </c>
      <c r="G180" s="420" t="n">
        <v>0.015</v>
      </c>
      <c r="H180" s="420" t="n">
        <v>-0.195</v>
      </c>
      <c r="I180" s="420" t="n">
        <v>0.173</v>
      </c>
      <c r="J180" s="420" t="n">
        <v>0.1825</v>
      </c>
      <c r="K180" s="420" t="n">
        <v>0.2025</v>
      </c>
      <c r="L180" s="420" t="n">
        <v>-0.054</v>
      </c>
      <c r="M180" s="435" t="n">
        <v>-0.003999999</v>
      </c>
      <c r="N180" s="420" t="n">
        <v>0</v>
      </c>
      <c r="O180" s="420" t="n">
        <v>-0.29</v>
      </c>
      <c r="P180" s="420" t="n">
        <v>0.0065</v>
      </c>
      <c r="Q180" s="420" t="n">
        <v>0.0165</v>
      </c>
      <c r="R180" s="436" t="n">
        <v>-0.009499999</v>
      </c>
      <c r="S180" s="418" t="n">
        <v>-0.03</v>
      </c>
      <c r="T180" s="418" t="n">
        <v>-0.095</v>
      </c>
      <c r="U180" s="436" t="n">
        <v>-0.00225</v>
      </c>
      <c r="V180" s="418" t="n">
        <v>-0.0825</v>
      </c>
      <c r="W180" s="418" t="n">
        <v>-0.12</v>
      </c>
      <c r="X180" s="418" t="n">
        <v>0.405</v>
      </c>
      <c r="Y180" s="418" t="n">
        <v>0.005</v>
      </c>
      <c r="Z180" s="418" t="n">
        <v>-0.19</v>
      </c>
      <c r="AA180" s="418" t="n">
        <v>-0.012</v>
      </c>
      <c r="AB180" s="437" t="n">
        <v>0.295</v>
      </c>
      <c r="AC180" s="437" t="n">
        <v>0.2875</v>
      </c>
      <c r="AD180" s="437" t="n">
        <v>0.268</v>
      </c>
      <c r="AE180" s="438" t="n">
        <v>0.15</v>
      </c>
      <c r="AF180" s="438" t="n">
        <v>0.15</v>
      </c>
      <c r="AG180" s="438" t="n">
        <v>0.147</v>
      </c>
      <c r="AH180" s="438" t="n">
        <v>0.15</v>
      </c>
      <c r="AI180" s="438" t="n">
        <v>0.153</v>
      </c>
      <c r="AJ180" s="438" t="n">
        <v>0.15</v>
      </c>
      <c r="AK180" s="438" t="n">
        <v>0.147</v>
      </c>
      <c r="AL180" s="438" t="n">
        <v>0.147</v>
      </c>
      <c r="AM180" s="438" t="n">
        <v>0.15</v>
      </c>
      <c r="AN180" s="438" t="n">
        <v>0.15</v>
      </c>
      <c r="AO180" s="438" t="n">
        <v>0.15</v>
      </c>
      <c r="AP180" s="439" t="n">
        <v>0.15</v>
      </c>
      <c r="AQ180" s="439" t="n">
        <v>0.15</v>
      </c>
      <c r="AR180" s="439" t="n">
        <v>0.15</v>
      </c>
      <c r="AS180" s="439" t="n">
        <v>0.15</v>
      </c>
      <c r="AT180" s="438" t="n">
        <v>0.15</v>
      </c>
      <c r="AU180" s="438" t="n">
        <v>0.15</v>
      </c>
      <c r="AV180" s="438" t="n">
        <v>0.147</v>
      </c>
      <c r="AW180" s="418" t="n">
        <v>0.070261636029524</v>
      </c>
      <c r="AX180" s="418"/>
      <c r="AY180" s="437" t="n">
        <f aca="false">AG180</f>
        <v>0.147</v>
      </c>
      <c r="AZ180" s="437" t="n">
        <f aca="false">AG180</f>
        <v>0.147</v>
      </c>
      <c r="BA180" s="441" t="n">
        <f aca="false">AG180</f>
        <v>0.147</v>
      </c>
      <c r="BB180" s="442" t="n">
        <f aca="false">B180</f>
        <v>0</v>
      </c>
      <c r="BC180" s="442" t="n">
        <v>0.386286989278126</v>
      </c>
      <c r="BD180" s="418" t="n">
        <v>0.38636049625257</v>
      </c>
      <c r="BF180" s="455" t="n">
        <v>41760</v>
      </c>
      <c r="BG180" s="66" t="n">
        <v>168</v>
      </c>
      <c r="HZ180" s="442" t="n">
        <f aca="false">B182</f>
        <v>0</v>
      </c>
      <c r="IA180" s="418" t="n">
        <v>170</v>
      </c>
    </row>
    <row r="181" customFormat="false" ht="12.75" hidden="false" customHeight="false" outlineLevel="0" collapsed="false">
      <c r="A181" s="470"/>
      <c r="B181" s="467"/>
      <c r="C181" s="420" t="n">
        <v>3.304</v>
      </c>
      <c r="D181" s="420" t="n">
        <v>0.15</v>
      </c>
      <c r="E181" s="420" t="n">
        <v>0.070613516324605</v>
      </c>
      <c r="F181" s="420" t="n">
        <v>-0.195</v>
      </c>
      <c r="G181" s="420" t="n">
        <v>0.02</v>
      </c>
      <c r="H181" s="420" t="n">
        <v>-0.195</v>
      </c>
      <c r="I181" s="420" t="n">
        <v>0.168</v>
      </c>
      <c r="J181" s="420" t="n">
        <v>0.1825</v>
      </c>
      <c r="K181" s="420" t="n">
        <v>0.2025</v>
      </c>
      <c r="L181" s="420" t="n">
        <v>-0.07</v>
      </c>
      <c r="M181" s="435" t="n">
        <v>-0.003999999</v>
      </c>
      <c r="N181" s="420" t="n">
        <v>0</v>
      </c>
      <c r="O181" s="420" t="n">
        <v>-0.29</v>
      </c>
      <c r="P181" s="420" t="n">
        <v>0.0065</v>
      </c>
      <c r="Q181" s="420" t="n">
        <v>0.0165</v>
      </c>
      <c r="R181" s="436" t="n">
        <v>-0.009499999</v>
      </c>
      <c r="S181" s="418" t="n">
        <v>-0.03</v>
      </c>
      <c r="T181" s="418" t="n">
        <v>-0.105</v>
      </c>
      <c r="U181" s="418" t="n">
        <v>-0.00225</v>
      </c>
      <c r="V181" s="418" t="n">
        <v>-0.0725</v>
      </c>
      <c r="W181" s="418" t="n">
        <v>-0.12</v>
      </c>
      <c r="X181" s="418" t="n">
        <v>0.395</v>
      </c>
      <c r="Y181" s="418" t="n">
        <v>0.005</v>
      </c>
      <c r="Z181" s="418" t="n">
        <v>-0.19</v>
      </c>
      <c r="AA181" s="418" t="n">
        <v>-0.012</v>
      </c>
      <c r="AB181" s="437" t="n">
        <v>0.295</v>
      </c>
      <c r="AC181" s="437" t="n">
        <v>0.2875</v>
      </c>
      <c r="AD181" s="437" t="n">
        <v>0.263</v>
      </c>
      <c r="AE181" s="438" t="n">
        <v>0.15</v>
      </c>
      <c r="AF181" s="438" t="n">
        <v>0.15</v>
      </c>
      <c r="AG181" s="438" t="n">
        <v>0.147</v>
      </c>
      <c r="AH181" s="438" t="n">
        <v>0.15</v>
      </c>
      <c r="AI181" s="438" t="n">
        <v>0.153</v>
      </c>
      <c r="AJ181" s="438" t="n">
        <v>0.15</v>
      </c>
      <c r="AK181" s="438" t="n">
        <v>0.147</v>
      </c>
      <c r="AL181" s="438" t="n">
        <v>0.147</v>
      </c>
      <c r="AM181" s="438" t="n">
        <v>0.15</v>
      </c>
      <c r="AN181" s="438" t="n">
        <v>0.15</v>
      </c>
      <c r="AO181" s="438" t="n">
        <v>0.15</v>
      </c>
      <c r="AP181" s="439" t="n">
        <v>0.15</v>
      </c>
      <c r="AQ181" s="439" t="n">
        <v>0.15</v>
      </c>
      <c r="AR181" s="439" t="n">
        <v>0.15</v>
      </c>
      <c r="AS181" s="439" t="n">
        <v>0.15</v>
      </c>
      <c r="AT181" s="438" t="n">
        <v>0.15</v>
      </c>
      <c r="AU181" s="438" t="n">
        <v>0.15</v>
      </c>
      <c r="AV181" s="438" t="n">
        <v>0.147</v>
      </c>
      <c r="AW181" s="418" t="n">
        <v>0.070268589546602</v>
      </c>
      <c r="AX181" s="418"/>
      <c r="AY181" s="437" t="n">
        <f aca="false">AG181</f>
        <v>0.147</v>
      </c>
      <c r="AZ181" s="437" t="n">
        <f aca="false">AG181</f>
        <v>0.147</v>
      </c>
      <c r="BA181" s="441" t="n">
        <f aca="false">AG181</f>
        <v>0.147</v>
      </c>
      <c r="BB181" s="442" t="n">
        <f aca="false">B181</f>
        <v>0</v>
      </c>
      <c r="BC181" s="442" t="n">
        <v>0.38398981841918</v>
      </c>
      <c r="BD181" s="418" t="n">
        <v>0.384062893308599</v>
      </c>
      <c r="BF181" s="455" t="n">
        <v>41791</v>
      </c>
      <c r="BG181" s="66" t="n">
        <v>169</v>
      </c>
      <c r="HZ181" s="442" t="n">
        <f aca="false">B183</f>
        <v>0</v>
      </c>
      <c r="IA181" s="418" t="n">
        <v>171</v>
      </c>
    </row>
    <row r="182" customFormat="false" ht="12.75" hidden="false" customHeight="false" outlineLevel="0" collapsed="false">
      <c r="A182" s="470"/>
      <c r="B182" s="467"/>
      <c r="C182" s="420" t="n">
        <v>3.326</v>
      </c>
      <c r="D182" s="420" t="n">
        <v>0.15</v>
      </c>
      <c r="E182" s="420" t="n">
        <v>0.070614644726844</v>
      </c>
      <c r="F182" s="420" t="n">
        <v>-0.195</v>
      </c>
      <c r="G182" s="420" t="n">
        <v>0.0225</v>
      </c>
      <c r="H182" s="420" t="n">
        <v>-0.195</v>
      </c>
      <c r="I182" s="420" t="n">
        <v>0.158</v>
      </c>
      <c r="J182" s="420" t="n">
        <v>0.1825</v>
      </c>
      <c r="K182" s="420" t="n">
        <v>0.215</v>
      </c>
      <c r="L182" s="420" t="n">
        <v>-0.063</v>
      </c>
      <c r="M182" s="435" t="n">
        <v>-0.003999999</v>
      </c>
      <c r="N182" s="420" t="n">
        <v>0</v>
      </c>
      <c r="O182" s="420" t="n">
        <v>-0.29</v>
      </c>
      <c r="P182" s="420" t="n">
        <v>0.0065</v>
      </c>
      <c r="Q182" s="420" t="n">
        <v>0.0165</v>
      </c>
      <c r="R182" s="436" t="n">
        <v>-0.009499999</v>
      </c>
      <c r="S182" s="418" t="n">
        <v>-0.03</v>
      </c>
      <c r="T182" s="418" t="n">
        <v>-0.105</v>
      </c>
      <c r="U182" s="418" t="n">
        <v>-0.00225</v>
      </c>
      <c r="V182" s="418" t="n">
        <v>-0.0675</v>
      </c>
      <c r="W182" s="418" t="n">
        <v>-0.12</v>
      </c>
      <c r="X182" s="418" t="n">
        <v>0.43</v>
      </c>
      <c r="Y182" s="418" t="n">
        <v>0.005</v>
      </c>
      <c r="Z182" s="418" t="n">
        <v>-0.19</v>
      </c>
      <c r="AA182" s="418" t="n">
        <v>-0.012</v>
      </c>
      <c r="AB182" s="437" t="n">
        <v>0.295</v>
      </c>
      <c r="AC182" s="437" t="n">
        <v>0.3</v>
      </c>
      <c r="AD182" s="437" t="n">
        <v>0.253</v>
      </c>
      <c r="AE182" s="438" t="n">
        <v>0.15</v>
      </c>
      <c r="AF182" s="438" t="n">
        <v>0.15</v>
      </c>
      <c r="AG182" s="438" t="n">
        <v>0.147</v>
      </c>
      <c r="AH182" s="438" t="n">
        <v>0.15</v>
      </c>
      <c r="AI182" s="438" t="n">
        <v>0.153</v>
      </c>
      <c r="AJ182" s="438" t="n">
        <v>0.15</v>
      </c>
      <c r="AK182" s="438" t="n">
        <v>0.147</v>
      </c>
      <c r="AL182" s="438" t="n">
        <v>0.147</v>
      </c>
      <c r="AM182" s="438" t="n">
        <v>0.15</v>
      </c>
      <c r="AN182" s="438" t="n">
        <v>0.15</v>
      </c>
      <c r="AO182" s="438" t="n">
        <v>0.15</v>
      </c>
      <c r="AP182" s="439" t="n">
        <v>0.15</v>
      </c>
      <c r="AQ182" s="439" t="n">
        <v>0.15</v>
      </c>
      <c r="AR182" s="439" t="n">
        <v>0.15</v>
      </c>
      <c r="AS182" s="439" t="n">
        <v>0.15</v>
      </c>
      <c r="AT182" s="438" t="n">
        <v>0.15</v>
      </c>
      <c r="AU182" s="438" t="n">
        <v>0.15</v>
      </c>
      <c r="AV182" s="438" t="n">
        <v>0.147</v>
      </c>
      <c r="AW182" s="418" t="n">
        <v>0.070275318756692</v>
      </c>
      <c r="AX182" s="418"/>
      <c r="AY182" s="437" t="n">
        <f aca="false">AG182</f>
        <v>0.147</v>
      </c>
      <c r="AZ182" s="437" t="n">
        <f aca="false">AG182</f>
        <v>0.147</v>
      </c>
      <c r="BA182" s="441" t="n">
        <f aca="false">AG182</f>
        <v>0.147</v>
      </c>
      <c r="BB182" s="442" t="n">
        <f aca="false">B182</f>
        <v>0</v>
      </c>
      <c r="BC182" s="442" t="n">
        <v>0.381779461535823</v>
      </c>
      <c r="BD182" s="418" t="n">
        <v>0.381852120640195</v>
      </c>
      <c r="BF182" s="455" t="n">
        <v>41821</v>
      </c>
      <c r="BG182" s="66" t="n">
        <v>170</v>
      </c>
      <c r="HZ182" s="442" t="n">
        <f aca="false">B184</f>
        <v>0</v>
      </c>
      <c r="IA182" s="418" t="n">
        <v>172</v>
      </c>
    </row>
    <row r="183" customFormat="false" ht="12.75" hidden="false" customHeight="false" outlineLevel="0" collapsed="false">
      <c r="A183" s="470"/>
      <c r="B183" s="467"/>
      <c r="C183" s="420" t="n">
        <v>3.347</v>
      </c>
      <c r="D183" s="420" t="n">
        <v>0.15</v>
      </c>
      <c r="E183" s="420" t="n">
        <v>0.070615810742491</v>
      </c>
      <c r="F183" s="420" t="n">
        <v>-0.195</v>
      </c>
      <c r="G183" s="420" t="n">
        <v>0.025</v>
      </c>
      <c r="H183" s="420" t="n">
        <v>-0.195</v>
      </c>
      <c r="I183" s="420" t="n">
        <v>0.155</v>
      </c>
      <c r="J183" s="420" t="n">
        <v>0.1825</v>
      </c>
      <c r="K183" s="420" t="n">
        <v>0.215</v>
      </c>
      <c r="L183" s="420" t="n">
        <v>-0.054</v>
      </c>
      <c r="M183" s="435" t="n">
        <v>-0.003999999</v>
      </c>
      <c r="N183" s="420" t="n">
        <v>0</v>
      </c>
      <c r="O183" s="420" t="n">
        <v>-0.29</v>
      </c>
      <c r="P183" s="420" t="n">
        <v>0.0065</v>
      </c>
      <c r="Q183" s="420" t="n">
        <v>0.0165</v>
      </c>
      <c r="R183" s="436" t="n">
        <v>-0.009499999</v>
      </c>
      <c r="S183" s="418" t="n">
        <v>-0.03</v>
      </c>
      <c r="T183" s="418" t="n">
        <v>-0.105</v>
      </c>
      <c r="U183" s="418" t="n">
        <v>-0.00225</v>
      </c>
      <c r="V183" s="418" t="n">
        <v>-0.0675</v>
      </c>
      <c r="W183" s="418" t="n">
        <v>-0.12</v>
      </c>
      <c r="X183" s="418" t="n">
        <v>0.495</v>
      </c>
      <c r="Y183" s="418" t="n">
        <v>0.005</v>
      </c>
      <c r="Z183" s="418" t="n">
        <v>-0.19</v>
      </c>
      <c r="AA183" s="418" t="n">
        <v>-0.012</v>
      </c>
      <c r="AB183" s="437" t="n">
        <v>0.295</v>
      </c>
      <c r="AC183" s="437" t="n">
        <v>0.3</v>
      </c>
      <c r="AD183" s="437" t="n">
        <v>0.25</v>
      </c>
      <c r="AE183" s="438" t="n">
        <v>0.15</v>
      </c>
      <c r="AF183" s="438" t="n">
        <v>0.15</v>
      </c>
      <c r="AG183" s="438" t="n">
        <v>0.147</v>
      </c>
      <c r="AH183" s="438" t="n">
        <v>0.15</v>
      </c>
      <c r="AI183" s="438" t="n">
        <v>0.153</v>
      </c>
      <c r="AJ183" s="438" t="n">
        <v>0.15</v>
      </c>
      <c r="AK183" s="438" t="n">
        <v>0.147</v>
      </c>
      <c r="AL183" s="438" t="n">
        <v>0.147</v>
      </c>
      <c r="AM183" s="438" t="n">
        <v>0.15</v>
      </c>
      <c r="AN183" s="438" t="n">
        <v>0.15</v>
      </c>
      <c r="AO183" s="438" t="n">
        <v>0.15</v>
      </c>
      <c r="AP183" s="439" t="n">
        <v>0.15</v>
      </c>
      <c r="AQ183" s="439" t="n">
        <v>0.15</v>
      </c>
      <c r="AR183" s="439" t="n">
        <v>0.15</v>
      </c>
      <c r="AS183" s="439" t="n">
        <v>0.15</v>
      </c>
      <c r="AT183" s="438" t="n">
        <v>0.15</v>
      </c>
      <c r="AU183" s="438" t="n">
        <v>0.15</v>
      </c>
      <c r="AV183" s="438" t="n">
        <v>0.147</v>
      </c>
      <c r="AW183" s="418" t="n">
        <v>0.070282272273801</v>
      </c>
      <c r="AX183" s="418"/>
      <c r="AY183" s="437" t="n">
        <f aca="false">AG183</f>
        <v>0.147</v>
      </c>
      <c r="AZ183" s="437" t="n">
        <f aca="false">AG183</f>
        <v>0.147</v>
      </c>
      <c r="BA183" s="441" t="n">
        <f aca="false">AG183</f>
        <v>0.147</v>
      </c>
      <c r="BB183" s="442" t="n">
        <f aca="false">B183</f>
        <v>0</v>
      </c>
      <c r="BC183" s="442" t="n">
        <v>0.379508487827478</v>
      </c>
      <c r="BD183" s="418" t="n">
        <v>0.37958071971427</v>
      </c>
      <c r="BF183" s="455" t="n">
        <v>41852</v>
      </c>
      <c r="BG183" s="66" t="n">
        <v>171</v>
      </c>
      <c r="HZ183" s="442" t="n">
        <f aca="false">B185</f>
        <v>0</v>
      </c>
      <c r="IA183" s="418" t="n">
        <v>173</v>
      </c>
    </row>
    <row r="184" customFormat="false" ht="12.75" hidden="false" customHeight="false" outlineLevel="0" collapsed="false">
      <c r="A184" s="470"/>
      <c r="B184" s="467"/>
      <c r="C184" s="420" t="n">
        <v>3.319</v>
      </c>
      <c r="D184" s="420" t="n">
        <v>0.15</v>
      </c>
      <c r="E184" s="420" t="n">
        <v>0.070616976758139</v>
      </c>
      <c r="F184" s="420" t="n">
        <v>-0.195</v>
      </c>
      <c r="G184" s="420" t="n">
        <v>0.0175</v>
      </c>
      <c r="H184" s="420" t="n">
        <v>-0.195</v>
      </c>
      <c r="I184" s="420" t="n">
        <v>0.153</v>
      </c>
      <c r="J184" s="420" t="n">
        <v>0.1825</v>
      </c>
      <c r="K184" s="420" t="n">
        <v>0.195</v>
      </c>
      <c r="L184" s="420" t="n">
        <v>-0.034</v>
      </c>
      <c r="M184" s="435" t="n">
        <v>-0.003999999</v>
      </c>
      <c r="N184" s="420" t="n">
        <v>0</v>
      </c>
      <c r="O184" s="420" t="n">
        <v>-0.29</v>
      </c>
      <c r="P184" s="420" t="n">
        <v>0.0065</v>
      </c>
      <c r="Q184" s="420" t="n">
        <v>0.0165</v>
      </c>
      <c r="R184" s="436" t="n">
        <v>-0.009499999</v>
      </c>
      <c r="S184" s="418" t="n">
        <v>-0.03</v>
      </c>
      <c r="T184" s="418" t="n">
        <v>-0.095</v>
      </c>
      <c r="U184" s="418" t="n">
        <v>-0.00225</v>
      </c>
      <c r="V184" s="418" t="n">
        <v>-0.0825</v>
      </c>
      <c r="W184" s="418" t="n">
        <v>-0.12</v>
      </c>
      <c r="X184" s="418" t="n">
        <v>0.395</v>
      </c>
      <c r="Y184" s="418" t="n">
        <v>0.005</v>
      </c>
      <c r="Z184" s="418" t="n">
        <v>-0.19</v>
      </c>
      <c r="AA184" s="418" t="n">
        <v>-0.012</v>
      </c>
      <c r="AB184" s="437" t="n">
        <v>0.295</v>
      </c>
      <c r="AC184" s="437" t="n">
        <v>0.29</v>
      </c>
      <c r="AD184" s="437" t="n">
        <v>0.248</v>
      </c>
      <c r="AE184" s="438" t="n">
        <v>0.15</v>
      </c>
      <c r="AF184" s="438" t="n">
        <v>0.15</v>
      </c>
      <c r="AG184" s="438" t="n">
        <v>0.147</v>
      </c>
      <c r="AH184" s="438" t="n">
        <v>0.15</v>
      </c>
      <c r="AI184" s="438" t="n">
        <v>0.153</v>
      </c>
      <c r="AJ184" s="438" t="n">
        <v>0.15</v>
      </c>
      <c r="AK184" s="438" t="n">
        <v>0.147</v>
      </c>
      <c r="AL184" s="438" t="n">
        <v>0.147</v>
      </c>
      <c r="AM184" s="438" t="n">
        <v>0.15</v>
      </c>
      <c r="AN184" s="438" t="n">
        <v>0.15</v>
      </c>
      <c r="AO184" s="438" t="n">
        <v>0.15</v>
      </c>
      <c r="AP184" s="439" t="n">
        <v>0.15</v>
      </c>
      <c r="AQ184" s="439" t="n">
        <v>0.15</v>
      </c>
      <c r="AR184" s="439" t="n">
        <v>0.15</v>
      </c>
      <c r="AS184" s="439" t="n">
        <v>0.15</v>
      </c>
      <c r="AT184" s="438" t="n">
        <v>0.15</v>
      </c>
      <c r="AU184" s="438" t="n">
        <v>0.15</v>
      </c>
      <c r="AV184" s="438" t="n">
        <v>0.147</v>
      </c>
      <c r="AW184" s="418" t="n">
        <v>0.070289225790926</v>
      </c>
      <c r="AX184" s="418"/>
      <c r="AY184" s="437" t="n">
        <f aca="false">AG184</f>
        <v>0.147</v>
      </c>
      <c r="AZ184" s="437" t="n">
        <f aca="false">AG184</f>
        <v>0.147</v>
      </c>
      <c r="BA184" s="441" t="n">
        <f aca="false">AG184</f>
        <v>0.147</v>
      </c>
      <c r="BB184" s="442" t="n">
        <f aca="false">B184</f>
        <v>0</v>
      </c>
      <c r="BC184" s="442" t="n">
        <v>0.377250715511006</v>
      </c>
      <c r="BD184" s="418" t="n">
        <v>0.377322522633315</v>
      </c>
      <c r="BF184" s="455" t="n">
        <v>41883</v>
      </c>
      <c r="BG184" s="66" t="n">
        <v>172</v>
      </c>
      <c r="HZ184" s="442" t="n">
        <f aca="false">B186</f>
        <v>0</v>
      </c>
      <c r="IA184" s="418" t="n">
        <v>174</v>
      </c>
    </row>
    <row r="185" customFormat="false" ht="12.75" hidden="false" customHeight="false" outlineLevel="0" collapsed="false">
      <c r="A185" s="470"/>
      <c r="B185" s="467"/>
      <c r="C185" s="420" t="n">
        <v>3.323</v>
      </c>
      <c r="D185" s="420" t="n">
        <v>0.15</v>
      </c>
      <c r="E185" s="420" t="n">
        <v>0.07061810516038</v>
      </c>
      <c r="F185" s="420" t="n">
        <v>-0.195</v>
      </c>
      <c r="G185" s="420" t="n">
        <v>0.0075</v>
      </c>
      <c r="H185" s="420" t="n">
        <v>-0.195</v>
      </c>
      <c r="I185" s="420" t="n">
        <v>0.168</v>
      </c>
      <c r="J185" s="420" t="n">
        <v>0.1875</v>
      </c>
      <c r="K185" s="420" t="n">
        <v>0.215</v>
      </c>
      <c r="L185" s="420" t="n">
        <v>-0.044</v>
      </c>
      <c r="M185" s="435" t="n">
        <v>-0.003999999</v>
      </c>
      <c r="N185" s="420" t="n">
        <v>0</v>
      </c>
      <c r="O185" s="420" t="n">
        <v>-0.29</v>
      </c>
      <c r="P185" s="420" t="n">
        <v>0.0065</v>
      </c>
      <c r="Q185" s="420" t="n">
        <v>0.0165</v>
      </c>
      <c r="R185" s="436" t="n">
        <v>-0.009499999</v>
      </c>
      <c r="S185" s="418" t="n">
        <v>-0.03</v>
      </c>
      <c r="T185" s="418" t="n">
        <v>-0.08</v>
      </c>
      <c r="U185" s="418" t="n">
        <v>-0.0205</v>
      </c>
      <c r="V185" s="418" t="n">
        <v>-0.085</v>
      </c>
      <c r="W185" s="418" t="n">
        <v>-0.12</v>
      </c>
      <c r="X185" s="418" t="n">
        <v>0.461</v>
      </c>
      <c r="Y185" s="418" t="n">
        <v>0.005</v>
      </c>
      <c r="Z185" s="418" t="n">
        <v>-0.19</v>
      </c>
      <c r="AA185" s="418" t="n">
        <v>-0.012</v>
      </c>
      <c r="AB185" s="437" t="n">
        <v>0.295</v>
      </c>
      <c r="AC185" s="437" t="n">
        <v>0.3625</v>
      </c>
      <c r="AD185" s="437" t="n">
        <v>0.263</v>
      </c>
      <c r="AE185" s="438" t="n">
        <v>0.15</v>
      </c>
      <c r="AF185" s="438" t="n">
        <v>0.15</v>
      </c>
      <c r="AG185" s="438" t="n">
        <v>0.147</v>
      </c>
      <c r="AH185" s="438" t="n">
        <v>0.15</v>
      </c>
      <c r="AI185" s="438" t="n">
        <v>0.153</v>
      </c>
      <c r="AJ185" s="438" t="n">
        <v>0.15</v>
      </c>
      <c r="AK185" s="438" t="n">
        <v>0.147</v>
      </c>
      <c r="AL185" s="438" t="n">
        <v>0.147</v>
      </c>
      <c r="AM185" s="438" t="n">
        <v>0.15</v>
      </c>
      <c r="AN185" s="438" t="n">
        <v>0.15</v>
      </c>
      <c r="AO185" s="438" t="n">
        <v>0.15</v>
      </c>
      <c r="AP185" s="439" t="n">
        <v>0.15</v>
      </c>
      <c r="AQ185" s="439" t="n">
        <v>0.15</v>
      </c>
      <c r="AR185" s="439" t="n">
        <v>0.15</v>
      </c>
      <c r="AS185" s="439" t="n">
        <v>0.15</v>
      </c>
      <c r="AT185" s="438" t="n">
        <v>0.15</v>
      </c>
      <c r="AU185" s="438" t="n">
        <v>0.15</v>
      </c>
      <c r="AV185" s="438" t="n">
        <v>0.147</v>
      </c>
      <c r="AW185" s="418" t="n">
        <v>0.070295955001062</v>
      </c>
      <c r="AX185" s="418"/>
      <c r="AY185" s="437" t="n">
        <f aca="false">AG185</f>
        <v>0.147</v>
      </c>
      <c r="AZ185" s="437" t="n">
        <f aca="false">AG185</f>
        <v>0.147</v>
      </c>
      <c r="BA185" s="441" t="n">
        <f aca="false">AG185</f>
        <v>0.147</v>
      </c>
      <c r="BB185" s="442" t="n">
        <f aca="false">B185</f>
        <v>0</v>
      </c>
      <c r="BC185" s="442" t="n">
        <v>0.375078273520228</v>
      </c>
      <c r="BD185" s="418" t="n">
        <v>0.375149671902875</v>
      </c>
      <c r="BF185" s="455" t="n">
        <v>41913</v>
      </c>
      <c r="BG185" s="66" t="n">
        <v>173</v>
      </c>
      <c r="HZ185" s="442" t="n">
        <f aca="false">B187</f>
        <v>0</v>
      </c>
      <c r="IA185" s="418" t="n">
        <v>175</v>
      </c>
    </row>
    <row r="186" customFormat="false" ht="12.75" hidden="false" customHeight="false" outlineLevel="0" collapsed="false">
      <c r="A186" s="470"/>
      <c r="B186" s="467"/>
      <c r="C186" s="420" t="n">
        <v>3.36</v>
      </c>
      <c r="D186" s="420" t="n">
        <v>0.15</v>
      </c>
      <c r="E186" s="420" t="n">
        <v>0.070619271176028</v>
      </c>
      <c r="F186" s="420" t="n">
        <v>-0.19</v>
      </c>
      <c r="G186" s="420" t="n">
        <v>-0.0325</v>
      </c>
      <c r="H186" s="420" t="n">
        <v>-0.19</v>
      </c>
      <c r="I186" s="420" t="n">
        <v>0.23</v>
      </c>
      <c r="J186" s="420" t="n">
        <v>0.27</v>
      </c>
      <c r="K186" s="420" t="n">
        <v>0.2875</v>
      </c>
      <c r="L186" s="420" t="n">
        <v>-0.059</v>
      </c>
      <c r="M186" s="435" t="n">
        <v>0.0035</v>
      </c>
      <c r="N186" s="420" t="n">
        <v>0</v>
      </c>
      <c r="O186" s="420" t="n">
        <v>0</v>
      </c>
      <c r="P186" s="420" t="n">
        <v>0.016</v>
      </c>
      <c r="Q186" s="420" t="n">
        <v>0.0085</v>
      </c>
      <c r="R186" s="436" t="n">
        <v>-0.0125</v>
      </c>
      <c r="S186" s="418" t="n">
        <v>-0.03</v>
      </c>
      <c r="T186" s="418" t="n">
        <v>-0.0425</v>
      </c>
      <c r="U186" s="418" t="n">
        <v>-0.0195</v>
      </c>
      <c r="V186" s="418" t="n">
        <v>-0.0825</v>
      </c>
      <c r="W186" s="418" t="n">
        <v>-0.1325</v>
      </c>
      <c r="X186" s="418" t="n">
        <v>0.7675</v>
      </c>
      <c r="Y186" s="418" t="n">
        <v>0.005</v>
      </c>
      <c r="Z186" s="418" t="n">
        <v>-0.19</v>
      </c>
      <c r="AA186" s="418" t="n">
        <v>-0.0135</v>
      </c>
      <c r="AB186" s="437" t="n">
        <v>0.12</v>
      </c>
      <c r="AC186" s="437" t="n">
        <v>0.465</v>
      </c>
      <c r="AD186" s="437" t="n">
        <v>0.325</v>
      </c>
      <c r="AE186" s="438" t="n">
        <v>0.15</v>
      </c>
      <c r="AF186" s="438" t="n">
        <v>0.15</v>
      </c>
      <c r="AG186" s="438" t="n">
        <v>0.165</v>
      </c>
      <c r="AH186" s="438" t="n">
        <v>0.15</v>
      </c>
      <c r="AI186" s="438" t="n">
        <v>0.153</v>
      </c>
      <c r="AJ186" s="438" t="n">
        <v>0.15</v>
      </c>
      <c r="AK186" s="438" t="n">
        <v>0.15</v>
      </c>
      <c r="AL186" s="438" t="n">
        <v>0.15</v>
      </c>
      <c r="AM186" s="438" t="n">
        <v>0.15</v>
      </c>
      <c r="AN186" s="438" t="n">
        <v>0.15</v>
      </c>
      <c r="AO186" s="438" t="n">
        <v>0.15</v>
      </c>
      <c r="AP186" s="439" t="n">
        <v>0.15</v>
      </c>
      <c r="AQ186" s="439" t="n">
        <v>0.15</v>
      </c>
      <c r="AR186" s="439" t="n">
        <v>0.15</v>
      </c>
      <c r="AS186" s="439" t="n">
        <v>0.15</v>
      </c>
      <c r="AT186" s="438" t="n">
        <v>0.15</v>
      </c>
      <c r="AU186" s="438" t="n">
        <v>0.15</v>
      </c>
      <c r="AV186" s="438" t="n">
        <v>0.165</v>
      </c>
      <c r="AW186" s="418" t="n">
        <v>0.070302908518218</v>
      </c>
      <c r="AX186" s="418"/>
      <c r="AY186" s="437" t="n">
        <f aca="false">AG186</f>
        <v>0.165</v>
      </c>
      <c r="AZ186" s="437" t="n">
        <f aca="false">AG186</f>
        <v>0.165</v>
      </c>
      <c r="BA186" s="441" t="n">
        <f aca="false">AG186</f>
        <v>0.165</v>
      </c>
      <c r="BB186" s="442" t="n">
        <f aca="false">B186</f>
        <v>0</v>
      </c>
      <c r="BC186" s="442" t="n">
        <v>0.372846259914756</v>
      </c>
      <c r="BD186" s="418" t="n">
        <v>0.372917238319959</v>
      </c>
      <c r="BF186" s="455" t="n">
        <v>41944</v>
      </c>
      <c r="BG186" s="66" t="n">
        <v>174</v>
      </c>
      <c r="HZ186" s="442" t="n">
        <f aca="false">B188</f>
        <v>0</v>
      </c>
      <c r="IA186" s="418" t="n">
        <v>176</v>
      </c>
    </row>
    <row r="187" customFormat="false" ht="12.75" hidden="false" customHeight="false" outlineLevel="0" collapsed="false">
      <c r="A187" s="470"/>
      <c r="B187" s="467"/>
      <c r="C187" s="420" t="n">
        <v>3.413</v>
      </c>
      <c r="D187" s="420" t="n">
        <v>0.15</v>
      </c>
      <c r="E187" s="420" t="n">
        <v>0.070620399578269</v>
      </c>
      <c r="F187" s="420" t="n">
        <v>-0.1975</v>
      </c>
      <c r="G187" s="420" t="n">
        <v>-0.055</v>
      </c>
      <c r="H187" s="420" t="n">
        <v>-0.1975</v>
      </c>
      <c r="I187" s="420" t="n">
        <v>0.27</v>
      </c>
      <c r="J187" s="420" t="n">
        <v>0.305</v>
      </c>
      <c r="K187" s="420" t="n">
        <v>0.3375</v>
      </c>
      <c r="L187" s="420" t="n">
        <v>-0.059</v>
      </c>
      <c r="M187" s="420" t="n">
        <v>0.0035</v>
      </c>
      <c r="N187" s="420" t="n">
        <v>0</v>
      </c>
      <c r="O187" s="420" t="n">
        <v>0.06</v>
      </c>
      <c r="P187" s="420" t="n">
        <v>0.016</v>
      </c>
      <c r="Q187" s="420" t="n">
        <v>0.0085</v>
      </c>
      <c r="R187" s="418" t="n">
        <v>-0.0125</v>
      </c>
      <c r="S187" s="418" t="n">
        <v>-0.03</v>
      </c>
      <c r="T187" s="418" t="n">
        <v>-0.035</v>
      </c>
      <c r="U187" s="418" t="n">
        <v>-0.0195</v>
      </c>
      <c r="V187" s="418" t="n">
        <v>-0.1175</v>
      </c>
      <c r="W187" s="418" t="n">
        <v>-0.1275</v>
      </c>
      <c r="X187" s="418" t="n">
        <v>1.19</v>
      </c>
      <c r="Y187" s="418" t="n">
        <v>0.005</v>
      </c>
      <c r="Z187" s="418" t="n">
        <v>-0.19</v>
      </c>
      <c r="AA187" s="418" t="n">
        <v>-0.0135</v>
      </c>
      <c r="AB187" s="437" t="n">
        <v>0.12</v>
      </c>
      <c r="AC187" s="437" t="n">
        <v>0.8</v>
      </c>
      <c r="AD187" s="437" t="n">
        <v>0.365</v>
      </c>
      <c r="AE187" s="438" t="n">
        <v>0.15</v>
      </c>
      <c r="AF187" s="438" t="n">
        <v>0.15</v>
      </c>
      <c r="AG187" s="438" t="n">
        <v>0.165</v>
      </c>
      <c r="AH187" s="438" t="n">
        <v>0.15</v>
      </c>
      <c r="AI187" s="438" t="n">
        <v>0.153</v>
      </c>
      <c r="AJ187" s="438" t="n">
        <v>0.15</v>
      </c>
      <c r="AK187" s="438" t="n">
        <v>0.15</v>
      </c>
      <c r="AL187" s="438" t="n">
        <v>0.15</v>
      </c>
      <c r="AM187" s="438" t="n">
        <v>0.15</v>
      </c>
      <c r="AN187" s="438" t="n">
        <v>0.15</v>
      </c>
      <c r="AO187" s="438" t="n">
        <v>0.15</v>
      </c>
      <c r="AP187" s="439" t="n">
        <v>0.15</v>
      </c>
      <c r="AQ187" s="439" t="n">
        <v>0.15</v>
      </c>
      <c r="AR187" s="439" t="n">
        <v>0.15</v>
      </c>
      <c r="AS187" s="439" t="n">
        <v>0.15</v>
      </c>
      <c r="AT187" s="438" t="n">
        <v>0.15</v>
      </c>
      <c r="AU187" s="438" t="n">
        <v>0.15</v>
      </c>
      <c r="AV187" s="438" t="n">
        <v>0.165</v>
      </c>
      <c r="AW187" s="418" t="n">
        <v>0.070309637728385</v>
      </c>
      <c r="AX187" s="418"/>
      <c r="AY187" s="437" t="n">
        <f aca="false">AG187</f>
        <v>0.165</v>
      </c>
      <c r="AZ187" s="437" t="n">
        <f aca="false">AG187</f>
        <v>0.165</v>
      </c>
      <c r="BA187" s="441" t="n">
        <f aca="false">AG187</f>
        <v>0.165</v>
      </c>
      <c r="BB187" s="442" t="n">
        <f aca="false">B187</f>
        <v>0</v>
      </c>
      <c r="BC187" s="442" t="n">
        <v>0.370698606575255</v>
      </c>
      <c r="BD187" s="418" t="n">
        <v>0.370769180847894</v>
      </c>
      <c r="BF187" s="455" t="n">
        <v>41974</v>
      </c>
      <c r="BG187" s="66" t="n">
        <v>175</v>
      </c>
      <c r="HZ187" s="442" t="n">
        <f aca="false">B189</f>
        <v>0</v>
      </c>
      <c r="IA187" s="418" t="n">
        <v>177</v>
      </c>
    </row>
    <row r="188" customFormat="false" ht="12.75" hidden="false" customHeight="false" outlineLevel="0" collapsed="false">
      <c r="A188" s="470"/>
      <c r="B188" s="467"/>
      <c r="C188" s="420" t="n">
        <v>3.731</v>
      </c>
      <c r="D188" s="420" t="n">
        <v>0.15</v>
      </c>
      <c r="E188" s="420" t="n">
        <v>0.070621565593919</v>
      </c>
      <c r="F188" s="420" t="n">
        <v>-0.2</v>
      </c>
      <c r="G188" s="420" t="n">
        <v>-0.0575</v>
      </c>
      <c r="H188" s="420" t="n">
        <v>-0.2</v>
      </c>
      <c r="I188" s="420" t="n">
        <v>0.28</v>
      </c>
      <c r="J188" s="420" t="n">
        <v>0.305</v>
      </c>
      <c r="K188" s="420" t="n">
        <v>0.4375</v>
      </c>
      <c r="L188" s="420" t="n">
        <v>-0.059</v>
      </c>
      <c r="M188" s="420" t="n">
        <v>0.0055</v>
      </c>
      <c r="N188" s="420" t="n">
        <v>0</v>
      </c>
      <c r="O188" s="420"/>
      <c r="P188" s="420" t="n">
        <v>0.016</v>
      </c>
      <c r="Q188" s="420" t="n">
        <v>0.0085</v>
      </c>
      <c r="R188" s="418" t="n">
        <v>-0.007999999</v>
      </c>
      <c r="S188" s="418" t="n">
        <v>-0.03</v>
      </c>
      <c r="T188" s="418" t="n">
        <v>-0.02</v>
      </c>
      <c r="U188" s="418" t="n">
        <v>-0.0195</v>
      </c>
      <c r="V188" s="418" t="n">
        <v>-0.123</v>
      </c>
      <c r="W188" s="418" t="n">
        <v>-0.1275</v>
      </c>
      <c r="X188" s="418" t="n">
        <v>1.525</v>
      </c>
      <c r="Y188" s="418" t="n">
        <v>0.005</v>
      </c>
      <c r="Z188" s="418" t="n">
        <v>-0.19</v>
      </c>
      <c r="AA188" s="418" t="n">
        <v>-0.0135</v>
      </c>
      <c r="AB188" s="437" t="n">
        <v>0.12</v>
      </c>
      <c r="AC188" s="437" t="n">
        <v>0.975</v>
      </c>
      <c r="AD188" s="437" t="n">
        <v>0.375</v>
      </c>
      <c r="AE188" s="438" t="n">
        <v>0.15</v>
      </c>
      <c r="AF188" s="438" t="n">
        <v>0.15</v>
      </c>
      <c r="AG188" s="438" t="n">
        <v>0.165</v>
      </c>
      <c r="AH188" s="438" t="n">
        <v>0.15</v>
      </c>
      <c r="AI188" s="438" t="n">
        <v>0.153</v>
      </c>
      <c r="AJ188" s="438" t="n">
        <v>0.15</v>
      </c>
      <c r="AK188" s="438" t="n">
        <v>0.15</v>
      </c>
      <c r="AL188" s="438" t="n">
        <v>0.15</v>
      </c>
      <c r="AM188" s="438" t="n">
        <v>0.15</v>
      </c>
      <c r="AN188" s="438" t="n">
        <v>0.15</v>
      </c>
      <c r="AO188" s="438" t="n">
        <v>0.15</v>
      </c>
      <c r="AP188" s="439" t="n">
        <v>0.15</v>
      </c>
      <c r="AQ188" s="439" t="n">
        <v>0.15</v>
      </c>
      <c r="AR188" s="439" t="n">
        <v>0.15</v>
      </c>
      <c r="AS188" s="439" t="n">
        <v>0.15</v>
      </c>
      <c r="AT188" s="438" t="n">
        <v>0.15</v>
      </c>
      <c r="AU188" s="438" t="n">
        <v>0.15</v>
      </c>
      <c r="AV188" s="438" t="n">
        <v>0.165</v>
      </c>
      <c r="AW188" s="418" t="n">
        <v>0.070316591245573</v>
      </c>
      <c r="AX188" s="418"/>
      <c r="AY188" s="437" t="n">
        <f aca="false">AG188</f>
        <v>0.165</v>
      </c>
      <c r="AZ188" s="437" t="n">
        <f aca="false">AG188</f>
        <v>0.165</v>
      </c>
      <c r="BA188" s="441" t="n">
        <f aca="false">AG188</f>
        <v>0.165</v>
      </c>
      <c r="BB188" s="442" t="n">
        <f aca="false">B188</f>
        <v>0</v>
      </c>
      <c r="BC188" s="442" t="n">
        <v>0.36849206492369</v>
      </c>
      <c r="BD188" s="418" t="n">
        <v>0.368562223953322</v>
      </c>
      <c r="BF188" s="455" t="n">
        <v>42005</v>
      </c>
      <c r="BG188" s="66" t="n">
        <v>176</v>
      </c>
      <c r="HZ188" s="442" t="n">
        <f aca="false">B190</f>
        <v>0</v>
      </c>
      <c r="IA188" s="418" t="n">
        <v>178</v>
      </c>
    </row>
    <row r="189" customFormat="false" ht="12.75" hidden="false" customHeight="false" outlineLevel="0" collapsed="false">
      <c r="A189" s="470"/>
      <c r="B189" s="467"/>
      <c r="C189" s="420" t="n">
        <v>3.637</v>
      </c>
      <c r="D189" s="420" t="n">
        <v>0.15</v>
      </c>
      <c r="E189" s="420" t="n">
        <v>0.070622731609569</v>
      </c>
      <c r="F189" s="420" t="n">
        <v>-0.2025</v>
      </c>
      <c r="G189" s="420" t="n">
        <v>-0.04</v>
      </c>
      <c r="H189" s="420" t="n">
        <v>-0.2025</v>
      </c>
      <c r="I189" s="420" t="n">
        <v>0.255</v>
      </c>
      <c r="J189" s="420" t="n">
        <v>0.305</v>
      </c>
      <c r="K189" s="420" t="n">
        <v>0.435</v>
      </c>
      <c r="L189" s="420" t="n">
        <v>-0.059</v>
      </c>
      <c r="M189" s="420" t="n">
        <v>0.0055</v>
      </c>
      <c r="N189" s="420" t="n">
        <v>0</v>
      </c>
      <c r="O189" s="420"/>
      <c r="P189" s="420" t="n">
        <v>0.016</v>
      </c>
      <c r="Q189" s="420" t="n">
        <v>0.0085</v>
      </c>
      <c r="R189" s="436" t="n">
        <v>-0.007999999</v>
      </c>
      <c r="S189" s="418" t="n">
        <v>-0.03</v>
      </c>
      <c r="T189" s="418" t="n">
        <v>-0.02</v>
      </c>
      <c r="U189" s="418" t="n">
        <v>-0.0195</v>
      </c>
      <c r="V189" s="418" t="n">
        <v>-0.1055</v>
      </c>
      <c r="W189" s="418" t="n">
        <v>-0.1275</v>
      </c>
      <c r="X189" s="418" t="n">
        <v>1.455</v>
      </c>
      <c r="Y189" s="418" t="n">
        <v>0.005</v>
      </c>
      <c r="Z189" s="418" t="n">
        <v>-0.19</v>
      </c>
      <c r="AA189" s="418" t="n">
        <v>-0.0135</v>
      </c>
      <c r="AB189" s="437" t="n">
        <v>0.12</v>
      </c>
      <c r="AC189" s="437" t="n">
        <v>0.975</v>
      </c>
      <c r="AD189" s="437" t="n">
        <v>0.35</v>
      </c>
      <c r="AE189" s="438" t="n">
        <v>0.15</v>
      </c>
      <c r="AF189" s="438" t="n">
        <v>0.15</v>
      </c>
      <c r="AG189" s="438" t="n">
        <v>0.165</v>
      </c>
      <c r="AH189" s="438" t="n">
        <v>0.15</v>
      </c>
      <c r="AI189" s="438" t="n">
        <v>0.153</v>
      </c>
      <c r="AJ189" s="438" t="n">
        <v>0.15</v>
      </c>
      <c r="AK189" s="438" t="n">
        <v>0.15</v>
      </c>
      <c r="AL189" s="438" t="n">
        <v>0.15</v>
      </c>
      <c r="AM189" s="438" t="n">
        <v>0.15</v>
      </c>
      <c r="AN189" s="438" t="n">
        <v>0.15</v>
      </c>
      <c r="AO189" s="438" t="n">
        <v>0.15</v>
      </c>
      <c r="AP189" s="439" t="n">
        <v>0.15</v>
      </c>
      <c r="AQ189" s="439" t="n">
        <v>0.15</v>
      </c>
      <c r="AR189" s="439" t="n">
        <v>0.15</v>
      </c>
      <c r="AS189" s="439" t="n">
        <v>0.15</v>
      </c>
      <c r="AT189" s="438" t="n">
        <v>0.15</v>
      </c>
      <c r="AU189" s="438" t="n">
        <v>0.15</v>
      </c>
      <c r="AV189" s="438" t="n">
        <v>0.165</v>
      </c>
      <c r="AW189" s="418" t="n">
        <v>0.070323544762776</v>
      </c>
      <c r="AX189" s="418"/>
      <c r="AY189" s="437" t="n">
        <f aca="false">AG189</f>
        <v>0.165</v>
      </c>
      <c r="AZ189" s="437" t="n">
        <f aca="false">AG189</f>
        <v>0.165</v>
      </c>
      <c r="BA189" s="441" t="n">
        <f aca="false">AG189</f>
        <v>0.165</v>
      </c>
      <c r="BB189" s="442" t="n">
        <f aca="false">B189</f>
        <v>0</v>
      </c>
      <c r="BC189" s="442" t="n">
        <v>0.366298359138976</v>
      </c>
      <c r="BD189" s="418" t="n">
        <v>0.366368105311651</v>
      </c>
      <c r="BF189" s="455" t="n">
        <v>42036</v>
      </c>
      <c r="BG189" s="66" t="n">
        <v>177</v>
      </c>
      <c r="HZ189" s="442" t="n">
        <f aca="false">B191</f>
        <v>0</v>
      </c>
      <c r="IA189" s="418" t="n">
        <v>179</v>
      </c>
    </row>
    <row r="190" customFormat="false" ht="12.75" hidden="false" customHeight="false" outlineLevel="0" collapsed="false">
      <c r="B190" s="467"/>
      <c r="C190" s="420" t="n">
        <v>3.503</v>
      </c>
      <c r="D190" s="420" t="n">
        <v>0.15</v>
      </c>
      <c r="E190" s="420" t="n">
        <v>0.070623784785</v>
      </c>
      <c r="F190" s="420" t="n">
        <v>-0.205</v>
      </c>
      <c r="G190" s="420" t="n">
        <v>-0.0275</v>
      </c>
      <c r="H190" s="420" t="n">
        <v>-0.205</v>
      </c>
      <c r="I190" s="420" t="n">
        <v>0.253</v>
      </c>
      <c r="J190" s="420" t="n">
        <v>0.265</v>
      </c>
      <c r="K190" s="420" t="n">
        <v>0.3025</v>
      </c>
      <c r="L190" s="420" t="n">
        <v>-0.059</v>
      </c>
      <c r="M190" s="420" t="n">
        <v>0.0055</v>
      </c>
      <c r="N190" s="420" t="n">
        <v>0</v>
      </c>
      <c r="O190" s="420"/>
      <c r="P190" s="420" t="n">
        <v>0.016</v>
      </c>
      <c r="Q190" s="420" t="n">
        <v>0.0085</v>
      </c>
      <c r="R190" s="436" t="n">
        <v>-0.007999999</v>
      </c>
      <c r="S190" s="418" t="n">
        <v>-0.03</v>
      </c>
      <c r="T190" s="418" t="n">
        <v>-0.02</v>
      </c>
      <c r="U190" s="436" t="n">
        <v>0.000999999999999994</v>
      </c>
      <c r="V190" s="418" t="n">
        <v>-0.088</v>
      </c>
      <c r="W190" s="418" t="n">
        <v>-0.1325</v>
      </c>
      <c r="X190" s="418" t="n">
        <v>0.835</v>
      </c>
      <c r="Y190" s="418" t="n">
        <v>0.005</v>
      </c>
      <c r="Z190" s="418" t="n">
        <v>-0.19</v>
      </c>
      <c r="AA190" s="418" t="n">
        <v>-0.0135</v>
      </c>
      <c r="AB190" s="437" t="n">
        <v>0.12</v>
      </c>
      <c r="AC190" s="437" t="n">
        <v>0.6075</v>
      </c>
      <c r="AD190" s="437" t="n">
        <v>0.348</v>
      </c>
      <c r="AE190" s="438" t="n">
        <v>0.15</v>
      </c>
      <c r="AF190" s="438" t="n">
        <v>0.15</v>
      </c>
      <c r="AG190" s="438" t="n">
        <v>0.165</v>
      </c>
      <c r="AH190" s="438" t="n">
        <v>0.15</v>
      </c>
      <c r="AI190" s="438" t="n">
        <v>0.153</v>
      </c>
      <c r="AJ190" s="438" t="n">
        <v>0.15</v>
      </c>
      <c r="AK190" s="438" t="n">
        <v>0.15</v>
      </c>
      <c r="AL190" s="438" t="n">
        <v>0.15</v>
      </c>
      <c r="AM190" s="438" t="n">
        <v>0.15</v>
      </c>
      <c r="AN190" s="438" t="n">
        <v>0.15</v>
      </c>
      <c r="AO190" s="438" t="n">
        <v>0.15</v>
      </c>
      <c r="AP190" s="439" t="n">
        <v>0.15</v>
      </c>
      <c r="AQ190" s="439" t="n">
        <v>0.15</v>
      </c>
      <c r="AR190" s="439" t="n">
        <v>0.15</v>
      </c>
      <c r="AS190" s="439" t="n">
        <v>0.15</v>
      </c>
      <c r="AT190" s="438" t="n">
        <v>0.15</v>
      </c>
      <c r="AU190" s="438" t="n">
        <v>0.15</v>
      </c>
      <c r="AV190" s="438" t="n">
        <v>0.165</v>
      </c>
      <c r="AW190" s="418" t="n">
        <v>0.070329825358974</v>
      </c>
      <c r="AX190" s="418"/>
      <c r="AY190" s="437" t="n">
        <f aca="false">AG190</f>
        <v>0.165</v>
      </c>
      <c r="AZ190" s="437" t="n">
        <f aca="false">AG190</f>
        <v>0.165</v>
      </c>
      <c r="BA190" s="441" t="n">
        <f aca="false">AG190</f>
        <v>0.165</v>
      </c>
      <c r="BB190" s="442" t="n">
        <f aca="false">B190</f>
        <v>0</v>
      </c>
      <c r="BC190" s="442" t="n">
        <v>0.36432791955881</v>
      </c>
      <c r="BD190" s="418" t="n">
        <v>0.364397294868167</v>
      </c>
      <c r="BF190" s="455" t="n">
        <v>42064</v>
      </c>
      <c r="BG190" s="66" t="n">
        <v>178</v>
      </c>
      <c r="HZ190" s="442" t="n">
        <f aca="false">B192</f>
        <v>0</v>
      </c>
      <c r="IA190" s="418" t="n">
        <v>180</v>
      </c>
    </row>
    <row r="191" customFormat="false" ht="12.75" hidden="false" customHeight="false" outlineLevel="0" collapsed="false">
      <c r="B191" s="467"/>
      <c r="C191" s="420" t="n">
        <v>3.361</v>
      </c>
      <c r="D191" s="420" t="n">
        <v>0.15</v>
      </c>
      <c r="E191" s="420" t="n">
        <v>0.070624950800647</v>
      </c>
      <c r="F191" s="420" t="n">
        <v>-0.195</v>
      </c>
      <c r="G191" s="420" t="n">
        <v>0.015</v>
      </c>
      <c r="H191" s="420" t="n">
        <v>-0.195</v>
      </c>
      <c r="I191" s="420" t="n">
        <v>0.158</v>
      </c>
      <c r="J191" s="420" t="n">
        <v>0.195</v>
      </c>
      <c r="K191" s="420" t="n">
        <v>0.25</v>
      </c>
      <c r="L191" s="420" t="n">
        <v>-0.052</v>
      </c>
      <c r="M191" s="420" t="n">
        <v>-0.001999999</v>
      </c>
      <c r="N191" s="420" t="n">
        <v>0</v>
      </c>
      <c r="O191" s="420"/>
      <c r="P191" s="420" t="n">
        <v>0.0065</v>
      </c>
      <c r="Q191" s="420" t="n">
        <v>0.0185</v>
      </c>
      <c r="R191" s="436" t="n">
        <v>-0.007499999</v>
      </c>
      <c r="S191" s="418" t="n">
        <v>-0.03</v>
      </c>
      <c r="T191" s="418" t="n">
        <v>-0.065</v>
      </c>
      <c r="U191" s="436" t="n">
        <v>0.000999999999999994</v>
      </c>
      <c r="V191" s="418" t="n">
        <v>-0.0805</v>
      </c>
      <c r="W191" s="418" t="n">
        <v>-0.12</v>
      </c>
      <c r="X191" s="418" t="n">
        <v>0.45</v>
      </c>
      <c r="Y191" s="418" t="n">
        <v>0.005</v>
      </c>
      <c r="Z191" s="418" t="n">
        <v>-0.19</v>
      </c>
      <c r="AA191" s="418" t="n">
        <v>-0.011</v>
      </c>
      <c r="AB191" s="437" t="n">
        <v>0.295</v>
      </c>
      <c r="AC191" s="437" t="n">
        <v>0.355</v>
      </c>
      <c r="AD191" s="437" t="n">
        <v>0.253</v>
      </c>
      <c r="AE191" s="438" t="n">
        <v>0.15</v>
      </c>
      <c r="AF191" s="438" t="n">
        <v>0.15</v>
      </c>
      <c r="AG191" s="438" t="n">
        <v>0.147</v>
      </c>
      <c r="AH191" s="438" t="n">
        <v>0.15</v>
      </c>
      <c r="AI191" s="438" t="n">
        <v>0.153</v>
      </c>
      <c r="AJ191" s="438" t="n">
        <v>0.15</v>
      </c>
      <c r="AK191" s="438" t="n">
        <v>0.147</v>
      </c>
      <c r="AL191" s="438" t="n">
        <v>0.147</v>
      </c>
      <c r="AM191" s="438" t="n">
        <v>0.15</v>
      </c>
      <c r="AN191" s="438" t="n">
        <v>0.15</v>
      </c>
      <c r="AO191" s="438" t="n">
        <v>0.15</v>
      </c>
      <c r="AP191" s="439" t="n">
        <v>0.15</v>
      </c>
      <c r="AQ191" s="439" t="n">
        <v>0.15</v>
      </c>
      <c r="AR191" s="439" t="n">
        <v>0.15</v>
      </c>
      <c r="AS191" s="439" t="n">
        <v>0.15</v>
      </c>
      <c r="AT191" s="438" t="n">
        <v>0.15</v>
      </c>
      <c r="AU191" s="438" t="n">
        <v>0.15</v>
      </c>
      <c r="AV191" s="438" t="n">
        <v>0.147</v>
      </c>
      <c r="AW191" s="418" t="n">
        <v>0.070336778876208</v>
      </c>
      <c r="AX191" s="418"/>
      <c r="AY191" s="437" t="n">
        <f aca="false">AG191</f>
        <v>0.147</v>
      </c>
      <c r="AZ191" s="437" t="n">
        <f aca="false">AG191</f>
        <v>0.147</v>
      </c>
      <c r="BA191" s="441" t="n">
        <f aca="false">AG191</f>
        <v>0.147</v>
      </c>
      <c r="BB191" s="442" t="n">
        <f aca="false">B191</f>
        <v>0</v>
      </c>
      <c r="BC191" s="442" t="n">
        <v>0.362158442393771</v>
      </c>
      <c r="BD191" s="418" t="n">
        <v>0.362227409350494</v>
      </c>
      <c r="BF191" s="455" t="n">
        <v>42095</v>
      </c>
      <c r="BG191" s="66" t="n">
        <v>179</v>
      </c>
      <c r="HZ191" s="442" t="n">
        <f aca="false">B193</f>
        <v>0</v>
      </c>
      <c r="IA191" s="418" t="n">
        <v>181</v>
      </c>
    </row>
    <row r="192" customFormat="false" ht="12.75" hidden="false" customHeight="false" outlineLevel="0" collapsed="false">
      <c r="B192" s="467"/>
      <c r="C192" s="420" t="n">
        <v>3.361</v>
      </c>
      <c r="D192" s="420" t="n">
        <v>0.15</v>
      </c>
      <c r="E192" s="420" t="n">
        <v>0.07062607920289</v>
      </c>
      <c r="F192" s="420" t="n">
        <v>-0.195</v>
      </c>
      <c r="G192" s="420" t="n">
        <v>0.015</v>
      </c>
      <c r="H192" s="420" t="n">
        <v>-0.195</v>
      </c>
      <c r="I192" s="420" t="n">
        <v>0.168</v>
      </c>
      <c r="J192" s="420" t="n">
        <v>0.1825</v>
      </c>
      <c r="K192" s="420" t="n">
        <v>0.2025</v>
      </c>
      <c r="L192" s="420" t="n">
        <v>-0.052</v>
      </c>
      <c r="M192" s="435" t="n">
        <v>-0.001999999</v>
      </c>
      <c r="N192" s="420" t="n">
        <v>0</v>
      </c>
      <c r="O192" s="420"/>
      <c r="P192" s="420" t="n">
        <v>0.0065</v>
      </c>
      <c r="Q192" s="420" t="n">
        <v>0.0185</v>
      </c>
      <c r="R192" s="436" t="n">
        <v>-0.007499999</v>
      </c>
      <c r="S192" s="418" t="n">
        <v>-0.03</v>
      </c>
      <c r="T192" s="418" t="n">
        <v>-0.08</v>
      </c>
      <c r="U192" s="436" t="n">
        <v>-0.001249999</v>
      </c>
      <c r="V192" s="418" t="n">
        <v>-0.0805</v>
      </c>
      <c r="W192" s="418" t="n">
        <v>-0.12</v>
      </c>
      <c r="X192" s="418" t="n">
        <v>0.405</v>
      </c>
      <c r="Y192" s="418" t="n">
        <v>0.005</v>
      </c>
      <c r="Z192" s="418" t="n">
        <v>-0.19</v>
      </c>
      <c r="AA192" s="418" t="n">
        <v>-0.011</v>
      </c>
      <c r="AB192" s="437" t="n">
        <v>0.295</v>
      </c>
      <c r="AC192" s="437" t="n">
        <v>0.2875</v>
      </c>
      <c r="AD192" s="437" t="n">
        <v>0.263</v>
      </c>
      <c r="AE192" s="438" t="n">
        <v>0.15</v>
      </c>
      <c r="AF192" s="438" t="n">
        <v>0.15</v>
      </c>
      <c r="AG192" s="438" t="n">
        <v>0.147</v>
      </c>
      <c r="AH192" s="438" t="n">
        <v>0.15</v>
      </c>
      <c r="AI192" s="438" t="n">
        <v>0.153</v>
      </c>
      <c r="AJ192" s="438" t="n">
        <v>0.15</v>
      </c>
      <c r="AK192" s="438" t="n">
        <v>0.147</v>
      </c>
      <c r="AL192" s="438" t="n">
        <v>0.147</v>
      </c>
      <c r="AM192" s="438" t="n">
        <v>0.15</v>
      </c>
      <c r="AN192" s="438" t="n">
        <v>0.15</v>
      </c>
      <c r="AO192" s="438" t="n">
        <v>0.15</v>
      </c>
      <c r="AP192" s="439" t="n">
        <v>0.15</v>
      </c>
      <c r="AQ192" s="439" t="n">
        <v>0.15</v>
      </c>
      <c r="AR192" s="439" t="n">
        <v>0.15</v>
      </c>
      <c r="AS192" s="439" t="n">
        <v>0.15</v>
      </c>
      <c r="AT192" s="438" t="n">
        <v>0.15</v>
      </c>
      <c r="AU192" s="438" t="n">
        <v>0.15</v>
      </c>
      <c r="AV192" s="438" t="n">
        <v>0.147</v>
      </c>
      <c r="AW192" s="418" t="n">
        <v>0.070343508086451</v>
      </c>
      <c r="AX192" s="418"/>
      <c r="AY192" s="437" t="n">
        <f aca="false">AG192</f>
        <v>0.147</v>
      </c>
      <c r="AZ192" s="437" t="n">
        <f aca="false">AG192</f>
        <v>0.147</v>
      </c>
      <c r="BA192" s="441" t="n">
        <f aca="false">AG192</f>
        <v>0.147</v>
      </c>
      <c r="BB192" s="442" t="n">
        <f aca="false">B192</f>
        <v>0</v>
      </c>
      <c r="BC192" s="442" t="n">
        <v>0.360070970232007</v>
      </c>
      <c r="BD192" s="418" t="n">
        <v>0.360139544243976</v>
      </c>
      <c r="BF192" s="455" t="n">
        <v>42125</v>
      </c>
      <c r="BG192" s="66" t="n">
        <v>180</v>
      </c>
      <c r="HZ192" s="442" t="n">
        <f aca="false">B194</f>
        <v>0</v>
      </c>
      <c r="IA192" s="418" t="n">
        <v>182</v>
      </c>
    </row>
    <row r="193" customFormat="false" ht="12.75" hidden="false" customHeight="false" outlineLevel="0" collapsed="false">
      <c r="B193" s="467"/>
      <c r="C193" s="420" t="n">
        <v>3.393</v>
      </c>
      <c r="D193" s="420" t="n">
        <v>0.15</v>
      </c>
      <c r="E193" s="420" t="n">
        <v>0.070627245218542</v>
      </c>
      <c r="F193" s="420" t="n">
        <v>-0.195</v>
      </c>
      <c r="G193" s="420" t="n">
        <v>0.02</v>
      </c>
      <c r="H193" s="420" t="n">
        <v>-0.195</v>
      </c>
      <c r="I193" s="420" t="n">
        <v>0.163</v>
      </c>
      <c r="J193" s="420" t="n">
        <v>0.1825</v>
      </c>
      <c r="K193" s="420" t="n">
        <v>0.2025</v>
      </c>
      <c r="L193" s="420" t="n">
        <v>-0.068</v>
      </c>
      <c r="M193" s="435" t="n">
        <v>-0.001999999</v>
      </c>
      <c r="N193" s="420" t="n">
        <v>0</v>
      </c>
      <c r="O193" s="420"/>
      <c r="P193" s="420" t="n">
        <v>0.0065</v>
      </c>
      <c r="Q193" s="420" t="n">
        <v>0.0185</v>
      </c>
      <c r="R193" s="436" t="n">
        <v>-0.007499999</v>
      </c>
      <c r="S193" s="418" t="n">
        <v>-0.03</v>
      </c>
      <c r="T193" s="418" t="n">
        <v>-0.09</v>
      </c>
      <c r="U193" s="436" t="n">
        <v>-0.001249999</v>
      </c>
      <c r="V193" s="418" t="n">
        <v>-0.0705</v>
      </c>
      <c r="W193" s="418" t="n">
        <v>-0.12</v>
      </c>
      <c r="X193" s="418" t="n">
        <v>0.395</v>
      </c>
      <c r="Y193" s="418" t="n">
        <v>0.005</v>
      </c>
      <c r="Z193" s="418" t="n">
        <v>-0.19</v>
      </c>
      <c r="AA193" s="418" t="n">
        <v>-0.011</v>
      </c>
      <c r="AB193" s="437" t="n">
        <v>0.295</v>
      </c>
      <c r="AC193" s="437" t="n">
        <v>0.2875</v>
      </c>
      <c r="AD193" s="437" t="n">
        <v>0.258</v>
      </c>
      <c r="AE193" s="438" t="n">
        <v>0.15</v>
      </c>
      <c r="AF193" s="438" t="n">
        <v>0.15</v>
      </c>
      <c r="AG193" s="438" t="n">
        <v>0.147</v>
      </c>
      <c r="AH193" s="438" t="n">
        <v>0.15</v>
      </c>
      <c r="AI193" s="438" t="n">
        <v>0.153</v>
      </c>
      <c r="AJ193" s="438" t="n">
        <v>0.15</v>
      </c>
      <c r="AK193" s="438" t="n">
        <v>0.147</v>
      </c>
      <c r="AL193" s="438" t="n">
        <v>0.147</v>
      </c>
      <c r="AM193" s="438" t="n">
        <v>0.15</v>
      </c>
      <c r="AN193" s="438" t="n">
        <v>0.15</v>
      </c>
      <c r="AO193" s="438" t="n">
        <v>0.15</v>
      </c>
      <c r="AP193" s="439" t="n">
        <v>0.15</v>
      </c>
      <c r="AQ193" s="439" t="n">
        <v>0.15</v>
      </c>
      <c r="AR193" s="439" t="n">
        <v>0.15</v>
      </c>
      <c r="AS193" s="439" t="n">
        <v>0.15</v>
      </c>
      <c r="AT193" s="438" t="n">
        <v>0.15</v>
      </c>
      <c r="AU193" s="438" t="n">
        <v>0.15</v>
      </c>
      <c r="AV193" s="438" t="n">
        <v>0.147</v>
      </c>
      <c r="AW193" s="418" t="n">
        <v>0.070350461603716</v>
      </c>
      <c r="AX193" s="418"/>
      <c r="AY193" s="437" t="n">
        <f aca="false">AG193</f>
        <v>0.147</v>
      </c>
      <c r="AZ193" s="437" t="n">
        <f aca="false">AG193</f>
        <v>0.147</v>
      </c>
      <c r="BA193" s="441" t="n">
        <f aca="false">AG193</f>
        <v>0.147</v>
      </c>
      <c r="BB193" s="442" t="n">
        <f aca="false">B193</f>
        <v>0</v>
      </c>
      <c r="BC193" s="442" t="n">
        <v>0.357926268483299</v>
      </c>
      <c r="BD193" s="418" t="n">
        <v>0.357994438749273</v>
      </c>
      <c r="BF193" s="455" t="n">
        <v>42156</v>
      </c>
      <c r="BG193" s="66" t="n">
        <v>181</v>
      </c>
      <c r="HZ193" s="442" t="n">
        <f aca="false">B195</f>
        <v>0</v>
      </c>
      <c r="IA193" s="418" t="n">
        <v>183</v>
      </c>
    </row>
    <row r="194" customFormat="false" ht="12.75" hidden="false" customHeight="false" outlineLevel="0" collapsed="false">
      <c r="B194" s="467"/>
      <c r="C194" s="420" t="n">
        <v>3.415</v>
      </c>
      <c r="D194" s="420" t="n">
        <v>0.15</v>
      </c>
      <c r="E194" s="420" t="n">
        <v>0.070628373620786</v>
      </c>
      <c r="F194" s="420" t="n">
        <v>-0.195</v>
      </c>
      <c r="G194" s="420" t="n">
        <v>0.0225</v>
      </c>
      <c r="H194" s="420" t="n">
        <v>-0.195</v>
      </c>
      <c r="I194" s="420" t="n">
        <v>0.153</v>
      </c>
      <c r="J194" s="420" t="n">
        <v>0.1825</v>
      </c>
      <c r="K194" s="420" t="n">
        <v>0.215</v>
      </c>
      <c r="L194" s="420" t="n">
        <v>-0.061</v>
      </c>
      <c r="M194" s="435" t="n">
        <v>-0.001999999</v>
      </c>
      <c r="N194" s="420" t="n">
        <v>0</v>
      </c>
      <c r="O194" s="420"/>
      <c r="P194" s="420" t="n">
        <v>0.0065</v>
      </c>
      <c r="Q194" s="420" t="n">
        <v>0.0185</v>
      </c>
      <c r="R194" s="436" t="n">
        <v>-0.007499999</v>
      </c>
      <c r="S194" s="418" t="n">
        <v>-0.03</v>
      </c>
      <c r="T194" s="418" t="n">
        <v>-0.09</v>
      </c>
      <c r="U194" s="436" t="n">
        <v>-0.001249999</v>
      </c>
      <c r="V194" s="418" t="n">
        <v>-0.0655</v>
      </c>
      <c r="W194" s="418" t="n">
        <v>-0.12</v>
      </c>
      <c r="X194" s="418" t="n">
        <v>0.43</v>
      </c>
      <c r="Y194" s="418" t="n">
        <v>0.005</v>
      </c>
      <c r="Z194" s="418" t="n">
        <v>-0.19</v>
      </c>
      <c r="AA194" s="418" t="n">
        <v>-0.011</v>
      </c>
      <c r="AB194" s="437" t="n">
        <v>0.295</v>
      </c>
      <c r="AC194" s="437" t="n">
        <v>0.3</v>
      </c>
      <c r="AD194" s="437" t="n">
        <v>0.248</v>
      </c>
      <c r="AE194" s="438" t="n">
        <v>0.15</v>
      </c>
      <c r="AF194" s="438" t="n">
        <v>0.15</v>
      </c>
      <c r="AG194" s="438" t="n">
        <v>0.147</v>
      </c>
      <c r="AH194" s="438" t="n">
        <v>0.15</v>
      </c>
      <c r="AI194" s="438" t="n">
        <v>0.153</v>
      </c>
      <c r="AJ194" s="438" t="n">
        <v>0.15</v>
      </c>
      <c r="AK194" s="438" t="n">
        <v>0.147</v>
      </c>
      <c r="AL194" s="438" t="n">
        <v>0.147</v>
      </c>
      <c r="AM194" s="438" t="n">
        <v>0.15</v>
      </c>
      <c r="AN194" s="438" t="n">
        <v>0.15</v>
      </c>
      <c r="AO194" s="438" t="n">
        <v>0.15</v>
      </c>
      <c r="AP194" s="439" t="n">
        <v>0.15</v>
      </c>
      <c r="AQ194" s="439" t="n">
        <v>0.15</v>
      </c>
      <c r="AR194" s="439" t="n">
        <v>0.15</v>
      </c>
      <c r="AS194" s="439" t="n">
        <v>0.15</v>
      </c>
      <c r="AT194" s="438" t="n">
        <v>0.15</v>
      </c>
      <c r="AU194" s="438" t="n">
        <v>0.15</v>
      </c>
      <c r="AV194" s="438" t="n">
        <v>0.147</v>
      </c>
      <c r="AW194" s="418" t="n">
        <v>0.070357190813988</v>
      </c>
      <c r="AX194" s="418"/>
      <c r="AY194" s="437" t="n">
        <f aca="false">AG194</f>
        <v>0.147</v>
      </c>
      <c r="AZ194" s="437" t="n">
        <f aca="false">AG194</f>
        <v>0.147</v>
      </c>
      <c r="BA194" s="441" t="n">
        <f aca="false">AG194</f>
        <v>0.147</v>
      </c>
      <c r="BB194" s="442" t="n">
        <f aca="false">B194</f>
        <v>0</v>
      </c>
      <c r="BC194" s="442" t="n">
        <v>0.355862638571301</v>
      </c>
      <c r="BD194" s="418" t="n">
        <v>0.355930420325974</v>
      </c>
      <c r="BF194" s="455" t="n">
        <v>42186</v>
      </c>
      <c r="BG194" s="66" t="n">
        <v>182</v>
      </c>
      <c r="HZ194" s="442" t="n">
        <f aca="false">B196</f>
        <v>0</v>
      </c>
      <c r="IA194" s="418" t="n">
        <v>184</v>
      </c>
    </row>
    <row r="195" customFormat="false" ht="12.75" hidden="false" customHeight="false" outlineLevel="0" collapsed="false">
      <c r="B195" s="467"/>
      <c r="C195" s="420" t="n">
        <v>3.436</v>
      </c>
      <c r="D195" s="420" t="n">
        <v>0.15</v>
      </c>
      <c r="E195" s="420" t="n">
        <v>0.070629539636439</v>
      </c>
      <c r="F195" s="420" t="n">
        <v>-0.195</v>
      </c>
      <c r="G195" s="420" t="n">
        <v>0.025</v>
      </c>
      <c r="H195" s="420" t="n">
        <v>-0.195</v>
      </c>
      <c r="I195" s="420" t="n">
        <v>0.15</v>
      </c>
      <c r="J195" s="420" t="n">
        <v>0.1825</v>
      </c>
      <c r="K195" s="420" t="n">
        <v>0.215</v>
      </c>
      <c r="L195" s="420" t="n">
        <v>-0.052</v>
      </c>
      <c r="M195" s="435" t="n">
        <v>-0.001999999</v>
      </c>
      <c r="N195" s="420" t="n">
        <v>0</v>
      </c>
      <c r="O195" s="420"/>
      <c r="P195" s="420" t="n">
        <v>0.0065</v>
      </c>
      <c r="Q195" s="420" t="n">
        <v>0.0185</v>
      </c>
      <c r="R195" s="436" t="n">
        <v>-0.007499999</v>
      </c>
      <c r="S195" s="418" t="n">
        <v>-0.03</v>
      </c>
      <c r="T195" s="418" t="n">
        <v>-0.09</v>
      </c>
      <c r="U195" s="436" t="n">
        <v>-0.001249999</v>
      </c>
      <c r="V195" s="418" t="n">
        <v>-0.0655</v>
      </c>
      <c r="W195" s="418" t="n">
        <v>0</v>
      </c>
      <c r="X195" s="418" t="n">
        <v>0.495</v>
      </c>
      <c r="Y195" s="418" t="n">
        <v>0.005</v>
      </c>
      <c r="Z195" s="418" t="n">
        <v>-0.19</v>
      </c>
      <c r="AA195" s="418" t="n">
        <v>-0.011</v>
      </c>
      <c r="AB195" s="437" t="n">
        <v>0.295</v>
      </c>
      <c r="AC195" s="437" t="n">
        <v>0.3</v>
      </c>
      <c r="AD195" s="437" t="n">
        <v>0.245</v>
      </c>
      <c r="AE195" s="438" t="n">
        <v>0.15</v>
      </c>
      <c r="AF195" s="438" t="n">
        <v>0.15</v>
      </c>
      <c r="AG195" s="438" t="n">
        <v>0.147</v>
      </c>
      <c r="AH195" s="438" t="n">
        <v>0.15</v>
      </c>
      <c r="AI195" s="438" t="n">
        <v>0.153</v>
      </c>
      <c r="AJ195" s="438" t="n">
        <v>0.15</v>
      </c>
      <c r="AK195" s="438" t="n">
        <v>0.147</v>
      </c>
      <c r="AL195" s="438" t="n">
        <v>0.147</v>
      </c>
      <c r="AM195" s="438" t="n">
        <v>0.15</v>
      </c>
      <c r="AN195" s="438" t="n">
        <v>0.15</v>
      </c>
      <c r="AO195" s="438" t="n">
        <v>0.15</v>
      </c>
      <c r="AP195" s="439" t="n">
        <v>0.15</v>
      </c>
      <c r="AQ195" s="439" t="n">
        <v>0.15</v>
      </c>
      <c r="AR195" s="439" t="n">
        <v>0.15</v>
      </c>
      <c r="AS195" s="439" t="n">
        <v>0.15</v>
      </c>
      <c r="AT195" s="438" t="n">
        <v>0.15</v>
      </c>
      <c r="AU195" s="438" t="n">
        <v>0.15</v>
      </c>
      <c r="AV195" s="438" t="n">
        <v>0.147</v>
      </c>
      <c r="AW195" s="418" t="n">
        <v>0.070364144331286</v>
      </c>
      <c r="AX195" s="418"/>
      <c r="AY195" s="437" t="n">
        <f aca="false">AG195</f>
        <v>0.147</v>
      </c>
      <c r="AZ195" s="437" t="n">
        <f aca="false">AG195</f>
        <v>0.147</v>
      </c>
      <c r="BA195" s="441" t="n">
        <f aca="false">AG195</f>
        <v>0.147</v>
      </c>
      <c r="BB195" s="442" t="n">
        <f aca="false">B195</f>
        <v>0</v>
      </c>
      <c r="BC195" s="442" t="n">
        <v>0.353742436146311</v>
      </c>
      <c r="BD195" s="418" t="n">
        <v>0.353809818710957</v>
      </c>
      <c r="BF195" s="455" t="n">
        <v>42217</v>
      </c>
      <c r="BG195" s="66" t="n">
        <v>183</v>
      </c>
      <c r="HZ195" s="442" t="n">
        <f aca="false">B197</f>
        <v>0</v>
      </c>
      <c r="IA195" s="418" t="n">
        <v>185</v>
      </c>
    </row>
    <row r="196" customFormat="false" ht="12.75" hidden="false" customHeight="false" outlineLevel="0" collapsed="false">
      <c r="B196" s="467"/>
      <c r="C196" s="420" t="n">
        <v>3.407</v>
      </c>
      <c r="D196" s="420" t="n">
        <v>0.15</v>
      </c>
      <c r="E196" s="420" t="n">
        <v>0.070630705652092</v>
      </c>
      <c r="F196" s="420" t="n">
        <v>-0.195</v>
      </c>
      <c r="G196" s="420" t="n">
        <v>0.0175</v>
      </c>
      <c r="H196" s="420" t="n">
        <v>-0.195</v>
      </c>
      <c r="I196" s="420" t="n">
        <v>0.148</v>
      </c>
      <c r="J196" s="420" t="n">
        <v>0.1825</v>
      </c>
      <c r="K196" s="420" t="n">
        <v>0.195</v>
      </c>
      <c r="L196" s="420" t="n">
        <v>-0.032</v>
      </c>
      <c r="M196" s="435" t="n">
        <v>-0.001999999</v>
      </c>
      <c r="N196" s="420" t="n">
        <v>0</v>
      </c>
      <c r="O196" s="420"/>
      <c r="P196" s="420" t="n">
        <v>0.0065</v>
      </c>
      <c r="Q196" s="420" t="n">
        <v>0.0185</v>
      </c>
      <c r="R196" s="436" t="n">
        <v>-0.007499999</v>
      </c>
      <c r="S196" s="418" t="n">
        <v>0</v>
      </c>
      <c r="T196" s="418" t="n">
        <v>-0.08</v>
      </c>
      <c r="U196" s="418" t="n">
        <v>-0.001249999</v>
      </c>
      <c r="V196" s="418" t="n">
        <v>-0.0805</v>
      </c>
      <c r="W196" s="418" t="n">
        <v>0</v>
      </c>
      <c r="X196" s="418" t="n">
        <v>0.395</v>
      </c>
      <c r="Y196" s="418" t="n">
        <v>0.005</v>
      </c>
      <c r="Z196" s="418" t="n">
        <v>-0.19</v>
      </c>
      <c r="AA196" s="418" t="n">
        <v>-0.011</v>
      </c>
      <c r="AB196" s="437" t="n">
        <v>0.295</v>
      </c>
      <c r="AC196" s="437" t="n">
        <v>0.29</v>
      </c>
      <c r="AD196" s="437" t="n">
        <v>0.243</v>
      </c>
      <c r="AE196" s="438" t="n">
        <v>0.15</v>
      </c>
      <c r="AF196" s="438" t="n">
        <v>0.15</v>
      </c>
      <c r="AG196" s="438" t="n">
        <v>0.147</v>
      </c>
      <c r="AH196" s="438" t="n">
        <v>0.15</v>
      </c>
      <c r="AI196" s="438" t="n">
        <v>0.153</v>
      </c>
      <c r="AJ196" s="438" t="n">
        <v>0.15</v>
      </c>
      <c r="AK196" s="438" t="n">
        <v>0.147</v>
      </c>
      <c r="AL196" s="438" t="n">
        <v>0.147</v>
      </c>
      <c r="AM196" s="438" t="n">
        <v>0.15</v>
      </c>
      <c r="AN196" s="438" t="n">
        <v>0.15</v>
      </c>
      <c r="AO196" s="438" t="n">
        <v>0.15</v>
      </c>
      <c r="AP196" s="439" t="n">
        <v>0.15</v>
      </c>
      <c r="AQ196" s="439" t="n">
        <v>0.15</v>
      </c>
      <c r="AR196" s="439" t="n">
        <v>0.15</v>
      </c>
      <c r="AS196" s="439" t="n">
        <v>0.15</v>
      </c>
      <c r="AT196" s="438" t="n">
        <v>0.15</v>
      </c>
      <c r="AU196" s="438" t="n">
        <v>0.15</v>
      </c>
      <c r="AV196" s="438" t="n">
        <v>0.147</v>
      </c>
      <c r="AW196" s="418" t="n">
        <v>0.070371097848598</v>
      </c>
      <c r="AX196" s="418"/>
      <c r="AY196" s="437" t="n">
        <f aca="false">AG196</f>
        <v>0.147</v>
      </c>
      <c r="AZ196" s="437" t="n">
        <f aca="false">AG196</f>
        <v>0.147</v>
      </c>
      <c r="BA196" s="441" t="n">
        <f aca="false">AG196</f>
        <v>0.147</v>
      </c>
      <c r="BB196" s="442" t="n">
        <f aca="false">B196</f>
        <v>0</v>
      </c>
      <c r="BC196" s="442" t="n">
        <v>0.351634579351594</v>
      </c>
      <c r="BD196" s="418" t="n">
        <v>0.351701565022296</v>
      </c>
      <c r="BF196" s="455" t="n">
        <v>42248</v>
      </c>
      <c r="BG196" s="66" t="n">
        <v>184</v>
      </c>
      <c r="HZ196" s="442" t="n">
        <f aca="false">B198</f>
        <v>0</v>
      </c>
      <c r="IA196" s="418" t="n">
        <v>186</v>
      </c>
    </row>
    <row r="197" customFormat="false" ht="12.75" hidden="false" customHeight="false" outlineLevel="0" collapsed="false">
      <c r="A197" s="473"/>
      <c r="B197" s="467"/>
      <c r="C197" s="420" t="n">
        <v>3.41</v>
      </c>
      <c r="D197" s="420" t="n">
        <v>0.15</v>
      </c>
      <c r="E197" s="420" t="n">
        <v>0.070631834054338</v>
      </c>
      <c r="F197" s="420" t="n">
        <v>-0.195</v>
      </c>
      <c r="G197" s="420" t="n">
        <v>0.0075</v>
      </c>
      <c r="H197" s="420" t="n">
        <v>-0.195</v>
      </c>
      <c r="I197" s="420" t="n">
        <v>0.163</v>
      </c>
      <c r="J197" s="420" t="n">
        <v>0.1875</v>
      </c>
      <c r="K197" s="420" t="n">
        <v>0.215</v>
      </c>
      <c r="L197" s="420" t="n">
        <v>-0.042</v>
      </c>
      <c r="M197" s="435" t="n">
        <v>-0.001999999</v>
      </c>
      <c r="N197" s="420" t="n">
        <v>0</v>
      </c>
      <c r="O197" s="420"/>
      <c r="P197" s="420" t="n">
        <v>0.0065</v>
      </c>
      <c r="Q197" s="420" t="n">
        <v>0.0185</v>
      </c>
      <c r="R197" s="436" t="n">
        <v>-0.007499999</v>
      </c>
      <c r="S197" s="418" t="n">
        <v>0</v>
      </c>
      <c r="T197" s="418" t="n">
        <v>-0.065</v>
      </c>
      <c r="U197" s="418" t="n">
        <v>-0.0195</v>
      </c>
      <c r="V197" s="418" t="n">
        <v>-0.083</v>
      </c>
      <c r="W197" s="418" t="n">
        <v>0</v>
      </c>
      <c r="X197" s="418" t="n">
        <v>0.461</v>
      </c>
      <c r="Y197" s="418" t="n">
        <v>0.005</v>
      </c>
      <c r="Z197" s="418" t="n">
        <v>-0.19</v>
      </c>
      <c r="AA197" s="418" t="n">
        <v>-0.011</v>
      </c>
      <c r="AB197" s="437" t="n">
        <v>0.295</v>
      </c>
      <c r="AC197" s="437" t="n">
        <v>0.3625</v>
      </c>
      <c r="AD197" s="437" t="n">
        <v>0.258</v>
      </c>
      <c r="AE197" s="438" t="n">
        <v>0.15</v>
      </c>
      <c r="AF197" s="438" t="n">
        <v>0.15</v>
      </c>
      <c r="AG197" s="438" t="n">
        <v>0.147</v>
      </c>
      <c r="AH197" s="438" t="n">
        <v>0.15</v>
      </c>
      <c r="AI197" s="438" t="n">
        <v>0.153</v>
      </c>
      <c r="AJ197" s="438" t="n">
        <v>0.15</v>
      </c>
      <c r="AK197" s="438" t="n">
        <v>0.147</v>
      </c>
      <c r="AL197" s="438" t="n">
        <v>0.147</v>
      </c>
      <c r="AM197" s="438" t="n">
        <v>0.15</v>
      </c>
      <c r="AN197" s="438" t="n">
        <v>0.15</v>
      </c>
      <c r="AO197" s="438" t="n">
        <v>0.15</v>
      </c>
      <c r="AP197" s="439" t="n">
        <v>0.15</v>
      </c>
      <c r="AQ197" s="439" t="n">
        <v>0.15</v>
      </c>
      <c r="AR197" s="439" t="n">
        <v>0.15</v>
      </c>
      <c r="AS197" s="439" t="n">
        <v>0.15</v>
      </c>
      <c r="AT197" s="438" t="n">
        <v>0.15</v>
      </c>
      <c r="AU197" s="438" t="n">
        <v>0.15</v>
      </c>
      <c r="AV197" s="438" t="n">
        <v>0.147</v>
      </c>
      <c r="AW197" s="418" t="n">
        <v>0.070377827058917</v>
      </c>
      <c r="AX197" s="418"/>
      <c r="AY197" s="437" t="n">
        <f aca="false">AG197</f>
        <v>0.147</v>
      </c>
      <c r="AZ197" s="437" t="n">
        <f aca="false">AG197</f>
        <v>0.147</v>
      </c>
      <c r="BA197" s="441" t="n">
        <f aca="false">AG197</f>
        <v>0.147</v>
      </c>
      <c r="BB197" s="442" t="n">
        <f aca="false">B197</f>
        <v>0</v>
      </c>
      <c r="BC197" s="442" t="n">
        <v>0.349606406554058</v>
      </c>
      <c r="BD197" s="418" t="n">
        <v>0.349673010307897</v>
      </c>
      <c r="BF197" s="455" t="n">
        <v>42278</v>
      </c>
      <c r="BG197" s="66" t="n">
        <v>185</v>
      </c>
      <c r="HZ197" s="442" t="n">
        <f aca="false">B199</f>
        <v>0</v>
      </c>
      <c r="IA197" s="418" t="n">
        <v>187</v>
      </c>
    </row>
    <row r="198" customFormat="false" ht="12.75" hidden="false" customHeight="false" outlineLevel="0" collapsed="false">
      <c r="A198" s="470"/>
      <c r="B198" s="467"/>
      <c r="C198" s="420" t="n">
        <v>3.442</v>
      </c>
      <c r="D198" s="420" t="n">
        <v>0.15</v>
      </c>
      <c r="E198" s="420" t="n">
        <v>0.07063300007</v>
      </c>
      <c r="F198" s="420" t="n">
        <v>-0.19</v>
      </c>
      <c r="G198" s="420" t="n">
        <v>-0.0325</v>
      </c>
      <c r="H198" s="420" t="n">
        <v>-0.19</v>
      </c>
      <c r="I198" s="420" t="n">
        <v>0.225</v>
      </c>
      <c r="J198" s="420" t="n">
        <v>0.27</v>
      </c>
      <c r="K198" s="420" t="n">
        <v>0.2875</v>
      </c>
      <c r="L198" s="420" t="n">
        <v>-0.057</v>
      </c>
      <c r="M198" s="435" t="n">
        <v>0.0055</v>
      </c>
      <c r="N198" s="420" t="n">
        <v>0</v>
      </c>
      <c r="O198" s="420"/>
      <c r="P198" s="420" t="n">
        <v>0.016</v>
      </c>
      <c r="Q198" s="420" t="n">
        <v>0.0105</v>
      </c>
      <c r="R198" s="436" t="n">
        <v>-0.0105</v>
      </c>
      <c r="S198" s="418" t="n">
        <v>0</v>
      </c>
      <c r="T198" s="418" t="n">
        <v>-0.0275</v>
      </c>
      <c r="U198" s="418" t="n">
        <v>-0.0185</v>
      </c>
      <c r="V198" s="418" t="n">
        <v>-0.0805</v>
      </c>
      <c r="W198" s="418" t="n">
        <v>0</v>
      </c>
      <c r="X198" s="418" t="n">
        <v>0.7675</v>
      </c>
      <c r="Y198" s="418" t="n">
        <v>0.005</v>
      </c>
      <c r="Z198" s="418" t="n">
        <v>-0.19</v>
      </c>
      <c r="AA198" s="436" t="n">
        <v>-0.0125</v>
      </c>
      <c r="AB198" s="437" t="n">
        <v>0.12</v>
      </c>
      <c r="AC198" s="437" t="n">
        <v>0.465</v>
      </c>
      <c r="AD198" s="437" t="n">
        <v>0.32</v>
      </c>
      <c r="AE198" s="438" t="n">
        <v>0.15</v>
      </c>
      <c r="AF198" s="438" t="n">
        <v>0.15</v>
      </c>
      <c r="AG198" s="438" t="n">
        <v>0.165</v>
      </c>
      <c r="AH198" s="438" t="n">
        <v>0.15</v>
      </c>
      <c r="AI198" s="438" t="n">
        <v>0.153</v>
      </c>
      <c r="AJ198" s="438" t="n">
        <v>0.15</v>
      </c>
      <c r="AK198" s="438" t="n">
        <v>0.15</v>
      </c>
      <c r="AL198" s="438" t="n">
        <v>0.15</v>
      </c>
      <c r="AM198" s="438" t="n">
        <v>0.15</v>
      </c>
      <c r="AN198" s="438" t="n">
        <v>0.15</v>
      </c>
      <c r="AO198" s="438" t="n">
        <v>0.15</v>
      </c>
      <c r="AP198" s="439" t="n">
        <v>0.15</v>
      </c>
      <c r="AQ198" s="439" t="n">
        <v>0.15</v>
      </c>
      <c r="AR198" s="439" t="n">
        <v>0.15</v>
      </c>
      <c r="AS198" s="439" t="n">
        <v>0.15</v>
      </c>
      <c r="AT198" s="438" t="n">
        <v>0.15</v>
      </c>
      <c r="AU198" s="438" t="n">
        <v>0.15</v>
      </c>
      <c r="AV198" s="438" t="n">
        <v>0.165</v>
      </c>
      <c r="AW198" s="418" t="n">
        <v>0.070384780576261</v>
      </c>
      <c r="AX198" s="418"/>
      <c r="AY198" s="437" t="n">
        <f aca="false">AG198</f>
        <v>0.165</v>
      </c>
      <c r="AZ198" s="437" t="n">
        <f aca="false">AG198</f>
        <v>0.165</v>
      </c>
      <c r="BA198" s="441" t="n">
        <f aca="false">AG198</f>
        <v>0.165</v>
      </c>
      <c r="BB198" s="442" t="n">
        <f aca="false">B198</f>
        <v>0</v>
      </c>
      <c r="BC198" s="442" t="n">
        <v>0.347522638338592</v>
      </c>
      <c r="BD198" s="418" t="n">
        <v>0.347588849679058</v>
      </c>
      <c r="BF198" s="455" t="n">
        <v>42309</v>
      </c>
      <c r="BG198" s="66" t="n">
        <v>186</v>
      </c>
      <c r="HZ198" s="442" t="n">
        <f aca="false">B200</f>
        <v>0</v>
      </c>
      <c r="IA198" s="418" t="n">
        <v>188</v>
      </c>
    </row>
    <row r="199" customFormat="false" ht="12.75" hidden="false" customHeight="false" outlineLevel="0" collapsed="false">
      <c r="A199" s="470"/>
      <c r="B199" s="467"/>
      <c r="C199" s="420" t="n">
        <v>3.492</v>
      </c>
      <c r="D199" s="420" t="n">
        <v>0.15</v>
      </c>
      <c r="E199" s="420" t="n">
        <v>0.070634128472238</v>
      </c>
      <c r="F199" s="420" t="n">
        <v>-0.1975</v>
      </c>
      <c r="G199" s="420" t="n">
        <v>-0.055</v>
      </c>
      <c r="H199" s="420" t="n">
        <v>-0.1975</v>
      </c>
      <c r="I199" s="420" t="n">
        <v>0.265</v>
      </c>
      <c r="J199" s="420" t="n">
        <v>0.305</v>
      </c>
      <c r="K199" s="420" t="n">
        <v>0.3375</v>
      </c>
      <c r="L199" s="420" t="n">
        <v>-0.057</v>
      </c>
      <c r="M199" s="420" t="n">
        <v>0.0055</v>
      </c>
      <c r="N199" s="420" t="n">
        <v>0</v>
      </c>
      <c r="O199" s="420"/>
      <c r="P199" s="420" t="n">
        <v>0.016</v>
      </c>
      <c r="Q199" s="420" t="n">
        <v>0.0105</v>
      </c>
      <c r="R199" s="418" t="n">
        <v>-0.0105</v>
      </c>
      <c r="S199" s="418" t="n">
        <v>0</v>
      </c>
      <c r="T199" s="418" t="n">
        <v>-0.02</v>
      </c>
      <c r="U199" s="418" t="n">
        <v>-0.0185</v>
      </c>
      <c r="V199" s="418" t="n">
        <v>-0.1155</v>
      </c>
      <c r="W199" s="418" t="n">
        <v>0</v>
      </c>
      <c r="X199" s="418" t="n">
        <v>1.19</v>
      </c>
      <c r="Y199" s="418" t="n">
        <v>0.005</v>
      </c>
      <c r="Z199" s="418" t="n">
        <v>-0.19</v>
      </c>
      <c r="AA199" s="436" t="n">
        <v>-0.0125</v>
      </c>
      <c r="AB199" s="437" t="n">
        <v>0.12</v>
      </c>
      <c r="AC199" s="437" t="n">
        <v>0.8</v>
      </c>
      <c r="AD199" s="437" t="n">
        <v>0.36</v>
      </c>
      <c r="AE199" s="438" t="n">
        <v>0.15</v>
      </c>
      <c r="AF199" s="438" t="n">
        <v>0.15</v>
      </c>
      <c r="AG199" s="438" t="n">
        <v>0.165</v>
      </c>
      <c r="AH199" s="438" t="n">
        <v>0.15</v>
      </c>
      <c r="AI199" s="438" t="n">
        <v>0.153</v>
      </c>
      <c r="AJ199" s="438" t="n">
        <v>0.15</v>
      </c>
      <c r="AK199" s="438" t="n">
        <v>0.15</v>
      </c>
      <c r="AL199" s="438" t="n">
        <v>0.15</v>
      </c>
      <c r="AM199" s="438" t="n">
        <v>0.15</v>
      </c>
      <c r="AN199" s="438" t="n">
        <v>0.15</v>
      </c>
      <c r="AO199" s="438" t="n">
        <v>0.15</v>
      </c>
      <c r="AP199" s="439" t="n">
        <v>0.15</v>
      </c>
      <c r="AQ199" s="439" t="n">
        <v>0.15</v>
      </c>
      <c r="AR199" s="439" t="n">
        <v>0.15</v>
      </c>
      <c r="AS199" s="439" t="n">
        <v>0.15</v>
      </c>
      <c r="AT199" s="438" t="n">
        <v>0.15</v>
      </c>
      <c r="AU199" s="438" t="n">
        <v>0.15</v>
      </c>
      <c r="AV199" s="438" t="n">
        <v>0.165</v>
      </c>
      <c r="AW199" s="418" t="n">
        <v>0.07039150978661</v>
      </c>
      <c r="AX199" s="418"/>
      <c r="AY199" s="437" t="n">
        <f aca="false">AG199</f>
        <v>0.165</v>
      </c>
      <c r="AZ199" s="437" t="n">
        <f aca="false">AG199</f>
        <v>0.165</v>
      </c>
      <c r="BA199" s="441" t="n">
        <f aca="false">AG199</f>
        <v>0.165</v>
      </c>
      <c r="BB199" s="442" t="n">
        <f aca="false">B199</f>
        <v>0</v>
      </c>
      <c r="BC199" s="442" t="n">
        <v>0.345517646727192</v>
      </c>
      <c r="BD199" s="418" t="n">
        <v>0.345583480462902</v>
      </c>
      <c r="BF199" s="455" t="n">
        <v>42339</v>
      </c>
      <c r="BG199" s="66" t="n">
        <v>187</v>
      </c>
      <c r="HZ199" s="442" t="n">
        <f aca="false">B201</f>
        <v>0</v>
      </c>
      <c r="IA199" s="418" t="n">
        <v>189</v>
      </c>
    </row>
    <row r="200" customFormat="false" ht="12.75" hidden="false" customHeight="false" outlineLevel="0" collapsed="false">
      <c r="A200" s="470"/>
      <c r="B200" s="467"/>
      <c r="C200" s="420" t="n">
        <v>3.813</v>
      </c>
      <c r="D200" s="420" t="n">
        <v>0.15</v>
      </c>
      <c r="E200" s="420" t="n">
        <v>0.070635294487893</v>
      </c>
      <c r="F200" s="420" t="n">
        <v>-0.16</v>
      </c>
      <c r="G200" s="420" t="n">
        <v>-0.0575</v>
      </c>
      <c r="H200" s="420" t="n">
        <v>-0.16</v>
      </c>
      <c r="I200" s="420" t="n">
        <v>0.275</v>
      </c>
      <c r="J200" s="420" t="n">
        <v>0.305</v>
      </c>
      <c r="K200" s="420" t="n">
        <v>0.4375</v>
      </c>
      <c r="L200" s="420" t="n">
        <v>-0.057</v>
      </c>
      <c r="M200" s="420" t="n">
        <v>0.0075</v>
      </c>
      <c r="N200" s="420" t="n">
        <v>0</v>
      </c>
      <c r="O200" s="420"/>
      <c r="P200" s="420" t="n">
        <v>0.016</v>
      </c>
      <c r="Q200" s="420" t="n">
        <v>0.0105</v>
      </c>
      <c r="R200" s="418" t="n">
        <v>-0.005999999</v>
      </c>
      <c r="S200" s="418" t="n">
        <v>0</v>
      </c>
      <c r="T200" s="418" t="n">
        <v>-0.005</v>
      </c>
      <c r="U200" s="418" t="n">
        <v>-0.0185</v>
      </c>
      <c r="V200" s="418" t="n">
        <v>-0.121</v>
      </c>
      <c r="W200" s="418" t="n">
        <v>0</v>
      </c>
      <c r="X200" s="418" t="n">
        <v>1.525</v>
      </c>
      <c r="Y200" s="418" t="n">
        <v>0.005</v>
      </c>
      <c r="Z200" s="418" t="n">
        <v>-0.19</v>
      </c>
      <c r="AA200" s="436" t="n">
        <v>-0.0125</v>
      </c>
      <c r="AB200" s="437" t="n">
        <v>0.12</v>
      </c>
      <c r="AC200" s="437" t="n">
        <v>0.975</v>
      </c>
      <c r="AD200" s="437" t="n">
        <v>0.37</v>
      </c>
      <c r="AE200" s="438" t="n">
        <v>0.15</v>
      </c>
      <c r="AF200" s="438" t="n">
        <v>0.15</v>
      </c>
      <c r="AG200" s="438" t="n">
        <v>0.165</v>
      </c>
      <c r="AH200" s="438" t="n">
        <v>0.15</v>
      </c>
      <c r="AI200" s="438" t="n">
        <v>0.153</v>
      </c>
      <c r="AJ200" s="438" t="n">
        <v>0.15</v>
      </c>
      <c r="AK200" s="438" t="n">
        <v>0.15</v>
      </c>
      <c r="AL200" s="438" t="n">
        <v>0.15</v>
      </c>
      <c r="AM200" s="438" t="n">
        <v>0.15</v>
      </c>
      <c r="AN200" s="438" t="n">
        <v>0.15</v>
      </c>
      <c r="AO200" s="438" t="n">
        <v>0.15</v>
      </c>
      <c r="AP200" s="439" t="n">
        <v>0.15</v>
      </c>
      <c r="AQ200" s="439" t="n">
        <v>0.15</v>
      </c>
      <c r="AR200" s="439" t="n">
        <v>0.15</v>
      </c>
      <c r="AS200" s="439" t="n">
        <v>0.15</v>
      </c>
      <c r="AT200" s="438" t="n">
        <v>0.15</v>
      </c>
      <c r="AU200" s="438" t="n">
        <v>0.15</v>
      </c>
      <c r="AV200" s="438" t="n">
        <v>0.165</v>
      </c>
      <c r="AW200" s="418" t="n">
        <v>0.070398463303986</v>
      </c>
      <c r="AX200" s="418"/>
      <c r="AY200" s="437" t="n">
        <f aca="false">AG200</f>
        <v>0.165</v>
      </c>
      <c r="AZ200" s="437" t="n">
        <f aca="false">AG200</f>
        <v>0.165</v>
      </c>
      <c r="BA200" s="441" t="n">
        <f aca="false">AG200</f>
        <v>0.165</v>
      </c>
      <c r="BB200" s="442" t="n">
        <f aca="false">B200</f>
        <v>0</v>
      </c>
      <c r="BC200" s="442" t="n">
        <v>0.343457698454497</v>
      </c>
      <c r="BD200" s="418" t="n">
        <v>0.343523144208085</v>
      </c>
      <c r="BF200" s="455" t="n">
        <v>42370</v>
      </c>
      <c r="BG200" s="66" t="n">
        <v>188</v>
      </c>
      <c r="HZ200" s="442" t="n">
        <f aca="false">B202</f>
        <v>0</v>
      </c>
      <c r="IA200" s="418" t="n">
        <v>190</v>
      </c>
    </row>
    <row r="201" customFormat="false" ht="12.75" hidden="false" customHeight="false" outlineLevel="0" collapsed="false">
      <c r="A201" s="470"/>
      <c r="B201" s="467"/>
      <c r="C201" s="420" t="n">
        <v>3.723</v>
      </c>
      <c r="D201" s="420" t="n">
        <v>0.15</v>
      </c>
      <c r="E201" s="420" t="n">
        <v>0.070636460503549</v>
      </c>
      <c r="F201" s="420" t="n">
        <v>-0.16</v>
      </c>
      <c r="G201" s="420" t="n">
        <v>-0.04</v>
      </c>
      <c r="H201" s="420" t="n">
        <v>-0.16</v>
      </c>
      <c r="I201" s="420" t="n">
        <v>0.25</v>
      </c>
      <c r="J201" s="420" t="n">
        <v>0.305</v>
      </c>
      <c r="K201" s="420" t="n">
        <v>0.435</v>
      </c>
      <c r="L201" s="420" t="n">
        <v>-0.057</v>
      </c>
      <c r="M201" s="420" t="n">
        <v>0.0075</v>
      </c>
      <c r="N201" s="420" t="n">
        <v>0</v>
      </c>
      <c r="O201" s="420"/>
      <c r="P201" s="420" t="n">
        <v>0.016</v>
      </c>
      <c r="Q201" s="420" t="n">
        <v>0.0105</v>
      </c>
      <c r="R201" s="436" t="n">
        <v>-0.005999999</v>
      </c>
      <c r="S201" s="418" t="n">
        <v>0</v>
      </c>
      <c r="T201" s="436" t="n">
        <v>-0.005</v>
      </c>
      <c r="U201" s="418" t="n">
        <v>-0.0185</v>
      </c>
      <c r="V201" s="418" t="n">
        <v>-0.1035</v>
      </c>
      <c r="W201" s="418" t="n">
        <v>0</v>
      </c>
      <c r="X201" s="418" t="n">
        <v>1.455</v>
      </c>
      <c r="Y201" s="418" t="n">
        <v>0.005</v>
      </c>
      <c r="Z201" s="418" t="n">
        <v>-0.19</v>
      </c>
      <c r="AA201" s="436" t="n">
        <v>-0.0125</v>
      </c>
      <c r="AB201" s="437" t="n">
        <v>0.12</v>
      </c>
      <c r="AC201" s="437" t="n">
        <v>0.975</v>
      </c>
      <c r="AD201" s="437" t="n">
        <v>0.345</v>
      </c>
      <c r="AE201" s="438" t="n">
        <v>0.15</v>
      </c>
      <c r="AF201" s="438" t="n">
        <v>0.15</v>
      </c>
      <c r="AG201" s="438" t="n">
        <v>0.165</v>
      </c>
      <c r="AH201" s="438" t="n">
        <v>0.15</v>
      </c>
      <c r="AI201" s="438" t="n">
        <v>0.153</v>
      </c>
      <c r="AJ201" s="438" t="n">
        <v>0.15</v>
      </c>
      <c r="AK201" s="438" t="n">
        <v>0.15</v>
      </c>
      <c r="AL201" s="438" t="n">
        <v>0.15</v>
      </c>
      <c r="AM201" s="438" t="n">
        <v>0.15</v>
      </c>
      <c r="AN201" s="438" t="n">
        <v>0.15</v>
      </c>
      <c r="AO201" s="438" t="n">
        <v>0.15</v>
      </c>
      <c r="AP201" s="439" t="n">
        <v>0.15</v>
      </c>
      <c r="AQ201" s="439" t="n">
        <v>0.15</v>
      </c>
      <c r="AR201" s="439" t="n">
        <v>0.15</v>
      </c>
      <c r="AS201" s="439" t="n">
        <v>0.15</v>
      </c>
      <c r="AT201" s="438" t="n">
        <v>0.15</v>
      </c>
      <c r="AU201" s="438" t="n">
        <v>0.15</v>
      </c>
      <c r="AV201" s="438" t="n">
        <v>0.165</v>
      </c>
      <c r="AW201" s="418" t="n">
        <v>0.070405416821378</v>
      </c>
      <c r="AX201" s="418"/>
      <c r="AY201" s="437" t="n">
        <f aca="false">AG201</f>
        <v>0.165</v>
      </c>
      <c r="AZ201" s="437" t="n">
        <f aca="false">AG201</f>
        <v>0.165</v>
      </c>
      <c r="BA201" s="441" t="n">
        <f aca="false">AG201</f>
        <v>0.165</v>
      </c>
      <c r="BB201" s="442" t="n">
        <f aca="false">B201</f>
        <v>0</v>
      </c>
      <c r="BC201" s="442" t="n">
        <v>0.341409753385085</v>
      </c>
      <c r="BD201" s="418" t="n">
        <v>0.341474813389766</v>
      </c>
      <c r="BF201" s="455" t="n">
        <v>42401</v>
      </c>
      <c r="BG201" s="66" t="n">
        <v>189</v>
      </c>
      <c r="HZ201" s="442" t="n">
        <f aca="false">B203</f>
        <v>0</v>
      </c>
      <c r="IA201" s="418" t="n">
        <v>191</v>
      </c>
    </row>
    <row r="202" customFormat="false" ht="12.75" hidden="false" customHeight="false" outlineLevel="0" collapsed="false">
      <c r="A202" s="470"/>
      <c r="B202" s="467"/>
      <c r="C202" s="420" t="n">
        <v>3.592</v>
      </c>
      <c r="D202" s="420" t="n">
        <v>0.15</v>
      </c>
      <c r="E202" s="420" t="n">
        <v>0.070637551292388</v>
      </c>
      <c r="F202" s="420" t="n">
        <v>-0.16</v>
      </c>
      <c r="G202" s="420" t="n">
        <v>-0.0275</v>
      </c>
      <c r="H202" s="420" t="n">
        <v>-0.16</v>
      </c>
      <c r="I202" s="420" t="n">
        <v>0.248</v>
      </c>
      <c r="J202" s="420" t="n">
        <v>0.265</v>
      </c>
      <c r="K202" s="420" t="n">
        <v>0.3025</v>
      </c>
      <c r="L202" s="420" t="n">
        <v>-0.057</v>
      </c>
      <c r="M202" s="435" t="n">
        <v>0.0075</v>
      </c>
      <c r="N202" s="420" t="n">
        <v>0</v>
      </c>
      <c r="O202" s="420"/>
      <c r="P202" s="420" t="n">
        <v>0.016</v>
      </c>
      <c r="Q202" s="420" t="n">
        <v>0</v>
      </c>
      <c r="R202" s="436" t="n">
        <v>-0.005999999</v>
      </c>
      <c r="S202" s="418" t="n">
        <v>0</v>
      </c>
      <c r="T202" s="436" t="n">
        <v>-0.005</v>
      </c>
      <c r="U202" s="418" t="n">
        <v>0</v>
      </c>
      <c r="V202" s="418" t="n">
        <v>-0.086</v>
      </c>
      <c r="W202" s="418" t="n">
        <v>0</v>
      </c>
      <c r="X202" s="418" t="n">
        <v>0.835</v>
      </c>
      <c r="Y202" s="418" t="n">
        <v>0.005</v>
      </c>
      <c r="Z202" s="418" t="n">
        <v>-0.19</v>
      </c>
      <c r="AA202" s="436" t="n">
        <v>-0.0125</v>
      </c>
      <c r="AB202" s="437" t="n">
        <v>0.12</v>
      </c>
      <c r="AC202" s="437" t="n">
        <v>0.6075</v>
      </c>
      <c r="AD202" s="437" t="n">
        <v>0.343</v>
      </c>
      <c r="AE202" s="438" t="n">
        <v>0.15</v>
      </c>
      <c r="AF202" s="438" t="n">
        <v>0.15</v>
      </c>
      <c r="AG202" s="438" t="n">
        <v>0.165</v>
      </c>
      <c r="AH202" s="438" t="n">
        <v>0.15</v>
      </c>
      <c r="AI202" s="438" t="n">
        <v>0.153</v>
      </c>
      <c r="AJ202" s="438" t="n">
        <v>0.15</v>
      </c>
      <c r="AK202" s="438" t="n">
        <v>0.15</v>
      </c>
      <c r="AL202" s="438" t="n">
        <v>0.15</v>
      </c>
      <c r="AM202" s="438" t="n">
        <v>0.15</v>
      </c>
      <c r="AN202" s="438" t="n">
        <v>0.15</v>
      </c>
      <c r="AO202" s="438" t="n">
        <v>0.15</v>
      </c>
      <c r="AP202" s="439" t="n">
        <v>0.15</v>
      </c>
      <c r="AQ202" s="439" t="n">
        <v>0.15</v>
      </c>
      <c r="AR202" s="439" t="n">
        <v>0.15</v>
      </c>
      <c r="AS202" s="439" t="n">
        <v>0.15</v>
      </c>
      <c r="AT202" s="438" t="n">
        <v>0.15</v>
      </c>
      <c r="AU202" s="438" t="n">
        <v>0.15</v>
      </c>
      <c r="AV202" s="438" t="n">
        <v>0.165</v>
      </c>
      <c r="AW202" s="418" t="n">
        <v>0.070411921724759</v>
      </c>
      <c r="AX202" s="418"/>
      <c r="AY202" s="437" t="n">
        <f aca="false">AG202</f>
        <v>0.165</v>
      </c>
      <c r="AZ202" s="437" t="n">
        <f aca="false">AG202</f>
        <v>0.165</v>
      </c>
      <c r="BA202" s="441" t="n">
        <f aca="false">AG202</f>
        <v>0.165</v>
      </c>
      <c r="BB202" s="442" t="n">
        <f aca="false">B202</f>
        <v>0</v>
      </c>
      <c r="BC202" s="442" t="n">
        <v>0.33950473992811</v>
      </c>
      <c r="BD202" s="418" t="n">
        <v>0.339569441081553</v>
      </c>
      <c r="BF202" s="455" t="n">
        <v>42430</v>
      </c>
      <c r="BG202" s="66" t="n">
        <v>190</v>
      </c>
      <c r="HZ202" s="442" t="n">
        <f aca="false">B204</f>
        <v>0</v>
      </c>
      <c r="IA202" s="418" t="n">
        <v>192</v>
      </c>
    </row>
    <row r="203" customFormat="false" ht="12.75" hidden="false" customHeight="false" outlineLevel="0" collapsed="false">
      <c r="A203" s="470"/>
      <c r="B203" s="467"/>
      <c r="C203" s="420" t="n">
        <v>3.453</v>
      </c>
      <c r="D203" s="420" t="n">
        <v>0.15</v>
      </c>
      <c r="E203" s="420" t="n">
        <v>0.070638717308044</v>
      </c>
      <c r="F203" s="420" t="n">
        <v>-0.16</v>
      </c>
      <c r="G203" s="420" t="n">
        <v>0.015</v>
      </c>
      <c r="H203" s="420" t="n">
        <v>-0.16</v>
      </c>
      <c r="I203" s="420" t="n">
        <v>0.153</v>
      </c>
      <c r="J203" s="420" t="n">
        <v>0.195</v>
      </c>
      <c r="K203" s="420" t="n">
        <v>0.25</v>
      </c>
      <c r="L203" s="420" t="n">
        <v>-0.05</v>
      </c>
      <c r="M203" s="435" t="n">
        <v>6.93889390390723E-018</v>
      </c>
      <c r="N203" s="420" t="n">
        <v>0</v>
      </c>
      <c r="O203" s="420"/>
      <c r="P203" s="420" t="n">
        <v>0.0065</v>
      </c>
      <c r="Q203" s="420" t="n">
        <v>0</v>
      </c>
      <c r="R203" s="436" t="n">
        <v>-0.005499999</v>
      </c>
      <c r="S203" s="418" t="n">
        <v>0</v>
      </c>
      <c r="T203" s="436" t="n">
        <v>-0.05</v>
      </c>
      <c r="U203" s="418" t="n">
        <v>0</v>
      </c>
      <c r="V203" s="418" t="n">
        <v>-0.0785</v>
      </c>
      <c r="W203" s="418" t="n">
        <v>0</v>
      </c>
      <c r="X203" s="418" t="n">
        <v>0.45</v>
      </c>
      <c r="Y203" s="418" t="n">
        <v>0.005</v>
      </c>
      <c r="Z203" s="418" t="n">
        <v>-0.19</v>
      </c>
      <c r="AA203" s="436" t="n">
        <v>-0.009999999</v>
      </c>
      <c r="AB203" s="437" t="n">
        <v>0.295</v>
      </c>
      <c r="AC203" s="437" t="n">
        <v>0.355</v>
      </c>
      <c r="AD203" s="437" t="n">
        <v>0.248</v>
      </c>
      <c r="AE203" s="438" t="n">
        <v>0.15</v>
      </c>
      <c r="AF203" s="438" t="n">
        <v>0.15</v>
      </c>
      <c r="AG203" s="438" t="n">
        <v>0.147</v>
      </c>
      <c r="AH203" s="438" t="n">
        <v>0.15</v>
      </c>
      <c r="AI203" s="438" t="n">
        <v>0.153</v>
      </c>
      <c r="AJ203" s="438" t="n">
        <v>0.15</v>
      </c>
      <c r="AK203" s="438" t="n">
        <v>0.147</v>
      </c>
      <c r="AL203" s="438" t="n">
        <v>0.147</v>
      </c>
      <c r="AM203" s="438" t="n">
        <v>0.15</v>
      </c>
      <c r="AN203" s="438" t="n">
        <v>0.15</v>
      </c>
      <c r="AO203" s="438" t="n">
        <v>0.15</v>
      </c>
      <c r="AP203" s="439" t="n">
        <v>0.15</v>
      </c>
      <c r="AQ203" s="439" t="n">
        <v>0.15</v>
      </c>
      <c r="AR203" s="439" t="n">
        <v>0.15</v>
      </c>
      <c r="AS203" s="439" t="n">
        <v>0.15</v>
      </c>
      <c r="AT203" s="438" t="n">
        <v>0.15</v>
      </c>
      <c r="AU203" s="438" t="n">
        <v>0.15</v>
      </c>
      <c r="AV203" s="438" t="n">
        <v>0.147</v>
      </c>
      <c r="AW203" s="418" t="n">
        <v>0.070418875242182</v>
      </c>
      <c r="AX203" s="418"/>
      <c r="AY203" s="437" t="n">
        <f aca="false">AG203</f>
        <v>0.147</v>
      </c>
      <c r="AZ203" s="437" t="n">
        <f aca="false">AG203</f>
        <v>0.147</v>
      </c>
      <c r="BA203" s="441" t="n">
        <f aca="false">AG203</f>
        <v>0.147</v>
      </c>
      <c r="BB203" s="442" t="n">
        <f aca="false">B203</f>
        <v>0</v>
      </c>
      <c r="BC203" s="442" t="n">
        <v>0.337479833329675</v>
      </c>
      <c r="BD203" s="418" t="n">
        <v>0.337544153021021</v>
      </c>
      <c r="BF203" s="455" t="n">
        <v>42461</v>
      </c>
      <c r="BG203" s="66" t="n">
        <v>191</v>
      </c>
      <c r="HZ203" s="442" t="n">
        <f aca="false">B205</f>
        <v>0</v>
      </c>
      <c r="IA203" s="418" t="n">
        <v>193</v>
      </c>
    </row>
    <row r="204" customFormat="false" ht="12.75" hidden="false" customHeight="false" outlineLevel="0" collapsed="false">
      <c r="A204" s="470"/>
      <c r="B204" s="467"/>
      <c r="C204" s="420" t="n">
        <v>3.454</v>
      </c>
      <c r="D204" s="420" t="n">
        <v>0.15</v>
      </c>
      <c r="E204" s="420" t="n">
        <v>0.070639845710293</v>
      </c>
      <c r="F204" s="420" t="n">
        <v>0</v>
      </c>
      <c r="G204" s="420" t="n">
        <v>0.015</v>
      </c>
      <c r="H204" s="420" t="n">
        <v>0</v>
      </c>
      <c r="I204" s="420" t="n">
        <v>0</v>
      </c>
      <c r="J204" s="420" t="n">
        <v>0.1825</v>
      </c>
      <c r="K204" s="420" t="n">
        <v>0.2025</v>
      </c>
      <c r="L204" s="420" t="n">
        <v>-0.05</v>
      </c>
      <c r="M204" s="435" t="n">
        <v>6.93889390390723E-018</v>
      </c>
      <c r="N204" s="420" t="n">
        <v>0</v>
      </c>
      <c r="O204" s="420"/>
      <c r="P204" s="420" t="n">
        <v>0.0065</v>
      </c>
      <c r="Q204" s="420" t="n">
        <v>0</v>
      </c>
      <c r="R204" s="436" t="n">
        <v>-0.005499999</v>
      </c>
      <c r="S204" s="418" t="n">
        <v>0</v>
      </c>
      <c r="T204" s="436" t="n">
        <v>0</v>
      </c>
      <c r="U204" s="436" t="n">
        <v>0.000249999999999993</v>
      </c>
      <c r="V204" s="418" t="n">
        <v>-0.0785</v>
      </c>
      <c r="W204" s="418" t="n">
        <v>0</v>
      </c>
      <c r="X204" s="418" t="n">
        <v>0.405</v>
      </c>
      <c r="Y204" s="418" t="n">
        <v>0.005</v>
      </c>
      <c r="Z204" s="418" t="n">
        <v>-0.19</v>
      </c>
      <c r="AA204" s="436" t="n">
        <v>-0.009999999</v>
      </c>
      <c r="AB204" s="437" t="n">
        <v>0.295</v>
      </c>
      <c r="AC204" s="437" t="n">
        <v>0.2875</v>
      </c>
      <c r="AD204" s="437" t="n">
        <v>0</v>
      </c>
      <c r="AE204" s="438" t="n">
        <v>0.15</v>
      </c>
      <c r="AF204" s="438" t="n">
        <v>0.15</v>
      </c>
      <c r="AG204" s="438" t="n">
        <v>0.147</v>
      </c>
      <c r="AH204" s="438" t="n">
        <v>0.15</v>
      </c>
      <c r="AI204" s="438" t="n">
        <v>0.153</v>
      </c>
      <c r="AJ204" s="438" t="n">
        <v>0.15</v>
      </c>
      <c r="AK204" s="438" t="n">
        <v>0.147</v>
      </c>
      <c r="AL204" s="438" t="n">
        <v>0.147</v>
      </c>
      <c r="AM204" s="438" t="n">
        <v>0.15</v>
      </c>
      <c r="AN204" s="438" t="n">
        <v>0.15</v>
      </c>
      <c r="AO204" s="438" t="n">
        <v>0.15</v>
      </c>
      <c r="AP204" s="439" t="n">
        <v>0.15</v>
      </c>
      <c r="AQ204" s="439" t="n">
        <v>0.15</v>
      </c>
      <c r="AR204" s="439" t="n">
        <v>0.15</v>
      </c>
      <c r="AS204" s="439" t="n">
        <v>0.15</v>
      </c>
      <c r="AT204" s="438" t="n">
        <v>0.15</v>
      </c>
      <c r="AU204" s="438" t="n">
        <v>0.15</v>
      </c>
      <c r="AV204" s="438" t="n">
        <v>0.147</v>
      </c>
      <c r="AW204" s="418" t="n">
        <v>0.070425604452606</v>
      </c>
      <c r="AX204" s="418"/>
      <c r="AY204" s="437" t="n">
        <f aca="false">AG204</f>
        <v>0.147</v>
      </c>
      <c r="AZ204" s="437" t="n">
        <f aca="false">AG204</f>
        <v>0.147</v>
      </c>
      <c r="BA204" s="441" t="n">
        <f aca="false">AG204</f>
        <v>0.147</v>
      </c>
      <c r="BB204" s="442" t="n">
        <f aca="false">B204</f>
        <v>0</v>
      </c>
      <c r="BC204" s="442" t="n">
        <v>0.335531485912718</v>
      </c>
      <c r="BD204" s="418" t="n">
        <v>0.335595438538797</v>
      </c>
      <c r="BF204" s="455" t="n">
        <v>42491</v>
      </c>
      <c r="BG204" s="66" t="n">
        <v>192</v>
      </c>
      <c r="HZ204" s="442" t="n">
        <f aca="false">B206</f>
        <v>0</v>
      </c>
      <c r="IA204" s="418" t="n">
        <v>194</v>
      </c>
    </row>
    <row r="205" customFormat="false" ht="12.75" hidden="false" customHeight="false" outlineLevel="0" collapsed="false">
      <c r="A205" s="470"/>
      <c r="B205" s="467"/>
      <c r="C205" s="420" t="n">
        <v>3.487</v>
      </c>
      <c r="D205" s="420" t="n">
        <v>0.15</v>
      </c>
      <c r="E205" s="420" t="n">
        <v>0.07064101172595</v>
      </c>
      <c r="F205" s="420" t="n">
        <v>0</v>
      </c>
      <c r="G205" s="420" t="n">
        <v>0.02</v>
      </c>
      <c r="H205" s="420" t="n">
        <v>0</v>
      </c>
      <c r="I205" s="420" t="n">
        <v>0</v>
      </c>
      <c r="J205" s="420" t="n">
        <v>0.1825</v>
      </c>
      <c r="K205" s="420" t="n">
        <v>0.2025</v>
      </c>
      <c r="L205" s="420" t="n">
        <v>-0.066</v>
      </c>
      <c r="M205" s="435" t="n">
        <v>6.93889390390723E-018</v>
      </c>
      <c r="N205" s="420" t="n">
        <v>0</v>
      </c>
      <c r="O205" s="420"/>
      <c r="P205" s="420" t="n">
        <v>0.0065</v>
      </c>
      <c r="Q205" s="420" t="n">
        <v>0</v>
      </c>
      <c r="R205" s="436" t="n">
        <v>-0.005499999</v>
      </c>
      <c r="S205" s="418" t="n">
        <v>0</v>
      </c>
      <c r="T205" s="436" t="n">
        <v>0</v>
      </c>
      <c r="U205" s="436" t="n">
        <v>0.000249999999999993</v>
      </c>
      <c r="V205" s="418" t="n">
        <v>-0.0685</v>
      </c>
      <c r="W205" s="418" t="n">
        <v>0</v>
      </c>
      <c r="X205" s="418" t="n">
        <v>0.395</v>
      </c>
      <c r="Y205" s="418" t="n">
        <v>0.005</v>
      </c>
      <c r="Z205" s="418" t="n">
        <v>-0.19</v>
      </c>
      <c r="AA205" s="436" t="n">
        <v>-0.009999999</v>
      </c>
      <c r="AB205" s="437" t="n">
        <v>0.295</v>
      </c>
      <c r="AC205" s="437" t="n">
        <v>0.2875</v>
      </c>
      <c r="AD205" s="437" t="n">
        <v>0</v>
      </c>
      <c r="AE205" s="438" t="n">
        <v>0.15</v>
      </c>
      <c r="AF205" s="438" t="n">
        <v>0.15</v>
      </c>
      <c r="AG205" s="438" t="n">
        <v>0.147</v>
      </c>
      <c r="AH205" s="438" t="n">
        <v>0.15</v>
      </c>
      <c r="AI205" s="438" t="n">
        <v>0.153</v>
      </c>
      <c r="AJ205" s="438" t="n">
        <v>0.15</v>
      </c>
      <c r="AK205" s="438" t="n">
        <v>0.147</v>
      </c>
      <c r="AL205" s="438" t="n">
        <v>0.147</v>
      </c>
      <c r="AM205" s="438" t="n">
        <v>0.15</v>
      </c>
      <c r="AN205" s="438" t="n">
        <v>0.15</v>
      </c>
      <c r="AO205" s="438" t="n">
        <v>0.15</v>
      </c>
      <c r="AP205" s="439" t="n">
        <v>0.15</v>
      </c>
      <c r="AQ205" s="439" t="n">
        <v>0.15</v>
      </c>
      <c r="AR205" s="439" t="n">
        <v>0.15</v>
      </c>
      <c r="AS205" s="439" t="n">
        <v>0.15</v>
      </c>
      <c r="AT205" s="438" t="n">
        <v>0.15</v>
      </c>
      <c r="AU205" s="438" t="n">
        <v>0.15</v>
      </c>
      <c r="AV205" s="438" t="n">
        <v>0.147</v>
      </c>
      <c r="AW205" s="418" t="n">
        <v>0.070432557970061</v>
      </c>
      <c r="AX205" s="418"/>
      <c r="AY205" s="437" t="n">
        <f aca="false">AG205</f>
        <v>0.147</v>
      </c>
      <c r="AZ205" s="437" t="n">
        <f aca="false">AG205</f>
        <v>0.147</v>
      </c>
      <c r="BA205" s="441" t="n">
        <f aca="false">AG205</f>
        <v>0.147</v>
      </c>
      <c r="BB205" s="442" t="n">
        <f aca="false">B205</f>
        <v>0</v>
      </c>
      <c r="BC205" s="442" t="n">
        <v>0.333529742495172</v>
      </c>
      <c r="BD205" s="418" t="n">
        <v>0.333593317969793</v>
      </c>
      <c r="BF205" s="455" t="n">
        <v>42522</v>
      </c>
      <c r="BG205" s="66" t="n">
        <v>193</v>
      </c>
      <c r="HZ205" s="442" t="n">
        <f aca="false">B207</f>
        <v>0</v>
      </c>
      <c r="IA205" s="418" t="n">
        <v>195</v>
      </c>
    </row>
    <row r="206" customFormat="false" ht="12.75" hidden="false" customHeight="false" outlineLevel="0" collapsed="false">
      <c r="A206" s="470"/>
      <c r="B206" s="467"/>
      <c r="C206" s="420" t="n">
        <v>3.509</v>
      </c>
      <c r="D206" s="420" t="n">
        <v>0.15</v>
      </c>
      <c r="E206" s="420" t="n">
        <v>0.070642140128199</v>
      </c>
      <c r="F206" s="420" t="n">
        <v>0</v>
      </c>
      <c r="G206" s="420" t="n">
        <v>0.0225</v>
      </c>
      <c r="H206" s="420" t="n">
        <v>0</v>
      </c>
      <c r="I206" s="420" t="n">
        <v>0</v>
      </c>
      <c r="J206" s="420" t="n">
        <v>0.1825</v>
      </c>
      <c r="K206" s="420" t="n">
        <v>0.215</v>
      </c>
      <c r="L206" s="420" t="n">
        <v>-0.059</v>
      </c>
      <c r="M206" s="435" t="n">
        <v>6.93889390390723E-018</v>
      </c>
      <c r="N206" s="420" t="n">
        <v>0</v>
      </c>
      <c r="O206" s="420"/>
      <c r="P206" s="420" t="n">
        <v>0.0065</v>
      </c>
      <c r="Q206" s="420" t="n">
        <v>0</v>
      </c>
      <c r="R206" s="436" t="n">
        <v>-0.005499999</v>
      </c>
      <c r="S206" s="418" t="n">
        <v>0</v>
      </c>
      <c r="T206" s="418" t="n">
        <v>0</v>
      </c>
      <c r="U206" s="436" t="n">
        <v>0.000249999999999993</v>
      </c>
      <c r="V206" s="418" t="n">
        <v>-0.0635</v>
      </c>
      <c r="W206" s="418" t="n">
        <v>0</v>
      </c>
      <c r="X206" s="418" t="n">
        <v>0.43</v>
      </c>
      <c r="Y206" s="418" t="n">
        <v>0.005</v>
      </c>
      <c r="Z206" s="418" t="n">
        <v>-0.19</v>
      </c>
      <c r="AA206" s="436" t="n">
        <v>-0.009999999</v>
      </c>
      <c r="AB206" s="437" t="n">
        <v>0.295</v>
      </c>
      <c r="AC206" s="437" t="n">
        <v>0.3</v>
      </c>
      <c r="AD206" s="437" t="n">
        <v>0</v>
      </c>
      <c r="AE206" s="438" t="n">
        <v>0.15</v>
      </c>
      <c r="AF206" s="438" t="n">
        <v>0.15</v>
      </c>
      <c r="AG206" s="438" t="n">
        <v>0.147</v>
      </c>
      <c r="AH206" s="438" t="n">
        <v>0.15</v>
      </c>
      <c r="AI206" s="438" t="n">
        <v>0.153</v>
      </c>
      <c r="AJ206" s="438" t="n">
        <v>0.15</v>
      </c>
      <c r="AK206" s="438" t="n">
        <v>0.147</v>
      </c>
      <c r="AL206" s="438" t="n">
        <v>0.147</v>
      </c>
      <c r="AM206" s="438" t="n">
        <v>0.15</v>
      </c>
      <c r="AN206" s="438" t="n">
        <v>0.15</v>
      </c>
      <c r="AO206" s="438" t="n">
        <v>0.15</v>
      </c>
      <c r="AP206" s="439" t="n">
        <v>0.15</v>
      </c>
      <c r="AQ206" s="439" t="n">
        <v>0.15</v>
      </c>
      <c r="AR206" s="439" t="n">
        <v>0.15</v>
      </c>
      <c r="AS206" s="439" t="n">
        <v>0.15</v>
      </c>
      <c r="AT206" s="438" t="n">
        <v>0.15</v>
      </c>
      <c r="AU206" s="438" t="n">
        <v>0.15</v>
      </c>
      <c r="AV206" s="438" t="n">
        <v>0.147</v>
      </c>
      <c r="AW206" s="418" t="n">
        <v>0.070439287180516</v>
      </c>
      <c r="AX206" s="418"/>
      <c r="AY206" s="437" t="n">
        <f aca="false">AG206</f>
        <v>0.147</v>
      </c>
      <c r="AZ206" s="437" t="n">
        <f aca="false">AG206</f>
        <v>0.147</v>
      </c>
      <c r="BA206" s="441" t="n">
        <f aca="false">AG206</f>
        <v>0.147</v>
      </c>
      <c r="BB206" s="442" t="n">
        <f aca="false">B206</f>
        <v>0</v>
      </c>
      <c r="BC206" s="442" t="n">
        <v>0.331603685595973</v>
      </c>
      <c r="BD206" s="418" t="n">
        <v>0.331666898153867</v>
      </c>
      <c r="BF206" s="455" t="n">
        <v>42552</v>
      </c>
      <c r="BG206" s="66" t="n">
        <v>194</v>
      </c>
      <c r="HZ206" s="442" t="n">
        <f aca="false">B208</f>
        <v>0</v>
      </c>
      <c r="IA206" s="418" t="n">
        <v>196</v>
      </c>
    </row>
    <row r="207" customFormat="false" ht="12.75" hidden="false" customHeight="false" outlineLevel="0" collapsed="false">
      <c r="A207" s="470"/>
      <c r="B207" s="467"/>
      <c r="C207" s="420" t="n">
        <v>3.53</v>
      </c>
      <c r="D207" s="420" t="n">
        <v>0.15</v>
      </c>
      <c r="E207" s="420" t="n">
        <v>0.070643306143857</v>
      </c>
      <c r="F207" s="420" t="n">
        <v>0</v>
      </c>
      <c r="G207" s="420" t="n">
        <v>0.025</v>
      </c>
      <c r="H207" s="420" t="n">
        <v>0</v>
      </c>
      <c r="I207" s="420" t="n">
        <v>0</v>
      </c>
      <c r="J207" s="420" t="n">
        <v>0.1825</v>
      </c>
      <c r="K207" s="420" t="n">
        <v>0.215</v>
      </c>
      <c r="L207" s="420" t="n">
        <v>-0.05</v>
      </c>
      <c r="M207" s="435" t="n">
        <v>6.93889390390723E-018</v>
      </c>
      <c r="N207" s="420" t="n">
        <v>0</v>
      </c>
      <c r="O207" s="420"/>
      <c r="P207" s="420" t="n">
        <v>0.0065</v>
      </c>
      <c r="Q207" s="420" t="n">
        <v>0</v>
      </c>
      <c r="R207" s="436" t="n">
        <v>-0.005499999</v>
      </c>
      <c r="S207" s="418" t="n">
        <v>0</v>
      </c>
      <c r="T207" s="418" t="n">
        <v>0</v>
      </c>
      <c r="U207" s="436" t="n">
        <v>0.000249999999999993</v>
      </c>
      <c r="V207" s="418" t="n">
        <v>-0.0635</v>
      </c>
      <c r="W207" s="418" t="n">
        <v>0</v>
      </c>
      <c r="X207" s="418" t="n">
        <v>0.495</v>
      </c>
      <c r="Y207" s="418" t="n">
        <v>0.005</v>
      </c>
      <c r="Z207" s="418" t="n">
        <v>-0.19</v>
      </c>
      <c r="AA207" s="436" t="n">
        <v>-0.009999999</v>
      </c>
      <c r="AB207" s="437" t="n">
        <v>0.295</v>
      </c>
      <c r="AC207" s="437" t="n">
        <v>0.3</v>
      </c>
      <c r="AD207" s="437" t="n">
        <v>0</v>
      </c>
      <c r="AE207" s="438" t="n">
        <v>0.15</v>
      </c>
      <c r="AF207" s="438" t="n">
        <v>0.15</v>
      </c>
      <c r="AG207" s="438" t="n">
        <v>0.147</v>
      </c>
      <c r="AH207" s="438" t="n">
        <v>0.15</v>
      </c>
      <c r="AI207" s="438" t="n">
        <v>0.153</v>
      </c>
      <c r="AJ207" s="438" t="n">
        <v>0.15</v>
      </c>
      <c r="AK207" s="438" t="n">
        <v>0.147</v>
      </c>
      <c r="AL207" s="438" t="n">
        <v>0.147</v>
      </c>
      <c r="AM207" s="438" t="n">
        <v>0.15</v>
      </c>
      <c r="AN207" s="438" t="n">
        <v>0.15</v>
      </c>
      <c r="AO207" s="438" t="n">
        <v>0.15</v>
      </c>
      <c r="AP207" s="439" t="n">
        <v>0.15</v>
      </c>
      <c r="AQ207" s="439" t="n">
        <v>0.15</v>
      </c>
      <c r="AR207" s="439" t="n">
        <v>0.15</v>
      </c>
      <c r="AS207" s="439" t="n">
        <v>0.15</v>
      </c>
      <c r="AT207" s="438" t="n">
        <v>0.15</v>
      </c>
      <c r="AU207" s="438" t="n">
        <v>0.15</v>
      </c>
      <c r="AV207" s="438" t="n">
        <v>0.147</v>
      </c>
      <c r="AW207" s="418" t="n">
        <v>0.070446240698002</v>
      </c>
      <c r="AX207" s="418"/>
      <c r="AY207" s="437" t="n">
        <f aca="false">AG207</f>
        <v>0.147</v>
      </c>
      <c r="AZ207" s="437" t="n">
        <f aca="false">AG207</f>
        <v>0.147</v>
      </c>
      <c r="BA207" s="441" t="n">
        <f aca="false">AG207</f>
        <v>0.147</v>
      </c>
      <c r="BB207" s="442" t="n">
        <f aca="false">B207</f>
        <v>0</v>
      </c>
      <c r="BC207" s="442" t="n">
        <v>0.329624846778075</v>
      </c>
      <c r="BD207" s="418" t="n">
        <v>0.329687686447649</v>
      </c>
      <c r="BF207" s="455" t="n">
        <v>42583</v>
      </c>
      <c r="BG207" s="66" t="n">
        <v>195</v>
      </c>
      <c r="HZ207" s="442" t="n">
        <f aca="false">B209</f>
        <v>0</v>
      </c>
      <c r="IA207" s="418" t="n">
        <v>197</v>
      </c>
    </row>
    <row r="208" customFormat="false" ht="12.75" hidden="false" customHeight="false" outlineLevel="0" collapsed="false">
      <c r="A208" s="470"/>
      <c r="B208" s="467"/>
      <c r="C208" s="420" t="n">
        <v>3.5</v>
      </c>
      <c r="D208" s="420" t="n">
        <v>0.15</v>
      </c>
      <c r="E208" s="420" t="n">
        <v>0.070644472159516</v>
      </c>
      <c r="F208" s="420" t="n">
        <v>0</v>
      </c>
      <c r="G208" s="420" t="n">
        <v>0.0175</v>
      </c>
      <c r="H208" s="420" t="n">
        <v>0</v>
      </c>
      <c r="I208" s="420" t="n">
        <v>0</v>
      </c>
      <c r="J208" s="420" t="n">
        <v>0.1825</v>
      </c>
      <c r="K208" s="420" t="n">
        <v>0.195</v>
      </c>
      <c r="L208" s="420" t="n">
        <v>-0.03</v>
      </c>
      <c r="M208" s="435" t="n">
        <v>6.93889390390723E-018</v>
      </c>
      <c r="N208" s="420" t="n">
        <v>0</v>
      </c>
      <c r="O208" s="420"/>
      <c r="P208" s="420" t="n">
        <v>0.0065</v>
      </c>
      <c r="Q208" s="420" t="n">
        <v>0</v>
      </c>
      <c r="R208" s="436" t="n">
        <v>-0.005499999</v>
      </c>
      <c r="S208" s="418" t="n">
        <v>0</v>
      </c>
      <c r="T208" s="418" t="n">
        <v>0</v>
      </c>
      <c r="U208" s="436" t="n">
        <v>0.000249999999999993</v>
      </c>
      <c r="V208" s="418" t="n">
        <v>-0.0785</v>
      </c>
      <c r="W208" s="418" t="n">
        <v>0</v>
      </c>
      <c r="X208" s="418" t="n">
        <v>0.395</v>
      </c>
      <c r="Y208" s="418" t="n">
        <v>0.005</v>
      </c>
      <c r="Z208" s="418" t="n">
        <v>-0.19</v>
      </c>
      <c r="AA208" s="418" t="n">
        <v>-0.009999999</v>
      </c>
      <c r="AB208" s="437" t="n">
        <v>0.295</v>
      </c>
      <c r="AC208" s="437" t="n">
        <v>0.29</v>
      </c>
      <c r="AD208" s="437" t="n">
        <v>0</v>
      </c>
      <c r="AE208" s="438" t="n">
        <v>0.15</v>
      </c>
      <c r="AF208" s="438" t="n">
        <v>0.15</v>
      </c>
      <c r="AG208" s="438" t="n">
        <v>0.147</v>
      </c>
      <c r="AH208" s="438" t="n">
        <v>0.15</v>
      </c>
      <c r="AI208" s="438" t="n">
        <v>0.153</v>
      </c>
      <c r="AJ208" s="438" t="n">
        <v>0.15</v>
      </c>
      <c r="AK208" s="438" t="n">
        <v>0.147</v>
      </c>
      <c r="AL208" s="438" t="n">
        <v>0.147</v>
      </c>
      <c r="AM208" s="438" t="n">
        <v>0.15</v>
      </c>
      <c r="AN208" s="438" t="n">
        <v>0.15</v>
      </c>
      <c r="AO208" s="438" t="n">
        <v>0.15</v>
      </c>
      <c r="AP208" s="439" t="n">
        <v>0.15</v>
      </c>
      <c r="AQ208" s="439" t="n">
        <v>0.15</v>
      </c>
      <c r="AR208" s="439" t="n">
        <v>0.15</v>
      </c>
      <c r="AS208" s="439" t="n">
        <v>0.15</v>
      </c>
      <c r="AT208" s="438" t="n">
        <v>0.15</v>
      </c>
      <c r="AU208" s="438" t="n">
        <v>0.15</v>
      </c>
      <c r="AV208" s="438" t="n">
        <v>0.147</v>
      </c>
      <c r="AW208" s="418" t="n">
        <v>0.070453194215504</v>
      </c>
      <c r="AX208" s="418"/>
      <c r="AY208" s="437" t="n">
        <f aca="false">AG208</f>
        <v>0.147</v>
      </c>
      <c r="AZ208" s="437" t="n">
        <f aca="false">AG208</f>
        <v>0.147</v>
      </c>
      <c r="BA208" s="441" t="n">
        <f aca="false">AG208</f>
        <v>0.147</v>
      </c>
      <c r="BB208" s="442" t="n">
        <f aca="false">B208</f>
        <v>0</v>
      </c>
      <c r="BC208" s="442" t="n">
        <v>0.327657549808505</v>
      </c>
      <c r="BD208" s="418" t="n">
        <v>0.327720018738233</v>
      </c>
      <c r="BF208" s="455" t="n">
        <v>42614</v>
      </c>
      <c r="BG208" s="66" t="n">
        <v>196</v>
      </c>
      <c r="HZ208" s="442" t="n">
        <f aca="false">B210</f>
        <v>0</v>
      </c>
      <c r="IA208" s="418" t="n">
        <v>198</v>
      </c>
    </row>
    <row r="209" customFormat="false" ht="12.75" hidden="false" customHeight="false" outlineLevel="0" collapsed="false">
      <c r="A209" s="470"/>
      <c r="B209" s="467"/>
      <c r="C209" s="420" t="n">
        <v>3.502</v>
      </c>
      <c r="D209" s="420" t="n">
        <v>0.15</v>
      </c>
      <c r="E209" s="435" t="n">
        <v>0.070645600561767</v>
      </c>
      <c r="F209" s="420" t="n">
        <v>0</v>
      </c>
      <c r="G209" s="420" t="n">
        <v>0.0075</v>
      </c>
      <c r="H209" s="420" t="n">
        <v>0</v>
      </c>
      <c r="I209" s="420" t="n">
        <v>0</v>
      </c>
      <c r="J209" s="420" t="n">
        <v>0.1875</v>
      </c>
      <c r="K209" s="420" t="n">
        <v>0.215</v>
      </c>
      <c r="L209" s="420" t="n">
        <v>-0.04</v>
      </c>
      <c r="M209" s="435" t="n">
        <v>6.93889390390723E-018</v>
      </c>
      <c r="N209" s="420" t="n">
        <v>0</v>
      </c>
      <c r="O209" s="420"/>
      <c r="P209" s="420" t="n">
        <v>0.0065</v>
      </c>
      <c r="Q209" s="420" t="n">
        <v>0</v>
      </c>
      <c r="R209" s="436" t="n">
        <v>-0.005499999</v>
      </c>
      <c r="S209" s="418" t="n">
        <v>0</v>
      </c>
      <c r="T209" s="418" t="n">
        <v>0</v>
      </c>
      <c r="U209" s="418" t="n">
        <v>-0.0185</v>
      </c>
      <c r="V209" s="418" t="n">
        <v>-0.081</v>
      </c>
      <c r="W209" s="418" t="n">
        <v>0</v>
      </c>
      <c r="X209" s="418" t="n">
        <v>0.461</v>
      </c>
      <c r="Y209" s="418" t="n">
        <v>0.005</v>
      </c>
      <c r="Z209" s="418" t="n">
        <v>-0.19</v>
      </c>
      <c r="AA209" s="418" t="n">
        <v>-0.009999999</v>
      </c>
      <c r="AB209" s="437" t="n">
        <v>0.295</v>
      </c>
      <c r="AC209" s="437" t="n">
        <v>0.3625</v>
      </c>
      <c r="AD209" s="437" t="n">
        <v>0</v>
      </c>
      <c r="AE209" s="438" t="n">
        <v>0.15</v>
      </c>
      <c r="AF209" s="438" t="n">
        <v>0.15</v>
      </c>
      <c r="AG209" s="438" t="n">
        <v>0.147</v>
      </c>
      <c r="AH209" s="438" t="n">
        <v>0.15</v>
      </c>
      <c r="AI209" s="438" t="n">
        <v>0.153</v>
      </c>
      <c r="AJ209" s="438" t="n">
        <v>0.15</v>
      </c>
      <c r="AK209" s="438" t="n">
        <v>0.147</v>
      </c>
      <c r="AL209" s="438" t="n">
        <v>0.147</v>
      </c>
      <c r="AM209" s="438" t="n">
        <v>0.15</v>
      </c>
      <c r="AN209" s="438" t="n">
        <v>0.15</v>
      </c>
      <c r="AO209" s="438" t="n">
        <v>0.15</v>
      </c>
      <c r="AP209" s="439" t="n">
        <v>0.15</v>
      </c>
      <c r="AQ209" s="439" t="n">
        <v>0.15</v>
      </c>
      <c r="AR209" s="439" t="n">
        <v>0.15</v>
      </c>
      <c r="AS209" s="439" t="n">
        <v>0.15</v>
      </c>
      <c r="AT209" s="438" t="n">
        <v>0.15</v>
      </c>
      <c r="AU209" s="438" t="n">
        <v>0.15</v>
      </c>
      <c r="AV209" s="438" t="n">
        <v>0.147</v>
      </c>
      <c r="AW209" s="436" t="n">
        <v>0.070459923426004</v>
      </c>
      <c r="AX209" s="418"/>
      <c r="AY209" s="437" t="n">
        <f aca="false">AG209</f>
        <v>0.147</v>
      </c>
      <c r="AZ209" s="437" t="n">
        <f aca="false">AG209</f>
        <v>0.147</v>
      </c>
      <c r="BA209" s="441" t="n">
        <f aca="false">AG209</f>
        <v>0.147</v>
      </c>
      <c r="BB209" s="442" t="n">
        <f aca="false">B209</f>
        <v>0</v>
      </c>
      <c r="BC209" s="442" t="n">
        <v>0.325764641533036</v>
      </c>
      <c r="BD209" s="418" t="n">
        <v>0.325826753716531</v>
      </c>
      <c r="BF209" s="455" t="n">
        <v>42644</v>
      </c>
      <c r="BG209" s="66" t="n">
        <v>197</v>
      </c>
      <c r="HZ209" s="442" t="n">
        <f aca="false">B211</f>
        <v>0</v>
      </c>
      <c r="IA209" s="418" t="n">
        <v>199</v>
      </c>
    </row>
    <row r="210" customFormat="false" ht="12.75" hidden="false" customHeight="false" outlineLevel="0" collapsed="false">
      <c r="A210" s="470"/>
      <c r="B210" s="467"/>
      <c r="C210" s="420" t="n">
        <v>3.529</v>
      </c>
      <c r="D210" s="420" t="n">
        <v>0.15</v>
      </c>
      <c r="E210" s="420" t="n">
        <v>0.070646766577426</v>
      </c>
      <c r="F210" s="420" t="n">
        <v>0</v>
      </c>
      <c r="G210" s="420" t="n">
        <v>-0.0325</v>
      </c>
      <c r="H210" s="420" t="n">
        <v>0</v>
      </c>
      <c r="I210" s="420" t="n">
        <v>0</v>
      </c>
      <c r="J210" s="420" t="n">
        <v>0.27</v>
      </c>
      <c r="K210" s="420" t="n">
        <v>0.2875</v>
      </c>
      <c r="L210" s="420" t="n">
        <v>-0.055</v>
      </c>
      <c r="M210" s="435" t="n">
        <v>0.0075</v>
      </c>
      <c r="N210" s="420" t="n">
        <v>0</v>
      </c>
      <c r="O210" s="420"/>
      <c r="P210" s="420" t="n">
        <v>0.016</v>
      </c>
      <c r="Q210" s="420" t="n">
        <v>0</v>
      </c>
      <c r="R210" s="436" t="n">
        <v>-0.008499999</v>
      </c>
      <c r="S210" s="418" t="n">
        <v>0</v>
      </c>
      <c r="T210" s="418" t="n">
        <v>0</v>
      </c>
      <c r="U210" s="418" t="n">
        <v>-0.0175</v>
      </c>
      <c r="V210" s="418" t="n">
        <v>-0.0785</v>
      </c>
      <c r="W210" s="418" t="n">
        <v>0</v>
      </c>
      <c r="X210" s="418" t="n">
        <v>0.7675</v>
      </c>
      <c r="Y210" s="418" t="n">
        <v>0.005</v>
      </c>
      <c r="Z210" s="418" t="n">
        <v>-0.19</v>
      </c>
      <c r="AA210" s="418" t="n">
        <v>-0.0115</v>
      </c>
      <c r="AB210" s="437" t="n">
        <v>0.12</v>
      </c>
      <c r="AC210" s="437" t="n">
        <v>0.465</v>
      </c>
      <c r="AD210" s="437" t="n">
        <v>0</v>
      </c>
      <c r="AE210" s="438" t="n">
        <v>0.15</v>
      </c>
      <c r="AF210" s="438" t="n">
        <v>0.15</v>
      </c>
      <c r="AG210" s="438" t="n">
        <v>0.165</v>
      </c>
      <c r="AH210" s="438" t="n">
        <v>0.15</v>
      </c>
      <c r="AI210" s="438" t="n">
        <v>0.153</v>
      </c>
      <c r="AJ210" s="438" t="n">
        <v>0.15</v>
      </c>
      <c r="AK210" s="438" t="n">
        <v>0.15</v>
      </c>
      <c r="AL210" s="438" t="n">
        <v>0.15</v>
      </c>
      <c r="AM210" s="438" t="n">
        <v>0.15</v>
      </c>
      <c r="AN210" s="438" t="n">
        <v>0.15</v>
      </c>
      <c r="AO210" s="438" t="n">
        <v>0.15</v>
      </c>
      <c r="AP210" s="439" t="n">
        <v>0.15</v>
      </c>
      <c r="AQ210" s="439" t="n">
        <v>0.15</v>
      </c>
      <c r="AR210" s="439" t="n">
        <v>0.15</v>
      </c>
      <c r="AS210" s="439" t="n">
        <v>0.15</v>
      </c>
      <c r="AT210" s="438" t="n">
        <v>0.15</v>
      </c>
      <c r="AU210" s="438" t="n">
        <v>0.15</v>
      </c>
      <c r="AV210" s="438" t="n">
        <v>0.165</v>
      </c>
      <c r="AW210" s="418" t="n">
        <v>0.070466876943538</v>
      </c>
      <c r="AX210" s="418"/>
      <c r="AY210" s="437" t="n">
        <f aca="false">AG210</f>
        <v>0.165</v>
      </c>
      <c r="AZ210" s="437" t="n">
        <f aca="false">AG210</f>
        <v>0.165</v>
      </c>
      <c r="BA210" s="441" t="n">
        <f aca="false">AG210</f>
        <v>0.165</v>
      </c>
      <c r="BB210" s="442" t="n">
        <f aca="false">B210</f>
        <v>0</v>
      </c>
      <c r="BC210" s="442" t="n">
        <v>0.32381986448029</v>
      </c>
      <c r="BD210" s="418" t="n">
        <v>0.323881610116399</v>
      </c>
      <c r="BF210" s="455" t="n">
        <v>42675</v>
      </c>
      <c r="BG210" s="66" t="n">
        <v>198</v>
      </c>
      <c r="HZ210" s="442" t="n">
        <f aca="false">B212</f>
        <v>0</v>
      </c>
      <c r="IA210" s="418" t="n">
        <v>200</v>
      </c>
    </row>
    <row r="211" customFormat="false" ht="12.75" hidden="false" customHeight="false" outlineLevel="0" collapsed="false">
      <c r="A211" s="470"/>
      <c r="B211" s="467"/>
      <c r="C211" s="420" t="n">
        <v>3.576</v>
      </c>
      <c r="D211" s="420" t="n">
        <v>0.15</v>
      </c>
      <c r="E211" s="420" t="n">
        <v>0.070647894979678</v>
      </c>
      <c r="F211" s="420" t="n">
        <v>0</v>
      </c>
      <c r="G211" s="420" t="n">
        <v>-0.055</v>
      </c>
      <c r="H211" s="420" t="n">
        <v>0</v>
      </c>
      <c r="I211" s="420" t="n">
        <v>0</v>
      </c>
      <c r="J211" s="420" t="n">
        <v>0.305</v>
      </c>
      <c r="K211" s="420" t="n">
        <v>0.3375</v>
      </c>
      <c r="L211" s="420" t="n">
        <v>-0.055</v>
      </c>
      <c r="M211" s="435" t="n">
        <v>0.0075</v>
      </c>
      <c r="N211" s="420" t="n">
        <v>0</v>
      </c>
      <c r="O211" s="420"/>
      <c r="P211" s="420" t="n">
        <v>0.016</v>
      </c>
      <c r="Q211" s="420" t="n">
        <v>0</v>
      </c>
      <c r="R211" s="436" t="n">
        <v>-0.008499999</v>
      </c>
      <c r="S211" s="418" t="n">
        <v>0</v>
      </c>
      <c r="T211" s="418" t="n">
        <v>0</v>
      </c>
      <c r="U211" s="418" t="n">
        <v>-0.0175</v>
      </c>
      <c r="V211" s="418" t="n">
        <v>-0.1135</v>
      </c>
      <c r="W211" s="418" t="n">
        <v>0</v>
      </c>
      <c r="X211" s="418" t="n">
        <v>1.19</v>
      </c>
      <c r="Y211" s="418" t="n">
        <v>0.005</v>
      </c>
      <c r="Z211" s="418" t="n">
        <v>-0.19</v>
      </c>
      <c r="AA211" s="436" t="n">
        <v>-0.0115</v>
      </c>
      <c r="AB211" s="437" t="n">
        <v>0.12</v>
      </c>
      <c r="AC211" s="437" t="n">
        <v>0.8</v>
      </c>
      <c r="AD211" s="437" t="n">
        <v>0</v>
      </c>
      <c r="AE211" s="438" t="n">
        <v>0.15</v>
      </c>
      <c r="AF211" s="438" t="n">
        <v>0.15</v>
      </c>
      <c r="AG211" s="438" t="n">
        <v>0.165</v>
      </c>
      <c r="AH211" s="438" t="n">
        <v>0.15</v>
      </c>
      <c r="AI211" s="438" t="n">
        <v>0.153</v>
      </c>
      <c r="AJ211" s="438" t="n">
        <v>0.15</v>
      </c>
      <c r="AK211" s="438" t="n">
        <v>0.15</v>
      </c>
      <c r="AL211" s="438" t="n">
        <v>0.15</v>
      </c>
      <c r="AM211" s="438" t="n">
        <v>0.15</v>
      </c>
      <c r="AN211" s="438" t="n">
        <v>0.15</v>
      </c>
      <c r="AO211" s="438" t="n">
        <v>0.15</v>
      </c>
      <c r="AP211" s="439" t="n">
        <v>0.15</v>
      </c>
      <c r="AQ211" s="439" t="n">
        <v>0.15</v>
      </c>
      <c r="AR211" s="439" t="n">
        <v>0.15</v>
      </c>
      <c r="AS211" s="439" t="n">
        <v>0.15</v>
      </c>
      <c r="AT211" s="438" t="n">
        <v>0.15</v>
      </c>
      <c r="AU211" s="438" t="n">
        <v>0.15</v>
      </c>
      <c r="AV211" s="438" t="n">
        <v>0.165</v>
      </c>
      <c r="AW211" s="418" t="n">
        <v>0.070473606154069</v>
      </c>
      <c r="AX211" s="418"/>
      <c r="AY211" s="437" t="n">
        <f aca="false">AG211</f>
        <v>0.165</v>
      </c>
      <c r="AZ211" s="437" t="n">
        <f aca="false">AG211</f>
        <v>0.165</v>
      </c>
      <c r="BA211" s="441" t="n">
        <f aca="false">AG211</f>
        <v>0.165</v>
      </c>
      <c r="BB211" s="442" t="n">
        <f aca="false">B211</f>
        <v>0</v>
      </c>
      <c r="BC211" s="442" t="n">
        <v>0.321948627603225</v>
      </c>
      <c r="BD211" s="418" t="n">
        <v>0.32201002052789</v>
      </c>
      <c r="BF211" s="455" t="n">
        <v>42705</v>
      </c>
      <c r="BG211" s="66" t="n">
        <v>199</v>
      </c>
      <c r="HZ211" s="442" t="n">
        <f aca="false">B213</f>
        <v>0</v>
      </c>
      <c r="IA211" s="418" t="n">
        <v>201</v>
      </c>
    </row>
    <row r="212" customFormat="false" ht="12.75" hidden="false" customHeight="false" outlineLevel="0" collapsed="false">
      <c r="A212" s="470"/>
      <c r="B212" s="467"/>
      <c r="C212" s="420" t="n">
        <v>3.8975</v>
      </c>
      <c r="D212" s="420" t="n">
        <v>0.15</v>
      </c>
      <c r="E212" s="420" t="n">
        <v>0.070649060995338</v>
      </c>
      <c r="F212" s="420" t="n">
        <v>0</v>
      </c>
      <c r="G212" s="420" t="n">
        <v>-0.0575</v>
      </c>
      <c r="H212" s="420" t="n">
        <v>0</v>
      </c>
      <c r="I212" s="420" t="n">
        <v>0</v>
      </c>
      <c r="J212" s="420" t="n">
        <v>0.305</v>
      </c>
      <c r="K212" s="420" t="n">
        <v>0.4375</v>
      </c>
      <c r="L212" s="420" t="n">
        <v>-0.055</v>
      </c>
      <c r="M212" s="435" t="n">
        <v>0.0095</v>
      </c>
      <c r="N212" s="420" t="n">
        <v>0</v>
      </c>
      <c r="O212" s="420"/>
      <c r="P212" s="420" t="n">
        <v>0.016</v>
      </c>
      <c r="Q212" s="420" t="n">
        <v>0</v>
      </c>
      <c r="R212" s="436" t="n">
        <v>-0.003999999</v>
      </c>
      <c r="S212" s="418" t="n">
        <v>0</v>
      </c>
      <c r="T212" s="418" t="n">
        <v>0</v>
      </c>
      <c r="U212" s="418" t="n">
        <v>-0.0175</v>
      </c>
      <c r="V212" s="418" t="n">
        <v>-0.119</v>
      </c>
      <c r="W212" s="418" t="n">
        <v>0</v>
      </c>
      <c r="X212" s="418" t="n">
        <v>1.525</v>
      </c>
      <c r="Y212" s="418" t="n">
        <v>0.005</v>
      </c>
      <c r="Z212" s="418" t="n">
        <v>-0.19</v>
      </c>
      <c r="AA212" s="436" t="n">
        <v>-0.0115</v>
      </c>
      <c r="AB212" s="437" t="n">
        <v>0.12</v>
      </c>
      <c r="AC212" s="437" t="n">
        <v>0.975</v>
      </c>
      <c r="AD212" s="437" t="n">
        <v>0</v>
      </c>
      <c r="AE212" s="438" t="n">
        <v>0.15</v>
      </c>
      <c r="AF212" s="438" t="n">
        <v>0.15</v>
      </c>
      <c r="AG212" s="438" t="n">
        <v>0.165</v>
      </c>
      <c r="AH212" s="438" t="n">
        <v>0.15</v>
      </c>
      <c r="AI212" s="438" t="n">
        <v>0.153</v>
      </c>
      <c r="AJ212" s="438" t="n">
        <v>0.15</v>
      </c>
      <c r="AK212" s="438" t="n">
        <v>0.15</v>
      </c>
      <c r="AL212" s="438" t="n">
        <v>0.15</v>
      </c>
      <c r="AM212" s="438" t="n">
        <v>0.15</v>
      </c>
      <c r="AN212" s="438" t="n">
        <v>0.15</v>
      </c>
      <c r="AO212" s="438" t="n">
        <v>0.15</v>
      </c>
      <c r="AP212" s="439" t="n">
        <v>0.15</v>
      </c>
      <c r="AQ212" s="439" t="n">
        <v>0.15</v>
      </c>
      <c r="AR212" s="439" t="n">
        <v>0.15</v>
      </c>
      <c r="AS212" s="439" t="n">
        <v>0.15</v>
      </c>
      <c r="AT212" s="438" t="n">
        <v>0.15</v>
      </c>
      <c r="AU212" s="438" t="n">
        <v>0.15</v>
      </c>
      <c r="AV212" s="438" t="n">
        <v>0.165</v>
      </c>
      <c r="AW212" s="418" t="n">
        <v>0.070480559671634</v>
      </c>
      <c r="AX212" s="418"/>
      <c r="AY212" s="437" t="n">
        <f aca="false">AG212</f>
        <v>0.165</v>
      </c>
      <c r="AZ212" s="437" t="n">
        <f aca="false">AG212</f>
        <v>0.165</v>
      </c>
      <c r="BA212" s="441" t="n">
        <f aca="false">AG212</f>
        <v>0.165</v>
      </c>
      <c r="BB212" s="442" t="n">
        <f aca="false">B212</f>
        <v>0</v>
      </c>
      <c r="BC212" s="442" t="n">
        <v>0.320026118882196</v>
      </c>
      <c r="BD212" s="418" t="n">
        <v>0.320087149405705</v>
      </c>
      <c r="BF212" s="455" t="n">
        <v>42736</v>
      </c>
      <c r="BG212" s="66" t="n">
        <v>200</v>
      </c>
      <c r="HZ212" s="442" t="n">
        <f aca="false">B214</f>
        <v>0</v>
      </c>
      <c r="IA212" s="418" t="n">
        <v>202</v>
      </c>
    </row>
    <row r="213" customFormat="false" ht="12.75" hidden="false" customHeight="false" outlineLevel="0" collapsed="false">
      <c r="A213" s="470"/>
      <c r="B213" s="467"/>
      <c r="C213" s="420" t="n">
        <v>3.8115</v>
      </c>
      <c r="D213" s="420" t="n">
        <v>0.15</v>
      </c>
      <c r="E213" s="420" t="n">
        <v>0.070650227011</v>
      </c>
      <c r="F213" s="420" t="n">
        <v>0</v>
      </c>
      <c r="G213" s="420" t="n">
        <v>-0.04</v>
      </c>
      <c r="H213" s="420" t="n">
        <v>0</v>
      </c>
      <c r="I213" s="420" t="n">
        <v>0</v>
      </c>
      <c r="J213" s="420" t="n">
        <v>0.305</v>
      </c>
      <c r="K213" s="420" t="n">
        <v>0.435</v>
      </c>
      <c r="L213" s="420" t="n">
        <v>-0.055</v>
      </c>
      <c r="M213" s="435" t="n">
        <v>0.0095</v>
      </c>
      <c r="N213" s="420" t="n">
        <v>0</v>
      </c>
      <c r="O213" s="420"/>
      <c r="P213" s="420" t="n">
        <v>0.016</v>
      </c>
      <c r="Q213" s="420" t="n">
        <v>0</v>
      </c>
      <c r="R213" s="436" t="n">
        <v>-0.003999999</v>
      </c>
      <c r="S213" s="418" t="n">
        <v>0</v>
      </c>
      <c r="T213" s="418" t="n">
        <v>0</v>
      </c>
      <c r="U213" s="418" t="n">
        <v>-0.0175</v>
      </c>
      <c r="V213" s="418" t="n">
        <v>-0.1015</v>
      </c>
      <c r="W213" s="418" t="n">
        <v>0</v>
      </c>
      <c r="X213" s="418" t="n">
        <v>1.455</v>
      </c>
      <c r="Y213" s="418" t="n">
        <v>0.005</v>
      </c>
      <c r="Z213" s="418" t="n">
        <v>-0.19</v>
      </c>
      <c r="AA213" s="436" t="n">
        <v>-0.0115</v>
      </c>
      <c r="AB213" s="437" t="n">
        <v>0.12</v>
      </c>
      <c r="AC213" s="437" t="n">
        <v>0.975</v>
      </c>
      <c r="AD213" s="437" t="n">
        <v>0</v>
      </c>
      <c r="AE213" s="438" t="n">
        <v>0.15</v>
      </c>
      <c r="AF213" s="438" t="n">
        <v>0.15</v>
      </c>
      <c r="AG213" s="438" t="n">
        <v>0.165</v>
      </c>
      <c r="AH213" s="438" t="n">
        <v>0.15</v>
      </c>
      <c r="AI213" s="438" t="n">
        <v>0.153</v>
      </c>
      <c r="AJ213" s="438" t="n">
        <v>0.15</v>
      </c>
      <c r="AK213" s="438" t="n">
        <v>0.15</v>
      </c>
      <c r="AL213" s="438" t="n">
        <v>0.15</v>
      </c>
      <c r="AM213" s="438" t="n">
        <v>0.15</v>
      </c>
      <c r="AN213" s="438" t="n">
        <v>0.15</v>
      </c>
      <c r="AO213" s="438" t="n">
        <v>0.15</v>
      </c>
      <c r="AP213" s="439" t="n">
        <v>0.15</v>
      </c>
      <c r="AQ213" s="439" t="n">
        <v>0.15</v>
      </c>
      <c r="AR213" s="439" t="n">
        <v>0.15</v>
      </c>
      <c r="AS213" s="439" t="n">
        <v>0.15</v>
      </c>
      <c r="AT213" s="438" t="n">
        <v>0.15</v>
      </c>
      <c r="AU213" s="438" t="n">
        <v>0.15</v>
      </c>
      <c r="AV213" s="438" t="n">
        <v>0.165</v>
      </c>
      <c r="AW213" s="418" t="n">
        <v>0.070487513189215</v>
      </c>
      <c r="AX213" s="418"/>
      <c r="AY213" s="437" t="n">
        <f aca="false">AG213</f>
        <v>0.165</v>
      </c>
      <c r="AZ213" s="437" t="n">
        <f aca="false">AG213</f>
        <v>0.165</v>
      </c>
      <c r="BA213" s="441" t="n">
        <f aca="false">AG213</f>
        <v>0.165</v>
      </c>
      <c r="BB213" s="442" t="n">
        <f aca="false">B213</f>
        <v>0</v>
      </c>
      <c r="BC213" s="442" t="n">
        <v>0.318114831317621</v>
      </c>
      <c r="BD213" s="418" t="n">
        <v>0.318175501529513</v>
      </c>
      <c r="BF213" s="455" t="n">
        <v>42767</v>
      </c>
      <c r="BG213" s="66" t="n">
        <v>201</v>
      </c>
      <c r="HZ213" s="442" t="n">
        <f aca="false">B215</f>
        <v>0</v>
      </c>
      <c r="IA213" s="418" t="n">
        <v>203</v>
      </c>
    </row>
    <row r="214" customFormat="false" ht="12.75" hidden="false" customHeight="false" outlineLevel="0" collapsed="false">
      <c r="A214" s="470"/>
      <c r="B214" s="467"/>
      <c r="C214" s="420" t="n">
        <v>3.6835</v>
      </c>
      <c r="D214" s="420" t="n">
        <v>0.15</v>
      </c>
      <c r="E214" s="420" t="n">
        <v>0.070651280186435</v>
      </c>
      <c r="F214" s="420" t="n">
        <v>0</v>
      </c>
      <c r="G214" s="420" t="n">
        <v>-0.0275</v>
      </c>
      <c r="H214" s="420" t="n">
        <v>0</v>
      </c>
      <c r="I214" s="420" t="n">
        <v>0</v>
      </c>
      <c r="J214" s="420" t="n">
        <v>0.265</v>
      </c>
      <c r="K214" s="420" t="n">
        <v>0.3025</v>
      </c>
      <c r="L214" s="420" t="n">
        <v>0</v>
      </c>
      <c r="M214" s="420" t="n">
        <v>0</v>
      </c>
      <c r="N214" s="420" t="n">
        <v>0</v>
      </c>
      <c r="O214" s="420"/>
      <c r="P214" s="420" t="n">
        <v>0</v>
      </c>
      <c r="Q214" s="420" t="n">
        <v>0</v>
      </c>
      <c r="R214" s="436" t="n">
        <v>0</v>
      </c>
      <c r="S214" s="418" t="n">
        <v>0</v>
      </c>
      <c r="T214" s="418" t="n">
        <v>0</v>
      </c>
      <c r="U214" s="418" t="n">
        <v>0.001</v>
      </c>
      <c r="V214" s="418" t="n">
        <v>0</v>
      </c>
      <c r="W214" s="418" t="n">
        <v>0</v>
      </c>
      <c r="X214" s="418" t="n">
        <v>0.835</v>
      </c>
      <c r="Y214" s="418" t="n">
        <v>0</v>
      </c>
      <c r="Z214" s="418" t="n">
        <v>-0.19</v>
      </c>
      <c r="AA214" s="436" t="n">
        <v>0</v>
      </c>
      <c r="AB214" s="437" t="n">
        <v>0.12</v>
      </c>
      <c r="AC214" s="437" t="n">
        <v>0.6075</v>
      </c>
      <c r="AD214" s="437" t="n">
        <v>0</v>
      </c>
      <c r="AE214" s="438" t="n">
        <v>0.15</v>
      </c>
      <c r="AF214" s="438" t="n">
        <v>0.15</v>
      </c>
      <c r="AG214" s="438" t="n">
        <v>0.165</v>
      </c>
      <c r="AH214" s="438" t="n">
        <v>0.15</v>
      </c>
      <c r="AI214" s="438" t="n">
        <v>0.153</v>
      </c>
      <c r="AJ214" s="438" t="n">
        <v>0.15</v>
      </c>
      <c r="AK214" s="438" t="n">
        <v>0.15</v>
      </c>
      <c r="AL214" s="438" t="n">
        <v>0.15</v>
      </c>
      <c r="AM214" s="438" t="n">
        <v>0.15</v>
      </c>
      <c r="AN214" s="438" t="n">
        <v>0.15</v>
      </c>
      <c r="AO214" s="438" t="n">
        <v>0.15</v>
      </c>
      <c r="AP214" s="439" t="n">
        <v>0.15</v>
      </c>
      <c r="AQ214" s="439" t="n">
        <v>0.15</v>
      </c>
      <c r="AR214" s="439" t="n">
        <v>0.15</v>
      </c>
      <c r="AS214" s="439" t="n">
        <v>0.15</v>
      </c>
      <c r="AT214" s="438" t="n">
        <v>0.15</v>
      </c>
      <c r="AU214" s="438" t="n">
        <v>0.15</v>
      </c>
      <c r="AV214" s="438" t="n">
        <v>0.165</v>
      </c>
      <c r="AW214" s="418" t="n">
        <v>0.070493793785753</v>
      </c>
      <c r="AX214" s="418"/>
      <c r="AY214" s="437" t="n">
        <f aca="false">AG214</f>
        <v>0.165</v>
      </c>
      <c r="AZ214" s="437" t="n">
        <f aca="false">AG214</f>
        <v>0.165</v>
      </c>
      <c r="BA214" s="441" t="n">
        <f aca="false">AG214</f>
        <v>0.165</v>
      </c>
      <c r="BB214" s="442" t="n">
        <f aca="false">B214</f>
        <v>0</v>
      </c>
      <c r="BC214" s="442" t="n">
        <v>0.316398098720796</v>
      </c>
      <c r="BD214" s="418" t="n">
        <v>0.316458445276171</v>
      </c>
      <c r="BF214" s="455" t="n">
        <v>42795</v>
      </c>
      <c r="BG214" s="66" t="n">
        <v>202</v>
      </c>
      <c r="HZ214" s="442" t="n">
        <f aca="false">B216</f>
        <v>0</v>
      </c>
      <c r="IA214" s="418" t="n">
        <v>204</v>
      </c>
    </row>
    <row r="215" customFormat="false" ht="12.75" hidden="false" customHeight="false" outlineLevel="0" collapsed="false">
      <c r="A215" s="470"/>
      <c r="B215" s="467"/>
      <c r="C215" s="420" t="n">
        <v>3.5475</v>
      </c>
      <c r="D215" s="420" t="n">
        <v>0.15</v>
      </c>
      <c r="E215" s="420" t="n">
        <v>0.070652446202096</v>
      </c>
      <c r="F215" s="420" t="n">
        <v>0</v>
      </c>
      <c r="G215" s="420" t="n">
        <v>0.0449766</v>
      </c>
      <c r="H215" s="420" t="n">
        <v>0</v>
      </c>
      <c r="I215" s="420" t="n">
        <v>0</v>
      </c>
      <c r="J215" s="420" t="n">
        <v>0.195</v>
      </c>
      <c r="K215" s="420" t="n">
        <v>0.25</v>
      </c>
      <c r="L215" s="420" t="n">
        <v>0</v>
      </c>
      <c r="M215" s="420" t="n">
        <v>0</v>
      </c>
      <c r="N215" s="420" t="n">
        <v>0</v>
      </c>
      <c r="O215" s="420"/>
      <c r="P215" s="420" t="n">
        <v>0</v>
      </c>
      <c r="Q215" s="420" t="n">
        <v>0</v>
      </c>
      <c r="R215" s="418" t="n">
        <v>0</v>
      </c>
      <c r="S215" s="418" t="n">
        <v>0</v>
      </c>
      <c r="T215" s="418" t="n">
        <v>0</v>
      </c>
      <c r="U215" s="436" t="n">
        <v>0.001</v>
      </c>
      <c r="V215" s="418" t="n">
        <v>0</v>
      </c>
      <c r="W215" s="418" t="n">
        <v>0</v>
      </c>
      <c r="X215" s="418" t="n">
        <v>0.45</v>
      </c>
      <c r="Y215" s="418" t="n">
        <v>0</v>
      </c>
      <c r="Z215" s="418" t="n">
        <v>-0.19</v>
      </c>
      <c r="AA215" s="418" t="n">
        <v>0</v>
      </c>
      <c r="AB215" s="437" t="n">
        <v>0.295</v>
      </c>
      <c r="AC215" s="437" t="n">
        <v>0.355</v>
      </c>
      <c r="AD215" s="437" t="n">
        <v>0</v>
      </c>
      <c r="AE215" s="438" t="n">
        <v>0.15</v>
      </c>
      <c r="AF215" s="438" t="n">
        <v>0.15</v>
      </c>
      <c r="AG215" s="438" t="n">
        <v>0.147</v>
      </c>
      <c r="AH215" s="438" t="n">
        <v>0.15</v>
      </c>
      <c r="AI215" s="438" t="n">
        <v>0.153</v>
      </c>
      <c r="AJ215" s="438" t="n">
        <v>0.15</v>
      </c>
      <c r="AK215" s="438" t="n">
        <v>0.147</v>
      </c>
      <c r="AL215" s="438" t="n">
        <v>0.147</v>
      </c>
      <c r="AM215" s="438" t="n">
        <v>0.15</v>
      </c>
      <c r="AN215" s="438" t="n">
        <v>0.15</v>
      </c>
      <c r="AO215" s="438" t="n">
        <v>0.15</v>
      </c>
      <c r="AP215" s="439" t="n">
        <v>0.15</v>
      </c>
      <c r="AQ215" s="439" t="n">
        <v>0.15</v>
      </c>
      <c r="AR215" s="439" t="n">
        <v>0.15</v>
      </c>
      <c r="AS215" s="439" t="n">
        <v>0.15</v>
      </c>
      <c r="AT215" s="438" t="n">
        <v>0.15</v>
      </c>
      <c r="AU215" s="438" t="n">
        <v>0.15</v>
      </c>
      <c r="AV215" s="438" t="n">
        <v>0.147</v>
      </c>
      <c r="AW215" s="418" t="n">
        <v>0.070500747303364</v>
      </c>
      <c r="AX215" s="418"/>
      <c r="AY215" s="437" t="n">
        <f aca="false">AG215</f>
        <v>0.147</v>
      </c>
      <c r="AZ215" s="437" t="n">
        <f aca="false">AG215</f>
        <v>0.147</v>
      </c>
      <c r="BA215" s="441" t="n">
        <f aca="false">AG215</f>
        <v>0.147</v>
      </c>
      <c r="BB215" s="442" t="n">
        <f aca="false">B215</f>
        <v>0</v>
      </c>
      <c r="BC215" s="442" t="n">
        <v>0.314507991274714</v>
      </c>
      <c r="BD215" s="418" t="n">
        <v>0.31456798146294</v>
      </c>
      <c r="BF215" s="455" t="n">
        <v>42826</v>
      </c>
      <c r="BG215" s="66" t="n">
        <v>203</v>
      </c>
      <c r="HZ215" s="442" t="n">
        <f aca="false">B217</f>
        <v>0</v>
      </c>
      <c r="IA215" s="418" t="n">
        <v>205</v>
      </c>
    </row>
    <row r="216" customFormat="false" ht="12.75" hidden="false" customHeight="false" outlineLevel="0" collapsed="false">
      <c r="B216" s="467"/>
      <c r="C216" s="420" t="n">
        <v>3.5495</v>
      </c>
      <c r="D216" s="420" t="n">
        <v>0.15</v>
      </c>
      <c r="E216" s="420" t="n">
        <v>0.07065357460435</v>
      </c>
      <c r="F216" s="420" t="n">
        <v>0</v>
      </c>
      <c r="G216" s="420" t="n">
        <v>0.0449681</v>
      </c>
      <c r="H216" s="420" t="n">
        <v>0</v>
      </c>
      <c r="I216" s="420" t="n">
        <v>0</v>
      </c>
      <c r="J216" s="420" t="n">
        <v>0.1825</v>
      </c>
      <c r="K216" s="420" t="n">
        <v>0.2025</v>
      </c>
      <c r="L216" s="420" t="n">
        <v>0</v>
      </c>
      <c r="M216" s="420" t="n">
        <v>0</v>
      </c>
      <c r="N216" s="420" t="n">
        <v>0</v>
      </c>
      <c r="O216" s="420"/>
      <c r="P216" s="420" t="n">
        <v>0</v>
      </c>
      <c r="Q216" s="420" t="n">
        <v>0</v>
      </c>
      <c r="R216" s="418" t="n">
        <v>0</v>
      </c>
      <c r="S216" s="418" t="n">
        <v>0</v>
      </c>
      <c r="T216" s="418" t="n">
        <v>0</v>
      </c>
      <c r="U216" s="436" t="n">
        <v>0.000750000000000008</v>
      </c>
      <c r="V216" s="418" t="n">
        <v>0</v>
      </c>
      <c r="W216" s="418" t="n">
        <v>0</v>
      </c>
      <c r="X216" s="418" t="n">
        <v>0.405</v>
      </c>
      <c r="Y216" s="418" t="n">
        <v>0</v>
      </c>
      <c r="Z216" s="418" t="n">
        <v>-0.19</v>
      </c>
      <c r="AA216" s="418" t="n">
        <v>0</v>
      </c>
      <c r="AB216" s="437" t="n">
        <v>0.295</v>
      </c>
      <c r="AC216" s="437" t="n">
        <v>0.2875</v>
      </c>
      <c r="AD216" s="437" t="n">
        <v>0</v>
      </c>
      <c r="AE216" s="438" t="n">
        <v>0.15</v>
      </c>
      <c r="AF216" s="438" t="n">
        <v>0.15</v>
      </c>
      <c r="AG216" s="438" t="n">
        <v>0.147</v>
      </c>
      <c r="AH216" s="438" t="n">
        <v>0.15</v>
      </c>
      <c r="AI216" s="438" t="n">
        <v>0.153</v>
      </c>
      <c r="AJ216" s="438" t="n">
        <v>0.15</v>
      </c>
      <c r="AK216" s="438" t="n">
        <v>0.147</v>
      </c>
      <c r="AL216" s="438" t="n">
        <v>0.147</v>
      </c>
      <c r="AM216" s="438" t="n">
        <v>0.15</v>
      </c>
      <c r="AN216" s="438" t="n">
        <v>0.15</v>
      </c>
      <c r="AO216" s="438" t="n">
        <v>0.15</v>
      </c>
      <c r="AP216" s="439" t="n">
        <v>0.15</v>
      </c>
      <c r="AQ216" s="439" t="n">
        <v>0.15</v>
      </c>
      <c r="AR216" s="439" t="n">
        <v>0.15</v>
      </c>
      <c r="AS216" s="439" t="n">
        <v>0.15</v>
      </c>
      <c r="AT216" s="438" t="n">
        <v>0.15</v>
      </c>
      <c r="AU216" s="438" t="n">
        <v>0.15</v>
      </c>
      <c r="AV216" s="438" t="n">
        <v>0.147</v>
      </c>
      <c r="AW216" s="418" t="n">
        <v>0.070507476513971</v>
      </c>
      <c r="AX216" s="418"/>
      <c r="AY216" s="437" t="n">
        <f aca="false">AG216</f>
        <v>0.147</v>
      </c>
      <c r="AZ216" s="437" t="n">
        <f aca="false">AG216</f>
        <v>0.147</v>
      </c>
      <c r="BA216" s="441" t="n">
        <f aca="false">AG216</f>
        <v>0.147</v>
      </c>
      <c r="BB216" s="442" t="n">
        <f aca="false">B216</f>
        <v>0</v>
      </c>
      <c r="BC216" s="442" t="n">
        <v>0.312689363980422</v>
      </c>
      <c r="BD216" s="418" t="n">
        <v>0.31274901125455</v>
      </c>
      <c r="BF216" s="455" t="n">
        <v>42856</v>
      </c>
      <c r="BG216" s="66" t="n">
        <v>204</v>
      </c>
      <c r="HZ216" s="442" t="n">
        <f aca="false">B218</f>
        <v>0</v>
      </c>
      <c r="IA216" s="418" t="n">
        <v>206</v>
      </c>
    </row>
    <row r="217" customFormat="false" ht="12.75" hidden="false" customHeight="false" outlineLevel="0" collapsed="false">
      <c r="B217" s="467"/>
      <c r="C217" s="420" t="n">
        <v>3.5835</v>
      </c>
      <c r="D217" s="420" t="n">
        <v>0.15</v>
      </c>
      <c r="E217" s="420" t="n">
        <v>0.070654740620012</v>
      </c>
      <c r="F217" s="420" t="n">
        <v>0</v>
      </c>
      <c r="G217" s="420" t="n">
        <v>0.0449681</v>
      </c>
      <c r="H217" s="420" t="n">
        <v>0</v>
      </c>
      <c r="I217" s="420" t="n">
        <v>0</v>
      </c>
      <c r="J217" s="420" t="n">
        <v>0.1825</v>
      </c>
      <c r="K217" s="420" t="n">
        <v>0.2025</v>
      </c>
      <c r="L217" s="420" t="n">
        <v>0</v>
      </c>
      <c r="M217" s="420" t="n">
        <v>0</v>
      </c>
      <c r="N217" s="420" t="n">
        <v>0</v>
      </c>
      <c r="O217" s="420"/>
      <c r="P217" s="420" t="n">
        <v>0</v>
      </c>
      <c r="Q217" s="420" t="n">
        <v>0</v>
      </c>
      <c r="R217" s="418" t="n">
        <v>0</v>
      </c>
      <c r="S217" s="418" t="n">
        <v>0</v>
      </c>
      <c r="T217" s="418" t="n">
        <v>0</v>
      </c>
      <c r="U217" s="436" t="n">
        <v>0.000750000000000008</v>
      </c>
      <c r="V217" s="418" t="n">
        <v>0</v>
      </c>
      <c r="W217" s="418" t="n">
        <v>0</v>
      </c>
      <c r="X217" s="418" t="n">
        <v>0.395</v>
      </c>
      <c r="Y217" s="418" t="n">
        <v>0</v>
      </c>
      <c r="Z217" s="418" t="n">
        <v>-0.19</v>
      </c>
      <c r="AA217" s="418" t="n">
        <v>0</v>
      </c>
      <c r="AB217" s="437" t="n">
        <v>0.295</v>
      </c>
      <c r="AC217" s="437" t="n">
        <v>0.2875</v>
      </c>
      <c r="AD217" s="437" t="n">
        <v>0</v>
      </c>
      <c r="AE217" s="438" t="n">
        <v>0.15</v>
      </c>
      <c r="AF217" s="438" t="n">
        <v>0.15</v>
      </c>
      <c r="AG217" s="438" t="n">
        <v>0.147</v>
      </c>
      <c r="AH217" s="438" t="n">
        <v>0.15</v>
      </c>
      <c r="AI217" s="438" t="n">
        <v>0.153</v>
      </c>
      <c r="AJ217" s="438" t="n">
        <v>0.15</v>
      </c>
      <c r="AK217" s="438" t="n">
        <v>0.147</v>
      </c>
      <c r="AL217" s="438" t="n">
        <v>0.147</v>
      </c>
      <c r="AM217" s="438" t="n">
        <v>0.15</v>
      </c>
      <c r="AN217" s="438" t="n">
        <v>0.15</v>
      </c>
      <c r="AO217" s="438" t="n">
        <v>0.15</v>
      </c>
      <c r="AP217" s="439" t="n">
        <v>0.15</v>
      </c>
      <c r="AQ217" s="439" t="n">
        <v>0.15</v>
      </c>
      <c r="AR217" s="439" t="n">
        <v>0.15</v>
      </c>
      <c r="AS217" s="439" t="n">
        <v>0.15</v>
      </c>
      <c r="AT217" s="438" t="n">
        <v>0.15</v>
      </c>
      <c r="AU217" s="438" t="n">
        <v>0.15</v>
      </c>
      <c r="AV217" s="438" t="n">
        <v>0.147</v>
      </c>
      <c r="AW217" s="418" t="n">
        <v>0.070514430031613</v>
      </c>
      <c r="AX217" s="418"/>
      <c r="AY217" s="437" t="n">
        <f aca="false">AG217</f>
        <v>0.147</v>
      </c>
      <c r="AZ217" s="437" t="n">
        <f aca="false">AG217</f>
        <v>0.147</v>
      </c>
      <c r="BA217" s="441" t="n">
        <f aca="false">AG217</f>
        <v>0.147</v>
      </c>
      <c r="BB217" s="442" t="n">
        <f aca="false">B217</f>
        <v>0</v>
      </c>
      <c r="BC217" s="442" t="n">
        <v>0.310820913805067</v>
      </c>
      <c r="BD217" s="418" t="n">
        <v>0.310880208745953</v>
      </c>
      <c r="BF217" s="455" t="n">
        <v>42887</v>
      </c>
      <c r="BG217" s="66" t="n">
        <v>205</v>
      </c>
      <c r="HZ217" s="442" t="n">
        <f aca="false">B219</f>
        <v>0</v>
      </c>
      <c r="IA217" s="418" t="n">
        <v>207</v>
      </c>
    </row>
    <row r="218" customFormat="false" ht="12.75" hidden="false" customHeight="false" outlineLevel="0" collapsed="false">
      <c r="B218" s="467"/>
      <c r="C218" s="420" t="n">
        <v>3.6055</v>
      </c>
      <c r="D218" s="420" t="n">
        <v>0.15</v>
      </c>
      <c r="E218" s="420" t="n">
        <v>0.070655869022267</v>
      </c>
      <c r="F218" s="420" t="n">
        <v>0</v>
      </c>
      <c r="G218" s="420" t="n">
        <v>0.0449681</v>
      </c>
      <c r="H218" s="420" t="n">
        <v>0</v>
      </c>
      <c r="I218" s="420" t="n">
        <v>0</v>
      </c>
      <c r="J218" s="420" t="n">
        <v>0.1825</v>
      </c>
      <c r="K218" s="420" t="n">
        <v>0.215</v>
      </c>
      <c r="L218" s="420" t="n">
        <v>0</v>
      </c>
      <c r="M218" s="420" t="n">
        <v>0</v>
      </c>
      <c r="N218" s="420" t="n">
        <v>0</v>
      </c>
      <c r="O218" s="420"/>
      <c r="P218" s="420" t="n">
        <v>0</v>
      </c>
      <c r="Q218" s="420" t="n">
        <v>0</v>
      </c>
      <c r="R218" s="418" t="n">
        <v>0</v>
      </c>
      <c r="S218" s="418" t="n">
        <v>0</v>
      </c>
      <c r="T218" s="418" t="n">
        <v>0</v>
      </c>
      <c r="U218" s="436" t="n">
        <v>0.000750000000000008</v>
      </c>
      <c r="V218" s="418" t="n">
        <v>0</v>
      </c>
      <c r="W218" s="418" t="n">
        <v>0</v>
      </c>
      <c r="X218" s="418" t="n">
        <v>0.43</v>
      </c>
      <c r="Y218" s="418" t="n">
        <v>0</v>
      </c>
      <c r="Z218" s="418" t="n">
        <v>-0.19</v>
      </c>
      <c r="AA218" s="418" t="n">
        <v>0</v>
      </c>
      <c r="AB218" s="437" t="n">
        <v>0.295</v>
      </c>
      <c r="AC218" s="437" t="n">
        <v>0.3</v>
      </c>
      <c r="AD218" s="437" t="n">
        <v>0</v>
      </c>
      <c r="AE218" s="438" t="n">
        <v>0.15</v>
      </c>
      <c r="AF218" s="438" t="n">
        <v>0.15</v>
      </c>
      <c r="AG218" s="438" t="n">
        <v>0.147</v>
      </c>
      <c r="AH218" s="438" t="n">
        <v>0.15</v>
      </c>
      <c r="AI218" s="438" t="n">
        <v>0.153</v>
      </c>
      <c r="AJ218" s="438" t="n">
        <v>0.15</v>
      </c>
      <c r="AK218" s="438" t="n">
        <v>0.147</v>
      </c>
      <c r="AL218" s="438" t="n">
        <v>0.147</v>
      </c>
      <c r="AM218" s="438" t="n">
        <v>0.15</v>
      </c>
      <c r="AN218" s="438" t="n">
        <v>0.15</v>
      </c>
      <c r="AO218" s="438" t="n">
        <v>0.15</v>
      </c>
      <c r="AP218" s="439" t="n">
        <v>0.15</v>
      </c>
      <c r="AQ218" s="439" t="n">
        <v>0.15</v>
      </c>
      <c r="AR218" s="439" t="n">
        <v>0.15</v>
      </c>
      <c r="AS218" s="439" t="n">
        <v>0.15</v>
      </c>
      <c r="AT218" s="438" t="n">
        <v>0.15</v>
      </c>
      <c r="AU218" s="438" t="n">
        <v>0.15</v>
      </c>
      <c r="AV218" s="438" t="n">
        <v>0.147</v>
      </c>
      <c r="AW218" s="418" t="n">
        <v>0.07052115924225</v>
      </c>
      <c r="AX218" s="418"/>
      <c r="AY218" s="437" t="n">
        <f aca="false">AG218</f>
        <v>0.147</v>
      </c>
      <c r="AZ218" s="437" t="n">
        <f aca="false">AG218</f>
        <v>0.147</v>
      </c>
      <c r="BA218" s="441" t="n">
        <f aca="false">AG218</f>
        <v>0.147</v>
      </c>
      <c r="BB218" s="442" t="n">
        <f aca="false">B218</f>
        <v>0</v>
      </c>
      <c r="BC218" s="442" t="n">
        <v>0.309023127646467</v>
      </c>
      <c r="BD218" s="418" t="n">
        <v>0.30908208355543</v>
      </c>
      <c r="BF218" s="455" t="n">
        <v>42917</v>
      </c>
      <c r="BG218" s="66" t="n">
        <v>206</v>
      </c>
      <c r="HZ218" s="442" t="n">
        <f aca="false">B220</f>
        <v>0</v>
      </c>
      <c r="IA218" s="418" t="n">
        <v>208</v>
      </c>
    </row>
    <row r="219" customFormat="false" ht="12.75" hidden="false" customHeight="false" outlineLevel="0" collapsed="false">
      <c r="B219" s="467"/>
      <c r="C219" s="420" t="n">
        <v>3.6265</v>
      </c>
      <c r="D219" s="420" t="n">
        <v>0.15</v>
      </c>
      <c r="E219" s="420" t="n">
        <v>0.07065703503793</v>
      </c>
      <c r="F219" s="420" t="n">
        <v>0</v>
      </c>
      <c r="G219" s="420" t="n">
        <v>0.0449681</v>
      </c>
      <c r="H219" s="420" t="n">
        <v>0</v>
      </c>
      <c r="I219" s="420" t="n">
        <v>0</v>
      </c>
      <c r="J219" s="420" t="n">
        <v>0.1825</v>
      </c>
      <c r="K219" s="420" t="n">
        <v>0.215</v>
      </c>
      <c r="L219" s="420" t="n">
        <v>0</v>
      </c>
      <c r="M219" s="420" t="n">
        <v>0</v>
      </c>
      <c r="N219" s="420" t="n">
        <v>0</v>
      </c>
      <c r="O219" s="420"/>
      <c r="P219" s="420" t="n">
        <v>0</v>
      </c>
      <c r="Q219" s="420" t="n">
        <v>0</v>
      </c>
      <c r="R219" s="418" t="n">
        <v>0</v>
      </c>
      <c r="S219" s="418" t="n">
        <v>0</v>
      </c>
      <c r="T219" s="418" t="n">
        <v>0</v>
      </c>
      <c r="U219" s="436" t="n">
        <v>0.000750000000000008</v>
      </c>
      <c r="V219" s="418" t="n">
        <v>0</v>
      </c>
      <c r="W219" s="418" t="n">
        <v>0</v>
      </c>
      <c r="X219" s="418" t="n">
        <v>0.495</v>
      </c>
      <c r="Y219" s="418" t="n">
        <v>0</v>
      </c>
      <c r="Z219" s="418" t="n">
        <v>-0.19</v>
      </c>
      <c r="AA219" s="418" t="n">
        <v>0</v>
      </c>
      <c r="AB219" s="437" t="n">
        <v>0.295</v>
      </c>
      <c r="AC219" s="437" t="n">
        <v>0.3</v>
      </c>
      <c r="AD219" s="437" t="n">
        <v>0</v>
      </c>
      <c r="AE219" s="438" t="n">
        <v>0.15</v>
      </c>
      <c r="AF219" s="438" t="n">
        <v>0.15</v>
      </c>
      <c r="AG219" s="438" t="n">
        <v>0.147</v>
      </c>
      <c r="AH219" s="438" t="n">
        <v>0.15</v>
      </c>
      <c r="AI219" s="438" t="n">
        <v>0.153</v>
      </c>
      <c r="AJ219" s="438" t="n">
        <v>0.15</v>
      </c>
      <c r="AK219" s="438" t="n">
        <v>0.147</v>
      </c>
      <c r="AL219" s="438" t="n">
        <v>0.147</v>
      </c>
      <c r="AM219" s="438" t="n">
        <v>0.15</v>
      </c>
      <c r="AN219" s="438" t="n">
        <v>0.15</v>
      </c>
      <c r="AO219" s="438" t="n">
        <v>0.15</v>
      </c>
      <c r="AP219" s="439" t="n">
        <v>0.15</v>
      </c>
      <c r="AQ219" s="439" t="n">
        <v>0.15</v>
      </c>
      <c r="AR219" s="439" t="n">
        <v>0.15</v>
      </c>
      <c r="AS219" s="439" t="n">
        <v>0.15</v>
      </c>
      <c r="AT219" s="438" t="n">
        <v>0.15</v>
      </c>
      <c r="AU219" s="438" t="n">
        <v>0.15</v>
      </c>
      <c r="AV219" s="438" t="n">
        <v>0.147</v>
      </c>
      <c r="AW219" s="418" t="n">
        <v>0.070528112759924</v>
      </c>
      <c r="AX219" s="418"/>
      <c r="AY219" s="437" t="n">
        <f aca="false">AG219</f>
        <v>0.147</v>
      </c>
      <c r="AZ219" s="437" t="n">
        <f aca="false">AG219</f>
        <v>0.147</v>
      </c>
      <c r="BA219" s="441" t="n">
        <f aca="false">AG219</f>
        <v>0.147</v>
      </c>
      <c r="BB219" s="442" t="n">
        <f aca="false">B219</f>
        <v>0</v>
      </c>
      <c r="BC219" s="442" t="n">
        <v>0.307176092547536</v>
      </c>
      <c r="BD219" s="418" t="n">
        <v>0.307234700112635</v>
      </c>
      <c r="BF219" s="455" t="n">
        <v>42948</v>
      </c>
      <c r="BG219" s="66" t="n">
        <v>207</v>
      </c>
      <c r="HZ219" s="442" t="n">
        <f aca="false">B221</f>
        <v>0</v>
      </c>
      <c r="IA219" s="418" t="n">
        <v>209</v>
      </c>
    </row>
    <row r="220" customFormat="false" ht="12.75" hidden="false" customHeight="false" outlineLevel="0" collapsed="false">
      <c r="B220" s="467"/>
      <c r="C220" s="420" t="n">
        <v>3.5955</v>
      </c>
      <c r="D220" s="420" t="n">
        <v>0.15</v>
      </c>
      <c r="E220" s="420" t="n">
        <v>0.070658201053594</v>
      </c>
      <c r="F220" s="420" t="n">
        <v>0</v>
      </c>
      <c r="G220" s="420" t="n">
        <v>0.0449681</v>
      </c>
      <c r="H220" s="420" t="n">
        <v>0</v>
      </c>
      <c r="I220" s="420" t="n">
        <v>0</v>
      </c>
      <c r="J220" s="420" t="n">
        <v>0.1825</v>
      </c>
      <c r="K220" s="420" t="n">
        <v>0.195</v>
      </c>
      <c r="L220" s="420" t="n">
        <v>0</v>
      </c>
      <c r="M220" s="420" t="n">
        <v>0</v>
      </c>
      <c r="N220" s="420" t="n">
        <v>0</v>
      </c>
      <c r="O220" s="420"/>
      <c r="P220" s="420" t="n">
        <v>0</v>
      </c>
      <c r="Q220" s="420" t="n">
        <v>0</v>
      </c>
      <c r="R220" s="418" t="n">
        <v>0</v>
      </c>
      <c r="S220" s="418" t="n">
        <v>0</v>
      </c>
      <c r="T220" s="418" t="n">
        <v>0</v>
      </c>
      <c r="U220" s="436" t="n">
        <v>0.000750000000000008</v>
      </c>
      <c r="V220" s="418" t="n">
        <v>0</v>
      </c>
      <c r="W220" s="418" t="n">
        <v>0</v>
      </c>
      <c r="X220" s="418" t="n">
        <v>0.395</v>
      </c>
      <c r="Y220" s="418" t="n">
        <v>0</v>
      </c>
      <c r="Z220" s="418" t="n">
        <v>-0.19</v>
      </c>
      <c r="AA220" s="418" t="n">
        <v>0</v>
      </c>
      <c r="AB220" s="437" t="n">
        <v>0.295</v>
      </c>
      <c r="AC220" s="437" t="n">
        <v>0.29</v>
      </c>
      <c r="AD220" s="437" t="n">
        <v>0</v>
      </c>
      <c r="AE220" s="438" t="n">
        <v>0.15</v>
      </c>
      <c r="AF220" s="438" t="n">
        <v>0.15</v>
      </c>
      <c r="AG220" s="438" t="n">
        <v>0.147</v>
      </c>
      <c r="AH220" s="438" t="n">
        <v>0.15</v>
      </c>
      <c r="AI220" s="438" t="n">
        <v>0.153</v>
      </c>
      <c r="AJ220" s="438" t="n">
        <v>0.15</v>
      </c>
      <c r="AK220" s="438" t="n">
        <v>0.147</v>
      </c>
      <c r="AL220" s="438" t="n">
        <v>0.147</v>
      </c>
      <c r="AM220" s="438" t="n">
        <v>0.15</v>
      </c>
      <c r="AN220" s="438" t="n">
        <v>0.15</v>
      </c>
      <c r="AO220" s="438" t="n">
        <v>0.15</v>
      </c>
      <c r="AP220" s="439" t="n">
        <v>0.15</v>
      </c>
      <c r="AQ220" s="439" t="n">
        <v>0.15</v>
      </c>
      <c r="AR220" s="439" t="n">
        <v>0.15</v>
      </c>
      <c r="AS220" s="439" t="n">
        <v>0.15</v>
      </c>
      <c r="AT220" s="438" t="n">
        <v>0.15</v>
      </c>
      <c r="AU220" s="438" t="n">
        <v>0.15</v>
      </c>
      <c r="AV220" s="438" t="n">
        <v>0.147</v>
      </c>
      <c r="AW220" s="418" t="n">
        <v>0.070535066277614</v>
      </c>
      <c r="AX220" s="418"/>
      <c r="AY220" s="437" t="n">
        <f aca="false">AG220</f>
        <v>0.147</v>
      </c>
      <c r="AZ220" s="437" t="n">
        <f aca="false">AG220</f>
        <v>0.147</v>
      </c>
      <c r="BA220" s="441" t="n">
        <f aca="false">AG220</f>
        <v>0.147</v>
      </c>
      <c r="BB220" s="442" t="n">
        <f aca="false">B220</f>
        <v>0</v>
      </c>
      <c r="BC220" s="442" t="n">
        <v>0.305339848550492</v>
      </c>
      <c r="BD220" s="418" t="n">
        <v>0.305398109782203</v>
      </c>
      <c r="BF220" s="455" t="n">
        <v>42979</v>
      </c>
      <c r="BG220" s="66" t="n">
        <v>208</v>
      </c>
      <c r="HZ220" s="442" t="n">
        <f aca="false">B222</f>
        <v>0</v>
      </c>
      <c r="IA220" s="418" t="n">
        <v>210</v>
      </c>
    </row>
    <row r="221" customFormat="false" ht="12.75" hidden="false" customHeight="false" outlineLevel="0" collapsed="false">
      <c r="B221" s="467"/>
      <c r="C221" s="420" t="n">
        <v>3.5965</v>
      </c>
      <c r="D221" s="420" t="n">
        <v>0.15</v>
      </c>
      <c r="E221" s="420" t="n">
        <v>0.070659329455849</v>
      </c>
      <c r="F221" s="420" t="n">
        <v>0</v>
      </c>
      <c r="G221" s="420" t="n">
        <v>0.0449681</v>
      </c>
      <c r="H221" s="420" t="n">
        <v>0</v>
      </c>
      <c r="I221" s="420" t="n">
        <v>0</v>
      </c>
      <c r="J221" s="420" t="n">
        <v>0.1875</v>
      </c>
      <c r="K221" s="420" t="n">
        <v>0.215</v>
      </c>
      <c r="L221" s="420" t="n">
        <v>0</v>
      </c>
      <c r="M221" s="420" t="n">
        <v>0</v>
      </c>
      <c r="N221" s="420" t="n">
        <v>0</v>
      </c>
      <c r="O221" s="420"/>
      <c r="P221" s="420" t="n">
        <v>0</v>
      </c>
      <c r="Q221" s="420" t="n">
        <v>0</v>
      </c>
      <c r="R221" s="418" t="n">
        <v>0</v>
      </c>
      <c r="S221" s="418" t="n">
        <v>0</v>
      </c>
      <c r="T221" s="418" t="n">
        <v>0</v>
      </c>
      <c r="U221" s="436" t="n">
        <v>-0.0175</v>
      </c>
      <c r="V221" s="418" t="n">
        <v>0</v>
      </c>
      <c r="W221" s="418" t="n">
        <v>0</v>
      </c>
      <c r="X221" s="418" t="n">
        <v>0.461</v>
      </c>
      <c r="Y221" s="418" t="n">
        <v>0</v>
      </c>
      <c r="Z221" s="418" t="n">
        <v>-0.19</v>
      </c>
      <c r="AA221" s="418" t="n">
        <v>0</v>
      </c>
      <c r="AB221" s="437" t="n">
        <v>0.295</v>
      </c>
      <c r="AC221" s="437" t="n">
        <v>0.3625</v>
      </c>
      <c r="AD221" s="437" t="n">
        <v>0</v>
      </c>
      <c r="AE221" s="438" t="n">
        <v>0.15</v>
      </c>
      <c r="AF221" s="438" t="n">
        <v>0.15</v>
      </c>
      <c r="AG221" s="438" t="n">
        <v>0.147</v>
      </c>
      <c r="AH221" s="438" t="n">
        <v>0.15</v>
      </c>
      <c r="AI221" s="438" t="n">
        <v>0.153</v>
      </c>
      <c r="AJ221" s="438" t="n">
        <v>0.15</v>
      </c>
      <c r="AK221" s="438" t="n">
        <v>0.147</v>
      </c>
      <c r="AL221" s="438" t="n">
        <v>0.147</v>
      </c>
      <c r="AM221" s="438" t="n">
        <v>0.15</v>
      </c>
      <c r="AN221" s="438" t="n">
        <v>0.15</v>
      </c>
      <c r="AO221" s="438" t="n">
        <v>0.15</v>
      </c>
      <c r="AP221" s="439" t="n">
        <v>0.15</v>
      </c>
      <c r="AQ221" s="439" t="n">
        <v>0.15</v>
      </c>
      <c r="AR221" s="439" t="n">
        <v>0.15</v>
      </c>
      <c r="AS221" s="439" t="n">
        <v>0.15</v>
      </c>
      <c r="AT221" s="438" t="n">
        <v>0.15</v>
      </c>
      <c r="AU221" s="438" t="n">
        <v>0.15</v>
      </c>
      <c r="AV221" s="438" t="n">
        <v>0.147</v>
      </c>
      <c r="AW221" s="418" t="n">
        <v>0.070541795488297</v>
      </c>
      <c r="AX221" s="418"/>
      <c r="AY221" s="437" t="n">
        <f aca="false">AG221</f>
        <v>0.147</v>
      </c>
      <c r="AZ221" s="437" t="n">
        <f aca="false">AG221</f>
        <v>0.147</v>
      </c>
      <c r="BA221" s="441" t="n">
        <f aca="false">AG221</f>
        <v>0.147</v>
      </c>
      <c r="BB221" s="442" t="n">
        <f aca="false">B221</f>
        <v>0</v>
      </c>
      <c r="BC221" s="442" t="n">
        <v>0.303573054844674</v>
      </c>
      <c r="BD221" s="418" t="n">
        <v>0.303630982818626</v>
      </c>
      <c r="BF221" s="455" t="n">
        <v>43009</v>
      </c>
      <c r="BG221" s="66" t="n">
        <v>209</v>
      </c>
      <c r="HZ221" s="442" t="n">
        <f aca="false">B223</f>
        <v>0</v>
      </c>
      <c r="IA221" s="418" t="n">
        <v>211</v>
      </c>
    </row>
    <row r="222" customFormat="false" ht="12.75" hidden="false" customHeight="false" outlineLevel="0" collapsed="false">
      <c r="B222" s="467"/>
      <c r="C222" s="420" t="n">
        <v>3.6185</v>
      </c>
      <c r="D222" s="420" t="n">
        <v>0.15</v>
      </c>
      <c r="E222" s="420" t="n">
        <v>0.070660495471514</v>
      </c>
      <c r="F222" s="420"/>
      <c r="G222" s="420" t="n">
        <v>-0.0349887</v>
      </c>
      <c r="H222" s="420"/>
      <c r="I222" s="420"/>
      <c r="J222" s="420" t="n">
        <v>0.27</v>
      </c>
      <c r="K222" s="420" t="n">
        <v>0.2875</v>
      </c>
      <c r="L222" s="420" t="n">
        <v>0</v>
      </c>
      <c r="M222" s="420" t="n">
        <v>0</v>
      </c>
      <c r="N222" s="420" t="n">
        <v>0</v>
      </c>
      <c r="O222" s="420"/>
      <c r="P222" s="420" t="n">
        <v>0</v>
      </c>
      <c r="Q222" s="420" t="n">
        <v>0</v>
      </c>
      <c r="R222" s="418" t="n">
        <v>0</v>
      </c>
      <c r="S222" s="418"/>
      <c r="T222" s="418"/>
      <c r="U222" s="418" t="n">
        <v>-0.0165</v>
      </c>
      <c r="V222" s="418" t="n">
        <v>0</v>
      </c>
      <c r="W222" s="418" t="n">
        <v>0</v>
      </c>
      <c r="X222" s="418" t="n">
        <v>0.7675</v>
      </c>
      <c r="Y222" s="418" t="n">
        <v>0</v>
      </c>
      <c r="Z222" s="418" t="n">
        <v>-0.19</v>
      </c>
      <c r="AA222" s="418" t="n">
        <v>0</v>
      </c>
      <c r="AB222" s="437" t="n">
        <v>0.12</v>
      </c>
      <c r="AC222" s="437" t="n">
        <v>0.465</v>
      </c>
      <c r="AD222" s="437"/>
      <c r="AE222" s="438" t="n">
        <v>0.15</v>
      </c>
      <c r="AF222" s="438" t="n">
        <v>0.15</v>
      </c>
      <c r="AG222" s="438" t="n">
        <v>0.165</v>
      </c>
      <c r="AH222" s="438" t="n">
        <v>0.15</v>
      </c>
      <c r="AI222" s="438" t="n">
        <v>0.153</v>
      </c>
      <c r="AJ222" s="438" t="n">
        <v>0.15</v>
      </c>
      <c r="AK222" s="438" t="n">
        <v>0.15</v>
      </c>
      <c r="AL222" s="438" t="n">
        <v>0.15</v>
      </c>
      <c r="AM222" s="438" t="n">
        <v>0.15</v>
      </c>
      <c r="AN222" s="438" t="n">
        <v>0.15</v>
      </c>
      <c r="AO222" s="438" t="n">
        <v>0.15</v>
      </c>
      <c r="AP222" s="439" t="n">
        <v>0.15</v>
      </c>
      <c r="AQ222" s="439" t="n">
        <v>0.15</v>
      </c>
      <c r="AR222" s="439" t="n">
        <v>0.15</v>
      </c>
      <c r="AS222" s="439" t="n">
        <v>0.15</v>
      </c>
      <c r="AT222" s="438" t="n">
        <v>0.15</v>
      </c>
      <c r="AU222" s="438" t="n">
        <v>0.15</v>
      </c>
      <c r="AV222" s="438" t="n">
        <v>0.165</v>
      </c>
      <c r="AW222" s="418" t="n">
        <v>0.070548749006019</v>
      </c>
      <c r="AX222" s="418"/>
      <c r="AY222" s="437" t="n">
        <f aca="false">AG222</f>
        <v>0.165</v>
      </c>
      <c r="AZ222" s="437" t="n">
        <f aca="false">AG222</f>
        <v>0.165</v>
      </c>
      <c r="BA222" s="441" t="n">
        <f aca="false">AG222</f>
        <v>0.165</v>
      </c>
      <c r="BB222" s="442" t="n">
        <f aca="false">B222</f>
        <v>0</v>
      </c>
      <c r="BC222" s="442" t="n">
        <v>0.301757865628751</v>
      </c>
      <c r="BD222" s="418" t="n">
        <v>0.301815451192434</v>
      </c>
      <c r="BF222" s="455" t="n">
        <v>43040</v>
      </c>
      <c r="BG222" s="66" t="n">
        <v>210</v>
      </c>
      <c r="HZ222" s="442" t="n">
        <f aca="false">B224</f>
        <v>0</v>
      </c>
      <c r="IA222" s="418" t="n">
        <v>212</v>
      </c>
    </row>
    <row r="223" customFormat="false" ht="12.75" hidden="false" customHeight="false" outlineLevel="0" collapsed="false">
      <c r="A223" s="473"/>
      <c r="B223" s="467"/>
      <c r="C223" s="420" t="n">
        <v>3.6625</v>
      </c>
      <c r="D223" s="420" t="n">
        <v>0.15</v>
      </c>
      <c r="E223" s="420" t="n">
        <v>0.070661623873771</v>
      </c>
      <c r="F223" s="420"/>
      <c r="G223" s="420" t="n">
        <v>-0.0499519</v>
      </c>
      <c r="H223" s="420"/>
      <c r="I223" s="420"/>
      <c r="J223" s="420" t="n">
        <v>0.305</v>
      </c>
      <c r="K223" s="420" t="n">
        <v>0.3375</v>
      </c>
      <c r="L223" s="420" t="n">
        <v>0</v>
      </c>
      <c r="M223" s="420" t="n">
        <v>0</v>
      </c>
      <c r="N223" s="420" t="n">
        <v>0</v>
      </c>
      <c r="O223" s="420"/>
      <c r="P223" s="420" t="n">
        <v>0</v>
      </c>
      <c r="Q223" s="420" t="n">
        <v>0</v>
      </c>
      <c r="R223" s="418" t="n">
        <v>0</v>
      </c>
      <c r="S223" s="418"/>
      <c r="T223" s="418"/>
      <c r="U223" s="418" t="n">
        <v>-0.0165</v>
      </c>
      <c r="V223" s="418" t="n">
        <v>0</v>
      </c>
      <c r="W223" s="418" t="n">
        <v>0</v>
      </c>
      <c r="X223" s="418" t="n">
        <v>1.19</v>
      </c>
      <c r="Y223" s="418" t="n">
        <v>0</v>
      </c>
      <c r="Z223" s="418" t="n">
        <v>-0.19</v>
      </c>
      <c r="AA223" s="418" t="n">
        <v>0</v>
      </c>
      <c r="AB223" s="437" t="n">
        <v>0.12</v>
      </c>
      <c r="AC223" s="437" t="n">
        <v>0.8</v>
      </c>
      <c r="AD223" s="437"/>
      <c r="AE223" s="438" t="n">
        <v>0.15</v>
      </c>
      <c r="AF223" s="438" t="n">
        <v>0.15</v>
      </c>
      <c r="AG223" s="438" t="n">
        <v>0.165</v>
      </c>
      <c r="AH223" s="438" t="n">
        <v>0.15</v>
      </c>
      <c r="AI223" s="438" t="n">
        <v>0.153</v>
      </c>
      <c r="AJ223" s="438" t="n">
        <v>0.15</v>
      </c>
      <c r="AK223" s="438" t="n">
        <v>0.15</v>
      </c>
      <c r="AL223" s="438" t="n">
        <v>0.15</v>
      </c>
      <c r="AM223" s="438" t="n">
        <v>0.15</v>
      </c>
      <c r="AN223" s="438" t="n">
        <v>0.15</v>
      </c>
      <c r="AO223" s="438" t="n">
        <v>0.15</v>
      </c>
      <c r="AP223" s="439" t="n">
        <v>0.15</v>
      </c>
      <c r="AQ223" s="439" t="n">
        <v>0.15</v>
      </c>
      <c r="AR223" s="439" t="n">
        <v>0.15</v>
      </c>
      <c r="AS223" s="439" t="n">
        <v>0.15</v>
      </c>
      <c r="AT223" s="438" t="n">
        <v>0.15</v>
      </c>
      <c r="AU223" s="438" t="n">
        <v>0.15</v>
      </c>
      <c r="AV223" s="438" t="n">
        <v>0.165</v>
      </c>
      <c r="AW223" s="418" t="n">
        <v>0.070555478216732</v>
      </c>
      <c r="AX223" s="418"/>
      <c r="AY223" s="437" t="n">
        <f aca="false">AG223</f>
        <v>0.165</v>
      </c>
      <c r="AZ223" s="437" t="n">
        <f aca="false">AG223</f>
        <v>0.165</v>
      </c>
      <c r="BA223" s="441" t="n">
        <f aca="false">AG223</f>
        <v>0.165</v>
      </c>
      <c r="BB223" s="442" t="n">
        <f aca="false">B223</f>
        <v>0</v>
      </c>
      <c r="BC223" s="442" t="n">
        <v>0.300011333189191</v>
      </c>
      <c r="BD223" s="418" t="n">
        <v>0.300068589270654</v>
      </c>
      <c r="BF223" s="455" t="n">
        <v>43070</v>
      </c>
      <c r="BG223" s="66" t="n">
        <v>211</v>
      </c>
      <c r="HZ223" s="442" t="n">
        <f aca="false">B225</f>
        <v>0</v>
      </c>
      <c r="IA223" s="418" t="n">
        <v>213</v>
      </c>
    </row>
    <row r="224" customFormat="false" ht="12.75" hidden="false" customHeight="false" outlineLevel="0" collapsed="false">
      <c r="A224" s="470"/>
      <c r="B224" s="467"/>
      <c r="C224" s="420" t="n">
        <v>3.9845</v>
      </c>
      <c r="D224" s="420" t="n">
        <v>0.15</v>
      </c>
      <c r="E224" s="420" t="n">
        <v>0.070662789889436</v>
      </c>
      <c r="F224" s="420"/>
      <c r="G224" s="420" t="n">
        <v>-0.0449551</v>
      </c>
      <c r="H224" s="420"/>
      <c r="I224" s="420"/>
      <c r="J224" s="420" t="n">
        <v>0.305</v>
      </c>
      <c r="K224" s="420" t="n">
        <v>0.4375</v>
      </c>
      <c r="L224" s="420" t="n">
        <v>0</v>
      </c>
      <c r="M224" s="420" t="n">
        <v>0</v>
      </c>
      <c r="N224" s="420" t="n">
        <v>0</v>
      </c>
      <c r="O224" s="420"/>
      <c r="P224" s="420" t="n">
        <v>0</v>
      </c>
      <c r="Q224" s="420" t="n">
        <v>0</v>
      </c>
      <c r="R224" s="418" t="n">
        <v>0</v>
      </c>
      <c r="S224" s="418"/>
      <c r="T224" s="418"/>
      <c r="U224" s="418" t="n">
        <v>-0.0165</v>
      </c>
      <c r="V224" s="418" t="n">
        <v>0</v>
      </c>
      <c r="W224" s="418" t="n">
        <v>0</v>
      </c>
      <c r="X224" s="418" t="n">
        <v>1.525</v>
      </c>
      <c r="Y224" s="418" t="n">
        <v>0</v>
      </c>
      <c r="Z224" s="418" t="n">
        <v>-0.19</v>
      </c>
      <c r="AA224" s="418" t="n">
        <v>0</v>
      </c>
      <c r="AB224" s="437" t="n">
        <v>0.12</v>
      </c>
      <c r="AC224" s="437" t="n">
        <v>0.975</v>
      </c>
      <c r="AD224" s="437"/>
      <c r="AE224" s="438" t="n">
        <v>0.15</v>
      </c>
      <c r="AF224" s="438" t="n">
        <v>0.15</v>
      </c>
      <c r="AG224" s="438" t="n">
        <v>0.165</v>
      </c>
      <c r="AH224" s="438" t="n">
        <v>0.15</v>
      </c>
      <c r="AI224" s="438" t="n">
        <v>0.153</v>
      </c>
      <c r="AJ224" s="438" t="n">
        <v>0.15</v>
      </c>
      <c r="AK224" s="438" t="n">
        <v>0.15</v>
      </c>
      <c r="AL224" s="438" t="n">
        <v>0.15</v>
      </c>
      <c r="AM224" s="438" t="n">
        <v>0.15</v>
      </c>
      <c r="AN224" s="438" t="n">
        <v>0.15</v>
      </c>
      <c r="AO224" s="438" t="n">
        <v>0.15</v>
      </c>
      <c r="AP224" s="439" t="n">
        <v>0.15</v>
      </c>
      <c r="AQ224" s="439" t="n">
        <v>0.15</v>
      </c>
      <c r="AR224" s="439" t="n">
        <v>0.15</v>
      </c>
      <c r="AS224" s="439" t="n">
        <v>0.15</v>
      </c>
      <c r="AT224" s="438" t="n">
        <v>0.15</v>
      </c>
      <c r="AU224" s="438" t="n">
        <v>0.15</v>
      </c>
      <c r="AV224" s="438" t="n">
        <v>0.165</v>
      </c>
      <c r="AW224" s="418" t="n">
        <v>0.070562431734485</v>
      </c>
      <c r="AX224" s="418"/>
      <c r="AY224" s="437" t="n">
        <f aca="false">AG224</f>
        <v>0.165</v>
      </c>
      <c r="AZ224" s="437" t="n">
        <f aca="false">AG224</f>
        <v>0.165</v>
      </c>
      <c r="BA224" s="441" t="n">
        <f aca="false">AG224</f>
        <v>0.165</v>
      </c>
      <c r="BB224" s="442" t="n">
        <f aca="false">B224</f>
        <v>0</v>
      </c>
      <c r="BC224" s="442" t="n">
        <v>0.298216963124913</v>
      </c>
      <c r="BD224" s="418" t="n">
        <v>0.298273880675888</v>
      </c>
      <c r="BF224" s="455" t="n">
        <v>43101</v>
      </c>
      <c r="BG224" s="66" t="n">
        <v>212</v>
      </c>
      <c r="HZ224" s="442" t="n">
        <f aca="false">B226</f>
        <v>0</v>
      </c>
      <c r="IA224" s="418" t="n">
        <v>214</v>
      </c>
    </row>
    <row r="225" customFormat="false" ht="12.75" hidden="false" customHeight="false" outlineLevel="0" collapsed="false">
      <c r="A225" s="470"/>
      <c r="B225" s="467"/>
      <c r="C225" s="420" t="n">
        <v>3.9025</v>
      </c>
      <c r="D225" s="420" t="n">
        <v>0.15</v>
      </c>
      <c r="E225" s="420" t="n">
        <v>0.070663955905103</v>
      </c>
      <c r="F225" s="420"/>
      <c r="G225" s="420" t="n">
        <v>-0.0199574</v>
      </c>
      <c r="H225" s="420"/>
      <c r="I225" s="420"/>
      <c r="J225" s="420" t="n">
        <v>0.305</v>
      </c>
      <c r="K225" s="420" t="n">
        <v>0.435</v>
      </c>
      <c r="L225" s="420" t="n">
        <v>0</v>
      </c>
      <c r="M225" s="420" t="n">
        <v>0</v>
      </c>
      <c r="N225" s="420" t="n">
        <v>0</v>
      </c>
      <c r="O225" s="420"/>
      <c r="P225" s="420" t="n">
        <v>0</v>
      </c>
      <c r="Q225" s="420" t="n">
        <v>0</v>
      </c>
      <c r="R225" s="418" t="n">
        <v>0</v>
      </c>
      <c r="S225" s="418"/>
      <c r="T225" s="418"/>
      <c r="U225" s="418" t="n">
        <v>-0.0165</v>
      </c>
      <c r="V225" s="418" t="n">
        <v>0</v>
      </c>
      <c r="W225" s="418" t="n">
        <v>0</v>
      </c>
      <c r="X225" s="418" t="n">
        <v>1.455</v>
      </c>
      <c r="Y225" s="418" t="n">
        <v>0</v>
      </c>
      <c r="Z225" s="418" t="n">
        <v>-0.19</v>
      </c>
      <c r="AA225" s="418" t="n">
        <v>0</v>
      </c>
      <c r="AB225" s="437" t="n">
        <v>0.12</v>
      </c>
      <c r="AC225" s="437" t="n">
        <v>0.975</v>
      </c>
      <c r="AD225" s="437"/>
      <c r="AE225" s="438" t="n">
        <v>0.15</v>
      </c>
      <c r="AF225" s="438" t="n">
        <v>0.15</v>
      </c>
      <c r="AG225" s="438" t="n">
        <v>0.165</v>
      </c>
      <c r="AH225" s="438" t="n">
        <v>0.15</v>
      </c>
      <c r="AI225" s="438" t="n">
        <v>0.153</v>
      </c>
      <c r="AJ225" s="438" t="n">
        <v>0.15</v>
      </c>
      <c r="AK225" s="438" t="n">
        <v>0.15</v>
      </c>
      <c r="AL225" s="438" t="n">
        <v>0.15</v>
      </c>
      <c r="AM225" s="438" t="n">
        <v>0.15</v>
      </c>
      <c r="AN225" s="438" t="n">
        <v>0.15</v>
      </c>
      <c r="AO225" s="438" t="n">
        <v>0.15</v>
      </c>
      <c r="AP225" s="439" t="n">
        <v>0.15</v>
      </c>
      <c r="AQ225" s="439" t="n">
        <v>0.15</v>
      </c>
      <c r="AR225" s="439" t="n">
        <v>0.15</v>
      </c>
      <c r="AS225" s="439" t="n">
        <v>0.15</v>
      </c>
      <c r="AT225" s="438" t="n">
        <v>0.15</v>
      </c>
      <c r="AU225" s="438" t="n">
        <v>0.15</v>
      </c>
      <c r="AV225" s="438" t="n">
        <v>0.165</v>
      </c>
      <c r="AW225" s="418" t="n">
        <v>0.070569385252254</v>
      </c>
      <c r="AX225" s="418"/>
      <c r="AY225" s="437" t="n">
        <f aca="false">AG225</f>
        <v>0.165</v>
      </c>
      <c r="AZ225" s="437" t="n">
        <f aca="false">AG225</f>
        <v>0.165</v>
      </c>
      <c r="BA225" s="441" t="n">
        <f aca="false">AG225</f>
        <v>0.165</v>
      </c>
      <c r="BB225" s="442" t="n">
        <f aca="false">B225</f>
        <v>0</v>
      </c>
      <c r="BC225" s="442" t="n">
        <v>0.296433083809028</v>
      </c>
      <c r="BD225" s="418" t="n">
        <v>0.296489664784747</v>
      </c>
      <c r="BF225" s="455" t="n">
        <v>43132</v>
      </c>
      <c r="BG225" s="66" t="n">
        <v>213</v>
      </c>
      <c r="HZ225" s="442" t="n">
        <f aca="false">B227</f>
        <v>0</v>
      </c>
      <c r="IA225" s="418" t="n">
        <v>215</v>
      </c>
    </row>
    <row r="226" customFormat="false" ht="12.75" hidden="false" customHeight="false" outlineLevel="0" collapsed="false">
      <c r="A226" s="470"/>
      <c r="B226" s="467"/>
      <c r="C226" s="420" t="n">
        <v>3.7775</v>
      </c>
      <c r="D226" s="420" t="n">
        <v>0.15</v>
      </c>
      <c r="E226" s="420" t="n">
        <v>0.070665009080543</v>
      </c>
      <c r="F226" s="420"/>
      <c r="G226" s="420" t="n">
        <v>-0.0099574</v>
      </c>
      <c r="H226" s="420"/>
      <c r="I226" s="420"/>
      <c r="J226" s="420" t="n">
        <v>0.265</v>
      </c>
      <c r="K226" s="420" t="n">
        <v>0.3025</v>
      </c>
      <c r="L226" s="420" t="n">
        <v>0</v>
      </c>
      <c r="M226" s="420" t="n">
        <v>0</v>
      </c>
      <c r="N226" s="420" t="n">
        <v>0</v>
      </c>
      <c r="O226" s="420"/>
      <c r="P226" s="420" t="n">
        <v>0</v>
      </c>
      <c r="Q226" s="420" t="n">
        <v>0</v>
      </c>
      <c r="R226" s="418" t="n">
        <v>0</v>
      </c>
      <c r="S226" s="418"/>
      <c r="T226" s="418"/>
      <c r="U226" s="418" t="n">
        <v>0.002</v>
      </c>
      <c r="V226" s="418" t="n">
        <v>0</v>
      </c>
      <c r="W226" s="418" t="n">
        <v>0</v>
      </c>
      <c r="X226" s="418" t="n">
        <v>0.835</v>
      </c>
      <c r="Y226" s="418" t="n">
        <v>0</v>
      </c>
      <c r="Z226" s="418" t="n">
        <v>-0.19</v>
      </c>
      <c r="AA226" s="418" t="n">
        <v>0</v>
      </c>
      <c r="AB226" s="437" t="n">
        <v>0.12</v>
      </c>
      <c r="AC226" s="437" t="n">
        <v>0.6075</v>
      </c>
      <c r="AD226" s="437"/>
      <c r="AE226" s="438" t="n">
        <v>0.15</v>
      </c>
      <c r="AF226" s="438" t="n">
        <v>0.15</v>
      </c>
      <c r="AG226" s="438" t="n">
        <v>0.165</v>
      </c>
      <c r="AH226" s="438" t="n">
        <v>0.15</v>
      </c>
      <c r="AI226" s="438" t="n">
        <v>0.153</v>
      </c>
      <c r="AJ226" s="438" t="n">
        <v>0.15</v>
      </c>
      <c r="AK226" s="438" t="n">
        <v>0.15</v>
      </c>
      <c r="AL226" s="438" t="n">
        <v>0.15</v>
      </c>
      <c r="AM226" s="438" t="n">
        <v>0.15</v>
      </c>
      <c r="AN226" s="438" t="n">
        <v>0.15</v>
      </c>
      <c r="AO226" s="438" t="n">
        <v>0.15</v>
      </c>
      <c r="AP226" s="439" t="n">
        <v>0.15</v>
      </c>
      <c r="AQ226" s="439" t="n">
        <v>0.15</v>
      </c>
      <c r="AR226" s="439" t="n">
        <v>0.15</v>
      </c>
      <c r="AS226" s="439" t="n">
        <v>0.15</v>
      </c>
      <c r="AT226" s="438" t="n">
        <v>0.15</v>
      </c>
      <c r="AU226" s="438" t="n">
        <v>0.15</v>
      </c>
      <c r="AV226" s="438" t="n">
        <v>0.165</v>
      </c>
      <c r="AW226" s="418" t="n">
        <v>0.070575665848962</v>
      </c>
      <c r="AX226" s="418"/>
      <c r="AY226" s="437" t="n">
        <f aca="false">AG226</f>
        <v>0.165</v>
      </c>
      <c r="AZ226" s="437" t="n">
        <f aca="false">AG226</f>
        <v>0.165</v>
      </c>
      <c r="BA226" s="441" t="n">
        <f aca="false">AG226</f>
        <v>0.165</v>
      </c>
      <c r="BB226" s="442" t="n">
        <f aca="false">B226</f>
        <v>0</v>
      </c>
      <c r="BC226" s="442" t="n">
        <v>0.294830805202544</v>
      </c>
      <c r="BD226" s="418" t="n">
        <v>0.294887083846208</v>
      </c>
      <c r="BF226" s="455" t="n">
        <v>43160</v>
      </c>
      <c r="BG226" s="66" t="n">
        <v>214</v>
      </c>
      <c r="HZ226" s="442" t="n">
        <f aca="false">B228</f>
        <v>0</v>
      </c>
      <c r="IA226" s="418" t="n">
        <v>216</v>
      </c>
    </row>
    <row r="227" customFormat="false" ht="12.75" hidden="false" customHeight="false" outlineLevel="0" collapsed="false">
      <c r="A227" s="470"/>
      <c r="B227" s="467"/>
      <c r="C227" s="420" t="n">
        <v>3.6445</v>
      </c>
      <c r="D227" s="420" t="n">
        <v>0.15</v>
      </c>
      <c r="E227" s="420" t="n">
        <v>0.07066617509621</v>
      </c>
      <c r="F227" s="420"/>
      <c r="G227" s="420" t="n">
        <v>0.0499766</v>
      </c>
      <c r="H227" s="420"/>
      <c r="I227" s="420"/>
      <c r="J227" s="420" t="n">
        <v>0.195</v>
      </c>
      <c r="K227" s="420" t="n">
        <v>0.25</v>
      </c>
      <c r="L227" s="420" t="n">
        <v>0</v>
      </c>
      <c r="M227" s="420" t="n">
        <v>0</v>
      </c>
      <c r="N227" s="420" t="n">
        <v>0</v>
      </c>
      <c r="O227" s="420"/>
      <c r="P227" s="420" t="n">
        <v>0</v>
      </c>
      <c r="Q227" s="420" t="n">
        <v>0</v>
      </c>
      <c r="R227" s="418" t="n">
        <v>0</v>
      </c>
      <c r="S227" s="418"/>
      <c r="T227" s="418"/>
      <c r="U227" s="436" t="n">
        <v>0.002</v>
      </c>
      <c r="V227" s="418" t="n">
        <v>0</v>
      </c>
      <c r="W227" s="418" t="n">
        <v>0</v>
      </c>
      <c r="X227" s="418" t="n">
        <v>0.45</v>
      </c>
      <c r="Y227" s="418" t="n">
        <v>0</v>
      </c>
      <c r="Z227" s="418" t="n">
        <v>-0.19</v>
      </c>
      <c r="AA227" s="418" t="n">
        <v>0</v>
      </c>
      <c r="AB227" s="437" t="n">
        <v>0.295</v>
      </c>
      <c r="AC227" s="437" t="n">
        <v>0.355</v>
      </c>
      <c r="AD227" s="437"/>
      <c r="AE227" s="437" t="n">
        <v>0.15</v>
      </c>
      <c r="AF227" s="438" t="n">
        <v>0.15</v>
      </c>
      <c r="AG227" s="438" t="n">
        <v>0.147</v>
      </c>
      <c r="AH227" s="438" t="n">
        <v>0.15</v>
      </c>
      <c r="AI227" s="438" t="n">
        <v>0.153</v>
      </c>
      <c r="AJ227" s="438" t="n">
        <v>0.15</v>
      </c>
      <c r="AK227" s="438" t="n">
        <v>0.147</v>
      </c>
      <c r="AL227" s="438" t="n">
        <v>0.147</v>
      </c>
      <c r="AM227" s="438" t="n">
        <v>0.15</v>
      </c>
      <c r="AN227" s="438" t="n">
        <v>0.15</v>
      </c>
      <c r="AO227" s="438" t="n">
        <v>0.15</v>
      </c>
      <c r="AP227" s="439" t="n">
        <v>0.15</v>
      </c>
      <c r="AQ227" s="439" t="n">
        <v>0.15</v>
      </c>
      <c r="AR227" s="439" t="n">
        <v>0.15</v>
      </c>
      <c r="AS227" s="439" t="n">
        <v>0.15</v>
      </c>
      <c r="AT227" s="438" t="n">
        <v>0.15</v>
      </c>
      <c r="AU227" s="438" t="n">
        <v>0.15</v>
      </c>
      <c r="AV227" s="438" t="n">
        <v>0.147</v>
      </c>
      <c r="AW227" s="418" t="n">
        <v>0.070582619366762</v>
      </c>
      <c r="AX227" s="418"/>
      <c r="AY227" s="437" t="n">
        <f aca="false">AG227</f>
        <v>0.147</v>
      </c>
      <c r="AZ227" s="437" t="n">
        <f aca="false">AG227</f>
        <v>0.147</v>
      </c>
      <c r="BA227" s="441" t="n">
        <f aca="false">AG227</f>
        <v>0.147</v>
      </c>
      <c r="BB227" s="442" t="n">
        <f aca="false">B227</f>
        <v>0</v>
      </c>
      <c r="BC227" s="442" t="n">
        <v>0.293066727058782</v>
      </c>
      <c r="BD227" s="418" t="n">
        <v>0.293122672818065</v>
      </c>
      <c r="BF227" s="455" t="n">
        <v>43191</v>
      </c>
      <c r="BG227" s="66" t="n">
        <v>215</v>
      </c>
      <c r="HZ227" s="442" t="n">
        <f aca="false">B229</f>
        <v>0</v>
      </c>
      <c r="IA227" s="418" t="n">
        <v>217</v>
      </c>
    </row>
    <row r="228" customFormat="false" ht="12.75" hidden="false" customHeight="false" outlineLevel="0" collapsed="false">
      <c r="A228" s="470"/>
      <c r="B228" s="467"/>
      <c r="C228" s="420" t="n">
        <v>3.6475</v>
      </c>
      <c r="D228" s="420" t="n">
        <v>0.15</v>
      </c>
      <c r="E228" s="420" t="n">
        <v>0.070667303498469</v>
      </c>
      <c r="F228" s="420"/>
      <c r="G228" s="420" t="n">
        <v>0.0499681</v>
      </c>
      <c r="H228" s="420"/>
      <c r="I228" s="420"/>
      <c r="J228" s="420" t="n">
        <v>0.1825</v>
      </c>
      <c r="K228" s="420" t="n">
        <v>0.2025</v>
      </c>
      <c r="L228" s="420" t="n">
        <v>0</v>
      </c>
      <c r="M228" s="420" t="n">
        <v>0</v>
      </c>
      <c r="N228" s="420" t="n">
        <v>0</v>
      </c>
      <c r="O228" s="420"/>
      <c r="P228" s="420" t="n">
        <v>0</v>
      </c>
      <c r="Q228" s="420" t="n">
        <v>0</v>
      </c>
      <c r="R228" s="418" t="n">
        <v>0</v>
      </c>
      <c r="S228" s="418"/>
      <c r="T228" s="418"/>
      <c r="U228" s="436" t="n">
        <v>0.00175</v>
      </c>
      <c r="V228" s="418" t="n">
        <v>0</v>
      </c>
      <c r="W228" s="418" t="n">
        <v>0</v>
      </c>
      <c r="X228" s="418" t="n">
        <v>0.405</v>
      </c>
      <c r="Y228" s="418" t="n">
        <v>0</v>
      </c>
      <c r="Z228" s="418" t="n">
        <v>-0.19</v>
      </c>
      <c r="AA228" s="418" t="n">
        <v>0</v>
      </c>
      <c r="AB228" s="437" t="n">
        <v>0.295</v>
      </c>
      <c r="AC228" s="437" t="n">
        <v>0.2875</v>
      </c>
      <c r="AD228" s="437"/>
      <c r="AE228" s="437" t="n">
        <v>0.15</v>
      </c>
      <c r="AF228" s="418" t="n">
        <v>0.15</v>
      </c>
      <c r="AG228" s="418" t="n">
        <v>0.147</v>
      </c>
      <c r="AH228" s="440" t="n">
        <v>0.15</v>
      </c>
      <c r="AI228" s="440" t="n">
        <v>0.153</v>
      </c>
      <c r="AJ228" s="440" t="n">
        <v>0.15</v>
      </c>
      <c r="AK228" s="418" t="n">
        <v>0.147</v>
      </c>
      <c r="AL228" s="418" t="n">
        <v>0.147</v>
      </c>
      <c r="AM228" s="440" t="n">
        <v>0.15</v>
      </c>
      <c r="AN228" s="418" t="n">
        <v>0.15</v>
      </c>
      <c r="AO228" s="418" t="n">
        <v>0.15</v>
      </c>
      <c r="AP228" s="437" t="n">
        <v>0.15</v>
      </c>
      <c r="AQ228" s="437" t="n">
        <v>0.15</v>
      </c>
      <c r="AR228" s="437" t="n">
        <v>0.15</v>
      </c>
      <c r="AS228" s="437" t="n">
        <v>0.15</v>
      </c>
      <c r="AT228" s="418" t="n">
        <v>0.15</v>
      </c>
      <c r="AU228" s="418" t="n">
        <v>0.15</v>
      </c>
      <c r="AV228" s="418" t="n">
        <v>0.147</v>
      </c>
      <c r="AW228" s="418" t="n">
        <v>0.07058934857755</v>
      </c>
      <c r="AX228" s="418"/>
      <c r="AY228" s="437" t="n">
        <f aca="false">AG228</f>
        <v>0.147</v>
      </c>
      <c r="AZ228" s="437" t="n">
        <f aca="false">AG228</f>
        <v>0.147</v>
      </c>
      <c r="BA228" s="441" t="n">
        <f aca="false">AG228</f>
        <v>0.147</v>
      </c>
      <c r="BB228" s="442" t="n">
        <f aca="false">B228</f>
        <v>0</v>
      </c>
      <c r="BC228" s="442" t="n">
        <v>0.291369379270726</v>
      </c>
      <c r="BD228" s="418" t="n">
        <v>0.291425004715303</v>
      </c>
      <c r="BF228" s="455" t="n">
        <v>43221</v>
      </c>
      <c r="BG228" s="66" t="n">
        <v>216</v>
      </c>
      <c r="HZ228" s="442" t="n">
        <f aca="false">B230</f>
        <v>0</v>
      </c>
      <c r="IA228" s="418" t="n">
        <v>218</v>
      </c>
    </row>
    <row r="229" customFormat="false" ht="12.75" hidden="false" customHeight="false" outlineLevel="0" collapsed="false">
      <c r="A229" s="470"/>
      <c r="B229" s="467"/>
      <c r="C229" s="420" t="n">
        <v>3.6825</v>
      </c>
      <c r="D229" s="420" t="n">
        <v>0.15</v>
      </c>
      <c r="E229" s="420" t="n">
        <v>0.070668469514136</v>
      </c>
      <c r="F229" s="420"/>
      <c r="G229" s="420" t="n">
        <v>0.0499681</v>
      </c>
      <c r="H229" s="420"/>
      <c r="I229" s="420"/>
      <c r="J229" s="420" t="n">
        <v>0.1825</v>
      </c>
      <c r="K229" s="420" t="n">
        <v>0.2025</v>
      </c>
      <c r="L229" s="420" t="n">
        <v>0</v>
      </c>
      <c r="M229" s="420" t="n">
        <v>0</v>
      </c>
      <c r="N229" s="420" t="n">
        <v>0</v>
      </c>
      <c r="O229" s="420"/>
      <c r="P229" s="420" t="n">
        <v>0</v>
      </c>
      <c r="Q229" s="420" t="n">
        <v>0</v>
      </c>
      <c r="R229" s="418" t="n">
        <v>0</v>
      </c>
      <c r="S229" s="418"/>
      <c r="T229" s="418"/>
      <c r="U229" s="436" t="n">
        <v>0.00175</v>
      </c>
      <c r="V229" s="418" t="n">
        <v>0</v>
      </c>
      <c r="W229" s="418" t="n">
        <v>0</v>
      </c>
      <c r="X229" s="418" t="n">
        <v>0.395</v>
      </c>
      <c r="Y229" s="418" t="n">
        <v>0</v>
      </c>
      <c r="Z229" s="418" t="n">
        <v>-0.19</v>
      </c>
      <c r="AA229" s="418" t="n">
        <v>0</v>
      </c>
      <c r="AB229" s="437" t="n">
        <v>0.295</v>
      </c>
      <c r="AC229" s="437" t="n">
        <v>0.2875</v>
      </c>
      <c r="AD229" s="437"/>
      <c r="AE229" s="437" t="n">
        <v>0.15</v>
      </c>
      <c r="AF229" s="418" t="n">
        <v>0.15</v>
      </c>
      <c r="AG229" s="418" t="n">
        <v>0.147</v>
      </c>
      <c r="AH229" s="440" t="n">
        <v>0.15</v>
      </c>
      <c r="AI229" s="440" t="n">
        <v>0.153</v>
      </c>
      <c r="AJ229" s="440" t="n">
        <v>0.15</v>
      </c>
      <c r="AK229" s="418" t="n">
        <v>0.147</v>
      </c>
      <c r="AL229" s="418" t="n">
        <v>0.147</v>
      </c>
      <c r="AM229" s="440" t="n">
        <v>0.15</v>
      </c>
      <c r="AN229" s="418" t="n">
        <v>0.15</v>
      </c>
      <c r="AO229" s="418" t="n">
        <v>0.15</v>
      </c>
      <c r="AP229" s="437" t="n">
        <v>0.15</v>
      </c>
      <c r="AQ229" s="437" t="n">
        <v>0.15</v>
      </c>
      <c r="AR229" s="437" t="n">
        <v>0.15</v>
      </c>
      <c r="AS229" s="437" t="n">
        <v>0.15</v>
      </c>
      <c r="AT229" s="418" t="n">
        <v>0.15</v>
      </c>
      <c r="AU229" s="418" t="n">
        <v>0.15</v>
      </c>
      <c r="AV229" s="418" t="n">
        <v>0.147</v>
      </c>
      <c r="AW229" s="418" t="n">
        <v>0.070596302095381</v>
      </c>
      <c r="AX229" s="418"/>
      <c r="AY229" s="437" t="n">
        <f aca="false">AG229</f>
        <v>0.147</v>
      </c>
      <c r="AZ229" s="437" t="n">
        <f aca="false">AG229</f>
        <v>0.147</v>
      </c>
      <c r="BA229" s="441" t="n">
        <f aca="false">AG229</f>
        <v>0.147</v>
      </c>
      <c r="BB229" s="442" t="n">
        <f aca="false">B229</f>
        <v>0</v>
      </c>
      <c r="BC229" s="442" t="n">
        <v>0.28962554799157</v>
      </c>
      <c r="BD229" s="418" t="n">
        <v>0.289680844326256</v>
      </c>
      <c r="BF229" s="455" t="n">
        <v>43252</v>
      </c>
      <c r="BG229" s="66" t="n">
        <v>217</v>
      </c>
      <c r="HZ229" s="442" t="n">
        <f aca="false">B231</f>
        <v>0</v>
      </c>
      <c r="IA229" s="418" t="n">
        <v>219</v>
      </c>
    </row>
    <row r="230" customFormat="false" ht="12.75" hidden="false" customHeight="false" outlineLevel="0" collapsed="false">
      <c r="A230" s="470"/>
      <c r="B230" s="467"/>
      <c r="C230" s="420" t="n">
        <v>3.7045</v>
      </c>
      <c r="D230" s="420" t="n">
        <v>0.15</v>
      </c>
      <c r="E230" s="420" t="n">
        <v>0.070669597916396</v>
      </c>
      <c r="F230" s="420"/>
      <c r="G230" s="420" t="n">
        <v>0.0499681</v>
      </c>
      <c r="H230" s="420"/>
      <c r="I230" s="420"/>
      <c r="J230" s="420" t="n">
        <v>0.1825</v>
      </c>
      <c r="K230" s="420" t="n">
        <v>0.215</v>
      </c>
      <c r="L230" s="420" t="n">
        <v>0</v>
      </c>
      <c r="M230" s="420" t="n">
        <v>0</v>
      </c>
      <c r="N230" s="420" t="n">
        <v>0</v>
      </c>
      <c r="O230" s="420"/>
      <c r="P230" s="420" t="n">
        <v>0</v>
      </c>
      <c r="Q230" s="420" t="n">
        <v>0</v>
      </c>
      <c r="R230" s="418" t="n">
        <v>0</v>
      </c>
      <c r="S230" s="418"/>
      <c r="T230" s="418"/>
      <c r="U230" s="436" t="n">
        <v>0.00175</v>
      </c>
      <c r="V230" s="418" t="n">
        <v>0</v>
      </c>
      <c r="W230" s="418" t="n">
        <v>0</v>
      </c>
      <c r="X230" s="418" t="n">
        <v>0.43</v>
      </c>
      <c r="Y230" s="418" t="n">
        <v>0</v>
      </c>
      <c r="Z230" s="418" t="n">
        <v>-0.19</v>
      </c>
      <c r="AA230" s="418" t="n">
        <v>0</v>
      </c>
      <c r="AB230" s="437" t="n">
        <v>0.295</v>
      </c>
      <c r="AC230" s="437" t="n">
        <v>0.3</v>
      </c>
      <c r="AD230" s="437"/>
      <c r="AE230" s="437"/>
      <c r="AF230" s="418"/>
      <c r="AG230" s="418"/>
      <c r="AH230" s="440"/>
      <c r="AI230" s="440"/>
      <c r="AJ230" s="440"/>
      <c r="AK230" s="418"/>
      <c r="AL230" s="418"/>
      <c r="AM230" s="440"/>
      <c r="AN230" s="418"/>
      <c r="AO230" s="418"/>
      <c r="AP230" s="437"/>
      <c r="AQ230" s="437"/>
      <c r="AR230" s="437"/>
      <c r="AS230" s="437"/>
      <c r="AT230" s="418"/>
      <c r="AU230" s="418"/>
      <c r="AV230" s="418"/>
      <c r="AW230" s="418" t="n">
        <v>0.0706030313062</v>
      </c>
      <c r="AX230" s="418"/>
      <c r="AY230" s="437" t="n">
        <f aca="false">AG230</f>
        <v>0</v>
      </c>
      <c r="AZ230" s="437" t="n">
        <f aca="false">AG230</f>
        <v>0</v>
      </c>
      <c r="BA230" s="441" t="n">
        <f aca="false">AG230</f>
        <v>0</v>
      </c>
      <c r="BB230" s="442" t="n">
        <f aca="false">B230</f>
        <v>0</v>
      </c>
      <c r="BC230" s="442" t="n">
        <v>0.287947683890035</v>
      </c>
      <c r="BD230" s="418" t="n">
        <v>0.288002663542497</v>
      </c>
      <c r="BF230" s="455" t="n">
        <v>43282</v>
      </c>
      <c r="BG230" s="66" t="n">
        <v>218</v>
      </c>
      <c r="HZ230" s="442" t="n">
        <f aca="false">B232</f>
        <v>0</v>
      </c>
      <c r="IA230" s="418" t="n">
        <v>220</v>
      </c>
    </row>
    <row r="231" customFormat="false" ht="12.75" hidden="false" customHeight="false" outlineLevel="0" collapsed="false">
      <c r="A231" s="470"/>
      <c r="B231" s="467"/>
      <c r="C231" s="420" t="n">
        <v>3.7255</v>
      </c>
      <c r="D231" s="420" t="n">
        <v>0.15</v>
      </c>
      <c r="E231" s="420" t="n">
        <v>0.070670763932065</v>
      </c>
      <c r="F231" s="420"/>
      <c r="G231" s="420" t="n">
        <v>0.0499681</v>
      </c>
      <c r="H231" s="420"/>
      <c r="I231" s="420"/>
      <c r="J231" s="420" t="n">
        <v>0.1825</v>
      </c>
      <c r="K231" s="420" t="n">
        <v>0.215</v>
      </c>
      <c r="L231" s="420" t="n">
        <v>0</v>
      </c>
      <c r="M231" s="420" t="n">
        <v>0</v>
      </c>
      <c r="N231" s="420" t="n">
        <v>0</v>
      </c>
      <c r="O231" s="420"/>
      <c r="P231" s="420" t="n">
        <v>0</v>
      </c>
      <c r="Q231" s="420" t="n">
        <v>0</v>
      </c>
      <c r="R231" s="418" t="n">
        <v>0</v>
      </c>
      <c r="S231" s="418"/>
      <c r="T231" s="418"/>
      <c r="U231" s="436" t="n">
        <v>0.00175</v>
      </c>
      <c r="V231" s="418" t="n">
        <v>0</v>
      </c>
      <c r="W231" s="418" t="n">
        <v>0</v>
      </c>
      <c r="X231" s="418" t="n">
        <v>0.495</v>
      </c>
      <c r="Y231" s="418" t="n">
        <v>0</v>
      </c>
      <c r="Z231" s="418" t="n">
        <v>-0.19</v>
      </c>
      <c r="AA231" s="418" t="n">
        <v>0</v>
      </c>
      <c r="AB231" s="437" t="n">
        <v>0.295</v>
      </c>
      <c r="AC231" s="437" t="n">
        <v>0.3</v>
      </c>
      <c r="AD231" s="437"/>
      <c r="AE231" s="437"/>
      <c r="AF231" s="418"/>
      <c r="AG231" s="418"/>
      <c r="AH231" s="440"/>
      <c r="AI231" s="440"/>
      <c r="AJ231" s="440"/>
      <c r="AK231" s="418"/>
      <c r="AL231" s="418"/>
      <c r="AM231" s="440"/>
      <c r="AN231" s="418"/>
      <c r="AO231" s="418"/>
      <c r="AP231" s="437"/>
      <c r="AQ231" s="437"/>
      <c r="AR231" s="437"/>
      <c r="AS231" s="437"/>
      <c r="AT231" s="418"/>
      <c r="AU231" s="418"/>
      <c r="AV231" s="418"/>
      <c r="AW231" s="418" t="n">
        <v>0.070609984824062</v>
      </c>
      <c r="AX231" s="418"/>
      <c r="AY231" s="437" t="n">
        <f aca="false">AG231</f>
        <v>0</v>
      </c>
      <c r="AZ231" s="437" t="n">
        <f aca="false">AG231</f>
        <v>0</v>
      </c>
      <c r="BA231" s="441" t="n">
        <f aca="false">AG231</f>
        <v>0</v>
      </c>
      <c r="BB231" s="442" t="n">
        <f aca="false">B231</f>
        <v>0</v>
      </c>
      <c r="BC231" s="442" t="n">
        <v>0.286223872657323</v>
      </c>
      <c r="BD231" s="418" t="n">
        <v>0.286278526932642</v>
      </c>
      <c r="BF231" s="455" t="n">
        <v>43313</v>
      </c>
      <c r="BG231" s="66" t="n">
        <v>219</v>
      </c>
      <c r="HZ231" s="442" t="n">
        <f aca="false">B233</f>
        <v>0</v>
      </c>
      <c r="IA231" s="418" t="n">
        <v>221</v>
      </c>
    </row>
    <row r="232" customFormat="false" ht="12.75" hidden="false" customHeight="false" outlineLevel="0" collapsed="false">
      <c r="A232" s="470"/>
      <c r="B232" s="467"/>
      <c r="C232" s="420" t="n">
        <v>3.6935</v>
      </c>
      <c r="D232" s="420" t="n">
        <v>0.15</v>
      </c>
      <c r="E232" s="420" t="n">
        <v>0.070671929947734</v>
      </c>
      <c r="F232" s="420"/>
      <c r="G232" s="420" t="n">
        <v>0.0499681</v>
      </c>
      <c r="H232" s="420"/>
      <c r="I232" s="420"/>
      <c r="J232" s="420" t="n">
        <v>0.1825</v>
      </c>
      <c r="K232" s="420" t="n">
        <v>0.195</v>
      </c>
      <c r="L232" s="420" t="n">
        <v>0</v>
      </c>
      <c r="M232" s="420" t="n">
        <v>0</v>
      </c>
      <c r="N232" s="420" t="n">
        <v>0</v>
      </c>
      <c r="O232" s="420"/>
      <c r="P232" s="420" t="n">
        <v>0</v>
      </c>
      <c r="Q232" s="420" t="n">
        <v>0</v>
      </c>
      <c r="R232" s="418" t="n">
        <v>0</v>
      </c>
      <c r="S232" s="418"/>
      <c r="T232" s="418"/>
      <c r="U232" s="436" t="n">
        <v>0.00175</v>
      </c>
      <c r="V232" s="418" t="n">
        <v>0</v>
      </c>
      <c r="W232" s="418" t="n">
        <v>0</v>
      </c>
      <c r="X232" s="418" t="n">
        <v>0.395</v>
      </c>
      <c r="Y232" s="418" t="n">
        <v>0</v>
      </c>
      <c r="Z232" s="418" t="n">
        <v>-0.19</v>
      </c>
      <c r="AA232" s="418" t="n">
        <v>0</v>
      </c>
      <c r="AB232" s="437" t="n">
        <v>0.295</v>
      </c>
      <c r="AC232" s="437" t="n">
        <v>0.29</v>
      </c>
      <c r="AD232" s="437"/>
      <c r="AE232" s="437"/>
      <c r="AF232" s="418"/>
      <c r="AG232" s="418"/>
      <c r="AH232" s="440"/>
      <c r="AI232" s="440"/>
      <c r="AJ232" s="440"/>
      <c r="AK232" s="418"/>
      <c r="AL232" s="418"/>
      <c r="AM232" s="440"/>
      <c r="AN232" s="418"/>
      <c r="AO232" s="418"/>
      <c r="AP232" s="437"/>
      <c r="AQ232" s="437"/>
      <c r="AR232" s="437"/>
      <c r="AS232" s="437"/>
      <c r="AT232" s="418"/>
      <c r="AU232" s="418"/>
      <c r="AV232" s="418"/>
      <c r="AW232" s="418" t="n">
        <v>0.070616938341941</v>
      </c>
      <c r="AX232" s="418"/>
      <c r="AY232" s="437" t="n">
        <f aca="false">AG232</f>
        <v>0</v>
      </c>
      <c r="AZ232" s="437" t="n">
        <f aca="false">AG232</f>
        <v>0</v>
      </c>
      <c r="BA232" s="441" t="n">
        <f aca="false">AG232</f>
        <v>0</v>
      </c>
      <c r="BB232" s="442" t="n">
        <f aca="false">B232</f>
        <v>0</v>
      </c>
      <c r="BC232" s="442" t="n">
        <v>0.28451014941716</v>
      </c>
      <c r="BD232" s="418" t="n">
        <v>0.284564480196457</v>
      </c>
      <c r="BF232" s="455" t="n">
        <v>43344</v>
      </c>
      <c r="BG232" s="66" t="n">
        <v>220</v>
      </c>
      <c r="HZ232" s="442" t="n">
        <f aca="false">B234</f>
        <v>0</v>
      </c>
      <c r="IA232" s="418" t="n">
        <v>222</v>
      </c>
    </row>
    <row r="233" customFormat="false" ht="12.75" hidden="false" customHeight="false" outlineLevel="0" collapsed="false">
      <c r="A233" s="470"/>
      <c r="B233" s="467"/>
      <c r="C233" s="420" t="n">
        <v>3.6935</v>
      </c>
      <c r="D233" s="420" t="n">
        <v>0.15</v>
      </c>
      <c r="E233" s="420" t="n">
        <v>0.07067305835</v>
      </c>
      <c r="F233" s="420"/>
      <c r="G233" s="420" t="n">
        <v>0.0499681</v>
      </c>
      <c r="H233" s="420"/>
      <c r="I233" s="420"/>
      <c r="J233" s="420" t="n">
        <v>0.1875</v>
      </c>
      <c r="K233" s="420" t="n">
        <v>0.215</v>
      </c>
      <c r="L233" s="420" t="n">
        <v>0</v>
      </c>
      <c r="M233" s="420" t="n">
        <v>0</v>
      </c>
      <c r="N233" s="420" t="n">
        <v>0</v>
      </c>
      <c r="O233" s="420"/>
      <c r="P233" s="420" t="n">
        <v>0</v>
      </c>
      <c r="Q233" s="420" t="n">
        <v>0</v>
      </c>
      <c r="R233" s="418" t="n">
        <v>0</v>
      </c>
      <c r="S233" s="418"/>
      <c r="T233" s="418"/>
      <c r="U233" s="436" t="n">
        <v>-0.0165</v>
      </c>
      <c r="V233" s="418" t="n">
        <v>0</v>
      </c>
      <c r="W233" s="418" t="n">
        <v>0</v>
      </c>
      <c r="X233" s="418" t="n">
        <v>0.461</v>
      </c>
      <c r="Y233" s="418" t="n">
        <v>0</v>
      </c>
      <c r="Z233" s="418" t="n">
        <v>-0.19</v>
      </c>
      <c r="AA233" s="418" t="n">
        <v>0</v>
      </c>
      <c r="AB233" s="437" t="n">
        <v>0.295</v>
      </c>
      <c r="AC233" s="437" t="n">
        <v>0.3625</v>
      </c>
      <c r="AD233" s="437"/>
      <c r="AE233" s="437"/>
      <c r="AF233" s="418"/>
      <c r="AG233" s="418"/>
      <c r="AH233" s="440"/>
      <c r="AI233" s="440"/>
      <c r="AJ233" s="440"/>
      <c r="AK233" s="418"/>
      <c r="AL233" s="418"/>
      <c r="AM233" s="440"/>
      <c r="AN233" s="418"/>
      <c r="AO233" s="418"/>
      <c r="AP233" s="437"/>
      <c r="AQ233" s="437"/>
      <c r="AR233" s="437"/>
      <c r="AS233" s="437"/>
      <c r="AT233" s="418"/>
      <c r="AU233" s="418"/>
      <c r="AV233" s="418"/>
      <c r="AW233" s="418" t="n">
        <v>0.070623667552806</v>
      </c>
      <c r="AX233" s="418"/>
      <c r="AY233" s="437" t="n">
        <f aca="false">AG233</f>
        <v>0</v>
      </c>
      <c r="AZ233" s="437" t="n">
        <f aca="false">AG233</f>
        <v>0</v>
      </c>
      <c r="BA233" s="441" t="n">
        <f aca="false">AG233</f>
        <v>0</v>
      </c>
      <c r="BB233" s="442" t="n">
        <f aca="false">B233</f>
        <v>0</v>
      </c>
      <c r="BC233" s="442" t="n">
        <v>0.282861258412878</v>
      </c>
      <c r="BD233" s="418" t="n">
        <v>0.282915277912593</v>
      </c>
      <c r="BF233" s="455" t="n">
        <v>43374</v>
      </c>
      <c r="BG233" s="66" t="n">
        <v>221</v>
      </c>
      <c r="HZ233" s="442" t="n">
        <f aca="false">B235</f>
        <v>0</v>
      </c>
      <c r="IA233" s="418" t="n">
        <v>223</v>
      </c>
    </row>
    <row r="234" customFormat="false" ht="12.75" hidden="false" customHeight="false" outlineLevel="0" collapsed="false">
      <c r="A234" s="470"/>
      <c r="B234" s="467"/>
      <c r="C234" s="420" t="n">
        <v>3.7105</v>
      </c>
      <c r="D234" s="420" t="n">
        <v>0.15</v>
      </c>
      <c r="E234" s="420" t="n">
        <v>0.070674224365665</v>
      </c>
      <c r="F234" s="420"/>
      <c r="G234" s="420" t="n">
        <v>-0.0299887</v>
      </c>
      <c r="H234" s="420"/>
      <c r="I234" s="420"/>
      <c r="J234" s="420" t="n">
        <v>0.27</v>
      </c>
      <c r="K234" s="420" t="n">
        <v>0.2875</v>
      </c>
      <c r="L234" s="420" t="n">
        <v>0</v>
      </c>
      <c r="M234" s="420" t="n">
        <v>0</v>
      </c>
      <c r="N234" s="420" t="n">
        <v>0</v>
      </c>
      <c r="O234" s="420"/>
      <c r="P234" s="420" t="n">
        <v>0</v>
      </c>
      <c r="Q234" s="420" t="n">
        <v>0</v>
      </c>
      <c r="R234" s="418" t="n">
        <v>0</v>
      </c>
      <c r="S234" s="418"/>
      <c r="T234" s="418"/>
      <c r="U234" s="418" t="n">
        <v>-0.0155</v>
      </c>
      <c r="V234" s="418" t="n">
        <v>0</v>
      </c>
      <c r="W234" s="418" t="n">
        <v>0</v>
      </c>
      <c r="X234" s="418" t="n">
        <v>0.7675</v>
      </c>
      <c r="Y234" s="418" t="n">
        <v>0</v>
      </c>
      <c r="Z234" s="418" t="n">
        <v>-0.19</v>
      </c>
      <c r="AA234" s="418" t="n">
        <v>0</v>
      </c>
      <c r="AB234" s="437" t="n">
        <v>0.12</v>
      </c>
      <c r="AC234" s="437" t="n">
        <v>0.465</v>
      </c>
      <c r="AD234" s="437"/>
      <c r="AE234" s="437"/>
      <c r="AF234" s="418"/>
      <c r="AG234" s="418"/>
      <c r="AH234" s="440"/>
      <c r="AI234" s="440"/>
      <c r="AJ234" s="440"/>
      <c r="AK234" s="418"/>
      <c r="AL234" s="418"/>
      <c r="AM234" s="440"/>
      <c r="AN234" s="418"/>
      <c r="AO234" s="418"/>
      <c r="AP234" s="437"/>
      <c r="AQ234" s="437"/>
      <c r="AR234" s="437"/>
      <c r="AS234" s="437"/>
      <c r="AT234" s="418"/>
      <c r="AU234" s="418"/>
      <c r="AV234" s="418"/>
      <c r="AW234" s="418" t="n">
        <v>0.070630621070716</v>
      </c>
      <c r="AX234" s="418"/>
      <c r="AY234" s="437" t="n">
        <f aca="false">AG234</f>
        <v>0</v>
      </c>
      <c r="AZ234" s="437" t="n">
        <f aca="false">AG234</f>
        <v>0</v>
      </c>
      <c r="BA234" s="441" t="n">
        <f aca="false">AG234</f>
        <v>0</v>
      </c>
      <c r="BB234" s="442" t="n">
        <f aca="false">B234</f>
        <v>0</v>
      </c>
      <c r="BC234" s="442" t="n">
        <v>0.28116721780645</v>
      </c>
      <c r="BD234" s="418" t="n">
        <v>0.281220917480786</v>
      </c>
      <c r="BF234" s="455" t="n">
        <v>43405</v>
      </c>
      <c r="BG234" s="66" t="n">
        <v>222</v>
      </c>
    </row>
    <row r="235" customFormat="false" ht="12.75" hidden="false" customHeight="false" outlineLevel="0" collapsed="false">
      <c r="A235" s="470"/>
      <c r="B235" s="467"/>
      <c r="C235" s="420" t="n">
        <v>3.7515</v>
      </c>
      <c r="D235" s="420" t="n">
        <v>0.15</v>
      </c>
      <c r="E235" s="420" t="n">
        <v>0.070675352767926</v>
      </c>
      <c r="F235" s="420"/>
      <c r="G235" s="420" t="n">
        <v>-0.0449519</v>
      </c>
      <c r="H235" s="420"/>
      <c r="I235" s="420"/>
      <c r="J235" s="420" t="n">
        <v>0.305</v>
      </c>
      <c r="K235" s="420" t="n">
        <v>0.3375</v>
      </c>
      <c r="L235" s="420" t="n">
        <v>0</v>
      </c>
      <c r="M235" s="420" t="n">
        <v>0</v>
      </c>
      <c r="N235" s="420" t="n">
        <v>0</v>
      </c>
      <c r="O235" s="420"/>
      <c r="P235" s="420" t="n">
        <v>0</v>
      </c>
      <c r="Q235" s="420" t="n">
        <v>0</v>
      </c>
      <c r="R235" s="418" t="n">
        <v>0</v>
      </c>
      <c r="S235" s="418"/>
      <c r="T235" s="418"/>
      <c r="U235" s="418" t="n">
        <v>-0.0155</v>
      </c>
      <c r="V235" s="418" t="n">
        <v>0</v>
      </c>
      <c r="W235" s="418" t="n">
        <v>0</v>
      </c>
      <c r="X235" s="418" t="n">
        <v>1.19</v>
      </c>
      <c r="Y235" s="418" t="n">
        <v>0</v>
      </c>
      <c r="Z235" s="418" t="n">
        <v>-0.19</v>
      </c>
      <c r="AA235" s="418" t="n">
        <v>0</v>
      </c>
      <c r="AB235" s="437" t="n">
        <v>0.12</v>
      </c>
      <c r="AC235" s="437" t="n">
        <v>0.8</v>
      </c>
      <c r="AD235" s="437"/>
      <c r="AE235" s="437"/>
      <c r="AF235" s="418"/>
      <c r="AG235" s="418"/>
      <c r="AH235" s="440"/>
      <c r="AI235" s="440"/>
      <c r="AJ235" s="440"/>
      <c r="AK235" s="418"/>
      <c r="AL235" s="418"/>
      <c r="AM235" s="440"/>
      <c r="AN235" s="418"/>
      <c r="AO235" s="418"/>
      <c r="AP235" s="437"/>
      <c r="AQ235" s="437"/>
      <c r="AR235" s="437"/>
      <c r="AS235" s="437"/>
      <c r="AT235" s="418"/>
      <c r="AU235" s="418"/>
      <c r="AV235" s="418"/>
      <c r="AW235" s="418" t="n">
        <v>0.070637350281611</v>
      </c>
      <c r="AX235" s="418"/>
      <c r="AY235" s="437" t="n">
        <f aca="false">AG235</f>
        <v>0</v>
      </c>
      <c r="AZ235" s="437" t="n">
        <f aca="false">AG235</f>
        <v>0</v>
      </c>
      <c r="BA235" s="441" t="n">
        <f aca="false">AG235</f>
        <v>0</v>
      </c>
      <c r="BB235" s="442" t="n">
        <f aca="false">B235</f>
        <v>0</v>
      </c>
      <c r="BC235" s="442"/>
      <c r="BD235" s="418"/>
      <c r="BF235" s="455" t="n">
        <v>43435</v>
      </c>
      <c r="BG235" s="66" t="n">
        <v>223</v>
      </c>
    </row>
    <row r="236" customFormat="false" ht="12.75" hidden="false" customHeight="false" outlineLevel="0" collapsed="false">
      <c r="A236" s="470"/>
      <c r="B236" s="467"/>
      <c r="C236" s="420" t="n">
        <v>4.02</v>
      </c>
      <c r="D236" s="420" t="n">
        <v>0.15</v>
      </c>
      <c r="E236" s="420" t="n">
        <v>0.070350774050038</v>
      </c>
      <c r="F236" s="420"/>
      <c r="G236" s="420" t="n">
        <v>-0.0399551</v>
      </c>
      <c r="H236" s="420"/>
      <c r="I236" s="420"/>
      <c r="J236" s="420" t="n">
        <v>0.305</v>
      </c>
      <c r="K236" s="420" t="n">
        <v>0.4375</v>
      </c>
      <c r="L236" s="420" t="n">
        <v>0</v>
      </c>
      <c r="M236" s="420" t="n">
        <v>0</v>
      </c>
      <c r="N236" s="420" t="n">
        <v>0</v>
      </c>
      <c r="O236" s="420"/>
      <c r="P236" s="418" t="n">
        <v>0</v>
      </c>
      <c r="Q236" s="418" t="n">
        <v>0</v>
      </c>
      <c r="R236" s="418" t="n">
        <v>0</v>
      </c>
      <c r="S236" s="418"/>
      <c r="T236" s="418"/>
      <c r="U236" s="418" t="n">
        <v>-0.0155</v>
      </c>
      <c r="V236" s="418" t="n">
        <v>0</v>
      </c>
      <c r="W236" s="418" t="n">
        <v>0</v>
      </c>
      <c r="X236" s="418" t="n">
        <v>1.525</v>
      </c>
      <c r="Y236" s="437" t="n">
        <v>0</v>
      </c>
      <c r="Z236" s="437" t="n">
        <v>-0.19</v>
      </c>
      <c r="AA236" s="437" t="n">
        <v>0</v>
      </c>
      <c r="AB236" s="418" t="n">
        <v>0.12</v>
      </c>
      <c r="AC236" s="418" t="n">
        <v>0.975</v>
      </c>
      <c r="AD236" s="440"/>
      <c r="AE236" s="440"/>
      <c r="AF236" s="418"/>
      <c r="AG236" s="440"/>
      <c r="AH236" s="418"/>
      <c r="AI236" s="418"/>
      <c r="AJ236" s="437"/>
      <c r="AK236" s="437"/>
      <c r="AL236" s="437"/>
      <c r="AM236" s="418"/>
      <c r="AN236" s="418"/>
      <c r="AO236" s="418"/>
      <c r="AP236" s="437"/>
      <c r="AQ236" s="437"/>
      <c r="AR236" s="437"/>
      <c r="AS236" s="441"/>
      <c r="AW236" s="66" t="n">
        <v>0.071272650938883</v>
      </c>
      <c r="BB236" s="66" t="n">
        <v>43466</v>
      </c>
      <c r="BF236" s="455" t="n">
        <v>43466</v>
      </c>
      <c r="BG236" s="66" t="n">
        <v>223</v>
      </c>
    </row>
    <row r="237" customFormat="false" ht="12.75" hidden="false" customHeight="false" outlineLevel="0" collapsed="false">
      <c r="A237" s="470"/>
      <c r="B237" s="467"/>
      <c r="C237" s="420" t="n">
        <v>3.942</v>
      </c>
      <c r="D237" s="420" t="n">
        <v>0.15</v>
      </c>
      <c r="E237" s="420" t="n">
        <v>0.070356345100124</v>
      </c>
      <c r="F237" s="420"/>
      <c r="G237" s="420" t="n">
        <v>-0.0149574</v>
      </c>
      <c r="H237" s="420"/>
      <c r="I237" s="420"/>
      <c r="J237" s="420" t="n">
        <v>0.305</v>
      </c>
      <c r="K237" s="420" t="n">
        <v>0.435</v>
      </c>
      <c r="L237" s="420" t="n">
        <v>0</v>
      </c>
      <c r="M237" s="420" t="n">
        <v>0</v>
      </c>
      <c r="N237" s="420" t="n">
        <v>0</v>
      </c>
      <c r="O237" s="420"/>
      <c r="P237" s="418" t="n">
        <v>0</v>
      </c>
      <c r="Q237" s="418" t="n">
        <v>0</v>
      </c>
      <c r="R237" s="418" t="n">
        <v>0</v>
      </c>
      <c r="S237" s="418"/>
      <c r="T237" s="418"/>
      <c r="U237" s="418" t="n">
        <v>-0.0155</v>
      </c>
      <c r="V237" s="418" t="n">
        <v>0</v>
      </c>
      <c r="W237" s="418" t="n">
        <v>0</v>
      </c>
      <c r="X237" s="418" t="n">
        <v>1.455</v>
      </c>
      <c r="Y237" s="437" t="n">
        <v>0</v>
      </c>
      <c r="Z237" s="437" t="n">
        <v>0</v>
      </c>
      <c r="AA237" s="437" t="n">
        <v>0</v>
      </c>
      <c r="AB237" s="418" t="n">
        <v>0.31</v>
      </c>
      <c r="AC237" s="418" t="n">
        <v>0.975</v>
      </c>
      <c r="AD237" s="440"/>
      <c r="AE237" s="440"/>
      <c r="AF237" s="418"/>
      <c r="AG237" s="440"/>
      <c r="AH237" s="418"/>
      <c r="AI237" s="418"/>
      <c r="AJ237" s="437"/>
      <c r="AK237" s="437"/>
      <c r="AL237" s="437"/>
      <c r="AM237" s="418"/>
      <c r="AN237" s="418"/>
      <c r="AO237" s="418"/>
      <c r="AP237" s="437"/>
      <c r="AQ237" s="437"/>
      <c r="AR237" s="437"/>
      <c r="AS237" s="441"/>
      <c r="AW237" s="66" t="n">
        <v>0.071277800450599</v>
      </c>
      <c r="BB237" s="66" t="n">
        <v>43497</v>
      </c>
      <c r="BF237" s="455" t="n">
        <v>43497</v>
      </c>
      <c r="BG237" s="66" t="n">
        <v>223</v>
      </c>
    </row>
    <row r="238" customFormat="false" ht="12.75" hidden="false" customHeight="false" outlineLevel="0" collapsed="false">
      <c r="A238" s="470"/>
      <c r="B238" s="467"/>
      <c r="C238" s="420" t="n">
        <v>3.824</v>
      </c>
      <c r="D238" s="420" t="n">
        <v>0.15</v>
      </c>
      <c r="E238" s="420" t="n">
        <v>0.070361377016339</v>
      </c>
      <c r="F238" s="420"/>
      <c r="G238" s="420" t="n">
        <v>-0.0049574</v>
      </c>
      <c r="H238" s="420"/>
      <c r="I238" s="420"/>
      <c r="J238" s="420" t="n">
        <v>0.265</v>
      </c>
      <c r="K238" s="420" t="n">
        <v>0.3025</v>
      </c>
      <c r="L238" s="420" t="n">
        <v>0</v>
      </c>
      <c r="M238" s="420" t="n">
        <v>0</v>
      </c>
      <c r="N238" s="420" t="n">
        <v>0</v>
      </c>
      <c r="O238" s="420"/>
      <c r="P238" s="418" t="n">
        <v>0</v>
      </c>
      <c r="Q238" s="418" t="n">
        <v>0</v>
      </c>
      <c r="R238" s="418" t="n">
        <v>0</v>
      </c>
      <c r="S238" s="418"/>
      <c r="T238" s="418"/>
      <c r="U238" s="418" t="n">
        <v>0.003</v>
      </c>
      <c r="V238" s="418" t="n">
        <v>0</v>
      </c>
      <c r="W238" s="418" t="n">
        <v>0</v>
      </c>
      <c r="X238" s="418" t="n">
        <v>0.835</v>
      </c>
      <c r="Y238" s="418" t="n">
        <v>0</v>
      </c>
      <c r="Z238" s="418" t="n">
        <v>0</v>
      </c>
      <c r="AA238" s="418" t="n">
        <v>0</v>
      </c>
      <c r="AB238" s="418" t="n">
        <v>0.31</v>
      </c>
      <c r="AC238" s="418" t="n">
        <v>0.6075</v>
      </c>
      <c r="AD238" s="418"/>
      <c r="AE238" s="418"/>
      <c r="AF238" s="418"/>
      <c r="AG238" s="418"/>
      <c r="AH238" s="418"/>
      <c r="AI238" s="418"/>
      <c r="AJ238" s="437"/>
      <c r="AK238" s="437"/>
      <c r="AL238" s="437"/>
      <c r="AM238" s="418"/>
      <c r="AN238" s="418"/>
      <c r="AO238" s="418"/>
      <c r="AP238" s="437"/>
      <c r="AQ238" s="437"/>
      <c r="AR238" s="437"/>
      <c r="AS238" s="441"/>
      <c r="AW238" s="66" t="n">
        <v>0.071282451622479</v>
      </c>
      <c r="BB238" s="66" t="n">
        <v>43525</v>
      </c>
      <c r="BF238" s="455" t="n">
        <v>43525</v>
      </c>
      <c r="BG238" s="66" t="n">
        <v>223</v>
      </c>
    </row>
    <row r="239" customFormat="false" ht="12.75" hidden="false" customHeight="false" outlineLevel="0" collapsed="false">
      <c r="A239" s="470"/>
      <c r="B239" s="467"/>
      <c r="C239" s="420" t="n">
        <v>3.698</v>
      </c>
      <c r="D239" s="420" t="n">
        <v>0.15</v>
      </c>
      <c r="E239" s="420" t="n">
        <v>0.070366948066444</v>
      </c>
      <c r="F239" s="420"/>
      <c r="G239" s="420" t="n">
        <v>0.0549766</v>
      </c>
      <c r="H239" s="420"/>
      <c r="I239" s="420"/>
      <c r="J239" s="420" t="n">
        <v>0.195</v>
      </c>
      <c r="K239" s="420" t="n">
        <v>0.25</v>
      </c>
      <c r="L239" s="420" t="n">
        <v>0</v>
      </c>
      <c r="M239" s="420" t="n">
        <v>0</v>
      </c>
      <c r="N239" s="420" t="n">
        <v>0</v>
      </c>
      <c r="O239" s="420"/>
      <c r="P239" s="418" t="n">
        <v>0</v>
      </c>
      <c r="Q239" s="418" t="n">
        <v>0</v>
      </c>
      <c r="R239" s="418" t="n">
        <v>0</v>
      </c>
      <c r="S239" s="418"/>
      <c r="T239" s="418"/>
      <c r="U239" s="418" t="n">
        <v>0.003</v>
      </c>
      <c r="V239" s="418" t="n">
        <v>0</v>
      </c>
      <c r="W239" s="418" t="n">
        <v>0</v>
      </c>
      <c r="X239" s="418" t="n">
        <v>0.45</v>
      </c>
      <c r="Y239" s="418" t="n">
        <v>0</v>
      </c>
      <c r="Z239" s="418" t="n">
        <v>0</v>
      </c>
      <c r="AA239" s="418" t="n">
        <v>0</v>
      </c>
      <c r="AB239" s="418" t="n">
        <v>0.3775</v>
      </c>
      <c r="AC239" s="418" t="n">
        <v>0.335</v>
      </c>
      <c r="AD239" s="418"/>
      <c r="AE239" s="418"/>
      <c r="AF239" s="418"/>
      <c r="AG239" s="418"/>
      <c r="AH239" s="418"/>
      <c r="AI239" s="418"/>
      <c r="AJ239" s="437"/>
      <c r="AK239" s="437"/>
      <c r="AL239" s="437"/>
      <c r="AM239" s="418"/>
      <c r="AN239" s="418"/>
      <c r="AO239" s="418"/>
      <c r="AP239" s="418"/>
      <c r="AQ239" s="418"/>
      <c r="AR239" s="418"/>
      <c r="AS239" s="418"/>
      <c r="AW239" s="66" t="n">
        <v>0.071287601134212</v>
      </c>
      <c r="BB239" s="66" t="n">
        <v>43556</v>
      </c>
      <c r="BF239" s="455" t="n">
        <v>43556</v>
      </c>
      <c r="BG239" s="66" t="n">
        <v>223</v>
      </c>
    </row>
    <row r="240" customFormat="false" ht="12.75" hidden="false" customHeight="false" outlineLevel="0" collapsed="false">
      <c r="A240" s="470"/>
      <c r="B240" s="467"/>
      <c r="C240" s="420" t="n">
        <v>3.699</v>
      </c>
      <c r="D240" s="420" t="n">
        <v>0.15</v>
      </c>
      <c r="E240" s="420" t="n">
        <v>0.070372339405265</v>
      </c>
      <c r="F240" s="420"/>
      <c r="G240" s="420" t="n">
        <v>0.0549681</v>
      </c>
      <c r="H240" s="420"/>
      <c r="I240" s="420"/>
      <c r="J240" s="420" t="n">
        <v>0.1825</v>
      </c>
      <c r="K240" s="420" t="n">
        <v>0.2025</v>
      </c>
      <c r="L240" s="420" t="n">
        <v>0</v>
      </c>
      <c r="M240" s="420" t="n">
        <v>0</v>
      </c>
      <c r="N240" s="420" t="n">
        <v>0</v>
      </c>
      <c r="O240" s="420"/>
      <c r="P240" s="418" t="n">
        <v>0</v>
      </c>
      <c r="Q240" s="418" t="n">
        <v>0</v>
      </c>
      <c r="R240" s="418" t="n">
        <v>0</v>
      </c>
      <c r="S240" s="418"/>
      <c r="T240" s="418"/>
      <c r="U240" s="418" t="n">
        <v>0.00275</v>
      </c>
      <c r="V240" s="418" t="n">
        <v>0</v>
      </c>
      <c r="W240" s="418" t="n">
        <v>0</v>
      </c>
      <c r="X240" s="418" t="n">
        <v>0.405</v>
      </c>
      <c r="Y240" s="418" t="n">
        <v>0</v>
      </c>
      <c r="Z240" s="418" t="n">
        <v>0</v>
      </c>
      <c r="AA240" s="418" t="n">
        <v>0</v>
      </c>
      <c r="AB240" s="418" t="n">
        <v>0.3775</v>
      </c>
      <c r="AC240" s="418" t="n">
        <v>0.2675</v>
      </c>
      <c r="AD240" s="418"/>
      <c r="AE240" s="418"/>
      <c r="AF240" s="418"/>
      <c r="AG240" s="418"/>
      <c r="AH240" s="418"/>
      <c r="AI240" s="418"/>
      <c r="AJ240" s="437"/>
      <c r="AK240" s="437"/>
      <c r="AL240" s="437"/>
      <c r="AM240" s="418"/>
      <c r="AN240" s="418"/>
      <c r="AO240" s="418"/>
      <c r="AP240" s="418"/>
      <c r="AQ240" s="418"/>
      <c r="AR240" s="418"/>
      <c r="AS240" s="418"/>
      <c r="AW240" s="66" t="n">
        <v>0.071292584532671</v>
      </c>
      <c r="BB240" s="66" t="n">
        <v>43586</v>
      </c>
      <c r="BF240" s="455" t="n">
        <v>43586</v>
      </c>
      <c r="BG240" s="66" t="n">
        <v>223</v>
      </c>
    </row>
    <row r="241" customFormat="false" ht="12.75" hidden="false" customHeight="false" outlineLevel="0" collapsed="false">
      <c r="A241" s="470"/>
      <c r="B241" s="467"/>
      <c r="C241" s="420" t="n">
        <v>3.735</v>
      </c>
      <c r="D241" s="420" t="n">
        <v>0.15</v>
      </c>
      <c r="E241" s="420" t="n">
        <v>0.070377910455391</v>
      </c>
      <c r="F241" s="420"/>
      <c r="G241" s="420" t="n">
        <v>0.0549681</v>
      </c>
      <c r="H241" s="420"/>
      <c r="I241" s="420"/>
      <c r="J241" s="420" t="n">
        <v>0.1825</v>
      </c>
      <c r="K241" s="420" t="n">
        <v>0.2025</v>
      </c>
      <c r="L241" s="420" t="n">
        <v>0</v>
      </c>
      <c r="M241" s="420" t="n">
        <v>0</v>
      </c>
      <c r="N241" s="420" t="n">
        <v>0</v>
      </c>
      <c r="O241" s="420"/>
      <c r="P241" s="418" t="n">
        <v>0</v>
      </c>
      <c r="Q241" s="418" t="n">
        <v>0</v>
      </c>
      <c r="R241" s="418" t="n">
        <v>0</v>
      </c>
      <c r="S241" s="418"/>
      <c r="T241" s="418"/>
      <c r="U241" s="418" t="n">
        <v>0.00275</v>
      </c>
      <c r="V241" s="418" t="n">
        <v>0</v>
      </c>
      <c r="W241" s="418" t="n">
        <v>0</v>
      </c>
      <c r="X241" s="418" t="n">
        <v>0.395</v>
      </c>
      <c r="Y241" s="418" t="n">
        <v>0</v>
      </c>
      <c r="Z241" s="418" t="n">
        <v>0</v>
      </c>
      <c r="AA241" s="418" t="n">
        <v>0</v>
      </c>
      <c r="AB241" s="418" t="n">
        <v>0.3775</v>
      </c>
      <c r="AC241" s="418" t="n">
        <v>0.2675</v>
      </c>
      <c r="AD241" s="418"/>
      <c r="AE241" s="418"/>
      <c r="AF241" s="418"/>
      <c r="AG241" s="418"/>
      <c r="AH241" s="418"/>
      <c r="AI241" s="418"/>
      <c r="AJ241" s="437"/>
      <c r="AK241" s="437"/>
      <c r="AL241" s="437"/>
      <c r="AM241" s="418"/>
      <c r="AN241" s="418"/>
      <c r="AO241" s="418"/>
      <c r="AP241" s="418"/>
      <c r="AQ241" s="418"/>
      <c r="AR241" s="418"/>
      <c r="AS241" s="418"/>
      <c r="AW241" s="66" t="n">
        <v>0.071297734044421</v>
      </c>
      <c r="BB241" s="66" t="n">
        <v>43617</v>
      </c>
      <c r="BF241" s="455" t="n">
        <v>43617</v>
      </c>
      <c r="BG241" s="66" t="n">
        <v>223</v>
      </c>
    </row>
    <row r="242" customFormat="false" ht="12.75" hidden="false" customHeight="false" outlineLevel="0" collapsed="false">
      <c r="B242" s="467"/>
      <c r="C242" s="420" t="n">
        <v>3.757</v>
      </c>
      <c r="D242" s="420" t="n">
        <v>0.15</v>
      </c>
      <c r="E242" s="420" t="n">
        <v>0.070383301794232</v>
      </c>
      <c r="F242" s="420"/>
      <c r="G242" s="420" t="n">
        <v>0.0549681</v>
      </c>
      <c r="H242" s="420"/>
      <c r="I242" s="420"/>
      <c r="J242" s="420" t="n">
        <v>0.1825</v>
      </c>
      <c r="K242" s="420" t="n">
        <v>0.215</v>
      </c>
      <c r="L242" s="420" t="n">
        <v>0</v>
      </c>
      <c r="M242" s="420" t="n">
        <v>0</v>
      </c>
      <c r="N242" s="420" t="n">
        <v>0</v>
      </c>
      <c r="O242" s="420"/>
      <c r="P242" s="418" t="n">
        <v>0</v>
      </c>
      <c r="Q242" s="418" t="n">
        <v>0</v>
      </c>
      <c r="R242" s="418" t="n">
        <v>0</v>
      </c>
      <c r="S242" s="418"/>
      <c r="T242" s="418"/>
      <c r="U242" s="418" t="n">
        <v>0.00275</v>
      </c>
      <c r="V242" s="418" t="n">
        <v>0</v>
      </c>
      <c r="W242" s="418" t="n">
        <v>0</v>
      </c>
      <c r="X242" s="418" t="n">
        <v>0.43</v>
      </c>
      <c r="Y242" s="418" t="n">
        <v>0</v>
      </c>
      <c r="Z242" s="418" t="n">
        <v>0</v>
      </c>
      <c r="AA242" s="418" t="n">
        <v>0</v>
      </c>
      <c r="AB242" s="418" t="n">
        <v>0.3775</v>
      </c>
      <c r="AC242" s="418" t="n">
        <v>0.28</v>
      </c>
      <c r="AD242" s="418"/>
      <c r="AE242" s="418"/>
      <c r="AF242" s="418"/>
      <c r="AG242" s="418"/>
      <c r="AH242" s="418"/>
      <c r="AI242" s="418"/>
      <c r="AJ242" s="437"/>
      <c r="AK242" s="437"/>
      <c r="AL242" s="437"/>
      <c r="AM242" s="418"/>
      <c r="AN242" s="418"/>
      <c r="AO242" s="418"/>
      <c r="AP242" s="418"/>
      <c r="AQ242" s="418"/>
      <c r="AR242" s="418"/>
      <c r="AS242" s="418"/>
      <c r="AW242" s="66" t="n">
        <v>0.071302717442897</v>
      </c>
      <c r="BB242" s="66" t="n">
        <v>43647</v>
      </c>
      <c r="BF242" s="455" t="n">
        <v>43647</v>
      </c>
      <c r="BG242" s="66" t="n">
        <v>223</v>
      </c>
    </row>
    <row r="243" customFormat="false" ht="12.75" hidden="false" customHeight="false" outlineLevel="0" collapsed="false">
      <c r="B243" s="467"/>
      <c r="C243" s="420" t="n">
        <v>3.778</v>
      </c>
      <c r="D243" s="420" t="n">
        <v>0.15</v>
      </c>
      <c r="E243" s="420" t="n">
        <v>0.070388872844377</v>
      </c>
      <c r="F243" s="420"/>
      <c r="G243" s="420" t="n">
        <v>0.0549681</v>
      </c>
      <c r="H243" s="420"/>
      <c r="I243" s="420"/>
      <c r="J243" s="420" t="n">
        <v>0.1825</v>
      </c>
      <c r="K243" s="420" t="n">
        <v>0.215</v>
      </c>
      <c r="L243" s="420" t="n">
        <v>0</v>
      </c>
      <c r="M243" s="420" t="n">
        <v>0</v>
      </c>
      <c r="N243" s="420" t="n">
        <v>0</v>
      </c>
      <c r="O243" s="420"/>
      <c r="P243" s="418" t="n">
        <v>0</v>
      </c>
      <c r="Q243" s="418" t="n">
        <v>0</v>
      </c>
      <c r="R243" s="418" t="n">
        <v>0</v>
      </c>
      <c r="S243" s="418"/>
      <c r="T243" s="418"/>
      <c r="U243" s="418" t="n">
        <v>0.00275</v>
      </c>
      <c r="V243" s="418" t="n">
        <v>0</v>
      </c>
      <c r="W243" s="418" t="n">
        <v>0</v>
      </c>
      <c r="X243" s="418" t="n">
        <v>0.495</v>
      </c>
      <c r="Y243" s="418" t="n">
        <v>0</v>
      </c>
      <c r="Z243" s="418" t="n">
        <v>0</v>
      </c>
      <c r="AA243" s="418" t="n">
        <v>0</v>
      </c>
      <c r="AB243" s="418" t="n">
        <v>0.3775</v>
      </c>
      <c r="AC243" s="418" t="n">
        <v>0.28</v>
      </c>
      <c r="AD243" s="418"/>
      <c r="AE243" s="418"/>
      <c r="AF243" s="418"/>
      <c r="AG243" s="418"/>
      <c r="AH243" s="418"/>
      <c r="AI243" s="418"/>
      <c r="AJ243" s="437"/>
      <c r="AK243" s="437"/>
      <c r="AL243" s="437"/>
      <c r="AM243" s="418"/>
      <c r="AN243" s="418"/>
      <c r="AO243" s="418"/>
      <c r="AP243" s="418"/>
      <c r="AQ243" s="418"/>
      <c r="AR243" s="418"/>
      <c r="AS243" s="418"/>
      <c r="AW243" s="66" t="n">
        <v>0.071307866954665</v>
      </c>
      <c r="BB243" s="66" t="n">
        <v>43678</v>
      </c>
      <c r="BF243" s="455" t="n">
        <v>43678</v>
      </c>
      <c r="BG243" s="66" t="n">
        <v>223</v>
      </c>
    </row>
    <row r="244" customFormat="false" ht="12.75" hidden="false" customHeight="false" outlineLevel="0" collapsed="false">
      <c r="B244" s="467"/>
      <c r="C244" s="420" t="n">
        <v>3.758</v>
      </c>
      <c r="D244" s="420" t="n">
        <v>0.15</v>
      </c>
      <c r="E244" s="420" t="n">
        <v>0.070394443894533</v>
      </c>
      <c r="F244" s="420"/>
      <c r="G244" s="420" t="n">
        <v>0.0549681</v>
      </c>
      <c r="H244" s="420"/>
      <c r="I244" s="420"/>
      <c r="J244" s="420" t="n">
        <v>0.1825</v>
      </c>
      <c r="K244" s="420" t="n">
        <v>0.195</v>
      </c>
      <c r="L244" s="420" t="n">
        <v>0</v>
      </c>
      <c r="M244" s="420" t="n">
        <v>0</v>
      </c>
      <c r="N244" s="420" t="n">
        <v>0</v>
      </c>
      <c r="O244" s="420"/>
      <c r="P244" s="418" t="n">
        <v>0</v>
      </c>
      <c r="Q244" s="418" t="n">
        <v>0</v>
      </c>
      <c r="R244" s="418" t="n">
        <v>0</v>
      </c>
      <c r="S244" s="418"/>
      <c r="T244" s="418"/>
      <c r="U244" s="418" t="n">
        <v>0.00275</v>
      </c>
      <c r="V244" s="418" t="n">
        <v>0</v>
      </c>
      <c r="W244" s="418" t="n">
        <v>0</v>
      </c>
      <c r="X244" s="418" t="n">
        <v>0.395</v>
      </c>
      <c r="Y244" s="418" t="n">
        <v>0</v>
      </c>
      <c r="Z244" s="418" t="n">
        <v>0</v>
      </c>
      <c r="AA244" s="418" t="n">
        <v>0</v>
      </c>
      <c r="AB244" s="418" t="n">
        <v>0.3775</v>
      </c>
      <c r="AC244" s="418" t="n">
        <v>0.27</v>
      </c>
      <c r="AD244" s="418"/>
      <c r="AE244" s="418"/>
      <c r="AF244" s="418"/>
      <c r="AG244" s="418"/>
      <c r="AH244" s="418"/>
      <c r="AI244" s="418"/>
      <c r="AJ244" s="437"/>
      <c r="AK244" s="437"/>
      <c r="AL244" s="437"/>
      <c r="AM244" s="418"/>
      <c r="AN244" s="418"/>
      <c r="AO244" s="418"/>
      <c r="AP244" s="418"/>
      <c r="AQ244" s="418"/>
      <c r="AR244" s="418"/>
      <c r="AS244" s="418"/>
      <c r="AW244" s="66" t="n">
        <v>0.071313016466441</v>
      </c>
      <c r="BB244" s="66" t="n">
        <v>43709</v>
      </c>
      <c r="BF244" s="455" t="n">
        <v>43709</v>
      </c>
      <c r="BG244" s="66" t="n">
        <v>223</v>
      </c>
    </row>
    <row r="245" customFormat="false" ht="12.75" hidden="false" customHeight="false" outlineLevel="0" collapsed="false">
      <c r="B245" s="467"/>
      <c r="C245" s="420" t="n">
        <v>3.757</v>
      </c>
      <c r="D245" s="420" t="n">
        <v>0.15</v>
      </c>
      <c r="E245" s="420" t="n">
        <v>0.070399835233403</v>
      </c>
      <c r="F245" s="420"/>
      <c r="G245" s="420" t="n">
        <v>0.0549681</v>
      </c>
      <c r="H245" s="420"/>
      <c r="I245" s="420"/>
      <c r="J245" s="420" t="n">
        <v>0.1875</v>
      </c>
      <c r="K245" s="420" t="n">
        <v>0.215</v>
      </c>
      <c r="L245" s="420" t="n">
        <v>0</v>
      </c>
      <c r="M245" s="420" t="n">
        <v>0</v>
      </c>
      <c r="N245" s="420" t="n">
        <v>0</v>
      </c>
      <c r="O245" s="420"/>
      <c r="P245" s="418" t="n">
        <v>0</v>
      </c>
      <c r="Q245" s="418" t="n">
        <v>0</v>
      </c>
      <c r="R245" s="418" t="n">
        <v>0</v>
      </c>
      <c r="S245" s="418"/>
      <c r="T245" s="418"/>
      <c r="U245" s="418" t="n">
        <v>-0.0155</v>
      </c>
      <c r="V245" s="418" t="n">
        <v>0</v>
      </c>
      <c r="W245" s="418" t="n">
        <v>0</v>
      </c>
      <c r="X245" s="418" t="n">
        <v>0.461</v>
      </c>
      <c r="Y245" s="418" t="n">
        <v>0</v>
      </c>
      <c r="Z245" s="418" t="n">
        <v>0</v>
      </c>
      <c r="AA245" s="418" t="n">
        <v>0</v>
      </c>
      <c r="AB245" s="418" t="n">
        <v>0.3775</v>
      </c>
      <c r="AC245" s="418" t="n">
        <v>0.3425</v>
      </c>
      <c r="AD245" s="418"/>
      <c r="AE245" s="418"/>
      <c r="AF245" s="418"/>
      <c r="AG245" s="418"/>
      <c r="AH245" s="418"/>
      <c r="AI245" s="418"/>
      <c r="AJ245" s="437"/>
      <c r="AK245" s="437"/>
      <c r="AL245" s="437"/>
      <c r="AM245" s="418"/>
      <c r="AN245" s="418"/>
      <c r="AO245" s="418"/>
      <c r="AP245" s="418"/>
      <c r="AQ245" s="418"/>
      <c r="AR245" s="418"/>
      <c r="AS245" s="418"/>
      <c r="AW245" s="66" t="n">
        <v>0.071317999864942</v>
      </c>
      <c r="BB245" s="66" t="n">
        <v>43739</v>
      </c>
      <c r="BF245" s="455" t="n">
        <v>43739</v>
      </c>
      <c r="BG245" s="66" t="n">
        <v>223</v>
      </c>
    </row>
    <row r="246" customFormat="false" ht="12.75" hidden="false" customHeight="false" outlineLevel="0" collapsed="false">
      <c r="B246" s="467"/>
      <c r="C246" s="420" t="n">
        <v>3.769</v>
      </c>
      <c r="D246" s="420" t="n">
        <v>0.15</v>
      </c>
      <c r="E246" s="420" t="n">
        <v>0.070405406283579</v>
      </c>
      <c r="F246" s="420"/>
      <c r="G246" s="420" t="n">
        <v>-0.0249887</v>
      </c>
      <c r="H246" s="420"/>
      <c r="I246" s="420"/>
      <c r="J246" s="420" t="n">
        <v>0.27</v>
      </c>
      <c r="K246" s="420" t="n">
        <v>0.2875</v>
      </c>
      <c r="L246" s="420" t="n">
        <v>0</v>
      </c>
      <c r="M246" s="420" t="n">
        <v>0</v>
      </c>
      <c r="N246" s="420" t="n">
        <v>0</v>
      </c>
      <c r="O246" s="420"/>
      <c r="P246" s="418" t="n">
        <v>0</v>
      </c>
      <c r="Q246" s="418" t="n">
        <v>0</v>
      </c>
      <c r="R246" s="418" t="n">
        <v>0</v>
      </c>
      <c r="S246" s="418"/>
      <c r="T246" s="418"/>
      <c r="U246" s="418" t="n">
        <v>-0.0145</v>
      </c>
      <c r="V246" s="418" t="n">
        <v>0</v>
      </c>
      <c r="W246" s="418" t="n">
        <v>0</v>
      </c>
      <c r="X246" s="418" t="n">
        <v>0.7675</v>
      </c>
      <c r="Y246" s="418" t="n">
        <v>0</v>
      </c>
      <c r="Z246" s="418" t="n">
        <v>0</v>
      </c>
      <c r="AA246" s="418" t="n">
        <v>0</v>
      </c>
      <c r="AB246" s="418" t="n">
        <v>0.31</v>
      </c>
      <c r="AC246" s="418" t="n">
        <v>0.465</v>
      </c>
      <c r="AD246" s="418"/>
      <c r="AE246" s="418"/>
      <c r="AF246" s="418"/>
      <c r="AG246" s="418"/>
      <c r="AH246" s="418"/>
      <c r="AI246" s="418"/>
      <c r="AJ246" s="437"/>
      <c r="AK246" s="437"/>
      <c r="AL246" s="437"/>
      <c r="AM246" s="418"/>
      <c r="AN246" s="418"/>
      <c r="AO246" s="418"/>
      <c r="AP246" s="418"/>
      <c r="AQ246" s="418"/>
      <c r="AR246" s="418"/>
      <c r="AS246" s="418"/>
      <c r="AW246" s="66" t="n">
        <v>0.071323149376735</v>
      </c>
      <c r="BB246" s="66" t="n">
        <v>43770</v>
      </c>
      <c r="BF246" s="455" t="n">
        <v>43770</v>
      </c>
      <c r="BG246" s="66" t="n">
        <v>223</v>
      </c>
    </row>
    <row r="247" customFormat="false" ht="12.75" hidden="false" customHeight="false" outlineLevel="0" collapsed="false">
      <c r="B247" s="467"/>
      <c r="C247" s="420" t="n">
        <v>3.807</v>
      </c>
      <c r="D247" s="420" t="n">
        <v>0.15</v>
      </c>
      <c r="E247" s="420" t="n">
        <v>0.070410797622469</v>
      </c>
      <c r="F247" s="420"/>
      <c r="G247" s="420" t="n">
        <v>-0.0399519</v>
      </c>
      <c r="H247" s="420"/>
      <c r="I247" s="420"/>
      <c r="J247" s="420" t="n">
        <v>0.305</v>
      </c>
      <c r="K247" s="420" t="n">
        <v>0.3375</v>
      </c>
      <c r="L247" s="420" t="n">
        <v>0</v>
      </c>
      <c r="M247" s="420" t="n">
        <v>0</v>
      </c>
      <c r="N247" s="420" t="n">
        <v>0</v>
      </c>
      <c r="O247" s="420"/>
      <c r="P247" s="418" t="n">
        <v>0</v>
      </c>
      <c r="Q247" s="418" t="n">
        <v>0</v>
      </c>
      <c r="R247" s="418" t="n">
        <v>0</v>
      </c>
      <c r="S247" s="418"/>
      <c r="T247" s="418"/>
      <c r="U247" s="418" t="n">
        <v>-0.0145</v>
      </c>
      <c r="V247" s="418" t="n">
        <v>0</v>
      </c>
      <c r="W247" s="418" t="n">
        <v>0</v>
      </c>
      <c r="X247" s="418" t="n">
        <v>1.19</v>
      </c>
      <c r="Y247" s="418" t="n">
        <v>0</v>
      </c>
      <c r="Z247" s="418" t="n">
        <v>0</v>
      </c>
      <c r="AA247" s="418" t="n">
        <v>0</v>
      </c>
      <c r="AB247" s="418" t="n">
        <v>0.31</v>
      </c>
      <c r="AC247" s="418" t="n">
        <v>0.8</v>
      </c>
      <c r="AD247" s="418"/>
      <c r="AE247" s="418"/>
      <c r="AF247" s="418"/>
      <c r="AG247" s="418"/>
      <c r="AH247" s="418"/>
      <c r="AI247" s="418"/>
      <c r="AJ247" s="437"/>
      <c r="AK247" s="437"/>
      <c r="AL247" s="437"/>
      <c r="AM247" s="418"/>
      <c r="AN247" s="418"/>
      <c r="AO247" s="418"/>
      <c r="AP247" s="418"/>
      <c r="AQ247" s="418"/>
      <c r="AR247" s="418"/>
      <c r="AS247" s="418"/>
      <c r="AW247" s="66" t="n">
        <v>0.071328132775253</v>
      </c>
      <c r="BB247" s="66" t="n">
        <v>43800</v>
      </c>
      <c r="BF247" s="455" t="n">
        <v>43800</v>
      </c>
      <c r="BG247" s="66" t="n">
        <v>223</v>
      </c>
    </row>
    <row r="248" customFormat="false" ht="12.75" hidden="false" customHeight="false" outlineLevel="0" collapsed="false">
      <c r="B248" s="467"/>
      <c r="C248" s="420" t="n">
        <v>4.112</v>
      </c>
      <c r="D248" s="420" t="n">
        <v>0.15</v>
      </c>
      <c r="E248" s="420" t="n">
        <v>0.070416368672665</v>
      </c>
      <c r="F248" s="420"/>
      <c r="G248" s="420" t="n">
        <v>-0.0349551</v>
      </c>
      <c r="H248" s="420"/>
      <c r="I248" s="420"/>
      <c r="J248" s="420" t="n">
        <v>0.305</v>
      </c>
      <c r="K248" s="420" t="n">
        <v>0.4375</v>
      </c>
      <c r="L248" s="420" t="n">
        <v>0</v>
      </c>
      <c r="M248" s="420" t="n">
        <v>0</v>
      </c>
      <c r="N248" s="420" t="n">
        <v>0</v>
      </c>
      <c r="O248" s="420"/>
      <c r="P248" s="418" t="n">
        <v>0</v>
      </c>
      <c r="Q248" s="418" t="n">
        <v>0</v>
      </c>
      <c r="R248" s="418" t="n">
        <v>0</v>
      </c>
      <c r="S248" s="418"/>
      <c r="T248" s="418"/>
      <c r="U248" s="418" t="n">
        <v>-0.0145</v>
      </c>
      <c r="V248" s="418" t="n">
        <v>0</v>
      </c>
      <c r="W248" s="418" t="n">
        <v>0</v>
      </c>
      <c r="X248" s="418" t="n">
        <v>1.525</v>
      </c>
      <c r="Y248" s="418" t="n">
        <v>0</v>
      </c>
      <c r="Z248" s="418" t="n">
        <v>0</v>
      </c>
      <c r="AA248" s="418" t="n">
        <v>0</v>
      </c>
      <c r="AB248" s="418" t="n">
        <v>0.31</v>
      </c>
      <c r="AC248" s="418" t="n">
        <v>0.975</v>
      </c>
      <c r="AD248" s="418"/>
      <c r="AE248" s="418"/>
      <c r="AF248" s="418"/>
      <c r="AG248" s="418"/>
      <c r="AH248" s="418"/>
      <c r="AI248" s="418"/>
      <c r="AJ248" s="437"/>
      <c r="AK248" s="437"/>
      <c r="AL248" s="437"/>
      <c r="AM248" s="418"/>
      <c r="AN248" s="418"/>
      <c r="AO248" s="418"/>
      <c r="AP248" s="418"/>
      <c r="AQ248" s="418"/>
      <c r="AR248" s="418"/>
      <c r="AS248" s="418"/>
      <c r="AW248" s="66" t="n">
        <v>0.071333282287063</v>
      </c>
      <c r="BB248" s="66" t="n">
        <v>43831</v>
      </c>
      <c r="BF248" s="455" t="n">
        <v>43831</v>
      </c>
      <c r="BG248" s="66" t="n">
        <v>223</v>
      </c>
    </row>
    <row r="249" customFormat="false" ht="12.75" hidden="false" customHeight="false" outlineLevel="0" collapsed="false">
      <c r="A249" s="473"/>
      <c r="B249" s="467"/>
      <c r="C249" s="420" t="n">
        <v>4.038</v>
      </c>
      <c r="D249" s="420" t="n">
        <v>0.15</v>
      </c>
      <c r="E249" s="420" t="n">
        <v>0.070421939722871</v>
      </c>
      <c r="F249" s="420"/>
      <c r="G249" s="420" t="n">
        <v>-0.0099574</v>
      </c>
      <c r="H249" s="420"/>
      <c r="I249" s="420"/>
      <c r="J249" s="420" t="n">
        <v>0.305</v>
      </c>
      <c r="K249" s="420" t="n">
        <v>0.435</v>
      </c>
      <c r="L249" s="420" t="n">
        <v>0</v>
      </c>
      <c r="M249" s="420" t="n">
        <v>0</v>
      </c>
      <c r="N249" s="420" t="n">
        <v>0</v>
      </c>
      <c r="O249" s="420"/>
      <c r="P249" s="418" t="n">
        <v>0</v>
      </c>
      <c r="Q249" s="418" t="n">
        <v>0</v>
      </c>
      <c r="R249" s="418" t="n">
        <v>0</v>
      </c>
      <c r="S249" s="418"/>
      <c r="T249" s="418"/>
      <c r="U249" s="418" t="n">
        <v>-0.0145</v>
      </c>
      <c r="V249" s="418" t="n">
        <v>0</v>
      </c>
      <c r="W249" s="418" t="n">
        <v>0</v>
      </c>
      <c r="X249" s="418" t="n">
        <v>1.455</v>
      </c>
      <c r="Y249" s="418" t="n">
        <v>0</v>
      </c>
      <c r="Z249" s="418" t="n">
        <v>0</v>
      </c>
      <c r="AA249" s="418" t="n">
        <v>0</v>
      </c>
      <c r="AB249" s="418" t="n">
        <v>0.31</v>
      </c>
      <c r="AC249" s="418" t="n">
        <v>0.975</v>
      </c>
      <c r="AD249" s="418"/>
      <c r="AE249" s="418"/>
      <c r="AF249" s="418"/>
      <c r="AG249" s="418"/>
      <c r="AH249" s="418"/>
      <c r="AI249" s="418"/>
      <c r="AJ249" s="437"/>
      <c r="AK249" s="437"/>
      <c r="AL249" s="437"/>
      <c r="AM249" s="418"/>
      <c r="AN249" s="418"/>
      <c r="AO249" s="418"/>
      <c r="AP249" s="418"/>
      <c r="AQ249" s="418"/>
      <c r="AR249" s="418"/>
      <c r="AS249" s="418"/>
      <c r="AW249" s="66" t="n">
        <v>0.071338431798883</v>
      </c>
      <c r="BB249" s="66" t="n">
        <v>43862</v>
      </c>
      <c r="BF249" s="455" t="n">
        <v>43862</v>
      </c>
      <c r="BG249" s="66" t="n">
        <v>223</v>
      </c>
    </row>
    <row r="250" customFormat="false" ht="12.75" hidden="false" customHeight="false" outlineLevel="0" collapsed="false">
      <c r="A250" s="470"/>
      <c r="B250" s="467"/>
      <c r="C250" s="420" t="n">
        <v>3.923</v>
      </c>
      <c r="D250" s="420" t="n">
        <v>0.15</v>
      </c>
      <c r="E250" s="420" t="n">
        <v>0.070427151350493</v>
      </c>
      <c r="F250" s="420"/>
      <c r="G250" s="420" t="n">
        <v>4.25E-005</v>
      </c>
      <c r="H250" s="420"/>
      <c r="I250" s="420"/>
      <c r="J250" s="420" t="n">
        <v>0.265</v>
      </c>
      <c r="K250" s="420" t="n">
        <v>0.3025</v>
      </c>
      <c r="L250" s="420" t="n">
        <v>0</v>
      </c>
      <c r="M250" s="420" t="n">
        <v>0</v>
      </c>
      <c r="N250" s="420" t="n">
        <v>0</v>
      </c>
      <c r="O250" s="420"/>
      <c r="P250" s="418" t="n">
        <v>0</v>
      </c>
      <c r="Q250" s="418" t="n">
        <v>0</v>
      </c>
      <c r="R250" s="418" t="n">
        <v>0</v>
      </c>
      <c r="S250" s="418"/>
      <c r="T250" s="418"/>
      <c r="U250" s="418" t="n">
        <v>0.004</v>
      </c>
      <c r="V250" s="418" t="n">
        <v>0</v>
      </c>
      <c r="W250" s="418" t="n">
        <v>0</v>
      </c>
      <c r="X250" s="418" t="n">
        <v>0.835</v>
      </c>
      <c r="Y250" s="418" t="n">
        <v>0</v>
      </c>
      <c r="Z250" s="418" t="n">
        <v>0</v>
      </c>
      <c r="AA250" s="418" t="n">
        <v>0</v>
      </c>
      <c r="AB250" s="418" t="n">
        <v>0.31</v>
      </c>
      <c r="AC250" s="418" t="n">
        <v>0.6075</v>
      </c>
      <c r="AD250" s="418"/>
      <c r="AE250" s="418"/>
      <c r="AF250" s="418"/>
      <c r="AG250" s="418"/>
      <c r="AH250" s="418"/>
      <c r="AI250" s="418"/>
      <c r="AJ250" s="437"/>
      <c r="AK250" s="437"/>
      <c r="AL250" s="437"/>
      <c r="AM250" s="418"/>
      <c r="AN250" s="418"/>
      <c r="AO250" s="418"/>
      <c r="AP250" s="418"/>
      <c r="AQ250" s="418"/>
      <c r="AR250" s="418"/>
      <c r="AS250" s="418"/>
      <c r="AW250" s="66" t="n">
        <v>0.071343249084141</v>
      </c>
      <c r="BB250" s="66" t="n">
        <v>43891</v>
      </c>
      <c r="BF250" s="455" t="n">
        <v>43891</v>
      </c>
      <c r="BG250" s="66" t="n">
        <v>223</v>
      </c>
    </row>
    <row r="251" customFormat="false" ht="12.75" hidden="false" customHeight="false" outlineLevel="0" collapsed="false">
      <c r="A251" s="470"/>
      <c r="B251" s="467"/>
      <c r="C251" s="420" t="n">
        <v>3.8</v>
      </c>
      <c r="D251" s="420" t="n">
        <v>0.15</v>
      </c>
      <c r="E251" s="420" t="n">
        <v>0.07043272240072</v>
      </c>
      <c r="F251" s="420"/>
      <c r="G251" s="420" t="n">
        <v>0.0599766</v>
      </c>
      <c r="H251" s="420"/>
      <c r="I251" s="420"/>
      <c r="J251" s="420" t="n">
        <v>0.195</v>
      </c>
      <c r="K251" s="420" t="n">
        <v>0.25</v>
      </c>
      <c r="L251" s="420" t="n">
        <v>0</v>
      </c>
      <c r="M251" s="420" t="n">
        <v>0</v>
      </c>
      <c r="N251" s="420" t="n">
        <v>0</v>
      </c>
      <c r="O251" s="420"/>
      <c r="P251" s="418" t="n">
        <v>0</v>
      </c>
      <c r="Q251" s="418" t="n">
        <v>0</v>
      </c>
      <c r="R251" s="418" t="n">
        <v>0</v>
      </c>
      <c r="S251" s="418"/>
      <c r="T251" s="418"/>
      <c r="U251" s="418" t="n">
        <v>0.004</v>
      </c>
      <c r="V251" s="418" t="n">
        <v>0</v>
      </c>
      <c r="W251" s="418" t="n">
        <v>0</v>
      </c>
      <c r="X251" s="418" t="n">
        <v>0.45</v>
      </c>
      <c r="Y251" s="418" t="n">
        <v>0</v>
      </c>
      <c r="Z251" s="418" t="n">
        <v>0</v>
      </c>
      <c r="AA251" s="418" t="n">
        <v>0</v>
      </c>
      <c r="AB251" s="418" t="n">
        <v>0.3775</v>
      </c>
      <c r="AC251" s="418" t="n">
        <v>0.335</v>
      </c>
      <c r="AD251" s="418"/>
      <c r="AE251" s="418"/>
      <c r="AF251" s="418"/>
      <c r="AG251" s="418"/>
      <c r="AH251" s="418"/>
      <c r="AI251" s="418"/>
      <c r="AJ251" s="437"/>
      <c r="AK251" s="437"/>
      <c r="AL251" s="437"/>
      <c r="AM251" s="418"/>
      <c r="AN251" s="418"/>
      <c r="AO251" s="418"/>
      <c r="AP251" s="418"/>
      <c r="AQ251" s="418"/>
      <c r="AR251" s="418"/>
      <c r="AS251" s="418"/>
      <c r="AW251" s="66" t="n">
        <v>0.071348398595977</v>
      </c>
      <c r="BB251" s="66" t="n">
        <v>43922</v>
      </c>
      <c r="BF251" s="455" t="n">
        <v>43922</v>
      </c>
      <c r="BG251" s="66" t="n">
        <v>223</v>
      </c>
    </row>
    <row r="252" customFormat="false" ht="12.75" hidden="false" customHeight="false" outlineLevel="0" collapsed="false">
      <c r="A252" s="470"/>
      <c r="B252" s="467"/>
      <c r="C252" s="420" t="n">
        <v>3.802</v>
      </c>
      <c r="D252" s="420" t="n">
        <v>0.15</v>
      </c>
      <c r="E252" s="420" t="n">
        <v>0.070438113739658</v>
      </c>
      <c r="F252" s="420"/>
      <c r="G252" s="420" t="n">
        <v>0.0599681</v>
      </c>
      <c r="H252" s="420"/>
      <c r="I252" s="420"/>
      <c r="J252" s="420" t="n">
        <v>0.1825</v>
      </c>
      <c r="K252" s="420" t="n">
        <v>0.2025</v>
      </c>
      <c r="L252" s="420" t="n">
        <v>0</v>
      </c>
      <c r="M252" s="420" t="n">
        <v>0</v>
      </c>
      <c r="N252" s="420" t="n">
        <v>0</v>
      </c>
      <c r="O252" s="420"/>
      <c r="P252" s="418" t="n">
        <v>0</v>
      </c>
      <c r="Q252" s="418" t="n">
        <v>0</v>
      </c>
      <c r="R252" s="418" t="n">
        <v>0</v>
      </c>
      <c r="S252" s="418"/>
      <c r="T252" s="418"/>
      <c r="U252" s="418" t="n">
        <v>0.00375</v>
      </c>
      <c r="V252" s="418" t="n">
        <v>0</v>
      </c>
      <c r="W252" s="418" t="n">
        <v>0</v>
      </c>
      <c r="X252" s="418" t="n">
        <v>0.405</v>
      </c>
      <c r="Y252" s="418" t="n">
        <v>0</v>
      </c>
      <c r="Z252" s="418" t="n">
        <v>0</v>
      </c>
      <c r="AA252" s="418" t="n">
        <v>0</v>
      </c>
      <c r="AB252" s="418" t="n">
        <v>0.3775</v>
      </c>
      <c r="AC252" s="418" t="n">
        <v>0.2675</v>
      </c>
      <c r="AD252" s="418"/>
      <c r="AE252" s="418"/>
      <c r="AF252" s="418"/>
      <c r="AG252" s="418"/>
      <c r="AH252" s="418"/>
      <c r="AI252" s="418"/>
      <c r="AJ252" s="437"/>
      <c r="AK252" s="437"/>
      <c r="AL252" s="437"/>
      <c r="AM252" s="418"/>
      <c r="AN252" s="418"/>
      <c r="AO252" s="418"/>
      <c r="AP252" s="418"/>
      <c r="AQ252" s="418"/>
      <c r="AR252" s="418"/>
      <c r="AS252" s="418"/>
      <c r="AW252" s="66" t="n">
        <v>0.071353381994537</v>
      </c>
      <c r="BB252" s="66" t="n">
        <v>43952</v>
      </c>
      <c r="BF252" s="455" t="n">
        <v>43952</v>
      </c>
      <c r="BG252" s="66" t="n">
        <v>223</v>
      </c>
    </row>
    <row r="253" customFormat="false" ht="12.75" hidden="false" customHeight="false" outlineLevel="0" collapsed="false">
      <c r="A253" s="470"/>
      <c r="B253" s="467"/>
      <c r="C253" s="420" t="n">
        <v>3.839</v>
      </c>
      <c r="D253" s="420" t="n">
        <v>0.15</v>
      </c>
      <c r="E253" s="420" t="n">
        <v>0.070443684789904</v>
      </c>
      <c r="F253" s="420"/>
      <c r="G253" s="420" t="n">
        <v>0.0599681</v>
      </c>
      <c r="H253" s="420"/>
      <c r="I253" s="420"/>
      <c r="J253" s="420" t="n">
        <v>0.1825</v>
      </c>
      <c r="K253" s="420" t="n">
        <v>0.2025</v>
      </c>
      <c r="L253" s="420" t="n">
        <v>0</v>
      </c>
      <c r="M253" s="420" t="n">
        <v>0</v>
      </c>
      <c r="N253" s="420" t="n">
        <v>0</v>
      </c>
      <c r="O253" s="420"/>
      <c r="P253" s="418" t="n">
        <v>0</v>
      </c>
      <c r="Q253" s="418" t="n">
        <v>0</v>
      </c>
      <c r="R253" s="418" t="n">
        <v>0</v>
      </c>
      <c r="S253" s="418"/>
      <c r="T253" s="418"/>
      <c r="U253" s="418" t="n">
        <v>0.00375</v>
      </c>
      <c r="V253" s="418" t="n">
        <v>0</v>
      </c>
      <c r="W253" s="418" t="n">
        <v>0</v>
      </c>
      <c r="X253" s="418" t="n">
        <v>0.395</v>
      </c>
      <c r="Y253" s="418" t="n">
        <v>0</v>
      </c>
      <c r="Z253" s="418" t="n">
        <v>0</v>
      </c>
      <c r="AA253" s="418" t="n">
        <v>0</v>
      </c>
      <c r="AB253" s="418" t="n">
        <v>0.3775</v>
      </c>
      <c r="AC253" s="418" t="n">
        <v>0.2675</v>
      </c>
      <c r="AD253" s="418"/>
      <c r="AE253" s="418"/>
      <c r="AF253" s="418"/>
      <c r="AG253" s="418"/>
      <c r="AH253" s="418"/>
      <c r="AI253" s="418"/>
      <c r="AJ253" s="437"/>
      <c r="AK253" s="437"/>
      <c r="AL253" s="437"/>
      <c r="AM253" s="418"/>
      <c r="AN253" s="418"/>
      <c r="AO253" s="418"/>
      <c r="AP253" s="418"/>
      <c r="AQ253" s="418"/>
      <c r="AR253" s="418"/>
      <c r="AS253" s="418"/>
      <c r="AW253" s="66" t="n">
        <v>0.07135853150639</v>
      </c>
      <c r="BB253" s="66" t="n">
        <v>43983</v>
      </c>
      <c r="BF253" s="455" t="n">
        <v>43983</v>
      </c>
      <c r="BG253" s="66" t="n">
        <v>223</v>
      </c>
    </row>
    <row r="254" customFormat="false" ht="12.75" hidden="false" customHeight="false" outlineLevel="0" collapsed="false">
      <c r="A254" s="470"/>
      <c r="B254" s="467"/>
      <c r="C254" s="420" t="n">
        <v>3.861</v>
      </c>
      <c r="D254" s="420" t="n">
        <v>0.15</v>
      </c>
      <c r="E254" s="420" t="n">
        <v>0.070449076128862</v>
      </c>
      <c r="F254" s="420"/>
      <c r="G254" s="420" t="n">
        <v>0.0599681</v>
      </c>
      <c r="H254" s="420"/>
      <c r="I254" s="420"/>
      <c r="J254" s="420" t="n">
        <v>0.1825</v>
      </c>
      <c r="K254" s="420" t="n">
        <v>0.215</v>
      </c>
      <c r="L254" s="420" t="n">
        <v>0</v>
      </c>
      <c r="M254" s="420" t="n">
        <v>0</v>
      </c>
      <c r="N254" s="420" t="n">
        <v>0</v>
      </c>
      <c r="O254" s="420"/>
      <c r="P254" s="418" t="n">
        <v>0</v>
      </c>
      <c r="Q254" s="418" t="n">
        <v>0</v>
      </c>
      <c r="R254" s="418" t="n">
        <v>0</v>
      </c>
      <c r="S254" s="418"/>
      <c r="T254" s="418"/>
      <c r="U254" s="418" t="n">
        <v>0.00375</v>
      </c>
      <c r="V254" s="418" t="n">
        <v>0</v>
      </c>
      <c r="W254" s="418" t="n">
        <v>0</v>
      </c>
      <c r="X254" s="418" t="n">
        <v>0.43</v>
      </c>
      <c r="Y254" s="418" t="n">
        <v>0</v>
      </c>
      <c r="Z254" s="418" t="n">
        <v>0</v>
      </c>
      <c r="AA254" s="418" t="n">
        <v>0</v>
      </c>
      <c r="AB254" s="418" t="n">
        <v>0.3775</v>
      </c>
      <c r="AC254" s="418" t="n">
        <v>0.28</v>
      </c>
      <c r="AD254" s="418"/>
      <c r="AE254" s="418"/>
      <c r="AF254" s="418"/>
      <c r="AG254" s="418"/>
      <c r="AH254" s="418"/>
      <c r="AI254" s="418"/>
      <c r="AJ254" s="437"/>
      <c r="AK254" s="437"/>
      <c r="AL254" s="437"/>
      <c r="AM254" s="418"/>
      <c r="AN254" s="418"/>
      <c r="AO254" s="418"/>
      <c r="AP254" s="418"/>
      <c r="AQ254" s="418"/>
      <c r="AR254" s="418"/>
      <c r="AS254" s="418"/>
      <c r="AW254" s="66" t="n">
        <v>0.071363514904967</v>
      </c>
      <c r="BB254" s="66" t="n">
        <v>44013</v>
      </c>
      <c r="BF254" s="455" t="n">
        <v>44013</v>
      </c>
      <c r="BG254" s="66" t="n">
        <v>223</v>
      </c>
    </row>
    <row r="255" customFormat="false" ht="12.75" hidden="false" customHeight="false" outlineLevel="0" collapsed="false">
      <c r="A255" s="470"/>
      <c r="B255" s="467"/>
      <c r="C255" s="420" t="n">
        <v>3.882</v>
      </c>
      <c r="D255" s="420" t="n">
        <v>0.15</v>
      </c>
      <c r="E255" s="420" t="n">
        <v>0.070454647179128</v>
      </c>
      <c r="F255" s="420"/>
      <c r="G255" s="420" t="n">
        <v>0.0599681</v>
      </c>
      <c r="H255" s="420"/>
      <c r="I255" s="420"/>
      <c r="J255" s="420" t="n">
        <v>0.1825</v>
      </c>
      <c r="K255" s="420" t="n">
        <v>0.215</v>
      </c>
      <c r="L255" s="420" t="n">
        <v>0</v>
      </c>
      <c r="M255" s="420" t="n">
        <v>0</v>
      </c>
      <c r="N255" s="420" t="n">
        <v>0</v>
      </c>
      <c r="O255" s="420"/>
      <c r="P255" s="418" t="n">
        <v>0</v>
      </c>
      <c r="Q255" s="418" t="n">
        <v>0</v>
      </c>
      <c r="R255" s="418" t="n">
        <v>0</v>
      </c>
      <c r="S255" s="418"/>
      <c r="T255" s="418"/>
      <c r="U255" s="418" t="n">
        <v>0.00375</v>
      </c>
      <c r="V255" s="418" t="n">
        <v>0</v>
      </c>
      <c r="W255" s="418" t="n">
        <v>0</v>
      </c>
      <c r="X255" s="418" t="n">
        <v>0.495</v>
      </c>
      <c r="Y255" s="418" t="n">
        <v>0</v>
      </c>
      <c r="Z255" s="418" t="n">
        <v>0</v>
      </c>
      <c r="AA255" s="418" t="n">
        <v>0</v>
      </c>
      <c r="AB255" s="418" t="n">
        <v>0.3775</v>
      </c>
      <c r="AC255" s="418" t="n">
        <v>0.28</v>
      </c>
      <c r="AD255" s="418"/>
      <c r="AE255" s="418"/>
      <c r="AF255" s="418"/>
      <c r="AG255" s="418"/>
      <c r="AH255" s="418"/>
      <c r="AI255" s="418"/>
      <c r="AJ255" s="437"/>
      <c r="AK255" s="437"/>
      <c r="AL255" s="437"/>
      <c r="AM255" s="418"/>
      <c r="AN255" s="418"/>
      <c r="AO255" s="418"/>
      <c r="AP255" s="418"/>
      <c r="AQ255" s="418"/>
      <c r="AR255" s="418"/>
      <c r="AS255" s="418"/>
      <c r="AW255" s="66" t="n">
        <v>0.071368664416838</v>
      </c>
      <c r="BB255" s="66" t="n">
        <v>44044</v>
      </c>
      <c r="BF255" s="455" t="n">
        <v>44044</v>
      </c>
      <c r="BG255" s="66" t="n">
        <v>223</v>
      </c>
    </row>
    <row r="256" customFormat="false" ht="12.75" hidden="false" customHeight="false" outlineLevel="0" collapsed="false">
      <c r="A256" s="470"/>
      <c r="B256" s="467"/>
      <c r="C256" s="420" t="n">
        <v>3.861</v>
      </c>
      <c r="D256" s="420" t="n">
        <v>0.15</v>
      </c>
      <c r="E256" s="420" t="n">
        <v>0.070458588203473</v>
      </c>
      <c r="F256" s="420"/>
      <c r="G256" s="420" t="n">
        <v>0.0599681</v>
      </c>
      <c r="H256" s="420"/>
      <c r="I256" s="420"/>
      <c r="J256" s="420" t="n">
        <v>0.1825</v>
      </c>
      <c r="K256" s="420" t="n">
        <v>0.195</v>
      </c>
      <c r="L256" s="420" t="n">
        <v>0</v>
      </c>
      <c r="M256" s="420" t="n">
        <v>0</v>
      </c>
      <c r="N256" s="420" t="n">
        <v>0</v>
      </c>
      <c r="O256" s="420"/>
      <c r="P256" s="418" t="n">
        <v>0</v>
      </c>
      <c r="Q256" s="418" t="n">
        <v>0</v>
      </c>
      <c r="R256" s="418" t="n">
        <v>0</v>
      </c>
      <c r="S256" s="418"/>
      <c r="T256" s="418"/>
      <c r="U256" s="418" t="n">
        <v>0.00375</v>
      </c>
      <c r="V256" s="418" t="n">
        <v>0</v>
      </c>
      <c r="W256" s="418" t="n">
        <v>0</v>
      </c>
      <c r="X256" s="418" t="n">
        <v>0.395</v>
      </c>
      <c r="Y256" s="418" t="n">
        <v>0</v>
      </c>
      <c r="Z256" s="418" t="n">
        <v>0</v>
      </c>
      <c r="AA256" s="418" t="n">
        <v>0</v>
      </c>
      <c r="AB256" s="418" t="n">
        <v>0.3775</v>
      </c>
      <c r="AC256" s="418" t="n">
        <v>0.27</v>
      </c>
      <c r="AD256" s="418"/>
      <c r="AE256" s="418"/>
      <c r="AF256" s="418"/>
      <c r="AG256" s="418"/>
      <c r="AH256" s="418"/>
      <c r="AI256" s="418"/>
      <c r="AJ256" s="437"/>
      <c r="AK256" s="437"/>
      <c r="AL256" s="437"/>
      <c r="AM256" s="418"/>
      <c r="AN256" s="418"/>
      <c r="AO256" s="418"/>
      <c r="AP256" s="418"/>
      <c r="AQ256" s="418"/>
      <c r="AR256" s="418"/>
      <c r="AS256" s="418"/>
      <c r="AW256" s="66" t="n">
        <v>0.071370150757592</v>
      </c>
      <c r="BB256" s="66" t="n">
        <v>44075</v>
      </c>
      <c r="BF256" s="455" t="n">
        <v>44075</v>
      </c>
      <c r="BG256" s="66" t="n">
        <v>223</v>
      </c>
    </row>
    <row r="257" customFormat="false" ht="12.75" hidden="false" customHeight="false" outlineLevel="0" collapsed="false">
      <c r="A257" s="470"/>
      <c r="B257" s="467"/>
      <c r="C257" s="420" t="n">
        <v>3.859</v>
      </c>
      <c r="D257" s="420" t="n">
        <v>0.15</v>
      </c>
      <c r="E257" s="420" t="n">
        <v>0.070451754347971</v>
      </c>
      <c r="F257" s="420"/>
      <c r="G257" s="420" t="n">
        <v>0.0599681</v>
      </c>
      <c r="H257" s="420"/>
      <c r="I257" s="420"/>
      <c r="J257" s="420" t="n">
        <v>0.1875</v>
      </c>
      <c r="K257" s="420" t="n">
        <v>0.215</v>
      </c>
      <c r="L257" s="420" t="n">
        <v>0</v>
      </c>
      <c r="M257" s="420" t="n">
        <v>0</v>
      </c>
      <c r="N257" s="420" t="n">
        <v>0</v>
      </c>
      <c r="O257" s="420"/>
      <c r="P257" s="418" t="n">
        <v>0</v>
      </c>
      <c r="Q257" s="418" t="n">
        <v>0</v>
      </c>
      <c r="R257" s="418" t="n">
        <v>0</v>
      </c>
      <c r="S257" s="418"/>
      <c r="T257" s="418"/>
      <c r="U257" s="418" t="n">
        <v>-0.0145</v>
      </c>
      <c r="V257" s="418" t="n">
        <v>0</v>
      </c>
      <c r="W257" s="418" t="n">
        <v>0</v>
      </c>
      <c r="X257" s="418" t="n">
        <v>0.461</v>
      </c>
      <c r="Y257" s="418" t="n">
        <v>0</v>
      </c>
      <c r="Z257" s="418" t="n">
        <v>0</v>
      </c>
      <c r="AA257" s="418" t="n">
        <v>0</v>
      </c>
      <c r="AB257" s="418" t="n">
        <v>0.3775</v>
      </c>
      <c r="AC257" s="418" t="n">
        <v>0.3425</v>
      </c>
      <c r="AD257" s="418"/>
      <c r="AE257" s="418"/>
      <c r="AF257" s="418"/>
      <c r="AG257" s="418"/>
      <c r="AH257" s="418"/>
      <c r="AI257" s="418"/>
      <c r="AJ257" s="437"/>
      <c r="AK257" s="437"/>
      <c r="AL257" s="437"/>
      <c r="AM257" s="418"/>
      <c r="AN257" s="418"/>
      <c r="AO257" s="418"/>
      <c r="AP257" s="418"/>
      <c r="AQ257" s="418"/>
      <c r="AR257" s="418"/>
      <c r="AS257" s="418"/>
      <c r="AW257" s="66" t="n">
        <v>0.071361397264484</v>
      </c>
      <c r="BB257" s="66" t="n">
        <v>44105</v>
      </c>
      <c r="BF257" s="455" t="n">
        <v>44105</v>
      </c>
      <c r="BG257" s="66" t="n">
        <v>223</v>
      </c>
    </row>
    <row r="258" customFormat="false" ht="12.75" hidden="false" customHeight="false" outlineLevel="0" collapsed="false">
      <c r="A258" s="470"/>
      <c r="B258" s="467"/>
      <c r="C258" s="420" t="n">
        <v>3.866</v>
      </c>
      <c r="D258" s="420" t="n">
        <v>0.15</v>
      </c>
      <c r="E258" s="420" t="n">
        <v>0.070444692697301</v>
      </c>
      <c r="F258" s="420"/>
      <c r="G258" s="420" t="n">
        <v>-0.0199887</v>
      </c>
      <c r="H258" s="420"/>
      <c r="I258" s="420"/>
      <c r="J258" s="420" t="n">
        <v>0.27</v>
      </c>
      <c r="K258" s="420" t="n">
        <v>0.2875</v>
      </c>
      <c r="L258" s="420" t="n">
        <v>0</v>
      </c>
      <c r="M258" s="420" t="n">
        <v>0</v>
      </c>
      <c r="N258" s="420" t="n">
        <v>0</v>
      </c>
      <c r="O258" s="420"/>
      <c r="P258" s="418" t="n">
        <v>0</v>
      </c>
      <c r="Q258" s="418" t="n">
        <v>0</v>
      </c>
      <c r="R258" s="418" t="n">
        <v>0</v>
      </c>
      <c r="S258" s="418"/>
      <c r="T258" s="418"/>
      <c r="U258" s="418" t="n">
        <v>-0.0135</v>
      </c>
      <c r="V258" s="418" t="n">
        <v>0</v>
      </c>
      <c r="W258" s="418" t="n">
        <v>0</v>
      </c>
      <c r="X258" s="418" t="n">
        <v>0.7675</v>
      </c>
      <c r="Y258" s="418" t="n">
        <v>0</v>
      </c>
      <c r="Z258" s="418" t="n">
        <v>0</v>
      </c>
      <c r="AA258" s="418" t="n">
        <v>0</v>
      </c>
      <c r="AB258" s="418" t="n">
        <v>0.33</v>
      </c>
      <c r="AC258" s="418" t="n">
        <v>0.465</v>
      </c>
      <c r="AD258" s="418"/>
      <c r="AE258" s="418"/>
      <c r="AF258" s="418"/>
      <c r="AG258" s="418"/>
      <c r="AH258" s="418"/>
      <c r="AI258" s="418"/>
      <c r="AJ258" s="437"/>
      <c r="AK258" s="437"/>
      <c r="AL258" s="437"/>
      <c r="AM258" s="418"/>
      <c r="AN258" s="418"/>
      <c r="AO258" s="418"/>
      <c r="AP258" s="418"/>
      <c r="AQ258" s="418"/>
      <c r="AR258" s="418"/>
      <c r="AS258" s="418"/>
      <c r="AW258" s="66" t="n">
        <v>0.0713523519883</v>
      </c>
      <c r="BB258" s="66" t="n">
        <v>44136</v>
      </c>
      <c r="BF258" s="455" t="n">
        <v>44136</v>
      </c>
      <c r="BG258" s="66" t="n">
        <v>223</v>
      </c>
    </row>
    <row r="259" customFormat="false" ht="12.75" hidden="false" customHeight="false" outlineLevel="0" collapsed="false">
      <c r="A259" s="470"/>
      <c r="B259" s="467"/>
      <c r="C259" s="420" t="n">
        <v>3.901</v>
      </c>
      <c r="D259" s="420" t="n">
        <v>0.15</v>
      </c>
      <c r="E259" s="420" t="n">
        <v>0.070437858841831</v>
      </c>
      <c r="F259" s="420"/>
      <c r="G259" s="420" t="n">
        <v>-0.0349519</v>
      </c>
      <c r="H259" s="420"/>
      <c r="I259" s="420"/>
      <c r="J259" s="420" t="n">
        <v>0.305</v>
      </c>
      <c r="K259" s="420" t="n">
        <v>0.3375</v>
      </c>
      <c r="L259" s="420" t="n">
        <v>0</v>
      </c>
      <c r="M259" s="420" t="n">
        <v>0</v>
      </c>
      <c r="N259" s="420" t="n">
        <v>0</v>
      </c>
      <c r="O259" s="420"/>
      <c r="P259" s="418" t="n">
        <v>0</v>
      </c>
      <c r="Q259" s="418" t="n">
        <v>0</v>
      </c>
      <c r="R259" s="418" t="n">
        <v>0</v>
      </c>
      <c r="S259" s="418"/>
      <c r="T259" s="418"/>
      <c r="U259" s="418" t="n">
        <v>-0.0135</v>
      </c>
      <c r="V259" s="418" t="n">
        <v>0</v>
      </c>
      <c r="W259" s="418" t="n">
        <v>0</v>
      </c>
      <c r="X259" s="418" t="n">
        <v>1.19</v>
      </c>
      <c r="Y259" s="418" t="n">
        <v>0</v>
      </c>
      <c r="Z259" s="418" t="n">
        <v>0</v>
      </c>
      <c r="AA259" s="418" t="n">
        <v>0</v>
      </c>
      <c r="AB259" s="418" t="n">
        <v>0.33</v>
      </c>
      <c r="AC259" s="418" t="n">
        <v>0.8</v>
      </c>
      <c r="AD259" s="418"/>
      <c r="AE259" s="418"/>
      <c r="AF259" s="418"/>
      <c r="AG259" s="418"/>
      <c r="AH259" s="418"/>
      <c r="AI259" s="418"/>
      <c r="AJ259" s="437"/>
      <c r="AK259" s="437"/>
      <c r="AL259" s="437"/>
      <c r="AM259" s="418"/>
      <c r="AN259" s="418"/>
      <c r="AO259" s="418"/>
      <c r="AP259" s="418"/>
      <c r="AQ259" s="418"/>
      <c r="AR259" s="418"/>
      <c r="AS259" s="418"/>
      <c r="AW259" s="66" t="n">
        <v>0.071343598495245</v>
      </c>
      <c r="BB259" s="66" t="n">
        <v>44166</v>
      </c>
      <c r="BF259" s="455" t="n">
        <v>44166</v>
      </c>
      <c r="BG259" s="66" t="n">
        <v>223</v>
      </c>
    </row>
    <row r="260" customFormat="false" ht="12.75" hidden="false" customHeight="false" outlineLevel="0" collapsed="false">
      <c r="A260" s="470"/>
      <c r="B260" s="467"/>
      <c r="C260" s="420" t="n">
        <v>4.2065</v>
      </c>
      <c r="D260" s="420" t="n">
        <v>0.15</v>
      </c>
      <c r="E260" s="420" t="n">
        <v>0.070430797191193</v>
      </c>
      <c r="F260" s="420"/>
      <c r="G260" s="420" t="n">
        <v>-0.0299551</v>
      </c>
      <c r="H260" s="420"/>
      <c r="I260" s="420"/>
      <c r="J260" s="420" t="n">
        <v>0.305</v>
      </c>
      <c r="K260" s="420" t="n">
        <v>0.4375</v>
      </c>
      <c r="L260" s="420"/>
      <c r="M260" s="420"/>
      <c r="N260" s="420" t="n">
        <v>0</v>
      </c>
      <c r="O260" s="420"/>
      <c r="P260" s="418"/>
      <c r="Q260" s="418"/>
      <c r="R260" s="418"/>
      <c r="S260" s="418"/>
      <c r="T260" s="418"/>
      <c r="U260" s="418"/>
      <c r="V260" s="418"/>
      <c r="W260" s="418" t="n">
        <v>0</v>
      </c>
      <c r="X260" s="418" t="n">
        <v>1.525</v>
      </c>
      <c r="Y260" s="418"/>
      <c r="Z260" s="418" t="n">
        <v>0</v>
      </c>
      <c r="AA260" s="418"/>
      <c r="AB260" s="418" t="n">
        <v>0.33</v>
      </c>
      <c r="AC260" s="418" t="n">
        <v>0.975</v>
      </c>
      <c r="AD260" s="418"/>
      <c r="AE260" s="418"/>
      <c r="AF260" s="418"/>
      <c r="AG260" s="418"/>
      <c r="AH260" s="418"/>
      <c r="AI260" s="418"/>
      <c r="AJ260" s="437"/>
      <c r="AK260" s="437"/>
      <c r="AL260" s="437"/>
      <c r="AM260" s="418"/>
      <c r="AN260" s="418"/>
      <c r="AO260" s="418"/>
      <c r="AP260" s="418"/>
      <c r="AQ260" s="418"/>
      <c r="AR260" s="418"/>
      <c r="AS260" s="418"/>
      <c r="AW260" s="66" t="n">
        <v>0.071334553219113</v>
      </c>
      <c r="BB260" s="66" t="n">
        <v>44197</v>
      </c>
      <c r="BF260" s="455" t="n">
        <v>44197</v>
      </c>
      <c r="BG260" s="66" t="n">
        <v>223</v>
      </c>
    </row>
    <row r="261" customFormat="false" ht="12.75" hidden="false" customHeight="false" outlineLevel="0" collapsed="false">
      <c r="A261" s="470"/>
      <c r="B261" s="467"/>
      <c r="C261" s="420" t="n">
        <v>4.1365</v>
      </c>
      <c r="D261" s="420" t="n">
        <v>0.15</v>
      </c>
      <c r="E261" s="420" t="n">
        <v>0.070423735540573</v>
      </c>
      <c r="F261" s="420"/>
      <c r="G261" s="420" t="n">
        <v>-0.0049574</v>
      </c>
      <c r="H261" s="420"/>
      <c r="I261" s="420"/>
      <c r="J261" s="420" t="n">
        <v>0.305</v>
      </c>
      <c r="K261" s="420" t="n">
        <v>0.435</v>
      </c>
      <c r="L261" s="420"/>
      <c r="M261" s="420"/>
      <c r="N261" s="420" t="n">
        <v>0</v>
      </c>
      <c r="O261" s="420"/>
      <c r="P261" s="418"/>
      <c r="Q261" s="418"/>
      <c r="R261" s="418"/>
      <c r="S261" s="418"/>
      <c r="T261" s="418"/>
      <c r="U261" s="418"/>
      <c r="V261" s="418"/>
      <c r="W261" s="418" t="n">
        <v>0</v>
      </c>
      <c r="X261" s="418" t="n">
        <v>1.455</v>
      </c>
      <c r="Y261" s="418"/>
      <c r="Z261" s="418" t="n">
        <v>0</v>
      </c>
      <c r="AA261" s="418"/>
      <c r="AB261" s="418" t="n">
        <v>0.33</v>
      </c>
      <c r="AC261" s="418" t="n">
        <v>0.975</v>
      </c>
      <c r="AD261" s="418"/>
      <c r="AE261" s="418"/>
      <c r="AF261" s="418"/>
      <c r="AG261" s="418"/>
      <c r="AH261" s="418"/>
      <c r="AI261" s="418"/>
      <c r="AJ261" s="437"/>
      <c r="AK261" s="437"/>
      <c r="AL261" s="437"/>
      <c r="AM261" s="418"/>
      <c r="AN261" s="418"/>
      <c r="AO261" s="418"/>
      <c r="AP261" s="418"/>
      <c r="AQ261" s="418"/>
      <c r="AR261" s="418"/>
      <c r="AS261" s="418"/>
      <c r="AW261" s="66" t="n">
        <v>0.07132550794301</v>
      </c>
      <c r="BB261" s="66" t="n">
        <v>44228</v>
      </c>
      <c r="BF261" s="455" t="n">
        <v>44228</v>
      </c>
      <c r="BG261" s="66" t="n">
        <v>223</v>
      </c>
    </row>
    <row r="262" customFormat="false" ht="12.75" hidden="false" customHeight="false" outlineLevel="0" collapsed="false">
      <c r="A262" s="470"/>
      <c r="B262" s="467"/>
      <c r="C262" s="420" t="n">
        <v>4.0245</v>
      </c>
      <c r="D262" s="420" t="n">
        <v>0.15</v>
      </c>
      <c r="E262" s="420" t="n">
        <v>0.07041735727551</v>
      </c>
      <c r="F262" s="420"/>
      <c r="G262" s="420" t="n">
        <v>0.0050425</v>
      </c>
      <c r="H262" s="420"/>
      <c r="I262" s="420"/>
      <c r="J262" s="420" t="n">
        <v>0.265</v>
      </c>
      <c r="K262" s="420" t="n">
        <v>0.3025</v>
      </c>
      <c r="L262" s="420"/>
      <c r="M262" s="420"/>
      <c r="N262" s="420" t="n">
        <v>0</v>
      </c>
      <c r="O262" s="420"/>
      <c r="P262" s="418"/>
      <c r="Q262" s="418"/>
      <c r="R262" s="418"/>
      <c r="S262" s="418"/>
      <c r="T262" s="418"/>
      <c r="U262" s="418"/>
      <c r="V262" s="418"/>
      <c r="W262" s="418" t="n">
        <v>0</v>
      </c>
      <c r="X262" s="418" t="n">
        <v>0.835</v>
      </c>
      <c r="Y262" s="418"/>
      <c r="Z262" s="418" t="n">
        <v>0</v>
      </c>
      <c r="AA262" s="418"/>
      <c r="AB262" s="418" t="n">
        <v>0.33</v>
      </c>
      <c r="AC262" s="418" t="n">
        <v>0.6075</v>
      </c>
      <c r="AD262" s="418"/>
      <c r="AE262" s="418"/>
      <c r="AF262" s="418"/>
      <c r="AG262" s="418"/>
      <c r="AH262" s="418"/>
      <c r="AI262" s="418"/>
      <c r="AJ262" s="437"/>
      <c r="AK262" s="437"/>
      <c r="AL262" s="437"/>
      <c r="AM262" s="418"/>
      <c r="AN262" s="418"/>
      <c r="AO262" s="418"/>
      <c r="AP262" s="418"/>
      <c r="AQ262" s="418"/>
      <c r="AR262" s="418"/>
      <c r="AS262" s="418"/>
      <c r="AW262" s="66" t="n">
        <v>0.071317338016229</v>
      </c>
      <c r="BB262" s="66" t="n">
        <v>44256</v>
      </c>
      <c r="BF262" s="455" t="n">
        <v>44256</v>
      </c>
      <c r="BG262" s="66" t="n">
        <v>223</v>
      </c>
    </row>
    <row r="263" customFormat="false" ht="12.75" hidden="false" customHeight="false" outlineLevel="0" collapsed="false">
      <c r="A263" s="470"/>
      <c r="B263" s="467"/>
      <c r="C263" s="420" t="n">
        <v>3.9045</v>
      </c>
      <c r="D263" s="420" t="n">
        <v>0.15</v>
      </c>
      <c r="E263" s="420" t="n">
        <v>0.070410295624921</v>
      </c>
      <c r="F263" s="420"/>
      <c r="G263" s="420" t="n">
        <v>0.0649766</v>
      </c>
      <c r="H263" s="420"/>
      <c r="I263" s="420"/>
      <c r="J263" s="420" t="n">
        <v>0.195</v>
      </c>
      <c r="K263" s="420" t="n">
        <v>0.25</v>
      </c>
      <c r="L263" s="420"/>
      <c r="M263" s="420"/>
      <c r="N263" s="420" t="n">
        <v>0</v>
      </c>
      <c r="O263" s="420"/>
      <c r="P263" s="418"/>
      <c r="Q263" s="418"/>
      <c r="R263" s="418"/>
      <c r="S263" s="418"/>
      <c r="T263" s="418"/>
      <c r="U263" s="418"/>
      <c r="V263" s="418"/>
      <c r="W263" s="418" t="n">
        <v>0</v>
      </c>
      <c r="X263" s="418" t="n">
        <v>0.45</v>
      </c>
      <c r="Y263" s="418"/>
      <c r="Z263" s="418" t="n">
        <v>0</v>
      </c>
      <c r="AA263" s="418"/>
      <c r="AB263" s="418" t="n">
        <v>0.33</v>
      </c>
      <c r="AC263" s="418" t="n">
        <v>0.335</v>
      </c>
      <c r="AD263" s="418"/>
      <c r="AE263" s="418"/>
      <c r="AF263" s="418"/>
      <c r="AG263" s="418"/>
      <c r="AH263" s="418"/>
      <c r="AI263" s="418"/>
      <c r="AJ263" s="437"/>
      <c r="AK263" s="437"/>
      <c r="AL263" s="437"/>
      <c r="AM263" s="418"/>
      <c r="AN263" s="418"/>
      <c r="AO263" s="418"/>
      <c r="AP263" s="418"/>
      <c r="AQ263" s="418"/>
      <c r="AR263" s="418"/>
      <c r="AS263" s="418"/>
      <c r="AW263" s="66" t="n">
        <v>0.071308292740177</v>
      </c>
      <c r="BB263" s="66" t="n">
        <v>44287</v>
      </c>
      <c r="BF263" s="455" t="n">
        <v>44287</v>
      </c>
      <c r="BG263" s="66" t="n">
        <v>223</v>
      </c>
    </row>
    <row r="264" customFormat="false" ht="12.75" hidden="false" customHeight="false" outlineLevel="0" collapsed="false">
      <c r="A264" s="470"/>
      <c r="B264" s="467"/>
      <c r="C264" s="420" t="n">
        <v>3.9075</v>
      </c>
      <c r="D264" s="420" t="n">
        <v>0.15</v>
      </c>
      <c r="E264" s="420" t="n">
        <v>0.070403461769528</v>
      </c>
      <c r="F264" s="420"/>
      <c r="G264" s="420" t="n">
        <v>0.0649681</v>
      </c>
      <c r="H264" s="420"/>
      <c r="I264" s="420"/>
      <c r="J264" s="420" t="n">
        <v>0.1825</v>
      </c>
      <c r="K264" s="420" t="n">
        <v>0.2025</v>
      </c>
      <c r="L264" s="420"/>
      <c r="M264" s="420"/>
      <c r="N264" s="420" t="n">
        <v>0</v>
      </c>
      <c r="O264" s="420"/>
      <c r="P264" s="418"/>
      <c r="Q264" s="418"/>
      <c r="R264" s="418"/>
      <c r="S264" s="418"/>
      <c r="T264" s="418"/>
      <c r="U264" s="418"/>
      <c r="V264" s="418"/>
      <c r="W264" s="418" t="n">
        <v>0</v>
      </c>
      <c r="X264" s="418" t="n">
        <v>0.405</v>
      </c>
      <c r="Y264" s="418"/>
      <c r="Z264" s="418" t="n">
        <v>0</v>
      </c>
      <c r="AA264" s="418"/>
      <c r="AB264" s="418" t="n">
        <v>0.33</v>
      </c>
      <c r="AC264" s="418" t="n">
        <v>0.2675</v>
      </c>
      <c r="AD264" s="418"/>
      <c r="AE264" s="418"/>
      <c r="AF264" s="418"/>
      <c r="AG264" s="418"/>
      <c r="AH264" s="418"/>
      <c r="AI264" s="418"/>
      <c r="AJ264" s="437"/>
      <c r="AK264" s="437"/>
      <c r="AL264" s="437"/>
      <c r="AM264" s="418"/>
      <c r="AN264" s="418"/>
      <c r="AO264" s="418"/>
      <c r="AP264" s="418"/>
      <c r="AQ264" s="418"/>
      <c r="AR264" s="418"/>
      <c r="AS264" s="418"/>
      <c r="AW264" s="66" t="n">
        <v>0.071299539247248</v>
      </c>
      <c r="BB264" s="66" t="n">
        <v>44317</v>
      </c>
      <c r="BF264" s="455" t="n">
        <v>44317</v>
      </c>
      <c r="BG264" s="66" t="n">
        <v>223</v>
      </c>
    </row>
    <row r="265" customFormat="false" ht="12.75" hidden="false" customHeight="false" outlineLevel="0" collapsed="false">
      <c r="A265" s="470"/>
      <c r="B265" s="467"/>
      <c r="C265" s="420" t="n">
        <v>3.9455</v>
      </c>
      <c r="D265" s="420" t="n">
        <v>0.15</v>
      </c>
      <c r="E265" s="420" t="n">
        <v>0.070396400118971</v>
      </c>
      <c r="F265" s="420"/>
      <c r="G265" s="420" t="n">
        <v>0.0649681</v>
      </c>
      <c r="H265" s="420"/>
      <c r="I265" s="420"/>
      <c r="J265" s="420" t="n">
        <v>0.1825</v>
      </c>
      <c r="K265" s="420" t="n">
        <v>0.2025</v>
      </c>
      <c r="L265" s="420"/>
      <c r="M265" s="420"/>
      <c r="N265" s="420" t="n">
        <v>0</v>
      </c>
      <c r="O265" s="420"/>
      <c r="P265" s="418"/>
      <c r="Q265" s="418"/>
      <c r="R265" s="418"/>
      <c r="S265" s="418"/>
      <c r="T265" s="418"/>
      <c r="U265" s="418"/>
      <c r="V265" s="418"/>
      <c r="W265" s="418" t="n">
        <v>0</v>
      </c>
      <c r="X265" s="418" t="n">
        <v>0.395</v>
      </c>
      <c r="Y265" s="418"/>
      <c r="Z265" s="418" t="n">
        <v>0</v>
      </c>
      <c r="AA265" s="418"/>
      <c r="AB265" s="418" t="n">
        <v>0.33</v>
      </c>
      <c r="AC265" s="418" t="n">
        <v>0.2675</v>
      </c>
      <c r="AD265" s="418"/>
      <c r="AE265" s="418"/>
      <c r="AF265" s="418"/>
      <c r="AG265" s="418"/>
      <c r="AH265" s="418"/>
      <c r="AI265" s="418"/>
      <c r="AJ265" s="437"/>
      <c r="AK265" s="437"/>
      <c r="AL265" s="437"/>
      <c r="AM265" s="418"/>
      <c r="AN265" s="418"/>
      <c r="AO265" s="418"/>
      <c r="AP265" s="418"/>
      <c r="AQ265" s="418"/>
      <c r="AR265" s="418"/>
      <c r="AS265" s="418"/>
      <c r="AW265" s="66" t="n">
        <v>0.071290493971249</v>
      </c>
      <c r="BB265" s="66" t="n">
        <v>44348</v>
      </c>
      <c r="BF265" s="455" t="n">
        <v>44348</v>
      </c>
      <c r="BG265" s="66" t="n">
        <v>223</v>
      </c>
    </row>
    <row r="266" customFormat="false" ht="12.75" hidden="false" customHeight="false" outlineLevel="0" collapsed="false">
      <c r="A266" s="470"/>
      <c r="B266" s="467"/>
      <c r="C266" s="420" t="n">
        <v>3.9675</v>
      </c>
      <c r="D266" s="420" t="n">
        <v>0.15</v>
      </c>
      <c r="E266" s="420" t="n">
        <v>0.070389566263609</v>
      </c>
      <c r="F266" s="420"/>
      <c r="G266" s="420" t="n">
        <v>0.0649681</v>
      </c>
      <c r="H266" s="420"/>
      <c r="I266" s="420"/>
      <c r="J266" s="420" t="n">
        <v>0.1825</v>
      </c>
      <c r="K266" s="420" t="n">
        <v>0.215</v>
      </c>
      <c r="L266" s="420"/>
      <c r="M266" s="420"/>
      <c r="N266" s="420" t="n">
        <v>0</v>
      </c>
      <c r="O266" s="420"/>
      <c r="P266" s="418"/>
      <c r="Q266" s="418"/>
      <c r="R266" s="418"/>
      <c r="S266" s="418"/>
      <c r="T266" s="418"/>
      <c r="U266" s="418"/>
      <c r="V266" s="418"/>
      <c r="W266" s="418" t="n">
        <v>0</v>
      </c>
      <c r="X266" s="418" t="n">
        <v>0.43</v>
      </c>
      <c r="Y266" s="418"/>
      <c r="Z266" s="418" t="n">
        <v>0</v>
      </c>
      <c r="AA266" s="418"/>
      <c r="AB266" s="418" t="n">
        <v>0.33</v>
      </c>
      <c r="AC266" s="418" t="n">
        <v>0.28</v>
      </c>
      <c r="AD266" s="418"/>
      <c r="AE266" s="418"/>
      <c r="AF266" s="418"/>
      <c r="AG266" s="418"/>
      <c r="AH266" s="418"/>
      <c r="AI266" s="418"/>
      <c r="AJ266" s="437"/>
      <c r="AK266" s="437"/>
      <c r="AL266" s="437"/>
      <c r="AM266" s="418"/>
      <c r="AN266" s="418"/>
      <c r="AO266" s="418"/>
      <c r="AP266" s="418"/>
      <c r="AQ266" s="418"/>
      <c r="AR266" s="418"/>
      <c r="AS266" s="418"/>
      <c r="AW266" s="66" t="n">
        <v>0.071281740478372</v>
      </c>
      <c r="BB266" s="66" t="n">
        <v>44378</v>
      </c>
      <c r="BF266" s="455" t="n">
        <v>44378</v>
      </c>
      <c r="BG266" s="66" t="n">
        <v>223</v>
      </c>
    </row>
    <row r="267" customFormat="false" ht="12.75" hidden="false" customHeight="false" outlineLevel="0" collapsed="false">
      <c r="A267" s="470"/>
      <c r="B267" s="467"/>
      <c r="C267" s="420" t="n">
        <v>3.9885</v>
      </c>
      <c r="D267" s="420" t="n">
        <v>0.15</v>
      </c>
      <c r="E267" s="420" t="n">
        <v>0.070382504613085</v>
      </c>
      <c r="F267" s="420"/>
      <c r="G267" s="420" t="n">
        <v>0.0649681</v>
      </c>
      <c r="H267" s="420"/>
      <c r="I267" s="420"/>
      <c r="J267" s="420" t="n">
        <v>0.1825</v>
      </c>
      <c r="K267" s="420" t="n">
        <v>0.215</v>
      </c>
      <c r="L267" s="420"/>
      <c r="M267" s="420"/>
      <c r="N267" s="420" t="n">
        <v>0</v>
      </c>
      <c r="O267" s="420"/>
      <c r="P267" s="418"/>
      <c r="Q267" s="418"/>
      <c r="R267" s="418"/>
      <c r="S267" s="418"/>
      <c r="T267" s="418"/>
      <c r="U267" s="418"/>
      <c r="V267" s="418"/>
      <c r="W267" s="418" t="n">
        <v>0</v>
      </c>
      <c r="X267" s="418" t="n">
        <v>0.495</v>
      </c>
      <c r="Y267" s="418"/>
      <c r="Z267" s="418" t="n">
        <v>0</v>
      </c>
      <c r="AA267" s="418"/>
      <c r="AB267" s="418" t="n">
        <v>0.33</v>
      </c>
      <c r="AC267" s="418" t="n">
        <v>0.28</v>
      </c>
      <c r="AD267" s="418"/>
      <c r="AE267" s="418"/>
      <c r="AF267" s="418"/>
      <c r="AG267" s="418"/>
      <c r="AH267" s="418"/>
      <c r="AI267" s="418"/>
      <c r="AJ267" s="437"/>
      <c r="AK267" s="437"/>
      <c r="AL267" s="437"/>
      <c r="AM267" s="418"/>
      <c r="AN267" s="418"/>
      <c r="AO267" s="418"/>
      <c r="AP267" s="418"/>
      <c r="AQ267" s="418"/>
      <c r="AR267" s="418"/>
      <c r="AS267" s="418"/>
      <c r="AW267" s="66" t="n">
        <v>0.071272695202426</v>
      </c>
      <c r="BB267" s="66" t="n">
        <v>44409</v>
      </c>
      <c r="BF267" s="455" t="n">
        <v>44409</v>
      </c>
      <c r="BG267" s="66" t="n">
        <v>223</v>
      </c>
    </row>
    <row r="268" customFormat="false" ht="12.75" hidden="false" customHeight="false" outlineLevel="0" collapsed="false">
      <c r="B268" s="467"/>
      <c r="C268" s="420" t="n">
        <v>3.9665</v>
      </c>
      <c r="D268" s="420" t="n">
        <v>0.15</v>
      </c>
      <c r="E268" s="420" t="n">
        <v>0.070375442962578</v>
      </c>
      <c r="F268" s="420"/>
      <c r="G268" s="420" t="n">
        <v>0.0649681</v>
      </c>
      <c r="H268" s="420"/>
      <c r="I268" s="420"/>
      <c r="J268" s="420" t="n">
        <v>0.1825</v>
      </c>
      <c r="K268" s="420" t="n">
        <v>0.195</v>
      </c>
      <c r="L268" s="420"/>
      <c r="M268" s="420"/>
      <c r="N268" s="420" t="n">
        <v>0</v>
      </c>
      <c r="O268" s="420"/>
      <c r="P268" s="418"/>
      <c r="Q268" s="418"/>
      <c r="R268" s="418"/>
      <c r="S268" s="418"/>
      <c r="T268" s="418"/>
      <c r="U268" s="418"/>
      <c r="V268" s="418"/>
      <c r="W268" s="418" t="n">
        <v>0</v>
      </c>
      <c r="X268" s="418" t="n">
        <v>0.395</v>
      </c>
      <c r="Y268" s="418"/>
      <c r="Z268" s="418" t="n">
        <v>0</v>
      </c>
      <c r="AA268" s="418"/>
      <c r="AB268" s="418" t="n">
        <v>0.33</v>
      </c>
      <c r="AC268" s="418" t="n">
        <v>0.27</v>
      </c>
      <c r="AD268" s="418"/>
      <c r="AE268" s="418"/>
      <c r="AF268" s="418"/>
      <c r="AG268" s="418"/>
      <c r="AH268" s="418"/>
      <c r="AI268" s="418"/>
      <c r="AJ268" s="437"/>
      <c r="AK268" s="437"/>
      <c r="AL268" s="437"/>
      <c r="AM268" s="418"/>
      <c r="AN268" s="418"/>
      <c r="AO268" s="418"/>
      <c r="AP268" s="418"/>
      <c r="AQ268" s="418"/>
      <c r="AR268" s="418"/>
      <c r="AS268" s="418"/>
      <c r="AW268" s="66" t="n">
        <v>0.071263649926507</v>
      </c>
      <c r="BB268" s="66" t="n">
        <v>44440</v>
      </c>
      <c r="BF268" s="455" t="n">
        <v>44440</v>
      </c>
      <c r="BG268" s="66" t="n">
        <v>223</v>
      </c>
    </row>
    <row r="269" customFormat="false" ht="12.75" hidden="false" customHeight="false" outlineLevel="0" collapsed="false">
      <c r="B269" s="467"/>
      <c r="C269" s="420" t="n">
        <v>3.9635</v>
      </c>
      <c r="D269" s="420" t="n">
        <v>0.15</v>
      </c>
      <c r="E269" s="420" t="n">
        <v>0.070368609107263</v>
      </c>
      <c r="F269" s="420"/>
      <c r="G269" s="420" t="n">
        <v>0.0649681</v>
      </c>
      <c r="H269" s="420"/>
      <c r="I269" s="420"/>
      <c r="J269" s="420" t="n">
        <v>0.1875</v>
      </c>
      <c r="K269" s="420" t="n">
        <v>0.215</v>
      </c>
      <c r="L269" s="420"/>
      <c r="M269" s="420"/>
      <c r="N269" s="420" t="n">
        <v>0</v>
      </c>
      <c r="O269" s="420"/>
      <c r="P269" s="418"/>
      <c r="Q269" s="418"/>
      <c r="R269" s="418"/>
      <c r="S269" s="418"/>
      <c r="T269" s="418"/>
      <c r="U269" s="418"/>
      <c r="V269" s="418"/>
      <c r="W269" s="418" t="n">
        <v>0</v>
      </c>
      <c r="X269" s="418" t="n">
        <v>0.461</v>
      </c>
      <c r="Y269" s="418"/>
      <c r="Z269" s="418" t="n">
        <v>0</v>
      </c>
      <c r="AA269" s="418"/>
      <c r="AB269" s="418" t="n">
        <v>0.33</v>
      </c>
      <c r="AC269" s="418" t="n">
        <v>0.3425</v>
      </c>
      <c r="AD269" s="418"/>
      <c r="AE269" s="418"/>
      <c r="AF269" s="418"/>
      <c r="AG269" s="418"/>
      <c r="AH269" s="418"/>
      <c r="AI269" s="418"/>
      <c r="AJ269" s="437"/>
      <c r="AK269" s="437"/>
      <c r="AL269" s="437"/>
      <c r="AM269" s="418"/>
      <c r="AN269" s="418"/>
      <c r="AO269" s="418"/>
      <c r="AP269" s="418"/>
      <c r="AQ269" s="418"/>
      <c r="AR269" s="418"/>
      <c r="AS269" s="418"/>
      <c r="AW269" s="66" t="n">
        <v>0.071254896433708</v>
      </c>
      <c r="BB269" s="66" t="n">
        <v>44470</v>
      </c>
      <c r="BF269" s="455" t="n">
        <v>44470</v>
      </c>
      <c r="BG269" s="66" t="n">
        <v>223</v>
      </c>
    </row>
    <row r="270" customFormat="false" ht="12.75" hidden="false" customHeight="false" outlineLevel="0" collapsed="false">
      <c r="B270" s="467"/>
      <c r="C270" s="420" t="n">
        <v>3.9655</v>
      </c>
      <c r="D270" s="420" t="n">
        <v>0.15</v>
      </c>
      <c r="E270" s="420" t="n">
        <v>0.070361547456788</v>
      </c>
      <c r="F270" s="420"/>
      <c r="G270" s="420" t="n">
        <v>-0.0149887</v>
      </c>
      <c r="H270" s="420"/>
      <c r="I270" s="420"/>
      <c r="J270" s="420" t="n">
        <v>0.27</v>
      </c>
      <c r="K270" s="420" t="n">
        <v>0.2875</v>
      </c>
      <c r="L270" s="420"/>
      <c r="M270" s="420"/>
      <c r="N270" s="420" t="n">
        <v>0</v>
      </c>
      <c r="O270" s="420"/>
      <c r="P270" s="418"/>
      <c r="Q270" s="418"/>
      <c r="R270" s="418"/>
      <c r="S270" s="418"/>
      <c r="T270" s="418"/>
      <c r="U270" s="418"/>
      <c r="V270" s="418"/>
      <c r="W270" s="418" t="n">
        <v>0</v>
      </c>
      <c r="X270" s="418" t="n">
        <v>0.7675</v>
      </c>
      <c r="Y270" s="418"/>
      <c r="Z270" s="418" t="n">
        <v>0</v>
      </c>
      <c r="AA270" s="418"/>
      <c r="AB270" s="418" t="n">
        <v>0</v>
      </c>
      <c r="AC270" s="418" t="n">
        <v>0.465</v>
      </c>
      <c r="AD270" s="418"/>
      <c r="AE270" s="418"/>
      <c r="AF270" s="418"/>
      <c r="AG270" s="418"/>
      <c r="AH270" s="418"/>
      <c r="AI270" s="418"/>
      <c r="AJ270" s="437"/>
      <c r="AK270" s="437"/>
      <c r="AL270" s="437"/>
      <c r="AM270" s="418"/>
      <c r="AN270" s="418"/>
      <c r="AO270" s="418"/>
      <c r="AP270" s="418"/>
      <c r="AQ270" s="418"/>
      <c r="AR270" s="418"/>
      <c r="AS270" s="418"/>
      <c r="AW270" s="66" t="n">
        <v>0.071245851157842</v>
      </c>
      <c r="BB270" s="66" t="n">
        <v>44501</v>
      </c>
      <c r="BF270" s="455" t="n">
        <v>44501</v>
      </c>
      <c r="BG270" s="66" t="n">
        <v>223</v>
      </c>
    </row>
    <row r="271" customFormat="false" ht="12.75" hidden="false" customHeight="false" outlineLevel="0" collapsed="false">
      <c r="B271" s="467"/>
      <c r="C271" s="420" t="n">
        <v>3.9975</v>
      </c>
      <c r="D271" s="420" t="n">
        <v>0.15</v>
      </c>
      <c r="E271" s="420" t="n">
        <v>0.070354713601504</v>
      </c>
      <c r="F271" s="420"/>
      <c r="G271" s="420" t="n">
        <v>-0.0299519</v>
      </c>
      <c r="H271" s="420"/>
      <c r="I271" s="420"/>
      <c r="J271" s="420" t="n">
        <v>0.305</v>
      </c>
      <c r="K271" s="420" t="n">
        <v>0.3375</v>
      </c>
      <c r="L271" s="420"/>
      <c r="M271" s="420"/>
      <c r="N271" s="420" t="n">
        <v>0</v>
      </c>
      <c r="O271" s="420"/>
      <c r="P271" s="418"/>
      <c r="Q271" s="418"/>
      <c r="R271" s="418"/>
      <c r="S271" s="418"/>
      <c r="T271" s="418"/>
      <c r="U271" s="418"/>
      <c r="V271" s="418"/>
      <c r="W271" s="418" t="n">
        <v>0</v>
      </c>
      <c r="X271" s="418" t="n">
        <v>1.19</v>
      </c>
      <c r="Y271" s="418"/>
      <c r="Z271" s="418" t="n">
        <v>0</v>
      </c>
      <c r="AA271" s="418"/>
      <c r="AB271" s="418" t="n">
        <v>0</v>
      </c>
      <c r="AC271" s="418" t="n">
        <v>0.8</v>
      </c>
      <c r="AD271" s="418"/>
      <c r="AE271" s="418"/>
      <c r="AF271" s="418"/>
      <c r="AG271" s="418"/>
      <c r="AH271" s="418"/>
      <c r="AI271" s="418"/>
      <c r="AJ271" s="437"/>
      <c r="AK271" s="437"/>
      <c r="AL271" s="437"/>
      <c r="AM271" s="418"/>
      <c r="AN271" s="418"/>
      <c r="AO271" s="418"/>
      <c r="AP271" s="418"/>
      <c r="AQ271" s="418"/>
      <c r="AR271" s="418"/>
      <c r="AS271" s="418"/>
      <c r="AW271" s="66" t="n">
        <v>0.071237097665094</v>
      </c>
      <c r="BB271" s="66" t="n">
        <v>44531</v>
      </c>
      <c r="BF271" s="455" t="n">
        <v>44531</v>
      </c>
      <c r="BG271" s="66" t="n">
        <v>223</v>
      </c>
    </row>
    <row r="272" customFormat="false" ht="12.75" hidden="false" customHeight="false" outlineLevel="0" collapsed="false">
      <c r="B272" s="467"/>
      <c r="C272" s="420" t="n">
        <v>4.3035</v>
      </c>
      <c r="D272" s="420" t="n">
        <v>0.15</v>
      </c>
      <c r="E272" s="420" t="n">
        <v>0.070347651951062</v>
      </c>
      <c r="F272" s="420"/>
      <c r="G272" s="420" t="n">
        <v>-0.0249551</v>
      </c>
      <c r="H272" s="420"/>
      <c r="I272" s="420"/>
      <c r="J272" s="420" t="n">
        <v>0.305</v>
      </c>
      <c r="K272" s="420" t="n">
        <v>0.4375</v>
      </c>
      <c r="L272" s="420"/>
      <c r="M272" s="420"/>
      <c r="N272" s="420" t="n">
        <v>0</v>
      </c>
      <c r="O272" s="420"/>
      <c r="P272" s="418"/>
      <c r="Q272" s="418"/>
      <c r="R272" s="418"/>
      <c r="S272" s="418"/>
      <c r="T272" s="418"/>
      <c r="U272" s="418"/>
      <c r="V272" s="418"/>
      <c r="W272" s="418" t="n">
        <v>0</v>
      </c>
      <c r="X272" s="418" t="n">
        <v>1.525</v>
      </c>
      <c r="Y272" s="418"/>
      <c r="Z272" s="418" t="n">
        <v>0</v>
      </c>
      <c r="AA272" s="418"/>
      <c r="AB272" s="418" t="n">
        <v>0</v>
      </c>
      <c r="AC272" s="418" t="n">
        <v>0.975</v>
      </c>
      <c r="AD272" s="418"/>
      <c r="AE272" s="418"/>
      <c r="AF272" s="418"/>
      <c r="AG272" s="418"/>
      <c r="AH272" s="418"/>
      <c r="AI272" s="418"/>
      <c r="AJ272" s="437"/>
      <c r="AK272" s="437"/>
      <c r="AL272" s="437"/>
      <c r="AM272" s="418"/>
      <c r="AN272" s="418"/>
      <c r="AO272" s="418"/>
      <c r="AP272" s="418"/>
      <c r="AQ272" s="418"/>
      <c r="AR272" s="418"/>
      <c r="AS272" s="418"/>
      <c r="AW272" s="66" t="n">
        <v>0.071228052389281</v>
      </c>
      <c r="BB272" s="66" t="n">
        <v>44562</v>
      </c>
      <c r="BF272" s="455" t="n">
        <v>44562</v>
      </c>
      <c r="BG272" s="66" t="n">
        <v>223</v>
      </c>
    </row>
    <row r="273" customFormat="false" ht="12.75" hidden="false" customHeight="false" outlineLevel="0" collapsed="false">
      <c r="B273" s="467"/>
      <c r="C273" s="420" t="n">
        <v>4.2375</v>
      </c>
      <c r="D273" s="420" t="n">
        <v>0.15</v>
      </c>
      <c r="E273" s="420" t="n">
        <v>0.070340590300635</v>
      </c>
      <c r="F273" s="420"/>
      <c r="G273" s="420" t="n">
        <v>4.25E-005</v>
      </c>
      <c r="H273" s="420"/>
      <c r="I273" s="420"/>
      <c r="J273" s="420" t="n">
        <v>0.305</v>
      </c>
      <c r="K273" s="420" t="n">
        <v>0.435</v>
      </c>
      <c r="L273" s="420"/>
      <c r="M273" s="420"/>
      <c r="N273" s="420" t="n">
        <v>0</v>
      </c>
      <c r="O273" s="420"/>
      <c r="P273" s="418"/>
      <c r="Q273" s="418"/>
      <c r="R273" s="418"/>
      <c r="S273" s="418"/>
      <c r="T273" s="418"/>
      <c r="U273" s="418"/>
      <c r="V273" s="418"/>
      <c r="W273" s="418" t="n">
        <v>0</v>
      </c>
      <c r="X273" s="418" t="n">
        <v>1.455</v>
      </c>
      <c r="Y273" s="418"/>
      <c r="Z273" s="418" t="n">
        <v>0</v>
      </c>
      <c r="AA273" s="418"/>
      <c r="AB273" s="418" t="n">
        <v>0</v>
      </c>
      <c r="AC273" s="418" t="n">
        <v>0.975</v>
      </c>
      <c r="AD273" s="418"/>
      <c r="AE273" s="418"/>
      <c r="AF273" s="418"/>
      <c r="AG273" s="418"/>
      <c r="AH273" s="418"/>
      <c r="AI273" s="418"/>
      <c r="AJ273" s="437"/>
      <c r="AK273" s="437"/>
      <c r="AL273" s="437"/>
      <c r="AM273" s="418"/>
      <c r="AN273" s="418"/>
      <c r="AO273" s="418"/>
      <c r="AP273" s="418"/>
      <c r="AQ273" s="418"/>
      <c r="AR273" s="418"/>
      <c r="AS273" s="418"/>
      <c r="AW273" s="66" t="n">
        <v>0.071219007113496</v>
      </c>
    </row>
    <row r="274" customFormat="false" ht="12.75" hidden="false" customHeight="false" outlineLevel="0" collapsed="false">
      <c r="B274" s="467"/>
      <c r="C274" s="420" t="n">
        <v>4.1285</v>
      </c>
      <c r="D274" s="420" t="n">
        <v>0.15</v>
      </c>
      <c r="E274" s="420" t="n">
        <v>0.070334212035748</v>
      </c>
      <c r="F274" s="420"/>
      <c r="G274" s="420" t="n">
        <v>0.0100425</v>
      </c>
      <c r="H274" s="420"/>
      <c r="I274" s="420"/>
      <c r="J274" s="420" t="n">
        <v>0.265</v>
      </c>
      <c r="K274" s="420" t="n">
        <v>0.3025</v>
      </c>
      <c r="L274" s="420"/>
      <c r="M274" s="420"/>
      <c r="N274" s="420" t="n">
        <v>0</v>
      </c>
      <c r="O274" s="420"/>
      <c r="P274" s="418"/>
      <c r="Q274" s="418"/>
      <c r="R274" s="418"/>
      <c r="S274" s="418"/>
      <c r="T274" s="418"/>
      <c r="U274" s="418"/>
      <c r="V274" s="418"/>
      <c r="W274" s="418" t="n">
        <v>0</v>
      </c>
      <c r="X274" s="418" t="n">
        <v>0.835</v>
      </c>
      <c r="Y274" s="418"/>
      <c r="Z274" s="418" t="n">
        <v>0</v>
      </c>
      <c r="AA274" s="418"/>
      <c r="AB274" s="418" t="n">
        <v>0</v>
      </c>
      <c r="AC274" s="418" t="n">
        <v>0.6075</v>
      </c>
      <c r="AD274" s="418"/>
      <c r="AE274" s="418"/>
      <c r="AF274" s="418"/>
      <c r="AG274" s="418"/>
      <c r="AH274" s="418"/>
      <c r="AI274" s="418"/>
      <c r="AJ274" s="437"/>
      <c r="AK274" s="437"/>
      <c r="AL274" s="437"/>
      <c r="AM274" s="418"/>
      <c r="AN274" s="418"/>
      <c r="AO274" s="418"/>
      <c r="AP274" s="418"/>
      <c r="AQ274" s="418"/>
      <c r="AR274" s="418"/>
      <c r="AS274" s="418"/>
      <c r="AW274" s="66" t="n">
        <v>0.071210837187003</v>
      </c>
    </row>
    <row r="275" customFormat="false" ht="12.75" hidden="false" customHeight="false" outlineLevel="0" collapsed="false">
      <c r="A275" s="473"/>
      <c r="B275" s="467"/>
      <c r="C275" s="420" t="n">
        <v>4.0115</v>
      </c>
      <c r="D275" s="420" t="n">
        <v>0.15</v>
      </c>
      <c r="E275" s="420" t="n">
        <v>0.070327150385353</v>
      </c>
      <c r="F275" s="420"/>
      <c r="G275" s="420" t="n">
        <v>0.0699766</v>
      </c>
      <c r="H275" s="420"/>
      <c r="I275" s="420"/>
      <c r="J275" s="420" t="n">
        <v>0.195</v>
      </c>
      <c r="K275" s="420" t="n">
        <v>0.25</v>
      </c>
      <c r="L275" s="420"/>
      <c r="M275" s="420"/>
      <c r="N275" s="420" t="n">
        <v>0</v>
      </c>
      <c r="O275" s="420"/>
      <c r="P275" s="418"/>
      <c r="Q275" s="418"/>
      <c r="R275" s="418"/>
      <c r="S275" s="418"/>
      <c r="T275" s="418"/>
      <c r="U275" s="418"/>
      <c r="V275" s="418"/>
      <c r="W275" s="418" t="n">
        <v>0</v>
      </c>
      <c r="X275" s="418" t="n">
        <v>0.45</v>
      </c>
      <c r="Y275" s="418"/>
      <c r="Z275" s="418" t="n">
        <v>0</v>
      </c>
      <c r="AA275" s="418"/>
      <c r="AB275" s="418" t="n">
        <v>0</v>
      </c>
      <c r="AC275" s="418" t="n">
        <v>0.335</v>
      </c>
      <c r="AD275" s="418"/>
      <c r="AE275" s="418"/>
      <c r="AF275" s="418"/>
      <c r="AG275" s="418"/>
      <c r="AH275" s="418"/>
      <c r="AI275" s="418"/>
      <c r="AJ275" s="437"/>
      <c r="AK275" s="437"/>
      <c r="AL275" s="437"/>
      <c r="AM275" s="418"/>
      <c r="AN275" s="418"/>
      <c r="AO275" s="418"/>
      <c r="AP275" s="418"/>
      <c r="AQ275" s="418"/>
      <c r="AR275" s="418"/>
      <c r="AS275" s="418"/>
      <c r="AW275" s="66" t="n">
        <v>0.071201791911269</v>
      </c>
    </row>
    <row r="276" customFormat="false" ht="12.75" hidden="false" customHeight="false" outlineLevel="0" collapsed="false">
      <c r="A276" s="470"/>
      <c r="B276" s="467"/>
      <c r="C276" s="420" t="n">
        <v>4.0155</v>
      </c>
      <c r="D276" s="420" t="n">
        <v>0.15</v>
      </c>
      <c r="E276" s="420" t="n">
        <v>0.070320316530148</v>
      </c>
      <c r="F276" s="420"/>
      <c r="G276" s="420" t="n">
        <v>0.0699681</v>
      </c>
      <c r="H276" s="420"/>
      <c r="I276" s="420"/>
      <c r="J276" s="420" t="n">
        <v>0.1825</v>
      </c>
      <c r="K276" s="420" t="n">
        <v>0.2025</v>
      </c>
      <c r="L276" s="420"/>
      <c r="M276" s="420"/>
      <c r="N276" s="420" t="n">
        <v>0</v>
      </c>
      <c r="O276" s="420"/>
      <c r="P276" s="418"/>
      <c r="Q276" s="418"/>
      <c r="R276" s="418"/>
      <c r="S276" s="418"/>
      <c r="T276" s="418"/>
      <c r="U276" s="418"/>
      <c r="V276" s="418"/>
      <c r="W276" s="418" t="n">
        <v>0</v>
      </c>
      <c r="X276" s="418" t="n">
        <v>0.405</v>
      </c>
      <c r="Y276" s="418"/>
      <c r="Z276" s="418" t="n">
        <v>0</v>
      </c>
      <c r="AA276" s="418"/>
      <c r="AB276" s="418" t="n">
        <v>0</v>
      </c>
      <c r="AC276" s="418" t="n">
        <v>0.2675</v>
      </c>
      <c r="AD276" s="418"/>
      <c r="AE276" s="418"/>
      <c r="AF276" s="418"/>
      <c r="AG276" s="418"/>
      <c r="AH276" s="418"/>
      <c r="AI276" s="418"/>
      <c r="AJ276" s="437"/>
      <c r="AK276" s="437"/>
      <c r="AL276" s="437"/>
      <c r="AM276" s="418"/>
      <c r="AN276" s="418"/>
      <c r="AO276" s="418"/>
      <c r="AP276" s="418"/>
      <c r="AQ276" s="418"/>
      <c r="AR276" s="418"/>
      <c r="AS276" s="418"/>
      <c r="AW276" s="66" t="n">
        <v>0.071193038418648</v>
      </c>
    </row>
    <row r="277" customFormat="false" ht="12.75" hidden="false" customHeight="false" outlineLevel="0" collapsed="false">
      <c r="A277" s="470"/>
      <c r="B277" s="467"/>
      <c r="C277" s="420" t="n">
        <v>4.0545</v>
      </c>
      <c r="D277" s="420" t="n">
        <v>0.15</v>
      </c>
      <c r="E277" s="420" t="n">
        <v>0.070313254879785</v>
      </c>
      <c r="F277" s="420"/>
      <c r="G277" s="420" t="n">
        <v>0.0699681</v>
      </c>
      <c r="H277" s="420"/>
      <c r="I277" s="420"/>
      <c r="J277" s="420" t="n">
        <v>0.1825</v>
      </c>
      <c r="K277" s="420" t="n">
        <v>0.2025</v>
      </c>
      <c r="L277" s="420"/>
      <c r="M277" s="420"/>
      <c r="N277" s="420" t="n">
        <v>0</v>
      </c>
      <c r="O277" s="420"/>
      <c r="P277" s="418"/>
      <c r="Q277" s="418"/>
      <c r="R277" s="418"/>
      <c r="S277" s="418"/>
      <c r="T277" s="418"/>
      <c r="U277" s="418"/>
      <c r="V277" s="418"/>
      <c r="W277" s="418" t="n">
        <v>0</v>
      </c>
      <c r="X277" s="418" t="n">
        <v>0.395</v>
      </c>
      <c r="Y277" s="418"/>
      <c r="Z277" s="418" t="n">
        <v>0</v>
      </c>
      <c r="AA277" s="418"/>
      <c r="AB277" s="418" t="n">
        <v>0</v>
      </c>
      <c r="AC277" s="418" t="n">
        <v>0.2675</v>
      </c>
      <c r="AD277" s="418"/>
      <c r="AE277" s="418"/>
      <c r="AF277" s="418"/>
      <c r="AG277" s="418"/>
      <c r="AH277" s="418"/>
      <c r="AI277" s="418"/>
      <c r="AJ277" s="437"/>
      <c r="AK277" s="437"/>
      <c r="AL277" s="437"/>
      <c r="AM277" s="418"/>
      <c r="AN277" s="418"/>
      <c r="AO277" s="418"/>
      <c r="AP277" s="418"/>
      <c r="AQ277" s="418"/>
      <c r="AR277" s="418"/>
      <c r="AS277" s="418"/>
      <c r="AW277" s="66" t="n">
        <v>0.071183993142967</v>
      </c>
    </row>
    <row r="278" customFormat="false" ht="12.75" hidden="false" customHeight="false" outlineLevel="0" collapsed="false">
      <c r="A278" s="470"/>
      <c r="B278" s="467"/>
      <c r="C278" s="420" t="n">
        <v>4.0765</v>
      </c>
      <c r="D278" s="420" t="n">
        <v>0.15</v>
      </c>
      <c r="E278" s="420" t="n">
        <v>0.070306421024611</v>
      </c>
      <c r="F278" s="420"/>
      <c r="G278" s="420" t="n">
        <v>0.0699681</v>
      </c>
      <c r="H278" s="420"/>
      <c r="I278" s="420"/>
      <c r="J278" s="420" t="n">
        <v>0.1825</v>
      </c>
      <c r="K278" s="420" t="n">
        <v>0.215</v>
      </c>
      <c r="L278" s="420"/>
      <c r="M278" s="420"/>
      <c r="N278" s="420" t="n">
        <v>0</v>
      </c>
      <c r="O278" s="420"/>
      <c r="P278" s="418"/>
      <c r="Q278" s="418"/>
      <c r="R278" s="418"/>
      <c r="S278" s="418"/>
      <c r="T278" s="418"/>
      <c r="U278" s="418"/>
      <c r="V278" s="418"/>
      <c r="W278" s="418" t="n">
        <v>0</v>
      </c>
      <c r="X278" s="418" t="n">
        <v>0.43</v>
      </c>
      <c r="Y278" s="418"/>
      <c r="Z278" s="418" t="n">
        <v>0</v>
      </c>
      <c r="AA278" s="418"/>
      <c r="AB278" s="418" t="n">
        <v>0</v>
      </c>
      <c r="AC278" s="418" t="n">
        <v>0.28</v>
      </c>
      <c r="AD278" s="418"/>
      <c r="AE278" s="418"/>
      <c r="AF278" s="418"/>
      <c r="AG278" s="418"/>
      <c r="AH278" s="418"/>
      <c r="AI278" s="418"/>
      <c r="AJ278" s="437"/>
      <c r="AK278" s="437"/>
      <c r="AL278" s="437"/>
      <c r="AM278" s="418"/>
      <c r="AN278" s="418"/>
      <c r="AO278" s="418"/>
      <c r="AP278" s="418"/>
      <c r="AQ278" s="418"/>
      <c r="AR278" s="418"/>
      <c r="AS278" s="418"/>
      <c r="AW278" s="66" t="n">
        <v>0.071175239650399</v>
      </c>
    </row>
    <row r="279" customFormat="false" ht="12.75" hidden="false" customHeight="false" outlineLevel="0" collapsed="false">
      <c r="A279" s="470"/>
      <c r="B279" s="467"/>
      <c r="C279" s="420" t="n">
        <v>4.0975</v>
      </c>
      <c r="D279" s="420" t="n">
        <v>0.15</v>
      </c>
      <c r="E279" s="420" t="n">
        <v>0.070299359374281</v>
      </c>
      <c r="F279" s="420"/>
      <c r="G279" s="420" t="n">
        <v>0.0699681</v>
      </c>
      <c r="H279" s="420"/>
      <c r="I279" s="420"/>
      <c r="J279" s="420" t="n">
        <v>0.1825</v>
      </c>
      <c r="K279" s="420" t="n">
        <v>0.215</v>
      </c>
      <c r="L279" s="420"/>
      <c r="M279" s="420"/>
      <c r="N279" s="420" t="n">
        <v>0</v>
      </c>
      <c r="O279" s="420"/>
      <c r="P279" s="418"/>
      <c r="Q279" s="418"/>
      <c r="R279" s="418"/>
      <c r="S279" s="418"/>
      <c r="T279" s="418"/>
      <c r="U279" s="418"/>
      <c r="V279" s="418"/>
      <c r="W279" s="418" t="n">
        <v>0</v>
      </c>
      <c r="X279" s="418" t="n">
        <v>0.495</v>
      </c>
      <c r="Y279" s="418"/>
      <c r="Z279" s="418" t="n">
        <v>0</v>
      </c>
      <c r="AA279" s="418"/>
      <c r="AB279" s="418" t="n">
        <v>0</v>
      </c>
      <c r="AC279" s="418" t="n">
        <v>0.28</v>
      </c>
      <c r="AD279" s="418"/>
      <c r="AE279" s="418"/>
      <c r="AF279" s="418"/>
      <c r="AG279" s="418"/>
      <c r="AH279" s="418"/>
      <c r="AI279" s="418"/>
      <c r="AJ279" s="437"/>
      <c r="AK279" s="437"/>
      <c r="AL279" s="437"/>
      <c r="AM279" s="418"/>
      <c r="AN279" s="418"/>
      <c r="AO279" s="418"/>
      <c r="AP279" s="418"/>
      <c r="AQ279" s="418"/>
      <c r="AR279" s="418"/>
      <c r="AS279" s="418"/>
      <c r="AW279" s="66" t="n">
        <v>0.071166194374771</v>
      </c>
    </row>
    <row r="280" customFormat="false" ht="12.75" hidden="false" customHeight="false" outlineLevel="0" collapsed="false">
      <c r="A280" s="470"/>
      <c r="B280" s="467"/>
      <c r="C280" s="420" t="n">
        <v>4.0745</v>
      </c>
      <c r="D280" s="420" t="n">
        <v>0.15</v>
      </c>
      <c r="E280" s="420" t="n">
        <v>0.070292297723967</v>
      </c>
      <c r="F280" s="420"/>
      <c r="G280" s="420" t="n">
        <v>0.0699681</v>
      </c>
      <c r="H280" s="420"/>
      <c r="I280" s="420"/>
      <c r="J280" s="420" t="n">
        <v>0.1825</v>
      </c>
      <c r="K280" s="420" t="n">
        <v>0.195</v>
      </c>
      <c r="L280" s="420"/>
      <c r="M280" s="420"/>
      <c r="N280" s="420" t="n">
        <v>0</v>
      </c>
      <c r="O280" s="420"/>
      <c r="P280" s="418"/>
      <c r="Q280" s="418"/>
      <c r="R280" s="418"/>
      <c r="S280" s="418"/>
      <c r="T280" s="418"/>
      <c r="U280" s="418"/>
      <c r="V280" s="418"/>
      <c r="W280" s="418" t="n">
        <v>0</v>
      </c>
      <c r="X280" s="418" t="n">
        <v>0.395</v>
      </c>
      <c r="Y280" s="418"/>
      <c r="Z280" s="418" t="n">
        <v>0</v>
      </c>
      <c r="AA280" s="418"/>
      <c r="AB280" s="418" t="n">
        <v>0</v>
      </c>
      <c r="AC280" s="418" t="n">
        <v>0.27</v>
      </c>
      <c r="AD280" s="418"/>
      <c r="AE280" s="418"/>
      <c r="AF280" s="418"/>
      <c r="AG280" s="418"/>
      <c r="AH280" s="418"/>
      <c r="AI280" s="418"/>
      <c r="AJ280" s="437"/>
      <c r="AK280" s="437"/>
      <c r="AL280" s="437"/>
      <c r="AM280" s="418"/>
      <c r="AN280" s="418"/>
      <c r="AO280" s="418"/>
      <c r="AP280" s="418"/>
      <c r="AQ280" s="418"/>
      <c r="AR280" s="418"/>
      <c r="AS280" s="418"/>
      <c r="AW280" s="66" t="n">
        <v>0.07115714909917</v>
      </c>
    </row>
    <row r="281" customFormat="false" ht="12.75" hidden="false" customHeight="false" outlineLevel="0" collapsed="false">
      <c r="A281" s="470"/>
      <c r="B281" s="467"/>
      <c r="C281" s="420" t="n">
        <v>4.0705</v>
      </c>
      <c r="D281" s="420" t="n">
        <v>0.15</v>
      </c>
      <c r="E281" s="420" t="n">
        <v>0.070285463868841</v>
      </c>
      <c r="F281" s="420"/>
      <c r="G281" s="420" t="n">
        <v>0.0699681</v>
      </c>
      <c r="H281" s="420"/>
      <c r="I281" s="420"/>
      <c r="J281" s="420" t="n">
        <v>0.1875</v>
      </c>
      <c r="K281" s="420" t="n">
        <v>0.215</v>
      </c>
      <c r="L281" s="420"/>
      <c r="M281" s="420"/>
      <c r="N281" s="420" t="n">
        <v>0</v>
      </c>
      <c r="O281" s="420"/>
      <c r="P281" s="418"/>
      <c r="Q281" s="418"/>
      <c r="R281" s="418"/>
      <c r="S281" s="418"/>
      <c r="T281" s="418"/>
      <c r="U281" s="418"/>
      <c r="V281" s="418"/>
      <c r="W281" s="418" t="n">
        <v>0</v>
      </c>
      <c r="X281" s="418" t="n">
        <v>0.461</v>
      </c>
      <c r="Y281" s="418"/>
      <c r="Z281" s="418" t="n">
        <v>0</v>
      </c>
      <c r="AA281" s="418"/>
      <c r="AB281" s="418" t="n">
        <v>0</v>
      </c>
      <c r="AC281" s="418" t="n">
        <v>0.3425</v>
      </c>
      <c r="AD281" s="418"/>
      <c r="AE281" s="418"/>
      <c r="AF281" s="418"/>
      <c r="AG281" s="418"/>
      <c r="AH281" s="418"/>
      <c r="AI281" s="418"/>
      <c r="AJ281" s="437"/>
      <c r="AK281" s="437"/>
      <c r="AL281" s="437"/>
      <c r="AM281" s="418"/>
      <c r="AN281" s="418"/>
      <c r="AO281" s="418"/>
      <c r="AP281" s="418"/>
      <c r="AQ281" s="418"/>
      <c r="AR281" s="418"/>
      <c r="AS281" s="418"/>
      <c r="AW281" s="66" t="n">
        <v>0.071148395606679</v>
      </c>
    </row>
    <row r="282" customFormat="false" ht="12.75" hidden="false" customHeight="false" outlineLevel="0" collapsed="false">
      <c r="A282" s="470"/>
      <c r="B282" s="467"/>
      <c r="C282" s="420" t="n">
        <v>4.0675</v>
      </c>
      <c r="D282" s="420" t="n">
        <v>0.15</v>
      </c>
      <c r="E282" s="420" t="n">
        <v>0.070278402218559</v>
      </c>
      <c r="F282" s="420"/>
      <c r="G282" s="420" t="n">
        <v>-0.0099887</v>
      </c>
      <c r="H282" s="420"/>
      <c r="I282" s="420"/>
      <c r="J282" s="420" t="n">
        <v>0.27</v>
      </c>
      <c r="K282" s="420" t="n">
        <v>0.2875</v>
      </c>
      <c r="L282" s="420"/>
      <c r="M282" s="420"/>
      <c r="N282" s="420" t="n">
        <v>0</v>
      </c>
      <c r="O282" s="420"/>
      <c r="P282" s="418"/>
      <c r="Q282" s="418"/>
      <c r="R282" s="418"/>
      <c r="S282" s="418"/>
      <c r="T282" s="418"/>
      <c r="U282" s="418"/>
      <c r="V282" s="418"/>
      <c r="W282" s="418" t="n">
        <v>0</v>
      </c>
      <c r="X282" s="418" t="n">
        <v>0.7675</v>
      </c>
      <c r="Y282" s="418"/>
      <c r="Z282" s="418" t="n">
        <v>0</v>
      </c>
      <c r="AA282" s="418"/>
      <c r="AB282" s="418" t="n">
        <v>0</v>
      </c>
      <c r="AC282" s="418" t="n">
        <v>0.465</v>
      </c>
      <c r="AD282" s="418"/>
      <c r="AE282" s="418"/>
      <c r="AF282" s="418"/>
      <c r="AG282" s="418"/>
      <c r="AH282" s="418"/>
      <c r="AI282" s="418"/>
      <c r="AJ282" s="437"/>
      <c r="AK282" s="437"/>
      <c r="AL282" s="437"/>
      <c r="AM282" s="418"/>
      <c r="AN282" s="418"/>
      <c r="AO282" s="418"/>
      <c r="AP282" s="418"/>
      <c r="AQ282" s="418"/>
      <c r="AR282" s="418"/>
      <c r="AS282" s="418"/>
      <c r="AW282" s="66" t="n">
        <v>0.071139350331131</v>
      </c>
    </row>
    <row r="283" customFormat="false" ht="12.75" hidden="false" customHeight="false" outlineLevel="0" collapsed="false">
      <c r="A283" s="470"/>
      <c r="B283" s="467"/>
      <c r="C283" s="420" t="n">
        <v>4.0965</v>
      </c>
      <c r="D283" s="420" t="n">
        <v>0.15</v>
      </c>
      <c r="E283" s="420" t="n">
        <v>0.070271568363464</v>
      </c>
      <c r="F283" s="420"/>
      <c r="G283" s="420" t="n">
        <v>-0.0249519</v>
      </c>
      <c r="H283" s="420"/>
      <c r="I283" s="420"/>
      <c r="J283" s="420" t="n">
        <v>0.305</v>
      </c>
      <c r="K283" s="420" t="n">
        <v>0.3375</v>
      </c>
      <c r="L283" s="420"/>
      <c r="M283" s="420"/>
      <c r="N283" s="420" t="n">
        <v>0</v>
      </c>
      <c r="O283" s="420"/>
      <c r="P283" s="418"/>
      <c r="Q283" s="418"/>
      <c r="R283" s="418"/>
      <c r="S283" s="418"/>
      <c r="T283" s="418"/>
      <c r="U283" s="418"/>
      <c r="V283" s="418"/>
      <c r="W283" s="418" t="n">
        <v>0</v>
      </c>
      <c r="X283" s="418" t="n">
        <v>1.19</v>
      </c>
      <c r="Y283" s="418"/>
      <c r="Z283" s="418" t="n">
        <v>0</v>
      </c>
      <c r="AA283" s="418"/>
      <c r="AB283" s="418" t="n">
        <v>0</v>
      </c>
      <c r="AC283" s="418" t="n">
        <v>0.8</v>
      </c>
      <c r="AD283" s="418"/>
      <c r="AE283" s="418"/>
      <c r="AF283" s="418"/>
      <c r="AG283" s="418"/>
      <c r="AH283" s="418"/>
      <c r="AI283" s="418"/>
      <c r="AJ283" s="437"/>
      <c r="AK283" s="437"/>
      <c r="AL283" s="437"/>
      <c r="AM283" s="418"/>
      <c r="AN283" s="418"/>
      <c r="AO283" s="418"/>
      <c r="AP283" s="418"/>
      <c r="AQ283" s="418"/>
      <c r="AR283" s="418"/>
      <c r="AS283" s="418"/>
      <c r="AW283" s="66" t="n">
        <v>0.071130596838692</v>
      </c>
    </row>
    <row r="284" customFormat="false" ht="12.75" hidden="false" customHeight="false" outlineLevel="0" collapsed="false">
      <c r="A284" s="470"/>
      <c r="B284" s="467"/>
      <c r="C284" s="420" t="n">
        <v>4.403</v>
      </c>
      <c r="D284" s="420" t="n">
        <v>0.15</v>
      </c>
      <c r="E284" s="420" t="n">
        <v>0.070264506713215</v>
      </c>
      <c r="F284" s="420"/>
      <c r="G284" s="420" t="n">
        <v>-0.0199551</v>
      </c>
      <c r="H284" s="420"/>
      <c r="I284" s="420"/>
      <c r="J284" s="420" t="n">
        <v>0.305</v>
      </c>
      <c r="K284" s="420" t="n">
        <v>0.4375</v>
      </c>
      <c r="L284" s="420"/>
      <c r="M284" s="420"/>
      <c r="N284" s="420" t="n">
        <v>0</v>
      </c>
      <c r="O284" s="420"/>
      <c r="P284" s="418"/>
      <c r="Q284" s="418"/>
      <c r="R284" s="418"/>
      <c r="S284" s="418"/>
      <c r="T284" s="418"/>
      <c r="U284" s="418"/>
      <c r="V284" s="418"/>
      <c r="W284" s="418" t="n">
        <v>0</v>
      </c>
      <c r="X284" s="418" t="n">
        <v>1.525</v>
      </c>
      <c r="Y284" s="418"/>
      <c r="Z284" s="418" t="n">
        <v>0</v>
      </c>
      <c r="AA284" s="418"/>
      <c r="AB284" s="418" t="n">
        <v>0</v>
      </c>
      <c r="AC284" s="418" t="n">
        <v>0.975</v>
      </c>
      <c r="AD284" s="418"/>
      <c r="AE284" s="418"/>
      <c r="AF284" s="418"/>
      <c r="AG284" s="418"/>
      <c r="AH284" s="418"/>
      <c r="AI284" s="418"/>
      <c r="AJ284" s="437"/>
      <c r="AK284" s="437"/>
      <c r="AL284" s="437"/>
      <c r="AM284" s="418"/>
      <c r="AN284" s="418"/>
      <c r="AO284" s="418"/>
      <c r="AP284" s="418"/>
      <c r="AQ284" s="418"/>
      <c r="AR284" s="418"/>
      <c r="AS284" s="418"/>
      <c r="AW284" s="66" t="n">
        <v>0.071121551563197</v>
      </c>
    </row>
    <row r="285" customFormat="false" ht="12.75" hidden="false" customHeight="false" outlineLevel="0" collapsed="false">
      <c r="A285" s="470"/>
      <c r="B285" s="467"/>
      <c r="C285" s="420" t="n">
        <v>4.341</v>
      </c>
      <c r="D285" s="420" t="n">
        <v>0.15</v>
      </c>
      <c r="E285" s="420" t="n">
        <v>0.070257445062983</v>
      </c>
      <c r="F285" s="420"/>
      <c r="G285" s="420" t="n">
        <v>0.0050425</v>
      </c>
      <c r="H285" s="420"/>
      <c r="I285" s="420"/>
      <c r="J285" s="420" t="n">
        <v>0.305</v>
      </c>
      <c r="K285" s="420" t="n">
        <v>0.435</v>
      </c>
      <c r="L285" s="420"/>
      <c r="M285" s="420"/>
      <c r="N285" s="420" t="n">
        <v>0</v>
      </c>
      <c r="O285" s="420"/>
      <c r="P285" s="418"/>
      <c r="Q285" s="418"/>
      <c r="R285" s="418"/>
      <c r="S285" s="418"/>
      <c r="T285" s="418"/>
      <c r="U285" s="418"/>
      <c r="V285" s="418"/>
      <c r="W285" s="418" t="n">
        <v>0</v>
      </c>
      <c r="X285" s="418" t="n">
        <v>1.455</v>
      </c>
      <c r="Y285" s="418"/>
      <c r="Z285" s="418" t="n">
        <v>0</v>
      </c>
      <c r="AA285" s="418"/>
      <c r="AB285" s="418" t="n">
        <v>0</v>
      </c>
      <c r="AC285" s="418" t="n">
        <v>0.975</v>
      </c>
      <c r="AD285" s="418"/>
      <c r="AE285" s="418"/>
      <c r="AF285" s="418"/>
      <c r="AG285" s="418"/>
      <c r="AH285" s="418"/>
      <c r="AI285" s="418"/>
      <c r="AJ285" s="437"/>
      <c r="AK285" s="437"/>
      <c r="AL285" s="437"/>
      <c r="AM285" s="418"/>
      <c r="AN285" s="418"/>
      <c r="AO285" s="418"/>
      <c r="AP285" s="418"/>
      <c r="AQ285" s="418"/>
      <c r="AR285" s="418"/>
      <c r="AS285" s="418"/>
      <c r="AW285" s="66" t="n">
        <v>0.07111250628773</v>
      </c>
    </row>
    <row r="286" customFormat="false" ht="12.75" hidden="false" customHeight="false" outlineLevel="0" collapsed="false">
      <c r="A286" s="470"/>
      <c r="B286" s="467"/>
      <c r="C286" s="420" t="n">
        <v>4.235</v>
      </c>
      <c r="D286" s="420" t="n">
        <v>0.15</v>
      </c>
      <c r="E286" s="420" t="n">
        <v>0.070251066798271</v>
      </c>
      <c r="F286" s="420"/>
      <c r="G286" s="420" t="n">
        <v>0.0150425</v>
      </c>
      <c r="H286" s="420"/>
      <c r="I286" s="420"/>
      <c r="J286" s="420" t="n">
        <v>0.265</v>
      </c>
      <c r="K286" s="420" t="n">
        <v>0.3025</v>
      </c>
      <c r="L286" s="420"/>
      <c r="M286" s="420"/>
      <c r="N286" s="420" t="n">
        <v>0</v>
      </c>
      <c r="O286" s="420"/>
      <c r="P286" s="418"/>
      <c r="Q286" s="418"/>
      <c r="R286" s="418"/>
      <c r="S286" s="418"/>
      <c r="T286" s="418"/>
      <c r="U286" s="418"/>
      <c r="V286" s="418"/>
      <c r="W286" s="418" t="n">
        <v>0</v>
      </c>
      <c r="X286" s="418" t="n">
        <v>0.835</v>
      </c>
      <c r="Y286" s="418"/>
      <c r="Z286" s="418" t="n">
        <v>0</v>
      </c>
      <c r="AA286" s="418"/>
      <c r="AB286" s="418" t="n">
        <v>0</v>
      </c>
      <c r="AC286" s="418" t="n">
        <v>0.6075</v>
      </c>
      <c r="AD286" s="418"/>
      <c r="AE286" s="418"/>
      <c r="AF286" s="418"/>
      <c r="AG286" s="418"/>
      <c r="AH286" s="418"/>
      <c r="AI286" s="418"/>
      <c r="AJ286" s="437"/>
      <c r="AK286" s="437"/>
      <c r="AL286" s="437"/>
      <c r="AM286" s="418"/>
      <c r="AN286" s="418"/>
      <c r="AO286" s="418"/>
      <c r="AP286" s="418"/>
      <c r="AQ286" s="418"/>
      <c r="AR286" s="418"/>
      <c r="AS286" s="418"/>
      <c r="AW286" s="66" t="n">
        <v>0.071104336361525</v>
      </c>
    </row>
    <row r="287" customFormat="false" ht="12.75" hidden="false" customHeight="false" outlineLevel="0" collapsed="false">
      <c r="A287" s="470"/>
      <c r="B287" s="467"/>
      <c r="C287" s="420" t="n">
        <v>4.121</v>
      </c>
      <c r="D287" s="420" t="n">
        <v>0.15</v>
      </c>
      <c r="E287" s="420" t="n">
        <v>0.07024400514807</v>
      </c>
      <c r="F287" s="420"/>
      <c r="G287" s="420" t="n">
        <v>0.0749766</v>
      </c>
      <c r="H287" s="420"/>
      <c r="I287" s="420"/>
      <c r="J287" s="420" t="n">
        <v>0.195</v>
      </c>
      <c r="K287" s="420" t="n">
        <v>0.25</v>
      </c>
      <c r="L287" s="420"/>
      <c r="M287" s="420"/>
      <c r="N287" s="420" t="n">
        <v>0</v>
      </c>
      <c r="O287" s="420"/>
      <c r="P287" s="418"/>
      <c r="Q287" s="418"/>
      <c r="R287" s="418"/>
      <c r="S287" s="418"/>
      <c r="T287" s="418"/>
      <c r="U287" s="418"/>
      <c r="V287" s="418"/>
      <c r="W287" s="418" t="n">
        <v>0</v>
      </c>
      <c r="X287" s="418" t="n">
        <v>0.45</v>
      </c>
      <c r="Y287" s="418"/>
      <c r="Z287" s="418" t="n">
        <v>0</v>
      </c>
      <c r="AA287" s="418"/>
      <c r="AB287" s="418" t="n">
        <v>0</v>
      </c>
      <c r="AC287" s="418" t="n">
        <v>0.335</v>
      </c>
      <c r="AD287" s="418"/>
      <c r="AE287" s="418"/>
      <c r="AF287" s="418"/>
      <c r="AG287" s="418"/>
      <c r="AH287" s="418"/>
      <c r="AI287" s="418"/>
      <c r="AJ287" s="437"/>
      <c r="AK287" s="437"/>
      <c r="AL287" s="437"/>
      <c r="AM287" s="418"/>
      <c r="AN287" s="418"/>
      <c r="AO287" s="418"/>
      <c r="AP287" s="418"/>
      <c r="AQ287" s="418"/>
      <c r="AR287" s="418"/>
      <c r="AS287" s="418"/>
      <c r="AW287" s="66" t="n">
        <v>0.071095291086109</v>
      </c>
    </row>
    <row r="288" customFormat="false" ht="12.75" hidden="false" customHeight="false" outlineLevel="0" collapsed="false">
      <c r="A288" s="470"/>
      <c r="B288" s="467"/>
      <c r="C288" s="420" t="n">
        <v>4.126</v>
      </c>
      <c r="D288" s="420" t="n">
        <v>0.15</v>
      </c>
      <c r="E288" s="420" t="n">
        <v>0.070237171293053</v>
      </c>
      <c r="F288" s="420"/>
      <c r="G288" s="420" t="n">
        <v>0.0749681</v>
      </c>
      <c r="H288" s="420"/>
      <c r="I288" s="420"/>
      <c r="J288" s="420" t="n">
        <v>0.1825</v>
      </c>
      <c r="K288" s="420" t="n">
        <v>0.2025</v>
      </c>
      <c r="L288" s="420"/>
      <c r="M288" s="420"/>
      <c r="N288" s="420" t="n">
        <v>0</v>
      </c>
      <c r="O288" s="420"/>
      <c r="P288" s="418"/>
      <c r="Q288" s="418"/>
      <c r="R288" s="418"/>
      <c r="S288" s="418"/>
      <c r="T288" s="418"/>
      <c r="U288" s="418"/>
      <c r="V288" s="418"/>
      <c r="W288" s="418" t="n">
        <v>0</v>
      </c>
      <c r="X288" s="418" t="n">
        <v>0.405</v>
      </c>
      <c r="Y288" s="418"/>
      <c r="Z288" s="418" t="n">
        <v>0</v>
      </c>
      <c r="AA288" s="418"/>
      <c r="AB288" s="418" t="n">
        <v>0</v>
      </c>
      <c r="AC288" s="418" t="n">
        <v>0.2675</v>
      </c>
      <c r="AD288" s="418"/>
      <c r="AE288" s="418"/>
      <c r="AF288" s="418"/>
      <c r="AG288" s="418"/>
      <c r="AH288" s="418"/>
      <c r="AI288" s="418"/>
      <c r="AJ288" s="437"/>
      <c r="AK288" s="437"/>
      <c r="AL288" s="437"/>
      <c r="AM288" s="418"/>
      <c r="AN288" s="418"/>
      <c r="AO288" s="418"/>
      <c r="AP288" s="418"/>
      <c r="AQ288" s="418"/>
      <c r="AR288" s="418"/>
      <c r="AS288" s="418"/>
      <c r="AW288" s="66" t="n">
        <v>0.071086537593797</v>
      </c>
    </row>
    <row r="289" customFormat="false" ht="12.75" hidden="false" customHeight="false" outlineLevel="0" collapsed="false">
      <c r="A289" s="470"/>
      <c r="B289" s="467"/>
      <c r="C289" s="420" t="n">
        <v>4.166</v>
      </c>
      <c r="D289" s="420" t="n">
        <v>0.15</v>
      </c>
      <c r="E289" s="420" t="n">
        <v>0.070230109642884</v>
      </c>
      <c r="F289" s="420"/>
      <c r="G289" s="420" t="n">
        <v>0.0749681</v>
      </c>
      <c r="H289" s="420"/>
      <c r="I289" s="420"/>
      <c r="J289" s="420" t="n">
        <v>0.1825</v>
      </c>
      <c r="K289" s="420" t="n">
        <v>0.2025</v>
      </c>
      <c r="L289" s="420"/>
      <c r="M289" s="420"/>
      <c r="N289" s="420" t="n">
        <v>0</v>
      </c>
      <c r="O289" s="420"/>
      <c r="P289" s="418"/>
      <c r="Q289" s="418"/>
      <c r="R289" s="418"/>
      <c r="S289" s="418"/>
      <c r="T289" s="418"/>
      <c r="U289" s="418"/>
      <c r="V289" s="418"/>
      <c r="W289" s="418" t="n">
        <v>0</v>
      </c>
      <c r="X289" s="418" t="n">
        <v>0.395</v>
      </c>
      <c r="Y289" s="418"/>
      <c r="Z289" s="418" t="n">
        <v>0</v>
      </c>
      <c r="AA289" s="418"/>
      <c r="AB289" s="418" t="n">
        <v>0</v>
      </c>
      <c r="AC289" s="418" t="n">
        <v>0.2675</v>
      </c>
      <c r="AD289" s="418"/>
      <c r="AE289" s="418"/>
      <c r="AF289" s="418"/>
      <c r="AG289" s="418"/>
      <c r="AH289" s="418"/>
      <c r="AI289" s="418"/>
      <c r="AJ289" s="437"/>
      <c r="AK289" s="437"/>
      <c r="AL289" s="437"/>
      <c r="AM289" s="418"/>
      <c r="AN289" s="418"/>
      <c r="AO289" s="418"/>
      <c r="AP289" s="418"/>
      <c r="AQ289" s="418"/>
      <c r="AR289" s="418"/>
      <c r="AS289" s="418"/>
      <c r="AW289" s="66" t="n">
        <v>0.071077492318434</v>
      </c>
    </row>
    <row r="290" customFormat="false" ht="12.75" hidden="false" customHeight="false" outlineLevel="0" collapsed="false">
      <c r="A290" s="470"/>
      <c r="B290" s="467"/>
      <c r="C290" s="420" t="n">
        <v>4.188</v>
      </c>
      <c r="D290" s="420" t="n">
        <v>0.15</v>
      </c>
      <c r="E290" s="420" t="n">
        <v>0.070223275787898</v>
      </c>
      <c r="F290" s="420"/>
      <c r="G290" s="420" t="n">
        <v>0.0749681</v>
      </c>
      <c r="H290" s="420"/>
      <c r="I290" s="420"/>
      <c r="J290" s="420" t="n">
        <v>0.1825</v>
      </c>
      <c r="K290" s="420" t="n">
        <v>0.215</v>
      </c>
      <c r="L290" s="420"/>
      <c r="M290" s="420"/>
      <c r="N290" s="420" t="n">
        <v>0</v>
      </c>
      <c r="O290" s="420"/>
      <c r="P290" s="418"/>
      <c r="Q290" s="418"/>
      <c r="R290" s="418"/>
      <c r="S290" s="418"/>
      <c r="T290" s="418"/>
      <c r="U290" s="418"/>
      <c r="V290" s="418"/>
      <c r="W290" s="418" t="n">
        <v>0</v>
      </c>
      <c r="X290" s="418" t="n">
        <v>0.43</v>
      </c>
      <c r="Y290" s="418"/>
      <c r="Z290" s="418" t="n">
        <v>0</v>
      </c>
      <c r="AA290" s="418"/>
      <c r="AB290" s="418" t="n">
        <v>0</v>
      </c>
      <c r="AC290" s="418" t="n">
        <v>0.28</v>
      </c>
      <c r="AD290" s="418"/>
      <c r="AE290" s="418"/>
      <c r="AF290" s="418"/>
      <c r="AG290" s="418"/>
      <c r="AH290" s="418"/>
      <c r="AI290" s="418"/>
      <c r="AJ290" s="437"/>
      <c r="AK290" s="437"/>
      <c r="AL290" s="437"/>
      <c r="AM290" s="418"/>
      <c r="AN290" s="418"/>
      <c r="AO290" s="418"/>
      <c r="AP290" s="418"/>
      <c r="AQ290" s="418"/>
      <c r="AR290" s="418"/>
      <c r="AS290" s="418"/>
      <c r="AW290" s="66" t="n">
        <v>0.071068738826173</v>
      </c>
    </row>
    <row r="291" customFormat="false" ht="12.75" hidden="false" customHeight="false" outlineLevel="0" collapsed="false">
      <c r="A291" s="470"/>
      <c r="B291" s="467"/>
      <c r="C291" s="420" t="n">
        <v>4.209</v>
      </c>
      <c r="D291" s="420" t="n">
        <v>0.15</v>
      </c>
      <c r="E291" s="420" t="n">
        <v>0.070216214137762</v>
      </c>
      <c r="F291" s="420"/>
      <c r="G291" s="420" t="n">
        <v>0.0749681</v>
      </c>
      <c r="H291" s="420"/>
      <c r="I291" s="420"/>
      <c r="J291" s="420" t="n">
        <v>0.1825</v>
      </c>
      <c r="K291" s="420" t="n">
        <v>0.215</v>
      </c>
      <c r="L291" s="420"/>
      <c r="M291" s="420"/>
      <c r="N291" s="420" t="n">
        <v>0</v>
      </c>
      <c r="O291" s="420"/>
      <c r="P291" s="418"/>
      <c r="Q291" s="418"/>
      <c r="R291" s="418"/>
      <c r="S291" s="418"/>
      <c r="T291" s="418"/>
      <c r="U291" s="418"/>
      <c r="V291" s="418"/>
      <c r="W291" s="418" t="n">
        <v>0</v>
      </c>
      <c r="X291" s="418" t="n">
        <v>0.495</v>
      </c>
      <c r="Y291" s="418"/>
      <c r="Z291" s="418" t="n">
        <v>0</v>
      </c>
      <c r="AA291" s="418"/>
      <c r="AB291" s="418" t="n">
        <v>0</v>
      </c>
      <c r="AC291" s="418" t="n">
        <v>0.28</v>
      </c>
      <c r="AD291" s="418"/>
      <c r="AE291" s="418"/>
      <c r="AF291" s="418"/>
      <c r="AG291" s="418"/>
      <c r="AH291" s="418"/>
      <c r="AI291" s="418"/>
      <c r="AJ291" s="437"/>
      <c r="AK291" s="437"/>
      <c r="AL291" s="437"/>
      <c r="AM291" s="418"/>
      <c r="AN291" s="418"/>
      <c r="AO291" s="418"/>
      <c r="AP291" s="418"/>
      <c r="AQ291" s="418"/>
      <c r="AR291" s="418"/>
      <c r="AS291" s="418"/>
      <c r="AW291" s="66" t="n">
        <v>0.071059693550864</v>
      </c>
    </row>
    <row r="292" customFormat="false" ht="12.75" hidden="false" customHeight="false" outlineLevel="0" collapsed="false">
      <c r="A292" s="470"/>
      <c r="B292" s="467"/>
      <c r="C292" s="420" t="n">
        <v>4.185</v>
      </c>
      <c r="D292" s="420"/>
      <c r="E292" s="420" t="n">
        <v>0.070209152487643</v>
      </c>
      <c r="F292" s="420"/>
      <c r="G292" s="420" t="n">
        <v>0.0749681</v>
      </c>
      <c r="H292" s="420"/>
      <c r="I292" s="420"/>
      <c r="J292" s="420" t="n">
        <v>0.1825</v>
      </c>
      <c r="K292" s="420" t="n">
        <v>0.195</v>
      </c>
      <c r="L292" s="420"/>
      <c r="M292" s="420"/>
      <c r="N292" s="420" t="n">
        <v>0</v>
      </c>
      <c r="O292" s="420"/>
      <c r="P292" s="418"/>
      <c r="Q292" s="418"/>
      <c r="R292" s="418"/>
      <c r="S292" s="418"/>
      <c r="T292" s="418"/>
      <c r="U292" s="418"/>
      <c r="V292" s="418"/>
      <c r="W292" s="418" t="n">
        <v>0</v>
      </c>
      <c r="X292" s="418" t="n">
        <v>0.395</v>
      </c>
      <c r="Y292" s="418"/>
      <c r="Z292" s="418" t="n">
        <v>0</v>
      </c>
      <c r="AA292" s="418"/>
      <c r="AB292" s="418" t="n">
        <v>0</v>
      </c>
      <c r="AC292" s="418" t="n">
        <v>0.27</v>
      </c>
      <c r="AD292" s="418"/>
      <c r="AE292" s="418"/>
      <c r="AF292" s="418"/>
      <c r="AG292" s="418"/>
      <c r="AH292" s="418"/>
      <c r="AI292" s="418"/>
      <c r="AJ292" s="437"/>
      <c r="AK292" s="437"/>
      <c r="AL292" s="437"/>
      <c r="AM292" s="418"/>
      <c r="AN292" s="418"/>
      <c r="AO292" s="418"/>
      <c r="AP292" s="418"/>
      <c r="AQ292" s="418"/>
      <c r="AR292" s="418"/>
      <c r="AS292" s="418"/>
      <c r="AW292" s="66" t="n">
        <v>0.071050648275582</v>
      </c>
    </row>
    <row r="293" customFormat="false" ht="12.75" hidden="false" customHeight="false" outlineLevel="0" collapsed="false">
      <c r="A293" s="470"/>
      <c r="B293" s="467"/>
      <c r="C293" s="420" t="n">
        <v>4.18</v>
      </c>
      <c r="D293" s="420"/>
      <c r="E293" s="420" t="n">
        <v>0.070202318632704</v>
      </c>
      <c r="F293" s="420"/>
      <c r="G293" s="420" t="n">
        <v>0.0749681</v>
      </c>
      <c r="H293" s="420"/>
      <c r="I293" s="420"/>
      <c r="J293" s="420" t="n">
        <v>0.1875</v>
      </c>
      <c r="K293" s="420" t="n">
        <v>0.215</v>
      </c>
      <c r="L293" s="420"/>
      <c r="M293" s="420"/>
      <c r="N293" s="420" t="n">
        <v>0</v>
      </c>
      <c r="O293" s="420"/>
      <c r="P293" s="418"/>
      <c r="Q293" s="418"/>
      <c r="R293" s="418"/>
      <c r="S293" s="418"/>
      <c r="T293" s="418"/>
      <c r="U293" s="418"/>
      <c r="V293" s="418"/>
      <c r="W293" s="418" t="n">
        <v>0</v>
      </c>
      <c r="X293" s="418" t="n">
        <v>0.461</v>
      </c>
      <c r="Y293" s="418"/>
      <c r="Z293" s="418" t="n">
        <v>0</v>
      </c>
      <c r="AA293" s="418"/>
      <c r="AB293" s="418" t="n">
        <v>0</v>
      </c>
      <c r="AC293" s="418" t="n">
        <v>0.3425</v>
      </c>
      <c r="AD293" s="418"/>
      <c r="AE293" s="418"/>
      <c r="AF293" s="418"/>
      <c r="AG293" s="418"/>
      <c r="AH293" s="418"/>
      <c r="AI293" s="418"/>
      <c r="AJ293" s="437"/>
      <c r="AK293" s="437"/>
      <c r="AL293" s="437"/>
      <c r="AM293" s="418"/>
      <c r="AN293" s="418"/>
      <c r="AO293" s="418"/>
      <c r="AP293" s="418"/>
      <c r="AQ293" s="418"/>
      <c r="AR293" s="418"/>
      <c r="AS293" s="418"/>
      <c r="AW293" s="66" t="n">
        <v>0.071041894783399</v>
      </c>
    </row>
    <row r="294" customFormat="false" ht="12.75" hidden="false" customHeight="false" outlineLevel="0" collapsed="false">
      <c r="B294" s="467"/>
      <c r="C294" s="420" t="n">
        <v>4.172</v>
      </c>
      <c r="D294" s="420"/>
      <c r="E294" s="420" t="n">
        <v>0.070195256982616</v>
      </c>
      <c r="F294" s="420"/>
      <c r="G294" s="420" t="n">
        <v>-0.0049887</v>
      </c>
      <c r="H294" s="420"/>
      <c r="I294" s="420"/>
      <c r="J294" s="420" t="n">
        <v>0.27</v>
      </c>
      <c r="K294" s="420" t="n">
        <v>0.2875</v>
      </c>
      <c r="L294" s="420"/>
      <c r="M294" s="420"/>
      <c r="N294" s="420" t="n">
        <v>0</v>
      </c>
      <c r="O294" s="420"/>
      <c r="P294" s="418"/>
      <c r="Q294" s="418"/>
      <c r="R294" s="418"/>
      <c r="S294" s="418"/>
      <c r="T294" s="418"/>
      <c r="U294" s="418"/>
      <c r="V294" s="418"/>
      <c r="W294" s="418" t="n">
        <v>0</v>
      </c>
      <c r="X294" s="418" t="n">
        <v>0.7675</v>
      </c>
      <c r="Y294" s="418"/>
      <c r="Z294" s="418" t="n">
        <v>0</v>
      </c>
      <c r="AA294" s="418"/>
      <c r="AB294" s="418" t="n">
        <v>0</v>
      </c>
      <c r="AC294" s="418" t="n">
        <v>0.465</v>
      </c>
      <c r="AD294" s="418"/>
      <c r="AE294" s="418"/>
      <c r="AF294" s="418"/>
      <c r="AG294" s="418"/>
      <c r="AH294" s="418"/>
      <c r="AI294" s="418"/>
      <c r="AJ294" s="437"/>
      <c r="AK294" s="437"/>
      <c r="AL294" s="437"/>
      <c r="AM294" s="418"/>
      <c r="AN294" s="418"/>
      <c r="AO294" s="418"/>
      <c r="AP294" s="418"/>
      <c r="AQ294" s="418"/>
      <c r="AR294" s="418"/>
      <c r="AS294" s="418"/>
      <c r="AW294" s="66" t="n">
        <v>0.071032849508169</v>
      </c>
    </row>
    <row r="295" customFormat="false" ht="12.75" hidden="false" customHeight="false" outlineLevel="0" collapsed="false">
      <c r="B295" s="467"/>
      <c r="C295" s="420" t="n">
        <v>4.198</v>
      </c>
      <c r="D295" s="420"/>
      <c r="E295" s="420" t="n">
        <v>0.070188423127709</v>
      </c>
      <c r="F295" s="420"/>
      <c r="G295" s="420" t="n">
        <v>-0.0199519</v>
      </c>
      <c r="H295" s="420"/>
      <c r="I295" s="420"/>
      <c r="J295" s="420" t="n">
        <v>0.305</v>
      </c>
      <c r="K295" s="420" t="n">
        <v>0.3375</v>
      </c>
      <c r="L295" s="420"/>
      <c r="M295" s="420"/>
      <c r="N295" s="420" t="n">
        <v>0</v>
      </c>
      <c r="O295" s="420"/>
      <c r="P295" s="418"/>
      <c r="Q295" s="418"/>
      <c r="R295" s="418"/>
      <c r="S295" s="418"/>
      <c r="T295" s="418"/>
      <c r="U295" s="418"/>
      <c r="V295" s="418"/>
      <c r="W295" s="418" t="n">
        <v>0</v>
      </c>
      <c r="X295" s="418" t="n">
        <v>1.19</v>
      </c>
      <c r="Y295" s="418"/>
      <c r="Z295" s="418" t="n">
        <v>0</v>
      </c>
      <c r="AA295" s="418"/>
      <c r="AB295" s="418" t="n">
        <v>0</v>
      </c>
      <c r="AC295" s="418" t="n">
        <v>0.8</v>
      </c>
      <c r="AD295" s="418"/>
      <c r="AE295" s="418"/>
      <c r="AF295" s="418"/>
      <c r="AG295" s="418"/>
      <c r="AH295" s="418"/>
      <c r="AI295" s="418"/>
      <c r="AJ295" s="437"/>
      <c r="AK295" s="437"/>
      <c r="AL295" s="437"/>
      <c r="AM295" s="418"/>
      <c r="AN295" s="418"/>
      <c r="AO295" s="418"/>
      <c r="AP295" s="418"/>
      <c r="AQ295" s="418"/>
      <c r="AR295" s="418"/>
      <c r="AS295" s="418"/>
      <c r="AW295" s="66" t="n">
        <v>0.071024096016038</v>
      </c>
    </row>
    <row r="296" customFormat="false" ht="12.75" hidden="false" customHeight="false" outlineLevel="0" collapsed="false">
      <c r="B296" s="467"/>
      <c r="C296" s="420"/>
      <c r="D296" s="420"/>
      <c r="E296" s="420" t="n">
        <v>0.070181361477655</v>
      </c>
      <c r="F296" s="420"/>
      <c r="G296" s="420" t="n">
        <v>-0.0149551</v>
      </c>
      <c r="H296" s="420"/>
      <c r="I296" s="420"/>
      <c r="J296" s="420" t="n">
        <v>0.305</v>
      </c>
      <c r="K296" s="420" t="n">
        <v>0.4375</v>
      </c>
      <c r="L296" s="420"/>
      <c r="M296" s="420"/>
      <c r="N296" s="420" t="n">
        <v>0</v>
      </c>
      <c r="O296" s="420"/>
      <c r="P296" s="418"/>
      <c r="Q296" s="418"/>
      <c r="R296" s="418"/>
      <c r="S296" s="418"/>
      <c r="T296" s="418"/>
      <c r="U296" s="418"/>
      <c r="V296" s="418"/>
      <c r="W296" s="418" t="n">
        <v>0</v>
      </c>
      <c r="X296" s="418" t="n">
        <v>1.525</v>
      </c>
      <c r="Y296" s="418"/>
      <c r="Z296" s="418" t="n">
        <v>0</v>
      </c>
      <c r="AA296" s="418"/>
      <c r="AB296" s="418" t="n">
        <v>0</v>
      </c>
      <c r="AC296" s="418" t="n">
        <v>0.975</v>
      </c>
      <c r="AD296" s="418"/>
      <c r="AE296" s="418"/>
      <c r="AF296" s="418"/>
      <c r="AG296" s="418"/>
      <c r="AH296" s="418"/>
      <c r="AI296" s="418"/>
      <c r="AJ296" s="437"/>
      <c r="AK296" s="437"/>
      <c r="AL296" s="437"/>
      <c r="AM296" s="418"/>
      <c r="AN296" s="418"/>
      <c r="AO296" s="418"/>
      <c r="AP296" s="418"/>
      <c r="AQ296" s="418"/>
      <c r="AR296" s="418"/>
      <c r="AS296" s="418"/>
      <c r="AW296" s="66" t="n">
        <v>0.071015050740862</v>
      </c>
    </row>
    <row r="297" customFormat="false" ht="12.75" hidden="false" customHeight="false" outlineLevel="0" collapsed="false">
      <c r="B297" s="467"/>
      <c r="C297" s="420"/>
      <c r="D297" s="420"/>
      <c r="E297" s="420" t="n">
        <v>0.070174299827617</v>
      </c>
      <c r="F297" s="420"/>
      <c r="G297" s="420" t="n">
        <v>0.0100425</v>
      </c>
      <c r="H297" s="420"/>
      <c r="I297" s="420"/>
      <c r="J297" s="420" t="n">
        <v>0.305</v>
      </c>
      <c r="K297" s="420" t="n">
        <v>0.435</v>
      </c>
      <c r="L297" s="420"/>
      <c r="M297" s="420"/>
      <c r="N297" s="420" t="n">
        <v>0</v>
      </c>
      <c r="O297" s="420"/>
      <c r="P297" s="418"/>
      <c r="Q297" s="418"/>
      <c r="R297" s="418"/>
      <c r="S297" s="418"/>
      <c r="T297" s="418"/>
      <c r="U297" s="418"/>
      <c r="V297" s="418"/>
      <c r="W297" s="418" t="n">
        <v>0</v>
      </c>
      <c r="X297" s="418" t="n">
        <v>1.455</v>
      </c>
      <c r="Y297" s="418"/>
      <c r="Z297" s="418" t="n">
        <v>0</v>
      </c>
      <c r="AA297" s="418"/>
      <c r="AB297" s="418" t="n">
        <v>0</v>
      </c>
      <c r="AC297" s="418" t="n">
        <v>0.975</v>
      </c>
      <c r="AD297" s="418"/>
      <c r="AE297" s="418"/>
      <c r="AF297" s="418"/>
      <c r="AG297" s="418"/>
      <c r="AH297" s="418"/>
      <c r="AI297" s="418"/>
      <c r="AJ297" s="437"/>
      <c r="AK297" s="437"/>
      <c r="AL297" s="437"/>
      <c r="AM297" s="418"/>
      <c r="AN297" s="418"/>
      <c r="AO297" s="418"/>
      <c r="AP297" s="418"/>
      <c r="AQ297" s="418"/>
      <c r="AR297" s="418"/>
      <c r="AS297" s="418"/>
      <c r="AW297" s="66" t="n">
        <v>0.071006005465713</v>
      </c>
    </row>
    <row r="298" customFormat="false" ht="12.75" hidden="false" customHeight="false" outlineLevel="0" collapsed="false">
      <c r="C298" s="420"/>
      <c r="D298" s="420"/>
      <c r="E298" s="420" t="n">
        <v>0.070167693767918</v>
      </c>
      <c r="F298" s="420"/>
      <c r="G298" s="420" t="n">
        <v>0.0200425</v>
      </c>
      <c r="H298" s="420"/>
      <c r="I298" s="420"/>
      <c r="J298" s="420" t="n">
        <v>0.265</v>
      </c>
      <c r="K298" s="420" t="n">
        <v>0.3025</v>
      </c>
      <c r="L298" s="420"/>
      <c r="M298" s="420"/>
      <c r="N298" s="420" t="n">
        <v>0</v>
      </c>
      <c r="O298" s="420"/>
      <c r="P298" s="418"/>
      <c r="Q298" s="418"/>
      <c r="R298" s="418"/>
      <c r="S298" s="418"/>
      <c r="T298" s="418"/>
      <c r="U298" s="418"/>
      <c r="V298" s="418"/>
      <c r="W298" s="418" t="n">
        <v>0</v>
      </c>
      <c r="X298" s="418" t="n">
        <v>0.835</v>
      </c>
      <c r="Y298" s="418"/>
      <c r="Z298" s="418" t="n">
        <v>0</v>
      </c>
      <c r="AA298" s="418"/>
      <c r="AB298" s="418" t="n">
        <v>0</v>
      </c>
      <c r="AC298" s="418" t="n">
        <v>0.6075</v>
      </c>
      <c r="AD298" s="418"/>
      <c r="AE298" s="418"/>
      <c r="AF298" s="418"/>
      <c r="AG298" s="418"/>
      <c r="AH298" s="418"/>
      <c r="AI298" s="418"/>
      <c r="AJ298" s="437"/>
      <c r="AK298" s="437"/>
      <c r="AL298" s="437"/>
      <c r="AM298" s="418"/>
      <c r="AN298" s="418"/>
      <c r="AO298" s="418"/>
      <c r="AP298" s="418"/>
      <c r="AQ298" s="418"/>
      <c r="AR298" s="418"/>
      <c r="AS298" s="418"/>
      <c r="AW298" s="66" t="n">
        <v>0.070997543756727</v>
      </c>
    </row>
    <row r="299" customFormat="false" ht="12.75" hidden="false" customHeight="false" outlineLevel="0" collapsed="false">
      <c r="C299" s="420"/>
      <c r="D299" s="420"/>
      <c r="E299" s="420" t="n">
        <v>0.070160632117912</v>
      </c>
      <c r="F299" s="420"/>
      <c r="G299" s="420" t="n">
        <v>0.0799766</v>
      </c>
      <c r="H299" s="420"/>
      <c r="I299" s="420"/>
      <c r="J299" s="420" t="n">
        <v>0.195</v>
      </c>
      <c r="K299" s="420" t="n">
        <v>0.25</v>
      </c>
      <c r="L299" s="420"/>
      <c r="M299" s="420"/>
      <c r="N299" s="420" t="n">
        <v>0</v>
      </c>
      <c r="O299" s="420"/>
      <c r="P299" s="418"/>
      <c r="Q299" s="418"/>
      <c r="R299" s="418"/>
      <c r="S299" s="418"/>
      <c r="T299" s="418"/>
      <c r="U299" s="418"/>
      <c r="V299" s="418"/>
      <c r="W299" s="418" t="n">
        <v>0</v>
      </c>
      <c r="X299" s="418" t="n">
        <v>0.45</v>
      </c>
      <c r="Y299" s="418"/>
      <c r="Z299" s="418" t="n">
        <v>0</v>
      </c>
      <c r="AA299" s="418"/>
      <c r="AB299" s="418" t="n">
        <v>0</v>
      </c>
      <c r="AC299" s="418" t="n">
        <v>0.335</v>
      </c>
      <c r="AD299" s="418"/>
      <c r="AE299" s="418"/>
      <c r="AF299" s="418"/>
      <c r="AG299" s="418"/>
      <c r="AH299" s="418"/>
      <c r="AI299" s="418"/>
      <c r="AJ299" s="437"/>
      <c r="AK299" s="437"/>
      <c r="AL299" s="437"/>
      <c r="AM299" s="418"/>
      <c r="AN299" s="418"/>
      <c r="AO299" s="418"/>
      <c r="AP299" s="418"/>
      <c r="AQ299" s="418"/>
      <c r="AR299" s="418"/>
      <c r="AS299" s="418"/>
      <c r="AW299" s="66" t="n">
        <v>0.07098849848163</v>
      </c>
    </row>
    <row r="300" customFormat="false" ht="12.75" hidden="false" customHeight="false" outlineLevel="0" collapsed="false">
      <c r="C300" s="420"/>
      <c r="D300" s="420"/>
      <c r="E300" s="420" t="n">
        <v>0.070153798263083</v>
      </c>
      <c r="F300" s="420"/>
      <c r="G300" s="420" t="n">
        <v>0.0799681</v>
      </c>
      <c r="H300" s="420"/>
      <c r="I300" s="420"/>
      <c r="J300" s="420" t="n">
        <v>0.1825</v>
      </c>
      <c r="K300" s="420" t="n">
        <v>0.2025</v>
      </c>
      <c r="L300" s="420"/>
      <c r="M300" s="420"/>
      <c r="N300" s="420" t="n">
        <v>0</v>
      </c>
      <c r="O300" s="420"/>
      <c r="P300" s="418"/>
      <c r="Q300" s="418"/>
      <c r="R300" s="418"/>
      <c r="S300" s="418"/>
      <c r="T300" s="418"/>
      <c r="U300" s="418"/>
      <c r="V300" s="418"/>
      <c r="W300" s="418" t="n">
        <v>0</v>
      </c>
      <c r="X300" s="418" t="n">
        <v>0.405</v>
      </c>
      <c r="Y300" s="418"/>
      <c r="Z300" s="418" t="n">
        <v>0</v>
      </c>
      <c r="AA300" s="418"/>
      <c r="AB300" s="418" t="n">
        <v>0</v>
      </c>
      <c r="AC300" s="418" t="n">
        <v>0.2675</v>
      </c>
      <c r="AD300" s="418"/>
      <c r="AE300" s="418"/>
      <c r="AF300" s="418"/>
      <c r="AG300" s="418"/>
      <c r="AH300" s="418"/>
      <c r="AI300" s="418"/>
      <c r="AJ300" s="437"/>
      <c r="AK300" s="437"/>
      <c r="AL300" s="437"/>
      <c r="AM300" s="418"/>
      <c r="AN300" s="418"/>
      <c r="AO300" s="418"/>
      <c r="AP300" s="418"/>
      <c r="AQ300" s="418"/>
      <c r="AR300" s="418"/>
      <c r="AS300" s="418"/>
      <c r="AW300" s="66" t="n">
        <v>0.070979744989628</v>
      </c>
    </row>
    <row r="301" customFormat="false" ht="12.75" hidden="false" customHeight="false" outlineLevel="0" collapsed="false">
      <c r="A301" s="473"/>
      <c r="C301" s="420"/>
      <c r="D301" s="420"/>
      <c r="E301" s="420" t="n">
        <v>0.070146736613109</v>
      </c>
      <c r="F301" s="420"/>
      <c r="G301" s="420" t="n">
        <v>0.0799681</v>
      </c>
      <c r="H301" s="420"/>
      <c r="I301" s="420"/>
      <c r="J301" s="420" t="n">
        <v>0.1825</v>
      </c>
      <c r="K301" s="420" t="n">
        <v>0.2025</v>
      </c>
      <c r="L301" s="420"/>
      <c r="M301" s="420"/>
      <c r="N301" s="420" t="n">
        <v>0</v>
      </c>
      <c r="O301" s="420"/>
      <c r="P301" s="418"/>
      <c r="Q301" s="418"/>
      <c r="R301" s="418"/>
      <c r="S301" s="418"/>
      <c r="T301" s="418"/>
      <c r="U301" s="418"/>
      <c r="V301" s="418"/>
      <c r="W301" s="418" t="n">
        <v>0</v>
      </c>
      <c r="X301" s="418" t="n">
        <v>0.395</v>
      </c>
      <c r="Y301" s="418"/>
      <c r="Z301" s="418" t="n">
        <v>0</v>
      </c>
      <c r="AA301" s="418"/>
      <c r="AB301" s="418" t="n">
        <v>0</v>
      </c>
      <c r="AC301" s="418" t="n">
        <v>0.2675</v>
      </c>
      <c r="AD301" s="418"/>
      <c r="AE301" s="418"/>
      <c r="AF301" s="418"/>
      <c r="AG301" s="418"/>
      <c r="AH301" s="418"/>
      <c r="AI301" s="418"/>
      <c r="AJ301" s="437"/>
      <c r="AK301" s="437"/>
      <c r="AL301" s="437"/>
      <c r="AM301" s="418"/>
      <c r="AN301" s="418"/>
      <c r="AO301" s="418"/>
      <c r="AP301" s="418"/>
      <c r="AQ301" s="418"/>
      <c r="AR301" s="418"/>
      <c r="AS301" s="418"/>
      <c r="AW301" s="66" t="n">
        <v>0.070970699714584</v>
      </c>
    </row>
    <row r="302" customFormat="false" ht="12.75" hidden="false" customHeight="false" outlineLevel="0" collapsed="false">
      <c r="A302" s="470"/>
      <c r="C302" s="420"/>
      <c r="D302" s="420"/>
      <c r="E302" s="420" t="n">
        <v>0.070139902758311</v>
      </c>
      <c r="F302" s="420"/>
      <c r="G302" s="420" t="n">
        <v>0.0799681</v>
      </c>
      <c r="H302" s="420"/>
      <c r="I302" s="420"/>
      <c r="J302" s="420" t="n">
        <v>0.1825</v>
      </c>
      <c r="K302" s="420" t="n">
        <v>0.215</v>
      </c>
      <c r="L302" s="420"/>
      <c r="M302" s="420"/>
      <c r="N302" s="420" t="n">
        <v>0</v>
      </c>
      <c r="O302" s="420"/>
      <c r="P302" s="418"/>
      <c r="Q302" s="418"/>
      <c r="R302" s="418"/>
      <c r="S302" s="418"/>
      <c r="T302" s="418"/>
      <c r="U302" s="418"/>
      <c r="V302" s="418"/>
      <c r="W302" s="418" t="n">
        <v>0</v>
      </c>
      <c r="X302" s="418" t="n">
        <v>0.43</v>
      </c>
      <c r="Y302" s="418"/>
      <c r="Z302" s="418" t="n">
        <v>0</v>
      </c>
      <c r="AA302" s="418"/>
      <c r="AB302" s="418" t="n">
        <v>0</v>
      </c>
      <c r="AC302" s="418" t="n">
        <v>0.28</v>
      </c>
      <c r="AD302" s="418"/>
      <c r="AE302" s="418"/>
      <c r="AF302" s="418"/>
      <c r="AG302" s="418"/>
      <c r="AH302" s="418"/>
      <c r="AI302" s="418"/>
      <c r="AJ302" s="437"/>
      <c r="AK302" s="437"/>
      <c r="AL302" s="437"/>
      <c r="AM302" s="418"/>
      <c r="AN302" s="418"/>
      <c r="AO302" s="418"/>
      <c r="AP302" s="418"/>
      <c r="AQ302" s="418"/>
      <c r="AR302" s="418"/>
      <c r="AS302" s="418"/>
      <c r="AW302" s="66" t="n">
        <v>0.070961946222632</v>
      </c>
    </row>
    <row r="303" customFormat="false" ht="12.75" hidden="false" customHeight="false" outlineLevel="0" collapsed="false">
      <c r="A303" s="470"/>
      <c r="C303" s="420"/>
      <c r="D303" s="420"/>
      <c r="E303" s="420" t="n">
        <v>0.07013284110837</v>
      </c>
      <c r="F303" s="420"/>
      <c r="G303" s="420" t="n">
        <v>0.0799681</v>
      </c>
      <c r="H303" s="420"/>
      <c r="I303" s="420"/>
      <c r="J303" s="420" t="n">
        <v>0.1825</v>
      </c>
      <c r="K303" s="420" t="n">
        <v>0.215</v>
      </c>
      <c r="L303" s="420"/>
      <c r="M303" s="420"/>
      <c r="N303" s="420" t="n">
        <v>0</v>
      </c>
      <c r="O303" s="420"/>
      <c r="P303" s="418"/>
      <c r="Q303" s="418"/>
      <c r="R303" s="418"/>
      <c r="S303" s="418"/>
      <c r="T303" s="418"/>
      <c r="U303" s="418"/>
      <c r="V303" s="418"/>
      <c r="W303" s="418" t="n">
        <v>0</v>
      </c>
      <c r="X303" s="418" t="n">
        <v>0.495</v>
      </c>
      <c r="Y303" s="418"/>
      <c r="Z303" s="418" t="n">
        <v>0</v>
      </c>
      <c r="AA303" s="418"/>
      <c r="AB303" s="418" t="n">
        <v>0</v>
      </c>
      <c r="AC303" s="418" t="n">
        <v>0.28</v>
      </c>
      <c r="AD303" s="418"/>
      <c r="AE303" s="418"/>
      <c r="AF303" s="418"/>
      <c r="AG303" s="418"/>
      <c r="AH303" s="418"/>
      <c r="AI303" s="418"/>
      <c r="AJ303" s="437"/>
      <c r="AK303" s="437"/>
      <c r="AL303" s="437"/>
      <c r="AM303" s="418"/>
      <c r="AN303" s="418"/>
      <c r="AO303" s="418"/>
      <c r="AP303" s="418"/>
      <c r="AQ303" s="418"/>
      <c r="AR303" s="418"/>
      <c r="AS303" s="418"/>
      <c r="AW303" s="66" t="n">
        <v>0.070952900947642</v>
      </c>
    </row>
    <row r="304" customFormat="false" ht="12.75" hidden="false" customHeight="false" outlineLevel="0" collapsed="false">
      <c r="A304" s="470"/>
      <c r="C304" s="420"/>
      <c r="D304" s="420"/>
      <c r="E304" s="420" t="n">
        <v>0.070125779458445</v>
      </c>
      <c r="F304" s="420"/>
      <c r="G304" s="420" t="n">
        <v>0.0799681</v>
      </c>
      <c r="H304" s="420"/>
      <c r="I304" s="420"/>
      <c r="J304" s="420" t="n">
        <v>0.1825</v>
      </c>
      <c r="K304" s="420" t="n">
        <v>0.195</v>
      </c>
      <c r="L304" s="420"/>
      <c r="M304" s="420"/>
      <c r="N304" s="420" t="n">
        <v>0</v>
      </c>
      <c r="O304" s="420"/>
      <c r="P304" s="418"/>
      <c r="Q304" s="418"/>
      <c r="R304" s="418"/>
      <c r="S304" s="418"/>
      <c r="T304" s="418"/>
      <c r="U304" s="418"/>
      <c r="V304" s="418"/>
      <c r="W304" s="418" t="n">
        <v>0</v>
      </c>
      <c r="X304" s="418" t="n">
        <v>0.395</v>
      </c>
      <c r="Y304" s="418"/>
      <c r="Z304" s="418" t="n">
        <v>0</v>
      </c>
      <c r="AA304" s="418"/>
      <c r="AB304" s="418" t="n">
        <v>0</v>
      </c>
      <c r="AC304" s="418" t="n">
        <v>0.27</v>
      </c>
      <c r="AD304" s="418"/>
      <c r="AE304" s="418"/>
      <c r="AF304" s="418"/>
      <c r="AG304" s="418"/>
      <c r="AH304" s="418"/>
      <c r="AI304" s="418"/>
      <c r="AJ304" s="437"/>
      <c r="AK304" s="437"/>
      <c r="AL304" s="437"/>
      <c r="AM304" s="418"/>
      <c r="AN304" s="418"/>
      <c r="AO304" s="418"/>
      <c r="AP304" s="418"/>
      <c r="AQ304" s="418"/>
      <c r="AR304" s="418"/>
      <c r="AS304" s="418"/>
      <c r="AW304" s="66" t="n">
        <v>0.070943855672679</v>
      </c>
    </row>
    <row r="305" customFormat="false" ht="12.75" hidden="false" customHeight="false" outlineLevel="0" collapsed="false">
      <c r="A305" s="470"/>
      <c r="C305" s="420"/>
      <c r="D305" s="420"/>
      <c r="E305" s="420" t="n">
        <v>0.070118945603694</v>
      </c>
      <c r="F305" s="420"/>
      <c r="G305" s="420" t="n">
        <v>0.0799681</v>
      </c>
      <c r="H305" s="420"/>
      <c r="I305" s="420"/>
      <c r="J305" s="420" t="n">
        <v>0.1875</v>
      </c>
      <c r="K305" s="420" t="n">
        <v>0.215</v>
      </c>
      <c r="L305" s="420"/>
      <c r="M305" s="420"/>
      <c r="N305" s="420" t="n">
        <v>0</v>
      </c>
      <c r="O305" s="420"/>
      <c r="P305" s="418"/>
      <c r="Q305" s="418"/>
      <c r="R305" s="418"/>
      <c r="S305" s="418"/>
      <c r="T305" s="418"/>
      <c r="U305" s="418"/>
      <c r="V305" s="418"/>
      <c r="W305" s="418" t="n">
        <v>0</v>
      </c>
      <c r="X305" s="418" t="n">
        <v>0.461</v>
      </c>
      <c r="Y305" s="418"/>
      <c r="Z305" s="418" t="n">
        <v>0</v>
      </c>
      <c r="AA305" s="418"/>
      <c r="AB305" s="418" t="n">
        <v>0</v>
      </c>
      <c r="AC305" s="418" t="n">
        <v>0.3425</v>
      </c>
      <c r="AD305" s="418"/>
      <c r="AE305" s="418"/>
      <c r="AF305" s="418"/>
      <c r="AG305" s="418"/>
      <c r="AH305" s="418"/>
      <c r="AI305" s="418"/>
      <c r="AJ305" s="437"/>
      <c r="AK305" s="437"/>
      <c r="AL305" s="437"/>
      <c r="AM305" s="418"/>
      <c r="AN305" s="418"/>
      <c r="AO305" s="418"/>
      <c r="AP305" s="418"/>
      <c r="AQ305" s="418"/>
      <c r="AR305" s="418"/>
      <c r="AS305" s="418"/>
      <c r="AW305" s="66" t="n">
        <v>0.070935102180805</v>
      </c>
    </row>
    <row r="306" customFormat="false" ht="12.75" hidden="false" customHeight="false" outlineLevel="0" collapsed="false">
      <c r="A306" s="470"/>
      <c r="C306" s="420"/>
      <c r="D306" s="420"/>
      <c r="E306" s="420" t="n">
        <v>0.070111883953802</v>
      </c>
      <c r="F306" s="420"/>
      <c r="G306" s="420" t="n">
        <v>1.12E-005</v>
      </c>
      <c r="H306" s="420"/>
      <c r="I306" s="420"/>
      <c r="J306" s="420" t="n">
        <v>0.27</v>
      </c>
      <c r="K306" s="420" t="n">
        <v>0.2875</v>
      </c>
      <c r="L306" s="420"/>
      <c r="M306" s="420"/>
      <c r="N306" s="420" t="n">
        <v>0</v>
      </c>
      <c r="O306" s="420"/>
      <c r="P306" s="418"/>
      <c r="Q306" s="418"/>
      <c r="R306" s="418"/>
      <c r="S306" s="418"/>
      <c r="T306" s="418"/>
      <c r="U306" s="418"/>
      <c r="V306" s="418"/>
      <c r="W306" s="418" t="n">
        <v>0</v>
      </c>
      <c r="X306" s="418" t="n">
        <v>0.7675</v>
      </c>
      <c r="Y306" s="418"/>
      <c r="Z306" s="418" t="n">
        <v>0</v>
      </c>
      <c r="AA306" s="418"/>
      <c r="AB306" s="418" t="n">
        <v>0</v>
      </c>
      <c r="AC306" s="418" t="n">
        <v>0.465</v>
      </c>
      <c r="AD306" s="418"/>
      <c r="AE306" s="418"/>
      <c r="AF306" s="418"/>
      <c r="AG306" s="418"/>
      <c r="AH306" s="418"/>
      <c r="AI306" s="418"/>
      <c r="AJ306" s="437"/>
      <c r="AK306" s="437"/>
      <c r="AL306" s="437"/>
      <c r="AM306" s="418"/>
      <c r="AN306" s="418"/>
      <c r="AO306" s="418"/>
      <c r="AP306" s="418"/>
      <c r="AQ306" s="418"/>
      <c r="AR306" s="418"/>
      <c r="AS306" s="418"/>
      <c r="AW306" s="66" t="n">
        <v>0.070926056905895</v>
      </c>
    </row>
    <row r="307" customFormat="false" ht="12.75" hidden="false" customHeight="false" outlineLevel="0" collapsed="false">
      <c r="A307" s="470"/>
      <c r="C307" s="420"/>
      <c r="D307" s="420"/>
      <c r="E307" s="420" t="n">
        <v>0.070105050099083</v>
      </c>
      <c r="F307" s="420"/>
      <c r="G307" s="420" t="n">
        <v>-0.0149519</v>
      </c>
      <c r="H307" s="420"/>
      <c r="I307" s="420"/>
      <c r="J307" s="420" t="n">
        <v>0.305</v>
      </c>
      <c r="K307" s="420" t="n">
        <v>0.3375</v>
      </c>
      <c r="L307" s="420"/>
      <c r="M307" s="420"/>
      <c r="N307" s="420" t="n">
        <v>0</v>
      </c>
      <c r="O307" s="420"/>
      <c r="P307" s="418"/>
      <c r="Q307" s="418"/>
      <c r="R307" s="418"/>
      <c r="S307" s="418"/>
      <c r="T307" s="418"/>
      <c r="U307" s="418"/>
      <c r="V307" s="418"/>
      <c r="W307" s="418" t="n">
        <v>0</v>
      </c>
      <c r="X307" s="418" t="n">
        <v>1.19</v>
      </c>
      <c r="Y307" s="418"/>
      <c r="Z307" s="418" t="n">
        <v>0</v>
      </c>
      <c r="AA307" s="418"/>
      <c r="AB307" s="418" t="n">
        <v>0</v>
      </c>
      <c r="AC307" s="418" t="n">
        <v>0.8</v>
      </c>
      <c r="AD307" s="418"/>
      <c r="AE307" s="418"/>
      <c r="AF307" s="418"/>
      <c r="AG307" s="418"/>
      <c r="AH307" s="418"/>
      <c r="AI307" s="418"/>
      <c r="AJ307" s="437"/>
      <c r="AK307" s="437"/>
      <c r="AL307" s="437"/>
      <c r="AM307" s="418"/>
      <c r="AN307" s="418"/>
      <c r="AO307" s="418"/>
      <c r="AP307" s="418"/>
      <c r="AQ307" s="418"/>
      <c r="AR307" s="418"/>
      <c r="AS307" s="418"/>
      <c r="AW307" s="66" t="n">
        <v>0.070917303414073</v>
      </c>
    </row>
    <row r="308" customFormat="false" ht="12.75" hidden="false" customHeight="false" outlineLevel="0" collapsed="false">
      <c r="A308" s="470"/>
      <c r="C308" s="420"/>
      <c r="D308" s="420"/>
      <c r="E308" s="420" t="n">
        <v>0.070097988449223</v>
      </c>
      <c r="F308" s="420"/>
      <c r="G308" s="420" t="n">
        <v>-0.0099551</v>
      </c>
      <c r="H308" s="420"/>
      <c r="I308" s="420"/>
      <c r="J308" s="420" t="n">
        <v>0.305</v>
      </c>
      <c r="K308" s="420" t="n">
        <v>0.4375</v>
      </c>
      <c r="L308" s="420"/>
      <c r="M308" s="420"/>
      <c r="N308" s="420" t="n">
        <v>0</v>
      </c>
      <c r="O308" s="418"/>
      <c r="P308" s="418"/>
      <c r="Q308" s="418"/>
      <c r="R308" s="418"/>
      <c r="S308" s="418"/>
      <c r="T308" s="418"/>
      <c r="U308" s="418"/>
      <c r="V308" s="418"/>
      <c r="W308" s="418" t="n">
        <v>0</v>
      </c>
      <c r="X308" s="418" t="n">
        <v>1.525</v>
      </c>
      <c r="Y308" s="418"/>
      <c r="Z308" s="418" t="n">
        <v>0</v>
      </c>
      <c r="AA308" s="418"/>
      <c r="AB308" s="418" t="n">
        <v>0</v>
      </c>
      <c r="AC308" s="418" t="n">
        <v>0.975</v>
      </c>
      <c r="AD308" s="418"/>
      <c r="AE308" s="418"/>
      <c r="AF308" s="418"/>
      <c r="AG308" s="418"/>
      <c r="AH308" s="437"/>
      <c r="AI308" s="437"/>
      <c r="AJ308" s="418"/>
      <c r="AK308" s="418"/>
      <c r="AL308" s="418"/>
      <c r="AM308" s="418"/>
      <c r="AN308" s="418"/>
      <c r="AO308" s="418"/>
      <c r="AP308" s="418"/>
      <c r="AQ308" s="418"/>
      <c r="AR308" s="418"/>
      <c r="AS308" s="418"/>
      <c r="AW308" s="66" t="n">
        <v>0.070908258139216</v>
      </c>
    </row>
    <row r="309" customFormat="false" ht="12.75" hidden="false" customHeight="false" outlineLevel="0" collapsed="false">
      <c r="A309" s="470"/>
      <c r="D309" s="468"/>
      <c r="E309" s="469" t="n">
        <v>0.070090926799379</v>
      </c>
      <c r="F309" s="469"/>
      <c r="G309" s="469" t="n">
        <v>0.0150425</v>
      </c>
      <c r="H309" s="469"/>
      <c r="I309" s="469"/>
      <c r="J309" s="469" t="n">
        <v>0.305</v>
      </c>
      <c r="K309" s="469" t="n">
        <v>0.435</v>
      </c>
      <c r="L309" s="469"/>
      <c r="M309" s="469"/>
      <c r="N309" s="469" t="n">
        <v>0</v>
      </c>
      <c r="O309" s="469"/>
      <c r="P309" s="469"/>
      <c r="Q309" s="469"/>
      <c r="R309" s="469"/>
      <c r="S309" s="469"/>
      <c r="T309" s="469"/>
      <c r="U309" s="469"/>
      <c r="V309" s="469"/>
      <c r="W309" s="469" t="n">
        <v>0</v>
      </c>
      <c r="X309" s="469" t="n">
        <v>1.455</v>
      </c>
      <c r="Y309" s="469"/>
      <c r="Z309" s="469" t="n">
        <v>0</v>
      </c>
      <c r="AA309" s="469"/>
      <c r="AB309" s="469" t="n">
        <v>0</v>
      </c>
      <c r="AC309" s="469" t="n">
        <v>0.975</v>
      </c>
      <c r="AD309" s="469"/>
      <c r="AE309" s="469"/>
      <c r="AF309" s="469"/>
      <c r="AG309" s="469"/>
      <c r="AH309" s="469"/>
      <c r="AI309" s="469"/>
      <c r="AJ309" s="469"/>
      <c r="AK309" s="469"/>
      <c r="AO309" s="418"/>
      <c r="AP309" s="418"/>
      <c r="AQ309" s="418"/>
      <c r="AW309" s="66" t="n">
        <v>0.070899212864386</v>
      </c>
    </row>
    <row r="310" customFormat="false" ht="12.75" hidden="false" customHeight="false" outlineLevel="0" collapsed="false">
      <c r="A310" s="470"/>
      <c r="D310" s="468"/>
      <c r="E310" s="469" t="n">
        <v>0.070084548535019</v>
      </c>
      <c r="F310" s="469"/>
      <c r="G310" s="469" t="n">
        <v>0.0250425</v>
      </c>
      <c r="H310" s="469"/>
      <c r="I310" s="469"/>
      <c r="J310" s="469" t="n">
        <v>0.265</v>
      </c>
      <c r="K310" s="469" t="n">
        <v>0.3025</v>
      </c>
      <c r="L310" s="469"/>
      <c r="M310" s="469"/>
      <c r="N310" s="469" t="n">
        <v>0</v>
      </c>
      <c r="O310" s="469"/>
      <c r="P310" s="469"/>
      <c r="Q310" s="469"/>
      <c r="R310" s="469"/>
      <c r="S310" s="469"/>
      <c r="T310" s="469"/>
      <c r="U310" s="469"/>
      <c r="V310" s="469"/>
      <c r="W310" s="469" t="n">
        <v>0</v>
      </c>
      <c r="X310" s="469" t="n">
        <v>0.835</v>
      </c>
      <c r="Y310" s="469"/>
      <c r="Z310" s="469" t="n">
        <v>0</v>
      </c>
      <c r="AA310" s="469"/>
      <c r="AB310" s="469" t="n">
        <v>0</v>
      </c>
      <c r="AC310" s="469" t="n">
        <v>0.6075</v>
      </c>
      <c r="AD310" s="469"/>
      <c r="AE310" s="469"/>
      <c r="AF310" s="469"/>
      <c r="AG310" s="469"/>
      <c r="AH310" s="469"/>
      <c r="AI310" s="469"/>
      <c r="AJ310" s="469"/>
      <c r="AK310" s="469"/>
      <c r="AW310" s="66" t="n">
        <v>0.070891042938757</v>
      </c>
    </row>
    <row r="311" customFormat="false" ht="12.75" hidden="false" customHeight="false" outlineLevel="0" collapsed="false">
      <c r="A311" s="470"/>
      <c r="D311" s="468"/>
      <c r="E311" s="469" t="n">
        <v>0.070077486885207</v>
      </c>
      <c r="F311" s="469"/>
      <c r="G311" s="469" t="n">
        <v>0.0849766</v>
      </c>
      <c r="H311" s="469"/>
      <c r="I311" s="469"/>
      <c r="J311" s="469" t="n">
        <v>0.195</v>
      </c>
      <c r="K311" s="469" t="n">
        <v>0.25</v>
      </c>
      <c r="L311" s="469"/>
      <c r="M311" s="469"/>
      <c r="N311" s="469" t="n">
        <v>0</v>
      </c>
      <c r="O311" s="469"/>
      <c r="P311" s="469"/>
      <c r="Q311" s="469"/>
      <c r="R311" s="469"/>
      <c r="S311" s="469"/>
      <c r="T311" s="469"/>
      <c r="U311" s="469"/>
      <c r="V311" s="469"/>
      <c r="W311" s="469" t="n">
        <v>0</v>
      </c>
      <c r="X311" s="469" t="n">
        <v>0.45</v>
      </c>
      <c r="Y311" s="469"/>
      <c r="Z311" s="469" t="n">
        <v>0</v>
      </c>
      <c r="AA311" s="469"/>
      <c r="AB311" s="469" t="n">
        <v>0</v>
      </c>
      <c r="AC311" s="469" t="n">
        <v>0.335</v>
      </c>
      <c r="AD311" s="469"/>
      <c r="AE311" s="469"/>
      <c r="AF311" s="469"/>
      <c r="AG311" s="469"/>
      <c r="AH311" s="469"/>
      <c r="AI311" s="469"/>
      <c r="AJ311" s="469"/>
      <c r="AK311" s="469"/>
      <c r="AW311" s="66" t="n">
        <v>0.070881997663979</v>
      </c>
    </row>
    <row r="312" customFormat="false" ht="12.75" hidden="false" customHeight="false" outlineLevel="0" collapsed="false">
      <c r="A312" s="470"/>
      <c r="D312" s="468"/>
      <c r="E312" s="469" t="n">
        <v>0.070070653030565</v>
      </c>
      <c r="F312" s="469"/>
      <c r="G312" s="469" t="n">
        <v>0.0849681</v>
      </c>
      <c r="H312" s="469"/>
      <c r="I312" s="469"/>
      <c r="J312" s="469" t="n">
        <v>0.1825</v>
      </c>
      <c r="K312" s="469" t="n">
        <v>0.2025</v>
      </c>
      <c r="L312" s="469"/>
      <c r="M312" s="469"/>
      <c r="N312" s="469" t="n">
        <v>0</v>
      </c>
      <c r="O312" s="469"/>
      <c r="P312" s="469"/>
      <c r="Q312" s="469"/>
      <c r="R312" s="469"/>
      <c r="S312" s="469"/>
      <c r="T312" s="469"/>
      <c r="U312" s="469"/>
      <c r="V312" s="469"/>
      <c r="W312" s="469" t="n">
        <v>0</v>
      </c>
      <c r="X312" s="469" t="n">
        <v>0.405</v>
      </c>
      <c r="Y312" s="469"/>
      <c r="Z312" s="469" t="n">
        <v>0</v>
      </c>
      <c r="AA312" s="469"/>
      <c r="AB312" s="469" t="n">
        <v>0</v>
      </c>
      <c r="AC312" s="469" t="n">
        <v>0.2675</v>
      </c>
      <c r="AD312" s="469"/>
      <c r="AE312" s="469"/>
      <c r="AF312" s="469"/>
      <c r="AG312" s="469"/>
      <c r="AH312" s="469"/>
      <c r="AI312" s="469"/>
      <c r="AJ312" s="469"/>
      <c r="AK312" s="469"/>
      <c r="AW312" s="66" t="n">
        <v>0.070873244172283</v>
      </c>
    </row>
    <row r="313" customFormat="false" ht="12.75" hidden="false" customHeight="false" outlineLevel="0" collapsed="false">
      <c r="A313" s="470"/>
      <c r="D313" s="468"/>
      <c r="E313" s="469" t="n">
        <v>0.070063591380786</v>
      </c>
      <c r="F313" s="469"/>
      <c r="G313" s="469" t="n">
        <v>0.0849681</v>
      </c>
      <c r="H313" s="469"/>
      <c r="I313" s="469"/>
      <c r="J313" s="469" t="n">
        <v>0.1825</v>
      </c>
      <c r="K313" s="469" t="n">
        <v>0.2025</v>
      </c>
      <c r="L313" s="469"/>
      <c r="M313" s="469"/>
      <c r="N313" s="469" t="n">
        <v>0</v>
      </c>
      <c r="O313" s="469"/>
      <c r="P313" s="469"/>
      <c r="Q313" s="469"/>
      <c r="R313" s="469"/>
      <c r="S313" s="469"/>
      <c r="T313" s="469"/>
      <c r="U313" s="469"/>
      <c r="V313" s="469"/>
      <c r="W313" s="469" t="n">
        <v>0</v>
      </c>
      <c r="X313" s="469" t="n">
        <v>0.395</v>
      </c>
      <c r="Y313" s="469"/>
      <c r="Z313" s="469" t="n">
        <v>0</v>
      </c>
      <c r="AA313" s="469"/>
      <c r="AB313" s="469" t="n">
        <v>0</v>
      </c>
      <c r="AC313" s="469" t="n">
        <v>0.2675</v>
      </c>
      <c r="AD313" s="469"/>
      <c r="AE313" s="469"/>
      <c r="AF313" s="469"/>
      <c r="AG313" s="469"/>
      <c r="AH313" s="469"/>
      <c r="AI313" s="469"/>
      <c r="AJ313" s="469"/>
      <c r="AK313" s="469"/>
      <c r="AW313" s="66" t="n">
        <v>0.070864198897558</v>
      </c>
    </row>
    <row r="314" customFormat="false" ht="12.75" hidden="false" customHeight="false" outlineLevel="0" collapsed="false">
      <c r="A314" s="470"/>
      <c r="D314" s="468"/>
      <c r="E314" s="469" t="n">
        <v>0.070056757526176</v>
      </c>
      <c r="F314" s="469"/>
      <c r="G314" s="469" t="n">
        <v>0.0849681</v>
      </c>
      <c r="H314" s="469"/>
      <c r="I314" s="469"/>
      <c r="J314" s="469" t="n">
        <v>0.1825</v>
      </c>
      <c r="K314" s="469" t="n">
        <v>0.215</v>
      </c>
      <c r="L314" s="469"/>
      <c r="M314" s="469"/>
      <c r="N314" s="469" t="n">
        <v>0</v>
      </c>
      <c r="O314" s="469"/>
      <c r="P314" s="469"/>
      <c r="Q314" s="469"/>
      <c r="R314" s="469"/>
      <c r="S314" s="469"/>
      <c r="T314" s="469"/>
      <c r="U314" s="469"/>
      <c r="V314" s="469"/>
      <c r="W314" s="469" t="n">
        <v>0</v>
      </c>
      <c r="X314" s="469" t="n">
        <v>0.43</v>
      </c>
      <c r="Y314" s="469"/>
      <c r="Z314" s="469" t="n">
        <v>0</v>
      </c>
      <c r="AA314" s="469"/>
      <c r="AB314" s="469" t="n">
        <v>0</v>
      </c>
      <c r="AC314" s="469" t="n">
        <v>0.28</v>
      </c>
      <c r="AD314" s="469"/>
      <c r="AE314" s="469"/>
      <c r="AF314" s="469"/>
      <c r="AG314" s="469"/>
      <c r="AH314" s="469"/>
      <c r="AI314" s="469"/>
      <c r="AJ314" s="469"/>
      <c r="AK314" s="469"/>
      <c r="AW314" s="66" t="n">
        <v>0.070855445405915</v>
      </c>
    </row>
    <row r="315" customFormat="false" ht="12.75" hidden="false" customHeight="false" outlineLevel="0" collapsed="false">
      <c r="A315" s="470"/>
      <c r="D315" s="468"/>
      <c r="E315" s="469" t="n">
        <v>0.070049695876429</v>
      </c>
      <c r="F315" s="469"/>
      <c r="G315" s="469" t="n">
        <v>0.0849681</v>
      </c>
      <c r="H315" s="469"/>
      <c r="I315" s="469"/>
      <c r="J315" s="469" t="n">
        <v>0.1825</v>
      </c>
      <c r="K315" s="469" t="n">
        <v>0.215</v>
      </c>
      <c r="L315" s="469"/>
      <c r="M315" s="469"/>
      <c r="N315" s="469" t="n">
        <v>0</v>
      </c>
      <c r="O315" s="469"/>
      <c r="P315" s="469"/>
      <c r="Q315" s="469"/>
      <c r="R315" s="469"/>
      <c r="S315" s="469"/>
      <c r="T315" s="469"/>
      <c r="U315" s="469"/>
      <c r="V315" s="469"/>
      <c r="W315" s="469" t="n">
        <v>0</v>
      </c>
      <c r="X315" s="469" t="n">
        <v>0.495</v>
      </c>
      <c r="Y315" s="469"/>
      <c r="Z315" s="469" t="n">
        <v>0</v>
      </c>
      <c r="AA315" s="469"/>
      <c r="AB315" s="469" t="n">
        <v>0</v>
      </c>
      <c r="AC315" s="469" t="n">
        <v>0.28</v>
      </c>
      <c r="AD315" s="469"/>
      <c r="AE315" s="469"/>
      <c r="AF315" s="469"/>
      <c r="AG315" s="469"/>
      <c r="AH315" s="469"/>
      <c r="AI315" s="469"/>
      <c r="AJ315" s="469"/>
      <c r="AK315" s="469"/>
      <c r="AW315" s="66" t="n">
        <v>0.070846400131243</v>
      </c>
    </row>
    <row r="316" customFormat="false" ht="12.75" hidden="false" customHeight="false" outlineLevel="0" collapsed="false">
      <c r="A316" s="470"/>
      <c r="D316" s="468"/>
      <c r="E316" s="469" t="n">
        <v>0.070042634226698</v>
      </c>
      <c r="F316" s="469"/>
      <c r="G316" s="469" t="n">
        <v>0.0849681</v>
      </c>
      <c r="H316" s="469"/>
      <c r="I316" s="469"/>
      <c r="J316" s="469" t="n">
        <v>0.1825</v>
      </c>
      <c r="K316" s="469" t="n">
        <v>0.195</v>
      </c>
      <c r="L316" s="469"/>
      <c r="M316" s="469"/>
      <c r="N316" s="469" t="n">
        <v>0</v>
      </c>
      <c r="O316" s="469"/>
      <c r="P316" s="469"/>
      <c r="Q316" s="469"/>
      <c r="R316" s="469"/>
      <c r="S316" s="469"/>
      <c r="T316" s="469"/>
      <c r="U316" s="469"/>
      <c r="V316" s="469"/>
      <c r="W316" s="469" t="n">
        <v>0</v>
      </c>
      <c r="X316" s="469" t="n">
        <v>0.395</v>
      </c>
      <c r="Y316" s="469"/>
      <c r="Z316" s="469" t="n">
        <v>0</v>
      </c>
      <c r="AA316" s="469"/>
      <c r="AB316" s="469" t="n">
        <v>0</v>
      </c>
      <c r="AC316" s="469" t="n">
        <v>0.27</v>
      </c>
      <c r="AD316" s="469"/>
      <c r="AE316" s="469"/>
      <c r="AF316" s="469"/>
      <c r="AG316" s="469"/>
      <c r="AH316" s="469"/>
      <c r="AI316" s="469"/>
      <c r="AJ316" s="469"/>
      <c r="AK316" s="469"/>
      <c r="AW316" s="66" t="n">
        <v>0.070837354856598</v>
      </c>
    </row>
    <row r="317" customFormat="false" ht="12.75" hidden="false" customHeight="false" outlineLevel="0" collapsed="false">
      <c r="A317" s="470"/>
      <c r="D317" s="468"/>
      <c r="E317" s="469" t="n">
        <v>0.070035800372135</v>
      </c>
      <c r="F317" s="469"/>
      <c r="G317" s="469" t="n">
        <v>0.0849681</v>
      </c>
      <c r="H317" s="469"/>
      <c r="I317" s="469"/>
      <c r="J317" s="469" t="n">
        <v>0.1875</v>
      </c>
      <c r="K317" s="469" t="n">
        <v>0.215</v>
      </c>
      <c r="L317" s="469"/>
      <c r="M317" s="469"/>
      <c r="N317" s="469" t="n">
        <v>0</v>
      </c>
      <c r="O317" s="469"/>
      <c r="P317" s="469"/>
      <c r="Q317" s="469"/>
      <c r="R317" s="469"/>
      <c r="S317" s="469"/>
      <c r="T317" s="469"/>
      <c r="U317" s="469"/>
      <c r="V317" s="469"/>
      <c r="W317" s="469" t="n">
        <v>0</v>
      </c>
      <c r="X317" s="469" t="n">
        <v>0.461</v>
      </c>
      <c r="Y317" s="469"/>
      <c r="Z317" s="469" t="n">
        <v>0</v>
      </c>
      <c r="AA317" s="469"/>
      <c r="AB317" s="469" t="n">
        <v>0</v>
      </c>
      <c r="AC317" s="469" t="n">
        <v>0.3425</v>
      </c>
      <c r="AD317" s="469"/>
      <c r="AE317" s="469"/>
      <c r="AF317" s="469"/>
      <c r="AG317" s="469"/>
      <c r="AH317" s="469"/>
      <c r="AI317" s="469"/>
      <c r="AJ317" s="469"/>
      <c r="AK317" s="469"/>
      <c r="AW317" s="66" t="n">
        <v>0.070828601365032</v>
      </c>
    </row>
    <row r="318" customFormat="false" ht="12.75" hidden="false" customHeight="false" outlineLevel="0" collapsed="false">
      <c r="A318" s="470"/>
      <c r="D318" s="468"/>
      <c r="E318" s="469" t="n">
        <v>0.070028738722437</v>
      </c>
      <c r="F318" s="469"/>
      <c r="G318" s="469" t="n">
        <v>0.0050112</v>
      </c>
      <c r="H318" s="469"/>
      <c r="I318" s="469"/>
      <c r="J318" s="469" t="n">
        <v>0.27</v>
      </c>
      <c r="K318" s="469" t="n">
        <v>0.2875</v>
      </c>
      <c r="L318" s="469"/>
      <c r="M318" s="469"/>
      <c r="N318" s="469" t="n">
        <v>0</v>
      </c>
      <c r="O318" s="469"/>
      <c r="P318" s="469"/>
      <c r="Q318" s="469"/>
      <c r="R318" s="469"/>
      <c r="S318" s="469"/>
      <c r="T318" s="469"/>
      <c r="U318" s="469"/>
      <c r="V318" s="469"/>
      <c r="W318" s="469" t="n">
        <v>0</v>
      </c>
      <c r="X318" s="469" t="n">
        <v>0.7675</v>
      </c>
      <c r="Y318" s="469"/>
      <c r="Z318" s="469" t="n">
        <v>0</v>
      </c>
      <c r="AA318" s="469"/>
      <c r="AB318" s="469" t="n">
        <v>0</v>
      </c>
      <c r="AC318" s="469" t="n">
        <v>0.465</v>
      </c>
      <c r="AD318" s="469"/>
      <c r="AE318" s="469"/>
      <c r="AF318" s="469"/>
      <c r="AG318" s="469"/>
      <c r="AH318" s="469"/>
      <c r="AI318" s="469"/>
      <c r="AJ318" s="469"/>
      <c r="AK318" s="469"/>
      <c r="AW318" s="66" t="n">
        <v>0.070819556090441</v>
      </c>
    </row>
    <row r="319" customFormat="false" ht="12.75" hidden="false" customHeight="false" outlineLevel="0" collapsed="false">
      <c r="A319" s="470"/>
      <c r="D319" s="468"/>
      <c r="E319" s="469" t="n">
        <v>0.070021904867906</v>
      </c>
      <c r="F319" s="469"/>
      <c r="G319" s="469" t="n">
        <v>-0.0099519</v>
      </c>
      <c r="H319" s="469"/>
      <c r="I319" s="469"/>
      <c r="J319" s="469" t="n">
        <v>0.305</v>
      </c>
      <c r="K319" s="469" t="n">
        <v>0.3375</v>
      </c>
      <c r="L319" s="469"/>
      <c r="M319" s="469"/>
      <c r="N319" s="469" t="n">
        <v>0</v>
      </c>
      <c r="O319" s="469"/>
      <c r="P319" s="469"/>
      <c r="Q319" s="469"/>
      <c r="R319" s="469"/>
      <c r="S319" s="469"/>
      <c r="T319" s="469"/>
      <c r="U319" s="469"/>
      <c r="V319" s="469"/>
      <c r="W319" s="469" t="n">
        <v>0</v>
      </c>
      <c r="X319" s="469" t="n">
        <v>1.19</v>
      </c>
      <c r="Y319" s="469"/>
      <c r="Z319" s="469" t="n">
        <v>0</v>
      </c>
      <c r="AA319" s="469"/>
      <c r="AB319" s="469" t="n">
        <v>0</v>
      </c>
      <c r="AC319" s="469" t="n">
        <v>0.8</v>
      </c>
      <c r="AD319" s="469"/>
      <c r="AE319" s="469"/>
      <c r="AF319" s="469"/>
      <c r="AG319" s="469"/>
      <c r="AH319" s="469"/>
      <c r="AI319" s="469"/>
      <c r="AJ319" s="469"/>
      <c r="AK319" s="469"/>
      <c r="AW319" s="66" t="n">
        <v>0.070810802598926</v>
      </c>
    </row>
    <row r="320" customFormat="false" ht="12.75" hidden="false" customHeight="false" outlineLevel="0" collapsed="false">
      <c r="D320" s="468"/>
      <c r="E320" s="469" t="n">
        <v>0.07001484321824</v>
      </c>
      <c r="F320" s="469"/>
      <c r="G320" s="469" t="n">
        <v>-0.0049551</v>
      </c>
      <c r="H320" s="469"/>
      <c r="I320" s="469"/>
      <c r="J320" s="469" t="n">
        <v>0.305</v>
      </c>
      <c r="K320" s="469" t="n">
        <v>0.4375</v>
      </c>
      <c r="L320" s="469"/>
      <c r="M320" s="469"/>
      <c r="N320" s="469" t="n">
        <v>0</v>
      </c>
      <c r="O320" s="469"/>
      <c r="P320" s="469"/>
      <c r="Q320" s="469"/>
      <c r="R320" s="469"/>
      <c r="S320" s="469"/>
      <c r="T320" s="469"/>
      <c r="U320" s="469"/>
      <c r="V320" s="469"/>
      <c r="W320" s="469" t="n">
        <v>0</v>
      </c>
      <c r="X320" s="469" t="n">
        <v>1.525</v>
      </c>
      <c r="Y320" s="469"/>
      <c r="Z320" s="469" t="n">
        <v>0</v>
      </c>
      <c r="AA320" s="469"/>
      <c r="AB320" s="469" t="n">
        <v>0</v>
      </c>
      <c r="AC320" s="469" t="n">
        <v>0.975</v>
      </c>
      <c r="AD320" s="469"/>
      <c r="AE320" s="469"/>
      <c r="AF320" s="469"/>
      <c r="AG320" s="469"/>
      <c r="AH320" s="469"/>
      <c r="AI320" s="469"/>
      <c r="AJ320" s="469"/>
      <c r="AK320" s="469"/>
      <c r="AW320" s="66" t="n">
        <v>0.070801757324388</v>
      </c>
    </row>
    <row r="321" customFormat="false" ht="12.75" hidden="false" customHeight="false" outlineLevel="0" collapsed="false">
      <c r="D321" s="468"/>
      <c r="E321" s="469" t="n">
        <v>0.070007781568591</v>
      </c>
      <c r="F321" s="469"/>
      <c r="G321" s="469" t="n">
        <v>0.0200425</v>
      </c>
      <c r="H321" s="469"/>
      <c r="I321" s="469"/>
      <c r="J321" s="469" t="n">
        <v>0.305</v>
      </c>
      <c r="K321" s="469" t="n">
        <v>0.435</v>
      </c>
      <c r="L321" s="469"/>
      <c r="M321" s="469"/>
      <c r="N321" s="469" t="n">
        <v>0</v>
      </c>
      <c r="O321" s="469"/>
      <c r="P321" s="469"/>
      <c r="Q321" s="469"/>
      <c r="R321" s="469"/>
      <c r="S321" s="469"/>
      <c r="T321" s="469"/>
      <c r="U321" s="469"/>
      <c r="V321" s="469"/>
      <c r="W321" s="469" t="n">
        <v>0</v>
      </c>
      <c r="X321" s="469" t="n">
        <v>1.455</v>
      </c>
      <c r="Y321" s="469"/>
      <c r="Z321" s="469" t="n">
        <v>0</v>
      </c>
      <c r="AA321" s="469"/>
      <c r="AB321" s="469" t="n">
        <v>0</v>
      </c>
      <c r="AC321" s="469" t="n">
        <v>0.975</v>
      </c>
      <c r="AD321" s="469"/>
      <c r="AE321" s="469"/>
      <c r="AF321" s="469"/>
      <c r="AG321" s="469"/>
      <c r="AH321" s="469"/>
      <c r="AI321" s="469"/>
      <c r="AJ321" s="469"/>
      <c r="AK321" s="469"/>
      <c r="AW321" s="66" t="n">
        <v>0.070792712049877</v>
      </c>
    </row>
    <row r="322" customFormat="false" ht="12.75" hidden="false" customHeight="false" outlineLevel="0" collapsed="false">
      <c r="D322" s="468"/>
      <c r="E322" s="469" t="n">
        <v>0.070001403304405</v>
      </c>
      <c r="F322" s="469"/>
      <c r="G322" s="469" t="n">
        <v>0.0300425</v>
      </c>
      <c r="H322" s="469"/>
      <c r="I322" s="469"/>
      <c r="J322" s="469" t="n">
        <v>0.265</v>
      </c>
      <c r="K322" s="469" t="n">
        <v>0.3025</v>
      </c>
      <c r="L322" s="469"/>
      <c r="M322" s="469"/>
      <c r="N322" s="469" t="n">
        <v>0</v>
      </c>
      <c r="O322" s="469"/>
      <c r="P322" s="469"/>
      <c r="Q322" s="469"/>
      <c r="R322" s="469"/>
      <c r="S322" s="469"/>
      <c r="T322" s="469"/>
      <c r="U322" s="469"/>
      <c r="V322" s="469"/>
      <c r="W322" s="469" t="n">
        <v>0</v>
      </c>
      <c r="X322" s="469" t="n">
        <v>0.835</v>
      </c>
      <c r="Y322" s="469"/>
      <c r="Z322" s="469" t="n">
        <v>0</v>
      </c>
      <c r="AA322" s="469"/>
      <c r="AB322" s="469" t="n">
        <v>0</v>
      </c>
      <c r="AC322" s="469" t="n">
        <v>0.6075</v>
      </c>
      <c r="AD322" s="469"/>
      <c r="AE322" s="469"/>
      <c r="AF322" s="469"/>
      <c r="AG322" s="469"/>
      <c r="AH322" s="469"/>
      <c r="AI322" s="469"/>
      <c r="AJ322" s="469"/>
      <c r="AK322" s="469"/>
      <c r="AW322" s="66" t="n">
        <v>0.070784542124535</v>
      </c>
    </row>
    <row r="323" customFormat="false" ht="12.75" hidden="false" customHeight="false" outlineLevel="0" collapsed="false">
      <c r="D323" s="468"/>
      <c r="E323" s="469" t="n">
        <v>0.069994341654787</v>
      </c>
      <c r="F323" s="469"/>
      <c r="G323" s="469" t="n">
        <v>0.0899766</v>
      </c>
      <c r="H323" s="469"/>
      <c r="I323" s="469"/>
      <c r="J323" s="469" t="n">
        <v>0.195</v>
      </c>
      <c r="K323" s="469" t="n">
        <v>0.25</v>
      </c>
      <c r="L323" s="469"/>
      <c r="M323" s="469"/>
      <c r="N323" s="469" t="n">
        <v>0</v>
      </c>
      <c r="O323" s="469"/>
      <c r="P323" s="469"/>
      <c r="Q323" s="469"/>
      <c r="R323" s="469"/>
      <c r="S323" s="469"/>
      <c r="T323" s="469"/>
      <c r="U323" s="469"/>
      <c r="V323" s="469"/>
      <c r="W323" s="469" t="n">
        <v>0</v>
      </c>
      <c r="X323" s="469" t="n">
        <v>0.45</v>
      </c>
      <c r="Y323" s="469"/>
      <c r="Z323" s="469" t="n">
        <v>0</v>
      </c>
      <c r="AA323" s="469"/>
      <c r="AB323" s="469" t="n">
        <v>0</v>
      </c>
      <c r="AC323" s="469" t="n">
        <v>0.335</v>
      </c>
      <c r="AD323" s="469"/>
      <c r="AE323" s="469"/>
      <c r="AF323" s="469"/>
      <c r="AG323" s="469"/>
      <c r="AH323" s="469"/>
      <c r="AI323" s="469"/>
      <c r="AJ323" s="469"/>
      <c r="AK323" s="469"/>
      <c r="AW323" s="66" t="n">
        <v>0.070775496850075</v>
      </c>
    </row>
    <row r="324" customFormat="false" ht="12.75" hidden="false" customHeight="false" outlineLevel="0" collapsed="false">
      <c r="D324" s="468"/>
      <c r="E324" s="469" t="n">
        <v>0.069987507800334</v>
      </c>
      <c r="F324" s="469"/>
      <c r="G324" s="469" t="n">
        <v>0.0899681</v>
      </c>
      <c r="H324" s="469"/>
      <c r="I324" s="469"/>
      <c r="J324" s="469" t="n">
        <v>0.1825</v>
      </c>
      <c r="K324" s="469" t="n">
        <v>0.2025</v>
      </c>
      <c r="L324" s="469"/>
      <c r="M324" s="469"/>
      <c r="N324" s="469" t="n">
        <v>0</v>
      </c>
      <c r="O324" s="469"/>
      <c r="P324" s="469"/>
      <c r="Q324" s="469"/>
      <c r="R324" s="469"/>
      <c r="S324" s="469"/>
      <c r="T324" s="469"/>
      <c r="U324" s="469"/>
      <c r="V324" s="469"/>
      <c r="W324" s="469" t="n">
        <v>0</v>
      </c>
      <c r="X324" s="469" t="n">
        <v>0.405</v>
      </c>
      <c r="Y324" s="469"/>
      <c r="Z324" s="469" t="n">
        <v>0</v>
      </c>
      <c r="AA324" s="469"/>
      <c r="AB324" s="469" t="n">
        <v>0</v>
      </c>
      <c r="AC324" s="469" t="n">
        <v>0.2675</v>
      </c>
      <c r="AD324" s="469"/>
      <c r="AE324" s="469"/>
      <c r="AF324" s="469"/>
      <c r="AG324" s="469"/>
      <c r="AH324" s="469"/>
      <c r="AI324" s="469"/>
      <c r="AJ324" s="469"/>
      <c r="AK324" s="469"/>
      <c r="AW324" s="66" t="n">
        <v>0.070766743358688</v>
      </c>
    </row>
    <row r="325" customFormat="false" ht="12.75" hidden="false" customHeight="false" outlineLevel="0" collapsed="false">
      <c r="D325" s="468"/>
      <c r="E325" s="469" t="n">
        <v>0.069980446150748</v>
      </c>
      <c r="F325" s="469"/>
      <c r="G325" s="469" t="n">
        <v>0.0899681</v>
      </c>
      <c r="H325" s="469"/>
      <c r="I325" s="469"/>
      <c r="J325" s="469" t="n">
        <v>0.1825</v>
      </c>
      <c r="K325" s="469" t="n">
        <v>0.2025</v>
      </c>
      <c r="L325" s="469"/>
      <c r="M325" s="469"/>
      <c r="N325" s="469" t="n">
        <v>0</v>
      </c>
      <c r="O325" s="469"/>
      <c r="P325" s="469"/>
      <c r="Q325" s="469"/>
      <c r="R325" s="469"/>
      <c r="S325" s="469"/>
      <c r="T325" s="469"/>
      <c r="U325" s="469"/>
      <c r="V325" s="469"/>
      <c r="W325" s="469" t="n">
        <v>0</v>
      </c>
      <c r="X325" s="469" t="n">
        <v>0.395</v>
      </c>
      <c r="Y325" s="469"/>
      <c r="Z325" s="469" t="n">
        <v>0</v>
      </c>
      <c r="AA325" s="469"/>
      <c r="AB325" s="469" t="n">
        <v>0</v>
      </c>
      <c r="AC325" s="469" t="n">
        <v>0.2675</v>
      </c>
      <c r="AD325" s="469"/>
      <c r="AE325" s="469"/>
      <c r="AF325" s="469"/>
      <c r="AG325" s="469"/>
      <c r="AH325" s="469"/>
      <c r="AI325" s="469"/>
      <c r="AJ325" s="469"/>
      <c r="AK325" s="469"/>
      <c r="AW325" s="66" t="n">
        <v>0.070757698084282</v>
      </c>
    </row>
    <row r="326" customFormat="false" ht="12.75" hidden="false" customHeight="false" outlineLevel="0" collapsed="false">
      <c r="D326" s="468"/>
      <c r="E326" s="469" t="n">
        <v>0.069973612296326</v>
      </c>
      <c r="F326" s="469"/>
      <c r="G326" s="469" t="n">
        <v>0.0899681</v>
      </c>
      <c r="H326" s="469"/>
      <c r="I326" s="469"/>
      <c r="J326" s="469" t="n">
        <v>0.1825</v>
      </c>
      <c r="K326" s="469" t="n">
        <v>0.215</v>
      </c>
      <c r="L326" s="469"/>
      <c r="M326" s="469"/>
      <c r="N326" s="469" t="n">
        <v>0</v>
      </c>
      <c r="O326" s="469"/>
      <c r="P326" s="469"/>
      <c r="Q326" s="469"/>
      <c r="R326" s="469"/>
      <c r="S326" s="469"/>
      <c r="T326" s="469"/>
      <c r="U326" s="469"/>
      <c r="V326" s="469"/>
      <c r="W326" s="469" t="n">
        <v>0</v>
      </c>
      <c r="X326" s="469" t="n">
        <v>0.43</v>
      </c>
      <c r="Y326" s="469"/>
      <c r="Z326" s="469" t="n">
        <v>0</v>
      </c>
      <c r="AA326" s="469"/>
      <c r="AB326" s="469" t="n">
        <v>0</v>
      </c>
      <c r="AC326" s="469" t="n">
        <v>0.28</v>
      </c>
      <c r="AD326" s="469"/>
      <c r="AE326" s="469"/>
      <c r="AF326" s="469"/>
      <c r="AG326" s="469"/>
      <c r="AH326" s="469"/>
      <c r="AI326" s="469"/>
      <c r="AJ326" s="469"/>
      <c r="AK326" s="469"/>
      <c r="AW326" s="66" t="n">
        <v>0.070748944592946</v>
      </c>
    </row>
    <row r="327" customFormat="false" ht="12.75" hidden="false" customHeight="false" outlineLevel="0" collapsed="false">
      <c r="A327" s="473"/>
      <c r="D327" s="468"/>
      <c r="E327" s="469" t="n">
        <v>0.069966550646773</v>
      </c>
      <c r="F327" s="469"/>
      <c r="G327" s="469" t="n">
        <v>0.0899681</v>
      </c>
      <c r="H327" s="469"/>
      <c r="I327" s="469"/>
      <c r="J327" s="469" t="n">
        <v>0.1825</v>
      </c>
      <c r="K327" s="469" t="n">
        <v>0.215</v>
      </c>
      <c r="L327" s="469"/>
      <c r="M327" s="469"/>
      <c r="N327" s="469" t="n">
        <v>0</v>
      </c>
      <c r="O327" s="469"/>
      <c r="P327" s="469"/>
      <c r="Q327" s="469"/>
      <c r="R327" s="469"/>
      <c r="S327" s="469"/>
      <c r="T327" s="469"/>
      <c r="U327" s="469"/>
      <c r="V327" s="469"/>
      <c r="W327" s="469" t="n">
        <v>0</v>
      </c>
      <c r="X327" s="469" t="n">
        <v>0.495</v>
      </c>
      <c r="Y327" s="469"/>
      <c r="Z327" s="469" t="n">
        <v>0</v>
      </c>
      <c r="AA327" s="469"/>
      <c r="AB327" s="469" t="n">
        <v>0</v>
      </c>
      <c r="AC327" s="469" t="n">
        <v>0.28</v>
      </c>
      <c r="AD327" s="469"/>
      <c r="AE327" s="469"/>
      <c r="AF327" s="469"/>
      <c r="AG327" s="469"/>
      <c r="AH327" s="469"/>
      <c r="AI327" s="469"/>
      <c r="AJ327" s="469"/>
      <c r="AK327" s="469"/>
      <c r="AW327" s="66" t="n">
        <v>0.070739899318593</v>
      </c>
    </row>
    <row r="328" customFormat="false" ht="12.75" hidden="false" customHeight="false" outlineLevel="0" collapsed="false">
      <c r="A328" s="470"/>
      <c r="D328" s="468"/>
      <c r="E328" s="469" t="n">
        <v>0.069959488997237</v>
      </c>
      <c r="F328" s="469"/>
      <c r="G328" s="469" t="n">
        <v>0.0899681</v>
      </c>
      <c r="H328" s="469"/>
      <c r="I328" s="469"/>
      <c r="J328" s="469" t="n">
        <v>0.1825</v>
      </c>
      <c r="K328" s="469" t="n">
        <v>0.195</v>
      </c>
      <c r="L328" s="469"/>
      <c r="M328" s="469"/>
      <c r="N328" s="469" t="n">
        <v>0</v>
      </c>
      <c r="O328" s="469"/>
      <c r="P328" s="469"/>
      <c r="Q328" s="469"/>
      <c r="R328" s="469"/>
      <c r="S328" s="469"/>
      <c r="T328" s="469"/>
      <c r="U328" s="469"/>
      <c r="V328" s="469"/>
      <c r="W328" s="469" t="n">
        <v>0</v>
      </c>
      <c r="X328" s="469" t="n">
        <v>0.395</v>
      </c>
      <c r="Y328" s="469"/>
      <c r="Z328" s="469" t="n">
        <v>0</v>
      </c>
      <c r="AA328" s="469"/>
      <c r="AB328" s="469" t="n">
        <v>0</v>
      </c>
      <c r="AC328" s="469" t="n">
        <v>0.27</v>
      </c>
      <c r="AD328" s="469"/>
      <c r="AE328" s="469"/>
      <c r="AF328" s="469"/>
      <c r="AG328" s="469"/>
      <c r="AH328" s="469"/>
      <c r="AI328" s="469"/>
      <c r="AJ328" s="469"/>
      <c r="AK328" s="469"/>
      <c r="AW328" s="66" t="n">
        <v>0.070730854044267</v>
      </c>
    </row>
    <row r="329" customFormat="false" ht="12.75" hidden="false" customHeight="false" outlineLevel="0" collapsed="false">
      <c r="A329" s="470"/>
      <c r="D329" s="468"/>
      <c r="E329" s="469" t="n">
        <v>0.069952655142862</v>
      </c>
      <c r="F329" s="469"/>
      <c r="G329" s="469" t="n">
        <v>0.0899681</v>
      </c>
      <c r="H329" s="469"/>
      <c r="I329" s="469"/>
      <c r="J329" s="469" t="n">
        <v>0.1875</v>
      </c>
      <c r="K329" s="469" t="n">
        <v>0.215</v>
      </c>
      <c r="L329" s="469"/>
      <c r="M329" s="469"/>
      <c r="N329" s="469" t="n">
        <v>0</v>
      </c>
      <c r="O329" s="469"/>
      <c r="P329" s="469"/>
      <c r="Q329" s="469"/>
      <c r="R329" s="469"/>
      <c r="S329" s="469"/>
      <c r="T329" s="469"/>
      <c r="U329" s="469"/>
      <c r="V329" s="469"/>
      <c r="W329" s="469" t="n">
        <v>0</v>
      </c>
      <c r="X329" s="469" t="n">
        <v>0.461</v>
      </c>
      <c r="Y329" s="469"/>
      <c r="Z329" s="469" t="n">
        <v>0</v>
      </c>
      <c r="AA329" s="469"/>
      <c r="AB329" s="469" t="n">
        <v>0</v>
      </c>
      <c r="AC329" s="469" t="n">
        <v>0.3425</v>
      </c>
      <c r="AD329" s="469"/>
      <c r="AE329" s="469"/>
      <c r="AF329" s="469"/>
      <c r="AG329" s="469"/>
      <c r="AH329" s="469"/>
      <c r="AI329" s="469"/>
      <c r="AJ329" s="469"/>
      <c r="AK329" s="469"/>
      <c r="AW329" s="66" t="n">
        <v>0.070722100553008</v>
      </c>
    </row>
    <row r="330" customFormat="false" ht="12.75" hidden="false" customHeight="false" outlineLevel="0" collapsed="false">
      <c r="A330" s="470"/>
      <c r="D330" s="468"/>
      <c r="E330" s="469" t="n">
        <v>0.069945593493358</v>
      </c>
      <c r="F330" s="469"/>
      <c r="G330" s="469" t="n">
        <v>0.0100112</v>
      </c>
      <c r="H330" s="469"/>
      <c r="I330" s="469"/>
      <c r="J330" s="469" t="n">
        <v>0.27</v>
      </c>
      <c r="K330" s="469" t="n">
        <v>0.2875</v>
      </c>
      <c r="L330" s="469"/>
      <c r="M330" s="469"/>
      <c r="N330" s="469" t="n">
        <v>0</v>
      </c>
      <c r="O330" s="469"/>
      <c r="P330" s="469"/>
      <c r="Q330" s="469"/>
      <c r="R330" s="469"/>
      <c r="S330" s="469"/>
      <c r="T330" s="469"/>
      <c r="U330" s="469"/>
      <c r="V330" s="469"/>
      <c r="W330" s="469" t="n">
        <v>0</v>
      </c>
      <c r="X330" s="469" t="n">
        <v>0.7675</v>
      </c>
      <c r="Y330" s="469"/>
      <c r="Z330" s="469" t="n">
        <v>0</v>
      </c>
      <c r="AA330" s="469"/>
      <c r="AB330" s="469" t="n">
        <v>0</v>
      </c>
      <c r="AC330" s="469" t="n">
        <v>0.465</v>
      </c>
      <c r="AD330" s="469"/>
      <c r="AE330" s="469"/>
      <c r="AF330" s="469"/>
      <c r="AG330" s="469"/>
      <c r="AH330" s="469"/>
      <c r="AI330" s="469"/>
      <c r="AJ330" s="469"/>
      <c r="AK330" s="469"/>
      <c r="AW330" s="66" t="n">
        <v>0.070713055278736</v>
      </c>
    </row>
    <row r="331" customFormat="false" ht="12.75" hidden="false" customHeight="false" outlineLevel="0" collapsed="false">
      <c r="A331" s="470"/>
      <c r="D331" s="468"/>
      <c r="E331" s="469" t="n">
        <v>0.069938759639015</v>
      </c>
      <c r="F331" s="469"/>
      <c r="G331" s="469" t="n">
        <v>-0.0049519</v>
      </c>
      <c r="H331" s="469"/>
      <c r="I331" s="469"/>
      <c r="J331" s="469" t="n">
        <v>0.305</v>
      </c>
      <c r="K331" s="469" t="n">
        <v>0.3375</v>
      </c>
      <c r="L331" s="469"/>
      <c r="M331" s="469"/>
      <c r="N331" s="469" t="n">
        <v>0</v>
      </c>
      <c r="O331" s="469"/>
      <c r="P331" s="469"/>
      <c r="Q331" s="469"/>
      <c r="R331" s="469"/>
      <c r="S331" s="469"/>
      <c r="T331" s="469"/>
      <c r="U331" s="469"/>
      <c r="V331" s="469"/>
      <c r="W331" s="469" t="n">
        <v>0</v>
      </c>
      <c r="X331" s="469" t="n">
        <v>1.19</v>
      </c>
      <c r="Y331" s="469"/>
      <c r="Z331" s="469" t="n">
        <v>0</v>
      </c>
      <c r="AA331" s="469"/>
      <c r="AB331" s="469" t="n">
        <v>0</v>
      </c>
      <c r="AC331" s="469" t="n">
        <v>0.8</v>
      </c>
      <c r="AD331" s="469"/>
      <c r="AE331" s="469"/>
      <c r="AF331" s="469"/>
      <c r="AG331" s="469"/>
      <c r="AH331" s="469"/>
      <c r="AI331" s="469"/>
      <c r="AJ331" s="469"/>
      <c r="AK331" s="469"/>
      <c r="AW331" s="66" t="n">
        <v>0.070704301787529</v>
      </c>
    </row>
    <row r="332" customFormat="false" ht="12.75" hidden="false" customHeight="false" outlineLevel="0" collapsed="false">
      <c r="A332" s="470"/>
      <c r="D332" s="468"/>
      <c r="E332" s="469" t="n">
        <v>0.069931697989543</v>
      </c>
      <c r="F332" s="469"/>
      <c r="G332" s="469" t="n">
        <v>4.48E-005</v>
      </c>
      <c r="H332" s="469"/>
      <c r="I332" s="469"/>
      <c r="J332" s="469" t="n">
        <v>0.305</v>
      </c>
      <c r="K332" s="469" t="n">
        <v>0.4375</v>
      </c>
      <c r="L332" s="469"/>
      <c r="M332" s="469"/>
      <c r="N332" s="469" t="n">
        <v>0</v>
      </c>
      <c r="O332" s="469"/>
      <c r="P332" s="469"/>
      <c r="Q332" s="469"/>
      <c r="R332" s="469"/>
      <c r="S332" s="469"/>
      <c r="T332" s="469"/>
      <c r="U332" s="469"/>
      <c r="V332" s="469"/>
      <c r="W332" s="469" t="n">
        <v>0</v>
      </c>
      <c r="X332" s="469" t="n">
        <v>1.525</v>
      </c>
      <c r="Y332" s="469"/>
      <c r="Z332" s="469" t="n">
        <v>0</v>
      </c>
      <c r="AA332" s="469"/>
      <c r="AB332" s="469" t="n">
        <v>0</v>
      </c>
      <c r="AC332" s="469" t="n">
        <v>0.975</v>
      </c>
      <c r="AD332" s="469"/>
      <c r="AE332" s="469"/>
      <c r="AF332" s="469"/>
      <c r="AG332" s="469"/>
      <c r="AH332" s="469"/>
      <c r="AI332" s="469"/>
      <c r="AJ332" s="469"/>
      <c r="AK332" s="469"/>
      <c r="AW332" s="66" t="n">
        <v>0.070695256513309</v>
      </c>
    </row>
    <row r="333" customFormat="false" ht="12.75" hidden="false" customHeight="false" outlineLevel="0" collapsed="false">
      <c r="A333" s="470"/>
      <c r="D333" s="468"/>
      <c r="E333" s="469" t="n">
        <v>0.069924636340088</v>
      </c>
      <c r="F333" s="469"/>
      <c r="G333" s="469" t="n">
        <v>0.0250425</v>
      </c>
      <c r="H333" s="469"/>
      <c r="I333" s="469"/>
      <c r="J333" s="469" t="n">
        <v>0.305</v>
      </c>
      <c r="K333" s="469" t="n">
        <v>0.435</v>
      </c>
      <c r="L333" s="469"/>
      <c r="M333" s="469"/>
      <c r="N333" s="469" t="n">
        <v>0</v>
      </c>
      <c r="O333" s="469"/>
      <c r="P333" s="469"/>
      <c r="Q333" s="469"/>
      <c r="R333" s="469"/>
      <c r="S333" s="469"/>
      <c r="T333" s="469"/>
      <c r="U333" s="469"/>
      <c r="V333" s="469"/>
      <c r="W333" s="469" t="n">
        <v>0</v>
      </c>
      <c r="X333" s="469" t="n">
        <v>1.455</v>
      </c>
      <c r="Y333" s="469"/>
      <c r="Z333" s="469" t="n">
        <v>0</v>
      </c>
      <c r="AA333" s="469"/>
      <c r="AB333" s="469" t="n">
        <v>0</v>
      </c>
      <c r="AC333" s="469" t="n">
        <v>0.975</v>
      </c>
      <c r="AD333" s="469"/>
      <c r="AE333" s="469"/>
      <c r="AF333" s="469"/>
      <c r="AG333" s="469"/>
      <c r="AH333" s="469"/>
      <c r="AI333" s="469"/>
      <c r="AJ333" s="469"/>
      <c r="AK333" s="469"/>
      <c r="AW333" s="66" t="n">
        <v>0.070686211239117</v>
      </c>
    </row>
    <row r="334" customFormat="false" ht="12.75" hidden="false" customHeight="false" outlineLevel="0" collapsed="false">
      <c r="A334" s="470"/>
      <c r="D334" s="468"/>
      <c r="E334" s="469" t="n">
        <v>0.069918258076078</v>
      </c>
      <c r="F334" s="469"/>
      <c r="G334" s="469" t="n">
        <v>0.0350425</v>
      </c>
      <c r="H334" s="469"/>
      <c r="I334" s="469"/>
      <c r="J334" s="469" t="n">
        <v>0.265</v>
      </c>
      <c r="K334" s="469" t="n">
        <v>0.3025</v>
      </c>
      <c r="L334" s="469"/>
      <c r="M334" s="469"/>
      <c r="N334" s="469" t="n">
        <v>0</v>
      </c>
      <c r="O334" s="469"/>
      <c r="P334" s="469"/>
      <c r="Q334" s="469"/>
      <c r="R334" s="469"/>
      <c r="S334" s="469"/>
      <c r="T334" s="469"/>
      <c r="U334" s="469"/>
      <c r="V334" s="469"/>
      <c r="W334" s="469" t="n">
        <v>0</v>
      </c>
      <c r="X334" s="469" t="n">
        <v>0.835</v>
      </c>
      <c r="Y334" s="469"/>
      <c r="Z334" s="469" t="n">
        <v>0</v>
      </c>
      <c r="AA334" s="469"/>
      <c r="AB334" s="469" t="n">
        <v>0</v>
      </c>
      <c r="AC334" s="469" t="n">
        <v>0.6075</v>
      </c>
      <c r="AD334" s="469"/>
      <c r="AE334" s="469"/>
      <c r="AF334" s="469"/>
      <c r="AG334" s="469"/>
      <c r="AH334" s="469"/>
      <c r="AI334" s="469"/>
      <c r="AJ334" s="469"/>
      <c r="AK334" s="469"/>
      <c r="AW334" s="66" t="n">
        <v>0.070678041314062</v>
      </c>
    </row>
    <row r="335" customFormat="false" ht="12.75" hidden="false" customHeight="false" outlineLevel="0" collapsed="false">
      <c r="A335" s="470"/>
      <c r="D335" s="468"/>
      <c r="E335" s="469" t="n">
        <v>0.069911196426654</v>
      </c>
      <c r="F335" s="469"/>
      <c r="G335" s="469" t="n">
        <v>0.0949766</v>
      </c>
      <c r="H335" s="469"/>
      <c r="I335" s="469"/>
      <c r="J335" s="469" t="n">
        <v>0.195</v>
      </c>
      <c r="K335" s="469" t="n">
        <v>0.25</v>
      </c>
      <c r="L335" s="469"/>
      <c r="M335" s="469"/>
      <c r="N335" s="469" t="n">
        <v>0</v>
      </c>
      <c r="O335" s="469"/>
      <c r="P335" s="469"/>
      <c r="Q335" s="469"/>
      <c r="R335" s="469"/>
      <c r="S335" s="469"/>
      <c r="T335" s="469"/>
      <c r="U335" s="469"/>
      <c r="V335" s="469"/>
      <c r="W335" s="469" t="n">
        <v>0</v>
      </c>
      <c r="X335" s="469" t="n">
        <v>0.45</v>
      </c>
      <c r="Y335" s="469"/>
      <c r="Z335" s="469" t="n">
        <v>0</v>
      </c>
      <c r="AA335" s="469"/>
      <c r="AB335" s="469" t="n">
        <v>0</v>
      </c>
      <c r="AC335" s="469" t="n">
        <v>0.335</v>
      </c>
      <c r="AD335" s="469"/>
      <c r="AE335" s="469"/>
      <c r="AF335" s="469"/>
      <c r="AG335" s="469"/>
      <c r="AH335" s="469"/>
      <c r="AI335" s="469"/>
      <c r="AJ335" s="469"/>
      <c r="AK335" s="469"/>
      <c r="AW335" s="66" t="n">
        <v>0.070668996039921</v>
      </c>
    </row>
    <row r="336" customFormat="false" ht="12.75" hidden="false" customHeight="false" outlineLevel="0" collapsed="false">
      <c r="A336" s="470"/>
      <c r="D336" s="468"/>
      <c r="E336" s="469" t="n">
        <v>0.069904362572388</v>
      </c>
      <c r="F336" s="469"/>
      <c r="G336" s="469" t="n">
        <v>0.0949681</v>
      </c>
      <c r="H336" s="469"/>
      <c r="I336" s="469"/>
      <c r="J336" s="469" t="n">
        <v>0.1825</v>
      </c>
      <c r="K336" s="469" t="n">
        <v>0.2025</v>
      </c>
      <c r="L336" s="469"/>
      <c r="M336" s="469"/>
      <c r="N336" s="469" t="n">
        <v>0</v>
      </c>
      <c r="O336" s="469"/>
      <c r="P336" s="469"/>
      <c r="Q336" s="469"/>
      <c r="R336" s="469"/>
      <c r="S336" s="469"/>
      <c r="T336" s="469"/>
      <c r="U336" s="469"/>
      <c r="V336" s="469"/>
      <c r="W336" s="469" t="n">
        <v>0</v>
      </c>
      <c r="X336" s="469" t="n">
        <v>0.405</v>
      </c>
      <c r="Y336" s="469"/>
      <c r="Z336" s="469" t="n">
        <v>0</v>
      </c>
      <c r="AA336" s="469"/>
      <c r="AB336" s="469" t="n">
        <v>0</v>
      </c>
      <c r="AC336" s="469" t="n">
        <v>0.2675</v>
      </c>
      <c r="AD336" s="469"/>
      <c r="AE336" s="469"/>
      <c r="AF336" s="469"/>
      <c r="AG336" s="469"/>
      <c r="AH336" s="469"/>
      <c r="AI336" s="469"/>
      <c r="AJ336" s="469"/>
      <c r="AK336" s="469"/>
      <c r="AW336" s="66" t="n">
        <v>0.070660242548842</v>
      </c>
    </row>
    <row r="337" customFormat="false" ht="12.75" hidden="false" customHeight="false" outlineLevel="0" collapsed="false">
      <c r="A337" s="470"/>
      <c r="D337" s="468"/>
      <c r="E337" s="469" t="n">
        <v>0.069897300923</v>
      </c>
      <c r="F337" s="469"/>
      <c r="G337" s="469" t="n">
        <v>0.0949681</v>
      </c>
      <c r="H337" s="469"/>
      <c r="I337" s="469"/>
      <c r="J337" s="469" t="n">
        <v>0.1825</v>
      </c>
      <c r="K337" s="469" t="n">
        <v>0.2025</v>
      </c>
      <c r="L337" s="469"/>
      <c r="M337" s="469"/>
      <c r="N337" s="469" t="n">
        <v>0</v>
      </c>
      <c r="O337" s="469"/>
      <c r="P337" s="469"/>
      <c r="Q337" s="469"/>
      <c r="R337" s="469"/>
      <c r="S337" s="469"/>
      <c r="T337" s="469"/>
      <c r="U337" s="469"/>
      <c r="V337" s="469"/>
      <c r="W337" s="469" t="n">
        <v>0</v>
      </c>
      <c r="X337" s="469" t="n">
        <v>0.395</v>
      </c>
      <c r="Y337" s="469"/>
      <c r="Z337" s="469" t="n">
        <v>0</v>
      </c>
      <c r="AA337" s="469"/>
      <c r="AB337" s="469" t="n">
        <v>0</v>
      </c>
      <c r="AC337" s="469" t="n">
        <v>0.2675</v>
      </c>
      <c r="AD337" s="469"/>
      <c r="AE337" s="469"/>
      <c r="AF337" s="469"/>
      <c r="AG337" s="469"/>
      <c r="AH337" s="469"/>
      <c r="AI337" s="469"/>
      <c r="AJ337" s="469"/>
      <c r="AK337" s="469"/>
      <c r="AW337" s="66" t="n">
        <v>0.070651197274754</v>
      </c>
    </row>
    <row r="338" customFormat="false" ht="12.75" hidden="false" customHeight="false" outlineLevel="0" collapsed="false">
      <c r="A338" s="470"/>
      <c r="D338" s="468"/>
      <c r="E338" s="469" t="n">
        <v>0.069890467068763</v>
      </c>
      <c r="F338" s="469"/>
      <c r="G338" s="469" t="n">
        <v>0.0949681</v>
      </c>
      <c r="H338" s="469"/>
      <c r="I338" s="469"/>
      <c r="J338" s="469" t="n">
        <v>0.1825</v>
      </c>
      <c r="K338" s="469" t="n">
        <v>0.215</v>
      </c>
      <c r="L338" s="469"/>
      <c r="M338" s="469"/>
      <c r="N338" s="469" t="n">
        <v>0</v>
      </c>
      <c r="O338" s="469"/>
      <c r="P338" s="469"/>
      <c r="Q338" s="469"/>
      <c r="R338" s="469"/>
      <c r="S338" s="469"/>
      <c r="T338" s="469"/>
      <c r="U338" s="469"/>
      <c r="V338" s="469"/>
      <c r="W338" s="469" t="n">
        <v>0</v>
      </c>
      <c r="X338" s="469" t="n">
        <v>0.43</v>
      </c>
      <c r="Y338" s="469"/>
      <c r="Z338" s="469" t="n">
        <v>0</v>
      </c>
      <c r="AA338" s="469"/>
      <c r="AB338" s="469" t="n">
        <v>0</v>
      </c>
      <c r="AC338" s="469" t="n">
        <v>0.28</v>
      </c>
      <c r="AD338" s="469"/>
      <c r="AE338" s="469"/>
      <c r="AF338" s="469"/>
      <c r="AG338" s="469"/>
      <c r="AH338" s="469"/>
      <c r="AI338" s="469"/>
      <c r="AJ338" s="469"/>
      <c r="AK338" s="469"/>
      <c r="AW338" s="66" t="n">
        <v>0.070642443783726</v>
      </c>
    </row>
    <row r="339" customFormat="false" ht="12.75" hidden="false" customHeight="false" outlineLevel="0" collapsed="false">
      <c r="A339" s="470"/>
      <c r="D339" s="468"/>
      <c r="E339" s="469" t="n">
        <v>0.069883405419404</v>
      </c>
      <c r="F339" s="469"/>
      <c r="G339" s="469" t="n">
        <v>0.0949681</v>
      </c>
      <c r="H339" s="469"/>
      <c r="I339" s="469"/>
      <c r="J339" s="469" t="n">
        <v>0.1825</v>
      </c>
      <c r="K339" s="469" t="n">
        <v>0.215</v>
      </c>
      <c r="L339" s="469"/>
      <c r="M339" s="469"/>
      <c r="N339" s="469" t="n">
        <v>0</v>
      </c>
      <c r="O339" s="469"/>
      <c r="P339" s="469"/>
      <c r="Q339" s="469"/>
      <c r="R339" s="469"/>
      <c r="S339" s="469"/>
      <c r="T339" s="469"/>
      <c r="U339" s="469"/>
      <c r="V339" s="469"/>
      <c r="W339" s="469" t="n">
        <v>0</v>
      </c>
      <c r="X339" s="469" t="n">
        <v>0.495</v>
      </c>
      <c r="Y339" s="469"/>
      <c r="Z339" s="469" t="n">
        <v>0</v>
      </c>
      <c r="AA339" s="469"/>
      <c r="AB339" s="469" t="n">
        <v>0</v>
      </c>
      <c r="AC339" s="469" t="n">
        <v>0.28</v>
      </c>
      <c r="AD339" s="469"/>
      <c r="AE339" s="469"/>
      <c r="AF339" s="469"/>
      <c r="AG339" s="469"/>
      <c r="AH339" s="469"/>
      <c r="AI339" s="469"/>
      <c r="AJ339" s="469"/>
      <c r="AK339" s="469"/>
      <c r="AW339" s="66" t="n">
        <v>0.070633398509692</v>
      </c>
    </row>
    <row r="340" customFormat="false" ht="12.75" hidden="false" customHeight="false" outlineLevel="0" collapsed="false">
      <c r="A340" s="470"/>
      <c r="D340" s="468"/>
      <c r="E340" s="469" t="n">
        <v>0.069876343770061</v>
      </c>
      <c r="F340" s="469"/>
      <c r="G340" s="469" t="n">
        <v>0.0949681</v>
      </c>
      <c r="H340" s="469"/>
      <c r="I340" s="469"/>
      <c r="J340" s="469" t="n">
        <v>0.1825</v>
      </c>
      <c r="K340" s="469" t="n">
        <v>0.195</v>
      </c>
      <c r="L340" s="469"/>
      <c r="M340" s="469"/>
      <c r="N340" s="469" t="n">
        <v>0</v>
      </c>
      <c r="O340" s="469"/>
      <c r="P340" s="469"/>
      <c r="Q340" s="469"/>
      <c r="R340" s="469"/>
      <c r="S340" s="469"/>
      <c r="T340" s="469"/>
      <c r="U340" s="469"/>
      <c r="V340" s="469"/>
      <c r="W340" s="469" t="n">
        <v>0</v>
      </c>
      <c r="X340" s="469" t="n">
        <v>0.395</v>
      </c>
      <c r="Y340" s="469"/>
      <c r="Z340" s="469" t="n">
        <v>0</v>
      </c>
      <c r="AA340" s="469"/>
      <c r="AB340" s="469" t="n">
        <v>0</v>
      </c>
      <c r="AC340" s="469" t="n">
        <v>0.27</v>
      </c>
      <c r="AD340" s="469"/>
      <c r="AE340" s="469"/>
      <c r="AF340" s="469"/>
      <c r="AG340" s="469"/>
      <c r="AH340" s="469"/>
      <c r="AI340" s="469"/>
      <c r="AJ340" s="469"/>
      <c r="AK340" s="469"/>
      <c r="AW340" s="66" t="n">
        <v>0.070624353235684</v>
      </c>
    </row>
    <row r="341" customFormat="false" ht="12.75" hidden="false" customHeight="false" outlineLevel="0" collapsed="false">
      <c r="A341" s="470"/>
      <c r="D341" s="468"/>
      <c r="E341" s="469" t="n">
        <v>0.069869509915874</v>
      </c>
      <c r="F341" s="469"/>
      <c r="G341" s="469" t="n">
        <v>0.0949681</v>
      </c>
      <c r="H341" s="469"/>
      <c r="I341" s="469"/>
      <c r="J341" s="469" t="n">
        <v>0.1875</v>
      </c>
      <c r="K341" s="469" t="n">
        <v>0.215</v>
      </c>
      <c r="L341" s="469"/>
      <c r="M341" s="469"/>
      <c r="N341" s="469" t="n">
        <v>0</v>
      </c>
      <c r="O341" s="469"/>
      <c r="P341" s="469"/>
      <c r="Q341" s="469"/>
      <c r="R341" s="469"/>
      <c r="S341" s="469"/>
      <c r="T341" s="469"/>
      <c r="U341" s="469"/>
      <c r="V341" s="469"/>
      <c r="W341" s="469" t="n">
        <v>0</v>
      </c>
      <c r="X341" s="469" t="n">
        <v>0.461</v>
      </c>
      <c r="Y341" s="469"/>
      <c r="Z341" s="469" t="n">
        <v>0</v>
      </c>
      <c r="AA341" s="469"/>
      <c r="AB341" s="469" t="n">
        <v>0</v>
      </c>
      <c r="AC341" s="469" t="n">
        <v>0.3425</v>
      </c>
      <c r="AD341" s="469"/>
      <c r="AE341" s="469"/>
      <c r="AF341" s="469"/>
      <c r="AG341" s="469"/>
      <c r="AH341" s="469"/>
      <c r="AI341" s="469"/>
      <c r="AJ341" s="469"/>
      <c r="AK341" s="469"/>
      <c r="AW341" s="66" t="n">
        <v>0.070615599744734</v>
      </c>
    </row>
    <row r="342" customFormat="false" ht="12.75" hidden="false" customHeight="false" outlineLevel="0" collapsed="false">
      <c r="A342" s="470"/>
      <c r="D342" s="468"/>
      <c r="E342" s="469" t="n">
        <v>0.069862448266565</v>
      </c>
      <c r="F342" s="469"/>
      <c r="G342" s="469" t="n">
        <v>0.0150112</v>
      </c>
      <c r="H342" s="469"/>
      <c r="I342" s="469"/>
      <c r="J342" s="469" t="n">
        <v>0.27</v>
      </c>
      <c r="K342" s="469" t="n">
        <v>0.2875</v>
      </c>
      <c r="L342" s="469"/>
      <c r="M342" s="469"/>
      <c r="N342" s="469" t="n">
        <v>0</v>
      </c>
      <c r="O342" s="469"/>
      <c r="P342" s="469"/>
      <c r="Q342" s="469"/>
      <c r="R342" s="469"/>
      <c r="S342" s="469"/>
      <c r="T342" s="469"/>
      <c r="U342" s="469"/>
      <c r="V342" s="469"/>
      <c r="W342" s="469" t="n">
        <v>0</v>
      </c>
      <c r="X342" s="469" t="n">
        <v>0.7675</v>
      </c>
      <c r="Y342" s="469"/>
      <c r="Z342" s="469" t="n">
        <v>0</v>
      </c>
      <c r="AA342" s="469"/>
      <c r="AB342" s="469" t="n">
        <v>0</v>
      </c>
      <c r="AC342" s="469" t="n">
        <v>0.465</v>
      </c>
      <c r="AD342" s="469"/>
      <c r="AE342" s="469"/>
      <c r="AF342" s="469"/>
      <c r="AG342" s="469"/>
      <c r="AH342" s="469"/>
      <c r="AI342" s="469"/>
      <c r="AJ342" s="469"/>
      <c r="AK342" s="469"/>
      <c r="AW342" s="66" t="n">
        <v>0.07060655447078</v>
      </c>
    </row>
    <row r="343" customFormat="false" ht="12.75" hidden="false" customHeight="false" outlineLevel="0" collapsed="false">
      <c r="A343" s="470"/>
      <c r="D343" s="468"/>
      <c r="E343" s="469" t="n">
        <v>0.069855614412409</v>
      </c>
      <c r="F343" s="469"/>
      <c r="G343" s="469" t="n">
        <v>4.8E-005</v>
      </c>
      <c r="H343" s="469"/>
      <c r="I343" s="469"/>
      <c r="J343" s="469" t="n">
        <v>0.305</v>
      </c>
      <c r="K343" s="469" t="n">
        <v>0.3375</v>
      </c>
      <c r="L343" s="469"/>
      <c r="M343" s="469"/>
      <c r="N343" s="469" t="n">
        <v>0</v>
      </c>
      <c r="O343" s="469"/>
      <c r="P343" s="469"/>
      <c r="Q343" s="469"/>
      <c r="R343" s="469"/>
      <c r="S343" s="469"/>
      <c r="T343" s="469"/>
      <c r="U343" s="469"/>
      <c r="V343" s="469"/>
      <c r="W343" s="469" t="n">
        <v>0</v>
      </c>
      <c r="X343" s="469" t="n">
        <v>1.19</v>
      </c>
      <c r="Y343" s="469"/>
      <c r="Z343" s="469" t="n">
        <v>0</v>
      </c>
      <c r="AA343" s="469"/>
      <c r="AB343" s="469" t="n">
        <v>0</v>
      </c>
      <c r="AC343" s="469" t="n">
        <v>0.8</v>
      </c>
      <c r="AD343" s="469"/>
      <c r="AE343" s="469"/>
      <c r="AF343" s="469"/>
      <c r="AG343" s="469"/>
      <c r="AH343" s="469"/>
      <c r="AI343" s="469"/>
      <c r="AJ343" s="469"/>
      <c r="AK343" s="469"/>
      <c r="AW343" s="66" t="n">
        <v>0.070597800979881</v>
      </c>
    </row>
    <row r="344" customFormat="false" ht="12.75" hidden="false" customHeight="false" outlineLevel="0" collapsed="false">
      <c r="A344" s="470"/>
      <c r="D344" s="468"/>
      <c r="E344" s="469" t="n">
        <v>0.069848552763132</v>
      </c>
      <c r="F344" s="469"/>
      <c r="G344" s="469" t="n">
        <v>0.0050448</v>
      </c>
      <c r="H344" s="469"/>
      <c r="I344" s="469"/>
      <c r="J344" s="469" t="n">
        <v>0.305</v>
      </c>
      <c r="K344" s="469" t="n">
        <v>0.4375</v>
      </c>
      <c r="L344" s="469"/>
      <c r="M344" s="469"/>
      <c r="N344" s="469" t="n">
        <v>0</v>
      </c>
      <c r="O344" s="469"/>
      <c r="P344" s="469"/>
      <c r="Q344" s="469"/>
      <c r="R344" s="469"/>
      <c r="S344" s="469"/>
      <c r="T344" s="469"/>
      <c r="U344" s="469"/>
      <c r="V344" s="469"/>
      <c r="W344" s="469" t="n">
        <v>0</v>
      </c>
      <c r="X344" s="469" t="n">
        <v>1.525</v>
      </c>
      <c r="Y344" s="469"/>
      <c r="Z344" s="469" t="n">
        <v>0</v>
      </c>
      <c r="AA344" s="469"/>
      <c r="AB344" s="469" t="n">
        <v>0</v>
      </c>
      <c r="AC344" s="469" t="n">
        <v>0.975</v>
      </c>
      <c r="AD344" s="469"/>
      <c r="AE344" s="469"/>
      <c r="AF344" s="469"/>
      <c r="AG344" s="469"/>
      <c r="AH344" s="469"/>
      <c r="AI344" s="469"/>
      <c r="AJ344" s="469"/>
      <c r="AK344" s="469"/>
      <c r="AW344" s="66" t="n">
        <v>0.07058875570598</v>
      </c>
    </row>
    <row r="345" customFormat="false" ht="12.75" hidden="false" customHeight="false" outlineLevel="0" collapsed="false">
      <c r="A345" s="470"/>
      <c r="D345" s="468"/>
      <c r="E345" s="469" t="n">
        <v>0.069841491113871</v>
      </c>
      <c r="F345" s="469"/>
      <c r="G345" s="469" t="n">
        <v>0.0300425</v>
      </c>
      <c r="H345" s="469"/>
      <c r="I345" s="469"/>
      <c r="J345" s="469" t="n">
        <v>0.305</v>
      </c>
      <c r="K345" s="469" t="n">
        <v>0.435</v>
      </c>
      <c r="L345" s="469"/>
      <c r="M345" s="469"/>
      <c r="N345" s="469" t="n">
        <v>0</v>
      </c>
      <c r="O345" s="469"/>
      <c r="P345" s="469"/>
      <c r="Q345" s="469"/>
      <c r="R345" s="469"/>
      <c r="S345" s="469"/>
      <c r="T345" s="469"/>
      <c r="U345" s="469"/>
      <c r="V345" s="469"/>
      <c r="W345" s="469" t="n">
        <v>0</v>
      </c>
      <c r="X345" s="469" t="n">
        <v>1.455</v>
      </c>
      <c r="Y345" s="469"/>
      <c r="Z345" s="469" t="n">
        <v>0</v>
      </c>
      <c r="AA345" s="469"/>
      <c r="AB345" s="469" t="n">
        <v>0</v>
      </c>
      <c r="AC345" s="469" t="n">
        <v>0.975</v>
      </c>
      <c r="AD345" s="469"/>
      <c r="AE345" s="469"/>
      <c r="AF345" s="469"/>
      <c r="AG345" s="469"/>
      <c r="AH345" s="469"/>
      <c r="AI345" s="469"/>
      <c r="AJ345" s="469"/>
      <c r="AK345" s="469"/>
      <c r="AW345" s="66" t="n">
        <v>0.070579710432105</v>
      </c>
    </row>
    <row r="346" customFormat="false" ht="12.75" hidden="false" customHeight="false" outlineLevel="0" collapsed="false">
      <c r="D346" s="468"/>
      <c r="E346" s="469" t="n">
        <v>0.0698348850549</v>
      </c>
      <c r="F346" s="469"/>
      <c r="G346" s="469" t="n">
        <v>0.0400425</v>
      </c>
      <c r="H346" s="469"/>
      <c r="I346" s="469"/>
      <c r="J346" s="469" t="n">
        <v>0.265</v>
      </c>
      <c r="K346" s="469" t="n">
        <v>0.3025</v>
      </c>
      <c r="L346" s="469"/>
      <c r="M346" s="469"/>
      <c r="N346" s="469" t="n">
        <v>0</v>
      </c>
      <c r="O346" s="469"/>
      <c r="P346" s="469"/>
      <c r="Q346" s="469"/>
      <c r="R346" s="469"/>
      <c r="S346" s="469"/>
      <c r="T346" s="469"/>
      <c r="U346" s="469"/>
      <c r="V346" s="469"/>
      <c r="W346" s="469" t="n">
        <v>0</v>
      </c>
      <c r="X346" s="469" t="n">
        <v>0.835</v>
      </c>
      <c r="Y346" s="469"/>
      <c r="Z346" s="469" t="n">
        <v>0</v>
      </c>
      <c r="AA346" s="469"/>
      <c r="AB346" s="469" t="n">
        <v>0</v>
      </c>
      <c r="AC346" s="469" t="n">
        <v>0.6075</v>
      </c>
      <c r="AD346" s="469"/>
      <c r="AE346" s="469"/>
      <c r="AF346" s="469"/>
      <c r="AG346" s="469"/>
      <c r="AH346" s="469"/>
      <c r="AI346" s="469"/>
      <c r="AJ346" s="469"/>
      <c r="AK346" s="469"/>
      <c r="AW346" s="66" t="n">
        <v>0.070571248724312</v>
      </c>
    </row>
    <row r="347" customFormat="false" ht="12.75" hidden="false" customHeight="false" outlineLevel="0" collapsed="false">
      <c r="D347" s="468"/>
      <c r="E347" s="469" t="n">
        <v>0.06982782340567</v>
      </c>
      <c r="F347" s="469"/>
      <c r="G347" s="469" t="n">
        <v>0.0999766</v>
      </c>
      <c r="H347" s="469"/>
      <c r="I347" s="469"/>
      <c r="J347" s="469" t="n">
        <v>0.195</v>
      </c>
      <c r="K347" s="469" t="n">
        <v>0.25</v>
      </c>
      <c r="L347" s="469"/>
      <c r="M347" s="469"/>
      <c r="N347" s="469" t="n">
        <v>0</v>
      </c>
      <c r="O347" s="469"/>
      <c r="P347" s="469"/>
      <c r="Q347" s="469"/>
      <c r="R347" s="469"/>
      <c r="S347" s="469"/>
      <c r="T347" s="469"/>
      <c r="U347" s="469"/>
      <c r="V347" s="469"/>
      <c r="W347" s="469" t="n">
        <v>0</v>
      </c>
      <c r="X347" s="469" t="n">
        <v>0.45</v>
      </c>
      <c r="Y347" s="469"/>
      <c r="Z347" s="469" t="n">
        <v>0</v>
      </c>
      <c r="AA347" s="469"/>
      <c r="AB347" s="469" t="n">
        <v>0</v>
      </c>
      <c r="AC347" s="469" t="n">
        <v>0.335</v>
      </c>
      <c r="AD347" s="469"/>
      <c r="AE347" s="469"/>
      <c r="AF347" s="469"/>
      <c r="AG347" s="469"/>
      <c r="AH347" s="469"/>
      <c r="AI347" s="469"/>
      <c r="AJ347" s="469"/>
      <c r="AK347" s="469"/>
      <c r="AW347" s="66" t="n">
        <v>0.070562203450489</v>
      </c>
    </row>
    <row r="348" customFormat="false" ht="12.75" hidden="false" customHeight="false" outlineLevel="0" collapsed="false">
      <c r="D348" s="468"/>
      <c r="E348" s="469" t="n">
        <v>0.069820989551593</v>
      </c>
      <c r="F348" s="469"/>
      <c r="G348" s="469" t="n">
        <v>0.0999681</v>
      </c>
      <c r="H348" s="469"/>
      <c r="I348" s="469"/>
      <c r="J348" s="469" t="n">
        <v>0.1825</v>
      </c>
      <c r="K348" s="469" t="n">
        <v>0.2025</v>
      </c>
      <c r="L348" s="469"/>
      <c r="M348" s="469"/>
      <c r="N348" s="469" t="n">
        <v>0</v>
      </c>
      <c r="O348" s="469"/>
      <c r="P348" s="469"/>
      <c r="Q348" s="469"/>
      <c r="R348" s="469"/>
      <c r="S348" s="469"/>
      <c r="T348" s="469"/>
      <c r="U348" s="469"/>
      <c r="V348" s="469"/>
      <c r="W348" s="469" t="n">
        <v>0</v>
      </c>
      <c r="X348" s="469" t="n">
        <v>0.405</v>
      </c>
      <c r="Y348" s="469"/>
      <c r="Z348" s="469" t="n">
        <v>0</v>
      </c>
      <c r="AA348" s="469"/>
      <c r="AB348" s="469" t="n">
        <v>0</v>
      </c>
      <c r="AC348" s="469" t="n">
        <v>0.2675</v>
      </c>
      <c r="AD348" s="469"/>
      <c r="AE348" s="469"/>
      <c r="AF348" s="469"/>
      <c r="AG348" s="469"/>
      <c r="AH348" s="469"/>
      <c r="AI348" s="469"/>
      <c r="AJ348" s="469"/>
      <c r="AK348" s="469"/>
      <c r="AW348" s="66" t="n">
        <v>0.07055344995972</v>
      </c>
    </row>
    <row r="349" customFormat="false" ht="12.75" hidden="false" customHeight="false" outlineLevel="0" collapsed="false">
      <c r="D349" s="468"/>
      <c r="E349" s="469" t="n">
        <v>0.069813927902397</v>
      </c>
      <c r="F349" s="469"/>
      <c r="G349" s="469" t="n">
        <v>0.0999681</v>
      </c>
      <c r="H349" s="469"/>
      <c r="I349" s="469"/>
      <c r="J349" s="469" t="n">
        <v>0.1825</v>
      </c>
      <c r="K349" s="469" t="n">
        <v>0.2025</v>
      </c>
      <c r="L349" s="469"/>
      <c r="M349" s="469"/>
      <c r="N349" s="469" t="n">
        <v>0</v>
      </c>
      <c r="O349" s="469"/>
      <c r="P349" s="469"/>
      <c r="Q349" s="469"/>
      <c r="R349" s="469"/>
      <c r="S349" s="469"/>
      <c r="T349" s="469"/>
      <c r="U349" s="469"/>
      <c r="V349" s="469"/>
      <c r="W349" s="469" t="n">
        <v>0</v>
      </c>
      <c r="X349" s="469" t="n">
        <v>0.395</v>
      </c>
      <c r="Y349" s="469"/>
      <c r="Z349" s="469" t="n">
        <v>0</v>
      </c>
      <c r="AA349" s="469"/>
      <c r="AB349" s="469" t="n">
        <v>0</v>
      </c>
      <c r="AC349" s="469" t="n">
        <v>0.2675</v>
      </c>
      <c r="AD349" s="469"/>
      <c r="AE349" s="469"/>
      <c r="AF349" s="469"/>
      <c r="AG349" s="469"/>
      <c r="AH349" s="469"/>
      <c r="AI349" s="469"/>
      <c r="AJ349" s="469"/>
      <c r="AK349" s="469"/>
      <c r="AW349" s="66" t="n">
        <v>0.070544404685951</v>
      </c>
    </row>
    <row r="350" customFormat="false" ht="12.75" hidden="false" customHeight="false" outlineLevel="0" collapsed="false">
      <c r="D350" s="468"/>
      <c r="E350" s="469" t="n">
        <v>0.069807094048351</v>
      </c>
      <c r="F350" s="469"/>
      <c r="G350" s="469" t="n">
        <v>0.0999681</v>
      </c>
      <c r="H350" s="469"/>
      <c r="I350" s="469"/>
      <c r="J350" s="469" t="n">
        <v>0.1825</v>
      </c>
      <c r="K350" s="469" t="n">
        <v>0.215</v>
      </c>
      <c r="L350" s="469"/>
      <c r="M350" s="469"/>
      <c r="N350" s="469" t="n">
        <v>0</v>
      </c>
      <c r="O350" s="469"/>
      <c r="P350" s="469"/>
      <c r="Q350" s="469"/>
      <c r="R350" s="469"/>
      <c r="S350" s="469"/>
      <c r="T350" s="469"/>
      <c r="U350" s="469"/>
      <c r="V350" s="469"/>
      <c r="W350" s="469" t="n">
        <v>0</v>
      </c>
      <c r="X350" s="469" t="n">
        <v>0.43</v>
      </c>
      <c r="Y350" s="469"/>
      <c r="Z350" s="469" t="n">
        <v>0</v>
      </c>
      <c r="AA350" s="469"/>
      <c r="AB350" s="469" t="n">
        <v>0</v>
      </c>
      <c r="AC350" s="469" t="n">
        <v>0.28</v>
      </c>
      <c r="AD350" s="469"/>
      <c r="AE350" s="469"/>
      <c r="AF350" s="469"/>
      <c r="AG350" s="469"/>
      <c r="AH350" s="469"/>
      <c r="AI350" s="469"/>
      <c r="AJ350" s="469"/>
      <c r="AK350" s="469"/>
      <c r="AW350" s="66" t="n">
        <v>0.070535651195232</v>
      </c>
    </row>
    <row r="351" customFormat="false" ht="12.75" hidden="false" customHeight="false" outlineLevel="0" collapsed="false">
      <c r="D351" s="468"/>
      <c r="E351" s="469" t="n">
        <v>0.069800032399187</v>
      </c>
      <c r="F351" s="469"/>
      <c r="G351" s="469" t="n">
        <v>0.0999681</v>
      </c>
      <c r="H351" s="469"/>
      <c r="I351" s="469"/>
      <c r="J351" s="469" t="n">
        <v>0.1825</v>
      </c>
      <c r="K351" s="469" t="n">
        <v>0.215</v>
      </c>
      <c r="L351" s="469"/>
      <c r="M351" s="469"/>
      <c r="N351" s="469" t="n">
        <v>0</v>
      </c>
      <c r="O351" s="469"/>
      <c r="P351" s="469"/>
      <c r="Q351" s="469"/>
      <c r="R351" s="469"/>
      <c r="S351" s="469"/>
      <c r="T351" s="469"/>
      <c r="U351" s="469"/>
      <c r="V351" s="469"/>
      <c r="W351" s="469" t="n">
        <v>0</v>
      </c>
      <c r="X351" s="469" t="n">
        <v>0.495</v>
      </c>
      <c r="Y351" s="469"/>
      <c r="Z351" s="469" t="n">
        <v>0</v>
      </c>
      <c r="AA351" s="469"/>
      <c r="AB351" s="469" t="n">
        <v>0</v>
      </c>
      <c r="AC351" s="469" t="n">
        <v>0.28</v>
      </c>
      <c r="AD351" s="469"/>
      <c r="AE351" s="469"/>
      <c r="AF351" s="469"/>
      <c r="AG351" s="469"/>
      <c r="AH351" s="469"/>
      <c r="AI351" s="469"/>
      <c r="AJ351" s="469"/>
      <c r="AK351" s="469"/>
      <c r="AW351" s="66" t="n">
        <v>0.070526605921517</v>
      </c>
    </row>
    <row r="352" customFormat="false" ht="12.75" hidden="false" customHeight="false" outlineLevel="0" collapsed="false">
      <c r="D352" s="468"/>
      <c r="E352" s="469" t="n">
        <v>0.069792970750039</v>
      </c>
      <c r="F352" s="469"/>
      <c r="G352" s="469" t="n">
        <v>0.0999681</v>
      </c>
      <c r="H352" s="469"/>
      <c r="I352" s="469"/>
      <c r="J352" s="469" t="n">
        <v>0.1825</v>
      </c>
      <c r="K352" s="469" t="n">
        <v>0.195</v>
      </c>
      <c r="L352" s="469"/>
      <c r="M352" s="469"/>
      <c r="N352" s="469" t="n">
        <v>0</v>
      </c>
      <c r="O352" s="469"/>
      <c r="P352" s="469"/>
      <c r="Q352" s="469"/>
      <c r="R352" s="469"/>
      <c r="S352" s="469"/>
      <c r="T352" s="469"/>
      <c r="U352" s="469"/>
      <c r="V352" s="469"/>
      <c r="W352" s="469" t="n">
        <v>0</v>
      </c>
      <c r="X352" s="469" t="n">
        <v>0.395</v>
      </c>
      <c r="Y352" s="469"/>
      <c r="Z352" s="469" t="n">
        <v>0</v>
      </c>
      <c r="AA352" s="469"/>
      <c r="AB352" s="469" t="n">
        <v>0</v>
      </c>
      <c r="AC352" s="469" t="n">
        <v>0.27</v>
      </c>
      <c r="AD352" s="469"/>
      <c r="AE352" s="469"/>
      <c r="AF352" s="469"/>
      <c r="AG352" s="469"/>
      <c r="AH352" s="469"/>
      <c r="AI352" s="469"/>
      <c r="AJ352" s="469"/>
      <c r="AK352" s="469"/>
      <c r="AW352" s="66" t="n">
        <v>0.070517560647828</v>
      </c>
    </row>
    <row r="353" customFormat="false" ht="12.75" hidden="false" customHeight="false" outlineLevel="0" collapsed="false">
      <c r="A353" s="473"/>
      <c r="D353" s="468"/>
      <c r="E353" s="469" t="n">
        <v>0.06978613689604</v>
      </c>
      <c r="F353" s="469"/>
      <c r="G353" s="469" t="n">
        <v>0.0999681</v>
      </c>
      <c r="H353" s="469"/>
      <c r="I353" s="469"/>
      <c r="J353" s="469" t="n">
        <v>0.1875</v>
      </c>
      <c r="K353" s="469" t="n">
        <v>0.215</v>
      </c>
      <c r="L353" s="469"/>
      <c r="M353" s="469"/>
      <c r="N353" s="469" t="n">
        <v>0</v>
      </c>
      <c r="O353" s="469"/>
      <c r="P353" s="469"/>
      <c r="Q353" s="469"/>
      <c r="R353" s="469"/>
      <c r="S353" s="469"/>
      <c r="T353" s="469"/>
      <c r="U353" s="469"/>
      <c r="V353" s="469"/>
      <c r="W353" s="469" t="n">
        <v>0</v>
      </c>
      <c r="X353" s="469" t="n">
        <v>0.461</v>
      </c>
      <c r="Y353" s="469"/>
      <c r="Z353" s="469" t="n">
        <v>0</v>
      </c>
      <c r="AA353" s="469"/>
      <c r="AB353" s="469" t="n">
        <v>0</v>
      </c>
      <c r="AC353" s="469" t="n">
        <v>0.3425</v>
      </c>
      <c r="AD353" s="469"/>
      <c r="AE353" s="469"/>
      <c r="AF353" s="469"/>
      <c r="AG353" s="469"/>
      <c r="AH353" s="469"/>
      <c r="AI353" s="469"/>
      <c r="AJ353" s="469"/>
      <c r="AK353" s="469"/>
      <c r="AW353" s="66" t="n">
        <v>0.070508807157188</v>
      </c>
    </row>
    <row r="354" customFormat="false" ht="12.75" hidden="false" customHeight="false" outlineLevel="0" collapsed="false">
      <c r="A354" s="470"/>
      <c r="D354" s="468"/>
      <c r="E354" s="469" t="n">
        <v>0.069779075246925</v>
      </c>
      <c r="F354" s="469"/>
      <c r="G354" s="469" t="n">
        <v>0.0200112</v>
      </c>
      <c r="H354" s="469"/>
      <c r="I354" s="469"/>
      <c r="J354" s="469" t="n">
        <v>0.27</v>
      </c>
      <c r="K354" s="469" t="n">
        <v>0.2875</v>
      </c>
      <c r="L354" s="469"/>
      <c r="M354" s="469"/>
      <c r="N354" s="469" t="n">
        <v>0</v>
      </c>
      <c r="O354" s="469"/>
      <c r="P354" s="469"/>
      <c r="Q354" s="469"/>
      <c r="R354" s="469"/>
      <c r="S354" s="469"/>
      <c r="T354" s="469"/>
      <c r="U354" s="469"/>
      <c r="V354" s="469"/>
      <c r="W354" s="469" t="n">
        <v>0</v>
      </c>
      <c r="X354" s="469" t="n">
        <v>0.7675</v>
      </c>
      <c r="Y354" s="469"/>
      <c r="Z354" s="469" t="n">
        <v>0</v>
      </c>
      <c r="AA354" s="469"/>
      <c r="AB354" s="469" t="n">
        <v>0</v>
      </c>
      <c r="AC354" s="469" t="n">
        <v>0.465</v>
      </c>
      <c r="AD354" s="469"/>
      <c r="AE354" s="469"/>
      <c r="AF354" s="469"/>
      <c r="AG354" s="469"/>
      <c r="AH354" s="469"/>
      <c r="AI354" s="469"/>
      <c r="AJ354" s="469"/>
      <c r="AK354" s="469"/>
      <c r="AW354" s="66" t="n">
        <v>0.070499761883553</v>
      </c>
    </row>
    <row r="355" customFormat="false" ht="12.75" hidden="false" customHeight="false" outlineLevel="0" collapsed="false">
      <c r="A355" s="470"/>
      <c r="D355" s="468"/>
      <c r="E355" s="469" t="n">
        <v>0.069772241392958</v>
      </c>
      <c r="F355" s="469"/>
      <c r="G355" s="469" t="n">
        <v>0.005048</v>
      </c>
      <c r="H355" s="469"/>
      <c r="I355" s="469"/>
      <c r="J355" s="469" t="n">
        <v>0.305</v>
      </c>
      <c r="K355" s="469" t="n">
        <v>0.3375</v>
      </c>
      <c r="L355" s="469"/>
      <c r="M355" s="469"/>
      <c r="N355" s="469" t="n">
        <v>0</v>
      </c>
      <c r="O355" s="469"/>
      <c r="P355" s="469"/>
      <c r="Q355" s="469"/>
      <c r="R355" s="469"/>
      <c r="S355" s="469"/>
      <c r="T355" s="469"/>
      <c r="U355" s="469"/>
      <c r="V355" s="469"/>
      <c r="W355" s="469" t="n">
        <v>0</v>
      </c>
      <c r="X355" s="469" t="n">
        <v>1.19</v>
      </c>
      <c r="Y355" s="469"/>
      <c r="Z355" s="469" t="n">
        <v>0</v>
      </c>
      <c r="AA355" s="469"/>
      <c r="AB355" s="469" t="n">
        <v>0</v>
      </c>
      <c r="AC355" s="469" t="n">
        <v>0.8</v>
      </c>
      <c r="AD355" s="469"/>
      <c r="AE355" s="469"/>
      <c r="AF355" s="469"/>
      <c r="AG355" s="469"/>
      <c r="AH355" s="469"/>
      <c r="AI355" s="469"/>
      <c r="AJ355" s="469"/>
      <c r="AK355" s="469"/>
      <c r="AW355" s="66" t="n">
        <v>0.070491008392964</v>
      </c>
    </row>
    <row r="356" customFormat="false" ht="12.75" hidden="false" customHeight="false" outlineLevel="0" collapsed="false">
      <c r="A356" s="470"/>
      <c r="D356" s="468"/>
      <c r="E356" s="469" t="n">
        <v>0.069765179743876</v>
      </c>
      <c r="F356" s="469"/>
      <c r="G356" s="469" t="n">
        <v>0.0100448</v>
      </c>
      <c r="H356" s="469"/>
      <c r="I356" s="469"/>
      <c r="J356" s="469" t="n">
        <v>0.305</v>
      </c>
      <c r="K356" s="469" t="n">
        <v>0.4375</v>
      </c>
      <c r="L356" s="469"/>
      <c r="M356" s="469"/>
      <c r="N356" s="469" t="n">
        <v>0</v>
      </c>
      <c r="O356" s="469"/>
      <c r="P356" s="469"/>
      <c r="Q356" s="469"/>
      <c r="R356" s="469"/>
      <c r="S356" s="469"/>
      <c r="T356" s="469"/>
      <c r="U356" s="469"/>
      <c r="V356" s="469"/>
      <c r="W356" s="469" t="n">
        <v>0</v>
      </c>
      <c r="X356" s="469" t="n">
        <v>1.525</v>
      </c>
      <c r="Y356" s="469"/>
      <c r="Z356" s="469" t="n">
        <v>0</v>
      </c>
      <c r="AA356" s="469"/>
      <c r="AB356" s="469" t="n">
        <v>0</v>
      </c>
      <c r="AC356" s="469" t="n">
        <v>0.975</v>
      </c>
      <c r="AD356" s="469"/>
      <c r="AE356" s="469"/>
      <c r="AF356" s="469"/>
      <c r="AG356" s="469"/>
      <c r="AH356" s="469"/>
      <c r="AI356" s="469"/>
      <c r="AJ356" s="469"/>
      <c r="AK356" s="469"/>
      <c r="AW356" s="66" t="n">
        <v>0.070481963119381</v>
      </c>
    </row>
    <row r="357" customFormat="false" ht="12.75" hidden="false" customHeight="false" outlineLevel="0" collapsed="false">
      <c r="A357" s="470"/>
      <c r="D357" s="468"/>
      <c r="E357" s="469" t="n">
        <v>0.069758118094809</v>
      </c>
      <c r="F357" s="469"/>
      <c r="G357" s="469" t="n">
        <v>0.0350425</v>
      </c>
      <c r="H357" s="469"/>
      <c r="I357" s="469"/>
      <c r="J357" s="469" t="n">
        <v>0.305</v>
      </c>
      <c r="K357" s="469" t="n">
        <v>0.435</v>
      </c>
      <c r="L357" s="469"/>
      <c r="M357" s="469"/>
      <c r="N357" s="469" t="n">
        <v>0</v>
      </c>
      <c r="O357" s="469"/>
      <c r="P357" s="469"/>
      <c r="Q357" s="469"/>
      <c r="R357" s="469"/>
      <c r="S357" s="469"/>
      <c r="T357" s="469"/>
      <c r="U357" s="469"/>
      <c r="V357" s="469"/>
      <c r="W357" s="469" t="n">
        <v>0</v>
      </c>
      <c r="X357" s="469" t="n">
        <v>1.455</v>
      </c>
      <c r="Y357" s="469"/>
      <c r="Z357" s="469" t="n">
        <v>0</v>
      </c>
      <c r="AA357" s="469"/>
      <c r="AB357" s="469" t="n">
        <v>0</v>
      </c>
      <c r="AC357" s="469" t="n">
        <v>0.975</v>
      </c>
      <c r="AD357" s="469"/>
      <c r="AE357" s="469"/>
      <c r="AF357" s="469"/>
      <c r="AG357" s="469"/>
      <c r="AH357" s="469"/>
      <c r="AI357" s="469"/>
      <c r="AJ357" s="469"/>
      <c r="AK357" s="469"/>
      <c r="AW357" s="66" t="n">
        <v>0.070472917845826</v>
      </c>
    </row>
    <row r="358" customFormat="false" ht="12.75" hidden="false" customHeight="false" outlineLevel="0" collapsed="false">
      <c r="A358" s="470"/>
      <c r="D358" s="468"/>
      <c r="E358" s="469" t="n">
        <v>0.06975173983115</v>
      </c>
      <c r="F358" s="469"/>
      <c r="G358" s="469" t="n">
        <v>0.0450425</v>
      </c>
      <c r="H358" s="469"/>
      <c r="I358" s="469"/>
      <c r="J358" s="469" t="n">
        <v>0.265</v>
      </c>
      <c r="K358" s="469" t="n">
        <v>0.3025</v>
      </c>
      <c r="L358" s="469"/>
      <c r="M358" s="469"/>
      <c r="N358" s="469" t="n">
        <v>0</v>
      </c>
      <c r="O358" s="469"/>
      <c r="P358" s="469"/>
      <c r="Q358" s="469"/>
      <c r="R358" s="469"/>
      <c r="S358" s="469"/>
      <c r="T358" s="469"/>
      <c r="U358" s="469"/>
      <c r="V358" s="469"/>
      <c r="W358" s="469" t="n">
        <v>0</v>
      </c>
      <c r="X358" s="469" t="n">
        <v>0.835</v>
      </c>
      <c r="Y358" s="469"/>
      <c r="Z358" s="469" t="n">
        <v>0</v>
      </c>
      <c r="AA358" s="469"/>
      <c r="AB358" s="469" t="n">
        <v>0</v>
      </c>
      <c r="AC358" s="469" t="n">
        <v>0.6075</v>
      </c>
      <c r="AD358" s="469"/>
      <c r="AE358" s="469"/>
      <c r="AF358" s="469"/>
      <c r="AG358" s="469"/>
      <c r="AH358" s="469"/>
      <c r="AI358" s="469"/>
      <c r="AJ358" s="469"/>
      <c r="AK358" s="469"/>
      <c r="AW358" s="66" t="n">
        <v>0.070464747921348</v>
      </c>
    </row>
    <row r="359" customFormat="false" ht="12.75" hidden="false" customHeight="false" outlineLevel="0" collapsed="false">
      <c r="A359" s="470"/>
      <c r="D359" s="468"/>
      <c r="E359" s="469" t="n">
        <v>0.069744678182115</v>
      </c>
      <c r="F359" s="469"/>
      <c r="G359" s="469" t="n">
        <v>0.1049766</v>
      </c>
      <c r="H359" s="469"/>
      <c r="I359" s="469"/>
      <c r="J359" s="469" t="n">
        <v>0.195</v>
      </c>
      <c r="K359" s="469" t="n">
        <v>0.25</v>
      </c>
      <c r="L359" s="469"/>
      <c r="M359" s="469"/>
      <c r="N359" s="469" t="n">
        <v>0</v>
      </c>
      <c r="O359" s="469"/>
      <c r="P359" s="469"/>
      <c r="Q359" s="469"/>
      <c r="R359" s="469"/>
      <c r="S359" s="469"/>
      <c r="T359" s="469"/>
      <c r="U359" s="469"/>
      <c r="V359" s="469"/>
      <c r="W359" s="469" t="n">
        <v>0</v>
      </c>
      <c r="X359" s="469" t="n">
        <v>0.45</v>
      </c>
      <c r="Y359" s="469"/>
      <c r="Z359" s="469" t="n">
        <v>0</v>
      </c>
      <c r="AA359" s="469"/>
      <c r="AB359" s="469" t="n">
        <v>0</v>
      </c>
      <c r="AC359" s="469" t="n">
        <v>0.335</v>
      </c>
      <c r="AD359" s="469"/>
      <c r="AE359" s="469"/>
      <c r="AF359" s="469"/>
      <c r="AG359" s="469"/>
      <c r="AH359" s="469"/>
      <c r="AI359" s="469"/>
      <c r="AJ359" s="469"/>
      <c r="AK359" s="469"/>
      <c r="AW359" s="66" t="n">
        <v>0.070455702647844</v>
      </c>
    </row>
    <row r="360" customFormat="false" ht="12.75" hidden="false" customHeight="false" outlineLevel="0" collapsed="false">
      <c r="A360" s="470"/>
      <c r="D360" s="468"/>
      <c r="E360" s="469" t="n">
        <v>0.069737844328226</v>
      </c>
      <c r="F360" s="469"/>
      <c r="G360" s="469" t="n">
        <v>0.1049681</v>
      </c>
      <c r="H360" s="469"/>
      <c r="I360" s="469"/>
      <c r="J360" s="469" t="n">
        <v>0.1825</v>
      </c>
      <c r="K360" s="469" t="n">
        <v>0.2025</v>
      </c>
      <c r="L360" s="469"/>
      <c r="M360" s="469"/>
      <c r="N360" s="469" t="n">
        <v>0</v>
      </c>
      <c r="O360" s="469"/>
      <c r="P360" s="469"/>
      <c r="Q360" s="469"/>
      <c r="R360" s="469"/>
      <c r="S360" s="469"/>
      <c r="T360" s="469"/>
      <c r="U360" s="469"/>
      <c r="V360" s="469"/>
      <c r="W360" s="469" t="n">
        <v>0</v>
      </c>
      <c r="X360" s="469" t="n">
        <v>0.405</v>
      </c>
      <c r="Y360" s="469"/>
      <c r="Z360" s="469" t="n">
        <v>0</v>
      </c>
      <c r="AA360" s="469"/>
      <c r="AB360" s="469" t="n">
        <v>0</v>
      </c>
      <c r="AC360" s="469" t="n">
        <v>0.2675</v>
      </c>
      <c r="AD360" s="469"/>
      <c r="AE360" s="469"/>
      <c r="AF360" s="469"/>
      <c r="AG360" s="469"/>
      <c r="AH360" s="469"/>
      <c r="AI360" s="469"/>
      <c r="AJ360" s="469"/>
      <c r="AK360" s="469"/>
      <c r="AW360" s="66" t="n">
        <v>0.070446949157382</v>
      </c>
    </row>
    <row r="361" customFormat="false" ht="12.75" hidden="false" customHeight="false" outlineLevel="0" collapsed="false">
      <c r="A361" s="470"/>
      <c r="D361" s="468"/>
      <c r="E361" s="469" t="n">
        <v>0.069730782679223</v>
      </c>
      <c r="F361" s="469"/>
      <c r="G361" s="469" t="n">
        <v>0.1049681</v>
      </c>
      <c r="H361" s="469"/>
      <c r="I361" s="469"/>
      <c r="J361" s="469" t="n">
        <v>0.1825</v>
      </c>
      <c r="K361" s="469" t="n">
        <v>0.2025</v>
      </c>
      <c r="L361" s="469"/>
      <c r="M361" s="469"/>
      <c r="N361" s="469" t="n">
        <v>0</v>
      </c>
      <c r="O361" s="469"/>
      <c r="P361" s="469"/>
      <c r="Q361" s="469"/>
      <c r="R361" s="469"/>
      <c r="S361" s="469"/>
      <c r="T361" s="469"/>
      <c r="U361" s="469"/>
      <c r="V361" s="469"/>
      <c r="W361" s="469" t="n">
        <v>0</v>
      </c>
      <c r="X361" s="469" t="n">
        <v>0.395</v>
      </c>
      <c r="Y361" s="469"/>
      <c r="Z361" s="469" t="n">
        <v>0</v>
      </c>
      <c r="AA361" s="469"/>
      <c r="AB361" s="469" t="n">
        <v>0</v>
      </c>
      <c r="AC361" s="469" t="n">
        <v>0.2675</v>
      </c>
      <c r="AD361" s="469"/>
      <c r="AE361" s="469"/>
      <c r="AF361" s="469"/>
      <c r="AG361" s="469"/>
      <c r="AH361" s="469"/>
      <c r="AI361" s="469"/>
      <c r="AJ361" s="469"/>
      <c r="AK361" s="469"/>
      <c r="AW361" s="66" t="n">
        <v>0.070437903883932</v>
      </c>
    </row>
    <row r="362" customFormat="false" ht="12.75" hidden="false" customHeight="false" outlineLevel="0" collapsed="false">
      <c r="A362" s="470"/>
      <c r="D362" s="468"/>
      <c r="E362" s="469" t="n">
        <v>0.069723948825366</v>
      </c>
      <c r="F362" s="469"/>
      <c r="G362" s="469" t="n">
        <v>0.1049681</v>
      </c>
      <c r="H362" s="469"/>
      <c r="I362" s="469"/>
      <c r="J362" s="469" t="n">
        <v>0.1825</v>
      </c>
      <c r="K362" s="469" t="n">
        <v>0.215</v>
      </c>
      <c r="L362" s="469"/>
      <c r="M362" s="469"/>
      <c r="N362" s="469" t="n">
        <v>0</v>
      </c>
      <c r="O362" s="469"/>
      <c r="P362" s="469"/>
      <c r="Q362" s="469"/>
      <c r="R362" s="469"/>
      <c r="S362" s="469"/>
      <c r="T362" s="469"/>
      <c r="U362" s="469"/>
      <c r="V362" s="469"/>
      <c r="W362" s="469" t="n">
        <v>0</v>
      </c>
      <c r="X362" s="469" t="n">
        <v>0.43</v>
      </c>
      <c r="Y362" s="469"/>
      <c r="Z362" s="469" t="n">
        <v>0</v>
      </c>
      <c r="AA362" s="469"/>
      <c r="AB362" s="469" t="n">
        <v>0</v>
      </c>
      <c r="AC362" s="469" t="n">
        <v>0.28</v>
      </c>
      <c r="AD362" s="469"/>
      <c r="AE362" s="469"/>
      <c r="AF362" s="469"/>
      <c r="AG362" s="469"/>
      <c r="AH362" s="469"/>
      <c r="AI362" s="469"/>
      <c r="AJ362" s="469"/>
      <c r="AK362" s="469"/>
      <c r="AW362" s="66" t="n">
        <v>0.070429150393522</v>
      </c>
    </row>
    <row r="363" customFormat="false" ht="12.75" hidden="false" customHeight="false" outlineLevel="0" collapsed="false">
      <c r="A363" s="470"/>
      <c r="D363" s="468"/>
      <c r="E363" s="469" t="n">
        <v>0.069716887176395</v>
      </c>
      <c r="F363" s="469"/>
      <c r="G363" s="469" t="n">
        <v>0.1049681</v>
      </c>
      <c r="H363" s="469"/>
      <c r="I363" s="469"/>
      <c r="J363" s="469" t="n">
        <v>0.1825</v>
      </c>
      <c r="K363" s="469" t="n">
        <v>0.215</v>
      </c>
      <c r="L363" s="469"/>
      <c r="M363" s="469"/>
      <c r="N363" s="469" t="n">
        <v>0</v>
      </c>
      <c r="O363" s="469"/>
      <c r="P363" s="469"/>
      <c r="Q363" s="469"/>
      <c r="R363" s="469"/>
      <c r="S363" s="469"/>
      <c r="T363" s="469"/>
      <c r="U363" s="469"/>
      <c r="V363" s="469"/>
      <c r="W363" s="469" t="n">
        <v>0</v>
      </c>
      <c r="X363" s="469" t="n">
        <v>0.495</v>
      </c>
      <c r="Y363" s="469"/>
      <c r="Z363" s="469" t="n">
        <v>0</v>
      </c>
      <c r="AA363" s="469"/>
      <c r="AB363" s="469" t="n">
        <v>0</v>
      </c>
      <c r="AC363" s="469" t="n">
        <v>0.28</v>
      </c>
      <c r="AD363" s="469"/>
      <c r="AE363" s="469"/>
      <c r="AF363" s="469"/>
      <c r="AG363" s="469"/>
      <c r="AH363" s="469"/>
      <c r="AI363" s="469"/>
      <c r="AJ363" s="469"/>
      <c r="AK363" s="469"/>
      <c r="AW363" s="66" t="n">
        <v>0.070420105120125</v>
      </c>
    </row>
    <row r="364" customFormat="false" ht="12.75" hidden="false" customHeight="false" outlineLevel="0" collapsed="false">
      <c r="A364" s="470"/>
      <c r="D364" s="468"/>
      <c r="E364" s="469" t="n">
        <v>0.069709825527442</v>
      </c>
      <c r="F364" s="469"/>
      <c r="G364" s="469" t="n">
        <v>0.1049681</v>
      </c>
      <c r="H364" s="469"/>
      <c r="I364" s="469"/>
      <c r="J364" s="469" t="n">
        <v>0.1825</v>
      </c>
      <c r="K364" s="469" t="n">
        <v>0.195</v>
      </c>
      <c r="L364" s="469"/>
      <c r="M364" s="469"/>
      <c r="N364" s="469" t="n">
        <v>0</v>
      </c>
      <c r="O364" s="469"/>
      <c r="P364" s="469"/>
      <c r="Q364" s="469"/>
      <c r="R364" s="469"/>
      <c r="S364" s="469"/>
      <c r="T364" s="469"/>
      <c r="U364" s="469"/>
      <c r="V364" s="469"/>
      <c r="W364" s="469" t="n">
        <v>0</v>
      </c>
      <c r="X364" s="469" t="n">
        <v>0.395</v>
      </c>
      <c r="Y364" s="469"/>
      <c r="Z364" s="469" t="n">
        <v>0</v>
      </c>
      <c r="AA364" s="469"/>
      <c r="AB364" s="469" t="n">
        <v>0</v>
      </c>
      <c r="AC364" s="469" t="n">
        <v>0.27</v>
      </c>
      <c r="AD364" s="469"/>
      <c r="AE364" s="469"/>
      <c r="AF364" s="469"/>
      <c r="AG364" s="469"/>
      <c r="AH364" s="469"/>
      <c r="AI364" s="469"/>
      <c r="AJ364" s="469"/>
      <c r="AK364" s="469"/>
      <c r="AW364" s="66" t="n">
        <v>0.070411059846755</v>
      </c>
    </row>
    <row r="365" customFormat="false" ht="12.75" hidden="false" customHeight="false" outlineLevel="0" collapsed="false">
      <c r="A365" s="470"/>
      <c r="D365" s="468"/>
      <c r="E365" s="469" t="n">
        <v>0.069702991673632</v>
      </c>
      <c r="F365" s="469"/>
      <c r="G365" s="469" t="n">
        <v>0.1049681</v>
      </c>
      <c r="H365" s="469"/>
      <c r="I365" s="469"/>
      <c r="J365" s="469" t="n">
        <v>0.1875</v>
      </c>
      <c r="K365" s="469" t="n">
        <v>0.215</v>
      </c>
      <c r="L365" s="469"/>
      <c r="M365" s="469"/>
      <c r="N365" s="469" t="n">
        <v>0</v>
      </c>
      <c r="O365" s="469"/>
      <c r="P365" s="469"/>
      <c r="Q365" s="469"/>
      <c r="R365" s="469"/>
      <c r="S365" s="469"/>
      <c r="T365" s="469"/>
      <c r="U365" s="469"/>
      <c r="V365" s="469"/>
      <c r="W365" s="469" t="n">
        <v>0</v>
      </c>
      <c r="X365" s="469" t="n">
        <v>0.461</v>
      </c>
      <c r="Y365" s="469"/>
      <c r="Z365" s="469" t="n">
        <v>0</v>
      </c>
      <c r="AA365" s="469"/>
      <c r="AB365" s="469" t="n">
        <v>0</v>
      </c>
      <c r="AC365" s="469" t="n">
        <v>0.3425</v>
      </c>
      <c r="AD365" s="469"/>
      <c r="AE365" s="469"/>
      <c r="AF365" s="469"/>
      <c r="AG365" s="469"/>
      <c r="AH365" s="469"/>
      <c r="AI365" s="469"/>
      <c r="AJ365" s="469"/>
      <c r="AK365" s="469"/>
      <c r="AW365" s="66" t="n">
        <v>0.070402306356423</v>
      </c>
    </row>
    <row r="366" customFormat="false" ht="12.75" hidden="false" customHeight="false" outlineLevel="0" collapsed="false">
      <c r="A366" s="470"/>
      <c r="D366" s="468"/>
      <c r="E366" s="469" t="n">
        <v>0.06969593002471</v>
      </c>
      <c r="F366" s="469"/>
      <c r="G366" s="469" t="n">
        <v>0.0250112</v>
      </c>
      <c r="H366" s="469"/>
      <c r="I366" s="469"/>
      <c r="J366" s="469" t="n">
        <v>0.27</v>
      </c>
      <c r="K366" s="469" t="n">
        <v>0.2875</v>
      </c>
      <c r="L366" s="469"/>
      <c r="M366" s="469"/>
      <c r="N366" s="469" t="n">
        <v>0</v>
      </c>
      <c r="O366" s="469"/>
      <c r="P366" s="469"/>
      <c r="Q366" s="469"/>
      <c r="R366" s="469"/>
      <c r="S366" s="469"/>
      <c r="T366" s="469"/>
      <c r="U366" s="469"/>
      <c r="V366" s="469"/>
      <c r="W366" s="469" t="n">
        <v>0</v>
      </c>
      <c r="X366" s="469" t="n">
        <v>0.7675</v>
      </c>
      <c r="Y366" s="469"/>
      <c r="Z366" s="469" t="n">
        <v>0</v>
      </c>
      <c r="AA366" s="469"/>
      <c r="AB366" s="469" t="n">
        <v>0</v>
      </c>
      <c r="AC366" s="469" t="n">
        <v>0.465</v>
      </c>
      <c r="AD366" s="469"/>
      <c r="AE366" s="469"/>
      <c r="AF366" s="469"/>
      <c r="AG366" s="469"/>
      <c r="AH366" s="469"/>
      <c r="AI366" s="469"/>
      <c r="AJ366" s="469"/>
      <c r="AK366" s="469"/>
      <c r="AW366" s="66" t="n">
        <v>0.070393261083106</v>
      </c>
    </row>
    <row r="367" customFormat="false" ht="12.75" hidden="false" customHeight="false" outlineLevel="0" collapsed="false">
      <c r="A367" s="470"/>
      <c r="D367" s="468"/>
      <c r="E367" s="469" t="n">
        <v>0.069689096170931</v>
      </c>
      <c r="F367" s="469"/>
      <c r="G367" s="469" t="n">
        <v>0.010048</v>
      </c>
      <c r="H367" s="469"/>
      <c r="I367" s="469"/>
      <c r="J367" s="469" t="n">
        <v>0.305</v>
      </c>
      <c r="K367" s="469" t="n">
        <v>0.3375</v>
      </c>
      <c r="L367" s="469"/>
      <c r="M367" s="469"/>
      <c r="N367" s="469" t="n">
        <v>0</v>
      </c>
      <c r="O367" s="469"/>
      <c r="P367" s="469"/>
      <c r="Q367" s="469"/>
      <c r="R367" s="469"/>
      <c r="S367" s="469"/>
      <c r="T367" s="469"/>
      <c r="U367" s="469"/>
      <c r="V367" s="469"/>
      <c r="W367" s="469" t="n">
        <v>0</v>
      </c>
      <c r="X367" s="469" t="n">
        <v>1.19</v>
      </c>
      <c r="Y367" s="469"/>
      <c r="Z367" s="469" t="n">
        <v>0</v>
      </c>
      <c r="AA367" s="469"/>
      <c r="AB367" s="469" t="n">
        <v>0</v>
      </c>
      <c r="AC367" s="469" t="n">
        <v>0.8</v>
      </c>
      <c r="AD367" s="469"/>
      <c r="AE367" s="469"/>
      <c r="AF367" s="469"/>
      <c r="AG367" s="469"/>
      <c r="AH367" s="469"/>
      <c r="AI367" s="469"/>
      <c r="AJ367" s="469"/>
      <c r="AK367" s="469"/>
      <c r="AW367" s="66" t="n">
        <v>0.070384507592825</v>
      </c>
    </row>
    <row r="368" customFormat="false" ht="12.75" hidden="false" customHeight="false" outlineLevel="0" collapsed="false">
      <c r="A368" s="470"/>
      <c r="D368" s="468"/>
      <c r="E368" s="469" t="n">
        <v>0.069682034522043</v>
      </c>
      <c r="F368" s="469"/>
      <c r="G368" s="469"/>
      <c r="H368" s="469"/>
      <c r="I368" s="469"/>
      <c r="J368" s="469"/>
      <c r="K368" s="469"/>
      <c r="L368" s="469"/>
      <c r="M368" s="469"/>
      <c r="N368" s="469"/>
      <c r="O368" s="469"/>
      <c r="P368" s="469"/>
      <c r="Q368" s="469"/>
      <c r="R368" s="469"/>
      <c r="S368" s="469"/>
      <c r="T368" s="469"/>
      <c r="U368" s="469"/>
      <c r="V368" s="469"/>
      <c r="W368" s="469"/>
      <c r="X368" s="469"/>
      <c r="Y368" s="469"/>
      <c r="Z368" s="469"/>
      <c r="AA368" s="469"/>
      <c r="AB368" s="469"/>
      <c r="AC368" s="469"/>
      <c r="AD368" s="469"/>
      <c r="AE368" s="469"/>
      <c r="AF368" s="469"/>
      <c r="AG368" s="469"/>
      <c r="AH368" s="469"/>
      <c r="AI368" s="469"/>
      <c r="AJ368" s="469"/>
      <c r="AK368" s="469"/>
      <c r="AW368" s="66" t="n">
        <v>0.070375462319561</v>
      </c>
    </row>
    <row r="369" customFormat="false" ht="12.75" hidden="false" customHeight="false" outlineLevel="0" collapsed="false">
      <c r="A369" s="470"/>
      <c r="D369" s="468"/>
      <c r="E369" s="469" t="n">
        <v>0.06967497287317</v>
      </c>
      <c r="F369" s="469"/>
      <c r="G369" s="469"/>
      <c r="H369" s="469"/>
      <c r="I369" s="469"/>
      <c r="J369" s="469"/>
      <c r="K369" s="469"/>
      <c r="L369" s="469"/>
      <c r="M369" s="469"/>
      <c r="N369" s="469"/>
      <c r="O369" s="469"/>
      <c r="P369" s="469"/>
      <c r="Q369" s="469"/>
      <c r="R369" s="469"/>
      <c r="S369" s="469"/>
      <c r="T369" s="469"/>
      <c r="U369" s="469"/>
      <c r="V369" s="469"/>
      <c r="W369" s="469"/>
      <c r="X369" s="469"/>
      <c r="Y369" s="469"/>
      <c r="Z369" s="469"/>
      <c r="AA369" s="469"/>
      <c r="AB369" s="469"/>
      <c r="AC369" s="469"/>
      <c r="AD369" s="469"/>
      <c r="AE369" s="469"/>
      <c r="AF369" s="469"/>
      <c r="AG369" s="469"/>
      <c r="AH369" s="469"/>
      <c r="AI369" s="469"/>
      <c r="AJ369" s="469"/>
      <c r="AK369" s="469"/>
      <c r="AW369" s="66" t="n">
        <v>0.070366417046324</v>
      </c>
    </row>
    <row r="370" customFormat="false" ht="12.75" hidden="false" customHeight="false" outlineLevel="0" collapsed="false">
      <c r="A370" s="470"/>
      <c r="D370" s="468"/>
      <c r="E370" s="469" t="n">
        <v>0.069668594609687</v>
      </c>
      <c r="F370" s="469"/>
      <c r="G370" s="469"/>
      <c r="H370" s="469"/>
      <c r="I370" s="469"/>
      <c r="J370" s="469"/>
      <c r="K370" s="469"/>
      <c r="L370" s="469"/>
      <c r="M370" s="469"/>
      <c r="N370" s="469"/>
      <c r="O370" s="469"/>
      <c r="P370" s="469"/>
      <c r="Q370" s="469"/>
      <c r="R370" s="469"/>
      <c r="S370" s="469"/>
      <c r="T370" s="469"/>
      <c r="U370" s="469"/>
      <c r="V370" s="469"/>
      <c r="W370" s="469"/>
      <c r="X370" s="469"/>
      <c r="Y370" s="469"/>
      <c r="Z370" s="469"/>
      <c r="AA370" s="469"/>
      <c r="AB370" s="469"/>
      <c r="AC370" s="469"/>
      <c r="AD370" s="469"/>
      <c r="AE370" s="469"/>
      <c r="AF370" s="469"/>
      <c r="AG370" s="469"/>
      <c r="AH370" s="469"/>
      <c r="AI370" s="469"/>
      <c r="AJ370" s="469"/>
      <c r="AK370" s="469"/>
      <c r="AW370" s="66" t="n">
        <v>0.070358247122134</v>
      </c>
    </row>
    <row r="371" customFormat="false" ht="12.75" hidden="false" customHeight="false" outlineLevel="0" collapsed="false">
      <c r="A371" s="470"/>
      <c r="D371" s="468"/>
      <c r="E371" s="469" t="n">
        <v>0.069661532960847</v>
      </c>
      <c r="F371" s="469"/>
      <c r="G371" s="469"/>
      <c r="H371" s="469"/>
      <c r="I371" s="469"/>
      <c r="J371" s="469"/>
      <c r="K371" s="469"/>
      <c r="L371" s="469"/>
      <c r="M371" s="469"/>
      <c r="N371" s="469"/>
      <c r="O371" s="469"/>
      <c r="P371" s="469"/>
      <c r="Q371" s="469"/>
      <c r="R371" s="469"/>
      <c r="S371" s="469"/>
      <c r="T371" s="469"/>
      <c r="U371" s="469"/>
      <c r="V371" s="469"/>
      <c r="W371" s="469"/>
      <c r="X371" s="469"/>
      <c r="Y371" s="469"/>
      <c r="Z371" s="469"/>
      <c r="AA371" s="469"/>
      <c r="AB371" s="469"/>
      <c r="AC371" s="469"/>
      <c r="AD371" s="469"/>
      <c r="AE371" s="469"/>
      <c r="AF371" s="469"/>
      <c r="AG371" s="469"/>
      <c r="AH371" s="469"/>
      <c r="AI371" s="469"/>
      <c r="AJ371" s="469"/>
      <c r="AK371" s="469"/>
      <c r="AW371" s="66" t="n">
        <v>0.070349201848949</v>
      </c>
    </row>
    <row r="372" customFormat="false" ht="12.75" hidden="false" customHeight="false" outlineLevel="0" collapsed="false">
      <c r="D372" s="468"/>
      <c r="E372" s="469" t="n">
        <v>0.069654699107145</v>
      </c>
      <c r="F372" s="469"/>
      <c r="G372" s="469"/>
      <c r="H372" s="469"/>
      <c r="I372" s="469"/>
      <c r="J372" s="469"/>
      <c r="K372" s="469"/>
      <c r="L372" s="469"/>
      <c r="M372" s="469"/>
      <c r="N372" s="469"/>
      <c r="O372" s="469"/>
      <c r="P372" s="469"/>
      <c r="Q372" s="469"/>
      <c r="R372" s="469"/>
      <c r="S372" s="469"/>
      <c r="T372" s="469"/>
      <c r="U372" s="469"/>
      <c r="V372" s="469"/>
      <c r="W372" s="469"/>
      <c r="X372" s="469"/>
      <c r="Y372" s="469"/>
      <c r="Z372" s="469"/>
      <c r="AA372" s="469"/>
      <c r="AB372" s="469"/>
      <c r="AC372" s="469"/>
      <c r="AD372" s="469"/>
      <c r="AE372" s="469"/>
      <c r="AF372" s="469"/>
      <c r="AG372" s="469"/>
      <c r="AH372" s="469"/>
      <c r="AI372" s="469"/>
      <c r="AJ372" s="469"/>
      <c r="AK372" s="469"/>
      <c r="AW372" s="66" t="n">
        <v>0.070340448358795</v>
      </c>
    </row>
    <row r="373" customFormat="false" ht="12.75" hidden="false" customHeight="false" outlineLevel="0" collapsed="false">
      <c r="D373" s="468"/>
      <c r="E373" s="469" t="n">
        <v>0.069647637458337</v>
      </c>
      <c r="F373" s="469"/>
      <c r="G373" s="469"/>
      <c r="H373" s="469"/>
      <c r="I373" s="469"/>
      <c r="J373" s="469"/>
      <c r="K373" s="469"/>
      <c r="L373" s="469"/>
      <c r="M373" s="469"/>
      <c r="N373" s="469"/>
      <c r="O373" s="469"/>
      <c r="P373" s="469"/>
      <c r="Q373" s="469"/>
      <c r="R373" s="469"/>
      <c r="S373" s="469"/>
      <c r="T373" s="469"/>
      <c r="U373" s="469"/>
      <c r="V373" s="469"/>
      <c r="W373" s="469"/>
      <c r="X373" s="469"/>
      <c r="Y373" s="469"/>
      <c r="Z373" s="469"/>
      <c r="AA373" s="469"/>
      <c r="AB373" s="469"/>
      <c r="AC373" s="469"/>
      <c r="AD373" s="469"/>
      <c r="AE373" s="469"/>
      <c r="AF373" s="469"/>
      <c r="AG373" s="469"/>
      <c r="AH373" s="469"/>
      <c r="AI373" s="469"/>
      <c r="AJ373" s="469"/>
      <c r="AK373" s="469"/>
      <c r="AW373" s="66" t="n">
        <v>0.070331403085663</v>
      </c>
    </row>
    <row r="374" customFormat="false" ht="12.75" hidden="false" customHeight="false" outlineLevel="0" collapsed="false">
      <c r="D374" s="468"/>
      <c r="E374" s="469" t="n">
        <v>0.069640803604667</v>
      </c>
      <c r="F374" s="469"/>
      <c r="G374" s="469"/>
      <c r="H374" s="469"/>
      <c r="I374" s="469"/>
      <c r="J374" s="469"/>
      <c r="K374" s="469"/>
      <c r="L374" s="469"/>
      <c r="M374" s="469"/>
      <c r="N374" s="469"/>
      <c r="O374" s="469"/>
      <c r="P374" s="469"/>
      <c r="Q374" s="469"/>
      <c r="R374" s="469"/>
      <c r="S374" s="469"/>
      <c r="T374" s="469"/>
      <c r="U374" s="469"/>
      <c r="V374" s="469"/>
      <c r="W374" s="469"/>
      <c r="X374" s="469"/>
      <c r="Y374" s="469"/>
      <c r="Z374" s="469"/>
      <c r="AA374" s="469"/>
      <c r="AB374" s="469"/>
      <c r="AC374" s="469"/>
      <c r="AD374" s="469"/>
      <c r="AE374" s="469"/>
      <c r="AF374" s="469"/>
      <c r="AG374" s="469"/>
      <c r="AH374" s="469"/>
      <c r="AI374" s="469"/>
      <c r="AJ374" s="469"/>
      <c r="AK374" s="469"/>
      <c r="AW374" s="66" t="n">
        <v>0.070322649595562</v>
      </c>
    </row>
    <row r="375" customFormat="false" ht="12.75" hidden="false" customHeight="false" outlineLevel="0" collapsed="false">
      <c r="D375" s="468"/>
      <c r="E375" s="469" t="n">
        <v>0.069633741955891</v>
      </c>
      <c r="F375" s="469"/>
      <c r="G375" s="469"/>
      <c r="H375" s="469"/>
      <c r="I375" s="469"/>
      <c r="J375" s="469"/>
      <c r="K375" s="469"/>
      <c r="L375" s="469"/>
      <c r="M375" s="469"/>
      <c r="N375" s="469"/>
      <c r="O375" s="469"/>
      <c r="P375" s="469"/>
      <c r="Q375" s="469"/>
      <c r="R375" s="469"/>
      <c r="S375" s="469"/>
      <c r="T375" s="469"/>
      <c r="U375" s="469"/>
      <c r="V375" s="469"/>
      <c r="W375" s="469"/>
      <c r="X375" s="469"/>
      <c r="Y375" s="469"/>
      <c r="Z375" s="469"/>
      <c r="AA375" s="469"/>
      <c r="AB375" s="469"/>
      <c r="AC375" s="469"/>
      <c r="AD375" s="469"/>
      <c r="AE375" s="469"/>
      <c r="AF375" s="469"/>
      <c r="AG375" s="469"/>
      <c r="AH375" s="469"/>
      <c r="AI375" s="469"/>
      <c r="AJ375" s="469"/>
      <c r="AK375" s="469"/>
      <c r="AW375" s="66" t="n">
        <v>0.070313604322483</v>
      </c>
    </row>
    <row r="376" customFormat="false" ht="12.75" hidden="false" customHeight="false" outlineLevel="0" collapsed="false">
      <c r="D376" s="468"/>
      <c r="E376" s="469"/>
      <c r="F376" s="469"/>
      <c r="G376" s="469"/>
      <c r="H376" s="469"/>
      <c r="I376" s="469"/>
      <c r="J376" s="469"/>
      <c r="K376" s="469"/>
      <c r="L376" s="469"/>
      <c r="M376" s="469"/>
      <c r="N376" s="469"/>
      <c r="O376" s="469"/>
      <c r="P376" s="469"/>
      <c r="Q376" s="469"/>
      <c r="R376" s="469"/>
      <c r="S376" s="469"/>
      <c r="T376" s="469"/>
      <c r="U376" s="469"/>
      <c r="V376" s="469"/>
      <c r="W376" s="469"/>
      <c r="X376" s="469"/>
      <c r="Y376" s="469"/>
      <c r="Z376" s="469"/>
      <c r="AA376" s="469"/>
      <c r="AB376" s="469"/>
      <c r="AC376" s="469"/>
      <c r="AD376" s="469"/>
      <c r="AE376" s="469"/>
      <c r="AF376" s="469"/>
      <c r="AG376" s="469"/>
      <c r="AH376" s="469"/>
      <c r="AI376" s="469"/>
      <c r="AJ376" s="469"/>
      <c r="AK376" s="469"/>
    </row>
    <row r="377" customFormat="false" ht="12.75" hidden="false" customHeight="false" outlineLevel="0" collapsed="false">
      <c r="D377" s="468"/>
      <c r="E377" s="469"/>
      <c r="F377" s="469"/>
      <c r="G377" s="469"/>
      <c r="H377" s="469"/>
      <c r="I377" s="469"/>
      <c r="J377" s="469"/>
      <c r="K377" s="469"/>
      <c r="L377" s="469"/>
      <c r="M377" s="469"/>
      <c r="N377" s="469"/>
      <c r="O377" s="469"/>
      <c r="P377" s="469"/>
      <c r="Q377" s="469"/>
      <c r="R377" s="469"/>
      <c r="S377" s="469"/>
      <c r="T377" s="469"/>
      <c r="U377" s="469"/>
      <c r="V377" s="469"/>
      <c r="W377" s="469"/>
      <c r="X377" s="469"/>
      <c r="Y377" s="469"/>
      <c r="Z377" s="469"/>
      <c r="AA377" s="469"/>
      <c r="AB377" s="469"/>
      <c r="AC377" s="469"/>
      <c r="AD377" s="469"/>
      <c r="AE377" s="469"/>
      <c r="AF377" s="469"/>
      <c r="AG377" s="469"/>
      <c r="AH377" s="469"/>
      <c r="AI377" s="469"/>
      <c r="AJ377" s="469"/>
      <c r="AK377" s="469"/>
    </row>
    <row r="378" customFormat="false" ht="12.75" hidden="false" customHeight="false" outlineLevel="0" collapsed="false">
      <c r="D378" s="468"/>
      <c r="E378" s="469"/>
      <c r="F378" s="469"/>
      <c r="G378" s="469"/>
      <c r="H378" s="469"/>
      <c r="I378" s="469"/>
      <c r="J378" s="469"/>
      <c r="K378" s="469"/>
      <c r="L378" s="469"/>
      <c r="M378" s="469"/>
      <c r="N378" s="469"/>
      <c r="O378" s="469"/>
      <c r="P378" s="469"/>
      <c r="Q378" s="469"/>
      <c r="R378" s="469"/>
      <c r="S378" s="469"/>
      <c r="T378" s="469"/>
      <c r="U378" s="469"/>
      <c r="V378" s="469"/>
      <c r="W378" s="469"/>
      <c r="X378" s="469"/>
      <c r="Y378" s="469"/>
      <c r="Z378" s="469"/>
      <c r="AA378" s="469"/>
      <c r="AB378" s="469"/>
      <c r="AC378" s="469"/>
      <c r="AD378" s="469"/>
      <c r="AE378" s="469"/>
      <c r="AF378" s="469"/>
      <c r="AG378" s="469"/>
      <c r="AH378" s="469"/>
      <c r="AI378" s="469"/>
      <c r="AJ378" s="469"/>
      <c r="AK378" s="469"/>
    </row>
    <row r="379" customFormat="false" ht="12.75" hidden="false" customHeight="false" outlineLevel="0" collapsed="false">
      <c r="A379" s="473"/>
      <c r="D379" s="468"/>
      <c r="E379" s="469"/>
      <c r="F379" s="469"/>
      <c r="G379" s="469"/>
      <c r="H379" s="469"/>
      <c r="I379" s="469"/>
      <c r="J379" s="469"/>
      <c r="K379" s="469"/>
      <c r="L379" s="469"/>
      <c r="M379" s="469"/>
      <c r="N379" s="469"/>
      <c r="O379" s="469"/>
      <c r="P379" s="469"/>
      <c r="Q379" s="469"/>
      <c r="R379" s="469"/>
      <c r="S379" s="469"/>
      <c r="T379" s="469"/>
      <c r="U379" s="469"/>
      <c r="V379" s="469"/>
      <c r="W379" s="469"/>
      <c r="X379" s="469"/>
      <c r="Y379" s="469"/>
      <c r="Z379" s="469"/>
      <c r="AA379" s="469"/>
      <c r="AB379" s="469"/>
      <c r="AC379" s="469"/>
      <c r="AD379" s="469"/>
      <c r="AE379" s="469"/>
      <c r="AF379" s="469"/>
      <c r="AG379" s="469"/>
      <c r="AH379" s="469"/>
      <c r="AI379" s="469"/>
      <c r="AJ379" s="469"/>
      <c r="AK379" s="469"/>
    </row>
    <row r="380" customFormat="false" ht="12.75" hidden="false" customHeight="false" outlineLevel="0" collapsed="false">
      <c r="A380" s="470"/>
      <c r="D380" s="468"/>
      <c r="E380" s="469"/>
      <c r="F380" s="469"/>
      <c r="G380" s="469"/>
      <c r="H380" s="469"/>
      <c r="I380" s="469"/>
      <c r="J380" s="469"/>
      <c r="K380" s="469"/>
      <c r="L380" s="469"/>
      <c r="M380" s="469"/>
      <c r="N380" s="469"/>
      <c r="O380" s="469"/>
      <c r="P380" s="469"/>
      <c r="Q380" s="469"/>
      <c r="R380" s="469"/>
      <c r="S380" s="469"/>
      <c r="T380" s="469"/>
      <c r="U380" s="469"/>
      <c r="V380" s="469"/>
      <c r="W380" s="469"/>
      <c r="X380" s="469"/>
      <c r="Y380" s="469"/>
      <c r="Z380" s="469"/>
      <c r="AA380" s="469"/>
      <c r="AB380" s="469"/>
      <c r="AC380" s="469"/>
      <c r="AD380" s="469"/>
      <c r="AE380" s="469"/>
      <c r="AF380" s="469"/>
      <c r="AG380" s="469"/>
      <c r="AH380" s="469"/>
      <c r="AI380" s="469"/>
      <c r="AJ380" s="469"/>
      <c r="AK380" s="469"/>
    </row>
    <row r="381" customFormat="false" ht="12.75" hidden="false" customHeight="false" outlineLevel="0" collapsed="false">
      <c r="A381" s="470"/>
      <c r="D381" s="468"/>
      <c r="E381" s="469"/>
      <c r="F381" s="469"/>
      <c r="G381" s="469"/>
      <c r="H381" s="469"/>
      <c r="I381" s="469"/>
      <c r="J381" s="469"/>
      <c r="K381" s="469"/>
      <c r="L381" s="469"/>
      <c r="M381" s="469"/>
      <c r="N381" s="469"/>
      <c r="O381" s="469"/>
      <c r="P381" s="469"/>
      <c r="Q381" s="469"/>
      <c r="R381" s="469"/>
      <c r="S381" s="469"/>
      <c r="T381" s="469"/>
      <c r="U381" s="469"/>
      <c r="V381" s="469"/>
      <c r="W381" s="469"/>
      <c r="X381" s="469"/>
      <c r="Y381" s="469"/>
      <c r="Z381" s="469"/>
      <c r="AA381" s="469"/>
      <c r="AB381" s="469"/>
      <c r="AC381" s="469"/>
      <c r="AD381" s="469"/>
      <c r="AE381" s="469"/>
      <c r="AF381" s="469"/>
      <c r="AG381" s="469"/>
      <c r="AH381" s="469"/>
      <c r="AI381" s="469"/>
      <c r="AJ381" s="469"/>
      <c r="AK381" s="469"/>
    </row>
    <row r="382" customFormat="false" ht="12.75" hidden="false" customHeight="false" outlineLevel="0" collapsed="false">
      <c r="A382" s="470"/>
      <c r="D382" s="468"/>
      <c r="E382" s="469"/>
      <c r="F382" s="469"/>
      <c r="G382" s="469"/>
      <c r="H382" s="469"/>
      <c r="I382" s="469"/>
      <c r="J382" s="469"/>
      <c r="K382" s="469"/>
      <c r="L382" s="469"/>
      <c r="M382" s="469"/>
      <c r="N382" s="469"/>
      <c r="O382" s="469"/>
      <c r="P382" s="469"/>
      <c r="Q382" s="469"/>
      <c r="R382" s="469"/>
      <c r="S382" s="469"/>
      <c r="T382" s="469"/>
      <c r="U382" s="469"/>
      <c r="V382" s="469"/>
      <c r="W382" s="469"/>
      <c r="X382" s="469"/>
      <c r="Y382" s="469"/>
      <c r="Z382" s="469"/>
      <c r="AA382" s="469"/>
      <c r="AB382" s="469"/>
      <c r="AC382" s="469"/>
      <c r="AD382" s="469"/>
      <c r="AE382" s="469"/>
      <c r="AF382" s="469"/>
      <c r="AG382" s="469"/>
      <c r="AH382" s="469"/>
      <c r="AI382" s="469"/>
      <c r="AJ382" s="469"/>
      <c r="AK382" s="469"/>
    </row>
    <row r="383" customFormat="false" ht="12.75" hidden="false" customHeight="false" outlineLevel="0" collapsed="false">
      <c r="A383" s="470"/>
      <c r="D383" s="468"/>
      <c r="E383" s="469"/>
      <c r="F383" s="469"/>
      <c r="G383" s="469"/>
      <c r="H383" s="469"/>
      <c r="I383" s="469"/>
      <c r="J383" s="469"/>
      <c r="K383" s="469"/>
      <c r="L383" s="469"/>
      <c r="M383" s="469"/>
      <c r="N383" s="469"/>
      <c r="O383" s="469"/>
      <c r="P383" s="469"/>
      <c r="Q383" s="469"/>
      <c r="R383" s="469"/>
      <c r="S383" s="469"/>
      <c r="T383" s="469"/>
      <c r="U383" s="469"/>
      <c r="V383" s="469"/>
      <c r="W383" s="469"/>
      <c r="X383" s="469"/>
      <c r="Y383" s="469"/>
      <c r="Z383" s="469"/>
      <c r="AA383" s="469"/>
      <c r="AB383" s="469"/>
      <c r="AC383" s="469"/>
      <c r="AD383" s="469"/>
      <c r="AE383" s="469"/>
      <c r="AF383" s="469"/>
      <c r="AG383" s="469"/>
      <c r="AH383" s="469"/>
      <c r="AI383" s="469"/>
      <c r="AJ383" s="469"/>
      <c r="AK383" s="469"/>
    </row>
    <row r="384" customFormat="false" ht="12.75" hidden="false" customHeight="false" outlineLevel="0" collapsed="false">
      <c r="A384" s="470"/>
      <c r="D384" s="468"/>
      <c r="E384" s="469"/>
      <c r="F384" s="469"/>
      <c r="G384" s="469"/>
      <c r="H384" s="469"/>
      <c r="I384" s="469"/>
      <c r="J384" s="469"/>
      <c r="K384" s="469"/>
      <c r="L384" s="469"/>
      <c r="M384" s="469"/>
      <c r="N384" s="469"/>
      <c r="O384" s="469"/>
      <c r="P384" s="469"/>
      <c r="Q384" s="469"/>
      <c r="R384" s="469"/>
      <c r="S384" s="469"/>
      <c r="T384" s="469"/>
      <c r="U384" s="469"/>
      <c r="V384" s="469"/>
      <c r="W384" s="469"/>
      <c r="X384" s="469"/>
      <c r="Y384" s="469"/>
      <c r="Z384" s="469"/>
      <c r="AA384" s="469"/>
      <c r="AB384" s="469"/>
      <c r="AC384" s="469"/>
      <c r="AD384" s="469"/>
      <c r="AE384" s="469"/>
      <c r="AF384" s="469"/>
      <c r="AG384" s="469"/>
      <c r="AH384" s="469"/>
      <c r="AI384" s="469"/>
      <c r="AJ384" s="469"/>
      <c r="AK384" s="469"/>
    </row>
    <row r="385" customFormat="false" ht="12.75" hidden="false" customHeight="false" outlineLevel="0" collapsed="false">
      <c r="A385" s="470"/>
      <c r="D385" s="468"/>
      <c r="E385" s="469"/>
      <c r="F385" s="469"/>
      <c r="G385" s="469"/>
      <c r="H385" s="469"/>
      <c r="I385" s="469"/>
      <c r="J385" s="469"/>
      <c r="K385" s="469"/>
      <c r="L385" s="469"/>
      <c r="M385" s="469"/>
      <c r="N385" s="469"/>
      <c r="O385" s="469"/>
      <c r="P385" s="469"/>
      <c r="Q385" s="469"/>
      <c r="R385" s="469"/>
      <c r="S385" s="469"/>
      <c r="T385" s="469"/>
      <c r="U385" s="469"/>
      <c r="V385" s="469"/>
      <c r="W385" s="469"/>
      <c r="X385" s="469"/>
      <c r="Y385" s="469"/>
      <c r="Z385" s="469"/>
      <c r="AA385" s="469"/>
      <c r="AB385" s="469"/>
      <c r="AC385" s="469"/>
      <c r="AD385" s="469"/>
      <c r="AE385" s="469"/>
      <c r="AF385" s="469"/>
      <c r="AG385" s="469"/>
      <c r="AH385" s="469"/>
      <c r="AI385" s="469"/>
      <c r="AJ385" s="469"/>
      <c r="AK385" s="469"/>
    </row>
    <row r="386" customFormat="false" ht="12.75" hidden="false" customHeight="false" outlineLevel="0" collapsed="false">
      <c r="A386" s="470"/>
      <c r="D386" s="468"/>
      <c r="E386" s="469"/>
      <c r="F386" s="469"/>
      <c r="G386" s="469"/>
      <c r="H386" s="469"/>
      <c r="I386" s="469"/>
      <c r="J386" s="469"/>
      <c r="K386" s="469"/>
      <c r="L386" s="469"/>
      <c r="M386" s="469"/>
      <c r="N386" s="469"/>
      <c r="O386" s="469"/>
      <c r="P386" s="469"/>
      <c r="Q386" s="469"/>
      <c r="R386" s="469"/>
      <c r="S386" s="469"/>
      <c r="T386" s="469"/>
      <c r="U386" s="469"/>
      <c r="V386" s="469"/>
      <c r="W386" s="469"/>
      <c r="X386" s="469"/>
      <c r="Y386" s="469"/>
      <c r="Z386" s="469"/>
      <c r="AA386" s="469"/>
      <c r="AB386" s="469"/>
      <c r="AC386" s="469"/>
      <c r="AD386" s="469"/>
      <c r="AE386" s="469"/>
      <c r="AF386" s="469"/>
      <c r="AG386" s="469"/>
      <c r="AH386" s="469"/>
      <c r="AI386" s="469"/>
      <c r="AJ386" s="469"/>
      <c r="AK386" s="469"/>
    </row>
    <row r="387" customFormat="false" ht="12.75" hidden="false" customHeight="false" outlineLevel="0" collapsed="false">
      <c r="A387" s="470"/>
      <c r="D387" s="468"/>
      <c r="E387" s="469"/>
      <c r="F387" s="469"/>
      <c r="G387" s="469"/>
      <c r="H387" s="469"/>
      <c r="I387" s="469"/>
      <c r="J387" s="469"/>
      <c r="K387" s="469"/>
      <c r="L387" s="469"/>
      <c r="M387" s="469"/>
      <c r="N387" s="469"/>
      <c r="O387" s="469"/>
      <c r="P387" s="469"/>
      <c r="Q387" s="469"/>
      <c r="R387" s="469"/>
      <c r="S387" s="469"/>
      <c r="T387" s="469"/>
      <c r="U387" s="469"/>
      <c r="V387" s="469"/>
      <c r="W387" s="469"/>
      <c r="X387" s="469"/>
      <c r="Y387" s="469"/>
      <c r="Z387" s="469"/>
      <c r="AA387" s="469"/>
      <c r="AB387" s="469"/>
      <c r="AC387" s="469"/>
      <c r="AD387" s="469"/>
      <c r="AE387" s="469"/>
      <c r="AF387" s="469"/>
      <c r="AG387" s="469"/>
      <c r="AH387" s="469"/>
      <c r="AI387" s="469"/>
      <c r="AJ387" s="469"/>
      <c r="AK387" s="469"/>
    </row>
    <row r="388" customFormat="false" ht="12.75" hidden="false" customHeight="false" outlineLevel="0" collapsed="false">
      <c r="A388" s="470"/>
      <c r="D388" s="468"/>
      <c r="E388" s="469"/>
      <c r="F388" s="469"/>
      <c r="G388" s="469"/>
      <c r="H388" s="469"/>
      <c r="I388" s="469"/>
      <c r="J388" s="469"/>
      <c r="K388" s="469"/>
      <c r="L388" s="469"/>
      <c r="M388" s="469"/>
      <c r="N388" s="469"/>
      <c r="O388" s="469"/>
      <c r="P388" s="469"/>
      <c r="Q388" s="469"/>
      <c r="R388" s="469"/>
      <c r="S388" s="469"/>
      <c r="T388" s="469"/>
      <c r="U388" s="469"/>
      <c r="V388" s="469"/>
      <c r="W388" s="469"/>
      <c r="X388" s="469"/>
      <c r="Y388" s="469"/>
      <c r="Z388" s="469"/>
      <c r="AA388" s="469"/>
      <c r="AB388" s="469"/>
      <c r="AC388" s="469"/>
      <c r="AD388" s="469"/>
      <c r="AE388" s="469"/>
      <c r="AF388" s="469"/>
      <c r="AG388" s="469"/>
      <c r="AH388" s="469"/>
      <c r="AI388" s="469"/>
      <c r="AJ388" s="469"/>
      <c r="AK388" s="469"/>
    </row>
    <row r="389" customFormat="false" ht="12.75" hidden="false" customHeight="false" outlineLevel="0" collapsed="false">
      <c r="A389" s="470"/>
      <c r="D389" s="468"/>
      <c r="E389" s="469"/>
      <c r="F389" s="469"/>
      <c r="G389" s="469"/>
      <c r="H389" s="469"/>
      <c r="I389" s="469"/>
      <c r="J389" s="469"/>
      <c r="K389" s="469"/>
      <c r="L389" s="469"/>
      <c r="M389" s="469"/>
      <c r="N389" s="469"/>
      <c r="O389" s="469"/>
      <c r="P389" s="469"/>
      <c r="Q389" s="469"/>
      <c r="R389" s="469"/>
      <c r="S389" s="469"/>
      <c r="T389" s="469"/>
      <c r="U389" s="469"/>
      <c r="V389" s="469"/>
      <c r="W389" s="469"/>
      <c r="X389" s="469"/>
      <c r="Y389" s="469"/>
      <c r="Z389" s="469"/>
      <c r="AA389" s="469"/>
      <c r="AB389" s="469"/>
      <c r="AC389" s="469"/>
      <c r="AD389" s="469"/>
      <c r="AE389" s="469"/>
      <c r="AF389" s="469"/>
      <c r="AG389" s="469"/>
      <c r="AH389" s="469"/>
      <c r="AI389" s="469"/>
      <c r="AJ389" s="469"/>
      <c r="AK389" s="469"/>
    </row>
    <row r="390" customFormat="false" ht="12.75" hidden="false" customHeight="false" outlineLevel="0" collapsed="false">
      <c r="A390" s="470"/>
      <c r="D390" s="468"/>
      <c r="E390" s="469"/>
      <c r="F390" s="469"/>
      <c r="G390" s="469"/>
      <c r="H390" s="469"/>
      <c r="I390" s="469"/>
      <c r="J390" s="469"/>
      <c r="K390" s="469"/>
      <c r="L390" s="469"/>
      <c r="M390" s="469"/>
      <c r="N390" s="469"/>
      <c r="O390" s="469"/>
      <c r="P390" s="469"/>
      <c r="Q390" s="469"/>
      <c r="R390" s="469"/>
      <c r="S390" s="469"/>
      <c r="T390" s="469"/>
      <c r="U390" s="469"/>
      <c r="V390" s="469"/>
      <c r="W390" s="469"/>
      <c r="X390" s="469"/>
      <c r="Y390" s="469"/>
      <c r="Z390" s="469"/>
      <c r="AA390" s="469"/>
      <c r="AB390" s="469"/>
      <c r="AC390" s="469"/>
      <c r="AD390" s="469"/>
      <c r="AE390" s="469"/>
      <c r="AF390" s="469"/>
      <c r="AG390" s="469"/>
      <c r="AH390" s="469"/>
      <c r="AI390" s="469"/>
      <c r="AJ390" s="469"/>
      <c r="AK390" s="469"/>
    </row>
    <row r="391" customFormat="false" ht="12.75" hidden="false" customHeight="false" outlineLevel="0" collapsed="false">
      <c r="A391" s="470"/>
      <c r="D391" s="468"/>
      <c r="E391" s="469"/>
      <c r="F391" s="469"/>
      <c r="G391" s="469"/>
      <c r="H391" s="469"/>
      <c r="I391" s="469"/>
      <c r="J391" s="469"/>
      <c r="K391" s="469"/>
      <c r="L391" s="469"/>
      <c r="M391" s="469"/>
      <c r="N391" s="469"/>
      <c r="O391" s="469"/>
      <c r="P391" s="469"/>
      <c r="Q391" s="469"/>
      <c r="R391" s="469"/>
      <c r="S391" s="469"/>
      <c r="T391" s="469"/>
      <c r="U391" s="469"/>
      <c r="V391" s="469"/>
      <c r="W391" s="469"/>
      <c r="X391" s="469"/>
      <c r="Y391" s="469"/>
      <c r="Z391" s="469"/>
      <c r="AA391" s="469"/>
      <c r="AB391" s="469"/>
      <c r="AC391" s="469"/>
      <c r="AD391" s="469"/>
      <c r="AE391" s="469"/>
      <c r="AF391" s="469"/>
      <c r="AG391" s="469"/>
      <c r="AH391" s="469"/>
      <c r="AI391" s="469"/>
      <c r="AJ391" s="469"/>
      <c r="AK391" s="469"/>
    </row>
    <row r="392" customFormat="false" ht="12.75" hidden="false" customHeight="false" outlineLevel="0" collapsed="false">
      <c r="A392" s="470"/>
      <c r="D392" s="468"/>
      <c r="E392" s="469"/>
      <c r="F392" s="469"/>
      <c r="G392" s="469"/>
      <c r="H392" s="469"/>
      <c r="I392" s="469"/>
      <c r="J392" s="469"/>
      <c r="K392" s="469"/>
      <c r="L392" s="469"/>
      <c r="M392" s="469"/>
      <c r="N392" s="469"/>
      <c r="O392" s="469"/>
      <c r="P392" s="469"/>
      <c r="Q392" s="469"/>
      <c r="R392" s="469"/>
      <c r="S392" s="469"/>
      <c r="T392" s="469"/>
      <c r="U392" s="469"/>
      <c r="V392" s="469"/>
      <c r="W392" s="469"/>
      <c r="X392" s="469"/>
      <c r="Y392" s="469"/>
      <c r="Z392" s="469"/>
      <c r="AA392" s="469"/>
      <c r="AB392" s="469"/>
      <c r="AC392" s="469"/>
      <c r="AD392" s="469"/>
      <c r="AE392" s="469"/>
      <c r="AF392" s="469"/>
      <c r="AG392" s="469"/>
      <c r="AH392" s="469"/>
      <c r="AI392" s="469"/>
      <c r="AJ392" s="469"/>
      <c r="AK392" s="469"/>
    </row>
    <row r="393" customFormat="false" ht="12.75" hidden="false" customHeight="false" outlineLevel="0" collapsed="false">
      <c r="A393" s="470"/>
      <c r="D393" s="468"/>
      <c r="E393" s="469"/>
      <c r="F393" s="469"/>
      <c r="G393" s="469"/>
      <c r="H393" s="469"/>
      <c r="I393" s="469"/>
      <c r="J393" s="469"/>
      <c r="K393" s="469"/>
      <c r="L393" s="469"/>
      <c r="M393" s="469"/>
      <c r="N393" s="469"/>
      <c r="O393" s="469"/>
      <c r="P393" s="469"/>
      <c r="Q393" s="469"/>
      <c r="R393" s="469"/>
      <c r="S393" s="469"/>
      <c r="T393" s="469"/>
      <c r="U393" s="469"/>
      <c r="V393" s="469"/>
      <c r="W393" s="469"/>
      <c r="X393" s="469"/>
      <c r="Y393" s="469"/>
      <c r="Z393" s="469"/>
      <c r="AA393" s="469"/>
      <c r="AB393" s="469"/>
      <c r="AC393" s="469"/>
      <c r="AD393" s="469"/>
      <c r="AE393" s="469"/>
      <c r="AF393" s="469"/>
      <c r="AG393" s="469"/>
      <c r="AH393" s="469"/>
      <c r="AI393" s="469"/>
      <c r="AJ393" s="469"/>
      <c r="AK393" s="469"/>
    </row>
    <row r="394" customFormat="false" ht="12.75" hidden="false" customHeight="false" outlineLevel="0" collapsed="false">
      <c r="A394" s="470"/>
      <c r="D394" s="468"/>
      <c r="E394" s="469"/>
      <c r="F394" s="469"/>
      <c r="G394" s="469"/>
      <c r="H394" s="469"/>
      <c r="I394" s="469"/>
      <c r="J394" s="469"/>
      <c r="K394" s="469"/>
      <c r="L394" s="469"/>
      <c r="M394" s="469"/>
      <c r="N394" s="469"/>
      <c r="O394" s="469"/>
      <c r="P394" s="469"/>
      <c r="Q394" s="469"/>
      <c r="R394" s="469"/>
      <c r="S394" s="469"/>
      <c r="T394" s="469"/>
      <c r="U394" s="469"/>
      <c r="V394" s="469"/>
      <c r="W394" s="469"/>
      <c r="X394" s="469"/>
      <c r="Y394" s="469"/>
      <c r="Z394" s="469"/>
      <c r="AA394" s="469"/>
      <c r="AB394" s="469"/>
      <c r="AC394" s="469"/>
      <c r="AD394" s="469"/>
      <c r="AE394" s="469"/>
      <c r="AF394" s="469"/>
      <c r="AG394" s="469"/>
      <c r="AH394" s="469"/>
      <c r="AI394" s="469"/>
      <c r="AJ394" s="469"/>
      <c r="AK394" s="469"/>
    </row>
    <row r="395" customFormat="false" ht="12.75" hidden="false" customHeight="false" outlineLevel="0" collapsed="false">
      <c r="A395" s="470"/>
      <c r="D395" s="468"/>
      <c r="E395" s="469"/>
      <c r="F395" s="469"/>
      <c r="G395" s="469"/>
      <c r="H395" s="469"/>
      <c r="I395" s="469"/>
      <c r="J395" s="469"/>
      <c r="K395" s="469"/>
      <c r="L395" s="469"/>
      <c r="M395" s="469"/>
      <c r="N395" s="469"/>
      <c r="O395" s="469"/>
      <c r="P395" s="469"/>
      <c r="Q395" s="469"/>
      <c r="R395" s="469"/>
      <c r="S395" s="469"/>
      <c r="T395" s="469"/>
      <c r="U395" s="469"/>
      <c r="V395" s="469"/>
      <c r="W395" s="469"/>
      <c r="X395" s="469"/>
      <c r="Y395" s="469"/>
      <c r="Z395" s="469"/>
      <c r="AA395" s="469"/>
      <c r="AB395" s="469"/>
      <c r="AC395" s="469"/>
      <c r="AD395" s="469"/>
      <c r="AE395" s="469"/>
      <c r="AF395" s="469"/>
      <c r="AG395" s="469"/>
      <c r="AH395" s="469"/>
      <c r="AI395" s="469"/>
      <c r="AJ395" s="469"/>
      <c r="AK395" s="469"/>
    </row>
    <row r="396" customFormat="false" ht="12.75" hidden="false" customHeight="false" outlineLevel="0" collapsed="false">
      <c r="A396" s="470"/>
      <c r="D396" s="468"/>
      <c r="E396" s="469"/>
      <c r="F396" s="469"/>
      <c r="G396" s="469"/>
      <c r="H396" s="469"/>
      <c r="I396" s="469"/>
      <c r="J396" s="469"/>
      <c r="K396" s="469"/>
      <c r="L396" s="469"/>
      <c r="M396" s="469"/>
      <c r="N396" s="469"/>
      <c r="O396" s="469"/>
      <c r="P396" s="469"/>
      <c r="Q396" s="469"/>
      <c r="R396" s="469"/>
      <c r="S396" s="469"/>
      <c r="T396" s="469"/>
      <c r="U396" s="469"/>
      <c r="V396" s="469"/>
      <c r="W396" s="469"/>
      <c r="X396" s="469"/>
      <c r="Y396" s="469"/>
      <c r="Z396" s="469"/>
      <c r="AA396" s="469"/>
      <c r="AB396" s="469"/>
      <c r="AC396" s="469"/>
      <c r="AD396" s="469"/>
      <c r="AE396" s="469"/>
      <c r="AF396" s="469"/>
      <c r="AG396" s="469"/>
      <c r="AH396" s="469"/>
      <c r="AI396" s="469"/>
      <c r="AJ396" s="469"/>
      <c r="AK396" s="469"/>
    </row>
    <row r="397" customFormat="false" ht="12.75" hidden="false" customHeight="false" outlineLevel="0" collapsed="false">
      <c r="A397" s="470"/>
      <c r="D397" s="468"/>
      <c r="E397" s="469"/>
      <c r="F397" s="469"/>
      <c r="G397" s="469"/>
      <c r="H397" s="469"/>
      <c r="I397" s="469"/>
      <c r="J397" s="469"/>
      <c r="K397" s="469"/>
      <c r="L397" s="469"/>
      <c r="M397" s="469"/>
      <c r="N397" s="469"/>
      <c r="O397" s="469"/>
      <c r="P397" s="469"/>
      <c r="Q397" s="469"/>
      <c r="R397" s="469"/>
      <c r="S397" s="469"/>
      <c r="T397" s="469"/>
      <c r="U397" s="469"/>
      <c r="V397" s="469"/>
      <c r="W397" s="469"/>
      <c r="X397" s="469"/>
      <c r="Y397" s="469"/>
      <c r="Z397" s="469"/>
      <c r="AA397" s="469"/>
      <c r="AB397" s="469"/>
      <c r="AC397" s="469"/>
      <c r="AD397" s="469"/>
      <c r="AE397" s="469"/>
      <c r="AF397" s="469"/>
      <c r="AG397" s="469"/>
      <c r="AH397" s="469"/>
      <c r="AI397" s="469"/>
      <c r="AJ397" s="469"/>
      <c r="AK397" s="469"/>
    </row>
    <row r="398" customFormat="false" ht="12.75" hidden="false" customHeight="false" outlineLevel="0" collapsed="false">
      <c r="D398" s="468"/>
      <c r="E398" s="469"/>
      <c r="F398" s="469"/>
      <c r="G398" s="469"/>
      <c r="H398" s="469"/>
      <c r="I398" s="469"/>
      <c r="J398" s="469"/>
      <c r="K398" s="469"/>
      <c r="L398" s="469"/>
      <c r="M398" s="469"/>
      <c r="N398" s="469"/>
      <c r="O398" s="469"/>
      <c r="P398" s="469"/>
      <c r="Q398" s="469"/>
      <c r="R398" s="469"/>
      <c r="S398" s="469"/>
      <c r="T398" s="469"/>
      <c r="U398" s="469"/>
      <c r="V398" s="469"/>
      <c r="W398" s="469"/>
      <c r="X398" s="469"/>
      <c r="Y398" s="469"/>
      <c r="Z398" s="469"/>
      <c r="AA398" s="469"/>
      <c r="AB398" s="469"/>
      <c r="AC398" s="469"/>
      <c r="AD398" s="469"/>
      <c r="AE398" s="469"/>
      <c r="AF398" s="469"/>
      <c r="AG398" s="469"/>
      <c r="AH398" s="469"/>
      <c r="AI398" s="469"/>
      <c r="AJ398" s="469"/>
      <c r="AK398" s="469"/>
    </row>
    <row r="399" customFormat="false" ht="12.75" hidden="false" customHeight="false" outlineLevel="0" collapsed="false">
      <c r="D399" s="468"/>
      <c r="E399" s="469"/>
      <c r="F399" s="469"/>
      <c r="G399" s="469"/>
      <c r="H399" s="469"/>
      <c r="I399" s="469"/>
      <c r="J399" s="469"/>
      <c r="K399" s="469"/>
      <c r="L399" s="469"/>
      <c r="M399" s="469"/>
      <c r="N399" s="469"/>
      <c r="O399" s="469"/>
      <c r="P399" s="469"/>
      <c r="Q399" s="469"/>
      <c r="R399" s="469"/>
      <c r="S399" s="469"/>
      <c r="T399" s="469"/>
      <c r="U399" s="469"/>
      <c r="V399" s="469"/>
      <c r="W399" s="469"/>
      <c r="X399" s="469"/>
      <c r="Y399" s="469"/>
      <c r="Z399" s="469"/>
      <c r="AA399" s="469"/>
      <c r="AB399" s="469"/>
      <c r="AC399" s="469"/>
      <c r="AD399" s="469"/>
      <c r="AE399" s="469"/>
      <c r="AF399" s="469"/>
      <c r="AG399" s="469"/>
      <c r="AH399" s="469"/>
      <c r="AI399" s="469"/>
      <c r="AJ399" s="469"/>
      <c r="AK399" s="469"/>
    </row>
    <row r="400" customFormat="false" ht="12.75" hidden="false" customHeight="false" outlineLevel="0" collapsed="false">
      <c r="D400" s="468"/>
      <c r="E400" s="469"/>
      <c r="F400" s="469"/>
      <c r="G400" s="469"/>
      <c r="H400" s="469"/>
      <c r="I400" s="469"/>
      <c r="J400" s="469"/>
      <c r="K400" s="469"/>
      <c r="L400" s="469"/>
      <c r="M400" s="469"/>
      <c r="N400" s="469"/>
      <c r="O400" s="469"/>
      <c r="P400" s="469"/>
      <c r="Q400" s="469"/>
      <c r="R400" s="469"/>
      <c r="S400" s="469"/>
      <c r="T400" s="469"/>
      <c r="U400" s="469"/>
      <c r="V400" s="469"/>
      <c r="W400" s="469"/>
      <c r="X400" s="469"/>
      <c r="Y400" s="469"/>
      <c r="Z400" s="469"/>
      <c r="AA400" s="469"/>
      <c r="AB400" s="469"/>
      <c r="AC400" s="469"/>
      <c r="AD400" s="469"/>
      <c r="AE400" s="469"/>
      <c r="AF400" s="469"/>
      <c r="AG400" s="469"/>
      <c r="AH400" s="469"/>
      <c r="AI400" s="469"/>
      <c r="AJ400" s="469"/>
      <c r="AK400" s="469"/>
    </row>
    <row r="401" customFormat="false" ht="12.75" hidden="false" customHeight="false" outlineLevel="0" collapsed="false">
      <c r="D401" s="468"/>
      <c r="E401" s="469"/>
      <c r="F401" s="469"/>
      <c r="G401" s="469"/>
      <c r="H401" s="469"/>
      <c r="I401" s="469"/>
      <c r="J401" s="469"/>
      <c r="K401" s="469"/>
      <c r="L401" s="469"/>
      <c r="M401" s="469"/>
      <c r="N401" s="469"/>
      <c r="O401" s="469"/>
      <c r="P401" s="469"/>
      <c r="Q401" s="469"/>
      <c r="R401" s="469"/>
      <c r="S401" s="469"/>
      <c r="T401" s="469"/>
      <c r="U401" s="469"/>
      <c r="V401" s="469"/>
      <c r="W401" s="469"/>
      <c r="X401" s="469"/>
      <c r="Y401" s="469"/>
      <c r="Z401" s="469"/>
      <c r="AA401" s="469"/>
      <c r="AB401" s="469"/>
      <c r="AC401" s="469"/>
      <c r="AD401" s="469"/>
      <c r="AE401" s="469"/>
      <c r="AF401" s="469"/>
      <c r="AG401" s="469"/>
      <c r="AH401" s="469"/>
      <c r="AI401" s="469"/>
      <c r="AJ401" s="469"/>
      <c r="AK401" s="469"/>
    </row>
    <row r="402" customFormat="false" ht="12.75" hidden="false" customHeight="false" outlineLevel="0" collapsed="false">
      <c r="D402" s="468"/>
      <c r="E402" s="469"/>
      <c r="F402" s="469"/>
      <c r="G402" s="469"/>
      <c r="H402" s="469"/>
      <c r="I402" s="469"/>
      <c r="J402" s="469"/>
      <c r="K402" s="469"/>
      <c r="L402" s="469"/>
      <c r="M402" s="469"/>
      <c r="N402" s="469"/>
      <c r="O402" s="469"/>
      <c r="P402" s="469"/>
      <c r="Q402" s="469"/>
      <c r="R402" s="469"/>
      <c r="S402" s="469"/>
      <c r="T402" s="469"/>
      <c r="U402" s="469"/>
      <c r="V402" s="469"/>
      <c r="W402" s="469"/>
      <c r="X402" s="469"/>
      <c r="Y402" s="469"/>
      <c r="Z402" s="469"/>
      <c r="AA402" s="469"/>
      <c r="AB402" s="469"/>
      <c r="AC402" s="469"/>
      <c r="AD402" s="469"/>
      <c r="AE402" s="469"/>
      <c r="AF402" s="469"/>
      <c r="AG402" s="469"/>
      <c r="AH402" s="469"/>
      <c r="AI402" s="469"/>
      <c r="AJ402" s="469"/>
      <c r="AK402" s="469"/>
    </row>
    <row r="403" customFormat="false" ht="12.75" hidden="false" customHeight="false" outlineLevel="0" collapsed="false">
      <c r="D403" s="468"/>
      <c r="E403" s="469"/>
      <c r="F403" s="469"/>
      <c r="G403" s="469"/>
      <c r="H403" s="469"/>
      <c r="I403" s="469"/>
      <c r="J403" s="469"/>
      <c r="K403" s="469"/>
      <c r="L403" s="469"/>
      <c r="M403" s="469"/>
      <c r="N403" s="469"/>
      <c r="O403" s="469"/>
      <c r="P403" s="469"/>
      <c r="Q403" s="469"/>
      <c r="R403" s="469"/>
      <c r="S403" s="469"/>
      <c r="T403" s="469"/>
      <c r="U403" s="469"/>
      <c r="V403" s="469"/>
      <c r="W403" s="469"/>
      <c r="X403" s="469"/>
      <c r="Y403" s="469"/>
      <c r="Z403" s="469"/>
      <c r="AA403" s="469"/>
      <c r="AB403" s="469"/>
      <c r="AC403" s="469"/>
      <c r="AD403" s="469"/>
      <c r="AE403" s="469"/>
      <c r="AF403" s="469"/>
      <c r="AG403" s="469"/>
      <c r="AH403" s="469"/>
      <c r="AI403" s="469"/>
      <c r="AJ403" s="469"/>
      <c r="AK403" s="469"/>
    </row>
    <row r="404" customFormat="false" ht="12.75" hidden="false" customHeight="false" outlineLevel="0" collapsed="false">
      <c r="D404" s="468"/>
      <c r="E404" s="469"/>
      <c r="F404" s="469"/>
      <c r="G404" s="469"/>
      <c r="H404" s="469"/>
      <c r="I404" s="469"/>
      <c r="J404" s="469"/>
      <c r="K404" s="469"/>
      <c r="L404" s="469"/>
      <c r="M404" s="469"/>
      <c r="N404" s="469"/>
      <c r="O404" s="469"/>
      <c r="P404" s="469"/>
      <c r="Q404" s="469"/>
      <c r="R404" s="469"/>
      <c r="S404" s="469"/>
      <c r="T404" s="469"/>
      <c r="U404" s="469"/>
      <c r="V404" s="469"/>
      <c r="W404" s="469"/>
      <c r="X404" s="469"/>
      <c r="Y404" s="469"/>
      <c r="Z404" s="469"/>
      <c r="AA404" s="469"/>
      <c r="AB404" s="469"/>
      <c r="AC404" s="469"/>
      <c r="AD404" s="469"/>
      <c r="AE404" s="469"/>
      <c r="AF404" s="469"/>
      <c r="AG404" s="469"/>
      <c r="AH404" s="469"/>
      <c r="AI404" s="469"/>
      <c r="AJ404" s="469"/>
      <c r="AK404" s="469"/>
    </row>
    <row r="405" customFormat="false" ht="12.75" hidden="false" customHeight="false" outlineLevel="0" collapsed="false">
      <c r="A405" s="473"/>
      <c r="D405" s="468"/>
      <c r="E405" s="469"/>
      <c r="F405" s="469"/>
      <c r="G405" s="469"/>
      <c r="H405" s="469"/>
      <c r="I405" s="469"/>
      <c r="J405" s="469"/>
      <c r="K405" s="469"/>
      <c r="L405" s="469"/>
      <c r="M405" s="469"/>
      <c r="N405" s="469"/>
      <c r="O405" s="469"/>
      <c r="P405" s="469"/>
      <c r="Q405" s="469"/>
      <c r="R405" s="469"/>
      <c r="S405" s="469"/>
      <c r="T405" s="469"/>
      <c r="U405" s="469"/>
      <c r="V405" s="469"/>
      <c r="W405" s="469"/>
      <c r="X405" s="469"/>
      <c r="Y405" s="469"/>
      <c r="Z405" s="469"/>
      <c r="AA405" s="469"/>
      <c r="AB405" s="469"/>
      <c r="AC405" s="469"/>
      <c r="AD405" s="469"/>
      <c r="AE405" s="469"/>
      <c r="AF405" s="469"/>
      <c r="AG405" s="469"/>
      <c r="AH405" s="469"/>
      <c r="AI405" s="469"/>
      <c r="AJ405" s="469"/>
      <c r="AK405" s="469"/>
    </row>
    <row r="406" customFormat="false" ht="12.75" hidden="false" customHeight="false" outlineLevel="0" collapsed="false">
      <c r="A406" s="470"/>
      <c r="D406" s="468"/>
      <c r="E406" s="469"/>
      <c r="F406" s="469"/>
      <c r="G406" s="469"/>
      <c r="H406" s="469"/>
      <c r="I406" s="469"/>
      <c r="J406" s="469"/>
      <c r="K406" s="469"/>
      <c r="L406" s="469"/>
      <c r="M406" s="469"/>
      <c r="N406" s="469"/>
      <c r="O406" s="469"/>
      <c r="P406" s="469"/>
      <c r="Q406" s="469"/>
      <c r="R406" s="469"/>
      <c r="S406" s="469"/>
      <c r="T406" s="469"/>
      <c r="U406" s="469"/>
      <c r="V406" s="469"/>
      <c r="W406" s="469"/>
      <c r="X406" s="469"/>
      <c r="Y406" s="469"/>
      <c r="Z406" s="469"/>
      <c r="AA406" s="469"/>
      <c r="AB406" s="469"/>
      <c r="AC406" s="469"/>
      <c r="AD406" s="469"/>
      <c r="AE406" s="469"/>
      <c r="AF406" s="469"/>
      <c r="AG406" s="469"/>
      <c r="AH406" s="469"/>
      <c r="AI406" s="469"/>
      <c r="AJ406" s="469"/>
      <c r="AK406" s="469"/>
    </row>
    <row r="407" customFormat="false" ht="12.75" hidden="false" customHeight="false" outlineLevel="0" collapsed="false">
      <c r="A407" s="470"/>
      <c r="D407" s="468"/>
      <c r="E407" s="469"/>
      <c r="F407" s="469"/>
      <c r="G407" s="469"/>
      <c r="H407" s="469"/>
      <c r="I407" s="469"/>
      <c r="J407" s="469"/>
      <c r="K407" s="469"/>
      <c r="L407" s="469"/>
      <c r="M407" s="469"/>
      <c r="N407" s="469"/>
      <c r="O407" s="469"/>
      <c r="P407" s="469"/>
      <c r="Q407" s="469"/>
      <c r="R407" s="469"/>
      <c r="S407" s="469"/>
      <c r="T407" s="469"/>
      <c r="U407" s="469"/>
      <c r="V407" s="469"/>
      <c r="W407" s="469"/>
      <c r="X407" s="469"/>
      <c r="Y407" s="469"/>
      <c r="Z407" s="469"/>
      <c r="AA407" s="469"/>
      <c r="AB407" s="469"/>
      <c r="AC407" s="469"/>
      <c r="AD407" s="469"/>
      <c r="AE407" s="469"/>
      <c r="AF407" s="469"/>
      <c r="AG407" s="469"/>
      <c r="AH407" s="469"/>
      <c r="AI407" s="469"/>
      <c r="AJ407" s="469"/>
      <c r="AK407" s="469"/>
    </row>
    <row r="408" customFormat="false" ht="12.75" hidden="false" customHeight="false" outlineLevel="0" collapsed="false">
      <c r="A408" s="470"/>
      <c r="D408" s="468"/>
      <c r="E408" s="469"/>
      <c r="F408" s="469"/>
      <c r="G408" s="469"/>
      <c r="H408" s="469"/>
      <c r="I408" s="469"/>
      <c r="J408" s="469"/>
      <c r="K408" s="469"/>
      <c r="L408" s="469"/>
      <c r="M408" s="469"/>
      <c r="N408" s="469"/>
      <c r="O408" s="469"/>
      <c r="P408" s="469"/>
      <c r="Q408" s="469"/>
      <c r="R408" s="469"/>
      <c r="S408" s="469"/>
      <c r="T408" s="469"/>
      <c r="U408" s="469"/>
      <c r="V408" s="469"/>
      <c r="W408" s="469"/>
      <c r="X408" s="469"/>
      <c r="Y408" s="469"/>
      <c r="Z408" s="469"/>
      <c r="AA408" s="469"/>
      <c r="AB408" s="469"/>
      <c r="AC408" s="469"/>
      <c r="AD408" s="469"/>
      <c r="AE408" s="469"/>
      <c r="AF408" s="469"/>
      <c r="AG408" s="469"/>
      <c r="AH408" s="469"/>
      <c r="AI408" s="469"/>
      <c r="AJ408" s="469"/>
      <c r="AK408" s="469"/>
    </row>
    <row r="409" customFormat="false" ht="12.75" hidden="false" customHeight="false" outlineLevel="0" collapsed="false">
      <c r="A409" s="470"/>
      <c r="D409" s="468"/>
      <c r="E409" s="469"/>
      <c r="F409" s="469"/>
      <c r="G409" s="469"/>
      <c r="H409" s="469"/>
      <c r="I409" s="469"/>
      <c r="J409" s="469"/>
      <c r="K409" s="469"/>
      <c r="L409" s="469"/>
      <c r="M409" s="469"/>
      <c r="N409" s="469"/>
      <c r="O409" s="469"/>
      <c r="P409" s="469"/>
      <c r="Q409" s="469"/>
      <c r="R409" s="469"/>
      <c r="S409" s="469"/>
      <c r="T409" s="469"/>
      <c r="U409" s="469"/>
      <c r="V409" s="469"/>
      <c r="W409" s="469"/>
      <c r="X409" s="469"/>
      <c r="Y409" s="469"/>
      <c r="Z409" s="469"/>
      <c r="AA409" s="469"/>
      <c r="AB409" s="469"/>
      <c r="AC409" s="469"/>
      <c r="AD409" s="469"/>
      <c r="AE409" s="469"/>
      <c r="AF409" s="469"/>
      <c r="AG409" s="469"/>
      <c r="AH409" s="469"/>
      <c r="AI409" s="469"/>
      <c r="AJ409" s="469"/>
      <c r="AK409" s="469"/>
    </row>
    <row r="410" customFormat="false" ht="12.75" hidden="false" customHeight="false" outlineLevel="0" collapsed="false">
      <c r="A410" s="470"/>
      <c r="D410" s="468"/>
      <c r="E410" s="469"/>
      <c r="F410" s="469"/>
      <c r="G410" s="469"/>
      <c r="H410" s="469"/>
      <c r="I410" s="469"/>
      <c r="J410" s="469"/>
      <c r="K410" s="469"/>
      <c r="L410" s="469"/>
      <c r="M410" s="469"/>
      <c r="N410" s="469"/>
      <c r="O410" s="469"/>
      <c r="P410" s="469"/>
      <c r="Q410" s="469"/>
      <c r="R410" s="469"/>
      <c r="S410" s="469"/>
      <c r="T410" s="469"/>
      <c r="U410" s="469"/>
      <c r="V410" s="469"/>
      <c r="W410" s="469"/>
      <c r="X410" s="469"/>
      <c r="Y410" s="469"/>
      <c r="Z410" s="469"/>
      <c r="AA410" s="469"/>
      <c r="AB410" s="469"/>
      <c r="AC410" s="469"/>
      <c r="AD410" s="469"/>
      <c r="AE410" s="469"/>
      <c r="AF410" s="469"/>
      <c r="AG410" s="469"/>
      <c r="AH410" s="469"/>
      <c r="AI410" s="469"/>
      <c r="AJ410" s="469"/>
      <c r="AK410" s="469"/>
    </row>
    <row r="411" customFormat="false" ht="12.75" hidden="false" customHeight="false" outlineLevel="0" collapsed="false">
      <c r="A411" s="470"/>
      <c r="D411" s="468"/>
      <c r="E411" s="469"/>
      <c r="F411" s="469"/>
      <c r="G411" s="469"/>
      <c r="H411" s="469"/>
      <c r="I411" s="469"/>
      <c r="J411" s="469"/>
      <c r="K411" s="469"/>
      <c r="L411" s="469"/>
      <c r="M411" s="469"/>
      <c r="N411" s="469"/>
      <c r="O411" s="469"/>
      <c r="P411" s="469"/>
      <c r="Q411" s="469"/>
      <c r="R411" s="469"/>
      <c r="S411" s="469"/>
      <c r="T411" s="469"/>
      <c r="U411" s="469"/>
      <c r="V411" s="469"/>
      <c r="W411" s="469"/>
      <c r="X411" s="469"/>
      <c r="Y411" s="469"/>
      <c r="Z411" s="469"/>
      <c r="AA411" s="469"/>
      <c r="AB411" s="469"/>
      <c r="AC411" s="469"/>
      <c r="AD411" s="469"/>
      <c r="AE411" s="469"/>
      <c r="AF411" s="469"/>
      <c r="AG411" s="469"/>
      <c r="AH411" s="469"/>
      <c r="AI411" s="469"/>
      <c r="AJ411" s="469"/>
      <c r="AK411" s="469"/>
    </row>
    <row r="412" customFormat="false" ht="12.75" hidden="false" customHeight="false" outlineLevel="0" collapsed="false">
      <c r="A412" s="470"/>
      <c r="D412" s="468"/>
      <c r="E412" s="469"/>
      <c r="F412" s="469"/>
      <c r="G412" s="469"/>
      <c r="H412" s="469"/>
      <c r="I412" s="469"/>
      <c r="J412" s="469"/>
      <c r="K412" s="469"/>
      <c r="L412" s="469"/>
      <c r="M412" s="469"/>
      <c r="N412" s="469"/>
      <c r="O412" s="469"/>
      <c r="P412" s="469"/>
      <c r="Q412" s="469"/>
      <c r="R412" s="469"/>
      <c r="S412" s="469"/>
      <c r="T412" s="469"/>
      <c r="U412" s="469"/>
      <c r="V412" s="469"/>
      <c r="W412" s="469"/>
      <c r="X412" s="469"/>
      <c r="Y412" s="469"/>
      <c r="Z412" s="469"/>
      <c r="AA412" s="469"/>
      <c r="AB412" s="469"/>
      <c r="AC412" s="469"/>
      <c r="AD412" s="469"/>
      <c r="AE412" s="469"/>
      <c r="AF412" s="469"/>
      <c r="AG412" s="469"/>
      <c r="AH412" s="469"/>
      <c r="AI412" s="469"/>
      <c r="AJ412" s="469"/>
      <c r="AK412" s="469"/>
    </row>
    <row r="413" customFormat="false" ht="12.75" hidden="false" customHeight="false" outlineLevel="0" collapsed="false">
      <c r="A413" s="470"/>
      <c r="D413" s="468"/>
      <c r="E413" s="469"/>
      <c r="F413" s="469"/>
      <c r="G413" s="469"/>
      <c r="H413" s="469"/>
      <c r="I413" s="469"/>
      <c r="J413" s="469"/>
      <c r="K413" s="469"/>
      <c r="L413" s="469"/>
      <c r="M413" s="469"/>
      <c r="N413" s="469"/>
      <c r="O413" s="469"/>
      <c r="P413" s="469"/>
      <c r="Q413" s="469"/>
      <c r="R413" s="469"/>
      <c r="S413" s="469"/>
      <c r="T413" s="469"/>
      <c r="U413" s="469"/>
      <c r="V413" s="469"/>
      <c r="W413" s="469"/>
      <c r="X413" s="469"/>
      <c r="Y413" s="469"/>
      <c r="Z413" s="469"/>
      <c r="AA413" s="469"/>
      <c r="AB413" s="469"/>
      <c r="AC413" s="469"/>
      <c r="AD413" s="469"/>
      <c r="AE413" s="469"/>
      <c r="AF413" s="469"/>
      <c r="AG413" s="469"/>
      <c r="AH413" s="469"/>
      <c r="AI413" s="469"/>
      <c r="AJ413" s="469"/>
      <c r="AK413" s="469"/>
    </row>
    <row r="414" customFormat="false" ht="12.75" hidden="false" customHeight="false" outlineLevel="0" collapsed="false">
      <c r="A414" s="470"/>
      <c r="D414" s="468"/>
      <c r="E414" s="469"/>
      <c r="F414" s="469"/>
      <c r="G414" s="469"/>
      <c r="H414" s="469"/>
      <c r="I414" s="469"/>
      <c r="J414" s="469"/>
      <c r="K414" s="469"/>
      <c r="L414" s="469"/>
      <c r="M414" s="469"/>
      <c r="N414" s="469"/>
      <c r="O414" s="469"/>
      <c r="P414" s="469"/>
      <c r="Q414" s="469"/>
      <c r="R414" s="469"/>
      <c r="S414" s="469"/>
      <c r="T414" s="469"/>
      <c r="U414" s="469"/>
      <c r="V414" s="469"/>
      <c r="W414" s="469"/>
      <c r="X414" s="469"/>
      <c r="Y414" s="469"/>
      <c r="Z414" s="469"/>
      <c r="AA414" s="469"/>
      <c r="AB414" s="469"/>
      <c r="AC414" s="469"/>
      <c r="AD414" s="469"/>
      <c r="AE414" s="469"/>
      <c r="AF414" s="469"/>
      <c r="AG414" s="469"/>
      <c r="AH414" s="469"/>
      <c r="AI414" s="469"/>
      <c r="AJ414" s="469"/>
      <c r="AK414" s="469"/>
    </row>
    <row r="415" customFormat="false" ht="12.75" hidden="false" customHeight="false" outlineLevel="0" collapsed="false">
      <c r="A415" s="470"/>
      <c r="D415" s="468"/>
      <c r="E415" s="469"/>
      <c r="F415" s="469"/>
      <c r="G415" s="469"/>
      <c r="H415" s="469"/>
      <c r="I415" s="469"/>
      <c r="J415" s="469"/>
      <c r="K415" s="469"/>
      <c r="L415" s="469"/>
      <c r="M415" s="469"/>
      <c r="N415" s="469"/>
      <c r="O415" s="469"/>
      <c r="P415" s="469"/>
      <c r="Q415" s="469"/>
      <c r="R415" s="469"/>
      <c r="S415" s="469"/>
      <c r="T415" s="469"/>
      <c r="U415" s="469"/>
      <c r="V415" s="469"/>
      <c r="W415" s="469"/>
      <c r="X415" s="469"/>
      <c r="Y415" s="469"/>
      <c r="Z415" s="469"/>
      <c r="AA415" s="469"/>
      <c r="AB415" s="469"/>
      <c r="AC415" s="469"/>
      <c r="AD415" s="469"/>
      <c r="AE415" s="469"/>
      <c r="AF415" s="469"/>
      <c r="AG415" s="469"/>
      <c r="AH415" s="469"/>
      <c r="AI415" s="469"/>
      <c r="AJ415" s="469"/>
      <c r="AK415" s="469"/>
    </row>
    <row r="416" customFormat="false" ht="12.75" hidden="false" customHeight="false" outlineLevel="0" collapsed="false">
      <c r="A416" s="470"/>
      <c r="D416" s="468"/>
      <c r="E416" s="469"/>
      <c r="F416" s="469"/>
      <c r="G416" s="469"/>
      <c r="H416" s="469"/>
      <c r="I416" s="469"/>
      <c r="J416" s="469"/>
      <c r="K416" s="469"/>
      <c r="L416" s="469"/>
      <c r="M416" s="469"/>
      <c r="N416" s="469"/>
      <c r="O416" s="469"/>
      <c r="P416" s="469"/>
      <c r="Q416" s="469"/>
      <c r="R416" s="469"/>
      <c r="S416" s="469"/>
      <c r="T416" s="469"/>
      <c r="U416" s="469"/>
      <c r="V416" s="469"/>
      <c r="W416" s="469"/>
      <c r="X416" s="469"/>
      <c r="Y416" s="469"/>
      <c r="Z416" s="469"/>
      <c r="AA416" s="469"/>
      <c r="AB416" s="469"/>
      <c r="AC416" s="469"/>
      <c r="AD416" s="469"/>
      <c r="AE416" s="469"/>
      <c r="AF416" s="469"/>
      <c r="AG416" s="469"/>
      <c r="AH416" s="469"/>
      <c r="AI416" s="469"/>
      <c r="AJ416" s="469"/>
      <c r="AK416" s="469"/>
    </row>
    <row r="417" customFormat="false" ht="12.75" hidden="false" customHeight="false" outlineLevel="0" collapsed="false">
      <c r="A417" s="470"/>
      <c r="D417" s="468"/>
      <c r="E417" s="469"/>
      <c r="F417" s="469"/>
      <c r="G417" s="469"/>
      <c r="H417" s="469"/>
      <c r="I417" s="469"/>
      <c r="J417" s="469"/>
      <c r="K417" s="469"/>
      <c r="L417" s="469"/>
      <c r="M417" s="469"/>
      <c r="N417" s="469"/>
      <c r="O417" s="469"/>
      <c r="P417" s="469"/>
      <c r="Q417" s="469"/>
      <c r="R417" s="469"/>
      <c r="S417" s="469"/>
      <c r="T417" s="469"/>
      <c r="U417" s="469"/>
      <c r="V417" s="469"/>
      <c r="W417" s="469"/>
      <c r="X417" s="469"/>
      <c r="Y417" s="469"/>
      <c r="Z417" s="469"/>
      <c r="AA417" s="469"/>
      <c r="AB417" s="469"/>
      <c r="AC417" s="469"/>
      <c r="AD417" s="469"/>
      <c r="AE417" s="469"/>
      <c r="AF417" s="469"/>
      <c r="AG417" s="469"/>
      <c r="AH417" s="469"/>
      <c r="AI417" s="469"/>
      <c r="AJ417" s="469"/>
      <c r="AK417" s="469"/>
    </row>
    <row r="418" customFormat="false" ht="12.75" hidden="false" customHeight="false" outlineLevel="0" collapsed="false">
      <c r="A418" s="470"/>
      <c r="D418" s="468"/>
      <c r="E418" s="469"/>
      <c r="F418" s="469"/>
      <c r="G418" s="469"/>
      <c r="H418" s="469"/>
      <c r="I418" s="469"/>
      <c r="J418" s="469"/>
      <c r="K418" s="469"/>
      <c r="L418" s="469"/>
      <c r="M418" s="469"/>
      <c r="N418" s="469"/>
      <c r="O418" s="469"/>
      <c r="P418" s="469"/>
      <c r="Q418" s="469"/>
      <c r="R418" s="469"/>
      <c r="S418" s="469"/>
      <c r="T418" s="469"/>
      <c r="U418" s="469"/>
      <c r="V418" s="469"/>
      <c r="W418" s="469"/>
      <c r="X418" s="469"/>
      <c r="Y418" s="469"/>
      <c r="Z418" s="469"/>
      <c r="AA418" s="469"/>
      <c r="AB418" s="469"/>
      <c r="AC418" s="469"/>
      <c r="AD418" s="469"/>
      <c r="AE418" s="469"/>
      <c r="AF418" s="469"/>
      <c r="AG418" s="469"/>
      <c r="AH418" s="469"/>
      <c r="AI418" s="469"/>
      <c r="AJ418" s="469"/>
      <c r="AK418" s="469"/>
    </row>
    <row r="419" customFormat="false" ht="12.75" hidden="false" customHeight="false" outlineLevel="0" collapsed="false">
      <c r="A419" s="470"/>
      <c r="D419" s="468"/>
      <c r="E419" s="469"/>
      <c r="F419" s="469"/>
      <c r="G419" s="469"/>
      <c r="H419" s="469"/>
      <c r="I419" s="469"/>
      <c r="J419" s="469"/>
      <c r="K419" s="469"/>
      <c r="L419" s="469"/>
      <c r="M419" s="469"/>
      <c r="N419" s="469"/>
      <c r="O419" s="469"/>
      <c r="P419" s="469"/>
      <c r="Q419" s="469"/>
      <c r="R419" s="469"/>
      <c r="S419" s="469"/>
      <c r="T419" s="469"/>
      <c r="U419" s="469"/>
      <c r="V419" s="469"/>
      <c r="W419" s="469"/>
      <c r="X419" s="469"/>
      <c r="Y419" s="469"/>
      <c r="Z419" s="469"/>
      <c r="AA419" s="469"/>
      <c r="AB419" s="469"/>
      <c r="AC419" s="469"/>
      <c r="AD419" s="469"/>
      <c r="AE419" s="469"/>
      <c r="AF419" s="469"/>
      <c r="AG419" s="469"/>
      <c r="AH419" s="469"/>
      <c r="AI419" s="469"/>
      <c r="AJ419" s="469"/>
      <c r="AK419" s="469"/>
    </row>
    <row r="420" customFormat="false" ht="12.75" hidden="false" customHeight="false" outlineLevel="0" collapsed="false">
      <c r="A420" s="470"/>
      <c r="D420" s="468"/>
      <c r="E420" s="469"/>
      <c r="F420" s="469"/>
      <c r="G420" s="469"/>
      <c r="H420" s="469"/>
      <c r="I420" s="469"/>
      <c r="J420" s="469"/>
      <c r="K420" s="469"/>
      <c r="L420" s="469"/>
      <c r="M420" s="469"/>
      <c r="N420" s="469"/>
      <c r="O420" s="469"/>
      <c r="P420" s="469"/>
      <c r="Q420" s="469"/>
      <c r="R420" s="469"/>
      <c r="S420" s="469"/>
      <c r="T420" s="469"/>
      <c r="U420" s="469"/>
      <c r="V420" s="469"/>
      <c r="W420" s="469"/>
      <c r="X420" s="469"/>
      <c r="Y420" s="469"/>
      <c r="Z420" s="469"/>
      <c r="AA420" s="469"/>
      <c r="AB420" s="469"/>
      <c r="AC420" s="469"/>
      <c r="AD420" s="469"/>
      <c r="AE420" s="469"/>
      <c r="AF420" s="469"/>
      <c r="AG420" s="469"/>
      <c r="AH420" s="469"/>
      <c r="AI420" s="469"/>
      <c r="AJ420" s="469"/>
      <c r="AK420" s="469"/>
    </row>
    <row r="421" customFormat="false" ht="12.75" hidden="false" customHeight="false" outlineLevel="0" collapsed="false">
      <c r="A421" s="470"/>
      <c r="D421" s="468"/>
      <c r="E421" s="469"/>
      <c r="F421" s="469"/>
      <c r="G421" s="469"/>
      <c r="H421" s="469"/>
      <c r="I421" s="469"/>
      <c r="J421" s="469"/>
      <c r="K421" s="469"/>
      <c r="L421" s="469"/>
      <c r="M421" s="469"/>
      <c r="N421" s="469"/>
      <c r="O421" s="469"/>
      <c r="P421" s="469"/>
      <c r="Q421" s="469"/>
      <c r="R421" s="469"/>
      <c r="S421" s="469"/>
      <c r="T421" s="469"/>
      <c r="U421" s="469"/>
      <c r="V421" s="469"/>
      <c r="W421" s="469"/>
      <c r="X421" s="469"/>
      <c r="Y421" s="469"/>
      <c r="Z421" s="469"/>
      <c r="AA421" s="469"/>
      <c r="AB421" s="469"/>
      <c r="AC421" s="469"/>
      <c r="AD421" s="469"/>
      <c r="AE421" s="469"/>
      <c r="AF421" s="469"/>
      <c r="AG421" s="469"/>
      <c r="AH421" s="469"/>
      <c r="AI421" s="469"/>
      <c r="AJ421" s="469"/>
      <c r="AK421" s="469"/>
    </row>
    <row r="422" customFormat="false" ht="12.75" hidden="false" customHeight="false" outlineLevel="0" collapsed="false">
      <c r="A422" s="470"/>
      <c r="D422" s="468"/>
      <c r="E422" s="469"/>
      <c r="F422" s="469"/>
      <c r="G422" s="469"/>
      <c r="H422" s="469"/>
      <c r="I422" s="469"/>
      <c r="J422" s="469"/>
      <c r="K422" s="469"/>
      <c r="L422" s="469"/>
      <c r="M422" s="469"/>
      <c r="N422" s="469"/>
      <c r="O422" s="469"/>
      <c r="P422" s="469"/>
      <c r="Q422" s="469"/>
      <c r="R422" s="469"/>
      <c r="S422" s="469"/>
      <c r="T422" s="469"/>
      <c r="U422" s="469"/>
      <c r="V422" s="469"/>
      <c r="W422" s="469"/>
      <c r="X422" s="469"/>
      <c r="Y422" s="469"/>
      <c r="Z422" s="469"/>
      <c r="AA422" s="469"/>
      <c r="AB422" s="469"/>
      <c r="AC422" s="469"/>
      <c r="AD422" s="469"/>
      <c r="AE422" s="469"/>
      <c r="AF422" s="469"/>
      <c r="AG422" s="469"/>
      <c r="AH422" s="469"/>
      <c r="AI422" s="469"/>
      <c r="AJ422" s="469"/>
      <c r="AK422" s="469"/>
    </row>
    <row r="423" customFormat="false" ht="12.75" hidden="false" customHeight="false" outlineLevel="0" collapsed="false">
      <c r="A423" s="470"/>
      <c r="D423" s="468"/>
      <c r="E423" s="469"/>
      <c r="F423" s="469"/>
      <c r="G423" s="469"/>
      <c r="H423" s="469"/>
      <c r="I423" s="469"/>
      <c r="J423" s="469"/>
      <c r="K423" s="469"/>
      <c r="L423" s="469"/>
      <c r="M423" s="469"/>
      <c r="N423" s="469"/>
      <c r="O423" s="469"/>
      <c r="P423" s="469"/>
      <c r="Q423" s="469"/>
      <c r="R423" s="469"/>
      <c r="S423" s="469"/>
      <c r="T423" s="469"/>
      <c r="U423" s="469"/>
      <c r="V423" s="469"/>
      <c r="W423" s="469"/>
      <c r="X423" s="469"/>
      <c r="Y423" s="469"/>
      <c r="Z423" s="469"/>
      <c r="AA423" s="469"/>
      <c r="AB423" s="469"/>
      <c r="AC423" s="469"/>
      <c r="AD423" s="469"/>
      <c r="AE423" s="469"/>
      <c r="AF423" s="469"/>
      <c r="AG423" s="469"/>
      <c r="AH423" s="469"/>
      <c r="AI423" s="469"/>
      <c r="AJ423" s="469"/>
      <c r="AK423" s="469"/>
    </row>
    <row r="424" customFormat="false" ht="12.75" hidden="false" customHeight="false" outlineLevel="0" collapsed="false">
      <c r="D424" s="468"/>
      <c r="E424" s="469"/>
      <c r="F424" s="469"/>
      <c r="G424" s="469"/>
      <c r="H424" s="469"/>
      <c r="I424" s="469"/>
      <c r="J424" s="469"/>
      <c r="K424" s="469"/>
      <c r="L424" s="469"/>
      <c r="M424" s="469"/>
      <c r="N424" s="469"/>
      <c r="O424" s="469"/>
      <c r="P424" s="469"/>
      <c r="Q424" s="469"/>
      <c r="R424" s="469"/>
      <c r="S424" s="469"/>
      <c r="T424" s="469"/>
      <c r="U424" s="469"/>
      <c r="V424" s="469"/>
      <c r="W424" s="469"/>
      <c r="X424" s="469"/>
      <c r="Y424" s="469"/>
      <c r="Z424" s="469"/>
      <c r="AA424" s="469"/>
      <c r="AB424" s="469"/>
      <c r="AC424" s="469"/>
      <c r="AD424" s="469"/>
      <c r="AE424" s="469"/>
      <c r="AF424" s="469"/>
      <c r="AG424" s="469"/>
      <c r="AH424" s="469"/>
      <c r="AI424" s="469"/>
      <c r="AJ424" s="469"/>
      <c r="AK424" s="469"/>
    </row>
    <row r="425" customFormat="false" ht="12.75" hidden="false" customHeight="false" outlineLevel="0" collapsed="false">
      <c r="D425" s="468"/>
      <c r="E425" s="469"/>
      <c r="F425" s="469"/>
      <c r="G425" s="469"/>
      <c r="H425" s="469"/>
      <c r="I425" s="469"/>
      <c r="J425" s="469"/>
      <c r="K425" s="469"/>
      <c r="L425" s="469"/>
      <c r="M425" s="469"/>
      <c r="N425" s="469"/>
      <c r="O425" s="469"/>
      <c r="P425" s="469"/>
      <c r="Q425" s="469"/>
      <c r="R425" s="469"/>
      <c r="S425" s="469"/>
      <c r="T425" s="469"/>
      <c r="U425" s="469"/>
      <c r="V425" s="469"/>
      <c r="W425" s="469"/>
      <c r="X425" s="469"/>
      <c r="Y425" s="469"/>
      <c r="Z425" s="469"/>
      <c r="AA425" s="469"/>
      <c r="AB425" s="469"/>
      <c r="AC425" s="469"/>
      <c r="AD425" s="469"/>
      <c r="AE425" s="469"/>
      <c r="AF425" s="469"/>
      <c r="AG425" s="469"/>
      <c r="AH425" s="469"/>
      <c r="AI425" s="469"/>
      <c r="AJ425" s="469"/>
      <c r="AK425" s="469"/>
    </row>
    <row r="426" customFormat="false" ht="12.75" hidden="false" customHeight="false" outlineLevel="0" collapsed="false">
      <c r="D426" s="468"/>
      <c r="E426" s="469"/>
      <c r="F426" s="469"/>
      <c r="G426" s="469"/>
      <c r="H426" s="469"/>
      <c r="I426" s="469"/>
      <c r="J426" s="469"/>
      <c r="K426" s="469"/>
      <c r="L426" s="469"/>
      <c r="M426" s="469"/>
      <c r="N426" s="469"/>
      <c r="O426" s="469"/>
      <c r="P426" s="469"/>
      <c r="Q426" s="469"/>
      <c r="R426" s="469"/>
      <c r="S426" s="469"/>
      <c r="T426" s="469"/>
      <c r="U426" s="469"/>
      <c r="V426" s="469"/>
      <c r="W426" s="469"/>
      <c r="X426" s="469"/>
      <c r="Y426" s="469"/>
      <c r="Z426" s="469"/>
      <c r="AA426" s="469"/>
      <c r="AB426" s="469"/>
      <c r="AC426" s="469"/>
      <c r="AD426" s="469"/>
      <c r="AE426" s="469"/>
      <c r="AF426" s="469"/>
      <c r="AG426" s="469"/>
      <c r="AH426" s="469"/>
      <c r="AI426" s="469"/>
      <c r="AJ426" s="469"/>
      <c r="AK426" s="469"/>
    </row>
    <row r="427" customFormat="false" ht="12.75" hidden="false" customHeight="false" outlineLevel="0" collapsed="false">
      <c r="D427" s="468"/>
      <c r="E427" s="469"/>
      <c r="F427" s="469"/>
      <c r="G427" s="469"/>
      <c r="H427" s="469"/>
      <c r="I427" s="469"/>
      <c r="J427" s="469"/>
      <c r="K427" s="469"/>
      <c r="L427" s="469"/>
      <c r="M427" s="469"/>
      <c r="N427" s="469"/>
      <c r="O427" s="469"/>
      <c r="P427" s="469"/>
      <c r="Q427" s="469"/>
      <c r="R427" s="469"/>
      <c r="S427" s="469"/>
      <c r="T427" s="469"/>
      <c r="U427" s="469"/>
      <c r="V427" s="469"/>
      <c r="W427" s="469"/>
      <c r="X427" s="469"/>
      <c r="Y427" s="469"/>
      <c r="Z427" s="469"/>
      <c r="AA427" s="469"/>
      <c r="AB427" s="469"/>
      <c r="AC427" s="469"/>
      <c r="AD427" s="469"/>
      <c r="AE427" s="469"/>
      <c r="AF427" s="469"/>
      <c r="AG427" s="469"/>
      <c r="AH427" s="469"/>
      <c r="AI427" s="469"/>
      <c r="AJ427" s="469"/>
      <c r="AK427" s="469"/>
    </row>
    <row r="428" customFormat="false" ht="12.75" hidden="false" customHeight="false" outlineLevel="0" collapsed="false">
      <c r="D428" s="468"/>
      <c r="E428" s="469"/>
      <c r="F428" s="469"/>
      <c r="G428" s="469"/>
      <c r="H428" s="469"/>
      <c r="I428" s="469"/>
      <c r="J428" s="469"/>
      <c r="K428" s="469"/>
      <c r="L428" s="469"/>
      <c r="M428" s="469"/>
      <c r="N428" s="469"/>
      <c r="O428" s="469"/>
      <c r="P428" s="469"/>
      <c r="Q428" s="469"/>
      <c r="R428" s="469"/>
      <c r="S428" s="469"/>
      <c r="T428" s="469"/>
      <c r="U428" s="469"/>
      <c r="V428" s="469"/>
      <c r="W428" s="469"/>
      <c r="X428" s="469"/>
      <c r="Y428" s="469"/>
      <c r="Z428" s="469"/>
      <c r="AA428" s="469"/>
      <c r="AB428" s="469"/>
      <c r="AC428" s="469"/>
      <c r="AD428" s="469"/>
      <c r="AE428" s="469"/>
      <c r="AF428" s="469"/>
      <c r="AG428" s="469"/>
      <c r="AH428" s="469"/>
      <c r="AI428" s="469"/>
      <c r="AJ428" s="469"/>
      <c r="AK428" s="469"/>
    </row>
    <row r="429" customFormat="false" ht="12.75" hidden="false" customHeight="false" outlineLevel="0" collapsed="false">
      <c r="D429" s="468"/>
      <c r="E429" s="469"/>
      <c r="F429" s="469"/>
      <c r="G429" s="469"/>
      <c r="H429" s="469"/>
      <c r="I429" s="469"/>
      <c r="J429" s="469"/>
      <c r="K429" s="469"/>
      <c r="L429" s="469"/>
      <c r="M429" s="469"/>
      <c r="N429" s="469"/>
      <c r="O429" s="469"/>
      <c r="P429" s="469"/>
      <c r="Q429" s="469"/>
      <c r="R429" s="469"/>
      <c r="S429" s="469"/>
      <c r="T429" s="469"/>
      <c r="U429" s="469"/>
      <c r="V429" s="469"/>
      <c r="W429" s="469"/>
      <c r="X429" s="469"/>
      <c r="Y429" s="469"/>
      <c r="Z429" s="469"/>
      <c r="AA429" s="469"/>
      <c r="AB429" s="469"/>
      <c r="AC429" s="469"/>
      <c r="AD429" s="469"/>
      <c r="AE429" s="469"/>
      <c r="AF429" s="469"/>
      <c r="AG429" s="469"/>
      <c r="AH429" s="469"/>
      <c r="AI429" s="469"/>
      <c r="AJ429" s="469"/>
      <c r="AK429" s="469"/>
    </row>
    <row r="430" customFormat="false" ht="12.75" hidden="false" customHeight="false" outlineLevel="0" collapsed="false">
      <c r="D430" s="468"/>
      <c r="E430" s="469"/>
      <c r="F430" s="469"/>
      <c r="G430" s="469"/>
      <c r="H430" s="469"/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/>
      <c r="T430" s="469"/>
      <c r="U430" s="469"/>
      <c r="V430" s="469"/>
      <c r="W430" s="469"/>
      <c r="X430" s="469"/>
      <c r="Y430" s="469"/>
      <c r="Z430" s="469"/>
      <c r="AA430" s="469"/>
      <c r="AB430" s="469"/>
      <c r="AC430" s="469"/>
      <c r="AD430" s="469"/>
      <c r="AE430" s="469"/>
      <c r="AF430" s="469"/>
      <c r="AG430" s="469"/>
      <c r="AH430" s="469"/>
      <c r="AI430" s="469"/>
      <c r="AJ430" s="469"/>
      <c r="AK430" s="469"/>
    </row>
    <row r="431" customFormat="false" ht="12.75" hidden="false" customHeight="false" outlineLevel="0" collapsed="false">
      <c r="A431" s="473"/>
      <c r="D431" s="468"/>
      <c r="E431" s="469"/>
      <c r="F431" s="469"/>
      <c r="G431" s="469"/>
      <c r="H431" s="469"/>
      <c r="I431" s="469"/>
      <c r="J431" s="469"/>
      <c r="K431" s="469"/>
      <c r="L431" s="469"/>
      <c r="M431" s="469"/>
      <c r="N431" s="469"/>
      <c r="O431" s="469"/>
      <c r="P431" s="469"/>
      <c r="Q431" s="469"/>
      <c r="R431" s="469"/>
      <c r="S431" s="469"/>
      <c r="T431" s="469"/>
      <c r="U431" s="469"/>
      <c r="V431" s="469"/>
      <c r="W431" s="469"/>
      <c r="X431" s="469"/>
      <c r="Y431" s="469"/>
      <c r="Z431" s="469"/>
      <c r="AA431" s="469"/>
      <c r="AB431" s="469"/>
      <c r="AC431" s="469"/>
      <c r="AD431" s="469"/>
      <c r="AE431" s="469"/>
      <c r="AF431" s="469"/>
      <c r="AG431" s="469"/>
      <c r="AH431" s="469"/>
      <c r="AI431" s="469"/>
      <c r="AJ431" s="469"/>
      <c r="AK431" s="469"/>
    </row>
    <row r="432" customFormat="false" ht="12.75" hidden="false" customHeight="false" outlineLevel="0" collapsed="false">
      <c r="A432" s="470"/>
      <c r="D432" s="468"/>
      <c r="E432" s="469"/>
      <c r="F432" s="469"/>
      <c r="G432" s="469"/>
      <c r="H432" s="469"/>
      <c r="I432" s="469"/>
      <c r="J432" s="469"/>
      <c r="K432" s="469"/>
      <c r="L432" s="469"/>
      <c r="M432" s="469"/>
      <c r="N432" s="469"/>
      <c r="O432" s="469"/>
      <c r="P432" s="469"/>
      <c r="Q432" s="469"/>
      <c r="R432" s="469"/>
      <c r="S432" s="469"/>
      <c r="T432" s="469"/>
      <c r="U432" s="469"/>
      <c r="V432" s="469"/>
      <c r="W432" s="469"/>
      <c r="X432" s="469"/>
      <c r="Y432" s="469"/>
      <c r="Z432" s="469"/>
      <c r="AA432" s="469"/>
      <c r="AB432" s="469"/>
      <c r="AC432" s="469"/>
      <c r="AD432" s="469"/>
      <c r="AE432" s="469"/>
      <c r="AF432" s="469"/>
      <c r="AG432" s="469"/>
      <c r="AH432" s="469"/>
      <c r="AI432" s="469"/>
      <c r="AJ432" s="469"/>
      <c r="AK432" s="469"/>
    </row>
    <row r="433" customFormat="false" ht="12.75" hidden="false" customHeight="false" outlineLevel="0" collapsed="false">
      <c r="A433" s="470"/>
      <c r="D433" s="468"/>
      <c r="E433" s="469"/>
      <c r="F433" s="469"/>
      <c r="G433" s="469"/>
      <c r="H433" s="469"/>
      <c r="I433" s="469"/>
      <c r="J433" s="469"/>
      <c r="K433" s="469"/>
      <c r="L433" s="469"/>
      <c r="M433" s="469"/>
      <c r="N433" s="469"/>
      <c r="O433" s="469"/>
      <c r="P433" s="469"/>
      <c r="Q433" s="469"/>
      <c r="R433" s="469"/>
      <c r="S433" s="469"/>
      <c r="T433" s="469"/>
      <c r="U433" s="469"/>
      <c r="V433" s="469"/>
      <c r="W433" s="469"/>
      <c r="X433" s="469"/>
      <c r="Y433" s="469"/>
      <c r="Z433" s="469"/>
      <c r="AA433" s="469"/>
      <c r="AB433" s="469"/>
      <c r="AC433" s="469"/>
      <c r="AD433" s="469"/>
      <c r="AE433" s="469"/>
      <c r="AF433" s="469"/>
      <c r="AG433" s="469"/>
      <c r="AH433" s="469"/>
      <c r="AI433" s="469"/>
      <c r="AJ433" s="469"/>
      <c r="AK433" s="469"/>
    </row>
    <row r="434" customFormat="false" ht="12.75" hidden="false" customHeight="false" outlineLevel="0" collapsed="false">
      <c r="A434" s="470"/>
      <c r="D434" s="468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O434" s="469"/>
      <c r="P434" s="469"/>
      <c r="Q434" s="469"/>
      <c r="R434" s="469"/>
      <c r="S434" s="469"/>
      <c r="T434" s="469"/>
      <c r="U434" s="469"/>
      <c r="V434" s="469"/>
      <c r="W434" s="469"/>
      <c r="X434" s="469"/>
      <c r="Y434" s="469"/>
      <c r="Z434" s="469"/>
      <c r="AA434" s="469"/>
      <c r="AB434" s="469"/>
      <c r="AC434" s="469"/>
      <c r="AD434" s="469"/>
      <c r="AE434" s="469"/>
      <c r="AF434" s="469"/>
      <c r="AG434" s="469"/>
      <c r="AH434" s="469"/>
      <c r="AI434" s="469"/>
      <c r="AJ434" s="469"/>
      <c r="AK434" s="469"/>
    </row>
    <row r="435" customFormat="false" ht="12.75" hidden="false" customHeight="false" outlineLevel="0" collapsed="false">
      <c r="A435" s="470"/>
      <c r="D435" s="468"/>
      <c r="E435" s="469"/>
      <c r="F435" s="469"/>
      <c r="G435" s="469"/>
      <c r="H435" s="469"/>
      <c r="I435" s="469"/>
      <c r="J435" s="469"/>
      <c r="K435" s="469"/>
      <c r="L435" s="469"/>
      <c r="M435" s="469"/>
      <c r="N435" s="469"/>
      <c r="O435" s="469"/>
      <c r="P435" s="469"/>
      <c r="Q435" s="469"/>
      <c r="R435" s="469"/>
      <c r="S435" s="469"/>
      <c r="T435" s="469"/>
      <c r="U435" s="469"/>
      <c r="V435" s="469"/>
      <c r="W435" s="469"/>
      <c r="X435" s="469"/>
      <c r="Y435" s="469"/>
      <c r="Z435" s="469"/>
      <c r="AA435" s="469"/>
      <c r="AB435" s="469"/>
      <c r="AC435" s="469"/>
      <c r="AD435" s="469"/>
      <c r="AE435" s="469"/>
      <c r="AF435" s="469"/>
      <c r="AG435" s="469"/>
      <c r="AH435" s="469"/>
      <c r="AI435" s="469"/>
      <c r="AJ435" s="469"/>
      <c r="AK435" s="469"/>
    </row>
    <row r="436" customFormat="false" ht="12.75" hidden="false" customHeight="false" outlineLevel="0" collapsed="false">
      <c r="A436" s="470"/>
      <c r="D436" s="468"/>
      <c r="E436" s="469"/>
      <c r="F436" s="469"/>
      <c r="G436" s="469"/>
      <c r="H436" s="469"/>
      <c r="I436" s="469"/>
      <c r="J436" s="469"/>
      <c r="K436" s="469"/>
      <c r="L436" s="469"/>
      <c r="M436" s="469"/>
      <c r="N436" s="469"/>
      <c r="O436" s="469"/>
      <c r="P436" s="469"/>
      <c r="Q436" s="469"/>
      <c r="R436" s="469"/>
      <c r="S436" s="469"/>
      <c r="T436" s="469"/>
      <c r="U436" s="469"/>
      <c r="V436" s="469"/>
      <c r="W436" s="469"/>
      <c r="X436" s="469"/>
      <c r="Y436" s="469"/>
      <c r="Z436" s="469"/>
      <c r="AA436" s="469"/>
      <c r="AB436" s="469"/>
      <c r="AC436" s="469"/>
      <c r="AD436" s="469"/>
      <c r="AE436" s="469"/>
      <c r="AF436" s="469"/>
      <c r="AG436" s="469"/>
      <c r="AH436" s="469"/>
      <c r="AI436" s="469"/>
      <c r="AJ436" s="469"/>
      <c r="AK436" s="469"/>
    </row>
    <row r="437" customFormat="false" ht="12.75" hidden="false" customHeight="false" outlineLevel="0" collapsed="false">
      <c r="A437" s="470"/>
      <c r="D437" s="468"/>
      <c r="E437" s="469"/>
      <c r="F437" s="469"/>
      <c r="G437" s="469"/>
      <c r="H437" s="469"/>
      <c r="I437" s="469"/>
      <c r="J437" s="469"/>
      <c r="K437" s="469"/>
      <c r="L437" s="469"/>
      <c r="M437" s="469"/>
      <c r="N437" s="469"/>
      <c r="O437" s="469"/>
      <c r="P437" s="469"/>
      <c r="Q437" s="469"/>
      <c r="R437" s="469"/>
      <c r="S437" s="469"/>
      <c r="T437" s="469"/>
      <c r="U437" s="469"/>
      <c r="V437" s="469"/>
      <c r="W437" s="469"/>
      <c r="X437" s="469"/>
      <c r="Y437" s="469"/>
      <c r="Z437" s="469"/>
      <c r="AA437" s="469"/>
      <c r="AB437" s="469"/>
      <c r="AC437" s="469"/>
      <c r="AD437" s="469"/>
      <c r="AE437" s="469"/>
      <c r="AF437" s="469"/>
      <c r="AG437" s="469"/>
      <c r="AH437" s="469"/>
      <c r="AI437" s="469"/>
      <c r="AJ437" s="469"/>
      <c r="AK437" s="469"/>
    </row>
    <row r="438" customFormat="false" ht="12.75" hidden="false" customHeight="false" outlineLevel="0" collapsed="false">
      <c r="A438" s="470"/>
      <c r="D438" s="468"/>
      <c r="E438" s="469"/>
      <c r="F438" s="469"/>
      <c r="G438" s="469"/>
      <c r="H438" s="469"/>
      <c r="I438" s="469"/>
      <c r="J438" s="469"/>
      <c r="K438" s="469"/>
      <c r="L438" s="469"/>
      <c r="M438" s="469"/>
      <c r="N438" s="469"/>
      <c r="O438" s="469"/>
      <c r="P438" s="469"/>
      <c r="Q438" s="469"/>
      <c r="R438" s="469"/>
      <c r="S438" s="469"/>
      <c r="T438" s="469"/>
      <c r="U438" s="469"/>
      <c r="V438" s="469"/>
      <c r="W438" s="469"/>
      <c r="X438" s="469"/>
      <c r="Y438" s="469"/>
      <c r="Z438" s="469"/>
      <c r="AA438" s="469"/>
      <c r="AB438" s="469"/>
      <c r="AC438" s="469"/>
      <c r="AD438" s="469"/>
      <c r="AE438" s="469"/>
      <c r="AF438" s="469"/>
      <c r="AG438" s="469"/>
      <c r="AH438" s="469"/>
      <c r="AI438" s="469"/>
      <c r="AJ438" s="469"/>
      <c r="AK438" s="469"/>
    </row>
    <row r="439" customFormat="false" ht="12.75" hidden="false" customHeight="false" outlineLevel="0" collapsed="false">
      <c r="A439" s="470"/>
      <c r="D439" s="468"/>
      <c r="E439" s="469"/>
      <c r="F439" s="469"/>
      <c r="G439" s="469"/>
      <c r="H439" s="469"/>
      <c r="I439" s="469"/>
      <c r="J439" s="469"/>
      <c r="K439" s="469"/>
      <c r="L439" s="469"/>
      <c r="M439" s="469"/>
      <c r="N439" s="469"/>
      <c r="O439" s="469"/>
      <c r="P439" s="469"/>
      <c r="Q439" s="469"/>
      <c r="R439" s="469"/>
      <c r="S439" s="469"/>
      <c r="T439" s="469"/>
      <c r="U439" s="469"/>
      <c r="V439" s="469"/>
      <c r="W439" s="469"/>
      <c r="X439" s="469"/>
      <c r="Y439" s="469"/>
      <c r="Z439" s="469"/>
      <c r="AA439" s="469"/>
      <c r="AB439" s="469"/>
      <c r="AC439" s="469"/>
      <c r="AD439" s="469"/>
      <c r="AE439" s="469"/>
      <c r="AF439" s="469"/>
      <c r="AG439" s="469"/>
      <c r="AH439" s="469"/>
      <c r="AI439" s="469"/>
      <c r="AJ439" s="469"/>
      <c r="AK439" s="469"/>
    </row>
    <row r="440" customFormat="false" ht="12.75" hidden="false" customHeight="false" outlineLevel="0" collapsed="false">
      <c r="A440" s="470"/>
      <c r="D440" s="468"/>
      <c r="E440" s="469"/>
      <c r="F440" s="469"/>
      <c r="G440" s="469"/>
      <c r="H440" s="469"/>
      <c r="I440" s="469"/>
      <c r="J440" s="469"/>
      <c r="K440" s="469"/>
      <c r="L440" s="469"/>
      <c r="M440" s="469"/>
      <c r="N440" s="469"/>
      <c r="O440" s="469"/>
      <c r="P440" s="469"/>
      <c r="Q440" s="469"/>
      <c r="R440" s="469"/>
      <c r="S440" s="469"/>
      <c r="T440" s="469"/>
      <c r="U440" s="469"/>
      <c r="V440" s="469"/>
      <c r="W440" s="469"/>
      <c r="X440" s="469"/>
      <c r="Y440" s="469"/>
      <c r="Z440" s="469"/>
      <c r="AA440" s="469"/>
      <c r="AB440" s="469"/>
      <c r="AC440" s="469"/>
      <c r="AD440" s="469"/>
      <c r="AE440" s="469"/>
      <c r="AF440" s="469"/>
      <c r="AG440" s="469"/>
      <c r="AH440" s="469"/>
      <c r="AI440" s="469"/>
      <c r="AJ440" s="469"/>
      <c r="AK440" s="469"/>
    </row>
    <row r="441" customFormat="false" ht="12.75" hidden="false" customHeight="false" outlineLevel="0" collapsed="false">
      <c r="A441" s="470"/>
      <c r="D441" s="468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469"/>
      <c r="U441" s="469"/>
      <c r="V441" s="469"/>
      <c r="W441" s="469"/>
      <c r="X441" s="469"/>
      <c r="Y441" s="469"/>
      <c r="Z441" s="469"/>
      <c r="AA441" s="469"/>
      <c r="AB441" s="469"/>
      <c r="AC441" s="469"/>
      <c r="AD441" s="469"/>
      <c r="AE441" s="469"/>
      <c r="AF441" s="469"/>
      <c r="AG441" s="469"/>
      <c r="AH441" s="469"/>
      <c r="AI441" s="469"/>
      <c r="AJ441" s="469"/>
      <c r="AK441" s="469"/>
    </row>
    <row r="442" customFormat="false" ht="12.75" hidden="false" customHeight="false" outlineLevel="0" collapsed="false">
      <c r="A442" s="470"/>
      <c r="D442" s="468"/>
      <c r="E442" s="469"/>
      <c r="F442" s="469"/>
      <c r="G442" s="469"/>
      <c r="H442" s="469"/>
      <c r="I442" s="469"/>
      <c r="J442" s="469"/>
      <c r="K442" s="469"/>
      <c r="L442" s="469"/>
      <c r="M442" s="469"/>
      <c r="N442" s="469"/>
      <c r="O442" s="469"/>
      <c r="P442" s="469"/>
      <c r="Q442" s="469"/>
      <c r="R442" s="469"/>
      <c r="S442" s="469"/>
      <c r="T442" s="469"/>
      <c r="U442" s="469"/>
      <c r="V442" s="469"/>
      <c r="W442" s="469"/>
      <c r="X442" s="469"/>
      <c r="Y442" s="469"/>
      <c r="Z442" s="469"/>
      <c r="AA442" s="469"/>
      <c r="AB442" s="469"/>
      <c r="AC442" s="469"/>
      <c r="AD442" s="469"/>
      <c r="AE442" s="469"/>
      <c r="AF442" s="469"/>
      <c r="AG442" s="469"/>
      <c r="AH442" s="469"/>
      <c r="AI442" s="469"/>
      <c r="AJ442" s="469"/>
      <c r="AK442" s="469"/>
    </row>
    <row r="443" customFormat="false" ht="12.75" hidden="false" customHeight="false" outlineLevel="0" collapsed="false">
      <c r="A443" s="470"/>
      <c r="D443" s="468"/>
      <c r="E443" s="469"/>
      <c r="F443" s="469"/>
      <c r="G443" s="469"/>
      <c r="H443" s="469"/>
      <c r="I443" s="469"/>
      <c r="J443" s="469"/>
      <c r="K443" s="469"/>
      <c r="L443" s="469"/>
      <c r="M443" s="469"/>
      <c r="N443" s="469"/>
      <c r="O443" s="469"/>
      <c r="P443" s="469"/>
      <c r="Q443" s="469"/>
      <c r="R443" s="469"/>
      <c r="S443" s="469"/>
      <c r="T443" s="469"/>
      <c r="U443" s="469"/>
      <c r="V443" s="469"/>
      <c r="W443" s="469"/>
      <c r="X443" s="469"/>
      <c r="Y443" s="469"/>
      <c r="Z443" s="469"/>
      <c r="AA443" s="469"/>
      <c r="AB443" s="469"/>
      <c r="AC443" s="469"/>
      <c r="AD443" s="469"/>
      <c r="AE443" s="469"/>
      <c r="AF443" s="469"/>
      <c r="AG443" s="469"/>
      <c r="AH443" s="469"/>
      <c r="AI443" s="469"/>
      <c r="AJ443" s="469"/>
      <c r="AK443" s="469"/>
    </row>
    <row r="444" customFormat="false" ht="12.75" hidden="false" customHeight="false" outlineLevel="0" collapsed="false">
      <c r="A444" s="470"/>
      <c r="D444" s="468"/>
      <c r="E444" s="469"/>
      <c r="F444" s="469"/>
      <c r="G444" s="469"/>
      <c r="H444" s="469"/>
      <c r="I444" s="469"/>
      <c r="J444" s="469"/>
      <c r="K444" s="469"/>
      <c r="L444" s="469"/>
      <c r="M444" s="469"/>
      <c r="N444" s="469"/>
      <c r="O444" s="469"/>
      <c r="P444" s="469"/>
      <c r="Q444" s="469"/>
      <c r="R444" s="469"/>
      <c r="S444" s="469"/>
      <c r="T444" s="469"/>
      <c r="U444" s="469"/>
      <c r="V444" s="469"/>
      <c r="W444" s="469"/>
      <c r="X444" s="469"/>
      <c r="Y444" s="469"/>
      <c r="Z444" s="469"/>
      <c r="AA444" s="469"/>
      <c r="AB444" s="469"/>
      <c r="AC444" s="469"/>
      <c r="AD444" s="469"/>
      <c r="AE444" s="469"/>
      <c r="AF444" s="469"/>
      <c r="AG444" s="469"/>
      <c r="AH444" s="469"/>
      <c r="AI444" s="469"/>
      <c r="AJ444" s="469"/>
      <c r="AK444" s="469"/>
    </row>
    <row r="445" customFormat="false" ht="12.75" hidden="false" customHeight="false" outlineLevel="0" collapsed="false">
      <c r="A445" s="470"/>
      <c r="D445" s="468"/>
      <c r="E445" s="469"/>
      <c r="F445" s="469"/>
      <c r="G445" s="469"/>
      <c r="H445" s="469"/>
      <c r="I445" s="469"/>
      <c r="J445" s="469"/>
      <c r="K445" s="469"/>
      <c r="L445" s="469"/>
      <c r="M445" s="469"/>
      <c r="N445" s="469"/>
      <c r="O445" s="469"/>
      <c r="P445" s="469"/>
      <c r="Q445" s="469"/>
      <c r="R445" s="469"/>
      <c r="S445" s="469"/>
      <c r="T445" s="469"/>
      <c r="U445" s="469"/>
      <c r="V445" s="469"/>
      <c r="W445" s="469"/>
      <c r="X445" s="469"/>
      <c r="Y445" s="469"/>
      <c r="Z445" s="469"/>
      <c r="AA445" s="469"/>
      <c r="AB445" s="469"/>
      <c r="AC445" s="469"/>
      <c r="AD445" s="469"/>
      <c r="AE445" s="469"/>
      <c r="AF445" s="469"/>
      <c r="AG445" s="469"/>
      <c r="AH445" s="469"/>
      <c r="AI445" s="469"/>
      <c r="AJ445" s="469"/>
      <c r="AK445" s="469"/>
    </row>
    <row r="446" customFormat="false" ht="12.75" hidden="false" customHeight="false" outlineLevel="0" collapsed="false">
      <c r="A446" s="470"/>
      <c r="D446" s="468"/>
      <c r="E446" s="469"/>
      <c r="F446" s="469"/>
      <c r="G446" s="469"/>
      <c r="H446" s="469"/>
      <c r="I446" s="469"/>
      <c r="J446" s="469"/>
      <c r="K446" s="469"/>
      <c r="L446" s="469"/>
      <c r="M446" s="469"/>
      <c r="N446" s="469"/>
      <c r="O446" s="469"/>
      <c r="P446" s="469"/>
      <c r="Q446" s="469"/>
      <c r="R446" s="469"/>
      <c r="S446" s="469"/>
      <c r="T446" s="469"/>
      <c r="U446" s="469"/>
      <c r="V446" s="469"/>
      <c r="W446" s="469"/>
      <c r="X446" s="469"/>
      <c r="Y446" s="469"/>
      <c r="Z446" s="469"/>
      <c r="AA446" s="469"/>
      <c r="AB446" s="469"/>
      <c r="AC446" s="469"/>
      <c r="AD446" s="469"/>
      <c r="AE446" s="469"/>
      <c r="AF446" s="469"/>
      <c r="AG446" s="469"/>
      <c r="AH446" s="469"/>
      <c r="AI446" s="469"/>
      <c r="AJ446" s="469"/>
      <c r="AK446" s="469"/>
    </row>
    <row r="447" customFormat="false" ht="12.75" hidden="false" customHeight="false" outlineLevel="0" collapsed="false">
      <c r="A447" s="470"/>
      <c r="D447" s="468"/>
      <c r="E447" s="469"/>
      <c r="F447" s="469"/>
      <c r="G447" s="469"/>
      <c r="H447" s="469"/>
      <c r="I447" s="469"/>
      <c r="J447" s="469"/>
      <c r="K447" s="469"/>
      <c r="L447" s="469"/>
      <c r="M447" s="469"/>
      <c r="N447" s="469"/>
      <c r="O447" s="469"/>
      <c r="P447" s="469"/>
      <c r="Q447" s="469"/>
      <c r="R447" s="469"/>
      <c r="S447" s="469"/>
      <c r="T447" s="469"/>
      <c r="U447" s="469"/>
      <c r="V447" s="469"/>
      <c r="W447" s="469"/>
      <c r="X447" s="469"/>
      <c r="Y447" s="469"/>
      <c r="Z447" s="469"/>
      <c r="AA447" s="469"/>
      <c r="AB447" s="469"/>
      <c r="AC447" s="469"/>
      <c r="AD447" s="469"/>
      <c r="AE447" s="469"/>
      <c r="AF447" s="469"/>
      <c r="AG447" s="469"/>
      <c r="AH447" s="469"/>
      <c r="AI447" s="469"/>
      <c r="AJ447" s="469"/>
      <c r="AK447" s="469"/>
    </row>
    <row r="448" customFormat="false" ht="12.75" hidden="false" customHeight="false" outlineLevel="0" collapsed="false">
      <c r="A448" s="470"/>
      <c r="D448" s="468"/>
      <c r="E448" s="469"/>
      <c r="F448" s="469"/>
      <c r="G448" s="469"/>
      <c r="H448" s="469"/>
      <c r="I448" s="469"/>
      <c r="J448" s="469"/>
      <c r="K448" s="469"/>
      <c r="L448" s="469"/>
      <c r="M448" s="469"/>
      <c r="N448" s="469"/>
      <c r="O448" s="469"/>
      <c r="P448" s="469"/>
      <c r="Q448" s="469"/>
      <c r="R448" s="469"/>
      <c r="S448" s="469"/>
      <c r="T448" s="469"/>
      <c r="U448" s="469"/>
      <c r="V448" s="469"/>
      <c r="W448" s="469"/>
      <c r="X448" s="469"/>
      <c r="Y448" s="469"/>
      <c r="Z448" s="469"/>
      <c r="AA448" s="469"/>
      <c r="AB448" s="469"/>
      <c r="AC448" s="469"/>
      <c r="AD448" s="469"/>
      <c r="AE448" s="469"/>
      <c r="AF448" s="469"/>
      <c r="AG448" s="469"/>
      <c r="AH448" s="469"/>
      <c r="AI448" s="469"/>
      <c r="AJ448" s="469"/>
      <c r="AK448" s="469"/>
    </row>
    <row r="449" customFormat="false" ht="12.75" hidden="false" customHeight="false" outlineLevel="0" collapsed="false">
      <c r="A449" s="470"/>
      <c r="D449" s="468"/>
      <c r="E449" s="469"/>
      <c r="F449" s="469"/>
      <c r="G449" s="469"/>
      <c r="H449" s="469"/>
      <c r="I449" s="469"/>
      <c r="J449" s="469"/>
      <c r="K449" s="469"/>
      <c r="L449" s="469"/>
      <c r="M449" s="469"/>
      <c r="N449" s="469"/>
      <c r="O449" s="469"/>
      <c r="P449" s="469"/>
      <c r="Q449" s="469"/>
      <c r="R449" s="469"/>
      <c r="S449" s="469"/>
      <c r="T449" s="469"/>
      <c r="U449" s="469"/>
      <c r="V449" s="469"/>
      <c r="W449" s="469"/>
      <c r="X449" s="469"/>
      <c r="Y449" s="469"/>
      <c r="Z449" s="469"/>
      <c r="AA449" s="469"/>
      <c r="AB449" s="469"/>
      <c r="AC449" s="469"/>
      <c r="AD449" s="469"/>
      <c r="AE449" s="469"/>
      <c r="AF449" s="469"/>
      <c r="AG449" s="469"/>
      <c r="AH449" s="469"/>
      <c r="AI449" s="469"/>
      <c r="AJ449" s="469"/>
      <c r="AK449" s="469"/>
    </row>
    <row r="450" customFormat="false" ht="12.75" hidden="false" customHeight="false" outlineLevel="0" collapsed="false">
      <c r="D450" s="468"/>
      <c r="E450" s="469"/>
      <c r="F450" s="469"/>
      <c r="G450" s="469"/>
      <c r="H450" s="469"/>
      <c r="I450" s="469"/>
      <c r="J450" s="469"/>
      <c r="K450" s="469"/>
      <c r="L450" s="469"/>
      <c r="M450" s="469"/>
      <c r="N450" s="469"/>
      <c r="O450" s="469"/>
      <c r="P450" s="469"/>
      <c r="Q450" s="469"/>
      <c r="R450" s="469"/>
      <c r="S450" s="469"/>
      <c r="T450" s="469"/>
      <c r="U450" s="469"/>
      <c r="V450" s="469"/>
      <c r="W450" s="469"/>
      <c r="X450" s="469"/>
      <c r="Y450" s="469"/>
      <c r="Z450" s="469"/>
      <c r="AA450" s="469"/>
      <c r="AB450" s="469"/>
      <c r="AC450" s="469"/>
      <c r="AD450" s="469"/>
      <c r="AE450" s="469"/>
      <c r="AF450" s="469"/>
      <c r="AG450" s="469"/>
      <c r="AH450" s="469"/>
      <c r="AI450" s="469"/>
      <c r="AJ450" s="469"/>
      <c r="AK450" s="469"/>
    </row>
    <row r="451" customFormat="false" ht="12.75" hidden="false" customHeight="false" outlineLevel="0" collapsed="false">
      <c r="D451" s="468"/>
      <c r="E451" s="469"/>
      <c r="F451" s="469"/>
      <c r="G451" s="469"/>
      <c r="H451" s="469"/>
      <c r="I451" s="469"/>
      <c r="J451" s="469"/>
      <c r="K451" s="469"/>
      <c r="L451" s="469"/>
      <c r="M451" s="469"/>
      <c r="N451" s="469"/>
      <c r="O451" s="469"/>
      <c r="P451" s="469"/>
      <c r="Q451" s="469"/>
      <c r="R451" s="469"/>
      <c r="S451" s="469"/>
      <c r="T451" s="469"/>
      <c r="U451" s="469"/>
      <c r="V451" s="469"/>
      <c r="W451" s="469"/>
      <c r="X451" s="469"/>
      <c r="Y451" s="469"/>
      <c r="Z451" s="469"/>
      <c r="AA451" s="469"/>
      <c r="AB451" s="469"/>
      <c r="AC451" s="469"/>
      <c r="AD451" s="469"/>
      <c r="AE451" s="469"/>
      <c r="AF451" s="469"/>
      <c r="AG451" s="469"/>
      <c r="AH451" s="469"/>
      <c r="AI451" s="469"/>
      <c r="AJ451" s="469"/>
      <c r="AK451" s="469"/>
    </row>
    <row r="452" customFormat="false" ht="12.75" hidden="false" customHeight="false" outlineLevel="0" collapsed="false">
      <c r="D452" s="468"/>
      <c r="E452" s="469"/>
      <c r="F452" s="469"/>
      <c r="G452" s="469"/>
      <c r="H452" s="469"/>
      <c r="I452" s="469"/>
      <c r="J452" s="469"/>
      <c r="K452" s="469"/>
      <c r="L452" s="469"/>
      <c r="M452" s="469"/>
      <c r="N452" s="469"/>
      <c r="O452" s="469"/>
      <c r="P452" s="469"/>
      <c r="Q452" s="469"/>
      <c r="R452" s="469"/>
      <c r="S452" s="469"/>
      <c r="T452" s="469"/>
      <c r="U452" s="469"/>
      <c r="V452" s="469"/>
      <c r="W452" s="469"/>
      <c r="X452" s="469"/>
      <c r="Y452" s="469"/>
      <c r="Z452" s="469"/>
      <c r="AA452" s="469"/>
      <c r="AB452" s="469"/>
      <c r="AC452" s="469"/>
      <c r="AD452" s="469"/>
      <c r="AE452" s="469"/>
      <c r="AF452" s="469"/>
      <c r="AG452" s="469"/>
      <c r="AH452" s="469"/>
      <c r="AI452" s="469"/>
      <c r="AJ452" s="469"/>
      <c r="AK452" s="469"/>
    </row>
    <row r="453" customFormat="false" ht="12.75" hidden="false" customHeight="false" outlineLevel="0" collapsed="false">
      <c r="D453" s="468"/>
      <c r="E453" s="469"/>
      <c r="F453" s="469"/>
      <c r="G453" s="469"/>
      <c r="H453" s="469"/>
      <c r="I453" s="469"/>
      <c r="J453" s="469"/>
      <c r="K453" s="469"/>
      <c r="L453" s="469"/>
      <c r="M453" s="469"/>
      <c r="N453" s="469"/>
      <c r="O453" s="469"/>
      <c r="P453" s="469"/>
      <c r="Q453" s="469"/>
      <c r="R453" s="469"/>
      <c r="S453" s="469"/>
      <c r="T453" s="469"/>
      <c r="U453" s="469"/>
      <c r="V453" s="469"/>
      <c r="W453" s="469"/>
      <c r="X453" s="469"/>
      <c r="Y453" s="469"/>
      <c r="Z453" s="469"/>
      <c r="AA453" s="469"/>
      <c r="AB453" s="469"/>
      <c r="AC453" s="469"/>
      <c r="AD453" s="469"/>
      <c r="AE453" s="469"/>
      <c r="AF453" s="469"/>
      <c r="AG453" s="469"/>
      <c r="AH453" s="469"/>
      <c r="AI453" s="469"/>
      <c r="AJ453" s="469"/>
      <c r="AK453" s="469"/>
    </row>
    <row r="454" customFormat="false" ht="12.75" hidden="false" customHeight="false" outlineLevel="0" collapsed="false">
      <c r="D454" s="468"/>
      <c r="E454" s="469"/>
      <c r="F454" s="469"/>
      <c r="G454" s="469"/>
      <c r="H454" s="469"/>
      <c r="I454" s="469"/>
      <c r="J454" s="469"/>
      <c r="K454" s="469"/>
      <c r="L454" s="469"/>
      <c r="M454" s="469"/>
      <c r="N454" s="469"/>
      <c r="O454" s="469"/>
      <c r="P454" s="469"/>
      <c r="Q454" s="469"/>
      <c r="R454" s="469"/>
      <c r="S454" s="469"/>
      <c r="T454" s="469"/>
      <c r="U454" s="469"/>
      <c r="V454" s="469"/>
      <c r="W454" s="469"/>
      <c r="X454" s="469"/>
      <c r="Y454" s="469"/>
      <c r="Z454" s="469"/>
      <c r="AA454" s="469"/>
      <c r="AB454" s="469"/>
      <c r="AC454" s="469"/>
      <c r="AD454" s="469"/>
      <c r="AE454" s="469"/>
      <c r="AF454" s="469"/>
      <c r="AG454" s="469"/>
      <c r="AH454" s="469"/>
      <c r="AI454" s="469"/>
      <c r="AJ454" s="469"/>
      <c r="AK454" s="469"/>
    </row>
    <row r="455" customFormat="false" ht="12.75" hidden="false" customHeight="false" outlineLevel="0" collapsed="false">
      <c r="D455" s="468"/>
      <c r="E455" s="469"/>
      <c r="F455" s="469"/>
      <c r="G455" s="469"/>
      <c r="H455" s="469"/>
      <c r="I455" s="469"/>
      <c r="J455" s="469"/>
      <c r="K455" s="469"/>
      <c r="L455" s="469"/>
      <c r="M455" s="469"/>
      <c r="N455" s="469"/>
      <c r="O455" s="469"/>
      <c r="P455" s="469"/>
      <c r="Q455" s="469"/>
      <c r="R455" s="469"/>
      <c r="S455" s="469"/>
      <c r="T455" s="469"/>
      <c r="U455" s="469"/>
      <c r="V455" s="469"/>
      <c r="W455" s="469"/>
      <c r="X455" s="469"/>
      <c r="Y455" s="469"/>
      <c r="Z455" s="469"/>
      <c r="AA455" s="469"/>
      <c r="AB455" s="469"/>
      <c r="AC455" s="469"/>
      <c r="AD455" s="469"/>
      <c r="AE455" s="469"/>
      <c r="AF455" s="469"/>
      <c r="AG455" s="469"/>
      <c r="AH455" s="469"/>
      <c r="AI455" s="469"/>
      <c r="AJ455" s="469"/>
      <c r="AK455" s="469"/>
    </row>
    <row r="456" customFormat="false" ht="12.75" hidden="false" customHeight="false" outlineLevel="0" collapsed="false">
      <c r="D456" s="468"/>
      <c r="E456" s="469"/>
      <c r="F456" s="469"/>
      <c r="G456" s="469"/>
      <c r="H456" s="469"/>
      <c r="I456" s="469"/>
      <c r="J456" s="469"/>
      <c r="K456" s="469"/>
      <c r="L456" s="469"/>
      <c r="M456" s="469"/>
      <c r="N456" s="469"/>
      <c r="O456" s="469"/>
      <c r="P456" s="469"/>
      <c r="Q456" s="469"/>
      <c r="R456" s="469"/>
      <c r="S456" s="469"/>
      <c r="T456" s="469"/>
      <c r="U456" s="469"/>
      <c r="V456" s="469"/>
      <c r="W456" s="469"/>
      <c r="X456" s="469"/>
      <c r="Y456" s="469"/>
      <c r="Z456" s="469"/>
      <c r="AA456" s="469"/>
      <c r="AB456" s="469"/>
      <c r="AC456" s="469"/>
      <c r="AD456" s="469"/>
      <c r="AE456" s="469"/>
      <c r="AF456" s="469"/>
      <c r="AG456" s="469"/>
      <c r="AH456" s="469"/>
      <c r="AI456" s="469"/>
      <c r="AJ456" s="469"/>
      <c r="AK456" s="469"/>
    </row>
    <row r="457" customFormat="false" ht="12.75" hidden="false" customHeight="false" outlineLevel="0" collapsed="false">
      <c r="A457" s="473"/>
      <c r="D457" s="468"/>
      <c r="E457" s="469"/>
      <c r="F457" s="469"/>
      <c r="G457" s="469"/>
      <c r="H457" s="469"/>
      <c r="I457" s="469"/>
      <c r="J457" s="469"/>
      <c r="K457" s="469"/>
      <c r="L457" s="469"/>
      <c r="M457" s="469"/>
      <c r="N457" s="469"/>
      <c r="O457" s="469"/>
      <c r="P457" s="469"/>
      <c r="Q457" s="469"/>
      <c r="R457" s="469"/>
      <c r="S457" s="469"/>
      <c r="T457" s="469"/>
      <c r="U457" s="469"/>
      <c r="V457" s="469"/>
      <c r="W457" s="469"/>
      <c r="X457" s="469"/>
      <c r="Y457" s="469"/>
      <c r="Z457" s="469"/>
      <c r="AA457" s="469"/>
      <c r="AB457" s="469"/>
      <c r="AC457" s="469"/>
      <c r="AD457" s="469"/>
      <c r="AE457" s="469"/>
      <c r="AF457" s="469"/>
      <c r="AG457" s="469"/>
      <c r="AH457" s="469"/>
      <c r="AI457" s="469"/>
      <c r="AJ457" s="469"/>
      <c r="AK457" s="469"/>
    </row>
    <row r="458" customFormat="false" ht="12.75" hidden="false" customHeight="false" outlineLevel="0" collapsed="false">
      <c r="A458" s="470"/>
      <c r="D458" s="468"/>
      <c r="E458" s="469"/>
      <c r="F458" s="469"/>
      <c r="G458" s="469"/>
      <c r="H458" s="469"/>
      <c r="I458" s="469"/>
      <c r="J458" s="469"/>
      <c r="K458" s="469"/>
      <c r="L458" s="469"/>
      <c r="M458" s="469"/>
      <c r="N458" s="469"/>
      <c r="O458" s="469"/>
      <c r="P458" s="469"/>
      <c r="Q458" s="469"/>
      <c r="R458" s="469"/>
      <c r="S458" s="469"/>
      <c r="T458" s="469"/>
      <c r="U458" s="469"/>
      <c r="V458" s="469"/>
      <c r="W458" s="469"/>
      <c r="X458" s="469"/>
      <c r="Y458" s="469"/>
      <c r="Z458" s="469"/>
      <c r="AA458" s="469"/>
      <c r="AB458" s="469"/>
      <c r="AC458" s="469"/>
      <c r="AD458" s="469"/>
      <c r="AE458" s="469"/>
      <c r="AF458" s="469"/>
      <c r="AG458" s="469"/>
      <c r="AH458" s="469"/>
      <c r="AI458" s="469"/>
      <c r="AJ458" s="469"/>
      <c r="AK458" s="469"/>
    </row>
    <row r="459" customFormat="false" ht="12.75" hidden="false" customHeight="false" outlineLevel="0" collapsed="false">
      <c r="A459" s="470"/>
      <c r="D459" s="468"/>
      <c r="E459" s="469"/>
      <c r="F459" s="469"/>
      <c r="G459" s="469"/>
      <c r="H459" s="469"/>
      <c r="I459" s="469"/>
      <c r="J459" s="469"/>
      <c r="K459" s="469"/>
      <c r="L459" s="469"/>
      <c r="M459" s="469"/>
      <c r="N459" s="469"/>
      <c r="O459" s="469"/>
      <c r="P459" s="469"/>
      <c r="Q459" s="469"/>
      <c r="R459" s="469"/>
      <c r="S459" s="469"/>
      <c r="T459" s="469"/>
      <c r="U459" s="469"/>
      <c r="V459" s="469"/>
      <c r="W459" s="469"/>
      <c r="X459" s="469"/>
      <c r="Y459" s="469"/>
      <c r="Z459" s="469"/>
      <c r="AA459" s="469"/>
      <c r="AB459" s="469"/>
      <c r="AC459" s="469"/>
      <c r="AD459" s="469"/>
      <c r="AE459" s="469"/>
      <c r="AF459" s="469"/>
      <c r="AG459" s="469"/>
      <c r="AH459" s="469"/>
      <c r="AI459" s="469"/>
      <c r="AJ459" s="469"/>
      <c r="AK459" s="469"/>
    </row>
    <row r="460" customFormat="false" ht="12.75" hidden="false" customHeight="false" outlineLevel="0" collapsed="false">
      <c r="A460" s="470"/>
      <c r="D460" s="468"/>
      <c r="E460" s="469"/>
      <c r="F460" s="469"/>
      <c r="G460" s="469"/>
      <c r="H460" s="469"/>
      <c r="I460" s="469"/>
      <c r="J460" s="469"/>
      <c r="K460" s="469"/>
      <c r="L460" s="469"/>
      <c r="M460" s="469"/>
      <c r="N460" s="469"/>
      <c r="O460" s="469"/>
      <c r="P460" s="469"/>
      <c r="Q460" s="469"/>
      <c r="R460" s="469"/>
      <c r="S460" s="469"/>
      <c r="T460" s="469"/>
      <c r="U460" s="469"/>
      <c r="V460" s="469"/>
      <c r="W460" s="469"/>
      <c r="X460" s="469"/>
      <c r="Y460" s="469"/>
      <c r="Z460" s="469"/>
      <c r="AA460" s="469"/>
      <c r="AB460" s="469"/>
      <c r="AC460" s="469"/>
      <c r="AD460" s="469"/>
      <c r="AE460" s="469"/>
      <c r="AF460" s="469"/>
      <c r="AG460" s="469"/>
      <c r="AH460" s="469"/>
      <c r="AI460" s="469"/>
      <c r="AJ460" s="469"/>
      <c r="AK460" s="469"/>
    </row>
    <row r="461" customFormat="false" ht="12.75" hidden="false" customHeight="false" outlineLevel="0" collapsed="false">
      <c r="A461" s="470"/>
      <c r="D461" s="468"/>
      <c r="E461" s="469"/>
      <c r="F461" s="469"/>
      <c r="G461" s="469"/>
      <c r="H461" s="469"/>
      <c r="I461" s="469"/>
      <c r="J461" s="469"/>
      <c r="K461" s="469"/>
      <c r="L461" s="469"/>
      <c r="M461" s="469"/>
      <c r="N461" s="469"/>
      <c r="O461" s="469"/>
      <c r="P461" s="469"/>
      <c r="Q461" s="469"/>
      <c r="R461" s="469"/>
      <c r="S461" s="469"/>
      <c r="T461" s="469"/>
      <c r="U461" s="469"/>
      <c r="V461" s="469"/>
      <c r="W461" s="469"/>
      <c r="X461" s="469"/>
      <c r="Y461" s="469"/>
      <c r="Z461" s="469"/>
      <c r="AA461" s="469"/>
      <c r="AB461" s="469"/>
      <c r="AC461" s="469"/>
      <c r="AD461" s="469"/>
      <c r="AE461" s="469"/>
      <c r="AF461" s="469"/>
      <c r="AG461" s="469"/>
      <c r="AH461" s="469"/>
      <c r="AI461" s="469"/>
      <c r="AJ461" s="469"/>
      <c r="AK461" s="469"/>
    </row>
    <row r="462" customFormat="false" ht="12.75" hidden="false" customHeight="false" outlineLevel="0" collapsed="false">
      <c r="A462" s="470"/>
      <c r="D462" s="468"/>
      <c r="E462" s="469"/>
      <c r="F462" s="469"/>
      <c r="G462" s="469"/>
      <c r="H462" s="469"/>
      <c r="I462" s="469"/>
      <c r="J462" s="469"/>
      <c r="K462" s="469"/>
      <c r="L462" s="469"/>
      <c r="M462" s="469"/>
      <c r="N462" s="469"/>
      <c r="O462" s="469"/>
      <c r="P462" s="469"/>
      <c r="Q462" s="469"/>
      <c r="R462" s="469"/>
      <c r="S462" s="469"/>
      <c r="T462" s="469"/>
      <c r="U462" s="469"/>
      <c r="V462" s="469"/>
      <c r="W462" s="469"/>
      <c r="X462" s="469"/>
      <c r="Y462" s="469"/>
      <c r="Z462" s="469"/>
      <c r="AA462" s="469"/>
      <c r="AB462" s="469"/>
      <c r="AC462" s="469"/>
      <c r="AD462" s="469"/>
      <c r="AE462" s="469"/>
      <c r="AF462" s="469"/>
      <c r="AG462" s="469"/>
      <c r="AH462" s="469"/>
      <c r="AI462" s="469"/>
      <c r="AJ462" s="469"/>
      <c r="AK462" s="469"/>
    </row>
    <row r="463" customFormat="false" ht="12.75" hidden="false" customHeight="false" outlineLevel="0" collapsed="false">
      <c r="A463" s="470"/>
      <c r="D463" s="468"/>
      <c r="E463" s="469"/>
      <c r="F463" s="469"/>
      <c r="G463" s="469"/>
      <c r="H463" s="469"/>
      <c r="I463" s="469"/>
      <c r="J463" s="469"/>
      <c r="K463" s="469"/>
      <c r="L463" s="469"/>
      <c r="M463" s="469"/>
      <c r="N463" s="469"/>
      <c r="O463" s="469"/>
      <c r="P463" s="469"/>
      <c r="Q463" s="469"/>
      <c r="R463" s="469"/>
      <c r="S463" s="469"/>
      <c r="T463" s="469"/>
      <c r="U463" s="469"/>
      <c r="V463" s="469"/>
      <c r="W463" s="469"/>
      <c r="X463" s="469"/>
      <c r="Y463" s="469"/>
      <c r="Z463" s="469"/>
      <c r="AA463" s="469"/>
      <c r="AB463" s="469"/>
      <c r="AC463" s="469"/>
      <c r="AD463" s="469"/>
      <c r="AE463" s="469"/>
      <c r="AF463" s="469"/>
      <c r="AG463" s="469"/>
      <c r="AH463" s="469"/>
      <c r="AI463" s="469"/>
      <c r="AJ463" s="469"/>
      <c r="AK463" s="469"/>
    </row>
    <row r="464" customFormat="false" ht="12.75" hidden="false" customHeight="false" outlineLevel="0" collapsed="false">
      <c r="A464" s="470"/>
      <c r="D464" s="468"/>
      <c r="E464" s="469"/>
      <c r="F464" s="469"/>
      <c r="G464" s="469"/>
      <c r="H464" s="469"/>
      <c r="I464" s="469"/>
      <c r="J464" s="469"/>
      <c r="K464" s="469"/>
      <c r="L464" s="469"/>
      <c r="M464" s="469"/>
      <c r="N464" s="469"/>
      <c r="O464" s="469"/>
      <c r="P464" s="469"/>
      <c r="Q464" s="469"/>
      <c r="R464" s="469"/>
      <c r="S464" s="469"/>
      <c r="T464" s="469"/>
      <c r="U464" s="469"/>
      <c r="V464" s="469"/>
      <c r="W464" s="469"/>
      <c r="X464" s="469"/>
      <c r="Y464" s="469"/>
      <c r="Z464" s="469"/>
      <c r="AA464" s="469"/>
      <c r="AB464" s="469"/>
      <c r="AC464" s="469"/>
      <c r="AD464" s="469"/>
      <c r="AE464" s="469"/>
      <c r="AF464" s="469"/>
      <c r="AG464" s="469"/>
      <c r="AH464" s="469"/>
      <c r="AI464" s="469"/>
      <c r="AJ464" s="469"/>
      <c r="AK464" s="469"/>
    </row>
    <row r="465" customFormat="false" ht="12.75" hidden="false" customHeight="false" outlineLevel="0" collapsed="false">
      <c r="A465" s="470"/>
      <c r="D465" s="468"/>
      <c r="E465" s="469"/>
      <c r="F465" s="469"/>
      <c r="G465" s="469"/>
      <c r="H465" s="469"/>
      <c r="I465" s="469"/>
      <c r="J465" s="469"/>
      <c r="K465" s="469"/>
      <c r="L465" s="469"/>
      <c r="M465" s="469"/>
      <c r="N465" s="469"/>
      <c r="O465" s="469"/>
      <c r="P465" s="469"/>
      <c r="Q465" s="469"/>
      <c r="R465" s="469"/>
      <c r="S465" s="469"/>
      <c r="T465" s="469"/>
      <c r="U465" s="469"/>
      <c r="V465" s="469"/>
      <c r="W465" s="469"/>
      <c r="X465" s="469"/>
      <c r="Y465" s="469"/>
      <c r="Z465" s="469"/>
      <c r="AA465" s="469"/>
      <c r="AB465" s="469"/>
      <c r="AC465" s="469"/>
      <c r="AD465" s="469"/>
      <c r="AE465" s="469"/>
      <c r="AF465" s="469"/>
      <c r="AG465" s="469"/>
      <c r="AH465" s="469"/>
      <c r="AI465" s="469"/>
      <c r="AJ465" s="469"/>
      <c r="AK465" s="469"/>
    </row>
    <row r="466" customFormat="false" ht="12.75" hidden="false" customHeight="false" outlineLevel="0" collapsed="false">
      <c r="A466" s="470"/>
      <c r="D466" s="468"/>
      <c r="E466" s="469"/>
      <c r="F466" s="469"/>
      <c r="G466" s="469"/>
      <c r="H466" s="469"/>
      <c r="I466" s="469"/>
      <c r="J466" s="469"/>
      <c r="K466" s="469"/>
      <c r="L466" s="469"/>
      <c r="M466" s="469"/>
      <c r="N466" s="469"/>
      <c r="O466" s="469"/>
      <c r="P466" s="469"/>
      <c r="Q466" s="469"/>
      <c r="R466" s="469"/>
      <c r="S466" s="469"/>
      <c r="T466" s="469"/>
      <c r="U466" s="469"/>
      <c r="V466" s="469"/>
      <c r="W466" s="469"/>
      <c r="X466" s="469"/>
      <c r="Y466" s="469"/>
      <c r="Z466" s="469"/>
      <c r="AA466" s="469"/>
      <c r="AB466" s="469"/>
      <c r="AC466" s="469"/>
      <c r="AD466" s="469"/>
      <c r="AE466" s="469"/>
      <c r="AF466" s="469"/>
      <c r="AG466" s="469"/>
      <c r="AH466" s="469"/>
      <c r="AI466" s="469"/>
      <c r="AJ466" s="469"/>
      <c r="AK466" s="469"/>
    </row>
    <row r="467" customFormat="false" ht="12.75" hidden="false" customHeight="false" outlineLevel="0" collapsed="false">
      <c r="A467" s="470"/>
      <c r="D467" s="468"/>
      <c r="E467" s="469"/>
      <c r="F467" s="469"/>
      <c r="G467" s="469"/>
      <c r="H467" s="469"/>
      <c r="I467" s="469"/>
      <c r="J467" s="469"/>
      <c r="K467" s="469"/>
      <c r="L467" s="469"/>
      <c r="M467" s="469"/>
      <c r="N467" s="469"/>
      <c r="O467" s="469"/>
      <c r="P467" s="469"/>
      <c r="Q467" s="469"/>
      <c r="R467" s="469"/>
      <c r="S467" s="469"/>
      <c r="T467" s="469"/>
      <c r="U467" s="469"/>
      <c r="V467" s="469"/>
      <c r="W467" s="469"/>
      <c r="X467" s="469"/>
      <c r="Y467" s="469"/>
      <c r="Z467" s="469"/>
      <c r="AA467" s="469"/>
      <c r="AB467" s="469"/>
      <c r="AC467" s="469"/>
      <c r="AD467" s="469"/>
      <c r="AE467" s="469"/>
      <c r="AF467" s="469"/>
      <c r="AG467" s="469"/>
      <c r="AH467" s="469"/>
      <c r="AI467" s="469"/>
      <c r="AJ467" s="469"/>
      <c r="AK467" s="469"/>
    </row>
    <row r="468" customFormat="false" ht="12.75" hidden="false" customHeight="false" outlineLevel="0" collapsed="false">
      <c r="A468" s="470"/>
      <c r="D468" s="468"/>
      <c r="E468" s="469"/>
      <c r="F468" s="469"/>
      <c r="G468" s="469"/>
      <c r="H468" s="469"/>
      <c r="I468" s="469"/>
      <c r="J468" s="469"/>
      <c r="K468" s="469"/>
      <c r="L468" s="469"/>
      <c r="M468" s="469"/>
      <c r="N468" s="469"/>
      <c r="O468" s="469"/>
      <c r="P468" s="469"/>
      <c r="Q468" s="469"/>
      <c r="R468" s="469"/>
      <c r="S468" s="469"/>
      <c r="T468" s="469"/>
      <c r="U468" s="469"/>
      <c r="V468" s="469"/>
      <c r="W468" s="469"/>
      <c r="X468" s="469"/>
      <c r="Y468" s="469"/>
      <c r="Z468" s="469"/>
      <c r="AA468" s="469"/>
      <c r="AB468" s="469"/>
      <c r="AC468" s="469"/>
      <c r="AD468" s="469"/>
      <c r="AE468" s="469"/>
      <c r="AF468" s="469"/>
      <c r="AG468" s="469"/>
      <c r="AH468" s="469"/>
      <c r="AI468" s="469"/>
      <c r="AJ468" s="469"/>
      <c r="AK468" s="469"/>
    </row>
    <row r="469" customFormat="false" ht="12.75" hidden="false" customHeight="false" outlineLevel="0" collapsed="false">
      <c r="A469" s="470"/>
      <c r="D469" s="468"/>
      <c r="E469" s="469"/>
      <c r="F469" s="469"/>
      <c r="G469" s="469"/>
      <c r="H469" s="469"/>
      <c r="I469" s="469"/>
      <c r="J469" s="469"/>
      <c r="K469" s="469"/>
      <c r="L469" s="469"/>
      <c r="M469" s="469"/>
      <c r="N469" s="469"/>
      <c r="O469" s="469"/>
      <c r="P469" s="469"/>
      <c r="Q469" s="469"/>
      <c r="R469" s="469"/>
      <c r="S469" s="469"/>
      <c r="T469" s="469"/>
      <c r="U469" s="469"/>
      <c r="V469" s="469"/>
      <c r="W469" s="469"/>
      <c r="X469" s="469"/>
      <c r="Y469" s="469"/>
      <c r="Z469" s="469"/>
      <c r="AA469" s="469"/>
      <c r="AB469" s="469"/>
      <c r="AC469" s="469"/>
      <c r="AD469" s="469"/>
      <c r="AE469" s="469"/>
      <c r="AF469" s="469"/>
      <c r="AG469" s="469"/>
      <c r="AH469" s="469"/>
      <c r="AI469" s="469"/>
      <c r="AJ469" s="469"/>
      <c r="AK469" s="469"/>
    </row>
    <row r="470" customFormat="false" ht="12.75" hidden="false" customHeight="false" outlineLevel="0" collapsed="false">
      <c r="A470" s="470"/>
      <c r="D470" s="468"/>
      <c r="E470" s="469"/>
      <c r="F470" s="469"/>
      <c r="G470" s="469"/>
      <c r="H470" s="469"/>
      <c r="I470" s="469"/>
      <c r="J470" s="469"/>
      <c r="K470" s="469"/>
      <c r="L470" s="469"/>
      <c r="M470" s="469"/>
      <c r="N470" s="469"/>
      <c r="O470" s="469"/>
      <c r="P470" s="469"/>
      <c r="Q470" s="469"/>
      <c r="R470" s="469"/>
      <c r="S470" s="469"/>
      <c r="T470" s="469"/>
      <c r="U470" s="469"/>
      <c r="V470" s="469"/>
      <c r="W470" s="469"/>
      <c r="X470" s="469"/>
      <c r="Y470" s="469"/>
      <c r="Z470" s="469"/>
      <c r="AA470" s="469"/>
      <c r="AB470" s="469"/>
      <c r="AC470" s="469"/>
      <c r="AD470" s="469"/>
      <c r="AE470" s="469"/>
      <c r="AF470" s="469"/>
      <c r="AG470" s="469"/>
      <c r="AH470" s="469"/>
      <c r="AI470" s="469"/>
      <c r="AJ470" s="469"/>
      <c r="AK470" s="469"/>
    </row>
    <row r="471" customFormat="false" ht="12.75" hidden="false" customHeight="false" outlineLevel="0" collapsed="false">
      <c r="A471" s="470"/>
      <c r="D471" s="468"/>
      <c r="E471" s="469"/>
      <c r="F471" s="469"/>
      <c r="G471" s="469"/>
      <c r="H471" s="469"/>
      <c r="I471" s="469"/>
      <c r="J471" s="469"/>
      <c r="K471" s="469"/>
      <c r="L471" s="469"/>
      <c r="M471" s="469"/>
      <c r="N471" s="469"/>
      <c r="O471" s="469"/>
      <c r="P471" s="469"/>
      <c r="Q471" s="469"/>
      <c r="R471" s="469"/>
      <c r="S471" s="469"/>
      <c r="T471" s="469"/>
      <c r="U471" s="469"/>
      <c r="V471" s="469"/>
      <c r="W471" s="469"/>
      <c r="X471" s="469"/>
      <c r="Y471" s="469"/>
      <c r="Z471" s="469"/>
      <c r="AA471" s="469"/>
      <c r="AB471" s="469"/>
      <c r="AC471" s="469"/>
      <c r="AD471" s="469"/>
      <c r="AE471" s="469"/>
      <c r="AF471" s="469"/>
      <c r="AG471" s="469"/>
      <c r="AH471" s="469"/>
      <c r="AI471" s="469"/>
      <c r="AJ471" s="469"/>
      <c r="AK471" s="469"/>
    </row>
    <row r="472" customFormat="false" ht="12.75" hidden="false" customHeight="false" outlineLevel="0" collapsed="false">
      <c r="A472" s="470"/>
      <c r="D472" s="468"/>
      <c r="E472" s="469"/>
      <c r="F472" s="469"/>
      <c r="G472" s="469"/>
      <c r="H472" s="469"/>
      <c r="I472" s="469"/>
      <c r="J472" s="469"/>
      <c r="K472" s="469"/>
      <c r="L472" s="469"/>
      <c r="M472" s="469"/>
      <c r="N472" s="469"/>
      <c r="O472" s="469"/>
      <c r="P472" s="469"/>
      <c r="Q472" s="469"/>
      <c r="R472" s="469"/>
      <c r="S472" s="469"/>
      <c r="T472" s="469"/>
      <c r="U472" s="469"/>
      <c r="V472" s="469"/>
      <c r="W472" s="469"/>
      <c r="X472" s="469"/>
      <c r="Y472" s="469"/>
      <c r="Z472" s="469"/>
      <c r="AA472" s="469"/>
      <c r="AB472" s="469"/>
      <c r="AC472" s="469"/>
      <c r="AD472" s="469"/>
      <c r="AE472" s="469"/>
      <c r="AF472" s="469"/>
      <c r="AG472" s="469"/>
      <c r="AH472" s="469"/>
      <c r="AI472" s="469"/>
      <c r="AJ472" s="469"/>
      <c r="AK472" s="469"/>
    </row>
    <row r="473" customFormat="false" ht="12.75" hidden="false" customHeight="false" outlineLevel="0" collapsed="false">
      <c r="A473" s="470"/>
      <c r="D473" s="468"/>
      <c r="E473" s="469"/>
      <c r="F473" s="469"/>
      <c r="G473" s="469"/>
      <c r="H473" s="469"/>
      <c r="I473" s="469"/>
      <c r="J473" s="469"/>
      <c r="K473" s="469"/>
      <c r="L473" s="469"/>
      <c r="M473" s="469"/>
      <c r="N473" s="469"/>
      <c r="O473" s="469"/>
      <c r="P473" s="469"/>
      <c r="Q473" s="469"/>
      <c r="R473" s="469"/>
      <c r="S473" s="469"/>
      <c r="T473" s="469"/>
      <c r="U473" s="469"/>
      <c r="V473" s="469"/>
      <c r="W473" s="469"/>
      <c r="X473" s="469"/>
      <c r="Y473" s="469"/>
      <c r="Z473" s="469"/>
      <c r="AA473" s="469"/>
      <c r="AB473" s="469"/>
      <c r="AC473" s="469"/>
      <c r="AD473" s="469"/>
      <c r="AE473" s="469"/>
      <c r="AF473" s="469"/>
      <c r="AG473" s="469"/>
      <c r="AH473" s="469"/>
      <c r="AI473" s="469"/>
      <c r="AJ473" s="469"/>
      <c r="AK473" s="469"/>
    </row>
    <row r="474" customFormat="false" ht="12.75" hidden="false" customHeight="false" outlineLevel="0" collapsed="false">
      <c r="A474" s="470"/>
      <c r="D474" s="468"/>
      <c r="E474" s="469"/>
      <c r="F474" s="469"/>
      <c r="G474" s="469"/>
      <c r="H474" s="469"/>
      <c r="I474" s="469"/>
      <c r="J474" s="469"/>
      <c r="K474" s="469"/>
      <c r="L474" s="469"/>
      <c r="M474" s="469"/>
      <c r="N474" s="469"/>
      <c r="O474" s="469"/>
      <c r="P474" s="469"/>
      <c r="Q474" s="469"/>
      <c r="R474" s="469"/>
      <c r="S474" s="469"/>
      <c r="T474" s="469"/>
      <c r="U474" s="469"/>
      <c r="V474" s="469"/>
      <c r="W474" s="469"/>
      <c r="X474" s="469"/>
      <c r="Y474" s="469"/>
      <c r="Z474" s="469"/>
      <c r="AA474" s="469"/>
      <c r="AB474" s="469"/>
      <c r="AC474" s="469"/>
      <c r="AD474" s="469"/>
      <c r="AE474" s="469"/>
      <c r="AF474" s="469"/>
      <c r="AG474" s="469"/>
      <c r="AH474" s="469"/>
      <c r="AI474" s="469"/>
      <c r="AJ474" s="469"/>
      <c r="AK474" s="469"/>
    </row>
    <row r="475" customFormat="false" ht="12.75" hidden="false" customHeight="false" outlineLevel="0" collapsed="false">
      <c r="A475" s="470"/>
      <c r="D475" s="468"/>
      <c r="E475" s="469"/>
      <c r="F475" s="469"/>
      <c r="G475" s="469"/>
      <c r="H475" s="469"/>
      <c r="I475" s="469"/>
      <c r="J475" s="469"/>
      <c r="K475" s="469"/>
      <c r="L475" s="469"/>
      <c r="M475" s="469"/>
      <c r="N475" s="469"/>
      <c r="O475" s="469"/>
      <c r="P475" s="469"/>
      <c r="Q475" s="469"/>
      <c r="R475" s="469"/>
      <c r="S475" s="469"/>
      <c r="T475" s="469"/>
      <c r="U475" s="469"/>
      <c r="V475" s="469"/>
      <c r="W475" s="469"/>
      <c r="X475" s="469"/>
      <c r="Y475" s="469"/>
      <c r="Z475" s="469"/>
      <c r="AA475" s="469"/>
      <c r="AB475" s="469"/>
      <c r="AC475" s="469"/>
      <c r="AD475" s="469"/>
      <c r="AE475" s="469"/>
      <c r="AF475" s="469"/>
      <c r="AG475" s="469"/>
      <c r="AH475" s="469"/>
      <c r="AI475" s="469"/>
      <c r="AJ475" s="469"/>
      <c r="AK475" s="469"/>
    </row>
    <row r="476" customFormat="false" ht="12.75" hidden="false" customHeight="false" outlineLevel="0" collapsed="false">
      <c r="D476" s="468"/>
      <c r="E476" s="469"/>
      <c r="F476" s="469"/>
      <c r="G476" s="469"/>
      <c r="H476" s="469"/>
      <c r="I476" s="469"/>
      <c r="J476" s="469"/>
      <c r="K476" s="469"/>
      <c r="L476" s="469"/>
      <c r="M476" s="469"/>
      <c r="N476" s="469"/>
      <c r="O476" s="469"/>
      <c r="P476" s="469"/>
      <c r="Q476" s="469"/>
      <c r="R476" s="469"/>
      <c r="S476" s="469"/>
      <c r="T476" s="469"/>
      <c r="U476" s="469"/>
      <c r="V476" s="469"/>
      <c r="W476" s="469"/>
      <c r="X476" s="469"/>
      <c r="Y476" s="469"/>
      <c r="Z476" s="469"/>
      <c r="AA476" s="469"/>
      <c r="AB476" s="469"/>
      <c r="AC476" s="469"/>
      <c r="AD476" s="469"/>
      <c r="AE476" s="469"/>
      <c r="AF476" s="469"/>
      <c r="AG476" s="469"/>
      <c r="AH476" s="469"/>
      <c r="AI476" s="469"/>
      <c r="AJ476" s="469"/>
      <c r="AK476" s="469"/>
    </row>
    <row r="477" customFormat="false" ht="12.75" hidden="false" customHeight="false" outlineLevel="0" collapsed="false">
      <c r="D477" s="468"/>
      <c r="E477" s="469"/>
      <c r="F477" s="469"/>
      <c r="G477" s="469"/>
      <c r="H477" s="469"/>
      <c r="I477" s="469"/>
      <c r="J477" s="469"/>
      <c r="K477" s="469"/>
      <c r="L477" s="469"/>
      <c r="M477" s="469"/>
      <c r="N477" s="469"/>
      <c r="O477" s="469"/>
      <c r="P477" s="469"/>
      <c r="Q477" s="469"/>
      <c r="R477" s="469"/>
      <c r="S477" s="469"/>
      <c r="T477" s="469"/>
      <c r="U477" s="469"/>
      <c r="V477" s="469"/>
      <c r="W477" s="469"/>
      <c r="X477" s="469"/>
      <c r="Y477" s="469"/>
      <c r="Z477" s="469"/>
      <c r="AA477" s="469"/>
      <c r="AB477" s="469"/>
      <c r="AC477" s="469"/>
      <c r="AD477" s="469"/>
      <c r="AE477" s="469"/>
      <c r="AF477" s="469"/>
      <c r="AG477" s="469"/>
      <c r="AH477" s="469"/>
      <c r="AI477" s="469"/>
      <c r="AJ477" s="469"/>
      <c r="AK477" s="469"/>
    </row>
    <row r="478" customFormat="false" ht="12.75" hidden="false" customHeight="false" outlineLevel="0" collapsed="false">
      <c r="D478" s="468"/>
      <c r="E478" s="469"/>
      <c r="F478" s="469"/>
      <c r="G478" s="469"/>
      <c r="H478" s="469"/>
      <c r="I478" s="469"/>
      <c r="J478" s="469"/>
      <c r="K478" s="469"/>
      <c r="L478" s="469"/>
      <c r="M478" s="469"/>
      <c r="N478" s="469"/>
      <c r="O478" s="469"/>
      <c r="P478" s="469"/>
      <c r="Q478" s="469"/>
      <c r="R478" s="469"/>
      <c r="S478" s="469"/>
      <c r="T478" s="469"/>
      <c r="U478" s="469"/>
      <c r="V478" s="469"/>
      <c r="W478" s="469"/>
      <c r="X478" s="469"/>
      <c r="Y478" s="469"/>
      <c r="Z478" s="469"/>
      <c r="AA478" s="469"/>
      <c r="AB478" s="469"/>
      <c r="AC478" s="469"/>
      <c r="AD478" s="469"/>
      <c r="AE478" s="469"/>
      <c r="AF478" s="469"/>
      <c r="AG478" s="469"/>
      <c r="AH478" s="469"/>
      <c r="AI478" s="469"/>
      <c r="AJ478" s="469"/>
      <c r="AK478" s="469"/>
    </row>
    <row r="479" customFormat="false" ht="12.75" hidden="false" customHeight="false" outlineLevel="0" collapsed="false">
      <c r="D479" s="468"/>
      <c r="E479" s="469"/>
      <c r="F479" s="469"/>
      <c r="G479" s="469"/>
      <c r="H479" s="469"/>
      <c r="I479" s="469"/>
      <c r="J479" s="469"/>
      <c r="K479" s="469"/>
      <c r="L479" s="469"/>
      <c r="M479" s="469"/>
      <c r="N479" s="469"/>
      <c r="O479" s="469"/>
      <c r="P479" s="469"/>
      <c r="Q479" s="469"/>
      <c r="R479" s="469"/>
      <c r="S479" s="469"/>
      <c r="T479" s="469"/>
      <c r="U479" s="469"/>
      <c r="V479" s="469"/>
      <c r="W479" s="469"/>
      <c r="X479" s="469"/>
      <c r="Y479" s="469"/>
      <c r="Z479" s="469"/>
      <c r="AA479" s="469"/>
      <c r="AB479" s="469"/>
      <c r="AC479" s="469"/>
      <c r="AD479" s="469"/>
      <c r="AE479" s="469"/>
      <c r="AF479" s="469"/>
      <c r="AG479" s="469"/>
      <c r="AH479" s="469"/>
      <c r="AI479" s="469"/>
      <c r="AJ479" s="469"/>
      <c r="AK479" s="469"/>
    </row>
    <row r="480" customFormat="false" ht="12.75" hidden="false" customHeight="false" outlineLevel="0" collapsed="false">
      <c r="D480" s="468"/>
      <c r="E480" s="469"/>
      <c r="F480" s="469"/>
      <c r="G480" s="469"/>
      <c r="H480" s="469"/>
      <c r="I480" s="469"/>
      <c r="J480" s="469"/>
      <c r="K480" s="469"/>
      <c r="L480" s="469"/>
      <c r="M480" s="469"/>
      <c r="N480" s="469"/>
      <c r="O480" s="469"/>
      <c r="P480" s="469"/>
      <c r="Q480" s="469"/>
      <c r="R480" s="469"/>
      <c r="S480" s="469"/>
      <c r="T480" s="469"/>
      <c r="U480" s="469"/>
      <c r="V480" s="469"/>
      <c r="W480" s="469"/>
      <c r="X480" s="469"/>
      <c r="Y480" s="469"/>
      <c r="Z480" s="469"/>
      <c r="AA480" s="469"/>
      <c r="AB480" s="469"/>
      <c r="AC480" s="469"/>
      <c r="AD480" s="469"/>
      <c r="AE480" s="469"/>
      <c r="AF480" s="469"/>
      <c r="AG480" s="469"/>
      <c r="AH480" s="469"/>
      <c r="AI480" s="469"/>
      <c r="AJ480" s="469"/>
      <c r="AK480" s="469"/>
    </row>
    <row r="481" customFormat="false" ht="12.75" hidden="false" customHeight="false" outlineLevel="0" collapsed="false">
      <c r="D481" s="468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9"/>
      <c r="U481" s="469"/>
      <c r="V481" s="469"/>
      <c r="W481" s="469"/>
      <c r="X481" s="469"/>
      <c r="Y481" s="469"/>
      <c r="Z481" s="469"/>
      <c r="AA481" s="469"/>
      <c r="AB481" s="469"/>
      <c r="AC481" s="469"/>
      <c r="AD481" s="469"/>
      <c r="AE481" s="469"/>
      <c r="AF481" s="469"/>
      <c r="AG481" s="469"/>
      <c r="AH481" s="469"/>
      <c r="AI481" s="469"/>
      <c r="AJ481" s="469"/>
      <c r="AK481" s="469"/>
    </row>
    <row r="482" customFormat="false" ht="12.75" hidden="false" customHeight="false" outlineLevel="0" collapsed="false">
      <c r="D482" s="468"/>
      <c r="E482" s="469"/>
      <c r="F482" s="469"/>
      <c r="G482" s="469"/>
      <c r="H482" s="469"/>
      <c r="I482" s="469"/>
      <c r="J482" s="469"/>
      <c r="K482" s="469"/>
      <c r="L482" s="469"/>
      <c r="M482" s="469"/>
      <c r="N482" s="469"/>
      <c r="O482" s="469"/>
      <c r="P482" s="469"/>
      <c r="Q482" s="469"/>
      <c r="R482" s="469"/>
      <c r="S482" s="469"/>
      <c r="T482" s="469"/>
      <c r="U482" s="469"/>
      <c r="V482" s="469"/>
      <c r="W482" s="469"/>
      <c r="X482" s="469"/>
      <c r="Y482" s="469"/>
      <c r="Z482" s="469"/>
      <c r="AA482" s="469"/>
      <c r="AB482" s="469"/>
      <c r="AC482" s="469"/>
      <c r="AD482" s="469"/>
      <c r="AE482" s="469"/>
      <c r="AF482" s="469"/>
      <c r="AG482" s="469"/>
      <c r="AH482" s="469"/>
      <c r="AI482" s="469"/>
      <c r="AJ482" s="469"/>
      <c r="AK482" s="469"/>
    </row>
    <row r="483" customFormat="false" ht="12.75" hidden="false" customHeight="false" outlineLevel="0" collapsed="false">
      <c r="A483" s="473"/>
      <c r="D483" s="468"/>
      <c r="E483" s="469"/>
      <c r="F483" s="469"/>
      <c r="G483" s="469"/>
      <c r="H483" s="469"/>
      <c r="I483" s="469"/>
      <c r="J483" s="469"/>
      <c r="K483" s="469"/>
      <c r="L483" s="469"/>
      <c r="M483" s="469"/>
      <c r="N483" s="469"/>
      <c r="O483" s="469"/>
      <c r="P483" s="469"/>
      <c r="Q483" s="469"/>
      <c r="R483" s="469"/>
      <c r="S483" s="469"/>
      <c r="T483" s="469"/>
      <c r="U483" s="469"/>
      <c r="V483" s="469"/>
      <c r="W483" s="469"/>
      <c r="X483" s="469"/>
      <c r="Y483" s="469"/>
      <c r="Z483" s="469"/>
      <c r="AA483" s="469"/>
      <c r="AB483" s="469"/>
      <c r="AC483" s="469"/>
      <c r="AD483" s="469"/>
      <c r="AE483" s="469"/>
      <c r="AF483" s="469"/>
      <c r="AG483" s="469"/>
      <c r="AH483" s="469"/>
      <c r="AI483" s="469"/>
      <c r="AJ483" s="469"/>
      <c r="AK483" s="469"/>
    </row>
    <row r="484" customFormat="false" ht="12.75" hidden="false" customHeight="false" outlineLevel="0" collapsed="false">
      <c r="A484" s="470"/>
      <c r="D484" s="468"/>
      <c r="E484" s="469"/>
      <c r="F484" s="469"/>
      <c r="G484" s="469"/>
      <c r="H484" s="469"/>
      <c r="I484" s="469"/>
      <c r="J484" s="469"/>
      <c r="K484" s="469"/>
      <c r="L484" s="469"/>
      <c r="M484" s="469"/>
      <c r="N484" s="469"/>
      <c r="O484" s="469"/>
      <c r="P484" s="469"/>
      <c r="Q484" s="469"/>
      <c r="R484" s="469"/>
      <c r="S484" s="469"/>
      <c r="T484" s="469"/>
      <c r="U484" s="469"/>
      <c r="V484" s="469"/>
      <c r="W484" s="469"/>
      <c r="X484" s="469"/>
      <c r="Y484" s="469"/>
      <c r="Z484" s="469"/>
      <c r="AA484" s="469"/>
      <c r="AB484" s="469"/>
      <c r="AC484" s="469"/>
      <c r="AD484" s="469"/>
      <c r="AE484" s="469"/>
      <c r="AF484" s="469"/>
      <c r="AG484" s="469"/>
      <c r="AH484" s="469"/>
      <c r="AI484" s="469"/>
      <c r="AJ484" s="469"/>
      <c r="AK484" s="469"/>
    </row>
    <row r="485" customFormat="false" ht="12.75" hidden="false" customHeight="false" outlineLevel="0" collapsed="false">
      <c r="A485" s="470"/>
      <c r="D485" s="468"/>
      <c r="E485" s="469"/>
      <c r="F485" s="469"/>
      <c r="G485" s="469"/>
      <c r="H485" s="469"/>
      <c r="I485" s="469"/>
      <c r="J485" s="469"/>
      <c r="K485" s="469"/>
      <c r="L485" s="469"/>
      <c r="M485" s="469"/>
      <c r="N485" s="469"/>
      <c r="O485" s="469"/>
      <c r="P485" s="469"/>
      <c r="Q485" s="469"/>
      <c r="R485" s="469"/>
      <c r="S485" s="469"/>
      <c r="T485" s="469"/>
      <c r="U485" s="469"/>
      <c r="V485" s="469"/>
      <c r="W485" s="469"/>
      <c r="X485" s="469"/>
      <c r="Y485" s="469"/>
      <c r="Z485" s="469"/>
      <c r="AA485" s="469"/>
      <c r="AB485" s="469"/>
      <c r="AC485" s="469"/>
      <c r="AD485" s="469"/>
      <c r="AE485" s="469"/>
      <c r="AF485" s="469"/>
      <c r="AG485" s="469"/>
      <c r="AH485" s="469"/>
      <c r="AI485" s="469"/>
      <c r="AJ485" s="469"/>
      <c r="AK485" s="469"/>
    </row>
    <row r="486" customFormat="false" ht="12.75" hidden="false" customHeight="false" outlineLevel="0" collapsed="false">
      <c r="A486" s="470"/>
      <c r="D486" s="468"/>
      <c r="E486" s="469"/>
      <c r="F486" s="469"/>
      <c r="G486" s="469"/>
      <c r="H486" s="469"/>
      <c r="I486" s="469"/>
      <c r="J486" s="469"/>
      <c r="K486" s="469"/>
      <c r="L486" s="469"/>
      <c r="M486" s="469"/>
      <c r="N486" s="469"/>
      <c r="O486" s="469"/>
      <c r="P486" s="469"/>
      <c r="Q486" s="469"/>
      <c r="R486" s="469"/>
      <c r="S486" s="469"/>
      <c r="T486" s="469"/>
      <c r="U486" s="469"/>
      <c r="V486" s="469"/>
      <c r="W486" s="469"/>
      <c r="X486" s="469"/>
      <c r="Y486" s="469"/>
      <c r="Z486" s="469"/>
      <c r="AA486" s="469"/>
      <c r="AB486" s="469"/>
      <c r="AC486" s="469"/>
      <c r="AD486" s="469"/>
      <c r="AE486" s="469"/>
      <c r="AF486" s="469"/>
      <c r="AG486" s="469"/>
      <c r="AH486" s="469"/>
      <c r="AI486" s="469"/>
      <c r="AJ486" s="469"/>
      <c r="AK486" s="469"/>
    </row>
    <row r="487" customFormat="false" ht="12.75" hidden="false" customHeight="false" outlineLevel="0" collapsed="false">
      <c r="A487" s="470"/>
      <c r="D487" s="468"/>
      <c r="E487" s="469"/>
      <c r="F487" s="469"/>
      <c r="G487" s="469"/>
      <c r="H487" s="469"/>
      <c r="I487" s="469"/>
      <c r="J487" s="469"/>
      <c r="K487" s="469"/>
      <c r="L487" s="469"/>
      <c r="M487" s="469"/>
      <c r="N487" s="469"/>
      <c r="O487" s="469"/>
      <c r="P487" s="469"/>
      <c r="Q487" s="469"/>
      <c r="R487" s="469"/>
      <c r="S487" s="469"/>
      <c r="T487" s="469"/>
      <c r="U487" s="469"/>
      <c r="V487" s="469"/>
      <c r="W487" s="469"/>
      <c r="X487" s="469"/>
      <c r="Y487" s="469"/>
      <c r="Z487" s="469"/>
      <c r="AA487" s="469"/>
      <c r="AB487" s="469"/>
      <c r="AC487" s="469"/>
      <c r="AD487" s="469"/>
      <c r="AE487" s="469"/>
      <c r="AF487" s="469"/>
      <c r="AG487" s="469"/>
      <c r="AH487" s="469"/>
      <c r="AI487" s="469"/>
      <c r="AJ487" s="469"/>
      <c r="AK487" s="469"/>
    </row>
    <row r="488" customFormat="false" ht="12.75" hidden="false" customHeight="false" outlineLevel="0" collapsed="false">
      <c r="A488" s="470"/>
      <c r="D488" s="468"/>
      <c r="E488" s="469"/>
      <c r="F488" s="469"/>
      <c r="G488" s="469"/>
      <c r="H488" s="469"/>
      <c r="I488" s="469"/>
      <c r="J488" s="469"/>
      <c r="K488" s="469"/>
      <c r="L488" s="469"/>
      <c r="M488" s="469"/>
      <c r="N488" s="469"/>
      <c r="O488" s="469"/>
      <c r="P488" s="469"/>
      <c r="Q488" s="469"/>
      <c r="R488" s="469"/>
      <c r="S488" s="469"/>
      <c r="T488" s="469"/>
      <c r="U488" s="469"/>
      <c r="V488" s="469"/>
      <c r="W488" s="469"/>
      <c r="X488" s="469"/>
      <c r="Y488" s="469"/>
      <c r="Z488" s="469"/>
      <c r="AA488" s="469"/>
      <c r="AB488" s="469"/>
      <c r="AC488" s="469"/>
      <c r="AD488" s="469"/>
      <c r="AE488" s="469"/>
      <c r="AF488" s="469"/>
      <c r="AG488" s="469"/>
      <c r="AH488" s="469"/>
      <c r="AI488" s="469"/>
      <c r="AJ488" s="469"/>
      <c r="AK488" s="469"/>
    </row>
    <row r="489" customFormat="false" ht="12.75" hidden="false" customHeight="false" outlineLevel="0" collapsed="false">
      <c r="A489" s="470"/>
      <c r="D489" s="468"/>
      <c r="E489" s="469"/>
      <c r="F489" s="469"/>
      <c r="G489" s="469"/>
      <c r="H489" s="469"/>
      <c r="I489" s="469"/>
      <c r="J489" s="469"/>
      <c r="K489" s="469"/>
      <c r="L489" s="469"/>
      <c r="M489" s="469"/>
      <c r="N489" s="469"/>
      <c r="O489" s="469"/>
      <c r="P489" s="469"/>
      <c r="Q489" s="469"/>
      <c r="R489" s="469"/>
      <c r="S489" s="469"/>
      <c r="T489" s="469"/>
      <c r="U489" s="469"/>
      <c r="V489" s="469"/>
      <c r="W489" s="469"/>
      <c r="X489" s="469"/>
      <c r="Y489" s="469"/>
      <c r="Z489" s="469"/>
      <c r="AA489" s="469"/>
      <c r="AB489" s="469"/>
      <c r="AC489" s="469"/>
      <c r="AD489" s="469"/>
      <c r="AE489" s="469"/>
      <c r="AF489" s="469"/>
      <c r="AG489" s="469"/>
      <c r="AH489" s="469"/>
      <c r="AI489" s="469"/>
      <c r="AJ489" s="469"/>
      <c r="AK489" s="469"/>
    </row>
    <row r="490" customFormat="false" ht="12.75" hidden="false" customHeight="false" outlineLevel="0" collapsed="false">
      <c r="A490" s="470"/>
      <c r="D490" s="468"/>
      <c r="E490" s="469"/>
      <c r="F490" s="469"/>
      <c r="G490" s="469"/>
      <c r="H490" s="469"/>
      <c r="I490" s="469"/>
      <c r="J490" s="469"/>
      <c r="K490" s="469"/>
      <c r="L490" s="469"/>
      <c r="M490" s="469"/>
      <c r="N490" s="469"/>
      <c r="O490" s="469"/>
      <c r="P490" s="469"/>
      <c r="Q490" s="469"/>
      <c r="R490" s="469"/>
      <c r="S490" s="469"/>
      <c r="T490" s="469"/>
      <c r="U490" s="469"/>
      <c r="V490" s="469"/>
      <c r="W490" s="469"/>
      <c r="X490" s="469"/>
      <c r="Y490" s="469"/>
      <c r="Z490" s="469"/>
      <c r="AA490" s="469"/>
      <c r="AB490" s="469"/>
      <c r="AC490" s="469"/>
      <c r="AD490" s="469"/>
      <c r="AE490" s="469"/>
      <c r="AF490" s="469"/>
      <c r="AG490" s="469"/>
      <c r="AH490" s="469"/>
      <c r="AI490" s="469"/>
      <c r="AJ490" s="469"/>
      <c r="AK490" s="469"/>
    </row>
    <row r="491" customFormat="false" ht="12.75" hidden="false" customHeight="false" outlineLevel="0" collapsed="false">
      <c r="A491" s="470"/>
      <c r="D491" s="468"/>
      <c r="E491" s="469"/>
      <c r="F491" s="469"/>
      <c r="G491" s="469"/>
      <c r="H491" s="469"/>
      <c r="I491" s="469"/>
      <c r="J491" s="469"/>
      <c r="K491" s="469"/>
      <c r="L491" s="469"/>
      <c r="M491" s="469"/>
      <c r="N491" s="469"/>
      <c r="O491" s="469"/>
      <c r="P491" s="469"/>
      <c r="Q491" s="469"/>
      <c r="R491" s="469"/>
      <c r="S491" s="469"/>
      <c r="T491" s="469"/>
      <c r="U491" s="469"/>
      <c r="V491" s="469"/>
      <c r="W491" s="469"/>
      <c r="X491" s="469"/>
      <c r="Y491" s="469"/>
      <c r="Z491" s="469"/>
      <c r="AA491" s="469"/>
      <c r="AB491" s="469"/>
      <c r="AC491" s="469"/>
      <c r="AD491" s="469"/>
      <c r="AE491" s="469"/>
      <c r="AF491" s="469"/>
      <c r="AG491" s="469"/>
      <c r="AH491" s="469"/>
      <c r="AI491" s="469"/>
      <c r="AJ491" s="469"/>
      <c r="AK491" s="469"/>
    </row>
    <row r="492" customFormat="false" ht="12.75" hidden="false" customHeight="false" outlineLevel="0" collapsed="false">
      <c r="A492" s="470"/>
      <c r="D492" s="468"/>
      <c r="E492" s="469"/>
      <c r="F492" s="469"/>
      <c r="G492" s="469"/>
      <c r="H492" s="469"/>
      <c r="I492" s="469"/>
      <c r="J492" s="469"/>
      <c r="K492" s="469"/>
      <c r="L492" s="469"/>
      <c r="M492" s="469"/>
      <c r="N492" s="469"/>
      <c r="O492" s="469"/>
      <c r="P492" s="469"/>
      <c r="Q492" s="469"/>
      <c r="R492" s="469"/>
      <c r="S492" s="469"/>
      <c r="T492" s="469"/>
      <c r="U492" s="469"/>
      <c r="V492" s="469"/>
      <c r="W492" s="469"/>
      <c r="X492" s="469"/>
      <c r="Y492" s="469"/>
      <c r="Z492" s="469"/>
      <c r="AA492" s="469"/>
      <c r="AB492" s="469"/>
      <c r="AC492" s="469"/>
      <c r="AD492" s="469"/>
      <c r="AE492" s="469"/>
      <c r="AF492" s="469"/>
      <c r="AG492" s="469"/>
      <c r="AH492" s="469"/>
      <c r="AI492" s="469"/>
      <c r="AJ492" s="469"/>
      <c r="AK492" s="469"/>
    </row>
    <row r="493" customFormat="false" ht="12.75" hidden="false" customHeight="false" outlineLevel="0" collapsed="false">
      <c r="A493" s="470"/>
      <c r="D493" s="468"/>
      <c r="E493" s="469"/>
      <c r="F493" s="469"/>
      <c r="G493" s="469"/>
      <c r="H493" s="469"/>
      <c r="I493" s="469"/>
      <c r="J493" s="469"/>
      <c r="K493" s="469"/>
      <c r="L493" s="469"/>
      <c r="M493" s="469"/>
      <c r="N493" s="469"/>
      <c r="O493" s="469"/>
      <c r="P493" s="469"/>
      <c r="Q493" s="469"/>
      <c r="R493" s="469"/>
      <c r="S493" s="469"/>
      <c r="T493" s="469"/>
      <c r="U493" s="469"/>
      <c r="V493" s="469"/>
      <c r="W493" s="469"/>
      <c r="X493" s="469"/>
      <c r="Y493" s="469"/>
      <c r="Z493" s="469"/>
      <c r="AA493" s="469"/>
      <c r="AB493" s="469"/>
      <c r="AC493" s="469"/>
      <c r="AD493" s="469"/>
      <c r="AE493" s="469"/>
      <c r="AF493" s="469"/>
      <c r="AG493" s="469"/>
      <c r="AH493" s="469"/>
      <c r="AI493" s="469"/>
      <c r="AJ493" s="469"/>
      <c r="AK493" s="469"/>
    </row>
    <row r="494" customFormat="false" ht="12.75" hidden="false" customHeight="false" outlineLevel="0" collapsed="false">
      <c r="A494" s="470"/>
      <c r="D494" s="468"/>
      <c r="E494" s="469"/>
      <c r="F494" s="469"/>
      <c r="G494" s="469"/>
      <c r="H494" s="469"/>
      <c r="I494" s="469"/>
      <c r="J494" s="469"/>
      <c r="K494" s="469"/>
      <c r="L494" s="469"/>
      <c r="M494" s="469"/>
      <c r="N494" s="469"/>
      <c r="O494" s="469"/>
      <c r="P494" s="469"/>
      <c r="Q494" s="469"/>
      <c r="R494" s="469"/>
      <c r="S494" s="469"/>
      <c r="T494" s="469"/>
      <c r="U494" s="469"/>
      <c r="V494" s="469"/>
      <c r="W494" s="469"/>
      <c r="X494" s="469"/>
      <c r="Y494" s="469"/>
      <c r="Z494" s="469"/>
      <c r="AA494" s="469"/>
      <c r="AB494" s="469"/>
      <c r="AC494" s="469"/>
      <c r="AD494" s="469"/>
      <c r="AE494" s="469"/>
      <c r="AF494" s="469"/>
      <c r="AG494" s="469"/>
      <c r="AH494" s="469"/>
      <c r="AI494" s="469"/>
      <c r="AJ494" s="469"/>
      <c r="AK494" s="469"/>
    </row>
    <row r="495" customFormat="false" ht="12.75" hidden="false" customHeight="false" outlineLevel="0" collapsed="false">
      <c r="A495" s="470"/>
      <c r="D495" s="468"/>
      <c r="E495" s="469"/>
      <c r="F495" s="469"/>
      <c r="G495" s="469"/>
      <c r="H495" s="469"/>
      <c r="I495" s="469"/>
      <c r="J495" s="469"/>
      <c r="K495" s="469"/>
      <c r="L495" s="469"/>
      <c r="M495" s="469"/>
      <c r="N495" s="469"/>
      <c r="O495" s="469"/>
      <c r="P495" s="469"/>
      <c r="Q495" s="469"/>
      <c r="R495" s="469"/>
      <c r="S495" s="469"/>
      <c r="T495" s="469"/>
      <c r="U495" s="469"/>
      <c r="V495" s="469"/>
      <c r="W495" s="469"/>
      <c r="X495" s="469"/>
      <c r="Y495" s="469"/>
      <c r="Z495" s="469"/>
      <c r="AA495" s="469"/>
      <c r="AB495" s="469"/>
      <c r="AC495" s="469"/>
      <c r="AD495" s="469"/>
      <c r="AE495" s="469"/>
      <c r="AF495" s="469"/>
      <c r="AG495" s="469"/>
      <c r="AH495" s="469"/>
      <c r="AI495" s="469"/>
      <c r="AJ495" s="469"/>
      <c r="AK495" s="469"/>
    </row>
    <row r="496" customFormat="false" ht="12.75" hidden="false" customHeight="false" outlineLevel="0" collapsed="false">
      <c r="A496" s="470"/>
      <c r="D496" s="468"/>
      <c r="E496" s="469"/>
      <c r="F496" s="469"/>
      <c r="G496" s="469"/>
      <c r="H496" s="469"/>
      <c r="I496" s="469"/>
      <c r="J496" s="469"/>
      <c r="K496" s="469"/>
      <c r="L496" s="469"/>
      <c r="M496" s="469"/>
      <c r="N496" s="469"/>
      <c r="O496" s="469"/>
      <c r="P496" s="469"/>
      <c r="Q496" s="469"/>
      <c r="R496" s="469"/>
      <c r="S496" s="469"/>
      <c r="T496" s="469"/>
      <c r="U496" s="469"/>
      <c r="V496" s="469"/>
      <c r="W496" s="469"/>
      <c r="X496" s="469"/>
      <c r="Y496" s="469"/>
      <c r="Z496" s="469"/>
      <c r="AA496" s="469"/>
      <c r="AB496" s="469"/>
      <c r="AC496" s="469"/>
      <c r="AD496" s="469"/>
      <c r="AE496" s="469"/>
      <c r="AF496" s="469"/>
      <c r="AG496" s="469"/>
      <c r="AH496" s="469"/>
      <c r="AI496" s="469"/>
      <c r="AJ496" s="469"/>
      <c r="AK496" s="469"/>
    </row>
    <row r="497" customFormat="false" ht="12.75" hidden="false" customHeight="false" outlineLevel="0" collapsed="false">
      <c r="A497" s="470"/>
      <c r="D497" s="468"/>
      <c r="E497" s="469"/>
      <c r="F497" s="469"/>
      <c r="G497" s="469"/>
      <c r="H497" s="469"/>
      <c r="I497" s="469"/>
      <c r="J497" s="469"/>
      <c r="K497" s="469"/>
      <c r="L497" s="469"/>
      <c r="M497" s="469"/>
      <c r="N497" s="469"/>
      <c r="O497" s="469"/>
      <c r="P497" s="469"/>
      <c r="Q497" s="469"/>
      <c r="R497" s="469"/>
      <c r="S497" s="469"/>
      <c r="T497" s="469"/>
      <c r="U497" s="469"/>
      <c r="V497" s="469"/>
      <c r="W497" s="469"/>
      <c r="X497" s="469"/>
      <c r="Y497" s="469"/>
      <c r="Z497" s="469"/>
      <c r="AA497" s="469"/>
      <c r="AB497" s="469"/>
      <c r="AC497" s="469"/>
      <c r="AD497" s="469"/>
      <c r="AE497" s="469"/>
      <c r="AF497" s="469"/>
      <c r="AG497" s="469"/>
      <c r="AH497" s="469"/>
      <c r="AI497" s="469"/>
      <c r="AJ497" s="469"/>
      <c r="AK497" s="469"/>
    </row>
    <row r="498" customFormat="false" ht="12.75" hidden="false" customHeight="false" outlineLevel="0" collapsed="false">
      <c r="A498" s="470"/>
      <c r="D498" s="468"/>
      <c r="E498" s="469"/>
      <c r="F498" s="469"/>
      <c r="G498" s="469"/>
      <c r="H498" s="469"/>
      <c r="I498" s="469"/>
      <c r="J498" s="469"/>
      <c r="K498" s="469"/>
      <c r="L498" s="469"/>
      <c r="M498" s="469"/>
      <c r="N498" s="469"/>
      <c r="O498" s="469"/>
      <c r="P498" s="469"/>
      <c r="Q498" s="469"/>
      <c r="R498" s="469"/>
      <c r="S498" s="469"/>
      <c r="T498" s="469"/>
      <c r="U498" s="469"/>
      <c r="V498" s="469"/>
      <c r="W498" s="469"/>
      <c r="X498" s="469"/>
      <c r="Y498" s="469"/>
      <c r="Z498" s="469"/>
      <c r="AA498" s="469"/>
      <c r="AB498" s="469"/>
      <c r="AC498" s="469"/>
      <c r="AD498" s="469"/>
      <c r="AE498" s="469"/>
      <c r="AF498" s="469"/>
      <c r="AG498" s="469"/>
      <c r="AH498" s="469"/>
      <c r="AI498" s="469"/>
      <c r="AJ498" s="469"/>
      <c r="AK498" s="469"/>
    </row>
    <row r="499" customFormat="false" ht="12.75" hidden="false" customHeight="false" outlineLevel="0" collapsed="false">
      <c r="A499" s="470"/>
      <c r="E499" s="469"/>
      <c r="F499" s="469"/>
      <c r="G499" s="469"/>
      <c r="H499" s="469"/>
      <c r="I499" s="469"/>
      <c r="J499" s="469"/>
      <c r="K499" s="469"/>
      <c r="L499" s="469"/>
      <c r="M499" s="469"/>
      <c r="N499" s="469"/>
      <c r="O499" s="469"/>
      <c r="P499" s="469"/>
      <c r="Q499" s="469"/>
      <c r="R499" s="469"/>
      <c r="S499" s="469"/>
      <c r="T499" s="469"/>
      <c r="U499" s="469"/>
      <c r="V499" s="469"/>
      <c r="W499" s="469"/>
      <c r="X499" s="469"/>
      <c r="Y499" s="469"/>
      <c r="Z499" s="469"/>
      <c r="AA499" s="469"/>
      <c r="AB499" s="469"/>
      <c r="AC499" s="469"/>
      <c r="AD499" s="469"/>
      <c r="AE499" s="469"/>
      <c r="AF499" s="469"/>
      <c r="AG499" s="469"/>
      <c r="AH499" s="469"/>
      <c r="AI499" s="469"/>
      <c r="AJ499" s="469"/>
      <c r="AK499" s="469"/>
    </row>
    <row r="500" customFormat="false" ht="12.75" hidden="false" customHeight="false" outlineLevel="0" collapsed="false">
      <c r="A500" s="470"/>
      <c r="E500" s="469"/>
      <c r="F500" s="469"/>
      <c r="G500" s="469"/>
      <c r="H500" s="469"/>
      <c r="I500" s="469"/>
      <c r="J500" s="469"/>
      <c r="K500" s="469"/>
      <c r="L500" s="469"/>
      <c r="M500" s="469"/>
      <c r="N500" s="469"/>
      <c r="O500" s="469"/>
      <c r="P500" s="469"/>
      <c r="Q500" s="469"/>
      <c r="R500" s="469"/>
      <c r="S500" s="469"/>
      <c r="T500" s="469"/>
      <c r="U500" s="469"/>
      <c r="V500" s="469"/>
      <c r="W500" s="469"/>
      <c r="X500" s="469"/>
      <c r="Y500" s="469"/>
      <c r="Z500" s="469"/>
      <c r="AA500" s="469"/>
      <c r="AB500" s="469"/>
      <c r="AC500" s="469"/>
      <c r="AD500" s="469"/>
      <c r="AE500" s="469"/>
      <c r="AF500" s="469"/>
      <c r="AG500" s="469"/>
      <c r="AH500" s="469"/>
      <c r="AI500" s="469"/>
      <c r="AJ500" s="469"/>
      <c r="AK500" s="469"/>
    </row>
    <row r="501" customFormat="false" ht="12.75" hidden="false" customHeight="false" outlineLevel="0" collapsed="false">
      <c r="A501" s="470"/>
      <c r="E501" s="469"/>
      <c r="F501" s="469"/>
      <c r="G501" s="469"/>
      <c r="H501" s="469"/>
      <c r="I501" s="469"/>
      <c r="J501" s="469"/>
      <c r="K501" s="469"/>
      <c r="L501" s="469"/>
      <c r="M501" s="469"/>
      <c r="N501" s="469"/>
      <c r="O501" s="469"/>
      <c r="P501" s="469"/>
      <c r="Q501" s="469"/>
      <c r="R501" s="469"/>
      <c r="S501" s="469"/>
      <c r="T501" s="469"/>
      <c r="U501" s="469"/>
      <c r="V501" s="469"/>
      <c r="W501" s="469"/>
      <c r="X501" s="469"/>
      <c r="Y501" s="469"/>
      <c r="Z501" s="469"/>
      <c r="AA501" s="469"/>
      <c r="AB501" s="469"/>
      <c r="AC501" s="469"/>
      <c r="AD501" s="469"/>
      <c r="AE501" s="469"/>
      <c r="AF501" s="469"/>
      <c r="AG501" s="469"/>
      <c r="AH501" s="469"/>
      <c r="AI501" s="469"/>
      <c r="AJ501" s="469"/>
      <c r="AK501" s="469"/>
    </row>
    <row r="502" customFormat="false" ht="12.75" hidden="false" customHeight="false" outlineLevel="0" collapsed="false">
      <c r="E502" s="469"/>
      <c r="F502" s="469"/>
      <c r="G502" s="469"/>
      <c r="H502" s="469"/>
      <c r="I502" s="469"/>
      <c r="J502" s="469"/>
      <c r="K502" s="469"/>
      <c r="L502" s="469"/>
      <c r="M502" s="469"/>
      <c r="N502" s="469"/>
      <c r="O502" s="469"/>
      <c r="P502" s="469"/>
      <c r="Q502" s="469"/>
      <c r="R502" s="469"/>
      <c r="S502" s="469"/>
      <c r="T502" s="469"/>
      <c r="U502" s="469"/>
      <c r="V502" s="469"/>
      <c r="W502" s="469"/>
      <c r="X502" s="469"/>
      <c r="Y502" s="469"/>
      <c r="Z502" s="469"/>
      <c r="AA502" s="469"/>
      <c r="AB502" s="469"/>
      <c r="AC502" s="469"/>
      <c r="AD502" s="469"/>
      <c r="AE502" s="469"/>
      <c r="AF502" s="469"/>
      <c r="AG502" s="469"/>
      <c r="AH502" s="469"/>
      <c r="AI502" s="469"/>
      <c r="AJ502" s="469"/>
      <c r="AK502" s="469"/>
    </row>
    <row r="503" customFormat="false" ht="12.75" hidden="false" customHeight="false" outlineLevel="0" collapsed="false">
      <c r="E503" s="469"/>
      <c r="F503" s="469"/>
      <c r="G503" s="469"/>
      <c r="H503" s="469"/>
      <c r="I503" s="469"/>
      <c r="J503" s="469"/>
      <c r="K503" s="469"/>
      <c r="L503" s="469"/>
      <c r="M503" s="469"/>
      <c r="N503" s="469"/>
      <c r="O503" s="469"/>
      <c r="P503" s="469"/>
      <c r="Q503" s="469"/>
      <c r="R503" s="469"/>
      <c r="S503" s="469"/>
      <c r="T503" s="469"/>
      <c r="U503" s="469"/>
      <c r="V503" s="469"/>
      <c r="W503" s="469"/>
      <c r="X503" s="469"/>
      <c r="Y503" s="469"/>
      <c r="Z503" s="469"/>
      <c r="AA503" s="469"/>
      <c r="AB503" s="469"/>
      <c r="AC503" s="469"/>
      <c r="AD503" s="469"/>
      <c r="AE503" s="469"/>
      <c r="AF503" s="469"/>
      <c r="AG503" s="469"/>
      <c r="AH503" s="469"/>
      <c r="AI503" s="469"/>
      <c r="AJ503" s="469"/>
      <c r="AK503" s="469"/>
    </row>
    <row r="504" customFormat="false" ht="12.75" hidden="false" customHeight="false" outlineLevel="0" collapsed="false">
      <c r="E504" s="469"/>
      <c r="F504" s="469"/>
      <c r="G504" s="469"/>
      <c r="H504" s="469"/>
      <c r="I504" s="469"/>
      <c r="J504" s="469"/>
      <c r="K504" s="469"/>
      <c r="L504" s="469"/>
      <c r="M504" s="469"/>
      <c r="N504" s="469"/>
      <c r="O504" s="469"/>
      <c r="P504" s="469"/>
      <c r="Q504" s="469"/>
      <c r="R504" s="469"/>
      <c r="S504" s="469"/>
      <c r="T504" s="469"/>
      <c r="U504" s="469"/>
      <c r="V504" s="469"/>
      <c r="W504" s="469"/>
      <c r="X504" s="469"/>
      <c r="Y504" s="469"/>
      <c r="Z504" s="469"/>
      <c r="AA504" s="469"/>
      <c r="AB504" s="469"/>
      <c r="AC504" s="469"/>
      <c r="AD504" s="469"/>
      <c r="AE504" s="469"/>
      <c r="AF504" s="469"/>
      <c r="AG504" s="469"/>
      <c r="AH504" s="469"/>
      <c r="AI504" s="469"/>
      <c r="AJ504" s="469"/>
      <c r="AK504" s="469"/>
    </row>
    <row r="505" customFormat="false" ht="12.75" hidden="false" customHeight="false" outlineLevel="0" collapsed="false"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69"/>
      <c r="P505" s="469"/>
      <c r="Q505" s="469"/>
      <c r="R505" s="469"/>
      <c r="S505" s="469"/>
      <c r="T505" s="469"/>
      <c r="U505" s="469"/>
      <c r="V505" s="469"/>
      <c r="W505" s="469"/>
      <c r="X505" s="469"/>
      <c r="Y505" s="469"/>
      <c r="Z505" s="469"/>
      <c r="AA505" s="469"/>
      <c r="AB505" s="469"/>
      <c r="AC505" s="469"/>
      <c r="AD505" s="469"/>
      <c r="AE505" s="469"/>
      <c r="AF505" s="469"/>
      <c r="AG505" s="469"/>
      <c r="AH505" s="469"/>
      <c r="AI505" s="469"/>
      <c r="AJ505" s="469"/>
      <c r="AK505" s="469"/>
    </row>
    <row r="506" customFormat="false" ht="12.75" hidden="false" customHeight="false" outlineLevel="0" collapsed="false">
      <c r="E506" s="469"/>
      <c r="F506" s="469"/>
      <c r="G506" s="469"/>
      <c r="H506" s="469"/>
      <c r="I506" s="469"/>
      <c r="J506" s="469"/>
      <c r="K506" s="469"/>
      <c r="L506" s="469"/>
      <c r="M506" s="469"/>
      <c r="N506" s="469"/>
      <c r="O506" s="469"/>
      <c r="P506" s="469"/>
      <c r="Q506" s="469"/>
      <c r="R506" s="469"/>
      <c r="S506" s="469"/>
      <c r="T506" s="469"/>
      <c r="U506" s="469"/>
      <c r="V506" s="469"/>
      <c r="W506" s="469"/>
      <c r="X506" s="469"/>
      <c r="Y506" s="469"/>
      <c r="Z506" s="469"/>
      <c r="AA506" s="469"/>
      <c r="AB506" s="469"/>
      <c r="AC506" s="469"/>
      <c r="AD506" s="469"/>
      <c r="AE506" s="469"/>
      <c r="AF506" s="469"/>
      <c r="AG506" s="469"/>
      <c r="AH506" s="469"/>
      <c r="AI506" s="469"/>
      <c r="AJ506" s="469"/>
      <c r="AK506" s="469"/>
    </row>
    <row r="507" customFormat="false" ht="12.75" hidden="false" customHeight="false" outlineLevel="0" collapsed="false">
      <c r="E507" s="469"/>
      <c r="F507" s="469"/>
      <c r="G507" s="469"/>
      <c r="H507" s="469"/>
      <c r="I507" s="469"/>
      <c r="J507" s="469"/>
      <c r="K507" s="469"/>
      <c r="L507" s="469"/>
      <c r="M507" s="469"/>
      <c r="N507" s="469"/>
      <c r="O507" s="469"/>
      <c r="P507" s="469"/>
      <c r="Q507" s="469"/>
      <c r="R507" s="469"/>
      <c r="S507" s="469"/>
      <c r="T507" s="469"/>
      <c r="U507" s="469"/>
      <c r="V507" s="469"/>
      <c r="W507" s="469"/>
      <c r="X507" s="469"/>
      <c r="Y507" s="469"/>
      <c r="Z507" s="469"/>
      <c r="AA507" s="469"/>
      <c r="AB507" s="469"/>
      <c r="AC507" s="469"/>
      <c r="AD507" s="469"/>
      <c r="AE507" s="469"/>
      <c r="AF507" s="469"/>
      <c r="AG507" s="469"/>
      <c r="AH507" s="469"/>
      <c r="AI507" s="469"/>
      <c r="AJ507" s="469"/>
      <c r="AK507" s="469"/>
    </row>
    <row r="508" customFormat="false" ht="12.75" hidden="false" customHeight="false" outlineLevel="0" collapsed="false">
      <c r="E508" s="469"/>
      <c r="F508" s="469"/>
      <c r="G508" s="469"/>
      <c r="H508" s="469"/>
      <c r="I508" s="469"/>
      <c r="J508" s="469"/>
      <c r="K508" s="469"/>
      <c r="L508" s="469"/>
      <c r="M508" s="469"/>
      <c r="N508" s="469"/>
      <c r="O508" s="469"/>
      <c r="P508" s="469"/>
      <c r="Q508" s="469"/>
      <c r="R508" s="469"/>
      <c r="S508" s="469"/>
      <c r="T508" s="469"/>
      <c r="U508" s="469"/>
      <c r="V508" s="469"/>
      <c r="W508" s="469"/>
      <c r="X508" s="469"/>
      <c r="Y508" s="469"/>
      <c r="Z508" s="469"/>
      <c r="AA508" s="469"/>
      <c r="AB508" s="469"/>
      <c r="AC508" s="469"/>
      <c r="AD508" s="469"/>
      <c r="AE508" s="469"/>
      <c r="AF508" s="469"/>
      <c r="AG508" s="469"/>
      <c r="AH508" s="469"/>
      <c r="AI508" s="469"/>
      <c r="AJ508" s="469"/>
      <c r="AK508" s="469"/>
    </row>
    <row r="509" customFormat="false" ht="12.75" hidden="false" customHeight="false" outlineLevel="0" collapsed="false">
      <c r="A509" s="473"/>
      <c r="E509" s="469"/>
      <c r="F509" s="469"/>
      <c r="G509" s="469"/>
      <c r="H509" s="469"/>
      <c r="I509" s="469"/>
      <c r="J509" s="469"/>
      <c r="K509" s="469"/>
      <c r="L509" s="469"/>
      <c r="M509" s="469"/>
      <c r="N509" s="469"/>
      <c r="O509" s="469"/>
      <c r="P509" s="469"/>
      <c r="Q509" s="469"/>
      <c r="R509" s="469"/>
      <c r="S509" s="469"/>
      <c r="T509" s="469"/>
      <c r="U509" s="469"/>
      <c r="V509" s="469"/>
      <c r="W509" s="469"/>
      <c r="X509" s="469"/>
      <c r="Y509" s="469"/>
      <c r="Z509" s="469"/>
      <c r="AA509" s="469"/>
      <c r="AB509" s="469"/>
      <c r="AC509" s="469"/>
      <c r="AD509" s="469"/>
      <c r="AE509" s="469"/>
      <c r="AF509" s="469"/>
      <c r="AG509" s="469"/>
      <c r="AH509" s="469"/>
      <c r="AI509" s="469"/>
      <c r="AJ509" s="469"/>
      <c r="AK509" s="469"/>
    </row>
    <row r="510" customFormat="false" ht="12.75" hidden="false" customHeight="false" outlineLevel="0" collapsed="false">
      <c r="A510" s="470"/>
      <c r="E510" s="469"/>
      <c r="F510" s="469"/>
      <c r="G510" s="469"/>
      <c r="H510" s="469"/>
      <c r="I510" s="469"/>
      <c r="J510" s="469"/>
      <c r="K510" s="469"/>
      <c r="L510" s="469"/>
      <c r="M510" s="469"/>
      <c r="N510" s="469"/>
      <c r="O510" s="469"/>
      <c r="P510" s="469"/>
      <c r="Q510" s="469"/>
      <c r="R510" s="469"/>
      <c r="S510" s="469"/>
      <c r="T510" s="469"/>
      <c r="U510" s="469"/>
      <c r="V510" s="469"/>
      <c r="W510" s="469"/>
      <c r="X510" s="469"/>
      <c r="Y510" s="469"/>
      <c r="Z510" s="469"/>
      <c r="AA510" s="469"/>
      <c r="AB510" s="469"/>
      <c r="AC510" s="469"/>
      <c r="AD510" s="469"/>
      <c r="AE510" s="469"/>
      <c r="AF510" s="469"/>
      <c r="AG510" s="469"/>
      <c r="AH510" s="469"/>
      <c r="AI510" s="469"/>
      <c r="AJ510" s="469"/>
      <c r="AK510" s="469"/>
    </row>
    <row r="511" customFormat="false" ht="12.75" hidden="false" customHeight="false" outlineLevel="0" collapsed="false">
      <c r="A511" s="470"/>
      <c r="E511" s="469"/>
      <c r="F511" s="469"/>
      <c r="G511" s="469"/>
      <c r="H511" s="469"/>
      <c r="I511" s="469"/>
      <c r="J511" s="469"/>
      <c r="K511" s="469"/>
      <c r="L511" s="469"/>
      <c r="M511" s="469"/>
      <c r="N511" s="469"/>
      <c r="O511" s="469"/>
      <c r="P511" s="469"/>
      <c r="Q511" s="469"/>
      <c r="R511" s="469"/>
      <c r="S511" s="469"/>
      <c r="T511" s="469"/>
      <c r="U511" s="469"/>
      <c r="V511" s="469"/>
      <c r="W511" s="469"/>
      <c r="X511" s="469"/>
      <c r="Y511" s="469"/>
      <c r="Z511" s="469"/>
      <c r="AA511" s="469"/>
      <c r="AB511" s="469"/>
      <c r="AC511" s="469"/>
      <c r="AD511" s="469"/>
      <c r="AE511" s="469"/>
      <c r="AF511" s="469"/>
      <c r="AG511" s="469"/>
      <c r="AH511" s="469"/>
      <c r="AI511" s="469"/>
      <c r="AJ511" s="469"/>
      <c r="AK511" s="469"/>
    </row>
    <row r="512" customFormat="false" ht="12.75" hidden="false" customHeight="false" outlineLevel="0" collapsed="false">
      <c r="A512" s="470"/>
      <c r="E512" s="469"/>
      <c r="F512" s="469"/>
      <c r="G512" s="469"/>
      <c r="H512" s="469"/>
      <c r="I512" s="469"/>
      <c r="J512" s="469"/>
      <c r="K512" s="469"/>
      <c r="L512" s="469"/>
      <c r="M512" s="469"/>
      <c r="N512" s="469"/>
      <c r="O512" s="469"/>
      <c r="P512" s="469"/>
      <c r="Q512" s="469"/>
      <c r="R512" s="469"/>
      <c r="S512" s="469"/>
      <c r="T512" s="469"/>
      <c r="U512" s="469"/>
      <c r="V512" s="469"/>
      <c r="W512" s="469"/>
      <c r="X512" s="469"/>
      <c r="Y512" s="469"/>
      <c r="Z512" s="469"/>
      <c r="AA512" s="469"/>
      <c r="AB512" s="469"/>
      <c r="AC512" s="469"/>
      <c r="AD512" s="469"/>
      <c r="AE512" s="469"/>
      <c r="AF512" s="469"/>
      <c r="AG512" s="469"/>
      <c r="AH512" s="469"/>
      <c r="AI512" s="469"/>
      <c r="AJ512" s="469"/>
      <c r="AK512" s="469"/>
    </row>
    <row r="513" customFormat="false" ht="12.75" hidden="false" customHeight="false" outlineLevel="0" collapsed="false">
      <c r="A513" s="470"/>
      <c r="E513" s="469"/>
      <c r="F513" s="469"/>
      <c r="G513" s="469"/>
      <c r="H513" s="469"/>
      <c r="I513" s="469"/>
      <c r="J513" s="469"/>
      <c r="K513" s="469"/>
      <c r="L513" s="469"/>
      <c r="M513" s="469"/>
      <c r="N513" s="469"/>
      <c r="O513" s="469"/>
      <c r="P513" s="469"/>
      <c r="Q513" s="469"/>
      <c r="R513" s="469"/>
      <c r="S513" s="469"/>
      <c r="T513" s="469"/>
      <c r="U513" s="469"/>
      <c r="V513" s="469"/>
      <c r="W513" s="469"/>
      <c r="X513" s="469"/>
      <c r="Y513" s="469"/>
      <c r="Z513" s="469"/>
      <c r="AA513" s="469"/>
      <c r="AB513" s="469"/>
      <c r="AC513" s="469"/>
      <c r="AD513" s="469"/>
      <c r="AE513" s="469"/>
      <c r="AF513" s="469"/>
      <c r="AG513" s="469"/>
      <c r="AH513" s="469"/>
      <c r="AI513" s="469"/>
      <c r="AJ513" s="469"/>
      <c r="AK513" s="469"/>
    </row>
    <row r="514" customFormat="false" ht="12.75" hidden="false" customHeight="false" outlineLevel="0" collapsed="false">
      <c r="A514" s="470"/>
      <c r="E514" s="469"/>
      <c r="F514" s="469"/>
      <c r="G514" s="469"/>
      <c r="H514" s="469"/>
      <c r="I514" s="469"/>
      <c r="J514" s="469"/>
      <c r="K514" s="469"/>
      <c r="L514" s="469"/>
      <c r="M514" s="469"/>
      <c r="N514" s="469"/>
      <c r="O514" s="469"/>
      <c r="P514" s="469"/>
      <c r="Q514" s="469"/>
      <c r="R514" s="469"/>
      <c r="S514" s="469"/>
      <c r="T514" s="469"/>
      <c r="U514" s="469"/>
      <c r="V514" s="469"/>
      <c r="W514" s="469"/>
      <c r="X514" s="469"/>
      <c r="Y514" s="469"/>
      <c r="Z514" s="469"/>
      <c r="AA514" s="469"/>
      <c r="AB514" s="469"/>
      <c r="AC514" s="469"/>
      <c r="AD514" s="469"/>
      <c r="AE514" s="469"/>
      <c r="AF514" s="469"/>
      <c r="AG514" s="469"/>
      <c r="AH514" s="469"/>
      <c r="AI514" s="469"/>
      <c r="AJ514" s="469"/>
      <c r="AK514" s="469"/>
    </row>
    <row r="515" customFormat="false" ht="12.75" hidden="false" customHeight="false" outlineLevel="0" collapsed="false">
      <c r="A515" s="470"/>
      <c r="E515" s="469"/>
      <c r="F515" s="469"/>
      <c r="G515" s="469"/>
      <c r="H515" s="469"/>
      <c r="I515" s="469"/>
      <c r="J515" s="469"/>
      <c r="K515" s="469"/>
      <c r="L515" s="469"/>
      <c r="M515" s="469"/>
      <c r="N515" s="469"/>
      <c r="O515" s="469"/>
      <c r="P515" s="469"/>
      <c r="Q515" s="469"/>
      <c r="R515" s="469"/>
      <c r="S515" s="469"/>
      <c r="T515" s="469"/>
      <c r="U515" s="469"/>
      <c r="V515" s="469"/>
      <c r="W515" s="469"/>
      <c r="X515" s="469"/>
      <c r="Y515" s="469"/>
      <c r="Z515" s="469"/>
      <c r="AA515" s="469"/>
      <c r="AB515" s="469"/>
      <c r="AC515" s="469"/>
      <c r="AD515" s="469"/>
      <c r="AE515" s="469"/>
      <c r="AF515" s="469"/>
      <c r="AG515" s="469"/>
      <c r="AH515" s="469"/>
      <c r="AI515" s="469"/>
      <c r="AJ515" s="469"/>
      <c r="AK515" s="469"/>
    </row>
    <row r="516" customFormat="false" ht="12.75" hidden="false" customHeight="false" outlineLevel="0" collapsed="false">
      <c r="A516" s="470"/>
      <c r="E516" s="469"/>
      <c r="F516" s="469"/>
      <c r="G516" s="469"/>
      <c r="H516" s="469"/>
      <c r="I516" s="469"/>
      <c r="J516" s="469"/>
      <c r="K516" s="469"/>
      <c r="L516" s="469"/>
      <c r="M516" s="469"/>
      <c r="N516" s="469"/>
      <c r="O516" s="469"/>
      <c r="P516" s="469"/>
      <c r="Q516" s="469"/>
      <c r="R516" s="469"/>
      <c r="S516" s="469"/>
      <c r="T516" s="469"/>
      <c r="U516" s="469"/>
      <c r="V516" s="469"/>
      <c r="W516" s="469"/>
      <c r="X516" s="469"/>
      <c r="Y516" s="469"/>
      <c r="Z516" s="469"/>
      <c r="AA516" s="469"/>
      <c r="AB516" s="469"/>
      <c r="AC516" s="469"/>
      <c r="AD516" s="469"/>
      <c r="AE516" s="469"/>
      <c r="AF516" s="469"/>
      <c r="AG516" s="469"/>
      <c r="AH516" s="469"/>
      <c r="AI516" s="469"/>
      <c r="AJ516" s="469"/>
      <c r="AK516" s="469"/>
    </row>
    <row r="517" customFormat="false" ht="12.75" hidden="false" customHeight="false" outlineLevel="0" collapsed="false">
      <c r="A517" s="470"/>
      <c r="E517" s="469"/>
      <c r="F517" s="469"/>
      <c r="G517" s="469"/>
      <c r="H517" s="469"/>
      <c r="I517" s="469"/>
      <c r="J517" s="469"/>
      <c r="K517" s="469"/>
      <c r="L517" s="469"/>
      <c r="M517" s="469"/>
      <c r="N517" s="469"/>
      <c r="O517" s="469"/>
      <c r="P517" s="469"/>
      <c r="Q517" s="469"/>
      <c r="R517" s="469"/>
      <c r="S517" s="469"/>
      <c r="T517" s="469"/>
      <c r="U517" s="469"/>
      <c r="V517" s="469"/>
      <c r="W517" s="469"/>
      <c r="X517" s="469"/>
      <c r="Y517" s="469"/>
      <c r="Z517" s="469"/>
      <c r="AA517" s="469"/>
      <c r="AB517" s="469"/>
      <c r="AC517" s="469"/>
      <c r="AD517" s="469"/>
      <c r="AE517" s="469"/>
      <c r="AF517" s="469"/>
      <c r="AG517" s="469"/>
      <c r="AH517" s="469"/>
      <c r="AI517" s="469"/>
      <c r="AJ517" s="469"/>
      <c r="AK517" s="469"/>
    </row>
    <row r="518" customFormat="false" ht="12.75" hidden="false" customHeight="false" outlineLevel="0" collapsed="false">
      <c r="A518" s="470"/>
      <c r="E518" s="469"/>
      <c r="F518" s="469"/>
      <c r="G518" s="469"/>
      <c r="H518" s="469"/>
      <c r="I518" s="469"/>
      <c r="J518" s="469"/>
      <c r="K518" s="469"/>
      <c r="L518" s="469"/>
      <c r="M518" s="469"/>
      <c r="N518" s="469"/>
      <c r="O518" s="469"/>
      <c r="P518" s="469"/>
      <c r="Q518" s="469"/>
      <c r="R518" s="469"/>
      <c r="S518" s="469"/>
      <c r="T518" s="469"/>
      <c r="U518" s="469"/>
      <c r="V518" s="469"/>
      <c r="W518" s="469"/>
      <c r="X518" s="469"/>
      <c r="Y518" s="469"/>
      <c r="Z518" s="469"/>
      <c r="AA518" s="469"/>
      <c r="AB518" s="469"/>
      <c r="AC518" s="469"/>
      <c r="AD518" s="469"/>
      <c r="AE518" s="469"/>
      <c r="AF518" s="469"/>
      <c r="AG518" s="469"/>
      <c r="AH518" s="469"/>
      <c r="AI518" s="469"/>
      <c r="AJ518" s="469"/>
      <c r="AK518" s="469"/>
    </row>
    <row r="519" customFormat="false" ht="12.75" hidden="false" customHeight="false" outlineLevel="0" collapsed="false">
      <c r="A519" s="470"/>
      <c r="E519" s="469"/>
      <c r="F519" s="469"/>
      <c r="G519" s="469"/>
      <c r="H519" s="469"/>
      <c r="I519" s="469"/>
      <c r="J519" s="469"/>
      <c r="K519" s="469"/>
      <c r="L519" s="469"/>
      <c r="M519" s="469"/>
      <c r="N519" s="469"/>
      <c r="O519" s="469"/>
      <c r="P519" s="469"/>
      <c r="Q519" s="469"/>
      <c r="R519" s="469"/>
      <c r="S519" s="469"/>
      <c r="T519" s="469"/>
      <c r="U519" s="469"/>
      <c r="V519" s="469"/>
      <c r="W519" s="469"/>
      <c r="X519" s="469"/>
      <c r="Y519" s="469"/>
      <c r="Z519" s="469"/>
      <c r="AA519" s="469"/>
      <c r="AB519" s="469"/>
      <c r="AC519" s="469"/>
      <c r="AD519" s="469"/>
      <c r="AE519" s="469"/>
      <c r="AF519" s="469"/>
      <c r="AG519" s="469"/>
      <c r="AH519" s="469"/>
      <c r="AI519" s="469"/>
      <c r="AJ519" s="469"/>
      <c r="AK519" s="469"/>
    </row>
    <row r="520" customFormat="false" ht="12.75" hidden="false" customHeight="false" outlineLevel="0" collapsed="false">
      <c r="A520" s="470"/>
      <c r="E520" s="469"/>
      <c r="F520" s="469"/>
      <c r="G520" s="469"/>
      <c r="H520" s="469"/>
      <c r="I520" s="469"/>
      <c r="J520" s="469"/>
      <c r="K520" s="469"/>
      <c r="L520" s="469"/>
      <c r="M520" s="469"/>
      <c r="N520" s="469"/>
      <c r="O520" s="469"/>
      <c r="P520" s="469"/>
      <c r="Q520" s="469"/>
      <c r="R520" s="469"/>
      <c r="S520" s="469"/>
      <c r="T520" s="469"/>
      <c r="U520" s="469"/>
      <c r="V520" s="469"/>
      <c r="W520" s="469"/>
      <c r="X520" s="469"/>
      <c r="Y520" s="469"/>
      <c r="Z520" s="469"/>
      <c r="AA520" s="469"/>
      <c r="AB520" s="469"/>
      <c r="AC520" s="469"/>
      <c r="AD520" s="469"/>
      <c r="AE520" s="469"/>
      <c r="AF520" s="469"/>
      <c r="AG520" s="469"/>
      <c r="AH520" s="469"/>
      <c r="AI520" s="469"/>
      <c r="AJ520" s="469"/>
      <c r="AK520" s="469"/>
    </row>
    <row r="521" customFormat="false" ht="12.75" hidden="false" customHeight="false" outlineLevel="0" collapsed="false">
      <c r="A521" s="470"/>
      <c r="E521" s="469"/>
      <c r="F521" s="469"/>
      <c r="G521" s="469"/>
      <c r="H521" s="469"/>
      <c r="I521" s="469"/>
      <c r="J521" s="469"/>
      <c r="K521" s="469"/>
      <c r="L521" s="469"/>
      <c r="M521" s="469"/>
      <c r="N521" s="469"/>
      <c r="O521" s="469"/>
      <c r="P521" s="469"/>
      <c r="Q521" s="469"/>
      <c r="R521" s="469"/>
      <c r="S521" s="469"/>
      <c r="T521" s="469"/>
      <c r="U521" s="469"/>
      <c r="V521" s="469"/>
      <c r="W521" s="469"/>
      <c r="X521" s="469"/>
      <c r="Y521" s="469"/>
      <c r="Z521" s="469"/>
      <c r="AA521" s="469"/>
      <c r="AB521" s="469"/>
      <c r="AC521" s="469"/>
      <c r="AD521" s="469"/>
      <c r="AE521" s="469"/>
      <c r="AF521" s="469"/>
      <c r="AG521" s="469"/>
      <c r="AH521" s="469"/>
      <c r="AI521" s="469"/>
      <c r="AJ521" s="469"/>
      <c r="AK521" s="469"/>
    </row>
    <row r="522" customFormat="false" ht="12.75" hidden="false" customHeight="false" outlineLevel="0" collapsed="false">
      <c r="A522" s="470"/>
      <c r="E522" s="469"/>
      <c r="F522" s="469"/>
      <c r="G522" s="469"/>
      <c r="H522" s="469"/>
      <c r="I522" s="469"/>
      <c r="J522" s="469"/>
      <c r="K522" s="469"/>
      <c r="L522" s="469"/>
      <c r="M522" s="469"/>
      <c r="N522" s="469"/>
      <c r="O522" s="469"/>
      <c r="P522" s="469"/>
      <c r="Q522" s="469"/>
      <c r="R522" s="469"/>
      <c r="S522" s="469"/>
      <c r="T522" s="469"/>
      <c r="U522" s="469"/>
      <c r="V522" s="469"/>
      <c r="W522" s="469"/>
      <c r="X522" s="469"/>
      <c r="Y522" s="469"/>
      <c r="Z522" s="469"/>
      <c r="AA522" s="469"/>
      <c r="AB522" s="469"/>
      <c r="AC522" s="469"/>
      <c r="AD522" s="469"/>
      <c r="AE522" s="469"/>
      <c r="AF522" s="469"/>
      <c r="AG522" s="469"/>
      <c r="AH522" s="469"/>
      <c r="AI522" s="469"/>
      <c r="AJ522" s="469"/>
      <c r="AK522" s="469"/>
    </row>
    <row r="523" customFormat="false" ht="12.75" hidden="false" customHeight="false" outlineLevel="0" collapsed="false">
      <c r="A523" s="470"/>
      <c r="E523" s="469"/>
      <c r="F523" s="469"/>
      <c r="G523" s="469"/>
      <c r="H523" s="469"/>
      <c r="I523" s="469"/>
      <c r="J523" s="469"/>
      <c r="K523" s="469"/>
      <c r="L523" s="469"/>
      <c r="M523" s="469"/>
      <c r="N523" s="469"/>
      <c r="O523" s="469"/>
      <c r="P523" s="469"/>
      <c r="Q523" s="469"/>
      <c r="R523" s="469"/>
      <c r="S523" s="469"/>
      <c r="T523" s="469"/>
      <c r="U523" s="469"/>
      <c r="V523" s="469"/>
      <c r="W523" s="469"/>
      <c r="X523" s="469"/>
      <c r="Y523" s="469"/>
      <c r="Z523" s="469"/>
      <c r="AA523" s="469"/>
      <c r="AB523" s="469"/>
      <c r="AC523" s="469"/>
      <c r="AD523" s="469"/>
      <c r="AE523" s="469"/>
      <c r="AF523" s="469"/>
      <c r="AG523" s="469"/>
      <c r="AH523" s="469"/>
      <c r="AI523" s="469"/>
      <c r="AJ523" s="469"/>
      <c r="AK523" s="469"/>
    </row>
    <row r="524" customFormat="false" ht="12.75" hidden="false" customHeight="false" outlineLevel="0" collapsed="false">
      <c r="A524" s="470"/>
      <c r="E524" s="469"/>
      <c r="F524" s="469"/>
      <c r="G524" s="469"/>
      <c r="H524" s="469"/>
      <c r="I524" s="469"/>
      <c r="J524" s="469"/>
      <c r="K524" s="469"/>
      <c r="L524" s="469"/>
      <c r="M524" s="469"/>
      <c r="N524" s="469"/>
      <c r="O524" s="469"/>
      <c r="P524" s="469"/>
      <c r="Q524" s="469"/>
      <c r="R524" s="469"/>
      <c r="S524" s="469"/>
      <c r="T524" s="469"/>
      <c r="U524" s="469"/>
      <c r="V524" s="469"/>
      <c r="W524" s="469"/>
      <c r="X524" s="469"/>
      <c r="Y524" s="469"/>
      <c r="Z524" s="469"/>
      <c r="AA524" s="469"/>
      <c r="AB524" s="469"/>
      <c r="AC524" s="469"/>
      <c r="AD524" s="469"/>
      <c r="AE524" s="469"/>
      <c r="AF524" s="469"/>
      <c r="AG524" s="469"/>
      <c r="AH524" s="469"/>
      <c r="AI524" s="469"/>
      <c r="AJ524" s="469"/>
      <c r="AK524" s="469"/>
    </row>
    <row r="525" customFormat="false" ht="12.75" hidden="false" customHeight="false" outlineLevel="0" collapsed="false">
      <c r="A525" s="470"/>
      <c r="E525" s="469"/>
      <c r="F525" s="469"/>
      <c r="G525" s="469"/>
      <c r="H525" s="469"/>
      <c r="I525" s="469"/>
      <c r="J525" s="469"/>
      <c r="K525" s="469"/>
      <c r="L525" s="469"/>
      <c r="M525" s="469"/>
      <c r="N525" s="469"/>
      <c r="O525" s="469"/>
      <c r="P525" s="469"/>
      <c r="Q525" s="469"/>
      <c r="R525" s="469"/>
      <c r="S525" s="469"/>
      <c r="T525" s="469"/>
      <c r="U525" s="469"/>
      <c r="V525" s="469"/>
      <c r="W525" s="469"/>
      <c r="X525" s="469"/>
      <c r="Y525" s="469"/>
      <c r="Z525" s="469"/>
      <c r="AA525" s="469"/>
      <c r="AB525" s="469"/>
      <c r="AC525" s="469"/>
      <c r="AD525" s="469"/>
      <c r="AE525" s="469"/>
      <c r="AF525" s="469"/>
      <c r="AG525" s="469"/>
      <c r="AH525" s="469"/>
      <c r="AI525" s="469"/>
      <c r="AJ525" s="469"/>
      <c r="AK525" s="469"/>
    </row>
    <row r="526" customFormat="false" ht="12.75" hidden="false" customHeight="false" outlineLevel="0" collapsed="false">
      <c r="A526" s="470"/>
      <c r="E526" s="469"/>
      <c r="F526" s="469"/>
      <c r="G526" s="469"/>
      <c r="H526" s="469"/>
      <c r="I526" s="469"/>
      <c r="J526" s="469"/>
      <c r="K526" s="469"/>
      <c r="L526" s="469"/>
      <c r="M526" s="469"/>
      <c r="N526" s="469"/>
      <c r="O526" s="469"/>
      <c r="P526" s="469"/>
      <c r="Q526" s="469"/>
      <c r="R526" s="469"/>
      <c r="S526" s="469"/>
      <c r="T526" s="469"/>
      <c r="U526" s="469"/>
      <c r="V526" s="469"/>
      <c r="W526" s="469"/>
      <c r="X526" s="469"/>
      <c r="Y526" s="469"/>
      <c r="Z526" s="469"/>
      <c r="AA526" s="469"/>
      <c r="AB526" s="469"/>
      <c r="AC526" s="469"/>
      <c r="AD526" s="469"/>
      <c r="AE526" s="469"/>
      <c r="AF526" s="469"/>
      <c r="AG526" s="469"/>
      <c r="AH526" s="469"/>
      <c r="AI526" s="469"/>
      <c r="AJ526" s="469"/>
      <c r="AK526" s="469"/>
    </row>
    <row r="527" customFormat="false" ht="12.75" hidden="false" customHeight="false" outlineLevel="0" collapsed="false">
      <c r="A527" s="470"/>
      <c r="E527" s="469"/>
      <c r="F527" s="469"/>
      <c r="G527" s="469"/>
      <c r="H527" s="469"/>
      <c r="I527" s="469"/>
      <c r="J527" s="469"/>
      <c r="K527" s="469"/>
      <c r="L527" s="469"/>
      <c r="M527" s="469"/>
      <c r="N527" s="469"/>
      <c r="O527" s="469"/>
      <c r="P527" s="469"/>
      <c r="Q527" s="469"/>
      <c r="R527" s="469"/>
      <c r="S527" s="469"/>
      <c r="T527" s="469"/>
      <c r="U527" s="469"/>
      <c r="V527" s="469"/>
      <c r="W527" s="469"/>
      <c r="X527" s="469"/>
      <c r="Y527" s="469"/>
      <c r="Z527" s="469"/>
      <c r="AA527" s="469"/>
      <c r="AB527" s="469"/>
      <c r="AC527" s="469"/>
      <c r="AD527" s="469"/>
      <c r="AE527" s="469"/>
      <c r="AF527" s="469"/>
      <c r="AG527" s="469"/>
      <c r="AH527" s="469"/>
      <c r="AI527" s="469"/>
      <c r="AJ527" s="469"/>
      <c r="AK527" s="469"/>
    </row>
    <row r="528" customFormat="false" ht="12.75" hidden="false" customHeight="false" outlineLevel="0" collapsed="false"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469"/>
      <c r="P528" s="469"/>
      <c r="Q528" s="469"/>
      <c r="R528" s="469"/>
      <c r="S528" s="469"/>
      <c r="T528" s="469"/>
      <c r="U528" s="469"/>
      <c r="V528" s="469"/>
      <c r="W528" s="469"/>
      <c r="X528" s="469"/>
      <c r="Y528" s="469"/>
      <c r="Z528" s="469"/>
      <c r="AA528" s="469"/>
      <c r="AB528" s="469"/>
      <c r="AC528" s="469"/>
      <c r="AD528" s="469"/>
      <c r="AE528" s="469"/>
      <c r="AF528" s="469"/>
      <c r="AG528" s="469"/>
      <c r="AH528" s="469"/>
      <c r="AI528" s="469"/>
      <c r="AJ528" s="469"/>
      <c r="AK528" s="469"/>
    </row>
    <row r="529" customFormat="false" ht="12.75" hidden="false" customHeight="false" outlineLevel="0" collapsed="false">
      <c r="E529" s="469"/>
      <c r="F529" s="469"/>
      <c r="G529" s="469"/>
      <c r="H529" s="469"/>
      <c r="I529" s="469"/>
      <c r="J529" s="469"/>
      <c r="K529" s="469"/>
      <c r="L529" s="469"/>
      <c r="M529" s="469"/>
      <c r="N529" s="469"/>
      <c r="O529" s="469"/>
      <c r="P529" s="469"/>
      <c r="Q529" s="469"/>
      <c r="R529" s="469"/>
      <c r="S529" s="469"/>
      <c r="T529" s="469"/>
      <c r="U529" s="469"/>
      <c r="V529" s="469"/>
      <c r="W529" s="469"/>
      <c r="X529" s="469"/>
      <c r="Y529" s="469"/>
      <c r="Z529" s="469"/>
      <c r="AA529" s="469"/>
      <c r="AB529" s="469"/>
      <c r="AC529" s="469"/>
      <c r="AD529" s="469"/>
      <c r="AE529" s="469"/>
      <c r="AF529" s="469"/>
      <c r="AG529" s="469"/>
      <c r="AH529" s="469"/>
      <c r="AI529" s="469"/>
      <c r="AJ529" s="469"/>
      <c r="AK529" s="469"/>
    </row>
    <row r="530" customFormat="false" ht="12.75" hidden="false" customHeight="false" outlineLevel="0" collapsed="false">
      <c r="E530" s="469"/>
      <c r="F530" s="469"/>
      <c r="G530" s="469"/>
      <c r="H530" s="469"/>
      <c r="I530" s="469"/>
      <c r="J530" s="469"/>
      <c r="K530" s="469"/>
      <c r="L530" s="469"/>
      <c r="M530" s="469"/>
      <c r="N530" s="469"/>
      <c r="O530" s="469"/>
      <c r="P530" s="469"/>
      <c r="Q530" s="469"/>
      <c r="R530" s="469"/>
      <c r="S530" s="469"/>
      <c r="T530" s="469"/>
      <c r="U530" s="469"/>
      <c r="V530" s="469"/>
      <c r="W530" s="469"/>
      <c r="X530" s="469"/>
      <c r="Y530" s="469"/>
      <c r="Z530" s="469"/>
      <c r="AA530" s="469"/>
      <c r="AB530" s="469"/>
      <c r="AC530" s="469"/>
      <c r="AD530" s="469"/>
      <c r="AE530" s="469"/>
      <c r="AF530" s="469"/>
      <c r="AG530" s="469"/>
      <c r="AH530" s="469"/>
      <c r="AI530" s="469"/>
      <c r="AJ530" s="469"/>
      <c r="AK530" s="469"/>
    </row>
    <row r="531" customFormat="false" ht="12.75" hidden="false" customHeight="false" outlineLevel="0" collapsed="false">
      <c r="E531" s="469"/>
      <c r="F531" s="469"/>
      <c r="G531" s="469"/>
      <c r="H531" s="469"/>
      <c r="I531" s="469"/>
      <c r="J531" s="469"/>
      <c r="K531" s="469"/>
      <c r="L531" s="469"/>
      <c r="M531" s="469"/>
      <c r="N531" s="469"/>
      <c r="O531" s="469"/>
      <c r="P531" s="469"/>
      <c r="Q531" s="469"/>
      <c r="R531" s="469"/>
      <c r="S531" s="469"/>
      <c r="T531" s="469"/>
      <c r="U531" s="469"/>
      <c r="V531" s="469"/>
      <c r="W531" s="469"/>
      <c r="X531" s="469"/>
      <c r="Y531" s="469"/>
      <c r="Z531" s="469"/>
      <c r="AA531" s="469"/>
      <c r="AB531" s="469"/>
      <c r="AC531" s="469"/>
      <c r="AD531" s="469"/>
      <c r="AE531" s="469"/>
      <c r="AF531" s="469"/>
      <c r="AG531" s="469"/>
      <c r="AH531" s="469"/>
      <c r="AI531" s="469"/>
      <c r="AJ531" s="469"/>
      <c r="AK531" s="469"/>
    </row>
    <row r="532" customFormat="false" ht="12.75" hidden="false" customHeight="false" outlineLevel="0" collapsed="false">
      <c r="E532" s="469"/>
      <c r="F532" s="469"/>
      <c r="G532" s="469"/>
      <c r="H532" s="469"/>
      <c r="I532" s="469"/>
      <c r="J532" s="469"/>
      <c r="K532" s="469"/>
      <c r="L532" s="469"/>
      <c r="M532" s="469"/>
      <c r="N532" s="469"/>
      <c r="O532" s="469"/>
      <c r="P532" s="469"/>
      <c r="Q532" s="469"/>
      <c r="R532" s="469"/>
      <c r="S532" s="469"/>
      <c r="T532" s="469"/>
      <c r="U532" s="469"/>
      <c r="V532" s="469"/>
      <c r="W532" s="469"/>
      <c r="X532" s="469"/>
      <c r="Y532" s="469"/>
      <c r="Z532" s="469"/>
      <c r="AA532" s="469"/>
      <c r="AB532" s="469"/>
      <c r="AC532" s="469"/>
      <c r="AD532" s="469"/>
      <c r="AE532" s="469"/>
      <c r="AF532" s="469"/>
      <c r="AG532" s="469"/>
      <c r="AH532" s="469"/>
      <c r="AI532" s="469"/>
      <c r="AJ532" s="469"/>
      <c r="AK532" s="469"/>
    </row>
    <row r="533" customFormat="false" ht="12.75" hidden="false" customHeight="false" outlineLevel="0" collapsed="false">
      <c r="E533" s="469"/>
      <c r="F533" s="469"/>
      <c r="G533" s="469"/>
      <c r="H533" s="469"/>
      <c r="I533" s="469"/>
      <c r="J533" s="469"/>
      <c r="K533" s="469"/>
      <c r="L533" s="469"/>
      <c r="M533" s="469"/>
      <c r="N533" s="469"/>
      <c r="O533" s="469"/>
      <c r="P533" s="469"/>
      <c r="Q533" s="469"/>
      <c r="R533" s="469"/>
      <c r="S533" s="469"/>
      <c r="T533" s="469"/>
      <c r="U533" s="469"/>
      <c r="V533" s="469"/>
      <c r="W533" s="469"/>
      <c r="X533" s="469"/>
      <c r="Y533" s="469"/>
      <c r="Z533" s="469"/>
      <c r="AA533" s="469"/>
      <c r="AB533" s="469"/>
      <c r="AC533" s="469"/>
      <c r="AD533" s="469"/>
      <c r="AE533" s="469"/>
      <c r="AF533" s="469"/>
      <c r="AG533" s="469"/>
      <c r="AH533" s="469"/>
      <c r="AI533" s="469"/>
      <c r="AJ533" s="469"/>
      <c r="AK533" s="469"/>
    </row>
    <row r="534" customFormat="false" ht="12.75" hidden="false" customHeight="false" outlineLevel="0" collapsed="false">
      <c r="E534" s="469"/>
      <c r="F534" s="469"/>
      <c r="G534" s="469"/>
      <c r="H534" s="469"/>
      <c r="I534" s="469"/>
      <c r="J534" s="469"/>
      <c r="K534" s="469"/>
      <c r="L534" s="469"/>
      <c r="M534" s="469"/>
      <c r="N534" s="469"/>
      <c r="O534" s="469"/>
      <c r="P534" s="469"/>
      <c r="Q534" s="469"/>
      <c r="R534" s="469"/>
      <c r="S534" s="469"/>
      <c r="T534" s="469"/>
      <c r="U534" s="469"/>
      <c r="V534" s="469"/>
      <c r="W534" s="469"/>
      <c r="X534" s="469"/>
      <c r="Y534" s="469"/>
      <c r="Z534" s="469"/>
      <c r="AA534" s="469"/>
      <c r="AB534" s="469"/>
      <c r="AC534" s="469"/>
      <c r="AD534" s="469"/>
      <c r="AE534" s="469"/>
      <c r="AF534" s="469"/>
      <c r="AG534" s="469"/>
      <c r="AH534" s="469"/>
      <c r="AI534" s="469"/>
      <c r="AJ534" s="469"/>
      <c r="AK534" s="469"/>
    </row>
    <row r="535" customFormat="false" ht="12.75" hidden="false" customHeight="false" outlineLevel="0" collapsed="false">
      <c r="A535" s="473"/>
      <c r="E535" s="469"/>
      <c r="F535" s="469"/>
      <c r="G535" s="469"/>
      <c r="H535" s="469"/>
      <c r="I535" s="469"/>
      <c r="J535" s="469"/>
      <c r="K535" s="469"/>
      <c r="L535" s="469"/>
      <c r="M535" s="469"/>
      <c r="N535" s="469"/>
      <c r="O535" s="469"/>
      <c r="P535" s="469"/>
      <c r="Q535" s="469"/>
      <c r="R535" s="469"/>
      <c r="S535" s="469"/>
      <c r="T535" s="469"/>
      <c r="U535" s="469"/>
      <c r="V535" s="469"/>
      <c r="W535" s="469"/>
      <c r="X535" s="469"/>
      <c r="Y535" s="469"/>
      <c r="Z535" s="469"/>
      <c r="AA535" s="469"/>
      <c r="AB535" s="469"/>
      <c r="AC535" s="469"/>
      <c r="AD535" s="469"/>
      <c r="AE535" s="469"/>
      <c r="AF535" s="469"/>
      <c r="AG535" s="469"/>
      <c r="AH535" s="469"/>
      <c r="AI535" s="469"/>
      <c r="AJ535" s="469"/>
      <c r="AK535" s="469"/>
    </row>
    <row r="536" customFormat="false" ht="12.75" hidden="false" customHeight="false" outlineLevel="0" collapsed="false">
      <c r="A536" s="470"/>
      <c r="E536" s="469"/>
      <c r="F536" s="469"/>
      <c r="G536" s="469"/>
      <c r="H536" s="469"/>
      <c r="I536" s="469"/>
      <c r="J536" s="469"/>
      <c r="K536" s="469"/>
      <c r="L536" s="469"/>
      <c r="M536" s="469"/>
      <c r="N536" s="469"/>
      <c r="O536" s="469"/>
      <c r="P536" s="469"/>
      <c r="Q536" s="469"/>
      <c r="R536" s="469"/>
      <c r="S536" s="469"/>
      <c r="T536" s="469"/>
      <c r="U536" s="469"/>
      <c r="V536" s="469"/>
      <c r="W536" s="469"/>
      <c r="X536" s="469"/>
      <c r="Y536" s="469"/>
      <c r="Z536" s="469"/>
      <c r="AA536" s="469"/>
      <c r="AB536" s="469"/>
      <c r="AC536" s="469"/>
      <c r="AD536" s="469"/>
      <c r="AE536" s="469"/>
      <c r="AF536" s="469"/>
      <c r="AG536" s="469"/>
      <c r="AH536" s="469"/>
      <c r="AI536" s="469"/>
      <c r="AJ536" s="469"/>
      <c r="AK536" s="469"/>
    </row>
    <row r="537" customFormat="false" ht="12.75" hidden="false" customHeight="false" outlineLevel="0" collapsed="false">
      <c r="A537" s="470"/>
      <c r="E537" s="469"/>
      <c r="F537" s="469"/>
      <c r="G537" s="469"/>
      <c r="H537" s="469"/>
      <c r="I537" s="469"/>
      <c r="J537" s="469"/>
      <c r="K537" s="469"/>
      <c r="L537" s="469"/>
      <c r="M537" s="469"/>
      <c r="N537" s="469"/>
      <c r="O537" s="469"/>
      <c r="P537" s="469"/>
      <c r="Q537" s="469"/>
      <c r="R537" s="469"/>
      <c r="S537" s="469"/>
      <c r="T537" s="469"/>
      <c r="U537" s="469"/>
      <c r="V537" s="469"/>
      <c r="W537" s="469"/>
      <c r="X537" s="469"/>
      <c r="Y537" s="469"/>
      <c r="Z537" s="469"/>
      <c r="AA537" s="469"/>
      <c r="AB537" s="469"/>
      <c r="AC537" s="469"/>
      <c r="AD537" s="469"/>
      <c r="AE537" s="469"/>
      <c r="AF537" s="469"/>
      <c r="AG537" s="469"/>
      <c r="AH537" s="469"/>
      <c r="AI537" s="469"/>
      <c r="AJ537" s="469"/>
      <c r="AK537" s="469"/>
    </row>
    <row r="538" customFormat="false" ht="12.75" hidden="false" customHeight="false" outlineLevel="0" collapsed="false">
      <c r="A538" s="470"/>
      <c r="E538" s="469"/>
      <c r="F538" s="469"/>
      <c r="G538" s="469"/>
      <c r="H538" s="469"/>
      <c r="I538" s="469"/>
      <c r="J538" s="469"/>
      <c r="K538" s="469"/>
      <c r="L538" s="469"/>
      <c r="M538" s="469"/>
      <c r="N538" s="469"/>
      <c r="O538" s="469"/>
      <c r="P538" s="469"/>
      <c r="Q538" s="469"/>
      <c r="R538" s="469"/>
      <c r="S538" s="469"/>
      <c r="T538" s="469"/>
      <c r="U538" s="469"/>
      <c r="V538" s="469"/>
      <c r="W538" s="469"/>
      <c r="X538" s="469"/>
      <c r="Y538" s="469"/>
      <c r="Z538" s="469"/>
      <c r="AA538" s="469"/>
      <c r="AB538" s="469"/>
      <c r="AC538" s="469"/>
      <c r="AD538" s="469"/>
      <c r="AE538" s="469"/>
      <c r="AF538" s="469"/>
      <c r="AG538" s="469"/>
      <c r="AH538" s="469"/>
      <c r="AI538" s="469"/>
      <c r="AJ538" s="469"/>
      <c r="AK538" s="469"/>
    </row>
    <row r="539" customFormat="false" ht="12.75" hidden="false" customHeight="false" outlineLevel="0" collapsed="false">
      <c r="A539" s="470"/>
      <c r="E539" s="469"/>
      <c r="F539" s="469"/>
      <c r="G539" s="469"/>
      <c r="H539" s="469"/>
      <c r="I539" s="469"/>
      <c r="J539" s="469"/>
      <c r="K539" s="469"/>
      <c r="L539" s="469"/>
      <c r="M539" s="469"/>
      <c r="N539" s="469"/>
      <c r="O539" s="469"/>
      <c r="P539" s="469"/>
      <c r="Q539" s="469"/>
      <c r="R539" s="469"/>
      <c r="S539" s="469"/>
      <c r="T539" s="469"/>
      <c r="U539" s="469"/>
      <c r="V539" s="469"/>
      <c r="W539" s="469"/>
      <c r="X539" s="469"/>
      <c r="Y539" s="469"/>
      <c r="Z539" s="469"/>
      <c r="AA539" s="469"/>
      <c r="AB539" s="469"/>
      <c r="AC539" s="469"/>
      <c r="AD539" s="469"/>
      <c r="AE539" s="469"/>
      <c r="AF539" s="469"/>
      <c r="AG539" s="469"/>
      <c r="AH539" s="469"/>
      <c r="AI539" s="469"/>
      <c r="AJ539" s="469"/>
      <c r="AK539" s="469"/>
    </row>
    <row r="540" customFormat="false" ht="12.75" hidden="false" customHeight="false" outlineLevel="0" collapsed="false">
      <c r="A540" s="470"/>
      <c r="E540" s="469"/>
      <c r="F540" s="469"/>
      <c r="G540" s="469"/>
      <c r="H540" s="469"/>
      <c r="I540" s="469"/>
      <c r="J540" s="469"/>
      <c r="K540" s="469"/>
      <c r="L540" s="469"/>
      <c r="M540" s="469"/>
      <c r="N540" s="469"/>
      <c r="O540" s="469"/>
      <c r="P540" s="469"/>
      <c r="Q540" s="469"/>
      <c r="R540" s="469"/>
      <c r="S540" s="469"/>
      <c r="T540" s="469"/>
      <c r="U540" s="469"/>
      <c r="V540" s="469"/>
      <c r="W540" s="469"/>
      <c r="X540" s="469"/>
      <c r="Y540" s="469"/>
      <c r="Z540" s="469"/>
      <c r="AA540" s="469"/>
      <c r="AB540" s="469"/>
      <c r="AC540" s="469"/>
      <c r="AD540" s="469"/>
      <c r="AE540" s="469"/>
      <c r="AF540" s="469"/>
      <c r="AG540" s="469"/>
      <c r="AH540" s="469"/>
      <c r="AI540" s="469"/>
      <c r="AJ540" s="469"/>
      <c r="AK540" s="469"/>
    </row>
    <row r="541" customFormat="false" ht="12.75" hidden="false" customHeight="false" outlineLevel="0" collapsed="false">
      <c r="A541" s="470"/>
      <c r="E541" s="469"/>
      <c r="F541" s="469"/>
      <c r="G541" s="469"/>
      <c r="H541" s="469"/>
      <c r="I541" s="469"/>
      <c r="J541" s="469"/>
      <c r="K541" s="469"/>
      <c r="L541" s="469"/>
      <c r="M541" s="469"/>
      <c r="N541" s="469"/>
      <c r="O541" s="469"/>
      <c r="P541" s="469"/>
      <c r="Q541" s="469"/>
      <c r="R541" s="469"/>
      <c r="S541" s="469"/>
      <c r="T541" s="469"/>
      <c r="U541" s="469"/>
      <c r="V541" s="469"/>
      <c r="W541" s="469"/>
      <c r="X541" s="469"/>
      <c r="Y541" s="469"/>
      <c r="Z541" s="469"/>
      <c r="AA541" s="469"/>
      <c r="AB541" s="469"/>
      <c r="AC541" s="469"/>
      <c r="AD541" s="469"/>
      <c r="AE541" s="469"/>
      <c r="AF541" s="469"/>
      <c r="AG541" s="469"/>
      <c r="AH541" s="469"/>
      <c r="AI541" s="469"/>
      <c r="AJ541" s="469"/>
      <c r="AK541" s="469"/>
    </row>
    <row r="542" customFormat="false" ht="12.75" hidden="false" customHeight="false" outlineLevel="0" collapsed="false">
      <c r="A542" s="470"/>
      <c r="E542" s="469"/>
      <c r="F542" s="469"/>
      <c r="G542" s="469"/>
      <c r="H542" s="469"/>
      <c r="I542" s="469"/>
      <c r="J542" s="469"/>
      <c r="K542" s="469"/>
      <c r="L542" s="469"/>
      <c r="M542" s="469"/>
      <c r="N542" s="469"/>
      <c r="O542" s="469"/>
      <c r="P542" s="469"/>
      <c r="Q542" s="469"/>
      <c r="R542" s="469"/>
      <c r="S542" s="469"/>
      <c r="T542" s="469"/>
      <c r="U542" s="469"/>
      <c r="V542" s="469"/>
      <c r="W542" s="469"/>
      <c r="X542" s="469"/>
      <c r="Y542" s="469"/>
      <c r="Z542" s="469"/>
      <c r="AA542" s="469"/>
      <c r="AB542" s="469"/>
      <c r="AC542" s="469"/>
      <c r="AD542" s="469"/>
      <c r="AE542" s="469"/>
      <c r="AF542" s="469"/>
      <c r="AG542" s="469"/>
      <c r="AH542" s="469"/>
      <c r="AI542" s="469"/>
      <c r="AJ542" s="469"/>
      <c r="AK542" s="469"/>
    </row>
    <row r="543" customFormat="false" ht="12.75" hidden="false" customHeight="false" outlineLevel="0" collapsed="false">
      <c r="A543" s="470"/>
      <c r="E543" s="469"/>
      <c r="F543" s="469"/>
      <c r="G543" s="469"/>
      <c r="H543" s="469"/>
      <c r="I543" s="469"/>
      <c r="J543" s="469"/>
      <c r="K543" s="469"/>
      <c r="L543" s="469"/>
      <c r="M543" s="469"/>
      <c r="N543" s="469"/>
      <c r="O543" s="469"/>
      <c r="P543" s="469"/>
      <c r="Q543" s="469"/>
      <c r="R543" s="469"/>
      <c r="S543" s="469"/>
      <c r="T543" s="469"/>
      <c r="U543" s="469"/>
      <c r="V543" s="469"/>
      <c r="W543" s="469"/>
      <c r="X543" s="469"/>
      <c r="Y543" s="469"/>
      <c r="Z543" s="469"/>
      <c r="AA543" s="469"/>
      <c r="AB543" s="469"/>
      <c r="AC543" s="469"/>
      <c r="AD543" s="469"/>
      <c r="AE543" s="469"/>
      <c r="AF543" s="469"/>
      <c r="AG543" s="469"/>
      <c r="AH543" s="469"/>
      <c r="AI543" s="469"/>
      <c r="AJ543" s="469"/>
      <c r="AK543" s="469"/>
    </row>
    <row r="544" customFormat="false" ht="12.75" hidden="false" customHeight="false" outlineLevel="0" collapsed="false">
      <c r="A544" s="470"/>
      <c r="E544" s="469"/>
      <c r="F544" s="469"/>
      <c r="G544" s="469"/>
      <c r="H544" s="469"/>
      <c r="I544" s="469"/>
      <c r="J544" s="469"/>
      <c r="K544" s="469"/>
      <c r="L544" s="469"/>
      <c r="M544" s="469"/>
      <c r="N544" s="469"/>
      <c r="O544" s="469"/>
      <c r="P544" s="469"/>
      <c r="Q544" s="469"/>
      <c r="R544" s="469"/>
      <c r="S544" s="469"/>
      <c r="T544" s="469"/>
      <c r="U544" s="469"/>
      <c r="V544" s="469"/>
      <c r="W544" s="469"/>
      <c r="X544" s="469"/>
      <c r="Y544" s="469"/>
      <c r="Z544" s="469"/>
      <c r="AA544" s="469"/>
      <c r="AB544" s="469"/>
      <c r="AC544" s="469"/>
      <c r="AD544" s="469"/>
      <c r="AE544" s="469"/>
      <c r="AF544" s="469"/>
      <c r="AG544" s="469"/>
      <c r="AH544" s="469"/>
      <c r="AI544" s="469"/>
      <c r="AJ544" s="469"/>
      <c r="AK544" s="469"/>
    </row>
    <row r="545" customFormat="false" ht="12.75" hidden="false" customHeight="false" outlineLevel="0" collapsed="false">
      <c r="A545" s="470"/>
      <c r="E545" s="469"/>
      <c r="F545" s="469"/>
      <c r="G545" s="469"/>
      <c r="H545" s="469"/>
      <c r="I545" s="469"/>
      <c r="J545" s="469"/>
      <c r="K545" s="469"/>
      <c r="L545" s="469"/>
      <c r="M545" s="469"/>
      <c r="N545" s="469"/>
      <c r="O545" s="469"/>
      <c r="P545" s="469"/>
      <c r="Q545" s="469"/>
      <c r="R545" s="469"/>
      <c r="S545" s="469"/>
      <c r="T545" s="469"/>
      <c r="U545" s="469"/>
      <c r="V545" s="469"/>
      <c r="W545" s="469"/>
      <c r="X545" s="469"/>
      <c r="Y545" s="469"/>
      <c r="Z545" s="469"/>
      <c r="AA545" s="469"/>
      <c r="AB545" s="469"/>
      <c r="AC545" s="469"/>
      <c r="AD545" s="469"/>
      <c r="AE545" s="469"/>
      <c r="AF545" s="469"/>
      <c r="AG545" s="469"/>
      <c r="AH545" s="469"/>
      <c r="AI545" s="469"/>
      <c r="AJ545" s="469"/>
      <c r="AK545" s="469"/>
    </row>
    <row r="546" customFormat="false" ht="12.75" hidden="false" customHeight="false" outlineLevel="0" collapsed="false">
      <c r="A546" s="470"/>
      <c r="E546" s="469"/>
      <c r="F546" s="469"/>
      <c r="G546" s="469"/>
      <c r="H546" s="469"/>
      <c r="I546" s="469"/>
      <c r="J546" s="469"/>
      <c r="K546" s="469"/>
      <c r="L546" s="469"/>
      <c r="M546" s="469"/>
      <c r="N546" s="469"/>
      <c r="O546" s="469"/>
      <c r="P546" s="469"/>
      <c r="Q546" s="469"/>
      <c r="R546" s="469"/>
      <c r="S546" s="469"/>
      <c r="T546" s="469"/>
      <c r="U546" s="469"/>
      <c r="V546" s="469"/>
      <c r="W546" s="469"/>
      <c r="X546" s="469"/>
      <c r="Y546" s="469"/>
      <c r="Z546" s="469"/>
      <c r="AA546" s="469"/>
      <c r="AB546" s="469"/>
      <c r="AC546" s="469"/>
      <c r="AD546" s="469"/>
      <c r="AE546" s="469"/>
      <c r="AF546" s="469"/>
      <c r="AG546" s="469"/>
      <c r="AH546" s="469"/>
      <c r="AI546" s="469"/>
      <c r="AJ546" s="469"/>
      <c r="AK546" s="469"/>
    </row>
    <row r="547" customFormat="false" ht="12.75" hidden="false" customHeight="false" outlineLevel="0" collapsed="false">
      <c r="A547" s="470"/>
      <c r="E547" s="469"/>
      <c r="F547" s="469"/>
      <c r="G547" s="469"/>
      <c r="H547" s="469"/>
      <c r="I547" s="469"/>
      <c r="J547" s="469"/>
      <c r="K547" s="469"/>
      <c r="L547" s="469"/>
      <c r="M547" s="469"/>
      <c r="N547" s="469"/>
      <c r="O547" s="469"/>
      <c r="P547" s="469"/>
      <c r="Q547" s="469"/>
      <c r="R547" s="469"/>
      <c r="S547" s="469"/>
      <c r="T547" s="469"/>
      <c r="U547" s="469"/>
      <c r="V547" s="469"/>
      <c r="W547" s="469"/>
      <c r="X547" s="469"/>
      <c r="Y547" s="469"/>
      <c r="Z547" s="469"/>
      <c r="AA547" s="469"/>
      <c r="AB547" s="469"/>
      <c r="AC547" s="469"/>
      <c r="AD547" s="469"/>
      <c r="AE547" s="469"/>
      <c r="AF547" s="469"/>
      <c r="AG547" s="469"/>
      <c r="AH547" s="469"/>
      <c r="AI547" s="469"/>
      <c r="AJ547" s="469"/>
      <c r="AK547" s="469"/>
    </row>
    <row r="548" customFormat="false" ht="12.75" hidden="false" customHeight="false" outlineLevel="0" collapsed="false">
      <c r="A548" s="470"/>
      <c r="E548" s="469"/>
      <c r="F548" s="469"/>
      <c r="G548" s="469"/>
      <c r="H548" s="469"/>
      <c r="I548" s="469"/>
      <c r="J548" s="469"/>
      <c r="K548" s="469"/>
      <c r="L548" s="469"/>
      <c r="M548" s="469"/>
      <c r="N548" s="469"/>
      <c r="O548" s="469"/>
      <c r="P548" s="469"/>
      <c r="Q548" s="469"/>
      <c r="R548" s="469"/>
      <c r="S548" s="469"/>
      <c r="T548" s="469"/>
      <c r="U548" s="469"/>
      <c r="V548" s="469"/>
      <c r="W548" s="469"/>
      <c r="X548" s="469"/>
      <c r="Y548" s="469"/>
      <c r="Z548" s="469"/>
      <c r="AA548" s="469"/>
      <c r="AB548" s="469"/>
      <c r="AC548" s="469"/>
      <c r="AD548" s="469"/>
      <c r="AE548" s="469"/>
      <c r="AF548" s="469"/>
      <c r="AG548" s="469"/>
      <c r="AH548" s="469"/>
      <c r="AI548" s="469"/>
      <c r="AJ548" s="469"/>
      <c r="AK548" s="469"/>
    </row>
    <row r="549" customFormat="false" ht="12.75" hidden="false" customHeight="false" outlineLevel="0" collapsed="false">
      <c r="A549" s="470"/>
      <c r="E549" s="469"/>
      <c r="F549" s="469"/>
      <c r="G549" s="469"/>
      <c r="H549" s="469"/>
      <c r="I549" s="469"/>
      <c r="J549" s="469"/>
      <c r="K549" s="469"/>
      <c r="L549" s="469"/>
      <c r="M549" s="469"/>
      <c r="N549" s="469"/>
      <c r="O549" s="469"/>
      <c r="P549" s="469"/>
      <c r="Q549" s="469"/>
      <c r="R549" s="469"/>
      <c r="S549" s="469"/>
      <c r="T549" s="469"/>
      <c r="U549" s="469"/>
      <c r="V549" s="469"/>
      <c r="W549" s="469"/>
      <c r="X549" s="469"/>
      <c r="Y549" s="469"/>
      <c r="Z549" s="469"/>
      <c r="AA549" s="469"/>
      <c r="AB549" s="469"/>
      <c r="AC549" s="469"/>
      <c r="AD549" s="469"/>
      <c r="AE549" s="469"/>
      <c r="AF549" s="469"/>
      <c r="AG549" s="469"/>
      <c r="AH549" s="469"/>
      <c r="AI549" s="469"/>
      <c r="AJ549" s="469"/>
      <c r="AK549" s="469"/>
    </row>
    <row r="550" customFormat="false" ht="12.75" hidden="false" customHeight="false" outlineLevel="0" collapsed="false">
      <c r="A550" s="470"/>
      <c r="E550" s="469"/>
      <c r="F550" s="469"/>
      <c r="G550" s="469"/>
      <c r="H550" s="469"/>
      <c r="I550" s="469"/>
      <c r="J550" s="469"/>
      <c r="K550" s="469"/>
      <c r="L550" s="469"/>
      <c r="M550" s="469"/>
      <c r="N550" s="469"/>
      <c r="O550" s="469"/>
      <c r="P550" s="469"/>
      <c r="Q550" s="469"/>
      <c r="R550" s="469"/>
      <c r="S550" s="469"/>
      <c r="T550" s="469"/>
      <c r="U550" s="469"/>
      <c r="V550" s="469"/>
      <c r="W550" s="469"/>
      <c r="X550" s="469"/>
      <c r="Y550" s="469"/>
      <c r="Z550" s="469"/>
      <c r="AA550" s="469"/>
      <c r="AB550" s="469"/>
      <c r="AC550" s="469"/>
      <c r="AD550" s="469"/>
      <c r="AE550" s="469"/>
      <c r="AF550" s="469"/>
      <c r="AG550" s="469"/>
      <c r="AH550" s="469"/>
      <c r="AI550" s="469"/>
      <c r="AJ550" s="469"/>
      <c r="AK550" s="469"/>
    </row>
    <row r="551" customFormat="false" ht="12.75" hidden="false" customHeight="false" outlineLevel="0" collapsed="false">
      <c r="A551" s="470"/>
      <c r="E551" s="469"/>
      <c r="F551" s="469"/>
      <c r="G551" s="469"/>
      <c r="H551" s="469"/>
      <c r="I551" s="469"/>
      <c r="J551" s="469"/>
      <c r="K551" s="469"/>
      <c r="L551" s="469"/>
      <c r="M551" s="469"/>
      <c r="N551" s="469"/>
      <c r="O551" s="469"/>
      <c r="P551" s="469"/>
      <c r="Q551" s="469"/>
      <c r="R551" s="469"/>
      <c r="S551" s="469"/>
      <c r="T551" s="469"/>
      <c r="U551" s="469"/>
      <c r="V551" s="469"/>
      <c r="W551" s="469"/>
      <c r="X551" s="469"/>
      <c r="Y551" s="469"/>
      <c r="Z551" s="469"/>
      <c r="AA551" s="469"/>
      <c r="AB551" s="469"/>
      <c r="AC551" s="469"/>
      <c r="AD551" s="469"/>
      <c r="AE551" s="469"/>
      <c r="AF551" s="469"/>
      <c r="AG551" s="469"/>
      <c r="AH551" s="469"/>
      <c r="AI551" s="469"/>
      <c r="AJ551" s="469"/>
      <c r="AK551" s="469"/>
    </row>
    <row r="552" customFormat="false" ht="12.75" hidden="false" customHeight="false" outlineLevel="0" collapsed="false">
      <c r="A552" s="470"/>
      <c r="E552" s="469"/>
      <c r="F552" s="469"/>
      <c r="G552" s="469"/>
      <c r="H552" s="469"/>
      <c r="I552" s="469"/>
      <c r="J552" s="469"/>
      <c r="K552" s="469"/>
      <c r="L552" s="469"/>
      <c r="M552" s="469"/>
      <c r="N552" s="469"/>
      <c r="O552" s="469"/>
      <c r="P552" s="469"/>
      <c r="Q552" s="469"/>
      <c r="R552" s="469"/>
      <c r="S552" s="469"/>
      <c r="T552" s="469"/>
      <c r="U552" s="469"/>
      <c r="V552" s="469"/>
      <c r="W552" s="469"/>
      <c r="X552" s="469"/>
      <c r="Y552" s="469"/>
      <c r="Z552" s="469"/>
      <c r="AA552" s="469"/>
      <c r="AB552" s="469"/>
      <c r="AC552" s="469"/>
      <c r="AD552" s="469"/>
      <c r="AE552" s="469"/>
      <c r="AF552" s="469"/>
      <c r="AG552" s="469"/>
      <c r="AH552" s="469"/>
      <c r="AI552" s="469"/>
      <c r="AJ552" s="469"/>
      <c r="AK552" s="469"/>
    </row>
    <row r="553" customFormat="false" ht="12.75" hidden="false" customHeight="false" outlineLevel="0" collapsed="false">
      <c r="A553" s="470"/>
      <c r="E553" s="469"/>
      <c r="F553" s="469"/>
      <c r="G553" s="469"/>
      <c r="H553" s="469"/>
      <c r="I553" s="469"/>
      <c r="J553" s="469"/>
      <c r="K553" s="469"/>
      <c r="L553" s="469"/>
      <c r="M553" s="469"/>
      <c r="N553" s="469"/>
      <c r="O553" s="469"/>
      <c r="P553" s="469"/>
      <c r="Q553" s="469"/>
      <c r="R553" s="469"/>
      <c r="S553" s="469"/>
      <c r="T553" s="469"/>
      <c r="U553" s="469"/>
      <c r="V553" s="469"/>
      <c r="W553" s="469"/>
      <c r="X553" s="469"/>
      <c r="Y553" s="469"/>
      <c r="Z553" s="469"/>
      <c r="AA553" s="469"/>
      <c r="AB553" s="469"/>
      <c r="AC553" s="469"/>
      <c r="AD553" s="469"/>
      <c r="AE553" s="469"/>
      <c r="AF553" s="469"/>
      <c r="AG553" s="469"/>
      <c r="AH553" s="469"/>
      <c r="AI553" s="469"/>
      <c r="AJ553" s="469"/>
      <c r="AK553" s="469"/>
    </row>
    <row r="554" customFormat="false" ht="12.75" hidden="false" customHeight="false" outlineLevel="0" collapsed="false">
      <c r="E554" s="469"/>
      <c r="F554" s="469"/>
      <c r="G554" s="469"/>
      <c r="H554" s="469"/>
      <c r="I554" s="469"/>
      <c r="J554" s="469"/>
      <c r="K554" s="469"/>
      <c r="L554" s="469"/>
      <c r="M554" s="469"/>
      <c r="N554" s="469"/>
      <c r="O554" s="469"/>
      <c r="P554" s="469"/>
      <c r="Q554" s="469"/>
      <c r="R554" s="469"/>
      <c r="S554" s="469"/>
      <c r="T554" s="469"/>
      <c r="U554" s="469"/>
      <c r="V554" s="469"/>
      <c r="W554" s="469"/>
      <c r="X554" s="469"/>
      <c r="Y554" s="469"/>
      <c r="Z554" s="469"/>
      <c r="AA554" s="469"/>
      <c r="AB554" s="469"/>
      <c r="AC554" s="469"/>
      <c r="AD554" s="469"/>
      <c r="AE554" s="469"/>
      <c r="AF554" s="469"/>
      <c r="AG554" s="469"/>
      <c r="AH554" s="469"/>
      <c r="AI554" s="469"/>
      <c r="AJ554" s="469"/>
      <c r="AK554" s="469"/>
    </row>
    <row r="555" customFormat="false" ht="12.75" hidden="false" customHeight="false" outlineLevel="0" collapsed="false">
      <c r="E555" s="469"/>
      <c r="F555" s="469"/>
      <c r="G555" s="469"/>
      <c r="H555" s="469"/>
      <c r="I555" s="469"/>
      <c r="J555" s="469"/>
      <c r="K555" s="469"/>
      <c r="L555" s="469"/>
      <c r="M555" s="469"/>
      <c r="N555" s="469"/>
      <c r="O555" s="469"/>
      <c r="P555" s="469"/>
      <c r="Q555" s="469"/>
      <c r="R555" s="469"/>
      <c r="S555" s="469"/>
      <c r="T555" s="469"/>
      <c r="U555" s="469"/>
      <c r="V555" s="469"/>
      <c r="W555" s="469"/>
      <c r="X555" s="469"/>
      <c r="Y555" s="469"/>
      <c r="Z555" s="469"/>
      <c r="AA555" s="469"/>
      <c r="AB555" s="469"/>
      <c r="AC555" s="469"/>
      <c r="AD555" s="469"/>
      <c r="AE555" s="469"/>
      <c r="AF555" s="469"/>
      <c r="AG555" s="469"/>
      <c r="AH555" s="469"/>
      <c r="AI555" s="469"/>
      <c r="AJ555" s="469"/>
      <c r="AK555" s="469"/>
    </row>
    <row r="556" customFormat="false" ht="12.75" hidden="false" customHeight="false" outlineLevel="0" collapsed="false">
      <c r="E556" s="469"/>
      <c r="F556" s="469"/>
      <c r="G556" s="469"/>
      <c r="H556" s="469"/>
      <c r="I556" s="469"/>
      <c r="J556" s="469"/>
      <c r="K556" s="469"/>
      <c r="L556" s="469"/>
      <c r="M556" s="469"/>
      <c r="N556" s="469"/>
      <c r="O556" s="469"/>
      <c r="P556" s="469"/>
      <c r="Q556" s="469"/>
      <c r="R556" s="469"/>
      <c r="S556" s="469"/>
      <c r="T556" s="469"/>
      <c r="U556" s="469"/>
      <c r="V556" s="469"/>
      <c r="W556" s="469"/>
      <c r="X556" s="469"/>
      <c r="Y556" s="469"/>
      <c r="Z556" s="469"/>
      <c r="AA556" s="469"/>
      <c r="AB556" s="469"/>
      <c r="AC556" s="469"/>
      <c r="AD556" s="469"/>
      <c r="AE556" s="469"/>
      <c r="AF556" s="469"/>
      <c r="AG556" s="469"/>
      <c r="AH556" s="469"/>
      <c r="AI556" s="469"/>
      <c r="AJ556" s="469"/>
      <c r="AK556" s="469"/>
    </row>
    <row r="557" customFormat="false" ht="12.75" hidden="false" customHeight="false" outlineLevel="0" collapsed="false">
      <c r="E557" s="469"/>
      <c r="F557" s="469"/>
      <c r="G557" s="469"/>
      <c r="H557" s="469"/>
      <c r="I557" s="469"/>
      <c r="J557" s="469"/>
      <c r="K557" s="469"/>
      <c r="L557" s="469"/>
      <c r="M557" s="469"/>
      <c r="N557" s="469"/>
      <c r="O557" s="469"/>
      <c r="P557" s="469"/>
      <c r="Q557" s="469"/>
      <c r="R557" s="469"/>
      <c r="S557" s="469"/>
      <c r="T557" s="469"/>
      <c r="U557" s="469"/>
      <c r="V557" s="469"/>
      <c r="W557" s="469"/>
      <c r="X557" s="469"/>
      <c r="Y557" s="469"/>
      <c r="Z557" s="469"/>
      <c r="AA557" s="469"/>
      <c r="AB557" s="469"/>
      <c r="AC557" s="469"/>
      <c r="AD557" s="469"/>
      <c r="AE557" s="469"/>
      <c r="AF557" s="469"/>
      <c r="AG557" s="469"/>
      <c r="AH557" s="469"/>
      <c r="AI557" s="469"/>
      <c r="AJ557" s="469"/>
      <c r="AK557" s="469"/>
    </row>
    <row r="558" customFormat="false" ht="12.75" hidden="false" customHeight="false" outlineLevel="0" collapsed="false">
      <c r="E558" s="469"/>
      <c r="F558" s="469"/>
      <c r="G558" s="469"/>
      <c r="H558" s="469"/>
      <c r="I558" s="469"/>
      <c r="J558" s="469"/>
      <c r="K558" s="469"/>
      <c r="L558" s="469"/>
      <c r="M558" s="469"/>
      <c r="N558" s="469"/>
      <c r="O558" s="469"/>
      <c r="P558" s="469"/>
      <c r="Q558" s="469"/>
      <c r="R558" s="469"/>
      <c r="S558" s="469"/>
      <c r="T558" s="469"/>
      <c r="U558" s="469"/>
      <c r="V558" s="469"/>
      <c r="W558" s="469"/>
      <c r="X558" s="469"/>
      <c r="Y558" s="469"/>
      <c r="Z558" s="469"/>
      <c r="AA558" s="469"/>
      <c r="AB558" s="469"/>
      <c r="AC558" s="469"/>
      <c r="AD558" s="469"/>
      <c r="AE558" s="469"/>
      <c r="AF558" s="469"/>
      <c r="AG558" s="469"/>
      <c r="AH558" s="469"/>
      <c r="AI558" s="469"/>
      <c r="AJ558" s="469"/>
      <c r="AK558" s="469"/>
    </row>
    <row r="559" customFormat="false" ht="12.75" hidden="false" customHeight="false" outlineLevel="0" collapsed="false">
      <c r="E559" s="469"/>
      <c r="F559" s="469"/>
      <c r="G559" s="469"/>
      <c r="H559" s="469"/>
      <c r="I559" s="469"/>
      <c r="J559" s="469"/>
      <c r="K559" s="469"/>
      <c r="L559" s="469"/>
      <c r="M559" s="469"/>
      <c r="N559" s="469"/>
      <c r="O559" s="469"/>
      <c r="P559" s="469"/>
      <c r="Q559" s="469"/>
      <c r="R559" s="469"/>
      <c r="S559" s="469"/>
      <c r="T559" s="469"/>
      <c r="U559" s="469"/>
      <c r="V559" s="469"/>
      <c r="W559" s="469"/>
      <c r="X559" s="469"/>
      <c r="Y559" s="469"/>
      <c r="Z559" s="469"/>
      <c r="AA559" s="469"/>
      <c r="AB559" s="469"/>
      <c r="AC559" s="469"/>
      <c r="AD559" s="469"/>
      <c r="AE559" s="469"/>
      <c r="AF559" s="469"/>
      <c r="AG559" s="469"/>
      <c r="AH559" s="469"/>
      <c r="AI559" s="469"/>
      <c r="AJ559" s="469"/>
      <c r="AK559" s="469"/>
    </row>
    <row r="560" customFormat="false" ht="12.75" hidden="false" customHeight="false" outlineLevel="0" collapsed="false">
      <c r="E560" s="469"/>
      <c r="F560" s="469"/>
      <c r="G560" s="469"/>
      <c r="H560" s="469"/>
      <c r="I560" s="469"/>
      <c r="J560" s="469"/>
      <c r="K560" s="469"/>
      <c r="L560" s="469"/>
      <c r="M560" s="469"/>
      <c r="N560" s="469"/>
      <c r="O560" s="469"/>
      <c r="P560" s="469"/>
      <c r="Q560" s="469"/>
      <c r="R560" s="469"/>
      <c r="S560" s="469"/>
      <c r="T560" s="469"/>
      <c r="U560" s="469"/>
      <c r="V560" s="469"/>
      <c r="W560" s="469"/>
      <c r="X560" s="469"/>
      <c r="Y560" s="469"/>
      <c r="Z560" s="469"/>
      <c r="AA560" s="469"/>
      <c r="AB560" s="469"/>
      <c r="AC560" s="469"/>
      <c r="AD560" s="469"/>
      <c r="AE560" s="469"/>
      <c r="AF560" s="469"/>
      <c r="AG560" s="469"/>
      <c r="AH560" s="469"/>
      <c r="AI560" s="469"/>
      <c r="AJ560" s="469"/>
      <c r="AK560" s="469"/>
    </row>
    <row r="561" customFormat="false" ht="12.75" hidden="false" customHeight="false" outlineLevel="0" collapsed="false">
      <c r="A561" s="473"/>
      <c r="E561" s="469"/>
      <c r="F561" s="469"/>
      <c r="G561" s="469"/>
      <c r="H561" s="469"/>
      <c r="I561" s="469"/>
      <c r="J561" s="469"/>
      <c r="K561" s="469"/>
      <c r="L561" s="469"/>
      <c r="M561" s="469"/>
      <c r="N561" s="469"/>
      <c r="O561" s="469"/>
      <c r="P561" s="469"/>
      <c r="Q561" s="469"/>
      <c r="R561" s="469"/>
      <c r="S561" s="469"/>
      <c r="T561" s="469"/>
      <c r="U561" s="469"/>
      <c r="V561" s="469"/>
      <c r="W561" s="469"/>
      <c r="X561" s="469"/>
      <c r="Y561" s="469"/>
      <c r="Z561" s="469"/>
      <c r="AA561" s="469"/>
      <c r="AB561" s="469"/>
      <c r="AC561" s="469"/>
      <c r="AD561" s="469"/>
      <c r="AE561" s="469"/>
      <c r="AF561" s="469"/>
      <c r="AG561" s="469"/>
      <c r="AH561" s="469"/>
      <c r="AI561" s="469"/>
      <c r="AJ561" s="469"/>
      <c r="AK561" s="469"/>
    </row>
    <row r="562" customFormat="false" ht="12.75" hidden="false" customHeight="false" outlineLevel="0" collapsed="false">
      <c r="A562" s="470"/>
      <c r="E562" s="469"/>
      <c r="F562" s="469"/>
      <c r="G562" s="469"/>
      <c r="H562" s="469"/>
      <c r="I562" s="469"/>
      <c r="J562" s="469"/>
      <c r="K562" s="469"/>
      <c r="L562" s="469"/>
      <c r="M562" s="469"/>
      <c r="N562" s="469"/>
      <c r="O562" s="469"/>
      <c r="P562" s="469"/>
      <c r="Q562" s="469"/>
      <c r="R562" s="469"/>
      <c r="S562" s="469"/>
      <c r="T562" s="469"/>
      <c r="U562" s="469"/>
      <c r="V562" s="469"/>
      <c r="W562" s="469"/>
      <c r="X562" s="469"/>
      <c r="Y562" s="469"/>
      <c r="Z562" s="469"/>
      <c r="AA562" s="469"/>
      <c r="AB562" s="469"/>
      <c r="AC562" s="469"/>
      <c r="AD562" s="469"/>
      <c r="AE562" s="469"/>
      <c r="AF562" s="469"/>
      <c r="AG562" s="469"/>
      <c r="AH562" s="469"/>
      <c r="AI562" s="469"/>
      <c r="AJ562" s="469"/>
      <c r="AK562" s="469"/>
    </row>
    <row r="563" customFormat="false" ht="12.75" hidden="false" customHeight="false" outlineLevel="0" collapsed="false">
      <c r="A563" s="470"/>
      <c r="E563" s="469"/>
      <c r="F563" s="469"/>
      <c r="G563" s="469"/>
      <c r="H563" s="469"/>
      <c r="I563" s="469"/>
      <c r="J563" s="469"/>
      <c r="K563" s="469"/>
      <c r="L563" s="469"/>
      <c r="M563" s="469"/>
      <c r="N563" s="469"/>
      <c r="O563" s="469"/>
      <c r="P563" s="469"/>
      <c r="Q563" s="469"/>
      <c r="R563" s="469"/>
      <c r="S563" s="469"/>
      <c r="T563" s="469"/>
      <c r="U563" s="469"/>
      <c r="V563" s="469"/>
      <c r="W563" s="469"/>
      <c r="X563" s="469"/>
      <c r="Y563" s="469"/>
      <c r="Z563" s="469"/>
      <c r="AA563" s="469"/>
      <c r="AB563" s="469"/>
      <c r="AC563" s="469"/>
      <c r="AD563" s="469"/>
      <c r="AE563" s="469"/>
      <c r="AF563" s="469"/>
      <c r="AG563" s="469"/>
      <c r="AH563" s="469"/>
      <c r="AI563" s="469"/>
      <c r="AJ563" s="469"/>
      <c r="AK563" s="469"/>
    </row>
    <row r="564" customFormat="false" ht="12.75" hidden="false" customHeight="false" outlineLevel="0" collapsed="false">
      <c r="A564" s="470"/>
      <c r="E564" s="469"/>
      <c r="F564" s="469"/>
      <c r="G564" s="469"/>
      <c r="H564" s="469"/>
      <c r="I564" s="469"/>
      <c r="J564" s="469"/>
      <c r="K564" s="469"/>
      <c r="L564" s="469"/>
      <c r="M564" s="469"/>
      <c r="N564" s="469"/>
      <c r="O564" s="469"/>
      <c r="P564" s="469"/>
      <c r="Q564" s="469"/>
      <c r="R564" s="469"/>
      <c r="S564" s="469"/>
      <c r="T564" s="469"/>
      <c r="U564" s="469"/>
      <c r="V564" s="469"/>
      <c r="W564" s="469"/>
      <c r="X564" s="469"/>
      <c r="Y564" s="469"/>
      <c r="Z564" s="469"/>
      <c r="AA564" s="469"/>
      <c r="AB564" s="469"/>
      <c r="AC564" s="469"/>
      <c r="AD564" s="469"/>
      <c r="AE564" s="469"/>
      <c r="AF564" s="469"/>
      <c r="AG564" s="469"/>
      <c r="AH564" s="469"/>
      <c r="AI564" s="469"/>
      <c r="AJ564" s="469"/>
      <c r="AK564" s="469"/>
    </row>
    <row r="565" customFormat="false" ht="12.75" hidden="false" customHeight="false" outlineLevel="0" collapsed="false">
      <c r="A565" s="470"/>
      <c r="E565" s="469"/>
      <c r="F565" s="469"/>
      <c r="G565" s="469"/>
      <c r="H565" s="469"/>
      <c r="I565" s="469"/>
      <c r="J565" s="469"/>
      <c r="K565" s="469"/>
      <c r="L565" s="469"/>
      <c r="M565" s="469"/>
      <c r="N565" s="469"/>
      <c r="O565" s="469"/>
      <c r="P565" s="469"/>
      <c r="Q565" s="469"/>
      <c r="R565" s="469"/>
      <c r="S565" s="469"/>
      <c r="T565" s="469"/>
      <c r="U565" s="469"/>
      <c r="V565" s="469"/>
      <c r="W565" s="469"/>
      <c r="X565" s="469"/>
      <c r="Y565" s="469"/>
      <c r="Z565" s="469"/>
      <c r="AA565" s="469"/>
      <c r="AB565" s="469"/>
      <c r="AC565" s="469"/>
      <c r="AD565" s="469"/>
      <c r="AE565" s="469"/>
      <c r="AF565" s="469"/>
      <c r="AG565" s="469"/>
      <c r="AH565" s="469"/>
      <c r="AI565" s="469"/>
      <c r="AJ565" s="469"/>
      <c r="AK565" s="469"/>
    </row>
    <row r="566" customFormat="false" ht="12.75" hidden="false" customHeight="false" outlineLevel="0" collapsed="false">
      <c r="A566" s="470"/>
      <c r="E566" s="469"/>
      <c r="F566" s="469"/>
      <c r="G566" s="469"/>
      <c r="H566" s="469"/>
      <c r="I566" s="469"/>
      <c r="J566" s="469"/>
      <c r="K566" s="469"/>
      <c r="L566" s="469"/>
      <c r="M566" s="469"/>
      <c r="N566" s="469"/>
      <c r="O566" s="469"/>
      <c r="P566" s="469"/>
      <c r="Q566" s="469"/>
      <c r="R566" s="469"/>
      <c r="S566" s="469"/>
      <c r="T566" s="469"/>
      <c r="U566" s="469"/>
      <c r="V566" s="469"/>
      <c r="W566" s="469"/>
      <c r="X566" s="469"/>
      <c r="Y566" s="469"/>
      <c r="Z566" s="469"/>
      <c r="AA566" s="469"/>
      <c r="AB566" s="469"/>
      <c r="AC566" s="469"/>
      <c r="AD566" s="469"/>
      <c r="AE566" s="469"/>
      <c r="AF566" s="469"/>
      <c r="AG566" s="469"/>
      <c r="AH566" s="469"/>
      <c r="AI566" s="469"/>
      <c r="AJ566" s="469"/>
      <c r="AK566" s="469"/>
    </row>
    <row r="567" customFormat="false" ht="12.75" hidden="false" customHeight="false" outlineLevel="0" collapsed="false">
      <c r="A567" s="470"/>
      <c r="E567" s="469"/>
      <c r="F567" s="469"/>
      <c r="G567" s="469"/>
      <c r="H567" s="469"/>
      <c r="I567" s="469"/>
      <c r="J567" s="469"/>
      <c r="K567" s="469"/>
      <c r="L567" s="469"/>
      <c r="M567" s="469"/>
      <c r="N567" s="469"/>
      <c r="O567" s="469"/>
      <c r="P567" s="469"/>
      <c r="Q567" s="469"/>
      <c r="R567" s="469"/>
      <c r="S567" s="469"/>
      <c r="T567" s="469"/>
      <c r="U567" s="469"/>
      <c r="V567" s="469"/>
      <c r="W567" s="469"/>
      <c r="X567" s="469"/>
      <c r="Y567" s="469"/>
      <c r="Z567" s="469"/>
      <c r="AA567" s="469"/>
      <c r="AB567" s="469"/>
      <c r="AC567" s="469"/>
      <c r="AD567" s="469"/>
      <c r="AE567" s="469"/>
      <c r="AF567" s="469"/>
      <c r="AG567" s="469"/>
      <c r="AH567" s="469"/>
      <c r="AI567" s="469"/>
      <c r="AJ567" s="469"/>
      <c r="AK567" s="469"/>
    </row>
    <row r="568" customFormat="false" ht="12.75" hidden="false" customHeight="false" outlineLevel="0" collapsed="false">
      <c r="A568" s="470"/>
      <c r="E568" s="469"/>
      <c r="F568" s="469"/>
      <c r="G568" s="469"/>
      <c r="H568" s="469"/>
      <c r="I568" s="469"/>
      <c r="J568" s="469"/>
      <c r="K568" s="469"/>
      <c r="L568" s="469"/>
      <c r="M568" s="469"/>
      <c r="N568" s="469"/>
      <c r="O568" s="469"/>
      <c r="P568" s="469"/>
      <c r="Q568" s="469"/>
      <c r="R568" s="469"/>
      <c r="S568" s="469"/>
      <c r="T568" s="469"/>
      <c r="U568" s="469"/>
      <c r="V568" s="469"/>
      <c r="W568" s="469"/>
      <c r="X568" s="469"/>
      <c r="Y568" s="469"/>
      <c r="Z568" s="469"/>
      <c r="AA568" s="469"/>
      <c r="AB568" s="469"/>
      <c r="AC568" s="469"/>
      <c r="AD568" s="469"/>
      <c r="AE568" s="469"/>
      <c r="AF568" s="469"/>
      <c r="AG568" s="469"/>
      <c r="AH568" s="469"/>
      <c r="AI568" s="469"/>
      <c r="AJ568" s="469"/>
      <c r="AK568" s="469"/>
    </row>
    <row r="569" customFormat="false" ht="12.75" hidden="false" customHeight="false" outlineLevel="0" collapsed="false">
      <c r="A569" s="470"/>
      <c r="E569" s="469"/>
      <c r="F569" s="469"/>
      <c r="G569" s="469"/>
      <c r="H569" s="469"/>
      <c r="I569" s="469"/>
      <c r="J569" s="469"/>
      <c r="K569" s="469"/>
      <c r="L569" s="469"/>
      <c r="M569" s="469"/>
      <c r="N569" s="469"/>
      <c r="O569" s="469"/>
      <c r="P569" s="469"/>
      <c r="Q569" s="469"/>
      <c r="R569" s="469"/>
      <c r="S569" s="469"/>
      <c r="T569" s="469"/>
      <c r="U569" s="469"/>
      <c r="V569" s="469"/>
      <c r="W569" s="469"/>
      <c r="X569" s="469"/>
      <c r="Y569" s="469"/>
      <c r="Z569" s="469"/>
      <c r="AA569" s="469"/>
      <c r="AB569" s="469"/>
      <c r="AC569" s="469"/>
      <c r="AD569" s="469"/>
      <c r="AE569" s="469"/>
      <c r="AF569" s="469"/>
      <c r="AG569" s="469"/>
      <c r="AH569" s="469"/>
      <c r="AI569" s="469"/>
      <c r="AJ569" s="469"/>
      <c r="AK569" s="469"/>
    </row>
    <row r="570" customFormat="false" ht="12.75" hidden="false" customHeight="false" outlineLevel="0" collapsed="false">
      <c r="A570" s="470"/>
      <c r="E570" s="469"/>
      <c r="F570" s="469"/>
      <c r="G570" s="469"/>
      <c r="H570" s="469"/>
      <c r="I570" s="469"/>
      <c r="J570" s="469"/>
      <c r="K570" s="469"/>
      <c r="L570" s="469"/>
      <c r="M570" s="469"/>
      <c r="N570" s="469"/>
      <c r="O570" s="469"/>
      <c r="P570" s="469"/>
      <c r="Q570" s="469"/>
      <c r="R570" s="469"/>
      <c r="S570" s="469"/>
      <c r="T570" s="469"/>
      <c r="U570" s="469"/>
      <c r="V570" s="469"/>
      <c r="W570" s="469"/>
      <c r="X570" s="469"/>
      <c r="Y570" s="469"/>
      <c r="Z570" s="469"/>
      <c r="AA570" s="469"/>
      <c r="AB570" s="469"/>
      <c r="AC570" s="469"/>
      <c r="AD570" s="469"/>
      <c r="AE570" s="469"/>
      <c r="AF570" s="469"/>
      <c r="AG570" s="469"/>
      <c r="AH570" s="469"/>
      <c r="AI570" s="469"/>
      <c r="AJ570" s="469"/>
      <c r="AK570" s="469"/>
    </row>
    <row r="571" customFormat="false" ht="12.75" hidden="false" customHeight="false" outlineLevel="0" collapsed="false">
      <c r="A571" s="470"/>
      <c r="E571" s="469"/>
      <c r="F571" s="469"/>
      <c r="G571" s="469"/>
      <c r="H571" s="469"/>
      <c r="I571" s="469"/>
      <c r="J571" s="469"/>
      <c r="K571" s="469"/>
      <c r="L571" s="469"/>
      <c r="M571" s="469"/>
      <c r="N571" s="469"/>
      <c r="O571" s="469"/>
      <c r="P571" s="469"/>
      <c r="Q571" s="469"/>
      <c r="R571" s="469"/>
      <c r="S571" s="469"/>
      <c r="T571" s="469"/>
      <c r="U571" s="469"/>
      <c r="V571" s="469"/>
      <c r="W571" s="469"/>
      <c r="X571" s="469"/>
      <c r="Y571" s="469"/>
      <c r="Z571" s="469"/>
      <c r="AA571" s="469"/>
      <c r="AB571" s="469"/>
      <c r="AC571" s="469"/>
      <c r="AD571" s="469"/>
      <c r="AE571" s="469"/>
      <c r="AF571" s="469"/>
      <c r="AG571" s="469"/>
      <c r="AH571" s="469"/>
      <c r="AI571" s="469"/>
      <c r="AJ571" s="469"/>
      <c r="AK571" s="469"/>
    </row>
    <row r="572" customFormat="false" ht="12.75" hidden="false" customHeight="false" outlineLevel="0" collapsed="false">
      <c r="A572" s="470"/>
      <c r="E572" s="469"/>
      <c r="F572" s="469"/>
      <c r="G572" s="469"/>
      <c r="H572" s="469"/>
      <c r="I572" s="469"/>
      <c r="J572" s="469"/>
      <c r="K572" s="469"/>
      <c r="L572" s="469"/>
      <c r="M572" s="469"/>
      <c r="N572" s="469"/>
      <c r="O572" s="469"/>
      <c r="P572" s="469"/>
      <c r="Q572" s="469"/>
      <c r="R572" s="469"/>
      <c r="S572" s="469"/>
      <c r="T572" s="469"/>
      <c r="U572" s="469"/>
      <c r="V572" s="469"/>
      <c r="W572" s="469"/>
      <c r="X572" s="469"/>
      <c r="Y572" s="469"/>
      <c r="Z572" s="469"/>
      <c r="AA572" s="469"/>
      <c r="AB572" s="469"/>
      <c r="AC572" s="469"/>
      <c r="AD572" s="469"/>
      <c r="AE572" s="469"/>
      <c r="AF572" s="469"/>
      <c r="AG572" s="469"/>
      <c r="AH572" s="469"/>
      <c r="AI572" s="469"/>
      <c r="AJ572" s="469"/>
      <c r="AK572" s="469"/>
    </row>
    <row r="573" customFormat="false" ht="12.75" hidden="false" customHeight="false" outlineLevel="0" collapsed="false">
      <c r="A573" s="470"/>
      <c r="E573" s="469"/>
      <c r="F573" s="469"/>
      <c r="G573" s="469"/>
      <c r="H573" s="469"/>
      <c r="I573" s="469"/>
      <c r="J573" s="469"/>
      <c r="K573" s="469"/>
      <c r="L573" s="469"/>
      <c r="M573" s="469"/>
      <c r="N573" s="469"/>
      <c r="O573" s="469"/>
      <c r="P573" s="469"/>
      <c r="Q573" s="469"/>
      <c r="R573" s="469"/>
      <c r="S573" s="469"/>
      <c r="T573" s="469"/>
      <c r="U573" s="469"/>
      <c r="V573" s="469"/>
      <c r="W573" s="469"/>
      <c r="X573" s="469"/>
      <c r="Y573" s="469"/>
      <c r="Z573" s="469"/>
      <c r="AA573" s="469"/>
      <c r="AB573" s="469"/>
      <c r="AC573" s="469"/>
      <c r="AD573" s="469"/>
      <c r="AE573" s="469"/>
      <c r="AF573" s="469"/>
      <c r="AG573" s="469"/>
      <c r="AH573" s="469"/>
      <c r="AI573" s="469"/>
      <c r="AJ573" s="469"/>
      <c r="AK573" s="469"/>
    </row>
    <row r="574" customFormat="false" ht="12.75" hidden="false" customHeight="false" outlineLevel="0" collapsed="false">
      <c r="A574" s="470"/>
      <c r="E574" s="469"/>
      <c r="F574" s="469"/>
      <c r="G574" s="469"/>
      <c r="H574" s="469"/>
      <c r="I574" s="469"/>
      <c r="J574" s="469"/>
      <c r="K574" s="469"/>
      <c r="L574" s="469"/>
      <c r="M574" s="469"/>
      <c r="N574" s="469"/>
      <c r="O574" s="469"/>
      <c r="P574" s="469"/>
      <c r="Q574" s="469"/>
      <c r="R574" s="469"/>
      <c r="S574" s="469"/>
      <c r="T574" s="469"/>
      <c r="U574" s="469"/>
      <c r="V574" s="469"/>
      <c r="W574" s="469"/>
      <c r="X574" s="469"/>
      <c r="Y574" s="469"/>
      <c r="Z574" s="469"/>
      <c r="AA574" s="469"/>
      <c r="AB574" s="469"/>
      <c r="AC574" s="469"/>
      <c r="AD574" s="469"/>
      <c r="AE574" s="469"/>
      <c r="AF574" s="469"/>
      <c r="AG574" s="469"/>
      <c r="AH574" s="469"/>
      <c r="AI574" s="469"/>
      <c r="AJ574" s="469"/>
      <c r="AK574" s="469"/>
    </row>
    <row r="575" customFormat="false" ht="12.75" hidden="false" customHeight="false" outlineLevel="0" collapsed="false">
      <c r="A575" s="470"/>
      <c r="E575" s="469"/>
      <c r="F575" s="469"/>
      <c r="G575" s="469"/>
      <c r="H575" s="469"/>
      <c r="I575" s="469"/>
      <c r="J575" s="469"/>
      <c r="K575" s="469"/>
      <c r="L575" s="469"/>
      <c r="M575" s="469"/>
      <c r="N575" s="469"/>
      <c r="O575" s="469"/>
      <c r="P575" s="469"/>
      <c r="Q575" s="469"/>
      <c r="R575" s="469"/>
      <c r="S575" s="469"/>
      <c r="T575" s="469"/>
      <c r="U575" s="469"/>
      <c r="V575" s="469"/>
      <c r="W575" s="469"/>
      <c r="X575" s="469"/>
      <c r="Y575" s="469"/>
      <c r="Z575" s="469"/>
      <c r="AA575" s="469"/>
      <c r="AB575" s="469"/>
      <c r="AC575" s="469"/>
      <c r="AD575" s="469"/>
      <c r="AE575" s="469"/>
      <c r="AF575" s="469"/>
      <c r="AG575" s="469"/>
      <c r="AH575" s="469"/>
      <c r="AI575" s="469"/>
      <c r="AJ575" s="469"/>
      <c r="AK575" s="469"/>
    </row>
    <row r="576" customFormat="false" ht="12.75" hidden="false" customHeight="false" outlineLevel="0" collapsed="false">
      <c r="A576" s="470"/>
      <c r="E576" s="469"/>
      <c r="F576" s="469"/>
      <c r="G576" s="469"/>
      <c r="H576" s="469"/>
      <c r="I576" s="469"/>
      <c r="J576" s="469"/>
      <c r="K576" s="469"/>
      <c r="L576" s="469"/>
      <c r="M576" s="469"/>
      <c r="N576" s="469"/>
      <c r="O576" s="469"/>
      <c r="P576" s="469"/>
      <c r="Q576" s="469"/>
      <c r="R576" s="469"/>
      <c r="S576" s="469"/>
      <c r="T576" s="469"/>
      <c r="U576" s="469"/>
      <c r="V576" s="469"/>
      <c r="W576" s="469"/>
      <c r="X576" s="469"/>
      <c r="Y576" s="469"/>
      <c r="Z576" s="469"/>
      <c r="AA576" s="469"/>
      <c r="AB576" s="469"/>
      <c r="AC576" s="469"/>
      <c r="AD576" s="469"/>
      <c r="AE576" s="469"/>
      <c r="AF576" s="469"/>
      <c r="AG576" s="469"/>
      <c r="AH576" s="469"/>
      <c r="AI576" s="469"/>
      <c r="AJ576" s="469"/>
      <c r="AK576" s="469"/>
    </row>
    <row r="577" customFormat="false" ht="12.75" hidden="false" customHeight="false" outlineLevel="0" collapsed="false">
      <c r="A577" s="470"/>
      <c r="E577" s="469"/>
      <c r="F577" s="469"/>
      <c r="G577" s="469"/>
      <c r="H577" s="469"/>
      <c r="I577" s="469"/>
      <c r="J577" s="469"/>
      <c r="K577" s="469"/>
      <c r="L577" s="469"/>
      <c r="M577" s="469"/>
      <c r="N577" s="469"/>
      <c r="O577" s="469"/>
      <c r="P577" s="469"/>
      <c r="Q577" s="469"/>
      <c r="R577" s="469"/>
      <c r="S577" s="469"/>
      <c r="T577" s="469"/>
      <c r="U577" s="469"/>
      <c r="V577" s="469"/>
      <c r="W577" s="469"/>
      <c r="X577" s="469"/>
      <c r="Y577" s="469"/>
      <c r="Z577" s="469"/>
      <c r="AA577" s="469"/>
      <c r="AB577" s="469"/>
      <c r="AC577" s="469"/>
      <c r="AD577" s="469"/>
      <c r="AE577" s="469"/>
      <c r="AF577" s="469"/>
      <c r="AG577" s="469"/>
      <c r="AH577" s="469"/>
      <c r="AI577" s="469"/>
      <c r="AJ577" s="469"/>
      <c r="AK577" s="469"/>
    </row>
    <row r="578" customFormat="false" ht="12.75" hidden="false" customHeight="false" outlineLevel="0" collapsed="false">
      <c r="A578" s="470"/>
      <c r="E578" s="469"/>
      <c r="F578" s="469"/>
      <c r="G578" s="469"/>
      <c r="H578" s="469"/>
      <c r="I578" s="469"/>
      <c r="J578" s="469"/>
      <c r="K578" s="469"/>
      <c r="L578" s="469"/>
      <c r="M578" s="469"/>
      <c r="N578" s="469"/>
      <c r="O578" s="469"/>
      <c r="P578" s="469"/>
      <c r="Q578" s="469"/>
      <c r="R578" s="469"/>
      <c r="S578" s="469"/>
      <c r="T578" s="469"/>
      <c r="U578" s="469"/>
      <c r="V578" s="469"/>
      <c r="W578" s="469"/>
      <c r="X578" s="469"/>
      <c r="Y578" s="469"/>
      <c r="Z578" s="469"/>
      <c r="AA578" s="469"/>
      <c r="AB578" s="469"/>
      <c r="AC578" s="469"/>
      <c r="AD578" s="469"/>
      <c r="AE578" s="469"/>
      <c r="AF578" s="469"/>
      <c r="AG578" s="469"/>
      <c r="AH578" s="469"/>
      <c r="AI578" s="469"/>
      <c r="AJ578" s="469"/>
      <c r="AK578" s="469"/>
    </row>
    <row r="579" customFormat="false" ht="12.75" hidden="false" customHeight="false" outlineLevel="0" collapsed="false">
      <c r="A579" s="470"/>
      <c r="E579" s="469"/>
      <c r="F579" s="469"/>
      <c r="G579" s="469"/>
      <c r="H579" s="469"/>
      <c r="I579" s="469"/>
      <c r="J579" s="469"/>
      <c r="K579" s="469"/>
      <c r="L579" s="469"/>
      <c r="M579" s="469"/>
      <c r="N579" s="469"/>
      <c r="O579" s="469"/>
      <c r="P579" s="469"/>
      <c r="Q579" s="469"/>
      <c r="R579" s="469"/>
      <c r="S579" s="469"/>
      <c r="T579" s="469"/>
      <c r="U579" s="469"/>
      <c r="V579" s="469"/>
      <c r="W579" s="469"/>
      <c r="X579" s="469"/>
      <c r="Y579" s="469"/>
      <c r="Z579" s="469"/>
      <c r="AA579" s="469"/>
      <c r="AB579" s="469"/>
      <c r="AC579" s="469"/>
      <c r="AD579" s="469"/>
      <c r="AE579" s="469"/>
      <c r="AF579" s="469"/>
      <c r="AG579" s="469"/>
      <c r="AH579" s="469"/>
      <c r="AI579" s="469"/>
      <c r="AJ579" s="469"/>
      <c r="AK579" s="469"/>
    </row>
    <row r="580" customFormat="false" ht="12.75" hidden="false" customHeight="false" outlineLevel="0" collapsed="false">
      <c r="E580" s="469"/>
      <c r="F580" s="469"/>
      <c r="G580" s="469"/>
      <c r="H580" s="469"/>
      <c r="I580" s="469"/>
      <c r="J580" s="469"/>
      <c r="K580" s="469"/>
      <c r="L580" s="469"/>
      <c r="M580" s="469"/>
      <c r="N580" s="469"/>
      <c r="O580" s="469"/>
      <c r="P580" s="469"/>
      <c r="Q580" s="469"/>
      <c r="R580" s="469"/>
      <c r="S580" s="469"/>
      <c r="T580" s="469"/>
      <c r="U580" s="469"/>
      <c r="V580" s="469"/>
      <c r="W580" s="469"/>
      <c r="X580" s="469"/>
      <c r="Y580" s="469"/>
      <c r="Z580" s="469"/>
      <c r="AA580" s="469"/>
      <c r="AB580" s="469"/>
      <c r="AC580" s="469"/>
      <c r="AD580" s="469"/>
      <c r="AE580" s="469"/>
      <c r="AF580" s="469"/>
      <c r="AG580" s="469"/>
      <c r="AH580" s="469"/>
      <c r="AI580" s="469"/>
      <c r="AJ580" s="469"/>
      <c r="AK580" s="469"/>
    </row>
    <row r="581" customFormat="false" ht="12.75" hidden="false" customHeight="false" outlineLevel="0" collapsed="false">
      <c r="E581" s="469"/>
      <c r="F581" s="469"/>
      <c r="G581" s="469"/>
      <c r="H581" s="469"/>
      <c r="I581" s="469"/>
      <c r="J581" s="469"/>
      <c r="K581" s="469"/>
      <c r="L581" s="469"/>
      <c r="M581" s="469"/>
      <c r="N581" s="469"/>
      <c r="O581" s="469"/>
      <c r="P581" s="469"/>
      <c r="Q581" s="469"/>
      <c r="R581" s="469"/>
      <c r="S581" s="469"/>
      <c r="T581" s="469"/>
      <c r="U581" s="469"/>
      <c r="V581" s="469"/>
      <c r="W581" s="469"/>
      <c r="X581" s="469"/>
      <c r="Y581" s="469"/>
      <c r="Z581" s="469"/>
      <c r="AA581" s="469"/>
      <c r="AB581" s="469"/>
      <c r="AC581" s="469"/>
      <c r="AD581" s="469"/>
      <c r="AE581" s="469"/>
      <c r="AF581" s="469"/>
      <c r="AG581" s="469"/>
      <c r="AH581" s="469"/>
      <c r="AI581" s="469"/>
      <c r="AJ581" s="469"/>
      <c r="AK581" s="469"/>
    </row>
    <row r="582" customFormat="false" ht="12.75" hidden="false" customHeight="false" outlineLevel="0" collapsed="false">
      <c r="E582" s="469"/>
      <c r="F582" s="469"/>
      <c r="G582" s="469"/>
      <c r="H582" s="469"/>
      <c r="I582" s="469"/>
      <c r="J582" s="469"/>
      <c r="K582" s="469"/>
      <c r="L582" s="469"/>
      <c r="M582" s="469"/>
      <c r="N582" s="469"/>
      <c r="O582" s="469"/>
      <c r="P582" s="469"/>
      <c r="Q582" s="469"/>
      <c r="R582" s="469"/>
      <c r="S582" s="469"/>
      <c r="T582" s="469"/>
      <c r="U582" s="469"/>
      <c r="V582" s="469"/>
      <c r="W582" s="469"/>
      <c r="X582" s="469"/>
      <c r="Y582" s="469"/>
      <c r="Z582" s="469"/>
      <c r="AA582" s="469"/>
      <c r="AB582" s="469"/>
      <c r="AC582" s="469"/>
      <c r="AD582" s="469"/>
      <c r="AE582" s="469"/>
      <c r="AF582" s="469"/>
      <c r="AG582" s="469"/>
      <c r="AH582" s="469"/>
      <c r="AI582" s="469"/>
      <c r="AJ582" s="469"/>
      <c r="AK582" s="469"/>
    </row>
    <row r="583" customFormat="false" ht="12.75" hidden="false" customHeight="false" outlineLevel="0" collapsed="false">
      <c r="E583" s="469"/>
      <c r="F583" s="469"/>
      <c r="G583" s="469"/>
      <c r="H583" s="469"/>
      <c r="I583" s="469"/>
      <c r="J583" s="469"/>
      <c r="K583" s="469"/>
      <c r="L583" s="469"/>
      <c r="M583" s="469"/>
      <c r="N583" s="469"/>
      <c r="O583" s="469"/>
      <c r="P583" s="469"/>
      <c r="Q583" s="469"/>
      <c r="R583" s="469"/>
      <c r="S583" s="469"/>
      <c r="T583" s="469"/>
      <c r="U583" s="469"/>
      <c r="V583" s="469"/>
      <c r="W583" s="469"/>
      <c r="X583" s="469"/>
      <c r="Y583" s="469"/>
      <c r="Z583" s="469"/>
      <c r="AA583" s="469"/>
      <c r="AB583" s="469"/>
      <c r="AC583" s="469"/>
      <c r="AD583" s="469"/>
      <c r="AE583" s="469"/>
      <c r="AF583" s="469"/>
      <c r="AG583" s="469"/>
      <c r="AH583" s="469"/>
      <c r="AI583" s="469"/>
      <c r="AJ583" s="469"/>
      <c r="AK583" s="469"/>
    </row>
    <row r="584" customFormat="false" ht="12.75" hidden="false" customHeight="false" outlineLevel="0" collapsed="false">
      <c r="E584" s="469"/>
      <c r="F584" s="469"/>
      <c r="G584" s="469"/>
      <c r="H584" s="469"/>
      <c r="I584" s="469"/>
      <c r="J584" s="469"/>
      <c r="K584" s="469"/>
      <c r="L584" s="469"/>
      <c r="M584" s="469"/>
      <c r="N584" s="469"/>
      <c r="O584" s="469"/>
      <c r="P584" s="469"/>
      <c r="Q584" s="469"/>
      <c r="R584" s="469"/>
      <c r="S584" s="469"/>
      <c r="T584" s="469"/>
      <c r="U584" s="469"/>
      <c r="V584" s="469"/>
      <c r="W584" s="469"/>
      <c r="X584" s="469"/>
      <c r="Y584" s="469"/>
      <c r="Z584" s="469"/>
      <c r="AA584" s="469"/>
      <c r="AB584" s="469"/>
      <c r="AC584" s="469"/>
      <c r="AD584" s="469"/>
      <c r="AE584" s="469"/>
      <c r="AF584" s="469"/>
      <c r="AG584" s="469"/>
      <c r="AH584" s="469"/>
      <c r="AI584" s="469"/>
      <c r="AJ584" s="469"/>
      <c r="AK584" s="469"/>
    </row>
    <row r="585" customFormat="false" ht="12.75" hidden="false" customHeight="false" outlineLevel="0" collapsed="false">
      <c r="E585" s="469"/>
      <c r="F585" s="469"/>
      <c r="G585" s="469"/>
      <c r="H585" s="469"/>
      <c r="I585" s="469"/>
      <c r="J585" s="469"/>
      <c r="K585" s="469"/>
      <c r="L585" s="469"/>
      <c r="M585" s="469"/>
      <c r="N585" s="469"/>
      <c r="O585" s="469"/>
      <c r="P585" s="469"/>
      <c r="Q585" s="469"/>
      <c r="R585" s="469"/>
      <c r="S585" s="469"/>
      <c r="T585" s="469"/>
      <c r="U585" s="469"/>
      <c r="V585" s="469"/>
      <c r="W585" s="469"/>
      <c r="X585" s="469"/>
      <c r="Y585" s="469"/>
      <c r="Z585" s="469"/>
      <c r="AA585" s="469"/>
      <c r="AB585" s="469"/>
      <c r="AC585" s="469"/>
      <c r="AD585" s="469"/>
      <c r="AE585" s="469"/>
      <c r="AF585" s="469"/>
      <c r="AG585" s="469"/>
      <c r="AH585" s="469"/>
      <c r="AI585" s="469"/>
      <c r="AJ585" s="469"/>
      <c r="AK585" s="469"/>
    </row>
    <row r="586" customFormat="false" ht="12.75" hidden="false" customHeight="false" outlineLevel="0" collapsed="false">
      <c r="E586" s="469"/>
      <c r="F586" s="469"/>
      <c r="G586" s="469"/>
      <c r="H586" s="469"/>
      <c r="I586" s="469"/>
      <c r="J586" s="469"/>
      <c r="K586" s="469"/>
      <c r="L586" s="469"/>
      <c r="M586" s="469"/>
      <c r="N586" s="469"/>
      <c r="O586" s="469"/>
      <c r="P586" s="469"/>
      <c r="Q586" s="469"/>
      <c r="R586" s="469"/>
      <c r="S586" s="469"/>
      <c r="T586" s="469"/>
      <c r="U586" s="469"/>
      <c r="V586" s="469"/>
      <c r="W586" s="469"/>
      <c r="X586" s="469"/>
      <c r="Y586" s="469"/>
      <c r="Z586" s="469"/>
      <c r="AA586" s="469"/>
      <c r="AB586" s="469"/>
      <c r="AC586" s="469"/>
      <c r="AD586" s="469"/>
      <c r="AE586" s="469"/>
      <c r="AF586" s="469"/>
      <c r="AG586" s="469"/>
      <c r="AH586" s="469"/>
      <c r="AI586" s="469"/>
      <c r="AJ586" s="469"/>
      <c r="AK586" s="469"/>
    </row>
    <row r="587" customFormat="false" ht="12.75" hidden="false" customHeight="false" outlineLevel="0" collapsed="false">
      <c r="A587" s="473"/>
      <c r="E587" s="469"/>
      <c r="F587" s="469"/>
      <c r="G587" s="469"/>
      <c r="H587" s="469"/>
      <c r="I587" s="469"/>
      <c r="J587" s="469"/>
      <c r="K587" s="469"/>
      <c r="L587" s="469"/>
      <c r="M587" s="469"/>
      <c r="N587" s="469"/>
      <c r="O587" s="469"/>
      <c r="P587" s="469"/>
      <c r="Q587" s="469"/>
      <c r="R587" s="469"/>
      <c r="S587" s="469"/>
      <c r="T587" s="469"/>
      <c r="U587" s="469"/>
      <c r="V587" s="469"/>
      <c r="W587" s="469"/>
      <c r="X587" s="469"/>
      <c r="Y587" s="469"/>
      <c r="Z587" s="469"/>
      <c r="AA587" s="469"/>
      <c r="AB587" s="469"/>
      <c r="AC587" s="469"/>
      <c r="AD587" s="469"/>
      <c r="AE587" s="469"/>
      <c r="AF587" s="469"/>
      <c r="AG587" s="469"/>
      <c r="AH587" s="469"/>
      <c r="AI587" s="469"/>
      <c r="AJ587" s="469"/>
      <c r="AK587" s="469"/>
    </row>
    <row r="588" customFormat="false" ht="12.75" hidden="false" customHeight="false" outlineLevel="0" collapsed="false">
      <c r="A588" s="470"/>
      <c r="E588" s="469"/>
      <c r="F588" s="469"/>
      <c r="G588" s="469"/>
      <c r="H588" s="469"/>
      <c r="I588" s="469"/>
      <c r="J588" s="469"/>
      <c r="K588" s="469"/>
      <c r="L588" s="469"/>
      <c r="M588" s="469"/>
      <c r="N588" s="469"/>
      <c r="O588" s="469"/>
      <c r="P588" s="469"/>
      <c r="Q588" s="469"/>
      <c r="R588" s="469"/>
      <c r="S588" s="469"/>
      <c r="T588" s="469"/>
      <c r="U588" s="469"/>
      <c r="V588" s="469"/>
      <c r="W588" s="469"/>
      <c r="X588" s="469"/>
      <c r="Y588" s="469"/>
      <c r="Z588" s="469"/>
      <c r="AA588" s="469"/>
      <c r="AB588" s="469"/>
      <c r="AC588" s="469"/>
      <c r="AD588" s="469"/>
      <c r="AE588" s="469"/>
      <c r="AF588" s="469"/>
      <c r="AG588" s="469"/>
      <c r="AH588" s="469"/>
      <c r="AI588" s="469"/>
      <c r="AJ588" s="469"/>
      <c r="AK588" s="469"/>
    </row>
    <row r="589" customFormat="false" ht="12.75" hidden="false" customHeight="false" outlineLevel="0" collapsed="false">
      <c r="A589" s="470"/>
      <c r="E589" s="469"/>
      <c r="F589" s="469"/>
      <c r="G589" s="469"/>
      <c r="H589" s="469"/>
      <c r="I589" s="469"/>
      <c r="J589" s="469"/>
      <c r="K589" s="469"/>
      <c r="L589" s="469"/>
      <c r="M589" s="469"/>
      <c r="N589" s="469"/>
      <c r="O589" s="469"/>
      <c r="P589" s="469"/>
      <c r="Q589" s="469"/>
      <c r="R589" s="469"/>
      <c r="S589" s="469"/>
      <c r="T589" s="469"/>
      <c r="U589" s="469"/>
      <c r="V589" s="469"/>
      <c r="W589" s="469"/>
      <c r="X589" s="469"/>
      <c r="Y589" s="469"/>
      <c r="Z589" s="469"/>
      <c r="AA589" s="469"/>
      <c r="AB589" s="469"/>
      <c r="AC589" s="469"/>
      <c r="AD589" s="469"/>
      <c r="AE589" s="469"/>
      <c r="AF589" s="469"/>
      <c r="AG589" s="469"/>
      <c r="AH589" s="469"/>
      <c r="AI589" s="469"/>
      <c r="AJ589" s="469"/>
      <c r="AK589" s="469"/>
    </row>
    <row r="590" customFormat="false" ht="12.75" hidden="false" customHeight="false" outlineLevel="0" collapsed="false">
      <c r="A590" s="470"/>
      <c r="E590" s="469"/>
      <c r="F590" s="469"/>
      <c r="G590" s="469"/>
      <c r="H590" s="469"/>
      <c r="I590" s="469"/>
      <c r="J590" s="469"/>
      <c r="K590" s="469"/>
      <c r="L590" s="469"/>
      <c r="M590" s="469"/>
      <c r="N590" s="469"/>
      <c r="O590" s="469"/>
      <c r="P590" s="469"/>
      <c r="Q590" s="469"/>
      <c r="R590" s="469"/>
      <c r="S590" s="469"/>
      <c r="T590" s="469"/>
      <c r="U590" s="469"/>
      <c r="V590" s="469"/>
      <c r="W590" s="469"/>
      <c r="X590" s="469"/>
      <c r="Y590" s="469"/>
      <c r="Z590" s="469"/>
      <c r="AA590" s="469"/>
      <c r="AB590" s="469"/>
      <c r="AC590" s="469"/>
      <c r="AD590" s="469"/>
      <c r="AE590" s="469"/>
      <c r="AF590" s="469"/>
      <c r="AG590" s="469"/>
      <c r="AH590" s="469"/>
      <c r="AI590" s="469"/>
      <c r="AJ590" s="469"/>
      <c r="AK590" s="469"/>
    </row>
    <row r="591" customFormat="false" ht="12.75" hidden="false" customHeight="false" outlineLevel="0" collapsed="false">
      <c r="A591" s="470"/>
      <c r="E591" s="469"/>
      <c r="F591" s="469"/>
      <c r="G591" s="469"/>
      <c r="H591" s="469"/>
      <c r="I591" s="469"/>
      <c r="J591" s="469"/>
      <c r="K591" s="469"/>
      <c r="L591" s="469"/>
      <c r="M591" s="469"/>
      <c r="N591" s="469"/>
      <c r="O591" s="469"/>
      <c r="P591" s="469"/>
      <c r="Q591" s="469"/>
      <c r="R591" s="469"/>
      <c r="S591" s="469"/>
      <c r="T591" s="469"/>
      <c r="U591" s="469"/>
      <c r="V591" s="469"/>
      <c r="W591" s="469"/>
      <c r="X591" s="469"/>
      <c r="Y591" s="469"/>
      <c r="Z591" s="469"/>
      <c r="AA591" s="469"/>
      <c r="AB591" s="469"/>
      <c r="AC591" s="469"/>
      <c r="AD591" s="469"/>
      <c r="AE591" s="469"/>
      <c r="AF591" s="469"/>
      <c r="AG591" s="469"/>
      <c r="AH591" s="469"/>
      <c r="AI591" s="469"/>
      <c r="AJ591" s="469"/>
      <c r="AK591" s="469"/>
    </row>
    <row r="592" customFormat="false" ht="12.75" hidden="false" customHeight="false" outlineLevel="0" collapsed="false">
      <c r="A592" s="470"/>
      <c r="E592" s="469"/>
      <c r="F592" s="469"/>
      <c r="G592" s="469"/>
      <c r="H592" s="469"/>
      <c r="I592" s="469"/>
      <c r="J592" s="469"/>
      <c r="K592" s="469"/>
      <c r="L592" s="469"/>
      <c r="M592" s="469"/>
      <c r="N592" s="469"/>
      <c r="O592" s="469"/>
      <c r="P592" s="469"/>
      <c r="Q592" s="469"/>
      <c r="R592" s="469"/>
      <c r="S592" s="469"/>
      <c r="T592" s="469"/>
      <c r="U592" s="469"/>
      <c r="V592" s="469"/>
      <c r="W592" s="469"/>
      <c r="X592" s="469"/>
      <c r="Y592" s="469"/>
      <c r="Z592" s="469"/>
      <c r="AA592" s="469"/>
      <c r="AB592" s="469"/>
      <c r="AC592" s="469"/>
      <c r="AD592" s="469"/>
      <c r="AE592" s="469"/>
      <c r="AF592" s="469"/>
      <c r="AG592" s="469"/>
      <c r="AH592" s="469"/>
      <c r="AI592" s="469"/>
      <c r="AJ592" s="469"/>
      <c r="AK592" s="469"/>
    </row>
    <row r="593" customFormat="false" ht="12.75" hidden="false" customHeight="false" outlineLevel="0" collapsed="false">
      <c r="A593" s="470"/>
      <c r="E593" s="469"/>
      <c r="F593" s="469"/>
      <c r="G593" s="469"/>
      <c r="H593" s="469"/>
      <c r="I593" s="469"/>
      <c r="J593" s="469"/>
      <c r="K593" s="469"/>
      <c r="L593" s="469"/>
      <c r="M593" s="469"/>
      <c r="N593" s="469"/>
      <c r="O593" s="469"/>
      <c r="P593" s="469"/>
      <c r="Q593" s="469"/>
      <c r="R593" s="469"/>
      <c r="S593" s="469"/>
      <c r="T593" s="469"/>
      <c r="U593" s="469"/>
      <c r="V593" s="469"/>
      <c r="W593" s="469"/>
      <c r="X593" s="469"/>
      <c r="Y593" s="469"/>
      <c r="Z593" s="469"/>
      <c r="AA593" s="469"/>
      <c r="AB593" s="469"/>
      <c r="AC593" s="469"/>
      <c r="AD593" s="469"/>
      <c r="AE593" s="469"/>
      <c r="AF593" s="469"/>
      <c r="AG593" s="469"/>
      <c r="AH593" s="469"/>
      <c r="AI593" s="469"/>
      <c r="AJ593" s="469"/>
      <c r="AK593" s="469"/>
    </row>
    <row r="594" customFormat="false" ht="12.75" hidden="false" customHeight="false" outlineLevel="0" collapsed="false">
      <c r="A594" s="470"/>
      <c r="E594" s="469"/>
      <c r="F594" s="469"/>
      <c r="G594" s="469"/>
      <c r="H594" s="469"/>
      <c r="I594" s="469"/>
      <c r="J594" s="469"/>
      <c r="K594" s="469"/>
      <c r="L594" s="469"/>
      <c r="M594" s="469"/>
      <c r="N594" s="469"/>
      <c r="O594" s="469"/>
      <c r="P594" s="469"/>
      <c r="Q594" s="469"/>
      <c r="R594" s="469"/>
      <c r="S594" s="469"/>
      <c r="T594" s="469"/>
      <c r="U594" s="469"/>
      <c r="V594" s="469"/>
      <c r="W594" s="469"/>
      <c r="X594" s="469"/>
      <c r="Y594" s="469"/>
      <c r="Z594" s="469"/>
      <c r="AA594" s="469"/>
      <c r="AB594" s="469"/>
      <c r="AC594" s="469"/>
      <c r="AD594" s="469"/>
      <c r="AE594" s="469"/>
      <c r="AF594" s="469"/>
      <c r="AG594" s="469"/>
      <c r="AH594" s="469"/>
      <c r="AI594" s="469"/>
      <c r="AJ594" s="469"/>
      <c r="AK594" s="469"/>
    </row>
    <row r="595" customFormat="false" ht="12.75" hidden="false" customHeight="false" outlineLevel="0" collapsed="false">
      <c r="A595" s="470"/>
      <c r="E595" s="469"/>
      <c r="F595" s="469"/>
      <c r="G595" s="469"/>
      <c r="H595" s="469"/>
      <c r="I595" s="469"/>
      <c r="J595" s="469"/>
      <c r="K595" s="469"/>
      <c r="L595" s="469"/>
      <c r="M595" s="469"/>
      <c r="N595" s="469"/>
      <c r="O595" s="469"/>
      <c r="P595" s="469"/>
      <c r="Q595" s="469"/>
      <c r="R595" s="469"/>
      <c r="S595" s="469"/>
      <c r="T595" s="469"/>
      <c r="U595" s="469"/>
      <c r="V595" s="469"/>
      <c r="W595" s="469"/>
      <c r="X595" s="469"/>
      <c r="Y595" s="469"/>
      <c r="Z595" s="469"/>
      <c r="AA595" s="469"/>
      <c r="AB595" s="469"/>
      <c r="AC595" s="469"/>
      <c r="AD595" s="469"/>
      <c r="AE595" s="469"/>
      <c r="AF595" s="469"/>
      <c r="AG595" s="469"/>
      <c r="AH595" s="469"/>
      <c r="AI595" s="469"/>
      <c r="AJ595" s="469"/>
      <c r="AK595" s="469"/>
    </row>
    <row r="596" customFormat="false" ht="12.75" hidden="false" customHeight="false" outlineLevel="0" collapsed="false">
      <c r="A596" s="470"/>
      <c r="E596" s="469"/>
      <c r="F596" s="469"/>
      <c r="G596" s="469"/>
      <c r="H596" s="469"/>
      <c r="I596" s="469"/>
      <c r="J596" s="469"/>
      <c r="K596" s="469"/>
      <c r="L596" s="469"/>
      <c r="M596" s="469"/>
      <c r="N596" s="469"/>
      <c r="O596" s="469"/>
      <c r="P596" s="469"/>
      <c r="Q596" s="469"/>
      <c r="R596" s="469"/>
      <c r="S596" s="469"/>
      <c r="T596" s="469"/>
      <c r="U596" s="469"/>
      <c r="V596" s="469"/>
      <c r="W596" s="469"/>
      <c r="X596" s="469"/>
      <c r="Y596" s="469"/>
      <c r="Z596" s="469"/>
      <c r="AA596" s="469"/>
      <c r="AB596" s="469"/>
      <c r="AC596" s="469"/>
      <c r="AD596" s="469"/>
      <c r="AE596" s="469"/>
      <c r="AF596" s="469"/>
      <c r="AG596" s="469"/>
      <c r="AH596" s="469"/>
      <c r="AI596" s="469"/>
      <c r="AJ596" s="469"/>
      <c r="AK596" s="469"/>
    </row>
    <row r="597" customFormat="false" ht="12.75" hidden="false" customHeight="false" outlineLevel="0" collapsed="false">
      <c r="A597" s="470"/>
      <c r="E597" s="469"/>
      <c r="F597" s="469"/>
      <c r="G597" s="469"/>
      <c r="H597" s="469"/>
      <c r="I597" s="469"/>
      <c r="J597" s="469"/>
      <c r="K597" s="469"/>
      <c r="L597" s="469"/>
      <c r="M597" s="469"/>
      <c r="N597" s="469"/>
      <c r="O597" s="469"/>
      <c r="P597" s="469"/>
      <c r="Q597" s="469"/>
      <c r="R597" s="469"/>
      <c r="S597" s="469"/>
      <c r="T597" s="469"/>
      <c r="U597" s="469"/>
      <c r="V597" s="469"/>
      <c r="W597" s="469"/>
      <c r="X597" s="469"/>
      <c r="Y597" s="469"/>
      <c r="Z597" s="469"/>
      <c r="AA597" s="469"/>
      <c r="AB597" s="469"/>
      <c r="AC597" s="469"/>
      <c r="AD597" s="469"/>
      <c r="AE597" s="469"/>
      <c r="AF597" s="469"/>
      <c r="AG597" s="469"/>
      <c r="AH597" s="469"/>
      <c r="AI597" s="469"/>
      <c r="AJ597" s="469"/>
      <c r="AK597" s="469"/>
    </row>
    <row r="598" customFormat="false" ht="12.75" hidden="false" customHeight="false" outlineLevel="0" collapsed="false">
      <c r="A598" s="470"/>
      <c r="E598" s="469"/>
      <c r="F598" s="469"/>
      <c r="G598" s="469"/>
      <c r="H598" s="469"/>
      <c r="I598" s="469"/>
      <c r="J598" s="469"/>
      <c r="K598" s="469"/>
      <c r="L598" s="469"/>
      <c r="M598" s="469"/>
      <c r="N598" s="469"/>
      <c r="O598" s="469"/>
      <c r="P598" s="469"/>
      <c r="Q598" s="469"/>
      <c r="R598" s="469"/>
      <c r="S598" s="469"/>
      <c r="T598" s="469"/>
      <c r="U598" s="469"/>
      <c r="V598" s="469"/>
      <c r="W598" s="469"/>
      <c r="X598" s="469"/>
      <c r="Y598" s="469"/>
      <c r="Z598" s="469"/>
      <c r="AA598" s="469"/>
      <c r="AB598" s="469"/>
      <c r="AC598" s="469"/>
      <c r="AD598" s="469"/>
      <c r="AE598" s="469"/>
      <c r="AF598" s="469"/>
      <c r="AG598" s="469"/>
      <c r="AH598" s="469"/>
      <c r="AI598" s="469"/>
      <c r="AJ598" s="469"/>
      <c r="AK598" s="469"/>
    </row>
    <row r="599" customFormat="false" ht="12.75" hidden="false" customHeight="false" outlineLevel="0" collapsed="false">
      <c r="A599" s="470"/>
      <c r="E599" s="469"/>
      <c r="F599" s="469"/>
      <c r="G599" s="469"/>
      <c r="H599" s="469"/>
      <c r="I599" s="469"/>
      <c r="J599" s="469"/>
      <c r="K599" s="469"/>
      <c r="L599" s="469"/>
      <c r="M599" s="469"/>
      <c r="N599" s="469"/>
      <c r="O599" s="469"/>
      <c r="P599" s="469"/>
      <c r="Q599" s="469"/>
      <c r="R599" s="469"/>
      <c r="S599" s="469"/>
      <c r="T599" s="469"/>
      <c r="U599" s="469"/>
      <c r="V599" s="469"/>
      <c r="W599" s="469"/>
      <c r="X599" s="469"/>
      <c r="Y599" s="469"/>
      <c r="Z599" s="469"/>
      <c r="AA599" s="469"/>
      <c r="AB599" s="469"/>
      <c r="AC599" s="469"/>
      <c r="AD599" s="469"/>
      <c r="AE599" s="469"/>
      <c r="AF599" s="469"/>
      <c r="AG599" s="469"/>
      <c r="AH599" s="469"/>
      <c r="AI599" s="469"/>
      <c r="AJ599" s="469"/>
      <c r="AK599" s="469"/>
    </row>
    <row r="600" customFormat="false" ht="12.75" hidden="false" customHeight="false" outlineLevel="0" collapsed="false">
      <c r="A600" s="470"/>
      <c r="E600" s="469"/>
      <c r="F600" s="469"/>
      <c r="G600" s="469"/>
      <c r="H600" s="469"/>
      <c r="I600" s="469"/>
      <c r="J600" s="469"/>
      <c r="K600" s="469"/>
      <c r="L600" s="469"/>
      <c r="M600" s="469"/>
      <c r="N600" s="469"/>
      <c r="O600" s="469"/>
      <c r="P600" s="469"/>
      <c r="Q600" s="469"/>
      <c r="R600" s="469"/>
      <c r="S600" s="469"/>
      <c r="T600" s="469"/>
      <c r="U600" s="469"/>
      <c r="V600" s="469"/>
      <c r="W600" s="469"/>
      <c r="X600" s="469"/>
      <c r="Y600" s="469"/>
      <c r="Z600" s="469"/>
      <c r="AA600" s="469"/>
      <c r="AB600" s="469"/>
      <c r="AC600" s="469"/>
      <c r="AD600" s="469"/>
      <c r="AE600" s="469"/>
      <c r="AF600" s="469"/>
      <c r="AG600" s="469"/>
      <c r="AH600" s="469"/>
      <c r="AI600" s="469"/>
      <c r="AJ600" s="469"/>
      <c r="AK600" s="469"/>
    </row>
    <row r="601" customFormat="false" ht="12.75" hidden="false" customHeight="false" outlineLevel="0" collapsed="false">
      <c r="A601" s="470"/>
      <c r="E601" s="469"/>
      <c r="F601" s="469"/>
      <c r="G601" s="469"/>
      <c r="H601" s="469"/>
      <c r="I601" s="469"/>
      <c r="J601" s="469"/>
      <c r="K601" s="469"/>
      <c r="L601" s="469"/>
      <c r="M601" s="469"/>
      <c r="N601" s="469"/>
      <c r="O601" s="469"/>
      <c r="P601" s="469"/>
      <c r="Q601" s="469"/>
      <c r="R601" s="469"/>
      <c r="S601" s="469"/>
      <c r="T601" s="469"/>
      <c r="U601" s="469"/>
      <c r="V601" s="469"/>
      <c r="W601" s="469"/>
      <c r="X601" s="469"/>
      <c r="Y601" s="469"/>
      <c r="Z601" s="469"/>
      <c r="AA601" s="469"/>
      <c r="AB601" s="469"/>
      <c r="AC601" s="469"/>
      <c r="AD601" s="469"/>
      <c r="AE601" s="469"/>
      <c r="AF601" s="469"/>
      <c r="AG601" s="469"/>
      <c r="AH601" s="469"/>
      <c r="AI601" s="469"/>
      <c r="AJ601" s="469"/>
      <c r="AK601" s="469"/>
    </row>
    <row r="602" customFormat="false" ht="12.75" hidden="false" customHeight="false" outlineLevel="0" collapsed="false">
      <c r="A602" s="470"/>
      <c r="E602" s="469"/>
      <c r="F602" s="469"/>
      <c r="G602" s="469"/>
      <c r="H602" s="469"/>
      <c r="I602" s="469"/>
      <c r="J602" s="469"/>
      <c r="K602" s="469"/>
      <c r="L602" s="469"/>
      <c r="M602" s="469"/>
      <c r="N602" s="469"/>
      <c r="O602" s="469"/>
      <c r="P602" s="469"/>
      <c r="Q602" s="469"/>
      <c r="R602" s="469"/>
      <c r="S602" s="469"/>
      <c r="T602" s="469"/>
      <c r="U602" s="469"/>
      <c r="V602" s="469"/>
      <c r="W602" s="469"/>
      <c r="X602" s="469"/>
      <c r="Y602" s="469"/>
      <c r="Z602" s="469"/>
      <c r="AA602" s="469"/>
      <c r="AB602" s="469"/>
      <c r="AC602" s="469"/>
      <c r="AD602" s="469"/>
      <c r="AE602" s="469"/>
      <c r="AF602" s="469"/>
      <c r="AG602" s="469"/>
      <c r="AH602" s="469"/>
      <c r="AI602" s="469"/>
      <c r="AJ602" s="469"/>
      <c r="AK602" s="469"/>
    </row>
    <row r="603" customFormat="false" ht="12.75" hidden="false" customHeight="false" outlineLevel="0" collapsed="false">
      <c r="A603" s="470"/>
      <c r="E603" s="469"/>
      <c r="F603" s="469"/>
      <c r="G603" s="469"/>
      <c r="H603" s="469"/>
      <c r="I603" s="469"/>
      <c r="J603" s="469"/>
      <c r="K603" s="469"/>
      <c r="L603" s="469"/>
      <c r="M603" s="469"/>
      <c r="N603" s="469"/>
      <c r="O603" s="469"/>
      <c r="P603" s="469"/>
      <c r="Q603" s="469"/>
      <c r="R603" s="469"/>
      <c r="S603" s="469"/>
      <c r="T603" s="469"/>
      <c r="U603" s="469"/>
      <c r="V603" s="469"/>
      <c r="W603" s="469"/>
      <c r="X603" s="469"/>
      <c r="Y603" s="469"/>
      <c r="Z603" s="469"/>
      <c r="AA603" s="469"/>
      <c r="AB603" s="469"/>
      <c r="AC603" s="469"/>
      <c r="AD603" s="469"/>
      <c r="AE603" s="469"/>
      <c r="AF603" s="469"/>
      <c r="AG603" s="469"/>
      <c r="AH603" s="469"/>
      <c r="AI603" s="469"/>
      <c r="AJ603" s="469"/>
      <c r="AK603" s="469"/>
    </row>
    <row r="604" customFormat="false" ht="12.75" hidden="false" customHeight="false" outlineLevel="0" collapsed="false">
      <c r="A604" s="470"/>
      <c r="E604" s="469"/>
      <c r="F604" s="469"/>
      <c r="G604" s="469"/>
      <c r="H604" s="469"/>
      <c r="I604" s="469"/>
      <c r="J604" s="469"/>
      <c r="K604" s="469"/>
      <c r="L604" s="469"/>
      <c r="M604" s="469"/>
      <c r="N604" s="469"/>
      <c r="O604" s="469"/>
      <c r="P604" s="469"/>
      <c r="Q604" s="469"/>
      <c r="R604" s="469"/>
      <c r="S604" s="469"/>
      <c r="T604" s="469"/>
      <c r="U604" s="469"/>
      <c r="V604" s="469"/>
      <c r="W604" s="469"/>
      <c r="X604" s="469"/>
      <c r="Y604" s="469"/>
      <c r="Z604" s="469"/>
      <c r="AA604" s="469"/>
      <c r="AB604" s="469"/>
      <c r="AC604" s="469"/>
      <c r="AD604" s="469"/>
      <c r="AE604" s="469"/>
      <c r="AF604" s="469"/>
      <c r="AG604" s="469"/>
      <c r="AH604" s="469"/>
      <c r="AI604" s="469"/>
      <c r="AJ604" s="469"/>
      <c r="AK604" s="469"/>
    </row>
    <row r="605" customFormat="false" ht="12.75" hidden="false" customHeight="false" outlineLevel="0" collapsed="false">
      <c r="A605" s="470"/>
      <c r="E605" s="469"/>
      <c r="F605" s="469"/>
      <c r="G605" s="469"/>
      <c r="H605" s="469"/>
      <c r="I605" s="469"/>
      <c r="J605" s="469"/>
      <c r="K605" s="469"/>
      <c r="L605" s="469"/>
      <c r="M605" s="469"/>
      <c r="N605" s="469"/>
      <c r="O605" s="469"/>
      <c r="P605" s="469"/>
      <c r="Q605" s="469"/>
      <c r="R605" s="469"/>
      <c r="S605" s="469"/>
      <c r="T605" s="469"/>
      <c r="U605" s="469"/>
      <c r="V605" s="469"/>
      <c r="W605" s="469"/>
      <c r="X605" s="469"/>
      <c r="Y605" s="469"/>
      <c r="Z605" s="469"/>
      <c r="AA605" s="469"/>
      <c r="AB605" s="469"/>
      <c r="AC605" s="469"/>
      <c r="AD605" s="469"/>
      <c r="AE605" s="469"/>
      <c r="AF605" s="469"/>
      <c r="AG605" s="469"/>
      <c r="AH605" s="469"/>
      <c r="AI605" s="469"/>
      <c r="AJ605" s="469"/>
      <c r="AK605" s="469"/>
    </row>
    <row r="606" customFormat="false" ht="12.75" hidden="false" customHeight="false" outlineLevel="0" collapsed="false">
      <c r="E606" s="469"/>
      <c r="F606" s="469"/>
      <c r="G606" s="469"/>
      <c r="H606" s="469"/>
      <c r="I606" s="469"/>
      <c r="J606" s="469"/>
      <c r="K606" s="469"/>
      <c r="L606" s="469"/>
      <c r="M606" s="469"/>
      <c r="N606" s="469"/>
      <c r="O606" s="469"/>
      <c r="P606" s="469"/>
      <c r="Q606" s="469"/>
      <c r="R606" s="469"/>
      <c r="S606" s="469"/>
      <c r="T606" s="469"/>
      <c r="U606" s="469"/>
      <c r="V606" s="469"/>
      <c r="W606" s="469"/>
      <c r="X606" s="469"/>
      <c r="Y606" s="469"/>
      <c r="Z606" s="469"/>
      <c r="AA606" s="469"/>
      <c r="AB606" s="469"/>
      <c r="AC606" s="469"/>
      <c r="AD606" s="469"/>
      <c r="AE606" s="469"/>
      <c r="AF606" s="469"/>
      <c r="AG606" s="469"/>
      <c r="AH606" s="469"/>
      <c r="AI606" s="469"/>
      <c r="AJ606" s="469"/>
      <c r="AK606" s="469"/>
    </row>
    <row r="607" customFormat="false" ht="12.75" hidden="false" customHeight="false" outlineLevel="0" collapsed="false">
      <c r="E607" s="469"/>
      <c r="F607" s="469"/>
      <c r="G607" s="469"/>
      <c r="H607" s="469"/>
      <c r="I607" s="469"/>
      <c r="J607" s="469"/>
      <c r="K607" s="469"/>
      <c r="L607" s="469"/>
      <c r="M607" s="469"/>
      <c r="N607" s="469"/>
      <c r="O607" s="469"/>
      <c r="P607" s="469"/>
      <c r="Q607" s="469"/>
      <c r="R607" s="469"/>
      <c r="S607" s="469"/>
      <c r="T607" s="469"/>
      <c r="U607" s="469"/>
      <c r="V607" s="469"/>
      <c r="W607" s="469"/>
      <c r="X607" s="469"/>
      <c r="Y607" s="469"/>
      <c r="Z607" s="469"/>
      <c r="AA607" s="469"/>
      <c r="AB607" s="469"/>
      <c r="AC607" s="469"/>
      <c r="AD607" s="469"/>
      <c r="AE607" s="469"/>
      <c r="AF607" s="469"/>
      <c r="AG607" s="469"/>
      <c r="AH607" s="469"/>
      <c r="AI607" s="469"/>
      <c r="AJ607" s="469"/>
      <c r="AK607" s="469"/>
    </row>
    <row r="608" customFormat="false" ht="12.75" hidden="false" customHeight="false" outlineLevel="0" collapsed="false">
      <c r="E608" s="469"/>
      <c r="F608" s="469"/>
      <c r="G608" s="469"/>
      <c r="H608" s="469"/>
      <c r="I608" s="469"/>
      <c r="J608" s="469"/>
      <c r="K608" s="469"/>
      <c r="L608" s="469"/>
      <c r="M608" s="469"/>
      <c r="N608" s="469"/>
      <c r="O608" s="469"/>
      <c r="P608" s="469"/>
      <c r="Q608" s="469"/>
      <c r="R608" s="469"/>
      <c r="S608" s="469"/>
      <c r="T608" s="469"/>
      <c r="U608" s="469"/>
      <c r="V608" s="469"/>
      <c r="W608" s="469"/>
      <c r="X608" s="469"/>
      <c r="Y608" s="469"/>
      <c r="Z608" s="469"/>
      <c r="AA608" s="469"/>
      <c r="AB608" s="469"/>
      <c r="AC608" s="469"/>
      <c r="AD608" s="469"/>
      <c r="AE608" s="469"/>
      <c r="AF608" s="469"/>
      <c r="AG608" s="469"/>
      <c r="AH608" s="469"/>
      <c r="AI608" s="469"/>
      <c r="AJ608" s="469"/>
      <c r="AK608" s="469"/>
    </row>
    <row r="609" customFormat="false" ht="12.75" hidden="false" customHeight="false" outlineLevel="0" collapsed="false">
      <c r="E609" s="469"/>
      <c r="F609" s="469"/>
      <c r="G609" s="469"/>
      <c r="H609" s="469"/>
      <c r="I609" s="469"/>
      <c r="J609" s="469"/>
      <c r="K609" s="469"/>
      <c r="L609" s="469"/>
      <c r="M609" s="469"/>
      <c r="N609" s="469"/>
      <c r="O609" s="469"/>
      <c r="P609" s="469"/>
      <c r="Q609" s="469"/>
      <c r="R609" s="469"/>
      <c r="S609" s="469"/>
      <c r="T609" s="469"/>
      <c r="U609" s="469"/>
      <c r="V609" s="469"/>
      <c r="W609" s="469"/>
      <c r="X609" s="469"/>
      <c r="Y609" s="469"/>
      <c r="Z609" s="469"/>
      <c r="AA609" s="469"/>
      <c r="AB609" s="469"/>
      <c r="AC609" s="469"/>
      <c r="AD609" s="469"/>
      <c r="AE609" s="469"/>
      <c r="AF609" s="469"/>
      <c r="AG609" s="469"/>
      <c r="AH609" s="469"/>
      <c r="AI609" s="469"/>
      <c r="AJ609" s="469"/>
      <c r="AK609" s="469"/>
    </row>
    <row r="610" customFormat="false" ht="12.75" hidden="false" customHeight="false" outlineLevel="0" collapsed="false">
      <c r="E610" s="469"/>
      <c r="F610" s="469"/>
      <c r="G610" s="469"/>
      <c r="H610" s="469"/>
      <c r="I610" s="469"/>
      <c r="J610" s="469"/>
      <c r="K610" s="469"/>
      <c r="L610" s="469"/>
      <c r="M610" s="469"/>
      <c r="N610" s="469"/>
      <c r="O610" s="469"/>
      <c r="P610" s="469"/>
      <c r="Q610" s="469"/>
      <c r="R610" s="469"/>
      <c r="S610" s="469"/>
      <c r="T610" s="469"/>
      <c r="U610" s="469"/>
      <c r="V610" s="469"/>
      <c r="W610" s="469"/>
      <c r="X610" s="469"/>
      <c r="Y610" s="469"/>
      <c r="Z610" s="469"/>
      <c r="AA610" s="469"/>
      <c r="AB610" s="469"/>
      <c r="AC610" s="469"/>
      <c r="AD610" s="469"/>
      <c r="AE610" s="469"/>
      <c r="AF610" s="469"/>
      <c r="AG610" s="469"/>
      <c r="AH610" s="469"/>
      <c r="AI610" s="469"/>
      <c r="AJ610" s="469"/>
      <c r="AK610" s="469"/>
    </row>
    <row r="611" customFormat="false" ht="12.75" hidden="false" customHeight="false" outlineLevel="0" collapsed="false">
      <c r="E611" s="469"/>
      <c r="F611" s="469"/>
      <c r="G611" s="469"/>
      <c r="H611" s="469"/>
      <c r="I611" s="469"/>
      <c r="J611" s="469"/>
      <c r="K611" s="469"/>
      <c r="L611" s="469"/>
      <c r="M611" s="469"/>
      <c r="N611" s="469"/>
      <c r="O611" s="469"/>
      <c r="P611" s="469"/>
      <c r="Q611" s="469"/>
      <c r="R611" s="469"/>
      <c r="S611" s="469"/>
      <c r="T611" s="469"/>
      <c r="U611" s="469"/>
      <c r="V611" s="469"/>
      <c r="W611" s="469"/>
      <c r="X611" s="469"/>
      <c r="Y611" s="469"/>
      <c r="Z611" s="469"/>
      <c r="AA611" s="469"/>
      <c r="AB611" s="469"/>
      <c r="AC611" s="469"/>
      <c r="AD611" s="469"/>
      <c r="AE611" s="469"/>
      <c r="AF611" s="469"/>
      <c r="AG611" s="469"/>
      <c r="AH611" s="469"/>
      <c r="AI611" s="469"/>
      <c r="AJ611" s="469"/>
      <c r="AK611" s="469"/>
    </row>
    <row r="612" customFormat="false" ht="12.75" hidden="false" customHeight="false" outlineLevel="0" collapsed="false">
      <c r="E612" s="469"/>
      <c r="F612" s="469"/>
      <c r="G612" s="469"/>
      <c r="H612" s="469"/>
      <c r="I612" s="469"/>
      <c r="J612" s="469"/>
      <c r="K612" s="469"/>
      <c r="L612" s="469"/>
      <c r="M612" s="469"/>
      <c r="N612" s="469"/>
      <c r="O612" s="469"/>
      <c r="P612" s="469"/>
      <c r="Q612" s="469"/>
      <c r="R612" s="469"/>
      <c r="S612" s="469"/>
      <c r="T612" s="469"/>
      <c r="U612" s="469"/>
      <c r="V612" s="469"/>
      <c r="W612" s="469"/>
      <c r="X612" s="469"/>
      <c r="Y612" s="469"/>
      <c r="Z612" s="469"/>
      <c r="AA612" s="469"/>
      <c r="AB612" s="469"/>
      <c r="AC612" s="469"/>
      <c r="AD612" s="469"/>
      <c r="AE612" s="469"/>
      <c r="AF612" s="469"/>
      <c r="AG612" s="469"/>
      <c r="AH612" s="469"/>
      <c r="AI612" s="469"/>
      <c r="AJ612" s="469"/>
      <c r="AK612" s="469"/>
    </row>
    <row r="613" customFormat="false" ht="12.75" hidden="false" customHeight="false" outlineLevel="0" collapsed="false">
      <c r="A613" s="473"/>
      <c r="E613" s="469"/>
      <c r="F613" s="469"/>
      <c r="G613" s="469"/>
      <c r="H613" s="469"/>
      <c r="I613" s="469"/>
      <c r="J613" s="469"/>
      <c r="K613" s="469"/>
      <c r="L613" s="469"/>
      <c r="M613" s="469"/>
      <c r="N613" s="469"/>
      <c r="O613" s="469"/>
      <c r="P613" s="469"/>
      <c r="Q613" s="469"/>
      <c r="R613" s="469"/>
      <c r="S613" s="469"/>
      <c r="T613" s="469"/>
      <c r="U613" s="469"/>
      <c r="V613" s="469"/>
      <c r="W613" s="469"/>
      <c r="X613" s="469"/>
      <c r="Y613" s="469"/>
      <c r="Z613" s="469"/>
      <c r="AA613" s="469"/>
      <c r="AB613" s="469"/>
      <c r="AC613" s="469"/>
      <c r="AD613" s="469"/>
      <c r="AE613" s="469"/>
      <c r="AF613" s="469"/>
      <c r="AG613" s="469"/>
      <c r="AH613" s="469"/>
      <c r="AI613" s="469"/>
      <c r="AJ613" s="469"/>
      <c r="AK613" s="469"/>
    </row>
    <row r="614" customFormat="false" ht="12.75" hidden="false" customHeight="false" outlineLevel="0" collapsed="false">
      <c r="A614" s="470"/>
      <c r="E614" s="469"/>
      <c r="F614" s="469"/>
      <c r="G614" s="469"/>
      <c r="H614" s="469"/>
      <c r="I614" s="469"/>
      <c r="J614" s="469"/>
      <c r="K614" s="469"/>
      <c r="L614" s="469"/>
      <c r="M614" s="469"/>
      <c r="N614" s="469"/>
      <c r="O614" s="469"/>
      <c r="P614" s="469"/>
      <c r="Q614" s="469"/>
      <c r="R614" s="469"/>
      <c r="S614" s="469"/>
      <c r="T614" s="469"/>
      <c r="U614" s="469"/>
      <c r="V614" s="469"/>
      <c r="W614" s="469"/>
      <c r="X614" s="469"/>
      <c r="Y614" s="469"/>
      <c r="Z614" s="469"/>
      <c r="AA614" s="469"/>
      <c r="AB614" s="469"/>
      <c r="AC614" s="469"/>
      <c r="AD614" s="469"/>
      <c r="AE614" s="469"/>
      <c r="AF614" s="469"/>
      <c r="AG614" s="469"/>
      <c r="AH614" s="469"/>
      <c r="AI614" s="469"/>
      <c r="AJ614" s="469"/>
      <c r="AK614" s="469"/>
    </row>
    <row r="615" customFormat="false" ht="12.75" hidden="false" customHeight="false" outlineLevel="0" collapsed="false">
      <c r="A615" s="470"/>
      <c r="E615" s="469"/>
      <c r="F615" s="469"/>
      <c r="G615" s="469"/>
      <c r="H615" s="469"/>
      <c r="I615" s="469"/>
      <c r="J615" s="469"/>
      <c r="K615" s="469"/>
      <c r="L615" s="469"/>
      <c r="M615" s="469"/>
      <c r="N615" s="469"/>
      <c r="O615" s="469"/>
      <c r="P615" s="469"/>
      <c r="Q615" s="469"/>
      <c r="R615" s="469"/>
      <c r="S615" s="469"/>
      <c r="T615" s="469"/>
      <c r="U615" s="469"/>
      <c r="V615" s="469"/>
      <c r="W615" s="469"/>
      <c r="X615" s="469"/>
      <c r="Y615" s="469"/>
      <c r="Z615" s="469"/>
      <c r="AA615" s="469"/>
      <c r="AB615" s="469"/>
      <c r="AC615" s="469"/>
      <c r="AD615" s="469"/>
      <c r="AE615" s="469"/>
      <c r="AF615" s="469"/>
      <c r="AG615" s="469"/>
      <c r="AH615" s="469"/>
      <c r="AI615" s="469"/>
      <c r="AJ615" s="469"/>
      <c r="AK615" s="469"/>
    </row>
    <row r="616" customFormat="false" ht="12.75" hidden="false" customHeight="false" outlineLevel="0" collapsed="false">
      <c r="A616" s="470"/>
      <c r="E616" s="469"/>
      <c r="F616" s="469"/>
      <c r="G616" s="469"/>
      <c r="H616" s="469"/>
      <c r="I616" s="469"/>
      <c r="J616" s="469"/>
      <c r="K616" s="469"/>
      <c r="L616" s="469"/>
      <c r="M616" s="469"/>
      <c r="N616" s="469"/>
      <c r="O616" s="469"/>
      <c r="P616" s="469"/>
      <c r="Q616" s="469"/>
      <c r="R616" s="469"/>
      <c r="S616" s="469"/>
      <c r="T616" s="469"/>
      <c r="U616" s="469"/>
      <c r="V616" s="469"/>
      <c r="W616" s="469"/>
      <c r="X616" s="469"/>
      <c r="Y616" s="469"/>
      <c r="Z616" s="469"/>
      <c r="AA616" s="469"/>
      <c r="AB616" s="469"/>
      <c r="AC616" s="469"/>
      <c r="AD616" s="469"/>
      <c r="AE616" s="469"/>
      <c r="AF616" s="469"/>
      <c r="AG616" s="469"/>
      <c r="AH616" s="469"/>
      <c r="AI616" s="469"/>
      <c r="AJ616" s="469"/>
      <c r="AK616" s="469"/>
    </row>
    <row r="617" customFormat="false" ht="12.75" hidden="false" customHeight="false" outlineLevel="0" collapsed="false">
      <c r="A617" s="470"/>
      <c r="E617" s="469"/>
      <c r="F617" s="469"/>
      <c r="G617" s="469"/>
      <c r="H617" s="469"/>
      <c r="I617" s="469"/>
      <c r="J617" s="469"/>
      <c r="K617" s="469"/>
      <c r="L617" s="469"/>
      <c r="M617" s="469"/>
      <c r="N617" s="469"/>
      <c r="O617" s="469"/>
      <c r="P617" s="469"/>
      <c r="Q617" s="469"/>
      <c r="R617" s="469"/>
      <c r="S617" s="469"/>
      <c r="T617" s="469"/>
      <c r="U617" s="469"/>
      <c r="V617" s="469"/>
      <c r="W617" s="469"/>
      <c r="X617" s="469"/>
      <c r="Y617" s="469"/>
      <c r="Z617" s="469"/>
      <c r="AA617" s="469"/>
      <c r="AB617" s="469"/>
      <c r="AC617" s="469"/>
      <c r="AD617" s="469"/>
      <c r="AE617" s="469"/>
      <c r="AF617" s="469"/>
      <c r="AG617" s="469"/>
      <c r="AH617" s="469"/>
      <c r="AI617" s="469"/>
      <c r="AJ617" s="469"/>
      <c r="AK617" s="469"/>
    </row>
    <row r="618" customFormat="false" ht="12.75" hidden="false" customHeight="false" outlineLevel="0" collapsed="false">
      <c r="A618" s="470"/>
      <c r="E618" s="469"/>
      <c r="F618" s="469"/>
      <c r="G618" s="469"/>
      <c r="H618" s="469"/>
      <c r="I618" s="469"/>
      <c r="J618" s="469"/>
      <c r="K618" s="469"/>
      <c r="L618" s="469"/>
      <c r="M618" s="469"/>
      <c r="N618" s="469"/>
      <c r="O618" s="469"/>
      <c r="P618" s="469"/>
      <c r="Q618" s="469"/>
      <c r="R618" s="469"/>
      <c r="S618" s="469"/>
      <c r="T618" s="469"/>
      <c r="U618" s="469"/>
      <c r="V618" s="469"/>
      <c r="W618" s="469"/>
      <c r="X618" s="469"/>
      <c r="Y618" s="469"/>
      <c r="Z618" s="469"/>
      <c r="AA618" s="469"/>
      <c r="AB618" s="469"/>
      <c r="AC618" s="469"/>
      <c r="AD618" s="469"/>
      <c r="AE618" s="469"/>
      <c r="AF618" s="469"/>
      <c r="AG618" s="469"/>
      <c r="AH618" s="469"/>
      <c r="AI618" s="469"/>
      <c r="AJ618" s="469"/>
      <c r="AK618" s="469"/>
    </row>
    <row r="619" customFormat="false" ht="12.75" hidden="false" customHeight="false" outlineLevel="0" collapsed="false">
      <c r="A619" s="470"/>
      <c r="E619" s="469"/>
      <c r="F619" s="469"/>
      <c r="G619" s="469"/>
      <c r="H619" s="469"/>
      <c r="I619" s="469"/>
      <c r="J619" s="469"/>
      <c r="K619" s="469"/>
      <c r="L619" s="469"/>
      <c r="M619" s="469"/>
      <c r="N619" s="469"/>
      <c r="O619" s="469"/>
      <c r="P619" s="469"/>
      <c r="Q619" s="469"/>
      <c r="R619" s="469"/>
      <c r="S619" s="469"/>
      <c r="T619" s="469"/>
      <c r="U619" s="469"/>
      <c r="V619" s="469"/>
      <c r="W619" s="469"/>
      <c r="X619" s="469"/>
      <c r="Y619" s="469"/>
      <c r="Z619" s="469"/>
      <c r="AA619" s="469"/>
      <c r="AB619" s="469"/>
      <c r="AC619" s="469"/>
      <c r="AD619" s="469"/>
      <c r="AE619" s="469"/>
      <c r="AF619" s="469"/>
      <c r="AG619" s="469"/>
      <c r="AH619" s="469"/>
      <c r="AI619" s="469"/>
      <c r="AJ619" s="469"/>
      <c r="AK619" s="469"/>
    </row>
    <row r="620" customFormat="false" ht="12.75" hidden="false" customHeight="false" outlineLevel="0" collapsed="false">
      <c r="A620" s="470"/>
      <c r="E620" s="469"/>
      <c r="F620" s="469"/>
      <c r="G620" s="469"/>
      <c r="H620" s="469"/>
      <c r="I620" s="469"/>
      <c r="J620" s="469"/>
      <c r="K620" s="469"/>
      <c r="L620" s="469"/>
      <c r="M620" s="469"/>
      <c r="N620" s="469"/>
      <c r="O620" s="469"/>
      <c r="P620" s="469"/>
      <c r="Q620" s="469"/>
      <c r="R620" s="469"/>
      <c r="S620" s="469"/>
      <c r="T620" s="469"/>
      <c r="U620" s="469"/>
      <c r="V620" s="469"/>
      <c r="W620" s="469"/>
      <c r="X620" s="469"/>
      <c r="Y620" s="469"/>
      <c r="Z620" s="469"/>
      <c r="AA620" s="469"/>
      <c r="AB620" s="469"/>
      <c r="AC620" s="469"/>
      <c r="AD620" s="469"/>
      <c r="AE620" s="469"/>
      <c r="AF620" s="469"/>
      <c r="AG620" s="469"/>
      <c r="AH620" s="469"/>
      <c r="AI620" s="469"/>
      <c r="AJ620" s="469"/>
      <c r="AK620" s="469"/>
    </row>
    <row r="621" customFormat="false" ht="12.75" hidden="false" customHeight="false" outlineLevel="0" collapsed="false">
      <c r="A621" s="470"/>
      <c r="E621" s="469"/>
      <c r="F621" s="469"/>
      <c r="G621" s="469"/>
      <c r="H621" s="469"/>
      <c r="I621" s="469"/>
      <c r="J621" s="469"/>
      <c r="K621" s="469"/>
      <c r="L621" s="469"/>
      <c r="M621" s="469"/>
      <c r="N621" s="469"/>
      <c r="O621" s="469"/>
      <c r="P621" s="469"/>
      <c r="Q621" s="469"/>
      <c r="R621" s="469"/>
      <c r="S621" s="469"/>
      <c r="T621" s="469"/>
      <c r="U621" s="469"/>
      <c r="V621" s="469"/>
      <c r="W621" s="469"/>
      <c r="X621" s="469"/>
      <c r="Y621" s="469"/>
      <c r="Z621" s="469"/>
      <c r="AA621" s="469"/>
      <c r="AB621" s="469"/>
      <c r="AC621" s="469"/>
      <c r="AD621" s="469"/>
      <c r="AE621" s="469"/>
      <c r="AF621" s="469"/>
      <c r="AG621" s="469"/>
      <c r="AH621" s="469"/>
      <c r="AI621" s="469"/>
      <c r="AJ621" s="469"/>
      <c r="AK621" s="469"/>
    </row>
    <row r="622" customFormat="false" ht="12.75" hidden="false" customHeight="false" outlineLevel="0" collapsed="false">
      <c r="A622" s="470"/>
      <c r="E622" s="469"/>
      <c r="F622" s="469"/>
      <c r="G622" s="469"/>
      <c r="H622" s="469"/>
      <c r="I622" s="469"/>
      <c r="J622" s="469"/>
      <c r="K622" s="469"/>
      <c r="L622" s="469"/>
      <c r="M622" s="469"/>
      <c r="N622" s="469"/>
      <c r="O622" s="469"/>
      <c r="P622" s="469"/>
      <c r="Q622" s="469"/>
      <c r="R622" s="469"/>
      <c r="S622" s="469"/>
      <c r="T622" s="469"/>
      <c r="U622" s="469"/>
      <c r="V622" s="469"/>
      <c r="W622" s="469"/>
      <c r="X622" s="469"/>
      <c r="Y622" s="469"/>
      <c r="Z622" s="469"/>
      <c r="AA622" s="469"/>
      <c r="AB622" s="469"/>
      <c r="AC622" s="469"/>
      <c r="AD622" s="469"/>
      <c r="AE622" s="469"/>
      <c r="AF622" s="469"/>
      <c r="AG622" s="469"/>
      <c r="AH622" s="469"/>
      <c r="AI622" s="469"/>
      <c r="AJ622" s="469"/>
      <c r="AK622" s="469"/>
    </row>
    <row r="623" customFormat="false" ht="12.75" hidden="false" customHeight="false" outlineLevel="0" collapsed="false">
      <c r="A623" s="470"/>
      <c r="E623" s="469"/>
      <c r="F623" s="469"/>
      <c r="G623" s="469"/>
      <c r="H623" s="469"/>
      <c r="I623" s="469"/>
      <c r="J623" s="469"/>
      <c r="K623" s="469"/>
      <c r="L623" s="469"/>
      <c r="M623" s="469"/>
      <c r="N623" s="469"/>
      <c r="O623" s="469"/>
      <c r="P623" s="469"/>
      <c r="Q623" s="469"/>
      <c r="R623" s="469"/>
      <c r="S623" s="469"/>
      <c r="T623" s="469"/>
      <c r="U623" s="469"/>
      <c r="V623" s="469"/>
      <c r="W623" s="469"/>
      <c r="X623" s="469"/>
      <c r="Y623" s="469"/>
      <c r="Z623" s="469"/>
      <c r="AA623" s="469"/>
      <c r="AB623" s="469"/>
      <c r="AC623" s="469"/>
      <c r="AD623" s="469"/>
      <c r="AE623" s="469"/>
      <c r="AF623" s="469"/>
      <c r="AG623" s="469"/>
      <c r="AH623" s="469"/>
      <c r="AI623" s="469"/>
      <c r="AJ623" s="469"/>
      <c r="AK623" s="469"/>
    </row>
    <row r="624" customFormat="false" ht="12.75" hidden="false" customHeight="false" outlineLevel="0" collapsed="false">
      <c r="A624" s="470"/>
      <c r="E624" s="469"/>
      <c r="F624" s="469"/>
      <c r="G624" s="469"/>
      <c r="H624" s="469"/>
      <c r="I624" s="469"/>
      <c r="J624" s="469"/>
      <c r="K624" s="469"/>
      <c r="L624" s="469"/>
      <c r="M624" s="469"/>
      <c r="N624" s="469"/>
      <c r="O624" s="469"/>
      <c r="P624" s="469"/>
      <c r="Q624" s="469"/>
      <c r="R624" s="469"/>
      <c r="S624" s="469"/>
      <c r="T624" s="469"/>
      <c r="U624" s="469"/>
      <c r="V624" s="469"/>
      <c r="W624" s="469"/>
      <c r="X624" s="469"/>
      <c r="Y624" s="469"/>
      <c r="Z624" s="469"/>
      <c r="AA624" s="469"/>
      <c r="AB624" s="469"/>
      <c r="AC624" s="469"/>
      <c r="AD624" s="469"/>
      <c r="AE624" s="469"/>
      <c r="AF624" s="469"/>
      <c r="AG624" s="469"/>
      <c r="AH624" s="469"/>
      <c r="AI624" s="469"/>
      <c r="AJ624" s="469"/>
      <c r="AK624" s="469"/>
    </row>
    <row r="625" customFormat="false" ht="12.75" hidden="false" customHeight="false" outlineLevel="0" collapsed="false">
      <c r="A625" s="470"/>
      <c r="E625" s="469"/>
      <c r="F625" s="469"/>
      <c r="G625" s="469"/>
      <c r="H625" s="469"/>
      <c r="I625" s="469"/>
      <c r="J625" s="469"/>
      <c r="K625" s="469"/>
      <c r="L625" s="469"/>
      <c r="M625" s="469"/>
      <c r="N625" s="469"/>
      <c r="O625" s="469"/>
      <c r="P625" s="469"/>
      <c r="Q625" s="469"/>
      <c r="R625" s="469"/>
      <c r="S625" s="469"/>
      <c r="T625" s="469"/>
      <c r="U625" s="469"/>
      <c r="V625" s="469"/>
      <c r="W625" s="469"/>
      <c r="X625" s="469"/>
      <c r="Y625" s="469"/>
      <c r="Z625" s="469"/>
      <c r="AA625" s="469"/>
      <c r="AB625" s="469"/>
      <c r="AC625" s="469"/>
      <c r="AD625" s="469"/>
      <c r="AE625" s="469"/>
      <c r="AF625" s="469"/>
      <c r="AG625" s="469"/>
      <c r="AH625" s="469"/>
      <c r="AI625" s="469"/>
      <c r="AJ625" s="469"/>
      <c r="AK625" s="469"/>
    </row>
    <row r="626" customFormat="false" ht="12.75" hidden="false" customHeight="false" outlineLevel="0" collapsed="false">
      <c r="A626" s="470"/>
      <c r="E626" s="469"/>
      <c r="F626" s="469"/>
      <c r="G626" s="469"/>
      <c r="H626" s="469"/>
      <c r="I626" s="469"/>
      <c r="J626" s="469"/>
      <c r="K626" s="469"/>
      <c r="L626" s="469"/>
      <c r="M626" s="469"/>
      <c r="N626" s="469"/>
      <c r="O626" s="469"/>
      <c r="P626" s="469"/>
      <c r="Q626" s="469"/>
      <c r="R626" s="469"/>
      <c r="S626" s="469"/>
      <c r="T626" s="469"/>
      <c r="U626" s="469"/>
      <c r="V626" s="469"/>
      <c r="W626" s="469"/>
      <c r="X626" s="469"/>
      <c r="Y626" s="469"/>
      <c r="Z626" s="469"/>
      <c r="AA626" s="469"/>
      <c r="AB626" s="469"/>
      <c r="AC626" s="469"/>
      <c r="AD626" s="469"/>
      <c r="AE626" s="469"/>
      <c r="AF626" s="469"/>
      <c r="AG626" s="469"/>
      <c r="AH626" s="469"/>
      <c r="AI626" s="469"/>
      <c r="AJ626" s="469"/>
      <c r="AK626" s="469"/>
    </row>
    <row r="627" customFormat="false" ht="12.75" hidden="false" customHeight="false" outlineLevel="0" collapsed="false">
      <c r="A627" s="470"/>
      <c r="E627" s="469"/>
      <c r="F627" s="469"/>
      <c r="G627" s="469"/>
      <c r="H627" s="469"/>
      <c r="I627" s="469"/>
      <c r="J627" s="469"/>
      <c r="K627" s="469"/>
      <c r="L627" s="469"/>
      <c r="M627" s="469"/>
      <c r="N627" s="469"/>
      <c r="O627" s="469"/>
      <c r="P627" s="469"/>
      <c r="Q627" s="469"/>
      <c r="R627" s="469"/>
      <c r="S627" s="469"/>
      <c r="T627" s="469"/>
      <c r="U627" s="469"/>
      <c r="V627" s="469"/>
      <c r="W627" s="469"/>
      <c r="X627" s="469"/>
      <c r="Y627" s="469"/>
      <c r="Z627" s="469"/>
      <c r="AA627" s="469"/>
      <c r="AB627" s="469"/>
      <c r="AC627" s="469"/>
      <c r="AD627" s="469"/>
      <c r="AE627" s="469"/>
      <c r="AF627" s="469"/>
      <c r="AG627" s="469"/>
      <c r="AH627" s="469"/>
      <c r="AI627" s="469"/>
      <c r="AJ627" s="469"/>
      <c r="AK627" s="469"/>
    </row>
    <row r="628" customFormat="false" ht="12.75" hidden="false" customHeight="false" outlineLevel="0" collapsed="false">
      <c r="A628" s="470"/>
      <c r="E628" s="469"/>
      <c r="F628" s="469"/>
      <c r="G628" s="469"/>
      <c r="H628" s="469"/>
      <c r="I628" s="469"/>
      <c r="J628" s="469"/>
      <c r="K628" s="469"/>
      <c r="L628" s="469"/>
      <c r="M628" s="469"/>
      <c r="N628" s="469"/>
      <c r="O628" s="469"/>
      <c r="P628" s="469"/>
      <c r="Q628" s="469"/>
      <c r="R628" s="469"/>
      <c r="S628" s="469"/>
      <c r="T628" s="469"/>
      <c r="U628" s="469"/>
      <c r="V628" s="469"/>
      <c r="W628" s="469"/>
      <c r="X628" s="469"/>
      <c r="Y628" s="469"/>
      <c r="Z628" s="469"/>
      <c r="AA628" s="469"/>
      <c r="AB628" s="469"/>
      <c r="AC628" s="469"/>
      <c r="AD628" s="469"/>
      <c r="AE628" s="469"/>
      <c r="AF628" s="469"/>
      <c r="AG628" s="469"/>
      <c r="AH628" s="469"/>
      <c r="AI628" s="469"/>
      <c r="AJ628" s="469"/>
      <c r="AK628" s="469"/>
    </row>
    <row r="629" customFormat="false" ht="12.75" hidden="false" customHeight="false" outlineLevel="0" collapsed="false">
      <c r="A629" s="470"/>
      <c r="E629" s="469"/>
      <c r="F629" s="469"/>
      <c r="G629" s="469"/>
      <c r="H629" s="469"/>
      <c r="I629" s="469"/>
      <c r="J629" s="469"/>
      <c r="K629" s="469"/>
      <c r="L629" s="469"/>
      <c r="M629" s="469"/>
      <c r="N629" s="469"/>
      <c r="O629" s="469"/>
      <c r="P629" s="469"/>
      <c r="Q629" s="469"/>
      <c r="R629" s="469"/>
      <c r="S629" s="469"/>
      <c r="T629" s="469"/>
      <c r="U629" s="469"/>
      <c r="V629" s="469"/>
      <c r="W629" s="469"/>
      <c r="X629" s="469"/>
      <c r="Y629" s="469"/>
      <c r="Z629" s="469"/>
      <c r="AA629" s="469"/>
      <c r="AB629" s="469"/>
      <c r="AC629" s="469"/>
      <c r="AD629" s="469"/>
      <c r="AE629" s="469"/>
      <c r="AF629" s="469"/>
      <c r="AG629" s="469"/>
      <c r="AH629" s="469"/>
      <c r="AI629" s="469"/>
      <c r="AJ629" s="469"/>
      <c r="AK629" s="469"/>
    </row>
    <row r="630" customFormat="false" ht="12.75" hidden="false" customHeight="false" outlineLevel="0" collapsed="false">
      <c r="A630" s="470"/>
      <c r="E630" s="469"/>
      <c r="F630" s="469"/>
      <c r="G630" s="469"/>
      <c r="H630" s="469"/>
      <c r="I630" s="469"/>
      <c r="J630" s="469"/>
      <c r="K630" s="469"/>
      <c r="L630" s="469"/>
      <c r="M630" s="469"/>
      <c r="N630" s="469"/>
      <c r="O630" s="469"/>
      <c r="P630" s="469"/>
      <c r="Q630" s="469"/>
      <c r="R630" s="469"/>
      <c r="S630" s="469"/>
      <c r="T630" s="469"/>
      <c r="U630" s="469"/>
      <c r="V630" s="469"/>
      <c r="W630" s="469"/>
      <c r="X630" s="469"/>
      <c r="Y630" s="469"/>
      <c r="Z630" s="469"/>
      <c r="AA630" s="469"/>
      <c r="AB630" s="469"/>
      <c r="AC630" s="469"/>
      <c r="AD630" s="469"/>
      <c r="AE630" s="469"/>
      <c r="AF630" s="469"/>
      <c r="AG630" s="469"/>
      <c r="AH630" s="469"/>
      <c r="AI630" s="469"/>
      <c r="AJ630" s="469"/>
      <c r="AK630" s="469"/>
    </row>
    <row r="631" customFormat="false" ht="12.75" hidden="false" customHeight="false" outlineLevel="0" collapsed="false">
      <c r="A631" s="470"/>
      <c r="E631" s="469"/>
      <c r="F631" s="469"/>
      <c r="G631" s="469"/>
      <c r="H631" s="469"/>
      <c r="I631" s="469"/>
      <c r="J631" s="469"/>
      <c r="K631" s="469"/>
      <c r="L631" s="469"/>
      <c r="M631" s="469"/>
      <c r="N631" s="469"/>
      <c r="O631" s="469"/>
      <c r="P631" s="469"/>
      <c r="Q631" s="469"/>
      <c r="R631" s="469"/>
      <c r="S631" s="469"/>
      <c r="T631" s="469"/>
      <c r="U631" s="469"/>
      <c r="V631" s="469"/>
      <c r="W631" s="469"/>
      <c r="X631" s="469"/>
      <c r="Y631" s="469"/>
      <c r="Z631" s="469"/>
      <c r="AA631" s="469"/>
      <c r="AB631" s="469"/>
      <c r="AC631" s="469"/>
      <c r="AD631" s="469"/>
      <c r="AE631" s="469"/>
      <c r="AF631" s="469"/>
      <c r="AG631" s="469"/>
      <c r="AH631" s="469"/>
      <c r="AI631" s="469"/>
      <c r="AJ631" s="469"/>
      <c r="AK631" s="469"/>
    </row>
    <row r="632" customFormat="false" ht="12.75" hidden="false" customHeight="false" outlineLevel="0" collapsed="false">
      <c r="E632" s="469"/>
      <c r="F632" s="469"/>
      <c r="G632" s="469"/>
      <c r="H632" s="469"/>
      <c r="I632" s="469"/>
      <c r="J632" s="469"/>
      <c r="K632" s="469"/>
      <c r="L632" s="469"/>
      <c r="M632" s="469"/>
      <c r="N632" s="469"/>
      <c r="O632" s="469"/>
      <c r="P632" s="469"/>
      <c r="Q632" s="469"/>
      <c r="R632" s="469"/>
      <c r="S632" s="469"/>
      <c r="T632" s="469"/>
      <c r="U632" s="469"/>
      <c r="V632" s="469"/>
      <c r="W632" s="469"/>
      <c r="X632" s="469"/>
      <c r="Y632" s="469"/>
      <c r="Z632" s="469"/>
      <c r="AA632" s="469"/>
      <c r="AB632" s="469"/>
      <c r="AC632" s="469"/>
      <c r="AD632" s="469"/>
      <c r="AE632" s="469"/>
      <c r="AF632" s="469"/>
      <c r="AG632" s="469"/>
      <c r="AH632" s="469"/>
      <c r="AI632" s="469"/>
      <c r="AJ632" s="469"/>
      <c r="AK632" s="469"/>
    </row>
    <row r="633" customFormat="false" ht="12.75" hidden="false" customHeight="false" outlineLevel="0" collapsed="false">
      <c r="E633" s="469"/>
      <c r="F633" s="469"/>
      <c r="G633" s="469"/>
      <c r="H633" s="469"/>
      <c r="I633" s="469"/>
      <c r="J633" s="469"/>
      <c r="K633" s="469"/>
      <c r="L633" s="469"/>
      <c r="M633" s="469"/>
      <c r="N633" s="469"/>
      <c r="O633" s="469"/>
      <c r="P633" s="469"/>
      <c r="Q633" s="469"/>
      <c r="R633" s="469"/>
      <c r="S633" s="469"/>
      <c r="T633" s="469"/>
      <c r="U633" s="469"/>
      <c r="V633" s="469"/>
      <c r="W633" s="469"/>
      <c r="X633" s="469"/>
      <c r="Y633" s="469"/>
      <c r="Z633" s="469"/>
      <c r="AA633" s="469"/>
      <c r="AB633" s="469"/>
      <c r="AC633" s="469"/>
      <c r="AD633" s="469"/>
      <c r="AE633" s="469"/>
      <c r="AF633" s="469"/>
      <c r="AG633" s="469"/>
      <c r="AH633" s="469"/>
      <c r="AI633" s="469"/>
      <c r="AJ633" s="469"/>
      <c r="AK633" s="469"/>
    </row>
    <row r="639" customFormat="false" ht="12.75" hidden="false" customHeight="false" outlineLevel="0" collapsed="false">
      <c r="A639" s="473"/>
    </row>
    <row r="640" customFormat="false" ht="12.75" hidden="false" customHeight="false" outlineLevel="0" collapsed="false">
      <c r="A640" s="470"/>
    </row>
    <row r="641" customFormat="false" ht="12.75" hidden="false" customHeight="false" outlineLevel="0" collapsed="false">
      <c r="A641" s="470"/>
    </row>
    <row r="642" customFormat="false" ht="12.75" hidden="false" customHeight="false" outlineLevel="0" collapsed="false">
      <c r="A642" s="470"/>
    </row>
    <row r="643" customFormat="false" ht="12.75" hidden="false" customHeight="false" outlineLevel="0" collapsed="false">
      <c r="A643" s="470"/>
    </row>
    <row r="644" customFormat="false" ht="12.75" hidden="false" customHeight="false" outlineLevel="0" collapsed="false">
      <c r="A644" s="470"/>
    </row>
    <row r="645" customFormat="false" ht="12.75" hidden="false" customHeight="false" outlineLevel="0" collapsed="false">
      <c r="A645" s="470"/>
    </row>
    <row r="646" customFormat="false" ht="12.75" hidden="false" customHeight="false" outlineLevel="0" collapsed="false">
      <c r="A646" s="470"/>
    </row>
    <row r="647" customFormat="false" ht="12.75" hidden="false" customHeight="false" outlineLevel="0" collapsed="false">
      <c r="A647" s="470"/>
    </row>
    <row r="648" customFormat="false" ht="12.75" hidden="false" customHeight="false" outlineLevel="0" collapsed="false">
      <c r="A648" s="470"/>
    </row>
    <row r="649" customFormat="false" ht="12.75" hidden="false" customHeight="false" outlineLevel="0" collapsed="false">
      <c r="A649" s="470"/>
    </row>
    <row r="650" customFormat="false" ht="12.75" hidden="false" customHeight="false" outlineLevel="0" collapsed="false">
      <c r="A650" s="470"/>
    </row>
    <row r="651" customFormat="false" ht="12.75" hidden="false" customHeight="false" outlineLevel="0" collapsed="false">
      <c r="A651" s="470"/>
    </row>
    <row r="652" customFormat="false" ht="12.75" hidden="false" customHeight="false" outlineLevel="0" collapsed="false">
      <c r="A652" s="470"/>
    </row>
    <row r="653" customFormat="false" ht="12.75" hidden="false" customHeight="false" outlineLevel="0" collapsed="false">
      <c r="A653" s="470"/>
    </row>
    <row r="654" customFormat="false" ht="12.75" hidden="false" customHeight="false" outlineLevel="0" collapsed="false">
      <c r="A654" s="470"/>
    </row>
    <row r="655" customFormat="false" ht="12.75" hidden="false" customHeight="false" outlineLevel="0" collapsed="false">
      <c r="A655" s="470"/>
    </row>
    <row r="656" customFormat="false" ht="12.75" hidden="false" customHeight="false" outlineLevel="0" collapsed="false">
      <c r="A656" s="470"/>
    </row>
    <row r="657" customFormat="false" ht="12.75" hidden="false" customHeight="false" outlineLevel="0" collapsed="false">
      <c r="A657" s="470"/>
    </row>
    <row r="665" customFormat="false" ht="12.75" hidden="false" customHeight="false" outlineLevel="0" collapsed="false">
      <c r="A665" s="473"/>
    </row>
    <row r="666" customFormat="false" ht="12.75" hidden="false" customHeight="false" outlineLevel="0" collapsed="false">
      <c r="A666" s="470"/>
    </row>
    <row r="667" customFormat="false" ht="12.75" hidden="false" customHeight="false" outlineLevel="0" collapsed="false">
      <c r="A667" s="470"/>
    </row>
    <row r="668" customFormat="false" ht="12.75" hidden="false" customHeight="false" outlineLevel="0" collapsed="false">
      <c r="A668" s="470"/>
    </row>
    <row r="669" customFormat="false" ht="12.75" hidden="false" customHeight="false" outlineLevel="0" collapsed="false">
      <c r="A669" s="470"/>
    </row>
    <row r="670" customFormat="false" ht="12.75" hidden="false" customHeight="false" outlineLevel="0" collapsed="false">
      <c r="A670" s="470"/>
    </row>
    <row r="671" customFormat="false" ht="12.75" hidden="false" customHeight="false" outlineLevel="0" collapsed="false">
      <c r="A671" s="470"/>
    </row>
    <row r="672" customFormat="false" ht="12.75" hidden="false" customHeight="false" outlineLevel="0" collapsed="false">
      <c r="A672" s="470"/>
    </row>
    <row r="673" customFormat="false" ht="12.75" hidden="false" customHeight="false" outlineLevel="0" collapsed="false">
      <c r="A673" s="470"/>
    </row>
    <row r="674" customFormat="false" ht="12.75" hidden="false" customHeight="false" outlineLevel="0" collapsed="false">
      <c r="A674" s="470"/>
    </row>
    <row r="675" customFormat="false" ht="12.75" hidden="false" customHeight="false" outlineLevel="0" collapsed="false">
      <c r="A675" s="470"/>
    </row>
    <row r="676" customFormat="false" ht="12.75" hidden="false" customHeight="false" outlineLevel="0" collapsed="false">
      <c r="A676" s="470"/>
    </row>
    <row r="677" customFormat="false" ht="12.75" hidden="false" customHeight="false" outlineLevel="0" collapsed="false">
      <c r="A677" s="470"/>
    </row>
    <row r="678" customFormat="false" ht="12.75" hidden="false" customHeight="false" outlineLevel="0" collapsed="false">
      <c r="A678" s="470"/>
    </row>
    <row r="679" customFormat="false" ht="12.75" hidden="false" customHeight="false" outlineLevel="0" collapsed="false">
      <c r="A679" s="470"/>
    </row>
    <row r="680" customFormat="false" ht="12.75" hidden="false" customHeight="false" outlineLevel="0" collapsed="false">
      <c r="A680" s="470"/>
    </row>
    <row r="681" customFormat="false" ht="12.75" hidden="false" customHeight="false" outlineLevel="0" collapsed="false">
      <c r="A681" s="470"/>
    </row>
    <row r="682" customFormat="false" ht="12.75" hidden="false" customHeight="false" outlineLevel="0" collapsed="false">
      <c r="A682" s="470"/>
    </row>
    <row r="683" customFormat="false" ht="12.75" hidden="false" customHeight="false" outlineLevel="0" collapsed="false">
      <c r="A683" s="470"/>
    </row>
    <row r="691" customFormat="false" ht="12.75" hidden="false" customHeight="false" outlineLevel="0" collapsed="false">
      <c r="A691" s="473"/>
    </row>
    <row r="692" customFormat="false" ht="12.75" hidden="false" customHeight="false" outlineLevel="0" collapsed="false">
      <c r="A692" s="470"/>
    </row>
    <row r="693" customFormat="false" ht="12.75" hidden="false" customHeight="false" outlineLevel="0" collapsed="false">
      <c r="A693" s="470"/>
    </row>
    <row r="694" customFormat="false" ht="12.75" hidden="false" customHeight="false" outlineLevel="0" collapsed="false">
      <c r="A694" s="470"/>
    </row>
    <row r="695" customFormat="false" ht="12.75" hidden="false" customHeight="false" outlineLevel="0" collapsed="false">
      <c r="A695" s="470"/>
    </row>
    <row r="696" customFormat="false" ht="12.75" hidden="false" customHeight="false" outlineLevel="0" collapsed="false">
      <c r="A696" s="470"/>
    </row>
    <row r="697" customFormat="false" ht="12.75" hidden="false" customHeight="false" outlineLevel="0" collapsed="false">
      <c r="A697" s="470"/>
    </row>
    <row r="698" customFormat="false" ht="12.75" hidden="false" customHeight="false" outlineLevel="0" collapsed="false">
      <c r="A698" s="470"/>
    </row>
    <row r="699" customFormat="false" ht="12.75" hidden="false" customHeight="false" outlineLevel="0" collapsed="false">
      <c r="A699" s="470"/>
    </row>
    <row r="700" customFormat="false" ht="12.75" hidden="false" customHeight="false" outlineLevel="0" collapsed="false">
      <c r="A700" s="470"/>
    </row>
    <row r="701" customFormat="false" ht="12.75" hidden="false" customHeight="false" outlineLevel="0" collapsed="false">
      <c r="A701" s="470"/>
    </row>
    <row r="702" customFormat="false" ht="12.75" hidden="false" customHeight="false" outlineLevel="0" collapsed="false">
      <c r="A702" s="470"/>
    </row>
    <row r="703" customFormat="false" ht="12.75" hidden="false" customHeight="false" outlineLevel="0" collapsed="false">
      <c r="A703" s="470"/>
    </row>
    <row r="704" customFormat="false" ht="12.75" hidden="false" customHeight="false" outlineLevel="0" collapsed="false">
      <c r="A704" s="470"/>
    </row>
    <row r="705" customFormat="false" ht="12.75" hidden="false" customHeight="false" outlineLevel="0" collapsed="false">
      <c r="A705" s="470"/>
    </row>
    <row r="706" customFormat="false" ht="12.75" hidden="false" customHeight="false" outlineLevel="0" collapsed="false">
      <c r="A706" s="470"/>
    </row>
    <row r="707" customFormat="false" ht="12.75" hidden="false" customHeight="false" outlineLevel="0" collapsed="false">
      <c r="A707" s="470"/>
    </row>
    <row r="708" customFormat="false" ht="12.75" hidden="false" customHeight="false" outlineLevel="0" collapsed="false">
      <c r="A708" s="470"/>
    </row>
    <row r="709" customFormat="false" ht="12.75" hidden="false" customHeight="false" outlineLevel="0" collapsed="false">
      <c r="A709" s="470"/>
    </row>
    <row r="717" customFormat="false" ht="12.75" hidden="false" customHeight="false" outlineLevel="0" collapsed="false">
      <c r="A717" s="473"/>
    </row>
    <row r="718" customFormat="false" ht="12.75" hidden="false" customHeight="false" outlineLevel="0" collapsed="false">
      <c r="A718" s="470"/>
    </row>
    <row r="719" customFormat="false" ht="12.75" hidden="false" customHeight="false" outlineLevel="0" collapsed="false">
      <c r="A719" s="470"/>
    </row>
    <row r="720" customFormat="false" ht="12.75" hidden="false" customHeight="false" outlineLevel="0" collapsed="false">
      <c r="A720" s="470"/>
    </row>
    <row r="721" customFormat="false" ht="12.75" hidden="false" customHeight="false" outlineLevel="0" collapsed="false">
      <c r="A721" s="470"/>
    </row>
    <row r="722" customFormat="false" ht="12.75" hidden="false" customHeight="false" outlineLevel="0" collapsed="false">
      <c r="A722" s="470"/>
    </row>
    <row r="723" customFormat="false" ht="12.75" hidden="false" customHeight="false" outlineLevel="0" collapsed="false">
      <c r="A723" s="470"/>
    </row>
    <row r="724" customFormat="false" ht="12.75" hidden="false" customHeight="false" outlineLevel="0" collapsed="false">
      <c r="A724" s="470"/>
    </row>
    <row r="725" customFormat="false" ht="12.75" hidden="false" customHeight="false" outlineLevel="0" collapsed="false">
      <c r="A725" s="470"/>
    </row>
    <row r="726" customFormat="false" ht="12.75" hidden="false" customHeight="false" outlineLevel="0" collapsed="false">
      <c r="A726" s="470"/>
    </row>
    <row r="727" customFormat="false" ht="12.75" hidden="false" customHeight="false" outlineLevel="0" collapsed="false">
      <c r="A727" s="470"/>
    </row>
    <row r="728" customFormat="false" ht="12.75" hidden="false" customHeight="false" outlineLevel="0" collapsed="false">
      <c r="A728" s="470"/>
    </row>
    <row r="729" customFormat="false" ht="12.75" hidden="false" customHeight="false" outlineLevel="0" collapsed="false">
      <c r="A729" s="470"/>
    </row>
    <row r="730" customFormat="false" ht="12.75" hidden="false" customHeight="false" outlineLevel="0" collapsed="false">
      <c r="A730" s="470"/>
    </row>
    <row r="731" customFormat="false" ht="12.75" hidden="false" customHeight="false" outlineLevel="0" collapsed="false">
      <c r="A731" s="470"/>
    </row>
    <row r="732" customFormat="false" ht="12.75" hidden="false" customHeight="false" outlineLevel="0" collapsed="false">
      <c r="A732" s="470"/>
    </row>
    <row r="733" customFormat="false" ht="12.75" hidden="false" customHeight="false" outlineLevel="0" collapsed="false">
      <c r="A733" s="470"/>
    </row>
    <row r="734" customFormat="false" ht="12.75" hidden="false" customHeight="false" outlineLevel="0" collapsed="false">
      <c r="A734" s="470"/>
    </row>
    <row r="735" customFormat="false" ht="12.75" hidden="false" customHeight="false" outlineLevel="0" collapsed="false">
      <c r="A735" s="470"/>
    </row>
    <row r="743" customFormat="false" ht="12.75" hidden="false" customHeight="false" outlineLevel="0" collapsed="false">
      <c r="A743" s="473"/>
    </row>
    <row r="744" customFormat="false" ht="12.75" hidden="false" customHeight="false" outlineLevel="0" collapsed="false">
      <c r="A744" s="470"/>
    </row>
    <row r="745" customFormat="false" ht="12.75" hidden="false" customHeight="false" outlineLevel="0" collapsed="false">
      <c r="A745" s="470"/>
    </row>
    <row r="746" customFormat="false" ht="12.75" hidden="false" customHeight="false" outlineLevel="0" collapsed="false">
      <c r="A746" s="470"/>
    </row>
    <row r="747" customFormat="false" ht="12.75" hidden="false" customHeight="false" outlineLevel="0" collapsed="false">
      <c r="A747" s="470"/>
    </row>
    <row r="748" customFormat="false" ht="12.75" hidden="false" customHeight="false" outlineLevel="0" collapsed="false">
      <c r="A748" s="470"/>
    </row>
    <row r="749" customFormat="false" ht="12.75" hidden="false" customHeight="false" outlineLevel="0" collapsed="false">
      <c r="A749" s="470"/>
    </row>
    <row r="750" customFormat="false" ht="12.75" hidden="false" customHeight="false" outlineLevel="0" collapsed="false">
      <c r="A750" s="470"/>
    </row>
    <row r="751" customFormat="false" ht="12.75" hidden="false" customHeight="false" outlineLevel="0" collapsed="false">
      <c r="A751" s="470"/>
    </row>
    <row r="752" customFormat="false" ht="12.75" hidden="false" customHeight="false" outlineLevel="0" collapsed="false">
      <c r="A752" s="470"/>
    </row>
    <row r="753" customFormat="false" ht="12.75" hidden="false" customHeight="false" outlineLevel="0" collapsed="false">
      <c r="A753" s="470"/>
    </row>
    <row r="754" customFormat="false" ht="12.75" hidden="false" customHeight="false" outlineLevel="0" collapsed="false">
      <c r="A754" s="470"/>
    </row>
    <row r="755" customFormat="false" ht="12.75" hidden="false" customHeight="false" outlineLevel="0" collapsed="false">
      <c r="A755" s="470"/>
    </row>
    <row r="756" customFormat="false" ht="12.75" hidden="false" customHeight="false" outlineLevel="0" collapsed="false">
      <c r="A756" s="470"/>
    </row>
    <row r="757" customFormat="false" ht="12.75" hidden="false" customHeight="false" outlineLevel="0" collapsed="false">
      <c r="A757" s="470"/>
    </row>
    <row r="758" customFormat="false" ht="12.75" hidden="false" customHeight="false" outlineLevel="0" collapsed="false">
      <c r="A758" s="470"/>
    </row>
    <row r="759" customFormat="false" ht="12.75" hidden="false" customHeight="false" outlineLevel="0" collapsed="false">
      <c r="A759" s="470"/>
    </row>
    <row r="760" customFormat="false" ht="12.75" hidden="false" customHeight="false" outlineLevel="0" collapsed="false">
      <c r="A760" s="470"/>
    </row>
    <row r="761" customFormat="false" ht="12.75" hidden="false" customHeight="false" outlineLevel="0" collapsed="false">
      <c r="A761" s="470"/>
    </row>
    <row r="769" customFormat="false" ht="12.75" hidden="false" customHeight="false" outlineLevel="0" collapsed="false">
      <c r="A769" s="473"/>
    </row>
    <row r="770" customFormat="false" ht="12.75" hidden="false" customHeight="false" outlineLevel="0" collapsed="false">
      <c r="A770" s="470"/>
    </row>
    <row r="771" customFormat="false" ht="12.75" hidden="false" customHeight="false" outlineLevel="0" collapsed="false">
      <c r="A771" s="470"/>
    </row>
    <row r="772" customFormat="false" ht="12.75" hidden="false" customHeight="false" outlineLevel="0" collapsed="false">
      <c r="A772" s="470"/>
    </row>
    <row r="773" customFormat="false" ht="12.75" hidden="false" customHeight="false" outlineLevel="0" collapsed="false">
      <c r="A773" s="470"/>
    </row>
    <row r="774" customFormat="false" ht="12.75" hidden="false" customHeight="false" outlineLevel="0" collapsed="false">
      <c r="A774" s="470"/>
    </row>
    <row r="775" customFormat="false" ht="12.75" hidden="false" customHeight="false" outlineLevel="0" collapsed="false">
      <c r="A775" s="470"/>
    </row>
    <row r="776" customFormat="false" ht="12.75" hidden="false" customHeight="false" outlineLevel="0" collapsed="false">
      <c r="A776" s="470"/>
    </row>
    <row r="777" customFormat="false" ht="12.75" hidden="false" customHeight="false" outlineLevel="0" collapsed="false">
      <c r="A777" s="470"/>
    </row>
    <row r="778" customFormat="false" ht="12.75" hidden="false" customHeight="false" outlineLevel="0" collapsed="false">
      <c r="A778" s="470"/>
    </row>
    <row r="779" customFormat="false" ht="12.75" hidden="false" customHeight="false" outlineLevel="0" collapsed="false">
      <c r="A779" s="470"/>
    </row>
    <row r="780" customFormat="false" ht="12.75" hidden="false" customHeight="false" outlineLevel="0" collapsed="false">
      <c r="A780" s="470"/>
    </row>
    <row r="781" customFormat="false" ht="12.75" hidden="false" customHeight="false" outlineLevel="0" collapsed="false">
      <c r="A781" s="470"/>
    </row>
    <row r="782" customFormat="false" ht="12.75" hidden="false" customHeight="false" outlineLevel="0" collapsed="false">
      <c r="A782" s="470"/>
    </row>
    <row r="783" customFormat="false" ht="12.75" hidden="false" customHeight="false" outlineLevel="0" collapsed="false">
      <c r="A783" s="470"/>
    </row>
    <row r="784" customFormat="false" ht="12.75" hidden="false" customHeight="false" outlineLevel="0" collapsed="false">
      <c r="A784" s="470"/>
    </row>
    <row r="785" customFormat="false" ht="12.75" hidden="false" customHeight="false" outlineLevel="0" collapsed="false">
      <c r="A785" s="470"/>
    </row>
    <row r="786" customFormat="false" ht="12.75" hidden="false" customHeight="false" outlineLevel="0" collapsed="false">
      <c r="A786" s="470"/>
    </row>
    <row r="787" customFormat="false" ht="12.75" hidden="false" customHeight="false" outlineLevel="0" collapsed="false">
      <c r="A787" s="470"/>
    </row>
    <row r="795" customFormat="false" ht="12.75" hidden="false" customHeight="false" outlineLevel="0" collapsed="false">
      <c r="A795" s="473"/>
    </row>
    <row r="796" customFormat="false" ht="12.75" hidden="false" customHeight="false" outlineLevel="0" collapsed="false">
      <c r="A796" s="470"/>
    </row>
    <row r="797" customFormat="false" ht="12.75" hidden="false" customHeight="false" outlineLevel="0" collapsed="false">
      <c r="A797" s="470"/>
    </row>
    <row r="798" customFormat="false" ht="12.75" hidden="false" customHeight="false" outlineLevel="0" collapsed="false">
      <c r="A798" s="470"/>
    </row>
    <row r="799" customFormat="false" ht="12.75" hidden="false" customHeight="false" outlineLevel="0" collapsed="false">
      <c r="A799" s="470"/>
    </row>
    <row r="800" customFormat="false" ht="12.75" hidden="false" customHeight="false" outlineLevel="0" collapsed="false">
      <c r="A800" s="470"/>
    </row>
    <row r="801" customFormat="false" ht="12.75" hidden="false" customHeight="false" outlineLevel="0" collapsed="false">
      <c r="A801" s="470"/>
    </row>
    <row r="802" customFormat="false" ht="12.75" hidden="false" customHeight="false" outlineLevel="0" collapsed="false">
      <c r="A802" s="470"/>
    </row>
    <row r="803" customFormat="false" ht="12.75" hidden="false" customHeight="false" outlineLevel="0" collapsed="false">
      <c r="A803" s="470"/>
    </row>
    <row r="804" customFormat="false" ht="12.75" hidden="false" customHeight="false" outlineLevel="0" collapsed="false">
      <c r="A804" s="470"/>
    </row>
    <row r="805" customFormat="false" ht="12.75" hidden="false" customHeight="false" outlineLevel="0" collapsed="false">
      <c r="A805" s="470"/>
    </row>
    <row r="806" customFormat="false" ht="12.75" hidden="false" customHeight="false" outlineLevel="0" collapsed="false">
      <c r="A806" s="470"/>
    </row>
    <row r="807" customFormat="false" ht="12.75" hidden="false" customHeight="false" outlineLevel="0" collapsed="false">
      <c r="A807" s="470"/>
    </row>
    <row r="808" customFormat="false" ht="12.75" hidden="false" customHeight="false" outlineLevel="0" collapsed="false">
      <c r="A808" s="470"/>
    </row>
    <row r="809" customFormat="false" ht="12.75" hidden="false" customHeight="false" outlineLevel="0" collapsed="false">
      <c r="A809" s="470"/>
    </row>
    <row r="810" customFormat="false" ht="12.75" hidden="false" customHeight="false" outlineLevel="0" collapsed="false">
      <c r="A810" s="470"/>
    </row>
    <row r="811" customFormat="false" ht="12.75" hidden="false" customHeight="false" outlineLevel="0" collapsed="false">
      <c r="A811" s="470"/>
    </row>
    <row r="812" customFormat="false" ht="12.75" hidden="false" customHeight="false" outlineLevel="0" collapsed="false">
      <c r="A812" s="470"/>
    </row>
    <row r="813" customFormat="false" ht="12.75" hidden="false" customHeight="false" outlineLevel="0" collapsed="false">
      <c r="A813" s="470"/>
    </row>
    <row r="821" customFormat="false" ht="12.75" hidden="false" customHeight="false" outlineLevel="0" collapsed="false">
      <c r="A821" s="473"/>
    </row>
    <row r="822" customFormat="false" ht="12.75" hidden="false" customHeight="false" outlineLevel="0" collapsed="false">
      <c r="A822" s="470"/>
    </row>
    <row r="823" customFormat="false" ht="12.75" hidden="false" customHeight="false" outlineLevel="0" collapsed="false">
      <c r="A823" s="470"/>
    </row>
    <row r="824" customFormat="false" ht="12.75" hidden="false" customHeight="false" outlineLevel="0" collapsed="false">
      <c r="A824" s="470"/>
    </row>
    <row r="825" customFormat="false" ht="12.75" hidden="false" customHeight="false" outlineLevel="0" collapsed="false">
      <c r="A825" s="470"/>
    </row>
    <row r="826" customFormat="false" ht="12.75" hidden="false" customHeight="false" outlineLevel="0" collapsed="false">
      <c r="A826" s="470"/>
    </row>
    <row r="998" customFormat="false" ht="12.75" hidden="false" customHeight="false" outlineLevel="0" collapsed="false">
      <c r="D998" s="474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</row>
    <row r="999" customFormat="false" ht="12.75" hidden="false" customHeight="false" outlineLevel="0" collapsed="false">
      <c r="C999" s="474"/>
    </row>
    <row r="1000" customFormat="false" ht="12.75" hidden="false" customHeight="false" outlineLevel="0" collapsed="false">
      <c r="AF1000" s="66"/>
      <c r="AG1000" s="66"/>
      <c r="AH1000" s="66"/>
      <c r="AI1000" s="66"/>
      <c r="AJ1000" s="66"/>
      <c r="AK1000" s="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865"/>
  <sheetViews>
    <sheetView showFormulas="false" showGridLines="true" showRowColHeaders="true" showZeros="true" rightToLeft="false" tabSelected="false" showOutlineSymbols="true" defaultGridColor="true" view="normal" topLeftCell="A841" colorId="64" zoomScale="100" zoomScaleNormal="100" zoomScalePageLayoutView="100" workbookViewId="0">
      <selection pane="topLeft" activeCell="A828" activeCellId="0" sqref="A8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475" width="10.71"/>
    <col collapsed="false" customWidth="true" hidden="false" outlineLevel="0" max="12" min="12" style="254" width="11.99"/>
    <col collapsed="false" customWidth="true" hidden="false" outlineLevel="0" max="13" min="13" style="475" width="11.56"/>
    <col collapsed="false" customWidth="true" hidden="false" outlineLevel="0" max="19" min="15" style="0" width="9.28"/>
    <col collapsed="false" customWidth="true" hidden="false" outlineLevel="0" max="21" min="21" style="0" width="14.28"/>
    <col collapsed="false" customWidth="true" hidden="false" outlineLevel="0" max="29" min="29" style="254" width="13.56"/>
    <col collapsed="false" customWidth="true" hidden="false" outlineLevel="0" max="30" min="30" style="254" width="10.13"/>
    <col collapsed="false" customWidth="true" hidden="false" outlineLevel="0" max="33" min="31" style="0" width="9.28"/>
    <col collapsed="false" customWidth="true" hidden="false" outlineLevel="0" max="34" min="34" style="254" width="11.99"/>
    <col collapsed="false" customWidth="true" hidden="false" outlineLevel="0" max="35" min="35" style="0" width="9.28"/>
    <col collapsed="false" customWidth="true" hidden="false" outlineLevel="0" max="39" min="37" style="0" width="9.28"/>
  </cols>
  <sheetData>
    <row r="1" customFormat="false" ht="12.75" hidden="false" customHeight="false" outlineLevel="0" collapsed="false">
      <c r="A1" s="0" t="s">
        <v>582</v>
      </c>
      <c r="B1" s="0" t="s">
        <v>583</v>
      </c>
      <c r="C1" s="0" t="s">
        <v>584</v>
      </c>
      <c r="D1" s="0" t="s">
        <v>585</v>
      </c>
      <c r="E1" s="0" t="s">
        <v>586</v>
      </c>
      <c r="F1" s="0" t="s">
        <v>587</v>
      </c>
      <c r="G1" s="0" t="s">
        <v>588</v>
      </c>
      <c r="H1" s="0" t="s">
        <v>589</v>
      </c>
      <c r="I1" s="0" t="s">
        <v>590</v>
      </c>
      <c r="J1" s="0" t="s">
        <v>591</v>
      </c>
      <c r="K1" s="475" t="s">
        <v>592</v>
      </c>
      <c r="L1" s="254" t="s">
        <v>593</v>
      </c>
      <c r="M1" s="475" t="s">
        <v>594</v>
      </c>
      <c r="N1" s="0" t="s">
        <v>595</v>
      </c>
      <c r="O1" s="0" t="s">
        <v>596</v>
      </c>
      <c r="P1" s="0" t="s">
        <v>597</v>
      </c>
      <c r="Q1" s="0" t="s">
        <v>598</v>
      </c>
      <c r="R1" s="0" t="s">
        <v>599</v>
      </c>
      <c r="S1" s="0" t="s">
        <v>600</v>
      </c>
      <c r="T1" s="0" t="s">
        <v>601</v>
      </c>
      <c r="U1" s="0" t="s">
        <v>602</v>
      </c>
      <c r="V1" s="0" t="s">
        <v>603</v>
      </c>
      <c r="W1" s="0" t="s">
        <v>604</v>
      </c>
      <c r="X1" s="0" t="s">
        <v>605</v>
      </c>
      <c r="Y1" s="0" t="s">
        <v>606</v>
      </c>
      <c r="Z1" s="0" t="s">
        <v>607</v>
      </c>
      <c r="AA1" s="0" t="s">
        <v>608</v>
      </c>
      <c r="AB1" s="0" t="s">
        <v>609</v>
      </c>
      <c r="AC1" s="254" t="s">
        <v>610</v>
      </c>
      <c r="AD1" s="254" t="s">
        <v>611</v>
      </c>
      <c r="AE1" s="0" t="s">
        <v>612</v>
      </c>
      <c r="AF1" s="0" t="s">
        <v>613</v>
      </c>
      <c r="AG1" s="0" t="s">
        <v>614</v>
      </c>
      <c r="AH1" s="254" t="s">
        <v>615</v>
      </c>
      <c r="AI1" s="0" t="s">
        <v>616</v>
      </c>
      <c r="AJ1" s="0" t="s">
        <v>617</v>
      </c>
      <c r="AK1" s="0" t="s">
        <v>618</v>
      </c>
      <c r="AL1" s="0" t="s">
        <v>619</v>
      </c>
      <c r="AM1" s="0" t="s">
        <v>620</v>
      </c>
      <c r="GS1" s="0" t="s">
        <v>621</v>
      </c>
      <c r="GT1" s="0" t="n">
        <f aca="false">'Extendible Collars'!GT6</f>
        <v>0</v>
      </c>
      <c r="GU1" s="0" t="s">
        <v>622</v>
      </c>
      <c r="GV1" s="0" t="s">
        <v>623</v>
      </c>
      <c r="GW1" s="0" t="s">
        <v>131</v>
      </c>
      <c r="GX1" s="0" t="n">
        <f aca="false">'Extendible Collars'!GS6</f>
        <v>0</v>
      </c>
      <c r="GY1" s="0" t="s">
        <v>624</v>
      </c>
      <c r="GZ1" s="0" t="s">
        <v>625</v>
      </c>
      <c r="HA1" s="0" t="s">
        <v>626</v>
      </c>
      <c r="HB1" s="0" t="s">
        <v>627</v>
      </c>
      <c r="HC1" s="0" t="n">
        <f aca="false">'Extendible Collars'!GV6</f>
        <v>0</v>
      </c>
      <c r="HD1" s="0" t="e">
        <f aca="false">'Extendible Collars'!$V$7/6</f>
        <v>#NAME?</v>
      </c>
      <c r="HE1" s="0" t="n">
        <f aca="false">'Extendible Collars'!$E$7</f>
        <v>36637</v>
      </c>
    </row>
    <row r="2" customFormat="false" ht="12.75" hidden="false" customHeight="false" outlineLevel="0" collapsed="false">
      <c r="A2" s="0" t="s">
        <v>621</v>
      </c>
      <c r="B2" s="0" t="str">
        <f aca="false">'Basis Options'!C7</f>
        <v>EM1452.2</v>
      </c>
      <c r="C2" s="0" t="s">
        <v>622</v>
      </c>
      <c r="D2" s="0" t="s">
        <v>623</v>
      </c>
      <c r="E2" s="0" t="s">
        <v>131</v>
      </c>
      <c r="F2" s="0" t="str">
        <f aca="false">'Basis Options'!A7</f>
        <v>TXUENETRA</v>
      </c>
      <c r="G2" s="0" t="s">
        <v>628</v>
      </c>
      <c r="H2" s="0" t="s">
        <v>625</v>
      </c>
      <c r="I2" s="0" t="s">
        <v>626</v>
      </c>
      <c r="J2" s="0" t="s">
        <v>627</v>
      </c>
      <c r="K2" s="475" t="n">
        <f aca="false">'Basis Options'!G7</f>
        <v>37316</v>
      </c>
      <c r="L2" s="254" t="e">
        <f aca="false">'Basis Options'!U7</f>
        <v>#NAME?</v>
      </c>
      <c r="M2" s="475" t="n">
        <f aca="false">'Basis Options'!Q7</f>
        <v>37314</v>
      </c>
      <c r="N2" s="0" t="str">
        <f aca="false">'Basis Options'!F7</f>
        <v>C</v>
      </c>
      <c r="O2" s="0" t="n">
        <f aca="false">'Basis Options'!I7</f>
        <v>0.95</v>
      </c>
      <c r="P2" s="0" t="n">
        <v>0</v>
      </c>
      <c r="Q2" s="0" t="n">
        <v>0</v>
      </c>
      <c r="R2" s="0" t="n">
        <v>0</v>
      </c>
      <c r="S2" s="0" t="n">
        <v>0</v>
      </c>
      <c r="T2" s="0" t="s">
        <v>624</v>
      </c>
      <c r="U2" s="0" t="str">
        <f aca="false">IF('Basis Options'!D7="NGI/CHI. GATE","""NGI/CHI. GATE""",TRIM('Basis Options'!D7))</f>
        <v>IF-TRANSCO/Z6</v>
      </c>
      <c r="V2" s="0" t="s">
        <v>624</v>
      </c>
      <c r="W2" s="0" t="s">
        <v>569</v>
      </c>
      <c r="X2" s="0" t="s">
        <v>624</v>
      </c>
      <c r="Y2" s="0" t="s">
        <v>627</v>
      </c>
      <c r="Z2" s="0" t="s">
        <v>629</v>
      </c>
      <c r="AA2" s="0" t="s">
        <v>624</v>
      </c>
      <c r="AB2" s="0" t="s">
        <v>132</v>
      </c>
      <c r="AC2" s="254" t="n">
        <f aca="false">'Basis Options'!H7</f>
        <v>-1000000</v>
      </c>
      <c r="AD2" s="254" t="e">
        <f aca="false">'Basis Options'!W7</f>
        <v>#NAME?</v>
      </c>
      <c r="AE2" s="0" t="n">
        <v>0</v>
      </c>
      <c r="AF2" s="0" t="n">
        <v>0</v>
      </c>
      <c r="AG2" s="0" t="n">
        <v>0</v>
      </c>
      <c r="AH2" s="254" t="e">
        <f aca="false">'Basis Options'!CD7</f>
        <v>#NAME?</v>
      </c>
      <c r="AI2" s="0" t="n">
        <v>226</v>
      </c>
      <c r="AJ2" s="0" t="s">
        <v>630</v>
      </c>
      <c r="AK2" s="0" t="n">
        <v>0</v>
      </c>
      <c r="AL2" s="0" t="n">
        <v>0</v>
      </c>
      <c r="AM2" s="0" t="n">
        <v>0</v>
      </c>
    </row>
    <row r="3" customFormat="false" ht="12.75" hidden="false" customHeight="false" outlineLevel="0" collapsed="false">
      <c r="A3" s="0" t="s">
        <v>621</v>
      </c>
      <c r="B3" s="0" t="str">
        <f aca="false">'Basis Options'!C8</f>
        <v>EM1452.2</v>
      </c>
      <c r="C3" s="0" t="s">
        <v>622</v>
      </c>
      <c r="D3" s="0" t="s">
        <v>623</v>
      </c>
      <c r="E3" s="0" t="s">
        <v>131</v>
      </c>
      <c r="F3" s="0" t="str">
        <f aca="false">'Basis Options'!A8</f>
        <v>TXUENETRA</v>
      </c>
      <c r="G3" s="0" t="s">
        <v>628</v>
      </c>
      <c r="H3" s="0" t="s">
        <v>625</v>
      </c>
      <c r="I3" s="0" t="s">
        <v>626</v>
      </c>
      <c r="J3" s="0" t="s">
        <v>627</v>
      </c>
      <c r="K3" s="475" t="n">
        <f aca="false">'Basis Options'!G8</f>
        <v>37288</v>
      </c>
      <c r="L3" s="254" t="e">
        <f aca="false">'Basis Options'!U8</f>
        <v>#NAME?</v>
      </c>
      <c r="M3" s="475" t="n">
        <f aca="false">'Basis Options'!Q8</f>
        <v>37286</v>
      </c>
      <c r="N3" s="0" t="str">
        <f aca="false">'Basis Options'!F8</f>
        <v>C</v>
      </c>
      <c r="O3" s="0" t="n">
        <f aca="false">'Basis Options'!I8</f>
        <v>0.95</v>
      </c>
      <c r="P3" s="0" t="n">
        <v>0</v>
      </c>
      <c r="Q3" s="0" t="n">
        <v>0</v>
      </c>
      <c r="R3" s="0" t="n">
        <v>0</v>
      </c>
      <c r="S3" s="0" t="n">
        <v>0</v>
      </c>
      <c r="T3" s="0" t="s">
        <v>624</v>
      </c>
      <c r="U3" s="0" t="str">
        <f aca="false">IF('Basis Options'!D8="NGI/CHI. GATE","""NGI/CHI. GATE""",TRIM('Basis Options'!D8))</f>
        <v>IF-TRANSCO/Z6</v>
      </c>
      <c r="V3" s="0" t="s">
        <v>624</v>
      </c>
      <c r="W3" s="0" t="s">
        <v>569</v>
      </c>
      <c r="X3" s="0" t="s">
        <v>624</v>
      </c>
      <c r="Y3" s="0" t="s">
        <v>627</v>
      </c>
      <c r="Z3" s="0" t="s">
        <v>629</v>
      </c>
      <c r="AA3" s="0" t="s">
        <v>624</v>
      </c>
      <c r="AB3" s="0" t="s">
        <v>132</v>
      </c>
      <c r="AC3" s="254" t="n">
        <f aca="false">'Basis Options'!H8</f>
        <v>-1000000</v>
      </c>
      <c r="AD3" s="254" t="e">
        <f aca="false">'Basis Options'!W8</f>
        <v>#NAME?</v>
      </c>
      <c r="AE3" s="0" t="n">
        <v>0</v>
      </c>
      <c r="AF3" s="0" t="n">
        <v>0</v>
      </c>
      <c r="AG3" s="0" t="n">
        <v>0</v>
      </c>
      <c r="AH3" s="254" t="e">
        <f aca="false">'Basis Options'!CD8</f>
        <v>#NAME?</v>
      </c>
      <c r="AI3" s="0" t="n">
        <v>226</v>
      </c>
      <c r="AJ3" s="0" t="s">
        <v>630</v>
      </c>
      <c r="AK3" s="0" t="n">
        <v>0</v>
      </c>
      <c r="AL3" s="0" t="n">
        <v>0</v>
      </c>
      <c r="AM3" s="0" t="n">
        <v>0</v>
      </c>
    </row>
    <row r="4" customFormat="false" ht="12.75" hidden="false" customHeight="false" outlineLevel="0" collapsed="false">
      <c r="A4" s="0" t="s">
        <v>621</v>
      </c>
      <c r="B4" s="0" t="str">
        <f aca="false">'Basis Options'!C9</f>
        <v>EM1452.2</v>
      </c>
      <c r="C4" s="0" t="s">
        <v>622</v>
      </c>
      <c r="D4" s="0" t="s">
        <v>623</v>
      </c>
      <c r="E4" s="0" t="s">
        <v>131</v>
      </c>
      <c r="F4" s="0" t="str">
        <f aca="false">'Basis Options'!A9</f>
        <v>TXUENETRA</v>
      </c>
      <c r="G4" s="0" t="s">
        <v>628</v>
      </c>
      <c r="H4" s="0" t="s">
        <v>625</v>
      </c>
      <c r="I4" s="0" t="s">
        <v>626</v>
      </c>
      <c r="J4" s="0" t="s">
        <v>627</v>
      </c>
      <c r="K4" s="475" t="n">
        <f aca="false">'Basis Options'!G9</f>
        <v>37257</v>
      </c>
      <c r="L4" s="254" t="e">
        <f aca="false">'Basis Options'!U9</f>
        <v>#NAME?</v>
      </c>
      <c r="M4" s="475" t="n">
        <f aca="false">'Basis Options'!Q9</f>
        <v>37253</v>
      </c>
      <c r="N4" s="0" t="str">
        <f aca="false">'Basis Options'!F9</f>
        <v>C</v>
      </c>
      <c r="O4" s="0" t="n">
        <f aca="false">'Basis Options'!I9</f>
        <v>0.95</v>
      </c>
      <c r="P4" s="0" t="n">
        <v>0</v>
      </c>
      <c r="Q4" s="0" t="n">
        <v>0</v>
      </c>
      <c r="R4" s="0" t="n">
        <v>0</v>
      </c>
      <c r="S4" s="0" t="n">
        <v>0</v>
      </c>
      <c r="T4" s="0" t="s">
        <v>624</v>
      </c>
      <c r="U4" s="0" t="str">
        <f aca="false">IF('Basis Options'!D9="NGI/CHI. GATE","""NGI/CHI. GATE""",TRIM('Basis Options'!D9))</f>
        <v>IF-TRANSCO/Z6</v>
      </c>
      <c r="V4" s="0" t="s">
        <v>624</v>
      </c>
      <c r="W4" s="0" t="s">
        <v>569</v>
      </c>
      <c r="X4" s="0" t="s">
        <v>624</v>
      </c>
      <c r="Y4" s="0" t="s">
        <v>627</v>
      </c>
      <c r="Z4" s="0" t="s">
        <v>629</v>
      </c>
      <c r="AA4" s="0" t="s">
        <v>624</v>
      </c>
      <c r="AB4" s="0" t="s">
        <v>132</v>
      </c>
      <c r="AC4" s="254" t="n">
        <f aca="false">'Basis Options'!H9</f>
        <v>-1000000</v>
      </c>
      <c r="AD4" s="254" t="e">
        <f aca="false">'Basis Options'!W9</f>
        <v>#NAME?</v>
      </c>
      <c r="AE4" s="0" t="n">
        <v>0</v>
      </c>
      <c r="AF4" s="0" t="n">
        <v>0</v>
      </c>
      <c r="AG4" s="0" t="n">
        <v>0</v>
      </c>
      <c r="AH4" s="254" t="e">
        <f aca="false">'Basis Options'!CD9</f>
        <v>#NAME?</v>
      </c>
      <c r="AI4" s="0" t="n">
        <v>226</v>
      </c>
      <c r="AJ4" s="0" t="s">
        <v>630</v>
      </c>
      <c r="AK4" s="0" t="n">
        <v>0</v>
      </c>
      <c r="AL4" s="0" t="n">
        <v>0</v>
      </c>
      <c r="AM4" s="0" t="n">
        <v>0</v>
      </c>
    </row>
    <row r="5" customFormat="false" ht="12.75" hidden="false" customHeight="false" outlineLevel="0" collapsed="false">
      <c r="A5" s="0" t="s">
        <v>621</v>
      </c>
      <c r="B5" s="0" t="str">
        <f aca="false">'Basis Options'!C10</f>
        <v>EM1452.2</v>
      </c>
      <c r="C5" s="0" t="s">
        <v>622</v>
      </c>
      <c r="D5" s="0" t="s">
        <v>623</v>
      </c>
      <c r="E5" s="0" t="s">
        <v>131</v>
      </c>
      <c r="F5" s="0" t="str">
        <f aca="false">'Basis Options'!A10</f>
        <v>TXUENETRA</v>
      </c>
      <c r="G5" s="0" t="s">
        <v>628</v>
      </c>
      <c r="H5" s="0" t="s">
        <v>625</v>
      </c>
      <c r="I5" s="0" t="s">
        <v>626</v>
      </c>
      <c r="J5" s="0" t="s">
        <v>627</v>
      </c>
      <c r="K5" s="475" t="n">
        <f aca="false">'Basis Options'!G10</f>
        <v>37226</v>
      </c>
      <c r="L5" s="254" t="e">
        <f aca="false">'Basis Options'!U10</f>
        <v>#NAME?</v>
      </c>
      <c r="M5" s="475" t="n">
        <f aca="false">'Basis Options'!Q10</f>
        <v>37224</v>
      </c>
      <c r="N5" s="0" t="str">
        <f aca="false">'Basis Options'!F10</f>
        <v>C</v>
      </c>
      <c r="O5" s="0" t="n">
        <f aca="false">'Basis Options'!I10</f>
        <v>0.95</v>
      </c>
      <c r="P5" s="0" t="n">
        <v>0</v>
      </c>
      <c r="Q5" s="0" t="n">
        <v>0</v>
      </c>
      <c r="R5" s="0" t="n">
        <v>0</v>
      </c>
      <c r="S5" s="0" t="n">
        <v>0</v>
      </c>
      <c r="T5" s="0" t="s">
        <v>624</v>
      </c>
      <c r="U5" s="0" t="str">
        <f aca="false">IF('Basis Options'!D10="NGI/CHI. GATE","""NGI/CHI. GATE""",TRIM('Basis Options'!D10))</f>
        <v>IF-TRANSCO/Z6</v>
      </c>
      <c r="V5" s="0" t="s">
        <v>624</v>
      </c>
      <c r="W5" s="0" t="s">
        <v>569</v>
      </c>
      <c r="X5" s="0" t="s">
        <v>624</v>
      </c>
      <c r="Y5" s="0" t="s">
        <v>627</v>
      </c>
      <c r="Z5" s="0" t="s">
        <v>629</v>
      </c>
      <c r="AA5" s="0" t="s">
        <v>624</v>
      </c>
      <c r="AB5" s="0" t="s">
        <v>132</v>
      </c>
      <c r="AC5" s="254" t="n">
        <f aca="false">'Basis Options'!H10</f>
        <v>-1000000</v>
      </c>
      <c r="AD5" s="254" t="e">
        <f aca="false">'Basis Options'!W10</f>
        <v>#NAME?</v>
      </c>
      <c r="AE5" s="0" t="n">
        <v>0</v>
      </c>
      <c r="AF5" s="0" t="n">
        <v>0</v>
      </c>
      <c r="AG5" s="0" t="n">
        <v>0</v>
      </c>
      <c r="AH5" s="254" t="e">
        <f aca="false">'Basis Options'!CD10</f>
        <v>#NAME?</v>
      </c>
      <c r="AI5" s="0" t="n">
        <v>226</v>
      </c>
      <c r="AJ5" s="0" t="s">
        <v>630</v>
      </c>
      <c r="AK5" s="0" t="n">
        <v>0</v>
      </c>
      <c r="AL5" s="0" t="n">
        <v>0</v>
      </c>
      <c r="AM5" s="0" t="n">
        <v>0</v>
      </c>
    </row>
    <row r="6" customFormat="false" ht="12.75" hidden="false" customHeight="false" outlineLevel="0" collapsed="false">
      <c r="A6" s="0" t="s">
        <v>621</v>
      </c>
      <c r="B6" s="0" t="str">
        <f aca="false">'Basis Options'!C11</f>
        <v>EM1452.2</v>
      </c>
      <c r="C6" s="0" t="s">
        <v>622</v>
      </c>
      <c r="D6" s="0" t="s">
        <v>623</v>
      </c>
      <c r="E6" s="0" t="s">
        <v>131</v>
      </c>
      <c r="F6" s="0" t="str">
        <f aca="false">'Basis Options'!A11</f>
        <v>TXUENETRA</v>
      </c>
      <c r="G6" s="0" t="s">
        <v>628</v>
      </c>
      <c r="H6" s="0" t="s">
        <v>625</v>
      </c>
      <c r="I6" s="0" t="s">
        <v>626</v>
      </c>
      <c r="J6" s="0" t="s">
        <v>627</v>
      </c>
      <c r="K6" s="475" t="n">
        <f aca="false">'Basis Options'!G11</f>
        <v>37196</v>
      </c>
      <c r="L6" s="254" t="e">
        <f aca="false">'Basis Options'!U11</f>
        <v>#NAME?</v>
      </c>
      <c r="M6" s="475" t="n">
        <f aca="false">'Basis Options'!Q11</f>
        <v>37194</v>
      </c>
      <c r="N6" s="0" t="str">
        <f aca="false">'Basis Options'!F11</f>
        <v>C</v>
      </c>
      <c r="O6" s="0" t="n">
        <f aca="false">'Basis Options'!I11</f>
        <v>0.95</v>
      </c>
      <c r="P6" s="0" t="n">
        <v>0</v>
      </c>
      <c r="Q6" s="0" t="n">
        <v>0</v>
      </c>
      <c r="R6" s="0" t="n">
        <v>0</v>
      </c>
      <c r="S6" s="0" t="n">
        <v>0</v>
      </c>
      <c r="T6" s="0" t="s">
        <v>624</v>
      </c>
      <c r="U6" s="0" t="str">
        <f aca="false">IF('Basis Options'!D11="NGI/CHI. GATE","""NGI/CHI. GATE""",TRIM('Basis Options'!D11))</f>
        <v>IF-TRANSCO/Z6</v>
      </c>
      <c r="V6" s="0" t="s">
        <v>624</v>
      </c>
      <c r="W6" s="0" t="s">
        <v>569</v>
      </c>
      <c r="X6" s="0" t="s">
        <v>624</v>
      </c>
      <c r="Y6" s="0" t="s">
        <v>627</v>
      </c>
      <c r="Z6" s="0" t="s">
        <v>629</v>
      </c>
      <c r="AA6" s="0" t="s">
        <v>624</v>
      </c>
      <c r="AB6" s="0" t="s">
        <v>132</v>
      </c>
      <c r="AC6" s="254" t="n">
        <f aca="false">'Basis Options'!H11</f>
        <v>-1000000</v>
      </c>
      <c r="AD6" s="254" t="e">
        <f aca="false">'Basis Options'!W11</f>
        <v>#NAME?</v>
      </c>
      <c r="AE6" s="0" t="n">
        <v>0</v>
      </c>
      <c r="AF6" s="0" t="n">
        <v>0</v>
      </c>
      <c r="AG6" s="0" t="n">
        <v>0</v>
      </c>
      <c r="AH6" s="254" t="e">
        <f aca="false">'Basis Options'!CD11</f>
        <v>#NAME?</v>
      </c>
      <c r="AI6" s="0" t="n">
        <v>226</v>
      </c>
      <c r="AJ6" s="0" t="s">
        <v>630</v>
      </c>
      <c r="AK6" s="0" t="n">
        <v>0</v>
      </c>
      <c r="AL6" s="0" t="n">
        <v>0</v>
      </c>
      <c r="AM6" s="0" t="n">
        <v>0</v>
      </c>
    </row>
    <row r="7" customFormat="false" ht="12.75" hidden="false" customHeight="false" outlineLevel="0" collapsed="false">
      <c r="A7" s="0" t="s">
        <v>621</v>
      </c>
      <c r="B7" s="0" t="str">
        <f aca="false">'Basis Options'!C12</f>
        <v>EW1882</v>
      </c>
      <c r="C7" s="0" t="s">
        <v>622</v>
      </c>
      <c r="D7" s="0" t="s">
        <v>623</v>
      </c>
      <c r="E7" s="0" t="s">
        <v>131</v>
      </c>
      <c r="F7" s="0" t="str">
        <f aca="false">'Basis Options'!A12</f>
        <v>STATOILENETRA</v>
      </c>
      <c r="G7" s="0" t="s">
        <v>628</v>
      </c>
      <c r="H7" s="0" t="s">
        <v>625</v>
      </c>
      <c r="I7" s="0" t="s">
        <v>626</v>
      </c>
      <c r="J7" s="0" t="s">
        <v>627</v>
      </c>
      <c r="K7" s="475" t="n">
        <f aca="false">'Basis Options'!G12</f>
        <v>37165</v>
      </c>
      <c r="L7" s="254" t="e">
        <f aca="false">'Basis Options'!U12</f>
        <v>#NAME?</v>
      </c>
      <c r="M7" s="475" t="n">
        <f aca="false">'Basis Options'!Q12</f>
        <v>37161</v>
      </c>
      <c r="N7" s="0" t="str">
        <f aca="false">'Basis Options'!F12</f>
        <v>C</v>
      </c>
      <c r="O7" s="0" t="n">
        <f aca="false">'Basis Options'!I12</f>
        <v>0.3</v>
      </c>
      <c r="P7" s="0" t="n">
        <v>0</v>
      </c>
      <c r="Q7" s="0" t="n">
        <v>0</v>
      </c>
      <c r="R7" s="0" t="n">
        <v>0</v>
      </c>
      <c r="S7" s="0" t="n">
        <v>0</v>
      </c>
      <c r="T7" s="0" t="s">
        <v>624</v>
      </c>
      <c r="U7" s="0" t="str">
        <f aca="false">IF('Basis Options'!D12="NGI/CHI. GATE","""NGI/CHI. GATE""",TRIM('Basis Options'!D12))</f>
        <v>IF-TRANSCO/Z6</v>
      </c>
      <c r="V7" s="0" t="s">
        <v>624</v>
      </c>
      <c r="W7" s="0" t="s">
        <v>569</v>
      </c>
      <c r="X7" s="0" t="s">
        <v>624</v>
      </c>
      <c r="Y7" s="0" t="s">
        <v>627</v>
      </c>
      <c r="Z7" s="0" t="s">
        <v>629</v>
      </c>
      <c r="AA7" s="0" t="s">
        <v>624</v>
      </c>
      <c r="AB7" s="0" t="s">
        <v>132</v>
      </c>
      <c r="AC7" s="254" t="n">
        <f aca="false">'Basis Options'!H12</f>
        <v>500000</v>
      </c>
      <c r="AD7" s="254" t="e">
        <f aca="false">'Basis Options'!W12</f>
        <v>#NAME?</v>
      </c>
      <c r="AE7" s="0" t="n">
        <v>0</v>
      </c>
      <c r="AF7" s="0" t="n">
        <v>0</v>
      </c>
      <c r="AG7" s="0" t="n">
        <v>0</v>
      </c>
      <c r="AH7" s="254" t="e">
        <f aca="false">'Basis Options'!CD12</f>
        <v>#NAME?</v>
      </c>
      <c r="AI7" s="0" t="n">
        <v>226</v>
      </c>
      <c r="AJ7" s="0" t="s">
        <v>630</v>
      </c>
      <c r="AK7" s="0" t="n">
        <v>0</v>
      </c>
      <c r="AL7" s="0" t="n">
        <v>0</v>
      </c>
      <c r="AM7" s="0" t="n">
        <v>0</v>
      </c>
    </row>
    <row r="8" customFormat="false" ht="12.75" hidden="false" customHeight="false" outlineLevel="0" collapsed="false">
      <c r="A8" s="0" t="s">
        <v>621</v>
      </c>
      <c r="B8" s="0" t="str">
        <f aca="false">'Basis Options'!C13</f>
        <v>EW1882</v>
      </c>
      <c r="C8" s="0" t="s">
        <v>622</v>
      </c>
      <c r="D8" s="0" t="s">
        <v>623</v>
      </c>
      <c r="E8" s="0" t="s">
        <v>131</v>
      </c>
      <c r="F8" s="0" t="str">
        <f aca="false">'Basis Options'!A13</f>
        <v>STATOILENETRA</v>
      </c>
      <c r="G8" s="0" t="s">
        <v>628</v>
      </c>
      <c r="H8" s="0" t="s">
        <v>625</v>
      </c>
      <c r="I8" s="0" t="s">
        <v>626</v>
      </c>
      <c r="J8" s="0" t="s">
        <v>627</v>
      </c>
      <c r="K8" s="475" t="n">
        <f aca="false">'Basis Options'!G13</f>
        <v>37135</v>
      </c>
      <c r="L8" s="254" t="e">
        <f aca="false">'Basis Options'!U13</f>
        <v>#NAME?</v>
      </c>
      <c r="M8" s="475" t="n">
        <f aca="false">'Basis Options'!Q13</f>
        <v>37133</v>
      </c>
      <c r="N8" s="0" t="str">
        <f aca="false">'Basis Options'!F13</f>
        <v>C</v>
      </c>
      <c r="O8" s="0" t="n">
        <f aca="false">'Basis Options'!I13</f>
        <v>0.3</v>
      </c>
      <c r="P8" s="0" t="n">
        <v>0</v>
      </c>
      <c r="Q8" s="0" t="n">
        <v>0</v>
      </c>
      <c r="R8" s="0" t="n">
        <v>0</v>
      </c>
      <c r="S8" s="0" t="n">
        <v>0</v>
      </c>
      <c r="T8" s="0" t="s">
        <v>624</v>
      </c>
      <c r="U8" s="0" t="str">
        <f aca="false">IF('Basis Options'!D13="NGI/CHI. GATE","""NGI/CHI. GATE""",TRIM('Basis Options'!D13))</f>
        <v>IF-TRANSCO/Z6</v>
      </c>
      <c r="V8" s="0" t="s">
        <v>624</v>
      </c>
      <c r="W8" s="0" t="s">
        <v>569</v>
      </c>
      <c r="X8" s="0" t="s">
        <v>624</v>
      </c>
      <c r="Y8" s="0" t="s">
        <v>627</v>
      </c>
      <c r="Z8" s="0" t="s">
        <v>629</v>
      </c>
      <c r="AA8" s="0" t="s">
        <v>624</v>
      </c>
      <c r="AB8" s="0" t="s">
        <v>132</v>
      </c>
      <c r="AC8" s="254" t="n">
        <f aca="false">'Basis Options'!H13</f>
        <v>500000</v>
      </c>
      <c r="AD8" s="254" t="e">
        <f aca="false">'Basis Options'!W13</f>
        <v>#NAME?</v>
      </c>
      <c r="AE8" s="0" t="n">
        <v>0</v>
      </c>
      <c r="AF8" s="0" t="n">
        <v>0</v>
      </c>
      <c r="AG8" s="0" t="n">
        <v>0</v>
      </c>
      <c r="AH8" s="254" t="e">
        <f aca="false">'Basis Options'!CD13</f>
        <v>#NAME?</v>
      </c>
      <c r="AI8" s="0" t="n">
        <v>226</v>
      </c>
      <c r="AJ8" s="0" t="s">
        <v>630</v>
      </c>
      <c r="AK8" s="0" t="n">
        <v>0</v>
      </c>
      <c r="AL8" s="0" t="n">
        <v>0</v>
      </c>
      <c r="AM8" s="0" t="n">
        <v>0</v>
      </c>
    </row>
    <row r="9" customFormat="false" ht="12.75" hidden="false" customHeight="false" outlineLevel="0" collapsed="false">
      <c r="A9" s="0" t="s">
        <v>621</v>
      </c>
      <c r="B9" s="0" t="str">
        <f aca="false">'Basis Options'!C14</f>
        <v>EW1882</v>
      </c>
      <c r="C9" s="0" t="s">
        <v>622</v>
      </c>
      <c r="D9" s="0" t="s">
        <v>623</v>
      </c>
      <c r="E9" s="0" t="s">
        <v>131</v>
      </c>
      <c r="F9" s="0" t="str">
        <f aca="false">'Basis Options'!A14</f>
        <v>STATOILENETRA</v>
      </c>
      <c r="G9" s="0" t="s">
        <v>628</v>
      </c>
      <c r="H9" s="0" t="s">
        <v>625</v>
      </c>
      <c r="I9" s="0" t="s">
        <v>626</v>
      </c>
      <c r="J9" s="0" t="s">
        <v>627</v>
      </c>
      <c r="K9" s="475" t="n">
        <f aca="false">'Basis Options'!G14</f>
        <v>37104</v>
      </c>
      <c r="L9" s="254" t="e">
        <f aca="false">'Basis Options'!U14</f>
        <v>#NAME?</v>
      </c>
      <c r="M9" s="475" t="n">
        <f aca="false">'Basis Options'!Q14</f>
        <v>37102</v>
      </c>
      <c r="N9" s="0" t="str">
        <f aca="false">'Basis Options'!F14</f>
        <v>C</v>
      </c>
      <c r="O9" s="0" t="n">
        <f aca="false">'Basis Options'!I14</f>
        <v>0.3</v>
      </c>
      <c r="P9" s="0" t="n">
        <v>0</v>
      </c>
      <c r="Q9" s="0" t="n">
        <v>0</v>
      </c>
      <c r="R9" s="0" t="n">
        <v>0</v>
      </c>
      <c r="S9" s="0" t="n">
        <v>0</v>
      </c>
      <c r="T9" s="0" t="s">
        <v>624</v>
      </c>
      <c r="U9" s="0" t="str">
        <f aca="false">IF('Basis Options'!D14="NGI/CHI. GATE","""NGI/CHI. GATE""",TRIM('Basis Options'!D14))</f>
        <v>IF-TRANSCO/Z6</v>
      </c>
      <c r="V9" s="0" t="s">
        <v>624</v>
      </c>
      <c r="W9" s="0" t="s">
        <v>569</v>
      </c>
      <c r="X9" s="0" t="s">
        <v>624</v>
      </c>
      <c r="Y9" s="0" t="s">
        <v>627</v>
      </c>
      <c r="Z9" s="0" t="s">
        <v>629</v>
      </c>
      <c r="AA9" s="0" t="s">
        <v>624</v>
      </c>
      <c r="AB9" s="0" t="s">
        <v>132</v>
      </c>
      <c r="AC9" s="254" t="n">
        <f aca="false">'Basis Options'!H14</f>
        <v>500000</v>
      </c>
      <c r="AD9" s="254" t="e">
        <f aca="false">'Basis Options'!W14</f>
        <v>#NAME?</v>
      </c>
      <c r="AE9" s="0" t="n">
        <v>0</v>
      </c>
      <c r="AF9" s="0" t="n">
        <v>0</v>
      </c>
      <c r="AG9" s="0" t="n">
        <v>0</v>
      </c>
      <c r="AH9" s="254" t="e">
        <f aca="false">'Basis Options'!CD14</f>
        <v>#NAME?</v>
      </c>
      <c r="AI9" s="0" t="n">
        <v>226</v>
      </c>
      <c r="AJ9" s="0" t="s">
        <v>630</v>
      </c>
      <c r="AK9" s="0" t="n">
        <v>0</v>
      </c>
      <c r="AL9" s="0" t="n">
        <v>0</v>
      </c>
      <c r="AM9" s="0" t="n">
        <v>0</v>
      </c>
    </row>
    <row r="10" customFormat="false" ht="12.75" hidden="false" customHeight="false" outlineLevel="0" collapsed="false">
      <c r="A10" s="0" t="s">
        <v>621</v>
      </c>
      <c r="B10" s="0" t="str">
        <f aca="false">'Basis Options'!C15</f>
        <v>EW1882</v>
      </c>
      <c r="C10" s="0" t="s">
        <v>622</v>
      </c>
      <c r="D10" s="0" t="s">
        <v>623</v>
      </c>
      <c r="E10" s="0" t="s">
        <v>131</v>
      </c>
      <c r="F10" s="0" t="str">
        <f aca="false">'Basis Options'!A15</f>
        <v>STATOILENETRA</v>
      </c>
      <c r="G10" s="0" t="s">
        <v>628</v>
      </c>
      <c r="H10" s="0" t="s">
        <v>625</v>
      </c>
      <c r="I10" s="0" t="s">
        <v>626</v>
      </c>
      <c r="J10" s="0" t="s">
        <v>627</v>
      </c>
      <c r="K10" s="475" t="n">
        <f aca="false">'Basis Options'!G15</f>
        <v>37073</v>
      </c>
      <c r="L10" s="254" t="e">
        <f aca="false">'Basis Options'!U15</f>
        <v>#NAME?</v>
      </c>
      <c r="M10" s="475" t="n">
        <f aca="false">'Basis Options'!Q15</f>
        <v>37070</v>
      </c>
      <c r="N10" s="0" t="str">
        <f aca="false">'Basis Options'!F15</f>
        <v>C</v>
      </c>
      <c r="O10" s="0" t="n">
        <f aca="false">'Basis Options'!I15</f>
        <v>0.3</v>
      </c>
      <c r="P10" s="0" t="n">
        <v>0</v>
      </c>
      <c r="Q10" s="0" t="n">
        <v>0</v>
      </c>
      <c r="R10" s="0" t="n">
        <v>0</v>
      </c>
      <c r="S10" s="0" t="n">
        <v>0</v>
      </c>
      <c r="T10" s="0" t="s">
        <v>624</v>
      </c>
      <c r="U10" s="0" t="str">
        <f aca="false">IF('Basis Options'!D15="NGI/CHI. GATE","""NGI/CHI. GATE""",TRIM('Basis Options'!D15))</f>
        <v>IF-TRANSCO/Z6</v>
      </c>
      <c r="V10" s="0" t="s">
        <v>624</v>
      </c>
      <c r="W10" s="0" t="s">
        <v>569</v>
      </c>
      <c r="X10" s="0" t="s">
        <v>624</v>
      </c>
      <c r="Y10" s="0" t="s">
        <v>627</v>
      </c>
      <c r="Z10" s="0" t="s">
        <v>629</v>
      </c>
      <c r="AA10" s="0" t="s">
        <v>624</v>
      </c>
      <c r="AB10" s="0" t="s">
        <v>132</v>
      </c>
      <c r="AC10" s="254" t="n">
        <f aca="false">'Basis Options'!H15</f>
        <v>500000</v>
      </c>
      <c r="AD10" s="254" t="e">
        <f aca="false">'Basis Options'!W15</f>
        <v>#NAME?</v>
      </c>
      <c r="AE10" s="0" t="n">
        <v>0</v>
      </c>
      <c r="AF10" s="0" t="n">
        <v>0</v>
      </c>
      <c r="AG10" s="0" t="n">
        <v>0</v>
      </c>
      <c r="AH10" s="254" t="e">
        <f aca="false">'Basis Options'!CD15</f>
        <v>#NAME?</v>
      </c>
      <c r="AI10" s="0" t="n">
        <v>226</v>
      </c>
      <c r="AJ10" s="0" t="s">
        <v>630</v>
      </c>
      <c r="AK10" s="0" t="n">
        <v>0</v>
      </c>
      <c r="AL10" s="0" t="n">
        <v>0</v>
      </c>
      <c r="AM10" s="0" t="n">
        <v>0</v>
      </c>
    </row>
    <row r="11" customFormat="false" ht="12.75" hidden="false" customHeight="false" outlineLevel="0" collapsed="false">
      <c r="A11" s="0" t="s">
        <v>621</v>
      </c>
      <c r="B11" s="0" t="str">
        <f aca="false">'Basis Options'!C16</f>
        <v>EW1882</v>
      </c>
      <c r="C11" s="0" t="s">
        <v>622</v>
      </c>
      <c r="D11" s="0" t="s">
        <v>623</v>
      </c>
      <c r="E11" s="0" t="s">
        <v>131</v>
      </c>
      <c r="F11" s="0" t="str">
        <f aca="false">'Basis Options'!A16</f>
        <v>STATOILENETRA</v>
      </c>
      <c r="G11" s="0" t="s">
        <v>628</v>
      </c>
      <c r="H11" s="0" t="s">
        <v>625</v>
      </c>
      <c r="I11" s="0" t="s">
        <v>626</v>
      </c>
      <c r="J11" s="0" t="s">
        <v>627</v>
      </c>
      <c r="K11" s="475" t="n">
        <f aca="false">'Basis Options'!G16</f>
        <v>37043</v>
      </c>
      <c r="L11" s="254" t="e">
        <f aca="false">'Basis Options'!U16</f>
        <v>#NAME?</v>
      </c>
      <c r="M11" s="475" t="n">
        <f aca="false">'Basis Options'!Q16</f>
        <v>37041</v>
      </c>
      <c r="N11" s="0" t="str">
        <f aca="false">'Basis Options'!F16</f>
        <v>C</v>
      </c>
      <c r="O11" s="0" t="n">
        <f aca="false">'Basis Options'!I16</f>
        <v>0.3</v>
      </c>
      <c r="P11" s="0" t="n">
        <v>0</v>
      </c>
      <c r="Q11" s="0" t="n">
        <v>0</v>
      </c>
      <c r="R11" s="0" t="n">
        <v>0</v>
      </c>
      <c r="S11" s="0" t="n">
        <v>0</v>
      </c>
      <c r="T11" s="0" t="s">
        <v>624</v>
      </c>
      <c r="U11" s="0" t="str">
        <f aca="false">IF('Basis Options'!D16="NGI/CHI. GATE","""NGI/CHI. GATE""",TRIM('Basis Options'!D16))</f>
        <v>IF-TRANSCO/Z6</v>
      </c>
      <c r="V11" s="0" t="s">
        <v>624</v>
      </c>
      <c r="W11" s="0" t="s">
        <v>569</v>
      </c>
      <c r="X11" s="0" t="s">
        <v>624</v>
      </c>
      <c r="Y11" s="0" t="s">
        <v>627</v>
      </c>
      <c r="Z11" s="0" t="s">
        <v>629</v>
      </c>
      <c r="AA11" s="0" t="s">
        <v>624</v>
      </c>
      <c r="AB11" s="0" t="s">
        <v>132</v>
      </c>
      <c r="AC11" s="254" t="n">
        <f aca="false">'Basis Options'!H16</f>
        <v>500000</v>
      </c>
      <c r="AD11" s="254" t="e">
        <f aca="false">'Basis Options'!W16</f>
        <v>#NAME?</v>
      </c>
      <c r="AE11" s="0" t="n">
        <v>0</v>
      </c>
      <c r="AF11" s="0" t="n">
        <v>0</v>
      </c>
      <c r="AG11" s="0" t="n">
        <v>0</v>
      </c>
      <c r="AH11" s="254" t="e">
        <f aca="false">'Basis Options'!CD16</f>
        <v>#NAME?</v>
      </c>
      <c r="AI11" s="0" t="n">
        <v>226</v>
      </c>
      <c r="AJ11" s="0" t="s">
        <v>630</v>
      </c>
      <c r="AK11" s="0" t="n">
        <v>0</v>
      </c>
      <c r="AL11" s="0" t="n">
        <v>0</v>
      </c>
      <c r="AM11" s="0" t="n">
        <v>0</v>
      </c>
    </row>
    <row r="12" customFormat="false" ht="12.75" hidden="false" customHeight="false" outlineLevel="0" collapsed="false">
      <c r="A12" s="0" t="s">
        <v>621</v>
      </c>
      <c r="B12" s="0" t="str">
        <f aca="false">'Basis Options'!C17</f>
        <v>EW1882</v>
      </c>
      <c r="C12" s="0" t="s">
        <v>622</v>
      </c>
      <c r="D12" s="0" t="s">
        <v>623</v>
      </c>
      <c r="E12" s="0" t="s">
        <v>131</v>
      </c>
      <c r="F12" s="0" t="str">
        <f aca="false">'Basis Options'!A17</f>
        <v>STATOILENETRA</v>
      </c>
      <c r="G12" s="0" t="s">
        <v>628</v>
      </c>
      <c r="H12" s="0" t="s">
        <v>625</v>
      </c>
      <c r="I12" s="0" t="s">
        <v>626</v>
      </c>
      <c r="J12" s="0" t="s">
        <v>627</v>
      </c>
      <c r="K12" s="475" t="n">
        <f aca="false">'Basis Options'!G17</f>
        <v>37012</v>
      </c>
      <c r="L12" s="254" t="e">
        <f aca="false">'Basis Options'!U17</f>
        <v>#NAME?</v>
      </c>
      <c r="M12" s="475" t="n">
        <f aca="false">'Basis Options'!Q17</f>
        <v>37008</v>
      </c>
      <c r="N12" s="0" t="str">
        <f aca="false">'Basis Options'!F17</f>
        <v>C</v>
      </c>
      <c r="O12" s="0" t="n">
        <f aca="false">'Basis Options'!I17</f>
        <v>0.3</v>
      </c>
      <c r="P12" s="0" t="n">
        <v>0</v>
      </c>
      <c r="Q12" s="0" t="n">
        <v>0</v>
      </c>
      <c r="R12" s="0" t="n">
        <v>0</v>
      </c>
      <c r="S12" s="0" t="n">
        <v>0</v>
      </c>
      <c r="T12" s="0" t="s">
        <v>624</v>
      </c>
      <c r="U12" s="0" t="str">
        <f aca="false">IF('Basis Options'!D17="NGI/CHI. GATE","""NGI/CHI. GATE""",TRIM('Basis Options'!D17))</f>
        <v>IF-TRANSCO/Z6</v>
      </c>
      <c r="V12" s="0" t="s">
        <v>624</v>
      </c>
      <c r="W12" s="0" t="s">
        <v>569</v>
      </c>
      <c r="X12" s="0" t="s">
        <v>624</v>
      </c>
      <c r="Y12" s="0" t="s">
        <v>627</v>
      </c>
      <c r="Z12" s="0" t="s">
        <v>629</v>
      </c>
      <c r="AA12" s="0" t="s">
        <v>624</v>
      </c>
      <c r="AB12" s="0" t="s">
        <v>132</v>
      </c>
      <c r="AC12" s="254" t="n">
        <f aca="false">'Basis Options'!H17</f>
        <v>500000</v>
      </c>
      <c r="AD12" s="254" t="e">
        <f aca="false">'Basis Options'!W17</f>
        <v>#NAME?</v>
      </c>
      <c r="AE12" s="0" t="n">
        <v>0</v>
      </c>
      <c r="AF12" s="0" t="n">
        <v>0</v>
      </c>
      <c r="AG12" s="0" t="n">
        <v>0</v>
      </c>
      <c r="AH12" s="254" t="e">
        <f aca="false">'Basis Options'!CD17</f>
        <v>#NAME?</v>
      </c>
      <c r="AI12" s="0" t="n">
        <v>226</v>
      </c>
      <c r="AJ12" s="0" t="s">
        <v>630</v>
      </c>
      <c r="AK12" s="0" t="n">
        <v>0</v>
      </c>
      <c r="AL12" s="0" t="n">
        <v>0</v>
      </c>
      <c r="AM12" s="0" t="n">
        <v>0</v>
      </c>
    </row>
    <row r="13" customFormat="false" ht="12.75" hidden="false" customHeight="false" outlineLevel="0" collapsed="false">
      <c r="A13" s="0" t="s">
        <v>621</v>
      </c>
      <c r="B13" s="0" t="str">
        <f aca="false">'Basis Options'!C18</f>
        <v>EW1882</v>
      </c>
      <c r="C13" s="0" t="s">
        <v>622</v>
      </c>
      <c r="D13" s="0" t="s">
        <v>623</v>
      </c>
      <c r="E13" s="0" t="s">
        <v>131</v>
      </c>
      <c r="F13" s="0" t="str">
        <f aca="false">'Basis Options'!A18</f>
        <v>STATOILENETRA</v>
      </c>
      <c r="G13" s="0" t="s">
        <v>628</v>
      </c>
      <c r="H13" s="0" t="s">
        <v>625</v>
      </c>
      <c r="I13" s="0" t="s">
        <v>626</v>
      </c>
      <c r="J13" s="0" t="s">
        <v>627</v>
      </c>
      <c r="K13" s="475" t="n">
        <f aca="false">'Basis Options'!G18</f>
        <v>36982</v>
      </c>
      <c r="L13" s="254" t="e">
        <f aca="false">'Basis Options'!U18</f>
        <v>#NAME?</v>
      </c>
      <c r="M13" s="475" t="n">
        <f aca="false">'Basis Options'!Q18</f>
        <v>36979</v>
      </c>
      <c r="N13" s="0" t="str">
        <f aca="false">'Basis Options'!F18</f>
        <v>C</v>
      </c>
      <c r="O13" s="0" t="n">
        <f aca="false">'Basis Options'!I18</f>
        <v>0.3</v>
      </c>
      <c r="P13" s="0" t="n">
        <v>0</v>
      </c>
      <c r="Q13" s="0" t="n">
        <v>0</v>
      </c>
      <c r="R13" s="0" t="n">
        <v>0</v>
      </c>
      <c r="S13" s="0" t="n">
        <v>0</v>
      </c>
      <c r="T13" s="0" t="s">
        <v>624</v>
      </c>
      <c r="U13" s="0" t="str">
        <f aca="false">IF('Basis Options'!D18="NGI/CHI. GATE","""NGI/CHI. GATE""",TRIM('Basis Options'!D18))</f>
        <v>IF-TRANSCO/Z6</v>
      </c>
      <c r="V13" s="0" t="s">
        <v>624</v>
      </c>
      <c r="W13" s="0" t="s">
        <v>569</v>
      </c>
      <c r="X13" s="0" t="s">
        <v>624</v>
      </c>
      <c r="Y13" s="0" t="s">
        <v>627</v>
      </c>
      <c r="Z13" s="0" t="s">
        <v>629</v>
      </c>
      <c r="AA13" s="0" t="s">
        <v>624</v>
      </c>
      <c r="AB13" s="0" t="s">
        <v>132</v>
      </c>
      <c r="AC13" s="254" t="n">
        <f aca="false">'Basis Options'!H18</f>
        <v>500000</v>
      </c>
      <c r="AD13" s="254" t="e">
        <f aca="false">'Basis Options'!W18</f>
        <v>#NAME?</v>
      </c>
      <c r="AE13" s="0" t="n">
        <v>0</v>
      </c>
      <c r="AF13" s="0" t="n">
        <v>0</v>
      </c>
      <c r="AG13" s="0" t="n">
        <v>0</v>
      </c>
      <c r="AH13" s="254" t="e">
        <f aca="false">'Basis Options'!CD18</f>
        <v>#NAME?</v>
      </c>
      <c r="AI13" s="0" t="n">
        <v>226</v>
      </c>
      <c r="AJ13" s="0" t="s">
        <v>630</v>
      </c>
      <c r="AK13" s="0" t="n">
        <v>0</v>
      </c>
      <c r="AL13" s="0" t="n">
        <v>0</v>
      </c>
      <c r="AM13" s="0" t="n">
        <v>0</v>
      </c>
    </row>
    <row r="14" customFormat="false" ht="12.75" hidden="false" customHeight="false" outlineLevel="0" collapsed="false">
      <c r="A14" s="0" t="s">
        <v>621</v>
      </c>
      <c r="B14" s="0" t="str">
        <f aca="false">'Basis Options'!C19</f>
        <v>EW1882</v>
      </c>
      <c r="C14" s="0" t="s">
        <v>622</v>
      </c>
      <c r="D14" s="0" t="s">
        <v>623</v>
      </c>
      <c r="E14" s="0" t="s">
        <v>131</v>
      </c>
      <c r="F14" s="0" t="str">
        <f aca="false">'Basis Options'!A19</f>
        <v>STATOILENETRA</v>
      </c>
      <c r="G14" s="0" t="s">
        <v>628</v>
      </c>
      <c r="H14" s="0" t="s">
        <v>625</v>
      </c>
      <c r="I14" s="0" t="s">
        <v>626</v>
      </c>
      <c r="J14" s="0" t="s">
        <v>627</v>
      </c>
      <c r="K14" s="475" t="n">
        <f aca="false">'Basis Options'!G19</f>
        <v>36800</v>
      </c>
      <c r="L14" s="254" t="e">
        <f aca="false">'Basis Options'!U19</f>
        <v>#NAME?</v>
      </c>
      <c r="M14" s="475" t="n">
        <f aca="false">'Basis Options'!Q19</f>
        <v>36797</v>
      </c>
      <c r="N14" s="0" t="str">
        <f aca="false">'Basis Options'!F19</f>
        <v>C</v>
      </c>
      <c r="O14" s="0" t="n">
        <f aca="false">'Basis Options'!I19</f>
        <v>0.3</v>
      </c>
      <c r="P14" s="0" t="n">
        <v>0</v>
      </c>
      <c r="Q14" s="0" t="n">
        <v>0</v>
      </c>
      <c r="R14" s="0" t="n">
        <v>0</v>
      </c>
      <c r="S14" s="0" t="n">
        <v>0</v>
      </c>
      <c r="T14" s="0" t="s">
        <v>624</v>
      </c>
      <c r="U14" s="0" t="str">
        <f aca="false">IF('Basis Options'!D19="NGI/CHI. GATE","""NGI/CHI. GATE""",TRIM('Basis Options'!D19))</f>
        <v>IF-TRANSCO/Z6</v>
      </c>
      <c r="V14" s="0" t="s">
        <v>624</v>
      </c>
      <c r="W14" s="0" t="s">
        <v>569</v>
      </c>
      <c r="X14" s="0" t="s">
        <v>624</v>
      </c>
      <c r="Y14" s="0" t="s">
        <v>627</v>
      </c>
      <c r="Z14" s="0" t="s">
        <v>629</v>
      </c>
      <c r="AA14" s="0" t="s">
        <v>624</v>
      </c>
      <c r="AB14" s="0" t="s">
        <v>132</v>
      </c>
      <c r="AC14" s="254" t="n">
        <f aca="false">'Basis Options'!H19</f>
        <v>500000</v>
      </c>
      <c r="AD14" s="254" t="e">
        <f aca="false">'Basis Options'!W19</f>
        <v>#NAME?</v>
      </c>
      <c r="AE14" s="0" t="n">
        <v>0</v>
      </c>
      <c r="AF14" s="0" t="n">
        <v>0</v>
      </c>
      <c r="AG14" s="0" t="n">
        <v>0</v>
      </c>
      <c r="AH14" s="254" t="e">
        <f aca="false">'Basis Options'!CD19</f>
        <v>#NAME?</v>
      </c>
      <c r="AI14" s="0" t="n">
        <v>226</v>
      </c>
      <c r="AJ14" s="0" t="s">
        <v>630</v>
      </c>
      <c r="AK14" s="0" t="n">
        <v>0</v>
      </c>
      <c r="AL14" s="0" t="n">
        <v>0</v>
      </c>
      <c r="AM14" s="0" t="n">
        <v>0</v>
      </c>
    </row>
    <row r="15" customFormat="false" ht="12.75" hidden="false" customHeight="false" outlineLevel="0" collapsed="false">
      <c r="A15" s="0" t="s">
        <v>621</v>
      </c>
      <c r="B15" s="0" t="str">
        <f aca="false">'Basis Options'!C20</f>
        <v>EW1882</v>
      </c>
      <c r="C15" s="0" t="s">
        <v>622</v>
      </c>
      <c r="D15" s="0" t="s">
        <v>623</v>
      </c>
      <c r="E15" s="0" t="s">
        <v>131</v>
      </c>
      <c r="F15" s="0" t="str">
        <f aca="false">'Basis Options'!A20</f>
        <v>STATOILENETRA</v>
      </c>
      <c r="G15" s="0" t="s">
        <v>628</v>
      </c>
      <c r="H15" s="0" t="s">
        <v>625</v>
      </c>
      <c r="I15" s="0" t="s">
        <v>626</v>
      </c>
      <c r="J15" s="0" t="s">
        <v>627</v>
      </c>
      <c r="K15" s="475" t="n">
        <f aca="false">'Basis Options'!G20</f>
        <v>36770</v>
      </c>
      <c r="L15" s="254" t="e">
        <f aca="false">'Basis Options'!U20</f>
        <v>#NAME?</v>
      </c>
      <c r="M15" s="475" t="n">
        <f aca="false">'Basis Options'!Q20</f>
        <v>36768</v>
      </c>
      <c r="N15" s="0" t="str">
        <f aca="false">'Basis Options'!F20</f>
        <v>C</v>
      </c>
      <c r="O15" s="0" t="n">
        <f aca="false">'Basis Options'!I20</f>
        <v>0.3</v>
      </c>
      <c r="P15" s="0" t="n">
        <v>0</v>
      </c>
      <c r="Q15" s="0" t="n">
        <v>0</v>
      </c>
      <c r="R15" s="0" t="n">
        <v>0</v>
      </c>
      <c r="S15" s="0" t="n">
        <v>0</v>
      </c>
      <c r="T15" s="0" t="s">
        <v>624</v>
      </c>
      <c r="U15" s="0" t="str">
        <f aca="false">IF('Basis Options'!D20="NGI/CHI. GATE","""NGI/CHI. GATE""",TRIM('Basis Options'!D20))</f>
        <v>IF-TRANSCO/Z6</v>
      </c>
      <c r="V15" s="0" t="s">
        <v>624</v>
      </c>
      <c r="W15" s="0" t="s">
        <v>569</v>
      </c>
      <c r="X15" s="0" t="s">
        <v>624</v>
      </c>
      <c r="Y15" s="0" t="s">
        <v>627</v>
      </c>
      <c r="Z15" s="0" t="s">
        <v>629</v>
      </c>
      <c r="AA15" s="0" t="s">
        <v>624</v>
      </c>
      <c r="AB15" s="0" t="s">
        <v>132</v>
      </c>
      <c r="AC15" s="254" t="n">
        <f aca="false">'Basis Options'!H20</f>
        <v>500000</v>
      </c>
      <c r="AD15" s="254" t="e">
        <f aca="false">'Basis Options'!W20</f>
        <v>#NAME?</v>
      </c>
      <c r="AE15" s="0" t="n">
        <v>0</v>
      </c>
      <c r="AF15" s="0" t="n">
        <v>0</v>
      </c>
      <c r="AG15" s="0" t="n">
        <v>0</v>
      </c>
      <c r="AH15" s="254" t="e">
        <f aca="false">'Basis Options'!CD20</f>
        <v>#NAME?</v>
      </c>
      <c r="AI15" s="0" t="n">
        <v>226</v>
      </c>
      <c r="AJ15" s="0" t="s">
        <v>630</v>
      </c>
      <c r="AK15" s="0" t="n">
        <v>0</v>
      </c>
      <c r="AL15" s="0" t="n">
        <v>0</v>
      </c>
      <c r="AM15" s="0" t="n">
        <v>0</v>
      </c>
    </row>
    <row r="16" customFormat="false" ht="12.75" hidden="false" customHeight="false" outlineLevel="0" collapsed="false">
      <c r="A16" s="0" t="s">
        <v>621</v>
      </c>
      <c r="B16" s="0" t="str">
        <f aca="false">'Basis Options'!C21</f>
        <v>EW2420</v>
      </c>
      <c r="C16" s="0" t="s">
        <v>622</v>
      </c>
      <c r="D16" s="0" t="s">
        <v>623</v>
      </c>
      <c r="E16" s="0" t="s">
        <v>131</v>
      </c>
      <c r="F16" s="0" t="str">
        <f aca="false">'Basis Options'!A21</f>
        <v>RELIANTENESER</v>
      </c>
      <c r="G16" s="0" t="s">
        <v>628</v>
      </c>
      <c r="H16" s="0" t="s">
        <v>625</v>
      </c>
      <c r="I16" s="0" t="s">
        <v>626</v>
      </c>
      <c r="J16" s="0" t="s">
        <v>627</v>
      </c>
      <c r="K16" s="475" t="n">
        <f aca="false">'Basis Options'!G21</f>
        <v>36800</v>
      </c>
      <c r="L16" s="254" t="e">
        <f aca="false">'Basis Options'!U21</f>
        <v>#NAME?</v>
      </c>
      <c r="M16" s="475" t="n">
        <f aca="false">'Basis Options'!Q21</f>
        <v>36797</v>
      </c>
      <c r="N16" s="0" t="str">
        <f aca="false">'Basis Options'!F21</f>
        <v>P</v>
      </c>
      <c r="O16" s="0" t="n">
        <f aca="false">'Basis Options'!I21</f>
        <v>-0.4</v>
      </c>
      <c r="P16" s="0" t="n">
        <v>0</v>
      </c>
      <c r="Q16" s="0" t="n">
        <v>0</v>
      </c>
      <c r="R16" s="0" t="n">
        <v>0</v>
      </c>
      <c r="S16" s="0" t="n">
        <v>0</v>
      </c>
      <c r="T16" s="0" t="s">
        <v>624</v>
      </c>
      <c r="U16" s="0" t="str">
        <f aca="false">IF('Basis Options'!D21="NGI/CHI. GATE","""NGI/CHI. GATE""",TRIM('Basis Options'!D21))</f>
        <v>IF-NWPL_ROCKY_M</v>
      </c>
      <c r="V16" s="0" t="s">
        <v>624</v>
      </c>
      <c r="W16" s="0" t="s">
        <v>569</v>
      </c>
      <c r="X16" s="0" t="s">
        <v>624</v>
      </c>
      <c r="Y16" s="0" t="s">
        <v>627</v>
      </c>
      <c r="Z16" s="0" t="s">
        <v>629</v>
      </c>
      <c r="AA16" s="0" t="s">
        <v>624</v>
      </c>
      <c r="AB16" s="0" t="s">
        <v>132</v>
      </c>
      <c r="AC16" s="254" t="n">
        <f aca="false">'Basis Options'!H21</f>
        <v>310000</v>
      </c>
      <c r="AD16" s="254" t="e">
        <f aca="false">'Basis Options'!W21</f>
        <v>#NAME?</v>
      </c>
      <c r="AE16" s="0" t="n">
        <v>0</v>
      </c>
      <c r="AF16" s="0" t="n">
        <v>0</v>
      </c>
      <c r="AG16" s="0" t="n">
        <v>0</v>
      </c>
      <c r="AH16" s="254" t="e">
        <f aca="false">'Basis Options'!CD21</f>
        <v>#NAME?</v>
      </c>
      <c r="AI16" s="0" t="n">
        <v>226</v>
      </c>
      <c r="AJ16" s="0" t="s">
        <v>630</v>
      </c>
      <c r="AK16" s="0" t="n">
        <v>0</v>
      </c>
      <c r="AL16" s="0" t="n">
        <v>0</v>
      </c>
      <c r="AM16" s="0" t="n">
        <v>0</v>
      </c>
    </row>
    <row r="17" customFormat="false" ht="12.75" hidden="false" customHeight="false" outlineLevel="0" collapsed="false">
      <c r="A17" s="0" t="s">
        <v>621</v>
      </c>
      <c r="B17" s="0" t="str">
        <f aca="false">'Basis Options'!C22</f>
        <v>EW2420</v>
      </c>
      <c r="C17" s="0" t="s">
        <v>622</v>
      </c>
      <c r="D17" s="0" t="s">
        <v>623</v>
      </c>
      <c r="E17" s="0" t="s">
        <v>131</v>
      </c>
      <c r="F17" s="0" t="str">
        <f aca="false">'Basis Options'!A22</f>
        <v>RELIANTENESER</v>
      </c>
      <c r="G17" s="0" t="s">
        <v>628</v>
      </c>
      <c r="H17" s="0" t="s">
        <v>625</v>
      </c>
      <c r="I17" s="0" t="s">
        <v>626</v>
      </c>
      <c r="J17" s="0" t="s">
        <v>627</v>
      </c>
      <c r="K17" s="475" t="n">
        <f aca="false">'Basis Options'!G22</f>
        <v>36770</v>
      </c>
      <c r="L17" s="254" t="e">
        <f aca="false">'Basis Options'!U22</f>
        <v>#NAME?</v>
      </c>
      <c r="M17" s="475" t="n">
        <f aca="false">'Basis Options'!Q22</f>
        <v>36768</v>
      </c>
      <c r="N17" s="0" t="str">
        <f aca="false">'Basis Options'!F22</f>
        <v>P</v>
      </c>
      <c r="O17" s="0" t="n">
        <f aca="false">'Basis Options'!I22</f>
        <v>-0.4</v>
      </c>
      <c r="P17" s="0" t="n">
        <v>0</v>
      </c>
      <c r="Q17" s="0" t="n">
        <v>0</v>
      </c>
      <c r="R17" s="0" t="n">
        <v>0</v>
      </c>
      <c r="S17" s="0" t="n">
        <v>0</v>
      </c>
      <c r="T17" s="0" t="s">
        <v>624</v>
      </c>
      <c r="U17" s="0" t="str">
        <f aca="false">IF('Basis Options'!D22="NGI/CHI. GATE","""NGI/CHI. GATE""",TRIM('Basis Options'!D22))</f>
        <v>IF-NWPL_ROCKY_M</v>
      </c>
      <c r="V17" s="0" t="s">
        <v>624</v>
      </c>
      <c r="W17" s="0" t="s">
        <v>569</v>
      </c>
      <c r="X17" s="0" t="s">
        <v>624</v>
      </c>
      <c r="Y17" s="0" t="s">
        <v>627</v>
      </c>
      <c r="Z17" s="0" t="s">
        <v>629</v>
      </c>
      <c r="AA17" s="0" t="s">
        <v>624</v>
      </c>
      <c r="AB17" s="0" t="s">
        <v>132</v>
      </c>
      <c r="AC17" s="254" t="n">
        <f aca="false">'Basis Options'!H22</f>
        <v>300000</v>
      </c>
      <c r="AD17" s="254" t="e">
        <f aca="false">'Basis Options'!W22</f>
        <v>#NAME?</v>
      </c>
      <c r="AE17" s="0" t="n">
        <v>0</v>
      </c>
      <c r="AF17" s="0" t="n">
        <v>0</v>
      </c>
      <c r="AG17" s="0" t="n">
        <v>0</v>
      </c>
      <c r="AH17" s="254" t="e">
        <f aca="false">'Basis Options'!CD22</f>
        <v>#NAME?</v>
      </c>
      <c r="AI17" s="0" t="n">
        <v>226</v>
      </c>
      <c r="AJ17" s="0" t="s">
        <v>630</v>
      </c>
      <c r="AK17" s="0" t="n">
        <v>0</v>
      </c>
      <c r="AL17" s="0" t="n">
        <v>0</v>
      </c>
      <c r="AM17" s="0" t="n">
        <v>0</v>
      </c>
    </row>
    <row r="18" customFormat="false" ht="12.75" hidden="false" customHeight="false" outlineLevel="0" collapsed="false">
      <c r="A18" s="0" t="s">
        <v>621</v>
      </c>
      <c r="B18" s="0" t="str">
        <f aca="false">'Basis Options'!C23</f>
        <v>EY1230</v>
      </c>
      <c r="C18" s="0" t="s">
        <v>622</v>
      </c>
      <c r="D18" s="0" t="s">
        <v>623</v>
      </c>
      <c r="E18" s="0" t="s">
        <v>131</v>
      </c>
      <c r="F18" s="0" t="str">
        <f aca="false">'Basis Options'!A23</f>
        <v>ELPASMER</v>
      </c>
      <c r="G18" s="0" t="s">
        <v>628</v>
      </c>
      <c r="H18" s="0" t="s">
        <v>625</v>
      </c>
      <c r="I18" s="0" t="s">
        <v>626</v>
      </c>
      <c r="J18" s="0" t="s">
        <v>627</v>
      </c>
      <c r="K18" s="475" t="n">
        <f aca="false">'Basis Options'!G23</f>
        <v>36800</v>
      </c>
      <c r="L18" s="254" t="e">
        <f aca="false">'Basis Options'!U23</f>
        <v>#NAME?</v>
      </c>
      <c r="M18" s="475" t="n">
        <f aca="false">'Basis Options'!Q23</f>
        <v>36797</v>
      </c>
      <c r="N18" s="0" t="str">
        <f aca="false">'Basis Options'!F23</f>
        <v>C</v>
      </c>
      <c r="O18" s="0" t="n">
        <f aca="false">'Basis Options'!I23</f>
        <v>0.25</v>
      </c>
      <c r="P18" s="0" t="n">
        <v>0</v>
      </c>
      <c r="Q18" s="0" t="n">
        <v>0</v>
      </c>
      <c r="R18" s="0" t="n">
        <v>0</v>
      </c>
      <c r="S18" s="0" t="n">
        <v>0</v>
      </c>
      <c r="T18" s="0" t="s">
        <v>624</v>
      </c>
      <c r="U18" s="0" t="str">
        <f aca="false">IF('Basis Options'!D23="NGI/CHI. GATE","""NGI/CHI. GATE""",TRIM('Basis Options'!D23))</f>
        <v>IF-TRANSCO/Z6</v>
      </c>
      <c r="V18" s="0" t="s">
        <v>624</v>
      </c>
      <c r="W18" s="0" t="s">
        <v>569</v>
      </c>
      <c r="X18" s="0" t="s">
        <v>624</v>
      </c>
      <c r="Y18" s="0" t="s">
        <v>627</v>
      </c>
      <c r="Z18" s="0" t="s">
        <v>629</v>
      </c>
      <c r="AA18" s="0" t="s">
        <v>624</v>
      </c>
      <c r="AB18" s="0" t="s">
        <v>132</v>
      </c>
      <c r="AC18" s="254" t="n">
        <f aca="false">'Basis Options'!H23</f>
        <v>310000</v>
      </c>
      <c r="AD18" s="254" t="e">
        <f aca="false">'Basis Options'!W23</f>
        <v>#NAME?</v>
      </c>
      <c r="AE18" s="0" t="n">
        <v>0</v>
      </c>
      <c r="AF18" s="0" t="n">
        <v>0</v>
      </c>
      <c r="AG18" s="0" t="n">
        <v>0</v>
      </c>
      <c r="AH18" s="254" t="e">
        <f aca="false">'Basis Options'!CD23</f>
        <v>#NAME?</v>
      </c>
      <c r="AI18" s="0" t="n">
        <v>226</v>
      </c>
      <c r="AJ18" s="0" t="s">
        <v>630</v>
      </c>
      <c r="AK18" s="0" t="n">
        <v>0</v>
      </c>
      <c r="AL18" s="0" t="n">
        <v>0</v>
      </c>
      <c r="AM18" s="0" t="n">
        <v>0</v>
      </c>
    </row>
    <row r="19" customFormat="false" ht="12.75" hidden="false" customHeight="false" outlineLevel="0" collapsed="false">
      <c r="A19" s="0" t="s">
        <v>621</v>
      </c>
      <c r="B19" s="0" t="str">
        <f aca="false">'Basis Options'!C24</f>
        <v>EY1230</v>
      </c>
      <c r="C19" s="0" t="s">
        <v>622</v>
      </c>
      <c r="D19" s="0" t="s">
        <v>623</v>
      </c>
      <c r="E19" s="0" t="s">
        <v>131</v>
      </c>
      <c r="F19" s="0" t="str">
        <f aca="false">'Basis Options'!A24</f>
        <v>ELPASMER</v>
      </c>
      <c r="G19" s="0" t="s">
        <v>628</v>
      </c>
      <c r="H19" s="0" t="s">
        <v>625</v>
      </c>
      <c r="I19" s="0" t="s">
        <v>626</v>
      </c>
      <c r="J19" s="0" t="s">
        <v>627</v>
      </c>
      <c r="K19" s="475" t="n">
        <f aca="false">'Basis Options'!G24</f>
        <v>36770</v>
      </c>
      <c r="L19" s="254" t="e">
        <f aca="false">'Basis Options'!U24</f>
        <v>#NAME?</v>
      </c>
      <c r="M19" s="475" t="n">
        <f aca="false">'Basis Options'!Q24</f>
        <v>36768</v>
      </c>
      <c r="N19" s="0" t="str">
        <f aca="false">'Basis Options'!F24</f>
        <v>C</v>
      </c>
      <c r="O19" s="0" t="n">
        <f aca="false">'Basis Options'!I24</f>
        <v>0.25</v>
      </c>
      <c r="P19" s="0" t="n">
        <v>0</v>
      </c>
      <c r="Q19" s="0" t="n">
        <v>0</v>
      </c>
      <c r="R19" s="0" t="n">
        <v>0</v>
      </c>
      <c r="S19" s="0" t="n">
        <v>0</v>
      </c>
      <c r="T19" s="0" t="s">
        <v>624</v>
      </c>
      <c r="U19" s="0" t="str">
        <f aca="false">IF('Basis Options'!D24="NGI/CHI. GATE","""NGI/CHI. GATE""",TRIM('Basis Options'!D24))</f>
        <v>IF-TRANSCO/Z6</v>
      </c>
      <c r="V19" s="0" t="s">
        <v>624</v>
      </c>
      <c r="W19" s="0" t="s">
        <v>569</v>
      </c>
      <c r="X19" s="0" t="s">
        <v>624</v>
      </c>
      <c r="Y19" s="0" t="s">
        <v>627</v>
      </c>
      <c r="Z19" s="0" t="s">
        <v>629</v>
      </c>
      <c r="AA19" s="0" t="s">
        <v>624</v>
      </c>
      <c r="AB19" s="0" t="s">
        <v>132</v>
      </c>
      <c r="AC19" s="254" t="n">
        <f aca="false">'Basis Options'!H24</f>
        <v>300000</v>
      </c>
      <c r="AD19" s="254" t="e">
        <f aca="false">'Basis Options'!W24</f>
        <v>#NAME?</v>
      </c>
      <c r="AE19" s="0" t="n">
        <v>0</v>
      </c>
      <c r="AF19" s="0" t="n">
        <v>0</v>
      </c>
      <c r="AG19" s="0" t="n">
        <v>0</v>
      </c>
      <c r="AH19" s="254" t="e">
        <f aca="false">'Basis Options'!CD24</f>
        <v>#NAME?</v>
      </c>
      <c r="AI19" s="0" t="n">
        <v>226</v>
      </c>
      <c r="AJ19" s="0" t="s">
        <v>630</v>
      </c>
      <c r="AK19" s="0" t="n">
        <v>0</v>
      </c>
      <c r="AL19" s="0" t="n">
        <v>0</v>
      </c>
      <c r="AM19" s="0" t="n">
        <v>0</v>
      </c>
    </row>
    <row r="20" customFormat="false" ht="12.75" hidden="false" customHeight="false" outlineLevel="0" collapsed="false">
      <c r="A20" s="0" t="s">
        <v>621</v>
      </c>
      <c r="B20" s="0" t="str">
        <f aca="false">'Basis Options'!C25</f>
        <v>N33626.2</v>
      </c>
      <c r="C20" s="0" t="s">
        <v>622</v>
      </c>
      <c r="D20" s="0" t="s">
        <v>623</v>
      </c>
      <c r="E20" s="0" t="s">
        <v>131</v>
      </c>
      <c r="F20" s="0" t="str">
        <f aca="false">'Basis Options'!A25</f>
        <v>STATOILENETRA</v>
      </c>
      <c r="G20" s="0" t="s">
        <v>628</v>
      </c>
      <c r="H20" s="0" t="s">
        <v>625</v>
      </c>
      <c r="I20" s="0" t="s">
        <v>626</v>
      </c>
      <c r="J20" s="0" t="s">
        <v>627</v>
      </c>
      <c r="K20" s="475" t="n">
        <f aca="false">'Basis Options'!G25</f>
        <v>36800</v>
      </c>
      <c r="L20" s="254" t="e">
        <f aca="false">'Basis Options'!U25</f>
        <v>#NAME?</v>
      </c>
      <c r="M20" s="475" t="n">
        <f aca="false">'Basis Options'!Q25</f>
        <v>36797</v>
      </c>
      <c r="N20" s="0" t="str">
        <f aca="false">'Basis Options'!F25</f>
        <v>C</v>
      </c>
      <c r="O20" s="0" t="n">
        <f aca="false">'Basis Options'!I25</f>
        <v>0.16</v>
      </c>
      <c r="P20" s="0" t="n">
        <v>0</v>
      </c>
      <c r="Q20" s="0" t="n">
        <v>0</v>
      </c>
      <c r="R20" s="0" t="n">
        <v>0</v>
      </c>
      <c r="S20" s="0" t="n">
        <v>0</v>
      </c>
      <c r="T20" s="0" t="s">
        <v>624</v>
      </c>
      <c r="U20" s="0" t="str">
        <f aca="false">IF('Basis Options'!D25="NGI/CHI. GATE","""NGI/CHI. GATE""",TRIM('Basis Options'!D25))</f>
        <v>IF-CGT/APPALAC</v>
      </c>
      <c r="V20" s="0" t="s">
        <v>624</v>
      </c>
      <c r="W20" s="0" t="s">
        <v>569</v>
      </c>
      <c r="X20" s="0" t="s">
        <v>624</v>
      </c>
      <c r="Y20" s="0" t="s">
        <v>627</v>
      </c>
      <c r="Z20" s="0" t="s">
        <v>629</v>
      </c>
      <c r="AA20" s="0" t="s">
        <v>624</v>
      </c>
      <c r="AB20" s="0" t="s">
        <v>132</v>
      </c>
      <c r="AC20" s="254" t="n">
        <f aca="false">'Basis Options'!H25</f>
        <v>620000</v>
      </c>
      <c r="AD20" s="254" t="e">
        <f aca="false">'Basis Options'!W25</f>
        <v>#NAME?</v>
      </c>
      <c r="AE20" s="0" t="n">
        <v>0</v>
      </c>
      <c r="AF20" s="0" t="n">
        <v>0</v>
      </c>
      <c r="AG20" s="0" t="n">
        <v>0</v>
      </c>
      <c r="AH20" s="254" t="e">
        <f aca="false">'Basis Options'!CD25</f>
        <v>#NAME?</v>
      </c>
      <c r="AI20" s="0" t="n">
        <v>226</v>
      </c>
      <c r="AJ20" s="0" t="s">
        <v>630</v>
      </c>
      <c r="AK20" s="0" t="n">
        <v>0</v>
      </c>
      <c r="AL20" s="0" t="n">
        <v>0</v>
      </c>
      <c r="AM20" s="0" t="n">
        <v>0</v>
      </c>
    </row>
    <row r="21" customFormat="false" ht="12.75" hidden="false" customHeight="false" outlineLevel="0" collapsed="false">
      <c r="A21" s="0" t="s">
        <v>621</v>
      </c>
      <c r="B21" s="0" t="str">
        <f aca="false">'Basis Options'!C26</f>
        <v>N33626.2</v>
      </c>
      <c r="C21" s="0" t="s">
        <v>622</v>
      </c>
      <c r="D21" s="0" t="s">
        <v>623</v>
      </c>
      <c r="E21" s="0" t="s">
        <v>131</v>
      </c>
      <c r="F21" s="0" t="str">
        <f aca="false">'Basis Options'!A26</f>
        <v>STATOILENETRA</v>
      </c>
      <c r="G21" s="0" t="s">
        <v>628</v>
      </c>
      <c r="H21" s="0" t="s">
        <v>625</v>
      </c>
      <c r="I21" s="0" t="s">
        <v>626</v>
      </c>
      <c r="J21" s="0" t="s">
        <v>627</v>
      </c>
      <c r="K21" s="475" t="n">
        <f aca="false">'Basis Options'!G26</f>
        <v>36770</v>
      </c>
      <c r="L21" s="254" t="e">
        <f aca="false">'Basis Options'!U26</f>
        <v>#NAME?</v>
      </c>
      <c r="M21" s="475" t="n">
        <f aca="false">'Basis Options'!Q26</f>
        <v>36768</v>
      </c>
      <c r="N21" s="0" t="str">
        <f aca="false">'Basis Options'!F26</f>
        <v>C</v>
      </c>
      <c r="O21" s="0" t="n">
        <f aca="false">'Basis Options'!I26</f>
        <v>0.16</v>
      </c>
      <c r="P21" s="0" t="n">
        <v>0</v>
      </c>
      <c r="Q21" s="0" t="n">
        <v>0</v>
      </c>
      <c r="R21" s="0" t="n">
        <v>0</v>
      </c>
      <c r="S21" s="0" t="n">
        <v>0</v>
      </c>
      <c r="T21" s="0" t="s">
        <v>624</v>
      </c>
      <c r="U21" s="0" t="str">
        <f aca="false">IF('Basis Options'!D26="NGI/CHI. GATE","""NGI/CHI. GATE""",TRIM('Basis Options'!D26))</f>
        <v>IF-CGT/APPALAC</v>
      </c>
      <c r="V21" s="0" t="s">
        <v>624</v>
      </c>
      <c r="W21" s="0" t="s">
        <v>569</v>
      </c>
      <c r="X21" s="0" t="s">
        <v>624</v>
      </c>
      <c r="Y21" s="0" t="s">
        <v>627</v>
      </c>
      <c r="Z21" s="0" t="s">
        <v>629</v>
      </c>
      <c r="AA21" s="0" t="s">
        <v>624</v>
      </c>
      <c r="AB21" s="0" t="s">
        <v>132</v>
      </c>
      <c r="AC21" s="254" t="n">
        <f aca="false">'Basis Options'!H26</f>
        <v>600000</v>
      </c>
      <c r="AD21" s="254" t="e">
        <f aca="false">'Basis Options'!W26</f>
        <v>#NAME?</v>
      </c>
      <c r="AE21" s="0" t="n">
        <v>0</v>
      </c>
      <c r="AF21" s="0" t="n">
        <v>0</v>
      </c>
      <c r="AG21" s="0" t="n">
        <v>0</v>
      </c>
      <c r="AH21" s="254" t="e">
        <f aca="false">'Basis Options'!CD26</f>
        <v>#NAME?</v>
      </c>
      <c r="AI21" s="0" t="n">
        <v>226</v>
      </c>
      <c r="AJ21" s="0" t="s">
        <v>630</v>
      </c>
      <c r="AK21" s="0" t="n">
        <v>0</v>
      </c>
      <c r="AL21" s="0" t="n">
        <v>0</v>
      </c>
      <c r="AM21" s="0" t="n">
        <v>0</v>
      </c>
    </row>
    <row r="22" customFormat="false" ht="12.75" hidden="false" customHeight="false" outlineLevel="0" collapsed="false">
      <c r="A22" s="0" t="s">
        <v>621</v>
      </c>
      <c r="B22" s="0" t="str">
        <f aca="false">'Basis Options'!C27</f>
        <v>NA9501.1</v>
      </c>
      <c r="C22" s="0" t="s">
        <v>622</v>
      </c>
      <c r="D22" s="0" t="s">
        <v>623</v>
      </c>
      <c r="E22" s="0" t="s">
        <v>131</v>
      </c>
      <c r="F22" s="0" t="str">
        <f aca="false">'Basis Options'!A27</f>
        <v>LT-TRANS-EA</v>
      </c>
      <c r="G22" s="0" t="s">
        <v>628</v>
      </c>
      <c r="H22" s="0" t="s">
        <v>625</v>
      </c>
      <c r="I22" s="0" t="s">
        <v>626</v>
      </c>
      <c r="J22" s="0" t="s">
        <v>627</v>
      </c>
      <c r="K22" s="475" t="n">
        <f aca="false">'Basis Options'!G27</f>
        <v>36800</v>
      </c>
      <c r="L22" s="254" t="e">
        <f aca="false">'Basis Options'!U27</f>
        <v>#NAME?</v>
      </c>
      <c r="M22" s="475" t="n">
        <f aca="false">'Basis Options'!Q27</f>
        <v>36797</v>
      </c>
      <c r="N22" s="0" t="str">
        <f aca="false">'Basis Options'!F27</f>
        <v>C</v>
      </c>
      <c r="O22" s="0" t="n">
        <f aca="false">'Basis Options'!I27</f>
        <v>0.16</v>
      </c>
      <c r="P22" s="0" t="n">
        <v>0</v>
      </c>
      <c r="Q22" s="0" t="n">
        <v>0</v>
      </c>
      <c r="R22" s="0" t="n">
        <v>0</v>
      </c>
      <c r="S22" s="0" t="n">
        <v>0</v>
      </c>
      <c r="T22" s="0" t="s">
        <v>624</v>
      </c>
      <c r="U22" s="0" t="str">
        <f aca="false">IF('Basis Options'!D27="NGI/CHI. GATE","""NGI/CHI. GATE""",TRIM('Basis Options'!D27))</f>
        <v>IF-CGT/APPALAC</v>
      </c>
      <c r="V22" s="0" t="s">
        <v>624</v>
      </c>
      <c r="W22" s="0" t="s">
        <v>569</v>
      </c>
      <c r="X22" s="0" t="s">
        <v>624</v>
      </c>
      <c r="Y22" s="0" t="s">
        <v>627</v>
      </c>
      <c r="Z22" s="0" t="s">
        <v>629</v>
      </c>
      <c r="AA22" s="0" t="s">
        <v>624</v>
      </c>
      <c r="AB22" s="0" t="s">
        <v>132</v>
      </c>
      <c r="AC22" s="254" t="n">
        <f aca="false">'Basis Options'!H27</f>
        <v>310000</v>
      </c>
      <c r="AD22" s="254" t="e">
        <f aca="false">'Basis Options'!W27</f>
        <v>#NAME?</v>
      </c>
      <c r="AE22" s="0" t="n">
        <v>0</v>
      </c>
      <c r="AF22" s="0" t="n">
        <v>0</v>
      </c>
      <c r="AG22" s="0" t="n">
        <v>0</v>
      </c>
      <c r="AH22" s="254" t="e">
        <f aca="false">'Basis Options'!CD27</f>
        <v>#NAME?</v>
      </c>
      <c r="AI22" s="0" t="n">
        <v>226</v>
      </c>
      <c r="AJ22" s="0" t="s">
        <v>630</v>
      </c>
      <c r="AK22" s="0" t="n">
        <v>0</v>
      </c>
      <c r="AL22" s="0" t="n">
        <v>0</v>
      </c>
      <c r="AM22" s="0" t="n">
        <v>0</v>
      </c>
    </row>
    <row r="23" customFormat="false" ht="12.75" hidden="false" customHeight="false" outlineLevel="0" collapsed="false">
      <c r="A23" s="0" t="s">
        <v>621</v>
      </c>
      <c r="B23" s="0" t="str">
        <f aca="false">'Basis Options'!C28</f>
        <v>NA9501.1</v>
      </c>
      <c r="C23" s="0" t="s">
        <v>622</v>
      </c>
      <c r="D23" s="0" t="s">
        <v>623</v>
      </c>
      <c r="E23" s="0" t="s">
        <v>131</v>
      </c>
      <c r="F23" s="0" t="str">
        <f aca="false">'Basis Options'!A28</f>
        <v>LT-TRANS-EA</v>
      </c>
      <c r="G23" s="0" t="s">
        <v>628</v>
      </c>
      <c r="H23" s="0" t="s">
        <v>625</v>
      </c>
      <c r="I23" s="0" t="s">
        <v>626</v>
      </c>
      <c r="J23" s="0" t="s">
        <v>627</v>
      </c>
      <c r="K23" s="475" t="n">
        <f aca="false">'Basis Options'!G28</f>
        <v>36770</v>
      </c>
      <c r="L23" s="254" t="e">
        <f aca="false">'Basis Options'!U28</f>
        <v>#NAME?</v>
      </c>
      <c r="M23" s="475" t="n">
        <f aca="false">'Basis Options'!Q28</f>
        <v>36768</v>
      </c>
      <c r="N23" s="0" t="str">
        <f aca="false">'Basis Options'!F28</f>
        <v>C</v>
      </c>
      <c r="O23" s="0" t="n">
        <f aca="false">'Basis Options'!I28</f>
        <v>0.16</v>
      </c>
      <c r="P23" s="0" t="n">
        <v>0</v>
      </c>
      <c r="Q23" s="0" t="n">
        <v>0</v>
      </c>
      <c r="R23" s="0" t="n">
        <v>0</v>
      </c>
      <c r="S23" s="0" t="n">
        <v>0</v>
      </c>
      <c r="T23" s="0" t="s">
        <v>624</v>
      </c>
      <c r="U23" s="0" t="str">
        <f aca="false">IF('Basis Options'!D28="NGI/CHI. GATE","""NGI/CHI. GATE""",TRIM('Basis Options'!D28))</f>
        <v>IF-CGT/APPALAC</v>
      </c>
      <c r="V23" s="0" t="s">
        <v>624</v>
      </c>
      <c r="W23" s="0" t="s">
        <v>569</v>
      </c>
      <c r="X23" s="0" t="s">
        <v>624</v>
      </c>
      <c r="Y23" s="0" t="s">
        <v>627</v>
      </c>
      <c r="Z23" s="0" t="s">
        <v>629</v>
      </c>
      <c r="AA23" s="0" t="s">
        <v>624</v>
      </c>
      <c r="AB23" s="0" t="s">
        <v>132</v>
      </c>
      <c r="AC23" s="254" t="n">
        <f aca="false">'Basis Options'!H28</f>
        <v>300000</v>
      </c>
      <c r="AD23" s="254" t="e">
        <f aca="false">'Basis Options'!W28</f>
        <v>#NAME?</v>
      </c>
      <c r="AE23" s="0" t="n">
        <v>0</v>
      </c>
      <c r="AF23" s="0" t="n">
        <v>0</v>
      </c>
      <c r="AG23" s="0" t="n">
        <v>0</v>
      </c>
      <c r="AH23" s="254" t="e">
        <f aca="false">'Basis Options'!CD28</f>
        <v>#NAME?</v>
      </c>
      <c r="AI23" s="0" t="n">
        <v>226</v>
      </c>
      <c r="AJ23" s="0" t="s">
        <v>630</v>
      </c>
      <c r="AK23" s="0" t="n">
        <v>0</v>
      </c>
      <c r="AL23" s="0" t="n">
        <v>0</v>
      </c>
      <c r="AM23" s="0" t="n">
        <v>0</v>
      </c>
    </row>
    <row r="24" customFormat="false" ht="12.75" hidden="false" customHeight="false" outlineLevel="0" collapsed="false">
      <c r="A24" s="0" t="s">
        <v>621</v>
      </c>
      <c r="B24" s="0" t="str">
        <f aca="false">'Basis Options'!C29</f>
        <v>NB4804</v>
      </c>
      <c r="C24" s="0" t="s">
        <v>622</v>
      </c>
      <c r="D24" s="0" t="s">
        <v>623</v>
      </c>
      <c r="E24" s="0" t="s">
        <v>131</v>
      </c>
      <c r="F24" s="0" t="str">
        <f aca="false">'Basis Options'!A29</f>
        <v>UPRENESER</v>
      </c>
      <c r="G24" s="0" t="s">
        <v>628</v>
      </c>
      <c r="H24" s="0" t="s">
        <v>625</v>
      </c>
      <c r="I24" s="0" t="s">
        <v>626</v>
      </c>
      <c r="J24" s="0" t="s">
        <v>627</v>
      </c>
      <c r="K24" s="475" t="n">
        <f aca="false">'Basis Options'!G29</f>
        <v>36951</v>
      </c>
      <c r="L24" s="254" t="e">
        <f aca="false">'Basis Options'!U29</f>
        <v>#NAME?</v>
      </c>
      <c r="M24" s="475" t="n">
        <f aca="false">'Basis Options'!Q29</f>
        <v>36949</v>
      </c>
      <c r="N24" s="0" t="str">
        <f aca="false">'Basis Options'!F29</f>
        <v>C</v>
      </c>
      <c r="O24" s="0" t="n">
        <f aca="false">'Basis Options'!I29</f>
        <v>0.33</v>
      </c>
      <c r="P24" s="0" t="n">
        <v>0</v>
      </c>
      <c r="Q24" s="0" t="n">
        <v>0</v>
      </c>
      <c r="R24" s="0" t="n">
        <v>0</v>
      </c>
      <c r="S24" s="0" t="n">
        <v>0</v>
      </c>
      <c r="T24" s="0" t="s">
        <v>624</v>
      </c>
      <c r="U24" s="0" t="str">
        <f aca="false">IF('Basis Options'!D29="NGI/CHI. GATE","""NGI/CHI. GATE""",TRIM('Basis Options'!D29))</f>
        <v>IF-CGT/APPALAC</v>
      </c>
      <c r="V24" s="0" t="s">
        <v>624</v>
      </c>
      <c r="W24" s="0" t="s">
        <v>569</v>
      </c>
      <c r="X24" s="0" t="s">
        <v>624</v>
      </c>
      <c r="Y24" s="0" t="s">
        <v>627</v>
      </c>
      <c r="Z24" s="0" t="s">
        <v>629</v>
      </c>
      <c r="AA24" s="0" t="s">
        <v>624</v>
      </c>
      <c r="AB24" s="0" t="s">
        <v>132</v>
      </c>
      <c r="AC24" s="254" t="n">
        <f aca="false">'Basis Options'!H29</f>
        <v>310000</v>
      </c>
      <c r="AD24" s="254" t="e">
        <f aca="false">'Basis Options'!W29</f>
        <v>#NAME?</v>
      </c>
      <c r="AE24" s="0" t="n">
        <v>0</v>
      </c>
      <c r="AF24" s="0" t="n">
        <v>0</v>
      </c>
      <c r="AG24" s="0" t="n">
        <v>0</v>
      </c>
      <c r="AH24" s="254" t="e">
        <f aca="false">'Basis Options'!CD29</f>
        <v>#NAME?</v>
      </c>
      <c r="AI24" s="0" t="n">
        <v>226</v>
      </c>
      <c r="AJ24" s="0" t="s">
        <v>630</v>
      </c>
      <c r="AK24" s="0" t="n">
        <v>0</v>
      </c>
      <c r="AL24" s="0" t="n">
        <v>0</v>
      </c>
      <c r="AM24" s="0" t="n">
        <v>0</v>
      </c>
    </row>
    <row r="25" customFormat="false" ht="12.75" hidden="false" customHeight="false" outlineLevel="0" collapsed="false">
      <c r="A25" s="0" t="s">
        <v>621</v>
      </c>
      <c r="B25" s="0" t="str">
        <f aca="false">'Basis Options'!C30</f>
        <v>NB4804</v>
      </c>
      <c r="C25" s="0" t="s">
        <v>622</v>
      </c>
      <c r="D25" s="0" t="s">
        <v>623</v>
      </c>
      <c r="E25" s="0" t="s">
        <v>131</v>
      </c>
      <c r="F25" s="0" t="str">
        <f aca="false">'Basis Options'!A30</f>
        <v>UPRENESER</v>
      </c>
      <c r="G25" s="0" t="s">
        <v>628</v>
      </c>
      <c r="H25" s="0" t="s">
        <v>625</v>
      </c>
      <c r="I25" s="0" t="s">
        <v>626</v>
      </c>
      <c r="J25" s="0" t="s">
        <v>627</v>
      </c>
      <c r="K25" s="475" t="n">
        <f aca="false">'Basis Options'!G30</f>
        <v>36923</v>
      </c>
      <c r="L25" s="254" t="e">
        <f aca="false">'Basis Options'!U30</f>
        <v>#NAME?</v>
      </c>
      <c r="M25" s="475" t="n">
        <f aca="false">'Basis Options'!Q30</f>
        <v>36921</v>
      </c>
      <c r="N25" s="0" t="str">
        <f aca="false">'Basis Options'!F30</f>
        <v>C</v>
      </c>
      <c r="O25" s="0" t="n">
        <f aca="false">'Basis Options'!I30</f>
        <v>0.33</v>
      </c>
      <c r="P25" s="0" t="n">
        <v>0</v>
      </c>
      <c r="Q25" s="0" t="n">
        <v>0</v>
      </c>
      <c r="R25" s="0" t="n">
        <v>0</v>
      </c>
      <c r="S25" s="0" t="n">
        <v>0</v>
      </c>
      <c r="T25" s="0" t="s">
        <v>624</v>
      </c>
      <c r="U25" s="0" t="str">
        <f aca="false">IF('Basis Options'!D30="NGI/CHI. GATE","""NGI/CHI. GATE""",TRIM('Basis Options'!D30))</f>
        <v>IF-CGT/APPALAC</v>
      </c>
      <c r="V25" s="0" t="s">
        <v>624</v>
      </c>
      <c r="W25" s="0" t="s">
        <v>569</v>
      </c>
      <c r="X25" s="0" t="s">
        <v>624</v>
      </c>
      <c r="Y25" s="0" t="s">
        <v>627</v>
      </c>
      <c r="Z25" s="0" t="s">
        <v>629</v>
      </c>
      <c r="AA25" s="0" t="s">
        <v>624</v>
      </c>
      <c r="AB25" s="0" t="s">
        <v>132</v>
      </c>
      <c r="AC25" s="254" t="n">
        <f aca="false">'Basis Options'!H30</f>
        <v>280000</v>
      </c>
      <c r="AD25" s="254" t="e">
        <f aca="false">'Basis Options'!W30</f>
        <v>#NAME?</v>
      </c>
      <c r="AE25" s="0" t="n">
        <v>0</v>
      </c>
      <c r="AF25" s="0" t="n">
        <v>0</v>
      </c>
      <c r="AG25" s="0" t="n">
        <v>0</v>
      </c>
      <c r="AH25" s="254" t="e">
        <f aca="false">'Basis Options'!CD30</f>
        <v>#NAME?</v>
      </c>
      <c r="AI25" s="0" t="n">
        <v>226</v>
      </c>
      <c r="AJ25" s="0" t="s">
        <v>630</v>
      </c>
      <c r="AK25" s="0" t="n">
        <v>0</v>
      </c>
      <c r="AL25" s="0" t="n">
        <v>0</v>
      </c>
      <c r="AM25" s="0" t="n">
        <v>0</v>
      </c>
    </row>
    <row r="26" customFormat="false" ht="12.75" hidden="false" customHeight="false" outlineLevel="0" collapsed="false">
      <c r="A26" s="0" t="s">
        <v>621</v>
      </c>
      <c r="B26" s="0" t="str">
        <f aca="false">'Basis Options'!C31</f>
        <v>NB4804</v>
      </c>
      <c r="C26" s="0" t="s">
        <v>622</v>
      </c>
      <c r="D26" s="0" t="s">
        <v>623</v>
      </c>
      <c r="E26" s="0" t="s">
        <v>131</v>
      </c>
      <c r="F26" s="0" t="str">
        <f aca="false">'Basis Options'!A31</f>
        <v>UPRENESER</v>
      </c>
      <c r="G26" s="0" t="s">
        <v>628</v>
      </c>
      <c r="H26" s="0" t="s">
        <v>625</v>
      </c>
      <c r="I26" s="0" t="s">
        <v>626</v>
      </c>
      <c r="J26" s="0" t="s">
        <v>627</v>
      </c>
      <c r="K26" s="475" t="n">
        <f aca="false">'Basis Options'!G31</f>
        <v>36892</v>
      </c>
      <c r="L26" s="254" t="e">
        <f aca="false">'Basis Options'!U31</f>
        <v>#NAME?</v>
      </c>
      <c r="M26" s="475" t="n">
        <f aca="false">'Basis Options'!Q31</f>
        <v>36888</v>
      </c>
      <c r="N26" s="0" t="str">
        <f aca="false">'Basis Options'!F31</f>
        <v>C</v>
      </c>
      <c r="O26" s="0" t="n">
        <f aca="false">'Basis Options'!I31</f>
        <v>0.33</v>
      </c>
      <c r="P26" s="0" t="n">
        <v>0</v>
      </c>
      <c r="Q26" s="0" t="n">
        <v>0</v>
      </c>
      <c r="R26" s="0" t="n">
        <v>0</v>
      </c>
      <c r="S26" s="0" t="n">
        <v>0</v>
      </c>
      <c r="T26" s="0" t="s">
        <v>624</v>
      </c>
      <c r="U26" s="0" t="str">
        <f aca="false">IF('Basis Options'!D31="NGI/CHI. GATE","""NGI/CHI. GATE""",TRIM('Basis Options'!D31))</f>
        <v>IF-CGT/APPALAC</v>
      </c>
      <c r="V26" s="0" t="s">
        <v>624</v>
      </c>
      <c r="W26" s="0" t="s">
        <v>569</v>
      </c>
      <c r="X26" s="0" t="s">
        <v>624</v>
      </c>
      <c r="Y26" s="0" t="s">
        <v>627</v>
      </c>
      <c r="Z26" s="0" t="s">
        <v>629</v>
      </c>
      <c r="AA26" s="0" t="s">
        <v>624</v>
      </c>
      <c r="AB26" s="0" t="s">
        <v>132</v>
      </c>
      <c r="AC26" s="254" t="n">
        <f aca="false">'Basis Options'!H31</f>
        <v>310000</v>
      </c>
      <c r="AD26" s="254" t="e">
        <f aca="false">'Basis Options'!W31</f>
        <v>#NAME?</v>
      </c>
      <c r="AE26" s="0" t="n">
        <v>0</v>
      </c>
      <c r="AF26" s="0" t="n">
        <v>0</v>
      </c>
      <c r="AG26" s="0" t="n">
        <v>0</v>
      </c>
      <c r="AH26" s="254" t="e">
        <f aca="false">'Basis Options'!CD31</f>
        <v>#NAME?</v>
      </c>
      <c r="AI26" s="0" t="n">
        <v>226</v>
      </c>
      <c r="AJ26" s="0" t="s">
        <v>630</v>
      </c>
      <c r="AK26" s="0" t="n">
        <v>0</v>
      </c>
      <c r="AL26" s="0" t="n">
        <v>0</v>
      </c>
      <c r="AM26" s="0" t="n">
        <v>0</v>
      </c>
    </row>
    <row r="27" customFormat="false" ht="12.75" hidden="false" customHeight="false" outlineLevel="0" collapsed="false">
      <c r="A27" s="0" t="s">
        <v>621</v>
      </c>
      <c r="B27" s="0" t="str">
        <f aca="false">'Basis Options'!C32</f>
        <v>NB4804</v>
      </c>
      <c r="C27" s="0" t="s">
        <v>622</v>
      </c>
      <c r="D27" s="0" t="s">
        <v>623</v>
      </c>
      <c r="E27" s="0" t="s">
        <v>131</v>
      </c>
      <c r="F27" s="0" t="str">
        <f aca="false">'Basis Options'!A32</f>
        <v>UPRENESER</v>
      </c>
      <c r="G27" s="0" t="s">
        <v>628</v>
      </c>
      <c r="H27" s="0" t="s">
        <v>625</v>
      </c>
      <c r="I27" s="0" t="s">
        <v>626</v>
      </c>
      <c r="J27" s="0" t="s">
        <v>627</v>
      </c>
      <c r="K27" s="475" t="n">
        <f aca="false">'Basis Options'!G32</f>
        <v>36861</v>
      </c>
      <c r="L27" s="254" t="e">
        <f aca="false">'Basis Options'!U32</f>
        <v>#NAME?</v>
      </c>
      <c r="M27" s="475" t="n">
        <f aca="false">'Basis Options'!Q32</f>
        <v>36859</v>
      </c>
      <c r="N27" s="0" t="str">
        <f aca="false">'Basis Options'!F32</f>
        <v>C</v>
      </c>
      <c r="O27" s="0" t="n">
        <f aca="false">'Basis Options'!I32</f>
        <v>0.33</v>
      </c>
      <c r="P27" s="0" t="n">
        <v>0</v>
      </c>
      <c r="Q27" s="0" t="n">
        <v>0</v>
      </c>
      <c r="R27" s="0" t="n">
        <v>0</v>
      </c>
      <c r="S27" s="0" t="n">
        <v>0</v>
      </c>
      <c r="T27" s="0" t="s">
        <v>624</v>
      </c>
      <c r="U27" s="0" t="str">
        <f aca="false">IF('Basis Options'!D32="NGI/CHI. GATE","""NGI/CHI. GATE""",TRIM('Basis Options'!D32))</f>
        <v>IF-CGT/APPALAC</v>
      </c>
      <c r="V27" s="0" t="s">
        <v>624</v>
      </c>
      <c r="W27" s="0" t="s">
        <v>569</v>
      </c>
      <c r="X27" s="0" t="s">
        <v>624</v>
      </c>
      <c r="Y27" s="0" t="s">
        <v>627</v>
      </c>
      <c r="Z27" s="0" t="s">
        <v>629</v>
      </c>
      <c r="AA27" s="0" t="s">
        <v>624</v>
      </c>
      <c r="AB27" s="0" t="s">
        <v>132</v>
      </c>
      <c r="AC27" s="254" t="n">
        <f aca="false">'Basis Options'!H32</f>
        <v>310000</v>
      </c>
      <c r="AD27" s="254" t="e">
        <f aca="false">'Basis Options'!W32</f>
        <v>#NAME?</v>
      </c>
      <c r="AE27" s="0" t="n">
        <v>0</v>
      </c>
      <c r="AF27" s="0" t="n">
        <v>0</v>
      </c>
      <c r="AG27" s="0" t="n">
        <v>0</v>
      </c>
      <c r="AH27" s="254" t="e">
        <f aca="false">'Basis Options'!CD32</f>
        <v>#NAME?</v>
      </c>
      <c r="AI27" s="0" t="n">
        <v>226</v>
      </c>
      <c r="AJ27" s="0" t="s">
        <v>630</v>
      </c>
      <c r="AK27" s="0" t="n">
        <v>0</v>
      </c>
      <c r="AL27" s="0" t="n">
        <v>0</v>
      </c>
      <c r="AM27" s="0" t="n">
        <v>0</v>
      </c>
    </row>
    <row r="28" customFormat="false" ht="12.75" hidden="false" customHeight="false" outlineLevel="0" collapsed="false">
      <c r="A28" s="0" t="s">
        <v>621</v>
      </c>
      <c r="B28" s="0" t="str">
        <f aca="false">'Basis Options'!C33</f>
        <v>NB4804</v>
      </c>
      <c r="C28" s="0" t="s">
        <v>622</v>
      </c>
      <c r="D28" s="0" t="s">
        <v>623</v>
      </c>
      <c r="E28" s="0" t="s">
        <v>131</v>
      </c>
      <c r="F28" s="0" t="str">
        <f aca="false">'Basis Options'!A33</f>
        <v>UPRENESER</v>
      </c>
      <c r="G28" s="0" t="s">
        <v>628</v>
      </c>
      <c r="H28" s="0" t="s">
        <v>625</v>
      </c>
      <c r="I28" s="0" t="s">
        <v>626</v>
      </c>
      <c r="J28" s="0" t="s">
        <v>627</v>
      </c>
      <c r="K28" s="475" t="n">
        <f aca="false">'Basis Options'!G33</f>
        <v>36831</v>
      </c>
      <c r="L28" s="254" t="e">
        <f aca="false">'Basis Options'!U33</f>
        <v>#NAME?</v>
      </c>
      <c r="M28" s="475" t="n">
        <f aca="false">'Basis Options'!Q33</f>
        <v>36829</v>
      </c>
      <c r="N28" s="0" t="str">
        <f aca="false">'Basis Options'!F33</f>
        <v>C</v>
      </c>
      <c r="O28" s="0" t="n">
        <f aca="false">'Basis Options'!I33</f>
        <v>0.33</v>
      </c>
      <c r="P28" s="0" t="n">
        <v>0</v>
      </c>
      <c r="Q28" s="0" t="n">
        <v>0</v>
      </c>
      <c r="R28" s="0" t="n">
        <v>0</v>
      </c>
      <c r="S28" s="0" t="n">
        <v>0</v>
      </c>
      <c r="T28" s="0" t="s">
        <v>624</v>
      </c>
      <c r="U28" s="0" t="str">
        <f aca="false">IF('Basis Options'!D33="NGI/CHI. GATE","""NGI/CHI. GATE""",TRIM('Basis Options'!D33))</f>
        <v>IF-CGT/APPALAC</v>
      </c>
      <c r="V28" s="0" t="s">
        <v>624</v>
      </c>
      <c r="W28" s="0" t="s">
        <v>569</v>
      </c>
      <c r="X28" s="0" t="s">
        <v>624</v>
      </c>
      <c r="Y28" s="0" t="s">
        <v>627</v>
      </c>
      <c r="Z28" s="0" t="s">
        <v>629</v>
      </c>
      <c r="AA28" s="0" t="s">
        <v>624</v>
      </c>
      <c r="AB28" s="0" t="s">
        <v>132</v>
      </c>
      <c r="AC28" s="254" t="n">
        <f aca="false">'Basis Options'!H33</f>
        <v>300000</v>
      </c>
      <c r="AD28" s="254" t="e">
        <f aca="false">'Basis Options'!W33</f>
        <v>#NAME?</v>
      </c>
      <c r="AE28" s="0" t="n">
        <v>0</v>
      </c>
      <c r="AF28" s="0" t="n">
        <v>0</v>
      </c>
      <c r="AG28" s="0" t="n">
        <v>0</v>
      </c>
      <c r="AH28" s="254" t="e">
        <f aca="false">'Basis Options'!CD33</f>
        <v>#NAME?</v>
      </c>
      <c r="AI28" s="0" t="n">
        <v>226</v>
      </c>
      <c r="AJ28" s="0" t="s">
        <v>630</v>
      </c>
      <c r="AK28" s="0" t="n">
        <v>0</v>
      </c>
      <c r="AL28" s="0" t="n">
        <v>0</v>
      </c>
      <c r="AM28" s="0" t="n">
        <v>0</v>
      </c>
    </row>
    <row r="29" customFormat="false" ht="12.75" hidden="false" customHeight="false" outlineLevel="0" collapsed="false">
      <c r="A29" s="0" t="s">
        <v>621</v>
      </c>
      <c r="B29" s="0" t="str">
        <f aca="false">'Basis Options'!C34</f>
        <v>NE3899</v>
      </c>
      <c r="C29" s="0" t="s">
        <v>622</v>
      </c>
      <c r="D29" s="0" t="s">
        <v>623</v>
      </c>
      <c r="E29" s="0" t="s">
        <v>131</v>
      </c>
      <c r="F29" s="0" t="str">
        <f aca="false">'Basis Options'!A34</f>
        <v>SOUTHERCOMENEMA</v>
      </c>
      <c r="G29" s="0" t="s">
        <v>628</v>
      </c>
      <c r="H29" s="0" t="s">
        <v>625</v>
      </c>
      <c r="I29" s="0" t="s">
        <v>626</v>
      </c>
      <c r="J29" s="0" t="s">
        <v>627</v>
      </c>
      <c r="K29" s="475" t="n">
        <f aca="false">'Basis Options'!G34</f>
        <v>36831</v>
      </c>
      <c r="L29" s="254" t="e">
        <f aca="false">'Basis Options'!U34</f>
        <v>#NAME?</v>
      </c>
      <c r="M29" s="475" t="n">
        <f aca="false">'Basis Options'!Q34</f>
        <v>36829</v>
      </c>
      <c r="N29" s="0" t="str">
        <f aca="false">'Basis Options'!F34</f>
        <v>C</v>
      </c>
      <c r="O29" s="0" t="n">
        <f aca="false">'Basis Options'!I34</f>
        <v>1</v>
      </c>
      <c r="P29" s="0" t="n">
        <v>0</v>
      </c>
      <c r="Q29" s="0" t="n">
        <v>0</v>
      </c>
      <c r="R29" s="0" t="n">
        <v>0</v>
      </c>
      <c r="S29" s="0" t="n">
        <v>0</v>
      </c>
      <c r="T29" s="0" t="s">
        <v>624</v>
      </c>
      <c r="U29" s="0" t="str">
        <f aca="false">IF('Basis Options'!D34="NGI/CHI. GATE","""NGI/CHI. GATE""",TRIM('Basis Options'!D34))</f>
        <v>IF-TRANSCO/Z6</v>
      </c>
      <c r="V29" s="0" t="s">
        <v>624</v>
      </c>
      <c r="W29" s="0" t="s">
        <v>569</v>
      </c>
      <c r="X29" s="0" t="s">
        <v>624</v>
      </c>
      <c r="Y29" s="0" t="s">
        <v>627</v>
      </c>
      <c r="Z29" s="0" t="s">
        <v>629</v>
      </c>
      <c r="AA29" s="0" t="s">
        <v>624</v>
      </c>
      <c r="AB29" s="0" t="s">
        <v>132</v>
      </c>
      <c r="AC29" s="254" t="n">
        <f aca="false">'Basis Options'!H34</f>
        <v>900000</v>
      </c>
      <c r="AD29" s="254" t="e">
        <f aca="false">'Basis Options'!W34</f>
        <v>#NAME?</v>
      </c>
      <c r="AE29" s="0" t="n">
        <v>0</v>
      </c>
      <c r="AF29" s="0" t="n">
        <v>0</v>
      </c>
      <c r="AG29" s="0" t="n">
        <v>0</v>
      </c>
      <c r="AH29" s="254" t="e">
        <f aca="false">'Basis Options'!CD34</f>
        <v>#NAME?</v>
      </c>
      <c r="AI29" s="0" t="n">
        <v>226</v>
      </c>
      <c r="AJ29" s="0" t="s">
        <v>630</v>
      </c>
      <c r="AK29" s="0" t="n">
        <v>0</v>
      </c>
      <c r="AL29" s="0" t="n">
        <v>0</v>
      </c>
      <c r="AM29" s="0" t="n">
        <v>0</v>
      </c>
    </row>
    <row r="30" customFormat="false" ht="12.75" hidden="false" customHeight="false" outlineLevel="0" collapsed="false">
      <c r="A30" s="0" t="s">
        <v>621</v>
      </c>
      <c r="B30" s="0" t="str">
        <f aca="false">'Basis Options'!C35</f>
        <v>NE3901</v>
      </c>
      <c r="C30" s="0" t="s">
        <v>622</v>
      </c>
      <c r="D30" s="0" t="s">
        <v>623</v>
      </c>
      <c r="E30" s="0" t="s">
        <v>131</v>
      </c>
      <c r="F30" s="0" t="str">
        <f aca="false">'Basis Options'!A35</f>
        <v>TRACTEBEENEMAR</v>
      </c>
      <c r="G30" s="0" t="s">
        <v>628</v>
      </c>
      <c r="H30" s="0" t="s">
        <v>625</v>
      </c>
      <c r="I30" s="0" t="s">
        <v>626</v>
      </c>
      <c r="J30" s="0" t="s">
        <v>627</v>
      </c>
      <c r="K30" s="475" t="n">
        <f aca="false">'Basis Options'!G35</f>
        <v>36831</v>
      </c>
      <c r="L30" s="254" t="e">
        <f aca="false">'Basis Options'!U35</f>
        <v>#NAME?</v>
      </c>
      <c r="M30" s="475" t="n">
        <f aca="false">'Basis Options'!Q35</f>
        <v>36829</v>
      </c>
      <c r="N30" s="0" t="str">
        <f aca="false">'Basis Options'!F35</f>
        <v>P</v>
      </c>
      <c r="O30" s="0" t="n">
        <f aca="false">'Basis Options'!I35</f>
        <v>0.45</v>
      </c>
      <c r="P30" s="0" t="n">
        <v>0</v>
      </c>
      <c r="Q30" s="0" t="n">
        <v>0</v>
      </c>
      <c r="R30" s="0" t="n">
        <v>0</v>
      </c>
      <c r="S30" s="0" t="n">
        <v>0</v>
      </c>
      <c r="T30" s="0" t="s">
        <v>624</v>
      </c>
      <c r="U30" s="0" t="str">
        <f aca="false">IF('Basis Options'!D35="NGI/CHI. GATE","""NGI/CHI. GATE""",TRIM('Basis Options'!D35))</f>
        <v>IF-TRANSCO/Z6</v>
      </c>
      <c r="V30" s="0" t="s">
        <v>624</v>
      </c>
      <c r="W30" s="0" t="s">
        <v>569</v>
      </c>
      <c r="X30" s="0" t="s">
        <v>624</v>
      </c>
      <c r="Y30" s="0" t="s">
        <v>627</v>
      </c>
      <c r="Z30" s="0" t="s">
        <v>629</v>
      </c>
      <c r="AA30" s="0" t="s">
        <v>624</v>
      </c>
      <c r="AB30" s="0" t="s">
        <v>132</v>
      </c>
      <c r="AC30" s="254" t="n">
        <f aca="false">'Basis Options'!H35</f>
        <v>300000</v>
      </c>
      <c r="AD30" s="254" t="e">
        <f aca="false">'Basis Options'!W35</f>
        <v>#NAME?</v>
      </c>
      <c r="AE30" s="0" t="n">
        <v>0</v>
      </c>
      <c r="AF30" s="0" t="n">
        <v>0</v>
      </c>
      <c r="AG30" s="0" t="n">
        <v>0</v>
      </c>
      <c r="AH30" s="254" t="e">
        <f aca="false">'Basis Options'!CD35</f>
        <v>#NAME?</v>
      </c>
      <c r="AI30" s="0" t="n">
        <v>226</v>
      </c>
      <c r="AJ30" s="0" t="s">
        <v>630</v>
      </c>
      <c r="AK30" s="0" t="n">
        <v>0</v>
      </c>
      <c r="AL30" s="0" t="n">
        <v>0</v>
      </c>
      <c r="AM30" s="0" t="n">
        <v>0</v>
      </c>
    </row>
    <row r="31" customFormat="false" ht="12.75" hidden="false" customHeight="false" outlineLevel="0" collapsed="false">
      <c r="A31" s="0" t="s">
        <v>621</v>
      </c>
      <c r="B31" s="0" t="str">
        <f aca="false">'Basis Options'!C36</f>
        <v>NE3903</v>
      </c>
      <c r="C31" s="0" t="s">
        <v>622</v>
      </c>
      <c r="D31" s="0" t="s">
        <v>623</v>
      </c>
      <c r="E31" s="0" t="s">
        <v>131</v>
      </c>
      <c r="F31" s="0" t="str">
        <f aca="false">'Basis Options'!A36</f>
        <v>DUKEENETRA</v>
      </c>
      <c r="G31" s="0" t="s">
        <v>628</v>
      </c>
      <c r="H31" s="0" t="s">
        <v>625</v>
      </c>
      <c r="I31" s="0" t="s">
        <v>626</v>
      </c>
      <c r="J31" s="0" t="s">
        <v>627</v>
      </c>
      <c r="K31" s="475" t="n">
        <f aca="false">'Basis Options'!G36</f>
        <v>36831</v>
      </c>
      <c r="L31" s="254" t="e">
        <f aca="false">'Basis Options'!U36</f>
        <v>#NAME?</v>
      </c>
      <c r="M31" s="475" t="n">
        <f aca="false">'Basis Options'!Q36</f>
        <v>36829</v>
      </c>
      <c r="N31" s="0" t="str">
        <f aca="false">'Basis Options'!F36</f>
        <v>P</v>
      </c>
      <c r="O31" s="0" t="n">
        <f aca="false">'Basis Options'!I36</f>
        <v>0.45</v>
      </c>
      <c r="P31" s="0" t="n">
        <v>0</v>
      </c>
      <c r="Q31" s="0" t="n">
        <v>0</v>
      </c>
      <c r="R31" s="0" t="n">
        <v>0</v>
      </c>
      <c r="S31" s="0" t="n">
        <v>0</v>
      </c>
      <c r="T31" s="0" t="s">
        <v>624</v>
      </c>
      <c r="U31" s="0" t="str">
        <f aca="false">IF('Basis Options'!D36="NGI/CHI. GATE","""NGI/CHI. GATE""",TRIM('Basis Options'!D36))</f>
        <v>IF-TRANSCO/Z6</v>
      </c>
      <c r="V31" s="0" t="s">
        <v>624</v>
      </c>
      <c r="W31" s="0" t="s">
        <v>569</v>
      </c>
      <c r="X31" s="0" t="s">
        <v>624</v>
      </c>
      <c r="Y31" s="0" t="s">
        <v>627</v>
      </c>
      <c r="Z31" s="0" t="s">
        <v>629</v>
      </c>
      <c r="AA31" s="0" t="s">
        <v>624</v>
      </c>
      <c r="AB31" s="0" t="s">
        <v>132</v>
      </c>
      <c r="AC31" s="254" t="n">
        <f aca="false">'Basis Options'!H36</f>
        <v>900000</v>
      </c>
      <c r="AD31" s="254" t="e">
        <f aca="false">'Basis Options'!W36</f>
        <v>#NAME?</v>
      </c>
      <c r="AE31" s="0" t="n">
        <v>0</v>
      </c>
      <c r="AF31" s="0" t="n">
        <v>0</v>
      </c>
      <c r="AG31" s="0" t="n">
        <v>0</v>
      </c>
      <c r="AH31" s="254" t="e">
        <f aca="false">'Basis Options'!CD36</f>
        <v>#NAME?</v>
      </c>
      <c r="AI31" s="0" t="n">
        <v>226</v>
      </c>
      <c r="AJ31" s="0" t="s">
        <v>630</v>
      </c>
      <c r="AK31" s="0" t="n">
        <v>0</v>
      </c>
      <c r="AL31" s="0" t="n">
        <v>0</v>
      </c>
      <c r="AM31" s="0" t="n">
        <v>0</v>
      </c>
    </row>
    <row r="32" customFormat="false" ht="12.75" hidden="false" customHeight="false" outlineLevel="0" collapsed="false">
      <c r="A32" s="0" t="s">
        <v>621</v>
      </c>
      <c r="B32" s="0" t="str">
        <f aca="false">'Basis Options'!C37</f>
        <v>NE3906</v>
      </c>
      <c r="C32" s="0" t="s">
        <v>622</v>
      </c>
      <c r="D32" s="0" t="s">
        <v>623</v>
      </c>
      <c r="E32" s="0" t="s">
        <v>131</v>
      </c>
      <c r="F32" s="0" t="str">
        <f aca="false">'Basis Options'!A37</f>
        <v>DYNEGYMARAND</v>
      </c>
      <c r="G32" s="0" t="s">
        <v>628</v>
      </c>
      <c r="H32" s="0" t="s">
        <v>625</v>
      </c>
      <c r="I32" s="0" t="s">
        <v>626</v>
      </c>
      <c r="J32" s="0" t="s">
        <v>627</v>
      </c>
      <c r="K32" s="475" t="n">
        <f aca="false">'Basis Options'!G37</f>
        <v>36831</v>
      </c>
      <c r="L32" s="254" t="e">
        <f aca="false">'Basis Options'!U37</f>
        <v>#NAME?</v>
      </c>
      <c r="M32" s="475" t="n">
        <f aca="false">'Basis Options'!Q37</f>
        <v>36829</v>
      </c>
      <c r="N32" s="0" t="str">
        <f aca="false">'Basis Options'!F37</f>
        <v>P</v>
      </c>
      <c r="O32" s="0" t="n">
        <f aca="false">'Basis Options'!I37</f>
        <v>0.45</v>
      </c>
      <c r="P32" s="0" t="n">
        <v>0</v>
      </c>
      <c r="Q32" s="0" t="n">
        <v>0</v>
      </c>
      <c r="R32" s="0" t="n">
        <v>0</v>
      </c>
      <c r="S32" s="0" t="n">
        <v>0</v>
      </c>
      <c r="T32" s="0" t="s">
        <v>624</v>
      </c>
      <c r="U32" s="0" t="str">
        <f aca="false">IF('Basis Options'!D37="NGI/CHI. GATE","""NGI/CHI. GATE""",TRIM('Basis Options'!D37))</f>
        <v>IF-TRANSCO/Z6</v>
      </c>
      <c r="V32" s="0" t="s">
        <v>624</v>
      </c>
      <c r="W32" s="0" t="s">
        <v>569</v>
      </c>
      <c r="X32" s="0" t="s">
        <v>624</v>
      </c>
      <c r="Y32" s="0" t="s">
        <v>627</v>
      </c>
      <c r="Z32" s="0" t="s">
        <v>629</v>
      </c>
      <c r="AA32" s="0" t="s">
        <v>624</v>
      </c>
      <c r="AB32" s="0" t="s">
        <v>132</v>
      </c>
      <c r="AC32" s="254" t="n">
        <f aca="false">'Basis Options'!H37</f>
        <v>1500000</v>
      </c>
      <c r="AD32" s="254" t="e">
        <f aca="false">'Basis Options'!W37</f>
        <v>#NAME?</v>
      </c>
      <c r="AE32" s="0" t="n">
        <v>0</v>
      </c>
      <c r="AF32" s="0" t="n">
        <v>0</v>
      </c>
      <c r="AG32" s="0" t="n">
        <v>0</v>
      </c>
      <c r="AH32" s="254" t="e">
        <f aca="false">'Basis Options'!CD37</f>
        <v>#NAME?</v>
      </c>
      <c r="AI32" s="0" t="n">
        <v>226</v>
      </c>
      <c r="AJ32" s="0" t="s">
        <v>630</v>
      </c>
      <c r="AK32" s="0" t="n">
        <v>0</v>
      </c>
      <c r="AL32" s="0" t="n">
        <v>0</v>
      </c>
      <c r="AM32" s="0" t="n">
        <v>0</v>
      </c>
    </row>
    <row r="33" customFormat="false" ht="12.75" hidden="false" customHeight="false" outlineLevel="0" collapsed="false">
      <c r="A33" s="0" t="s">
        <v>621</v>
      </c>
      <c r="B33" s="0" t="str">
        <f aca="false">'Basis Options'!C38</f>
        <v>NE5062.1</v>
      </c>
      <c r="C33" s="0" t="s">
        <v>622</v>
      </c>
      <c r="D33" s="0" t="s">
        <v>623</v>
      </c>
      <c r="E33" s="0" t="s">
        <v>131</v>
      </c>
      <c r="F33" s="0" t="str">
        <f aca="false">'Basis Options'!A38</f>
        <v>SOUTHERCOMENEMA</v>
      </c>
      <c r="G33" s="0" t="s">
        <v>628</v>
      </c>
      <c r="H33" s="0" t="s">
        <v>625</v>
      </c>
      <c r="I33" s="0" t="s">
        <v>626</v>
      </c>
      <c r="J33" s="0" t="s">
        <v>627</v>
      </c>
      <c r="K33" s="475" t="n">
        <f aca="false">'Basis Options'!G38</f>
        <v>36951</v>
      </c>
      <c r="L33" s="254" t="e">
        <f aca="false">'Basis Options'!U38</f>
        <v>#NAME?</v>
      </c>
      <c r="M33" s="475" t="n">
        <f aca="false">'Basis Options'!Q38</f>
        <v>36949</v>
      </c>
      <c r="N33" s="0" t="str">
        <f aca="false">'Basis Options'!F38</f>
        <v>c</v>
      </c>
      <c r="O33" s="0" t="n">
        <f aca="false">'Basis Options'!I38</f>
        <v>1.25</v>
      </c>
      <c r="P33" s="0" t="n">
        <v>0</v>
      </c>
      <c r="Q33" s="0" t="n">
        <v>0</v>
      </c>
      <c r="R33" s="0" t="n">
        <v>0</v>
      </c>
      <c r="S33" s="0" t="n">
        <v>0</v>
      </c>
      <c r="T33" s="0" t="s">
        <v>624</v>
      </c>
      <c r="U33" s="0" t="str">
        <f aca="false">IF('Basis Options'!D38="NGI/CHI. GATE","""NGI/CHI. GATE""",TRIM('Basis Options'!D38))</f>
        <v>IF-TRANSCO/Z6</v>
      </c>
      <c r="V33" s="0" t="s">
        <v>624</v>
      </c>
      <c r="W33" s="0" t="s">
        <v>569</v>
      </c>
      <c r="X33" s="0" t="s">
        <v>624</v>
      </c>
      <c r="Y33" s="0" t="s">
        <v>627</v>
      </c>
      <c r="Z33" s="0" t="s">
        <v>629</v>
      </c>
      <c r="AA33" s="0" t="s">
        <v>624</v>
      </c>
      <c r="AB33" s="0" t="s">
        <v>132</v>
      </c>
      <c r="AC33" s="254" t="n">
        <f aca="false">'Basis Options'!H38</f>
        <v>1240000</v>
      </c>
      <c r="AD33" s="254" t="e">
        <f aca="false">'Basis Options'!W38</f>
        <v>#NAME?</v>
      </c>
      <c r="AE33" s="0" t="n">
        <v>0</v>
      </c>
      <c r="AF33" s="0" t="n">
        <v>0</v>
      </c>
      <c r="AG33" s="0" t="n">
        <v>0</v>
      </c>
      <c r="AH33" s="254" t="e">
        <f aca="false">'Basis Options'!CD38</f>
        <v>#NAME?</v>
      </c>
      <c r="AI33" s="0" t="n">
        <v>226</v>
      </c>
      <c r="AJ33" s="0" t="s">
        <v>630</v>
      </c>
      <c r="AK33" s="0" t="n">
        <v>0</v>
      </c>
      <c r="AL33" s="0" t="n">
        <v>0</v>
      </c>
      <c r="AM33" s="0" t="n">
        <v>0</v>
      </c>
    </row>
    <row r="34" customFormat="false" ht="12.75" hidden="false" customHeight="false" outlineLevel="0" collapsed="false">
      <c r="A34" s="0" t="s">
        <v>621</v>
      </c>
      <c r="B34" s="0" t="str">
        <f aca="false">'Basis Options'!C39</f>
        <v>NE5062.2</v>
      </c>
      <c r="C34" s="0" t="s">
        <v>622</v>
      </c>
      <c r="D34" s="0" t="s">
        <v>623</v>
      </c>
      <c r="E34" s="0" t="s">
        <v>131</v>
      </c>
      <c r="F34" s="0" t="str">
        <f aca="false">'Basis Options'!A39</f>
        <v>OMICRON</v>
      </c>
      <c r="G34" s="0" t="s">
        <v>628</v>
      </c>
      <c r="H34" s="0" t="s">
        <v>625</v>
      </c>
      <c r="I34" s="0" t="s">
        <v>626</v>
      </c>
      <c r="J34" s="0" t="s">
        <v>627</v>
      </c>
      <c r="K34" s="475" t="n">
        <f aca="false">'Basis Options'!G39</f>
        <v>36951</v>
      </c>
      <c r="L34" s="254" t="e">
        <f aca="false">'Basis Options'!U39</f>
        <v>#NAME?</v>
      </c>
      <c r="M34" s="475" t="n">
        <f aca="false">'Basis Options'!Q39</f>
        <v>36949</v>
      </c>
      <c r="N34" s="0" t="str">
        <f aca="false">'Basis Options'!F39</f>
        <v>C</v>
      </c>
      <c r="O34" s="0" t="n">
        <f aca="false">'Basis Options'!I39</f>
        <v>1.25</v>
      </c>
      <c r="P34" s="0" t="n">
        <v>0</v>
      </c>
      <c r="Q34" s="0" t="n">
        <v>0</v>
      </c>
      <c r="R34" s="0" t="n">
        <v>0</v>
      </c>
      <c r="S34" s="0" t="n">
        <v>0</v>
      </c>
      <c r="T34" s="0" t="s">
        <v>624</v>
      </c>
      <c r="U34" s="0" t="str">
        <f aca="false">IF('Basis Options'!D39="NGI/CHI. GATE","""NGI/CHI. GATE""",TRIM('Basis Options'!D39))</f>
        <v>IF-TRANSCO/Z6</v>
      </c>
      <c r="V34" s="0" t="s">
        <v>624</v>
      </c>
      <c r="W34" s="0" t="s">
        <v>569</v>
      </c>
      <c r="X34" s="0" t="s">
        <v>624</v>
      </c>
      <c r="Y34" s="0" t="s">
        <v>627</v>
      </c>
      <c r="Z34" s="0" t="s">
        <v>629</v>
      </c>
      <c r="AA34" s="0" t="s">
        <v>624</v>
      </c>
      <c r="AB34" s="0" t="s">
        <v>132</v>
      </c>
      <c r="AC34" s="254" t="n">
        <f aca="false">'Basis Options'!H39</f>
        <v>-310000</v>
      </c>
      <c r="AD34" s="254" t="e">
        <f aca="false">'Basis Options'!W39</f>
        <v>#NAME?</v>
      </c>
      <c r="AE34" s="0" t="n">
        <v>0</v>
      </c>
      <c r="AF34" s="0" t="n">
        <v>0</v>
      </c>
      <c r="AG34" s="0" t="n">
        <v>0</v>
      </c>
      <c r="AH34" s="254" t="e">
        <f aca="false">'Basis Options'!CD39</f>
        <v>#NAME?</v>
      </c>
      <c r="AI34" s="0" t="n">
        <v>226</v>
      </c>
      <c r="AJ34" s="0" t="s">
        <v>630</v>
      </c>
      <c r="AK34" s="0" t="n">
        <v>0</v>
      </c>
      <c r="AL34" s="0" t="n">
        <v>0</v>
      </c>
      <c r="AM34" s="0" t="n">
        <v>0</v>
      </c>
    </row>
    <row r="35" customFormat="false" ht="12.75" hidden="false" customHeight="false" outlineLevel="0" collapsed="false">
      <c r="A35" s="0" t="s">
        <v>621</v>
      </c>
      <c r="B35" s="0" t="str">
        <f aca="false">'Basis Options'!C40</f>
        <v>NE6161.1</v>
      </c>
      <c r="C35" s="0" t="s">
        <v>622</v>
      </c>
      <c r="D35" s="0" t="s">
        <v>623</v>
      </c>
      <c r="E35" s="0" t="s">
        <v>131</v>
      </c>
      <c r="F35" s="0" t="str">
        <f aca="false">'Basis Options'!A40</f>
        <v>JARON</v>
      </c>
      <c r="G35" s="0" t="s">
        <v>628</v>
      </c>
      <c r="H35" s="0" t="s">
        <v>625</v>
      </c>
      <c r="I35" s="0" t="s">
        <v>626</v>
      </c>
      <c r="J35" s="0" t="s">
        <v>627</v>
      </c>
      <c r="K35" s="475" t="n">
        <f aca="false">'Basis Options'!G40</f>
        <v>36800</v>
      </c>
      <c r="L35" s="254" t="e">
        <f aca="false">'Basis Options'!U40</f>
        <v>#NAME?</v>
      </c>
      <c r="M35" s="475" t="n">
        <f aca="false">'Basis Options'!Q40</f>
        <v>36797</v>
      </c>
      <c r="N35" s="0" t="str">
        <f aca="false">'Basis Options'!F40</f>
        <v>C</v>
      </c>
      <c r="O35" s="0" t="n">
        <f aca="false">'Basis Options'!I40</f>
        <v>-0.32</v>
      </c>
      <c r="P35" s="0" t="n">
        <v>0</v>
      </c>
      <c r="Q35" s="0" t="n">
        <v>0</v>
      </c>
      <c r="R35" s="0" t="n">
        <v>0</v>
      </c>
      <c r="S35" s="0" t="n">
        <v>0</v>
      </c>
      <c r="T35" s="0" t="s">
        <v>624</v>
      </c>
      <c r="U35" s="0" t="str">
        <f aca="false">IF('Basis Options'!D40="NGI/CHI. GATE","""NGI/CHI. GATE""",TRIM('Basis Options'!D40))</f>
        <v>IF-NWPL_ROCKY_M</v>
      </c>
      <c r="V35" s="0" t="s">
        <v>624</v>
      </c>
      <c r="W35" s="0" t="s">
        <v>569</v>
      </c>
      <c r="X35" s="0" t="s">
        <v>624</v>
      </c>
      <c r="Y35" s="0" t="s">
        <v>627</v>
      </c>
      <c r="Z35" s="0" t="s">
        <v>629</v>
      </c>
      <c r="AA35" s="0" t="s">
        <v>624</v>
      </c>
      <c r="AB35" s="0" t="s">
        <v>132</v>
      </c>
      <c r="AC35" s="254" t="n">
        <f aca="false">'Basis Options'!H40</f>
        <v>310000</v>
      </c>
      <c r="AD35" s="254" t="e">
        <f aca="false">'Basis Options'!W40</f>
        <v>#NAME?</v>
      </c>
      <c r="AE35" s="0" t="n">
        <v>0</v>
      </c>
      <c r="AF35" s="0" t="n">
        <v>0</v>
      </c>
      <c r="AG35" s="0" t="n">
        <v>0</v>
      </c>
      <c r="AH35" s="254" t="e">
        <f aca="false">'Basis Options'!CD40</f>
        <v>#NAME?</v>
      </c>
      <c r="AI35" s="0" t="n">
        <v>226</v>
      </c>
      <c r="AJ35" s="0" t="s">
        <v>630</v>
      </c>
      <c r="AK35" s="0" t="n">
        <v>0</v>
      </c>
      <c r="AL35" s="0" t="n">
        <v>0</v>
      </c>
      <c r="AM35" s="0" t="n">
        <v>0</v>
      </c>
    </row>
    <row r="36" customFormat="false" ht="12.75" hidden="false" customHeight="false" outlineLevel="0" collapsed="false">
      <c r="A36" s="0" t="s">
        <v>621</v>
      </c>
      <c r="B36" s="0" t="str">
        <f aca="false">'Basis Options'!C41</f>
        <v>NE6161.1</v>
      </c>
      <c r="C36" s="0" t="s">
        <v>622</v>
      </c>
      <c r="D36" s="0" t="s">
        <v>623</v>
      </c>
      <c r="E36" s="0" t="s">
        <v>131</v>
      </c>
      <c r="F36" s="0" t="str">
        <f aca="false">'Basis Options'!A41</f>
        <v>JARON</v>
      </c>
      <c r="G36" s="0" t="s">
        <v>628</v>
      </c>
      <c r="H36" s="0" t="s">
        <v>625</v>
      </c>
      <c r="I36" s="0" t="s">
        <v>626</v>
      </c>
      <c r="J36" s="0" t="s">
        <v>627</v>
      </c>
      <c r="K36" s="475" t="n">
        <f aca="false">'Basis Options'!G41</f>
        <v>36770</v>
      </c>
      <c r="L36" s="254" t="e">
        <f aca="false">'Basis Options'!U41</f>
        <v>#NAME?</v>
      </c>
      <c r="M36" s="475" t="n">
        <f aca="false">'Basis Options'!Q41</f>
        <v>36768</v>
      </c>
      <c r="N36" s="0" t="str">
        <f aca="false">'Basis Options'!F41</f>
        <v>C</v>
      </c>
      <c r="O36" s="0" t="n">
        <f aca="false">'Basis Options'!I41</f>
        <v>-0.32</v>
      </c>
      <c r="P36" s="0" t="n">
        <v>0</v>
      </c>
      <c r="Q36" s="0" t="n">
        <v>0</v>
      </c>
      <c r="R36" s="0" t="n">
        <v>0</v>
      </c>
      <c r="S36" s="0" t="n">
        <v>0</v>
      </c>
      <c r="T36" s="0" t="s">
        <v>624</v>
      </c>
      <c r="U36" s="0" t="str">
        <f aca="false">IF('Basis Options'!D41="NGI/CHI. GATE","""NGI/CHI. GATE""",TRIM('Basis Options'!D41))</f>
        <v>IF-NWPL_ROCKY_M</v>
      </c>
      <c r="V36" s="0" t="s">
        <v>624</v>
      </c>
      <c r="W36" s="0" t="s">
        <v>569</v>
      </c>
      <c r="X36" s="0" t="s">
        <v>624</v>
      </c>
      <c r="Y36" s="0" t="s">
        <v>627</v>
      </c>
      <c r="Z36" s="0" t="s">
        <v>629</v>
      </c>
      <c r="AA36" s="0" t="s">
        <v>624</v>
      </c>
      <c r="AB36" s="0" t="s">
        <v>132</v>
      </c>
      <c r="AC36" s="254" t="n">
        <f aca="false">'Basis Options'!H41</f>
        <v>300000</v>
      </c>
      <c r="AD36" s="254" t="e">
        <f aca="false">'Basis Options'!W41</f>
        <v>#NAME?</v>
      </c>
      <c r="AE36" s="0" t="n">
        <v>0</v>
      </c>
      <c r="AF36" s="0" t="n">
        <v>0</v>
      </c>
      <c r="AG36" s="0" t="n">
        <v>0</v>
      </c>
      <c r="AH36" s="254" t="e">
        <f aca="false">'Basis Options'!CD41</f>
        <v>#NAME?</v>
      </c>
      <c r="AI36" s="0" t="n">
        <v>226</v>
      </c>
      <c r="AJ36" s="0" t="s">
        <v>630</v>
      </c>
      <c r="AK36" s="0" t="n">
        <v>0</v>
      </c>
      <c r="AL36" s="0" t="n">
        <v>0</v>
      </c>
      <c r="AM36" s="0" t="n">
        <v>0</v>
      </c>
    </row>
    <row r="37" customFormat="false" ht="12.75" hidden="false" customHeight="false" outlineLevel="0" collapsed="false">
      <c r="A37" s="0" t="s">
        <v>621</v>
      </c>
      <c r="B37" s="0" t="str">
        <f aca="false">'Basis Options'!C42</f>
        <v>NE6161.2</v>
      </c>
      <c r="C37" s="0" t="s">
        <v>622</v>
      </c>
      <c r="D37" s="0" t="s">
        <v>623</v>
      </c>
      <c r="E37" s="0" t="s">
        <v>131</v>
      </c>
      <c r="F37" s="0" t="str">
        <f aca="false">'Basis Options'!A42</f>
        <v>JARON</v>
      </c>
      <c r="G37" s="0" t="s">
        <v>628</v>
      </c>
      <c r="H37" s="0" t="s">
        <v>625</v>
      </c>
      <c r="I37" s="0" t="s">
        <v>626</v>
      </c>
      <c r="J37" s="0" t="s">
        <v>627</v>
      </c>
      <c r="K37" s="475" t="n">
        <f aca="false">'Basis Options'!G42</f>
        <v>36800</v>
      </c>
      <c r="L37" s="254" t="e">
        <f aca="false">'Basis Options'!U42</f>
        <v>#NAME?</v>
      </c>
      <c r="M37" s="475" t="n">
        <f aca="false">'Basis Options'!Q42</f>
        <v>36797</v>
      </c>
      <c r="N37" s="0" t="str">
        <f aca="false">'Basis Options'!F42</f>
        <v>P</v>
      </c>
      <c r="O37" s="0" t="n">
        <f aca="false">'Basis Options'!I42</f>
        <v>-0.32</v>
      </c>
      <c r="P37" s="0" t="n">
        <v>0</v>
      </c>
      <c r="Q37" s="0" t="n">
        <v>0</v>
      </c>
      <c r="R37" s="0" t="n">
        <v>0</v>
      </c>
      <c r="S37" s="0" t="n">
        <v>0</v>
      </c>
      <c r="T37" s="0" t="s">
        <v>624</v>
      </c>
      <c r="U37" s="0" t="str">
        <f aca="false">IF('Basis Options'!D42="NGI/CHI. GATE","""NGI/CHI. GATE""",TRIM('Basis Options'!D42))</f>
        <v>IF-NWPL_ROCKY_M</v>
      </c>
      <c r="V37" s="0" t="s">
        <v>624</v>
      </c>
      <c r="W37" s="0" t="s">
        <v>569</v>
      </c>
      <c r="X37" s="0" t="s">
        <v>624</v>
      </c>
      <c r="Y37" s="0" t="s">
        <v>627</v>
      </c>
      <c r="Z37" s="0" t="s">
        <v>629</v>
      </c>
      <c r="AA37" s="0" t="s">
        <v>624</v>
      </c>
      <c r="AB37" s="0" t="s">
        <v>132</v>
      </c>
      <c r="AC37" s="254" t="n">
        <f aca="false">'Basis Options'!H42</f>
        <v>310000</v>
      </c>
      <c r="AD37" s="254" t="e">
        <f aca="false">'Basis Options'!W42</f>
        <v>#NAME?</v>
      </c>
      <c r="AE37" s="0" t="n">
        <v>0</v>
      </c>
      <c r="AF37" s="0" t="n">
        <v>0</v>
      </c>
      <c r="AG37" s="0" t="n">
        <v>0</v>
      </c>
      <c r="AH37" s="254" t="e">
        <f aca="false">'Basis Options'!CD42</f>
        <v>#NAME?</v>
      </c>
      <c r="AI37" s="0" t="n">
        <v>226</v>
      </c>
      <c r="AJ37" s="0" t="s">
        <v>630</v>
      </c>
      <c r="AK37" s="0" t="n">
        <v>0</v>
      </c>
      <c r="AL37" s="0" t="n">
        <v>0</v>
      </c>
      <c r="AM37" s="0" t="n">
        <v>0</v>
      </c>
    </row>
    <row r="38" customFormat="false" ht="12.75" hidden="false" customHeight="false" outlineLevel="0" collapsed="false">
      <c r="A38" s="0" t="s">
        <v>621</v>
      </c>
      <c r="B38" s="0" t="str">
        <f aca="false">'Basis Options'!C43</f>
        <v>NE6161.2</v>
      </c>
      <c r="C38" s="0" t="s">
        <v>622</v>
      </c>
      <c r="D38" s="0" t="s">
        <v>623</v>
      </c>
      <c r="E38" s="0" t="s">
        <v>131</v>
      </c>
      <c r="F38" s="0" t="str">
        <f aca="false">'Basis Options'!A43</f>
        <v>JARON</v>
      </c>
      <c r="G38" s="0" t="s">
        <v>628</v>
      </c>
      <c r="H38" s="0" t="s">
        <v>625</v>
      </c>
      <c r="I38" s="0" t="s">
        <v>626</v>
      </c>
      <c r="J38" s="0" t="s">
        <v>627</v>
      </c>
      <c r="K38" s="475" t="n">
        <f aca="false">'Basis Options'!G43</f>
        <v>36770</v>
      </c>
      <c r="L38" s="254" t="e">
        <f aca="false">'Basis Options'!U43</f>
        <v>#NAME?</v>
      </c>
      <c r="M38" s="475" t="n">
        <f aca="false">'Basis Options'!Q43</f>
        <v>36768</v>
      </c>
      <c r="N38" s="0" t="str">
        <f aca="false">'Basis Options'!F43</f>
        <v>P</v>
      </c>
      <c r="O38" s="0" t="n">
        <f aca="false">'Basis Options'!I43</f>
        <v>-0.32</v>
      </c>
      <c r="P38" s="0" t="n">
        <v>0</v>
      </c>
      <c r="Q38" s="0" t="n">
        <v>0</v>
      </c>
      <c r="R38" s="0" t="n">
        <v>0</v>
      </c>
      <c r="S38" s="0" t="n">
        <v>0</v>
      </c>
      <c r="T38" s="0" t="s">
        <v>624</v>
      </c>
      <c r="U38" s="0" t="str">
        <f aca="false">IF('Basis Options'!D43="NGI/CHI. GATE","""NGI/CHI. GATE""",TRIM('Basis Options'!D43))</f>
        <v>IF-NWPL_ROCKY_M</v>
      </c>
      <c r="V38" s="0" t="s">
        <v>624</v>
      </c>
      <c r="W38" s="0" t="s">
        <v>569</v>
      </c>
      <c r="X38" s="0" t="s">
        <v>624</v>
      </c>
      <c r="Y38" s="0" t="s">
        <v>627</v>
      </c>
      <c r="Z38" s="0" t="s">
        <v>629</v>
      </c>
      <c r="AA38" s="0" t="s">
        <v>624</v>
      </c>
      <c r="AB38" s="0" t="s">
        <v>132</v>
      </c>
      <c r="AC38" s="254" t="n">
        <f aca="false">'Basis Options'!H43</f>
        <v>300000</v>
      </c>
      <c r="AD38" s="254" t="e">
        <f aca="false">'Basis Options'!W43</f>
        <v>#NAME?</v>
      </c>
      <c r="AE38" s="0" t="n">
        <v>0</v>
      </c>
      <c r="AF38" s="0" t="n">
        <v>0</v>
      </c>
      <c r="AG38" s="0" t="n">
        <v>0</v>
      </c>
      <c r="AH38" s="254" t="e">
        <f aca="false">'Basis Options'!CD43</f>
        <v>#NAME?</v>
      </c>
      <c r="AI38" s="0" t="n">
        <v>226</v>
      </c>
      <c r="AJ38" s="0" t="s">
        <v>630</v>
      </c>
      <c r="AK38" s="0" t="n">
        <v>0</v>
      </c>
      <c r="AL38" s="0" t="n">
        <v>0</v>
      </c>
      <c r="AM38" s="0" t="n">
        <v>0</v>
      </c>
    </row>
    <row r="39" customFormat="false" ht="12.75" hidden="false" customHeight="false" outlineLevel="0" collapsed="false">
      <c r="A39" s="0" t="s">
        <v>621</v>
      </c>
      <c r="B39" s="0" t="str">
        <f aca="false">'Basis Options'!C44</f>
        <v>NE6195</v>
      </c>
      <c r="C39" s="0" t="s">
        <v>622</v>
      </c>
      <c r="D39" s="0" t="s">
        <v>623</v>
      </c>
      <c r="E39" s="0" t="s">
        <v>131</v>
      </c>
      <c r="F39" s="0" t="str">
        <f aca="false">'Basis Options'!A44</f>
        <v>JARON</v>
      </c>
      <c r="G39" s="0" t="s">
        <v>628</v>
      </c>
      <c r="H39" s="0" t="s">
        <v>625</v>
      </c>
      <c r="I39" s="0" t="s">
        <v>626</v>
      </c>
      <c r="J39" s="0" t="s">
        <v>627</v>
      </c>
      <c r="K39" s="475" t="n">
        <f aca="false">'Basis Options'!G44</f>
        <v>36800</v>
      </c>
      <c r="L39" s="254" t="e">
        <f aca="false">'Basis Options'!U44</f>
        <v>#NAME?</v>
      </c>
      <c r="M39" s="475" t="n">
        <f aca="false">'Basis Options'!Q44</f>
        <v>36797</v>
      </c>
      <c r="N39" s="0" t="str">
        <f aca="false">'Basis Options'!F44</f>
        <v>P</v>
      </c>
      <c r="O39" s="0" t="n">
        <f aca="false">'Basis Options'!I44</f>
        <v>-0.4</v>
      </c>
      <c r="P39" s="0" t="n">
        <v>0</v>
      </c>
      <c r="Q39" s="0" t="n">
        <v>0</v>
      </c>
      <c r="R39" s="0" t="n">
        <v>0</v>
      </c>
      <c r="S39" s="0" t="n">
        <v>0</v>
      </c>
      <c r="T39" s="0" t="s">
        <v>624</v>
      </c>
      <c r="U39" s="0" t="str">
        <f aca="false">IF('Basis Options'!D44="NGI/CHI. GATE","""NGI/CHI. GATE""",TRIM('Basis Options'!D44))</f>
        <v>IF-NWPL_ROCKY_M</v>
      </c>
      <c r="V39" s="0" t="s">
        <v>624</v>
      </c>
      <c r="W39" s="0" t="s">
        <v>569</v>
      </c>
      <c r="X39" s="0" t="s">
        <v>624</v>
      </c>
      <c r="Y39" s="0" t="s">
        <v>627</v>
      </c>
      <c r="Z39" s="0" t="s">
        <v>629</v>
      </c>
      <c r="AA39" s="0" t="s">
        <v>624</v>
      </c>
      <c r="AB39" s="0" t="s">
        <v>132</v>
      </c>
      <c r="AC39" s="254" t="n">
        <f aca="false">'Basis Options'!H44</f>
        <v>620000</v>
      </c>
      <c r="AD39" s="254" t="e">
        <f aca="false">'Basis Options'!W44</f>
        <v>#NAME?</v>
      </c>
      <c r="AE39" s="0" t="n">
        <v>0</v>
      </c>
      <c r="AF39" s="0" t="n">
        <v>0</v>
      </c>
      <c r="AG39" s="0" t="n">
        <v>0</v>
      </c>
      <c r="AH39" s="254" t="e">
        <f aca="false">'Basis Options'!CD44</f>
        <v>#NAME?</v>
      </c>
      <c r="AI39" s="0" t="n">
        <v>226</v>
      </c>
      <c r="AJ39" s="0" t="s">
        <v>630</v>
      </c>
      <c r="AK39" s="0" t="n">
        <v>0</v>
      </c>
      <c r="AL39" s="0" t="n">
        <v>0</v>
      </c>
      <c r="AM39" s="0" t="n">
        <v>0</v>
      </c>
    </row>
    <row r="40" customFormat="false" ht="12.75" hidden="false" customHeight="false" outlineLevel="0" collapsed="false">
      <c r="A40" s="0" t="s">
        <v>621</v>
      </c>
      <c r="B40" s="0" t="str">
        <f aca="false">'Basis Options'!C45</f>
        <v>NE6195</v>
      </c>
      <c r="C40" s="0" t="s">
        <v>622</v>
      </c>
      <c r="D40" s="0" t="s">
        <v>623</v>
      </c>
      <c r="E40" s="0" t="s">
        <v>131</v>
      </c>
      <c r="F40" s="0" t="str">
        <f aca="false">'Basis Options'!A45</f>
        <v>JARON</v>
      </c>
      <c r="G40" s="0" t="s">
        <v>628</v>
      </c>
      <c r="H40" s="0" t="s">
        <v>625</v>
      </c>
      <c r="I40" s="0" t="s">
        <v>626</v>
      </c>
      <c r="J40" s="0" t="s">
        <v>627</v>
      </c>
      <c r="K40" s="475" t="n">
        <f aca="false">'Basis Options'!G45</f>
        <v>36770</v>
      </c>
      <c r="L40" s="254" t="e">
        <f aca="false">'Basis Options'!U45</f>
        <v>#NAME?</v>
      </c>
      <c r="M40" s="475" t="n">
        <f aca="false">'Basis Options'!Q45</f>
        <v>36768</v>
      </c>
      <c r="N40" s="0" t="str">
        <f aca="false">'Basis Options'!F45</f>
        <v>P</v>
      </c>
      <c r="O40" s="0" t="n">
        <f aca="false">'Basis Options'!I45</f>
        <v>-0.4</v>
      </c>
      <c r="P40" s="0" t="n">
        <v>0</v>
      </c>
      <c r="Q40" s="0" t="n">
        <v>0</v>
      </c>
      <c r="R40" s="0" t="n">
        <v>0</v>
      </c>
      <c r="S40" s="0" t="n">
        <v>0</v>
      </c>
      <c r="T40" s="0" t="s">
        <v>624</v>
      </c>
      <c r="U40" s="0" t="str">
        <f aca="false">IF('Basis Options'!D45="NGI/CHI. GATE","""NGI/CHI. GATE""",TRIM('Basis Options'!D45))</f>
        <v>IF-NWPL_ROCKY_M</v>
      </c>
      <c r="V40" s="0" t="s">
        <v>624</v>
      </c>
      <c r="W40" s="0" t="s">
        <v>569</v>
      </c>
      <c r="X40" s="0" t="s">
        <v>624</v>
      </c>
      <c r="Y40" s="0" t="s">
        <v>627</v>
      </c>
      <c r="Z40" s="0" t="s">
        <v>629</v>
      </c>
      <c r="AA40" s="0" t="s">
        <v>624</v>
      </c>
      <c r="AB40" s="0" t="s">
        <v>132</v>
      </c>
      <c r="AC40" s="254" t="n">
        <f aca="false">'Basis Options'!H45</f>
        <v>600000</v>
      </c>
      <c r="AD40" s="254" t="e">
        <f aca="false">'Basis Options'!W45</f>
        <v>#NAME?</v>
      </c>
      <c r="AE40" s="0" t="n">
        <v>0</v>
      </c>
      <c r="AF40" s="0" t="n">
        <v>0</v>
      </c>
      <c r="AG40" s="0" t="n">
        <v>0</v>
      </c>
      <c r="AH40" s="254" t="e">
        <f aca="false">'Basis Options'!CD45</f>
        <v>#NAME?</v>
      </c>
      <c r="AI40" s="0" t="n">
        <v>226</v>
      </c>
      <c r="AJ40" s="0" t="s">
        <v>630</v>
      </c>
      <c r="AK40" s="0" t="n">
        <v>0</v>
      </c>
      <c r="AL40" s="0" t="n">
        <v>0</v>
      </c>
      <c r="AM40" s="0" t="n">
        <v>0</v>
      </c>
    </row>
    <row r="41" customFormat="false" ht="12.75" hidden="false" customHeight="false" outlineLevel="0" collapsed="false">
      <c r="A41" s="0" t="s">
        <v>621</v>
      </c>
      <c r="B41" s="0" t="str">
        <f aca="false">'Basis Options'!C46</f>
        <v>NE6212</v>
      </c>
      <c r="C41" s="0" t="s">
        <v>622</v>
      </c>
      <c r="D41" s="0" t="s">
        <v>623</v>
      </c>
      <c r="E41" s="0" t="s">
        <v>131</v>
      </c>
      <c r="F41" s="0" t="str">
        <f aca="false">'Basis Options'!A46</f>
        <v>RELIANTENESER</v>
      </c>
      <c r="G41" s="0" t="s">
        <v>628</v>
      </c>
      <c r="H41" s="0" t="s">
        <v>625</v>
      </c>
      <c r="I41" s="0" t="s">
        <v>626</v>
      </c>
      <c r="J41" s="0" t="s">
        <v>627</v>
      </c>
      <c r="K41" s="475" t="n">
        <f aca="false">'Basis Options'!G46</f>
        <v>36800</v>
      </c>
      <c r="L41" s="254" t="e">
        <f aca="false">'Basis Options'!U46</f>
        <v>#NAME?</v>
      </c>
      <c r="M41" s="475" t="n">
        <f aca="false">'Basis Options'!Q46</f>
        <v>36797</v>
      </c>
      <c r="N41" s="0" t="str">
        <f aca="false">'Basis Options'!F46</f>
        <v>C</v>
      </c>
      <c r="O41" s="0" t="n">
        <f aca="false">'Basis Options'!I46</f>
        <v>-0.25</v>
      </c>
      <c r="P41" s="0" t="n">
        <v>0</v>
      </c>
      <c r="Q41" s="0" t="n">
        <v>0</v>
      </c>
      <c r="R41" s="0" t="n">
        <v>0</v>
      </c>
      <c r="S41" s="0" t="n">
        <v>0</v>
      </c>
      <c r="T41" s="0" t="s">
        <v>624</v>
      </c>
      <c r="U41" s="0" t="str">
        <f aca="false">IF('Basis Options'!D46="NGI/CHI. GATE","""NGI/CHI. GATE""",TRIM('Basis Options'!D46))</f>
        <v>IF-NWPL_ROCKY_M</v>
      </c>
      <c r="V41" s="0" t="s">
        <v>624</v>
      </c>
      <c r="W41" s="0" t="s">
        <v>569</v>
      </c>
      <c r="X41" s="0" t="s">
        <v>624</v>
      </c>
      <c r="Y41" s="0" t="s">
        <v>627</v>
      </c>
      <c r="Z41" s="0" t="s">
        <v>629</v>
      </c>
      <c r="AA41" s="0" t="s">
        <v>624</v>
      </c>
      <c r="AB41" s="0" t="s">
        <v>132</v>
      </c>
      <c r="AC41" s="254" t="n">
        <f aca="false">'Basis Options'!H46</f>
        <v>310000</v>
      </c>
      <c r="AD41" s="254" t="e">
        <f aca="false">'Basis Options'!W46</f>
        <v>#NAME?</v>
      </c>
      <c r="AE41" s="0" t="n">
        <v>0</v>
      </c>
      <c r="AF41" s="0" t="n">
        <v>0</v>
      </c>
      <c r="AG41" s="0" t="n">
        <v>0</v>
      </c>
      <c r="AH41" s="254" t="e">
        <f aca="false">'Basis Options'!CD46</f>
        <v>#NAME?</v>
      </c>
      <c r="AI41" s="0" t="n">
        <v>226</v>
      </c>
      <c r="AJ41" s="0" t="s">
        <v>630</v>
      </c>
      <c r="AK41" s="0" t="n">
        <v>0</v>
      </c>
      <c r="AL41" s="0" t="n">
        <v>0</v>
      </c>
      <c r="AM41" s="0" t="n">
        <v>0</v>
      </c>
    </row>
    <row r="42" customFormat="false" ht="12.75" hidden="false" customHeight="false" outlineLevel="0" collapsed="false">
      <c r="A42" s="0" t="s">
        <v>621</v>
      </c>
      <c r="B42" s="0" t="str">
        <f aca="false">'Basis Options'!C47</f>
        <v>NE6212</v>
      </c>
      <c r="C42" s="0" t="s">
        <v>622</v>
      </c>
      <c r="D42" s="0" t="s">
        <v>623</v>
      </c>
      <c r="E42" s="0" t="s">
        <v>131</v>
      </c>
      <c r="F42" s="0" t="str">
        <f aca="false">'Basis Options'!A47</f>
        <v>RELIANTENESER</v>
      </c>
      <c r="G42" s="0" t="s">
        <v>628</v>
      </c>
      <c r="H42" s="0" t="s">
        <v>625</v>
      </c>
      <c r="I42" s="0" t="s">
        <v>626</v>
      </c>
      <c r="J42" s="0" t="s">
        <v>627</v>
      </c>
      <c r="K42" s="475" t="n">
        <f aca="false">'Basis Options'!G47</f>
        <v>36770</v>
      </c>
      <c r="L42" s="254" t="e">
        <f aca="false">'Basis Options'!U47</f>
        <v>#NAME?</v>
      </c>
      <c r="M42" s="475" t="n">
        <f aca="false">'Basis Options'!Q47</f>
        <v>36768</v>
      </c>
      <c r="N42" s="0" t="str">
        <f aca="false">'Basis Options'!F47</f>
        <v>C</v>
      </c>
      <c r="O42" s="0" t="n">
        <f aca="false">'Basis Options'!I47</f>
        <v>-0.25</v>
      </c>
      <c r="P42" s="0" t="n">
        <v>0</v>
      </c>
      <c r="Q42" s="0" t="n">
        <v>0</v>
      </c>
      <c r="R42" s="0" t="n">
        <v>0</v>
      </c>
      <c r="S42" s="0" t="n">
        <v>0</v>
      </c>
      <c r="T42" s="0" t="s">
        <v>624</v>
      </c>
      <c r="U42" s="0" t="str">
        <f aca="false">IF('Basis Options'!D47="NGI/CHI. GATE","""NGI/CHI. GATE""",TRIM('Basis Options'!D47))</f>
        <v>IF-NWPL_ROCKY_M</v>
      </c>
      <c r="V42" s="0" t="s">
        <v>624</v>
      </c>
      <c r="W42" s="0" t="s">
        <v>569</v>
      </c>
      <c r="X42" s="0" t="s">
        <v>624</v>
      </c>
      <c r="Y42" s="0" t="s">
        <v>627</v>
      </c>
      <c r="Z42" s="0" t="s">
        <v>629</v>
      </c>
      <c r="AA42" s="0" t="s">
        <v>624</v>
      </c>
      <c r="AB42" s="0" t="s">
        <v>132</v>
      </c>
      <c r="AC42" s="254" t="n">
        <f aca="false">'Basis Options'!H47</f>
        <v>300000</v>
      </c>
      <c r="AD42" s="254" t="e">
        <f aca="false">'Basis Options'!W47</f>
        <v>#NAME?</v>
      </c>
      <c r="AE42" s="0" t="n">
        <v>0</v>
      </c>
      <c r="AF42" s="0" t="n">
        <v>0</v>
      </c>
      <c r="AG42" s="0" t="n">
        <v>0</v>
      </c>
      <c r="AH42" s="254" t="e">
        <f aca="false">'Basis Options'!CD47</f>
        <v>#NAME?</v>
      </c>
      <c r="AI42" s="0" t="n">
        <v>226</v>
      </c>
      <c r="AJ42" s="0" t="s">
        <v>630</v>
      </c>
      <c r="AK42" s="0" t="n">
        <v>0</v>
      </c>
      <c r="AL42" s="0" t="n">
        <v>0</v>
      </c>
      <c r="AM42" s="0" t="n">
        <v>0</v>
      </c>
    </row>
    <row r="43" customFormat="false" ht="12.75" hidden="false" customHeight="false" outlineLevel="0" collapsed="false">
      <c r="A43" s="0" t="s">
        <v>621</v>
      </c>
      <c r="B43" s="0" t="str">
        <f aca="false">'Basis Options'!C48</f>
        <v>NE7612</v>
      </c>
      <c r="C43" s="0" t="s">
        <v>622</v>
      </c>
      <c r="D43" s="0" t="s">
        <v>623</v>
      </c>
      <c r="E43" s="0" t="s">
        <v>131</v>
      </c>
      <c r="F43" s="0" t="str">
        <f aca="false">'Basis Options'!A48</f>
        <v>DYNEGYMARAND</v>
      </c>
      <c r="G43" s="0" t="s">
        <v>628</v>
      </c>
      <c r="H43" s="0" t="s">
        <v>625</v>
      </c>
      <c r="I43" s="0" t="s">
        <v>626</v>
      </c>
      <c r="J43" s="0" t="s">
        <v>627</v>
      </c>
      <c r="K43" s="475" t="n">
        <f aca="false">'Basis Options'!G48</f>
        <v>36800</v>
      </c>
      <c r="L43" s="254" t="e">
        <f aca="false">'Basis Options'!U48</f>
        <v>#NAME?</v>
      </c>
      <c r="M43" s="475" t="n">
        <f aca="false">'Basis Options'!Q48</f>
        <v>36797</v>
      </c>
      <c r="N43" s="0" t="str">
        <f aca="false">'Basis Options'!F48</f>
        <v>C</v>
      </c>
      <c r="O43" s="0" t="n">
        <f aca="false">'Basis Options'!I48</f>
        <v>-0.3</v>
      </c>
      <c r="P43" s="0" t="n">
        <v>0</v>
      </c>
      <c r="Q43" s="0" t="n">
        <v>0</v>
      </c>
      <c r="R43" s="0" t="n">
        <v>0</v>
      </c>
      <c r="S43" s="0" t="n">
        <v>0</v>
      </c>
      <c r="T43" s="0" t="s">
        <v>624</v>
      </c>
      <c r="U43" s="0" t="str">
        <f aca="false">IF('Basis Options'!D48="NGI/CHI. GATE","""NGI/CHI. GATE""",TRIM('Basis Options'!D48))</f>
        <v>IF-NWPL_ROCKY_M</v>
      </c>
      <c r="V43" s="0" t="s">
        <v>624</v>
      </c>
      <c r="W43" s="0" t="s">
        <v>569</v>
      </c>
      <c r="X43" s="0" t="s">
        <v>624</v>
      </c>
      <c r="Y43" s="0" t="s">
        <v>627</v>
      </c>
      <c r="Z43" s="0" t="s">
        <v>629</v>
      </c>
      <c r="AA43" s="0" t="s">
        <v>624</v>
      </c>
      <c r="AB43" s="0" t="s">
        <v>132</v>
      </c>
      <c r="AC43" s="254" t="n">
        <f aca="false">'Basis Options'!H48</f>
        <v>310000</v>
      </c>
      <c r="AD43" s="254" t="e">
        <f aca="false">'Basis Options'!W48</f>
        <v>#NAME?</v>
      </c>
      <c r="AE43" s="0" t="n">
        <v>0</v>
      </c>
      <c r="AF43" s="0" t="n">
        <v>0</v>
      </c>
      <c r="AG43" s="0" t="n">
        <v>0</v>
      </c>
      <c r="AH43" s="254" t="e">
        <f aca="false">'Basis Options'!CD48</f>
        <v>#NAME?</v>
      </c>
      <c r="AI43" s="0" t="n">
        <v>226</v>
      </c>
      <c r="AJ43" s="0" t="s">
        <v>630</v>
      </c>
      <c r="AK43" s="0" t="n">
        <v>0</v>
      </c>
      <c r="AL43" s="0" t="n">
        <v>0</v>
      </c>
      <c r="AM43" s="0" t="n">
        <v>0</v>
      </c>
    </row>
    <row r="44" customFormat="false" ht="12.75" hidden="false" customHeight="false" outlineLevel="0" collapsed="false">
      <c r="A44" s="0" t="s">
        <v>621</v>
      </c>
      <c r="B44" s="0" t="str">
        <f aca="false">'Basis Options'!C49</f>
        <v>NE7612</v>
      </c>
      <c r="C44" s="0" t="s">
        <v>622</v>
      </c>
      <c r="D44" s="0" t="s">
        <v>623</v>
      </c>
      <c r="E44" s="0" t="s">
        <v>131</v>
      </c>
      <c r="F44" s="0" t="str">
        <f aca="false">'Basis Options'!A49</f>
        <v>DYNEGYMARAND</v>
      </c>
      <c r="G44" s="0" t="s">
        <v>628</v>
      </c>
      <c r="H44" s="0" t="s">
        <v>625</v>
      </c>
      <c r="I44" s="0" t="s">
        <v>626</v>
      </c>
      <c r="J44" s="0" t="s">
        <v>627</v>
      </c>
      <c r="K44" s="475" t="n">
        <f aca="false">'Basis Options'!G49</f>
        <v>36800</v>
      </c>
      <c r="L44" s="254" t="e">
        <f aca="false">'Basis Options'!U49</f>
        <v>#NAME?</v>
      </c>
      <c r="M44" s="475" t="n">
        <f aca="false">'Basis Options'!Q49</f>
        <v>36797</v>
      </c>
      <c r="N44" s="0" t="str">
        <f aca="false">'Basis Options'!F49</f>
        <v>P</v>
      </c>
      <c r="O44" s="0" t="n">
        <f aca="false">'Basis Options'!I49</f>
        <v>-0.3</v>
      </c>
      <c r="P44" s="0" t="n">
        <v>0</v>
      </c>
      <c r="Q44" s="0" t="n">
        <v>0</v>
      </c>
      <c r="R44" s="0" t="n">
        <v>0</v>
      </c>
      <c r="S44" s="0" t="n">
        <v>0</v>
      </c>
      <c r="T44" s="0" t="s">
        <v>624</v>
      </c>
      <c r="U44" s="0" t="str">
        <f aca="false">IF('Basis Options'!D49="NGI/CHI. GATE","""NGI/CHI. GATE""",TRIM('Basis Options'!D49))</f>
        <v>IF-NWPL_ROCKY_M</v>
      </c>
      <c r="V44" s="0" t="s">
        <v>624</v>
      </c>
      <c r="W44" s="0" t="s">
        <v>569</v>
      </c>
      <c r="X44" s="0" t="s">
        <v>624</v>
      </c>
      <c r="Y44" s="0" t="s">
        <v>627</v>
      </c>
      <c r="Z44" s="0" t="s">
        <v>629</v>
      </c>
      <c r="AA44" s="0" t="s">
        <v>624</v>
      </c>
      <c r="AB44" s="0" t="s">
        <v>132</v>
      </c>
      <c r="AC44" s="254" t="n">
        <f aca="false">'Basis Options'!H49</f>
        <v>310000</v>
      </c>
      <c r="AD44" s="254" t="e">
        <f aca="false">'Basis Options'!W49</f>
        <v>#NAME?</v>
      </c>
      <c r="AE44" s="0" t="n">
        <v>0</v>
      </c>
      <c r="AF44" s="0" t="n">
        <v>0</v>
      </c>
      <c r="AG44" s="0" t="n">
        <v>0</v>
      </c>
      <c r="AH44" s="254" t="e">
        <f aca="false">'Basis Options'!CD49</f>
        <v>#NAME?</v>
      </c>
      <c r="AI44" s="0" t="n">
        <v>226</v>
      </c>
      <c r="AJ44" s="0" t="s">
        <v>630</v>
      </c>
      <c r="AK44" s="0" t="n">
        <v>0</v>
      </c>
      <c r="AL44" s="0" t="n">
        <v>0</v>
      </c>
      <c r="AM44" s="0" t="n">
        <v>0</v>
      </c>
    </row>
    <row r="45" customFormat="false" ht="12.75" hidden="false" customHeight="false" outlineLevel="0" collapsed="false">
      <c r="A45" s="0" t="s">
        <v>621</v>
      </c>
      <c r="B45" s="0" t="str">
        <f aca="false">'Basis Options'!C50</f>
        <v>NE7612</v>
      </c>
      <c r="C45" s="0" t="s">
        <v>622</v>
      </c>
      <c r="D45" s="0" t="s">
        <v>623</v>
      </c>
      <c r="E45" s="0" t="s">
        <v>131</v>
      </c>
      <c r="F45" s="0" t="str">
        <f aca="false">'Basis Options'!A50</f>
        <v>DYNEGYMARAND</v>
      </c>
      <c r="G45" s="0" t="s">
        <v>628</v>
      </c>
      <c r="H45" s="0" t="s">
        <v>625</v>
      </c>
      <c r="I45" s="0" t="s">
        <v>626</v>
      </c>
      <c r="J45" s="0" t="s">
        <v>627</v>
      </c>
      <c r="K45" s="475" t="n">
        <f aca="false">'Basis Options'!G50</f>
        <v>36770</v>
      </c>
      <c r="L45" s="254" t="e">
        <f aca="false">'Basis Options'!U50</f>
        <v>#NAME?</v>
      </c>
      <c r="M45" s="475" t="n">
        <f aca="false">'Basis Options'!Q50</f>
        <v>36768</v>
      </c>
      <c r="N45" s="0" t="str">
        <f aca="false">'Basis Options'!F50</f>
        <v>C</v>
      </c>
      <c r="O45" s="0" t="n">
        <f aca="false">'Basis Options'!I50</f>
        <v>-0.3</v>
      </c>
      <c r="P45" s="0" t="n">
        <v>0</v>
      </c>
      <c r="Q45" s="0" t="n">
        <v>0</v>
      </c>
      <c r="R45" s="0" t="n">
        <v>0</v>
      </c>
      <c r="S45" s="0" t="n">
        <v>0</v>
      </c>
      <c r="T45" s="0" t="s">
        <v>624</v>
      </c>
      <c r="U45" s="0" t="str">
        <f aca="false">IF('Basis Options'!D50="NGI/CHI. GATE","""NGI/CHI. GATE""",TRIM('Basis Options'!D50))</f>
        <v>IF-NWPL_ROCKY_M</v>
      </c>
      <c r="V45" s="0" t="s">
        <v>624</v>
      </c>
      <c r="W45" s="0" t="s">
        <v>569</v>
      </c>
      <c r="X45" s="0" t="s">
        <v>624</v>
      </c>
      <c r="Y45" s="0" t="s">
        <v>627</v>
      </c>
      <c r="Z45" s="0" t="s">
        <v>629</v>
      </c>
      <c r="AA45" s="0" t="s">
        <v>624</v>
      </c>
      <c r="AB45" s="0" t="s">
        <v>132</v>
      </c>
      <c r="AC45" s="254" t="n">
        <f aca="false">'Basis Options'!H50</f>
        <v>300000</v>
      </c>
      <c r="AD45" s="254" t="e">
        <f aca="false">'Basis Options'!W50</f>
        <v>#NAME?</v>
      </c>
      <c r="AE45" s="0" t="n">
        <v>0</v>
      </c>
      <c r="AF45" s="0" t="n">
        <v>0</v>
      </c>
      <c r="AG45" s="0" t="n">
        <v>0</v>
      </c>
      <c r="AH45" s="254" t="e">
        <f aca="false">'Basis Options'!CD50</f>
        <v>#NAME?</v>
      </c>
      <c r="AI45" s="0" t="n">
        <v>226</v>
      </c>
      <c r="AJ45" s="0" t="s">
        <v>630</v>
      </c>
      <c r="AK45" s="0" t="n">
        <v>0</v>
      </c>
      <c r="AL45" s="0" t="n">
        <v>0</v>
      </c>
      <c r="AM45" s="0" t="n">
        <v>0</v>
      </c>
    </row>
    <row r="46" customFormat="false" ht="12.75" hidden="false" customHeight="false" outlineLevel="0" collapsed="false">
      <c r="A46" s="0" t="s">
        <v>621</v>
      </c>
      <c r="B46" s="0" t="str">
        <f aca="false">'Basis Options'!C51</f>
        <v>NE7612</v>
      </c>
      <c r="C46" s="0" t="s">
        <v>622</v>
      </c>
      <c r="D46" s="0" t="s">
        <v>623</v>
      </c>
      <c r="E46" s="0" t="s">
        <v>131</v>
      </c>
      <c r="F46" s="0" t="str">
        <f aca="false">'Basis Options'!A51</f>
        <v>DYNEGYMARAND</v>
      </c>
      <c r="G46" s="0" t="s">
        <v>628</v>
      </c>
      <c r="H46" s="0" t="s">
        <v>625</v>
      </c>
      <c r="I46" s="0" t="s">
        <v>626</v>
      </c>
      <c r="J46" s="0" t="s">
        <v>627</v>
      </c>
      <c r="K46" s="475" t="n">
        <f aca="false">'Basis Options'!G51</f>
        <v>36770</v>
      </c>
      <c r="L46" s="254" t="e">
        <f aca="false">'Basis Options'!U51</f>
        <v>#NAME?</v>
      </c>
      <c r="M46" s="475" t="n">
        <f aca="false">'Basis Options'!Q51</f>
        <v>36768</v>
      </c>
      <c r="N46" s="0" t="str">
        <f aca="false">'Basis Options'!F51</f>
        <v>P</v>
      </c>
      <c r="O46" s="0" t="n">
        <f aca="false">'Basis Options'!I51</f>
        <v>-0.3</v>
      </c>
      <c r="P46" s="0" t="n">
        <v>0</v>
      </c>
      <c r="Q46" s="0" t="n">
        <v>0</v>
      </c>
      <c r="R46" s="0" t="n">
        <v>0</v>
      </c>
      <c r="S46" s="0" t="n">
        <v>0</v>
      </c>
      <c r="T46" s="0" t="s">
        <v>624</v>
      </c>
      <c r="U46" s="0" t="str">
        <f aca="false">IF('Basis Options'!D51="NGI/CHI. GATE","""NGI/CHI. GATE""",TRIM('Basis Options'!D51))</f>
        <v>IF-NWPL_ROCKY_M</v>
      </c>
      <c r="V46" s="0" t="s">
        <v>624</v>
      </c>
      <c r="W46" s="0" t="s">
        <v>569</v>
      </c>
      <c r="X46" s="0" t="s">
        <v>624</v>
      </c>
      <c r="Y46" s="0" t="s">
        <v>627</v>
      </c>
      <c r="Z46" s="0" t="s">
        <v>629</v>
      </c>
      <c r="AA46" s="0" t="s">
        <v>624</v>
      </c>
      <c r="AB46" s="0" t="s">
        <v>132</v>
      </c>
      <c r="AC46" s="254" t="n">
        <f aca="false">'Basis Options'!H51</f>
        <v>300000</v>
      </c>
      <c r="AD46" s="254" t="e">
        <f aca="false">'Basis Options'!W51</f>
        <v>#NAME?</v>
      </c>
      <c r="AE46" s="0" t="n">
        <v>0</v>
      </c>
      <c r="AF46" s="0" t="n">
        <v>0</v>
      </c>
      <c r="AG46" s="0" t="n">
        <v>0</v>
      </c>
      <c r="AH46" s="254" t="e">
        <f aca="false">'Basis Options'!CD51</f>
        <v>#NAME?</v>
      </c>
      <c r="AI46" s="0" t="n">
        <v>226</v>
      </c>
      <c r="AJ46" s="0" t="s">
        <v>630</v>
      </c>
      <c r="AK46" s="0" t="n">
        <v>0</v>
      </c>
      <c r="AL46" s="0" t="n">
        <v>0</v>
      </c>
      <c r="AM46" s="0" t="n">
        <v>0</v>
      </c>
    </row>
    <row r="47" customFormat="false" ht="12.75" hidden="false" customHeight="false" outlineLevel="0" collapsed="false">
      <c r="A47" s="0" t="s">
        <v>621</v>
      </c>
      <c r="B47" s="0" t="str">
        <f aca="false">'Basis Options'!C52</f>
        <v>NE8609</v>
      </c>
      <c r="C47" s="0" t="s">
        <v>622</v>
      </c>
      <c r="D47" s="0" t="s">
        <v>623</v>
      </c>
      <c r="E47" s="0" t="s">
        <v>131</v>
      </c>
      <c r="F47" s="0" t="str">
        <f aca="false">'Basis Options'!A52</f>
        <v>ELPASMER</v>
      </c>
      <c r="G47" s="0" t="s">
        <v>628</v>
      </c>
      <c r="H47" s="0" t="s">
        <v>625</v>
      </c>
      <c r="I47" s="0" t="s">
        <v>626</v>
      </c>
      <c r="J47" s="0" t="s">
        <v>627</v>
      </c>
      <c r="K47" s="475" t="n">
        <f aca="false">'Basis Options'!G52</f>
        <v>36923</v>
      </c>
      <c r="L47" s="254" t="e">
        <f aca="false">'Basis Options'!U52</f>
        <v>#NAME?</v>
      </c>
      <c r="M47" s="475" t="n">
        <f aca="false">'Basis Options'!Q52</f>
        <v>36921</v>
      </c>
      <c r="N47" s="0" t="str">
        <f aca="false">'Basis Options'!F52</f>
        <v>P</v>
      </c>
      <c r="O47" s="0" t="n">
        <f aca="false">'Basis Options'!I52</f>
        <v>1</v>
      </c>
      <c r="P47" s="0" t="n">
        <v>0</v>
      </c>
      <c r="Q47" s="0" t="n">
        <v>0</v>
      </c>
      <c r="R47" s="0" t="n">
        <v>0</v>
      </c>
      <c r="S47" s="0" t="n">
        <v>0</v>
      </c>
      <c r="T47" s="0" t="s">
        <v>624</v>
      </c>
      <c r="U47" s="0" t="str">
        <f aca="false">IF('Basis Options'!D52="NGI/CHI. GATE","""NGI/CHI. GATE""",TRIM('Basis Options'!D52))</f>
        <v>IF-TRANSCO/Z6</v>
      </c>
      <c r="V47" s="0" t="s">
        <v>624</v>
      </c>
      <c r="W47" s="0" t="s">
        <v>569</v>
      </c>
      <c r="X47" s="0" t="s">
        <v>624</v>
      </c>
      <c r="Y47" s="0" t="s">
        <v>627</v>
      </c>
      <c r="Z47" s="0" t="s">
        <v>629</v>
      </c>
      <c r="AA47" s="0" t="s">
        <v>624</v>
      </c>
      <c r="AB47" s="0" t="s">
        <v>132</v>
      </c>
      <c r="AC47" s="254" t="n">
        <f aca="false">'Basis Options'!H52</f>
        <v>500000</v>
      </c>
      <c r="AD47" s="254" t="e">
        <f aca="false">'Basis Options'!W52</f>
        <v>#NAME?</v>
      </c>
      <c r="AE47" s="0" t="n">
        <v>0</v>
      </c>
      <c r="AF47" s="0" t="n">
        <v>0</v>
      </c>
      <c r="AG47" s="0" t="n">
        <v>0</v>
      </c>
      <c r="AH47" s="254" t="e">
        <f aca="false">'Basis Options'!CD52</f>
        <v>#NAME?</v>
      </c>
      <c r="AI47" s="0" t="n">
        <v>226</v>
      </c>
      <c r="AJ47" s="0" t="s">
        <v>630</v>
      </c>
      <c r="AK47" s="0" t="n">
        <v>0</v>
      </c>
      <c r="AL47" s="0" t="n">
        <v>0</v>
      </c>
      <c r="AM47" s="0" t="n">
        <v>0</v>
      </c>
    </row>
    <row r="48" customFormat="false" ht="12.75" hidden="false" customHeight="false" outlineLevel="0" collapsed="false">
      <c r="A48" s="0" t="s">
        <v>621</v>
      </c>
      <c r="B48" s="0" t="str">
        <f aca="false">'Basis Options'!C53</f>
        <v>NE8609</v>
      </c>
      <c r="C48" s="0" t="s">
        <v>622</v>
      </c>
      <c r="D48" s="0" t="s">
        <v>623</v>
      </c>
      <c r="E48" s="0" t="s">
        <v>131</v>
      </c>
      <c r="F48" s="0" t="str">
        <f aca="false">'Basis Options'!A53</f>
        <v>ELPASMER</v>
      </c>
      <c r="G48" s="0" t="s">
        <v>628</v>
      </c>
      <c r="H48" s="0" t="s">
        <v>625</v>
      </c>
      <c r="I48" s="0" t="s">
        <v>626</v>
      </c>
      <c r="J48" s="0" t="s">
        <v>627</v>
      </c>
      <c r="K48" s="475" t="n">
        <f aca="false">'Basis Options'!G53</f>
        <v>36892</v>
      </c>
      <c r="L48" s="254" t="e">
        <f aca="false">'Basis Options'!U53</f>
        <v>#NAME?</v>
      </c>
      <c r="M48" s="475" t="n">
        <f aca="false">'Basis Options'!Q53</f>
        <v>36888</v>
      </c>
      <c r="N48" s="0" t="str">
        <f aca="false">'Basis Options'!F53</f>
        <v>P</v>
      </c>
      <c r="O48" s="0" t="n">
        <f aca="false">'Basis Options'!I53</f>
        <v>1</v>
      </c>
      <c r="P48" s="0" t="n">
        <v>0</v>
      </c>
      <c r="Q48" s="0" t="n">
        <v>0</v>
      </c>
      <c r="R48" s="0" t="n">
        <v>0</v>
      </c>
      <c r="S48" s="0" t="n">
        <v>0</v>
      </c>
      <c r="T48" s="0" t="s">
        <v>624</v>
      </c>
      <c r="U48" s="0" t="str">
        <f aca="false">IF('Basis Options'!D53="NGI/CHI. GATE","""NGI/CHI. GATE""",TRIM('Basis Options'!D53))</f>
        <v>IF-TRANSCO/Z6</v>
      </c>
      <c r="V48" s="0" t="s">
        <v>624</v>
      </c>
      <c r="W48" s="0" t="s">
        <v>569</v>
      </c>
      <c r="X48" s="0" t="s">
        <v>624</v>
      </c>
      <c r="Y48" s="0" t="s">
        <v>627</v>
      </c>
      <c r="Z48" s="0" t="s">
        <v>629</v>
      </c>
      <c r="AA48" s="0" t="s">
        <v>624</v>
      </c>
      <c r="AB48" s="0" t="s">
        <v>132</v>
      </c>
      <c r="AC48" s="254" t="n">
        <f aca="false">'Basis Options'!H53</f>
        <v>500000</v>
      </c>
      <c r="AD48" s="254" t="e">
        <f aca="false">'Basis Options'!W53</f>
        <v>#NAME?</v>
      </c>
      <c r="AE48" s="0" t="n">
        <v>0</v>
      </c>
      <c r="AF48" s="0" t="n">
        <v>0</v>
      </c>
      <c r="AG48" s="0" t="n">
        <v>0</v>
      </c>
      <c r="AH48" s="254" t="e">
        <f aca="false">'Basis Options'!CD53</f>
        <v>#NAME?</v>
      </c>
      <c r="AI48" s="0" t="n">
        <v>226</v>
      </c>
      <c r="AJ48" s="0" t="s">
        <v>630</v>
      </c>
      <c r="AK48" s="0" t="n">
        <v>0</v>
      </c>
      <c r="AL48" s="0" t="n">
        <v>0</v>
      </c>
      <c r="AM48" s="0" t="n">
        <v>0</v>
      </c>
    </row>
    <row r="49" customFormat="false" ht="12.75" hidden="false" customHeight="false" outlineLevel="0" collapsed="false">
      <c r="A49" s="0" t="s">
        <v>621</v>
      </c>
      <c r="B49" s="0" t="str">
        <f aca="false">'Basis Options'!C54</f>
        <v>NE8609</v>
      </c>
      <c r="C49" s="0" t="s">
        <v>622</v>
      </c>
      <c r="D49" s="0" t="s">
        <v>623</v>
      </c>
      <c r="E49" s="0" t="s">
        <v>131</v>
      </c>
      <c r="F49" s="0" t="str">
        <f aca="false">'Basis Options'!A54</f>
        <v>ELPASMER</v>
      </c>
      <c r="G49" s="0" t="s">
        <v>628</v>
      </c>
      <c r="H49" s="0" t="s">
        <v>625</v>
      </c>
      <c r="I49" s="0" t="s">
        <v>626</v>
      </c>
      <c r="J49" s="0" t="s">
        <v>627</v>
      </c>
      <c r="K49" s="475" t="n">
        <f aca="false">'Basis Options'!G54</f>
        <v>36861</v>
      </c>
      <c r="L49" s="254" t="e">
        <f aca="false">'Basis Options'!U54</f>
        <v>#NAME?</v>
      </c>
      <c r="M49" s="475" t="n">
        <f aca="false">'Basis Options'!Q54</f>
        <v>36859</v>
      </c>
      <c r="N49" s="0" t="str">
        <f aca="false">'Basis Options'!F54</f>
        <v>P</v>
      </c>
      <c r="O49" s="0" t="n">
        <f aca="false">'Basis Options'!I54</f>
        <v>1</v>
      </c>
      <c r="P49" s="0" t="n">
        <v>0</v>
      </c>
      <c r="Q49" s="0" t="n">
        <v>0</v>
      </c>
      <c r="R49" s="0" t="n">
        <v>0</v>
      </c>
      <c r="S49" s="0" t="n">
        <v>0</v>
      </c>
      <c r="T49" s="0" t="s">
        <v>624</v>
      </c>
      <c r="U49" s="0" t="str">
        <f aca="false">IF('Basis Options'!D54="NGI/CHI. GATE","""NGI/CHI. GATE""",TRIM('Basis Options'!D54))</f>
        <v>IF-TRANSCO/Z6</v>
      </c>
      <c r="V49" s="0" t="s">
        <v>624</v>
      </c>
      <c r="W49" s="0" t="s">
        <v>569</v>
      </c>
      <c r="X49" s="0" t="s">
        <v>624</v>
      </c>
      <c r="Y49" s="0" t="s">
        <v>627</v>
      </c>
      <c r="Z49" s="0" t="s">
        <v>629</v>
      </c>
      <c r="AA49" s="0" t="s">
        <v>624</v>
      </c>
      <c r="AB49" s="0" t="s">
        <v>132</v>
      </c>
      <c r="AC49" s="254" t="n">
        <f aca="false">'Basis Options'!H54</f>
        <v>500000</v>
      </c>
      <c r="AD49" s="254" t="e">
        <f aca="false">'Basis Options'!W54</f>
        <v>#NAME?</v>
      </c>
      <c r="AE49" s="0" t="n">
        <v>0</v>
      </c>
      <c r="AF49" s="0" t="n">
        <v>0</v>
      </c>
      <c r="AG49" s="0" t="n">
        <v>0</v>
      </c>
      <c r="AH49" s="254" t="e">
        <f aca="false">'Basis Options'!CD54</f>
        <v>#NAME?</v>
      </c>
      <c r="AI49" s="0" t="n">
        <v>226</v>
      </c>
      <c r="AJ49" s="0" t="s">
        <v>630</v>
      </c>
      <c r="AK49" s="0" t="n">
        <v>0</v>
      </c>
      <c r="AL49" s="0" t="n">
        <v>0</v>
      </c>
      <c r="AM49" s="0" t="n">
        <v>0</v>
      </c>
    </row>
    <row r="50" customFormat="false" ht="12.75" hidden="false" customHeight="false" outlineLevel="0" collapsed="false">
      <c r="A50" s="0" t="s">
        <v>621</v>
      </c>
      <c r="B50" s="0" t="str">
        <f aca="false">'Basis Options'!C55</f>
        <v>NE8644</v>
      </c>
      <c r="C50" s="0" t="s">
        <v>622</v>
      </c>
      <c r="D50" s="0" t="s">
        <v>623</v>
      </c>
      <c r="E50" s="0" t="s">
        <v>131</v>
      </c>
      <c r="F50" s="0" t="str">
        <f aca="false">'Basis Options'!A55</f>
        <v>JARON</v>
      </c>
      <c r="G50" s="0" t="s">
        <v>628</v>
      </c>
      <c r="H50" s="0" t="s">
        <v>625</v>
      </c>
      <c r="I50" s="0" t="s">
        <v>626</v>
      </c>
      <c r="J50" s="0" t="s">
        <v>627</v>
      </c>
      <c r="K50" s="475" t="n">
        <f aca="false">'Basis Options'!G55</f>
        <v>36951</v>
      </c>
      <c r="L50" s="254" t="e">
        <f aca="false">'Basis Options'!U55</f>
        <v>#NAME?</v>
      </c>
      <c r="M50" s="475" t="n">
        <f aca="false">'Basis Options'!Q55</f>
        <v>36949</v>
      </c>
      <c r="N50" s="0" t="str">
        <f aca="false">'Basis Options'!F55</f>
        <v>P</v>
      </c>
      <c r="O50" s="0" t="n">
        <f aca="false">'Basis Options'!I55</f>
        <v>0.75</v>
      </c>
      <c r="P50" s="0" t="n">
        <v>0</v>
      </c>
      <c r="Q50" s="0" t="n">
        <v>0</v>
      </c>
      <c r="R50" s="0" t="n">
        <v>0</v>
      </c>
      <c r="S50" s="0" t="n">
        <v>0</v>
      </c>
      <c r="T50" s="0" t="s">
        <v>624</v>
      </c>
      <c r="U50" s="0" t="str">
        <f aca="false">IF('Basis Options'!D55="NGI/CHI. GATE","""NGI/CHI. GATE""",TRIM('Basis Options'!D55))</f>
        <v>IF-TRANSCO/Z6</v>
      </c>
      <c r="V50" s="0" t="s">
        <v>624</v>
      </c>
      <c r="W50" s="0" t="s">
        <v>569</v>
      </c>
      <c r="X50" s="0" t="s">
        <v>624</v>
      </c>
      <c r="Y50" s="0" t="s">
        <v>627</v>
      </c>
      <c r="Z50" s="0" t="s">
        <v>629</v>
      </c>
      <c r="AA50" s="0" t="s">
        <v>624</v>
      </c>
      <c r="AB50" s="0" t="s">
        <v>132</v>
      </c>
      <c r="AC50" s="254" t="n">
        <f aca="false">'Basis Options'!H55</f>
        <v>500000</v>
      </c>
      <c r="AD50" s="254" t="e">
        <f aca="false">'Basis Options'!W55</f>
        <v>#NAME?</v>
      </c>
      <c r="AE50" s="0" t="n">
        <v>0</v>
      </c>
      <c r="AF50" s="0" t="n">
        <v>0</v>
      </c>
      <c r="AG50" s="0" t="n">
        <v>0</v>
      </c>
      <c r="AH50" s="254" t="e">
        <f aca="false">'Basis Options'!CD55</f>
        <v>#NAME?</v>
      </c>
      <c r="AI50" s="0" t="n">
        <v>226</v>
      </c>
      <c r="AJ50" s="0" t="s">
        <v>630</v>
      </c>
      <c r="AK50" s="0" t="n">
        <v>0</v>
      </c>
      <c r="AL50" s="0" t="n">
        <v>0</v>
      </c>
      <c r="AM50" s="0" t="n">
        <v>0</v>
      </c>
    </row>
    <row r="51" customFormat="false" ht="12.75" hidden="false" customHeight="false" outlineLevel="0" collapsed="false">
      <c r="A51" s="0" t="s">
        <v>621</v>
      </c>
      <c r="B51" s="0" t="str">
        <f aca="false">'Basis Options'!C56</f>
        <v>NE8644</v>
      </c>
      <c r="C51" s="0" t="s">
        <v>622</v>
      </c>
      <c r="D51" s="0" t="s">
        <v>623</v>
      </c>
      <c r="E51" s="0" t="s">
        <v>131</v>
      </c>
      <c r="F51" s="0" t="str">
        <f aca="false">'Basis Options'!A56</f>
        <v>JARON</v>
      </c>
      <c r="G51" s="0" t="s">
        <v>628</v>
      </c>
      <c r="H51" s="0" t="s">
        <v>625</v>
      </c>
      <c r="I51" s="0" t="s">
        <v>626</v>
      </c>
      <c r="J51" s="0" t="s">
        <v>627</v>
      </c>
      <c r="K51" s="475" t="n">
        <f aca="false">'Basis Options'!G56</f>
        <v>36923</v>
      </c>
      <c r="L51" s="254" t="e">
        <f aca="false">'Basis Options'!U56</f>
        <v>#NAME?</v>
      </c>
      <c r="M51" s="475" t="n">
        <f aca="false">'Basis Options'!Q56</f>
        <v>36921</v>
      </c>
      <c r="N51" s="0" t="str">
        <f aca="false">'Basis Options'!F56</f>
        <v>P</v>
      </c>
      <c r="O51" s="0" t="n">
        <f aca="false">'Basis Options'!I56</f>
        <v>0.75</v>
      </c>
      <c r="P51" s="0" t="n">
        <v>0</v>
      </c>
      <c r="Q51" s="0" t="n">
        <v>0</v>
      </c>
      <c r="R51" s="0" t="n">
        <v>0</v>
      </c>
      <c r="S51" s="0" t="n">
        <v>0</v>
      </c>
      <c r="T51" s="0" t="s">
        <v>624</v>
      </c>
      <c r="U51" s="0" t="str">
        <f aca="false">IF('Basis Options'!D56="NGI/CHI. GATE","""NGI/CHI. GATE""",TRIM('Basis Options'!D56))</f>
        <v>IF-TRANSCO/Z6</v>
      </c>
      <c r="V51" s="0" t="s">
        <v>624</v>
      </c>
      <c r="W51" s="0" t="s">
        <v>569</v>
      </c>
      <c r="X51" s="0" t="s">
        <v>624</v>
      </c>
      <c r="Y51" s="0" t="s">
        <v>627</v>
      </c>
      <c r="Z51" s="0" t="s">
        <v>629</v>
      </c>
      <c r="AA51" s="0" t="s">
        <v>624</v>
      </c>
      <c r="AB51" s="0" t="s">
        <v>132</v>
      </c>
      <c r="AC51" s="254" t="n">
        <f aca="false">'Basis Options'!H56</f>
        <v>500000</v>
      </c>
      <c r="AD51" s="254" t="e">
        <f aca="false">'Basis Options'!W56</f>
        <v>#NAME?</v>
      </c>
      <c r="AE51" s="0" t="n">
        <v>0</v>
      </c>
      <c r="AF51" s="0" t="n">
        <v>0</v>
      </c>
      <c r="AG51" s="0" t="n">
        <v>0</v>
      </c>
      <c r="AH51" s="254" t="e">
        <f aca="false">'Basis Options'!CD56</f>
        <v>#NAME?</v>
      </c>
      <c r="AI51" s="0" t="n">
        <v>226</v>
      </c>
      <c r="AJ51" s="0" t="s">
        <v>630</v>
      </c>
      <c r="AK51" s="0" t="n">
        <v>0</v>
      </c>
      <c r="AL51" s="0" t="n">
        <v>0</v>
      </c>
      <c r="AM51" s="0" t="n">
        <v>0</v>
      </c>
    </row>
    <row r="52" customFormat="false" ht="12.75" hidden="false" customHeight="false" outlineLevel="0" collapsed="false">
      <c r="A52" s="0" t="s">
        <v>621</v>
      </c>
      <c r="B52" s="0" t="str">
        <f aca="false">'Basis Options'!C57</f>
        <v>NE8644</v>
      </c>
      <c r="C52" s="0" t="s">
        <v>622</v>
      </c>
      <c r="D52" s="0" t="s">
        <v>623</v>
      </c>
      <c r="E52" s="0" t="s">
        <v>131</v>
      </c>
      <c r="F52" s="0" t="str">
        <f aca="false">'Basis Options'!A57</f>
        <v>JARON</v>
      </c>
      <c r="G52" s="0" t="s">
        <v>628</v>
      </c>
      <c r="H52" s="0" t="s">
        <v>625</v>
      </c>
      <c r="I52" s="0" t="s">
        <v>626</v>
      </c>
      <c r="J52" s="0" t="s">
        <v>627</v>
      </c>
      <c r="K52" s="475" t="n">
        <f aca="false">'Basis Options'!G57</f>
        <v>36892</v>
      </c>
      <c r="L52" s="254" t="e">
        <f aca="false">'Basis Options'!U57</f>
        <v>#NAME?</v>
      </c>
      <c r="M52" s="475" t="n">
        <f aca="false">'Basis Options'!Q57</f>
        <v>36888</v>
      </c>
      <c r="N52" s="0" t="str">
        <f aca="false">'Basis Options'!F57</f>
        <v>P</v>
      </c>
      <c r="O52" s="0" t="n">
        <f aca="false">'Basis Options'!I57</f>
        <v>0.75</v>
      </c>
      <c r="P52" s="0" t="n">
        <v>0</v>
      </c>
      <c r="Q52" s="0" t="n">
        <v>0</v>
      </c>
      <c r="R52" s="0" t="n">
        <v>0</v>
      </c>
      <c r="S52" s="0" t="n">
        <v>0</v>
      </c>
      <c r="T52" s="0" t="s">
        <v>624</v>
      </c>
      <c r="U52" s="0" t="str">
        <f aca="false">IF('Basis Options'!D57="NGI/CHI. GATE","""NGI/CHI. GATE""",TRIM('Basis Options'!D57))</f>
        <v>IF-TRANSCO/Z6</v>
      </c>
      <c r="V52" s="0" t="s">
        <v>624</v>
      </c>
      <c r="W52" s="0" t="s">
        <v>569</v>
      </c>
      <c r="X52" s="0" t="s">
        <v>624</v>
      </c>
      <c r="Y52" s="0" t="s">
        <v>627</v>
      </c>
      <c r="Z52" s="0" t="s">
        <v>629</v>
      </c>
      <c r="AA52" s="0" t="s">
        <v>624</v>
      </c>
      <c r="AB52" s="0" t="s">
        <v>132</v>
      </c>
      <c r="AC52" s="254" t="n">
        <f aca="false">'Basis Options'!H57</f>
        <v>500000</v>
      </c>
      <c r="AD52" s="254" t="e">
        <f aca="false">'Basis Options'!W57</f>
        <v>#NAME?</v>
      </c>
      <c r="AE52" s="0" t="n">
        <v>0</v>
      </c>
      <c r="AF52" s="0" t="n">
        <v>0</v>
      </c>
      <c r="AG52" s="0" t="n">
        <v>0</v>
      </c>
      <c r="AH52" s="254" t="e">
        <f aca="false">'Basis Options'!CD57</f>
        <v>#NAME?</v>
      </c>
      <c r="AI52" s="0" t="n">
        <v>226</v>
      </c>
      <c r="AJ52" s="0" t="s">
        <v>630</v>
      </c>
      <c r="AK52" s="0" t="n">
        <v>0</v>
      </c>
      <c r="AL52" s="0" t="n">
        <v>0</v>
      </c>
      <c r="AM52" s="0" t="n">
        <v>0</v>
      </c>
    </row>
    <row r="53" customFormat="false" ht="12.75" hidden="false" customHeight="false" outlineLevel="0" collapsed="false">
      <c r="A53" s="0" t="s">
        <v>621</v>
      </c>
      <c r="B53" s="0" t="str">
        <f aca="false">'Basis Options'!C58</f>
        <v>NE8644</v>
      </c>
      <c r="C53" s="0" t="s">
        <v>622</v>
      </c>
      <c r="D53" s="0" t="s">
        <v>623</v>
      </c>
      <c r="E53" s="0" t="s">
        <v>131</v>
      </c>
      <c r="F53" s="0" t="str">
        <f aca="false">'Basis Options'!A58</f>
        <v>JARON</v>
      </c>
      <c r="G53" s="0" t="s">
        <v>628</v>
      </c>
      <c r="H53" s="0" t="s">
        <v>625</v>
      </c>
      <c r="I53" s="0" t="s">
        <v>626</v>
      </c>
      <c r="J53" s="0" t="s">
        <v>627</v>
      </c>
      <c r="K53" s="475" t="n">
        <f aca="false">'Basis Options'!G58</f>
        <v>36861</v>
      </c>
      <c r="L53" s="254" t="e">
        <f aca="false">'Basis Options'!U58</f>
        <v>#NAME?</v>
      </c>
      <c r="M53" s="475" t="n">
        <f aca="false">'Basis Options'!Q58</f>
        <v>36859</v>
      </c>
      <c r="N53" s="0" t="str">
        <f aca="false">'Basis Options'!F58</f>
        <v>P</v>
      </c>
      <c r="O53" s="0" t="n">
        <f aca="false">'Basis Options'!I58</f>
        <v>0.75</v>
      </c>
      <c r="P53" s="0" t="n">
        <v>0</v>
      </c>
      <c r="Q53" s="0" t="n">
        <v>0</v>
      </c>
      <c r="R53" s="0" t="n">
        <v>0</v>
      </c>
      <c r="S53" s="0" t="n">
        <v>0</v>
      </c>
      <c r="T53" s="0" t="s">
        <v>624</v>
      </c>
      <c r="U53" s="0" t="str">
        <f aca="false">IF('Basis Options'!D58="NGI/CHI. GATE","""NGI/CHI. GATE""",TRIM('Basis Options'!D58))</f>
        <v>IF-TRANSCO/Z6</v>
      </c>
      <c r="V53" s="0" t="s">
        <v>624</v>
      </c>
      <c r="W53" s="0" t="s">
        <v>569</v>
      </c>
      <c r="X53" s="0" t="s">
        <v>624</v>
      </c>
      <c r="Y53" s="0" t="s">
        <v>627</v>
      </c>
      <c r="Z53" s="0" t="s">
        <v>629</v>
      </c>
      <c r="AA53" s="0" t="s">
        <v>624</v>
      </c>
      <c r="AB53" s="0" t="s">
        <v>132</v>
      </c>
      <c r="AC53" s="254" t="n">
        <f aca="false">'Basis Options'!H58</f>
        <v>500000</v>
      </c>
      <c r="AD53" s="254" t="e">
        <f aca="false">'Basis Options'!W58</f>
        <v>#NAME?</v>
      </c>
      <c r="AE53" s="0" t="n">
        <v>0</v>
      </c>
      <c r="AF53" s="0" t="n">
        <v>0</v>
      </c>
      <c r="AG53" s="0" t="n">
        <v>0</v>
      </c>
      <c r="AH53" s="254" t="e">
        <f aca="false">'Basis Options'!CD58</f>
        <v>#NAME?</v>
      </c>
      <c r="AI53" s="0" t="n">
        <v>226</v>
      </c>
      <c r="AJ53" s="0" t="s">
        <v>630</v>
      </c>
      <c r="AK53" s="0" t="n">
        <v>0</v>
      </c>
      <c r="AL53" s="0" t="n">
        <v>0</v>
      </c>
      <c r="AM53" s="0" t="n">
        <v>0</v>
      </c>
    </row>
    <row r="54" customFormat="false" ht="12.75" hidden="false" customHeight="false" outlineLevel="0" collapsed="false">
      <c r="A54" s="0" t="s">
        <v>621</v>
      </c>
      <c r="B54" s="0" t="str">
        <f aca="false">'Basis Options'!C59</f>
        <v>NE8644</v>
      </c>
      <c r="C54" s="0" t="s">
        <v>622</v>
      </c>
      <c r="D54" s="0" t="s">
        <v>623</v>
      </c>
      <c r="E54" s="0" t="s">
        <v>131</v>
      </c>
      <c r="F54" s="0" t="str">
        <f aca="false">'Basis Options'!A59</f>
        <v>JARON</v>
      </c>
      <c r="G54" s="0" t="s">
        <v>628</v>
      </c>
      <c r="H54" s="0" t="s">
        <v>625</v>
      </c>
      <c r="I54" s="0" t="s">
        <v>626</v>
      </c>
      <c r="J54" s="0" t="s">
        <v>627</v>
      </c>
      <c r="K54" s="475" t="n">
        <f aca="false">'Basis Options'!G59</f>
        <v>36831</v>
      </c>
      <c r="L54" s="254" t="e">
        <f aca="false">'Basis Options'!U59</f>
        <v>#NAME?</v>
      </c>
      <c r="M54" s="475" t="n">
        <f aca="false">'Basis Options'!Q59</f>
        <v>36829</v>
      </c>
      <c r="N54" s="0" t="str">
        <f aca="false">'Basis Options'!F59</f>
        <v>P</v>
      </c>
      <c r="O54" s="0" t="n">
        <f aca="false">'Basis Options'!I59</f>
        <v>0.75</v>
      </c>
      <c r="P54" s="0" t="n">
        <v>0</v>
      </c>
      <c r="Q54" s="0" t="n">
        <v>0</v>
      </c>
      <c r="R54" s="0" t="n">
        <v>0</v>
      </c>
      <c r="S54" s="0" t="n">
        <v>0</v>
      </c>
      <c r="T54" s="0" t="s">
        <v>624</v>
      </c>
      <c r="U54" s="0" t="str">
        <f aca="false">IF('Basis Options'!D59="NGI/CHI. GATE","""NGI/CHI. GATE""",TRIM('Basis Options'!D59))</f>
        <v>IF-TRANSCO/Z6</v>
      </c>
      <c r="V54" s="0" t="s">
        <v>624</v>
      </c>
      <c r="W54" s="0" t="s">
        <v>569</v>
      </c>
      <c r="X54" s="0" t="s">
        <v>624</v>
      </c>
      <c r="Y54" s="0" t="s">
        <v>627</v>
      </c>
      <c r="Z54" s="0" t="s">
        <v>629</v>
      </c>
      <c r="AA54" s="0" t="s">
        <v>624</v>
      </c>
      <c r="AB54" s="0" t="s">
        <v>132</v>
      </c>
      <c r="AC54" s="254" t="n">
        <f aca="false">'Basis Options'!H59</f>
        <v>500000</v>
      </c>
      <c r="AD54" s="254" t="e">
        <f aca="false">'Basis Options'!W59</f>
        <v>#NAME?</v>
      </c>
      <c r="AE54" s="0" t="n">
        <v>0</v>
      </c>
      <c r="AF54" s="0" t="n">
        <v>0</v>
      </c>
      <c r="AG54" s="0" t="n">
        <v>0</v>
      </c>
      <c r="AH54" s="254" t="e">
        <f aca="false">'Basis Options'!CD59</f>
        <v>#NAME?</v>
      </c>
      <c r="AI54" s="0" t="n">
        <v>226</v>
      </c>
      <c r="AJ54" s="0" t="s">
        <v>630</v>
      </c>
      <c r="AK54" s="0" t="n">
        <v>0</v>
      </c>
      <c r="AL54" s="0" t="n">
        <v>0</v>
      </c>
      <c r="AM54" s="0" t="n">
        <v>0</v>
      </c>
    </row>
    <row r="55" customFormat="false" ht="12.75" hidden="false" customHeight="false" outlineLevel="0" collapsed="false">
      <c r="A55" s="0" t="s">
        <v>621</v>
      </c>
      <c r="B55" s="0" t="str">
        <f aca="false">'Basis Options'!C60</f>
        <v>NE9017</v>
      </c>
      <c r="C55" s="0" t="s">
        <v>622</v>
      </c>
      <c r="D55" s="0" t="s">
        <v>623</v>
      </c>
      <c r="E55" s="0" t="s">
        <v>131</v>
      </c>
      <c r="F55" s="0" t="str">
        <f aca="false">'Basis Options'!A60</f>
        <v>ELPASMER</v>
      </c>
      <c r="G55" s="0" t="s">
        <v>628</v>
      </c>
      <c r="H55" s="0" t="s">
        <v>625</v>
      </c>
      <c r="I55" s="0" t="s">
        <v>626</v>
      </c>
      <c r="J55" s="0" t="s">
        <v>627</v>
      </c>
      <c r="K55" s="475" t="n">
        <f aca="false">'Basis Options'!G60</f>
        <v>36951</v>
      </c>
      <c r="L55" s="254" t="e">
        <f aca="false">'Basis Options'!U60</f>
        <v>#NAME?</v>
      </c>
      <c r="M55" s="475" t="n">
        <f aca="false">'Basis Options'!Q60</f>
        <v>36949</v>
      </c>
      <c r="N55" s="0" t="str">
        <f aca="false">'Basis Options'!F60</f>
        <v>C</v>
      </c>
      <c r="O55" s="0" t="n">
        <f aca="false">'Basis Options'!I60</f>
        <v>1.15</v>
      </c>
      <c r="P55" s="0" t="n">
        <v>0</v>
      </c>
      <c r="Q55" s="0" t="n">
        <v>0</v>
      </c>
      <c r="R55" s="0" t="n">
        <v>0</v>
      </c>
      <c r="S55" s="0" t="n">
        <v>0</v>
      </c>
      <c r="T55" s="0" t="s">
        <v>624</v>
      </c>
      <c r="U55" s="0" t="str">
        <f aca="false">IF('Basis Options'!D60="NGI/CHI. GATE","""NGI/CHI. GATE""",TRIM('Basis Options'!D60))</f>
        <v>IF-TRANSCO/Z6</v>
      </c>
      <c r="V55" s="0" t="s">
        <v>624</v>
      </c>
      <c r="W55" s="0" t="s">
        <v>569</v>
      </c>
      <c r="X55" s="0" t="s">
        <v>624</v>
      </c>
      <c r="Y55" s="0" t="s">
        <v>627</v>
      </c>
      <c r="Z55" s="0" t="s">
        <v>629</v>
      </c>
      <c r="AA55" s="0" t="s">
        <v>624</v>
      </c>
      <c r="AB55" s="0" t="s">
        <v>132</v>
      </c>
      <c r="AC55" s="254" t="n">
        <f aca="false">'Basis Options'!H60</f>
        <v>-500000</v>
      </c>
      <c r="AD55" s="254" t="e">
        <f aca="false">'Basis Options'!W60</f>
        <v>#NAME?</v>
      </c>
      <c r="AE55" s="0" t="n">
        <v>0</v>
      </c>
      <c r="AF55" s="0" t="n">
        <v>0</v>
      </c>
      <c r="AG55" s="0" t="n">
        <v>0</v>
      </c>
      <c r="AH55" s="254" t="e">
        <f aca="false">'Basis Options'!CD60</f>
        <v>#NAME?</v>
      </c>
      <c r="AI55" s="0" t="n">
        <v>226</v>
      </c>
      <c r="AJ55" s="0" t="s">
        <v>630</v>
      </c>
      <c r="AK55" s="0" t="n">
        <v>0</v>
      </c>
      <c r="AL55" s="0" t="n">
        <v>0</v>
      </c>
      <c r="AM55" s="0" t="n">
        <v>0</v>
      </c>
    </row>
    <row r="56" customFormat="false" ht="12.75" hidden="false" customHeight="false" outlineLevel="0" collapsed="false">
      <c r="A56" s="0" t="s">
        <v>621</v>
      </c>
      <c r="B56" s="0" t="str">
        <f aca="false">'Basis Options'!C61</f>
        <v>NE9017</v>
      </c>
      <c r="C56" s="0" t="s">
        <v>622</v>
      </c>
      <c r="D56" s="0" t="s">
        <v>623</v>
      </c>
      <c r="E56" s="0" t="s">
        <v>131</v>
      </c>
      <c r="F56" s="0" t="str">
        <f aca="false">'Basis Options'!A61</f>
        <v>ELPASMER</v>
      </c>
      <c r="G56" s="0" t="s">
        <v>628</v>
      </c>
      <c r="H56" s="0" t="s">
        <v>625</v>
      </c>
      <c r="I56" s="0" t="s">
        <v>626</v>
      </c>
      <c r="J56" s="0" t="s">
        <v>627</v>
      </c>
      <c r="K56" s="475" t="n">
        <f aca="false">'Basis Options'!G61</f>
        <v>36923</v>
      </c>
      <c r="L56" s="254" t="e">
        <f aca="false">'Basis Options'!U61</f>
        <v>#NAME?</v>
      </c>
      <c r="M56" s="475" t="n">
        <f aca="false">'Basis Options'!Q61</f>
        <v>36921</v>
      </c>
      <c r="N56" s="0" t="str">
        <f aca="false">'Basis Options'!F61</f>
        <v>C</v>
      </c>
      <c r="O56" s="0" t="n">
        <f aca="false">'Basis Options'!I61</f>
        <v>1.15</v>
      </c>
      <c r="P56" s="0" t="n">
        <v>0</v>
      </c>
      <c r="Q56" s="0" t="n">
        <v>0</v>
      </c>
      <c r="R56" s="0" t="n">
        <v>0</v>
      </c>
      <c r="S56" s="0" t="n">
        <v>0</v>
      </c>
      <c r="T56" s="0" t="s">
        <v>624</v>
      </c>
      <c r="U56" s="0" t="str">
        <f aca="false">IF('Basis Options'!D61="NGI/CHI. GATE","""NGI/CHI. GATE""",TRIM('Basis Options'!D61))</f>
        <v>IF-TRANSCO/Z6</v>
      </c>
      <c r="V56" s="0" t="s">
        <v>624</v>
      </c>
      <c r="W56" s="0" t="s">
        <v>569</v>
      </c>
      <c r="X56" s="0" t="s">
        <v>624</v>
      </c>
      <c r="Y56" s="0" t="s">
        <v>627</v>
      </c>
      <c r="Z56" s="0" t="s">
        <v>629</v>
      </c>
      <c r="AA56" s="0" t="s">
        <v>624</v>
      </c>
      <c r="AB56" s="0" t="s">
        <v>132</v>
      </c>
      <c r="AC56" s="254" t="n">
        <f aca="false">'Basis Options'!H61</f>
        <v>-500000</v>
      </c>
      <c r="AD56" s="254" t="e">
        <f aca="false">'Basis Options'!W61</f>
        <v>#NAME?</v>
      </c>
      <c r="AE56" s="0" t="n">
        <v>0</v>
      </c>
      <c r="AF56" s="0" t="n">
        <v>0</v>
      </c>
      <c r="AG56" s="0" t="n">
        <v>0</v>
      </c>
      <c r="AH56" s="254" t="e">
        <f aca="false">'Basis Options'!CD61</f>
        <v>#NAME?</v>
      </c>
      <c r="AI56" s="0" t="n">
        <v>226</v>
      </c>
      <c r="AJ56" s="0" t="s">
        <v>630</v>
      </c>
      <c r="AK56" s="0" t="n">
        <v>0</v>
      </c>
      <c r="AL56" s="0" t="n">
        <v>0</v>
      </c>
      <c r="AM56" s="0" t="n">
        <v>0</v>
      </c>
    </row>
    <row r="57" customFormat="false" ht="12.75" hidden="false" customHeight="false" outlineLevel="0" collapsed="false">
      <c r="A57" s="0" t="s">
        <v>621</v>
      </c>
      <c r="B57" s="0" t="str">
        <f aca="false">'Basis Options'!C62</f>
        <v>NE9017</v>
      </c>
      <c r="C57" s="0" t="s">
        <v>622</v>
      </c>
      <c r="D57" s="0" t="s">
        <v>623</v>
      </c>
      <c r="E57" s="0" t="s">
        <v>131</v>
      </c>
      <c r="F57" s="0" t="str">
        <f aca="false">'Basis Options'!A62</f>
        <v>ELPASMER</v>
      </c>
      <c r="G57" s="0" t="s">
        <v>628</v>
      </c>
      <c r="H57" s="0" t="s">
        <v>625</v>
      </c>
      <c r="I57" s="0" t="s">
        <v>626</v>
      </c>
      <c r="J57" s="0" t="s">
        <v>627</v>
      </c>
      <c r="K57" s="475" t="n">
        <f aca="false">'Basis Options'!G62</f>
        <v>36892</v>
      </c>
      <c r="L57" s="254" t="e">
        <f aca="false">'Basis Options'!U62</f>
        <v>#NAME?</v>
      </c>
      <c r="M57" s="475" t="n">
        <f aca="false">'Basis Options'!Q62</f>
        <v>36888</v>
      </c>
      <c r="N57" s="0" t="str">
        <f aca="false">'Basis Options'!F62</f>
        <v>C</v>
      </c>
      <c r="O57" s="0" t="n">
        <f aca="false">'Basis Options'!I62</f>
        <v>1.15</v>
      </c>
      <c r="P57" s="0" t="n">
        <v>0</v>
      </c>
      <c r="Q57" s="0" t="n">
        <v>0</v>
      </c>
      <c r="R57" s="0" t="n">
        <v>0</v>
      </c>
      <c r="S57" s="0" t="n">
        <v>0</v>
      </c>
      <c r="T57" s="0" t="s">
        <v>624</v>
      </c>
      <c r="U57" s="0" t="str">
        <f aca="false">IF('Basis Options'!D62="NGI/CHI. GATE","""NGI/CHI. GATE""",TRIM('Basis Options'!D62))</f>
        <v>IF-TRANSCO/Z6</v>
      </c>
      <c r="V57" s="0" t="s">
        <v>624</v>
      </c>
      <c r="W57" s="0" t="s">
        <v>569</v>
      </c>
      <c r="X57" s="0" t="s">
        <v>624</v>
      </c>
      <c r="Y57" s="0" t="s">
        <v>627</v>
      </c>
      <c r="Z57" s="0" t="s">
        <v>629</v>
      </c>
      <c r="AA57" s="0" t="s">
        <v>624</v>
      </c>
      <c r="AB57" s="0" t="s">
        <v>132</v>
      </c>
      <c r="AC57" s="254" t="n">
        <f aca="false">'Basis Options'!H62</f>
        <v>-500000</v>
      </c>
      <c r="AD57" s="254" t="e">
        <f aca="false">'Basis Options'!W62</f>
        <v>#NAME?</v>
      </c>
      <c r="AE57" s="0" t="n">
        <v>0</v>
      </c>
      <c r="AF57" s="0" t="n">
        <v>0</v>
      </c>
      <c r="AG57" s="0" t="n">
        <v>0</v>
      </c>
      <c r="AH57" s="254" t="e">
        <f aca="false">'Basis Options'!CD62</f>
        <v>#NAME?</v>
      </c>
      <c r="AI57" s="0" t="n">
        <v>226</v>
      </c>
      <c r="AJ57" s="0" t="s">
        <v>630</v>
      </c>
      <c r="AK57" s="0" t="n">
        <v>0</v>
      </c>
      <c r="AL57" s="0" t="n">
        <v>0</v>
      </c>
      <c r="AM57" s="0" t="n">
        <v>0</v>
      </c>
    </row>
    <row r="58" customFormat="false" ht="12.75" hidden="false" customHeight="false" outlineLevel="0" collapsed="false">
      <c r="A58" s="0" t="s">
        <v>621</v>
      </c>
      <c r="B58" s="0" t="str">
        <f aca="false">'Basis Options'!C63</f>
        <v>NE9017</v>
      </c>
      <c r="C58" s="0" t="s">
        <v>622</v>
      </c>
      <c r="D58" s="0" t="s">
        <v>623</v>
      </c>
      <c r="E58" s="0" t="s">
        <v>131</v>
      </c>
      <c r="F58" s="0" t="str">
        <f aca="false">'Basis Options'!A63</f>
        <v>ELPASMER</v>
      </c>
      <c r="G58" s="0" t="s">
        <v>628</v>
      </c>
      <c r="H58" s="0" t="s">
        <v>625</v>
      </c>
      <c r="I58" s="0" t="s">
        <v>626</v>
      </c>
      <c r="J58" s="0" t="s">
        <v>627</v>
      </c>
      <c r="K58" s="475" t="n">
        <f aca="false">'Basis Options'!G63</f>
        <v>36861</v>
      </c>
      <c r="L58" s="254" t="e">
        <f aca="false">'Basis Options'!U63</f>
        <v>#NAME?</v>
      </c>
      <c r="M58" s="475" t="n">
        <f aca="false">'Basis Options'!Q63</f>
        <v>36859</v>
      </c>
      <c r="N58" s="0" t="str">
        <f aca="false">'Basis Options'!F63</f>
        <v>C</v>
      </c>
      <c r="O58" s="0" t="n">
        <f aca="false">'Basis Options'!I63</f>
        <v>1.15</v>
      </c>
      <c r="P58" s="0" t="n">
        <v>0</v>
      </c>
      <c r="Q58" s="0" t="n">
        <v>0</v>
      </c>
      <c r="R58" s="0" t="n">
        <v>0</v>
      </c>
      <c r="S58" s="0" t="n">
        <v>0</v>
      </c>
      <c r="T58" s="0" t="s">
        <v>624</v>
      </c>
      <c r="U58" s="0" t="str">
        <f aca="false">IF('Basis Options'!D63="NGI/CHI. GATE","""NGI/CHI. GATE""",TRIM('Basis Options'!D63))</f>
        <v>IF-TRANSCO/Z6</v>
      </c>
      <c r="V58" s="0" t="s">
        <v>624</v>
      </c>
      <c r="W58" s="0" t="s">
        <v>569</v>
      </c>
      <c r="X58" s="0" t="s">
        <v>624</v>
      </c>
      <c r="Y58" s="0" t="s">
        <v>627</v>
      </c>
      <c r="Z58" s="0" t="s">
        <v>629</v>
      </c>
      <c r="AA58" s="0" t="s">
        <v>624</v>
      </c>
      <c r="AB58" s="0" t="s">
        <v>132</v>
      </c>
      <c r="AC58" s="254" t="n">
        <f aca="false">'Basis Options'!H63</f>
        <v>-500000</v>
      </c>
      <c r="AD58" s="254" t="e">
        <f aca="false">'Basis Options'!W63</f>
        <v>#NAME?</v>
      </c>
      <c r="AE58" s="0" t="n">
        <v>0</v>
      </c>
      <c r="AF58" s="0" t="n">
        <v>0</v>
      </c>
      <c r="AG58" s="0" t="n">
        <v>0</v>
      </c>
      <c r="AH58" s="254" t="e">
        <f aca="false">'Basis Options'!CD63</f>
        <v>#NAME?</v>
      </c>
      <c r="AI58" s="0" t="n">
        <v>226</v>
      </c>
      <c r="AJ58" s="0" t="s">
        <v>630</v>
      </c>
      <c r="AK58" s="0" t="n">
        <v>0</v>
      </c>
      <c r="AL58" s="0" t="n">
        <v>0</v>
      </c>
      <c r="AM58" s="0" t="n">
        <v>0</v>
      </c>
    </row>
    <row r="59" customFormat="false" ht="12.75" hidden="false" customHeight="false" outlineLevel="0" collapsed="false">
      <c r="A59" s="0" t="s">
        <v>621</v>
      </c>
      <c r="B59" s="0" t="str">
        <f aca="false">'Basis Options'!C64</f>
        <v>NE9017</v>
      </c>
      <c r="C59" s="0" t="s">
        <v>622</v>
      </c>
      <c r="D59" s="0" t="s">
        <v>623</v>
      </c>
      <c r="E59" s="0" t="s">
        <v>131</v>
      </c>
      <c r="F59" s="0" t="str">
        <f aca="false">'Basis Options'!A64</f>
        <v>ELPASMER</v>
      </c>
      <c r="G59" s="0" t="s">
        <v>628</v>
      </c>
      <c r="H59" s="0" t="s">
        <v>625</v>
      </c>
      <c r="I59" s="0" t="s">
        <v>626</v>
      </c>
      <c r="J59" s="0" t="s">
        <v>627</v>
      </c>
      <c r="K59" s="475" t="n">
        <f aca="false">'Basis Options'!G64</f>
        <v>36831</v>
      </c>
      <c r="L59" s="254" t="e">
        <f aca="false">'Basis Options'!U64</f>
        <v>#NAME?</v>
      </c>
      <c r="M59" s="475" t="n">
        <f aca="false">'Basis Options'!Q64</f>
        <v>36829</v>
      </c>
      <c r="N59" s="0" t="str">
        <f aca="false">'Basis Options'!F64</f>
        <v>C</v>
      </c>
      <c r="O59" s="0" t="n">
        <f aca="false">'Basis Options'!I64</f>
        <v>1.15</v>
      </c>
      <c r="P59" s="0" t="n">
        <v>0</v>
      </c>
      <c r="Q59" s="0" t="n">
        <v>0</v>
      </c>
      <c r="R59" s="0" t="n">
        <v>0</v>
      </c>
      <c r="S59" s="0" t="n">
        <v>0</v>
      </c>
      <c r="T59" s="0" t="s">
        <v>624</v>
      </c>
      <c r="U59" s="0" t="str">
        <f aca="false">IF('Basis Options'!D64="NGI/CHI. GATE","""NGI/CHI. GATE""",TRIM('Basis Options'!D64))</f>
        <v>IF-TRANSCO/Z6</v>
      </c>
      <c r="V59" s="0" t="s">
        <v>624</v>
      </c>
      <c r="W59" s="0" t="s">
        <v>569</v>
      </c>
      <c r="X59" s="0" t="s">
        <v>624</v>
      </c>
      <c r="Y59" s="0" t="s">
        <v>627</v>
      </c>
      <c r="Z59" s="0" t="s">
        <v>629</v>
      </c>
      <c r="AA59" s="0" t="s">
        <v>624</v>
      </c>
      <c r="AB59" s="0" t="s">
        <v>132</v>
      </c>
      <c r="AC59" s="254" t="n">
        <f aca="false">'Basis Options'!H64</f>
        <v>-500000</v>
      </c>
      <c r="AD59" s="254" t="e">
        <f aca="false">'Basis Options'!W64</f>
        <v>#NAME?</v>
      </c>
      <c r="AE59" s="0" t="n">
        <v>0</v>
      </c>
      <c r="AF59" s="0" t="n">
        <v>0</v>
      </c>
      <c r="AG59" s="0" t="n">
        <v>0</v>
      </c>
      <c r="AH59" s="254" t="e">
        <f aca="false">'Basis Options'!CD64</f>
        <v>#NAME?</v>
      </c>
      <c r="AI59" s="0" t="n">
        <v>226</v>
      </c>
      <c r="AJ59" s="0" t="s">
        <v>630</v>
      </c>
      <c r="AK59" s="0" t="n">
        <v>0</v>
      </c>
      <c r="AL59" s="0" t="n">
        <v>0</v>
      </c>
      <c r="AM59" s="0" t="n">
        <v>0</v>
      </c>
    </row>
    <row r="60" customFormat="false" ht="12.75" hidden="false" customHeight="false" outlineLevel="0" collapsed="false">
      <c r="A60" s="0" t="s">
        <v>621</v>
      </c>
      <c r="B60" s="0" t="str">
        <f aca="false">'Basis Options'!C65</f>
        <v>NF0077.1</v>
      </c>
      <c r="C60" s="0" t="s">
        <v>622</v>
      </c>
      <c r="D60" s="0" t="s">
        <v>623</v>
      </c>
      <c r="E60" s="0" t="s">
        <v>131</v>
      </c>
      <c r="F60" s="0" t="str">
        <f aca="false">'Basis Options'!A65</f>
        <v>JARON</v>
      </c>
      <c r="G60" s="0" t="s">
        <v>628</v>
      </c>
      <c r="H60" s="0" t="s">
        <v>625</v>
      </c>
      <c r="I60" s="0" t="s">
        <v>626</v>
      </c>
      <c r="J60" s="0" t="s">
        <v>627</v>
      </c>
      <c r="K60" s="475" t="n">
        <f aca="false">'Basis Options'!G65</f>
        <v>36800</v>
      </c>
      <c r="L60" s="254" t="e">
        <f aca="false">'Basis Options'!U65</f>
        <v>#NAME?</v>
      </c>
      <c r="M60" s="475" t="n">
        <f aca="false">'Basis Options'!Q65</f>
        <v>36797</v>
      </c>
      <c r="N60" s="0" t="str">
        <f aca="false">'Basis Options'!F65</f>
        <v>C</v>
      </c>
      <c r="O60" s="0" t="n">
        <f aca="false">'Basis Options'!I65</f>
        <v>0.3</v>
      </c>
      <c r="P60" s="0" t="n">
        <v>0</v>
      </c>
      <c r="Q60" s="0" t="n">
        <v>0</v>
      </c>
      <c r="R60" s="0" t="n">
        <v>0</v>
      </c>
      <c r="S60" s="0" t="n">
        <v>0</v>
      </c>
      <c r="T60" s="0" t="s">
        <v>624</v>
      </c>
      <c r="U60" s="0" t="str">
        <f aca="false">IF('Basis Options'!D65="NGI/CHI. GATE","""NGI/CHI. GATE""",TRIM('Basis Options'!D65))</f>
        <v>IF-TRANSCO/Z6</v>
      </c>
      <c r="V60" s="0" t="s">
        <v>624</v>
      </c>
      <c r="W60" s="0" t="s">
        <v>569</v>
      </c>
      <c r="X60" s="0" t="s">
        <v>624</v>
      </c>
      <c r="Y60" s="0" t="s">
        <v>627</v>
      </c>
      <c r="Z60" s="0" t="s">
        <v>629</v>
      </c>
      <c r="AA60" s="0" t="s">
        <v>624</v>
      </c>
      <c r="AB60" s="0" t="s">
        <v>132</v>
      </c>
      <c r="AC60" s="254" t="n">
        <f aca="false">'Basis Options'!H65</f>
        <v>-250000</v>
      </c>
      <c r="AD60" s="254" t="e">
        <f aca="false">'Basis Options'!W65</f>
        <v>#NAME?</v>
      </c>
      <c r="AE60" s="0" t="n">
        <v>0</v>
      </c>
      <c r="AF60" s="0" t="n">
        <v>0</v>
      </c>
      <c r="AG60" s="0" t="n">
        <v>0</v>
      </c>
      <c r="AH60" s="254" t="e">
        <f aca="false">'Basis Options'!CD65</f>
        <v>#NAME?</v>
      </c>
      <c r="AI60" s="0" t="n">
        <v>226</v>
      </c>
      <c r="AJ60" s="0" t="s">
        <v>630</v>
      </c>
      <c r="AK60" s="0" t="n">
        <v>0</v>
      </c>
      <c r="AL60" s="0" t="n">
        <v>0</v>
      </c>
      <c r="AM60" s="0" t="n">
        <v>0</v>
      </c>
    </row>
    <row r="61" customFormat="false" ht="12.75" hidden="false" customHeight="false" outlineLevel="0" collapsed="false">
      <c r="A61" s="0" t="s">
        <v>621</v>
      </c>
      <c r="B61" s="0" t="str">
        <f aca="false">'Basis Options'!C66</f>
        <v>NF0077.1</v>
      </c>
      <c r="C61" s="0" t="s">
        <v>622</v>
      </c>
      <c r="D61" s="0" t="s">
        <v>623</v>
      </c>
      <c r="E61" s="0" t="s">
        <v>131</v>
      </c>
      <c r="F61" s="0" t="str">
        <f aca="false">'Basis Options'!A66</f>
        <v>JARON</v>
      </c>
      <c r="G61" s="0" t="s">
        <v>628</v>
      </c>
      <c r="H61" s="0" t="s">
        <v>625</v>
      </c>
      <c r="I61" s="0" t="s">
        <v>626</v>
      </c>
      <c r="J61" s="0" t="s">
        <v>627</v>
      </c>
      <c r="K61" s="475" t="n">
        <f aca="false">'Basis Options'!G66</f>
        <v>36770</v>
      </c>
      <c r="L61" s="254" t="e">
        <f aca="false">'Basis Options'!U66</f>
        <v>#NAME?</v>
      </c>
      <c r="M61" s="475" t="n">
        <f aca="false">'Basis Options'!Q66</f>
        <v>36768</v>
      </c>
      <c r="N61" s="0" t="str">
        <f aca="false">'Basis Options'!F66</f>
        <v>C</v>
      </c>
      <c r="O61" s="0" t="n">
        <f aca="false">'Basis Options'!I66</f>
        <v>0.3</v>
      </c>
      <c r="P61" s="0" t="n">
        <v>0</v>
      </c>
      <c r="Q61" s="0" t="n">
        <v>0</v>
      </c>
      <c r="R61" s="0" t="n">
        <v>0</v>
      </c>
      <c r="S61" s="0" t="n">
        <v>0</v>
      </c>
      <c r="T61" s="0" t="s">
        <v>624</v>
      </c>
      <c r="U61" s="0" t="str">
        <f aca="false">IF('Basis Options'!D66="NGI/CHI. GATE","""NGI/CHI. GATE""",TRIM('Basis Options'!D66))</f>
        <v>IF-TRANSCO/Z6</v>
      </c>
      <c r="V61" s="0" t="s">
        <v>624</v>
      </c>
      <c r="W61" s="0" t="s">
        <v>569</v>
      </c>
      <c r="X61" s="0" t="s">
        <v>624</v>
      </c>
      <c r="Y61" s="0" t="s">
        <v>627</v>
      </c>
      <c r="Z61" s="0" t="s">
        <v>629</v>
      </c>
      <c r="AA61" s="0" t="s">
        <v>624</v>
      </c>
      <c r="AB61" s="0" t="s">
        <v>132</v>
      </c>
      <c r="AC61" s="254" t="n">
        <f aca="false">'Basis Options'!H66</f>
        <v>-250000</v>
      </c>
      <c r="AD61" s="254" t="e">
        <f aca="false">'Basis Options'!W66</f>
        <v>#NAME?</v>
      </c>
      <c r="AE61" s="0" t="n">
        <v>0</v>
      </c>
      <c r="AF61" s="0" t="n">
        <v>0</v>
      </c>
      <c r="AG61" s="0" t="n">
        <v>0</v>
      </c>
      <c r="AH61" s="254" t="e">
        <f aca="false">'Basis Options'!CD66</f>
        <v>#NAME?</v>
      </c>
      <c r="AI61" s="0" t="n">
        <v>226</v>
      </c>
      <c r="AJ61" s="0" t="s">
        <v>630</v>
      </c>
      <c r="AK61" s="0" t="n">
        <v>0</v>
      </c>
      <c r="AL61" s="0" t="n">
        <v>0</v>
      </c>
      <c r="AM61" s="0" t="n">
        <v>0</v>
      </c>
    </row>
    <row r="62" customFormat="false" ht="12.75" hidden="false" customHeight="false" outlineLevel="0" collapsed="false">
      <c r="A62" s="0" t="s">
        <v>621</v>
      </c>
      <c r="B62" s="0" t="str">
        <f aca="false">'Basis Options'!C67</f>
        <v>NF0077.2</v>
      </c>
      <c r="C62" s="0" t="s">
        <v>622</v>
      </c>
      <c r="D62" s="0" t="s">
        <v>623</v>
      </c>
      <c r="E62" s="0" t="s">
        <v>131</v>
      </c>
      <c r="F62" s="0" t="str">
        <f aca="false">'Basis Options'!A67</f>
        <v>JARON</v>
      </c>
      <c r="G62" s="0" t="s">
        <v>628</v>
      </c>
      <c r="H62" s="0" t="s">
        <v>625</v>
      </c>
      <c r="I62" s="0" t="s">
        <v>626</v>
      </c>
      <c r="J62" s="0" t="s">
        <v>627</v>
      </c>
      <c r="K62" s="475" t="n">
        <f aca="false">'Basis Options'!G67</f>
        <v>36800</v>
      </c>
      <c r="L62" s="254" t="e">
        <f aca="false">'Basis Options'!U67</f>
        <v>#NAME?</v>
      </c>
      <c r="M62" s="475" t="n">
        <f aca="false">'Basis Options'!Q67</f>
        <v>36797</v>
      </c>
      <c r="N62" s="0" t="str">
        <f aca="false">'Basis Options'!F67</f>
        <v>P</v>
      </c>
      <c r="O62" s="0" t="n">
        <f aca="false">'Basis Options'!I67</f>
        <v>0.3</v>
      </c>
      <c r="P62" s="0" t="n">
        <v>0</v>
      </c>
      <c r="Q62" s="0" t="n">
        <v>0</v>
      </c>
      <c r="R62" s="0" t="n">
        <v>0</v>
      </c>
      <c r="S62" s="0" t="n">
        <v>0</v>
      </c>
      <c r="T62" s="0" t="s">
        <v>624</v>
      </c>
      <c r="U62" s="0" t="str">
        <f aca="false">IF('Basis Options'!D67="NGI/CHI. GATE","""NGI/CHI. GATE""",TRIM('Basis Options'!D67))</f>
        <v>IF-TRANSCO/Z6</v>
      </c>
      <c r="V62" s="0" t="s">
        <v>624</v>
      </c>
      <c r="W62" s="0" t="s">
        <v>569</v>
      </c>
      <c r="X62" s="0" t="s">
        <v>624</v>
      </c>
      <c r="Y62" s="0" t="s">
        <v>627</v>
      </c>
      <c r="Z62" s="0" t="s">
        <v>629</v>
      </c>
      <c r="AA62" s="0" t="s">
        <v>624</v>
      </c>
      <c r="AB62" s="0" t="s">
        <v>132</v>
      </c>
      <c r="AC62" s="254" t="n">
        <f aca="false">'Basis Options'!H67</f>
        <v>-250000</v>
      </c>
      <c r="AD62" s="254" t="e">
        <f aca="false">'Basis Options'!W67</f>
        <v>#NAME?</v>
      </c>
      <c r="AE62" s="0" t="n">
        <v>0</v>
      </c>
      <c r="AF62" s="0" t="n">
        <v>0</v>
      </c>
      <c r="AG62" s="0" t="n">
        <v>0</v>
      </c>
      <c r="AH62" s="254" t="e">
        <f aca="false">'Basis Options'!CD67</f>
        <v>#NAME?</v>
      </c>
      <c r="AI62" s="0" t="n">
        <v>226</v>
      </c>
      <c r="AJ62" s="0" t="s">
        <v>630</v>
      </c>
      <c r="AK62" s="0" t="n">
        <v>0</v>
      </c>
      <c r="AL62" s="0" t="n">
        <v>0</v>
      </c>
      <c r="AM62" s="0" t="n">
        <v>0</v>
      </c>
    </row>
    <row r="63" customFormat="false" ht="12.75" hidden="false" customHeight="false" outlineLevel="0" collapsed="false">
      <c r="A63" s="0" t="s">
        <v>621</v>
      </c>
      <c r="B63" s="0" t="str">
        <f aca="false">'Basis Options'!C68</f>
        <v>NF0077.2</v>
      </c>
      <c r="C63" s="0" t="s">
        <v>622</v>
      </c>
      <c r="D63" s="0" t="s">
        <v>623</v>
      </c>
      <c r="E63" s="0" t="s">
        <v>131</v>
      </c>
      <c r="F63" s="0" t="str">
        <f aca="false">'Basis Options'!A68</f>
        <v>JARON</v>
      </c>
      <c r="G63" s="0" t="s">
        <v>628</v>
      </c>
      <c r="H63" s="0" t="s">
        <v>625</v>
      </c>
      <c r="I63" s="0" t="s">
        <v>626</v>
      </c>
      <c r="J63" s="0" t="s">
        <v>627</v>
      </c>
      <c r="K63" s="475" t="n">
        <f aca="false">'Basis Options'!G68</f>
        <v>36770</v>
      </c>
      <c r="L63" s="254" t="e">
        <f aca="false">'Basis Options'!U68</f>
        <v>#NAME?</v>
      </c>
      <c r="M63" s="475" t="n">
        <f aca="false">'Basis Options'!Q68</f>
        <v>36768</v>
      </c>
      <c r="N63" s="0" t="str">
        <f aca="false">'Basis Options'!F68</f>
        <v>P</v>
      </c>
      <c r="O63" s="0" t="n">
        <f aca="false">'Basis Options'!I68</f>
        <v>0.3</v>
      </c>
      <c r="P63" s="0" t="n">
        <v>0</v>
      </c>
      <c r="Q63" s="0" t="n">
        <v>0</v>
      </c>
      <c r="R63" s="0" t="n">
        <v>0</v>
      </c>
      <c r="S63" s="0" t="n">
        <v>0</v>
      </c>
      <c r="T63" s="0" t="s">
        <v>624</v>
      </c>
      <c r="U63" s="0" t="str">
        <f aca="false">IF('Basis Options'!D68="NGI/CHI. GATE","""NGI/CHI. GATE""",TRIM('Basis Options'!D68))</f>
        <v>IF-TRANSCO/Z6</v>
      </c>
      <c r="V63" s="0" t="s">
        <v>624</v>
      </c>
      <c r="W63" s="0" t="s">
        <v>569</v>
      </c>
      <c r="X63" s="0" t="s">
        <v>624</v>
      </c>
      <c r="Y63" s="0" t="s">
        <v>627</v>
      </c>
      <c r="Z63" s="0" t="s">
        <v>629</v>
      </c>
      <c r="AA63" s="0" t="s">
        <v>624</v>
      </c>
      <c r="AB63" s="0" t="s">
        <v>132</v>
      </c>
      <c r="AC63" s="254" t="n">
        <f aca="false">'Basis Options'!H68</f>
        <v>-250000</v>
      </c>
      <c r="AD63" s="254" t="e">
        <f aca="false">'Basis Options'!W68</f>
        <v>#NAME?</v>
      </c>
      <c r="AE63" s="0" t="n">
        <v>0</v>
      </c>
      <c r="AF63" s="0" t="n">
        <v>0</v>
      </c>
      <c r="AG63" s="0" t="n">
        <v>0</v>
      </c>
      <c r="AH63" s="254" t="e">
        <f aca="false">'Basis Options'!CD68</f>
        <v>#NAME?</v>
      </c>
      <c r="AI63" s="0" t="n">
        <v>226</v>
      </c>
      <c r="AJ63" s="0" t="s">
        <v>630</v>
      </c>
      <c r="AK63" s="0" t="n">
        <v>0</v>
      </c>
      <c r="AL63" s="0" t="n">
        <v>0</v>
      </c>
      <c r="AM63" s="0" t="n">
        <v>0</v>
      </c>
    </row>
    <row r="64" customFormat="false" ht="12.75" hidden="false" customHeight="false" outlineLevel="0" collapsed="false">
      <c r="A64" s="0" t="s">
        <v>621</v>
      </c>
      <c r="B64" s="0" t="str">
        <f aca="false">'Basis Options'!C69</f>
        <v>NF0106.1</v>
      </c>
      <c r="C64" s="0" t="s">
        <v>622</v>
      </c>
      <c r="D64" s="0" t="s">
        <v>623</v>
      </c>
      <c r="E64" s="0" t="s">
        <v>131</v>
      </c>
      <c r="F64" s="0" t="str">
        <f aca="false">'Basis Options'!A69</f>
        <v>ELPASMER</v>
      </c>
      <c r="G64" s="0" t="s">
        <v>628</v>
      </c>
      <c r="H64" s="0" t="s">
        <v>625</v>
      </c>
      <c r="I64" s="0" t="s">
        <v>626</v>
      </c>
      <c r="J64" s="0" t="s">
        <v>627</v>
      </c>
      <c r="K64" s="475" t="n">
        <f aca="false">'Basis Options'!G69</f>
        <v>36800</v>
      </c>
      <c r="L64" s="254" t="e">
        <f aca="false">'Basis Options'!U69</f>
        <v>#NAME?</v>
      </c>
      <c r="M64" s="475" t="n">
        <f aca="false">'Basis Options'!Q69</f>
        <v>36797</v>
      </c>
      <c r="N64" s="0" t="str">
        <f aca="false">'Basis Options'!F69</f>
        <v>C</v>
      </c>
      <c r="O64" s="0" t="n">
        <f aca="false">'Basis Options'!I69</f>
        <v>0.3</v>
      </c>
      <c r="P64" s="0" t="n">
        <v>0</v>
      </c>
      <c r="Q64" s="0" t="n">
        <v>0</v>
      </c>
      <c r="R64" s="0" t="n">
        <v>0</v>
      </c>
      <c r="S64" s="0" t="n">
        <v>0</v>
      </c>
      <c r="T64" s="0" t="s">
        <v>624</v>
      </c>
      <c r="U64" s="0" t="str">
        <f aca="false">IF('Basis Options'!D69="NGI/CHI. GATE","""NGI/CHI. GATE""",TRIM('Basis Options'!D69))</f>
        <v>IF-TRANSCO/Z6</v>
      </c>
      <c r="V64" s="0" t="s">
        <v>624</v>
      </c>
      <c r="W64" s="0" t="s">
        <v>569</v>
      </c>
      <c r="X64" s="0" t="s">
        <v>624</v>
      </c>
      <c r="Y64" s="0" t="s">
        <v>627</v>
      </c>
      <c r="Z64" s="0" t="s">
        <v>629</v>
      </c>
      <c r="AA64" s="0" t="s">
        <v>624</v>
      </c>
      <c r="AB64" s="0" t="s">
        <v>132</v>
      </c>
      <c r="AC64" s="254" t="n">
        <f aca="false">'Basis Options'!H69</f>
        <v>-250000</v>
      </c>
      <c r="AD64" s="254" t="e">
        <f aca="false">'Basis Options'!W69</f>
        <v>#NAME?</v>
      </c>
      <c r="AE64" s="0" t="n">
        <v>0</v>
      </c>
      <c r="AF64" s="0" t="n">
        <v>0</v>
      </c>
      <c r="AG64" s="0" t="n">
        <v>0</v>
      </c>
      <c r="AH64" s="254" t="e">
        <f aca="false">'Basis Options'!CD69</f>
        <v>#NAME?</v>
      </c>
      <c r="AI64" s="0" t="n">
        <v>226</v>
      </c>
      <c r="AJ64" s="0" t="s">
        <v>630</v>
      </c>
      <c r="AK64" s="0" t="n">
        <v>0</v>
      </c>
      <c r="AL64" s="0" t="n">
        <v>0</v>
      </c>
      <c r="AM64" s="0" t="n">
        <v>0</v>
      </c>
    </row>
    <row r="65" customFormat="false" ht="12.75" hidden="false" customHeight="false" outlineLevel="0" collapsed="false">
      <c r="A65" s="0" t="s">
        <v>621</v>
      </c>
      <c r="B65" s="0" t="str">
        <f aca="false">'Basis Options'!C70</f>
        <v>NF0106.1</v>
      </c>
      <c r="C65" s="0" t="s">
        <v>622</v>
      </c>
      <c r="D65" s="0" t="s">
        <v>623</v>
      </c>
      <c r="E65" s="0" t="s">
        <v>131</v>
      </c>
      <c r="F65" s="0" t="str">
        <f aca="false">'Basis Options'!A70</f>
        <v>ELPASMER</v>
      </c>
      <c r="G65" s="0" t="s">
        <v>628</v>
      </c>
      <c r="H65" s="0" t="s">
        <v>625</v>
      </c>
      <c r="I65" s="0" t="s">
        <v>626</v>
      </c>
      <c r="J65" s="0" t="s">
        <v>627</v>
      </c>
      <c r="K65" s="475" t="n">
        <f aca="false">'Basis Options'!G70</f>
        <v>36800</v>
      </c>
      <c r="L65" s="254" t="e">
        <f aca="false">'Basis Options'!U70</f>
        <v>#NAME?</v>
      </c>
      <c r="M65" s="475" t="n">
        <f aca="false">'Basis Options'!Q70</f>
        <v>36797</v>
      </c>
      <c r="N65" s="0" t="str">
        <f aca="false">'Basis Options'!F70</f>
        <v>C</v>
      </c>
      <c r="O65" s="0" t="n">
        <f aca="false">'Basis Options'!I70</f>
        <v>0.3</v>
      </c>
      <c r="P65" s="0" t="n">
        <v>0</v>
      </c>
      <c r="Q65" s="0" t="n">
        <v>0</v>
      </c>
      <c r="R65" s="0" t="n">
        <v>0</v>
      </c>
      <c r="S65" s="0" t="n">
        <v>0</v>
      </c>
      <c r="T65" s="0" t="s">
        <v>624</v>
      </c>
      <c r="U65" s="0" t="str">
        <f aca="false">IF('Basis Options'!D70="NGI/CHI. GATE","""NGI/CHI. GATE""",TRIM('Basis Options'!D70))</f>
        <v>IF-TRANSCO/Z6</v>
      </c>
      <c r="V65" s="0" t="s">
        <v>624</v>
      </c>
      <c r="W65" s="0" t="s">
        <v>569</v>
      </c>
      <c r="X65" s="0" t="s">
        <v>624</v>
      </c>
      <c r="Y65" s="0" t="s">
        <v>627</v>
      </c>
      <c r="Z65" s="0" t="s">
        <v>629</v>
      </c>
      <c r="AA65" s="0" t="s">
        <v>624</v>
      </c>
      <c r="AB65" s="0" t="s">
        <v>132</v>
      </c>
      <c r="AC65" s="254" t="n">
        <f aca="false">'Basis Options'!H70</f>
        <v>-500000</v>
      </c>
      <c r="AD65" s="254" t="e">
        <f aca="false">'Basis Options'!W70</f>
        <v>#NAME?</v>
      </c>
      <c r="AE65" s="0" t="n">
        <v>0</v>
      </c>
      <c r="AF65" s="0" t="n">
        <v>0</v>
      </c>
      <c r="AG65" s="0" t="n">
        <v>0</v>
      </c>
      <c r="AH65" s="254" t="e">
        <f aca="false">'Basis Options'!CD70</f>
        <v>#NAME?</v>
      </c>
      <c r="AI65" s="0" t="n">
        <v>226</v>
      </c>
      <c r="AJ65" s="0" t="s">
        <v>630</v>
      </c>
      <c r="AK65" s="0" t="n">
        <v>0</v>
      </c>
      <c r="AL65" s="0" t="n">
        <v>0</v>
      </c>
      <c r="AM65" s="0" t="n">
        <v>0</v>
      </c>
    </row>
    <row r="66" customFormat="false" ht="12.75" hidden="false" customHeight="false" outlineLevel="0" collapsed="false">
      <c r="A66" s="0" t="s">
        <v>621</v>
      </c>
      <c r="B66" s="0" t="str">
        <f aca="false">'Basis Options'!C71</f>
        <v>NF0106.1</v>
      </c>
      <c r="C66" s="0" t="s">
        <v>622</v>
      </c>
      <c r="D66" s="0" t="s">
        <v>623</v>
      </c>
      <c r="E66" s="0" t="s">
        <v>131</v>
      </c>
      <c r="F66" s="0" t="str">
        <f aca="false">'Basis Options'!A71</f>
        <v>ELPASMER</v>
      </c>
      <c r="G66" s="0" t="s">
        <v>628</v>
      </c>
      <c r="H66" s="0" t="s">
        <v>625</v>
      </c>
      <c r="I66" s="0" t="s">
        <v>626</v>
      </c>
      <c r="J66" s="0" t="s">
        <v>627</v>
      </c>
      <c r="K66" s="475" t="n">
        <f aca="false">'Basis Options'!G71</f>
        <v>36770</v>
      </c>
      <c r="L66" s="254" t="e">
        <f aca="false">'Basis Options'!U71</f>
        <v>#NAME?</v>
      </c>
      <c r="M66" s="475" t="n">
        <f aca="false">'Basis Options'!Q71</f>
        <v>36768</v>
      </c>
      <c r="N66" s="0" t="str">
        <f aca="false">'Basis Options'!F71</f>
        <v>C</v>
      </c>
      <c r="O66" s="0" t="n">
        <f aca="false">'Basis Options'!I71</f>
        <v>0.3</v>
      </c>
      <c r="P66" s="0" t="n">
        <v>0</v>
      </c>
      <c r="Q66" s="0" t="n">
        <v>0</v>
      </c>
      <c r="R66" s="0" t="n">
        <v>0</v>
      </c>
      <c r="S66" s="0" t="n">
        <v>0</v>
      </c>
      <c r="T66" s="0" t="s">
        <v>624</v>
      </c>
      <c r="U66" s="0" t="str">
        <f aca="false">IF('Basis Options'!D71="NGI/CHI. GATE","""NGI/CHI. GATE""",TRIM('Basis Options'!D71))</f>
        <v>IF-TRANSCO/Z6</v>
      </c>
      <c r="V66" s="0" t="s">
        <v>624</v>
      </c>
      <c r="W66" s="0" t="s">
        <v>569</v>
      </c>
      <c r="X66" s="0" t="s">
        <v>624</v>
      </c>
      <c r="Y66" s="0" t="s">
        <v>627</v>
      </c>
      <c r="Z66" s="0" t="s">
        <v>629</v>
      </c>
      <c r="AA66" s="0" t="s">
        <v>624</v>
      </c>
      <c r="AB66" s="0" t="s">
        <v>132</v>
      </c>
      <c r="AC66" s="254" t="n">
        <f aca="false">'Basis Options'!H71</f>
        <v>-250000</v>
      </c>
      <c r="AD66" s="254" t="e">
        <f aca="false">'Basis Options'!W71</f>
        <v>#NAME?</v>
      </c>
      <c r="AE66" s="0" t="n">
        <v>0</v>
      </c>
      <c r="AF66" s="0" t="n">
        <v>0</v>
      </c>
      <c r="AG66" s="0" t="n">
        <v>0</v>
      </c>
      <c r="AH66" s="254" t="e">
        <f aca="false">'Basis Options'!CD71</f>
        <v>#NAME?</v>
      </c>
      <c r="AI66" s="0" t="n">
        <v>226</v>
      </c>
      <c r="AJ66" s="0" t="s">
        <v>630</v>
      </c>
      <c r="AK66" s="0" t="n">
        <v>0</v>
      </c>
      <c r="AL66" s="0" t="n">
        <v>0</v>
      </c>
      <c r="AM66" s="0" t="n">
        <v>0</v>
      </c>
    </row>
    <row r="67" customFormat="false" ht="12.75" hidden="false" customHeight="false" outlineLevel="0" collapsed="false">
      <c r="A67" s="0" t="s">
        <v>621</v>
      </c>
      <c r="B67" s="0" t="str">
        <f aca="false">'Basis Options'!C72</f>
        <v>NF0106.1</v>
      </c>
      <c r="C67" s="0" t="s">
        <v>622</v>
      </c>
      <c r="D67" s="0" t="s">
        <v>623</v>
      </c>
      <c r="E67" s="0" t="s">
        <v>131</v>
      </c>
      <c r="F67" s="0" t="str">
        <f aca="false">'Basis Options'!A72</f>
        <v>ELPASMER</v>
      </c>
      <c r="G67" s="0" t="s">
        <v>628</v>
      </c>
      <c r="H67" s="0" t="s">
        <v>625</v>
      </c>
      <c r="I67" s="0" t="s">
        <v>626</v>
      </c>
      <c r="J67" s="0" t="s">
        <v>627</v>
      </c>
      <c r="K67" s="475" t="n">
        <f aca="false">'Basis Options'!G72</f>
        <v>36770</v>
      </c>
      <c r="L67" s="254" t="e">
        <f aca="false">'Basis Options'!U72</f>
        <v>#NAME?</v>
      </c>
      <c r="M67" s="475" t="n">
        <f aca="false">'Basis Options'!Q72</f>
        <v>36768</v>
      </c>
      <c r="N67" s="0" t="str">
        <f aca="false">'Basis Options'!F72</f>
        <v>C</v>
      </c>
      <c r="O67" s="0" t="n">
        <f aca="false">'Basis Options'!I72</f>
        <v>0.3</v>
      </c>
      <c r="P67" s="0" t="n">
        <v>0</v>
      </c>
      <c r="Q67" s="0" t="n">
        <v>0</v>
      </c>
      <c r="R67" s="0" t="n">
        <v>0</v>
      </c>
      <c r="S67" s="0" t="n">
        <v>0</v>
      </c>
      <c r="T67" s="0" t="s">
        <v>624</v>
      </c>
      <c r="U67" s="0" t="str">
        <f aca="false">IF('Basis Options'!D72="NGI/CHI. GATE","""NGI/CHI. GATE""",TRIM('Basis Options'!D72))</f>
        <v>IF-TRANSCO/Z6</v>
      </c>
      <c r="V67" s="0" t="s">
        <v>624</v>
      </c>
      <c r="W67" s="0" t="s">
        <v>569</v>
      </c>
      <c r="X67" s="0" t="s">
        <v>624</v>
      </c>
      <c r="Y67" s="0" t="s">
        <v>627</v>
      </c>
      <c r="Z67" s="0" t="s">
        <v>629</v>
      </c>
      <c r="AA67" s="0" t="s">
        <v>624</v>
      </c>
      <c r="AB67" s="0" t="s">
        <v>132</v>
      </c>
      <c r="AC67" s="254" t="n">
        <f aca="false">'Basis Options'!H72</f>
        <v>-500000</v>
      </c>
      <c r="AD67" s="254" t="e">
        <f aca="false">'Basis Options'!W72</f>
        <v>#NAME?</v>
      </c>
      <c r="AE67" s="0" t="n">
        <v>0</v>
      </c>
      <c r="AF67" s="0" t="n">
        <v>0</v>
      </c>
      <c r="AG67" s="0" t="n">
        <v>0</v>
      </c>
      <c r="AH67" s="254" t="e">
        <f aca="false">'Basis Options'!CD72</f>
        <v>#NAME?</v>
      </c>
      <c r="AI67" s="0" t="n">
        <v>226</v>
      </c>
      <c r="AJ67" s="0" t="s">
        <v>630</v>
      </c>
      <c r="AK67" s="0" t="n">
        <v>0</v>
      </c>
      <c r="AL67" s="0" t="n">
        <v>0</v>
      </c>
      <c r="AM67" s="0" t="n">
        <v>0</v>
      </c>
    </row>
    <row r="68" customFormat="false" ht="12.75" hidden="false" customHeight="false" outlineLevel="0" collapsed="false">
      <c r="A68" s="0" t="s">
        <v>621</v>
      </c>
      <c r="B68" s="0" t="str">
        <f aca="false">'Basis Options'!C73</f>
        <v>NF0106.2</v>
      </c>
      <c r="C68" s="0" t="s">
        <v>622</v>
      </c>
      <c r="D68" s="0" t="s">
        <v>623</v>
      </c>
      <c r="E68" s="0" t="s">
        <v>131</v>
      </c>
      <c r="F68" s="0" t="str">
        <f aca="false">'Basis Options'!A73</f>
        <v>ELPASMER</v>
      </c>
      <c r="G68" s="0" t="s">
        <v>628</v>
      </c>
      <c r="H68" s="0" t="s">
        <v>625</v>
      </c>
      <c r="I68" s="0" t="s">
        <v>626</v>
      </c>
      <c r="J68" s="0" t="s">
        <v>627</v>
      </c>
      <c r="K68" s="475" t="n">
        <f aca="false">'Basis Options'!G73</f>
        <v>36800</v>
      </c>
      <c r="L68" s="254" t="e">
        <f aca="false">'Basis Options'!U73</f>
        <v>#NAME?</v>
      </c>
      <c r="M68" s="475" t="n">
        <f aca="false">'Basis Options'!Q73</f>
        <v>36797</v>
      </c>
      <c r="N68" s="0" t="str">
        <f aca="false">'Basis Options'!F73</f>
        <v>P</v>
      </c>
      <c r="O68" s="0" t="n">
        <f aca="false">'Basis Options'!I73</f>
        <v>0.3</v>
      </c>
      <c r="P68" s="0" t="n">
        <v>0</v>
      </c>
      <c r="Q68" s="0" t="n">
        <v>0</v>
      </c>
      <c r="R68" s="0" t="n">
        <v>0</v>
      </c>
      <c r="S68" s="0" t="n">
        <v>0</v>
      </c>
      <c r="T68" s="0" t="s">
        <v>624</v>
      </c>
      <c r="U68" s="0" t="str">
        <f aca="false">IF('Basis Options'!D73="NGI/CHI. GATE","""NGI/CHI. GATE""",TRIM('Basis Options'!D73))</f>
        <v>IF-TRANSCO/Z6</v>
      </c>
      <c r="V68" s="0" t="s">
        <v>624</v>
      </c>
      <c r="W68" s="0" t="s">
        <v>569</v>
      </c>
      <c r="X68" s="0" t="s">
        <v>624</v>
      </c>
      <c r="Y68" s="0" t="s">
        <v>627</v>
      </c>
      <c r="Z68" s="0" t="s">
        <v>629</v>
      </c>
      <c r="AA68" s="0" t="s">
        <v>624</v>
      </c>
      <c r="AB68" s="0" t="s">
        <v>132</v>
      </c>
      <c r="AC68" s="254" t="n">
        <f aca="false">'Basis Options'!H73</f>
        <v>-250000</v>
      </c>
      <c r="AD68" s="254" t="e">
        <f aca="false">'Basis Options'!W73</f>
        <v>#NAME?</v>
      </c>
      <c r="AE68" s="0" t="n">
        <v>0</v>
      </c>
      <c r="AF68" s="0" t="n">
        <v>0</v>
      </c>
      <c r="AG68" s="0" t="n">
        <v>0</v>
      </c>
      <c r="AH68" s="254" t="e">
        <f aca="false">'Basis Options'!CD73</f>
        <v>#NAME?</v>
      </c>
      <c r="AI68" s="0" t="n">
        <v>226</v>
      </c>
      <c r="AJ68" s="0" t="s">
        <v>630</v>
      </c>
      <c r="AK68" s="0" t="n">
        <v>0</v>
      </c>
      <c r="AL68" s="0" t="n">
        <v>0</v>
      </c>
      <c r="AM68" s="0" t="n">
        <v>0</v>
      </c>
    </row>
    <row r="69" customFormat="false" ht="12.75" hidden="false" customHeight="false" outlineLevel="0" collapsed="false">
      <c r="A69" s="0" t="s">
        <v>621</v>
      </c>
      <c r="B69" s="0" t="str">
        <f aca="false">'Basis Options'!C74</f>
        <v>NF0106.2</v>
      </c>
      <c r="C69" s="0" t="s">
        <v>622</v>
      </c>
      <c r="D69" s="0" t="s">
        <v>623</v>
      </c>
      <c r="E69" s="0" t="s">
        <v>131</v>
      </c>
      <c r="F69" s="0" t="str">
        <f aca="false">'Basis Options'!A74</f>
        <v>ELPASMER</v>
      </c>
      <c r="G69" s="0" t="s">
        <v>628</v>
      </c>
      <c r="H69" s="0" t="s">
        <v>625</v>
      </c>
      <c r="I69" s="0" t="s">
        <v>626</v>
      </c>
      <c r="J69" s="0" t="s">
        <v>627</v>
      </c>
      <c r="K69" s="475" t="n">
        <f aca="false">'Basis Options'!G74</f>
        <v>36800</v>
      </c>
      <c r="L69" s="254" t="e">
        <f aca="false">'Basis Options'!U74</f>
        <v>#NAME?</v>
      </c>
      <c r="M69" s="475" t="n">
        <f aca="false">'Basis Options'!Q74</f>
        <v>36797</v>
      </c>
      <c r="N69" s="0" t="str">
        <f aca="false">'Basis Options'!F74</f>
        <v>P</v>
      </c>
      <c r="O69" s="0" t="n">
        <f aca="false">'Basis Options'!I74</f>
        <v>0.3</v>
      </c>
      <c r="P69" s="0" t="n">
        <v>0</v>
      </c>
      <c r="Q69" s="0" t="n">
        <v>0</v>
      </c>
      <c r="R69" s="0" t="n">
        <v>0</v>
      </c>
      <c r="S69" s="0" t="n">
        <v>0</v>
      </c>
      <c r="T69" s="0" t="s">
        <v>624</v>
      </c>
      <c r="U69" s="0" t="str">
        <f aca="false">IF('Basis Options'!D74="NGI/CHI. GATE","""NGI/CHI. GATE""",TRIM('Basis Options'!D74))</f>
        <v>IF-TRANSCO/Z6</v>
      </c>
      <c r="V69" s="0" t="s">
        <v>624</v>
      </c>
      <c r="W69" s="0" t="s">
        <v>569</v>
      </c>
      <c r="X69" s="0" t="s">
        <v>624</v>
      </c>
      <c r="Y69" s="0" t="s">
        <v>627</v>
      </c>
      <c r="Z69" s="0" t="s">
        <v>629</v>
      </c>
      <c r="AA69" s="0" t="s">
        <v>624</v>
      </c>
      <c r="AB69" s="0" t="s">
        <v>132</v>
      </c>
      <c r="AC69" s="254" t="n">
        <f aca="false">'Basis Options'!H74</f>
        <v>-500000</v>
      </c>
      <c r="AD69" s="254" t="e">
        <f aca="false">'Basis Options'!W74</f>
        <v>#NAME?</v>
      </c>
      <c r="AE69" s="0" t="n">
        <v>0</v>
      </c>
      <c r="AF69" s="0" t="n">
        <v>0</v>
      </c>
      <c r="AG69" s="0" t="n">
        <v>0</v>
      </c>
      <c r="AH69" s="254" t="e">
        <f aca="false">'Basis Options'!CD74</f>
        <v>#NAME?</v>
      </c>
      <c r="AI69" s="0" t="n">
        <v>226</v>
      </c>
      <c r="AJ69" s="0" t="s">
        <v>630</v>
      </c>
      <c r="AK69" s="0" t="n">
        <v>0</v>
      </c>
      <c r="AL69" s="0" t="n">
        <v>0</v>
      </c>
      <c r="AM69" s="0" t="n">
        <v>0</v>
      </c>
    </row>
    <row r="70" customFormat="false" ht="12.75" hidden="false" customHeight="false" outlineLevel="0" collapsed="false">
      <c r="A70" s="0" t="s">
        <v>621</v>
      </c>
      <c r="B70" s="0" t="str">
        <f aca="false">'Basis Options'!C75</f>
        <v>NF0106.2</v>
      </c>
      <c r="C70" s="0" t="s">
        <v>622</v>
      </c>
      <c r="D70" s="0" t="s">
        <v>623</v>
      </c>
      <c r="E70" s="0" t="s">
        <v>131</v>
      </c>
      <c r="F70" s="0" t="str">
        <f aca="false">'Basis Options'!A75</f>
        <v>ELPASMER</v>
      </c>
      <c r="G70" s="0" t="s">
        <v>628</v>
      </c>
      <c r="H70" s="0" t="s">
        <v>625</v>
      </c>
      <c r="I70" s="0" t="s">
        <v>626</v>
      </c>
      <c r="J70" s="0" t="s">
        <v>627</v>
      </c>
      <c r="K70" s="475" t="n">
        <f aca="false">'Basis Options'!G75</f>
        <v>36770</v>
      </c>
      <c r="L70" s="254" t="e">
        <f aca="false">'Basis Options'!U75</f>
        <v>#NAME?</v>
      </c>
      <c r="M70" s="475" t="n">
        <f aca="false">'Basis Options'!Q75</f>
        <v>36768</v>
      </c>
      <c r="N70" s="0" t="str">
        <f aca="false">'Basis Options'!F75</f>
        <v>P</v>
      </c>
      <c r="O70" s="0" t="n">
        <f aca="false">'Basis Options'!I75</f>
        <v>0.3</v>
      </c>
      <c r="P70" s="0" t="n">
        <v>0</v>
      </c>
      <c r="Q70" s="0" t="n">
        <v>0</v>
      </c>
      <c r="R70" s="0" t="n">
        <v>0</v>
      </c>
      <c r="S70" s="0" t="n">
        <v>0</v>
      </c>
      <c r="T70" s="0" t="s">
        <v>624</v>
      </c>
      <c r="U70" s="0" t="str">
        <f aca="false">IF('Basis Options'!D75="NGI/CHI. GATE","""NGI/CHI. GATE""",TRIM('Basis Options'!D75))</f>
        <v>IF-TRANSCO/Z6</v>
      </c>
      <c r="V70" s="0" t="s">
        <v>624</v>
      </c>
      <c r="W70" s="0" t="s">
        <v>569</v>
      </c>
      <c r="X70" s="0" t="s">
        <v>624</v>
      </c>
      <c r="Y70" s="0" t="s">
        <v>627</v>
      </c>
      <c r="Z70" s="0" t="s">
        <v>629</v>
      </c>
      <c r="AA70" s="0" t="s">
        <v>624</v>
      </c>
      <c r="AB70" s="0" t="s">
        <v>132</v>
      </c>
      <c r="AC70" s="254" t="n">
        <f aca="false">'Basis Options'!H75</f>
        <v>-250000</v>
      </c>
      <c r="AD70" s="254" t="e">
        <f aca="false">'Basis Options'!W75</f>
        <v>#NAME?</v>
      </c>
      <c r="AE70" s="0" t="n">
        <v>0</v>
      </c>
      <c r="AF70" s="0" t="n">
        <v>0</v>
      </c>
      <c r="AG70" s="0" t="n">
        <v>0</v>
      </c>
      <c r="AH70" s="254" t="e">
        <f aca="false">'Basis Options'!CD75</f>
        <v>#NAME?</v>
      </c>
      <c r="AI70" s="0" t="n">
        <v>226</v>
      </c>
      <c r="AJ70" s="0" t="s">
        <v>630</v>
      </c>
      <c r="AK70" s="0" t="n">
        <v>0</v>
      </c>
      <c r="AL70" s="0" t="n">
        <v>0</v>
      </c>
      <c r="AM70" s="0" t="n">
        <v>0</v>
      </c>
    </row>
    <row r="71" customFormat="false" ht="12.75" hidden="false" customHeight="false" outlineLevel="0" collapsed="false">
      <c r="A71" s="0" t="s">
        <v>621</v>
      </c>
      <c r="B71" s="0" t="str">
        <f aca="false">'Basis Options'!C76</f>
        <v>NF0106.2</v>
      </c>
      <c r="C71" s="0" t="s">
        <v>622</v>
      </c>
      <c r="D71" s="0" t="s">
        <v>623</v>
      </c>
      <c r="E71" s="0" t="s">
        <v>131</v>
      </c>
      <c r="F71" s="0" t="str">
        <f aca="false">'Basis Options'!A76</f>
        <v>ELPASMER</v>
      </c>
      <c r="G71" s="0" t="s">
        <v>628</v>
      </c>
      <c r="H71" s="0" t="s">
        <v>625</v>
      </c>
      <c r="I71" s="0" t="s">
        <v>626</v>
      </c>
      <c r="J71" s="0" t="s">
        <v>627</v>
      </c>
      <c r="K71" s="475" t="n">
        <f aca="false">'Basis Options'!G76</f>
        <v>36770</v>
      </c>
      <c r="L71" s="254" t="e">
        <f aca="false">'Basis Options'!U76</f>
        <v>#NAME?</v>
      </c>
      <c r="M71" s="475" t="n">
        <f aca="false">'Basis Options'!Q76</f>
        <v>36768</v>
      </c>
      <c r="N71" s="0" t="str">
        <f aca="false">'Basis Options'!F76</f>
        <v>P</v>
      </c>
      <c r="O71" s="0" t="n">
        <f aca="false">'Basis Options'!I76</f>
        <v>0.3</v>
      </c>
      <c r="P71" s="0" t="n">
        <v>0</v>
      </c>
      <c r="Q71" s="0" t="n">
        <v>0</v>
      </c>
      <c r="R71" s="0" t="n">
        <v>0</v>
      </c>
      <c r="S71" s="0" t="n">
        <v>0</v>
      </c>
      <c r="T71" s="0" t="s">
        <v>624</v>
      </c>
      <c r="U71" s="0" t="str">
        <f aca="false">IF('Basis Options'!D76="NGI/CHI. GATE","""NGI/CHI. GATE""",TRIM('Basis Options'!D76))</f>
        <v>IF-TRANSCO/Z6</v>
      </c>
      <c r="V71" s="0" t="s">
        <v>624</v>
      </c>
      <c r="W71" s="0" t="s">
        <v>569</v>
      </c>
      <c r="X71" s="0" t="s">
        <v>624</v>
      </c>
      <c r="Y71" s="0" t="s">
        <v>627</v>
      </c>
      <c r="Z71" s="0" t="s">
        <v>629</v>
      </c>
      <c r="AA71" s="0" t="s">
        <v>624</v>
      </c>
      <c r="AB71" s="0" t="s">
        <v>132</v>
      </c>
      <c r="AC71" s="254" t="n">
        <f aca="false">'Basis Options'!H76</f>
        <v>-500000</v>
      </c>
      <c r="AD71" s="254" t="e">
        <f aca="false">'Basis Options'!W76</f>
        <v>#NAME?</v>
      </c>
      <c r="AE71" s="0" t="n">
        <v>0</v>
      </c>
      <c r="AF71" s="0" t="n">
        <v>0</v>
      </c>
      <c r="AG71" s="0" t="n">
        <v>0</v>
      </c>
      <c r="AH71" s="254" t="e">
        <f aca="false">'Basis Options'!CD76</f>
        <v>#NAME?</v>
      </c>
      <c r="AI71" s="0" t="n">
        <v>226</v>
      </c>
      <c r="AJ71" s="0" t="s">
        <v>630</v>
      </c>
      <c r="AK71" s="0" t="n">
        <v>0</v>
      </c>
      <c r="AL71" s="0" t="n">
        <v>0</v>
      </c>
      <c r="AM71" s="0" t="n">
        <v>0</v>
      </c>
    </row>
    <row r="72" customFormat="false" ht="12.75" hidden="false" customHeight="false" outlineLevel="0" collapsed="false">
      <c r="A72" s="0" t="s">
        <v>621</v>
      </c>
      <c r="B72" s="0" t="str">
        <f aca="false">'Basis Options'!C77</f>
        <v>NF1092.1</v>
      </c>
      <c r="C72" s="0" t="s">
        <v>622</v>
      </c>
      <c r="D72" s="0" t="s">
        <v>623</v>
      </c>
      <c r="E72" s="0" t="s">
        <v>131</v>
      </c>
      <c r="F72" s="0" t="str">
        <f aca="false">'Basis Options'!A77</f>
        <v>ELPASMER</v>
      </c>
      <c r="G72" s="0" t="s">
        <v>628</v>
      </c>
      <c r="H72" s="0" t="s">
        <v>625</v>
      </c>
      <c r="I72" s="0" t="s">
        <v>626</v>
      </c>
      <c r="J72" s="0" t="s">
        <v>627</v>
      </c>
      <c r="K72" s="475" t="n">
        <f aca="false">'Basis Options'!G77</f>
        <v>36800</v>
      </c>
      <c r="L72" s="254" t="e">
        <f aca="false">'Basis Options'!U77</f>
        <v>#NAME?</v>
      </c>
      <c r="M72" s="475" t="n">
        <f aca="false">'Basis Options'!Q77</f>
        <v>36797</v>
      </c>
      <c r="N72" s="0" t="str">
        <f aca="false">'Basis Options'!F77</f>
        <v>C</v>
      </c>
      <c r="O72" s="0" t="n">
        <f aca="false">'Basis Options'!I77</f>
        <v>-0.25</v>
      </c>
      <c r="P72" s="0" t="n">
        <v>0</v>
      </c>
      <c r="Q72" s="0" t="n">
        <v>0</v>
      </c>
      <c r="R72" s="0" t="n">
        <v>0</v>
      </c>
      <c r="S72" s="0" t="n">
        <v>0</v>
      </c>
      <c r="T72" s="0" t="s">
        <v>624</v>
      </c>
      <c r="U72" s="0" t="str">
        <f aca="false">IF('Basis Options'!D77="NGI/CHI. GATE","""NGI/CHI. GATE""",TRIM('Basis Options'!D77))</f>
        <v>IF-NWPL_ROCKY_M</v>
      </c>
      <c r="V72" s="0" t="s">
        <v>624</v>
      </c>
      <c r="W72" s="0" t="s">
        <v>569</v>
      </c>
      <c r="X72" s="0" t="s">
        <v>624</v>
      </c>
      <c r="Y72" s="0" t="s">
        <v>627</v>
      </c>
      <c r="Z72" s="0" t="s">
        <v>629</v>
      </c>
      <c r="AA72" s="0" t="s">
        <v>624</v>
      </c>
      <c r="AB72" s="0" t="s">
        <v>132</v>
      </c>
      <c r="AC72" s="254" t="n">
        <f aca="false">'Basis Options'!H77</f>
        <v>-1000000</v>
      </c>
      <c r="AD72" s="254" t="e">
        <f aca="false">'Basis Options'!W77</f>
        <v>#NAME?</v>
      </c>
      <c r="AE72" s="0" t="n">
        <v>0</v>
      </c>
      <c r="AF72" s="0" t="n">
        <v>0</v>
      </c>
      <c r="AG72" s="0" t="n">
        <v>0</v>
      </c>
      <c r="AH72" s="254" t="e">
        <f aca="false">'Basis Options'!CD77</f>
        <v>#NAME?</v>
      </c>
      <c r="AI72" s="0" t="n">
        <v>226</v>
      </c>
      <c r="AJ72" s="0" t="s">
        <v>630</v>
      </c>
      <c r="AK72" s="0" t="n">
        <v>0</v>
      </c>
      <c r="AL72" s="0" t="n">
        <v>0</v>
      </c>
      <c r="AM72" s="0" t="n">
        <v>0</v>
      </c>
    </row>
    <row r="73" customFormat="false" ht="12.75" hidden="false" customHeight="false" outlineLevel="0" collapsed="false">
      <c r="A73" s="0" t="s">
        <v>621</v>
      </c>
      <c r="B73" s="0" t="str">
        <f aca="false">'Basis Options'!C78</f>
        <v>NF1092.1</v>
      </c>
      <c r="C73" s="0" t="s">
        <v>622</v>
      </c>
      <c r="D73" s="0" t="s">
        <v>623</v>
      </c>
      <c r="E73" s="0" t="s">
        <v>131</v>
      </c>
      <c r="F73" s="0" t="str">
        <f aca="false">'Basis Options'!A78</f>
        <v>ELPASMER</v>
      </c>
      <c r="G73" s="0" t="s">
        <v>628</v>
      </c>
      <c r="H73" s="0" t="s">
        <v>625</v>
      </c>
      <c r="I73" s="0" t="s">
        <v>626</v>
      </c>
      <c r="J73" s="0" t="s">
        <v>627</v>
      </c>
      <c r="K73" s="475" t="n">
        <f aca="false">'Basis Options'!G78</f>
        <v>36770</v>
      </c>
      <c r="L73" s="254" t="e">
        <f aca="false">'Basis Options'!U78</f>
        <v>#NAME?</v>
      </c>
      <c r="M73" s="475" t="n">
        <f aca="false">'Basis Options'!Q78</f>
        <v>36768</v>
      </c>
      <c r="N73" s="0" t="str">
        <f aca="false">'Basis Options'!F78</f>
        <v>C</v>
      </c>
      <c r="O73" s="0" t="n">
        <f aca="false">'Basis Options'!I78</f>
        <v>-0.25</v>
      </c>
      <c r="P73" s="0" t="n">
        <v>0</v>
      </c>
      <c r="Q73" s="0" t="n">
        <v>0</v>
      </c>
      <c r="R73" s="0" t="n">
        <v>0</v>
      </c>
      <c r="S73" s="0" t="n">
        <v>0</v>
      </c>
      <c r="T73" s="0" t="s">
        <v>624</v>
      </c>
      <c r="U73" s="0" t="str">
        <f aca="false">IF('Basis Options'!D78="NGI/CHI. GATE","""NGI/CHI. GATE""",TRIM('Basis Options'!D78))</f>
        <v>IF-NWPL_ROCKY_M</v>
      </c>
      <c r="V73" s="0" t="s">
        <v>624</v>
      </c>
      <c r="W73" s="0" t="s">
        <v>569</v>
      </c>
      <c r="X73" s="0" t="s">
        <v>624</v>
      </c>
      <c r="Y73" s="0" t="s">
        <v>627</v>
      </c>
      <c r="Z73" s="0" t="s">
        <v>629</v>
      </c>
      <c r="AA73" s="0" t="s">
        <v>624</v>
      </c>
      <c r="AB73" s="0" t="s">
        <v>132</v>
      </c>
      <c r="AC73" s="254" t="n">
        <f aca="false">'Basis Options'!H78</f>
        <v>-1000000</v>
      </c>
      <c r="AD73" s="254" t="e">
        <f aca="false">'Basis Options'!W78</f>
        <v>#NAME?</v>
      </c>
      <c r="AE73" s="0" t="n">
        <v>0</v>
      </c>
      <c r="AF73" s="0" t="n">
        <v>0</v>
      </c>
      <c r="AG73" s="0" t="n">
        <v>0</v>
      </c>
      <c r="AH73" s="254" t="e">
        <f aca="false">'Basis Options'!CD78</f>
        <v>#NAME?</v>
      </c>
      <c r="AI73" s="0" t="n">
        <v>226</v>
      </c>
      <c r="AJ73" s="0" t="s">
        <v>630</v>
      </c>
      <c r="AK73" s="0" t="n">
        <v>0</v>
      </c>
      <c r="AL73" s="0" t="n">
        <v>0</v>
      </c>
      <c r="AM73" s="0" t="n">
        <v>0</v>
      </c>
    </row>
    <row r="74" customFormat="false" ht="12.75" hidden="false" customHeight="false" outlineLevel="0" collapsed="false">
      <c r="A74" s="0" t="s">
        <v>621</v>
      </c>
      <c r="B74" s="0" t="str">
        <f aca="false">'Basis Options'!C79</f>
        <v>NF1092.2</v>
      </c>
      <c r="C74" s="0" t="s">
        <v>622</v>
      </c>
      <c r="D74" s="0" t="s">
        <v>623</v>
      </c>
      <c r="E74" s="0" t="s">
        <v>131</v>
      </c>
      <c r="F74" s="0" t="str">
        <f aca="false">'Basis Options'!A79</f>
        <v>ELPASMER</v>
      </c>
      <c r="G74" s="0" t="s">
        <v>628</v>
      </c>
      <c r="H74" s="0" t="s">
        <v>625</v>
      </c>
      <c r="I74" s="0" t="s">
        <v>626</v>
      </c>
      <c r="J74" s="0" t="s">
        <v>627</v>
      </c>
      <c r="K74" s="475" t="n">
        <f aca="false">'Basis Options'!G79</f>
        <v>36800</v>
      </c>
      <c r="L74" s="254" t="e">
        <f aca="false">'Basis Options'!U79</f>
        <v>#NAME?</v>
      </c>
      <c r="M74" s="475" t="n">
        <f aca="false">'Basis Options'!Q79</f>
        <v>36797</v>
      </c>
      <c r="N74" s="0" t="str">
        <f aca="false">'Basis Options'!F79</f>
        <v>P</v>
      </c>
      <c r="O74" s="0" t="n">
        <f aca="false">'Basis Options'!I79</f>
        <v>-0.4</v>
      </c>
      <c r="P74" s="0" t="n">
        <v>0</v>
      </c>
      <c r="Q74" s="0" t="n">
        <v>0</v>
      </c>
      <c r="R74" s="0" t="n">
        <v>0</v>
      </c>
      <c r="S74" s="0" t="n">
        <v>0</v>
      </c>
      <c r="T74" s="0" t="s">
        <v>624</v>
      </c>
      <c r="U74" s="0" t="str">
        <f aca="false">IF('Basis Options'!D79="NGI/CHI. GATE","""NGI/CHI. GATE""",TRIM('Basis Options'!D79))</f>
        <v>IF-NWPL_ROCKY_M</v>
      </c>
      <c r="V74" s="0" t="s">
        <v>624</v>
      </c>
      <c r="W74" s="0" t="s">
        <v>569</v>
      </c>
      <c r="X74" s="0" t="s">
        <v>624</v>
      </c>
      <c r="Y74" s="0" t="s">
        <v>627</v>
      </c>
      <c r="Z74" s="0" t="s">
        <v>629</v>
      </c>
      <c r="AA74" s="0" t="s">
        <v>624</v>
      </c>
      <c r="AB74" s="0" t="s">
        <v>132</v>
      </c>
      <c r="AC74" s="254" t="n">
        <f aca="false">'Basis Options'!H79</f>
        <v>1000000</v>
      </c>
      <c r="AD74" s="254" t="e">
        <f aca="false">'Basis Options'!W79</f>
        <v>#NAME?</v>
      </c>
      <c r="AE74" s="0" t="n">
        <v>0</v>
      </c>
      <c r="AF74" s="0" t="n">
        <v>0</v>
      </c>
      <c r="AG74" s="0" t="n">
        <v>0</v>
      </c>
      <c r="AH74" s="254" t="e">
        <f aca="false">'Basis Options'!CD79</f>
        <v>#NAME?</v>
      </c>
      <c r="AI74" s="0" t="n">
        <v>226</v>
      </c>
      <c r="AJ74" s="0" t="s">
        <v>630</v>
      </c>
      <c r="AK74" s="0" t="n">
        <v>0</v>
      </c>
      <c r="AL74" s="0" t="n">
        <v>0</v>
      </c>
      <c r="AM74" s="0" t="n">
        <v>0</v>
      </c>
    </row>
    <row r="75" customFormat="false" ht="12.75" hidden="false" customHeight="false" outlineLevel="0" collapsed="false">
      <c r="A75" s="0" t="s">
        <v>621</v>
      </c>
      <c r="B75" s="0" t="str">
        <f aca="false">'Basis Options'!C80</f>
        <v>NF1092.2</v>
      </c>
      <c r="C75" s="0" t="s">
        <v>622</v>
      </c>
      <c r="D75" s="0" t="s">
        <v>623</v>
      </c>
      <c r="E75" s="0" t="s">
        <v>131</v>
      </c>
      <c r="F75" s="0" t="str">
        <f aca="false">'Basis Options'!A80</f>
        <v>ELPASMER</v>
      </c>
      <c r="G75" s="0" t="s">
        <v>628</v>
      </c>
      <c r="H75" s="0" t="s">
        <v>625</v>
      </c>
      <c r="I75" s="0" t="s">
        <v>626</v>
      </c>
      <c r="J75" s="0" t="s">
        <v>627</v>
      </c>
      <c r="K75" s="475" t="n">
        <f aca="false">'Basis Options'!G80</f>
        <v>36770</v>
      </c>
      <c r="L75" s="254" t="e">
        <f aca="false">'Basis Options'!U80</f>
        <v>#NAME?</v>
      </c>
      <c r="M75" s="475" t="n">
        <f aca="false">'Basis Options'!Q80</f>
        <v>36768</v>
      </c>
      <c r="N75" s="0" t="str">
        <f aca="false">'Basis Options'!F80</f>
        <v>P</v>
      </c>
      <c r="O75" s="0" t="n">
        <f aca="false">'Basis Options'!I80</f>
        <v>-0.4</v>
      </c>
      <c r="P75" s="0" t="n">
        <v>0</v>
      </c>
      <c r="Q75" s="0" t="n">
        <v>0</v>
      </c>
      <c r="R75" s="0" t="n">
        <v>0</v>
      </c>
      <c r="S75" s="0" t="n">
        <v>0</v>
      </c>
      <c r="T75" s="0" t="s">
        <v>624</v>
      </c>
      <c r="U75" s="0" t="str">
        <f aca="false">IF('Basis Options'!D80="NGI/CHI. GATE","""NGI/CHI. GATE""",TRIM('Basis Options'!D80))</f>
        <v>IF-NWPL_ROCKY_M</v>
      </c>
      <c r="V75" s="0" t="s">
        <v>624</v>
      </c>
      <c r="W75" s="0" t="s">
        <v>569</v>
      </c>
      <c r="X75" s="0" t="s">
        <v>624</v>
      </c>
      <c r="Y75" s="0" t="s">
        <v>627</v>
      </c>
      <c r="Z75" s="0" t="s">
        <v>629</v>
      </c>
      <c r="AA75" s="0" t="s">
        <v>624</v>
      </c>
      <c r="AB75" s="0" t="s">
        <v>132</v>
      </c>
      <c r="AC75" s="254" t="n">
        <f aca="false">'Basis Options'!H80</f>
        <v>1000000</v>
      </c>
      <c r="AD75" s="254" t="e">
        <f aca="false">'Basis Options'!W80</f>
        <v>#NAME?</v>
      </c>
      <c r="AE75" s="0" t="n">
        <v>0</v>
      </c>
      <c r="AF75" s="0" t="n">
        <v>0</v>
      </c>
      <c r="AG75" s="0" t="n">
        <v>0</v>
      </c>
      <c r="AH75" s="254" t="e">
        <f aca="false">'Basis Options'!CD80</f>
        <v>#NAME?</v>
      </c>
      <c r="AI75" s="0" t="n">
        <v>226</v>
      </c>
      <c r="AJ75" s="0" t="s">
        <v>630</v>
      </c>
      <c r="AK75" s="0" t="n">
        <v>0</v>
      </c>
      <c r="AL75" s="0" t="n">
        <v>0</v>
      </c>
      <c r="AM75" s="0" t="n">
        <v>0</v>
      </c>
    </row>
    <row r="76" customFormat="false" ht="12.75" hidden="false" customHeight="false" outlineLevel="0" collapsed="false">
      <c r="A76" s="0" t="s">
        <v>621</v>
      </c>
      <c r="B76" s="0" t="str">
        <f aca="false">'Basis Options'!C81</f>
        <v>NF1105.1</v>
      </c>
      <c r="C76" s="0" t="s">
        <v>622</v>
      </c>
      <c r="D76" s="0" t="s">
        <v>623</v>
      </c>
      <c r="E76" s="0" t="s">
        <v>131</v>
      </c>
      <c r="F76" s="0" t="str">
        <f aca="false">'Basis Options'!A81</f>
        <v>ELPASMER</v>
      </c>
      <c r="G76" s="0" t="s">
        <v>628</v>
      </c>
      <c r="H76" s="0" t="s">
        <v>625</v>
      </c>
      <c r="I76" s="0" t="s">
        <v>626</v>
      </c>
      <c r="J76" s="0" t="s">
        <v>627</v>
      </c>
      <c r="K76" s="475" t="n">
        <f aca="false">'Basis Options'!G81</f>
        <v>36951</v>
      </c>
      <c r="L76" s="254" t="e">
        <f aca="false">'Basis Options'!U81</f>
        <v>#NAME?</v>
      </c>
      <c r="M76" s="475" t="n">
        <f aca="false">'Basis Options'!Q81</f>
        <v>36949</v>
      </c>
      <c r="N76" s="0" t="str">
        <f aca="false">'Basis Options'!F81</f>
        <v>C</v>
      </c>
      <c r="O76" s="0" t="n">
        <f aca="false">'Basis Options'!I81</f>
        <v>1.15</v>
      </c>
      <c r="P76" s="0" t="n">
        <v>0</v>
      </c>
      <c r="Q76" s="0" t="n">
        <v>0</v>
      </c>
      <c r="R76" s="0" t="n">
        <v>0</v>
      </c>
      <c r="S76" s="0" t="n">
        <v>0</v>
      </c>
      <c r="T76" s="0" t="s">
        <v>624</v>
      </c>
      <c r="U76" s="0" t="str">
        <f aca="false">IF('Basis Options'!D81="NGI/CHI. GATE","""NGI/CHI. GATE""",TRIM('Basis Options'!D81))</f>
        <v>IF-TRANSCO/Z6</v>
      </c>
      <c r="V76" s="0" t="s">
        <v>624</v>
      </c>
      <c r="W76" s="0" t="s">
        <v>569</v>
      </c>
      <c r="X76" s="0" t="s">
        <v>624</v>
      </c>
      <c r="Y76" s="0" t="s">
        <v>627</v>
      </c>
      <c r="Z76" s="0" t="s">
        <v>629</v>
      </c>
      <c r="AA76" s="0" t="s">
        <v>624</v>
      </c>
      <c r="AB76" s="0" t="s">
        <v>132</v>
      </c>
      <c r="AC76" s="254" t="n">
        <f aca="false">'Basis Options'!H81</f>
        <v>-250000</v>
      </c>
      <c r="AD76" s="254" t="e">
        <f aca="false">'Basis Options'!W81</f>
        <v>#NAME?</v>
      </c>
      <c r="AE76" s="0" t="n">
        <v>0</v>
      </c>
      <c r="AF76" s="0" t="n">
        <v>0</v>
      </c>
      <c r="AG76" s="0" t="n">
        <v>0</v>
      </c>
      <c r="AH76" s="254" t="e">
        <f aca="false">'Basis Options'!CD81</f>
        <v>#NAME?</v>
      </c>
      <c r="AI76" s="0" t="n">
        <v>226</v>
      </c>
      <c r="AJ76" s="0" t="s">
        <v>630</v>
      </c>
      <c r="AK76" s="0" t="n">
        <v>0</v>
      </c>
      <c r="AL76" s="0" t="n">
        <v>0</v>
      </c>
      <c r="AM76" s="0" t="n">
        <v>0</v>
      </c>
    </row>
    <row r="77" customFormat="false" ht="12.75" hidden="false" customHeight="false" outlineLevel="0" collapsed="false">
      <c r="A77" s="0" t="s">
        <v>621</v>
      </c>
      <c r="B77" s="0" t="str">
        <f aca="false">'Basis Options'!C82</f>
        <v>NF1105.1</v>
      </c>
      <c r="C77" s="0" t="s">
        <v>622</v>
      </c>
      <c r="D77" s="0" t="s">
        <v>623</v>
      </c>
      <c r="E77" s="0" t="s">
        <v>131</v>
      </c>
      <c r="F77" s="0" t="str">
        <f aca="false">'Basis Options'!A82</f>
        <v>ELPASMER</v>
      </c>
      <c r="G77" s="0" t="s">
        <v>628</v>
      </c>
      <c r="H77" s="0" t="s">
        <v>625</v>
      </c>
      <c r="I77" s="0" t="s">
        <v>626</v>
      </c>
      <c r="J77" s="0" t="s">
        <v>627</v>
      </c>
      <c r="K77" s="475" t="n">
        <f aca="false">'Basis Options'!G82</f>
        <v>36923</v>
      </c>
      <c r="L77" s="254" t="e">
        <f aca="false">'Basis Options'!U82</f>
        <v>#NAME?</v>
      </c>
      <c r="M77" s="475" t="n">
        <f aca="false">'Basis Options'!Q82</f>
        <v>36921</v>
      </c>
      <c r="N77" s="0" t="str">
        <f aca="false">'Basis Options'!F82</f>
        <v>C</v>
      </c>
      <c r="O77" s="0" t="n">
        <f aca="false">'Basis Options'!I82</f>
        <v>1.15</v>
      </c>
      <c r="P77" s="0" t="n">
        <v>0</v>
      </c>
      <c r="Q77" s="0" t="n">
        <v>0</v>
      </c>
      <c r="R77" s="0" t="n">
        <v>0</v>
      </c>
      <c r="S77" s="0" t="n">
        <v>0</v>
      </c>
      <c r="T77" s="0" t="s">
        <v>624</v>
      </c>
      <c r="U77" s="0" t="str">
        <f aca="false">IF('Basis Options'!D82="NGI/CHI. GATE","""NGI/CHI. GATE""",TRIM('Basis Options'!D82))</f>
        <v>IF-TRANSCO/Z6</v>
      </c>
      <c r="V77" s="0" t="s">
        <v>624</v>
      </c>
      <c r="W77" s="0" t="s">
        <v>569</v>
      </c>
      <c r="X77" s="0" t="s">
        <v>624</v>
      </c>
      <c r="Y77" s="0" t="s">
        <v>627</v>
      </c>
      <c r="Z77" s="0" t="s">
        <v>629</v>
      </c>
      <c r="AA77" s="0" t="s">
        <v>624</v>
      </c>
      <c r="AB77" s="0" t="s">
        <v>132</v>
      </c>
      <c r="AC77" s="254" t="n">
        <f aca="false">'Basis Options'!H82</f>
        <v>-250000</v>
      </c>
      <c r="AD77" s="254" t="e">
        <f aca="false">'Basis Options'!W82</f>
        <v>#NAME?</v>
      </c>
      <c r="AE77" s="0" t="n">
        <v>0</v>
      </c>
      <c r="AF77" s="0" t="n">
        <v>0</v>
      </c>
      <c r="AG77" s="0" t="n">
        <v>0</v>
      </c>
      <c r="AH77" s="254" t="e">
        <f aca="false">'Basis Options'!CD82</f>
        <v>#NAME?</v>
      </c>
      <c r="AI77" s="0" t="n">
        <v>226</v>
      </c>
      <c r="AJ77" s="0" t="s">
        <v>630</v>
      </c>
      <c r="AK77" s="0" t="n">
        <v>0</v>
      </c>
      <c r="AL77" s="0" t="n">
        <v>0</v>
      </c>
      <c r="AM77" s="0" t="n">
        <v>0</v>
      </c>
    </row>
    <row r="78" customFormat="false" ht="12.75" hidden="false" customHeight="false" outlineLevel="0" collapsed="false">
      <c r="A78" s="0" t="s">
        <v>621</v>
      </c>
      <c r="B78" s="0" t="str">
        <f aca="false">'Basis Options'!C83</f>
        <v>NF1105.1</v>
      </c>
      <c r="C78" s="0" t="s">
        <v>622</v>
      </c>
      <c r="D78" s="0" t="s">
        <v>623</v>
      </c>
      <c r="E78" s="0" t="s">
        <v>131</v>
      </c>
      <c r="F78" s="0" t="str">
        <f aca="false">'Basis Options'!A83</f>
        <v>ELPASMER</v>
      </c>
      <c r="G78" s="0" t="s">
        <v>628</v>
      </c>
      <c r="H78" s="0" t="s">
        <v>625</v>
      </c>
      <c r="I78" s="0" t="s">
        <v>626</v>
      </c>
      <c r="J78" s="0" t="s">
        <v>627</v>
      </c>
      <c r="K78" s="475" t="n">
        <f aca="false">'Basis Options'!G83</f>
        <v>36892</v>
      </c>
      <c r="L78" s="254" t="e">
        <f aca="false">'Basis Options'!U83</f>
        <v>#NAME?</v>
      </c>
      <c r="M78" s="475" t="n">
        <f aca="false">'Basis Options'!Q83</f>
        <v>36888</v>
      </c>
      <c r="N78" s="0" t="str">
        <f aca="false">'Basis Options'!F83</f>
        <v>C</v>
      </c>
      <c r="O78" s="0" t="n">
        <f aca="false">'Basis Options'!I83</f>
        <v>1.15</v>
      </c>
      <c r="P78" s="0" t="n">
        <v>0</v>
      </c>
      <c r="Q78" s="0" t="n">
        <v>0</v>
      </c>
      <c r="R78" s="0" t="n">
        <v>0</v>
      </c>
      <c r="S78" s="0" t="n">
        <v>0</v>
      </c>
      <c r="T78" s="0" t="s">
        <v>624</v>
      </c>
      <c r="U78" s="0" t="str">
        <f aca="false">IF('Basis Options'!D83="NGI/CHI. GATE","""NGI/CHI. GATE""",TRIM('Basis Options'!D83))</f>
        <v>IF-TRANSCO/Z6</v>
      </c>
      <c r="V78" s="0" t="s">
        <v>624</v>
      </c>
      <c r="W78" s="0" t="s">
        <v>569</v>
      </c>
      <c r="X78" s="0" t="s">
        <v>624</v>
      </c>
      <c r="Y78" s="0" t="s">
        <v>627</v>
      </c>
      <c r="Z78" s="0" t="s">
        <v>629</v>
      </c>
      <c r="AA78" s="0" t="s">
        <v>624</v>
      </c>
      <c r="AB78" s="0" t="s">
        <v>132</v>
      </c>
      <c r="AC78" s="254" t="n">
        <f aca="false">'Basis Options'!H83</f>
        <v>-250000</v>
      </c>
      <c r="AD78" s="254" t="e">
        <f aca="false">'Basis Options'!W83</f>
        <v>#NAME?</v>
      </c>
      <c r="AE78" s="0" t="n">
        <v>0</v>
      </c>
      <c r="AF78" s="0" t="n">
        <v>0</v>
      </c>
      <c r="AG78" s="0" t="n">
        <v>0</v>
      </c>
      <c r="AH78" s="254" t="e">
        <f aca="false">'Basis Options'!CD83</f>
        <v>#NAME?</v>
      </c>
      <c r="AI78" s="0" t="n">
        <v>226</v>
      </c>
      <c r="AJ78" s="0" t="s">
        <v>630</v>
      </c>
      <c r="AK78" s="0" t="n">
        <v>0</v>
      </c>
      <c r="AL78" s="0" t="n">
        <v>0</v>
      </c>
      <c r="AM78" s="0" t="n">
        <v>0</v>
      </c>
    </row>
    <row r="79" customFormat="false" ht="12.75" hidden="false" customHeight="false" outlineLevel="0" collapsed="false">
      <c r="A79" s="0" t="s">
        <v>621</v>
      </c>
      <c r="B79" s="0" t="str">
        <f aca="false">'Basis Options'!C84</f>
        <v>NF1105.1</v>
      </c>
      <c r="C79" s="0" t="s">
        <v>622</v>
      </c>
      <c r="D79" s="0" t="s">
        <v>623</v>
      </c>
      <c r="E79" s="0" t="s">
        <v>131</v>
      </c>
      <c r="F79" s="0" t="str">
        <f aca="false">'Basis Options'!A84</f>
        <v>ELPASMER</v>
      </c>
      <c r="G79" s="0" t="s">
        <v>628</v>
      </c>
      <c r="H79" s="0" t="s">
        <v>625</v>
      </c>
      <c r="I79" s="0" t="s">
        <v>626</v>
      </c>
      <c r="J79" s="0" t="s">
        <v>627</v>
      </c>
      <c r="K79" s="475" t="n">
        <f aca="false">'Basis Options'!G84</f>
        <v>36861</v>
      </c>
      <c r="L79" s="254" t="e">
        <f aca="false">'Basis Options'!U84</f>
        <v>#NAME?</v>
      </c>
      <c r="M79" s="475" t="n">
        <f aca="false">'Basis Options'!Q84</f>
        <v>36859</v>
      </c>
      <c r="N79" s="0" t="str">
        <f aca="false">'Basis Options'!F84</f>
        <v>C</v>
      </c>
      <c r="O79" s="0" t="n">
        <f aca="false">'Basis Options'!I84</f>
        <v>1.15</v>
      </c>
      <c r="P79" s="0" t="n">
        <v>0</v>
      </c>
      <c r="Q79" s="0" t="n">
        <v>0</v>
      </c>
      <c r="R79" s="0" t="n">
        <v>0</v>
      </c>
      <c r="S79" s="0" t="n">
        <v>0</v>
      </c>
      <c r="T79" s="0" t="s">
        <v>624</v>
      </c>
      <c r="U79" s="0" t="str">
        <f aca="false">IF('Basis Options'!D84="NGI/CHI. GATE","""NGI/CHI. GATE""",TRIM('Basis Options'!D84))</f>
        <v>IF-TRANSCO/Z6</v>
      </c>
      <c r="V79" s="0" t="s">
        <v>624</v>
      </c>
      <c r="W79" s="0" t="s">
        <v>569</v>
      </c>
      <c r="X79" s="0" t="s">
        <v>624</v>
      </c>
      <c r="Y79" s="0" t="s">
        <v>627</v>
      </c>
      <c r="Z79" s="0" t="s">
        <v>629</v>
      </c>
      <c r="AA79" s="0" t="s">
        <v>624</v>
      </c>
      <c r="AB79" s="0" t="s">
        <v>132</v>
      </c>
      <c r="AC79" s="254" t="n">
        <f aca="false">'Basis Options'!H84</f>
        <v>-250000</v>
      </c>
      <c r="AD79" s="254" t="e">
        <f aca="false">'Basis Options'!W84</f>
        <v>#NAME?</v>
      </c>
      <c r="AE79" s="0" t="n">
        <v>0</v>
      </c>
      <c r="AF79" s="0" t="n">
        <v>0</v>
      </c>
      <c r="AG79" s="0" t="n">
        <v>0</v>
      </c>
      <c r="AH79" s="254" t="e">
        <f aca="false">'Basis Options'!CD84</f>
        <v>#NAME?</v>
      </c>
      <c r="AI79" s="0" t="n">
        <v>226</v>
      </c>
      <c r="AJ79" s="0" t="s">
        <v>630</v>
      </c>
      <c r="AK79" s="0" t="n">
        <v>0</v>
      </c>
      <c r="AL79" s="0" t="n">
        <v>0</v>
      </c>
      <c r="AM79" s="0" t="n">
        <v>0</v>
      </c>
    </row>
    <row r="80" customFormat="false" ht="12.75" hidden="false" customHeight="false" outlineLevel="0" collapsed="false">
      <c r="A80" s="0" t="s">
        <v>621</v>
      </c>
      <c r="B80" s="0" t="str">
        <f aca="false">'Basis Options'!C85</f>
        <v>NF1105.1</v>
      </c>
      <c r="C80" s="0" t="s">
        <v>622</v>
      </c>
      <c r="D80" s="0" t="s">
        <v>623</v>
      </c>
      <c r="E80" s="0" t="s">
        <v>131</v>
      </c>
      <c r="F80" s="0" t="str">
        <f aca="false">'Basis Options'!A85</f>
        <v>ELPASMER</v>
      </c>
      <c r="G80" s="0" t="s">
        <v>628</v>
      </c>
      <c r="H80" s="0" t="s">
        <v>625</v>
      </c>
      <c r="I80" s="0" t="s">
        <v>626</v>
      </c>
      <c r="J80" s="0" t="s">
        <v>627</v>
      </c>
      <c r="K80" s="475" t="n">
        <f aca="false">'Basis Options'!G85</f>
        <v>36831</v>
      </c>
      <c r="L80" s="254" t="e">
        <f aca="false">'Basis Options'!U85</f>
        <v>#NAME?</v>
      </c>
      <c r="M80" s="475" t="n">
        <f aca="false">'Basis Options'!Q85</f>
        <v>36829</v>
      </c>
      <c r="N80" s="0" t="str">
        <f aca="false">'Basis Options'!F85</f>
        <v>C</v>
      </c>
      <c r="O80" s="0" t="n">
        <f aca="false">'Basis Options'!I85</f>
        <v>1.15</v>
      </c>
      <c r="P80" s="0" t="n">
        <v>0</v>
      </c>
      <c r="Q80" s="0" t="n">
        <v>0</v>
      </c>
      <c r="R80" s="0" t="n">
        <v>0</v>
      </c>
      <c r="S80" s="0" t="n">
        <v>0</v>
      </c>
      <c r="T80" s="0" t="s">
        <v>624</v>
      </c>
      <c r="U80" s="0" t="str">
        <f aca="false">IF('Basis Options'!D85="NGI/CHI. GATE","""NGI/CHI. GATE""",TRIM('Basis Options'!D85))</f>
        <v>IF-TRANSCO/Z6</v>
      </c>
      <c r="V80" s="0" t="s">
        <v>624</v>
      </c>
      <c r="W80" s="0" t="s">
        <v>569</v>
      </c>
      <c r="X80" s="0" t="s">
        <v>624</v>
      </c>
      <c r="Y80" s="0" t="s">
        <v>627</v>
      </c>
      <c r="Z80" s="0" t="s">
        <v>629</v>
      </c>
      <c r="AA80" s="0" t="s">
        <v>624</v>
      </c>
      <c r="AB80" s="0" t="s">
        <v>132</v>
      </c>
      <c r="AC80" s="254" t="n">
        <f aca="false">'Basis Options'!H85</f>
        <v>-250000</v>
      </c>
      <c r="AD80" s="254" t="e">
        <f aca="false">'Basis Options'!W85</f>
        <v>#NAME?</v>
      </c>
      <c r="AE80" s="0" t="n">
        <v>0</v>
      </c>
      <c r="AF80" s="0" t="n">
        <v>0</v>
      </c>
      <c r="AG80" s="0" t="n">
        <v>0</v>
      </c>
      <c r="AH80" s="254" t="e">
        <f aca="false">'Basis Options'!CD85</f>
        <v>#NAME?</v>
      </c>
      <c r="AI80" s="0" t="n">
        <v>226</v>
      </c>
      <c r="AJ80" s="0" t="s">
        <v>630</v>
      </c>
      <c r="AK80" s="0" t="n">
        <v>0</v>
      </c>
      <c r="AL80" s="0" t="n">
        <v>0</v>
      </c>
      <c r="AM80" s="0" t="n">
        <v>0</v>
      </c>
    </row>
    <row r="81" customFormat="false" ht="12.75" hidden="false" customHeight="false" outlineLevel="0" collapsed="false">
      <c r="A81" s="0" t="s">
        <v>621</v>
      </c>
      <c r="B81" s="0" t="str">
        <f aca="false">'Basis Options'!C86</f>
        <v>NF1105.2</v>
      </c>
      <c r="C81" s="0" t="s">
        <v>622</v>
      </c>
      <c r="D81" s="0" t="s">
        <v>623</v>
      </c>
      <c r="E81" s="0" t="s">
        <v>131</v>
      </c>
      <c r="F81" s="0" t="str">
        <f aca="false">'Basis Options'!A86</f>
        <v>ELPASMER</v>
      </c>
      <c r="G81" s="0" t="s">
        <v>628</v>
      </c>
      <c r="H81" s="0" t="s">
        <v>625</v>
      </c>
      <c r="I81" s="0" t="s">
        <v>626</v>
      </c>
      <c r="J81" s="0" t="s">
        <v>627</v>
      </c>
      <c r="K81" s="475" t="n">
        <f aca="false">'Basis Options'!G86</f>
        <v>36951</v>
      </c>
      <c r="L81" s="254" t="e">
        <f aca="false">'Basis Options'!U86</f>
        <v>#NAME?</v>
      </c>
      <c r="M81" s="475" t="n">
        <f aca="false">'Basis Options'!Q86</f>
        <v>36949</v>
      </c>
      <c r="N81" s="0" t="str">
        <f aca="false">'Basis Options'!F86</f>
        <v>P</v>
      </c>
      <c r="O81" s="0" t="n">
        <f aca="false">'Basis Options'!I86</f>
        <v>1.15</v>
      </c>
      <c r="P81" s="0" t="n">
        <v>0</v>
      </c>
      <c r="Q81" s="0" t="n">
        <v>0</v>
      </c>
      <c r="R81" s="0" t="n">
        <v>0</v>
      </c>
      <c r="S81" s="0" t="n">
        <v>0</v>
      </c>
      <c r="T81" s="0" t="s">
        <v>624</v>
      </c>
      <c r="U81" s="0" t="str">
        <f aca="false">IF('Basis Options'!D86="NGI/CHI. GATE","""NGI/CHI. GATE""",TRIM('Basis Options'!D86))</f>
        <v>IF-TRANSCO/Z6</v>
      </c>
      <c r="V81" s="0" t="s">
        <v>624</v>
      </c>
      <c r="W81" s="0" t="s">
        <v>569</v>
      </c>
      <c r="X81" s="0" t="s">
        <v>624</v>
      </c>
      <c r="Y81" s="0" t="s">
        <v>627</v>
      </c>
      <c r="Z81" s="0" t="s">
        <v>629</v>
      </c>
      <c r="AA81" s="0" t="s">
        <v>624</v>
      </c>
      <c r="AB81" s="0" t="s">
        <v>132</v>
      </c>
      <c r="AC81" s="254" t="n">
        <f aca="false">'Basis Options'!H86</f>
        <v>-250000</v>
      </c>
      <c r="AD81" s="254" t="e">
        <f aca="false">'Basis Options'!W86</f>
        <v>#NAME?</v>
      </c>
      <c r="AE81" s="0" t="n">
        <v>0</v>
      </c>
      <c r="AF81" s="0" t="n">
        <v>0</v>
      </c>
      <c r="AG81" s="0" t="n">
        <v>0</v>
      </c>
      <c r="AH81" s="254" t="e">
        <f aca="false">'Basis Options'!CD86</f>
        <v>#NAME?</v>
      </c>
      <c r="AI81" s="0" t="n">
        <v>226</v>
      </c>
      <c r="AJ81" s="0" t="s">
        <v>630</v>
      </c>
      <c r="AK81" s="0" t="n">
        <v>0</v>
      </c>
      <c r="AL81" s="0" t="n">
        <v>0</v>
      </c>
      <c r="AM81" s="0" t="n">
        <v>0</v>
      </c>
    </row>
    <row r="82" customFormat="false" ht="12.75" hidden="false" customHeight="false" outlineLevel="0" collapsed="false">
      <c r="A82" s="0" t="s">
        <v>621</v>
      </c>
      <c r="B82" s="0" t="str">
        <f aca="false">'Basis Options'!C87</f>
        <v>NF1105.2</v>
      </c>
      <c r="C82" s="0" t="s">
        <v>622</v>
      </c>
      <c r="D82" s="0" t="s">
        <v>623</v>
      </c>
      <c r="E82" s="0" t="s">
        <v>131</v>
      </c>
      <c r="F82" s="0" t="str">
        <f aca="false">'Basis Options'!A87</f>
        <v>ELPASMER</v>
      </c>
      <c r="G82" s="0" t="s">
        <v>628</v>
      </c>
      <c r="H82" s="0" t="s">
        <v>625</v>
      </c>
      <c r="I82" s="0" t="s">
        <v>626</v>
      </c>
      <c r="J82" s="0" t="s">
        <v>627</v>
      </c>
      <c r="K82" s="475" t="n">
        <f aca="false">'Basis Options'!G87</f>
        <v>36923</v>
      </c>
      <c r="L82" s="254" t="e">
        <f aca="false">'Basis Options'!U87</f>
        <v>#NAME?</v>
      </c>
      <c r="M82" s="475" t="n">
        <f aca="false">'Basis Options'!Q87</f>
        <v>36921</v>
      </c>
      <c r="N82" s="0" t="str">
        <f aca="false">'Basis Options'!F87</f>
        <v>P</v>
      </c>
      <c r="O82" s="0" t="n">
        <f aca="false">'Basis Options'!I87</f>
        <v>1.15</v>
      </c>
      <c r="P82" s="0" t="n">
        <v>0</v>
      </c>
      <c r="Q82" s="0" t="n">
        <v>0</v>
      </c>
      <c r="R82" s="0" t="n">
        <v>0</v>
      </c>
      <c r="S82" s="0" t="n">
        <v>0</v>
      </c>
      <c r="T82" s="0" t="s">
        <v>624</v>
      </c>
      <c r="U82" s="0" t="str">
        <f aca="false">IF('Basis Options'!D87="NGI/CHI. GATE","""NGI/CHI. GATE""",TRIM('Basis Options'!D87))</f>
        <v>IF-TRANSCO/Z6</v>
      </c>
      <c r="V82" s="0" t="s">
        <v>624</v>
      </c>
      <c r="W82" s="0" t="s">
        <v>569</v>
      </c>
      <c r="X82" s="0" t="s">
        <v>624</v>
      </c>
      <c r="Y82" s="0" t="s">
        <v>627</v>
      </c>
      <c r="Z82" s="0" t="s">
        <v>629</v>
      </c>
      <c r="AA82" s="0" t="s">
        <v>624</v>
      </c>
      <c r="AB82" s="0" t="s">
        <v>132</v>
      </c>
      <c r="AC82" s="254" t="n">
        <f aca="false">'Basis Options'!H87</f>
        <v>-250000</v>
      </c>
      <c r="AD82" s="254" t="e">
        <f aca="false">'Basis Options'!W87</f>
        <v>#NAME?</v>
      </c>
      <c r="AE82" s="0" t="n">
        <v>0</v>
      </c>
      <c r="AF82" s="0" t="n">
        <v>0</v>
      </c>
      <c r="AG82" s="0" t="n">
        <v>0</v>
      </c>
      <c r="AH82" s="254" t="e">
        <f aca="false">'Basis Options'!CD87</f>
        <v>#NAME?</v>
      </c>
      <c r="AI82" s="0" t="n">
        <v>226</v>
      </c>
      <c r="AJ82" s="0" t="s">
        <v>630</v>
      </c>
      <c r="AK82" s="0" t="n">
        <v>0</v>
      </c>
      <c r="AL82" s="0" t="n">
        <v>0</v>
      </c>
      <c r="AM82" s="0" t="n">
        <v>0</v>
      </c>
    </row>
    <row r="83" customFormat="false" ht="12.75" hidden="false" customHeight="false" outlineLevel="0" collapsed="false">
      <c r="A83" s="0" t="s">
        <v>621</v>
      </c>
      <c r="B83" s="0" t="str">
        <f aca="false">'Basis Options'!C88</f>
        <v>NF1105.2</v>
      </c>
      <c r="C83" s="0" t="s">
        <v>622</v>
      </c>
      <c r="D83" s="0" t="s">
        <v>623</v>
      </c>
      <c r="E83" s="0" t="s">
        <v>131</v>
      </c>
      <c r="F83" s="0" t="str">
        <f aca="false">'Basis Options'!A88</f>
        <v>ELPASMER</v>
      </c>
      <c r="G83" s="0" t="s">
        <v>628</v>
      </c>
      <c r="H83" s="0" t="s">
        <v>625</v>
      </c>
      <c r="I83" s="0" t="s">
        <v>626</v>
      </c>
      <c r="J83" s="0" t="s">
        <v>627</v>
      </c>
      <c r="K83" s="475" t="n">
        <f aca="false">'Basis Options'!G88</f>
        <v>36892</v>
      </c>
      <c r="L83" s="254" t="e">
        <f aca="false">'Basis Options'!U88</f>
        <v>#NAME?</v>
      </c>
      <c r="M83" s="475" t="n">
        <f aca="false">'Basis Options'!Q88</f>
        <v>36888</v>
      </c>
      <c r="N83" s="0" t="str">
        <f aca="false">'Basis Options'!F88</f>
        <v>P</v>
      </c>
      <c r="O83" s="0" t="n">
        <f aca="false">'Basis Options'!I88</f>
        <v>1.15</v>
      </c>
      <c r="P83" s="0" t="n">
        <v>0</v>
      </c>
      <c r="Q83" s="0" t="n">
        <v>0</v>
      </c>
      <c r="R83" s="0" t="n">
        <v>0</v>
      </c>
      <c r="S83" s="0" t="n">
        <v>0</v>
      </c>
      <c r="T83" s="0" t="s">
        <v>624</v>
      </c>
      <c r="U83" s="0" t="str">
        <f aca="false">IF('Basis Options'!D88="NGI/CHI. GATE","""NGI/CHI. GATE""",TRIM('Basis Options'!D88))</f>
        <v>IF-TRANSCO/Z6</v>
      </c>
      <c r="V83" s="0" t="s">
        <v>624</v>
      </c>
      <c r="W83" s="0" t="s">
        <v>569</v>
      </c>
      <c r="X83" s="0" t="s">
        <v>624</v>
      </c>
      <c r="Y83" s="0" t="s">
        <v>627</v>
      </c>
      <c r="Z83" s="0" t="s">
        <v>629</v>
      </c>
      <c r="AA83" s="0" t="s">
        <v>624</v>
      </c>
      <c r="AB83" s="0" t="s">
        <v>132</v>
      </c>
      <c r="AC83" s="254" t="n">
        <f aca="false">'Basis Options'!H88</f>
        <v>-250000</v>
      </c>
      <c r="AD83" s="254" t="e">
        <f aca="false">'Basis Options'!W88</f>
        <v>#NAME?</v>
      </c>
      <c r="AE83" s="0" t="n">
        <v>0</v>
      </c>
      <c r="AF83" s="0" t="n">
        <v>0</v>
      </c>
      <c r="AG83" s="0" t="n">
        <v>0</v>
      </c>
      <c r="AH83" s="254" t="e">
        <f aca="false">'Basis Options'!CD88</f>
        <v>#NAME?</v>
      </c>
      <c r="AI83" s="0" t="n">
        <v>226</v>
      </c>
      <c r="AJ83" s="0" t="s">
        <v>630</v>
      </c>
      <c r="AK83" s="0" t="n">
        <v>0</v>
      </c>
      <c r="AL83" s="0" t="n">
        <v>0</v>
      </c>
      <c r="AM83" s="0" t="n">
        <v>0</v>
      </c>
    </row>
    <row r="84" customFormat="false" ht="12.75" hidden="false" customHeight="false" outlineLevel="0" collapsed="false">
      <c r="A84" s="0" t="s">
        <v>621</v>
      </c>
      <c r="B84" s="0" t="str">
        <f aca="false">'Basis Options'!C89</f>
        <v>NF1105.2</v>
      </c>
      <c r="C84" s="0" t="s">
        <v>622</v>
      </c>
      <c r="D84" s="0" t="s">
        <v>623</v>
      </c>
      <c r="E84" s="0" t="s">
        <v>131</v>
      </c>
      <c r="F84" s="0" t="str">
        <f aca="false">'Basis Options'!A89</f>
        <v>ELPASMER</v>
      </c>
      <c r="G84" s="0" t="s">
        <v>628</v>
      </c>
      <c r="H84" s="0" t="s">
        <v>625</v>
      </c>
      <c r="I84" s="0" t="s">
        <v>626</v>
      </c>
      <c r="J84" s="0" t="s">
        <v>627</v>
      </c>
      <c r="K84" s="475" t="n">
        <f aca="false">'Basis Options'!G89</f>
        <v>36861</v>
      </c>
      <c r="L84" s="254" t="e">
        <f aca="false">'Basis Options'!U89</f>
        <v>#NAME?</v>
      </c>
      <c r="M84" s="475" t="n">
        <f aca="false">'Basis Options'!Q89</f>
        <v>36859</v>
      </c>
      <c r="N84" s="0" t="str">
        <f aca="false">'Basis Options'!F89</f>
        <v>P</v>
      </c>
      <c r="O84" s="0" t="n">
        <f aca="false">'Basis Options'!I89</f>
        <v>1.15</v>
      </c>
      <c r="P84" s="0" t="n">
        <v>0</v>
      </c>
      <c r="Q84" s="0" t="n">
        <v>0</v>
      </c>
      <c r="R84" s="0" t="n">
        <v>0</v>
      </c>
      <c r="S84" s="0" t="n">
        <v>0</v>
      </c>
      <c r="T84" s="0" t="s">
        <v>624</v>
      </c>
      <c r="U84" s="0" t="str">
        <f aca="false">IF('Basis Options'!D89="NGI/CHI. GATE","""NGI/CHI. GATE""",TRIM('Basis Options'!D89))</f>
        <v>IF-TRANSCO/Z6</v>
      </c>
      <c r="V84" s="0" t="s">
        <v>624</v>
      </c>
      <c r="W84" s="0" t="s">
        <v>569</v>
      </c>
      <c r="X84" s="0" t="s">
        <v>624</v>
      </c>
      <c r="Y84" s="0" t="s">
        <v>627</v>
      </c>
      <c r="Z84" s="0" t="s">
        <v>629</v>
      </c>
      <c r="AA84" s="0" t="s">
        <v>624</v>
      </c>
      <c r="AB84" s="0" t="s">
        <v>132</v>
      </c>
      <c r="AC84" s="254" t="n">
        <f aca="false">'Basis Options'!H89</f>
        <v>-250000</v>
      </c>
      <c r="AD84" s="254" t="e">
        <f aca="false">'Basis Options'!W89</f>
        <v>#NAME?</v>
      </c>
      <c r="AE84" s="0" t="n">
        <v>0</v>
      </c>
      <c r="AF84" s="0" t="n">
        <v>0</v>
      </c>
      <c r="AG84" s="0" t="n">
        <v>0</v>
      </c>
      <c r="AH84" s="254" t="e">
        <f aca="false">'Basis Options'!CD89</f>
        <v>#NAME?</v>
      </c>
      <c r="AI84" s="0" t="n">
        <v>226</v>
      </c>
      <c r="AJ84" s="0" t="s">
        <v>630</v>
      </c>
      <c r="AK84" s="0" t="n">
        <v>0</v>
      </c>
      <c r="AL84" s="0" t="n">
        <v>0</v>
      </c>
      <c r="AM84" s="0" t="n">
        <v>0</v>
      </c>
    </row>
    <row r="85" customFormat="false" ht="12.75" hidden="false" customHeight="false" outlineLevel="0" collapsed="false">
      <c r="A85" s="0" t="s">
        <v>621</v>
      </c>
      <c r="B85" s="0" t="str">
        <f aca="false">'Basis Options'!C90</f>
        <v>NF1105.2</v>
      </c>
      <c r="C85" s="0" t="s">
        <v>622</v>
      </c>
      <c r="D85" s="0" t="s">
        <v>623</v>
      </c>
      <c r="E85" s="0" t="s">
        <v>131</v>
      </c>
      <c r="F85" s="0" t="str">
        <f aca="false">'Basis Options'!A90</f>
        <v>ELPASMER</v>
      </c>
      <c r="G85" s="0" t="s">
        <v>628</v>
      </c>
      <c r="H85" s="0" t="s">
        <v>625</v>
      </c>
      <c r="I85" s="0" t="s">
        <v>626</v>
      </c>
      <c r="J85" s="0" t="s">
        <v>627</v>
      </c>
      <c r="K85" s="475" t="n">
        <f aca="false">'Basis Options'!G90</f>
        <v>36831</v>
      </c>
      <c r="L85" s="254" t="e">
        <f aca="false">'Basis Options'!U90</f>
        <v>#NAME?</v>
      </c>
      <c r="M85" s="475" t="n">
        <f aca="false">'Basis Options'!Q90</f>
        <v>36829</v>
      </c>
      <c r="N85" s="0" t="str">
        <f aca="false">'Basis Options'!F90</f>
        <v>P</v>
      </c>
      <c r="O85" s="0" t="n">
        <f aca="false">'Basis Options'!I90</f>
        <v>1.15</v>
      </c>
      <c r="P85" s="0" t="n">
        <v>0</v>
      </c>
      <c r="Q85" s="0" t="n">
        <v>0</v>
      </c>
      <c r="R85" s="0" t="n">
        <v>0</v>
      </c>
      <c r="S85" s="0" t="n">
        <v>0</v>
      </c>
      <c r="T85" s="0" t="s">
        <v>624</v>
      </c>
      <c r="U85" s="0" t="str">
        <f aca="false">IF('Basis Options'!D90="NGI/CHI. GATE","""NGI/CHI. GATE""",TRIM('Basis Options'!D90))</f>
        <v>IF-TRANSCO/Z6</v>
      </c>
      <c r="V85" s="0" t="s">
        <v>624</v>
      </c>
      <c r="W85" s="0" t="s">
        <v>569</v>
      </c>
      <c r="X85" s="0" t="s">
        <v>624</v>
      </c>
      <c r="Y85" s="0" t="s">
        <v>627</v>
      </c>
      <c r="Z85" s="0" t="s">
        <v>629</v>
      </c>
      <c r="AA85" s="0" t="s">
        <v>624</v>
      </c>
      <c r="AB85" s="0" t="s">
        <v>132</v>
      </c>
      <c r="AC85" s="254" t="n">
        <f aca="false">'Basis Options'!H90</f>
        <v>-250000</v>
      </c>
      <c r="AD85" s="254" t="e">
        <f aca="false">'Basis Options'!W90</f>
        <v>#NAME?</v>
      </c>
      <c r="AE85" s="0" t="n">
        <v>0</v>
      </c>
      <c r="AF85" s="0" t="n">
        <v>0</v>
      </c>
      <c r="AG85" s="0" t="n">
        <v>0</v>
      </c>
      <c r="AH85" s="254" t="e">
        <f aca="false">'Basis Options'!CD90</f>
        <v>#NAME?</v>
      </c>
      <c r="AI85" s="0" t="n">
        <v>226</v>
      </c>
      <c r="AJ85" s="0" t="s">
        <v>630</v>
      </c>
      <c r="AK85" s="0" t="n">
        <v>0</v>
      </c>
      <c r="AL85" s="0" t="n">
        <v>0</v>
      </c>
      <c r="AM85" s="0" t="n">
        <v>0</v>
      </c>
    </row>
    <row r="86" customFormat="false" ht="12.75" hidden="false" customHeight="false" outlineLevel="0" collapsed="false">
      <c r="A86" s="0" t="s">
        <v>621</v>
      </c>
      <c r="B86" s="0" t="str">
        <f aca="false">'Basis Options'!C91</f>
        <v>NF1114.1</v>
      </c>
      <c r="C86" s="0" t="s">
        <v>622</v>
      </c>
      <c r="D86" s="0" t="s">
        <v>623</v>
      </c>
      <c r="E86" s="0" t="s">
        <v>131</v>
      </c>
      <c r="F86" s="0" t="str">
        <f aca="false">'Basis Options'!A91</f>
        <v>ELPASMER</v>
      </c>
      <c r="G86" s="0" t="s">
        <v>628</v>
      </c>
      <c r="H86" s="0" t="s">
        <v>625</v>
      </c>
      <c r="I86" s="0" t="s">
        <v>626</v>
      </c>
      <c r="J86" s="0" t="s">
        <v>627</v>
      </c>
      <c r="K86" s="475" t="n">
        <f aca="false">'Basis Options'!G91</f>
        <v>36800</v>
      </c>
      <c r="L86" s="254" t="e">
        <f aca="false">'Basis Options'!U91</f>
        <v>#NAME?</v>
      </c>
      <c r="M86" s="475" t="n">
        <f aca="false">'Basis Options'!Q91</f>
        <v>36797</v>
      </c>
      <c r="N86" s="0" t="str">
        <f aca="false">'Basis Options'!F91</f>
        <v>C</v>
      </c>
      <c r="O86" s="0" t="n">
        <f aca="false">'Basis Options'!I91</f>
        <v>-0.32</v>
      </c>
      <c r="P86" s="0" t="n">
        <v>0</v>
      </c>
      <c r="Q86" s="0" t="n">
        <v>0</v>
      </c>
      <c r="R86" s="0" t="n">
        <v>0</v>
      </c>
      <c r="S86" s="0" t="n">
        <v>0</v>
      </c>
      <c r="T86" s="0" t="s">
        <v>624</v>
      </c>
      <c r="U86" s="0" t="str">
        <f aca="false">IF('Basis Options'!D91="NGI/CHI. GATE","""NGI/CHI. GATE""",TRIM('Basis Options'!D91))</f>
        <v>IF-NWPL_ROCKY_M</v>
      </c>
      <c r="V86" s="0" t="s">
        <v>624</v>
      </c>
      <c r="W86" s="0" t="s">
        <v>569</v>
      </c>
      <c r="X86" s="0" t="s">
        <v>624</v>
      </c>
      <c r="Y86" s="0" t="s">
        <v>627</v>
      </c>
      <c r="Z86" s="0" t="s">
        <v>629</v>
      </c>
      <c r="AA86" s="0" t="s">
        <v>624</v>
      </c>
      <c r="AB86" s="0" t="s">
        <v>132</v>
      </c>
      <c r="AC86" s="254" t="n">
        <f aca="false">'Basis Options'!H91</f>
        <v>-500000</v>
      </c>
      <c r="AD86" s="254" t="e">
        <f aca="false">'Basis Options'!W91</f>
        <v>#NAME?</v>
      </c>
      <c r="AE86" s="0" t="n">
        <v>0</v>
      </c>
      <c r="AF86" s="0" t="n">
        <v>0</v>
      </c>
      <c r="AG86" s="0" t="n">
        <v>0</v>
      </c>
      <c r="AH86" s="254" t="e">
        <f aca="false">'Basis Options'!CD91</f>
        <v>#NAME?</v>
      </c>
      <c r="AI86" s="0" t="n">
        <v>226</v>
      </c>
      <c r="AJ86" s="0" t="s">
        <v>630</v>
      </c>
      <c r="AK86" s="0" t="n">
        <v>0</v>
      </c>
      <c r="AL86" s="0" t="n">
        <v>0</v>
      </c>
      <c r="AM86" s="0" t="n">
        <v>0</v>
      </c>
    </row>
    <row r="87" customFormat="false" ht="12.75" hidden="false" customHeight="false" outlineLevel="0" collapsed="false">
      <c r="A87" s="0" t="s">
        <v>621</v>
      </c>
      <c r="B87" s="0" t="str">
        <f aca="false">'Basis Options'!C92</f>
        <v>NF1114.1</v>
      </c>
      <c r="C87" s="0" t="s">
        <v>622</v>
      </c>
      <c r="D87" s="0" t="s">
        <v>623</v>
      </c>
      <c r="E87" s="0" t="s">
        <v>131</v>
      </c>
      <c r="F87" s="0" t="str">
        <f aca="false">'Basis Options'!A92</f>
        <v>ELPASMER</v>
      </c>
      <c r="G87" s="0" t="s">
        <v>628</v>
      </c>
      <c r="H87" s="0" t="s">
        <v>625</v>
      </c>
      <c r="I87" s="0" t="s">
        <v>626</v>
      </c>
      <c r="J87" s="0" t="s">
        <v>627</v>
      </c>
      <c r="K87" s="475" t="n">
        <f aca="false">'Basis Options'!G92</f>
        <v>36770</v>
      </c>
      <c r="L87" s="254" t="e">
        <f aca="false">'Basis Options'!U92</f>
        <v>#NAME?</v>
      </c>
      <c r="M87" s="475" t="n">
        <f aca="false">'Basis Options'!Q92</f>
        <v>36768</v>
      </c>
      <c r="N87" s="0" t="str">
        <f aca="false">'Basis Options'!F92</f>
        <v>C</v>
      </c>
      <c r="O87" s="0" t="n">
        <f aca="false">'Basis Options'!I92</f>
        <v>-0.32</v>
      </c>
      <c r="P87" s="0" t="n">
        <v>0</v>
      </c>
      <c r="Q87" s="0" t="n">
        <v>0</v>
      </c>
      <c r="R87" s="0" t="n">
        <v>0</v>
      </c>
      <c r="S87" s="0" t="n">
        <v>0</v>
      </c>
      <c r="T87" s="0" t="s">
        <v>624</v>
      </c>
      <c r="U87" s="0" t="str">
        <f aca="false">IF('Basis Options'!D92="NGI/CHI. GATE","""NGI/CHI. GATE""",TRIM('Basis Options'!D92))</f>
        <v>IF-NWPL_ROCKY_M</v>
      </c>
      <c r="V87" s="0" t="s">
        <v>624</v>
      </c>
      <c r="W87" s="0" t="s">
        <v>569</v>
      </c>
      <c r="X87" s="0" t="s">
        <v>624</v>
      </c>
      <c r="Y87" s="0" t="s">
        <v>627</v>
      </c>
      <c r="Z87" s="0" t="s">
        <v>629</v>
      </c>
      <c r="AA87" s="0" t="s">
        <v>624</v>
      </c>
      <c r="AB87" s="0" t="s">
        <v>132</v>
      </c>
      <c r="AC87" s="254" t="n">
        <f aca="false">'Basis Options'!H92</f>
        <v>-500000</v>
      </c>
      <c r="AD87" s="254" t="e">
        <f aca="false">'Basis Options'!W92</f>
        <v>#NAME?</v>
      </c>
      <c r="AE87" s="0" t="n">
        <v>0</v>
      </c>
      <c r="AF87" s="0" t="n">
        <v>0</v>
      </c>
      <c r="AG87" s="0" t="n">
        <v>0</v>
      </c>
      <c r="AH87" s="254" t="e">
        <f aca="false">'Basis Options'!CD92</f>
        <v>#NAME?</v>
      </c>
      <c r="AI87" s="0" t="n">
        <v>226</v>
      </c>
      <c r="AJ87" s="0" t="s">
        <v>630</v>
      </c>
      <c r="AK87" s="0" t="n">
        <v>0</v>
      </c>
      <c r="AL87" s="0" t="n">
        <v>0</v>
      </c>
      <c r="AM87" s="0" t="n">
        <v>0</v>
      </c>
    </row>
    <row r="88" customFormat="false" ht="12.75" hidden="false" customHeight="false" outlineLevel="0" collapsed="false">
      <c r="A88" s="0" t="s">
        <v>621</v>
      </c>
      <c r="B88" s="0" t="str">
        <f aca="false">'Basis Options'!C93</f>
        <v>NF1114.2</v>
      </c>
      <c r="C88" s="0" t="s">
        <v>622</v>
      </c>
      <c r="D88" s="0" t="s">
        <v>623</v>
      </c>
      <c r="E88" s="0" t="s">
        <v>131</v>
      </c>
      <c r="F88" s="0" t="str">
        <f aca="false">'Basis Options'!A93</f>
        <v>ELPASMER</v>
      </c>
      <c r="G88" s="0" t="s">
        <v>628</v>
      </c>
      <c r="H88" s="0" t="s">
        <v>625</v>
      </c>
      <c r="I88" s="0" t="s">
        <v>626</v>
      </c>
      <c r="J88" s="0" t="s">
        <v>627</v>
      </c>
      <c r="K88" s="475" t="n">
        <f aca="false">'Basis Options'!G93</f>
        <v>36800</v>
      </c>
      <c r="L88" s="254" t="e">
        <f aca="false">'Basis Options'!U93</f>
        <v>#NAME?</v>
      </c>
      <c r="M88" s="475" t="n">
        <f aca="false">'Basis Options'!Q93</f>
        <v>36797</v>
      </c>
      <c r="N88" s="0" t="str">
        <f aca="false">'Basis Options'!F93</f>
        <v>P</v>
      </c>
      <c r="O88" s="0" t="n">
        <f aca="false">'Basis Options'!I93</f>
        <v>-0.32</v>
      </c>
      <c r="P88" s="0" t="n">
        <v>0</v>
      </c>
      <c r="Q88" s="0" t="n">
        <v>0</v>
      </c>
      <c r="R88" s="0" t="n">
        <v>0</v>
      </c>
      <c r="S88" s="0" t="n">
        <v>0</v>
      </c>
      <c r="T88" s="0" t="s">
        <v>624</v>
      </c>
      <c r="U88" s="0" t="str">
        <f aca="false">IF('Basis Options'!D93="NGI/CHI. GATE","""NGI/CHI. GATE""",TRIM('Basis Options'!D93))</f>
        <v>IF-NWPL_ROCKY_M</v>
      </c>
      <c r="V88" s="0" t="s">
        <v>624</v>
      </c>
      <c r="W88" s="0" t="s">
        <v>569</v>
      </c>
      <c r="X88" s="0" t="s">
        <v>624</v>
      </c>
      <c r="Y88" s="0" t="s">
        <v>627</v>
      </c>
      <c r="Z88" s="0" t="s">
        <v>629</v>
      </c>
      <c r="AA88" s="0" t="s">
        <v>624</v>
      </c>
      <c r="AB88" s="0" t="s">
        <v>132</v>
      </c>
      <c r="AC88" s="254" t="n">
        <f aca="false">'Basis Options'!H93</f>
        <v>-500000</v>
      </c>
      <c r="AD88" s="254" t="e">
        <f aca="false">'Basis Options'!W93</f>
        <v>#NAME?</v>
      </c>
      <c r="AE88" s="0" t="n">
        <v>0</v>
      </c>
      <c r="AF88" s="0" t="n">
        <v>0</v>
      </c>
      <c r="AG88" s="0" t="n">
        <v>0</v>
      </c>
      <c r="AH88" s="254" t="e">
        <f aca="false">'Basis Options'!CD93</f>
        <v>#NAME?</v>
      </c>
      <c r="AI88" s="0" t="n">
        <v>226</v>
      </c>
      <c r="AJ88" s="0" t="s">
        <v>630</v>
      </c>
      <c r="AK88" s="0" t="n">
        <v>0</v>
      </c>
      <c r="AL88" s="0" t="n">
        <v>0</v>
      </c>
      <c r="AM88" s="0" t="n">
        <v>0</v>
      </c>
    </row>
    <row r="89" customFormat="false" ht="12.75" hidden="false" customHeight="false" outlineLevel="0" collapsed="false">
      <c r="A89" s="0" t="s">
        <v>621</v>
      </c>
      <c r="B89" s="0" t="str">
        <f aca="false">'Basis Options'!C94</f>
        <v>NF1114.2</v>
      </c>
      <c r="C89" s="0" t="s">
        <v>622</v>
      </c>
      <c r="D89" s="0" t="s">
        <v>623</v>
      </c>
      <c r="E89" s="0" t="s">
        <v>131</v>
      </c>
      <c r="F89" s="0" t="str">
        <f aca="false">'Basis Options'!A94</f>
        <v>ELPASMER</v>
      </c>
      <c r="G89" s="0" t="s">
        <v>628</v>
      </c>
      <c r="H89" s="0" t="s">
        <v>625</v>
      </c>
      <c r="I89" s="0" t="s">
        <v>626</v>
      </c>
      <c r="J89" s="0" t="s">
        <v>627</v>
      </c>
      <c r="K89" s="475" t="n">
        <f aca="false">'Basis Options'!G94</f>
        <v>36770</v>
      </c>
      <c r="L89" s="254" t="e">
        <f aca="false">'Basis Options'!U94</f>
        <v>#NAME?</v>
      </c>
      <c r="M89" s="475" t="n">
        <f aca="false">'Basis Options'!Q94</f>
        <v>36768</v>
      </c>
      <c r="N89" s="0" t="str">
        <f aca="false">'Basis Options'!F94</f>
        <v>P</v>
      </c>
      <c r="O89" s="0" t="n">
        <f aca="false">'Basis Options'!I94</f>
        <v>-0.32</v>
      </c>
      <c r="P89" s="0" t="n">
        <v>0</v>
      </c>
      <c r="Q89" s="0" t="n">
        <v>0</v>
      </c>
      <c r="R89" s="0" t="n">
        <v>0</v>
      </c>
      <c r="S89" s="0" t="n">
        <v>0</v>
      </c>
      <c r="T89" s="0" t="s">
        <v>624</v>
      </c>
      <c r="U89" s="0" t="str">
        <f aca="false">IF('Basis Options'!D94="NGI/CHI. GATE","""NGI/CHI. GATE""",TRIM('Basis Options'!D94))</f>
        <v>IF-NWPL_ROCKY_M</v>
      </c>
      <c r="V89" s="0" t="s">
        <v>624</v>
      </c>
      <c r="W89" s="0" t="s">
        <v>569</v>
      </c>
      <c r="X89" s="0" t="s">
        <v>624</v>
      </c>
      <c r="Y89" s="0" t="s">
        <v>627</v>
      </c>
      <c r="Z89" s="0" t="s">
        <v>629</v>
      </c>
      <c r="AA89" s="0" t="s">
        <v>624</v>
      </c>
      <c r="AB89" s="0" t="s">
        <v>132</v>
      </c>
      <c r="AC89" s="254" t="n">
        <f aca="false">'Basis Options'!H94</f>
        <v>-500000</v>
      </c>
      <c r="AD89" s="254" t="e">
        <f aca="false">'Basis Options'!W94</f>
        <v>#NAME?</v>
      </c>
      <c r="AE89" s="0" t="n">
        <v>0</v>
      </c>
      <c r="AF89" s="0" t="n">
        <v>0</v>
      </c>
      <c r="AG89" s="0" t="n">
        <v>0</v>
      </c>
      <c r="AH89" s="254" t="e">
        <f aca="false">'Basis Options'!CD94</f>
        <v>#NAME?</v>
      </c>
      <c r="AI89" s="0" t="n">
        <v>226</v>
      </c>
      <c r="AJ89" s="0" t="s">
        <v>630</v>
      </c>
      <c r="AK89" s="0" t="n">
        <v>0</v>
      </c>
      <c r="AL89" s="0" t="n">
        <v>0</v>
      </c>
      <c r="AM89" s="0" t="n">
        <v>0</v>
      </c>
    </row>
    <row r="90" customFormat="false" ht="12.75" hidden="false" customHeight="false" outlineLevel="0" collapsed="false">
      <c r="A90" s="0" t="s">
        <v>621</v>
      </c>
      <c r="B90" s="0" t="str">
        <f aca="false">'Basis Options'!C95</f>
        <v>NF2908.1</v>
      </c>
      <c r="C90" s="0" t="s">
        <v>622</v>
      </c>
      <c r="D90" s="0" t="s">
        <v>623</v>
      </c>
      <c r="E90" s="0" t="s">
        <v>131</v>
      </c>
      <c r="F90" s="0" t="str">
        <f aca="false">'Basis Options'!A95</f>
        <v>ELPASMER</v>
      </c>
      <c r="G90" s="0" t="s">
        <v>628</v>
      </c>
      <c r="H90" s="0" t="s">
        <v>625</v>
      </c>
      <c r="I90" s="0" t="s">
        <v>626</v>
      </c>
      <c r="J90" s="0" t="s">
        <v>627</v>
      </c>
      <c r="K90" s="475" t="n">
        <f aca="false">'Basis Options'!G95</f>
        <v>36800</v>
      </c>
      <c r="L90" s="254" t="e">
        <f aca="false">'Basis Options'!U95</f>
        <v>#NAME?</v>
      </c>
      <c r="M90" s="475" t="n">
        <f aca="false">'Basis Options'!Q95</f>
        <v>36797</v>
      </c>
      <c r="N90" s="0" t="str">
        <f aca="false">'Basis Options'!F95</f>
        <v>C</v>
      </c>
      <c r="O90" s="0" t="n">
        <f aca="false">'Basis Options'!I95</f>
        <v>0.32</v>
      </c>
      <c r="P90" s="0" t="n">
        <v>0</v>
      </c>
      <c r="Q90" s="0" t="n">
        <v>0</v>
      </c>
      <c r="R90" s="0" t="n">
        <v>0</v>
      </c>
      <c r="S90" s="0" t="n">
        <v>0</v>
      </c>
      <c r="T90" s="0" t="s">
        <v>624</v>
      </c>
      <c r="U90" s="0" t="str">
        <f aca="false">IF('Basis Options'!D95="NGI/CHI. GATE","""NGI/CHI. GATE""",TRIM('Basis Options'!D95))</f>
        <v>IF-TRANSCO/Z6</v>
      </c>
      <c r="V90" s="0" t="s">
        <v>624</v>
      </c>
      <c r="W90" s="0" t="s">
        <v>569</v>
      </c>
      <c r="X90" s="0" t="s">
        <v>624</v>
      </c>
      <c r="Y90" s="0" t="s">
        <v>627</v>
      </c>
      <c r="Z90" s="0" t="s">
        <v>629</v>
      </c>
      <c r="AA90" s="0" t="s">
        <v>624</v>
      </c>
      <c r="AB90" s="0" t="s">
        <v>132</v>
      </c>
      <c r="AC90" s="254" t="n">
        <f aca="false">'Basis Options'!H95</f>
        <v>-500000</v>
      </c>
      <c r="AD90" s="254" t="e">
        <f aca="false">'Basis Options'!W95</f>
        <v>#NAME?</v>
      </c>
      <c r="AE90" s="0" t="n">
        <v>0</v>
      </c>
      <c r="AF90" s="0" t="n">
        <v>0</v>
      </c>
      <c r="AG90" s="0" t="n">
        <v>0</v>
      </c>
      <c r="AH90" s="254" t="e">
        <f aca="false">'Basis Options'!CD95</f>
        <v>#NAME?</v>
      </c>
      <c r="AI90" s="0" t="n">
        <v>226</v>
      </c>
      <c r="AJ90" s="0" t="s">
        <v>630</v>
      </c>
      <c r="AK90" s="0" t="n">
        <v>0</v>
      </c>
      <c r="AL90" s="0" t="n">
        <v>0</v>
      </c>
      <c r="AM90" s="0" t="n">
        <v>0</v>
      </c>
    </row>
    <row r="91" customFormat="false" ht="12.75" hidden="false" customHeight="false" outlineLevel="0" collapsed="false">
      <c r="A91" s="0" t="s">
        <v>621</v>
      </c>
      <c r="B91" s="0" t="str">
        <f aca="false">'Basis Options'!C96</f>
        <v>NF2908.1</v>
      </c>
      <c r="C91" s="0" t="s">
        <v>622</v>
      </c>
      <c r="D91" s="0" t="s">
        <v>623</v>
      </c>
      <c r="E91" s="0" t="s">
        <v>131</v>
      </c>
      <c r="F91" s="0" t="str">
        <f aca="false">'Basis Options'!A96</f>
        <v>ELPASMER</v>
      </c>
      <c r="G91" s="0" t="s">
        <v>628</v>
      </c>
      <c r="H91" s="0" t="s">
        <v>625</v>
      </c>
      <c r="I91" s="0" t="s">
        <v>626</v>
      </c>
      <c r="J91" s="0" t="s">
        <v>627</v>
      </c>
      <c r="K91" s="475" t="n">
        <f aca="false">'Basis Options'!G96</f>
        <v>36770</v>
      </c>
      <c r="L91" s="254" t="e">
        <f aca="false">'Basis Options'!U96</f>
        <v>#NAME?</v>
      </c>
      <c r="M91" s="475" t="n">
        <f aca="false">'Basis Options'!Q96</f>
        <v>36768</v>
      </c>
      <c r="N91" s="0" t="str">
        <f aca="false">'Basis Options'!F96</f>
        <v>C</v>
      </c>
      <c r="O91" s="0" t="n">
        <f aca="false">'Basis Options'!I96</f>
        <v>0.32</v>
      </c>
      <c r="P91" s="0" t="n">
        <v>0</v>
      </c>
      <c r="Q91" s="0" t="n">
        <v>0</v>
      </c>
      <c r="R91" s="0" t="n">
        <v>0</v>
      </c>
      <c r="S91" s="0" t="n">
        <v>0</v>
      </c>
      <c r="T91" s="0" t="s">
        <v>624</v>
      </c>
      <c r="U91" s="0" t="str">
        <f aca="false">IF('Basis Options'!D96="NGI/CHI. GATE","""NGI/CHI. GATE""",TRIM('Basis Options'!D96))</f>
        <v>IF-TRANSCO/Z6</v>
      </c>
      <c r="V91" s="0" t="s">
        <v>624</v>
      </c>
      <c r="W91" s="0" t="s">
        <v>569</v>
      </c>
      <c r="X91" s="0" t="s">
        <v>624</v>
      </c>
      <c r="Y91" s="0" t="s">
        <v>627</v>
      </c>
      <c r="Z91" s="0" t="s">
        <v>629</v>
      </c>
      <c r="AA91" s="0" t="s">
        <v>624</v>
      </c>
      <c r="AB91" s="0" t="s">
        <v>132</v>
      </c>
      <c r="AC91" s="254" t="n">
        <f aca="false">'Basis Options'!H96</f>
        <v>-500000</v>
      </c>
      <c r="AD91" s="254" t="e">
        <f aca="false">'Basis Options'!W96</f>
        <v>#NAME?</v>
      </c>
      <c r="AE91" s="0" t="n">
        <v>0</v>
      </c>
      <c r="AF91" s="0" t="n">
        <v>0</v>
      </c>
      <c r="AG91" s="0" t="n">
        <v>0</v>
      </c>
      <c r="AH91" s="254" t="e">
        <f aca="false">'Basis Options'!CD96</f>
        <v>#NAME?</v>
      </c>
      <c r="AI91" s="0" t="n">
        <v>226</v>
      </c>
      <c r="AJ91" s="0" t="s">
        <v>630</v>
      </c>
      <c r="AK91" s="0" t="n">
        <v>0</v>
      </c>
      <c r="AL91" s="0" t="n">
        <v>0</v>
      </c>
      <c r="AM91" s="0" t="n">
        <v>0</v>
      </c>
    </row>
    <row r="92" customFormat="false" ht="12.75" hidden="false" customHeight="false" outlineLevel="0" collapsed="false">
      <c r="A92" s="0" t="s">
        <v>621</v>
      </c>
      <c r="B92" s="0" t="str">
        <f aca="false">'Basis Options'!C97</f>
        <v>NF2908.2</v>
      </c>
      <c r="C92" s="0" t="s">
        <v>622</v>
      </c>
      <c r="D92" s="0" t="s">
        <v>623</v>
      </c>
      <c r="E92" s="0" t="s">
        <v>131</v>
      </c>
      <c r="F92" s="0" t="str">
        <f aca="false">'Basis Options'!A97</f>
        <v>ELPASMER</v>
      </c>
      <c r="G92" s="0" t="s">
        <v>628</v>
      </c>
      <c r="H92" s="0" t="s">
        <v>625</v>
      </c>
      <c r="I92" s="0" t="s">
        <v>626</v>
      </c>
      <c r="J92" s="0" t="s">
        <v>627</v>
      </c>
      <c r="K92" s="475" t="n">
        <f aca="false">'Basis Options'!G97</f>
        <v>36800</v>
      </c>
      <c r="L92" s="254" t="e">
        <f aca="false">'Basis Options'!U97</f>
        <v>#NAME?</v>
      </c>
      <c r="M92" s="475" t="n">
        <f aca="false">'Basis Options'!Q97</f>
        <v>36797</v>
      </c>
      <c r="N92" s="0" t="str">
        <f aca="false">'Basis Options'!F97</f>
        <v>P</v>
      </c>
      <c r="O92" s="0" t="n">
        <f aca="false">'Basis Options'!I97</f>
        <v>0.32</v>
      </c>
      <c r="P92" s="0" t="n">
        <v>0</v>
      </c>
      <c r="Q92" s="0" t="n">
        <v>0</v>
      </c>
      <c r="R92" s="0" t="n">
        <v>0</v>
      </c>
      <c r="S92" s="0" t="n">
        <v>0</v>
      </c>
      <c r="T92" s="0" t="s">
        <v>624</v>
      </c>
      <c r="U92" s="0" t="str">
        <f aca="false">IF('Basis Options'!D97="NGI/CHI. GATE","""NGI/CHI. GATE""",TRIM('Basis Options'!D97))</f>
        <v>IF-TRANSCO/Z6</v>
      </c>
      <c r="V92" s="0" t="s">
        <v>624</v>
      </c>
      <c r="W92" s="0" t="s">
        <v>569</v>
      </c>
      <c r="X92" s="0" t="s">
        <v>624</v>
      </c>
      <c r="Y92" s="0" t="s">
        <v>627</v>
      </c>
      <c r="Z92" s="0" t="s">
        <v>629</v>
      </c>
      <c r="AA92" s="0" t="s">
        <v>624</v>
      </c>
      <c r="AB92" s="0" t="s">
        <v>132</v>
      </c>
      <c r="AC92" s="254" t="n">
        <f aca="false">'Basis Options'!H97</f>
        <v>-500000</v>
      </c>
      <c r="AD92" s="254" t="e">
        <f aca="false">'Basis Options'!W97</f>
        <v>#NAME?</v>
      </c>
      <c r="AE92" s="0" t="n">
        <v>0</v>
      </c>
      <c r="AF92" s="0" t="n">
        <v>0</v>
      </c>
      <c r="AG92" s="0" t="n">
        <v>0</v>
      </c>
      <c r="AH92" s="254" t="e">
        <f aca="false">'Basis Options'!CD97</f>
        <v>#NAME?</v>
      </c>
      <c r="AI92" s="0" t="n">
        <v>226</v>
      </c>
      <c r="AJ92" s="0" t="s">
        <v>630</v>
      </c>
      <c r="AK92" s="0" t="n">
        <v>0</v>
      </c>
      <c r="AL92" s="0" t="n">
        <v>0</v>
      </c>
      <c r="AM92" s="0" t="n">
        <v>0</v>
      </c>
    </row>
    <row r="93" customFormat="false" ht="12.75" hidden="false" customHeight="false" outlineLevel="0" collapsed="false">
      <c r="A93" s="0" t="s">
        <v>621</v>
      </c>
      <c r="B93" s="0" t="str">
        <f aca="false">'Basis Options'!C98</f>
        <v>NF2908.2</v>
      </c>
      <c r="C93" s="0" t="s">
        <v>622</v>
      </c>
      <c r="D93" s="0" t="s">
        <v>623</v>
      </c>
      <c r="E93" s="0" t="s">
        <v>131</v>
      </c>
      <c r="F93" s="0" t="str">
        <f aca="false">'Basis Options'!A98</f>
        <v>ELPASMER</v>
      </c>
      <c r="G93" s="0" t="s">
        <v>628</v>
      </c>
      <c r="H93" s="0" t="s">
        <v>625</v>
      </c>
      <c r="I93" s="0" t="s">
        <v>626</v>
      </c>
      <c r="J93" s="0" t="s">
        <v>627</v>
      </c>
      <c r="K93" s="475" t="n">
        <f aca="false">'Basis Options'!G98</f>
        <v>36770</v>
      </c>
      <c r="L93" s="254" t="e">
        <f aca="false">'Basis Options'!U98</f>
        <v>#NAME?</v>
      </c>
      <c r="M93" s="475" t="n">
        <f aca="false">'Basis Options'!Q98</f>
        <v>36768</v>
      </c>
      <c r="N93" s="0" t="str">
        <f aca="false">'Basis Options'!F98</f>
        <v>P</v>
      </c>
      <c r="O93" s="0" t="n">
        <f aca="false">'Basis Options'!I98</f>
        <v>0.32</v>
      </c>
      <c r="P93" s="0" t="n">
        <v>0</v>
      </c>
      <c r="Q93" s="0" t="n">
        <v>0</v>
      </c>
      <c r="R93" s="0" t="n">
        <v>0</v>
      </c>
      <c r="S93" s="0" t="n">
        <v>0</v>
      </c>
      <c r="T93" s="0" t="s">
        <v>624</v>
      </c>
      <c r="U93" s="0" t="str">
        <f aca="false">IF('Basis Options'!D98="NGI/CHI. GATE","""NGI/CHI. GATE""",TRIM('Basis Options'!D98))</f>
        <v>IF-TRANSCO/Z6</v>
      </c>
      <c r="V93" s="0" t="s">
        <v>624</v>
      </c>
      <c r="W93" s="0" t="s">
        <v>569</v>
      </c>
      <c r="X93" s="0" t="s">
        <v>624</v>
      </c>
      <c r="Y93" s="0" t="s">
        <v>627</v>
      </c>
      <c r="Z93" s="0" t="s">
        <v>629</v>
      </c>
      <c r="AA93" s="0" t="s">
        <v>624</v>
      </c>
      <c r="AB93" s="0" t="s">
        <v>132</v>
      </c>
      <c r="AC93" s="254" t="n">
        <f aca="false">'Basis Options'!H98</f>
        <v>-500000</v>
      </c>
      <c r="AD93" s="254" t="e">
        <f aca="false">'Basis Options'!W98</f>
        <v>#NAME?</v>
      </c>
      <c r="AE93" s="0" t="n">
        <v>0</v>
      </c>
      <c r="AF93" s="0" t="n">
        <v>0</v>
      </c>
      <c r="AG93" s="0" t="n">
        <v>0</v>
      </c>
      <c r="AH93" s="254" t="e">
        <f aca="false">'Basis Options'!CD98</f>
        <v>#NAME?</v>
      </c>
      <c r="AI93" s="0" t="n">
        <v>226</v>
      </c>
      <c r="AJ93" s="0" t="s">
        <v>630</v>
      </c>
      <c r="AK93" s="0" t="n">
        <v>0</v>
      </c>
      <c r="AL93" s="0" t="n">
        <v>0</v>
      </c>
      <c r="AM93" s="0" t="n">
        <v>0</v>
      </c>
    </row>
    <row r="94" customFormat="false" ht="12.75" hidden="false" customHeight="false" outlineLevel="0" collapsed="false">
      <c r="A94" s="0" t="s">
        <v>621</v>
      </c>
      <c r="B94" s="0" t="str">
        <f aca="false">'Basis Options'!C99</f>
        <v>NF2912.1</v>
      </c>
      <c r="C94" s="0" t="s">
        <v>622</v>
      </c>
      <c r="D94" s="0" t="s">
        <v>623</v>
      </c>
      <c r="E94" s="0" t="s">
        <v>131</v>
      </c>
      <c r="F94" s="0" t="str">
        <f aca="false">'Basis Options'!A99</f>
        <v>ELPASMER</v>
      </c>
      <c r="G94" s="0" t="s">
        <v>628</v>
      </c>
      <c r="H94" s="0" t="s">
        <v>625</v>
      </c>
      <c r="I94" s="0" t="s">
        <v>626</v>
      </c>
      <c r="J94" s="0" t="s">
        <v>627</v>
      </c>
      <c r="K94" s="475" t="n">
        <f aca="false">'Basis Options'!G99</f>
        <v>36800</v>
      </c>
      <c r="L94" s="254" t="e">
        <f aca="false">'Basis Options'!U99</f>
        <v>#NAME?</v>
      </c>
      <c r="M94" s="475" t="n">
        <f aca="false">'Basis Options'!Q99</f>
        <v>36797</v>
      </c>
      <c r="N94" s="0" t="str">
        <f aca="false">'Basis Options'!F99</f>
        <v>C</v>
      </c>
      <c r="O94" s="0" t="n">
        <f aca="false">'Basis Options'!I99</f>
        <v>0.32</v>
      </c>
      <c r="P94" s="0" t="n">
        <v>0</v>
      </c>
      <c r="Q94" s="0" t="n">
        <v>0</v>
      </c>
      <c r="R94" s="0" t="n">
        <v>0</v>
      </c>
      <c r="S94" s="0" t="n">
        <v>0</v>
      </c>
      <c r="T94" s="0" t="s">
        <v>624</v>
      </c>
      <c r="U94" s="0" t="str">
        <f aca="false">IF('Basis Options'!D99="NGI/CHI. GATE","""NGI/CHI. GATE""",TRIM('Basis Options'!D99))</f>
        <v>IF-TRANSCO/Z6</v>
      </c>
      <c r="V94" s="0" t="s">
        <v>624</v>
      </c>
      <c r="W94" s="0" t="s">
        <v>569</v>
      </c>
      <c r="X94" s="0" t="s">
        <v>624</v>
      </c>
      <c r="Y94" s="0" t="s">
        <v>627</v>
      </c>
      <c r="Z94" s="0" t="s">
        <v>629</v>
      </c>
      <c r="AA94" s="0" t="s">
        <v>624</v>
      </c>
      <c r="AB94" s="0" t="s">
        <v>132</v>
      </c>
      <c r="AC94" s="254" t="n">
        <f aca="false">'Basis Options'!H99</f>
        <v>-500000</v>
      </c>
      <c r="AD94" s="254" t="e">
        <f aca="false">'Basis Options'!W99</f>
        <v>#NAME?</v>
      </c>
      <c r="AE94" s="0" t="n">
        <v>0</v>
      </c>
      <c r="AF94" s="0" t="n">
        <v>0</v>
      </c>
      <c r="AG94" s="0" t="n">
        <v>0</v>
      </c>
      <c r="AH94" s="254" t="e">
        <f aca="false">'Basis Options'!CD99</f>
        <v>#NAME?</v>
      </c>
      <c r="AI94" s="0" t="n">
        <v>226</v>
      </c>
      <c r="AJ94" s="0" t="s">
        <v>630</v>
      </c>
      <c r="AK94" s="0" t="n">
        <v>0</v>
      </c>
      <c r="AL94" s="0" t="n">
        <v>0</v>
      </c>
      <c r="AM94" s="0" t="n">
        <v>0</v>
      </c>
    </row>
    <row r="95" customFormat="false" ht="12.75" hidden="false" customHeight="false" outlineLevel="0" collapsed="false">
      <c r="A95" s="0" t="s">
        <v>621</v>
      </c>
      <c r="B95" s="0" t="str">
        <f aca="false">'Basis Options'!C100</f>
        <v>NF2912.1</v>
      </c>
      <c r="C95" s="0" t="s">
        <v>622</v>
      </c>
      <c r="D95" s="0" t="s">
        <v>623</v>
      </c>
      <c r="E95" s="0" t="s">
        <v>131</v>
      </c>
      <c r="F95" s="0" t="str">
        <f aca="false">'Basis Options'!A100</f>
        <v>ELPASMER</v>
      </c>
      <c r="G95" s="0" t="s">
        <v>628</v>
      </c>
      <c r="H95" s="0" t="s">
        <v>625</v>
      </c>
      <c r="I95" s="0" t="s">
        <v>626</v>
      </c>
      <c r="J95" s="0" t="s">
        <v>627</v>
      </c>
      <c r="K95" s="475" t="n">
        <f aca="false">'Basis Options'!G100</f>
        <v>36770</v>
      </c>
      <c r="L95" s="254" t="e">
        <f aca="false">'Basis Options'!U100</f>
        <v>#NAME?</v>
      </c>
      <c r="M95" s="475" t="n">
        <f aca="false">'Basis Options'!Q100</f>
        <v>36768</v>
      </c>
      <c r="N95" s="0" t="str">
        <f aca="false">'Basis Options'!F100</f>
        <v>C</v>
      </c>
      <c r="O95" s="0" t="n">
        <f aca="false">'Basis Options'!I100</f>
        <v>0.32</v>
      </c>
      <c r="P95" s="0" t="n">
        <v>0</v>
      </c>
      <c r="Q95" s="0" t="n">
        <v>0</v>
      </c>
      <c r="R95" s="0" t="n">
        <v>0</v>
      </c>
      <c r="S95" s="0" t="n">
        <v>0</v>
      </c>
      <c r="T95" s="0" t="s">
        <v>624</v>
      </c>
      <c r="U95" s="0" t="str">
        <f aca="false">IF('Basis Options'!D100="NGI/CHI. GATE","""NGI/CHI. GATE""",TRIM('Basis Options'!D100))</f>
        <v>IF-TRANSCO/Z6</v>
      </c>
      <c r="V95" s="0" t="s">
        <v>624</v>
      </c>
      <c r="W95" s="0" t="s">
        <v>569</v>
      </c>
      <c r="X95" s="0" t="s">
        <v>624</v>
      </c>
      <c r="Y95" s="0" t="s">
        <v>627</v>
      </c>
      <c r="Z95" s="0" t="s">
        <v>629</v>
      </c>
      <c r="AA95" s="0" t="s">
        <v>624</v>
      </c>
      <c r="AB95" s="0" t="s">
        <v>132</v>
      </c>
      <c r="AC95" s="254" t="n">
        <f aca="false">'Basis Options'!H100</f>
        <v>-500000</v>
      </c>
      <c r="AD95" s="254" t="e">
        <f aca="false">'Basis Options'!W100</f>
        <v>#NAME?</v>
      </c>
      <c r="AE95" s="0" t="n">
        <v>0</v>
      </c>
      <c r="AF95" s="0" t="n">
        <v>0</v>
      </c>
      <c r="AG95" s="0" t="n">
        <v>0</v>
      </c>
      <c r="AH95" s="254" t="e">
        <f aca="false">'Basis Options'!CD100</f>
        <v>#NAME?</v>
      </c>
      <c r="AI95" s="0" t="n">
        <v>226</v>
      </c>
      <c r="AJ95" s="0" t="s">
        <v>630</v>
      </c>
      <c r="AK95" s="0" t="n">
        <v>0</v>
      </c>
      <c r="AL95" s="0" t="n">
        <v>0</v>
      </c>
      <c r="AM95" s="0" t="n">
        <v>0</v>
      </c>
    </row>
    <row r="96" customFormat="false" ht="12.75" hidden="false" customHeight="false" outlineLevel="0" collapsed="false">
      <c r="A96" s="0" t="s">
        <v>621</v>
      </c>
      <c r="B96" s="0" t="str">
        <f aca="false">'Basis Options'!C101</f>
        <v>NF2912.2</v>
      </c>
      <c r="C96" s="0" t="s">
        <v>622</v>
      </c>
      <c r="D96" s="0" t="s">
        <v>623</v>
      </c>
      <c r="E96" s="0" t="s">
        <v>131</v>
      </c>
      <c r="F96" s="0" t="str">
        <f aca="false">'Basis Options'!A101</f>
        <v>ELPASMER</v>
      </c>
      <c r="G96" s="0" t="s">
        <v>628</v>
      </c>
      <c r="H96" s="0" t="s">
        <v>625</v>
      </c>
      <c r="I96" s="0" t="s">
        <v>626</v>
      </c>
      <c r="J96" s="0" t="s">
        <v>627</v>
      </c>
      <c r="K96" s="475" t="n">
        <f aca="false">'Basis Options'!G101</f>
        <v>36800</v>
      </c>
      <c r="L96" s="254" t="e">
        <f aca="false">'Basis Options'!U101</f>
        <v>#NAME?</v>
      </c>
      <c r="M96" s="475" t="n">
        <f aca="false">'Basis Options'!Q101</f>
        <v>36797</v>
      </c>
      <c r="N96" s="0" t="str">
        <f aca="false">'Basis Options'!F101</f>
        <v>P</v>
      </c>
      <c r="O96" s="0" t="n">
        <f aca="false">'Basis Options'!I101</f>
        <v>0.32</v>
      </c>
      <c r="P96" s="0" t="n">
        <v>0</v>
      </c>
      <c r="Q96" s="0" t="n">
        <v>0</v>
      </c>
      <c r="R96" s="0" t="n">
        <v>0</v>
      </c>
      <c r="S96" s="0" t="n">
        <v>0</v>
      </c>
      <c r="T96" s="0" t="s">
        <v>624</v>
      </c>
      <c r="U96" s="0" t="str">
        <f aca="false">IF('Basis Options'!D101="NGI/CHI. GATE","""NGI/CHI. GATE""",TRIM('Basis Options'!D101))</f>
        <v>IF-TRANSCO/Z6</v>
      </c>
      <c r="V96" s="0" t="s">
        <v>624</v>
      </c>
      <c r="W96" s="0" t="s">
        <v>569</v>
      </c>
      <c r="X96" s="0" t="s">
        <v>624</v>
      </c>
      <c r="Y96" s="0" t="s">
        <v>627</v>
      </c>
      <c r="Z96" s="0" t="s">
        <v>629</v>
      </c>
      <c r="AA96" s="0" t="s">
        <v>624</v>
      </c>
      <c r="AB96" s="0" t="s">
        <v>132</v>
      </c>
      <c r="AC96" s="254" t="n">
        <f aca="false">'Basis Options'!H101</f>
        <v>-500000</v>
      </c>
      <c r="AD96" s="254" t="e">
        <f aca="false">'Basis Options'!W101</f>
        <v>#NAME?</v>
      </c>
      <c r="AE96" s="0" t="n">
        <v>0</v>
      </c>
      <c r="AF96" s="0" t="n">
        <v>0</v>
      </c>
      <c r="AG96" s="0" t="n">
        <v>0</v>
      </c>
      <c r="AH96" s="254" t="e">
        <f aca="false">'Basis Options'!CD101</f>
        <v>#NAME?</v>
      </c>
      <c r="AI96" s="0" t="n">
        <v>226</v>
      </c>
      <c r="AJ96" s="0" t="s">
        <v>630</v>
      </c>
      <c r="AK96" s="0" t="n">
        <v>0</v>
      </c>
      <c r="AL96" s="0" t="n">
        <v>0</v>
      </c>
      <c r="AM96" s="0" t="n">
        <v>0</v>
      </c>
    </row>
    <row r="97" customFormat="false" ht="12.75" hidden="false" customHeight="false" outlineLevel="0" collapsed="false">
      <c r="A97" s="0" t="s">
        <v>621</v>
      </c>
      <c r="B97" s="0" t="str">
        <f aca="false">'Basis Options'!C102</f>
        <v>NF2912.2</v>
      </c>
      <c r="C97" s="0" t="s">
        <v>622</v>
      </c>
      <c r="D97" s="0" t="s">
        <v>623</v>
      </c>
      <c r="E97" s="0" t="s">
        <v>131</v>
      </c>
      <c r="F97" s="0" t="str">
        <f aca="false">'Basis Options'!A102</f>
        <v>ELPASMER</v>
      </c>
      <c r="G97" s="0" t="s">
        <v>628</v>
      </c>
      <c r="H97" s="0" t="s">
        <v>625</v>
      </c>
      <c r="I97" s="0" t="s">
        <v>626</v>
      </c>
      <c r="J97" s="0" t="s">
        <v>627</v>
      </c>
      <c r="K97" s="475" t="n">
        <f aca="false">'Basis Options'!G102</f>
        <v>36770</v>
      </c>
      <c r="L97" s="254" t="e">
        <f aca="false">'Basis Options'!U102</f>
        <v>#NAME?</v>
      </c>
      <c r="M97" s="475" t="n">
        <f aca="false">'Basis Options'!Q102</f>
        <v>36768</v>
      </c>
      <c r="N97" s="0" t="str">
        <f aca="false">'Basis Options'!F102</f>
        <v>P</v>
      </c>
      <c r="O97" s="0" t="n">
        <f aca="false">'Basis Options'!I102</f>
        <v>0.32</v>
      </c>
      <c r="P97" s="0" t="n">
        <v>0</v>
      </c>
      <c r="Q97" s="0" t="n">
        <v>0</v>
      </c>
      <c r="R97" s="0" t="n">
        <v>0</v>
      </c>
      <c r="S97" s="0" t="n">
        <v>0</v>
      </c>
      <c r="T97" s="0" t="s">
        <v>624</v>
      </c>
      <c r="U97" s="0" t="str">
        <f aca="false">IF('Basis Options'!D102="NGI/CHI. GATE","""NGI/CHI. GATE""",TRIM('Basis Options'!D102))</f>
        <v>IF-TRANSCO/Z6</v>
      </c>
      <c r="V97" s="0" t="s">
        <v>624</v>
      </c>
      <c r="W97" s="0" t="s">
        <v>569</v>
      </c>
      <c r="X97" s="0" t="s">
        <v>624</v>
      </c>
      <c r="Y97" s="0" t="s">
        <v>627</v>
      </c>
      <c r="Z97" s="0" t="s">
        <v>629</v>
      </c>
      <c r="AA97" s="0" t="s">
        <v>624</v>
      </c>
      <c r="AB97" s="0" t="s">
        <v>132</v>
      </c>
      <c r="AC97" s="254" t="n">
        <f aca="false">'Basis Options'!H102</f>
        <v>-500000</v>
      </c>
      <c r="AD97" s="254" t="e">
        <f aca="false">'Basis Options'!W102</f>
        <v>#NAME?</v>
      </c>
      <c r="AE97" s="0" t="n">
        <v>0</v>
      </c>
      <c r="AF97" s="0" t="n">
        <v>0</v>
      </c>
      <c r="AG97" s="0" t="n">
        <v>0</v>
      </c>
      <c r="AH97" s="254" t="e">
        <f aca="false">'Basis Options'!CD102</f>
        <v>#NAME?</v>
      </c>
      <c r="AI97" s="0" t="n">
        <v>226</v>
      </c>
      <c r="AJ97" s="0" t="s">
        <v>630</v>
      </c>
      <c r="AK97" s="0" t="n">
        <v>0</v>
      </c>
      <c r="AL97" s="0" t="n">
        <v>0</v>
      </c>
      <c r="AM97" s="0" t="n">
        <v>0</v>
      </c>
    </row>
    <row r="98" customFormat="false" ht="12.75" hidden="false" customHeight="false" outlineLevel="0" collapsed="false">
      <c r="A98" s="0" t="s">
        <v>621</v>
      </c>
      <c r="B98" s="0" t="str">
        <f aca="false">'Basis Options'!C103</f>
        <v>NF3896.1</v>
      </c>
      <c r="C98" s="0" t="s">
        <v>622</v>
      </c>
      <c r="D98" s="0" t="s">
        <v>623</v>
      </c>
      <c r="E98" s="0" t="s">
        <v>131</v>
      </c>
      <c r="F98" s="0" t="str">
        <f aca="false">'Basis Options'!A103</f>
        <v>ELPASMER</v>
      </c>
      <c r="G98" s="0" t="s">
        <v>628</v>
      </c>
      <c r="H98" s="0" t="s">
        <v>625</v>
      </c>
      <c r="I98" s="0" t="s">
        <v>626</v>
      </c>
      <c r="J98" s="0" t="s">
        <v>627</v>
      </c>
      <c r="K98" s="475" t="n">
        <f aca="false">'Basis Options'!G103</f>
        <v>36800</v>
      </c>
      <c r="L98" s="254" t="e">
        <f aca="false">'Basis Options'!U103</f>
        <v>#NAME?</v>
      </c>
      <c r="M98" s="475" t="n">
        <f aca="false">'Basis Options'!Q103</f>
        <v>36797</v>
      </c>
      <c r="N98" s="0" t="str">
        <f aca="false">'Basis Options'!F103</f>
        <v>P</v>
      </c>
      <c r="O98" s="0" t="n">
        <f aca="false">'Basis Options'!I103</f>
        <v>0.32</v>
      </c>
      <c r="P98" s="0" t="n">
        <v>0</v>
      </c>
      <c r="Q98" s="0" t="n">
        <v>0</v>
      </c>
      <c r="R98" s="0" t="n">
        <v>0</v>
      </c>
      <c r="S98" s="0" t="n">
        <v>0</v>
      </c>
      <c r="T98" s="0" t="s">
        <v>624</v>
      </c>
      <c r="U98" s="0" t="str">
        <f aca="false">IF('Basis Options'!D103="NGI/CHI. GATE","""NGI/CHI. GATE""",TRIM('Basis Options'!D103))</f>
        <v>IF-TRANSCO/Z6</v>
      </c>
      <c r="V98" s="0" t="s">
        <v>624</v>
      </c>
      <c r="W98" s="0" t="s">
        <v>569</v>
      </c>
      <c r="X98" s="0" t="s">
        <v>624</v>
      </c>
      <c r="Y98" s="0" t="s">
        <v>627</v>
      </c>
      <c r="Z98" s="0" t="s">
        <v>629</v>
      </c>
      <c r="AA98" s="0" t="s">
        <v>624</v>
      </c>
      <c r="AB98" s="0" t="s">
        <v>132</v>
      </c>
      <c r="AC98" s="254" t="n">
        <f aca="false">'Basis Options'!H103</f>
        <v>-250000</v>
      </c>
      <c r="AD98" s="254" t="e">
        <f aca="false">'Basis Options'!W103</f>
        <v>#NAME?</v>
      </c>
      <c r="AE98" s="0" t="n">
        <v>0</v>
      </c>
      <c r="AF98" s="0" t="n">
        <v>0</v>
      </c>
      <c r="AG98" s="0" t="n">
        <v>0</v>
      </c>
      <c r="AH98" s="254" t="e">
        <f aca="false">'Basis Options'!CD103</f>
        <v>#NAME?</v>
      </c>
      <c r="AI98" s="0" t="n">
        <v>226</v>
      </c>
      <c r="AJ98" s="0" t="s">
        <v>630</v>
      </c>
      <c r="AK98" s="0" t="n">
        <v>0</v>
      </c>
      <c r="AL98" s="0" t="n">
        <v>0</v>
      </c>
      <c r="AM98" s="0" t="n">
        <v>0</v>
      </c>
    </row>
    <row r="99" customFormat="false" ht="12.75" hidden="false" customHeight="false" outlineLevel="0" collapsed="false">
      <c r="A99" s="0" t="s">
        <v>621</v>
      </c>
      <c r="B99" s="0" t="str">
        <f aca="false">'Basis Options'!C104</f>
        <v>NF3896.1</v>
      </c>
      <c r="C99" s="0" t="s">
        <v>622</v>
      </c>
      <c r="D99" s="0" t="s">
        <v>623</v>
      </c>
      <c r="E99" s="0" t="s">
        <v>131</v>
      </c>
      <c r="F99" s="0" t="str">
        <f aca="false">'Basis Options'!A104</f>
        <v>ELPASMER</v>
      </c>
      <c r="G99" s="0" t="s">
        <v>628</v>
      </c>
      <c r="H99" s="0" t="s">
        <v>625</v>
      </c>
      <c r="I99" s="0" t="s">
        <v>626</v>
      </c>
      <c r="J99" s="0" t="s">
        <v>627</v>
      </c>
      <c r="K99" s="475" t="n">
        <f aca="false">'Basis Options'!G104</f>
        <v>36770</v>
      </c>
      <c r="L99" s="254" t="e">
        <f aca="false">'Basis Options'!U104</f>
        <v>#NAME?</v>
      </c>
      <c r="M99" s="475" t="n">
        <f aca="false">'Basis Options'!Q104</f>
        <v>36768</v>
      </c>
      <c r="N99" s="0" t="str">
        <f aca="false">'Basis Options'!F104</f>
        <v>P</v>
      </c>
      <c r="O99" s="0" t="n">
        <f aca="false">'Basis Options'!I104</f>
        <v>0.32</v>
      </c>
      <c r="P99" s="0" t="n">
        <v>0</v>
      </c>
      <c r="Q99" s="0" t="n">
        <v>0</v>
      </c>
      <c r="R99" s="0" t="n">
        <v>0</v>
      </c>
      <c r="S99" s="0" t="n">
        <v>0</v>
      </c>
      <c r="T99" s="0" t="s">
        <v>624</v>
      </c>
      <c r="U99" s="0" t="str">
        <f aca="false">IF('Basis Options'!D104="NGI/CHI. GATE","""NGI/CHI. GATE""",TRIM('Basis Options'!D104))</f>
        <v>IF-TRANSCO/Z6</v>
      </c>
      <c r="V99" s="0" t="s">
        <v>624</v>
      </c>
      <c r="W99" s="0" t="s">
        <v>569</v>
      </c>
      <c r="X99" s="0" t="s">
        <v>624</v>
      </c>
      <c r="Y99" s="0" t="s">
        <v>627</v>
      </c>
      <c r="Z99" s="0" t="s">
        <v>629</v>
      </c>
      <c r="AA99" s="0" t="s">
        <v>624</v>
      </c>
      <c r="AB99" s="0" t="s">
        <v>132</v>
      </c>
      <c r="AC99" s="254" t="n">
        <f aca="false">'Basis Options'!H104</f>
        <v>-250000</v>
      </c>
      <c r="AD99" s="254" t="e">
        <f aca="false">'Basis Options'!W104</f>
        <v>#NAME?</v>
      </c>
      <c r="AE99" s="0" t="n">
        <v>0</v>
      </c>
      <c r="AF99" s="0" t="n">
        <v>0</v>
      </c>
      <c r="AG99" s="0" t="n">
        <v>0</v>
      </c>
      <c r="AH99" s="254" t="e">
        <f aca="false">'Basis Options'!CD104</f>
        <v>#NAME?</v>
      </c>
      <c r="AI99" s="0" t="n">
        <v>226</v>
      </c>
      <c r="AJ99" s="0" t="s">
        <v>630</v>
      </c>
      <c r="AK99" s="0" t="n">
        <v>0</v>
      </c>
      <c r="AL99" s="0" t="n">
        <v>0</v>
      </c>
      <c r="AM99" s="0" t="n">
        <v>0</v>
      </c>
    </row>
    <row r="100" customFormat="false" ht="12.75" hidden="false" customHeight="false" outlineLevel="0" collapsed="false">
      <c r="A100" s="0" t="s">
        <v>621</v>
      </c>
      <c r="B100" s="0" t="str">
        <f aca="false">'Basis Options'!C105</f>
        <v>NF3896.2</v>
      </c>
      <c r="C100" s="0" t="s">
        <v>622</v>
      </c>
      <c r="D100" s="0" t="s">
        <v>623</v>
      </c>
      <c r="E100" s="0" t="s">
        <v>131</v>
      </c>
      <c r="F100" s="0" t="str">
        <f aca="false">'Basis Options'!A105</f>
        <v>ELPASMER</v>
      </c>
      <c r="G100" s="0" t="s">
        <v>628</v>
      </c>
      <c r="H100" s="0" t="s">
        <v>625</v>
      </c>
      <c r="I100" s="0" t="s">
        <v>626</v>
      </c>
      <c r="J100" s="0" t="s">
        <v>627</v>
      </c>
      <c r="K100" s="475" t="n">
        <f aca="false">'Basis Options'!G105</f>
        <v>36800</v>
      </c>
      <c r="L100" s="254" t="e">
        <f aca="false">'Basis Options'!U105</f>
        <v>#NAME?</v>
      </c>
      <c r="M100" s="475" t="n">
        <f aca="false">'Basis Options'!Q105</f>
        <v>36797</v>
      </c>
      <c r="N100" s="0" t="str">
        <f aca="false">'Basis Options'!F105</f>
        <v>P</v>
      </c>
      <c r="O100" s="0" t="n">
        <f aca="false">'Basis Options'!I105</f>
        <v>0.26</v>
      </c>
      <c r="P100" s="0" t="n">
        <v>0</v>
      </c>
      <c r="Q100" s="0" t="n">
        <v>0</v>
      </c>
      <c r="R100" s="0" t="n">
        <v>0</v>
      </c>
      <c r="S100" s="0" t="n">
        <v>0</v>
      </c>
      <c r="T100" s="0" t="s">
        <v>624</v>
      </c>
      <c r="U100" s="0" t="str">
        <f aca="false">IF('Basis Options'!D105="NGI/CHI. GATE","""NGI/CHI. GATE""",TRIM('Basis Options'!D105))</f>
        <v>IF-TRANSCO/Z6</v>
      </c>
      <c r="V100" s="0" t="s">
        <v>624</v>
      </c>
      <c r="W100" s="0" t="s">
        <v>569</v>
      </c>
      <c r="X100" s="0" t="s">
        <v>624</v>
      </c>
      <c r="Y100" s="0" t="s">
        <v>627</v>
      </c>
      <c r="Z100" s="0" t="s">
        <v>629</v>
      </c>
      <c r="AA100" s="0" t="s">
        <v>624</v>
      </c>
      <c r="AB100" s="0" t="s">
        <v>132</v>
      </c>
      <c r="AC100" s="254" t="n">
        <f aca="false">'Basis Options'!H105</f>
        <v>-250000</v>
      </c>
      <c r="AD100" s="254" t="e">
        <f aca="false">'Basis Options'!W105</f>
        <v>#NAME?</v>
      </c>
      <c r="AE100" s="0" t="n">
        <v>0</v>
      </c>
      <c r="AF100" s="0" t="n">
        <v>0</v>
      </c>
      <c r="AG100" s="0" t="n">
        <v>0</v>
      </c>
      <c r="AH100" s="254" t="e">
        <f aca="false">'Basis Options'!CD105</f>
        <v>#NAME?</v>
      </c>
      <c r="AI100" s="0" t="n">
        <v>226</v>
      </c>
      <c r="AJ100" s="0" t="s">
        <v>630</v>
      </c>
      <c r="AK100" s="0" t="n">
        <v>0</v>
      </c>
      <c r="AL100" s="0" t="n">
        <v>0</v>
      </c>
      <c r="AM100" s="0" t="n">
        <v>0</v>
      </c>
    </row>
    <row r="101" customFormat="false" ht="12.75" hidden="false" customHeight="false" outlineLevel="0" collapsed="false">
      <c r="A101" s="0" t="s">
        <v>621</v>
      </c>
      <c r="B101" s="0" t="str">
        <f aca="false">'Basis Options'!C106</f>
        <v>NF3896.2</v>
      </c>
      <c r="C101" s="0" t="s">
        <v>622</v>
      </c>
      <c r="D101" s="0" t="s">
        <v>623</v>
      </c>
      <c r="E101" s="0" t="s">
        <v>131</v>
      </c>
      <c r="F101" s="0" t="str">
        <f aca="false">'Basis Options'!A106</f>
        <v>ELPASMER</v>
      </c>
      <c r="G101" s="0" t="s">
        <v>628</v>
      </c>
      <c r="H101" s="0" t="s">
        <v>625</v>
      </c>
      <c r="I101" s="0" t="s">
        <v>626</v>
      </c>
      <c r="J101" s="0" t="s">
        <v>627</v>
      </c>
      <c r="K101" s="475" t="n">
        <f aca="false">'Basis Options'!G106</f>
        <v>36770</v>
      </c>
      <c r="L101" s="254" t="e">
        <f aca="false">'Basis Options'!U106</f>
        <v>#NAME?</v>
      </c>
      <c r="M101" s="475" t="n">
        <f aca="false">'Basis Options'!Q106</f>
        <v>36768</v>
      </c>
      <c r="N101" s="0" t="str">
        <f aca="false">'Basis Options'!F106</f>
        <v>P</v>
      </c>
      <c r="O101" s="0" t="n">
        <f aca="false">'Basis Options'!I106</f>
        <v>0.26</v>
      </c>
      <c r="P101" s="0" t="n">
        <v>0</v>
      </c>
      <c r="Q101" s="0" t="n">
        <v>0</v>
      </c>
      <c r="R101" s="0" t="n">
        <v>0</v>
      </c>
      <c r="S101" s="0" t="n">
        <v>0</v>
      </c>
      <c r="T101" s="0" t="s">
        <v>624</v>
      </c>
      <c r="U101" s="0" t="str">
        <f aca="false">IF('Basis Options'!D106="NGI/CHI. GATE","""NGI/CHI. GATE""",TRIM('Basis Options'!D106))</f>
        <v>IF-TRANSCO/Z6</v>
      </c>
      <c r="V101" s="0" t="s">
        <v>624</v>
      </c>
      <c r="W101" s="0" t="s">
        <v>569</v>
      </c>
      <c r="X101" s="0" t="s">
        <v>624</v>
      </c>
      <c r="Y101" s="0" t="s">
        <v>627</v>
      </c>
      <c r="Z101" s="0" t="s">
        <v>629</v>
      </c>
      <c r="AA101" s="0" t="s">
        <v>624</v>
      </c>
      <c r="AB101" s="0" t="s">
        <v>132</v>
      </c>
      <c r="AC101" s="254" t="n">
        <f aca="false">'Basis Options'!H106</f>
        <v>-250000</v>
      </c>
      <c r="AD101" s="254" t="e">
        <f aca="false">'Basis Options'!W106</f>
        <v>#NAME?</v>
      </c>
      <c r="AE101" s="0" t="n">
        <v>0</v>
      </c>
      <c r="AF101" s="0" t="n">
        <v>0</v>
      </c>
      <c r="AG101" s="0" t="n">
        <v>0</v>
      </c>
      <c r="AH101" s="254" t="e">
        <f aca="false">'Basis Options'!CD106</f>
        <v>#NAME?</v>
      </c>
      <c r="AI101" s="0" t="n">
        <v>226</v>
      </c>
      <c r="AJ101" s="0" t="s">
        <v>630</v>
      </c>
      <c r="AK101" s="0" t="n">
        <v>0</v>
      </c>
      <c r="AL101" s="0" t="n">
        <v>0</v>
      </c>
      <c r="AM101" s="0" t="n">
        <v>0</v>
      </c>
    </row>
    <row r="102" customFormat="false" ht="12.75" hidden="false" customHeight="false" outlineLevel="0" collapsed="false">
      <c r="A102" s="0" t="s">
        <v>621</v>
      </c>
      <c r="B102" s="0" t="str">
        <f aca="false">'Basis Options'!C107</f>
        <v>NF4362</v>
      </c>
      <c r="C102" s="0" t="s">
        <v>622</v>
      </c>
      <c r="D102" s="0" t="s">
        <v>623</v>
      </c>
      <c r="E102" s="0" t="s">
        <v>131</v>
      </c>
      <c r="F102" s="0" t="str">
        <f aca="false">'Basis Options'!A107</f>
        <v>DUKEENETRA</v>
      </c>
      <c r="G102" s="0" t="s">
        <v>628</v>
      </c>
      <c r="H102" s="0" t="s">
        <v>625</v>
      </c>
      <c r="I102" s="0" t="s">
        <v>626</v>
      </c>
      <c r="J102" s="0" t="s">
        <v>627</v>
      </c>
      <c r="K102" s="475" t="n">
        <f aca="false">'Basis Options'!G107</f>
        <v>36951</v>
      </c>
      <c r="L102" s="254" t="e">
        <f aca="false">'Basis Options'!U107</f>
        <v>#NAME?</v>
      </c>
      <c r="M102" s="475" t="n">
        <f aca="false">'Basis Options'!Q107</f>
        <v>36949</v>
      </c>
      <c r="N102" s="0" t="str">
        <f aca="false">'Basis Options'!F107</f>
        <v>C</v>
      </c>
      <c r="O102" s="0" t="n">
        <f aca="false">'Basis Options'!I107</f>
        <v>2.2</v>
      </c>
      <c r="P102" s="0" t="n">
        <v>0</v>
      </c>
      <c r="Q102" s="0" t="n">
        <v>0</v>
      </c>
      <c r="R102" s="0" t="n">
        <v>0</v>
      </c>
      <c r="S102" s="0" t="n">
        <v>0</v>
      </c>
      <c r="T102" s="0" t="s">
        <v>624</v>
      </c>
      <c r="U102" s="0" t="str">
        <f aca="false">IF('Basis Options'!D107="NGI/CHI. GATE","""NGI/CHI. GATE""",TRIM('Basis Options'!D107))</f>
        <v>IF-TRANSCO/Z6</v>
      </c>
      <c r="V102" s="0" t="s">
        <v>624</v>
      </c>
      <c r="W102" s="0" t="s">
        <v>569</v>
      </c>
      <c r="X102" s="0" t="s">
        <v>624</v>
      </c>
      <c r="Y102" s="0" t="s">
        <v>627</v>
      </c>
      <c r="Z102" s="0" t="s">
        <v>629</v>
      </c>
      <c r="AA102" s="0" t="s">
        <v>624</v>
      </c>
      <c r="AB102" s="0" t="s">
        <v>132</v>
      </c>
      <c r="AC102" s="254" t="n">
        <f aca="false">'Basis Options'!H107</f>
        <v>620000</v>
      </c>
      <c r="AD102" s="254" t="e">
        <f aca="false">'Basis Options'!W107</f>
        <v>#NAME?</v>
      </c>
      <c r="AE102" s="0" t="n">
        <v>0</v>
      </c>
      <c r="AF102" s="0" t="n">
        <v>0</v>
      </c>
      <c r="AG102" s="0" t="n">
        <v>0</v>
      </c>
      <c r="AH102" s="254" t="e">
        <f aca="false">'Basis Options'!CD107</f>
        <v>#NAME?</v>
      </c>
      <c r="AI102" s="0" t="n">
        <v>226</v>
      </c>
      <c r="AJ102" s="0" t="s">
        <v>630</v>
      </c>
      <c r="AK102" s="0" t="n">
        <v>0</v>
      </c>
      <c r="AL102" s="0" t="n">
        <v>0</v>
      </c>
      <c r="AM102" s="0" t="n">
        <v>0</v>
      </c>
    </row>
    <row r="103" customFormat="false" ht="12.75" hidden="false" customHeight="false" outlineLevel="0" collapsed="false">
      <c r="A103" s="0" t="s">
        <v>621</v>
      </c>
      <c r="B103" s="0" t="str">
        <f aca="false">'Basis Options'!C108</f>
        <v>NF4362</v>
      </c>
      <c r="C103" s="0" t="s">
        <v>622</v>
      </c>
      <c r="D103" s="0" t="s">
        <v>623</v>
      </c>
      <c r="E103" s="0" t="s">
        <v>131</v>
      </c>
      <c r="F103" s="0" t="str">
        <f aca="false">'Basis Options'!A108</f>
        <v>DUKEENETRA</v>
      </c>
      <c r="G103" s="0" t="s">
        <v>628</v>
      </c>
      <c r="H103" s="0" t="s">
        <v>625</v>
      </c>
      <c r="I103" s="0" t="s">
        <v>626</v>
      </c>
      <c r="J103" s="0" t="s">
        <v>627</v>
      </c>
      <c r="K103" s="475" t="n">
        <f aca="false">'Basis Options'!G108</f>
        <v>36923</v>
      </c>
      <c r="L103" s="254" t="e">
        <f aca="false">'Basis Options'!U108</f>
        <v>#NAME?</v>
      </c>
      <c r="M103" s="475" t="n">
        <f aca="false">'Basis Options'!Q108</f>
        <v>36921</v>
      </c>
      <c r="N103" s="0" t="str">
        <f aca="false">'Basis Options'!F108</f>
        <v>C</v>
      </c>
      <c r="O103" s="0" t="n">
        <f aca="false">'Basis Options'!I108</f>
        <v>2.2</v>
      </c>
      <c r="P103" s="0" t="n">
        <v>0</v>
      </c>
      <c r="Q103" s="0" t="n">
        <v>0</v>
      </c>
      <c r="R103" s="0" t="n">
        <v>0</v>
      </c>
      <c r="S103" s="0" t="n">
        <v>0</v>
      </c>
      <c r="T103" s="0" t="s">
        <v>624</v>
      </c>
      <c r="U103" s="0" t="str">
        <f aca="false">IF('Basis Options'!D108="NGI/CHI. GATE","""NGI/CHI. GATE""",TRIM('Basis Options'!D108))</f>
        <v>IF-TRANSCO/Z6</v>
      </c>
      <c r="V103" s="0" t="s">
        <v>624</v>
      </c>
      <c r="W103" s="0" t="s">
        <v>569</v>
      </c>
      <c r="X103" s="0" t="s">
        <v>624</v>
      </c>
      <c r="Y103" s="0" t="s">
        <v>627</v>
      </c>
      <c r="Z103" s="0" t="s">
        <v>629</v>
      </c>
      <c r="AA103" s="0" t="s">
        <v>624</v>
      </c>
      <c r="AB103" s="0" t="s">
        <v>132</v>
      </c>
      <c r="AC103" s="254" t="n">
        <f aca="false">'Basis Options'!H108</f>
        <v>560000</v>
      </c>
      <c r="AD103" s="254" t="e">
        <f aca="false">'Basis Options'!W108</f>
        <v>#NAME?</v>
      </c>
      <c r="AE103" s="0" t="n">
        <v>0</v>
      </c>
      <c r="AF103" s="0" t="n">
        <v>0</v>
      </c>
      <c r="AG103" s="0" t="n">
        <v>0</v>
      </c>
      <c r="AH103" s="254" t="e">
        <f aca="false">'Basis Options'!CD108</f>
        <v>#NAME?</v>
      </c>
      <c r="AI103" s="0" t="n">
        <v>226</v>
      </c>
      <c r="AJ103" s="0" t="s">
        <v>630</v>
      </c>
      <c r="AK103" s="0" t="n">
        <v>0</v>
      </c>
      <c r="AL103" s="0" t="n">
        <v>0</v>
      </c>
      <c r="AM103" s="0" t="n">
        <v>0</v>
      </c>
    </row>
    <row r="104" customFormat="false" ht="12.75" hidden="false" customHeight="false" outlineLevel="0" collapsed="false">
      <c r="A104" s="0" t="s">
        <v>621</v>
      </c>
      <c r="B104" s="0" t="str">
        <f aca="false">'Basis Options'!C109</f>
        <v>NF4362</v>
      </c>
      <c r="C104" s="0" t="s">
        <v>622</v>
      </c>
      <c r="D104" s="0" t="s">
        <v>623</v>
      </c>
      <c r="E104" s="0" t="s">
        <v>131</v>
      </c>
      <c r="F104" s="0" t="str">
        <f aca="false">'Basis Options'!A109</f>
        <v>DUKEENETRA</v>
      </c>
      <c r="G104" s="0" t="s">
        <v>628</v>
      </c>
      <c r="H104" s="0" t="s">
        <v>625</v>
      </c>
      <c r="I104" s="0" t="s">
        <v>626</v>
      </c>
      <c r="J104" s="0" t="s">
        <v>627</v>
      </c>
      <c r="K104" s="475" t="n">
        <f aca="false">'Basis Options'!G109</f>
        <v>36892</v>
      </c>
      <c r="L104" s="254" t="e">
        <f aca="false">'Basis Options'!U109</f>
        <v>#NAME?</v>
      </c>
      <c r="M104" s="475" t="n">
        <f aca="false">'Basis Options'!Q109</f>
        <v>36888</v>
      </c>
      <c r="N104" s="0" t="str">
        <f aca="false">'Basis Options'!F109</f>
        <v>C</v>
      </c>
      <c r="O104" s="0" t="n">
        <f aca="false">'Basis Options'!I109</f>
        <v>2.2</v>
      </c>
      <c r="P104" s="0" t="n">
        <v>0</v>
      </c>
      <c r="Q104" s="0" t="n">
        <v>0</v>
      </c>
      <c r="R104" s="0" t="n">
        <v>0</v>
      </c>
      <c r="S104" s="0" t="n">
        <v>0</v>
      </c>
      <c r="T104" s="0" t="s">
        <v>624</v>
      </c>
      <c r="U104" s="0" t="str">
        <f aca="false">IF('Basis Options'!D109="NGI/CHI. GATE","""NGI/CHI. GATE""",TRIM('Basis Options'!D109))</f>
        <v>IF-TRANSCO/Z6</v>
      </c>
      <c r="V104" s="0" t="s">
        <v>624</v>
      </c>
      <c r="W104" s="0" t="s">
        <v>569</v>
      </c>
      <c r="X104" s="0" t="s">
        <v>624</v>
      </c>
      <c r="Y104" s="0" t="s">
        <v>627</v>
      </c>
      <c r="Z104" s="0" t="s">
        <v>629</v>
      </c>
      <c r="AA104" s="0" t="s">
        <v>624</v>
      </c>
      <c r="AB104" s="0" t="s">
        <v>132</v>
      </c>
      <c r="AC104" s="254" t="n">
        <f aca="false">'Basis Options'!H109</f>
        <v>620000</v>
      </c>
      <c r="AD104" s="254" t="e">
        <f aca="false">'Basis Options'!W109</f>
        <v>#NAME?</v>
      </c>
      <c r="AE104" s="0" t="n">
        <v>0</v>
      </c>
      <c r="AF104" s="0" t="n">
        <v>0</v>
      </c>
      <c r="AG104" s="0" t="n">
        <v>0</v>
      </c>
      <c r="AH104" s="254" t="e">
        <f aca="false">'Basis Options'!CD109</f>
        <v>#NAME?</v>
      </c>
      <c r="AI104" s="0" t="n">
        <v>226</v>
      </c>
      <c r="AJ104" s="0" t="s">
        <v>630</v>
      </c>
      <c r="AK104" s="0" t="n">
        <v>0</v>
      </c>
      <c r="AL104" s="0" t="n">
        <v>0</v>
      </c>
      <c r="AM104" s="0" t="n">
        <v>0</v>
      </c>
    </row>
    <row r="105" customFormat="false" ht="12.75" hidden="false" customHeight="false" outlineLevel="0" collapsed="false">
      <c r="A105" s="0" t="s">
        <v>621</v>
      </c>
      <c r="B105" s="0" t="str">
        <f aca="false">'Basis Options'!C110</f>
        <v>NF4362</v>
      </c>
      <c r="C105" s="0" t="s">
        <v>622</v>
      </c>
      <c r="D105" s="0" t="s">
        <v>623</v>
      </c>
      <c r="E105" s="0" t="s">
        <v>131</v>
      </c>
      <c r="F105" s="0" t="str">
        <f aca="false">'Basis Options'!A110</f>
        <v>DUKEENETRA</v>
      </c>
      <c r="G105" s="0" t="s">
        <v>628</v>
      </c>
      <c r="H105" s="0" t="s">
        <v>625</v>
      </c>
      <c r="I105" s="0" t="s">
        <v>626</v>
      </c>
      <c r="J105" s="0" t="s">
        <v>627</v>
      </c>
      <c r="K105" s="475" t="n">
        <f aca="false">'Basis Options'!G110</f>
        <v>36861</v>
      </c>
      <c r="L105" s="254" t="e">
        <f aca="false">'Basis Options'!U110</f>
        <v>#NAME?</v>
      </c>
      <c r="M105" s="475" t="n">
        <f aca="false">'Basis Options'!Q110</f>
        <v>36859</v>
      </c>
      <c r="N105" s="0" t="str">
        <f aca="false">'Basis Options'!F110</f>
        <v>C</v>
      </c>
      <c r="O105" s="0" t="n">
        <f aca="false">'Basis Options'!I110</f>
        <v>2.2</v>
      </c>
      <c r="P105" s="0" t="n">
        <v>0</v>
      </c>
      <c r="Q105" s="0" t="n">
        <v>0</v>
      </c>
      <c r="R105" s="0" t="n">
        <v>0</v>
      </c>
      <c r="S105" s="0" t="n">
        <v>0</v>
      </c>
      <c r="T105" s="0" t="s">
        <v>624</v>
      </c>
      <c r="U105" s="0" t="str">
        <f aca="false">IF('Basis Options'!D110="NGI/CHI. GATE","""NGI/CHI. GATE""",TRIM('Basis Options'!D110))</f>
        <v>IF-TRANSCO/Z6</v>
      </c>
      <c r="V105" s="0" t="s">
        <v>624</v>
      </c>
      <c r="W105" s="0" t="s">
        <v>569</v>
      </c>
      <c r="X105" s="0" t="s">
        <v>624</v>
      </c>
      <c r="Y105" s="0" t="s">
        <v>627</v>
      </c>
      <c r="Z105" s="0" t="s">
        <v>629</v>
      </c>
      <c r="AA105" s="0" t="s">
        <v>624</v>
      </c>
      <c r="AB105" s="0" t="s">
        <v>132</v>
      </c>
      <c r="AC105" s="254" t="n">
        <f aca="false">'Basis Options'!H110</f>
        <v>620000</v>
      </c>
      <c r="AD105" s="254" t="e">
        <f aca="false">'Basis Options'!W110</f>
        <v>#NAME?</v>
      </c>
      <c r="AE105" s="0" t="n">
        <v>0</v>
      </c>
      <c r="AF105" s="0" t="n">
        <v>0</v>
      </c>
      <c r="AG105" s="0" t="n">
        <v>0</v>
      </c>
      <c r="AH105" s="254" t="e">
        <f aca="false">'Basis Options'!CD110</f>
        <v>#NAME?</v>
      </c>
      <c r="AI105" s="0" t="n">
        <v>226</v>
      </c>
      <c r="AJ105" s="0" t="s">
        <v>630</v>
      </c>
      <c r="AK105" s="0" t="n">
        <v>0</v>
      </c>
      <c r="AL105" s="0" t="n">
        <v>0</v>
      </c>
      <c r="AM105" s="0" t="n">
        <v>0</v>
      </c>
    </row>
    <row r="106" customFormat="false" ht="12.75" hidden="false" customHeight="false" outlineLevel="0" collapsed="false">
      <c r="A106" s="0" t="s">
        <v>621</v>
      </c>
      <c r="B106" s="0" t="str">
        <f aca="false">'Basis Options'!C111</f>
        <v>NF4362</v>
      </c>
      <c r="C106" s="0" t="s">
        <v>622</v>
      </c>
      <c r="D106" s="0" t="s">
        <v>623</v>
      </c>
      <c r="E106" s="0" t="s">
        <v>131</v>
      </c>
      <c r="F106" s="0" t="str">
        <f aca="false">'Basis Options'!A111</f>
        <v>DUKEENETRA</v>
      </c>
      <c r="G106" s="0" t="s">
        <v>628</v>
      </c>
      <c r="H106" s="0" t="s">
        <v>625</v>
      </c>
      <c r="I106" s="0" t="s">
        <v>626</v>
      </c>
      <c r="J106" s="0" t="s">
        <v>627</v>
      </c>
      <c r="K106" s="475" t="n">
        <f aca="false">'Basis Options'!G111</f>
        <v>36831</v>
      </c>
      <c r="L106" s="254" t="e">
        <f aca="false">'Basis Options'!U111</f>
        <v>#NAME?</v>
      </c>
      <c r="M106" s="475" t="n">
        <f aca="false">'Basis Options'!Q111</f>
        <v>36829</v>
      </c>
      <c r="N106" s="0" t="str">
        <f aca="false">'Basis Options'!F111</f>
        <v>C</v>
      </c>
      <c r="O106" s="0" t="n">
        <f aca="false">'Basis Options'!I111</f>
        <v>2.2</v>
      </c>
      <c r="P106" s="0" t="n">
        <v>0</v>
      </c>
      <c r="Q106" s="0" t="n">
        <v>0</v>
      </c>
      <c r="R106" s="0" t="n">
        <v>0</v>
      </c>
      <c r="S106" s="0" t="n">
        <v>0</v>
      </c>
      <c r="T106" s="0" t="s">
        <v>624</v>
      </c>
      <c r="U106" s="0" t="str">
        <f aca="false">IF('Basis Options'!D111="NGI/CHI. GATE","""NGI/CHI. GATE""",TRIM('Basis Options'!D111))</f>
        <v>IF-TRANSCO/Z6</v>
      </c>
      <c r="V106" s="0" t="s">
        <v>624</v>
      </c>
      <c r="W106" s="0" t="s">
        <v>569</v>
      </c>
      <c r="X106" s="0" t="s">
        <v>624</v>
      </c>
      <c r="Y106" s="0" t="s">
        <v>627</v>
      </c>
      <c r="Z106" s="0" t="s">
        <v>629</v>
      </c>
      <c r="AA106" s="0" t="s">
        <v>624</v>
      </c>
      <c r="AB106" s="0" t="s">
        <v>132</v>
      </c>
      <c r="AC106" s="254" t="n">
        <f aca="false">'Basis Options'!H111</f>
        <v>600000</v>
      </c>
      <c r="AD106" s="254" t="e">
        <f aca="false">'Basis Options'!W111</f>
        <v>#NAME?</v>
      </c>
      <c r="AE106" s="0" t="n">
        <v>0</v>
      </c>
      <c r="AF106" s="0" t="n">
        <v>0</v>
      </c>
      <c r="AG106" s="0" t="n">
        <v>0</v>
      </c>
      <c r="AH106" s="254" t="e">
        <f aca="false">'Basis Options'!CD111</f>
        <v>#NAME?</v>
      </c>
      <c r="AI106" s="0" t="n">
        <v>226</v>
      </c>
      <c r="AJ106" s="0" t="s">
        <v>630</v>
      </c>
      <c r="AK106" s="0" t="n">
        <v>0</v>
      </c>
      <c r="AL106" s="0" t="n">
        <v>0</v>
      </c>
      <c r="AM106" s="0" t="n">
        <v>0</v>
      </c>
    </row>
    <row r="107" customFormat="false" ht="12.75" hidden="false" customHeight="false" outlineLevel="0" collapsed="false">
      <c r="A107" s="0" t="s">
        <v>621</v>
      </c>
      <c r="B107" s="0" t="str">
        <f aca="false">'Basis Options'!C112</f>
        <v>NF4364.1</v>
      </c>
      <c r="C107" s="0" t="s">
        <v>622</v>
      </c>
      <c r="D107" s="0" t="s">
        <v>623</v>
      </c>
      <c r="E107" s="0" t="s">
        <v>131</v>
      </c>
      <c r="F107" s="0" t="str">
        <f aca="false">'Basis Options'!A112</f>
        <v>AEPENESER</v>
      </c>
      <c r="G107" s="0" t="s">
        <v>628</v>
      </c>
      <c r="H107" s="0" t="s">
        <v>625</v>
      </c>
      <c r="I107" s="0" t="s">
        <v>626</v>
      </c>
      <c r="J107" s="0" t="s">
        <v>627</v>
      </c>
      <c r="K107" s="475" t="n">
        <f aca="false">'Basis Options'!G112</f>
        <v>36951</v>
      </c>
      <c r="L107" s="254" t="e">
        <f aca="false">'Basis Options'!U112</f>
        <v>#NAME?</v>
      </c>
      <c r="M107" s="475" t="n">
        <f aca="false">'Basis Options'!Q112</f>
        <v>36949</v>
      </c>
      <c r="N107" s="0" t="str">
        <f aca="false">'Basis Options'!F112</f>
        <v>P</v>
      </c>
      <c r="O107" s="0" t="n">
        <f aca="false">'Basis Options'!I112</f>
        <v>0.7</v>
      </c>
      <c r="P107" s="0" t="n">
        <v>0</v>
      </c>
      <c r="Q107" s="0" t="n">
        <v>0</v>
      </c>
      <c r="R107" s="0" t="n">
        <v>0</v>
      </c>
      <c r="S107" s="0" t="n">
        <v>0</v>
      </c>
      <c r="T107" s="0" t="s">
        <v>624</v>
      </c>
      <c r="U107" s="0" t="str">
        <f aca="false">IF('Basis Options'!D112="NGI/CHI. GATE","""NGI/CHI. GATE""",TRIM('Basis Options'!D112))</f>
        <v>IF-TRANSCO/Z6</v>
      </c>
      <c r="V107" s="0" t="s">
        <v>624</v>
      </c>
      <c r="W107" s="0" t="s">
        <v>569</v>
      </c>
      <c r="X107" s="0" t="s">
        <v>624</v>
      </c>
      <c r="Y107" s="0" t="s">
        <v>627</v>
      </c>
      <c r="Z107" s="0" t="s">
        <v>629</v>
      </c>
      <c r="AA107" s="0" t="s">
        <v>624</v>
      </c>
      <c r="AB107" s="0" t="s">
        <v>132</v>
      </c>
      <c r="AC107" s="254" t="n">
        <f aca="false">'Basis Options'!H112</f>
        <v>500000</v>
      </c>
      <c r="AD107" s="254" t="e">
        <f aca="false">'Basis Options'!W112</f>
        <v>#NAME?</v>
      </c>
      <c r="AE107" s="0" t="n">
        <v>0</v>
      </c>
      <c r="AF107" s="0" t="n">
        <v>0</v>
      </c>
      <c r="AG107" s="0" t="n">
        <v>0</v>
      </c>
      <c r="AH107" s="254" t="e">
        <f aca="false">'Basis Options'!CD112</f>
        <v>#NAME?</v>
      </c>
      <c r="AI107" s="0" t="n">
        <v>226</v>
      </c>
      <c r="AJ107" s="0" t="s">
        <v>630</v>
      </c>
      <c r="AK107" s="0" t="n">
        <v>0</v>
      </c>
      <c r="AL107" s="0" t="n">
        <v>0</v>
      </c>
      <c r="AM107" s="0" t="n">
        <v>0</v>
      </c>
    </row>
    <row r="108" customFormat="false" ht="12.75" hidden="false" customHeight="false" outlineLevel="0" collapsed="false">
      <c r="A108" s="0" t="s">
        <v>621</v>
      </c>
      <c r="B108" s="0" t="str">
        <f aca="false">'Basis Options'!C113</f>
        <v>NF4364.1</v>
      </c>
      <c r="C108" s="0" t="s">
        <v>622</v>
      </c>
      <c r="D108" s="0" t="s">
        <v>623</v>
      </c>
      <c r="E108" s="0" t="s">
        <v>131</v>
      </c>
      <c r="F108" s="0" t="str">
        <f aca="false">'Basis Options'!A113</f>
        <v>AEPENESER</v>
      </c>
      <c r="G108" s="0" t="s">
        <v>628</v>
      </c>
      <c r="H108" s="0" t="s">
        <v>625</v>
      </c>
      <c r="I108" s="0" t="s">
        <v>626</v>
      </c>
      <c r="J108" s="0" t="s">
        <v>627</v>
      </c>
      <c r="K108" s="475" t="n">
        <f aca="false">'Basis Options'!G113</f>
        <v>36923</v>
      </c>
      <c r="L108" s="254" t="e">
        <f aca="false">'Basis Options'!U113</f>
        <v>#NAME?</v>
      </c>
      <c r="M108" s="475" t="n">
        <f aca="false">'Basis Options'!Q113</f>
        <v>36921</v>
      </c>
      <c r="N108" s="0" t="str">
        <f aca="false">'Basis Options'!F113</f>
        <v>P</v>
      </c>
      <c r="O108" s="0" t="n">
        <f aca="false">'Basis Options'!I113</f>
        <v>0.7</v>
      </c>
      <c r="P108" s="0" t="n">
        <v>0</v>
      </c>
      <c r="Q108" s="0" t="n">
        <v>0</v>
      </c>
      <c r="R108" s="0" t="n">
        <v>0</v>
      </c>
      <c r="S108" s="0" t="n">
        <v>0</v>
      </c>
      <c r="T108" s="0" t="s">
        <v>624</v>
      </c>
      <c r="U108" s="0" t="str">
        <f aca="false">IF('Basis Options'!D113="NGI/CHI. GATE","""NGI/CHI. GATE""",TRIM('Basis Options'!D113))</f>
        <v>IF-TRANSCO/Z6</v>
      </c>
      <c r="V108" s="0" t="s">
        <v>624</v>
      </c>
      <c r="W108" s="0" t="s">
        <v>569</v>
      </c>
      <c r="X108" s="0" t="s">
        <v>624</v>
      </c>
      <c r="Y108" s="0" t="s">
        <v>627</v>
      </c>
      <c r="Z108" s="0" t="s">
        <v>629</v>
      </c>
      <c r="AA108" s="0" t="s">
        <v>624</v>
      </c>
      <c r="AB108" s="0" t="s">
        <v>132</v>
      </c>
      <c r="AC108" s="254" t="n">
        <f aca="false">'Basis Options'!H113</f>
        <v>500000</v>
      </c>
      <c r="AD108" s="254" t="e">
        <f aca="false">'Basis Options'!W113</f>
        <v>#NAME?</v>
      </c>
      <c r="AE108" s="0" t="n">
        <v>0</v>
      </c>
      <c r="AF108" s="0" t="n">
        <v>0</v>
      </c>
      <c r="AG108" s="0" t="n">
        <v>0</v>
      </c>
      <c r="AH108" s="254" t="e">
        <f aca="false">'Basis Options'!CD113</f>
        <v>#NAME?</v>
      </c>
      <c r="AI108" s="0" t="n">
        <v>226</v>
      </c>
      <c r="AJ108" s="0" t="s">
        <v>630</v>
      </c>
      <c r="AK108" s="0" t="n">
        <v>0</v>
      </c>
      <c r="AL108" s="0" t="n">
        <v>0</v>
      </c>
      <c r="AM108" s="0" t="n">
        <v>0</v>
      </c>
    </row>
    <row r="109" customFormat="false" ht="12.75" hidden="false" customHeight="false" outlineLevel="0" collapsed="false">
      <c r="A109" s="0" t="s">
        <v>621</v>
      </c>
      <c r="B109" s="0" t="str">
        <f aca="false">'Basis Options'!C114</f>
        <v>NF4364.1</v>
      </c>
      <c r="C109" s="0" t="s">
        <v>622</v>
      </c>
      <c r="D109" s="0" t="s">
        <v>623</v>
      </c>
      <c r="E109" s="0" t="s">
        <v>131</v>
      </c>
      <c r="F109" s="0" t="str">
        <f aca="false">'Basis Options'!A114</f>
        <v>AEPENESER</v>
      </c>
      <c r="G109" s="0" t="s">
        <v>628</v>
      </c>
      <c r="H109" s="0" t="s">
        <v>625</v>
      </c>
      <c r="I109" s="0" t="s">
        <v>626</v>
      </c>
      <c r="J109" s="0" t="s">
        <v>627</v>
      </c>
      <c r="K109" s="475" t="n">
        <f aca="false">'Basis Options'!G114</f>
        <v>36892</v>
      </c>
      <c r="L109" s="254" t="e">
        <f aca="false">'Basis Options'!U114</f>
        <v>#NAME?</v>
      </c>
      <c r="M109" s="475" t="n">
        <f aca="false">'Basis Options'!Q114</f>
        <v>36888</v>
      </c>
      <c r="N109" s="0" t="str">
        <f aca="false">'Basis Options'!F114</f>
        <v>P</v>
      </c>
      <c r="O109" s="0" t="n">
        <f aca="false">'Basis Options'!I114</f>
        <v>0.7</v>
      </c>
      <c r="P109" s="0" t="n">
        <v>0</v>
      </c>
      <c r="Q109" s="0" t="n">
        <v>0</v>
      </c>
      <c r="R109" s="0" t="n">
        <v>0</v>
      </c>
      <c r="S109" s="0" t="n">
        <v>0</v>
      </c>
      <c r="T109" s="0" t="s">
        <v>624</v>
      </c>
      <c r="U109" s="0" t="str">
        <f aca="false">IF('Basis Options'!D114="NGI/CHI. GATE","""NGI/CHI. GATE""",TRIM('Basis Options'!D114))</f>
        <v>IF-TRANSCO/Z6</v>
      </c>
      <c r="V109" s="0" t="s">
        <v>624</v>
      </c>
      <c r="W109" s="0" t="s">
        <v>569</v>
      </c>
      <c r="X109" s="0" t="s">
        <v>624</v>
      </c>
      <c r="Y109" s="0" t="s">
        <v>627</v>
      </c>
      <c r="Z109" s="0" t="s">
        <v>629</v>
      </c>
      <c r="AA109" s="0" t="s">
        <v>624</v>
      </c>
      <c r="AB109" s="0" t="s">
        <v>132</v>
      </c>
      <c r="AC109" s="254" t="n">
        <f aca="false">'Basis Options'!H114</f>
        <v>500000</v>
      </c>
      <c r="AD109" s="254" t="e">
        <f aca="false">'Basis Options'!W114</f>
        <v>#NAME?</v>
      </c>
      <c r="AE109" s="0" t="n">
        <v>0</v>
      </c>
      <c r="AF109" s="0" t="n">
        <v>0</v>
      </c>
      <c r="AG109" s="0" t="n">
        <v>0</v>
      </c>
      <c r="AH109" s="254" t="e">
        <f aca="false">'Basis Options'!CD114</f>
        <v>#NAME?</v>
      </c>
      <c r="AI109" s="0" t="n">
        <v>226</v>
      </c>
      <c r="AJ109" s="0" t="s">
        <v>630</v>
      </c>
      <c r="AK109" s="0" t="n">
        <v>0</v>
      </c>
      <c r="AL109" s="0" t="n">
        <v>0</v>
      </c>
      <c r="AM109" s="0" t="n">
        <v>0</v>
      </c>
    </row>
    <row r="110" customFormat="false" ht="12.75" hidden="false" customHeight="false" outlineLevel="0" collapsed="false">
      <c r="A110" s="0" t="s">
        <v>621</v>
      </c>
      <c r="B110" s="0" t="str">
        <f aca="false">'Basis Options'!C115</f>
        <v>NF4364.1</v>
      </c>
      <c r="C110" s="0" t="s">
        <v>622</v>
      </c>
      <c r="D110" s="0" t="s">
        <v>623</v>
      </c>
      <c r="E110" s="0" t="s">
        <v>131</v>
      </c>
      <c r="F110" s="0" t="str">
        <f aca="false">'Basis Options'!A115</f>
        <v>AEPENESER</v>
      </c>
      <c r="G110" s="0" t="s">
        <v>628</v>
      </c>
      <c r="H110" s="0" t="s">
        <v>625</v>
      </c>
      <c r="I110" s="0" t="s">
        <v>626</v>
      </c>
      <c r="J110" s="0" t="s">
        <v>627</v>
      </c>
      <c r="K110" s="475" t="n">
        <f aca="false">'Basis Options'!G115</f>
        <v>36861</v>
      </c>
      <c r="L110" s="254" t="e">
        <f aca="false">'Basis Options'!U115</f>
        <v>#NAME?</v>
      </c>
      <c r="M110" s="475" t="n">
        <f aca="false">'Basis Options'!Q115</f>
        <v>36859</v>
      </c>
      <c r="N110" s="0" t="str">
        <f aca="false">'Basis Options'!F115</f>
        <v>P</v>
      </c>
      <c r="O110" s="0" t="n">
        <f aca="false">'Basis Options'!I115</f>
        <v>0.7</v>
      </c>
      <c r="P110" s="0" t="n">
        <v>0</v>
      </c>
      <c r="Q110" s="0" t="n">
        <v>0</v>
      </c>
      <c r="R110" s="0" t="n">
        <v>0</v>
      </c>
      <c r="S110" s="0" t="n">
        <v>0</v>
      </c>
      <c r="T110" s="0" t="s">
        <v>624</v>
      </c>
      <c r="U110" s="0" t="str">
        <f aca="false">IF('Basis Options'!D115="NGI/CHI. GATE","""NGI/CHI. GATE""",TRIM('Basis Options'!D115))</f>
        <v>IF-TRANSCO/Z6</v>
      </c>
      <c r="V110" s="0" t="s">
        <v>624</v>
      </c>
      <c r="W110" s="0" t="s">
        <v>569</v>
      </c>
      <c r="X110" s="0" t="s">
        <v>624</v>
      </c>
      <c r="Y110" s="0" t="s">
        <v>627</v>
      </c>
      <c r="Z110" s="0" t="s">
        <v>629</v>
      </c>
      <c r="AA110" s="0" t="s">
        <v>624</v>
      </c>
      <c r="AB110" s="0" t="s">
        <v>132</v>
      </c>
      <c r="AC110" s="254" t="n">
        <f aca="false">'Basis Options'!H115</f>
        <v>500000</v>
      </c>
      <c r="AD110" s="254" t="e">
        <f aca="false">'Basis Options'!W115</f>
        <v>#NAME?</v>
      </c>
      <c r="AE110" s="0" t="n">
        <v>0</v>
      </c>
      <c r="AF110" s="0" t="n">
        <v>0</v>
      </c>
      <c r="AG110" s="0" t="n">
        <v>0</v>
      </c>
      <c r="AH110" s="254" t="e">
        <f aca="false">'Basis Options'!CD115</f>
        <v>#NAME?</v>
      </c>
      <c r="AI110" s="0" t="n">
        <v>226</v>
      </c>
      <c r="AJ110" s="0" t="s">
        <v>630</v>
      </c>
      <c r="AK110" s="0" t="n">
        <v>0</v>
      </c>
      <c r="AL110" s="0" t="n">
        <v>0</v>
      </c>
      <c r="AM110" s="0" t="n">
        <v>0</v>
      </c>
    </row>
    <row r="111" customFormat="false" ht="12.75" hidden="false" customHeight="false" outlineLevel="0" collapsed="false">
      <c r="A111" s="0" t="s">
        <v>621</v>
      </c>
      <c r="B111" s="0" t="str">
        <f aca="false">'Basis Options'!C116</f>
        <v>NF4364.1</v>
      </c>
      <c r="C111" s="0" t="s">
        <v>622</v>
      </c>
      <c r="D111" s="0" t="s">
        <v>623</v>
      </c>
      <c r="E111" s="0" t="s">
        <v>131</v>
      </c>
      <c r="F111" s="0" t="str">
        <f aca="false">'Basis Options'!A116</f>
        <v>AEPENESER</v>
      </c>
      <c r="G111" s="0" t="s">
        <v>628</v>
      </c>
      <c r="H111" s="0" t="s">
        <v>625</v>
      </c>
      <c r="I111" s="0" t="s">
        <v>626</v>
      </c>
      <c r="J111" s="0" t="s">
        <v>627</v>
      </c>
      <c r="K111" s="475" t="n">
        <f aca="false">'Basis Options'!G116</f>
        <v>36831</v>
      </c>
      <c r="L111" s="254" t="e">
        <f aca="false">'Basis Options'!U116</f>
        <v>#NAME?</v>
      </c>
      <c r="M111" s="475" t="n">
        <f aca="false">'Basis Options'!Q116</f>
        <v>36829</v>
      </c>
      <c r="N111" s="0" t="str">
        <f aca="false">'Basis Options'!F116</f>
        <v>P</v>
      </c>
      <c r="O111" s="0" t="n">
        <f aca="false">'Basis Options'!I116</f>
        <v>0.7</v>
      </c>
      <c r="P111" s="0" t="n">
        <v>0</v>
      </c>
      <c r="Q111" s="0" t="n">
        <v>0</v>
      </c>
      <c r="R111" s="0" t="n">
        <v>0</v>
      </c>
      <c r="S111" s="0" t="n">
        <v>0</v>
      </c>
      <c r="T111" s="0" t="s">
        <v>624</v>
      </c>
      <c r="U111" s="0" t="str">
        <f aca="false">IF('Basis Options'!D116="NGI/CHI. GATE","""NGI/CHI. GATE""",TRIM('Basis Options'!D116))</f>
        <v>IF-TRANSCO/Z6</v>
      </c>
      <c r="V111" s="0" t="s">
        <v>624</v>
      </c>
      <c r="W111" s="0" t="s">
        <v>569</v>
      </c>
      <c r="X111" s="0" t="s">
        <v>624</v>
      </c>
      <c r="Y111" s="0" t="s">
        <v>627</v>
      </c>
      <c r="Z111" s="0" t="s">
        <v>629</v>
      </c>
      <c r="AA111" s="0" t="s">
        <v>624</v>
      </c>
      <c r="AB111" s="0" t="s">
        <v>132</v>
      </c>
      <c r="AC111" s="254" t="n">
        <f aca="false">'Basis Options'!H116</f>
        <v>500000</v>
      </c>
      <c r="AD111" s="254" t="e">
        <f aca="false">'Basis Options'!W116</f>
        <v>#NAME?</v>
      </c>
      <c r="AE111" s="0" t="n">
        <v>0</v>
      </c>
      <c r="AF111" s="0" t="n">
        <v>0</v>
      </c>
      <c r="AG111" s="0" t="n">
        <v>0</v>
      </c>
      <c r="AH111" s="254" t="e">
        <f aca="false">'Basis Options'!CD116</f>
        <v>#NAME?</v>
      </c>
      <c r="AI111" s="0" t="n">
        <v>226</v>
      </c>
      <c r="AJ111" s="0" t="s">
        <v>630</v>
      </c>
      <c r="AK111" s="0" t="n">
        <v>0</v>
      </c>
      <c r="AL111" s="0" t="n">
        <v>0</v>
      </c>
      <c r="AM111" s="0" t="n">
        <v>0</v>
      </c>
    </row>
    <row r="112" customFormat="false" ht="12.75" hidden="false" customHeight="false" outlineLevel="0" collapsed="false">
      <c r="A112" s="0" t="s">
        <v>621</v>
      </c>
      <c r="B112" s="0" t="str">
        <f aca="false">'Basis Options'!C117</f>
        <v>NF4364.2</v>
      </c>
      <c r="C112" s="0" t="s">
        <v>622</v>
      </c>
      <c r="D112" s="0" t="s">
        <v>623</v>
      </c>
      <c r="E112" s="0" t="s">
        <v>131</v>
      </c>
      <c r="F112" s="0" t="str">
        <f aca="false">'Basis Options'!A117</f>
        <v>AEPENESER</v>
      </c>
      <c r="G112" s="0" t="s">
        <v>628</v>
      </c>
      <c r="H112" s="0" t="s">
        <v>625</v>
      </c>
      <c r="I112" s="0" t="s">
        <v>626</v>
      </c>
      <c r="J112" s="0" t="s">
        <v>627</v>
      </c>
      <c r="K112" s="475" t="n">
        <f aca="false">'Basis Options'!G117</f>
        <v>36923</v>
      </c>
      <c r="L112" s="254" t="e">
        <f aca="false">'Basis Options'!U117</f>
        <v>#NAME?</v>
      </c>
      <c r="M112" s="475" t="n">
        <f aca="false">'Basis Options'!Q117</f>
        <v>36921</v>
      </c>
      <c r="N112" s="0" t="str">
        <f aca="false">'Basis Options'!F117</f>
        <v>C</v>
      </c>
      <c r="O112" s="0" t="n">
        <f aca="false">'Basis Options'!I117</f>
        <v>1.4</v>
      </c>
      <c r="P112" s="0" t="n">
        <v>0</v>
      </c>
      <c r="Q112" s="0" t="n">
        <v>0</v>
      </c>
      <c r="R112" s="0" t="n">
        <v>0</v>
      </c>
      <c r="S112" s="0" t="n">
        <v>0</v>
      </c>
      <c r="T112" s="0" t="s">
        <v>624</v>
      </c>
      <c r="U112" s="0" t="str">
        <f aca="false">IF('Basis Options'!D117="NGI/CHI. GATE","""NGI/CHI. GATE""",TRIM('Basis Options'!D117))</f>
        <v>IF-TRANSCO/Z6</v>
      </c>
      <c r="V112" s="0" t="s">
        <v>624</v>
      </c>
      <c r="W112" s="0" t="s">
        <v>569</v>
      </c>
      <c r="X112" s="0" t="s">
        <v>624</v>
      </c>
      <c r="Y112" s="0" t="s">
        <v>627</v>
      </c>
      <c r="Z112" s="0" t="s">
        <v>629</v>
      </c>
      <c r="AA112" s="0" t="s">
        <v>624</v>
      </c>
      <c r="AB112" s="0" t="s">
        <v>132</v>
      </c>
      <c r="AC112" s="254" t="n">
        <f aca="false">'Basis Options'!H117</f>
        <v>-500000</v>
      </c>
      <c r="AD112" s="254" t="e">
        <f aca="false">'Basis Options'!W117</f>
        <v>#NAME?</v>
      </c>
      <c r="AE112" s="0" t="n">
        <v>0</v>
      </c>
      <c r="AF112" s="0" t="n">
        <v>0</v>
      </c>
      <c r="AG112" s="0" t="n">
        <v>0</v>
      </c>
      <c r="AH112" s="254" t="e">
        <f aca="false">'Basis Options'!CD117</f>
        <v>#NAME?</v>
      </c>
      <c r="AI112" s="0" t="n">
        <v>226</v>
      </c>
      <c r="AJ112" s="0" t="s">
        <v>630</v>
      </c>
      <c r="AK112" s="0" t="n">
        <v>0</v>
      </c>
      <c r="AL112" s="0" t="n">
        <v>0</v>
      </c>
      <c r="AM112" s="0" t="n">
        <v>0</v>
      </c>
    </row>
    <row r="113" customFormat="false" ht="12.75" hidden="false" customHeight="false" outlineLevel="0" collapsed="false">
      <c r="A113" s="0" t="s">
        <v>621</v>
      </c>
      <c r="B113" s="0" t="str">
        <f aca="false">'Basis Options'!C118</f>
        <v>NF4364.2</v>
      </c>
      <c r="C113" s="0" t="s">
        <v>622</v>
      </c>
      <c r="D113" s="0" t="s">
        <v>623</v>
      </c>
      <c r="E113" s="0" t="s">
        <v>131</v>
      </c>
      <c r="F113" s="0" t="str">
        <f aca="false">'Basis Options'!A118</f>
        <v>AEPENESER</v>
      </c>
      <c r="G113" s="0" t="s">
        <v>628</v>
      </c>
      <c r="H113" s="0" t="s">
        <v>625</v>
      </c>
      <c r="I113" s="0" t="s">
        <v>626</v>
      </c>
      <c r="J113" s="0" t="s">
        <v>627</v>
      </c>
      <c r="K113" s="475" t="n">
        <f aca="false">'Basis Options'!G118</f>
        <v>36892</v>
      </c>
      <c r="L113" s="254" t="e">
        <f aca="false">'Basis Options'!U118</f>
        <v>#NAME?</v>
      </c>
      <c r="M113" s="475" t="n">
        <f aca="false">'Basis Options'!Q118</f>
        <v>36888</v>
      </c>
      <c r="N113" s="0" t="str">
        <f aca="false">'Basis Options'!F118</f>
        <v>C</v>
      </c>
      <c r="O113" s="0" t="n">
        <f aca="false">'Basis Options'!I118</f>
        <v>1.4</v>
      </c>
      <c r="P113" s="0" t="n">
        <v>0</v>
      </c>
      <c r="Q113" s="0" t="n">
        <v>0</v>
      </c>
      <c r="R113" s="0" t="n">
        <v>0</v>
      </c>
      <c r="S113" s="0" t="n">
        <v>0</v>
      </c>
      <c r="T113" s="0" t="s">
        <v>624</v>
      </c>
      <c r="U113" s="0" t="str">
        <f aca="false">IF('Basis Options'!D118="NGI/CHI. GATE","""NGI/CHI. GATE""",TRIM('Basis Options'!D118))</f>
        <v>IF-TRANSCO/Z6</v>
      </c>
      <c r="V113" s="0" t="s">
        <v>624</v>
      </c>
      <c r="W113" s="0" t="s">
        <v>569</v>
      </c>
      <c r="X113" s="0" t="s">
        <v>624</v>
      </c>
      <c r="Y113" s="0" t="s">
        <v>627</v>
      </c>
      <c r="Z113" s="0" t="s">
        <v>629</v>
      </c>
      <c r="AA113" s="0" t="s">
        <v>624</v>
      </c>
      <c r="AB113" s="0" t="s">
        <v>132</v>
      </c>
      <c r="AC113" s="254" t="n">
        <f aca="false">'Basis Options'!H118</f>
        <v>-500000</v>
      </c>
      <c r="AD113" s="254" t="e">
        <f aca="false">'Basis Options'!W118</f>
        <v>#NAME?</v>
      </c>
      <c r="AE113" s="0" t="n">
        <v>0</v>
      </c>
      <c r="AF113" s="0" t="n">
        <v>0</v>
      </c>
      <c r="AG113" s="0" t="n">
        <v>0</v>
      </c>
      <c r="AH113" s="254" t="e">
        <f aca="false">'Basis Options'!CD118</f>
        <v>#NAME?</v>
      </c>
      <c r="AI113" s="0" t="n">
        <v>226</v>
      </c>
      <c r="AJ113" s="0" t="s">
        <v>630</v>
      </c>
      <c r="AK113" s="0" t="n">
        <v>0</v>
      </c>
      <c r="AL113" s="0" t="n">
        <v>0</v>
      </c>
      <c r="AM113" s="0" t="n">
        <v>0</v>
      </c>
    </row>
    <row r="114" customFormat="false" ht="12.75" hidden="false" customHeight="false" outlineLevel="0" collapsed="false">
      <c r="A114" s="0" t="s">
        <v>621</v>
      </c>
      <c r="B114" s="0" t="str">
        <f aca="false">'Basis Options'!C119</f>
        <v>NF4364.2</v>
      </c>
      <c r="C114" s="0" t="s">
        <v>622</v>
      </c>
      <c r="D114" s="0" t="s">
        <v>623</v>
      </c>
      <c r="E114" s="0" t="s">
        <v>131</v>
      </c>
      <c r="F114" s="0" t="str">
        <f aca="false">'Basis Options'!A119</f>
        <v>AEPENESER</v>
      </c>
      <c r="G114" s="0" t="s">
        <v>628</v>
      </c>
      <c r="H114" s="0" t="s">
        <v>625</v>
      </c>
      <c r="I114" s="0" t="s">
        <v>626</v>
      </c>
      <c r="J114" s="0" t="s">
        <v>627</v>
      </c>
      <c r="K114" s="475" t="n">
        <f aca="false">'Basis Options'!G119</f>
        <v>36861</v>
      </c>
      <c r="L114" s="254" t="e">
        <f aca="false">'Basis Options'!U119</f>
        <v>#NAME?</v>
      </c>
      <c r="M114" s="475" t="n">
        <f aca="false">'Basis Options'!Q119</f>
        <v>36859</v>
      </c>
      <c r="N114" s="0" t="str">
        <f aca="false">'Basis Options'!F119</f>
        <v>C</v>
      </c>
      <c r="O114" s="0" t="n">
        <f aca="false">'Basis Options'!I119</f>
        <v>1.4</v>
      </c>
      <c r="P114" s="0" t="n">
        <v>0</v>
      </c>
      <c r="Q114" s="0" t="n">
        <v>0</v>
      </c>
      <c r="R114" s="0" t="n">
        <v>0</v>
      </c>
      <c r="S114" s="0" t="n">
        <v>0</v>
      </c>
      <c r="T114" s="0" t="s">
        <v>624</v>
      </c>
      <c r="U114" s="0" t="str">
        <f aca="false">IF('Basis Options'!D119="NGI/CHI. GATE","""NGI/CHI. GATE""",TRIM('Basis Options'!D119))</f>
        <v>IF-TRANSCO/Z6</v>
      </c>
      <c r="V114" s="0" t="s">
        <v>624</v>
      </c>
      <c r="W114" s="0" t="s">
        <v>569</v>
      </c>
      <c r="X114" s="0" t="s">
        <v>624</v>
      </c>
      <c r="Y114" s="0" t="s">
        <v>627</v>
      </c>
      <c r="Z114" s="0" t="s">
        <v>629</v>
      </c>
      <c r="AA114" s="0" t="s">
        <v>624</v>
      </c>
      <c r="AB114" s="0" t="s">
        <v>132</v>
      </c>
      <c r="AC114" s="254" t="n">
        <f aca="false">'Basis Options'!H119</f>
        <v>-500000</v>
      </c>
      <c r="AD114" s="254" t="e">
        <f aca="false">'Basis Options'!W119</f>
        <v>#NAME?</v>
      </c>
      <c r="AE114" s="0" t="n">
        <v>0</v>
      </c>
      <c r="AF114" s="0" t="n">
        <v>0</v>
      </c>
      <c r="AG114" s="0" t="n">
        <v>0</v>
      </c>
      <c r="AH114" s="254" t="e">
        <f aca="false">'Basis Options'!CD119</f>
        <v>#NAME?</v>
      </c>
      <c r="AI114" s="0" t="n">
        <v>226</v>
      </c>
      <c r="AJ114" s="0" t="s">
        <v>630</v>
      </c>
      <c r="AK114" s="0" t="n">
        <v>0</v>
      </c>
      <c r="AL114" s="0" t="n">
        <v>0</v>
      </c>
      <c r="AM114" s="0" t="n">
        <v>0</v>
      </c>
    </row>
    <row r="115" customFormat="false" ht="12.75" hidden="false" customHeight="false" outlineLevel="0" collapsed="false">
      <c r="A115" s="0" t="s">
        <v>621</v>
      </c>
      <c r="B115" s="0" t="str">
        <f aca="false">'Basis Options'!C120</f>
        <v>NF4364.3</v>
      </c>
      <c r="C115" s="0" t="s">
        <v>622</v>
      </c>
      <c r="D115" s="0" t="s">
        <v>623</v>
      </c>
      <c r="E115" s="0" t="s">
        <v>131</v>
      </c>
      <c r="F115" s="0" t="str">
        <f aca="false">'Basis Options'!A120</f>
        <v>AEPENESER</v>
      </c>
      <c r="G115" s="0" t="s">
        <v>628</v>
      </c>
      <c r="H115" s="0" t="s">
        <v>625</v>
      </c>
      <c r="I115" s="0" t="s">
        <v>626</v>
      </c>
      <c r="J115" s="0" t="s">
        <v>627</v>
      </c>
      <c r="K115" s="475" t="n">
        <f aca="false">'Basis Options'!G120</f>
        <v>36923</v>
      </c>
      <c r="L115" s="254" t="e">
        <f aca="false">'Basis Options'!U120</f>
        <v>#NAME?</v>
      </c>
      <c r="M115" s="475" t="n">
        <f aca="false">'Basis Options'!Q120</f>
        <v>36921</v>
      </c>
      <c r="N115" s="0" t="str">
        <f aca="false">'Basis Options'!F120</f>
        <v>P</v>
      </c>
      <c r="O115" s="0" t="n">
        <f aca="false">'Basis Options'!I120</f>
        <v>1.4</v>
      </c>
      <c r="P115" s="0" t="n">
        <v>0</v>
      </c>
      <c r="Q115" s="0" t="n">
        <v>0</v>
      </c>
      <c r="R115" s="0" t="n">
        <v>0</v>
      </c>
      <c r="S115" s="0" t="n">
        <v>0</v>
      </c>
      <c r="T115" s="0" t="s">
        <v>624</v>
      </c>
      <c r="U115" s="0" t="str">
        <f aca="false">IF('Basis Options'!D120="NGI/CHI. GATE","""NGI/CHI. GATE""",TRIM('Basis Options'!D120))</f>
        <v>IF-TRANSCO/Z6</v>
      </c>
      <c r="V115" s="0" t="s">
        <v>624</v>
      </c>
      <c r="W115" s="0" t="s">
        <v>569</v>
      </c>
      <c r="X115" s="0" t="s">
        <v>624</v>
      </c>
      <c r="Y115" s="0" t="s">
        <v>627</v>
      </c>
      <c r="Z115" s="0" t="s">
        <v>629</v>
      </c>
      <c r="AA115" s="0" t="s">
        <v>624</v>
      </c>
      <c r="AB115" s="0" t="s">
        <v>132</v>
      </c>
      <c r="AC115" s="254" t="n">
        <f aca="false">'Basis Options'!H120</f>
        <v>-500000</v>
      </c>
      <c r="AD115" s="254" t="e">
        <f aca="false">'Basis Options'!W120</f>
        <v>#NAME?</v>
      </c>
      <c r="AE115" s="0" t="n">
        <v>0</v>
      </c>
      <c r="AF115" s="0" t="n">
        <v>0</v>
      </c>
      <c r="AG115" s="0" t="n">
        <v>0</v>
      </c>
      <c r="AH115" s="254" t="e">
        <f aca="false">'Basis Options'!CD120</f>
        <v>#NAME?</v>
      </c>
      <c r="AI115" s="0" t="n">
        <v>226</v>
      </c>
      <c r="AJ115" s="0" t="s">
        <v>630</v>
      </c>
      <c r="AK115" s="0" t="n">
        <v>0</v>
      </c>
      <c r="AL115" s="0" t="n">
        <v>0</v>
      </c>
      <c r="AM115" s="0" t="n">
        <v>0</v>
      </c>
    </row>
    <row r="116" customFormat="false" ht="12.75" hidden="false" customHeight="false" outlineLevel="0" collapsed="false">
      <c r="A116" s="0" t="s">
        <v>621</v>
      </c>
      <c r="B116" s="0" t="str">
        <f aca="false">'Basis Options'!C121</f>
        <v>NF4364.3</v>
      </c>
      <c r="C116" s="0" t="s">
        <v>622</v>
      </c>
      <c r="D116" s="0" t="s">
        <v>623</v>
      </c>
      <c r="E116" s="0" t="s">
        <v>131</v>
      </c>
      <c r="F116" s="0" t="str">
        <f aca="false">'Basis Options'!A121</f>
        <v>AEPENESER</v>
      </c>
      <c r="G116" s="0" t="s">
        <v>628</v>
      </c>
      <c r="H116" s="0" t="s">
        <v>625</v>
      </c>
      <c r="I116" s="0" t="s">
        <v>626</v>
      </c>
      <c r="J116" s="0" t="s">
        <v>627</v>
      </c>
      <c r="K116" s="475" t="n">
        <f aca="false">'Basis Options'!G121</f>
        <v>36892</v>
      </c>
      <c r="L116" s="254" t="e">
        <f aca="false">'Basis Options'!U121</f>
        <v>#NAME?</v>
      </c>
      <c r="M116" s="475" t="n">
        <f aca="false">'Basis Options'!Q121</f>
        <v>36888</v>
      </c>
      <c r="N116" s="0" t="str">
        <f aca="false">'Basis Options'!F121</f>
        <v>P</v>
      </c>
      <c r="O116" s="0" t="n">
        <f aca="false">'Basis Options'!I121</f>
        <v>1.4</v>
      </c>
      <c r="P116" s="0" t="n">
        <v>0</v>
      </c>
      <c r="Q116" s="0" t="n">
        <v>0</v>
      </c>
      <c r="R116" s="0" t="n">
        <v>0</v>
      </c>
      <c r="S116" s="0" t="n">
        <v>0</v>
      </c>
      <c r="T116" s="0" t="s">
        <v>624</v>
      </c>
      <c r="U116" s="0" t="str">
        <f aca="false">IF('Basis Options'!D121="NGI/CHI. GATE","""NGI/CHI. GATE""",TRIM('Basis Options'!D121))</f>
        <v>IF-TRANSCO/Z6</v>
      </c>
      <c r="V116" s="0" t="s">
        <v>624</v>
      </c>
      <c r="W116" s="0" t="s">
        <v>569</v>
      </c>
      <c r="X116" s="0" t="s">
        <v>624</v>
      </c>
      <c r="Y116" s="0" t="s">
        <v>627</v>
      </c>
      <c r="Z116" s="0" t="s">
        <v>629</v>
      </c>
      <c r="AA116" s="0" t="s">
        <v>624</v>
      </c>
      <c r="AB116" s="0" t="s">
        <v>132</v>
      </c>
      <c r="AC116" s="254" t="n">
        <f aca="false">'Basis Options'!H121</f>
        <v>-500000</v>
      </c>
      <c r="AD116" s="254" t="e">
        <f aca="false">'Basis Options'!W121</f>
        <v>#NAME?</v>
      </c>
      <c r="AE116" s="0" t="n">
        <v>0</v>
      </c>
      <c r="AF116" s="0" t="n">
        <v>0</v>
      </c>
      <c r="AG116" s="0" t="n">
        <v>0</v>
      </c>
      <c r="AH116" s="254" t="e">
        <f aca="false">'Basis Options'!CD121</f>
        <v>#NAME?</v>
      </c>
      <c r="AI116" s="0" t="n">
        <v>226</v>
      </c>
      <c r="AJ116" s="0" t="s">
        <v>630</v>
      </c>
      <c r="AK116" s="0" t="n">
        <v>0</v>
      </c>
      <c r="AL116" s="0" t="n">
        <v>0</v>
      </c>
      <c r="AM116" s="0" t="n">
        <v>0</v>
      </c>
    </row>
    <row r="117" customFormat="false" ht="12.75" hidden="false" customHeight="false" outlineLevel="0" collapsed="false">
      <c r="A117" s="0" t="s">
        <v>621</v>
      </c>
      <c r="B117" s="0" t="str">
        <f aca="false">'Basis Options'!C122</f>
        <v>NF4364.3</v>
      </c>
      <c r="C117" s="0" t="s">
        <v>622</v>
      </c>
      <c r="D117" s="0" t="s">
        <v>623</v>
      </c>
      <c r="E117" s="0" t="s">
        <v>131</v>
      </c>
      <c r="F117" s="0" t="str">
        <f aca="false">'Basis Options'!A122</f>
        <v>AEPENESER</v>
      </c>
      <c r="G117" s="0" t="s">
        <v>628</v>
      </c>
      <c r="H117" s="0" t="s">
        <v>625</v>
      </c>
      <c r="I117" s="0" t="s">
        <v>626</v>
      </c>
      <c r="J117" s="0" t="s">
        <v>627</v>
      </c>
      <c r="K117" s="475" t="n">
        <f aca="false">'Basis Options'!G122</f>
        <v>36861</v>
      </c>
      <c r="L117" s="254" t="e">
        <f aca="false">'Basis Options'!U122</f>
        <v>#NAME?</v>
      </c>
      <c r="M117" s="475" t="n">
        <f aca="false">'Basis Options'!Q122</f>
        <v>36859</v>
      </c>
      <c r="N117" s="0" t="str">
        <f aca="false">'Basis Options'!F122</f>
        <v>P</v>
      </c>
      <c r="O117" s="0" t="n">
        <f aca="false">'Basis Options'!I122</f>
        <v>1.4</v>
      </c>
      <c r="P117" s="0" t="n">
        <v>0</v>
      </c>
      <c r="Q117" s="0" t="n">
        <v>0</v>
      </c>
      <c r="R117" s="0" t="n">
        <v>0</v>
      </c>
      <c r="S117" s="0" t="n">
        <v>0</v>
      </c>
      <c r="T117" s="0" t="s">
        <v>624</v>
      </c>
      <c r="U117" s="0" t="str">
        <f aca="false">IF('Basis Options'!D122="NGI/CHI. GATE","""NGI/CHI. GATE""",TRIM('Basis Options'!D122))</f>
        <v>IF-TRANSCO/Z6</v>
      </c>
      <c r="V117" s="0" t="s">
        <v>624</v>
      </c>
      <c r="W117" s="0" t="s">
        <v>569</v>
      </c>
      <c r="X117" s="0" t="s">
        <v>624</v>
      </c>
      <c r="Y117" s="0" t="s">
        <v>627</v>
      </c>
      <c r="Z117" s="0" t="s">
        <v>629</v>
      </c>
      <c r="AA117" s="0" t="s">
        <v>624</v>
      </c>
      <c r="AB117" s="0" t="s">
        <v>132</v>
      </c>
      <c r="AC117" s="254" t="n">
        <f aca="false">'Basis Options'!H122</f>
        <v>-500000</v>
      </c>
      <c r="AD117" s="254" t="e">
        <f aca="false">'Basis Options'!W122</f>
        <v>#NAME?</v>
      </c>
      <c r="AE117" s="0" t="n">
        <v>0</v>
      </c>
      <c r="AF117" s="0" t="n">
        <v>0</v>
      </c>
      <c r="AG117" s="0" t="n">
        <v>0</v>
      </c>
      <c r="AH117" s="254" t="e">
        <f aca="false">'Basis Options'!CD122</f>
        <v>#NAME?</v>
      </c>
      <c r="AI117" s="0" t="n">
        <v>226</v>
      </c>
      <c r="AJ117" s="0" t="s">
        <v>630</v>
      </c>
      <c r="AK117" s="0" t="n">
        <v>0</v>
      </c>
      <c r="AL117" s="0" t="n">
        <v>0</v>
      </c>
      <c r="AM117" s="0" t="n">
        <v>0</v>
      </c>
    </row>
    <row r="118" customFormat="false" ht="12.75" hidden="false" customHeight="false" outlineLevel="0" collapsed="false">
      <c r="A118" s="0" t="s">
        <v>621</v>
      </c>
      <c r="B118" s="0" t="str">
        <f aca="false">'Basis Options'!C123</f>
        <v>NF5550.1</v>
      </c>
      <c r="C118" s="0" t="s">
        <v>622</v>
      </c>
      <c r="D118" s="0" t="s">
        <v>623</v>
      </c>
      <c r="E118" s="0" t="s">
        <v>131</v>
      </c>
      <c r="F118" s="0" t="str">
        <f aca="false">'Basis Options'!A123</f>
        <v>ELPASMER</v>
      </c>
      <c r="G118" s="0" t="s">
        <v>628</v>
      </c>
      <c r="H118" s="0" t="s">
        <v>625</v>
      </c>
      <c r="I118" s="0" t="s">
        <v>626</v>
      </c>
      <c r="J118" s="0" t="s">
        <v>627</v>
      </c>
      <c r="K118" s="475" t="n">
        <f aca="false">'Basis Options'!G123</f>
        <v>36951</v>
      </c>
      <c r="L118" s="254" t="e">
        <f aca="false">'Basis Options'!U123</f>
        <v>#NAME?</v>
      </c>
      <c r="M118" s="475" t="n">
        <f aca="false">'Basis Options'!Q123</f>
        <v>36949</v>
      </c>
      <c r="N118" s="0" t="str">
        <f aca="false">'Basis Options'!F123</f>
        <v>C</v>
      </c>
      <c r="O118" s="0" t="n">
        <f aca="false">'Basis Options'!I123</f>
        <v>0</v>
      </c>
      <c r="P118" s="0" t="n">
        <v>0</v>
      </c>
      <c r="Q118" s="0" t="n">
        <v>0</v>
      </c>
      <c r="R118" s="0" t="n">
        <v>0</v>
      </c>
      <c r="S118" s="0" t="n">
        <v>0</v>
      </c>
      <c r="T118" s="0" t="s">
        <v>624</v>
      </c>
      <c r="U118" s="0" t="str">
        <f aca="false">IF('Basis Options'!D123="NGI/CHI. GATE","""NGI/CHI. GATE""",TRIM('Basis Options'!D123))</f>
        <v>IF-NNG/VENT</v>
      </c>
      <c r="V118" s="0" t="s">
        <v>624</v>
      </c>
      <c r="W118" s="0" t="s">
        <v>569</v>
      </c>
      <c r="X118" s="0" t="s">
        <v>624</v>
      </c>
      <c r="Y118" s="0" t="s">
        <v>627</v>
      </c>
      <c r="Z118" s="0" t="s">
        <v>629</v>
      </c>
      <c r="AA118" s="0" t="s">
        <v>624</v>
      </c>
      <c r="AB118" s="0" t="s">
        <v>132</v>
      </c>
      <c r="AC118" s="254" t="n">
        <f aca="false">'Basis Options'!H123</f>
        <v>-1000000</v>
      </c>
      <c r="AD118" s="254" t="e">
        <f aca="false">'Basis Options'!W123</f>
        <v>#NAME?</v>
      </c>
      <c r="AE118" s="0" t="n">
        <v>0</v>
      </c>
      <c r="AF118" s="0" t="n">
        <v>0</v>
      </c>
      <c r="AG118" s="0" t="n">
        <v>0</v>
      </c>
      <c r="AH118" s="254" t="e">
        <f aca="false">'Basis Options'!CD123</f>
        <v>#NAME?</v>
      </c>
      <c r="AI118" s="0" t="n">
        <v>226</v>
      </c>
      <c r="AJ118" s="0" t="s">
        <v>630</v>
      </c>
      <c r="AK118" s="0" t="n">
        <v>0</v>
      </c>
      <c r="AL118" s="0" t="n">
        <v>0</v>
      </c>
      <c r="AM118" s="0" t="n">
        <v>0</v>
      </c>
    </row>
    <row r="119" customFormat="false" ht="12.75" hidden="false" customHeight="false" outlineLevel="0" collapsed="false">
      <c r="A119" s="0" t="s">
        <v>621</v>
      </c>
      <c r="B119" s="0" t="str">
        <f aca="false">'Basis Options'!C124</f>
        <v>NF5550.1</v>
      </c>
      <c r="C119" s="0" t="s">
        <v>622</v>
      </c>
      <c r="D119" s="0" t="s">
        <v>623</v>
      </c>
      <c r="E119" s="0" t="s">
        <v>131</v>
      </c>
      <c r="F119" s="0" t="str">
        <f aca="false">'Basis Options'!A124</f>
        <v>ELPASMER</v>
      </c>
      <c r="G119" s="0" t="s">
        <v>628</v>
      </c>
      <c r="H119" s="0" t="s">
        <v>625</v>
      </c>
      <c r="I119" s="0" t="s">
        <v>626</v>
      </c>
      <c r="J119" s="0" t="s">
        <v>627</v>
      </c>
      <c r="K119" s="475" t="n">
        <f aca="false">'Basis Options'!G124</f>
        <v>36923</v>
      </c>
      <c r="L119" s="254" t="e">
        <f aca="false">'Basis Options'!U124</f>
        <v>#NAME?</v>
      </c>
      <c r="M119" s="475" t="n">
        <f aca="false">'Basis Options'!Q124</f>
        <v>36921</v>
      </c>
      <c r="N119" s="0" t="str">
        <f aca="false">'Basis Options'!F124</f>
        <v>C</v>
      </c>
      <c r="O119" s="0" t="n">
        <f aca="false">'Basis Options'!I124</f>
        <v>0</v>
      </c>
      <c r="P119" s="0" t="n">
        <v>0</v>
      </c>
      <c r="Q119" s="0" t="n">
        <v>0</v>
      </c>
      <c r="R119" s="0" t="n">
        <v>0</v>
      </c>
      <c r="S119" s="0" t="n">
        <v>0</v>
      </c>
      <c r="T119" s="0" t="s">
        <v>624</v>
      </c>
      <c r="U119" s="0" t="str">
        <f aca="false">IF('Basis Options'!D124="NGI/CHI. GATE","""NGI/CHI. GATE""",TRIM('Basis Options'!D124))</f>
        <v>IF-NNG/VENT</v>
      </c>
      <c r="V119" s="0" t="s">
        <v>624</v>
      </c>
      <c r="W119" s="0" t="s">
        <v>569</v>
      </c>
      <c r="X119" s="0" t="s">
        <v>624</v>
      </c>
      <c r="Y119" s="0" t="s">
        <v>627</v>
      </c>
      <c r="Z119" s="0" t="s">
        <v>629</v>
      </c>
      <c r="AA119" s="0" t="s">
        <v>624</v>
      </c>
      <c r="AB119" s="0" t="s">
        <v>132</v>
      </c>
      <c r="AC119" s="254" t="n">
        <f aca="false">'Basis Options'!H124</f>
        <v>-1000000</v>
      </c>
      <c r="AD119" s="254" t="e">
        <f aca="false">'Basis Options'!W124</f>
        <v>#NAME?</v>
      </c>
      <c r="AE119" s="0" t="n">
        <v>0</v>
      </c>
      <c r="AF119" s="0" t="n">
        <v>0</v>
      </c>
      <c r="AG119" s="0" t="n">
        <v>0</v>
      </c>
      <c r="AH119" s="254" t="e">
        <f aca="false">'Basis Options'!CD124</f>
        <v>#NAME?</v>
      </c>
      <c r="AI119" s="0" t="n">
        <v>226</v>
      </c>
      <c r="AJ119" s="0" t="s">
        <v>630</v>
      </c>
      <c r="AK119" s="0" t="n">
        <v>0</v>
      </c>
      <c r="AL119" s="0" t="n">
        <v>0</v>
      </c>
      <c r="AM119" s="0" t="n">
        <v>0</v>
      </c>
    </row>
    <row r="120" customFormat="false" ht="12.75" hidden="false" customHeight="false" outlineLevel="0" collapsed="false">
      <c r="A120" s="0" t="s">
        <v>621</v>
      </c>
      <c r="B120" s="0" t="str">
        <f aca="false">'Basis Options'!C125</f>
        <v>NF5550.1</v>
      </c>
      <c r="C120" s="0" t="s">
        <v>622</v>
      </c>
      <c r="D120" s="0" t="s">
        <v>623</v>
      </c>
      <c r="E120" s="0" t="s">
        <v>131</v>
      </c>
      <c r="F120" s="0" t="str">
        <f aca="false">'Basis Options'!A125</f>
        <v>ELPASMER</v>
      </c>
      <c r="G120" s="0" t="s">
        <v>628</v>
      </c>
      <c r="H120" s="0" t="s">
        <v>625</v>
      </c>
      <c r="I120" s="0" t="s">
        <v>626</v>
      </c>
      <c r="J120" s="0" t="s">
        <v>627</v>
      </c>
      <c r="K120" s="475" t="n">
        <f aca="false">'Basis Options'!G125</f>
        <v>36892</v>
      </c>
      <c r="L120" s="254" t="e">
        <f aca="false">'Basis Options'!U125</f>
        <v>#NAME?</v>
      </c>
      <c r="M120" s="475" t="n">
        <f aca="false">'Basis Options'!Q125</f>
        <v>36888</v>
      </c>
      <c r="N120" s="0" t="str">
        <f aca="false">'Basis Options'!F125</f>
        <v>C</v>
      </c>
      <c r="O120" s="0" t="n">
        <f aca="false">'Basis Options'!I125</f>
        <v>0</v>
      </c>
      <c r="P120" s="0" t="n">
        <v>0</v>
      </c>
      <c r="Q120" s="0" t="n">
        <v>0</v>
      </c>
      <c r="R120" s="0" t="n">
        <v>0</v>
      </c>
      <c r="S120" s="0" t="n">
        <v>0</v>
      </c>
      <c r="T120" s="0" t="s">
        <v>624</v>
      </c>
      <c r="U120" s="0" t="str">
        <f aca="false">IF('Basis Options'!D125="NGI/CHI. GATE","""NGI/CHI. GATE""",TRIM('Basis Options'!D125))</f>
        <v>IF-NNG/VENT</v>
      </c>
      <c r="V120" s="0" t="s">
        <v>624</v>
      </c>
      <c r="W120" s="0" t="s">
        <v>569</v>
      </c>
      <c r="X120" s="0" t="s">
        <v>624</v>
      </c>
      <c r="Y120" s="0" t="s">
        <v>627</v>
      </c>
      <c r="Z120" s="0" t="s">
        <v>629</v>
      </c>
      <c r="AA120" s="0" t="s">
        <v>624</v>
      </c>
      <c r="AB120" s="0" t="s">
        <v>132</v>
      </c>
      <c r="AC120" s="254" t="n">
        <f aca="false">'Basis Options'!H125</f>
        <v>-1000000</v>
      </c>
      <c r="AD120" s="254" t="e">
        <f aca="false">'Basis Options'!W125</f>
        <v>#NAME?</v>
      </c>
      <c r="AE120" s="0" t="n">
        <v>0</v>
      </c>
      <c r="AF120" s="0" t="n">
        <v>0</v>
      </c>
      <c r="AG120" s="0" t="n">
        <v>0</v>
      </c>
      <c r="AH120" s="254" t="e">
        <f aca="false">'Basis Options'!CD125</f>
        <v>#NAME?</v>
      </c>
      <c r="AI120" s="0" t="n">
        <v>226</v>
      </c>
      <c r="AJ120" s="0" t="s">
        <v>630</v>
      </c>
      <c r="AK120" s="0" t="n">
        <v>0</v>
      </c>
      <c r="AL120" s="0" t="n">
        <v>0</v>
      </c>
      <c r="AM120" s="0" t="n">
        <v>0</v>
      </c>
    </row>
    <row r="121" customFormat="false" ht="12.75" hidden="false" customHeight="false" outlineLevel="0" collapsed="false">
      <c r="A121" s="0" t="s">
        <v>621</v>
      </c>
      <c r="B121" s="0" t="str">
        <f aca="false">'Basis Options'!C126</f>
        <v>NF5550.1</v>
      </c>
      <c r="C121" s="0" t="s">
        <v>622</v>
      </c>
      <c r="D121" s="0" t="s">
        <v>623</v>
      </c>
      <c r="E121" s="0" t="s">
        <v>131</v>
      </c>
      <c r="F121" s="0" t="str">
        <f aca="false">'Basis Options'!A126</f>
        <v>ELPASMER</v>
      </c>
      <c r="G121" s="0" t="s">
        <v>628</v>
      </c>
      <c r="H121" s="0" t="s">
        <v>625</v>
      </c>
      <c r="I121" s="0" t="s">
        <v>626</v>
      </c>
      <c r="J121" s="0" t="s">
        <v>627</v>
      </c>
      <c r="K121" s="475" t="n">
        <f aca="false">'Basis Options'!G126</f>
        <v>36861</v>
      </c>
      <c r="L121" s="254" t="e">
        <f aca="false">'Basis Options'!U126</f>
        <v>#NAME?</v>
      </c>
      <c r="M121" s="475" t="n">
        <f aca="false">'Basis Options'!Q126</f>
        <v>36859</v>
      </c>
      <c r="N121" s="0" t="str">
        <f aca="false">'Basis Options'!F126</f>
        <v>C</v>
      </c>
      <c r="O121" s="0" t="n">
        <f aca="false">'Basis Options'!I126</f>
        <v>0</v>
      </c>
      <c r="P121" s="0" t="n">
        <v>0</v>
      </c>
      <c r="Q121" s="0" t="n">
        <v>0</v>
      </c>
      <c r="R121" s="0" t="n">
        <v>0</v>
      </c>
      <c r="S121" s="0" t="n">
        <v>0</v>
      </c>
      <c r="T121" s="0" t="s">
        <v>624</v>
      </c>
      <c r="U121" s="0" t="str">
        <f aca="false">IF('Basis Options'!D126="NGI/CHI. GATE","""NGI/CHI. GATE""",TRIM('Basis Options'!D126))</f>
        <v>IF-NNG/VENT</v>
      </c>
      <c r="V121" s="0" t="s">
        <v>624</v>
      </c>
      <c r="W121" s="0" t="s">
        <v>569</v>
      </c>
      <c r="X121" s="0" t="s">
        <v>624</v>
      </c>
      <c r="Y121" s="0" t="s">
        <v>627</v>
      </c>
      <c r="Z121" s="0" t="s">
        <v>629</v>
      </c>
      <c r="AA121" s="0" t="s">
        <v>624</v>
      </c>
      <c r="AB121" s="0" t="s">
        <v>132</v>
      </c>
      <c r="AC121" s="254" t="n">
        <f aca="false">'Basis Options'!H126</f>
        <v>-1000000</v>
      </c>
      <c r="AD121" s="254" t="e">
        <f aca="false">'Basis Options'!W126</f>
        <v>#NAME?</v>
      </c>
      <c r="AE121" s="0" t="n">
        <v>0</v>
      </c>
      <c r="AF121" s="0" t="n">
        <v>0</v>
      </c>
      <c r="AG121" s="0" t="n">
        <v>0</v>
      </c>
      <c r="AH121" s="254" t="e">
        <f aca="false">'Basis Options'!CD126</f>
        <v>#NAME?</v>
      </c>
      <c r="AI121" s="0" t="n">
        <v>226</v>
      </c>
      <c r="AJ121" s="0" t="s">
        <v>630</v>
      </c>
      <c r="AK121" s="0" t="n">
        <v>0</v>
      </c>
      <c r="AL121" s="0" t="n">
        <v>0</v>
      </c>
      <c r="AM121" s="0" t="n">
        <v>0</v>
      </c>
    </row>
    <row r="122" customFormat="false" ht="12.75" hidden="false" customHeight="false" outlineLevel="0" collapsed="false">
      <c r="A122" s="0" t="s">
        <v>621</v>
      </c>
      <c r="B122" s="0" t="str">
        <f aca="false">'Basis Options'!C127</f>
        <v>NF5550.1</v>
      </c>
      <c r="C122" s="0" t="s">
        <v>622</v>
      </c>
      <c r="D122" s="0" t="s">
        <v>623</v>
      </c>
      <c r="E122" s="0" t="s">
        <v>131</v>
      </c>
      <c r="F122" s="0" t="str">
        <f aca="false">'Basis Options'!A127</f>
        <v>ELPASMER</v>
      </c>
      <c r="G122" s="0" t="s">
        <v>628</v>
      </c>
      <c r="H122" s="0" t="s">
        <v>625</v>
      </c>
      <c r="I122" s="0" t="s">
        <v>626</v>
      </c>
      <c r="J122" s="0" t="s">
        <v>627</v>
      </c>
      <c r="K122" s="475" t="n">
        <f aca="false">'Basis Options'!G127</f>
        <v>36831</v>
      </c>
      <c r="L122" s="254" t="e">
        <f aca="false">'Basis Options'!U127</f>
        <v>#NAME?</v>
      </c>
      <c r="M122" s="475" t="n">
        <f aca="false">'Basis Options'!Q127</f>
        <v>36829</v>
      </c>
      <c r="N122" s="0" t="str">
        <f aca="false">'Basis Options'!F127</f>
        <v>C</v>
      </c>
      <c r="O122" s="0" t="n">
        <f aca="false">'Basis Options'!I127</f>
        <v>0</v>
      </c>
      <c r="P122" s="0" t="n">
        <v>0</v>
      </c>
      <c r="Q122" s="0" t="n">
        <v>0</v>
      </c>
      <c r="R122" s="0" t="n">
        <v>0</v>
      </c>
      <c r="S122" s="0" t="n">
        <v>0</v>
      </c>
      <c r="T122" s="0" t="s">
        <v>624</v>
      </c>
      <c r="U122" s="0" t="str">
        <f aca="false">IF('Basis Options'!D127="NGI/CHI. GATE","""NGI/CHI. GATE""",TRIM('Basis Options'!D127))</f>
        <v>IF-NNG/VENT</v>
      </c>
      <c r="V122" s="0" t="s">
        <v>624</v>
      </c>
      <c r="W122" s="0" t="s">
        <v>569</v>
      </c>
      <c r="X122" s="0" t="s">
        <v>624</v>
      </c>
      <c r="Y122" s="0" t="s">
        <v>627</v>
      </c>
      <c r="Z122" s="0" t="s">
        <v>629</v>
      </c>
      <c r="AA122" s="0" t="s">
        <v>624</v>
      </c>
      <c r="AB122" s="0" t="s">
        <v>132</v>
      </c>
      <c r="AC122" s="254" t="n">
        <f aca="false">'Basis Options'!H127</f>
        <v>-1000000</v>
      </c>
      <c r="AD122" s="254" t="e">
        <f aca="false">'Basis Options'!W127</f>
        <v>#NAME?</v>
      </c>
      <c r="AE122" s="0" t="n">
        <v>0</v>
      </c>
      <c r="AF122" s="0" t="n">
        <v>0</v>
      </c>
      <c r="AG122" s="0" t="n">
        <v>0</v>
      </c>
      <c r="AH122" s="254" t="e">
        <f aca="false">'Basis Options'!CD127</f>
        <v>#NAME?</v>
      </c>
      <c r="AI122" s="0" t="n">
        <v>226</v>
      </c>
      <c r="AJ122" s="0" t="s">
        <v>630</v>
      </c>
      <c r="AK122" s="0" t="n">
        <v>0</v>
      </c>
      <c r="AL122" s="0" t="n">
        <v>0</v>
      </c>
      <c r="AM122" s="0" t="n">
        <v>0</v>
      </c>
    </row>
    <row r="123" customFormat="false" ht="12.75" hidden="false" customHeight="false" outlineLevel="0" collapsed="false">
      <c r="A123" s="0" t="s">
        <v>621</v>
      </c>
      <c r="B123" s="0" t="str">
        <f aca="false">'Basis Options'!C128</f>
        <v>NF5550.1</v>
      </c>
      <c r="C123" s="0" t="s">
        <v>622</v>
      </c>
      <c r="D123" s="0" t="s">
        <v>623</v>
      </c>
      <c r="E123" s="0" t="s">
        <v>131</v>
      </c>
      <c r="F123" s="0" t="str">
        <f aca="false">'Basis Options'!A128</f>
        <v>ELPASMER</v>
      </c>
      <c r="G123" s="0" t="s">
        <v>628</v>
      </c>
      <c r="H123" s="0" t="s">
        <v>625</v>
      </c>
      <c r="I123" s="0" t="s">
        <v>626</v>
      </c>
      <c r="J123" s="0" t="s">
        <v>627</v>
      </c>
      <c r="K123" s="475" t="n">
        <f aca="false">'Basis Options'!G128</f>
        <v>36800</v>
      </c>
      <c r="L123" s="254" t="e">
        <f aca="false">'Basis Options'!U128</f>
        <v>#NAME?</v>
      </c>
      <c r="M123" s="475" t="n">
        <f aca="false">'Basis Options'!Q128</f>
        <v>36797</v>
      </c>
      <c r="N123" s="0" t="str">
        <f aca="false">'Basis Options'!F128</f>
        <v>C</v>
      </c>
      <c r="O123" s="0" t="n">
        <f aca="false">'Basis Options'!I128</f>
        <v>0</v>
      </c>
      <c r="P123" s="0" t="n">
        <v>0</v>
      </c>
      <c r="Q123" s="0" t="n">
        <v>0</v>
      </c>
      <c r="R123" s="0" t="n">
        <v>0</v>
      </c>
      <c r="S123" s="0" t="n">
        <v>0</v>
      </c>
      <c r="T123" s="0" t="s">
        <v>624</v>
      </c>
      <c r="U123" s="0" t="str">
        <f aca="false">IF('Basis Options'!D128="NGI/CHI. GATE","""NGI/CHI. GATE""",TRIM('Basis Options'!D128))</f>
        <v>IF-NNG/VENT</v>
      </c>
      <c r="V123" s="0" t="s">
        <v>624</v>
      </c>
      <c r="W123" s="0" t="s">
        <v>569</v>
      </c>
      <c r="X123" s="0" t="s">
        <v>624</v>
      </c>
      <c r="Y123" s="0" t="s">
        <v>627</v>
      </c>
      <c r="Z123" s="0" t="s">
        <v>629</v>
      </c>
      <c r="AA123" s="0" t="s">
        <v>624</v>
      </c>
      <c r="AB123" s="0" t="s">
        <v>132</v>
      </c>
      <c r="AC123" s="254" t="n">
        <f aca="false">'Basis Options'!H128</f>
        <v>-1000000</v>
      </c>
      <c r="AD123" s="254" t="e">
        <f aca="false">'Basis Options'!W128</f>
        <v>#NAME?</v>
      </c>
      <c r="AE123" s="0" t="n">
        <v>0</v>
      </c>
      <c r="AF123" s="0" t="n">
        <v>0</v>
      </c>
      <c r="AG123" s="0" t="n">
        <v>0</v>
      </c>
      <c r="AH123" s="254" t="e">
        <f aca="false">'Basis Options'!CD128</f>
        <v>#NAME?</v>
      </c>
      <c r="AI123" s="0" t="n">
        <v>226</v>
      </c>
      <c r="AJ123" s="0" t="s">
        <v>630</v>
      </c>
      <c r="AK123" s="0" t="n">
        <v>0</v>
      </c>
      <c r="AL123" s="0" t="n">
        <v>0</v>
      </c>
      <c r="AM123" s="0" t="n">
        <v>0</v>
      </c>
    </row>
    <row r="124" customFormat="false" ht="12.75" hidden="false" customHeight="false" outlineLevel="0" collapsed="false">
      <c r="A124" s="0" t="s">
        <v>621</v>
      </c>
      <c r="B124" s="0" t="str">
        <f aca="false">'Basis Options'!C129</f>
        <v>NF5550.1</v>
      </c>
      <c r="C124" s="0" t="s">
        <v>622</v>
      </c>
      <c r="D124" s="0" t="s">
        <v>623</v>
      </c>
      <c r="E124" s="0" t="s">
        <v>131</v>
      </c>
      <c r="F124" s="0" t="str">
        <f aca="false">'Basis Options'!A129</f>
        <v>ELPASMER</v>
      </c>
      <c r="G124" s="0" t="s">
        <v>628</v>
      </c>
      <c r="H124" s="0" t="s">
        <v>625</v>
      </c>
      <c r="I124" s="0" t="s">
        <v>626</v>
      </c>
      <c r="J124" s="0" t="s">
        <v>627</v>
      </c>
      <c r="K124" s="475" t="n">
        <f aca="false">'Basis Options'!G129</f>
        <v>36770</v>
      </c>
      <c r="L124" s="254" t="e">
        <f aca="false">'Basis Options'!U129</f>
        <v>#NAME?</v>
      </c>
      <c r="M124" s="475" t="n">
        <f aca="false">'Basis Options'!Q129</f>
        <v>36768</v>
      </c>
      <c r="N124" s="0" t="str">
        <f aca="false">'Basis Options'!F129</f>
        <v>C</v>
      </c>
      <c r="O124" s="0" t="n">
        <f aca="false">'Basis Options'!I129</f>
        <v>0</v>
      </c>
      <c r="P124" s="0" t="n">
        <v>0</v>
      </c>
      <c r="Q124" s="0" t="n">
        <v>0</v>
      </c>
      <c r="R124" s="0" t="n">
        <v>0</v>
      </c>
      <c r="S124" s="0" t="n">
        <v>0</v>
      </c>
      <c r="T124" s="0" t="s">
        <v>624</v>
      </c>
      <c r="U124" s="0" t="str">
        <f aca="false">IF('Basis Options'!D129="NGI/CHI. GATE","""NGI/CHI. GATE""",TRIM('Basis Options'!D129))</f>
        <v>IF-NNG/VENT</v>
      </c>
      <c r="V124" s="0" t="s">
        <v>624</v>
      </c>
      <c r="W124" s="0" t="s">
        <v>569</v>
      </c>
      <c r="X124" s="0" t="s">
        <v>624</v>
      </c>
      <c r="Y124" s="0" t="s">
        <v>627</v>
      </c>
      <c r="Z124" s="0" t="s">
        <v>629</v>
      </c>
      <c r="AA124" s="0" t="s">
        <v>624</v>
      </c>
      <c r="AB124" s="0" t="s">
        <v>132</v>
      </c>
      <c r="AC124" s="254" t="n">
        <f aca="false">'Basis Options'!H129</f>
        <v>-1000000</v>
      </c>
      <c r="AD124" s="254" t="e">
        <f aca="false">'Basis Options'!W129</f>
        <v>#NAME?</v>
      </c>
      <c r="AE124" s="0" t="n">
        <v>0</v>
      </c>
      <c r="AF124" s="0" t="n">
        <v>0</v>
      </c>
      <c r="AG124" s="0" t="n">
        <v>0</v>
      </c>
      <c r="AH124" s="254" t="e">
        <f aca="false">'Basis Options'!CD129</f>
        <v>#NAME?</v>
      </c>
      <c r="AI124" s="0" t="n">
        <v>226</v>
      </c>
      <c r="AJ124" s="0" t="s">
        <v>630</v>
      </c>
      <c r="AK124" s="0" t="n">
        <v>0</v>
      </c>
      <c r="AL124" s="0" t="n">
        <v>0</v>
      </c>
      <c r="AM124" s="0" t="n">
        <v>0</v>
      </c>
    </row>
    <row r="125" customFormat="false" ht="12.75" hidden="false" customHeight="false" outlineLevel="0" collapsed="false">
      <c r="A125" s="0" t="s">
        <v>621</v>
      </c>
      <c r="B125" s="0" t="str">
        <f aca="false">'Basis Options'!C130</f>
        <v>NF5550.2</v>
      </c>
      <c r="C125" s="0" t="s">
        <v>622</v>
      </c>
      <c r="D125" s="0" t="s">
        <v>623</v>
      </c>
      <c r="E125" s="0" t="s">
        <v>131</v>
      </c>
      <c r="F125" s="0" t="str">
        <f aca="false">'Basis Options'!A130</f>
        <v>ELPASMER</v>
      </c>
      <c r="G125" s="0" t="s">
        <v>628</v>
      </c>
      <c r="H125" s="0" t="s">
        <v>625</v>
      </c>
      <c r="I125" s="0" t="s">
        <v>626</v>
      </c>
      <c r="J125" s="0" t="s">
        <v>627</v>
      </c>
      <c r="K125" s="475" t="n">
        <f aca="false">'Basis Options'!G130</f>
        <v>36951</v>
      </c>
      <c r="L125" s="254" t="e">
        <f aca="false">'Basis Options'!U130</f>
        <v>#NAME?</v>
      </c>
      <c r="M125" s="475" t="n">
        <f aca="false">'Basis Options'!Q130</f>
        <v>36949</v>
      </c>
      <c r="N125" s="0" t="str">
        <f aca="false">'Basis Options'!F130</f>
        <v>P</v>
      </c>
      <c r="O125" s="0" t="n">
        <f aca="false">'Basis Options'!I130</f>
        <v>0</v>
      </c>
      <c r="P125" s="0" t="n">
        <v>0</v>
      </c>
      <c r="Q125" s="0" t="n">
        <v>0</v>
      </c>
      <c r="R125" s="0" t="n">
        <v>0</v>
      </c>
      <c r="S125" s="0" t="n">
        <v>0</v>
      </c>
      <c r="T125" s="0" t="s">
        <v>624</v>
      </c>
      <c r="U125" s="0" t="str">
        <f aca="false">IF('Basis Options'!D130="NGI/CHI. GATE","""NGI/CHI. GATE""",TRIM('Basis Options'!D130))</f>
        <v>IF-NNG/VENT</v>
      </c>
      <c r="V125" s="0" t="s">
        <v>624</v>
      </c>
      <c r="W125" s="0" t="s">
        <v>569</v>
      </c>
      <c r="X125" s="0" t="s">
        <v>624</v>
      </c>
      <c r="Y125" s="0" t="s">
        <v>627</v>
      </c>
      <c r="Z125" s="0" t="s">
        <v>629</v>
      </c>
      <c r="AA125" s="0" t="s">
        <v>624</v>
      </c>
      <c r="AB125" s="0" t="s">
        <v>132</v>
      </c>
      <c r="AC125" s="254" t="n">
        <f aca="false">'Basis Options'!H130</f>
        <v>-1000000</v>
      </c>
      <c r="AD125" s="254" t="e">
        <f aca="false">'Basis Options'!W130</f>
        <v>#NAME?</v>
      </c>
      <c r="AE125" s="0" t="n">
        <v>0</v>
      </c>
      <c r="AF125" s="0" t="n">
        <v>0</v>
      </c>
      <c r="AG125" s="0" t="n">
        <v>0</v>
      </c>
      <c r="AH125" s="254" t="e">
        <f aca="false">'Basis Options'!CD130</f>
        <v>#NAME?</v>
      </c>
      <c r="AI125" s="0" t="n">
        <v>226</v>
      </c>
      <c r="AJ125" s="0" t="s">
        <v>630</v>
      </c>
      <c r="AK125" s="0" t="n">
        <v>0</v>
      </c>
      <c r="AL125" s="0" t="n">
        <v>0</v>
      </c>
      <c r="AM125" s="0" t="n">
        <v>0</v>
      </c>
    </row>
    <row r="126" customFormat="false" ht="12.75" hidden="false" customHeight="false" outlineLevel="0" collapsed="false">
      <c r="A126" s="0" t="s">
        <v>621</v>
      </c>
      <c r="B126" s="0" t="str">
        <f aca="false">'Basis Options'!C131</f>
        <v>NF5550.2</v>
      </c>
      <c r="C126" s="0" t="s">
        <v>622</v>
      </c>
      <c r="D126" s="0" t="s">
        <v>623</v>
      </c>
      <c r="E126" s="0" t="s">
        <v>131</v>
      </c>
      <c r="F126" s="0" t="str">
        <f aca="false">'Basis Options'!A131</f>
        <v>ELPASMER</v>
      </c>
      <c r="G126" s="0" t="s">
        <v>628</v>
      </c>
      <c r="H126" s="0" t="s">
        <v>625</v>
      </c>
      <c r="I126" s="0" t="s">
        <v>626</v>
      </c>
      <c r="J126" s="0" t="s">
        <v>627</v>
      </c>
      <c r="K126" s="475" t="n">
        <f aca="false">'Basis Options'!G131</f>
        <v>36923</v>
      </c>
      <c r="L126" s="254" t="e">
        <f aca="false">'Basis Options'!U131</f>
        <v>#NAME?</v>
      </c>
      <c r="M126" s="475" t="n">
        <f aca="false">'Basis Options'!Q131</f>
        <v>36921</v>
      </c>
      <c r="N126" s="0" t="str">
        <f aca="false">'Basis Options'!F131</f>
        <v>P</v>
      </c>
      <c r="O126" s="0" t="n">
        <f aca="false">'Basis Options'!I131</f>
        <v>0</v>
      </c>
      <c r="P126" s="0" t="n">
        <v>0</v>
      </c>
      <c r="Q126" s="0" t="n">
        <v>0</v>
      </c>
      <c r="R126" s="0" t="n">
        <v>0</v>
      </c>
      <c r="S126" s="0" t="n">
        <v>0</v>
      </c>
      <c r="T126" s="0" t="s">
        <v>624</v>
      </c>
      <c r="U126" s="0" t="str">
        <f aca="false">IF('Basis Options'!D131="NGI/CHI. GATE","""NGI/CHI. GATE""",TRIM('Basis Options'!D131))</f>
        <v>IF-NNG/VENT</v>
      </c>
      <c r="V126" s="0" t="s">
        <v>624</v>
      </c>
      <c r="W126" s="0" t="s">
        <v>569</v>
      </c>
      <c r="X126" s="0" t="s">
        <v>624</v>
      </c>
      <c r="Y126" s="0" t="s">
        <v>627</v>
      </c>
      <c r="Z126" s="0" t="s">
        <v>629</v>
      </c>
      <c r="AA126" s="0" t="s">
        <v>624</v>
      </c>
      <c r="AB126" s="0" t="s">
        <v>132</v>
      </c>
      <c r="AC126" s="254" t="n">
        <f aca="false">'Basis Options'!H131</f>
        <v>-1000000</v>
      </c>
      <c r="AD126" s="254" t="e">
        <f aca="false">'Basis Options'!W131</f>
        <v>#NAME?</v>
      </c>
      <c r="AE126" s="0" t="n">
        <v>0</v>
      </c>
      <c r="AF126" s="0" t="n">
        <v>0</v>
      </c>
      <c r="AG126" s="0" t="n">
        <v>0</v>
      </c>
      <c r="AH126" s="254" t="e">
        <f aca="false">'Basis Options'!CD131</f>
        <v>#NAME?</v>
      </c>
      <c r="AI126" s="0" t="n">
        <v>226</v>
      </c>
      <c r="AJ126" s="0" t="s">
        <v>630</v>
      </c>
      <c r="AK126" s="0" t="n">
        <v>0</v>
      </c>
      <c r="AL126" s="0" t="n">
        <v>0</v>
      </c>
      <c r="AM126" s="0" t="n">
        <v>0</v>
      </c>
    </row>
    <row r="127" customFormat="false" ht="12.75" hidden="false" customHeight="false" outlineLevel="0" collapsed="false">
      <c r="A127" s="0" t="s">
        <v>621</v>
      </c>
      <c r="B127" s="0" t="str">
        <f aca="false">'Basis Options'!C132</f>
        <v>NF5550.2</v>
      </c>
      <c r="C127" s="0" t="s">
        <v>622</v>
      </c>
      <c r="D127" s="0" t="s">
        <v>623</v>
      </c>
      <c r="E127" s="0" t="s">
        <v>131</v>
      </c>
      <c r="F127" s="0" t="str">
        <f aca="false">'Basis Options'!A132</f>
        <v>ELPASMER</v>
      </c>
      <c r="G127" s="0" t="s">
        <v>628</v>
      </c>
      <c r="H127" s="0" t="s">
        <v>625</v>
      </c>
      <c r="I127" s="0" t="s">
        <v>626</v>
      </c>
      <c r="J127" s="0" t="s">
        <v>627</v>
      </c>
      <c r="K127" s="475" t="n">
        <f aca="false">'Basis Options'!G132</f>
        <v>36892</v>
      </c>
      <c r="L127" s="254" t="e">
        <f aca="false">'Basis Options'!U132</f>
        <v>#NAME?</v>
      </c>
      <c r="M127" s="475" t="n">
        <f aca="false">'Basis Options'!Q132</f>
        <v>36888</v>
      </c>
      <c r="N127" s="0" t="str">
        <f aca="false">'Basis Options'!F132</f>
        <v>P</v>
      </c>
      <c r="O127" s="0" t="n">
        <f aca="false">'Basis Options'!I132</f>
        <v>0</v>
      </c>
      <c r="P127" s="0" t="n">
        <v>0</v>
      </c>
      <c r="Q127" s="0" t="n">
        <v>0</v>
      </c>
      <c r="R127" s="0" t="n">
        <v>0</v>
      </c>
      <c r="S127" s="0" t="n">
        <v>0</v>
      </c>
      <c r="T127" s="0" t="s">
        <v>624</v>
      </c>
      <c r="U127" s="0" t="str">
        <f aca="false">IF('Basis Options'!D132="NGI/CHI. GATE","""NGI/CHI. GATE""",TRIM('Basis Options'!D132))</f>
        <v>IF-NNG/VENT</v>
      </c>
      <c r="V127" s="0" t="s">
        <v>624</v>
      </c>
      <c r="W127" s="0" t="s">
        <v>569</v>
      </c>
      <c r="X127" s="0" t="s">
        <v>624</v>
      </c>
      <c r="Y127" s="0" t="s">
        <v>627</v>
      </c>
      <c r="Z127" s="0" t="s">
        <v>629</v>
      </c>
      <c r="AA127" s="0" t="s">
        <v>624</v>
      </c>
      <c r="AB127" s="0" t="s">
        <v>132</v>
      </c>
      <c r="AC127" s="254" t="n">
        <f aca="false">'Basis Options'!H132</f>
        <v>-1000000</v>
      </c>
      <c r="AD127" s="254" t="e">
        <f aca="false">'Basis Options'!W132</f>
        <v>#NAME?</v>
      </c>
      <c r="AE127" s="0" t="n">
        <v>0</v>
      </c>
      <c r="AF127" s="0" t="n">
        <v>0</v>
      </c>
      <c r="AG127" s="0" t="n">
        <v>0</v>
      </c>
      <c r="AH127" s="254" t="e">
        <f aca="false">'Basis Options'!CD132</f>
        <v>#NAME?</v>
      </c>
      <c r="AI127" s="0" t="n">
        <v>226</v>
      </c>
      <c r="AJ127" s="0" t="s">
        <v>630</v>
      </c>
      <c r="AK127" s="0" t="n">
        <v>0</v>
      </c>
      <c r="AL127" s="0" t="n">
        <v>0</v>
      </c>
      <c r="AM127" s="0" t="n">
        <v>0</v>
      </c>
    </row>
    <row r="128" customFormat="false" ht="12.75" hidden="false" customHeight="false" outlineLevel="0" collapsed="false">
      <c r="A128" s="0" t="s">
        <v>621</v>
      </c>
      <c r="B128" s="0" t="str">
        <f aca="false">'Basis Options'!C133</f>
        <v>NF5550.2</v>
      </c>
      <c r="C128" s="0" t="s">
        <v>622</v>
      </c>
      <c r="D128" s="0" t="s">
        <v>623</v>
      </c>
      <c r="E128" s="0" t="s">
        <v>131</v>
      </c>
      <c r="F128" s="0" t="str">
        <f aca="false">'Basis Options'!A133</f>
        <v>ELPASMER</v>
      </c>
      <c r="G128" s="0" t="s">
        <v>628</v>
      </c>
      <c r="H128" s="0" t="s">
        <v>625</v>
      </c>
      <c r="I128" s="0" t="s">
        <v>626</v>
      </c>
      <c r="J128" s="0" t="s">
        <v>627</v>
      </c>
      <c r="K128" s="475" t="n">
        <f aca="false">'Basis Options'!G133</f>
        <v>36861</v>
      </c>
      <c r="L128" s="254" t="e">
        <f aca="false">'Basis Options'!U133</f>
        <v>#NAME?</v>
      </c>
      <c r="M128" s="475" t="n">
        <f aca="false">'Basis Options'!Q133</f>
        <v>36859</v>
      </c>
      <c r="N128" s="0" t="str">
        <f aca="false">'Basis Options'!F133</f>
        <v>P</v>
      </c>
      <c r="O128" s="0" t="n">
        <f aca="false">'Basis Options'!I133</f>
        <v>0</v>
      </c>
      <c r="P128" s="0" t="n">
        <v>0</v>
      </c>
      <c r="Q128" s="0" t="n">
        <v>0</v>
      </c>
      <c r="R128" s="0" t="n">
        <v>0</v>
      </c>
      <c r="S128" s="0" t="n">
        <v>0</v>
      </c>
      <c r="T128" s="0" t="s">
        <v>624</v>
      </c>
      <c r="U128" s="0" t="str">
        <f aca="false">IF('Basis Options'!D133="NGI/CHI. GATE","""NGI/CHI. GATE""",TRIM('Basis Options'!D133))</f>
        <v>IF-NNG/VENT</v>
      </c>
      <c r="V128" s="0" t="s">
        <v>624</v>
      </c>
      <c r="W128" s="0" t="s">
        <v>569</v>
      </c>
      <c r="X128" s="0" t="s">
        <v>624</v>
      </c>
      <c r="Y128" s="0" t="s">
        <v>627</v>
      </c>
      <c r="Z128" s="0" t="s">
        <v>629</v>
      </c>
      <c r="AA128" s="0" t="s">
        <v>624</v>
      </c>
      <c r="AB128" s="0" t="s">
        <v>132</v>
      </c>
      <c r="AC128" s="254" t="n">
        <f aca="false">'Basis Options'!H133</f>
        <v>-1000000</v>
      </c>
      <c r="AD128" s="254" t="e">
        <f aca="false">'Basis Options'!W133</f>
        <v>#NAME?</v>
      </c>
      <c r="AE128" s="0" t="n">
        <v>0</v>
      </c>
      <c r="AF128" s="0" t="n">
        <v>0</v>
      </c>
      <c r="AG128" s="0" t="n">
        <v>0</v>
      </c>
      <c r="AH128" s="254" t="e">
        <f aca="false">'Basis Options'!CD133</f>
        <v>#NAME?</v>
      </c>
      <c r="AI128" s="0" t="n">
        <v>226</v>
      </c>
      <c r="AJ128" s="0" t="s">
        <v>630</v>
      </c>
      <c r="AK128" s="0" t="n">
        <v>0</v>
      </c>
      <c r="AL128" s="0" t="n">
        <v>0</v>
      </c>
      <c r="AM128" s="0" t="n">
        <v>0</v>
      </c>
    </row>
    <row r="129" customFormat="false" ht="12.75" hidden="false" customHeight="false" outlineLevel="0" collapsed="false">
      <c r="A129" s="0" t="s">
        <v>621</v>
      </c>
      <c r="B129" s="0" t="str">
        <f aca="false">'Basis Options'!C134</f>
        <v>NF5550.2</v>
      </c>
      <c r="C129" s="0" t="s">
        <v>622</v>
      </c>
      <c r="D129" s="0" t="s">
        <v>623</v>
      </c>
      <c r="E129" s="0" t="s">
        <v>131</v>
      </c>
      <c r="F129" s="0" t="str">
        <f aca="false">'Basis Options'!A134</f>
        <v>ELPASMER</v>
      </c>
      <c r="G129" s="0" t="s">
        <v>628</v>
      </c>
      <c r="H129" s="0" t="s">
        <v>625</v>
      </c>
      <c r="I129" s="0" t="s">
        <v>626</v>
      </c>
      <c r="J129" s="0" t="s">
        <v>627</v>
      </c>
      <c r="K129" s="475" t="n">
        <f aca="false">'Basis Options'!G134</f>
        <v>36831</v>
      </c>
      <c r="L129" s="254" t="e">
        <f aca="false">'Basis Options'!U134</f>
        <v>#NAME?</v>
      </c>
      <c r="M129" s="475" t="n">
        <f aca="false">'Basis Options'!Q134</f>
        <v>36829</v>
      </c>
      <c r="N129" s="0" t="str">
        <f aca="false">'Basis Options'!F134</f>
        <v>P</v>
      </c>
      <c r="O129" s="0" t="n">
        <f aca="false">'Basis Options'!I134</f>
        <v>0</v>
      </c>
      <c r="P129" s="0" t="n">
        <v>0</v>
      </c>
      <c r="Q129" s="0" t="n">
        <v>0</v>
      </c>
      <c r="R129" s="0" t="n">
        <v>0</v>
      </c>
      <c r="S129" s="0" t="n">
        <v>0</v>
      </c>
      <c r="T129" s="0" t="s">
        <v>624</v>
      </c>
      <c r="U129" s="0" t="str">
        <f aca="false">IF('Basis Options'!D134="NGI/CHI. GATE","""NGI/CHI. GATE""",TRIM('Basis Options'!D134))</f>
        <v>IF-NNG/VENT</v>
      </c>
      <c r="V129" s="0" t="s">
        <v>624</v>
      </c>
      <c r="W129" s="0" t="s">
        <v>569</v>
      </c>
      <c r="X129" s="0" t="s">
        <v>624</v>
      </c>
      <c r="Y129" s="0" t="s">
        <v>627</v>
      </c>
      <c r="Z129" s="0" t="s">
        <v>629</v>
      </c>
      <c r="AA129" s="0" t="s">
        <v>624</v>
      </c>
      <c r="AB129" s="0" t="s">
        <v>132</v>
      </c>
      <c r="AC129" s="254" t="n">
        <f aca="false">'Basis Options'!H134</f>
        <v>-1000000</v>
      </c>
      <c r="AD129" s="254" t="e">
        <f aca="false">'Basis Options'!W134</f>
        <v>#NAME?</v>
      </c>
      <c r="AE129" s="0" t="n">
        <v>0</v>
      </c>
      <c r="AF129" s="0" t="n">
        <v>0</v>
      </c>
      <c r="AG129" s="0" t="n">
        <v>0</v>
      </c>
      <c r="AH129" s="254" t="e">
        <f aca="false">'Basis Options'!CD134</f>
        <v>#NAME?</v>
      </c>
      <c r="AI129" s="0" t="n">
        <v>226</v>
      </c>
      <c r="AJ129" s="0" t="s">
        <v>630</v>
      </c>
      <c r="AK129" s="0" t="n">
        <v>0</v>
      </c>
      <c r="AL129" s="0" t="n">
        <v>0</v>
      </c>
      <c r="AM129" s="0" t="n">
        <v>0</v>
      </c>
    </row>
    <row r="130" customFormat="false" ht="12.75" hidden="false" customHeight="false" outlineLevel="0" collapsed="false">
      <c r="A130" s="0" t="s">
        <v>621</v>
      </c>
      <c r="B130" s="0" t="str">
        <f aca="false">'Basis Options'!C135</f>
        <v>NF5550.2</v>
      </c>
      <c r="C130" s="0" t="s">
        <v>622</v>
      </c>
      <c r="D130" s="0" t="s">
        <v>623</v>
      </c>
      <c r="E130" s="0" t="s">
        <v>131</v>
      </c>
      <c r="F130" s="0" t="str">
        <f aca="false">'Basis Options'!A135</f>
        <v>ELPASMER</v>
      </c>
      <c r="G130" s="0" t="s">
        <v>628</v>
      </c>
      <c r="H130" s="0" t="s">
        <v>625</v>
      </c>
      <c r="I130" s="0" t="s">
        <v>626</v>
      </c>
      <c r="J130" s="0" t="s">
        <v>627</v>
      </c>
      <c r="K130" s="475" t="n">
        <f aca="false">'Basis Options'!G135</f>
        <v>36800</v>
      </c>
      <c r="L130" s="254" t="e">
        <f aca="false">'Basis Options'!U135</f>
        <v>#NAME?</v>
      </c>
      <c r="M130" s="475" t="n">
        <f aca="false">'Basis Options'!Q135</f>
        <v>36797</v>
      </c>
      <c r="N130" s="0" t="str">
        <f aca="false">'Basis Options'!F135</f>
        <v>P</v>
      </c>
      <c r="O130" s="0" t="n">
        <f aca="false">'Basis Options'!I135</f>
        <v>0</v>
      </c>
      <c r="P130" s="0" t="n">
        <v>0</v>
      </c>
      <c r="Q130" s="0" t="n">
        <v>0</v>
      </c>
      <c r="R130" s="0" t="n">
        <v>0</v>
      </c>
      <c r="S130" s="0" t="n">
        <v>0</v>
      </c>
      <c r="T130" s="0" t="s">
        <v>624</v>
      </c>
      <c r="U130" s="0" t="str">
        <f aca="false">IF('Basis Options'!D135="NGI/CHI. GATE","""NGI/CHI. GATE""",TRIM('Basis Options'!D135))</f>
        <v>IF-NNG/VENT</v>
      </c>
      <c r="V130" s="0" t="s">
        <v>624</v>
      </c>
      <c r="W130" s="0" t="s">
        <v>569</v>
      </c>
      <c r="X130" s="0" t="s">
        <v>624</v>
      </c>
      <c r="Y130" s="0" t="s">
        <v>627</v>
      </c>
      <c r="Z130" s="0" t="s">
        <v>629</v>
      </c>
      <c r="AA130" s="0" t="s">
        <v>624</v>
      </c>
      <c r="AB130" s="0" t="s">
        <v>132</v>
      </c>
      <c r="AC130" s="254" t="n">
        <f aca="false">'Basis Options'!H135</f>
        <v>-1000000</v>
      </c>
      <c r="AD130" s="254" t="e">
        <f aca="false">'Basis Options'!W135</f>
        <v>#NAME?</v>
      </c>
      <c r="AE130" s="0" t="n">
        <v>0</v>
      </c>
      <c r="AF130" s="0" t="n">
        <v>0</v>
      </c>
      <c r="AG130" s="0" t="n">
        <v>0</v>
      </c>
      <c r="AH130" s="254" t="e">
        <f aca="false">'Basis Options'!CD135</f>
        <v>#NAME?</v>
      </c>
      <c r="AI130" s="0" t="n">
        <v>226</v>
      </c>
      <c r="AJ130" s="0" t="s">
        <v>630</v>
      </c>
      <c r="AK130" s="0" t="n">
        <v>0</v>
      </c>
      <c r="AL130" s="0" t="n">
        <v>0</v>
      </c>
      <c r="AM130" s="0" t="n">
        <v>0</v>
      </c>
    </row>
    <row r="131" customFormat="false" ht="12.75" hidden="false" customHeight="false" outlineLevel="0" collapsed="false">
      <c r="A131" s="0" t="s">
        <v>621</v>
      </c>
      <c r="B131" s="0" t="str">
        <f aca="false">'Basis Options'!C136</f>
        <v>NF5550.2</v>
      </c>
      <c r="C131" s="0" t="s">
        <v>622</v>
      </c>
      <c r="D131" s="0" t="s">
        <v>623</v>
      </c>
      <c r="E131" s="0" t="s">
        <v>131</v>
      </c>
      <c r="F131" s="0" t="str">
        <f aca="false">'Basis Options'!A136</f>
        <v>ELPASMER</v>
      </c>
      <c r="G131" s="0" t="s">
        <v>628</v>
      </c>
      <c r="H131" s="0" t="s">
        <v>625</v>
      </c>
      <c r="I131" s="0" t="s">
        <v>626</v>
      </c>
      <c r="J131" s="0" t="s">
        <v>627</v>
      </c>
      <c r="K131" s="475" t="n">
        <f aca="false">'Basis Options'!G136</f>
        <v>36770</v>
      </c>
      <c r="L131" s="254" t="e">
        <f aca="false">'Basis Options'!U136</f>
        <v>#NAME?</v>
      </c>
      <c r="M131" s="475" t="n">
        <f aca="false">'Basis Options'!Q136</f>
        <v>36768</v>
      </c>
      <c r="N131" s="0" t="str">
        <f aca="false">'Basis Options'!F136</f>
        <v>P</v>
      </c>
      <c r="O131" s="0" t="n">
        <f aca="false">'Basis Options'!I136</f>
        <v>0</v>
      </c>
      <c r="P131" s="0" t="n">
        <v>0</v>
      </c>
      <c r="Q131" s="0" t="n">
        <v>0</v>
      </c>
      <c r="R131" s="0" t="n">
        <v>0</v>
      </c>
      <c r="S131" s="0" t="n">
        <v>0</v>
      </c>
      <c r="T131" s="0" t="s">
        <v>624</v>
      </c>
      <c r="U131" s="0" t="str">
        <f aca="false">IF('Basis Options'!D136="NGI/CHI. GATE","""NGI/CHI. GATE""",TRIM('Basis Options'!D136))</f>
        <v>IF-NNG/VENT</v>
      </c>
      <c r="V131" s="0" t="s">
        <v>624</v>
      </c>
      <c r="W131" s="0" t="s">
        <v>569</v>
      </c>
      <c r="X131" s="0" t="s">
        <v>624</v>
      </c>
      <c r="Y131" s="0" t="s">
        <v>627</v>
      </c>
      <c r="Z131" s="0" t="s">
        <v>629</v>
      </c>
      <c r="AA131" s="0" t="s">
        <v>624</v>
      </c>
      <c r="AB131" s="0" t="s">
        <v>132</v>
      </c>
      <c r="AC131" s="254" t="n">
        <f aca="false">'Basis Options'!H136</f>
        <v>-1000000</v>
      </c>
      <c r="AD131" s="254" t="e">
        <f aca="false">'Basis Options'!W136</f>
        <v>#NAME?</v>
      </c>
      <c r="AE131" s="0" t="n">
        <v>0</v>
      </c>
      <c r="AF131" s="0" t="n">
        <v>0</v>
      </c>
      <c r="AG131" s="0" t="n">
        <v>0</v>
      </c>
      <c r="AH131" s="254" t="e">
        <f aca="false">'Basis Options'!CD136</f>
        <v>#NAME?</v>
      </c>
      <c r="AI131" s="0" t="n">
        <v>226</v>
      </c>
      <c r="AJ131" s="0" t="s">
        <v>630</v>
      </c>
      <c r="AK131" s="0" t="n">
        <v>0</v>
      </c>
      <c r="AL131" s="0" t="n">
        <v>0</v>
      </c>
      <c r="AM131" s="0" t="n">
        <v>0</v>
      </c>
    </row>
    <row r="132" customFormat="false" ht="12.75" hidden="false" customHeight="false" outlineLevel="0" collapsed="false">
      <c r="A132" s="0" t="s">
        <v>621</v>
      </c>
      <c r="B132" s="0" t="str">
        <f aca="false">'Basis Options'!C137</f>
        <v>NF5563</v>
      </c>
      <c r="C132" s="0" t="s">
        <v>622</v>
      </c>
      <c r="D132" s="0" t="s">
        <v>623</v>
      </c>
      <c r="E132" s="0" t="s">
        <v>131</v>
      </c>
      <c r="F132" s="0" t="str">
        <f aca="false">'Basis Options'!A137</f>
        <v>DUKEENETRA</v>
      </c>
      <c r="G132" s="0" t="s">
        <v>628</v>
      </c>
      <c r="H132" s="0" t="s">
        <v>625</v>
      </c>
      <c r="I132" s="0" t="s">
        <v>626</v>
      </c>
      <c r="J132" s="0" t="s">
        <v>627</v>
      </c>
      <c r="K132" s="475" t="n">
        <f aca="false">'Basis Options'!G137</f>
        <v>36951</v>
      </c>
      <c r="L132" s="254" t="e">
        <f aca="false">'Basis Options'!U137</f>
        <v>#NAME?</v>
      </c>
      <c r="M132" s="475" t="n">
        <f aca="false">'Basis Options'!Q137</f>
        <v>36949</v>
      </c>
      <c r="N132" s="0" t="str">
        <f aca="false">'Basis Options'!F137</f>
        <v>C</v>
      </c>
      <c r="O132" s="0" t="n">
        <f aca="false">'Basis Options'!I137</f>
        <v>2.2</v>
      </c>
      <c r="P132" s="0" t="n">
        <v>0</v>
      </c>
      <c r="Q132" s="0" t="n">
        <v>0</v>
      </c>
      <c r="R132" s="0" t="n">
        <v>0</v>
      </c>
      <c r="S132" s="0" t="n">
        <v>0</v>
      </c>
      <c r="T132" s="0" t="s">
        <v>624</v>
      </c>
      <c r="U132" s="0" t="str">
        <f aca="false">IF('Basis Options'!D137="NGI/CHI. GATE","""NGI/CHI. GATE""",TRIM('Basis Options'!D137))</f>
        <v>IF-TRANSCO/Z6</v>
      </c>
      <c r="V132" s="0" t="s">
        <v>624</v>
      </c>
      <c r="W132" s="0" t="s">
        <v>569</v>
      </c>
      <c r="X132" s="0" t="s">
        <v>624</v>
      </c>
      <c r="Y132" s="0" t="s">
        <v>627</v>
      </c>
      <c r="Z132" s="0" t="s">
        <v>629</v>
      </c>
      <c r="AA132" s="0" t="s">
        <v>624</v>
      </c>
      <c r="AB132" s="0" t="s">
        <v>132</v>
      </c>
      <c r="AC132" s="254" t="n">
        <f aca="false">'Basis Options'!H137</f>
        <v>310000</v>
      </c>
      <c r="AD132" s="254" t="e">
        <f aca="false">'Basis Options'!W137</f>
        <v>#NAME?</v>
      </c>
      <c r="AE132" s="0" t="n">
        <v>0</v>
      </c>
      <c r="AF132" s="0" t="n">
        <v>0</v>
      </c>
      <c r="AG132" s="0" t="n">
        <v>0</v>
      </c>
      <c r="AH132" s="254" t="e">
        <f aca="false">'Basis Options'!CD137</f>
        <v>#NAME?</v>
      </c>
      <c r="AI132" s="0" t="n">
        <v>226</v>
      </c>
      <c r="AJ132" s="0" t="s">
        <v>630</v>
      </c>
      <c r="AK132" s="0" t="n">
        <v>0</v>
      </c>
      <c r="AL132" s="0" t="n">
        <v>0</v>
      </c>
      <c r="AM132" s="0" t="n">
        <v>0</v>
      </c>
    </row>
    <row r="133" customFormat="false" ht="12.75" hidden="false" customHeight="false" outlineLevel="0" collapsed="false">
      <c r="A133" s="0" t="s">
        <v>621</v>
      </c>
      <c r="B133" s="0" t="str">
        <f aca="false">'Basis Options'!C138</f>
        <v>NF5563</v>
      </c>
      <c r="C133" s="0" t="s">
        <v>622</v>
      </c>
      <c r="D133" s="0" t="s">
        <v>623</v>
      </c>
      <c r="E133" s="0" t="s">
        <v>131</v>
      </c>
      <c r="F133" s="0" t="str">
        <f aca="false">'Basis Options'!A138</f>
        <v>DUKEENETRA</v>
      </c>
      <c r="G133" s="0" t="s">
        <v>628</v>
      </c>
      <c r="H133" s="0" t="s">
        <v>625</v>
      </c>
      <c r="I133" s="0" t="s">
        <v>626</v>
      </c>
      <c r="J133" s="0" t="s">
        <v>627</v>
      </c>
      <c r="K133" s="475" t="n">
        <f aca="false">'Basis Options'!G138</f>
        <v>36923</v>
      </c>
      <c r="L133" s="254" t="e">
        <f aca="false">'Basis Options'!U138</f>
        <v>#NAME?</v>
      </c>
      <c r="M133" s="475" t="n">
        <f aca="false">'Basis Options'!Q138</f>
        <v>36921</v>
      </c>
      <c r="N133" s="0" t="str">
        <f aca="false">'Basis Options'!F138</f>
        <v>C</v>
      </c>
      <c r="O133" s="0" t="n">
        <f aca="false">'Basis Options'!I138</f>
        <v>2.2</v>
      </c>
      <c r="P133" s="0" t="n">
        <v>0</v>
      </c>
      <c r="Q133" s="0" t="n">
        <v>0</v>
      </c>
      <c r="R133" s="0" t="n">
        <v>0</v>
      </c>
      <c r="S133" s="0" t="n">
        <v>0</v>
      </c>
      <c r="T133" s="0" t="s">
        <v>624</v>
      </c>
      <c r="U133" s="0" t="str">
        <f aca="false">IF('Basis Options'!D138="NGI/CHI. GATE","""NGI/CHI. GATE""",TRIM('Basis Options'!D138))</f>
        <v>IF-TRANSCO/Z6</v>
      </c>
      <c r="V133" s="0" t="s">
        <v>624</v>
      </c>
      <c r="W133" s="0" t="s">
        <v>569</v>
      </c>
      <c r="X133" s="0" t="s">
        <v>624</v>
      </c>
      <c r="Y133" s="0" t="s">
        <v>627</v>
      </c>
      <c r="Z133" s="0" t="s">
        <v>629</v>
      </c>
      <c r="AA133" s="0" t="s">
        <v>624</v>
      </c>
      <c r="AB133" s="0" t="s">
        <v>132</v>
      </c>
      <c r="AC133" s="254" t="n">
        <f aca="false">'Basis Options'!H138</f>
        <v>280000</v>
      </c>
      <c r="AD133" s="254" t="e">
        <f aca="false">'Basis Options'!W138</f>
        <v>#NAME?</v>
      </c>
      <c r="AE133" s="0" t="n">
        <v>0</v>
      </c>
      <c r="AF133" s="0" t="n">
        <v>0</v>
      </c>
      <c r="AG133" s="0" t="n">
        <v>0</v>
      </c>
      <c r="AH133" s="254" t="e">
        <f aca="false">'Basis Options'!CD138</f>
        <v>#NAME?</v>
      </c>
      <c r="AI133" s="0" t="n">
        <v>226</v>
      </c>
      <c r="AJ133" s="0" t="s">
        <v>630</v>
      </c>
      <c r="AK133" s="0" t="n">
        <v>0</v>
      </c>
      <c r="AL133" s="0" t="n">
        <v>0</v>
      </c>
      <c r="AM133" s="0" t="n">
        <v>0</v>
      </c>
    </row>
    <row r="134" customFormat="false" ht="12.75" hidden="false" customHeight="false" outlineLevel="0" collapsed="false">
      <c r="A134" s="0" t="s">
        <v>621</v>
      </c>
      <c r="B134" s="0" t="str">
        <f aca="false">'Basis Options'!C139</f>
        <v>NF5563</v>
      </c>
      <c r="C134" s="0" t="s">
        <v>622</v>
      </c>
      <c r="D134" s="0" t="s">
        <v>623</v>
      </c>
      <c r="E134" s="0" t="s">
        <v>131</v>
      </c>
      <c r="F134" s="0" t="str">
        <f aca="false">'Basis Options'!A139</f>
        <v>DUKEENETRA</v>
      </c>
      <c r="G134" s="0" t="s">
        <v>628</v>
      </c>
      <c r="H134" s="0" t="s">
        <v>625</v>
      </c>
      <c r="I134" s="0" t="s">
        <v>626</v>
      </c>
      <c r="J134" s="0" t="s">
        <v>627</v>
      </c>
      <c r="K134" s="475" t="n">
        <f aca="false">'Basis Options'!G139</f>
        <v>36892</v>
      </c>
      <c r="L134" s="254" t="e">
        <f aca="false">'Basis Options'!U139</f>
        <v>#NAME?</v>
      </c>
      <c r="M134" s="475" t="n">
        <f aca="false">'Basis Options'!Q139</f>
        <v>36888</v>
      </c>
      <c r="N134" s="0" t="str">
        <f aca="false">'Basis Options'!F139</f>
        <v>C</v>
      </c>
      <c r="O134" s="0" t="n">
        <f aca="false">'Basis Options'!I139</f>
        <v>2.2</v>
      </c>
      <c r="P134" s="0" t="n">
        <v>0</v>
      </c>
      <c r="Q134" s="0" t="n">
        <v>0</v>
      </c>
      <c r="R134" s="0" t="n">
        <v>0</v>
      </c>
      <c r="S134" s="0" t="n">
        <v>0</v>
      </c>
      <c r="T134" s="0" t="s">
        <v>624</v>
      </c>
      <c r="U134" s="0" t="str">
        <f aca="false">IF('Basis Options'!D139="NGI/CHI. GATE","""NGI/CHI. GATE""",TRIM('Basis Options'!D139))</f>
        <v>IF-TRANSCO/Z6</v>
      </c>
      <c r="V134" s="0" t="s">
        <v>624</v>
      </c>
      <c r="W134" s="0" t="s">
        <v>569</v>
      </c>
      <c r="X134" s="0" t="s">
        <v>624</v>
      </c>
      <c r="Y134" s="0" t="s">
        <v>627</v>
      </c>
      <c r="Z134" s="0" t="s">
        <v>629</v>
      </c>
      <c r="AA134" s="0" t="s">
        <v>624</v>
      </c>
      <c r="AB134" s="0" t="s">
        <v>132</v>
      </c>
      <c r="AC134" s="254" t="n">
        <f aca="false">'Basis Options'!H139</f>
        <v>310000</v>
      </c>
      <c r="AD134" s="254" t="e">
        <f aca="false">'Basis Options'!W139</f>
        <v>#NAME?</v>
      </c>
      <c r="AE134" s="0" t="n">
        <v>0</v>
      </c>
      <c r="AF134" s="0" t="n">
        <v>0</v>
      </c>
      <c r="AG134" s="0" t="n">
        <v>0</v>
      </c>
      <c r="AH134" s="254" t="e">
        <f aca="false">'Basis Options'!CD139</f>
        <v>#NAME?</v>
      </c>
      <c r="AI134" s="0" t="n">
        <v>226</v>
      </c>
      <c r="AJ134" s="0" t="s">
        <v>630</v>
      </c>
      <c r="AK134" s="0" t="n">
        <v>0</v>
      </c>
      <c r="AL134" s="0" t="n">
        <v>0</v>
      </c>
      <c r="AM134" s="0" t="n">
        <v>0</v>
      </c>
    </row>
    <row r="135" customFormat="false" ht="12.75" hidden="false" customHeight="false" outlineLevel="0" collapsed="false">
      <c r="A135" s="0" t="s">
        <v>621</v>
      </c>
      <c r="B135" s="0" t="str">
        <f aca="false">'Basis Options'!C140</f>
        <v>NF5563</v>
      </c>
      <c r="C135" s="0" t="s">
        <v>622</v>
      </c>
      <c r="D135" s="0" t="s">
        <v>623</v>
      </c>
      <c r="E135" s="0" t="s">
        <v>131</v>
      </c>
      <c r="F135" s="0" t="str">
        <f aca="false">'Basis Options'!A140</f>
        <v>DUKEENETRA</v>
      </c>
      <c r="G135" s="0" t="s">
        <v>628</v>
      </c>
      <c r="H135" s="0" t="s">
        <v>625</v>
      </c>
      <c r="I135" s="0" t="s">
        <v>626</v>
      </c>
      <c r="J135" s="0" t="s">
        <v>627</v>
      </c>
      <c r="K135" s="475" t="n">
        <f aca="false">'Basis Options'!G140</f>
        <v>36861</v>
      </c>
      <c r="L135" s="254" t="e">
        <f aca="false">'Basis Options'!U140</f>
        <v>#NAME?</v>
      </c>
      <c r="M135" s="475" t="n">
        <f aca="false">'Basis Options'!Q140</f>
        <v>36859</v>
      </c>
      <c r="N135" s="0" t="str">
        <f aca="false">'Basis Options'!F140</f>
        <v>C</v>
      </c>
      <c r="O135" s="0" t="n">
        <f aca="false">'Basis Options'!I140</f>
        <v>2.2</v>
      </c>
      <c r="P135" s="0" t="n">
        <v>0</v>
      </c>
      <c r="Q135" s="0" t="n">
        <v>0</v>
      </c>
      <c r="R135" s="0" t="n">
        <v>0</v>
      </c>
      <c r="S135" s="0" t="n">
        <v>0</v>
      </c>
      <c r="T135" s="0" t="s">
        <v>624</v>
      </c>
      <c r="U135" s="0" t="str">
        <f aca="false">IF('Basis Options'!D140="NGI/CHI. GATE","""NGI/CHI. GATE""",TRIM('Basis Options'!D140))</f>
        <v>IF-TRANSCO/Z6</v>
      </c>
      <c r="V135" s="0" t="s">
        <v>624</v>
      </c>
      <c r="W135" s="0" t="s">
        <v>569</v>
      </c>
      <c r="X135" s="0" t="s">
        <v>624</v>
      </c>
      <c r="Y135" s="0" t="s">
        <v>627</v>
      </c>
      <c r="Z135" s="0" t="s">
        <v>629</v>
      </c>
      <c r="AA135" s="0" t="s">
        <v>624</v>
      </c>
      <c r="AB135" s="0" t="s">
        <v>132</v>
      </c>
      <c r="AC135" s="254" t="n">
        <f aca="false">'Basis Options'!H140</f>
        <v>310000</v>
      </c>
      <c r="AD135" s="254" t="e">
        <f aca="false">'Basis Options'!W140</f>
        <v>#NAME?</v>
      </c>
      <c r="AE135" s="0" t="n">
        <v>0</v>
      </c>
      <c r="AF135" s="0" t="n">
        <v>0</v>
      </c>
      <c r="AG135" s="0" t="n">
        <v>0</v>
      </c>
      <c r="AH135" s="254" t="e">
        <f aca="false">'Basis Options'!CD140</f>
        <v>#NAME?</v>
      </c>
      <c r="AI135" s="0" t="n">
        <v>226</v>
      </c>
      <c r="AJ135" s="0" t="s">
        <v>630</v>
      </c>
      <c r="AK135" s="0" t="n">
        <v>0</v>
      </c>
      <c r="AL135" s="0" t="n">
        <v>0</v>
      </c>
      <c r="AM135" s="0" t="n">
        <v>0</v>
      </c>
    </row>
    <row r="136" customFormat="false" ht="12.75" hidden="false" customHeight="false" outlineLevel="0" collapsed="false">
      <c r="A136" s="0" t="s">
        <v>621</v>
      </c>
      <c r="B136" s="0" t="str">
        <f aca="false">'Basis Options'!C141</f>
        <v>NF5563</v>
      </c>
      <c r="C136" s="0" t="s">
        <v>622</v>
      </c>
      <c r="D136" s="0" t="s">
        <v>623</v>
      </c>
      <c r="E136" s="0" t="s">
        <v>131</v>
      </c>
      <c r="F136" s="0" t="str">
        <f aca="false">'Basis Options'!A141</f>
        <v>DUKEENETRA</v>
      </c>
      <c r="G136" s="0" t="s">
        <v>628</v>
      </c>
      <c r="H136" s="0" t="s">
        <v>625</v>
      </c>
      <c r="I136" s="0" t="s">
        <v>626</v>
      </c>
      <c r="J136" s="0" t="s">
        <v>627</v>
      </c>
      <c r="K136" s="475" t="n">
        <f aca="false">'Basis Options'!G141</f>
        <v>36831</v>
      </c>
      <c r="L136" s="254" t="e">
        <f aca="false">'Basis Options'!U141</f>
        <v>#NAME?</v>
      </c>
      <c r="M136" s="475" t="n">
        <f aca="false">'Basis Options'!Q141</f>
        <v>36829</v>
      </c>
      <c r="N136" s="0" t="str">
        <f aca="false">'Basis Options'!F141</f>
        <v>C</v>
      </c>
      <c r="O136" s="0" t="n">
        <f aca="false">'Basis Options'!I141</f>
        <v>2.2</v>
      </c>
      <c r="P136" s="0" t="n">
        <v>0</v>
      </c>
      <c r="Q136" s="0" t="n">
        <v>0</v>
      </c>
      <c r="R136" s="0" t="n">
        <v>0</v>
      </c>
      <c r="S136" s="0" t="n">
        <v>0</v>
      </c>
      <c r="T136" s="0" t="s">
        <v>624</v>
      </c>
      <c r="U136" s="0" t="str">
        <f aca="false">IF('Basis Options'!D141="NGI/CHI. GATE","""NGI/CHI. GATE""",TRIM('Basis Options'!D141))</f>
        <v>IF-TRANSCO/Z6</v>
      </c>
      <c r="V136" s="0" t="s">
        <v>624</v>
      </c>
      <c r="W136" s="0" t="s">
        <v>569</v>
      </c>
      <c r="X136" s="0" t="s">
        <v>624</v>
      </c>
      <c r="Y136" s="0" t="s">
        <v>627</v>
      </c>
      <c r="Z136" s="0" t="s">
        <v>629</v>
      </c>
      <c r="AA136" s="0" t="s">
        <v>624</v>
      </c>
      <c r="AB136" s="0" t="s">
        <v>132</v>
      </c>
      <c r="AC136" s="254" t="n">
        <f aca="false">'Basis Options'!H141</f>
        <v>300000</v>
      </c>
      <c r="AD136" s="254" t="e">
        <f aca="false">'Basis Options'!W141</f>
        <v>#NAME?</v>
      </c>
      <c r="AE136" s="0" t="n">
        <v>0</v>
      </c>
      <c r="AF136" s="0" t="n">
        <v>0</v>
      </c>
      <c r="AG136" s="0" t="n">
        <v>0</v>
      </c>
      <c r="AH136" s="254" t="e">
        <f aca="false">'Basis Options'!CD141</f>
        <v>#NAME?</v>
      </c>
      <c r="AI136" s="0" t="n">
        <v>226</v>
      </c>
      <c r="AJ136" s="0" t="s">
        <v>630</v>
      </c>
      <c r="AK136" s="0" t="n">
        <v>0</v>
      </c>
      <c r="AL136" s="0" t="n">
        <v>0</v>
      </c>
      <c r="AM136" s="0" t="n">
        <v>0</v>
      </c>
    </row>
    <row r="137" customFormat="false" ht="12.75" hidden="false" customHeight="false" outlineLevel="0" collapsed="false">
      <c r="A137" s="0" t="s">
        <v>621</v>
      </c>
      <c r="B137" s="0" t="str">
        <f aca="false">'Basis Options'!C142</f>
        <v>NF5578.1</v>
      </c>
      <c r="C137" s="0" t="s">
        <v>622</v>
      </c>
      <c r="D137" s="0" t="s">
        <v>623</v>
      </c>
      <c r="E137" s="0" t="s">
        <v>131</v>
      </c>
      <c r="F137" s="0" t="str">
        <f aca="false">'Basis Options'!A142</f>
        <v>ELPASMER</v>
      </c>
      <c r="G137" s="0" t="s">
        <v>628</v>
      </c>
      <c r="H137" s="0" t="s">
        <v>625</v>
      </c>
      <c r="I137" s="0" t="s">
        <v>626</v>
      </c>
      <c r="J137" s="0" t="s">
        <v>627</v>
      </c>
      <c r="K137" s="475" t="n">
        <f aca="false">'Basis Options'!G142</f>
        <v>36951</v>
      </c>
      <c r="L137" s="254" t="e">
        <f aca="false">'Basis Options'!U142</f>
        <v>#NAME?</v>
      </c>
      <c r="M137" s="475" t="n">
        <f aca="false">'Basis Options'!Q142</f>
        <v>36949</v>
      </c>
      <c r="N137" s="0" t="str">
        <f aca="false">'Basis Options'!F142</f>
        <v>C</v>
      </c>
      <c r="O137" s="0" t="n">
        <f aca="false">'Basis Options'!I142</f>
        <v>0</v>
      </c>
      <c r="P137" s="0" t="n">
        <v>0</v>
      </c>
      <c r="Q137" s="0" t="n">
        <v>0</v>
      </c>
      <c r="R137" s="0" t="n">
        <v>0</v>
      </c>
      <c r="S137" s="0" t="n">
        <v>0</v>
      </c>
      <c r="T137" s="0" t="s">
        <v>624</v>
      </c>
      <c r="U137" s="0" t="str">
        <f aca="false">IF('Basis Options'!D142="NGI/CHI. GATE","""NGI/CHI. GATE""",TRIM('Basis Options'!D142))</f>
        <v>IF-NNG/VENT</v>
      </c>
      <c r="V137" s="0" t="s">
        <v>624</v>
      </c>
      <c r="W137" s="0" t="s">
        <v>569</v>
      </c>
      <c r="X137" s="0" t="s">
        <v>624</v>
      </c>
      <c r="Y137" s="0" t="s">
        <v>627</v>
      </c>
      <c r="Z137" s="0" t="s">
        <v>629</v>
      </c>
      <c r="AA137" s="0" t="s">
        <v>624</v>
      </c>
      <c r="AB137" s="0" t="s">
        <v>132</v>
      </c>
      <c r="AC137" s="254" t="n">
        <f aca="false">'Basis Options'!H142</f>
        <v>-1000000</v>
      </c>
      <c r="AD137" s="254" t="e">
        <f aca="false">'Basis Options'!W142</f>
        <v>#NAME?</v>
      </c>
      <c r="AE137" s="0" t="n">
        <v>0</v>
      </c>
      <c r="AF137" s="0" t="n">
        <v>0</v>
      </c>
      <c r="AG137" s="0" t="n">
        <v>0</v>
      </c>
      <c r="AH137" s="254" t="e">
        <f aca="false">'Basis Options'!CD142</f>
        <v>#NAME?</v>
      </c>
      <c r="AI137" s="0" t="n">
        <v>226</v>
      </c>
      <c r="AJ137" s="0" t="s">
        <v>630</v>
      </c>
      <c r="AK137" s="0" t="n">
        <v>0</v>
      </c>
      <c r="AL137" s="0" t="n">
        <v>0</v>
      </c>
      <c r="AM137" s="0" t="n">
        <v>0</v>
      </c>
    </row>
    <row r="138" customFormat="false" ht="12.75" hidden="false" customHeight="false" outlineLevel="0" collapsed="false">
      <c r="A138" s="0" t="s">
        <v>621</v>
      </c>
      <c r="B138" s="0" t="str">
        <f aca="false">'Basis Options'!C143</f>
        <v>NF5578.1</v>
      </c>
      <c r="C138" s="0" t="s">
        <v>622</v>
      </c>
      <c r="D138" s="0" t="s">
        <v>623</v>
      </c>
      <c r="E138" s="0" t="s">
        <v>131</v>
      </c>
      <c r="F138" s="0" t="str">
        <f aca="false">'Basis Options'!A143</f>
        <v>ELPASMER</v>
      </c>
      <c r="G138" s="0" t="s">
        <v>628</v>
      </c>
      <c r="H138" s="0" t="s">
        <v>625</v>
      </c>
      <c r="I138" s="0" t="s">
        <v>626</v>
      </c>
      <c r="J138" s="0" t="s">
        <v>627</v>
      </c>
      <c r="K138" s="475" t="n">
        <f aca="false">'Basis Options'!G143</f>
        <v>36923</v>
      </c>
      <c r="L138" s="254" t="e">
        <f aca="false">'Basis Options'!U143</f>
        <v>#NAME?</v>
      </c>
      <c r="M138" s="475" t="n">
        <f aca="false">'Basis Options'!Q143</f>
        <v>36921</v>
      </c>
      <c r="N138" s="0" t="str">
        <f aca="false">'Basis Options'!F143</f>
        <v>C</v>
      </c>
      <c r="O138" s="0" t="n">
        <f aca="false">'Basis Options'!I143</f>
        <v>0</v>
      </c>
      <c r="P138" s="0" t="n">
        <v>0</v>
      </c>
      <c r="Q138" s="0" t="n">
        <v>0</v>
      </c>
      <c r="R138" s="0" t="n">
        <v>0</v>
      </c>
      <c r="S138" s="0" t="n">
        <v>0</v>
      </c>
      <c r="T138" s="0" t="s">
        <v>624</v>
      </c>
      <c r="U138" s="0" t="str">
        <f aca="false">IF('Basis Options'!D143="NGI/CHI. GATE","""NGI/CHI. GATE""",TRIM('Basis Options'!D143))</f>
        <v>IF-NNG/VENT</v>
      </c>
      <c r="V138" s="0" t="s">
        <v>624</v>
      </c>
      <c r="W138" s="0" t="s">
        <v>569</v>
      </c>
      <c r="X138" s="0" t="s">
        <v>624</v>
      </c>
      <c r="Y138" s="0" t="s">
        <v>627</v>
      </c>
      <c r="Z138" s="0" t="s">
        <v>629</v>
      </c>
      <c r="AA138" s="0" t="s">
        <v>624</v>
      </c>
      <c r="AB138" s="0" t="s">
        <v>132</v>
      </c>
      <c r="AC138" s="254" t="n">
        <f aca="false">'Basis Options'!H143</f>
        <v>-1000000</v>
      </c>
      <c r="AD138" s="254" t="e">
        <f aca="false">'Basis Options'!W143</f>
        <v>#NAME?</v>
      </c>
      <c r="AE138" s="0" t="n">
        <v>0</v>
      </c>
      <c r="AF138" s="0" t="n">
        <v>0</v>
      </c>
      <c r="AG138" s="0" t="n">
        <v>0</v>
      </c>
      <c r="AH138" s="254" t="e">
        <f aca="false">'Basis Options'!CD143</f>
        <v>#NAME?</v>
      </c>
      <c r="AI138" s="0" t="n">
        <v>226</v>
      </c>
      <c r="AJ138" s="0" t="s">
        <v>630</v>
      </c>
      <c r="AK138" s="0" t="n">
        <v>0</v>
      </c>
      <c r="AL138" s="0" t="n">
        <v>0</v>
      </c>
      <c r="AM138" s="0" t="n">
        <v>0</v>
      </c>
    </row>
    <row r="139" customFormat="false" ht="12.75" hidden="false" customHeight="false" outlineLevel="0" collapsed="false">
      <c r="A139" s="0" t="s">
        <v>621</v>
      </c>
      <c r="B139" s="0" t="str">
        <f aca="false">'Basis Options'!C144</f>
        <v>NF5578.1</v>
      </c>
      <c r="C139" s="0" t="s">
        <v>622</v>
      </c>
      <c r="D139" s="0" t="s">
        <v>623</v>
      </c>
      <c r="E139" s="0" t="s">
        <v>131</v>
      </c>
      <c r="F139" s="0" t="str">
        <f aca="false">'Basis Options'!A144</f>
        <v>ELPASMER</v>
      </c>
      <c r="G139" s="0" t="s">
        <v>628</v>
      </c>
      <c r="H139" s="0" t="s">
        <v>625</v>
      </c>
      <c r="I139" s="0" t="s">
        <v>626</v>
      </c>
      <c r="J139" s="0" t="s">
        <v>627</v>
      </c>
      <c r="K139" s="475" t="n">
        <f aca="false">'Basis Options'!G144</f>
        <v>36892</v>
      </c>
      <c r="L139" s="254" t="e">
        <f aca="false">'Basis Options'!U144</f>
        <v>#NAME?</v>
      </c>
      <c r="M139" s="475" t="n">
        <f aca="false">'Basis Options'!Q144</f>
        <v>36888</v>
      </c>
      <c r="N139" s="0" t="str">
        <f aca="false">'Basis Options'!F144</f>
        <v>C</v>
      </c>
      <c r="O139" s="0" t="n">
        <f aca="false">'Basis Options'!I144</f>
        <v>0</v>
      </c>
      <c r="P139" s="0" t="n">
        <v>0</v>
      </c>
      <c r="Q139" s="0" t="n">
        <v>0</v>
      </c>
      <c r="R139" s="0" t="n">
        <v>0</v>
      </c>
      <c r="S139" s="0" t="n">
        <v>0</v>
      </c>
      <c r="T139" s="0" t="s">
        <v>624</v>
      </c>
      <c r="U139" s="0" t="str">
        <f aca="false">IF('Basis Options'!D144="NGI/CHI. GATE","""NGI/CHI. GATE""",TRIM('Basis Options'!D144))</f>
        <v>IF-NNG/VENT</v>
      </c>
      <c r="V139" s="0" t="s">
        <v>624</v>
      </c>
      <c r="W139" s="0" t="s">
        <v>569</v>
      </c>
      <c r="X139" s="0" t="s">
        <v>624</v>
      </c>
      <c r="Y139" s="0" t="s">
        <v>627</v>
      </c>
      <c r="Z139" s="0" t="s">
        <v>629</v>
      </c>
      <c r="AA139" s="0" t="s">
        <v>624</v>
      </c>
      <c r="AB139" s="0" t="s">
        <v>132</v>
      </c>
      <c r="AC139" s="254" t="n">
        <f aca="false">'Basis Options'!H144</f>
        <v>-1000000</v>
      </c>
      <c r="AD139" s="254" t="e">
        <f aca="false">'Basis Options'!W144</f>
        <v>#NAME?</v>
      </c>
      <c r="AE139" s="0" t="n">
        <v>0</v>
      </c>
      <c r="AF139" s="0" t="n">
        <v>0</v>
      </c>
      <c r="AG139" s="0" t="n">
        <v>0</v>
      </c>
      <c r="AH139" s="254" t="e">
        <f aca="false">'Basis Options'!CD144</f>
        <v>#NAME?</v>
      </c>
      <c r="AI139" s="0" t="n">
        <v>226</v>
      </c>
      <c r="AJ139" s="0" t="s">
        <v>630</v>
      </c>
      <c r="AK139" s="0" t="n">
        <v>0</v>
      </c>
      <c r="AL139" s="0" t="n">
        <v>0</v>
      </c>
      <c r="AM139" s="0" t="n">
        <v>0</v>
      </c>
    </row>
    <row r="140" customFormat="false" ht="12.75" hidden="false" customHeight="false" outlineLevel="0" collapsed="false">
      <c r="A140" s="0" t="s">
        <v>621</v>
      </c>
      <c r="B140" s="0" t="str">
        <f aca="false">'Basis Options'!C145</f>
        <v>NF5578.1</v>
      </c>
      <c r="C140" s="0" t="s">
        <v>622</v>
      </c>
      <c r="D140" s="0" t="s">
        <v>623</v>
      </c>
      <c r="E140" s="0" t="s">
        <v>131</v>
      </c>
      <c r="F140" s="0" t="str">
        <f aca="false">'Basis Options'!A145</f>
        <v>ELPASMER</v>
      </c>
      <c r="G140" s="0" t="s">
        <v>628</v>
      </c>
      <c r="H140" s="0" t="s">
        <v>625</v>
      </c>
      <c r="I140" s="0" t="s">
        <v>626</v>
      </c>
      <c r="J140" s="0" t="s">
        <v>627</v>
      </c>
      <c r="K140" s="475" t="n">
        <f aca="false">'Basis Options'!G145</f>
        <v>36861</v>
      </c>
      <c r="L140" s="254" t="e">
        <f aca="false">'Basis Options'!U145</f>
        <v>#NAME?</v>
      </c>
      <c r="M140" s="475" t="n">
        <f aca="false">'Basis Options'!Q145</f>
        <v>36859</v>
      </c>
      <c r="N140" s="0" t="str">
        <f aca="false">'Basis Options'!F145</f>
        <v>C</v>
      </c>
      <c r="O140" s="0" t="n">
        <f aca="false">'Basis Options'!I145</f>
        <v>0</v>
      </c>
      <c r="P140" s="0" t="n">
        <v>0</v>
      </c>
      <c r="Q140" s="0" t="n">
        <v>0</v>
      </c>
      <c r="R140" s="0" t="n">
        <v>0</v>
      </c>
      <c r="S140" s="0" t="n">
        <v>0</v>
      </c>
      <c r="T140" s="0" t="s">
        <v>624</v>
      </c>
      <c r="U140" s="0" t="str">
        <f aca="false">IF('Basis Options'!D145="NGI/CHI. GATE","""NGI/CHI. GATE""",TRIM('Basis Options'!D145))</f>
        <v>IF-NNG/VENT</v>
      </c>
      <c r="V140" s="0" t="s">
        <v>624</v>
      </c>
      <c r="W140" s="0" t="s">
        <v>569</v>
      </c>
      <c r="X140" s="0" t="s">
        <v>624</v>
      </c>
      <c r="Y140" s="0" t="s">
        <v>627</v>
      </c>
      <c r="Z140" s="0" t="s">
        <v>629</v>
      </c>
      <c r="AA140" s="0" t="s">
        <v>624</v>
      </c>
      <c r="AB140" s="0" t="s">
        <v>132</v>
      </c>
      <c r="AC140" s="254" t="n">
        <f aca="false">'Basis Options'!H145</f>
        <v>-1000000</v>
      </c>
      <c r="AD140" s="254" t="e">
        <f aca="false">'Basis Options'!W145</f>
        <v>#NAME?</v>
      </c>
      <c r="AE140" s="0" t="n">
        <v>0</v>
      </c>
      <c r="AF140" s="0" t="n">
        <v>0</v>
      </c>
      <c r="AG140" s="0" t="n">
        <v>0</v>
      </c>
      <c r="AH140" s="254" t="e">
        <f aca="false">'Basis Options'!CD145</f>
        <v>#NAME?</v>
      </c>
      <c r="AI140" s="0" t="n">
        <v>226</v>
      </c>
      <c r="AJ140" s="0" t="s">
        <v>630</v>
      </c>
      <c r="AK140" s="0" t="n">
        <v>0</v>
      </c>
      <c r="AL140" s="0" t="n">
        <v>0</v>
      </c>
      <c r="AM140" s="0" t="n">
        <v>0</v>
      </c>
    </row>
    <row r="141" customFormat="false" ht="12.75" hidden="false" customHeight="false" outlineLevel="0" collapsed="false">
      <c r="A141" s="0" t="s">
        <v>621</v>
      </c>
      <c r="B141" s="0" t="str">
        <f aca="false">'Basis Options'!C146</f>
        <v>NF5578.1</v>
      </c>
      <c r="C141" s="0" t="s">
        <v>622</v>
      </c>
      <c r="D141" s="0" t="s">
        <v>623</v>
      </c>
      <c r="E141" s="0" t="s">
        <v>131</v>
      </c>
      <c r="F141" s="0" t="str">
        <f aca="false">'Basis Options'!A146</f>
        <v>ELPASMER</v>
      </c>
      <c r="G141" s="0" t="s">
        <v>628</v>
      </c>
      <c r="H141" s="0" t="s">
        <v>625</v>
      </c>
      <c r="I141" s="0" t="s">
        <v>626</v>
      </c>
      <c r="J141" s="0" t="s">
        <v>627</v>
      </c>
      <c r="K141" s="475" t="n">
        <f aca="false">'Basis Options'!G146</f>
        <v>36831</v>
      </c>
      <c r="L141" s="254" t="e">
        <f aca="false">'Basis Options'!U146</f>
        <v>#NAME?</v>
      </c>
      <c r="M141" s="475" t="n">
        <f aca="false">'Basis Options'!Q146</f>
        <v>36829</v>
      </c>
      <c r="N141" s="0" t="str">
        <f aca="false">'Basis Options'!F146</f>
        <v>C</v>
      </c>
      <c r="O141" s="0" t="n">
        <f aca="false">'Basis Options'!I146</f>
        <v>0</v>
      </c>
      <c r="P141" s="0" t="n">
        <v>0</v>
      </c>
      <c r="Q141" s="0" t="n">
        <v>0</v>
      </c>
      <c r="R141" s="0" t="n">
        <v>0</v>
      </c>
      <c r="S141" s="0" t="n">
        <v>0</v>
      </c>
      <c r="T141" s="0" t="s">
        <v>624</v>
      </c>
      <c r="U141" s="0" t="str">
        <f aca="false">IF('Basis Options'!D146="NGI/CHI. GATE","""NGI/CHI. GATE""",TRIM('Basis Options'!D146))</f>
        <v>IF-NNG/VENT</v>
      </c>
      <c r="V141" s="0" t="s">
        <v>624</v>
      </c>
      <c r="W141" s="0" t="s">
        <v>569</v>
      </c>
      <c r="X141" s="0" t="s">
        <v>624</v>
      </c>
      <c r="Y141" s="0" t="s">
        <v>627</v>
      </c>
      <c r="Z141" s="0" t="s">
        <v>629</v>
      </c>
      <c r="AA141" s="0" t="s">
        <v>624</v>
      </c>
      <c r="AB141" s="0" t="s">
        <v>132</v>
      </c>
      <c r="AC141" s="254" t="n">
        <f aca="false">'Basis Options'!H146</f>
        <v>-1000000</v>
      </c>
      <c r="AD141" s="254" t="e">
        <f aca="false">'Basis Options'!W146</f>
        <v>#NAME?</v>
      </c>
      <c r="AE141" s="0" t="n">
        <v>0</v>
      </c>
      <c r="AF141" s="0" t="n">
        <v>0</v>
      </c>
      <c r="AG141" s="0" t="n">
        <v>0</v>
      </c>
      <c r="AH141" s="254" t="e">
        <f aca="false">'Basis Options'!CD146</f>
        <v>#NAME?</v>
      </c>
      <c r="AI141" s="0" t="n">
        <v>226</v>
      </c>
      <c r="AJ141" s="0" t="s">
        <v>630</v>
      </c>
      <c r="AK141" s="0" t="n">
        <v>0</v>
      </c>
      <c r="AL141" s="0" t="n">
        <v>0</v>
      </c>
      <c r="AM141" s="0" t="n">
        <v>0</v>
      </c>
    </row>
    <row r="142" customFormat="false" ht="12.75" hidden="false" customHeight="false" outlineLevel="0" collapsed="false">
      <c r="A142" s="0" t="s">
        <v>621</v>
      </c>
      <c r="B142" s="0" t="str">
        <f aca="false">'Basis Options'!C147</f>
        <v>NF5578.1</v>
      </c>
      <c r="C142" s="0" t="s">
        <v>622</v>
      </c>
      <c r="D142" s="0" t="s">
        <v>623</v>
      </c>
      <c r="E142" s="0" t="s">
        <v>131</v>
      </c>
      <c r="F142" s="0" t="str">
        <f aca="false">'Basis Options'!A147</f>
        <v>ELPASMER</v>
      </c>
      <c r="G142" s="0" t="s">
        <v>628</v>
      </c>
      <c r="H142" s="0" t="s">
        <v>625</v>
      </c>
      <c r="I142" s="0" t="s">
        <v>626</v>
      </c>
      <c r="J142" s="0" t="s">
        <v>627</v>
      </c>
      <c r="K142" s="475" t="n">
        <f aca="false">'Basis Options'!G147</f>
        <v>36800</v>
      </c>
      <c r="L142" s="254" t="e">
        <f aca="false">'Basis Options'!U147</f>
        <v>#NAME?</v>
      </c>
      <c r="M142" s="475" t="n">
        <f aca="false">'Basis Options'!Q147</f>
        <v>36797</v>
      </c>
      <c r="N142" s="0" t="str">
        <f aca="false">'Basis Options'!F147</f>
        <v>C</v>
      </c>
      <c r="O142" s="0" t="n">
        <f aca="false">'Basis Options'!I147</f>
        <v>0</v>
      </c>
      <c r="P142" s="0" t="n">
        <v>0</v>
      </c>
      <c r="Q142" s="0" t="n">
        <v>0</v>
      </c>
      <c r="R142" s="0" t="n">
        <v>0</v>
      </c>
      <c r="S142" s="0" t="n">
        <v>0</v>
      </c>
      <c r="T142" s="0" t="s">
        <v>624</v>
      </c>
      <c r="U142" s="0" t="str">
        <f aca="false">IF('Basis Options'!D147="NGI/CHI. GATE","""NGI/CHI. GATE""",TRIM('Basis Options'!D147))</f>
        <v>IF-NNG/VENT</v>
      </c>
      <c r="V142" s="0" t="s">
        <v>624</v>
      </c>
      <c r="W142" s="0" t="s">
        <v>569</v>
      </c>
      <c r="X142" s="0" t="s">
        <v>624</v>
      </c>
      <c r="Y142" s="0" t="s">
        <v>627</v>
      </c>
      <c r="Z142" s="0" t="s">
        <v>629</v>
      </c>
      <c r="AA142" s="0" t="s">
        <v>624</v>
      </c>
      <c r="AB142" s="0" t="s">
        <v>132</v>
      </c>
      <c r="AC142" s="254" t="n">
        <f aca="false">'Basis Options'!H147</f>
        <v>-1000000</v>
      </c>
      <c r="AD142" s="254" t="e">
        <f aca="false">'Basis Options'!W147</f>
        <v>#NAME?</v>
      </c>
      <c r="AE142" s="0" t="n">
        <v>0</v>
      </c>
      <c r="AF142" s="0" t="n">
        <v>0</v>
      </c>
      <c r="AG142" s="0" t="n">
        <v>0</v>
      </c>
      <c r="AH142" s="254" t="e">
        <f aca="false">'Basis Options'!CD147</f>
        <v>#NAME?</v>
      </c>
      <c r="AI142" s="0" t="n">
        <v>226</v>
      </c>
      <c r="AJ142" s="0" t="s">
        <v>630</v>
      </c>
      <c r="AK142" s="0" t="n">
        <v>0</v>
      </c>
      <c r="AL142" s="0" t="n">
        <v>0</v>
      </c>
      <c r="AM142" s="0" t="n">
        <v>0</v>
      </c>
    </row>
    <row r="143" customFormat="false" ht="12.75" hidden="false" customHeight="false" outlineLevel="0" collapsed="false">
      <c r="A143" s="0" t="s">
        <v>621</v>
      </c>
      <c r="B143" s="0" t="str">
        <f aca="false">'Basis Options'!C148</f>
        <v>NF5578.1</v>
      </c>
      <c r="C143" s="0" t="s">
        <v>622</v>
      </c>
      <c r="D143" s="0" t="s">
        <v>623</v>
      </c>
      <c r="E143" s="0" t="s">
        <v>131</v>
      </c>
      <c r="F143" s="0" t="str">
        <f aca="false">'Basis Options'!A148</f>
        <v>ELPASMER</v>
      </c>
      <c r="G143" s="0" t="s">
        <v>628</v>
      </c>
      <c r="H143" s="0" t="s">
        <v>625</v>
      </c>
      <c r="I143" s="0" t="s">
        <v>626</v>
      </c>
      <c r="J143" s="0" t="s">
        <v>627</v>
      </c>
      <c r="K143" s="475" t="n">
        <f aca="false">'Basis Options'!G148</f>
        <v>36770</v>
      </c>
      <c r="L143" s="254" t="e">
        <f aca="false">'Basis Options'!U148</f>
        <v>#NAME?</v>
      </c>
      <c r="M143" s="475" t="n">
        <f aca="false">'Basis Options'!Q148</f>
        <v>36768</v>
      </c>
      <c r="N143" s="0" t="str">
        <f aca="false">'Basis Options'!F148</f>
        <v>C</v>
      </c>
      <c r="O143" s="0" t="n">
        <f aca="false">'Basis Options'!I148</f>
        <v>0</v>
      </c>
      <c r="P143" s="0" t="n">
        <v>0</v>
      </c>
      <c r="Q143" s="0" t="n">
        <v>0</v>
      </c>
      <c r="R143" s="0" t="n">
        <v>0</v>
      </c>
      <c r="S143" s="0" t="n">
        <v>0</v>
      </c>
      <c r="T143" s="0" t="s">
        <v>624</v>
      </c>
      <c r="U143" s="0" t="str">
        <f aca="false">IF('Basis Options'!D148="NGI/CHI. GATE","""NGI/CHI. GATE""",TRIM('Basis Options'!D148))</f>
        <v>IF-NNG/VENT</v>
      </c>
      <c r="V143" s="0" t="s">
        <v>624</v>
      </c>
      <c r="W143" s="0" t="s">
        <v>569</v>
      </c>
      <c r="X143" s="0" t="s">
        <v>624</v>
      </c>
      <c r="Y143" s="0" t="s">
        <v>627</v>
      </c>
      <c r="Z143" s="0" t="s">
        <v>629</v>
      </c>
      <c r="AA143" s="0" t="s">
        <v>624</v>
      </c>
      <c r="AB143" s="0" t="s">
        <v>132</v>
      </c>
      <c r="AC143" s="254" t="n">
        <f aca="false">'Basis Options'!H148</f>
        <v>-1000000</v>
      </c>
      <c r="AD143" s="254" t="e">
        <f aca="false">'Basis Options'!W148</f>
        <v>#NAME?</v>
      </c>
      <c r="AE143" s="0" t="n">
        <v>0</v>
      </c>
      <c r="AF143" s="0" t="n">
        <v>0</v>
      </c>
      <c r="AG143" s="0" t="n">
        <v>0</v>
      </c>
      <c r="AH143" s="254" t="e">
        <f aca="false">'Basis Options'!CD148</f>
        <v>#NAME?</v>
      </c>
      <c r="AI143" s="0" t="n">
        <v>226</v>
      </c>
      <c r="AJ143" s="0" t="s">
        <v>630</v>
      </c>
      <c r="AK143" s="0" t="n">
        <v>0</v>
      </c>
      <c r="AL143" s="0" t="n">
        <v>0</v>
      </c>
      <c r="AM143" s="0" t="n">
        <v>0</v>
      </c>
    </row>
    <row r="144" customFormat="false" ht="12.75" hidden="false" customHeight="false" outlineLevel="0" collapsed="false">
      <c r="A144" s="0" t="s">
        <v>621</v>
      </c>
      <c r="B144" s="0" t="str">
        <f aca="false">'Basis Options'!C149</f>
        <v>NF5578.2</v>
      </c>
      <c r="C144" s="0" t="s">
        <v>622</v>
      </c>
      <c r="D144" s="0" t="s">
        <v>623</v>
      </c>
      <c r="E144" s="0" t="s">
        <v>131</v>
      </c>
      <c r="F144" s="0" t="str">
        <f aca="false">'Basis Options'!A149</f>
        <v>ELPASMER</v>
      </c>
      <c r="G144" s="0" t="s">
        <v>628</v>
      </c>
      <c r="H144" s="0" t="s">
        <v>625</v>
      </c>
      <c r="I144" s="0" t="s">
        <v>626</v>
      </c>
      <c r="J144" s="0" t="s">
        <v>627</v>
      </c>
      <c r="K144" s="475" t="n">
        <f aca="false">'Basis Options'!G149</f>
        <v>36951</v>
      </c>
      <c r="L144" s="254" t="e">
        <f aca="false">'Basis Options'!U149</f>
        <v>#NAME?</v>
      </c>
      <c r="M144" s="475" t="n">
        <f aca="false">'Basis Options'!Q149</f>
        <v>36949</v>
      </c>
      <c r="N144" s="0" t="str">
        <f aca="false">'Basis Options'!F149</f>
        <v>P</v>
      </c>
      <c r="O144" s="0" t="n">
        <f aca="false">'Basis Options'!I149</f>
        <v>0</v>
      </c>
      <c r="P144" s="0" t="n">
        <v>0</v>
      </c>
      <c r="Q144" s="0" t="n">
        <v>0</v>
      </c>
      <c r="R144" s="0" t="n">
        <v>0</v>
      </c>
      <c r="S144" s="0" t="n">
        <v>0</v>
      </c>
      <c r="T144" s="0" t="s">
        <v>624</v>
      </c>
      <c r="U144" s="0" t="str">
        <f aca="false">IF('Basis Options'!D149="NGI/CHI. GATE","""NGI/CHI. GATE""",TRIM('Basis Options'!D149))</f>
        <v>IF-NNG/VENT</v>
      </c>
      <c r="V144" s="0" t="s">
        <v>624</v>
      </c>
      <c r="W144" s="0" t="s">
        <v>569</v>
      </c>
      <c r="X144" s="0" t="s">
        <v>624</v>
      </c>
      <c r="Y144" s="0" t="s">
        <v>627</v>
      </c>
      <c r="Z144" s="0" t="s">
        <v>629</v>
      </c>
      <c r="AA144" s="0" t="s">
        <v>624</v>
      </c>
      <c r="AB144" s="0" t="s">
        <v>132</v>
      </c>
      <c r="AC144" s="254" t="n">
        <f aca="false">'Basis Options'!H149</f>
        <v>-1000000</v>
      </c>
      <c r="AD144" s="254" t="e">
        <f aca="false">'Basis Options'!W149</f>
        <v>#NAME?</v>
      </c>
      <c r="AE144" s="0" t="n">
        <v>0</v>
      </c>
      <c r="AF144" s="0" t="n">
        <v>0</v>
      </c>
      <c r="AG144" s="0" t="n">
        <v>0</v>
      </c>
      <c r="AH144" s="254" t="e">
        <f aca="false">'Basis Options'!CD149</f>
        <v>#NAME?</v>
      </c>
      <c r="AI144" s="0" t="n">
        <v>226</v>
      </c>
      <c r="AJ144" s="0" t="s">
        <v>630</v>
      </c>
      <c r="AK144" s="0" t="n">
        <v>0</v>
      </c>
      <c r="AL144" s="0" t="n">
        <v>0</v>
      </c>
      <c r="AM144" s="0" t="n">
        <v>0</v>
      </c>
    </row>
    <row r="145" customFormat="false" ht="12.75" hidden="false" customHeight="false" outlineLevel="0" collapsed="false">
      <c r="A145" s="0" t="s">
        <v>621</v>
      </c>
      <c r="B145" s="0" t="str">
        <f aca="false">'Basis Options'!C150</f>
        <v>NF5578.2</v>
      </c>
      <c r="C145" s="0" t="s">
        <v>622</v>
      </c>
      <c r="D145" s="0" t="s">
        <v>623</v>
      </c>
      <c r="E145" s="0" t="s">
        <v>131</v>
      </c>
      <c r="F145" s="0" t="str">
        <f aca="false">'Basis Options'!A150</f>
        <v>ELPASMER</v>
      </c>
      <c r="G145" s="0" t="s">
        <v>628</v>
      </c>
      <c r="H145" s="0" t="s">
        <v>625</v>
      </c>
      <c r="I145" s="0" t="s">
        <v>626</v>
      </c>
      <c r="J145" s="0" t="s">
        <v>627</v>
      </c>
      <c r="K145" s="475" t="n">
        <f aca="false">'Basis Options'!G150</f>
        <v>36923</v>
      </c>
      <c r="L145" s="254" t="e">
        <f aca="false">'Basis Options'!U150</f>
        <v>#NAME?</v>
      </c>
      <c r="M145" s="475" t="n">
        <f aca="false">'Basis Options'!Q150</f>
        <v>36921</v>
      </c>
      <c r="N145" s="0" t="str">
        <f aca="false">'Basis Options'!F150</f>
        <v>P</v>
      </c>
      <c r="O145" s="0" t="n">
        <f aca="false">'Basis Options'!I150</f>
        <v>0</v>
      </c>
      <c r="P145" s="0" t="n">
        <v>0</v>
      </c>
      <c r="Q145" s="0" t="n">
        <v>0</v>
      </c>
      <c r="R145" s="0" t="n">
        <v>0</v>
      </c>
      <c r="S145" s="0" t="n">
        <v>0</v>
      </c>
      <c r="T145" s="0" t="s">
        <v>624</v>
      </c>
      <c r="U145" s="0" t="str">
        <f aca="false">IF('Basis Options'!D150="NGI/CHI. GATE","""NGI/CHI. GATE""",TRIM('Basis Options'!D150))</f>
        <v>IF-NNG/VENT</v>
      </c>
      <c r="V145" s="0" t="s">
        <v>624</v>
      </c>
      <c r="W145" s="0" t="s">
        <v>569</v>
      </c>
      <c r="X145" s="0" t="s">
        <v>624</v>
      </c>
      <c r="Y145" s="0" t="s">
        <v>627</v>
      </c>
      <c r="Z145" s="0" t="s">
        <v>629</v>
      </c>
      <c r="AA145" s="0" t="s">
        <v>624</v>
      </c>
      <c r="AB145" s="0" t="s">
        <v>132</v>
      </c>
      <c r="AC145" s="254" t="n">
        <f aca="false">'Basis Options'!H150</f>
        <v>-1000000</v>
      </c>
      <c r="AD145" s="254" t="e">
        <f aca="false">'Basis Options'!W150</f>
        <v>#NAME?</v>
      </c>
      <c r="AE145" s="0" t="n">
        <v>0</v>
      </c>
      <c r="AF145" s="0" t="n">
        <v>0</v>
      </c>
      <c r="AG145" s="0" t="n">
        <v>0</v>
      </c>
      <c r="AH145" s="254" t="e">
        <f aca="false">'Basis Options'!CD150</f>
        <v>#NAME?</v>
      </c>
      <c r="AI145" s="0" t="n">
        <v>226</v>
      </c>
      <c r="AJ145" s="0" t="s">
        <v>630</v>
      </c>
      <c r="AK145" s="0" t="n">
        <v>0</v>
      </c>
      <c r="AL145" s="0" t="n">
        <v>0</v>
      </c>
      <c r="AM145" s="0" t="n">
        <v>0</v>
      </c>
    </row>
    <row r="146" customFormat="false" ht="12.75" hidden="false" customHeight="false" outlineLevel="0" collapsed="false">
      <c r="A146" s="0" t="s">
        <v>621</v>
      </c>
      <c r="B146" s="0" t="str">
        <f aca="false">'Basis Options'!C151</f>
        <v>NF5578.2</v>
      </c>
      <c r="C146" s="0" t="s">
        <v>622</v>
      </c>
      <c r="D146" s="0" t="s">
        <v>623</v>
      </c>
      <c r="E146" s="0" t="s">
        <v>131</v>
      </c>
      <c r="F146" s="0" t="str">
        <f aca="false">'Basis Options'!A151</f>
        <v>ELPASMER</v>
      </c>
      <c r="G146" s="0" t="s">
        <v>628</v>
      </c>
      <c r="H146" s="0" t="s">
        <v>625</v>
      </c>
      <c r="I146" s="0" t="s">
        <v>626</v>
      </c>
      <c r="J146" s="0" t="s">
        <v>627</v>
      </c>
      <c r="K146" s="475" t="n">
        <f aca="false">'Basis Options'!G151</f>
        <v>36892</v>
      </c>
      <c r="L146" s="254" t="e">
        <f aca="false">'Basis Options'!U151</f>
        <v>#NAME?</v>
      </c>
      <c r="M146" s="475" t="n">
        <f aca="false">'Basis Options'!Q151</f>
        <v>36888</v>
      </c>
      <c r="N146" s="0" t="str">
        <f aca="false">'Basis Options'!F151</f>
        <v>P</v>
      </c>
      <c r="O146" s="0" t="n">
        <f aca="false">'Basis Options'!I151</f>
        <v>0</v>
      </c>
      <c r="P146" s="0" t="n">
        <v>0</v>
      </c>
      <c r="Q146" s="0" t="n">
        <v>0</v>
      </c>
      <c r="R146" s="0" t="n">
        <v>0</v>
      </c>
      <c r="S146" s="0" t="n">
        <v>0</v>
      </c>
      <c r="T146" s="0" t="s">
        <v>624</v>
      </c>
      <c r="U146" s="0" t="str">
        <f aca="false">IF('Basis Options'!D151="NGI/CHI. GATE","""NGI/CHI. GATE""",TRIM('Basis Options'!D151))</f>
        <v>IF-NNG/VENT</v>
      </c>
      <c r="V146" s="0" t="s">
        <v>624</v>
      </c>
      <c r="W146" s="0" t="s">
        <v>569</v>
      </c>
      <c r="X146" s="0" t="s">
        <v>624</v>
      </c>
      <c r="Y146" s="0" t="s">
        <v>627</v>
      </c>
      <c r="Z146" s="0" t="s">
        <v>629</v>
      </c>
      <c r="AA146" s="0" t="s">
        <v>624</v>
      </c>
      <c r="AB146" s="0" t="s">
        <v>132</v>
      </c>
      <c r="AC146" s="254" t="n">
        <f aca="false">'Basis Options'!H151</f>
        <v>-1000000</v>
      </c>
      <c r="AD146" s="254" t="e">
        <f aca="false">'Basis Options'!W151</f>
        <v>#NAME?</v>
      </c>
      <c r="AE146" s="0" t="n">
        <v>0</v>
      </c>
      <c r="AF146" s="0" t="n">
        <v>0</v>
      </c>
      <c r="AG146" s="0" t="n">
        <v>0</v>
      </c>
      <c r="AH146" s="254" t="e">
        <f aca="false">'Basis Options'!CD151</f>
        <v>#NAME?</v>
      </c>
      <c r="AI146" s="0" t="n">
        <v>226</v>
      </c>
      <c r="AJ146" s="0" t="s">
        <v>630</v>
      </c>
      <c r="AK146" s="0" t="n">
        <v>0</v>
      </c>
      <c r="AL146" s="0" t="n">
        <v>0</v>
      </c>
      <c r="AM146" s="0" t="n">
        <v>0</v>
      </c>
    </row>
    <row r="147" customFormat="false" ht="12.75" hidden="false" customHeight="false" outlineLevel="0" collapsed="false">
      <c r="A147" s="0" t="s">
        <v>621</v>
      </c>
      <c r="B147" s="0" t="str">
        <f aca="false">'Basis Options'!C152</f>
        <v>NF5578.2</v>
      </c>
      <c r="C147" s="0" t="s">
        <v>622</v>
      </c>
      <c r="D147" s="0" t="s">
        <v>623</v>
      </c>
      <c r="E147" s="0" t="s">
        <v>131</v>
      </c>
      <c r="F147" s="0" t="str">
        <f aca="false">'Basis Options'!A152</f>
        <v>ELPASMER</v>
      </c>
      <c r="G147" s="0" t="s">
        <v>628</v>
      </c>
      <c r="H147" s="0" t="s">
        <v>625</v>
      </c>
      <c r="I147" s="0" t="s">
        <v>626</v>
      </c>
      <c r="J147" s="0" t="s">
        <v>627</v>
      </c>
      <c r="K147" s="475" t="n">
        <f aca="false">'Basis Options'!G152</f>
        <v>36861</v>
      </c>
      <c r="L147" s="254" t="e">
        <f aca="false">'Basis Options'!U152</f>
        <v>#NAME?</v>
      </c>
      <c r="M147" s="475" t="n">
        <f aca="false">'Basis Options'!Q152</f>
        <v>36859</v>
      </c>
      <c r="N147" s="0" t="str">
        <f aca="false">'Basis Options'!F152</f>
        <v>P</v>
      </c>
      <c r="O147" s="0" t="n">
        <f aca="false">'Basis Options'!I152</f>
        <v>0</v>
      </c>
      <c r="P147" s="0" t="n">
        <v>0</v>
      </c>
      <c r="Q147" s="0" t="n">
        <v>0</v>
      </c>
      <c r="R147" s="0" t="n">
        <v>0</v>
      </c>
      <c r="S147" s="0" t="n">
        <v>0</v>
      </c>
      <c r="T147" s="0" t="s">
        <v>624</v>
      </c>
      <c r="U147" s="0" t="str">
        <f aca="false">IF('Basis Options'!D152="NGI/CHI. GATE","""NGI/CHI. GATE""",TRIM('Basis Options'!D152))</f>
        <v>IF-NNG/VENT</v>
      </c>
      <c r="V147" s="0" t="s">
        <v>624</v>
      </c>
      <c r="W147" s="0" t="s">
        <v>569</v>
      </c>
      <c r="X147" s="0" t="s">
        <v>624</v>
      </c>
      <c r="Y147" s="0" t="s">
        <v>627</v>
      </c>
      <c r="Z147" s="0" t="s">
        <v>629</v>
      </c>
      <c r="AA147" s="0" t="s">
        <v>624</v>
      </c>
      <c r="AB147" s="0" t="s">
        <v>132</v>
      </c>
      <c r="AC147" s="254" t="n">
        <f aca="false">'Basis Options'!H152</f>
        <v>-1000000</v>
      </c>
      <c r="AD147" s="254" t="e">
        <f aca="false">'Basis Options'!W152</f>
        <v>#NAME?</v>
      </c>
      <c r="AE147" s="0" t="n">
        <v>0</v>
      </c>
      <c r="AF147" s="0" t="n">
        <v>0</v>
      </c>
      <c r="AG147" s="0" t="n">
        <v>0</v>
      </c>
      <c r="AH147" s="254" t="e">
        <f aca="false">'Basis Options'!CD152</f>
        <v>#NAME?</v>
      </c>
      <c r="AI147" s="0" t="n">
        <v>226</v>
      </c>
      <c r="AJ147" s="0" t="s">
        <v>630</v>
      </c>
      <c r="AK147" s="0" t="n">
        <v>0</v>
      </c>
      <c r="AL147" s="0" t="n">
        <v>0</v>
      </c>
      <c r="AM147" s="0" t="n">
        <v>0</v>
      </c>
    </row>
    <row r="148" customFormat="false" ht="12.75" hidden="false" customHeight="false" outlineLevel="0" collapsed="false">
      <c r="A148" s="0" t="s">
        <v>621</v>
      </c>
      <c r="B148" s="0" t="str">
        <f aca="false">'Basis Options'!C153</f>
        <v>NF5578.2</v>
      </c>
      <c r="C148" s="0" t="s">
        <v>622</v>
      </c>
      <c r="D148" s="0" t="s">
        <v>623</v>
      </c>
      <c r="E148" s="0" t="s">
        <v>131</v>
      </c>
      <c r="F148" s="0" t="str">
        <f aca="false">'Basis Options'!A153</f>
        <v>ELPASMER</v>
      </c>
      <c r="G148" s="0" t="s">
        <v>628</v>
      </c>
      <c r="H148" s="0" t="s">
        <v>625</v>
      </c>
      <c r="I148" s="0" t="s">
        <v>626</v>
      </c>
      <c r="J148" s="0" t="s">
        <v>627</v>
      </c>
      <c r="K148" s="475" t="n">
        <f aca="false">'Basis Options'!G153</f>
        <v>36831</v>
      </c>
      <c r="L148" s="254" t="e">
        <f aca="false">'Basis Options'!U153</f>
        <v>#NAME?</v>
      </c>
      <c r="M148" s="475" t="n">
        <f aca="false">'Basis Options'!Q153</f>
        <v>36829</v>
      </c>
      <c r="N148" s="0" t="str">
        <f aca="false">'Basis Options'!F153</f>
        <v>P</v>
      </c>
      <c r="O148" s="0" t="n">
        <f aca="false">'Basis Options'!I153</f>
        <v>0</v>
      </c>
      <c r="P148" s="0" t="n">
        <v>0</v>
      </c>
      <c r="Q148" s="0" t="n">
        <v>0</v>
      </c>
      <c r="R148" s="0" t="n">
        <v>0</v>
      </c>
      <c r="S148" s="0" t="n">
        <v>0</v>
      </c>
      <c r="T148" s="0" t="s">
        <v>624</v>
      </c>
      <c r="U148" s="0" t="str">
        <f aca="false">IF('Basis Options'!D153="NGI/CHI. GATE","""NGI/CHI. GATE""",TRIM('Basis Options'!D153))</f>
        <v>IF-NNG/VENT</v>
      </c>
      <c r="V148" s="0" t="s">
        <v>624</v>
      </c>
      <c r="W148" s="0" t="s">
        <v>569</v>
      </c>
      <c r="X148" s="0" t="s">
        <v>624</v>
      </c>
      <c r="Y148" s="0" t="s">
        <v>627</v>
      </c>
      <c r="Z148" s="0" t="s">
        <v>629</v>
      </c>
      <c r="AA148" s="0" t="s">
        <v>624</v>
      </c>
      <c r="AB148" s="0" t="s">
        <v>132</v>
      </c>
      <c r="AC148" s="254" t="n">
        <f aca="false">'Basis Options'!H153</f>
        <v>-1000000</v>
      </c>
      <c r="AD148" s="254" t="e">
        <f aca="false">'Basis Options'!W153</f>
        <v>#NAME?</v>
      </c>
      <c r="AE148" s="0" t="n">
        <v>0</v>
      </c>
      <c r="AF148" s="0" t="n">
        <v>0</v>
      </c>
      <c r="AG148" s="0" t="n">
        <v>0</v>
      </c>
      <c r="AH148" s="254" t="e">
        <f aca="false">'Basis Options'!CD153</f>
        <v>#NAME?</v>
      </c>
      <c r="AI148" s="0" t="n">
        <v>226</v>
      </c>
      <c r="AJ148" s="0" t="s">
        <v>630</v>
      </c>
      <c r="AK148" s="0" t="n">
        <v>0</v>
      </c>
      <c r="AL148" s="0" t="n">
        <v>0</v>
      </c>
      <c r="AM148" s="0" t="n">
        <v>0</v>
      </c>
    </row>
    <row r="149" customFormat="false" ht="12.75" hidden="false" customHeight="false" outlineLevel="0" collapsed="false">
      <c r="A149" s="0" t="s">
        <v>621</v>
      </c>
      <c r="B149" s="0" t="str">
        <f aca="false">'Basis Options'!C154</f>
        <v>NF5578.2</v>
      </c>
      <c r="C149" s="0" t="s">
        <v>622</v>
      </c>
      <c r="D149" s="0" t="s">
        <v>623</v>
      </c>
      <c r="E149" s="0" t="s">
        <v>131</v>
      </c>
      <c r="F149" s="0" t="str">
        <f aca="false">'Basis Options'!A154</f>
        <v>ELPASMER</v>
      </c>
      <c r="G149" s="0" t="s">
        <v>628</v>
      </c>
      <c r="H149" s="0" t="s">
        <v>625</v>
      </c>
      <c r="I149" s="0" t="s">
        <v>626</v>
      </c>
      <c r="J149" s="0" t="s">
        <v>627</v>
      </c>
      <c r="K149" s="475" t="n">
        <f aca="false">'Basis Options'!G154</f>
        <v>36800</v>
      </c>
      <c r="L149" s="254" t="e">
        <f aca="false">'Basis Options'!U154</f>
        <v>#NAME?</v>
      </c>
      <c r="M149" s="475" t="n">
        <f aca="false">'Basis Options'!Q154</f>
        <v>36797</v>
      </c>
      <c r="N149" s="0" t="str">
        <f aca="false">'Basis Options'!F154</f>
        <v>P</v>
      </c>
      <c r="O149" s="0" t="n">
        <f aca="false">'Basis Options'!I154</f>
        <v>0</v>
      </c>
      <c r="P149" s="0" t="n">
        <v>0</v>
      </c>
      <c r="Q149" s="0" t="n">
        <v>0</v>
      </c>
      <c r="R149" s="0" t="n">
        <v>0</v>
      </c>
      <c r="S149" s="0" t="n">
        <v>0</v>
      </c>
      <c r="T149" s="0" t="s">
        <v>624</v>
      </c>
      <c r="U149" s="0" t="str">
        <f aca="false">IF('Basis Options'!D154="NGI/CHI. GATE","""NGI/CHI. GATE""",TRIM('Basis Options'!D154))</f>
        <v>IF-NNG/VENT</v>
      </c>
      <c r="V149" s="0" t="s">
        <v>624</v>
      </c>
      <c r="W149" s="0" t="s">
        <v>569</v>
      </c>
      <c r="X149" s="0" t="s">
        <v>624</v>
      </c>
      <c r="Y149" s="0" t="s">
        <v>627</v>
      </c>
      <c r="Z149" s="0" t="s">
        <v>629</v>
      </c>
      <c r="AA149" s="0" t="s">
        <v>624</v>
      </c>
      <c r="AB149" s="0" t="s">
        <v>132</v>
      </c>
      <c r="AC149" s="254" t="n">
        <f aca="false">'Basis Options'!H154</f>
        <v>-1000000</v>
      </c>
      <c r="AD149" s="254" t="e">
        <f aca="false">'Basis Options'!W154</f>
        <v>#NAME?</v>
      </c>
      <c r="AE149" s="0" t="n">
        <v>0</v>
      </c>
      <c r="AF149" s="0" t="n">
        <v>0</v>
      </c>
      <c r="AG149" s="0" t="n">
        <v>0</v>
      </c>
      <c r="AH149" s="254" t="e">
        <f aca="false">'Basis Options'!CD154</f>
        <v>#NAME?</v>
      </c>
      <c r="AI149" s="0" t="n">
        <v>226</v>
      </c>
      <c r="AJ149" s="0" t="s">
        <v>630</v>
      </c>
      <c r="AK149" s="0" t="n">
        <v>0</v>
      </c>
      <c r="AL149" s="0" t="n">
        <v>0</v>
      </c>
      <c r="AM149" s="0" t="n">
        <v>0</v>
      </c>
    </row>
    <row r="150" customFormat="false" ht="12.75" hidden="false" customHeight="false" outlineLevel="0" collapsed="false">
      <c r="A150" s="0" t="s">
        <v>621</v>
      </c>
      <c r="B150" s="0" t="str">
        <f aca="false">'Basis Options'!C155</f>
        <v>NF5578.2</v>
      </c>
      <c r="C150" s="0" t="s">
        <v>622</v>
      </c>
      <c r="D150" s="0" t="s">
        <v>623</v>
      </c>
      <c r="E150" s="0" t="s">
        <v>131</v>
      </c>
      <c r="F150" s="0" t="str">
        <f aca="false">'Basis Options'!A155</f>
        <v>ELPASMER</v>
      </c>
      <c r="G150" s="0" t="s">
        <v>628</v>
      </c>
      <c r="H150" s="0" t="s">
        <v>625</v>
      </c>
      <c r="I150" s="0" t="s">
        <v>626</v>
      </c>
      <c r="J150" s="0" t="s">
        <v>627</v>
      </c>
      <c r="K150" s="475" t="n">
        <f aca="false">'Basis Options'!G155</f>
        <v>36770</v>
      </c>
      <c r="L150" s="254" t="e">
        <f aca="false">'Basis Options'!U155</f>
        <v>#NAME?</v>
      </c>
      <c r="M150" s="475" t="n">
        <f aca="false">'Basis Options'!Q155</f>
        <v>36768</v>
      </c>
      <c r="N150" s="0" t="str">
        <f aca="false">'Basis Options'!F155</f>
        <v>P</v>
      </c>
      <c r="O150" s="0" t="n">
        <f aca="false">'Basis Options'!I155</f>
        <v>0</v>
      </c>
      <c r="P150" s="0" t="n">
        <v>0</v>
      </c>
      <c r="Q150" s="0" t="n">
        <v>0</v>
      </c>
      <c r="R150" s="0" t="n">
        <v>0</v>
      </c>
      <c r="S150" s="0" t="n">
        <v>0</v>
      </c>
      <c r="T150" s="0" t="s">
        <v>624</v>
      </c>
      <c r="U150" s="0" t="str">
        <f aca="false">IF('Basis Options'!D155="NGI/CHI. GATE","""NGI/CHI. GATE""",TRIM('Basis Options'!D155))</f>
        <v>IF-NNG/VENT</v>
      </c>
      <c r="V150" s="0" t="s">
        <v>624</v>
      </c>
      <c r="W150" s="0" t="s">
        <v>569</v>
      </c>
      <c r="X150" s="0" t="s">
        <v>624</v>
      </c>
      <c r="Y150" s="0" t="s">
        <v>627</v>
      </c>
      <c r="Z150" s="0" t="s">
        <v>629</v>
      </c>
      <c r="AA150" s="0" t="s">
        <v>624</v>
      </c>
      <c r="AB150" s="0" t="s">
        <v>132</v>
      </c>
      <c r="AC150" s="254" t="n">
        <f aca="false">'Basis Options'!H155</f>
        <v>-1000000</v>
      </c>
      <c r="AD150" s="254" t="e">
        <f aca="false">'Basis Options'!W155</f>
        <v>#NAME?</v>
      </c>
      <c r="AE150" s="0" t="n">
        <v>0</v>
      </c>
      <c r="AF150" s="0" t="n">
        <v>0</v>
      </c>
      <c r="AG150" s="0" t="n">
        <v>0</v>
      </c>
      <c r="AH150" s="254" t="e">
        <f aca="false">'Basis Options'!CD155</f>
        <v>#NAME?</v>
      </c>
      <c r="AI150" s="0" t="n">
        <v>226</v>
      </c>
      <c r="AJ150" s="0" t="s">
        <v>630</v>
      </c>
      <c r="AK150" s="0" t="n">
        <v>0</v>
      </c>
      <c r="AL150" s="0" t="n">
        <v>0</v>
      </c>
      <c r="AM150" s="0" t="n">
        <v>0</v>
      </c>
    </row>
    <row r="151" customFormat="false" ht="12.75" hidden="false" customHeight="false" outlineLevel="0" collapsed="false">
      <c r="A151" s="0" t="s">
        <v>621</v>
      </c>
      <c r="B151" s="0" t="str">
        <f aca="false">'Basis Options'!C156</f>
        <v>NF6503.1</v>
      </c>
      <c r="C151" s="0" t="s">
        <v>622</v>
      </c>
      <c r="D151" s="0" t="s">
        <v>623</v>
      </c>
      <c r="E151" s="0" t="s">
        <v>131</v>
      </c>
      <c r="F151" s="0" t="str">
        <f aca="false">'Basis Options'!A156</f>
        <v>JARON</v>
      </c>
      <c r="G151" s="0" t="s">
        <v>628</v>
      </c>
      <c r="H151" s="0" t="s">
        <v>625</v>
      </c>
      <c r="I151" s="0" t="s">
        <v>626</v>
      </c>
      <c r="J151" s="0" t="s">
        <v>627</v>
      </c>
      <c r="K151" s="475" t="n">
        <f aca="false">'Basis Options'!G156</f>
        <v>36951</v>
      </c>
      <c r="L151" s="254" t="e">
        <f aca="false">'Basis Options'!U156</f>
        <v>#NAME?</v>
      </c>
      <c r="M151" s="475" t="n">
        <f aca="false">'Basis Options'!Q156</f>
        <v>36949</v>
      </c>
      <c r="N151" s="0" t="str">
        <f aca="false">'Basis Options'!F156</f>
        <v>C</v>
      </c>
      <c r="O151" s="0" t="n">
        <f aca="false">'Basis Options'!I156</f>
        <v>-0.27</v>
      </c>
      <c r="P151" s="0" t="n">
        <v>0</v>
      </c>
      <c r="Q151" s="0" t="n">
        <v>0</v>
      </c>
      <c r="R151" s="0" t="n">
        <v>0</v>
      </c>
      <c r="S151" s="0" t="n">
        <v>0</v>
      </c>
      <c r="T151" s="0" t="s">
        <v>624</v>
      </c>
      <c r="U151" s="0" t="str">
        <f aca="false">IF('Basis Options'!D156="NGI/CHI. GATE","""NGI/CHI. GATE""",TRIM('Basis Options'!D156))</f>
        <v>IF-NWPL_ROCKY_M</v>
      </c>
      <c r="V151" s="0" t="s">
        <v>624</v>
      </c>
      <c r="W151" s="0" t="s">
        <v>569</v>
      </c>
      <c r="X151" s="0" t="s">
        <v>624</v>
      </c>
      <c r="Y151" s="0" t="s">
        <v>627</v>
      </c>
      <c r="Z151" s="0" t="s">
        <v>629</v>
      </c>
      <c r="AA151" s="0" t="s">
        <v>624</v>
      </c>
      <c r="AB151" s="0" t="s">
        <v>132</v>
      </c>
      <c r="AC151" s="254" t="n">
        <f aca="false">'Basis Options'!H156</f>
        <v>310000</v>
      </c>
      <c r="AD151" s="254" t="e">
        <f aca="false">'Basis Options'!W156</f>
        <v>#NAME?</v>
      </c>
      <c r="AE151" s="0" t="n">
        <v>0</v>
      </c>
      <c r="AF151" s="0" t="n">
        <v>0</v>
      </c>
      <c r="AG151" s="0" t="n">
        <v>0</v>
      </c>
      <c r="AH151" s="254" t="e">
        <f aca="false">'Basis Options'!CD156</f>
        <v>#NAME?</v>
      </c>
      <c r="AI151" s="0" t="n">
        <v>226</v>
      </c>
      <c r="AJ151" s="0" t="s">
        <v>630</v>
      </c>
      <c r="AK151" s="0" t="n">
        <v>0</v>
      </c>
      <c r="AL151" s="0" t="n">
        <v>0</v>
      </c>
      <c r="AM151" s="0" t="n">
        <v>0</v>
      </c>
    </row>
    <row r="152" customFormat="false" ht="12.75" hidden="false" customHeight="false" outlineLevel="0" collapsed="false">
      <c r="A152" s="0" t="s">
        <v>621</v>
      </c>
      <c r="B152" s="0" t="str">
        <f aca="false">'Basis Options'!C157</f>
        <v>NF6503.1</v>
      </c>
      <c r="C152" s="0" t="s">
        <v>622</v>
      </c>
      <c r="D152" s="0" t="s">
        <v>623</v>
      </c>
      <c r="E152" s="0" t="s">
        <v>131</v>
      </c>
      <c r="F152" s="0" t="str">
        <f aca="false">'Basis Options'!A157</f>
        <v>JARON</v>
      </c>
      <c r="G152" s="0" t="s">
        <v>628</v>
      </c>
      <c r="H152" s="0" t="s">
        <v>625</v>
      </c>
      <c r="I152" s="0" t="s">
        <v>626</v>
      </c>
      <c r="J152" s="0" t="s">
        <v>627</v>
      </c>
      <c r="K152" s="475" t="n">
        <f aca="false">'Basis Options'!G157</f>
        <v>36923</v>
      </c>
      <c r="L152" s="254" t="e">
        <f aca="false">'Basis Options'!U157</f>
        <v>#NAME?</v>
      </c>
      <c r="M152" s="475" t="n">
        <f aca="false">'Basis Options'!Q157</f>
        <v>36921</v>
      </c>
      <c r="N152" s="0" t="str">
        <f aca="false">'Basis Options'!F157</f>
        <v>C</v>
      </c>
      <c r="O152" s="0" t="n">
        <f aca="false">'Basis Options'!I157</f>
        <v>-0.27</v>
      </c>
      <c r="P152" s="0" t="n">
        <v>0</v>
      </c>
      <c r="Q152" s="0" t="n">
        <v>0</v>
      </c>
      <c r="R152" s="0" t="n">
        <v>0</v>
      </c>
      <c r="S152" s="0" t="n">
        <v>0</v>
      </c>
      <c r="T152" s="0" t="s">
        <v>624</v>
      </c>
      <c r="U152" s="0" t="str">
        <f aca="false">IF('Basis Options'!D157="NGI/CHI. GATE","""NGI/CHI. GATE""",TRIM('Basis Options'!D157))</f>
        <v>IF-NWPL_ROCKY_M</v>
      </c>
      <c r="V152" s="0" t="s">
        <v>624</v>
      </c>
      <c r="W152" s="0" t="s">
        <v>569</v>
      </c>
      <c r="X152" s="0" t="s">
        <v>624</v>
      </c>
      <c r="Y152" s="0" t="s">
        <v>627</v>
      </c>
      <c r="Z152" s="0" t="s">
        <v>629</v>
      </c>
      <c r="AA152" s="0" t="s">
        <v>624</v>
      </c>
      <c r="AB152" s="0" t="s">
        <v>132</v>
      </c>
      <c r="AC152" s="254" t="n">
        <f aca="false">'Basis Options'!H157</f>
        <v>280000</v>
      </c>
      <c r="AD152" s="254" t="e">
        <f aca="false">'Basis Options'!W157</f>
        <v>#NAME?</v>
      </c>
      <c r="AE152" s="0" t="n">
        <v>0</v>
      </c>
      <c r="AF152" s="0" t="n">
        <v>0</v>
      </c>
      <c r="AG152" s="0" t="n">
        <v>0</v>
      </c>
      <c r="AH152" s="254" t="e">
        <f aca="false">'Basis Options'!CD157</f>
        <v>#NAME?</v>
      </c>
      <c r="AI152" s="0" t="n">
        <v>226</v>
      </c>
      <c r="AJ152" s="0" t="s">
        <v>630</v>
      </c>
      <c r="AK152" s="0" t="n">
        <v>0</v>
      </c>
      <c r="AL152" s="0" t="n">
        <v>0</v>
      </c>
      <c r="AM152" s="0" t="n">
        <v>0</v>
      </c>
    </row>
    <row r="153" customFormat="false" ht="12.75" hidden="false" customHeight="false" outlineLevel="0" collapsed="false">
      <c r="A153" s="0" t="s">
        <v>621</v>
      </c>
      <c r="B153" s="0" t="str">
        <f aca="false">'Basis Options'!C158</f>
        <v>NF6503.1</v>
      </c>
      <c r="C153" s="0" t="s">
        <v>622</v>
      </c>
      <c r="D153" s="0" t="s">
        <v>623</v>
      </c>
      <c r="E153" s="0" t="s">
        <v>131</v>
      </c>
      <c r="F153" s="0" t="str">
        <f aca="false">'Basis Options'!A158</f>
        <v>JARON</v>
      </c>
      <c r="G153" s="0" t="s">
        <v>628</v>
      </c>
      <c r="H153" s="0" t="s">
        <v>625</v>
      </c>
      <c r="I153" s="0" t="s">
        <v>626</v>
      </c>
      <c r="J153" s="0" t="s">
        <v>627</v>
      </c>
      <c r="K153" s="475" t="n">
        <f aca="false">'Basis Options'!G158</f>
        <v>36892</v>
      </c>
      <c r="L153" s="254" t="e">
        <f aca="false">'Basis Options'!U158</f>
        <v>#NAME?</v>
      </c>
      <c r="M153" s="475" t="n">
        <f aca="false">'Basis Options'!Q158</f>
        <v>36888</v>
      </c>
      <c r="N153" s="0" t="str">
        <f aca="false">'Basis Options'!F158</f>
        <v>C</v>
      </c>
      <c r="O153" s="0" t="n">
        <f aca="false">'Basis Options'!I158</f>
        <v>-0.27</v>
      </c>
      <c r="P153" s="0" t="n">
        <v>0</v>
      </c>
      <c r="Q153" s="0" t="n">
        <v>0</v>
      </c>
      <c r="R153" s="0" t="n">
        <v>0</v>
      </c>
      <c r="S153" s="0" t="n">
        <v>0</v>
      </c>
      <c r="T153" s="0" t="s">
        <v>624</v>
      </c>
      <c r="U153" s="0" t="str">
        <f aca="false">IF('Basis Options'!D158="NGI/CHI. GATE","""NGI/CHI. GATE""",TRIM('Basis Options'!D158))</f>
        <v>IF-NWPL_ROCKY_M</v>
      </c>
      <c r="V153" s="0" t="s">
        <v>624</v>
      </c>
      <c r="W153" s="0" t="s">
        <v>569</v>
      </c>
      <c r="X153" s="0" t="s">
        <v>624</v>
      </c>
      <c r="Y153" s="0" t="s">
        <v>627</v>
      </c>
      <c r="Z153" s="0" t="s">
        <v>629</v>
      </c>
      <c r="AA153" s="0" t="s">
        <v>624</v>
      </c>
      <c r="AB153" s="0" t="s">
        <v>132</v>
      </c>
      <c r="AC153" s="254" t="n">
        <f aca="false">'Basis Options'!H158</f>
        <v>310000</v>
      </c>
      <c r="AD153" s="254" t="e">
        <f aca="false">'Basis Options'!W158</f>
        <v>#NAME?</v>
      </c>
      <c r="AE153" s="0" t="n">
        <v>0</v>
      </c>
      <c r="AF153" s="0" t="n">
        <v>0</v>
      </c>
      <c r="AG153" s="0" t="n">
        <v>0</v>
      </c>
      <c r="AH153" s="254" t="e">
        <f aca="false">'Basis Options'!CD158</f>
        <v>#NAME?</v>
      </c>
      <c r="AI153" s="0" t="n">
        <v>226</v>
      </c>
      <c r="AJ153" s="0" t="s">
        <v>630</v>
      </c>
      <c r="AK153" s="0" t="n">
        <v>0</v>
      </c>
      <c r="AL153" s="0" t="n">
        <v>0</v>
      </c>
      <c r="AM153" s="0" t="n">
        <v>0</v>
      </c>
    </row>
    <row r="154" customFormat="false" ht="12.75" hidden="false" customHeight="false" outlineLevel="0" collapsed="false">
      <c r="A154" s="0" t="s">
        <v>621</v>
      </c>
      <c r="B154" s="0" t="str">
        <f aca="false">'Basis Options'!C159</f>
        <v>NF6503.1</v>
      </c>
      <c r="C154" s="0" t="s">
        <v>622</v>
      </c>
      <c r="D154" s="0" t="s">
        <v>623</v>
      </c>
      <c r="E154" s="0" t="s">
        <v>131</v>
      </c>
      <c r="F154" s="0" t="str">
        <f aca="false">'Basis Options'!A159</f>
        <v>JARON</v>
      </c>
      <c r="G154" s="0" t="s">
        <v>628</v>
      </c>
      <c r="H154" s="0" t="s">
        <v>625</v>
      </c>
      <c r="I154" s="0" t="s">
        <v>626</v>
      </c>
      <c r="J154" s="0" t="s">
        <v>627</v>
      </c>
      <c r="K154" s="475" t="n">
        <f aca="false">'Basis Options'!G159</f>
        <v>36861</v>
      </c>
      <c r="L154" s="254" t="e">
        <f aca="false">'Basis Options'!U159</f>
        <v>#NAME?</v>
      </c>
      <c r="M154" s="475" t="n">
        <f aca="false">'Basis Options'!Q159</f>
        <v>36859</v>
      </c>
      <c r="N154" s="0" t="str">
        <f aca="false">'Basis Options'!F159</f>
        <v>C</v>
      </c>
      <c r="O154" s="0" t="n">
        <f aca="false">'Basis Options'!I159</f>
        <v>-0.27</v>
      </c>
      <c r="P154" s="0" t="n">
        <v>0</v>
      </c>
      <c r="Q154" s="0" t="n">
        <v>0</v>
      </c>
      <c r="R154" s="0" t="n">
        <v>0</v>
      </c>
      <c r="S154" s="0" t="n">
        <v>0</v>
      </c>
      <c r="T154" s="0" t="s">
        <v>624</v>
      </c>
      <c r="U154" s="0" t="str">
        <f aca="false">IF('Basis Options'!D159="NGI/CHI. GATE","""NGI/CHI. GATE""",TRIM('Basis Options'!D159))</f>
        <v>IF-NWPL_ROCKY_M</v>
      </c>
      <c r="V154" s="0" t="s">
        <v>624</v>
      </c>
      <c r="W154" s="0" t="s">
        <v>569</v>
      </c>
      <c r="X154" s="0" t="s">
        <v>624</v>
      </c>
      <c r="Y154" s="0" t="s">
        <v>627</v>
      </c>
      <c r="Z154" s="0" t="s">
        <v>629</v>
      </c>
      <c r="AA154" s="0" t="s">
        <v>624</v>
      </c>
      <c r="AB154" s="0" t="s">
        <v>132</v>
      </c>
      <c r="AC154" s="254" t="n">
        <f aca="false">'Basis Options'!H159</f>
        <v>310000</v>
      </c>
      <c r="AD154" s="254" t="e">
        <f aca="false">'Basis Options'!W159</f>
        <v>#NAME?</v>
      </c>
      <c r="AE154" s="0" t="n">
        <v>0</v>
      </c>
      <c r="AF154" s="0" t="n">
        <v>0</v>
      </c>
      <c r="AG154" s="0" t="n">
        <v>0</v>
      </c>
      <c r="AH154" s="254" t="e">
        <f aca="false">'Basis Options'!CD159</f>
        <v>#NAME?</v>
      </c>
      <c r="AI154" s="0" t="n">
        <v>226</v>
      </c>
      <c r="AJ154" s="0" t="s">
        <v>630</v>
      </c>
      <c r="AK154" s="0" t="n">
        <v>0</v>
      </c>
      <c r="AL154" s="0" t="n">
        <v>0</v>
      </c>
      <c r="AM154" s="0" t="n">
        <v>0</v>
      </c>
    </row>
    <row r="155" customFormat="false" ht="12.75" hidden="false" customHeight="false" outlineLevel="0" collapsed="false">
      <c r="A155" s="0" t="s">
        <v>621</v>
      </c>
      <c r="B155" s="0" t="str">
        <f aca="false">'Basis Options'!C160</f>
        <v>NF6503.1</v>
      </c>
      <c r="C155" s="0" t="s">
        <v>622</v>
      </c>
      <c r="D155" s="0" t="s">
        <v>623</v>
      </c>
      <c r="E155" s="0" t="s">
        <v>131</v>
      </c>
      <c r="F155" s="0" t="str">
        <f aca="false">'Basis Options'!A160</f>
        <v>JARON</v>
      </c>
      <c r="G155" s="0" t="s">
        <v>628</v>
      </c>
      <c r="H155" s="0" t="s">
        <v>625</v>
      </c>
      <c r="I155" s="0" t="s">
        <v>626</v>
      </c>
      <c r="J155" s="0" t="s">
        <v>627</v>
      </c>
      <c r="K155" s="475" t="n">
        <f aca="false">'Basis Options'!G160</f>
        <v>36831</v>
      </c>
      <c r="L155" s="254" t="e">
        <f aca="false">'Basis Options'!U160</f>
        <v>#NAME?</v>
      </c>
      <c r="M155" s="475" t="n">
        <f aca="false">'Basis Options'!Q160</f>
        <v>36829</v>
      </c>
      <c r="N155" s="0" t="str">
        <f aca="false">'Basis Options'!F160</f>
        <v>C</v>
      </c>
      <c r="O155" s="0" t="n">
        <f aca="false">'Basis Options'!I160</f>
        <v>-0.27</v>
      </c>
      <c r="P155" s="0" t="n">
        <v>0</v>
      </c>
      <c r="Q155" s="0" t="n">
        <v>0</v>
      </c>
      <c r="R155" s="0" t="n">
        <v>0</v>
      </c>
      <c r="S155" s="0" t="n">
        <v>0</v>
      </c>
      <c r="T155" s="0" t="s">
        <v>624</v>
      </c>
      <c r="U155" s="0" t="str">
        <f aca="false">IF('Basis Options'!D160="NGI/CHI. GATE","""NGI/CHI. GATE""",TRIM('Basis Options'!D160))</f>
        <v>IF-NWPL_ROCKY_M</v>
      </c>
      <c r="V155" s="0" t="s">
        <v>624</v>
      </c>
      <c r="W155" s="0" t="s">
        <v>569</v>
      </c>
      <c r="X155" s="0" t="s">
        <v>624</v>
      </c>
      <c r="Y155" s="0" t="s">
        <v>627</v>
      </c>
      <c r="Z155" s="0" t="s">
        <v>629</v>
      </c>
      <c r="AA155" s="0" t="s">
        <v>624</v>
      </c>
      <c r="AB155" s="0" t="s">
        <v>132</v>
      </c>
      <c r="AC155" s="254" t="n">
        <f aca="false">'Basis Options'!H160</f>
        <v>300000</v>
      </c>
      <c r="AD155" s="254" t="e">
        <f aca="false">'Basis Options'!W160</f>
        <v>#NAME?</v>
      </c>
      <c r="AE155" s="0" t="n">
        <v>0</v>
      </c>
      <c r="AF155" s="0" t="n">
        <v>0</v>
      </c>
      <c r="AG155" s="0" t="n">
        <v>0</v>
      </c>
      <c r="AH155" s="254" t="e">
        <f aca="false">'Basis Options'!CD160</f>
        <v>#NAME?</v>
      </c>
      <c r="AI155" s="0" t="n">
        <v>226</v>
      </c>
      <c r="AJ155" s="0" t="s">
        <v>630</v>
      </c>
      <c r="AK155" s="0" t="n">
        <v>0</v>
      </c>
      <c r="AL155" s="0" t="n">
        <v>0</v>
      </c>
      <c r="AM155" s="0" t="n">
        <v>0</v>
      </c>
    </row>
    <row r="156" customFormat="false" ht="12.75" hidden="false" customHeight="false" outlineLevel="0" collapsed="false">
      <c r="A156" s="0" t="s">
        <v>621</v>
      </c>
      <c r="B156" s="0" t="str">
        <f aca="false">'Basis Options'!C161</f>
        <v>NF6503.1</v>
      </c>
      <c r="C156" s="0" t="s">
        <v>622</v>
      </c>
      <c r="D156" s="0" t="s">
        <v>623</v>
      </c>
      <c r="E156" s="0" t="s">
        <v>131</v>
      </c>
      <c r="F156" s="0" t="str">
        <f aca="false">'Basis Options'!A161</f>
        <v>JARON</v>
      </c>
      <c r="G156" s="0" t="s">
        <v>628</v>
      </c>
      <c r="H156" s="0" t="s">
        <v>625</v>
      </c>
      <c r="I156" s="0" t="s">
        <v>626</v>
      </c>
      <c r="J156" s="0" t="s">
        <v>627</v>
      </c>
      <c r="K156" s="475" t="n">
        <f aca="false">'Basis Options'!G161</f>
        <v>36800</v>
      </c>
      <c r="L156" s="254" t="e">
        <f aca="false">'Basis Options'!U161</f>
        <v>#NAME?</v>
      </c>
      <c r="M156" s="475" t="n">
        <f aca="false">'Basis Options'!Q161</f>
        <v>36797</v>
      </c>
      <c r="N156" s="0" t="str">
        <f aca="false">'Basis Options'!F161</f>
        <v>C</v>
      </c>
      <c r="O156" s="0" t="n">
        <f aca="false">'Basis Options'!I161</f>
        <v>-0.27</v>
      </c>
      <c r="P156" s="0" t="n">
        <v>0</v>
      </c>
      <c r="Q156" s="0" t="n">
        <v>0</v>
      </c>
      <c r="R156" s="0" t="n">
        <v>0</v>
      </c>
      <c r="S156" s="0" t="n">
        <v>0</v>
      </c>
      <c r="T156" s="0" t="s">
        <v>624</v>
      </c>
      <c r="U156" s="0" t="str">
        <f aca="false">IF('Basis Options'!D161="NGI/CHI. GATE","""NGI/CHI. GATE""",TRIM('Basis Options'!D161))</f>
        <v>IF-NWPL_ROCKY_M</v>
      </c>
      <c r="V156" s="0" t="s">
        <v>624</v>
      </c>
      <c r="W156" s="0" t="s">
        <v>569</v>
      </c>
      <c r="X156" s="0" t="s">
        <v>624</v>
      </c>
      <c r="Y156" s="0" t="s">
        <v>627</v>
      </c>
      <c r="Z156" s="0" t="s">
        <v>629</v>
      </c>
      <c r="AA156" s="0" t="s">
        <v>624</v>
      </c>
      <c r="AB156" s="0" t="s">
        <v>132</v>
      </c>
      <c r="AC156" s="254" t="n">
        <f aca="false">'Basis Options'!H161</f>
        <v>310000</v>
      </c>
      <c r="AD156" s="254" t="e">
        <f aca="false">'Basis Options'!W161</f>
        <v>#NAME?</v>
      </c>
      <c r="AE156" s="0" t="n">
        <v>0</v>
      </c>
      <c r="AF156" s="0" t="n">
        <v>0</v>
      </c>
      <c r="AG156" s="0" t="n">
        <v>0</v>
      </c>
      <c r="AH156" s="254" t="e">
        <f aca="false">'Basis Options'!CD161</f>
        <v>#NAME?</v>
      </c>
      <c r="AI156" s="0" t="n">
        <v>226</v>
      </c>
      <c r="AJ156" s="0" t="s">
        <v>630</v>
      </c>
      <c r="AK156" s="0" t="n">
        <v>0</v>
      </c>
      <c r="AL156" s="0" t="n">
        <v>0</v>
      </c>
      <c r="AM156" s="0" t="n">
        <v>0</v>
      </c>
    </row>
    <row r="157" customFormat="false" ht="12.75" hidden="false" customHeight="false" outlineLevel="0" collapsed="false">
      <c r="A157" s="0" t="s">
        <v>621</v>
      </c>
      <c r="B157" s="0" t="str">
        <f aca="false">'Basis Options'!C162</f>
        <v>NF6503.1</v>
      </c>
      <c r="C157" s="0" t="s">
        <v>622</v>
      </c>
      <c r="D157" s="0" t="s">
        <v>623</v>
      </c>
      <c r="E157" s="0" t="s">
        <v>131</v>
      </c>
      <c r="F157" s="0" t="str">
        <f aca="false">'Basis Options'!A162</f>
        <v>JARON</v>
      </c>
      <c r="G157" s="0" t="s">
        <v>628</v>
      </c>
      <c r="H157" s="0" t="s">
        <v>625</v>
      </c>
      <c r="I157" s="0" t="s">
        <v>626</v>
      </c>
      <c r="J157" s="0" t="s">
        <v>627</v>
      </c>
      <c r="K157" s="475" t="n">
        <f aca="false">'Basis Options'!G162</f>
        <v>36770</v>
      </c>
      <c r="L157" s="254" t="e">
        <f aca="false">'Basis Options'!U162</f>
        <v>#NAME?</v>
      </c>
      <c r="M157" s="475" t="n">
        <f aca="false">'Basis Options'!Q162</f>
        <v>36768</v>
      </c>
      <c r="N157" s="0" t="str">
        <f aca="false">'Basis Options'!F162</f>
        <v>C</v>
      </c>
      <c r="O157" s="0" t="n">
        <f aca="false">'Basis Options'!I162</f>
        <v>-0.27</v>
      </c>
      <c r="P157" s="0" t="n">
        <v>0</v>
      </c>
      <c r="Q157" s="0" t="n">
        <v>0</v>
      </c>
      <c r="R157" s="0" t="n">
        <v>0</v>
      </c>
      <c r="S157" s="0" t="n">
        <v>0</v>
      </c>
      <c r="T157" s="0" t="s">
        <v>624</v>
      </c>
      <c r="U157" s="0" t="str">
        <f aca="false">IF('Basis Options'!D162="NGI/CHI. GATE","""NGI/CHI. GATE""",TRIM('Basis Options'!D162))</f>
        <v>IF-NWPL_ROCKY_M</v>
      </c>
      <c r="V157" s="0" t="s">
        <v>624</v>
      </c>
      <c r="W157" s="0" t="s">
        <v>569</v>
      </c>
      <c r="X157" s="0" t="s">
        <v>624</v>
      </c>
      <c r="Y157" s="0" t="s">
        <v>627</v>
      </c>
      <c r="Z157" s="0" t="s">
        <v>629</v>
      </c>
      <c r="AA157" s="0" t="s">
        <v>624</v>
      </c>
      <c r="AB157" s="0" t="s">
        <v>132</v>
      </c>
      <c r="AC157" s="254" t="n">
        <f aca="false">'Basis Options'!H162</f>
        <v>300000</v>
      </c>
      <c r="AD157" s="254" t="e">
        <f aca="false">'Basis Options'!W162</f>
        <v>#NAME?</v>
      </c>
      <c r="AE157" s="0" t="n">
        <v>0</v>
      </c>
      <c r="AF157" s="0" t="n">
        <v>0</v>
      </c>
      <c r="AG157" s="0" t="n">
        <v>0</v>
      </c>
      <c r="AH157" s="254" t="e">
        <f aca="false">'Basis Options'!CD162</f>
        <v>#NAME?</v>
      </c>
      <c r="AI157" s="0" t="n">
        <v>226</v>
      </c>
      <c r="AJ157" s="0" t="s">
        <v>630</v>
      </c>
      <c r="AK157" s="0" t="n">
        <v>0</v>
      </c>
      <c r="AL157" s="0" t="n">
        <v>0</v>
      </c>
      <c r="AM157" s="0" t="n">
        <v>0</v>
      </c>
    </row>
    <row r="158" customFormat="false" ht="12.75" hidden="false" customHeight="false" outlineLevel="0" collapsed="false">
      <c r="A158" s="0" t="s">
        <v>621</v>
      </c>
      <c r="B158" s="0" t="str">
        <f aca="false">'Basis Options'!C163</f>
        <v>NG1241.1</v>
      </c>
      <c r="C158" s="0" t="s">
        <v>622</v>
      </c>
      <c r="D158" s="0" t="s">
        <v>623</v>
      </c>
      <c r="E158" s="0" t="s">
        <v>131</v>
      </c>
      <c r="F158" s="0" t="str">
        <f aca="false">'Basis Options'!A163</f>
        <v>ELPASMER</v>
      </c>
      <c r="G158" s="0" t="s">
        <v>628</v>
      </c>
      <c r="H158" s="0" t="s">
        <v>625</v>
      </c>
      <c r="I158" s="0" t="s">
        <v>626</v>
      </c>
      <c r="J158" s="0" t="s">
        <v>627</v>
      </c>
      <c r="K158" s="475" t="n">
        <f aca="false">'Basis Options'!G163</f>
        <v>36951</v>
      </c>
      <c r="L158" s="254" t="e">
        <f aca="false">'Basis Options'!U163</f>
        <v>#NAME?</v>
      </c>
      <c r="M158" s="475" t="n">
        <f aca="false">'Basis Options'!Q163</f>
        <v>36949</v>
      </c>
      <c r="N158" s="0" t="str">
        <f aca="false">'Basis Options'!F163</f>
        <v>C</v>
      </c>
      <c r="O158" s="0" t="n">
        <f aca="false">'Basis Options'!I163</f>
        <v>1.15</v>
      </c>
      <c r="P158" s="0" t="n">
        <v>0</v>
      </c>
      <c r="Q158" s="0" t="n">
        <v>0</v>
      </c>
      <c r="R158" s="0" t="n">
        <v>0</v>
      </c>
      <c r="S158" s="0" t="n">
        <v>0</v>
      </c>
      <c r="T158" s="0" t="s">
        <v>624</v>
      </c>
      <c r="U158" s="0" t="str">
        <f aca="false">IF('Basis Options'!D163="NGI/CHI. GATE","""NGI/CHI. GATE""",TRIM('Basis Options'!D163))</f>
        <v>IF-TRANSCO/Z6</v>
      </c>
      <c r="V158" s="0" t="s">
        <v>624</v>
      </c>
      <c r="W158" s="0" t="s">
        <v>569</v>
      </c>
      <c r="X158" s="0" t="s">
        <v>624</v>
      </c>
      <c r="Y158" s="0" t="s">
        <v>627</v>
      </c>
      <c r="Z158" s="0" t="s">
        <v>629</v>
      </c>
      <c r="AA158" s="0" t="s">
        <v>624</v>
      </c>
      <c r="AB158" s="0" t="s">
        <v>132</v>
      </c>
      <c r="AC158" s="254" t="n">
        <f aca="false">'Basis Options'!H163</f>
        <v>-1000000</v>
      </c>
      <c r="AD158" s="254" t="e">
        <f aca="false">'Basis Options'!W163</f>
        <v>#NAME?</v>
      </c>
      <c r="AE158" s="0" t="n">
        <v>0</v>
      </c>
      <c r="AF158" s="0" t="n">
        <v>0</v>
      </c>
      <c r="AG158" s="0" t="n">
        <v>0</v>
      </c>
      <c r="AH158" s="254" t="e">
        <f aca="false">'Basis Options'!CD163</f>
        <v>#NAME?</v>
      </c>
      <c r="AI158" s="0" t="n">
        <v>226</v>
      </c>
      <c r="AJ158" s="0" t="s">
        <v>630</v>
      </c>
      <c r="AK158" s="0" t="n">
        <v>0</v>
      </c>
      <c r="AL158" s="0" t="n">
        <v>0</v>
      </c>
      <c r="AM158" s="0" t="n">
        <v>0</v>
      </c>
    </row>
    <row r="159" customFormat="false" ht="12.75" hidden="false" customHeight="false" outlineLevel="0" collapsed="false">
      <c r="A159" s="0" t="s">
        <v>621</v>
      </c>
      <c r="B159" s="0" t="str">
        <f aca="false">'Basis Options'!C164</f>
        <v>NG1241.1</v>
      </c>
      <c r="C159" s="0" t="s">
        <v>622</v>
      </c>
      <c r="D159" s="0" t="s">
        <v>623</v>
      </c>
      <c r="E159" s="0" t="s">
        <v>131</v>
      </c>
      <c r="F159" s="0" t="str">
        <f aca="false">'Basis Options'!A164</f>
        <v>ELPASMER</v>
      </c>
      <c r="G159" s="0" t="s">
        <v>628</v>
      </c>
      <c r="H159" s="0" t="s">
        <v>625</v>
      </c>
      <c r="I159" s="0" t="s">
        <v>626</v>
      </c>
      <c r="J159" s="0" t="s">
        <v>627</v>
      </c>
      <c r="K159" s="475" t="n">
        <f aca="false">'Basis Options'!G164</f>
        <v>36923</v>
      </c>
      <c r="L159" s="254" t="e">
        <f aca="false">'Basis Options'!U164</f>
        <v>#NAME?</v>
      </c>
      <c r="M159" s="475" t="n">
        <f aca="false">'Basis Options'!Q164</f>
        <v>36921</v>
      </c>
      <c r="N159" s="0" t="str">
        <f aca="false">'Basis Options'!F164</f>
        <v>C</v>
      </c>
      <c r="O159" s="0" t="n">
        <f aca="false">'Basis Options'!I164</f>
        <v>1.15</v>
      </c>
      <c r="P159" s="0" t="n">
        <v>0</v>
      </c>
      <c r="Q159" s="0" t="n">
        <v>0</v>
      </c>
      <c r="R159" s="0" t="n">
        <v>0</v>
      </c>
      <c r="S159" s="0" t="n">
        <v>0</v>
      </c>
      <c r="T159" s="0" t="s">
        <v>624</v>
      </c>
      <c r="U159" s="0" t="str">
        <f aca="false">IF('Basis Options'!D164="NGI/CHI. GATE","""NGI/CHI. GATE""",TRIM('Basis Options'!D164))</f>
        <v>IF-TRANSCO/Z6</v>
      </c>
      <c r="V159" s="0" t="s">
        <v>624</v>
      </c>
      <c r="W159" s="0" t="s">
        <v>569</v>
      </c>
      <c r="X159" s="0" t="s">
        <v>624</v>
      </c>
      <c r="Y159" s="0" t="s">
        <v>627</v>
      </c>
      <c r="Z159" s="0" t="s">
        <v>629</v>
      </c>
      <c r="AA159" s="0" t="s">
        <v>624</v>
      </c>
      <c r="AB159" s="0" t="s">
        <v>132</v>
      </c>
      <c r="AC159" s="254" t="n">
        <f aca="false">'Basis Options'!H164</f>
        <v>-1000000</v>
      </c>
      <c r="AD159" s="254" t="e">
        <f aca="false">'Basis Options'!W164</f>
        <v>#NAME?</v>
      </c>
      <c r="AE159" s="0" t="n">
        <v>0</v>
      </c>
      <c r="AF159" s="0" t="n">
        <v>0</v>
      </c>
      <c r="AG159" s="0" t="n">
        <v>0</v>
      </c>
      <c r="AH159" s="254" t="e">
        <f aca="false">'Basis Options'!CD164</f>
        <v>#NAME?</v>
      </c>
      <c r="AI159" s="0" t="n">
        <v>226</v>
      </c>
      <c r="AJ159" s="0" t="s">
        <v>630</v>
      </c>
      <c r="AK159" s="0" t="n">
        <v>0</v>
      </c>
      <c r="AL159" s="0" t="n">
        <v>0</v>
      </c>
      <c r="AM159" s="0" t="n">
        <v>0</v>
      </c>
    </row>
    <row r="160" customFormat="false" ht="12.75" hidden="false" customHeight="false" outlineLevel="0" collapsed="false">
      <c r="A160" s="0" t="s">
        <v>621</v>
      </c>
      <c r="B160" s="0" t="str">
        <f aca="false">'Basis Options'!C165</f>
        <v>NG1241.1</v>
      </c>
      <c r="C160" s="0" t="s">
        <v>622</v>
      </c>
      <c r="D160" s="0" t="s">
        <v>623</v>
      </c>
      <c r="E160" s="0" t="s">
        <v>131</v>
      </c>
      <c r="F160" s="0" t="str">
        <f aca="false">'Basis Options'!A165</f>
        <v>ELPASMER</v>
      </c>
      <c r="G160" s="0" t="s">
        <v>628</v>
      </c>
      <c r="H160" s="0" t="s">
        <v>625</v>
      </c>
      <c r="I160" s="0" t="s">
        <v>626</v>
      </c>
      <c r="J160" s="0" t="s">
        <v>627</v>
      </c>
      <c r="K160" s="475" t="n">
        <f aca="false">'Basis Options'!G165</f>
        <v>36892</v>
      </c>
      <c r="L160" s="254" t="e">
        <f aca="false">'Basis Options'!U165</f>
        <v>#NAME?</v>
      </c>
      <c r="M160" s="475" t="n">
        <f aca="false">'Basis Options'!Q165</f>
        <v>36888</v>
      </c>
      <c r="N160" s="0" t="str">
        <f aca="false">'Basis Options'!F165</f>
        <v>C</v>
      </c>
      <c r="O160" s="0" t="n">
        <f aca="false">'Basis Options'!I165</f>
        <v>1.15</v>
      </c>
      <c r="P160" s="0" t="n">
        <v>0</v>
      </c>
      <c r="Q160" s="0" t="n">
        <v>0</v>
      </c>
      <c r="R160" s="0" t="n">
        <v>0</v>
      </c>
      <c r="S160" s="0" t="n">
        <v>0</v>
      </c>
      <c r="T160" s="0" t="s">
        <v>624</v>
      </c>
      <c r="U160" s="0" t="str">
        <f aca="false">IF('Basis Options'!D165="NGI/CHI. GATE","""NGI/CHI. GATE""",TRIM('Basis Options'!D165))</f>
        <v>IF-TRANSCO/Z6</v>
      </c>
      <c r="V160" s="0" t="s">
        <v>624</v>
      </c>
      <c r="W160" s="0" t="s">
        <v>569</v>
      </c>
      <c r="X160" s="0" t="s">
        <v>624</v>
      </c>
      <c r="Y160" s="0" t="s">
        <v>627</v>
      </c>
      <c r="Z160" s="0" t="s">
        <v>629</v>
      </c>
      <c r="AA160" s="0" t="s">
        <v>624</v>
      </c>
      <c r="AB160" s="0" t="s">
        <v>132</v>
      </c>
      <c r="AC160" s="254" t="n">
        <f aca="false">'Basis Options'!H165</f>
        <v>-1000000</v>
      </c>
      <c r="AD160" s="254" t="e">
        <f aca="false">'Basis Options'!W165</f>
        <v>#NAME?</v>
      </c>
      <c r="AE160" s="0" t="n">
        <v>0</v>
      </c>
      <c r="AF160" s="0" t="n">
        <v>0</v>
      </c>
      <c r="AG160" s="0" t="n">
        <v>0</v>
      </c>
      <c r="AH160" s="254" t="e">
        <f aca="false">'Basis Options'!CD165</f>
        <v>#NAME?</v>
      </c>
      <c r="AI160" s="0" t="n">
        <v>226</v>
      </c>
      <c r="AJ160" s="0" t="s">
        <v>630</v>
      </c>
      <c r="AK160" s="0" t="n">
        <v>0</v>
      </c>
      <c r="AL160" s="0" t="n">
        <v>0</v>
      </c>
      <c r="AM160" s="0" t="n">
        <v>0</v>
      </c>
    </row>
    <row r="161" customFormat="false" ht="12.75" hidden="false" customHeight="false" outlineLevel="0" collapsed="false">
      <c r="A161" s="0" t="s">
        <v>621</v>
      </c>
      <c r="B161" s="0" t="str">
        <f aca="false">'Basis Options'!C166</f>
        <v>NG1241.1</v>
      </c>
      <c r="C161" s="0" t="s">
        <v>622</v>
      </c>
      <c r="D161" s="0" t="s">
        <v>623</v>
      </c>
      <c r="E161" s="0" t="s">
        <v>131</v>
      </c>
      <c r="F161" s="0" t="str">
        <f aca="false">'Basis Options'!A166</f>
        <v>ELPASMER</v>
      </c>
      <c r="G161" s="0" t="s">
        <v>628</v>
      </c>
      <c r="H161" s="0" t="s">
        <v>625</v>
      </c>
      <c r="I161" s="0" t="s">
        <v>626</v>
      </c>
      <c r="J161" s="0" t="s">
        <v>627</v>
      </c>
      <c r="K161" s="475" t="n">
        <f aca="false">'Basis Options'!G166</f>
        <v>36861</v>
      </c>
      <c r="L161" s="254" t="e">
        <f aca="false">'Basis Options'!U166</f>
        <v>#NAME?</v>
      </c>
      <c r="M161" s="475" t="n">
        <f aca="false">'Basis Options'!Q166</f>
        <v>36859</v>
      </c>
      <c r="N161" s="0" t="str">
        <f aca="false">'Basis Options'!F166</f>
        <v>C</v>
      </c>
      <c r="O161" s="0" t="n">
        <f aca="false">'Basis Options'!I166</f>
        <v>1.15</v>
      </c>
      <c r="P161" s="0" t="n">
        <v>0</v>
      </c>
      <c r="Q161" s="0" t="n">
        <v>0</v>
      </c>
      <c r="R161" s="0" t="n">
        <v>0</v>
      </c>
      <c r="S161" s="0" t="n">
        <v>0</v>
      </c>
      <c r="T161" s="0" t="s">
        <v>624</v>
      </c>
      <c r="U161" s="0" t="str">
        <f aca="false">IF('Basis Options'!D166="NGI/CHI. GATE","""NGI/CHI. GATE""",TRIM('Basis Options'!D166))</f>
        <v>IF-TRANSCO/Z6</v>
      </c>
      <c r="V161" s="0" t="s">
        <v>624</v>
      </c>
      <c r="W161" s="0" t="s">
        <v>569</v>
      </c>
      <c r="X161" s="0" t="s">
        <v>624</v>
      </c>
      <c r="Y161" s="0" t="s">
        <v>627</v>
      </c>
      <c r="Z161" s="0" t="s">
        <v>629</v>
      </c>
      <c r="AA161" s="0" t="s">
        <v>624</v>
      </c>
      <c r="AB161" s="0" t="s">
        <v>132</v>
      </c>
      <c r="AC161" s="254" t="n">
        <f aca="false">'Basis Options'!H166</f>
        <v>-1000000</v>
      </c>
      <c r="AD161" s="254" t="e">
        <f aca="false">'Basis Options'!W166</f>
        <v>#NAME?</v>
      </c>
      <c r="AE161" s="0" t="n">
        <v>0</v>
      </c>
      <c r="AF161" s="0" t="n">
        <v>0</v>
      </c>
      <c r="AG161" s="0" t="n">
        <v>0</v>
      </c>
      <c r="AH161" s="254" t="e">
        <f aca="false">'Basis Options'!CD166</f>
        <v>#NAME?</v>
      </c>
      <c r="AI161" s="0" t="n">
        <v>226</v>
      </c>
      <c r="AJ161" s="0" t="s">
        <v>630</v>
      </c>
      <c r="AK161" s="0" t="n">
        <v>0</v>
      </c>
      <c r="AL161" s="0" t="n">
        <v>0</v>
      </c>
      <c r="AM161" s="0" t="n">
        <v>0</v>
      </c>
    </row>
    <row r="162" customFormat="false" ht="12.75" hidden="false" customHeight="false" outlineLevel="0" collapsed="false">
      <c r="A162" s="0" t="s">
        <v>621</v>
      </c>
      <c r="B162" s="0" t="str">
        <f aca="false">'Basis Options'!C167</f>
        <v>NG1241.1</v>
      </c>
      <c r="C162" s="0" t="s">
        <v>622</v>
      </c>
      <c r="D162" s="0" t="s">
        <v>623</v>
      </c>
      <c r="E162" s="0" t="s">
        <v>131</v>
      </c>
      <c r="F162" s="0" t="str">
        <f aca="false">'Basis Options'!A167</f>
        <v>ELPASMER</v>
      </c>
      <c r="G162" s="0" t="s">
        <v>628</v>
      </c>
      <c r="H162" s="0" t="s">
        <v>625</v>
      </c>
      <c r="I162" s="0" t="s">
        <v>626</v>
      </c>
      <c r="J162" s="0" t="s">
        <v>627</v>
      </c>
      <c r="K162" s="475" t="n">
        <f aca="false">'Basis Options'!G167</f>
        <v>36831</v>
      </c>
      <c r="L162" s="254" t="e">
        <f aca="false">'Basis Options'!U167</f>
        <v>#NAME?</v>
      </c>
      <c r="M162" s="475" t="n">
        <f aca="false">'Basis Options'!Q167</f>
        <v>36829</v>
      </c>
      <c r="N162" s="0" t="str">
        <f aca="false">'Basis Options'!F167</f>
        <v>C</v>
      </c>
      <c r="O162" s="0" t="n">
        <f aca="false">'Basis Options'!I167</f>
        <v>1.15</v>
      </c>
      <c r="P162" s="0" t="n">
        <v>0</v>
      </c>
      <c r="Q162" s="0" t="n">
        <v>0</v>
      </c>
      <c r="R162" s="0" t="n">
        <v>0</v>
      </c>
      <c r="S162" s="0" t="n">
        <v>0</v>
      </c>
      <c r="T162" s="0" t="s">
        <v>624</v>
      </c>
      <c r="U162" s="0" t="str">
        <f aca="false">IF('Basis Options'!D167="NGI/CHI. GATE","""NGI/CHI. GATE""",TRIM('Basis Options'!D167))</f>
        <v>IF-TRANSCO/Z6</v>
      </c>
      <c r="V162" s="0" t="s">
        <v>624</v>
      </c>
      <c r="W162" s="0" t="s">
        <v>569</v>
      </c>
      <c r="X162" s="0" t="s">
        <v>624</v>
      </c>
      <c r="Y162" s="0" t="s">
        <v>627</v>
      </c>
      <c r="Z162" s="0" t="s">
        <v>629</v>
      </c>
      <c r="AA162" s="0" t="s">
        <v>624</v>
      </c>
      <c r="AB162" s="0" t="s">
        <v>132</v>
      </c>
      <c r="AC162" s="254" t="n">
        <f aca="false">'Basis Options'!H167</f>
        <v>-1000000</v>
      </c>
      <c r="AD162" s="254" t="e">
        <f aca="false">'Basis Options'!W167</f>
        <v>#NAME?</v>
      </c>
      <c r="AE162" s="0" t="n">
        <v>0</v>
      </c>
      <c r="AF162" s="0" t="n">
        <v>0</v>
      </c>
      <c r="AG162" s="0" t="n">
        <v>0</v>
      </c>
      <c r="AH162" s="254" t="e">
        <f aca="false">'Basis Options'!CD167</f>
        <v>#NAME?</v>
      </c>
      <c r="AI162" s="0" t="n">
        <v>226</v>
      </c>
      <c r="AJ162" s="0" t="s">
        <v>630</v>
      </c>
      <c r="AK162" s="0" t="n">
        <v>0</v>
      </c>
      <c r="AL162" s="0" t="n">
        <v>0</v>
      </c>
      <c r="AM162" s="0" t="n">
        <v>0</v>
      </c>
    </row>
    <row r="163" customFormat="false" ht="12.75" hidden="false" customHeight="false" outlineLevel="0" collapsed="false">
      <c r="A163" s="0" t="s">
        <v>621</v>
      </c>
      <c r="B163" s="0" t="str">
        <f aca="false">'Basis Options'!C168</f>
        <v>NG4285.1</v>
      </c>
      <c r="C163" s="0" t="s">
        <v>622</v>
      </c>
      <c r="D163" s="0" t="s">
        <v>623</v>
      </c>
      <c r="E163" s="0" t="s">
        <v>131</v>
      </c>
      <c r="F163" s="0" t="str">
        <f aca="false">'Basis Options'!A168</f>
        <v>WILLIAMSENEMAR</v>
      </c>
      <c r="G163" s="0" t="s">
        <v>628</v>
      </c>
      <c r="H163" s="0" t="s">
        <v>625</v>
      </c>
      <c r="I163" s="0" t="s">
        <v>626</v>
      </c>
      <c r="J163" s="0" t="s">
        <v>627</v>
      </c>
      <c r="K163" s="475" t="n">
        <f aca="false">'Basis Options'!G168</f>
        <v>36800</v>
      </c>
      <c r="L163" s="254" t="e">
        <f aca="false">'Basis Options'!U168</f>
        <v>#NAME?</v>
      </c>
      <c r="M163" s="475" t="n">
        <f aca="false">'Basis Options'!Q168</f>
        <v>36797</v>
      </c>
      <c r="N163" s="0" t="str">
        <f aca="false">'Basis Options'!F168</f>
        <v>C</v>
      </c>
      <c r="O163" s="0" t="n">
        <f aca="false">'Basis Options'!I168</f>
        <v>0.32</v>
      </c>
      <c r="P163" s="0" t="n">
        <v>0</v>
      </c>
      <c r="Q163" s="0" t="n">
        <v>0</v>
      </c>
      <c r="R163" s="0" t="n">
        <v>0</v>
      </c>
      <c r="S163" s="0" t="n">
        <v>0</v>
      </c>
      <c r="T163" s="0" t="s">
        <v>624</v>
      </c>
      <c r="U163" s="0" t="str">
        <f aca="false">IF('Basis Options'!D168="NGI/CHI. GATE","""NGI/CHI. GATE""",TRIM('Basis Options'!D168))</f>
        <v>IF-TRANSCO/Z6</v>
      </c>
      <c r="V163" s="0" t="s">
        <v>624</v>
      </c>
      <c r="W163" s="0" t="s">
        <v>569</v>
      </c>
      <c r="X163" s="0" t="s">
        <v>624</v>
      </c>
      <c r="Y163" s="0" t="s">
        <v>627</v>
      </c>
      <c r="Z163" s="0" t="s">
        <v>629</v>
      </c>
      <c r="AA163" s="0" t="s">
        <v>624</v>
      </c>
      <c r="AB163" s="0" t="s">
        <v>132</v>
      </c>
      <c r="AC163" s="254" t="n">
        <f aca="false">'Basis Options'!H168</f>
        <v>-1000000</v>
      </c>
      <c r="AD163" s="254" t="e">
        <f aca="false">'Basis Options'!W168</f>
        <v>#NAME?</v>
      </c>
      <c r="AE163" s="0" t="n">
        <v>0</v>
      </c>
      <c r="AF163" s="0" t="n">
        <v>0</v>
      </c>
      <c r="AG163" s="0" t="n">
        <v>0</v>
      </c>
      <c r="AH163" s="254" t="e">
        <f aca="false">'Basis Options'!CD168</f>
        <v>#NAME?</v>
      </c>
      <c r="AI163" s="0" t="n">
        <v>226</v>
      </c>
      <c r="AJ163" s="0" t="s">
        <v>630</v>
      </c>
      <c r="AK163" s="0" t="n">
        <v>0</v>
      </c>
      <c r="AL163" s="0" t="n">
        <v>0</v>
      </c>
      <c r="AM163" s="0" t="n">
        <v>0</v>
      </c>
    </row>
    <row r="164" customFormat="false" ht="12.75" hidden="false" customHeight="false" outlineLevel="0" collapsed="false">
      <c r="A164" s="0" t="s">
        <v>621</v>
      </c>
      <c r="B164" s="0" t="str">
        <f aca="false">'Basis Options'!C169</f>
        <v>NG4285.1</v>
      </c>
      <c r="C164" s="0" t="s">
        <v>622</v>
      </c>
      <c r="D164" s="0" t="s">
        <v>623</v>
      </c>
      <c r="E164" s="0" t="s">
        <v>131</v>
      </c>
      <c r="F164" s="0" t="str">
        <f aca="false">'Basis Options'!A169</f>
        <v>WILLIAMSENEMAR</v>
      </c>
      <c r="G164" s="0" t="s">
        <v>628</v>
      </c>
      <c r="H164" s="0" t="s">
        <v>625</v>
      </c>
      <c r="I164" s="0" t="s">
        <v>626</v>
      </c>
      <c r="J164" s="0" t="s">
        <v>627</v>
      </c>
      <c r="K164" s="475" t="n">
        <f aca="false">'Basis Options'!G169</f>
        <v>36770</v>
      </c>
      <c r="L164" s="254" t="e">
        <f aca="false">'Basis Options'!U169</f>
        <v>#NAME?</v>
      </c>
      <c r="M164" s="475" t="n">
        <f aca="false">'Basis Options'!Q169</f>
        <v>36768</v>
      </c>
      <c r="N164" s="0" t="str">
        <f aca="false">'Basis Options'!F169</f>
        <v>C</v>
      </c>
      <c r="O164" s="0" t="n">
        <f aca="false">'Basis Options'!I169</f>
        <v>0.32</v>
      </c>
      <c r="P164" s="0" t="n">
        <v>0</v>
      </c>
      <c r="Q164" s="0" t="n">
        <v>0</v>
      </c>
      <c r="R164" s="0" t="n">
        <v>0</v>
      </c>
      <c r="S164" s="0" t="n">
        <v>0</v>
      </c>
      <c r="T164" s="0" t="s">
        <v>624</v>
      </c>
      <c r="U164" s="0" t="str">
        <f aca="false">IF('Basis Options'!D169="NGI/CHI. GATE","""NGI/CHI. GATE""",TRIM('Basis Options'!D169))</f>
        <v>IF-TRANSCO/Z6</v>
      </c>
      <c r="V164" s="0" t="s">
        <v>624</v>
      </c>
      <c r="W164" s="0" t="s">
        <v>569</v>
      </c>
      <c r="X164" s="0" t="s">
        <v>624</v>
      </c>
      <c r="Y164" s="0" t="s">
        <v>627</v>
      </c>
      <c r="Z164" s="0" t="s">
        <v>629</v>
      </c>
      <c r="AA164" s="0" t="s">
        <v>624</v>
      </c>
      <c r="AB164" s="0" t="s">
        <v>132</v>
      </c>
      <c r="AC164" s="254" t="n">
        <f aca="false">'Basis Options'!H169</f>
        <v>-1000000</v>
      </c>
      <c r="AD164" s="254" t="e">
        <f aca="false">'Basis Options'!W169</f>
        <v>#NAME?</v>
      </c>
      <c r="AE164" s="0" t="n">
        <v>0</v>
      </c>
      <c r="AF164" s="0" t="n">
        <v>0</v>
      </c>
      <c r="AG164" s="0" t="n">
        <v>0</v>
      </c>
      <c r="AH164" s="254" t="e">
        <f aca="false">'Basis Options'!CD169</f>
        <v>#NAME?</v>
      </c>
      <c r="AI164" s="0" t="n">
        <v>226</v>
      </c>
      <c r="AJ164" s="0" t="s">
        <v>630</v>
      </c>
      <c r="AK164" s="0" t="n">
        <v>0</v>
      </c>
      <c r="AL164" s="0" t="n">
        <v>0</v>
      </c>
      <c r="AM164" s="0" t="n">
        <v>0</v>
      </c>
    </row>
    <row r="165" customFormat="false" ht="12.75" hidden="false" customHeight="false" outlineLevel="0" collapsed="false">
      <c r="A165" s="0" t="s">
        <v>621</v>
      </c>
      <c r="B165" s="0" t="str">
        <f aca="false">'Basis Options'!C170</f>
        <v>NG4285.2</v>
      </c>
      <c r="C165" s="0" t="s">
        <v>622</v>
      </c>
      <c r="D165" s="0" t="s">
        <v>623</v>
      </c>
      <c r="E165" s="0" t="s">
        <v>131</v>
      </c>
      <c r="F165" s="0" t="str">
        <f aca="false">'Basis Options'!A170</f>
        <v>WILLIAMSENEMAR</v>
      </c>
      <c r="G165" s="0" t="s">
        <v>628</v>
      </c>
      <c r="H165" s="0" t="s">
        <v>625</v>
      </c>
      <c r="I165" s="0" t="s">
        <v>626</v>
      </c>
      <c r="J165" s="0" t="s">
        <v>627</v>
      </c>
      <c r="K165" s="475" t="n">
        <f aca="false">'Basis Options'!G170</f>
        <v>36800</v>
      </c>
      <c r="L165" s="254" t="e">
        <f aca="false">'Basis Options'!U170</f>
        <v>#NAME?</v>
      </c>
      <c r="M165" s="475" t="n">
        <f aca="false">'Basis Options'!Q170</f>
        <v>36797</v>
      </c>
      <c r="N165" s="0" t="str">
        <f aca="false">'Basis Options'!F170</f>
        <v>P</v>
      </c>
      <c r="O165" s="0" t="n">
        <f aca="false">'Basis Options'!I170</f>
        <v>0.32</v>
      </c>
      <c r="P165" s="0" t="n">
        <v>0</v>
      </c>
      <c r="Q165" s="0" t="n">
        <v>0</v>
      </c>
      <c r="R165" s="0" t="n">
        <v>0</v>
      </c>
      <c r="S165" s="0" t="n">
        <v>0</v>
      </c>
      <c r="T165" s="0" t="s">
        <v>624</v>
      </c>
      <c r="U165" s="0" t="str">
        <f aca="false">IF('Basis Options'!D170="NGI/CHI. GATE","""NGI/CHI. GATE""",TRIM('Basis Options'!D170))</f>
        <v>IF-TRANSCO/Z6</v>
      </c>
      <c r="V165" s="0" t="s">
        <v>624</v>
      </c>
      <c r="W165" s="0" t="s">
        <v>569</v>
      </c>
      <c r="X165" s="0" t="s">
        <v>624</v>
      </c>
      <c r="Y165" s="0" t="s">
        <v>627</v>
      </c>
      <c r="Z165" s="0" t="s">
        <v>629</v>
      </c>
      <c r="AA165" s="0" t="s">
        <v>624</v>
      </c>
      <c r="AB165" s="0" t="s">
        <v>132</v>
      </c>
      <c r="AC165" s="254" t="n">
        <f aca="false">'Basis Options'!H170</f>
        <v>-1000000</v>
      </c>
      <c r="AD165" s="254" t="e">
        <f aca="false">'Basis Options'!W170</f>
        <v>#NAME?</v>
      </c>
      <c r="AE165" s="0" t="n">
        <v>0</v>
      </c>
      <c r="AF165" s="0" t="n">
        <v>0</v>
      </c>
      <c r="AG165" s="0" t="n">
        <v>0</v>
      </c>
      <c r="AH165" s="254" t="e">
        <f aca="false">'Basis Options'!CD170</f>
        <v>#NAME?</v>
      </c>
      <c r="AI165" s="0" t="n">
        <v>226</v>
      </c>
      <c r="AJ165" s="0" t="s">
        <v>630</v>
      </c>
      <c r="AK165" s="0" t="n">
        <v>0</v>
      </c>
      <c r="AL165" s="0" t="n">
        <v>0</v>
      </c>
      <c r="AM165" s="0" t="n">
        <v>0</v>
      </c>
    </row>
    <row r="166" customFormat="false" ht="12.75" hidden="false" customHeight="false" outlineLevel="0" collapsed="false">
      <c r="A166" s="0" t="s">
        <v>621</v>
      </c>
      <c r="B166" s="0" t="str">
        <f aca="false">'Basis Options'!C171</f>
        <v>NG4285.2</v>
      </c>
      <c r="C166" s="0" t="s">
        <v>622</v>
      </c>
      <c r="D166" s="0" t="s">
        <v>623</v>
      </c>
      <c r="E166" s="0" t="s">
        <v>131</v>
      </c>
      <c r="F166" s="0" t="str">
        <f aca="false">'Basis Options'!A171</f>
        <v>WILLIAMSENEMAR</v>
      </c>
      <c r="G166" s="0" t="s">
        <v>628</v>
      </c>
      <c r="H166" s="0" t="s">
        <v>625</v>
      </c>
      <c r="I166" s="0" t="s">
        <v>626</v>
      </c>
      <c r="J166" s="0" t="s">
        <v>627</v>
      </c>
      <c r="K166" s="475" t="n">
        <f aca="false">'Basis Options'!G171</f>
        <v>36770</v>
      </c>
      <c r="L166" s="254" t="e">
        <f aca="false">'Basis Options'!U171</f>
        <v>#NAME?</v>
      </c>
      <c r="M166" s="475" t="n">
        <f aca="false">'Basis Options'!Q171</f>
        <v>36768</v>
      </c>
      <c r="N166" s="0" t="str">
        <f aca="false">'Basis Options'!F171</f>
        <v>P</v>
      </c>
      <c r="O166" s="0" t="n">
        <f aca="false">'Basis Options'!I171</f>
        <v>0.32</v>
      </c>
      <c r="P166" s="0" t="n">
        <v>0</v>
      </c>
      <c r="Q166" s="0" t="n">
        <v>0</v>
      </c>
      <c r="R166" s="0" t="n">
        <v>0</v>
      </c>
      <c r="S166" s="0" t="n">
        <v>0</v>
      </c>
      <c r="T166" s="0" t="s">
        <v>624</v>
      </c>
      <c r="U166" s="0" t="str">
        <f aca="false">IF('Basis Options'!D171="NGI/CHI. GATE","""NGI/CHI. GATE""",TRIM('Basis Options'!D171))</f>
        <v>IF-TRANSCO/Z6</v>
      </c>
      <c r="V166" s="0" t="s">
        <v>624</v>
      </c>
      <c r="W166" s="0" t="s">
        <v>569</v>
      </c>
      <c r="X166" s="0" t="s">
        <v>624</v>
      </c>
      <c r="Y166" s="0" t="s">
        <v>627</v>
      </c>
      <c r="Z166" s="0" t="s">
        <v>629</v>
      </c>
      <c r="AA166" s="0" t="s">
        <v>624</v>
      </c>
      <c r="AB166" s="0" t="s">
        <v>132</v>
      </c>
      <c r="AC166" s="254" t="n">
        <f aca="false">'Basis Options'!H171</f>
        <v>-1000000</v>
      </c>
      <c r="AD166" s="254" t="e">
        <f aca="false">'Basis Options'!W171</f>
        <v>#NAME?</v>
      </c>
      <c r="AE166" s="0" t="n">
        <v>0</v>
      </c>
      <c r="AF166" s="0" t="n">
        <v>0</v>
      </c>
      <c r="AG166" s="0" t="n">
        <v>0</v>
      </c>
      <c r="AH166" s="254" t="e">
        <f aca="false">'Basis Options'!CD171</f>
        <v>#NAME?</v>
      </c>
      <c r="AI166" s="0" t="n">
        <v>226</v>
      </c>
      <c r="AJ166" s="0" t="s">
        <v>630</v>
      </c>
      <c r="AK166" s="0" t="n">
        <v>0</v>
      </c>
      <c r="AL166" s="0" t="n">
        <v>0</v>
      </c>
      <c r="AM166" s="0" t="n">
        <v>0</v>
      </c>
    </row>
    <row r="167" customFormat="false" ht="12.75" hidden="false" customHeight="false" outlineLevel="0" collapsed="false">
      <c r="A167" s="0" t="s">
        <v>621</v>
      </c>
      <c r="B167" s="0" t="str">
        <f aca="false">'Basis Options'!C172</f>
        <v>NG4457.1</v>
      </c>
      <c r="C167" s="0" t="s">
        <v>622</v>
      </c>
      <c r="D167" s="0" t="s">
        <v>623</v>
      </c>
      <c r="E167" s="0" t="s">
        <v>131</v>
      </c>
      <c r="F167" s="0" t="str">
        <f aca="false">'Basis Options'!A172</f>
        <v>AVISTAENE</v>
      </c>
      <c r="G167" s="0" t="s">
        <v>628</v>
      </c>
      <c r="H167" s="0" t="s">
        <v>625</v>
      </c>
      <c r="I167" s="0" t="s">
        <v>626</v>
      </c>
      <c r="J167" s="0" t="s">
        <v>627</v>
      </c>
      <c r="K167" s="475" t="n">
        <f aca="false">'Basis Options'!G172</f>
        <v>36800</v>
      </c>
      <c r="L167" s="254" t="e">
        <f aca="false">'Basis Options'!U172</f>
        <v>#NAME?</v>
      </c>
      <c r="M167" s="475" t="n">
        <f aca="false">'Basis Options'!Q172</f>
        <v>36797</v>
      </c>
      <c r="N167" s="0" t="str">
        <f aca="false">'Basis Options'!F172</f>
        <v>P</v>
      </c>
      <c r="O167" s="0" t="n">
        <f aca="false">'Basis Options'!I172</f>
        <v>-0.4</v>
      </c>
      <c r="P167" s="0" t="n">
        <v>0</v>
      </c>
      <c r="Q167" s="0" t="n">
        <v>0</v>
      </c>
      <c r="R167" s="0" t="n">
        <v>0</v>
      </c>
      <c r="S167" s="0" t="n">
        <v>0</v>
      </c>
      <c r="T167" s="0" t="s">
        <v>624</v>
      </c>
      <c r="U167" s="0" t="str">
        <f aca="false">IF('Basis Options'!D172="NGI/CHI. GATE","""NGI/CHI. GATE""",TRIM('Basis Options'!D172))</f>
        <v>IF-NWPL_ROCKY_M</v>
      </c>
      <c r="V167" s="0" t="s">
        <v>624</v>
      </c>
      <c r="W167" s="0" t="s">
        <v>569</v>
      </c>
      <c r="X167" s="0" t="s">
        <v>624</v>
      </c>
      <c r="Y167" s="0" t="s">
        <v>627</v>
      </c>
      <c r="Z167" s="0" t="s">
        <v>629</v>
      </c>
      <c r="AA167" s="0" t="s">
        <v>624</v>
      </c>
      <c r="AB167" s="0" t="s">
        <v>132</v>
      </c>
      <c r="AC167" s="254" t="n">
        <f aca="false">'Basis Options'!H172</f>
        <v>500000</v>
      </c>
      <c r="AD167" s="254" t="e">
        <f aca="false">'Basis Options'!W172</f>
        <v>#NAME?</v>
      </c>
      <c r="AE167" s="0" t="n">
        <v>0</v>
      </c>
      <c r="AF167" s="0" t="n">
        <v>0</v>
      </c>
      <c r="AG167" s="0" t="n">
        <v>0</v>
      </c>
      <c r="AH167" s="254" t="e">
        <f aca="false">'Basis Options'!CD172</f>
        <v>#NAME?</v>
      </c>
      <c r="AI167" s="0" t="n">
        <v>226</v>
      </c>
      <c r="AJ167" s="0" t="s">
        <v>630</v>
      </c>
      <c r="AK167" s="0" t="n">
        <v>0</v>
      </c>
      <c r="AL167" s="0" t="n">
        <v>0</v>
      </c>
      <c r="AM167" s="0" t="n">
        <v>0</v>
      </c>
    </row>
    <row r="168" customFormat="false" ht="12.75" hidden="false" customHeight="false" outlineLevel="0" collapsed="false">
      <c r="A168" s="0" t="s">
        <v>621</v>
      </c>
      <c r="B168" s="0" t="str">
        <f aca="false">'Basis Options'!C173</f>
        <v>NG4457.1</v>
      </c>
      <c r="C168" s="0" t="s">
        <v>622</v>
      </c>
      <c r="D168" s="0" t="s">
        <v>623</v>
      </c>
      <c r="E168" s="0" t="s">
        <v>131</v>
      </c>
      <c r="F168" s="0" t="str">
        <f aca="false">'Basis Options'!A173</f>
        <v>AVISTAENE</v>
      </c>
      <c r="G168" s="0" t="s">
        <v>628</v>
      </c>
      <c r="H168" s="0" t="s">
        <v>625</v>
      </c>
      <c r="I168" s="0" t="s">
        <v>626</v>
      </c>
      <c r="J168" s="0" t="s">
        <v>627</v>
      </c>
      <c r="K168" s="475" t="n">
        <f aca="false">'Basis Options'!G173</f>
        <v>36770</v>
      </c>
      <c r="L168" s="254" t="e">
        <f aca="false">'Basis Options'!U173</f>
        <v>#NAME?</v>
      </c>
      <c r="M168" s="475" t="n">
        <f aca="false">'Basis Options'!Q173</f>
        <v>36768</v>
      </c>
      <c r="N168" s="0" t="str">
        <f aca="false">'Basis Options'!F173</f>
        <v>P</v>
      </c>
      <c r="O168" s="0" t="n">
        <f aca="false">'Basis Options'!I173</f>
        <v>-0.4</v>
      </c>
      <c r="P168" s="0" t="n">
        <v>0</v>
      </c>
      <c r="Q168" s="0" t="n">
        <v>0</v>
      </c>
      <c r="R168" s="0" t="n">
        <v>0</v>
      </c>
      <c r="S168" s="0" t="n">
        <v>0</v>
      </c>
      <c r="T168" s="0" t="s">
        <v>624</v>
      </c>
      <c r="U168" s="0" t="str">
        <f aca="false">IF('Basis Options'!D173="NGI/CHI. GATE","""NGI/CHI. GATE""",TRIM('Basis Options'!D173))</f>
        <v>IF-NWPL_ROCKY_M</v>
      </c>
      <c r="V168" s="0" t="s">
        <v>624</v>
      </c>
      <c r="W168" s="0" t="s">
        <v>569</v>
      </c>
      <c r="X168" s="0" t="s">
        <v>624</v>
      </c>
      <c r="Y168" s="0" t="s">
        <v>627</v>
      </c>
      <c r="Z168" s="0" t="s">
        <v>629</v>
      </c>
      <c r="AA168" s="0" t="s">
        <v>624</v>
      </c>
      <c r="AB168" s="0" t="s">
        <v>132</v>
      </c>
      <c r="AC168" s="254" t="n">
        <f aca="false">'Basis Options'!H173</f>
        <v>500000</v>
      </c>
      <c r="AD168" s="254" t="e">
        <f aca="false">'Basis Options'!W173</f>
        <v>#NAME?</v>
      </c>
      <c r="AE168" s="0" t="n">
        <v>0</v>
      </c>
      <c r="AF168" s="0" t="n">
        <v>0</v>
      </c>
      <c r="AG168" s="0" t="n">
        <v>0</v>
      </c>
      <c r="AH168" s="254" t="e">
        <f aca="false">'Basis Options'!CD173</f>
        <v>#NAME?</v>
      </c>
      <c r="AI168" s="0" t="n">
        <v>226</v>
      </c>
      <c r="AJ168" s="0" t="s">
        <v>630</v>
      </c>
      <c r="AK168" s="0" t="n">
        <v>0</v>
      </c>
      <c r="AL168" s="0" t="n">
        <v>0</v>
      </c>
      <c r="AM168" s="0" t="n">
        <v>0</v>
      </c>
    </row>
    <row r="169" customFormat="false" ht="12.75" hidden="false" customHeight="false" outlineLevel="0" collapsed="false">
      <c r="A169" s="0" t="s">
        <v>621</v>
      </c>
      <c r="B169" s="0" t="str">
        <f aca="false">'Basis Options'!C174</f>
        <v>NG8049.1</v>
      </c>
      <c r="C169" s="0" t="s">
        <v>622</v>
      </c>
      <c r="D169" s="0" t="s">
        <v>623</v>
      </c>
      <c r="E169" s="0" t="s">
        <v>131</v>
      </c>
      <c r="F169" s="0" t="str">
        <f aca="false">'Basis Options'!A174</f>
        <v>WILLIAMSENEMAR</v>
      </c>
      <c r="G169" s="0" t="s">
        <v>628</v>
      </c>
      <c r="H169" s="0" t="s">
        <v>625</v>
      </c>
      <c r="I169" s="0" t="s">
        <v>626</v>
      </c>
      <c r="J169" s="0" t="s">
        <v>627</v>
      </c>
      <c r="K169" s="475" t="n">
        <f aca="false">'Basis Options'!G174</f>
        <v>36800</v>
      </c>
      <c r="L169" s="254" t="e">
        <f aca="false">'Basis Options'!U174</f>
        <v>#NAME?</v>
      </c>
      <c r="M169" s="475" t="n">
        <f aca="false">'Basis Options'!Q174</f>
        <v>36797</v>
      </c>
      <c r="N169" s="0" t="str">
        <f aca="false">'Basis Options'!F174</f>
        <v>C</v>
      </c>
      <c r="O169" s="0" t="n">
        <f aca="false">'Basis Options'!I174</f>
        <v>0.1</v>
      </c>
      <c r="P169" s="0" t="n">
        <v>0</v>
      </c>
      <c r="Q169" s="0" t="n">
        <v>0</v>
      </c>
      <c r="R169" s="0" t="n">
        <v>0</v>
      </c>
      <c r="S169" s="0" t="n">
        <v>0</v>
      </c>
      <c r="T169" s="0" t="s">
        <v>624</v>
      </c>
      <c r="U169" s="0" t="str">
        <f aca="false">IF('Basis Options'!D174="NGI/CHI. GATE","""NGI/CHI. GATE""",TRIM('Basis Options'!D174))</f>
        <v>NGI-SOCAL</v>
      </c>
      <c r="V169" s="0" t="s">
        <v>624</v>
      </c>
      <c r="W169" s="0" t="s">
        <v>569</v>
      </c>
      <c r="X169" s="0" t="s">
        <v>624</v>
      </c>
      <c r="Y169" s="0" t="s">
        <v>627</v>
      </c>
      <c r="Z169" s="0" t="s">
        <v>629</v>
      </c>
      <c r="AA169" s="0" t="s">
        <v>624</v>
      </c>
      <c r="AB169" s="0" t="s">
        <v>132</v>
      </c>
      <c r="AC169" s="254" t="n">
        <f aca="false">'Basis Options'!H174</f>
        <v>-500000</v>
      </c>
      <c r="AD169" s="254" t="e">
        <f aca="false">'Basis Options'!W174</f>
        <v>#NAME?</v>
      </c>
      <c r="AE169" s="0" t="n">
        <v>0</v>
      </c>
      <c r="AF169" s="0" t="n">
        <v>0</v>
      </c>
      <c r="AG169" s="0" t="n">
        <v>0</v>
      </c>
      <c r="AH169" s="254" t="e">
        <f aca="false">'Basis Options'!CD174</f>
        <v>#NAME?</v>
      </c>
      <c r="AI169" s="0" t="n">
        <v>226</v>
      </c>
      <c r="AJ169" s="0" t="s">
        <v>630</v>
      </c>
      <c r="AK169" s="0" t="n">
        <v>0</v>
      </c>
      <c r="AL169" s="0" t="n">
        <v>0</v>
      </c>
      <c r="AM169" s="0" t="n">
        <v>0</v>
      </c>
    </row>
    <row r="170" customFormat="false" ht="12.75" hidden="false" customHeight="false" outlineLevel="0" collapsed="false">
      <c r="A170" s="0" t="s">
        <v>621</v>
      </c>
      <c r="B170" s="0" t="str">
        <f aca="false">'Basis Options'!C175</f>
        <v>NG8049.1</v>
      </c>
      <c r="C170" s="0" t="s">
        <v>622</v>
      </c>
      <c r="D170" s="0" t="s">
        <v>623</v>
      </c>
      <c r="E170" s="0" t="s">
        <v>131</v>
      </c>
      <c r="F170" s="0" t="str">
        <f aca="false">'Basis Options'!A175</f>
        <v>WILLIAMSENEMAR</v>
      </c>
      <c r="G170" s="0" t="s">
        <v>628</v>
      </c>
      <c r="H170" s="0" t="s">
        <v>625</v>
      </c>
      <c r="I170" s="0" t="s">
        <v>626</v>
      </c>
      <c r="J170" s="0" t="s">
        <v>627</v>
      </c>
      <c r="K170" s="475" t="n">
        <f aca="false">'Basis Options'!G175</f>
        <v>36770</v>
      </c>
      <c r="L170" s="254" t="e">
        <f aca="false">'Basis Options'!U175</f>
        <v>#NAME?</v>
      </c>
      <c r="M170" s="475" t="n">
        <f aca="false">'Basis Options'!Q175</f>
        <v>36768</v>
      </c>
      <c r="N170" s="0" t="str">
        <f aca="false">'Basis Options'!F175</f>
        <v>C</v>
      </c>
      <c r="O170" s="0" t="n">
        <f aca="false">'Basis Options'!I175</f>
        <v>0.1</v>
      </c>
      <c r="P170" s="0" t="n">
        <v>0</v>
      </c>
      <c r="Q170" s="0" t="n">
        <v>0</v>
      </c>
      <c r="R170" s="0" t="n">
        <v>0</v>
      </c>
      <c r="S170" s="0" t="n">
        <v>0</v>
      </c>
      <c r="T170" s="0" t="s">
        <v>624</v>
      </c>
      <c r="U170" s="0" t="str">
        <f aca="false">IF('Basis Options'!D175="NGI/CHI. GATE","""NGI/CHI. GATE""",TRIM('Basis Options'!D175))</f>
        <v>NGI-SOCAL</v>
      </c>
      <c r="V170" s="0" t="s">
        <v>624</v>
      </c>
      <c r="W170" s="0" t="s">
        <v>569</v>
      </c>
      <c r="X170" s="0" t="s">
        <v>624</v>
      </c>
      <c r="Y170" s="0" t="s">
        <v>627</v>
      </c>
      <c r="Z170" s="0" t="s">
        <v>629</v>
      </c>
      <c r="AA170" s="0" t="s">
        <v>624</v>
      </c>
      <c r="AB170" s="0" t="s">
        <v>132</v>
      </c>
      <c r="AC170" s="254" t="n">
        <f aca="false">'Basis Options'!H175</f>
        <v>-500000</v>
      </c>
      <c r="AD170" s="254" t="e">
        <f aca="false">'Basis Options'!W175</f>
        <v>#NAME?</v>
      </c>
      <c r="AE170" s="0" t="n">
        <v>0</v>
      </c>
      <c r="AF170" s="0" t="n">
        <v>0</v>
      </c>
      <c r="AG170" s="0" t="n">
        <v>0</v>
      </c>
      <c r="AH170" s="254" t="e">
        <f aca="false">'Basis Options'!CD175</f>
        <v>#NAME?</v>
      </c>
      <c r="AI170" s="0" t="n">
        <v>226</v>
      </c>
      <c r="AJ170" s="0" t="s">
        <v>630</v>
      </c>
      <c r="AK170" s="0" t="n">
        <v>0</v>
      </c>
      <c r="AL170" s="0" t="n">
        <v>0</v>
      </c>
      <c r="AM170" s="0" t="n">
        <v>0</v>
      </c>
    </row>
    <row r="171" customFormat="false" ht="12.75" hidden="false" customHeight="false" outlineLevel="0" collapsed="false">
      <c r="A171" s="0" t="s">
        <v>621</v>
      </c>
      <c r="B171" s="0" t="str">
        <f aca="false">'Basis Options'!C176</f>
        <v>NG8063.1</v>
      </c>
      <c r="C171" s="0" t="s">
        <v>622</v>
      </c>
      <c r="D171" s="0" t="s">
        <v>623</v>
      </c>
      <c r="E171" s="0" t="s">
        <v>131</v>
      </c>
      <c r="F171" s="0" t="str">
        <f aca="false">'Basis Options'!A176</f>
        <v>AEPENESER</v>
      </c>
      <c r="G171" s="0" t="s">
        <v>628</v>
      </c>
      <c r="H171" s="0" t="s">
        <v>625</v>
      </c>
      <c r="I171" s="0" t="s">
        <v>626</v>
      </c>
      <c r="J171" s="0" t="s">
        <v>627</v>
      </c>
      <c r="K171" s="475" t="n">
        <f aca="false">'Basis Options'!G176</f>
        <v>36951</v>
      </c>
      <c r="L171" s="254" t="e">
        <f aca="false">'Basis Options'!U176</f>
        <v>#NAME?</v>
      </c>
      <c r="M171" s="475" t="n">
        <f aca="false">'Basis Options'!Q176</f>
        <v>36949</v>
      </c>
      <c r="N171" s="0" t="str">
        <f aca="false">'Basis Options'!F176</f>
        <v>C</v>
      </c>
      <c r="O171" s="0" t="n">
        <f aca="false">'Basis Options'!I176</f>
        <v>1.15</v>
      </c>
      <c r="P171" s="0" t="n">
        <v>0</v>
      </c>
      <c r="Q171" s="0" t="n">
        <v>0</v>
      </c>
      <c r="R171" s="0" t="n">
        <v>0</v>
      </c>
      <c r="S171" s="0" t="n">
        <v>0</v>
      </c>
      <c r="T171" s="0" t="s">
        <v>624</v>
      </c>
      <c r="U171" s="0" t="str">
        <f aca="false">IF('Basis Options'!D176="NGI/CHI. GATE","""NGI/CHI. GATE""",TRIM('Basis Options'!D176))</f>
        <v>IF-TRANSCO/Z6</v>
      </c>
      <c r="V171" s="0" t="s">
        <v>624</v>
      </c>
      <c r="W171" s="0" t="s">
        <v>569</v>
      </c>
      <c r="X171" s="0" t="s">
        <v>624</v>
      </c>
      <c r="Y171" s="0" t="s">
        <v>627</v>
      </c>
      <c r="Z171" s="0" t="s">
        <v>629</v>
      </c>
      <c r="AA171" s="0" t="s">
        <v>624</v>
      </c>
      <c r="AB171" s="0" t="s">
        <v>132</v>
      </c>
      <c r="AC171" s="254" t="n">
        <f aca="false">'Basis Options'!H176</f>
        <v>310000</v>
      </c>
      <c r="AD171" s="254" t="e">
        <f aca="false">'Basis Options'!W176</f>
        <v>#NAME?</v>
      </c>
      <c r="AE171" s="0" t="n">
        <v>0</v>
      </c>
      <c r="AF171" s="0" t="n">
        <v>0</v>
      </c>
      <c r="AG171" s="0" t="n">
        <v>0</v>
      </c>
      <c r="AH171" s="254" t="e">
        <f aca="false">'Basis Options'!CD176</f>
        <v>#NAME?</v>
      </c>
      <c r="AI171" s="0" t="n">
        <v>226</v>
      </c>
      <c r="AJ171" s="0" t="s">
        <v>630</v>
      </c>
      <c r="AK171" s="0" t="n">
        <v>0</v>
      </c>
      <c r="AL171" s="0" t="n">
        <v>0</v>
      </c>
      <c r="AM171" s="0" t="n">
        <v>0</v>
      </c>
    </row>
    <row r="172" customFormat="false" ht="12.75" hidden="false" customHeight="false" outlineLevel="0" collapsed="false">
      <c r="A172" s="0" t="s">
        <v>621</v>
      </c>
      <c r="B172" s="0" t="str">
        <f aca="false">'Basis Options'!C177</f>
        <v>NG8063.1</v>
      </c>
      <c r="C172" s="0" t="s">
        <v>622</v>
      </c>
      <c r="D172" s="0" t="s">
        <v>623</v>
      </c>
      <c r="E172" s="0" t="s">
        <v>131</v>
      </c>
      <c r="F172" s="0" t="str">
        <f aca="false">'Basis Options'!A177</f>
        <v>AEPENESER</v>
      </c>
      <c r="G172" s="0" t="s">
        <v>628</v>
      </c>
      <c r="H172" s="0" t="s">
        <v>625</v>
      </c>
      <c r="I172" s="0" t="s">
        <v>626</v>
      </c>
      <c r="J172" s="0" t="s">
        <v>627</v>
      </c>
      <c r="K172" s="475" t="n">
        <f aca="false">'Basis Options'!G177</f>
        <v>36923</v>
      </c>
      <c r="L172" s="254" t="e">
        <f aca="false">'Basis Options'!U177</f>
        <v>#NAME?</v>
      </c>
      <c r="M172" s="475" t="n">
        <f aca="false">'Basis Options'!Q177</f>
        <v>36921</v>
      </c>
      <c r="N172" s="0" t="str">
        <f aca="false">'Basis Options'!F177</f>
        <v>C</v>
      </c>
      <c r="O172" s="0" t="n">
        <f aca="false">'Basis Options'!I177</f>
        <v>1.15</v>
      </c>
      <c r="P172" s="0" t="n">
        <v>0</v>
      </c>
      <c r="Q172" s="0" t="n">
        <v>0</v>
      </c>
      <c r="R172" s="0" t="n">
        <v>0</v>
      </c>
      <c r="S172" s="0" t="n">
        <v>0</v>
      </c>
      <c r="T172" s="0" t="s">
        <v>624</v>
      </c>
      <c r="U172" s="0" t="str">
        <f aca="false">IF('Basis Options'!D177="NGI/CHI. GATE","""NGI/CHI. GATE""",TRIM('Basis Options'!D177))</f>
        <v>IF-TRANSCO/Z6</v>
      </c>
      <c r="V172" s="0" t="s">
        <v>624</v>
      </c>
      <c r="W172" s="0" t="s">
        <v>569</v>
      </c>
      <c r="X172" s="0" t="s">
        <v>624</v>
      </c>
      <c r="Y172" s="0" t="s">
        <v>627</v>
      </c>
      <c r="Z172" s="0" t="s">
        <v>629</v>
      </c>
      <c r="AA172" s="0" t="s">
        <v>624</v>
      </c>
      <c r="AB172" s="0" t="s">
        <v>132</v>
      </c>
      <c r="AC172" s="254" t="n">
        <f aca="false">'Basis Options'!H177</f>
        <v>280000</v>
      </c>
      <c r="AD172" s="254" t="e">
        <f aca="false">'Basis Options'!W177</f>
        <v>#NAME?</v>
      </c>
      <c r="AE172" s="0" t="n">
        <v>0</v>
      </c>
      <c r="AF172" s="0" t="n">
        <v>0</v>
      </c>
      <c r="AG172" s="0" t="n">
        <v>0</v>
      </c>
      <c r="AH172" s="254" t="e">
        <f aca="false">'Basis Options'!CD177</f>
        <v>#NAME?</v>
      </c>
      <c r="AI172" s="0" t="n">
        <v>226</v>
      </c>
      <c r="AJ172" s="0" t="s">
        <v>630</v>
      </c>
      <c r="AK172" s="0" t="n">
        <v>0</v>
      </c>
      <c r="AL172" s="0" t="n">
        <v>0</v>
      </c>
      <c r="AM172" s="0" t="n">
        <v>0</v>
      </c>
    </row>
    <row r="173" customFormat="false" ht="12.75" hidden="false" customHeight="false" outlineLevel="0" collapsed="false">
      <c r="A173" s="0" t="s">
        <v>621</v>
      </c>
      <c r="B173" s="0" t="str">
        <f aca="false">'Basis Options'!C178</f>
        <v>NG8063.1</v>
      </c>
      <c r="C173" s="0" t="s">
        <v>622</v>
      </c>
      <c r="D173" s="0" t="s">
        <v>623</v>
      </c>
      <c r="E173" s="0" t="s">
        <v>131</v>
      </c>
      <c r="F173" s="0" t="str">
        <f aca="false">'Basis Options'!A178</f>
        <v>AEPENESER</v>
      </c>
      <c r="G173" s="0" t="s">
        <v>628</v>
      </c>
      <c r="H173" s="0" t="s">
        <v>625</v>
      </c>
      <c r="I173" s="0" t="s">
        <v>626</v>
      </c>
      <c r="J173" s="0" t="s">
        <v>627</v>
      </c>
      <c r="K173" s="475" t="n">
        <f aca="false">'Basis Options'!G178</f>
        <v>36892</v>
      </c>
      <c r="L173" s="254" t="e">
        <f aca="false">'Basis Options'!U178</f>
        <v>#NAME?</v>
      </c>
      <c r="M173" s="475" t="n">
        <f aca="false">'Basis Options'!Q178</f>
        <v>36888</v>
      </c>
      <c r="N173" s="0" t="str">
        <f aca="false">'Basis Options'!F178</f>
        <v>C</v>
      </c>
      <c r="O173" s="0" t="n">
        <f aca="false">'Basis Options'!I178</f>
        <v>1.15</v>
      </c>
      <c r="P173" s="0" t="n">
        <v>0</v>
      </c>
      <c r="Q173" s="0" t="n">
        <v>0</v>
      </c>
      <c r="R173" s="0" t="n">
        <v>0</v>
      </c>
      <c r="S173" s="0" t="n">
        <v>0</v>
      </c>
      <c r="T173" s="0" t="s">
        <v>624</v>
      </c>
      <c r="U173" s="0" t="str">
        <f aca="false">IF('Basis Options'!D178="NGI/CHI. GATE","""NGI/CHI. GATE""",TRIM('Basis Options'!D178))</f>
        <v>IF-TRANSCO/Z6</v>
      </c>
      <c r="V173" s="0" t="s">
        <v>624</v>
      </c>
      <c r="W173" s="0" t="s">
        <v>569</v>
      </c>
      <c r="X173" s="0" t="s">
        <v>624</v>
      </c>
      <c r="Y173" s="0" t="s">
        <v>627</v>
      </c>
      <c r="Z173" s="0" t="s">
        <v>629</v>
      </c>
      <c r="AA173" s="0" t="s">
        <v>624</v>
      </c>
      <c r="AB173" s="0" t="s">
        <v>132</v>
      </c>
      <c r="AC173" s="254" t="n">
        <f aca="false">'Basis Options'!H178</f>
        <v>310000</v>
      </c>
      <c r="AD173" s="254" t="e">
        <f aca="false">'Basis Options'!W178</f>
        <v>#NAME?</v>
      </c>
      <c r="AE173" s="0" t="n">
        <v>0</v>
      </c>
      <c r="AF173" s="0" t="n">
        <v>0</v>
      </c>
      <c r="AG173" s="0" t="n">
        <v>0</v>
      </c>
      <c r="AH173" s="254" t="e">
        <f aca="false">'Basis Options'!CD178</f>
        <v>#NAME?</v>
      </c>
      <c r="AI173" s="0" t="n">
        <v>226</v>
      </c>
      <c r="AJ173" s="0" t="s">
        <v>630</v>
      </c>
      <c r="AK173" s="0" t="n">
        <v>0</v>
      </c>
      <c r="AL173" s="0" t="n">
        <v>0</v>
      </c>
      <c r="AM173" s="0" t="n">
        <v>0</v>
      </c>
    </row>
    <row r="174" customFormat="false" ht="12.75" hidden="false" customHeight="false" outlineLevel="0" collapsed="false">
      <c r="A174" s="0" t="s">
        <v>621</v>
      </c>
      <c r="B174" s="0" t="str">
        <f aca="false">'Basis Options'!C179</f>
        <v>NG8063.1</v>
      </c>
      <c r="C174" s="0" t="s">
        <v>622</v>
      </c>
      <c r="D174" s="0" t="s">
        <v>623</v>
      </c>
      <c r="E174" s="0" t="s">
        <v>131</v>
      </c>
      <c r="F174" s="0" t="str">
        <f aca="false">'Basis Options'!A179</f>
        <v>AEPENESER</v>
      </c>
      <c r="G174" s="0" t="s">
        <v>628</v>
      </c>
      <c r="H174" s="0" t="s">
        <v>625</v>
      </c>
      <c r="I174" s="0" t="s">
        <v>626</v>
      </c>
      <c r="J174" s="0" t="s">
        <v>627</v>
      </c>
      <c r="K174" s="475" t="n">
        <f aca="false">'Basis Options'!G179</f>
        <v>36861</v>
      </c>
      <c r="L174" s="254" t="e">
        <f aca="false">'Basis Options'!U179</f>
        <v>#NAME?</v>
      </c>
      <c r="M174" s="475" t="n">
        <f aca="false">'Basis Options'!Q179</f>
        <v>36859</v>
      </c>
      <c r="N174" s="0" t="str">
        <f aca="false">'Basis Options'!F179</f>
        <v>C</v>
      </c>
      <c r="O174" s="0" t="n">
        <f aca="false">'Basis Options'!I179</f>
        <v>1.15</v>
      </c>
      <c r="P174" s="0" t="n">
        <v>0</v>
      </c>
      <c r="Q174" s="0" t="n">
        <v>0</v>
      </c>
      <c r="R174" s="0" t="n">
        <v>0</v>
      </c>
      <c r="S174" s="0" t="n">
        <v>0</v>
      </c>
      <c r="T174" s="0" t="s">
        <v>624</v>
      </c>
      <c r="U174" s="0" t="str">
        <f aca="false">IF('Basis Options'!D179="NGI/CHI. GATE","""NGI/CHI. GATE""",TRIM('Basis Options'!D179))</f>
        <v>IF-TRANSCO/Z6</v>
      </c>
      <c r="V174" s="0" t="s">
        <v>624</v>
      </c>
      <c r="W174" s="0" t="s">
        <v>569</v>
      </c>
      <c r="X174" s="0" t="s">
        <v>624</v>
      </c>
      <c r="Y174" s="0" t="s">
        <v>627</v>
      </c>
      <c r="Z174" s="0" t="s">
        <v>629</v>
      </c>
      <c r="AA174" s="0" t="s">
        <v>624</v>
      </c>
      <c r="AB174" s="0" t="s">
        <v>132</v>
      </c>
      <c r="AC174" s="254" t="n">
        <f aca="false">'Basis Options'!H179</f>
        <v>310000</v>
      </c>
      <c r="AD174" s="254" t="e">
        <f aca="false">'Basis Options'!W179</f>
        <v>#NAME?</v>
      </c>
      <c r="AE174" s="0" t="n">
        <v>0</v>
      </c>
      <c r="AF174" s="0" t="n">
        <v>0</v>
      </c>
      <c r="AG174" s="0" t="n">
        <v>0</v>
      </c>
      <c r="AH174" s="254" t="e">
        <f aca="false">'Basis Options'!CD179</f>
        <v>#NAME?</v>
      </c>
      <c r="AI174" s="0" t="n">
        <v>226</v>
      </c>
      <c r="AJ174" s="0" t="s">
        <v>630</v>
      </c>
      <c r="AK174" s="0" t="n">
        <v>0</v>
      </c>
      <c r="AL174" s="0" t="n">
        <v>0</v>
      </c>
      <c r="AM174" s="0" t="n">
        <v>0</v>
      </c>
    </row>
    <row r="175" customFormat="false" ht="12.75" hidden="false" customHeight="false" outlineLevel="0" collapsed="false">
      <c r="A175" s="0" t="s">
        <v>621</v>
      </c>
      <c r="B175" s="0" t="str">
        <f aca="false">'Basis Options'!C180</f>
        <v>NG8063.1</v>
      </c>
      <c r="C175" s="0" t="s">
        <v>622</v>
      </c>
      <c r="D175" s="0" t="s">
        <v>623</v>
      </c>
      <c r="E175" s="0" t="s">
        <v>131</v>
      </c>
      <c r="F175" s="0" t="str">
        <f aca="false">'Basis Options'!A180</f>
        <v>AEPENESER</v>
      </c>
      <c r="G175" s="0" t="s">
        <v>628</v>
      </c>
      <c r="H175" s="0" t="s">
        <v>625</v>
      </c>
      <c r="I175" s="0" t="s">
        <v>626</v>
      </c>
      <c r="J175" s="0" t="s">
        <v>627</v>
      </c>
      <c r="K175" s="475" t="n">
        <f aca="false">'Basis Options'!G180</f>
        <v>36831</v>
      </c>
      <c r="L175" s="254" t="e">
        <f aca="false">'Basis Options'!U180</f>
        <v>#NAME?</v>
      </c>
      <c r="M175" s="475" t="n">
        <f aca="false">'Basis Options'!Q180</f>
        <v>36829</v>
      </c>
      <c r="N175" s="0" t="str">
        <f aca="false">'Basis Options'!F180</f>
        <v>C</v>
      </c>
      <c r="O175" s="0" t="n">
        <f aca="false">'Basis Options'!I180</f>
        <v>1.15</v>
      </c>
      <c r="P175" s="0" t="n">
        <v>0</v>
      </c>
      <c r="Q175" s="0" t="n">
        <v>0</v>
      </c>
      <c r="R175" s="0" t="n">
        <v>0</v>
      </c>
      <c r="S175" s="0" t="n">
        <v>0</v>
      </c>
      <c r="T175" s="0" t="s">
        <v>624</v>
      </c>
      <c r="U175" s="0" t="str">
        <f aca="false">IF('Basis Options'!D180="NGI/CHI. GATE","""NGI/CHI. GATE""",TRIM('Basis Options'!D180))</f>
        <v>IF-TRANSCO/Z6</v>
      </c>
      <c r="V175" s="0" t="s">
        <v>624</v>
      </c>
      <c r="W175" s="0" t="s">
        <v>569</v>
      </c>
      <c r="X175" s="0" t="s">
        <v>624</v>
      </c>
      <c r="Y175" s="0" t="s">
        <v>627</v>
      </c>
      <c r="Z175" s="0" t="s">
        <v>629</v>
      </c>
      <c r="AA175" s="0" t="s">
        <v>624</v>
      </c>
      <c r="AB175" s="0" t="s">
        <v>132</v>
      </c>
      <c r="AC175" s="254" t="n">
        <f aca="false">'Basis Options'!H180</f>
        <v>300000</v>
      </c>
      <c r="AD175" s="254" t="e">
        <f aca="false">'Basis Options'!W180</f>
        <v>#NAME?</v>
      </c>
      <c r="AE175" s="0" t="n">
        <v>0</v>
      </c>
      <c r="AF175" s="0" t="n">
        <v>0</v>
      </c>
      <c r="AG175" s="0" t="n">
        <v>0</v>
      </c>
      <c r="AH175" s="254" t="e">
        <f aca="false">'Basis Options'!CD180</f>
        <v>#NAME?</v>
      </c>
      <c r="AI175" s="0" t="n">
        <v>226</v>
      </c>
      <c r="AJ175" s="0" t="s">
        <v>630</v>
      </c>
      <c r="AK175" s="0" t="n">
        <v>0</v>
      </c>
      <c r="AL175" s="0" t="n">
        <v>0</v>
      </c>
      <c r="AM175" s="0" t="n">
        <v>0</v>
      </c>
    </row>
    <row r="176" customFormat="false" ht="12.75" hidden="false" customHeight="false" outlineLevel="0" collapsed="false">
      <c r="A176" s="0" t="s">
        <v>621</v>
      </c>
      <c r="B176" s="0" t="str">
        <f aca="false">'Basis Options'!C181</f>
        <v>NH2932</v>
      </c>
      <c r="C176" s="0" t="s">
        <v>622</v>
      </c>
      <c r="D176" s="0" t="s">
        <v>623</v>
      </c>
      <c r="E176" s="0" t="s">
        <v>131</v>
      </c>
      <c r="F176" s="0" t="str">
        <f aca="false">'Basis Options'!A181</f>
        <v>TXUENETRA</v>
      </c>
      <c r="G176" s="0" t="s">
        <v>628</v>
      </c>
      <c r="H176" s="0" t="s">
        <v>625</v>
      </c>
      <c r="I176" s="0" t="s">
        <v>626</v>
      </c>
      <c r="J176" s="0" t="s">
        <v>627</v>
      </c>
      <c r="K176" s="475" t="n">
        <f aca="false">'Basis Options'!G181</f>
        <v>36800</v>
      </c>
      <c r="L176" s="254" t="e">
        <f aca="false">'Basis Options'!U181</f>
        <v>#NAME?</v>
      </c>
      <c r="M176" s="475" t="n">
        <f aca="false">'Basis Options'!Q181</f>
        <v>36797</v>
      </c>
      <c r="N176" s="0" t="str">
        <f aca="false">'Basis Options'!F181</f>
        <v>C</v>
      </c>
      <c r="O176" s="0" t="n">
        <f aca="false">'Basis Options'!I181</f>
        <v>0.3375</v>
      </c>
      <c r="P176" s="0" t="n">
        <v>0</v>
      </c>
      <c r="Q176" s="0" t="n">
        <v>0</v>
      </c>
      <c r="R176" s="0" t="n">
        <v>0</v>
      </c>
      <c r="S176" s="0" t="n">
        <v>0</v>
      </c>
      <c r="T176" s="0" t="s">
        <v>624</v>
      </c>
      <c r="U176" s="0" t="str">
        <f aca="false">IF('Basis Options'!D181="NGI/CHI. GATE","""NGI/CHI. GATE""",TRIM('Basis Options'!D181))</f>
        <v>IF-TRANSCO/Z6</v>
      </c>
      <c r="V176" s="0" t="s">
        <v>624</v>
      </c>
      <c r="W176" s="0" t="s">
        <v>569</v>
      </c>
      <c r="X176" s="0" t="s">
        <v>624</v>
      </c>
      <c r="Y176" s="0" t="s">
        <v>627</v>
      </c>
      <c r="Z176" s="0" t="s">
        <v>629</v>
      </c>
      <c r="AA176" s="0" t="s">
        <v>624</v>
      </c>
      <c r="AB176" s="0" t="s">
        <v>132</v>
      </c>
      <c r="AC176" s="254" t="n">
        <f aca="false">'Basis Options'!H181</f>
        <v>310000</v>
      </c>
      <c r="AD176" s="254" t="e">
        <f aca="false">'Basis Options'!W181</f>
        <v>#NAME?</v>
      </c>
      <c r="AE176" s="0" t="n">
        <v>0</v>
      </c>
      <c r="AF176" s="0" t="n">
        <v>0</v>
      </c>
      <c r="AG176" s="0" t="n">
        <v>0</v>
      </c>
      <c r="AH176" s="254" t="e">
        <f aca="false">'Basis Options'!CD181</f>
        <v>#NAME?</v>
      </c>
      <c r="AI176" s="0" t="n">
        <v>226</v>
      </c>
      <c r="AJ176" s="0" t="s">
        <v>630</v>
      </c>
      <c r="AK176" s="0" t="n">
        <v>0</v>
      </c>
      <c r="AL176" s="0" t="n">
        <v>0</v>
      </c>
      <c r="AM176" s="0" t="n">
        <v>0</v>
      </c>
    </row>
    <row r="177" customFormat="false" ht="12.75" hidden="false" customHeight="false" outlineLevel="0" collapsed="false">
      <c r="A177" s="0" t="s">
        <v>621</v>
      </c>
      <c r="B177" s="0" t="str">
        <f aca="false">'Basis Options'!C182</f>
        <v>NH2932</v>
      </c>
      <c r="C177" s="0" t="s">
        <v>622</v>
      </c>
      <c r="D177" s="0" t="s">
        <v>623</v>
      </c>
      <c r="E177" s="0" t="s">
        <v>131</v>
      </c>
      <c r="F177" s="0" t="str">
        <f aca="false">'Basis Options'!A182</f>
        <v>TXUENETRA</v>
      </c>
      <c r="G177" s="0" t="s">
        <v>628</v>
      </c>
      <c r="H177" s="0" t="s">
        <v>625</v>
      </c>
      <c r="I177" s="0" t="s">
        <v>626</v>
      </c>
      <c r="J177" s="0" t="s">
        <v>627</v>
      </c>
      <c r="K177" s="475" t="n">
        <f aca="false">'Basis Options'!G182</f>
        <v>36770</v>
      </c>
      <c r="L177" s="254" t="e">
        <f aca="false">'Basis Options'!U182</f>
        <v>#NAME?</v>
      </c>
      <c r="M177" s="475" t="n">
        <f aca="false">'Basis Options'!Q182</f>
        <v>36768</v>
      </c>
      <c r="N177" s="0" t="str">
        <f aca="false">'Basis Options'!F182</f>
        <v>C</v>
      </c>
      <c r="O177" s="0" t="n">
        <f aca="false">'Basis Options'!I182</f>
        <v>0.3375</v>
      </c>
      <c r="P177" s="0" t="n">
        <v>0</v>
      </c>
      <c r="Q177" s="0" t="n">
        <v>0</v>
      </c>
      <c r="R177" s="0" t="n">
        <v>0</v>
      </c>
      <c r="S177" s="0" t="n">
        <v>0</v>
      </c>
      <c r="T177" s="0" t="s">
        <v>624</v>
      </c>
      <c r="U177" s="0" t="str">
        <f aca="false">IF('Basis Options'!D182="NGI/CHI. GATE","""NGI/CHI. GATE""",TRIM('Basis Options'!D182))</f>
        <v>IF-TRANSCO/Z6</v>
      </c>
      <c r="V177" s="0" t="s">
        <v>624</v>
      </c>
      <c r="W177" s="0" t="s">
        <v>569</v>
      </c>
      <c r="X177" s="0" t="s">
        <v>624</v>
      </c>
      <c r="Y177" s="0" t="s">
        <v>627</v>
      </c>
      <c r="Z177" s="0" t="s">
        <v>629</v>
      </c>
      <c r="AA177" s="0" t="s">
        <v>624</v>
      </c>
      <c r="AB177" s="0" t="s">
        <v>132</v>
      </c>
      <c r="AC177" s="254" t="n">
        <f aca="false">'Basis Options'!H182</f>
        <v>300000</v>
      </c>
      <c r="AD177" s="254" t="e">
        <f aca="false">'Basis Options'!W182</f>
        <v>#NAME?</v>
      </c>
      <c r="AE177" s="0" t="n">
        <v>0</v>
      </c>
      <c r="AF177" s="0" t="n">
        <v>0</v>
      </c>
      <c r="AG177" s="0" t="n">
        <v>0</v>
      </c>
      <c r="AH177" s="254" t="e">
        <f aca="false">'Basis Options'!CD182</f>
        <v>#NAME?</v>
      </c>
      <c r="AI177" s="0" t="n">
        <v>226</v>
      </c>
      <c r="AJ177" s="0" t="s">
        <v>630</v>
      </c>
      <c r="AK177" s="0" t="n">
        <v>0</v>
      </c>
      <c r="AL177" s="0" t="n">
        <v>0</v>
      </c>
      <c r="AM177" s="0" t="n">
        <v>0</v>
      </c>
    </row>
    <row r="178" customFormat="false" ht="12.75" hidden="false" customHeight="false" outlineLevel="0" collapsed="false">
      <c r="A178" s="0" t="s">
        <v>621</v>
      </c>
      <c r="B178" s="0" t="str">
        <f aca="false">'Basis Options'!C183</f>
        <v>NH4419</v>
      </c>
      <c r="C178" s="0" t="s">
        <v>622</v>
      </c>
      <c r="D178" s="0" t="s">
        <v>623</v>
      </c>
      <c r="E178" s="0" t="s">
        <v>131</v>
      </c>
      <c r="F178" s="0" t="str">
        <f aca="false">'Basis Options'!A183</f>
        <v>WILLIAMSENEMAR</v>
      </c>
      <c r="G178" s="0" t="s">
        <v>628</v>
      </c>
      <c r="H178" s="0" t="s">
        <v>625</v>
      </c>
      <c r="I178" s="0" t="s">
        <v>626</v>
      </c>
      <c r="J178" s="0" t="s">
        <v>627</v>
      </c>
      <c r="K178" s="475" t="n">
        <f aca="false">'Basis Options'!G183</f>
        <v>36800</v>
      </c>
      <c r="L178" s="254" t="e">
        <f aca="false">'Basis Options'!U183</f>
        <v>#NAME?</v>
      </c>
      <c r="M178" s="475" t="n">
        <f aca="false">'Basis Options'!Q183</f>
        <v>36797</v>
      </c>
      <c r="N178" s="0" t="str">
        <f aca="false">'Basis Options'!F183</f>
        <v>C</v>
      </c>
      <c r="O178" s="0" t="n">
        <f aca="false">'Basis Options'!I183</f>
        <v>0.1</v>
      </c>
      <c r="P178" s="0" t="n">
        <v>0</v>
      </c>
      <c r="Q178" s="0" t="n">
        <v>0</v>
      </c>
      <c r="R178" s="0" t="n">
        <v>0</v>
      </c>
      <c r="S178" s="0" t="n">
        <v>0</v>
      </c>
      <c r="T178" s="0" t="s">
        <v>624</v>
      </c>
      <c r="U178" s="0" t="str">
        <f aca="false">IF('Basis Options'!D183="NGI/CHI. GATE","""NGI/CHI. GATE""",TRIM('Basis Options'!D183))</f>
        <v>NGI-SOCAL</v>
      </c>
      <c r="V178" s="0" t="s">
        <v>624</v>
      </c>
      <c r="W178" s="0" t="s">
        <v>569</v>
      </c>
      <c r="X178" s="0" t="s">
        <v>624</v>
      </c>
      <c r="Y178" s="0" t="s">
        <v>627</v>
      </c>
      <c r="Z178" s="0" t="s">
        <v>629</v>
      </c>
      <c r="AA178" s="0" t="s">
        <v>624</v>
      </c>
      <c r="AB178" s="0" t="s">
        <v>132</v>
      </c>
      <c r="AC178" s="254" t="n">
        <f aca="false">'Basis Options'!H183</f>
        <v>-500000</v>
      </c>
      <c r="AD178" s="254" t="e">
        <f aca="false">'Basis Options'!W183</f>
        <v>#NAME?</v>
      </c>
      <c r="AE178" s="0" t="n">
        <v>0</v>
      </c>
      <c r="AF178" s="0" t="n">
        <v>0</v>
      </c>
      <c r="AG178" s="0" t="n">
        <v>0</v>
      </c>
      <c r="AH178" s="254" t="e">
        <f aca="false">'Basis Options'!CD183</f>
        <v>#NAME?</v>
      </c>
      <c r="AI178" s="0" t="n">
        <v>226</v>
      </c>
      <c r="AJ178" s="0" t="s">
        <v>630</v>
      </c>
      <c r="AK178" s="0" t="n">
        <v>0</v>
      </c>
      <c r="AL178" s="0" t="n">
        <v>0</v>
      </c>
      <c r="AM178" s="0" t="n">
        <v>0</v>
      </c>
    </row>
    <row r="179" customFormat="false" ht="12.75" hidden="false" customHeight="false" outlineLevel="0" collapsed="false">
      <c r="A179" s="0" t="s">
        <v>621</v>
      </c>
      <c r="B179" s="0" t="str">
        <f aca="false">'Basis Options'!C184</f>
        <v>NH4419</v>
      </c>
      <c r="C179" s="0" t="s">
        <v>622</v>
      </c>
      <c r="D179" s="0" t="s">
        <v>623</v>
      </c>
      <c r="E179" s="0" t="s">
        <v>131</v>
      </c>
      <c r="F179" s="0" t="str">
        <f aca="false">'Basis Options'!A184</f>
        <v>WILLIAMSENEMAR</v>
      </c>
      <c r="G179" s="0" t="s">
        <v>628</v>
      </c>
      <c r="H179" s="0" t="s">
        <v>625</v>
      </c>
      <c r="I179" s="0" t="s">
        <v>626</v>
      </c>
      <c r="J179" s="0" t="s">
        <v>627</v>
      </c>
      <c r="K179" s="475" t="n">
        <f aca="false">'Basis Options'!G184</f>
        <v>36770</v>
      </c>
      <c r="L179" s="254" t="e">
        <f aca="false">'Basis Options'!U184</f>
        <v>#NAME?</v>
      </c>
      <c r="M179" s="475" t="n">
        <f aca="false">'Basis Options'!Q184</f>
        <v>36768</v>
      </c>
      <c r="N179" s="0" t="str">
        <f aca="false">'Basis Options'!F184</f>
        <v>C</v>
      </c>
      <c r="O179" s="0" t="n">
        <f aca="false">'Basis Options'!I184</f>
        <v>0.1</v>
      </c>
      <c r="P179" s="0" t="n">
        <v>0</v>
      </c>
      <c r="Q179" s="0" t="n">
        <v>0</v>
      </c>
      <c r="R179" s="0" t="n">
        <v>0</v>
      </c>
      <c r="S179" s="0" t="n">
        <v>0</v>
      </c>
      <c r="T179" s="0" t="s">
        <v>624</v>
      </c>
      <c r="U179" s="0" t="str">
        <f aca="false">IF('Basis Options'!D184="NGI/CHI. GATE","""NGI/CHI. GATE""",TRIM('Basis Options'!D184))</f>
        <v>NGI-SOCAL</v>
      </c>
      <c r="V179" s="0" t="s">
        <v>624</v>
      </c>
      <c r="W179" s="0" t="s">
        <v>569</v>
      </c>
      <c r="X179" s="0" t="s">
        <v>624</v>
      </c>
      <c r="Y179" s="0" t="s">
        <v>627</v>
      </c>
      <c r="Z179" s="0" t="s">
        <v>629</v>
      </c>
      <c r="AA179" s="0" t="s">
        <v>624</v>
      </c>
      <c r="AB179" s="0" t="s">
        <v>132</v>
      </c>
      <c r="AC179" s="254" t="n">
        <f aca="false">'Basis Options'!H184</f>
        <v>-500000</v>
      </c>
      <c r="AD179" s="254" t="e">
        <f aca="false">'Basis Options'!W184</f>
        <v>#NAME?</v>
      </c>
      <c r="AE179" s="0" t="n">
        <v>0</v>
      </c>
      <c r="AF179" s="0" t="n">
        <v>0</v>
      </c>
      <c r="AG179" s="0" t="n">
        <v>0</v>
      </c>
      <c r="AH179" s="254" t="e">
        <f aca="false">'Basis Options'!CD184</f>
        <v>#NAME?</v>
      </c>
      <c r="AI179" s="0" t="n">
        <v>226</v>
      </c>
      <c r="AJ179" s="0" t="s">
        <v>630</v>
      </c>
      <c r="AK179" s="0" t="n">
        <v>0</v>
      </c>
      <c r="AL179" s="0" t="n">
        <v>0</v>
      </c>
      <c r="AM179" s="0" t="n">
        <v>0</v>
      </c>
    </row>
    <row r="180" customFormat="false" ht="12.75" hidden="false" customHeight="false" outlineLevel="0" collapsed="false">
      <c r="A180" s="0" t="s">
        <v>621</v>
      </c>
      <c r="B180" s="0" t="str">
        <f aca="false">'Basis Options'!C185</f>
        <v>NH6374</v>
      </c>
      <c r="C180" s="0" t="s">
        <v>622</v>
      </c>
      <c r="D180" s="0" t="s">
        <v>623</v>
      </c>
      <c r="E180" s="0" t="s">
        <v>131</v>
      </c>
      <c r="F180" s="0" t="str">
        <f aca="false">'Basis Options'!A185</f>
        <v>PHIBRO</v>
      </c>
      <c r="G180" s="0" t="s">
        <v>628</v>
      </c>
      <c r="H180" s="0" t="s">
        <v>625</v>
      </c>
      <c r="I180" s="0" t="s">
        <v>626</v>
      </c>
      <c r="J180" s="0" t="s">
        <v>627</v>
      </c>
      <c r="K180" s="475" t="n">
        <f aca="false">'Basis Options'!G185</f>
        <v>36800</v>
      </c>
      <c r="L180" s="254" t="e">
        <f aca="false">'Basis Options'!U185</f>
        <v>#NAME?</v>
      </c>
      <c r="M180" s="475" t="n">
        <f aca="false">'Basis Options'!Q185</f>
        <v>36797</v>
      </c>
      <c r="N180" s="0" t="str">
        <f aca="false">'Basis Options'!F185</f>
        <v>C</v>
      </c>
      <c r="O180" s="0" t="n">
        <f aca="false">'Basis Options'!I185</f>
        <v>0.045</v>
      </c>
      <c r="P180" s="0" t="n">
        <v>0</v>
      </c>
      <c r="Q180" s="0" t="n">
        <v>0</v>
      </c>
      <c r="R180" s="0" t="n">
        <v>0</v>
      </c>
      <c r="S180" s="0" t="n">
        <v>0</v>
      </c>
      <c r="T180" s="0" t="s">
        <v>624</v>
      </c>
      <c r="U180" s="0" t="str">
        <f aca="false">IF('Basis Options'!D185="NGI/CHI. GATE","""NGI/CHI. GATE""",TRIM('Basis Options'!D185))</f>
        <v>NGI-SOCAL</v>
      </c>
      <c r="V180" s="0" t="s">
        <v>624</v>
      </c>
      <c r="W180" s="0" t="s">
        <v>569</v>
      </c>
      <c r="X180" s="0" t="s">
        <v>624</v>
      </c>
      <c r="Y180" s="0" t="s">
        <v>627</v>
      </c>
      <c r="Z180" s="0" t="s">
        <v>629</v>
      </c>
      <c r="AA180" s="0" t="s">
        <v>624</v>
      </c>
      <c r="AB180" s="0" t="s">
        <v>132</v>
      </c>
      <c r="AC180" s="254" t="n">
        <f aca="false">'Basis Options'!H185</f>
        <v>-310000</v>
      </c>
      <c r="AD180" s="254" t="e">
        <f aca="false">'Basis Options'!W185</f>
        <v>#NAME?</v>
      </c>
      <c r="AE180" s="0" t="n">
        <v>0</v>
      </c>
      <c r="AF180" s="0" t="n">
        <v>0</v>
      </c>
      <c r="AG180" s="0" t="n">
        <v>0</v>
      </c>
      <c r="AH180" s="254" t="e">
        <f aca="false">'Basis Options'!CD185</f>
        <v>#NAME?</v>
      </c>
      <c r="AI180" s="0" t="n">
        <v>226</v>
      </c>
      <c r="AJ180" s="0" t="s">
        <v>630</v>
      </c>
      <c r="AK180" s="0" t="n">
        <v>0</v>
      </c>
      <c r="AL180" s="0" t="n">
        <v>0</v>
      </c>
      <c r="AM180" s="0" t="n">
        <v>0</v>
      </c>
    </row>
    <row r="181" customFormat="false" ht="12.75" hidden="false" customHeight="false" outlineLevel="0" collapsed="false">
      <c r="A181" s="0" t="s">
        <v>621</v>
      </c>
      <c r="B181" s="0" t="str">
        <f aca="false">'Basis Options'!C186</f>
        <v>NH6374</v>
      </c>
      <c r="C181" s="0" t="s">
        <v>622</v>
      </c>
      <c r="D181" s="0" t="s">
        <v>623</v>
      </c>
      <c r="E181" s="0" t="s">
        <v>131</v>
      </c>
      <c r="F181" s="0" t="str">
        <f aca="false">'Basis Options'!A186</f>
        <v>PHIBRO</v>
      </c>
      <c r="G181" s="0" t="s">
        <v>628</v>
      </c>
      <c r="H181" s="0" t="s">
        <v>625</v>
      </c>
      <c r="I181" s="0" t="s">
        <v>626</v>
      </c>
      <c r="J181" s="0" t="s">
        <v>627</v>
      </c>
      <c r="K181" s="475" t="n">
        <f aca="false">'Basis Options'!G186</f>
        <v>36800</v>
      </c>
      <c r="L181" s="254" t="e">
        <f aca="false">'Basis Options'!U186</f>
        <v>#NAME?</v>
      </c>
      <c r="M181" s="475" t="n">
        <f aca="false">'Basis Options'!Q186</f>
        <v>36797</v>
      </c>
      <c r="N181" s="0" t="str">
        <f aca="false">'Basis Options'!F186</f>
        <v>P</v>
      </c>
      <c r="O181" s="0" t="n">
        <f aca="false">'Basis Options'!I186</f>
        <v>0.045</v>
      </c>
      <c r="P181" s="0" t="n">
        <v>0</v>
      </c>
      <c r="Q181" s="0" t="n">
        <v>0</v>
      </c>
      <c r="R181" s="0" t="n">
        <v>0</v>
      </c>
      <c r="S181" s="0" t="n">
        <v>0</v>
      </c>
      <c r="T181" s="0" t="s">
        <v>624</v>
      </c>
      <c r="U181" s="0" t="str">
        <f aca="false">IF('Basis Options'!D186="NGI/CHI. GATE","""NGI/CHI. GATE""",TRIM('Basis Options'!D186))</f>
        <v>NGI-SOCAL</v>
      </c>
      <c r="V181" s="0" t="s">
        <v>624</v>
      </c>
      <c r="W181" s="0" t="s">
        <v>569</v>
      </c>
      <c r="X181" s="0" t="s">
        <v>624</v>
      </c>
      <c r="Y181" s="0" t="s">
        <v>627</v>
      </c>
      <c r="Z181" s="0" t="s">
        <v>629</v>
      </c>
      <c r="AA181" s="0" t="s">
        <v>624</v>
      </c>
      <c r="AB181" s="0" t="s">
        <v>132</v>
      </c>
      <c r="AC181" s="254" t="n">
        <f aca="false">'Basis Options'!H186</f>
        <v>-310000</v>
      </c>
      <c r="AD181" s="254" t="e">
        <f aca="false">'Basis Options'!W186</f>
        <v>#NAME?</v>
      </c>
      <c r="AE181" s="0" t="n">
        <v>0</v>
      </c>
      <c r="AF181" s="0" t="n">
        <v>0</v>
      </c>
      <c r="AG181" s="0" t="n">
        <v>0</v>
      </c>
      <c r="AH181" s="254" t="e">
        <f aca="false">'Basis Options'!CD186</f>
        <v>#NAME?</v>
      </c>
      <c r="AI181" s="0" t="n">
        <v>226</v>
      </c>
      <c r="AJ181" s="0" t="s">
        <v>630</v>
      </c>
      <c r="AK181" s="0" t="n">
        <v>0</v>
      </c>
      <c r="AL181" s="0" t="n">
        <v>0</v>
      </c>
      <c r="AM181" s="0" t="n">
        <v>0</v>
      </c>
    </row>
    <row r="182" customFormat="false" ht="12.75" hidden="false" customHeight="false" outlineLevel="0" collapsed="false">
      <c r="A182" s="0" t="s">
        <v>621</v>
      </c>
      <c r="B182" s="0" t="str">
        <f aca="false">'Basis Options'!C187</f>
        <v>NH6374</v>
      </c>
      <c r="C182" s="0" t="s">
        <v>622</v>
      </c>
      <c r="D182" s="0" t="s">
        <v>623</v>
      </c>
      <c r="E182" s="0" t="s">
        <v>131</v>
      </c>
      <c r="F182" s="0" t="str">
        <f aca="false">'Basis Options'!A187</f>
        <v>PHIBRO</v>
      </c>
      <c r="G182" s="0" t="s">
        <v>628</v>
      </c>
      <c r="H182" s="0" t="s">
        <v>625</v>
      </c>
      <c r="I182" s="0" t="s">
        <v>626</v>
      </c>
      <c r="J182" s="0" t="s">
        <v>627</v>
      </c>
      <c r="K182" s="475" t="n">
        <f aca="false">'Basis Options'!G187</f>
        <v>36770</v>
      </c>
      <c r="L182" s="254" t="e">
        <f aca="false">'Basis Options'!U187</f>
        <v>#NAME?</v>
      </c>
      <c r="M182" s="475" t="n">
        <f aca="false">'Basis Options'!Q187</f>
        <v>36768</v>
      </c>
      <c r="N182" s="0" t="str">
        <f aca="false">'Basis Options'!F187</f>
        <v>C</v>
      </c>
      <c r="O182" s="0" t="n">
        <f aca="false">'Basis Options'!I187</f>
        <v>0.045</v>
      </c>
      <c r="P182" s="0" t="n">
        <v>0</v>
      </c>
      <c r="Q182" s="0" t="n">
        <v>0</v>
      </c>
      <c r="R182" s="0" t="n">
        <v>0</v>
      </c>
      <c r="S182" s="0" t="n">
        <v>0</v>
      </c>
      <c r="T182" s="0" t="s">
        <v>624</v>
      </c>
      <c r="U182" s="0" t="str">
        <f aca="false">IF('Basis Options'!D187="NGI/CHI. GATE","""NGI/CHI. GATE""",TRIM('Basis Options'!D187))</f>
        <v>NGI-SOCAL</v>
      </c>
      <c r="V182" s="0" t="s">
        <v>624</v>
      </c>
      <c r="W182" s="0" t="s">
        <v>569</v>
      </c>
      <c r="X182" s="0" t="s">
        <v>624</v>
      </c>
      <c r="Y182" s="0" t="s">
        <v>627</v>
      </c>
      <c r="Z182" s="0" t="s">
        <v>629</v>
      </c>
      <c r="AA182" s="0" t="s">
        <v>624</v>
      </c>
      <c r="AB182" s="0" t="s">
        <v>132</v>
      </c>
      <c r="AC182" s="254" t="n">
        <f aca="false">'Basis Options'!H187</f>
        <v>-300000</v>
      </c>
      <c r="AD182" s="254" t="e">
        <f aca="false">'Basis Options'!W187</f>
        <v>#NAME?</v>
      </c>
      <c r="AE182" s="0" t="n">
        <v>0</v>
      </c>
      <c r="AF182" s="0" t="n">
        <v>0</v>
      </c>
      <c r="AG182" s="0" t="n">
        <v>0</v>
      </c>
      <c r="AH182" s="254" t="e">
        <f aca="false">'Basis Options'!CD187</f>
        <v>#NAME?</v>
      </c>
      <c r="AI182" s="0" t="n">
        <v>226</v>
      </c>
      <c r="AJ182" s="0" t="s">
        <v>630</v>
      </c>
      <c r="AK182" s="0" t="n">
        <v>0</v>
      </c>
      <c r="AL182" s="0" t="n">
        <v>0</v>
      </c>
      <c r="AM182" s="0" t="n">
        <v>0</v>
      </c>
    </row>
    <row r="183" customFormat="false" ht="12.75" hidden="false" customHeight="false" outlineLevel="0" collapsed="false">
      <c r="A183" s="0" t="s">
        <v>621</v>
      </c>
      <c r="B183" s="0" t="str">
        <f aca="false">'Basis Options'!C188</f>
        <v>NH6374</v>
      </c>
      <c r="C183" s="0" t="s">
        <v>622</v>
      </c>
      <c r="D183" s="0" t="s">
        <v>623</v>
      </c>
      <c r="E183" s="0" t="s">
        <v>131</v>
      </c>
      <c r="F183" s="0" t="str">
        <f aca="false">'Basis Options'!A188</f>
        <v>PHIBRO</v>
      </c>
      <c r="G183" s="0" t="s">
        <v>628</v>
      </c>
      <c r="H183" s="0" t="s">
        <v>625</v>
      </c>
      <c r="I183" s="0" t="s">
        <v>626</v>
      </c>
      <c r="J183" s="0" t="s">
        <v>627</v>
      </c>
      <c r="K183" s="475" t="n">
        <f aca="false">'Basis Options'!G188</f>
        <v>36770</v>
      </c>
      <c r="L183" s="254" t="e">
        <f aca="false">'Basis Options'!U188</f>
        <v>#NAME?</v>
      </c>
      <c r="M183" s="475" t="n">
        <f aca="false">'Basis Options'!Q188</f>
        <v>36768</v>
      </c>
      <c r="N183" s="0" t="str">
        <f aca="false">'Basis Options'!F188</f>
        <v>P</v>
      </c>
      <c r="O183" s="0" t="n">
        <f aca="false">'Basis Options'!I188</f>
        <v>0.045</v>
      </c>
      <c r="P183" s="0" t="n">
        <v>0</v>
      </c>
      <c r="Q183" s="0" t="n">
        <v>0</v>
      </c>
      <c r="R183" s="0" t="n">
        <v>0</v>
      </c>
      <c r="S183" s="0" t="n">
        <v>0</v>
      </c>
      <c r="T183" s="0" t="s">
        <v>624</v>
      </c>
      <c r="U183" s="0" t="str">
        <f aca="false">IF('Basis Options'!D188="NGI/CHI. GATE","""NGI/CHI. GATE""",TRIM('Basis Options'!D188))</f>
        <v>NGI-SOCAL</v>
      </c>
      <c r="V183" s="0" t="s">
        <v>624</v>
      </c>
      <c r="W183" s="0" t="s">
        <v>569</v>
      </c>
      <c r="X183" s="0" t="s">
        <v>624</v>
      </c>
      <c r="Y183" s="0" t="s">
        <v>627</v>
      </c>
      <c r="Z183" s="0" t="s">
        <v>629</v>
      </c>
      <c r="AA183" s="0" t="s">
        <v>624</v>
      </c>
      <c r="AB183" s="0" t="s">
        <v>132</v>
      </c>
      <c r="AC183" s="254" t="n">
        <f aca="false">'Basis Options'!H188</f>
        <v>-300000</v>
      </c>
      <c r="AD183" s="254" t="e">
        <f aca="false">'Basis Options'!W188</f>
        <v>#NAME?</v>
      </c>
      <c r="AE183" s="0" t="n">
        <v>0</v>
      </c>
      <c r="AF183" s="0" t="n">
        <v>0</v>
      </c>
      <c r="AG183" s="0" t="n">
        <v>0</v>
      </c>
      <c r="AH183" s="254" t="e">
        <f aca="false">'Basis Options'!CD188</f>
        <v>#NAME?</v>
      </c>
      <c r="AI183" s="0" t="n">
        <v>226</v>
      </c>
      <c r="AJ183" s="0" t="s">
        <v>630</v>
      </c>
      <c r="AK183" s="0" t="n">
        <v>0</v>
      </c>
      <c r="AL183" s="0" t="n">
        <v>0</v>
      </c>
      <c r="AM183" s="0" t="n">
        <v>0</v>
      </c>
    </row>
    <row r="184" customFormat="false" ht="12.75" hidden="false" customHeight="false" outlineLevel="0" collapsed="false">
      <c r="A184" s="0" t="s">
        <v>621</v>
      </c>
      <c r="B184" s="0" t="str">
        <f aca="false">'Basis Options'!C189</f>
        <v>NH8899.1</v>
      </c>
      <c r="C184" s="0" t="s">
        <v>622</v>
      </c>
      <c r="D184" s="0" t="s">
        <v>623</v>
      </c>
      <c r="E184" s="0" t="s">
        <v>131</v>
      </c>
      <c r="F184" s="0" t="str">
        <f aca="false">'Basis Options'!A189</f>
        <v>DUKEENETRA</v>
      </c>
      <c r="G184" s="0" t="s">
        <v>628</v>
      </c>
      <c r="H184" s="0" t="s">
        <v>625</v>
      </c>
      <c r="I184" s="0" t="s">
        <v>626</v>
      </c>
      <c r="J184" s="0" t="s">
        <v>627</v>
      </c>
      <c r="K184" s="475" t="n">
        <f aca="false">'Basis Options'!G189</f>
        <v>36951</v>
      </c>
      <c r="L184" s="254" t="e">
        <f aca="false">'Basis Options'!U189</f>
        <v>#NAME?</v>
      </c>
      <c r="M184" s="475" t="n">
        <f aca="false">'Basis Options'!Q189</f>
        <v>36949</v>
      </c>
      <c r="N184" s="0" t="str">
        <f aca="false">'Basis Options'!F189</f>
        <v>C</v>
      </c>
      <c r="O184" s="0" t="n">
        <f aca="false">'Basis Options'!I189</f>
        <v>2</v>
      </c>
      <c r="P184" s="0" t="n">
        <v>0</v>
      </c>
      <c r="Q184" s="0" t="n">
        <v>0</v>
      </c>
      <c r="R184" s="0" t="n">
        <v>0</v>
      </c>
      <c r="S184" s="0" t="n">
        <v>0</v>
      </c>
      <c r="T184" s="0" t="s">
        <v>624</v>
      </c>
      <c r="U184" s="0" t="str">
        <f aca="false">IF('Basis Options'!D189="NGI/CHI. GATE","""NGI/CHI. GATE""",TRIM('Basis Options'!D189))</f>
        <v>IF-TRANSCO/Z6</v>
      </c>
      <c r="V184" s="0" t="s">
        <v>624</v>
      </c>
      <c r="W184" s="0" t="s">
        <v>569</v>
      </c>
      <c r="X184" s="0" t="s">
        <v>624</v>
      </c>
      <c r="Y184" s="0" t="s">
        <v>627</v>
      </c>
      <c r="Z184" s="0" t="s">
        <v>629</v>
      </c>
      <c r="AA184" s="0" t="s">
        <v>624</v>
      </c>
      <c r="AB184" s="0" t="s">
        <v>132</v>
      </c>
      <c r="AC184" s="254" t="n">
        <f aca="false">'Basis Options'!H189</f>
        <v>1000000</v>
      </c>
      <c r="AD184" s="254" t="e">
        <f aca="false">'Basis Options'!W189</f>
        <v>#NAME?</v>
      </c>
      <c r="AE184" s="0" t="n">
        <v>0</v>
      </c>
      <c r="AF184" s="0" t="n">
        <v>0</v>
      </c>
      <c r="AG184" s="0" t="n">
        <v>0</v>
      </c>
      <c r="AH184" s="254" t="e">
        <f aca="false">'Basis Options'!CD189</f>
        <v>#NAME?</v>
      </c>
      <c r="AI184" s="0" t="n">
        <v>226</v>
      </c>
      <c r="AJ184" s="0" t="s">
        <v>630</v>
      </c>
      <c r="AK184" s="0" t="n">
        <v>0</v>
      </c>
      <c r="AL184" s="0" t="n">
        <v>0</v>
      </c>
      <c r="AM184" s="0" t="n">
        <v>0</v>
      </c>
    </row>
    <row r="185" customFormat="false" ht="12.75" hidden="false" customHeight="false" outlineLevel="0" collapsed="false">
      <c r="A185" s="0" t="s">
        <v>621</v>
      </c>
      <c r="B185" s="0" t="str">
        <f aca="false">'Basis Options'!C190</f>
        <v>NH8899.1</v>
      </c>
      <c r="C185" s="0" t="s">
        <v>622</v>
      </c>
      <c r="D185" s="0" t="s">
        <v>623</v>
      </c>
      <c r="E185" s="0" t="s">
        <v>131</v>
      </c>
      <c r="F185" s="0" t="str">
        <f aca="false">'Basis Options'!A190</f>
        <v>DUKEENETRA</v>
      </c>
      <c r="G185" s="0" t="s">
        <v>628</v>
      </c>
      <c r="H185" s="0" t="s">
        <v>625</v>
      </c>
      <c r="I185" s="0" t="s">
        <v>626</v>
      </c>
      <c r="J185" s="0" t="s">
        <v>627</v>
      </c>
      <c r="K185" s="475" t="n">
        <f aca="false">'Basis Options'!G190</f>
        <v>36923</v>
      </c>
      <c r="L185" s="254" t="e">
        <f aca="false">'Basis Options'!U190</f>
        <v>#NAME?</v>
      </c>
      <c r="M185" s="475" t="n">
        <f aca="false">'Basis Options'!Q190</f>
        <v>36921</v>
      </c>
      <c r="N185" s="0" t="str">
        <f aca="false">'Basis Options'!F190</f>
        <v>C</v>
      </c>
      <c r="O185" s="0" t="n">
        <f aca="false">'Basis Options'!I190</f>
        <v>2</v>
      </c>
      <c r="P185" s="0" t="n">
        <v>0</v>
      </c>
      <c r="Q185" s="0" t="n">
        <v>0</v>
      </c>
      <c r="R185" s="0" t="n">
        <v>0</v>
      </c>
      <c r="S185" s="0" t="n">
        <v>0</v>
      </c>
      <c r="T185" s="0" t="s">
        <v>624</v>
      </c>
      <c r="U185" s="0" t="str">
        <f aca="false">IF('Basis Options'!D190="NGI/CHI. GATE","""NGI/CHI. GATE""",TRIM('Basis Options'!D190))</f>
        <v>IF-TRANSCO/Z6</v>
      </c>
      <c r="V185" s="0" t="s">
        <v>624</v>
      </c>
      <c r="W185" s="0" t="s">
        <v>569</v>
      </c>
      <c r="X185" s="0" t="s">
        <v>624</v>
      </c>
      <c r="Y185" s="0" t="s">
        <v>627</v>
      </c>
      <c r="Z185" s="0" t="s">
        <v>629</v>
      </c>
      <c r="AA185" s="0" t="s">
        <v>624</v>
      </c>
      <c r="AB185" s="0" t="s">
        <v>132</v>
      </c>
      <c r="AC185" s="254" t="n">
        <f aca="false">'Basis Options'!H190</f>
        <v>1000000</v>
      </c>
      <c r="AD185" s="254" t="e">
        <f aca="false">'Basis Options'!W190</f>
        <v>#NAME?</v>
      </c>
      <c r="AE185" s="0" t="n">
        <v>0</v>
      </c>
      <c r="AF185" s="0" t="n">
        <v>0</v>
      </c>
      <c r="AG185" s="0" t="n">
        <v>0</v>
      </c>
      <c r="AH185" s="254" t="e">
        <f aca="false">'Basis Options'!CD190</f>
        <v>#NAME?</v>
      </c>
      <c r="AI185" s="0" t="n">
        <v>226</v>
      </c>
      <c r="AJ185" s="0" t="s">
        <v>630</v>
      </c>
      <c r="AK185" s="0" t="n">
        <v>0</v>
      </c>
      <c r="AL185" s="0" t="n">
        <v>0</v>
      </c>
      <c r="AM185" s="0" t="n">
        <v>0</v>
      </c>
    </row>
    <row r="186" customFormat="false" ht="12.75" hidden="false" customHeight="false" outlineLevel="0" collapsed="false">
      <c r="A186" s="0" t="s">
        <v>621</v>
      </c>
      <c r="B186" s="0" t="str">
        <f aca="false">'Basis Options'!C191</f>
        <v>NH8899.1</v>
      </c>
      <c r="C186" s="0" t="s">
        <v>622</v>
      </c>
      <c r="D186" s="0" t="s">
        <v>623</v>
      </c>
      <c r="E186" s="0" t="s">
        <v>131</v>
      </c>
      <c r="F186" s="0" t="str">
        <f aca="false">'Basis Options'!A191</f>
        <v>DUKEENETRA</v>
      </c>
      <c r="G186" s="0" t="s">
        <v>628</v>
      </c>
      <c r="H186" s="0" t="s">
        <v>625</v>
      </c>
      <c r="I186" s="0" t="s">
        <v>626</v>
      </c>
      <c r="J186" s="0" t="s">
        <v>627</v>
      </c>
      <c r="K186" s="475" t="n">
        <f aca="false">'Basis Options'!G191</f>
        <v>36892</v>
      </c>
      <c r="L186" s="254" t="e">
        <f aca="false">'Basis Options'!U191</f>
        <v>#NAME?</v>
      </c>
      <c r="M186" s="475" t="n">
        <f aca="false">'Basis Options'!Q191</f>
        <v>36888</v>
      </c>
      <c r="N186" s="0" t="str">
        <f aca="false">'Basis Options'!F191</f>
        <v>C</v>
      </c>
      <c r="O186" s="0" t="n">
        <f aca="false">'Basis Options'!I191</f>
        <v>2</v>
      </c>
      <c r="P186" s="0" t="n">
        <v>0</v>
      </c>
      <c r="Q186" s="0" t="n">
        <v>0</v>
      </c>
      <c r="R186" s="0" t="n">
        <v>0</v>
      </c>
      <c r="S186" s="0" t="n">
        <v>0</v>
      </c>
      <c r="T186" s="0" t="s">
        <v>624</v>
      </c>
      <c r="U186" s="0" t="str">
        <f aca="false">IF('Basis Options'!D191="NGI/CHI. GATE","""NGI/CHI. GATE""",TRIM('Basis Options'!D191))</f>
        <v>IF-TRANSCO/Z6</v>
      </c>
      <c r="V186" s="0" t="s">
        <v>624</v>
      </c>
      <c r="W186" s="0" t="s">
        <v>569</v>
      </c>
      <c r="X186" s="0" t="s">
        <v>624</v>
      </c>
      <c r="Y186" s="0" t="s">
        <v>627</v>
      </c>
      <c r="Z186" s="0" t="s">
        <v>629</v>
      </c>
      <c r="AA186" s="0" t="s">
        <v>624</v>
      </c>
      <c r="AB186" s="0" t="s">
        <v>132</v>
      </c>
      <c r="AC186" s="254" t="n">
        <f aca="false">'Basis Options'!H191</f>
        <v>1000000</v>
      </c>
      <c r="AD186" s="254" t="e">
        <f aca="false">'Basis Options'!W191</f>
        <v>#NAME?</v>
      </c>
      <c r="AE186" s="0" t="n">
        <v>0</v>
      </c>
      <c r="AF186" s="0" t="n">
        <v>0</v>
      </c>
      <c r="AG186" s="0" t="n">
        <v>0</v>
      </c>
      <c r="AH186" s="254" t="e">
        <f aca="false">'Basis Options'!CD191</f>
        <v>#NAME?</v>
      </c>
      <c r="AI186" s="0" t="n">
        <v>226</v>
      </c>
      <c r="AJ186" s="0" t="s">
        <v>630</v>
      </c>
      <c r="AK186" s="0" t="n">
        <v>0</v>
      </c>
      <c r="AL186" s="0" t="n">
        <v>0</v>
      </c>
      <c r="AM186" s="0" t="n">
        <v>0</v>
      </c>
    </row>
    <row r="187" customFormat="false" ht="12.75" hidden="false" customHeight="false" outlineLevel="0" collapsed="false">
      <c r="A187" s="0" t="s">
        <v>621</v>
      </c>
      <c r="B187" s="0" t="str">
        <f aca="false">'Basis Options'!C192</f>
        <v>NH8899.1</v>
      </c>
      <c r="C187" s="0" t="s">
        <v>622</v>
      </c>
      <c r="D187" s="0" t="s">
        <v>623</v>
      </c>
      <c r="E187" s="0" t="s">
        <v>131</v>
      </c>
      <c r="F187" s="0" t="str">
        <f aca="false">'Basis Options'!A192</f>
        <v>DUKEENETRA</v>
      </c>
      <c r="G187" s="0" t="s">
        <v>628</v>
      </c>
      <c r="H187" s="0" t="s">
        <v>625</v>
      </c>
      <c r="I187" s="0" t="s">
        <v>626</v>
      </c>
      <c r="J187" s="0" t="s">
        <v>627</v>
      </c>
      <c r="K187" s="475" t="n">
        <f aca="false">'Basis Options'!G192</f>
        <v>36861</v>
      </c>
      <c r="L187" s="254" t="e">
        <f aca="false">'Basis Options'!U192</f>
        <v>#NAME?</v>
      </c>
      <c r="M187" s="475" t="n">
        <f aca="false">'Basis Options'!Q192</f>
        <v>36859</v>
      </c>
      <c r="N187" s="0" t="str">
        <f aca="false">'Basis Options'!F192</f>
        <v>C</v>
      </c>
      <c r="O187" s="0" t="n">
        <f aca="false">'Basis Options'!I192</f>
        <v>2</v>
      </c>
      <c r="P187" s="0" t="n">
        <v>0</v>
      </c>
      <c r="Q187" s="0" t="n">
        <v>0</v>
      </c>
      <c r="R187" s="0" t="n">
        <v>0</v>
      </c>
      <c r="S187" s="0" t="n">
        <v>0</v>
      </c>
      <c r="T187" s="0" t="s">
        <v>624</v>
      </c>
      <c r="U187" s="0" t="str">
        <f aca="false">IF('Basis Options'!D192="NGI/CHI. GATE","""NGI/CHI. GATE""",TRIM('Basis Options'!D192))</f>
        <v>IF-TRANSCO/Z6</v>
      </c>
      <c r="V187" s="0" t="s">
        <v>624</v>
      </c>
      <c r="W187" s="0" t="s">
        <v>569</v>
      </c>
      <c r="X187" s="0" t="s">
        <v>624</v>
      </c>
      <c r="Y187" s="0" t="s">
        <v>627</v>
      </c>
      <c r="Z187" s="0" t="s">
        <v>629</v>
      </c>
      <c r="AA187" s="0" t="s">
        <v>624</v>
      </c>
      <c r="AB187" s="0" t="s">
        <v>132</v>
      </c>
      <c r="AC187" s="254" t="n">
        <f aca="false">'Basis Options'!H192</f>
        <v>1000000</v>
      </c>
      <c r="AD187" s="254" t="e">
        <f aca="false">'Basis Options'!W192</f>
        <v>#NAME?</v>
      </c>
      <c r="AE187" s="0" t="n">
        <v>0</v>
      </c>
      <c r="AF187" s="0" t="n">
        <v>0</v>
      </c>
      <c r="AG187" s="0" t="n">
        <v>0</v>
      </c>
      <c r="AH187" s="254" t="e">
        <f aca="false">'Basis Options'!CD192</f>
        <v>#NAME?</v>
      </c>
      <c r="AI187" s="0" t="n">
        <v>226</v>
      </c>
      <c r="AJ187" s="0" t="s">
        <v>630</v>
      </c>
      <c r="AK187" s="0" t="n">
        <v>0</v>
      </c>
      <c r="AL187" s="0" t="n">
        <v>0</v>
      </c>
      <c r="AM187" s="0" t="n">
        <v>0</v>
      </c>
    </row>
    <row r="188" customFormat="false" ht="12.75" hidden="false" customHeight="false" outlineLevel="0" collapsed="false">
      <c r="A188" s="0" t="s">
        <v>621</v>
      </c>
      <c r="B188" s="0" t="str">
        <f aca="false">'Basis Options'!C193</f>
        <v>NH8899.1</v>
      </c>
      <c r="C188" s="0" t="s">
        <v>622</v>
      </c>
      <c r="D188" s="0" t="s">
        <v>623</v>
      </c>
      <c r="E188" s="0" t="s">
        <v>131</v>
      </c>
      <c r="F188" s="0" t="str">
        <f aca="false">'Basis Options'!A193</f>
        <v>DUKEENETRA</v>
      </c>
      <c r="G188" s="0" t="s">
        <v>628</v>
      </c>
      <c r="H188" s="0" t="s">
        <v>625</v>
      </c>
      <c r="I188" s="0" t="s">
        <v>626</v>
      </c>
      <c r="J188" s="0" t="s">
        <v>627</v>
      </c>
      <c r="K188" s="475" t="n">
        <f aca="false">'Basis Options'!G193</f>
        <v>36831</v>
      </c>
      <c r="L188" s="254" t="e">
        <f aca="false">'Basis Options'!U193</f>
        <v>#NAME?</v>
      </c>
      <c r="M188" s="475" t="n">
        <f aca="false">'Basis Options'!Q193</f>
        <v>36829</v>
      </c>
      <c r="N188" s="0" t="str">
        <f aca="false">'Basis Options'!F193</f>
        <v>C</v>
      </c>
      <c r="O188" s="0" t="n">
        <f aca="false">'Basis Options'!I193</f>
        <v>2</v>
      </c>
      <c r="P188" s="0" t="n">
        <v>0</v>
      </c>
      <c r="Q188" s="0" t="n">
        <v>0</v>
      </c>
      <c r="R188" s="0" t="n">
        <v>0</v>
      </c>
      <c r="S188" s="0" t="n">
        <v>0</v>
      </c>
      <c r="T188" s="0" t="s">
        <v>624</v>
      </c>
      <c r="U188" s="0" t="str">
        <f aca="false">IF('Basis Options'!D193="NGI/CHI. GATE","""NGI/CHI. GATE""",TRIM('Basis Options'!D193))</f>
        <v>IF-TRANSCO/Z6</v>
      </c>
      <c r="V188" s="0" t="s">
        <v>624</v>
      </c>
      <c r="W188" s="0" t="s">
        <v>569</v>
      </c>
      <c r="X188" s="0" t="s">
        <v>624</v>
      </c>
      <c r="Y188" s="0" t="s">
        <v>627</v>
      </c>
      <c r="Z188" s="0" t="s">
        <v>629</v>
      </c>
      <c r="AA188" s="0" t="s">
        <v>624</v>
      </c>
      <c r="AB188" s="0" t="s">
        <v>132</v>
      </c>
      <c r="AC188" s="254" t="n">
        <f aca="false">'Basis Options'!H193</f>
        <v>1000000</v>
      </c>
      <c r="AD188" s="254" t="e">
        <f aca="false">'Basis Options'!W193</f>
        <v>#NAME?</v>
      </c>
      <c r="AE188" s="0" t="n">
        <v>0</v>
      </c>
      <c r="AF188" s="0" t="n">
        <v>0</v>
      </c>
      <c r="AG188" s="0" t="n">
        <v>0</v>
      </c>
      <c r="AH188" s="254" t="e">
        <f aca="false">'Basis Options'!CD193</f>
        <v>#NAME?</v>
      </c>
      <c r="AI188" s="0" t="n">
        <v>226</v>
      </c>
      <c r="AJ188" s="0" t="s">
        <v>630</v>
      </c>
      <c r="AK188" s="0" t="n">
        <v>0</v>
      </c>
      <c r="AL188" s="0" t="n">
        <v>0</v>
      </c>
      <c r="AM188" s="0" t="n">
        <v>0</v>
      </c>
    </row>
    <row r="189" customFormat="false" ht="12.75" hidden="false" customHeight="false" outlineLevel="0" collapsed="false">
      <c r="A189" s="0" t="s">
        <v>621</v>
      </c>
      <c r="B189" s="0" t="str">
        <f aca="false">'Basis Options'!C194</f>
        <v>NI0591.1</v>
      </c>
      <c r="C189" s="0" t="s">
        <v>622</v>
      </c>
      <c r="D189" s="0" t="s">
        <v>623</v>
      </c>
      <c r="E189" s="0" t="s">
        <v>131</v>
      </c>
      <c r="F189" s="0" t="str">
        <f aca="false">'Basis Options'!A194</f>
        <v>AEPENESER</v>
      </c>
      <c r="G189" s="0" t="s">
        <v>628</v>
      </c>
      <c r="H189" s="0" t="s">
        <v>625</v>
      </c>
      <c r="I189" s="0" t="s">
        <v>626</v>
      </c>
      <c r="J189" s="0" t="s">
        <v>627</v>
      </c>
      <c r="K189" s="475" t="n">
        <f aca="false">'Basis Options'!G194</f>
        <v>36800</v>
      </c>
      <c r="L189" s="254" t="e">
        <f aca="false">'Basis Options'!U194</f>
        <v>#NAME?</v>
      </c>
      <c r="M189" s="475" t="n">
        <f aca="false">'Basis Options'!Q194</f>
        <v>36797</v>
      </c>
      <c r="N189" s="0" t="str">
        <f aca="false">'Basis Options'!F194</f>
        <v>C</v>
      </c>
      <c r="O189" s="0" t="n">
        <f aca="false">'Basis Options'!I194</f>
        <v>0.34</v>
      </c>
      <c r="P189" s="0" t="n">
        <v>0</v>
      </c>
      <c r="Q189" s="0" t="n">
        <v>0</v>
      </c>
      <c r="R189" s="0" t="n">
        <v>0</v>
      </c>
      <c r="S189" s="0" t="n">
        <v>0</v>
      </c>
      <c r="T189" s="0" t="s">
        <v>624</v>
      </c>
      <c r="U189" s="0" t="str">
        <f aca="false">IF('Basis Options'!D194="NGI/CHI. GATE","""NGI/CHI. GATE""",TRIM('Basis Options'!D194))</f>
        <v>IF-TRANSCO/Z6</v>
      </c>
      <c r="V189" s="0" t="s">
        <v>624</v>
      </c>
      <c r="W189" s="0" t="s">
        <v>569</v>
      </c>
      <c r="X189" s="0" t="s">
        <v>624</v>
      </c>
      <c r="Y189" s="0" t="s">
        <v>627</v>
      </c>
      <c r="Z189" s="0" t="s">
        <v>629</v>
      </c>
      <c r="AA189" s="0" t="s">
        <v>624</v>
      </c>
      <c r="AB189" s="0" t="s">
        <v>132</v>
      </c>
      <c r="AC189" s="254" t="n">
        <f aca="false">'Basis Options'!H194</f>
        <v>310000</v>
      </c>
      <c r="AD189" s="254" t="e">
        <f aca="false">'Basis Options'!W194</f>
        <v>#NAME?</v>
      </c>
      <c r="AE189" s="0" t="n">
        <v>0</v>
      </c>
      <c r="AF189" s="0" t="n">
        <v>0</v>
      </c>
      <c r="AG189" s="0" t="n">
        <v>0</v>
      </c>
      <c r="AH189" s="254" t="e">
        <f aca="false">'Basis Options'!CD194</f>
        <v>#NAME?</v>
      </c>
      <c r="AI189" s="0" t="n">
        <v>226</v>
      </c>
      <c r="AJ189" s="0" t="s">
        <v>630</v>
      </c>
      <c r="AK189" s="0" t="n">
        <v>0</v>
      </c>
      <c r="AL189" s="0" t="n">
        <v>0</v>
      </c>
      <c r="AM189" s="0" t="n">
        <v>0</v>
      </c>
    </row>
    <row r="190" customFormat="false" ht="12.75" hidden="false" customHeight="false" outlineLevel="0" collapsed="false">
      <c r="A190" s="0" t="s">
        <v>621</v>
      </c>
      <c r="B190" s="0" t="str">
        <f aca="false">'Basis Options'!C195</f>
        <v>NI0591.1</v>
      </c>
      <c r="C190" s="0" t="s">
        <v>622</v>
      </c>
      <c r="D190" s="0" t="s">
        <v>623</v>
      </c>
      <c r="E190" s="0" t="s">
        <v>131</v>
      </c>
      <c r="F190" s="0" t="str">
        <f aca="false">'Basis Options'!A195</f>
        <v>AEPENESER</v>
      </c>
      <c r="G190" s="0" t="s">
        <v>628</v>
      </c>
      <c r="H190" s="0" t="s">
        <v>625</v>
      </c>
      <c r="I190" s="0" t="s">
        <v>626</v>
      </c>
      <c r="J190" s="0" t="s">
        <v>627</v>
      </c>
      <c r="K190" s="475" t="n">
        <f aca="false">'Basis Options'!G195</f>
        <v>36770</v>
      </c>
      <c r="L190" s="254" t="e">
        <f aca="false">'Basis Options'!U195</f>
        <v>#NAME?</v>
      </c>
      <c r="M190" s="475" t="n">
        <f aca="false">'Basis Options'!Q195</f>
        <v>36768</v>
      </c>
      <c r="N190" s="0" t="str">
        <f aca="false">'Basis Options'!F195</f>
        <v>C</v>
      </c>
      <c r="O190" s="0" t="n">
        <f aca="false">'Basis Options'!I195</f>
        <v>0.34</v>
      </c>
      <c r="P190" s="0" t="n">
        <v>0</v>
      </c>
      <c r="Q190" s="0" t="n">
        <v>0</v>
      </c>
      <c r="R190" s="0" t="n">
        <v>0</v>
      </c>
      <c r="S190" s="0" t="n">
        <v>0</v>
      </c>
      <c r="T190" s="0" t="s">
        <v>624</v>
      </c>
      <c r="U190" s="0" t="str">
        <f aca="false">IF('Basis Options'!D195="NGI/CHI. GATE","""NGI/CHI. GATE""",TRIM('Basis Options'!D195))</f>
        <v>IF-TRANSCO/Z6</v>
      </c>
      <c r="V190" s="0" t="s">
        <v>624</v>
      </c>
      <c r="W190" s="0" t="s">
        <v>569</v>
      </c>
      <c r="X190" s="0" t="s">
        <v>624</v>
      </c>
      <c r="Y190" s="0" t="s">
        <v>627</v>
      </c>
      <c r="Z190" s="0" t="s">
        <v>629</v>
      </c>
      <c r="AA190" s="0" t="s">
        <v>624</v>
      </c>
      <c r="AB190" s="0" t="s">
        <v>132</v>
      </c>
      <c r="AC190" s="254" t="n">
        <f aca="false">'Basis Options'!H195</f>
        <v>300000</v>
      </c>
      <c r="AD190" s="254" t="e">
        <f aca="false">'Basis Options'!W195</f>
        <v>#NAME?</v>
      </c>
      <c r="AE190" s="0" t="n">
        <v>0</v>
      </c>
      <c r="AF190" s="0" t="n">
        <v>0</v>
      </c>
      <c r="AG190" s="0" t="n">
        <v>0</v>
      </c>
      <c r="AH190" s="254" t="e">
        <f aca="false">'Basis Options'!CD195</f>
        <v>#NAME?</v>
      </c>
      <c r="AI190" s="0" t="n">
        <v>226</v>
      </c>
      <c r="AJ190" s="0" t="s">
        <v>630</v>
      </c>
      <c r="AK190" s="0" t="n">
        <v>0</v>
      </c>
      <c r="AL190" s="0" t="n">
        <v>0</v>
      </c>
      <c r="AM190" s="0" t="n">
        <v>0</v>
      </c>
    </row>
    <row r="191" customFormat="false" ht="12.75" hidden="false" customHeight="false" outlineLevel="0" collapsed="false">
      <c r="A191" s="0" t="s">
        <v>621</v>
      </c>
      <c r="B191" s="0" t="str">
        <f aca="false">'Basis Options'!C196</f>
        <v>NI3439.1</v>
      </c>
      <c r="C191" s="0" t="s">
        <v>622</v>
      </c>
      <c r="D191" s="0" t="s">
        <v>623</v>
      </c>
      <c r="E191" s="0" t="s">
        <v>131</v>
      </c>
      <c r="F191" s="0" t="str">
        <f aca="false">'Basis Options'!A196</f>
        <v>UPRENESER</v>
      </c>
      <c r="G191" s="0" t="s">
        <v>628</v>
      </c>
      <c r="H191" s="0" t="s">
        <v>625</v>
      </c>
      <c r="I191" s="0" t="s">
        <v>626</v>
      </c>
      <c r="J191" s="0" t="s">
        <v>627</v>
      </c>
      <c r="K191" s="475" t="n">
        <f aca="false">'Basis Options'!G196</f>
        <v>36800</v>
      </c>
      <c r="L191" s="254" t="e">
        <f aca="false">'Basis Options'!U196</f>
        <v>#NAME?</v>
      </c>
      <c r="M191" s="475" t="n">
        <f aca="false">'Basis Options'!Q196</f>
        <v>36797</v>
      </c>
      <c r="N191" s="0" t="str">
        <f aca="false">'Basis Options'!F196</f>
        <v>C</v>
      </c>
      <c r="O191" s="0" t="n">
        <f aca="false">'Basis Options'!I196</f>
        <v>0.3025</v>
      </c>
      <c r="P191" s="0" t="n">
        <v>0</v>
      </c>
      <c r="Q191" s="0" t="n">
        <v>0</v>
      </c>
      <c r="R191" s="0" t="n">
        <v>0</v>
      </c>
      <c r="S191" s="0" t="n">
        <v>0</v>
      </c>
      <c r="T191" s="0" t="s">
        <v>624</v>
      </c>
      <c r="U191" s="0" t="str">
        <f aca="false">IF('Basis Options'!D196="NGI/CHI. GATE","""NGI/CHI. GATE""",TRIM('Basis Options'!D196))</f>
        <v>IF-TETCO/M3</v>
      </c>
      <c r="V191" s="0" t="s">
        <v>624</v>
      </c>
      <c r="W191" s="0" t="s">
        <v>569</v>
      </c>
      <c r="X191" s="0" t="s">
        <v>624</v>
      </c>
      <c r="Y191" s="0" t="s">
        <v>627</v>
      </c>
      <c r="Z191" s="0" t="s">
        <v>629</v>
      </c>
      <c r="AA191" s="0" t="s">
        <v>624</v>
      </c>
      <c r="AB191" s="0" t="s">
        <v>132</v>
      </c>
      <c r="AC191" s="254" t="n">
        <f aca="false">'Basis Options'!H196</f>
        <v>310000</v>
      </c>
      <c r="AD191" s="254" t="e">
        <f aca="false">'Basis Options'!W196</f>
        <v>#NAME?</v>
      </c>
      <c r="AE191" s="0" t="n">
        <v>0</v>
      </c>
      <c r="AF191" s="0" t="n">
        <v>0</v>
      </c>
      <c r="AG191" s="0" t="n">
        <v>0</v>
      </c>
      <c r="AH191" s="254" t="e">
        <f aca="false">'Basis Options'!CD196</f>
        <v>#NAME?</v>
      </c>
      <c r="AI191" s="0" t="n">
        <v>226</v>
      </c>
      <c r="AJ191" s="0" t="s">
        <v>630</v>
      </c>
      <c r="AK191" s="0" t="n">
        <v>0</v>
      </c>
      <c r="AL191" s="0" t="n">
        <v>0</v>
      </c>
      <c r="AM191" s="0" t="n">
        <v>0</v>
      </c>
    </row>
    <row r="192" customFormat="false" ht="12.75" hidden="false" customHeight="false" outlineLevel="0" collapsed="false">
      <c r="A192" s="0" t="s">
        <v>621</v>
      </c>
      <c r="B192" s="0" t="str">
        <f aca="false">'Basis Options'!C197</f>
        <v>NI3439.1</v>
      </c>
      <c r="C192" s="0" t="s">
        <v>622</v>
      </c>
      <c r="D192" s="0" t="s">
        <v>623</v>
      </c>
      <c r="E192" s="0" t="s">
        <v>131</v>
      </c>
      <c r="F192" s="0" t="str">
        <f aca="false">'Basis Options'!A197</f>
        <v>UPRENESER</v>
      </c>
      <c r="G192" s="0" t="s">
        <v>628</v>
      </c>
      <c r="H192" s="0" t="s">
        <v>625</v>
      </c>
      <c r="I192" s="0" t="s">
        <v>626</v>
      </c>
      <c r="J192" s="0" t="s">
        <v>627</v>
      </c>
      <c r="K192" s="475" t="n">
        <f aca="false">'Basis Options'!G197</f>
        <v>36770</v>
      </c>
      <c r="L192" s="254" t="e">
        <f aca="false">'Basis Options'!U197</f>
        <v>#NAME?</v>
      </c>
      <c r="M192" s="475" t="n">
        <f aca="false">'Basis Options'!Q197</f>
        <v>36768</v>
      </c>
      <c r="N192" s="0" t="str">
        <f aca="false">'Basis Options'!F197</f>
        <v>C</v>
      </c>
      <c r="O192" s="0" t="n">
        <f aca="false">'Basis Options'!I197</f>
        <v>0.3025</v>
      </c>
      <c r="P192" s="0" t="n">
        <v>0</v>
      </c>
      <c r="Q192" s="0" t="n">
        <v>0</v>
      </c>
      <c r="R192" s="0" t="n">
        <v>0</v>
      </c>
      <c r="S192" s="0" t="n">
        <v>0</v>
      </c>
      <c r="T192" s="0" t="s">
        <v>624</v>
      </c>
      <c r="U192" s="0" t="str">
        <f aca="false">IF('Basis Options'!D197="NGI/CHI. GATE","""NGI/CHI. GATE""",TRIM('Basis Options'!D197))</f>
        <v>IF-TETCO/M3</v>
      </c>
      <c r="V192" s="0" t="s">
        <v>624</v>
      </c>
      <c r="W192" s="0" t="s">
        <v>569</v>
      </c>
      <c r="X192" s="0" t="s">
        <v>624</v>
      </c>
      <c r="Y192" s="0" t="s">
        <v>627</v>
      </c>
      <c r="Z192" s="0" t="s">
        <v>629</v>
      </c>
      <c r="AA192" s="0" t="s">
        <v>624</v>
      </c>
      <c r="AB192" s="0" t="s">
        <v>132</v>
      </c>
      <c r="AC192" s="254" t="n">
        <f aca="false">'Basis Options'!H197</f>
        <v>300000</v>
      </c>
      <c r="AD192" s="254" t="e">
        <f aca="false">'Basis Options'!W197</f>
        <v>#NAME?</v>
      </c>
      <c r="AE192" s="0" t="n">
        <v>0</v>
      </c>
      <c r="AF192" s="0" t="n">
        <v>0</v>
      </c>
      <c r="AG192" s="0" t="n">
        <v>0</v>
      </c>
      <c r="AH192" s="254" t="e">
        <f aca="false">'Basis Options'!CD197</f>
        <v>#NAME?</v>
      </c>
      <c r="AI192" s="0" t="n">
        <v>226</v>
      </c>
      <c r="AJ192" s="0" t="s">
        <v>630</v>
      </c>
      <c r="AK192" s="0" t="n">
        <v>0</v>
      </c>
      <c r="AL192" s="0" t="n">
        <v>0</v>
      </c>
      <c r="AM192" s="0" t="n">
        <v>0</v>
      </c>
    </row>
    <row r="193" customFormat="false" ht="12.75" hidden="false" customHeight="false" outlineLevel="0" collapsed="false">
      <c r="A193" s="0" t="s">
        <v>621</v>
      </c>
      <c r="B193" s="0" t="str">
        <f aca="false">'Basis Options'!C198</f>
        <v>NI3439.2</v>
      </c>
      <c r="C193" s="0" t="s">
        <v>622</v>
      </c>
      <c r="D193" s="0" t="s">
        <v>623</v>
      </c>
      <c r="E193" s="0" t="s">
        <v>131</v>
      </c>
      <c r="F193" s="0" t="str">
        <f aca="false">'Basis Options'!A198</f>
        <v>UPRENESER</v>
      </c>
      <c r="G193" s="0" t="s">
        <v>628</v>
      </c>
      <c r="H193" s="0" t="s">
        <v>625</v>
      </c>
      <c r="I193" s="0" t="s">
        <v>626</v>
      </c>
      <c r="J193" s="0" t="s">
        <v>627</v>
      </c>
      <c r="K193" s="475" t="n">
        <f aca="false">'Basis Options'!G198</f>
        <v>36800</v>
      </c>
      <c r="L193" s="254" t="e">
        <f aca="false">'Basis Options'!U198</f>
        <v>#NAME?</v>
      </c>
      <c r="M193" s="475" t="n">
        <f aca="false">'Basis Options'!Q198</f>
        <v>36797</v>
      </c>
      <c r="N193" s="0" t="str">
        <f aca="false">'Basis Options'!F198</f>
        <v>P</v>
      </c>
      <c r="O193" s="0" t="n">
        <f aca="false">'Basis Options'!I198</f>
        <v>0.1675</v>
      </c>
      <c r="P193" s="0" t="n">
        <v>0</v>
      </c>
      <c r="Q193" s="0" t="n">
        <v>0</v>
      </c>
      <c r="R193" s="0" t="n">
        <v>0</v>
      </c>
      <c r="S193" s="0" t="n">
        <v>0</v>
      </c>
      <c r="T193" s="0" t="s">
        <v>624</v>
      </c>
      <c r="U193" s="0" t="str">
        <f aca="false">IF('Basis Options'!D198="NGI/CHI. GATE","""NGI/CHI. GATE""",TRIM('Basis Options'!D198))</f>
        <v>IF-CGT/APPALAC</v>
      </c>
      <c r="V193" s="0" t="s">
        <v>624</v>
      </c>
      <c r="W193" s="0" t="s">
        <v>569</v>
      </c>
      <c r="X193" s="0" t="s">
        <v>624</v>
      </c>
      <c r="Y193" s="0" t="s">
        <v>627</v>
      </c>
      <c r="Z193" s="0" t="s">
        <v>629</v>
      </c>
      <c r="AA193" s="0" t="s">
        <v>624</v>
      </c>
      <c r="AB193" s="0" t="s">
        <v>132</v>
      </c>
      <c r="AC193" s="254" t="n">
        <f aca="false">'Basis Options'!H198</f>
        <v>310000</v>
      </c>
      <c r="AD193" s="254" t="e">
        <f aca="false">'Basis Options'!W198</f>
        <v>#NAME?</v>
      </c>
      <c r="AE193" s="0" t="n">
        <v>0</v>
      </c>
      <c r="AF193" s="0" t="n">
        <v>0</v>
      </c>
      <c r="AG193" s="0" t="n">
        <v>0</v>
      </c>
      <c r="AH193" s="254" t="e">
        <f aca="false">'Basis Options'!CD198</f>
        <v>#NAME?</v>
      </c>
      <c r="AI193" s="0" t="n">
        <v>226</v>
      </c>
      <c r="AJ193" s="0" t="s">
        <v>630</v>
      </c>
      <c r="AK193" s="0" t="n">
        <v>0</v>
      </c>
      <c r="AL193" s="0" t="n">
        <v>0</v>
      </c>
      <c r="AM193" s="0" t="n">
        <v>0</v>
      </c>
    </row>
    <row r="194" customFormat="false" ht="12.75" hidden="false" customHeight="false" outlineLevel="0" collapsed="false">
      <c r="A194" s="0" t="s">
        <v>621</v>
      </c>
      <c r="B194" s="0" t="str">
        <f aca="false">'Basis Options'!C199</f>
        <v>NI3439.2</v>
      </c>
      <c r="C194" s="0" t="s">
        <v>622</v>
      </c>
      <c r="D194" s="0" t="s">
        <v>623</v>
      </c>
      <c r="E194" s="0" t="s">
        <v>131</v>
      </c>
      <c r="F194" s="0" t="str">
        <f aca="false">'Basis Options'!A199</f>
        <v>UPRENESER</v>
      </c>
      <c r="G194" s="0" t="s">
        <v>628</v>
      </c>
      <c r="H194" s="0" t="s">
        <v>625</v>
      </c>
      <c r="I194" s="0" t="s">
        <v>626</v>
      </c>
      <c r="J194" s="0" t="s">
        <v>627</v>
      </c>
      <c r="K194" s="475" t="n">
        <f aca="false">'Basis Options'!G199</f>
        <v>36770</v>
      </c>
      <c r="L194" s="254" t="e">
        <f aca="false">'Basis Options'!U199</f>
        <v>#NAME?</v>
      </c>
      <c r="M194" s="475" t="n">
        <f aca="false">'Basis Options'!Q199</f>
        <v>36768</v>
      </c>
      <c r="N194" s="0" t="str">
        <f aca="false">'Basis Options'!F199</f>
        <v>P</v>
      </c>
      <c r="O194" s="0" t="n">
        <f aca="false">'Basis Options'!I199</f>
        <v>0.1675</v>
      </c>
      <c r="P194" s="0" t="n">
        <v>0</v>
      </c>
      <c r="Q194" s="0" t="n">
        <v>0</v>
      </c>
      <c r="R194" s="0" t="n">
        <v>0</v>
      </c>
      <c r="S194" s="0" t="n">
        <v>0</v>
      </c>
      <c r="T194" s="0" t="s">
        <v>624</v>
      </c>
      <c r="U194" s="0" t="str">
        <f aca="false">IF('Basis Options'!D199="NGI/CHI. GATE","""NGI/CHI. GATE""",TRIM('Basis Options'!D199))</f>
        <v>IF-CGT/APPALAC</v>
      </c>
      <c r="V194" s="0" t="s">
        <v>624</v>
      </c>
      <c r="W194" s="0" t="s">
        <v>569</v>
      </c>
      <c r="X194" s="0" t="s">
        <v>624</v>
      </c>
      <c r="Y194" s="0" t="s">
        <v>627</v>
      </c>
      <c r="Z194" s="0" t="s">
        <v>629</v>
      </c>
      <c r="AA194" s="0" t="s">
        <v>624</v>
      </c>
      <c r="AB194" s="0" t="s">
        <v>132</v>
      </c>
      <c r="AC194" s="254" t="n">
        <f aca="false">'Basis Options'!H199</f>
        <v>300000</v>
      </c>
      <c r="AD194" s="254" t="e">
        <f aca="false">'Basis Options'!W199</f>
        <v>#NAME?</v>
      </c>
      <c r="AE194" s="0" t="n">
        <v>0</v>
      </c>
      <c r="AF194" s="0" t="n">
        <v>0</v>
      </c>
      <c r="AG194" s="0" t="n">
        <v>0</v>
      </c>
      <c r="AH194" s="254" t="e">
        <f aca="false">'Basis Options'!CD199</f>
        <v>#NAME?</v>
      </c>
      <c r="AI194" s="0" t="n">
        <v>226</v>
      </c>
      <c r="AJ194" s="0" t="s">
        <v>630</v>
      </c>
      <c r="AK194" s="0" t="n">
        <v>0</v>
      </c>
      <c r="AL194" s="0" t="n">
        <v>0</v>
      </c>
      <c r="AM194" s="0" t="n">
        <v>0</v>
      </c>
    </row>
    <row r="195" customFormat="false" ht="12.75" hidden="false" customHeight="false" outlineLevel="0" collapsed="false">
      <c r="A195" s="0" t="s">
        <v>621</v>
      </c>
      <c r="B195" s="0" t="str">
        <f aca="false">'Basis Options'!C200</f>
        <v>NI3451.1</v>
      </c>
      <c r="C195" s="0" t="s">
        <v>622</v>
      </c>
      <c r="D195" s="0" t="s">
        <v>623</v>
      </c>
      <c r="E195" s="0" t="s">
        <v>131</v>
      </c>
      <c r="F195" s="0" t="str">
        <f aca="false">'Basis Options'!A200</f>
        <v>RELIANTENESER</v>
      </c>
      <c r="G195" s="0" t="s">
        <v>628</v>
      </c>
      <c r="H195" s="0" t="s">
        <v>625</v>
      </c>
      <c r="I195" s="0" t="s">
        <v>626</v>
      </c>
      <c r="J195" s="0" t="s">
        <v>627</v>
      </c>
      <c r="K195" s="475" t="n">
        <f aca="false">'Basis Options'!G200</f>
        <v>36800</v>
      </c>
      <c r="L195" s="254" t="e">
        <f aca="false">'Basis Options'!U200</f>
        <v>#NAME?</v>
      </c>
      <c r="M195" s="475" t="n">
        <f aca="false">'Basis Options'!Q200</f>
        <v>36797</v>
      </c>
      <c r="N195" s="0" t="str">
        <f aca="false">'Basis Options'!F200</f>
        <v>C</v>
      </c>
      <c r="O195" s="0" t="n">
        <f aca="false">'Basis Options'!I200</f>
        <v>0.1</v>
      </c>
      <c r="P195" s="0" t="n">
        <v>0</v>
      </c>
      <c r="Q195" s="0" t="n">
        <v>0</v>
      </c>
      <c r="R195" s="0" t="n">
        <v>0</v>
      </c>
      <c r="S195" s="0" t="n">
        <v>0</v>
      </c>
      <c r="T195" s="0" t="s">
        <v>624</v>
      </c>
      <c r="U195" s="0" t="str">
        <f aca="false">IF('Basis Options'!D200="NGI/CHI. GATE","""NGI/CHI. GATE""",TRIM('Basis Options'!D200))</f>
        <v>NGI-SOCAL</v>
      </c>
      <c r="V195" s="0" t="s">
        <v>624</v>
      </c>
      <c r="W195" s="0" t="s">
        <v>569</v>
      </c>
      <c r="X195" s="0" t="s">
        <v>624</v>
      </c>
      <c r="Y195" s="0" t="s">
        <v>627</v>
      </c>
      <c r="Z195" s="0" t="s">
        <v>629</v>
      </c>
      <c r="AA195" s="0" t="s">
        <v>624</v>
      </c>
      <c r="AB195" s="0" t="s">
        <v>132</v>
      </c>
      <c r="AC195" s="254" t="n">
        <f aca="false">'Basis Options'!H200</f>
        <v>155000</v>
      </c>
      <c r="AD195" s="254" t="e">
        <f aca="false">'Basis Options'!W200</f>
        <v>#NAME?</v>
      </c>
      <c r="AE195" s="0" t="n">
        <v>0</v>
      </c>
      <c r="AF195" s="0" t="n">
        <v>0</v>
      </c>
      <c r="AG195" s="0" t="n">
        <v>0</v>
      </c>
      <c r="AH195" s="254" t="e">
        <f aca="false">'Basis Options'!CD200</f>
        <v>#NAME?</v>
      </c>
      <c r="AI195" s="0" t="n">
        <v>226</v>
      </c>
      <c r="AJ195" s="0" t="s">
        <v>630</v>
      </c>
      <c r="AK195" s="0" t="n">
        <v>0</v>
      </c>
      <c r="AL195" s="0" t="n">
        <v>0</v>
      </c>
      <c r="AM195" s="0" t="n">
        <v>0</v>
      </c>
    </row>
    <row r="196" customFormat="false" ht="12.75" hidden="false" customHeight="false" outlineLevel="0" collapsed="false">
      <c r="A196" s="0" t="s">
        <v>621</v>
      </c>
      <c r="B196" s="0" t="str">
        <f aca="false">'Basis Options'!C201</f>
        <v>NI3451.1</v>
      </c>
      <c r="C196" s="0" t="s">
        <v>622</v>
      </c>
      <c r="D196" s="0" t="s">
        <v>623</v>
      </c>
      <c r="E196" s="0" t="s">
        <v>131</v>
      </c>
      <c r="F196" s="0" t="str">
        <f aca="false">'Basis Options'!A201</f>
        <v>RELIANTENESER</v>
      </c>
      <c r="G196" s="0" t="s">
        <v>628</v>
      </c>
      <c r="H196" s="0" t="s">
        <v>625</v>
      </c>
      <c r="I196" s="0" t="s">
        <v>626</v>
      </c>
      <c r="J196" s="0" t="s">
        <v>627</v>
      </c>
      <c r="K196" s="475" t="n">
        <f aca="false">'Basis Options'!G201</f>
        <v>36770</v>
      </c>
      <c r="L196" s="254" t="e">
        <f aca="false">'Basis Options'!U201</f>
        <v>#NAME?</v>
      </c>
      <c r="M196" s="475" t="n">
        <f aca="false">'Basis Options'!Q201</f>
        <v>36768</v>
      </c>
      <c r="N196" s="0" t="str">
        <f aca="false">'Basis Options'!F201</f>
        <v>C</v>
      </c>
      <c r="O196" s="0" t="n">
        <f aca="false">'Basis Options'!I201</f>
        <v>0.1</v>
      </c>
      <c r="P196" s="0" t="n">
        <v>0</v>
      </c>
      <c r="Q196" s="0" t="n">
        <v>0</v>
      </c>
      <c r="R196" s="0" t="n">
        <v>0</v>
      </c>
      <c r="S196" s="0" t="n">
        <v>0</v>
      </c>
      <c r="T196" s="0" t="s">
        <v>624</v>
      </c>
      <c r="U196" s="0" t="str">
        <f aca="false">IF('Basis Options'!D201="NGI/CHI. GATE","""NGI/CHI. GATE""",TRIM('Basis Options'!D201))</f>
        <v>NGI-SOCAL</v>
      </c>
      <c r="V196" s="0" t="s">
        <v>624</v>
      </c>
      <c r="W196" s="0" t="s">
        <v>569</v>
      </c>
      <c r="X196" s="0" t="s">
        <v>624</v>
      </c>
      <c r="Y196" s="0" t="s">
        <v>627</v>
      </c>
      <c r="Z196" s="0" t="s">
        <v>629</v>
      </c>
      <c r="AA196" s="0" t="s">
        <v>624</v>
      </c>
      <c r="AB196" s="0" t="s">
        <v>132</v>
      </c>
      <c r="AC196" s="254" t="n">
        <f aca="false">'Basis Options'!H201</f>
        <v>150000</v>
      </c>
      <c r="AD196" s="254" t="e">
        <f aca="false">'Basis Options'!W201</f>
        <v>#NAME?</v>
      </c>
      <c r="AE196" s="0" t="n">
        <v>0</v>
      </c>
      <c r="AF196" s="0" t="n">
        <v>0</v>
      </c>
      <c r="AG196" s="0" t="n">
        <v>0</v>
      </c>
      <c r="AH196" s="254" t="e">
        <f aca="false">'Basis Options'!CD201</f>
        <v>#NAME?</v>
      </c>
      <c r="AI196" s="0" t="n">
        <v>226</v>
      </c>
      <c r="AJ196" s="0" t="s">
        <v>630</v>
      </c>
      <c r="AK196" s="0" t="n">
        <v>0</v>
      </c>
      <c r="AL196" s="0" t="n">
        <v>0</v>
      </c>
      <c r="AM196" s="0" t="n">
        <v>0</v>
      </c>
    </row>
    <row r="197" customFormat="false" ht="12.75" hidden="false" customHeight="false" outlineLevel="0" collapsed="false">
      <c r="A197" s="0" t="s">
        <v>621</v>
      </c>
      <c r="B197" s="0" t="str">
        <f aca="false">'Basis Options'!C202</f>
        <v>NI6123.1</v>
      </c>
      <c r="C197" s="0" t="s">
        <v>622</v>
      </c>
      <c r="D197" s="0" t="s">
        <v>623</v>
      </c>
      <c r="E197" s="0" t="s">
        <v>131</v>
      </c>
      <c r="F197" s="0" t="str">
        <f aca="false">'Basis Options'!A202</f>
        <v>AEPENESER</v>
      </c>
      <c r="G197" s="0" t="s">
        <v>628</v>
      </c>
      <c r="H197" s="0" t="s">
        <v>625</v>
      </c>
      <c r="I197" s="0" t="s">
        <v>626</v>
      </c>
      <c r="J197" s="0" t="s">
        <v>627</v>
      </c>
      <c r="K197" s="475" t="n">
        <f aca="false">'Basis Options'!G202</f>
        <v>36951</v>
      </c>
      <c r="L197" s="254" t="e">
        <f aca="false">'Basis Options'!U202</f>
        <v>#NAME?</v>
      </c>
      <c r="M197" s="475" t="n">
        <f aca="false">'Basis Options'!Q202</f>
        <v>36949</v>
      </c>
      <c r="N197" s="0" t="str">
        <f aca="false">'Basis Options'!F202</f>
        <v>C</v>
      </c>
      <c r="O197" s="0" t="n">
        <f aca="false">'Basis Options'!I202</f>
        <v>2.2</v>
      </c>
      <c r="P197" s="0" t="n">
        <v>0</v>
      </c>
      <c r="Q197" s="0" t="n">
        <v>0</v>
      </c>
      <c r="R197" s="0" t="n">
        <v>0</v>
      </c>
      <c r="S197" s="0" t="n">
        <v>0</v>
      </c>
      <c r="T197" s="0" t="s">
        <v>624</v>
      </c>
      <c r="U197" s="0" t="str">
        <f aca="false">IF('Basis Options'!D202="NGI/CHI. GATE","""NGI/CHI. GATE""",TRIM('Basis Options'!D202))</f>
        <v>IF-TRANSCO/Z6</v>
      </c>
      <c r="V197" s="0" t="s">
        <v>624</v>
      </c>
      <c r="W197" s="0" t="s">
        <v>569</v>
      </c>
      <c r="X197" s="0" t="s">
        <v>624</v>
      </c>
      <c r="Y197" s="0" t="s">
        <v>627</v>
      </c>
      <c r="Z197" s="0" t="s">
        <v>629</v>
      </c>
      <c r="AA197" s="0" t="s">
        <v>624</v>
      </c>
      <c r="AB197" s="0" t="s">
        <v>132</v>
      </c>
      <c r="AC197" s="254" t="n">
        <f aca="false">'Basis Options'!H202</f>
        <v>-310000</v>
      </c>
      <c r="AD197" s="254" t="e">
        <f aca="false">'Basis Options'!W202</f>
        <v>#NAME?</v>
      </c>
      <c r="AE197" s="0" t="n">
        <v>0</v>
      </c>
      <c r="AF197" s="0" t="n">
        <v>0</v>
      </c>
      <c r="AG197" s="0" t="n">
        <v>0</v>
      </c>
      <c r="AH197" s="254" t="e">
        <f aca="false">'Basis Options'!CD202</f>
        <v>#NAME?</v>
      </c>
      <c r="AI197" s="0" t="n">
        <v>226</v>
      </c>
      <c r="AJ197" s="0" t="s">
        <v>630</v>
      </c>
      <c r="AK197" s="0" t="n">
        <v>0</v>
      </c>
      <c r="AL197" s="0" t="n">
        <v>0</v>
      </c>
      <c r="AM197" s="0" t="n">
        <v>0</v>
      </c>
    </row>
    <row r="198" customFormat="false" ht="12.75" hidden="false" customHeight="false" outlineLevel="0" collapsed="false">
      <c r="A198" s="0" t="s">
        <v>621</v>
      </c>
      <c r="B198" s="0" t="str">
        <f aca="false">'Basis Options'!C203</f>
        <v>NI6123.1</v>
      </c>
      <c r="C198" s="0" t="s">
        <v>622</v>
      </c>
      <c r="D198" s="0" t="s">
        <v>623</v>
      </c>
      <c r="E198" s="0" t="s">
        <v>131</v>
      </c>
      <c r="F198" s="0" t="str">
        <f aca="false">'Basis Options'!A203</f>
        <v>AEPENESER</v>
      </c>
      <c r="G198" s="0" t="s">
        <v>628</v>
      </c>
      <c r="H198" s="0" t="s">
        <v>625</v>
      </c>
      <c r="I198" s="0" t="s">
        <v>626</v>
      </c>
      <c r="J198" s="0" t="s">
        <v>627</v>
      </c>
      <c r="K198" s="475" t="n">
        <f aca="false">'Basis Options'!G203</f>
        <v>36923</v>
      </c>
      <c r="L198" s="254" t="e">
        <f aca="false">'Basis Options'!U203</f>
        <v>#NAME?</v>
      </c>
      <c r="M198" s="475" t="n">
        <f aca="false">'Basis Options'!Q203</f>
        <v>36921</v>
      </c>
      <c r="N198" s="0" t="str">
        <f aca="false">'Basis Options'!F203</f>
        <v>C</v>
      </c>
      <c r="O198" s="0" t="n">
        <f aca="false">'Basis Options'!I203</f>
        <v>2.2</v>
      </c>
      <c r="P198" s="0" t="n">
        <v>0</v>
      </c>
      <c r="Q198" s="0" t="n">
        <v>0</v>
      </c>
      <c r="R198" s="0" t="n">
        <v>0</v>
      </c>
      <c r="S198" s="0" t="n">
        <v>0</v>
      </c>
      <c r="T198" s="0" t="s">
        <v>624</v>
      </c>
      <c r="U198" s="0" t="str">
        <f aca="false">IF('Basis Options'!D203="NGI/CHI. GATE","""NGI/CHI. GATE""",TRIM('Basis Options'!D203))</f>
        <v>IF-TRANSCO/Z6</v>
      </c>
      <c r="V198" s="0" t="s">
        <v>624</v>
      </c>
      <c r="W198" s="0" t="s">
        <v>569</v>
      </c>
      <c r="X198" s="0" t="s">
        <v>624</v>
      </c>
      <c r="Y198" s="0" t="s">
        <v>627</v>
      </c>
      <c r="Z198" s="0" t="s">
        <v>629</v>
      </c>
      <c r="AA198" s="0" t="s">
        <v>624</v>
      </c>
      <c r="AB198" s="0" t="s">
        <v>132</v>
      </c>
      <c r="AC198" s="254" t="n">
        <f aca="false">'Basis Options'!H203</f>
        <v>-280000</v>
      </c>
      <c r="AD198" s="254" t="e">
        <f aca="false">'Basis Options'!W203</f>
        <v>#NAME?</v>
      </c>
      <c r="AE198" s="0" t="n">
        <v>0</v>
      </c>
      <c r="AF198" s="0" t="n">
        <v>0</v>
      </c>
      <c r="AG198" s="0" t="n">
        <v>0</v>
      </c>
      <c r="AH198" s="254" t="e">
        <f aca="false">'Basis Options'!CD203</f>
        <v>#NAME?</v>
      </c>
      <c r="AI198" s="0" t="n">
        <v>226</v>
      </c>
      <c r="AJ198" s="0" t="s">
        <v>630</v>
      </c>
      <c r="AK198" s="0" t="n">
        <v>0</v>
      </c>
      <c r="AL198" s="0" t="n">
        <v>0</v>
      </c>
      <c r="AM198" s="0" t="n">
        <v>0</v>
      </c>
    </row>
    <row r="199" customFormat="false" ht="12.75" hidden="false" customHeight="false" outlineLevel="0" collapsed="false">
      <c r="A199" s="0" t="s">
        <v>621</v>
      </c>
      <c r="B199" s="0" t="str">
        <f aca="false">'Basis Options'!C204</f>
        <v>NI6123.1</v>
      </c>
      <c r="C199" s="0" t="s">
        <v>622</v>
      </c>
      <c r="D199" s="0" t="s">
        <v>623</v>
      </c>
      <c r="E199" s="0" t="s">
        <v>131</v>
      </c>
      <c r="F199" s="0" t="str">
        <f aca="false">'Basis Options'!A204</f>
        <v>AEPENESER</v>
      </c>
      <c r="G199" s="0" t="s">
        <v>628</v>
      </c>
      <c r="H199" s="0" t="s">
        <v>625</v>
      </c>
      <c r="I199" s="0" t="s">
        <v>626</v>
      </c>
      <c r="J199" s="0" t="s">
        <v>627</v>
      </c>
      <c r="K199" s="475" t="n">
        <f aca="false">'Basis Options'!G204</f>
        <v>36892</v>
      </c>
      <c r="L199" s="254" t="e">
        <f aca="false">'Basis Options'!U204</f>
        <v>#NAME?</v>
      </c>
      <c r="M199" s="475" t="n">
        <f aca="false">'Basis Options'!Q204</f>
        <v>36888</v>
      </c>
      <c r="N199" s="0" t="str">
        <f aca="false">'Basis Options'!F204</f>
        <v>C</v>
      </c>
      <c r="O199" s="0" t="n">
        <f aca="false">'Basis Options'!I204</f>
        <v>2.2</v>
      </c>
      <c r="P199" s="0" t="n">
        <v>0</v>
      </c>
      <c r="Q199" s="0" t="n">
        <v>0</v>
      </c>
      <c r="R199" s="0" t="n">
        <v>0</v>
      </c>
      <c r="S199" s="0" t="n">
        <v>0</v>
      </c>
      <c r="T199" s="0" t="s">
        <v>624</v>
      </c>
      <c r="U199" s="0" t="str">
        <f aca="false">IF('Basis Options'!D204="NGI/CHI. GATE","""NGI/CHI. GATE""",TRIM('Basis Options'!D204))</f>
        <v>IF-TRANSCO/Z6</v>
      </c>
      <c r="V199" s="0" t="s">
        <v>624</v>
      </c>
      <c r="W199" s="0" t="s">
        <v>569</v>
      </c>
      <c r="X199" s="0" t="s">
        <v>624</v>
      </c>
      <c r="Y199" s="0" t="s">
        <v>627</v>
      </c>
      <c r="Z199" s="0" t="s">
        <v>629</v>
      </c>
      <c r="AA199" s="0" t="s">
        <v>624</v>
      </c>
      <c r="AB199" s="0" t="s">
        <v>132</v>
      </c>
      <c r="AC199" s="254" t="n">
        <f aca="false">'Basis Options'!H204</f>
        <v>-310000</v>
      </c>
      <c r="AD199" s="254" t="e">
        <f aca="false">'Basis Options'!W204</f>
        <v>#NAME?</v>
      </c>
      <c r="AE199" s="0" t="n">
        <v>0</v>
      </c>
      <c r="AF199" s="0" t="n">
        <v>0</v>
      </c>
      <c r="AG199" s="0" t="n">
        <v>0</v>
      </c>
      <c r="AH199" s="254" t="e">
        <f aca="false">'Basis Options'!CD204</f>
        <v>#NAME?</v>
      </c>
      <c r="AI199" s="0" t="n">
        <v>226</v>
      </c>
      <c r="AJ199" s="0" t="s">
        <v>630</v>
      </c>
      <c r="AK199" s="0" t="n">
        <v>0</v>
      </c>
      <c r="AL199" s="0" t="n">
        <v>0</v>
      </c>
      <c r="AM199" s="0" t="n">
        <v>0</v>
      </c>
    </row>
    <row r="200" customFormat="false" ht="12.75" hidden="false" customHeight="false" outlineLevel="0" collapsed="false">
      <c r="A200" s="0" t="s">
        <v>621</v>
      </c>
      <c r="B200" s="0" t="str">
        <f aca="false">'Basis Options'!C205</f>
        <v>NI6123.1</v>
      </c>
      <c r="C200" s="0" t="s">
        <v>622</v>
      </c>
      <c r="D200" s="0" t="s">
        <v>623</v>
      </c>
      <c r="E200" s="0" t="s">
        <v>131</v>
      </c>
      <c r="F200" s="0" t="str">
        <f aca="false">'Basis Options'!A205</f>
        <v>AEPENESER</v>
      </c>
      <c r="G200" s="0" t="s">
        <v>628</v>
      </c>
      <c r="H200" s="0" t="s">
        <v>625</v>
      </c>
      <c r="I200" s="0" t="s">
        <v>626</v>
      </c>
      <c r="J200" s="0" t="s">
        <v>627</v>
      </c>
      <c r="K200" s="475" t="n">
        <f aca="false">'Basis Options'!G205</f>
        <v>36861</v>
      </c>
      <c r="L200" s="254" t="e">
        <f aca="false">'Basis Options'!U205</f>
        <v>#NAME?</v>
      </c>
      <c r="M200" s="475" t="n">
        <f aca="false">'Basis Options'!Q205</f>
        <v>36859</v>
      </c>
      <c r="N200" s="0" t="str">
        <f aca="false">'Basis Options'!F205</f>
        <v>C</v>
      </c>
      <c r="O200" s="0" t="n">
        <f aca="false">'Basis Options'!I205</f>
        <v>2.2</v>
      </c>
      <c r="P200" s="0" t="n">
        <v>0</v>
      </c>
      <c r="Q200" s="0" t="n">
        <v>0</v>
      </c>
      <c r="R200" s="0" t="n">
        <v>0</v>
      </c>
      <c r="S200" s="0" t="n">
        <v>0</v>
      </c>
      <c r="T200" s="0" t="s">
        <v>624</v>
      </c>
      <c r="U200" s="0" t="str">
        <f aca="false">IF('Basis Options'!D205="NGI/CHI. GATE","""NGI/CHI. GATE""",TRIM('Basis Options'!D205))</f>
        <v>IF-TRANSCO/Z6</v>
      </c>
      <c r="V200" s="0" t="s">
        <v>624</v>
      </c>
      <c r="W200" s="0" t="s">
        <v>569</v>
      </c>
      <c r="X200" s="0" t="s">
        <v>624</v>
      </c>
      <c r="Y200" s="0" t="s">
        <v>627</v>
      </c>
      <c r="Z200" s="0" t="s">
        <v>629</v>
      </c>
      <c r="AA200" s="0" t="s">
        <v>624</v>
      </c>
      <c r="AB200" s="0" t="s">
        <v>132</v>
      </c>
      <c r="AC200" s="254" t="n">
        <f aca="false">'Basis Options'!H205</f>
        <v>-310000</v>
      </c>
      <c r="AD200" s="254" t="e">
        <f aca="false">'Basis Options'!W205</f>
        <v>#NAME?</v>
      </c>
      <c r="AE200" s="0" t="n">
        <v>0</v>
      </c>
      <c r="AF200" s="0" t="n">
        <v>0</v>
      </c>
      <c r="AG200" s="0" t="n">
        <v>0</v>
      </c>
      <c r="AH200" s="254" t="e">
        <f aca="false">'Basis Options'!CD205</f>
        <v>#NAME?</v>
      </c>
      <c r="AI200" s="0" t="n">
        <v>226</v>
      </c>
      <c r="AJ200" s="0" t="s">
        <v>630</v>
      </c>
      <c r="AK200" s="0" t="n">
        <v>0</v>
      </c>
      <c r="AL200" s="0" t="n">
        <v>0</v>
      </c>
      <c r="AM200" s="0" t="n">
        <v>0</v>
      </c>
    </row>
    <row r="201" customFormat="false" ht="12.75" hidden="false" customHeight="false" outlineLevel="0" collapsed="false">
      <c r="A201" s="0" t="s">
        <v>621</v>
      </c>
      <c r="B201" s="0" t="str">
        <f aca="false">'Basis Options'!C206</f>
        <v>NI6123.1</v>
      </c>
      <c r="C201" s="0" t="s">
        <v>622</v>
      </c>
      <c r="D201" s="0" t="s">
        <v>623</v>
      </c>
      <c r="E201" s="0" t="s">
        <v>131</v>
      </c>
      <c r="F201" s="0" t="str">
        <f aca="false">'Basis Options'!A206</f>
        <v>AEPENESER</v>
      </c>
      <c r="G201" s="0" t="s">
        <v>628</v>
      </c>
      <c r="H201" s="0" t="s">
        <v>625</v>
      </c>
      <c r="I201" s="0" t="s">
        <v>626</v>
      </c>
      <c r="J201" s="0" t="s">
        <v>627</v>
      </c>
      <c r="K201" s="475" t="n">
        <f aca="false">'Basis Options'!G206</f>
        <v>36831</v>
      </c>
      <c r="L201" s="254" t="e">
        <f aca="false">'Basis Options'!U206</f>
        <v>#NAME?</v>
      </c>
      <c r="M201" s="475" t="n">
        <f aca="false">'Basis Options'!Q206</f>
        <v>36829</v>
      </c>
      <c r="N201" s="0" t="str">
        <f aca="false">'Basis Options'!F206</f>
        <v>C</v>
      </c>
      <c r="O201" s="0" t="n">
        <f aca="false">'Basis Options'!I206</f>
        <v>2.2</v>
      </c>
      <c r="P201" s="0" t="n">
        <v>0</v>
      </c>
      <c r="Q201" s="0" t="n">
        <v>0</v>
      </c>
      <c r="R201" s="0" t="n">
        <v>0</v>
      </c>
      <c r="S201" s="0" t="n">
        <v>0</v>
      </c>
      <c r="T201" s="0" t="s">
        <v>624</v>
      </c>
      <c r="U201" s="0" t="str">
        <f aca="false">IF('Basis Options'!D206="NGI/CHI. GATE","""NGI/CHI. GATE""",TRIM('Basis Options'!D206))</f>
        <v>IF-TRANSCO/Z6</v>
      </c>
      <c r="V201" s="0" t="s">
        <v>624</v>
      </c>
      <c r="W201" s="0" t="s">
        <v>569</v>
      </c>
      <c r="X201" s="0" t="s">
        <v>624</v>
      </c>
      <c r="Y201" s="0" t="s">
        <v>627</v>
      </c>
      <c r="Z201" s="0" t="s">
        <v>629</v>
      </c>
      <c r="AA201" s="0" t="s">
        <v>624</v>
      </c>
      <c r="AB201" s="0" t="s">
        <v>132</v>
      </c>
      <c r="AC201" s="254" t="n">
        <f aca="false">'Basis Options'!H206</f>
        <v>-300000</v>
      </c>
      <c r="AD201" s="254" t="e">
        <f aca="false">'Basis Options'!W206</f>
        <v>#NAME?</v>
      </c>
      <c r="AE201" s="0" t="n">
        <v>0</v>
      </c>
      <c r="AF201" s="0" t="n">
        <v>0</v>
      </c>
      <c r="AG201" s="0" t="n">
        <v>0</v>
      </c>
      <c r="AH201" s="254" t="e">
        <f aca="false">'Basis Options'!CD206</f>
        <v>#NAME?</v>
      </c>
      <c r="AI201" s="0" t="n">
        <v>226</v>
      </c>
      <c r="AJ201" s="0" t="s">
        <v>630</v>
      </c>
      <c r="AK201" s="0" t="n">
        <v>0</v>
      </c>
      <c r="AL201" s="0" t="n">
        <v>0</v>
      </c>
      <c r="AM201" s="0" t="n">
        <v>0</v>
      </c>
    </row>
    <row r="202" customFormat="false" ht="12.75" hidden="false" customHeight="false" outlineLevel="0" collapsed="false">
      <c r="A202" s="0" t="s">
        <v>621</v>
      </c>
      <c r="B202" s="0" t="str">
        <f aca="false">'Basis Options'!C207</f>
        <v>NI6136.1</v>
      </c>
      <c r="C202" s="0" t="s">
        <v>622</v>
      </c>
      <c r="D202" s="0" t="s">
        <v>623</v>
      </c>
      <c r="E202" s="0" t="s">
        <v>131</v>
      </c>
      <c r="F202" s="0" t="str">
        <f aca="false">'Basis Options'!A207</f>
        <v>SOUTHERCOMENEMA</v>
      </c>
      <c r="G202" s="0" t="s">
        <v>628</v>
      </c>
      <c r="H202" s="0" t="s">
        <v>625</v>
      </c>
      <c r="I202" s="0" t="s">
        <v>626</v>
      </c>
      <c r="J202" s="0" t="s">
        <v>627</v>
      </c>
      <c r="K202" s="475" t="n">
        <f aca="false">'Basis Options'!G207</f>
        <v>36951</v>
      </c>
      <c r="L202" s="254" t="e">
        <f aca="false">'Basis Options'!U207</f>
        <v>#NAME?</v>
      </c>
      <c r="M202" s="475" t="n">
        <f aca="false">'Basis Options'!Q207</f>
        <v>36949</v>
      </c>
      <c r="N202" s="0" t="str">
        <f aca="false">'Basis Options'!F207</f>
        <v>C</v>
      </c>
      <c r="O202" s="0" t="n">
        <f aca="false">'Basis Options'!I207</f>
        <v>1.6</v>
      </c>
      <c r="P202" s="0" t="n">
        <v>0</v>
      </c>
      <c r="Q202" s="0" t="n">
        <v>0</v>
      </c>
      <c r="R202" s="0" t="n">
        <v>0</v>
      </c>
      <c r="S202" s="0" t="n">
        <v>0</v>
      </c>
      <c r="T202" s="0" t="s">
        <v>624</v>
      </c>
      <c r="U202" s="0" t="str">
        <f aca="false">IF('Basis Options'!D207="NGI/CHI. GATE","""NGI/CHI. GATE""",TRIM('Basis Options'!D207))</f>
        <v>IF-TRANSCO/Z6</v>
      </c>
      <c r="V202" s="0" t="s">
        <v>624</v>
      </c>
      <c r="W202" s="0" t="s">
        <v>569</v>
      </c>
      <c r="X202" s="0" t="s">
        <v>624</v>
      </c>
      <c r="Y202" s="0" t="s">
        <v>627</v>
      </c>
      <c r="Z202" s="0" t="s">
        <v>629</v>
      </c>
      <c r="AA202" s="0" t="s">
        <v>624</v>
      </c>
      <c r="AB202" s="0" t="s">
        <v>132</v>
      </c>
      <c r="AC202" s="254" t="n">
        <f aca="false">'Basis Options'!H207</f>
        <v>-500000</v>
      </c>
      <c r="AD202" s="254" t="e">
        <f aca="false">'Basis Options'!W207</f>
        <v>#NAME?</v>
      </c>
      <c r="AE202" s="0" t="n">
        <v>0</v>
      </c>
      <c r="AF202" s="0" t="n">
        <v>0</v>
      </c>
      <c r="AG202" s="0" t="n">
        <v>0</v>
      </c>
      <c r="AH202" s="254" t="e">
        <f aca="false">'Basis Options'!CD207</f>
        <v>#NAME?</v>
      </c>
      <c r="AI202" s="0" t="n">
        <v>226</v>
      </c>
      <c r="AJ202" s="0" t="s">
        <v>630</v>
      </c>
      <c r="AK202" s="0" t="n">
        <v>0</v>
      </c>
      <c r="AL202" s="0" t="n">
        <v>0</v>
      </c>
      <c r="AM202" s="0" t="n">
        <v>0</v>
      </c>
    </row>
    <row r="203" customFormat="false" ht="12.75" hidden="false" customHeight="false" outlineLevel="0" collapsed="false">
      <c r="A203" s="0" t="s">
        <v>621</v>
      </c>
      <c r="B203" s="0" t="str">
        <f aca="false">'Basis Options'!C208</f>
        <v>NI6136.1</v>
      </c>
      <c r="C203" s="0" t="s">
        <v>622</v>
      </c>
      <c r="D203" s="0" t="s">
        <v>623</v>
      </c>
      <c r="E203" s="0" t="s">
        <v>131</v>
      </c>
      <c r="F203" s="0" t="str">
        <f aca="false">'Basis Options'!A208</f>
        <v>SOUTHERCOMENEMA</v>
      </c>
      <c r="G203" s="0" t="s">
        <v>628</v>
      </c>
      <c r="H203" s="0" t="s">
        <v>625</v>
      </c>
      <c r="I203" s="0" t="s">
        <v>626</v>
      </c>
      <c r="J203" s="0" t="s">
        <v>627</v>
      </c>
      <c r="K203" s="475" t="n">
        <f aca="false">'Basis Options'!G208</f>
        <v>36923</v>
      </c>
      <c r="L203" s="254" t="e">
        <f aca="false">'Basis Options'!U208</f>
        <v>#NAME?</v>
      </c>
      <c r="M203" s="475" t="n">
        <f aca="false">'Basis Options'!Q208</f>
        <v>36921</v>
      </c>
      <c r="N203" s="0" t="str">
        <f aca="false">'Basis Options'!F208</f>
        <v>C</v>
      </c>
      <c r="O203" s="0" t="n">
        <f aca="false">'Basis Options'!I208</f>
        <v>1.6</v>
      </c>
      <c r="P203" s="0" t="n">
        <v>0</v>
      </c>
      <c r="Q203" s="0" t="n">
        <v>0</v>
      </c>
      <c r="R203" s="0" t="n">
        <v>0</v>
      </c>
      <c r="S203" s="0" t="n">
        <v>0</v>
      </c>
      <c r="T203" s="0" t="s">
        <v>624</v>
      </c>
      <c r="U203" s="0" t="str">
        <f aca="false">IF('Basis Options'!D208="NGI/CHI. GATE","""NGI/CHI. GATE""",TRIM('Basis Options'!D208))</f>
        <v>IF-TRANSCO/Z6</v>
      </c>
      <c r="V203" s="0" t="s">
        <v>624</v>
      </c>
      <c r="W203" s="0" t="s">
        <v>569</v>
      </c>
      <c r="X203" s="0" t="s">
        <v>624</v>
      </c>
      <c r="Y203" s="0" t="s">
        <v>627</v>
      </c>
      <c r="Z203" s="0" t="s">
        <v>629</v>
      </c>
      <c r="AA203" s="0" t="s">
        <v>624</v>
      </c>
      <c r="AB203" s="0" t="s">
        <v>132</v>
      </c>
      <c r="AC203" s="254" t="n">
        <f aca="false">'Basis Options'!H208</f>
        <v>-500000</v>
      </c>
      <c r="AD203" s="254" t="e">
        <f aca="false">'Basis Options'!W208</f>
        <v>#NAME?</v>
      </c>
      <c r="AE203" s="0" t="n">
        <v>0</v>
      </c>
      <c r="AF203" s="0" t="n">
        <v>0</v>
      </c>
      <c r="AG203" s="0" t="n">
        <v>0</v>
      </c>
      <c r="AH203" s="254" t="e">
        <f aca="false">'Basis Options'!CD208</f>
        <v>#NAME?</v>
      </c>
      <c r="AI203" s="0" t="n">
        <v>226</v>
      </c>
      <c r="AJ203" s="0" t="s">
        <v>630</v>
      </c>
      <c r="AK203" s="0" t="n">
        <v>0</v>
      </c>
      <c r="AL203" s="0" t="n">
        <v>0</v>
      </c>
      <c r="AM203" s="0" t="n">
        <v>0</v>
      </c>
    </row>
    <row r="204" customFormat="false" ht="12.75" hidden="false" customHeight="false" outlineLevel="0" collapsed="false">
      <c r="A204" s="0" t="s">
        <v>621</v>
      </c>
      <c r="B204" s="0" t="str">
        <f aca="false">'Basis Options'!C209</f>
        <v>NI6136.1</v>
      </c>
      <c r="C204" s="0" t="s">
        <v>622</v>
      </c>
      <c r="D204" s="0" t="s">
        <v>623</v>
      </c>
      <c r="E204" s="0" t="s">
        <v>131</v>
      </c>
      <c r="F204" s="0" t="str">
        <f aca="false">'Basis Options'!A209</f>
        <v>SOUTHERCOMENEMA</v>
      </c>
      <c r="G204" s="0" t="s">
        <v>628</v>
      </c>
      <c r="H204" s="0" t="s">
        <v>625</v>
      </c>
      <c r="I204" s="0" t="s">
        <v>626</v>
      </c>
      <c r="J204" s="0" t="s">
        <v>627</v>
      </c>
      <c r="K204" s="475" t="n">
        <f aca="false">'Basis Options'!G209</f>
        <v>36892</v>
      </c>
      <c r="L204" s="254" t="e">
        <f aca="false">'Basis Options'!U209</f>
        <v>#NAME?</v>
      </c>
      <c r="M204" s="475" t="n">
        <f aca="false">'Basis Options'!Q209</f>
        <v>36888</v>
      </c>
      <c r="N204" s="0" t="str">
        <f aca="false">'Basis Options'!F209</f>
        <v>C</v>
      </c>
      <c r="O204" s="0" t="n">
        <f aca="false">'Basis Options'!I209</f>
        <v>1.6</v>
      </c>
      <c r="P204" s="0" t="n">
        <v>0</v>
      </c>
      <c r="Q204" s="0" t="n">
        <v>0</v>
      </c>
      <c r="R204" s="0" t="n">
        <v>0</v>
      </c>
      <c r="S204" s="0" t="n">
        <v>0</v>
      </c>
      <c r="T204" s="0" t="s">
        <v>624</v>
      </c>
      <c r="U204" s="0" t="str">
        <f aca="false">IF('Basis Options'!D209="NGI/CHI. GATE","""NGI/CHI. GATE""",TRIM('Basis Options'!D209))</f>
        <v>IF-TRANSCO/Z6</v>
      </c>
      <c r="V204" s="0" t="s">
        <v>624</v>
      </c>
      <c r="W204" s="0" t="s">
        <v>569</v>
      </c>
      <c r="X204" s="0" t="s">
        <v>624</v>
      </c>
      <c r="Y204" s="0" t="s">
        <v>627</v>
      </c>
      <c r="Z204" s="0" t="s">
        <v>629</v>
      </c>
      <c r="AA204" s="0" t="s">
        <v>624</v>
      </c>
      <c r="AB204" s="0" t="s">
        <v>132</v>
      </c>
      <c r="AC204" s="254" t="n">
        <f aca="false">'Basis Options'!H209</f>
        <v>-500000</v>
      </c>
      <c r="AD204" s="254" t="e">
        <f aca="false">'Basis Options'!W209</f>
        <v>#NAME?</v>
      </c>
      <c r="AE204" s="0" t="n">
        <v>0</v>
      </c>
      <c r="AF204" s="0" t="n">
        <v>0</v>
      </c>
      <c r="AG204" s="0" t="n">
        <v>0</v>
      </c>
      <c r="AH204" s="254" t="e">
        <f aca="false">'Basis Options'!CD209</f>
        <v>#NAME?</v>
      </c>
      <c r="AI204" s="0" t="n">
        <v>226</v>
      </c>
      <c r="AJ204" s="0" t="s">
        <v>630</v>
      </c>
      <c r="AK204" s="0" t="n">
        <v>0</v>
      </c>
      <c r="AL204" s="0" t="n">
        <v>0</v>
      </c>
      <c r="AM204" s="0" t="n">
        <v>0</v>
      </c>
    </row>
    <row r="205" customFormat="false" ht="12.75" hidden="false" customHeight="false" outlineLevel="0" collapsed="false">
      <c r="A205" s="0" t="s">
        <v>621</v>
      </c>
      <c r="B205" s="0" t="str">
        <f aca="false">'Basis Options'!C210</f>
        <v>NI6136.1</v>
      </c>
      <c r="C205" s="0" t="s">
        <v>622</v>
      </c>
      <c r="D205" s="0" t="s">
        <v>623</v>
      </c>
      <c r="E205" s="0" t="s">
        <v>131</v>
      </c>
      <c r="F205" s="0" t="str">
        <f aca="false">'Basis Options'!A210</f>
        <v>SOUTHERCOMENEMA</v>
      </c>
      <c r="G205" s="0" t="s">
        <v>628</v>
      </c>
      <c r="H205" s="0" t="s">
        <v>625</v>
      </c>
      <c r="I205" s="0" t="s">
        <v>626</v>
      </c>
      <c r="J205" s="0" t="s">
        <v>627</v>
      </c>
      <c r="K205" s="475" t="n">
        <f aca="false">'Basis Options'!G210</f>
        <v>36861</v>
      </c>
      <c r="L205" s="254" t="e">
        <f aca="false">'Basis Options'!U210</f>
        <v>#NAME?</v>
      </c>
      <c r="M205" s="475" t="n">
        <f aca="false">'Basis Options'!Q210</f>
        <v>36859</v>
      </c>
      <c r="N205" s="0" t="str">
        <f aca="false">'Basis Options'!F210</f>
        <v>C</v>
      </c>
      <c r="O205" s="0" t="n">
        <f aca="false">'Basis Options'!I210</f>
        <v>1.6</v>
      </c>
      <c r="P205" s="0" t="n">
        <v>0</v>
      </c>
      <c r="Q205" s="0" t="n">
        <v>0</v>
      </c>
      <c r="R205" s="0" t="n">
        <v>0</v>
      </c>
      <c r="S205" s="0" t="n">
        <v>0</v>
      </c>
      <c r="T205" s="0" t="s">
        <v>624</v>
      </c>
      <c r="U205" s="0" t="str">
        <f aca="false">IF('Basis Options'!D210="NGI/CHI. GATE","""NGI/CHI. GATE""",TRIM('Basis Options'!D210))</f>
        <v>IF-TRANSCO/Z6</v>
      </c>
      <c r="V205" s="0" t="s">
        <v>624</v>
      </c>
      <c r="W205" s="0" t="s">
        <v>569</v>
      </c>
      <c r="X205" s="0" t="s">
        <v>624</v>
      </c>
      <c r="Y205" s="0" t="s">
        <v>627</v>
      </c>
      <c r="Z205" s="0" t="s">
        <v>629</v>
      </c>
      <c r="AA205" s="0" t="s">
        <v>624</v>
      </c>
      <c r="AB205" s="0" t="s">
        <v>132</v>
      </c>
      <c r="AC205" s="254" t="n">
        <f aca="false">'Basis Options'!H210</f>
        <v>-500000</v>
      </c>
      <c r="AD205" s="254" t="e">
        <f aca="false">'Basis Options'!W210</f>
        <v>#NAME?</v>
      </c>
      <c r="AE205" s="0" t="n">
        <v>0</v>
      </c>
      <c r="AF205" s="0" t="n">
        <v>0</v>
      </c>
      <c r="AG205" s="0" t="n">
        <v>0</v>
      </c>
      <c r="AH205" s="254" t="e">
        <f aca="false">'Basis Options'!CD210</f>
        <v>#NAME?</v>
      </c>
      <c r="AI205" s="0" t="n">
        <v>226</v>
      </c>
      <c r="AJ205" s="0" t="s">
        <v>630</v>
      </c>
      <c r="AK205" s="0" t="n">
        <v>0</v>
      </c>
      <c r="AL205" s="0" t="n">
        <v>0</v>
      </c>
      <c r="AM205" s="0" t="n">
        <v>0</v>
      </c>
    </row>
    <row r="206" customFormat="false" ht="12.75" hidden="false" customHeight="false" outlineLevel="0" collapsed="false">
      <c r="A206" s="0" t="s">
        <v>621</v>
      </c>
      <c r="B206" s="0" t="str">
        <f aca="false">'Basis Options'!C211</f>
        <v>NI6136.1</v>
      </c>
      <c r="C206" s="0" t="s">
        <v>622</v>
      </c>
      <c r="D206" s="0" t="s">
        <v>623</v>
      </c>
      <c r="E206" s="0" t="s">
        <v>131</v>
      </c>
      <c r="F206" s="0" t="str">
        <f aca="false">'Basis Options'!A211</f>
        <v>SOUTHERCOMENEMA</v>
      </c>
      <c r="G206" s="0" t="s">
        <v>628</v>
      </c>
      <c r="H206" s="0" t="s">
        <v>625</v>
      </c>
      <c r="I206" s="0" t="s">
        <v>626</v>
      </c>
      <c r="J206" s="0" t="s">
        <v>627</v>
      </c>
      <c r="K206" s="475" t="n">
        <f aca="false">'Basis Options'!G211</f>
        <v>36831</v>
      </c>
      <c r="L206" s="254" t="e">
        <f aca="false">'Basis Options'!U211</f>
        <v>#NAME?</v>
      </c>
      <c r="M206" s="475" t="n">
        <f aca="false">'Basis Options'!Q211</f>
        <v>36829</v>
      </c>
      <c r="N206" s="0" t="str">
        <f aca="false">'Basis Options'!F211</f>
        <v>C</v>
      </c>
      <c r="O206" s="0" t="n">
        <f aca="false">'Basis Options'!I211</f>
        <v>1.6</v>
      </c>
      <c r="P206" s="0" t="n">
        <v>0</v>
      </c>
      <c r="Q206" s="0" t="n">
        <v>0</v>
      </c>
      <c r="R206" s="0" t="n">
        <v>0</v>
      </c>
      <c r="S206" s="0" t="n">
        <v>0</v>
      </c>
      <c r="T206" s="0" t="s">
        <v>624</v>
      </c>
      <c r="U206" s="0" t="str">
        <f aca="false">IF('Basis Options'!D211="NGI/CHI. GATE","""NGI/CHI. GATE""",TRIM('Basis Options'!D211))</f>
        <v>IF-TRANSCO/Z6</v>
      </c>
      <c r="V206" s="0" t="s">
        <v>624</v>
      </c>
      <c r="W206" s="0" t="s">
        <v>569</v>
      </c>
      <c r="X206" s="0" t="s">
        <v>624</v>
      </c>
      <c r="Y206" s="0" t="s">
        <v>627</v>
      </c>
      <c r="Z206" s="0" t="s">
        <v>629</v>
      </c>
      <c r="AA206" s="0" t="s">
        <v>624</v>
      </c>
      <c r="AB206" s="0" t="s">
        <v>132</v>
      </c>
      <c r="AC206" s="254" t="n">
        <f aca="false">'Basis Options'!H211</f>
        <v>-500000</v>
      </c>
      <c r="AD206" s="254" t="e">
        <f aca="false">'Basis Options'!W211</f>
        <v>#NAME?</v>
      </c>
      <c r="AE206" s="0" t="n">
        <v>0</v>
      </c>
      <c r="AF206" s="0" t="n">
        <v>0</v>
      </c>
      <c r="AG206" s="0" t="n">
        <v>0</v>
      </c>
      <c r="AH206" s="254" t="e">
        <f aca="false">'Basis Options'!CD211</f>
        <v>#NAME?</v>
      </c>
      <c r="AI206" s="0" t="n">
        <v>226</v>
      </c>
      <c r="AJ206" s="0" t="s">
        <v>630</v>
      </c>
      <c r="AK206" s="0" t="n">
        <v>0</v>
      </c>
      <c r="AL206" s="0" t="n">
        <v>0</v>
      </c>
      <c r="AM206" s="0" t="n">
        <v>0</v>
      </c>
    </row>
    <row r="207" customFormat="false" ht="12.75" hidden="false" customHeight="false" outlineLevel="0" collapsed="false">
      <c r="A207" s="0" t="s">
        <v>621</v>
      </c>
      <c r="B207" s="0" t="str">
        <f aca="false">'Basis Options'!C212</f>
        <v>NI6136.2</v>
      </c>
      <c r="C207" s="0" t="s">
        <v>622</v>
      </c>
      <c r="D207" s="0" t="s">
        <v>623</v>
      </c>
      <c r="E207" s="0" t="s">
        <v>131</v>
      </c>
      <c r="F207" s="0" t="str">
        <f aca="false">'Basis Options'!A212</f>
        <v>SOUTHERCOMENEMA</v>
      </c>
      <c r="G207" s="0" t="s">
        <v>628</v>
      </c>
      <c r="H207" s="0" t="s">
        <v>625</v>
      </c>
      <c r="I207" s="0" t="s">
        <v>626</v>
      </c>
      <c r="J207" s="0" t="s">
        <v>627</v>
      </c>
      <c r="K207" s="475" t="n">
        <f aca="false">'Basis Options'!G212</f>
        <v>36951</v>
      </c>
      <c r="L207" s="254" t="e">
        <f aca="false">'Basis Options'!U212</f>
        <v>#NAME?</v>
      </c>
      <c r="M207" s="475" t="n">
        <f aca="false">'Basis Options'!Q212</f>
        <v>36949</v>
      </c>
      <c r="N207" s="0" t="str">
        <f aca="false">'Basis Options'!F212</f>
        <v>C</v>
      </c>
      <c r="O207" s="0" t="n">
        <f aca="false">'Basis Options'!I212</f>
        <v>2.1</v>
      </c>
      <c r="P207" s="0" t="n">
        <v>0</v>
      </c>
      <c r="Q207" s="0" t="n">
        <v>0</v>
      </c>
      <c r="R207" s="0" t="n">
        <v>0</v>
      </c>
      <c r="S207" s="0" t="n">
        <v>0</v>
      </c>
      <c r="T207" s="0" t="s">
        <v>624</v>
      </c>
      <c r="U207" s="0" t="str">
        <f aca="false">IF('Basis Options'!D212="NGI/CHI. GATE","""NGI/CHI. GATE""",TRIM('Basis Options'!D212))</f>
        <v>IF-TRANSCO/Z6</v>
      </c>
      <c r="V207" s="0" t="s">
        <v>624</v>
      </c>
      <c r="W207" s="0" t="s">
        <v>569</v>
      </c>
      <c r="X207" s="0" t="s">
        <v>624</v>
      </c>
      <c r="Y207" s="0" t="s">
        <v>627</v>
      </c>
      <c r="Z207" s="0" t="s">
        <v>629</v>
      </c>
      <c r="AA207" s="0" t="s">
        <v>624</v>
      </c>
      <c r="AB207" s="0" t="s">
        <v>132</v>
      </c>
      <c r="AC207" s="254" t="n">
        <f aca="false">'Basis Options'!H212</f>
        <v>500000</v>
      </c>
      <c r="AD207" s="254" t="e">
        <f aca="false">'Basis Options'!W212</f>
        <v>#NAME?</v>
      </c>
      <c r="AE207" s="0" t="n">
        <v>0</v>
      </c>
      <c r="AF207" s="0" t="n">
        <v>0</v>
      </c>
      <c r="AG207" s="0" t="n">
        <v>0</v>
      </c>
      <c r="AH207" s="254" t="e">
        <f aca="false">'Basis Options'!CD212</f>
        <v>#NAME?</v>
      </c>
      <c r="AI207" s="0" t="n">
        <v>226</v>
      </c>
      <c r="AJ207" s="0" t="s">
        <v>630</v>
      </c>
      <c r="AK207" s="0" t="n">
        <v>0</v>
      </c>
      <c r="AL207" s="0" t="n">
        <v>0</v>
      </c>
      <c r="AM207" s="0" t="n">
        <v>0</v>
      </c>
    </row>
    <row r="208" customFormat="false" ht="12.75" hidden="false" customHeight="false" outlineLevel="0" collapsed="false">
      <c r="A208" s="0" t="s">
        <v>621</v>
      </c>
      <c r="B208" s="0" t="str">
        <f aca="false">'Basis Options'!C213</f>
        <v>NI6136.2</v>
      </c>
      <c r="C208" s="0" t="s">
        <v>622</v>
      </c>
      <c r="D208" s="0" t="s">
        <v>623</v>
      </c>
      <c r="E208" s="0" t="s">
        <v>131</v>
      </c>
      <c r="F208" s="0" t="str">
        <f aca="false">'Basis Options'!A213</f>
        <v>SOUTHERCOMENEMA</v>
      </c>
      <c r="G208" s="0" t="s">
        <v>628</v>
      </c>
      <c r="H208" s="0" t="s">
        <v>625</v>
      </c>
      <c r="I208" s="0" t="s">
        <v>626</v>
      </c>
      <c r="J208" s="0" t="s">
        <v>627</v>
      </c>
      <c r="K208" s="475" t="n">
        <f aca="false">'Basis Options'!G213</f>
        <v>36923</v>
      </c>
      <c r="L208" s="254" t="e">
        <f aca="false">'Basis Options'!U213</f>
        <v>#NAME?</v>
      </c>
      <c r="M208" s="475" t="n">
        <f aca="false">'Basis Options'!Q213</f>
        <v>36921</v>
      </c>
      <c r="N208" s="0" t="str">
        <f aca="false">'Basis Options'!F213</f>
        <v>C</v>
      </c>
      <c r="O208" s="0" t="n">
        <f aca="false">'Basis Options'!I213</f>
        <v>2.1</v>
      </c>
      <c r="P208" s="0" t="n">
        <v>0</v>
      </c>
      <c r="Q208" s="0" t="n">
        <v>0</v>
      </c>
      <c r="R208" s="0" t="n">
        <v>0</v>
      </c>
      <c r="S208" s="0" t="n">
        <v>0</v>
      </c>
      <c r="T208" s="0" t="s">
        <v>624</v>
      </c>
      <c r="U208" s="0" t="str">
        <f aca="false">IF('Basis Options'!D213="NGI/CHI. GATE","""NGI/CHI. GATE""",TRIM('Basis Options'!D213))</f>
        <v>IF-TRANSCO/Z6</v>
      </c>
      <c r="V208" s="0" t="s">
        <v>624</v>
      </c>
      <c r="W208" s="0" t="s">
        <v>569</v>
      </c>
      <c r="X208" s="0" t="s">
        <v>624</v>
      </c>
      <c r="Y208" s="0" t="s">
        <v>627</v>
      </c>
      <c r="Z208" s="0" t="s">
        <v>629</v>
      </c>
      <c r="AA208" s="0" t="s">
        <v>624</v>
      </c>
      <c r="AB208" s="0" t="s">
        <v>132</v>
      </c>
      <c r="AC208" s="254" t="n">
        <f aca="false">'Basis Options'!H213</f>
        <v>500000</v>
      </c>
      <c r="AD208" s="254" t="e">
        <f aca="false">'Basis Options'!W213</f>
        <v>#NAME?</v>
      </c>
      <c r="AE208" s="0" t="n">
        <v>0</v>
      </c>
      <c r="AF208" s="0" t="n">
        <v>0</v>
      </c>
      <c r="AG208" s="0" t="n">
        <v>0</v>
      </c>
      <c r="AH208" s="254" t="e">
        <f aca="false">'Basis Options'!CD213</f>
        <v>#NAME?</v>
      </c>
      <c r="AI208" s="0" t="n">
        <v>226</v>
      </c>
      <c r="AJ208" s="0" t="s">
        <v>630</v>
      </c>
      <c r="AK208" s="0" t="n">
        <v>0</v>
      </c>
      <c r="AL208" s="0" t="n">
        <v>0</v>
      </c>
      <c r="AM208" s="0" t="n">
        <v>0</v>
      </c>
    </row>
    <row r="209" customFormat="false" ht="12.75" hidden="false" customHeight="false" outlineLevel="0" collapsed="false">
      <c r="A209" s="0" t="s">
        <v>621</v>
      </c>
      <c r="B209" s="0" t="str">
        <f aca="false">'Basis Options'!C214</f>
        <v>NI6136.2</v>
      </c>
      <c r="C209" s="0" t="s">
        <v>622</v>
      </c>
      <c r="D209" s="0" t="s">
        <v>623</v>
      </c>
      <c r="E209" s="0" t="s">
        <v>131</v>
      </c>
      <c r="F209" s="0" t="str">
        <f aca="false">'Basis Options'!A214</f>
        <v>SOUTHERCOMENEMA</v>
      </c>
      <c r="G209" s="0" t="s">
        <v>628</v>
      </c>
      <c r="H209" s="0" t="s">
        <v>625</v>
      </c>
      <c r="I209" s="0" t="s">
        <v>626</v>
      </c>
      <c r="J209" s="0" t="s">
        <v>627</v>
      </c>
      <c r="K209" s="475" t="n">
        <f aca="false">'Basis Options'!G214</f>
        <v>36892</v>
      </c>
      <c r="L209" s="254" t="e">
        <f aca="false">'Basis Options'!U214</f>
        <v>#NAME?</v>
      </c>
      <c r="M209" s="475" t="n">
        <f aca="false">'Basis Options'!Q214</f>
        <v>36888</v>
      </c>
      <c r="N209" s="0" t="str">
        <f aca="false">'Basis Options'!F214</f>
        <v>C</v>
      </c>
      <c r="O209" s="0" t="n">
        <f aca="false">'Basis Options'!I214</f>
        <v>2.1</v>
      </c>
      <c r="P209" s="0" t="n">
        <v>0</v>
      </c>
      <c r="Q209" s="0" t="n">
        <v>0</v>
      </c>
      <c r="R209" s="0" t="n">
        <v>0</v>
      </c>
      <c r="S209" s="0" t="n">
        <v>0</v>
      </c>
      <c r="T209" s="0" t="s">
        <v>624</v>
      </c>
      <c r="U209" s="0" t="str">
        <f aca="false">IF('Basis Options'!D214="NGI/CHI. GATE","""NGI/CHI. GATE""",TRIM('Basis Options'!D214))</f>
        <v>IF-TRANSCO/Z6</v>
      </c>
      <c r="V209" s="0" t="s">
        <v>624</v>
      </c>
      <c r="W209" s="0" t="s">
        <v>569</v>
      </c>
      <c r="X209" s="0" t="s">
        <v>624</v>
      </c>
      <c r="Y209" s="0" t="s">
        <v>627</v>
      </c>
      <c r="Z209" s="0" t="s">
        <v>629</v>
      </c>
      <c r="AA209" s="0" t="s">
        <v>624</v>
      </c>
      <c r="AB209" s="0" t="s">
        <v>132</v>
      </c>
      <c r="AC209" s="254" t="n">
        <f aca="false">'Basis Options'!H214</f>
        <v>500000</v>
      </c>
      <c r="AD209" s="254" t="e">
        <f aca="false">'Basis Options'!W214</f>
        <v>#NAME?</v>
      </c>
      <c r="AE209" s="0" t="n">
        <v>0</v>
      </c>
      <c r="AF209" s="0" t="n">
        <v>0</v>
      </c>
      <c r="AG209" s="0" t="n">
        <v>0</v>
      </c>
      <c r="AH209" s="254" t="e">
        <f aca="false">'Basis Options'!CD214</f>
        <v>#NAME?</v>
      </c>
      <c r="AI209" s="0" t="n">
        <v>226</v>
      </c>
      <c r="AJ209" s="0" t="s">
        <v>630</v>
      </c>
      <c r="AK209" s="0" t="n">
        <v>0</v>
      </c>
      <c r="AL209" s="0" t="n">
        <v>0</v>
      </c>
      <c r="AM209" s="0" t="n">
        <v>0</v>
      </c>
    </row>
    <row r="210" customFormat="false" ht="12.75" hidden="false" customHeight="false" outlineLevel="0" collapsed="false">
      <c r="A210" s="0" t="s">
        <v>621</v>
      </c>
      <c r="B210" s="0" t="str">
        <f aca="false">'Basis Options'!C215</f>
        <v>NI6136.2</v>
      </c>
      <c r="C210" s="0" t="s">
        <v>622</v>
      </c>
      <c r="D210" s="0" t="s">
        <v>623</v>
      </c>
      <c r="E210" s="0" t="s">
        <v>131</v>
      </c>
      <c r="F210" s="0" t="str">
        <f aca="false">'Basis Options'!A215</f>
        <v>SOUTHERCOMENEMA</v>
      </c>
      <c r="G210" s="0" t="s">
        <v>628</v>
      </c>
      <c r="H210" s="0" t="s">
        <v>625</v>
      </c>
      <c r="I210" s="0" t="s">
        <v>626</v>
      </c>
      <c r="J210" s="0" t="s">
        <v>627</v>
      </c>
      <c r="K210" s="475" t="n">
        <f aca="false">'Basis Options'!G215</f>
        <v>36861</v>
      </c>
      <c r="L210" s="254" t="e">
        <f aca="false">'Basis Options'!U215</f>
        <v>#NAME?</v>
      </c>
      <c r="M210" s="475" t="n">
        <f aca="false">'Basis Options'!Q215</f>
        <v>36859</v>
      </c>
      <c r="N210" s="0" t="str">
        <f aca="false">'Basis Options'!F215</f>
        <v>C</v>
      </c>
      <c r="O210" s="0" t="n">
        <f aca="false">'Basis Options'!I215</f>
        <v>2.1</v>
      </c>
      <c r="P210" s="0" t="n">
        <v>0</v>
      </c>
      <c r="Q210" s="0" t="n">
        <v>0</v>
      </c>
      <c r="R210" s="0" t="n">
        <v>0</v>
      </c>
      <c r="S210" s="0" t="n">
        <v>0</v>
      </c>
      <c r="T210" s="0" t="s">
        <v>624</v>
      </c>
      <c r="U210" s="0" t="str">
        <f aca="false">IF('Basis Options'!D215="NGI/CHI. GATE","""NGI/CHI. GATE""",TRIM('Basis Options'!D215))</f>
        <v>IF-TRANSCO/Z6</v>
      </c>
      <c r="V210" s="0" t="s">
        <v>624</v>
      </c>
      <c r="W210" s="0" t="s">
        <v>569</v>
      </c>
      <c r="X210" s="0" t="s">
        <v>624</v>
      </c>
      <c r="Y210" s="0" t="s">
        <v>627</v>
      </c>
      <c r="Z210" s="0" t="s">
        <v>629</v>
      </c>
      <c r="AA210" s="0" t="s">
        <v>624</v>
      </c>
      <c r="AB210" s="0" t="s">
        <v>132</v>
      </c>
      <c r="AC210" s="254" t="n">
        <f aca="false">'Basis Options'!H215</f>
        <v>500000</v>
      </c>
      <c r="AD210" s="254" t="e">
        <f aca="false">'Basis Options'!W215</f>
        <v>#NAME?</v>
      </c>
      <c r="AE210" s="0" t="n">
        <v>0</v>
      </c>
      <c r="AF210" s="0" t="n">
        <v>0</v>
      </c>
      <c r="AG210" s="0" t="n">
        <v>0</v>
      </c>
      <c r="AH210" s="254" t="e">
        <f aca="false">'Basis Options'!CD215</f>
        <v>#NAME?</v>
      </c>
      <c r="AI210" s="0" t="n">
        <v>226</v>
      </c>
      <c r="AJ210" s="0" t="s">
        <v>630</v>
      </c>
      <c r="AK210" s="0" t="n">
        <v>0</v>
      </c>
      <c r="AL210" s="0" t="n">
        <v>0</v>
      </c>
      <c r="AM210" s="0" t="n">
        <v>0</v>
      </c>
    </row>
    <row r="211" customFormat="false" ht="12.75" hidden="false" customHeight="false" outlineLevel="0" collapsed="false">
      <c r="A211" s="0" t="s">
        <v>621</v>
      </c>
      <c r="B211" s="0" t="str">
        <f aca="false">'Basis Options'!C216</f>
        <v>NI6136.2</v>
      </c>
      <c r="C211" s="0" t="s">
        <v>622</v>
      </c>
      <c r="D211" s="0" t="s">
        <v>623</v>
      </c>
      <c r="E211" s="0" t="s">
        <v>131</v>
      </c>
      <c r="F211" s="0" t="str">
        <f aca="false">'Basis Options'!A216</f>
        <v>SOUTHERCOMENEMA</v>
      </c>
      <c r="G211" s="0" t="s">
        <v>628</v>
      </c>
      <c r="H211" s="0" t="s">
        <v>625</v>
      </c>
      <c r="I211" s="0" t="s">
        <v>626</v>
      </c>
      <c r="J211" s="0" t="s">
        <v>627</v>
      </c>
      <c r="K211" s="475" t="n">
        <f aca="false">'Basis Options'!G216</f>
        <v>36831</v>
      </c>
      <c r="L211" s="254" t="e">
        <f aca="false">'Basis Options'!U216</f>
        <v>#NAME?</v>
      </c>
      <c r="M211" s="475" t="n">
        <f aca="false">'Basis Options'!Q216</f>
        <v>36829</v>
      </c>
      <c r="N211" s="0" t="str">
        <f aca="false">'Basis Options'!F216</f>
        <v>C</v>
      </c>
      <c r="O211" s="0" t="n">
        <f aca="false">'Basis Options'!I216</f>
        <v>2.1</v>
      </c>
      <c r="P211" s="0" t="n">
        <v>0</v>
      </c>
      <c r="Q211" s="0" t="n">
        <v>0</v>
      </c>
      <c r="R211" s="0" t="n">
        <v>0</v>
      </c>
      <c r="S211" s="0" t="n">
        <v>0</v>
      </c>
      <c r="T211" s="0" t="s">
        <v>624</v>
      </c>
      <c r="U211" s="0" t="str">
        <f aca="false">IF('Basis Options'!D216="NGI/CHI. GATE","""NGI/CHI. GATE""",TRIM('Basis Options'!D216))</f>
        <v>IF-TRANSCO/Z6</v>
      </c>
      <c r="V211" s="0" t="s">
        <v>624</v>
      </c>
      <c r="W211" s="0" t="s">
        <v>569</v>
      </c>
      <c r="X211" s="0" t="s">
        <v>624</v>
      </c>
      <c r="Y211" s="0" t="s">
        <v>627</v>
      </c>
      <c r="Z211" s="0" t="s">
        <v>629</v>
      </c>
      <c r="AA211" s="0" t="s">
        <v>624</v>
      </c>
      <c r="AB211" s="0" t="s">
        <v>132</v>
      </c>
      <c r="AC211" s="254" t="n">
        <f aca="false">'Basis Options'!H216</f>
        <v>500000</v>
      </c>
      <c r="AD211" s="254" t="e">
        <f aca="false">'Basis Options'!W216</f>
        <v>#NAME?</v>
      </c>
      <c r="AE211" s="0" t="n">
        <v>0</v>
      </c>
      <c r="AF211" s="0" t="n">
        <v>0</v>
      </c>
      <c r="AG211" s="0" t="n">
        <v>0</v>
      </c>
      <c r="AH211" s="254" t="e">
        <f aca="false">'Basis Options'!CD216</f>
        <v>#NAME?</v>
      </c>
      <c r="AI211" s="0" t="n">
        <v>226</v>
      </c>
      <c r="AJ211" s="0" t="s">
        <v>630</v>
      </c>
      <c r="AK211" s="0" t="n">
        <v>0</v>
      </c>
      <c r="AL211" s="0" t="n">
        <v>0</v>
      </c>
      <c r="AM211" s="0" t="n">
        <v>0</v>
      </c>
    </row>
    <row r="212" customFormat="false" ht="12.75" hidden="false" customHeight="false" outlineLevel="0" collapsed="false">
      <c r="A212" s="0" t="s">
        <v>621</v>
      </c>
      <c r="B212" s="0" t="str">
        <f aca="false">'Basis Options'!C217</f>
        <v>NJ0119.1</v>
      </c>
      <c r="C212" s="0" t="s">
        <v>622</v>
      </c>
      <c r="D212" s="0" t="s">
        <v>623</v>
      </c>
      <c r="E212" s="0" t="s">
        <v>131</v>
      </c>
      <c r="F212" s="0" t="str">
        <f aca="false">'Basis Options'!A217</f>
        <v>DYNEGYMARAND</v>
      </c>
      <c r="G212" s="0" t="s">
        <v>628</v>
      </c>
      <c r="H212" s="0" t="s">
        <v>625</v>
      </c>
      <c r="I212" s="0" t="s">
        <v>626</v>
      </c>
      <c r="J212" s="0" t="s">
        <v>627</v>
      </c>
      <c r="K212" s="475" t="n">
        <f aca="false">'Basis Options'!G217</f>
        <v>36831</v>
      </c>
      <c r="L212" s="254" t="e">
        <f aca="false">'Basis Options'!U217</f>
        <v>#NAME?</v>
      </c>
      <c r="M212" s="475" t="n">
        <f aca="false">'Basis Options'!Q217</f>
        <v>36829</v>
      </c>
      <c r="N212" s="0" t="str">
        <f aca="false">'Basis Options'!F217</f>
        <v>C</v>
      </c>
      <c r="O212" s="0" t="n">
        <f aca="false">'Basis Options'!I217</f>
        <v>1</v>
      </c>
      <c r="P212" s="0" t="n">
        <v>0</v>
      </c>
      <c r="Q212" s="0" t="n">
        <v>0</v>
      </c>
      <c r="R212" s="0" t="n">
        <v>0</v>
      </c>
      <c r="S212" s="0" t="n">
        <v>0</v>
      </c>
      <c r="T212" s="0" t="s">
        <v>624</v>
      </c>
      <c r="U212" s="0" t="str">
        <f aca="false">IF('Basis Options'!D217="NGI/CHI. GATE","""NGI/CHI. GATE""",TRIM('Basis Options'!D217))</f>
        <v>IF-TRANSCO/Z6</v>
      </c>
      <c r="V212" s="0" t="s">
        <v>624</v>
      </c>
      <c r="W212" s="0" t="s">
        <v>569</v>
      </c>
      <c r="X212" s="0" t="s">
        <v>624</v>
      </c>
      <c r="Y212" s="0" t="s">
        <v>627</v>
      </c>
      <c r="Z212" s="0" t="s">
        <v>629</v>
      </c>
      <c r="AA212" s="0" t="s">
        <v>624</v>
      </c>
      <c r="AB212" s="0" t="s">
        <v>132</v>
      </c>
      <c r="AC212" s="254" t="n">
        <f aca="false">'Basis Options'!H217</f>
        <v>1000000</v>
      </c>
      <c r="AD212" s="254" t="e">
        <f aca="false">'Basis Options'!W217</f>
        <v>#NAME?</v>
      </c>
      <c r="AE212" s="0" t="n">
        <v>0</v>
      </c>
      <c r="AF212" s="0" t="n">
        <v>0</v>
      </c>
      <c r="AG212" s="0" t="n">
        <v>0</v>
      </c>
      <c r="AH212" s="254" t="e">
        <f aca="false">'Basis Options'!CD217</f>
        <v>#NAME?</v>
      </c>
      <c r="AI212" s="0" t="n">
        <v>226</v>
      </c>
      <c r="AJ212" s="0" t="s">
        <v>630</v>
      </c>
      <c r="AK212" s="0" t="n">
        <v>0</v>
      </c>
      <c r="AL212" s="0" t="n">
        <v>0</v>
      </c>
      <c r="AM212" s="0" t="n">
        <v>0</v>
      </c>
    </row>
    <row r="213" customFormat="false" ht="12.75" hidden="false" customHeight="false" outlineLevel="0" collapsed="false">
      <c r="A213" s="0" t="s">
        <v>621</v>
      </c>
      <c r="B213" s="0" t="str">
        <f aca="false">'Basis Options'!C218</f>
        <v>NJ0240.1</v>
      </c>
      <c r="C213" s="0" t="s">
        <v>622</v>
      </c>
      <c r="D213" s="0" t="s">
        <v>623</v>
      </c>
      <c r="E213" s="0" t="s">
        <v>131</v>
      </c>
      <c r="F213" s="0" t="str">
        <f aca="false">'Basis Options'!A218</f>
        <v>CMSMARSERTRA</v>
      </c>
      <c r="G213" s="0" t="s">
        <v>628</v>
      </c>
      <c r="H213" s="0" t="s">
        <v>625</v>
      </c>
      <c r="I213" s="0" t="s">
        <v>626</v>
      </c>
      <c r="J213" s="0" t="s">
        <v>627</v>
      </c>
      <c r="K213" s="475" t="n">
        <f aca="false">'Basis Options'!G218</f>
        <v>36951</v>
      </c>
      <c r="L213" s="254" t="e">
        <f aca="false">'Basis Options'!U218</f>
        <v>#NAME?</v>
      </c>
      <c r="M213" s="475" t="n">
        <f aca="false">'Basis Options'!Q218</f>
        <v>36949</v>
      </c>
      <c r="N213" s="0" t="str">
        <f aca="false">'Basis Options'!F218</f>
        <v>C</v>
      </c>
      <c r="O213" s="0" t="n">
        <f aca="false">'Basis Options'!I218</f>
        <v>1.6</v>
      </c>
      <c r="P213" s="0" t="n">
        <v>0</v>
      </c>
      <c r="Q213" s="0" t="n">
        <v>0</v>
      </c>
      <c r="R213" s="0" t="n">
        <v>0</v>
      </c>
      <c r="S213" s="0" t="n">
        <v>0</v>
      </c>
      <c r="T213" s="0" t="s">
        <v>624</v>
      </c>
      <c r="U213" s="0" t="str">
        <f aca="false">IF('Basis Options'!D218="NGI/CHI. GATE","""NGI/CHI. GATE""",TRIM('Basis Options'!D218))</f>
        <v>IF-TRANSCO/Z6</v>
      </c>
      <c r="V213" s="0" t="s">
        <v>624</v>
      </c>
      <c r="W213" s="0" t="s">
        <v>569</v>
      </c>
      <c r="X213" s="0" t="s">
        <v>624</v>
      </c>
      <c r="Y213" s="0" t="s">
        <v>627</v>
      </c>
      <c r="Z213" s="0" t="s">
        <v>629</v>
      </c>
      <c r="AA213" s="0" t="s">
        <v>624</v>
      </c>
      <c r="AB213" s="0" t="s">
        <v>132</v>
      </c>
      <c r="AC213" s="254" t="n">
        <f aca="false">'Basis Options'!H218</f>
        <v>-310000</v>
      </c>
      <c r="AD213" s="254" t="e">
        <f aca="false">'Basis Options'!W218</f>
        <v>#NAME?</v>
      </c>
      <c r="AE213" s="0" t="n">
        <v>0</v>
      </c>
      <c r="AF213" s="0" t="n">
        <v>0</v>
      </c>
      <c r="AG213" s="0" t="n">
        <v>0</v>
      </c>
      <c r="AH213" s="254" t="e">
        <f aca="false">'Basis Options'!CD218</f>
        <v>#NAME?</v>
      </c>
      <c r="AI213" s="0" t="n">
        <v>226</v>
      </c>
      <c r="AJ213" s="0" t="s">
        <v>630</v>
      </c>
      <c r="AK213" s="0" t="n">
        <v>0</v>
      </c>
      <c r="AL213" s="0" t="n">
        <v>0</v>
      </c>
      <c r="AM213" s="0" t="n">
        <v>0</v>
      </c>
    </row>
    <row r="214" customFormat="false" ht="12.75" hidden="false" customHeight="false" outlineLevel="0" collapsed="false">
      <c r="A214" s="0" t="s">
        <v>621</v>
      </c>
      <c r="B214" s="0" t="str">
        <f aca="false">'Basis Options'!C219</f>
        <v>NJ0240.1</v>
      </c>
      <c r="C214" s="0" t="s">
        <v>622</v>
      </c>
      <c r="D214" s="0" t="s">
        <v>623</v>
      </c>
      <c r="E214" s="0" t="s">
        <v>131</v>
      </c>
      <c r="F214" s="0" t="str">
        <f aca="false">'Basis Options'!A219</f>
        <v>CMSMARSERTRA</v>
      </c>
      <c r="G214" s="0" t="s">
        <v>628</v>
      </c>
      <c r="H214" s="0" t="s">
        <v>625</v>
      </c>
      <c r="I214" s="0" t="s">
        <v>626</v>
      </c>
      <c r="J214" s="0" t="s">
        <v>627</v>
      </c>
      <c r="K214" s="475" t="n">
        <f aca="false">'Basis Options'!G219</f>
        <v>36923</v>
      </c>
      <c r="L214" s="254" t="e">
        <f aca="false">'Basis Options'!U219</f>
        <v>#NAME?</v>
      </c>
      <c r="M214" s="475" t="n">
        <f aca="false">'Basis Options'!Q219</f>
        <v>36921</v>
      </c>
      <c r="N214" s="0" t="str">
        <f aca="false">'Basis Options'!F219</f>
        <v>C</v>
      </c>
      <c r="O214" s="0" t="n">
        <f aca="false">'Basis Options'!I219</f>
        <v>1.6</v>
      </c>
      <c r="P214" s="0" t="n">
        <v>0</v>
      </c>
      <c r="Q214" s="0" t="n">
        <v>0</v>
      </c>
      <c r="R214" s="0" t="n">
        <v>0</v>
      </c>
      <c r="S214" s="0" t="n">
        <v>0</v>
      </c>
      <c r="T214" s="0" t="s">
        <v>624</v>
      </c>
      <c r="U214" s="0" t="str">
        <f aca="false">IF('Basis Options'!D219="NGI/CHI. GATE","""NGI/CHI. GATE""",TRIM('Basis Options'!D219))</f>
        <v>IF-TRANSCO/Z6</v>
      </c>
      <c r="V214" s="0" t="s">
        <v>624</v>
      </c>
      <c r="W214" s="0" t="s">
        <v>569</v>
      </c>
      <c r="X214" s="0" t="s">
        <v>624</v>
      </c>
      <c r="Y214" s="0" t="s">
        <v>627</v>
      </c>
      <c r="Z214" s="0" t="s">
        <v>629</v>
      </c>
      <c r="AA214" s="0" t="s">
        <v>624</v>
      </c>
      <c r="AB214" s="0" t="s">
        <v>132</v>
      </c>
      <c r="AC214" s="254" t="n">
        <f aca="false">'Basis Options'!H219</f>
        <v>-280000</v>
      </c>
      <c r="AD214" s="254" t="e">
        <f aca="false">'Basis Options'!W219</f>
        <v>#NAME?</v>
      </c>
      <c r="AE214" s="0" t="n">
        <v>0</v>
      </c>
      <c r="AF214" s="0" t="n">
        <v>0</v>
      </c>
      <c r="AG214" s="0" t="n">
        <v>0</v>
      </c>
      <c r="AH214" s="254" t="e">
        <f aca="false">'Basis Options'!CD219</f>
        <v>#NAME?</v>
      </c>
      <c r="AI214" s="0" t="n">
        <v>226</v>
      </c>
      <c r="AJ214" s="0" t="s">
        <v>630</v>
      </c>
      <c r="AK214" s="0" t="n">
        <v>0</v>
      </c>
      <c r="AL214" s="0" t="n">
        <v>0</v>
      </c>
      <c r="AM214" s="0" t="n">
        <v>0</v>
      </c>
    </row>
    <row r="215" customFormat="false" ht="12.75" hidden="false" customHeight="false" outlineLevel="0" collapsed="false">
      <c r="A215" s="0" t="s">
        <v>621</v>
      </c>
      <c r="B215" s="0" t="str">
        <f aca="false">'Basis Options'!C220</f>
        <v>NJ0240.1</v>
      </c>
      <c r="C215" s="0" t="s">
        <v>622</v>
      </c>
      <c r="D215" s="0" t="s">
        <v>623</v>
      </c>
      <c r="E215" s="0" t="s">
        <v>131</v>
      </c>
      <c r="F215" s="0" t="str">
        <f aca="false">'Basis Options'!A220</f>
        <v>CMSMARSERTRA</v>
      </c>
      <c r="G215" s="0" t="s">
        <v>628</v>
      </c>
      <c r="H215" s="0" t="s">
        <v>625</v>
      </c>
      <c r="I215" s="0" t="s">
        <v>626</v>
      </c>
      <c r="J215" s="0" t="s">
        <v>627</v>
      </c>
      <c r="K215" s="475" t="n">
        <f aca="false">'Basis Options'!G220</f>
        <v>36892</v>
      </c>
      <c r="L215" s="254" t="e">
        <f aca="false">'Basis Options'!U220</f>
        <v>#NAME?</v>
      </c>
      <c r="M215" s="475" t="n">
        <f aca="false">'Basis Options'!Q220</f>
        <v>36888</v>
      </c>
      <c r="N215" s="0" t="str">
        <f aca="false">'Basis Options'!F220</f>
        <v>C</v>
      </c>
      <c r="O215" s="0" t="n">
        <f aca="false">'Basis Options'!I220</f>
        <v>1.6</v>
      </c>
      <c r="P215" s="0" t="n">
        <v>0</v>
      </c>
      <c r="Q215" s="0" t="n">
        <v>0</v>
      </c>
      <c r="R215" s="0" t="n">
        <v>0</v>
      </c>
      <c r="S215" s="0" t="n">
        <v>0</v>
      </c>
      <c r="T215" s="0" t="s">
        <v>624</v>
      </c>
      <c r="U215" s="0" t="str">
        <f aca="false">IF('Basis Options'!D220="NGI/CHI. GATE","""NGI/CHI. GATE""",TRIM('Basis Options'!D220))</f>
        <v>IF-TRANSCO/Z6</v>
      </c>
      <c r="V215" s="0" t="s">
        <v>624</v>
      </c>
      <c r="W215" s="0" t="s">
        <v>569</v>
      </c>
      <c r="X215" s="0" t="s">
        <v>624</v>
      </c>
      <c r="Y215" s="0" t="s">
        <v>627</v>
      </c>
      <c r="Z215" s="0" t="s">
        <v>629</v>
      </c>
      <c r="AA215" s="0" t="s">
        <v>624</v>
      </c>
      <c r="AB215" s="0" t="s">
        <v>132</v>
      </c>
      <c r="AC215" s="254" t="n">
        <f aca="false">'Basis Options'!H220</f>
        <v>-310000</v>
      </c>
      <c r="AD215" s="254" t="e">
        <f aca="false">'Basis Options'!W220</f>
        <v>#NAME?</v>
      </c>
      <c r="AE215" s="0" t="n">
        <v>0</v>
      </c>
      <c r="AF215" s="0" t="n">
        <v>0</v>
      </c>
      <c r="AG215" s="0" t="n">
        <v>0</v>
      </c>
      <c r="AH215" s="254" t="e">
        <f aca="false">'Basis Options'!CD220</f>
        <v>#NAME?</v>
      </c>
      <c r="AI215" s="0" t="n">
        <v>226</v>
      </c>
      <c r="AJ215" s="0" t="s">
        <v>630</v>
      </c>
      <c r="AK215" s="0" t="n">
        <v>0</v>
      </c>
      <c r="AL215" s="0" t="n">
        <v>0</v>
      </c>
      <c r="AM215" s="0" t="n">
        <v>0</v>
      </c>
    </row>
    <row r="216" customFormat="false" ht="12.75" hidden="false" customHeight="false" outlineLevel="0" collapsed="false">
      <c r="A216" s="0" t="s">
        <v>621</v>
      </c>
      <c r="B216" s="0" t="str">
        <f aca="false">'Basis Options'!C221</f>
        <v>NJ0240.1</v>
      </c>
      <c r="C216" s="0" t="s">
        <v>622</v>
      </c>
      <c r="D216" s="0" t="s">
        <v>623</v>
      </c>
      <c r="E216" s="0" t="s">
        <v>131</v>
      </c>
      <c r="F216" s="0" t="str">
        <f aca="false">'Basis Options'!A221</f>
        <v>CMSMARSERTRA</v>
      </c>
      <c r="G216" s="0" t="s">
        <v>628</v>
      </c>
      <c r="H216" s="0" t="s">
        <v>625</v>
      </c>
      <c r="I216" s="0" t="s">
        <v>626</v>
      </c>
      <c r="J216" s="0" t="s">
        <v>627</v>
      </c>
      <c r="K216" s="475" t="n">
        <f aca="false">'Basis Options'!G221</f>
        <v>36861</v>
      </c>
      <c r="L216" s="254" t="e">
        <f aca="false">'Basis Options'!U221</f>
        <v>#NAME?</v>
      </c>
      <c r="M216" s="475" t="n">
        <f aca="false">'Basis Options'!Q221</f>
        <v>36859</v>
      </c>
      <c r="N216" s="0" t="str">
        <f aca="false">'Basis Options'!F221</f>
        <v>C</v>
      </c>
      <c r="O216" s="0" t="n">
        <f aca="false">'Basis Options'!I221</f>
        <v>1.6</v>
      </c>
      <c r="P216" s="0" t="n">
        <v>0</v>
      </c>
      <c r="Q216" s="0" t="n">
        <v>0</v>
      </c>
      <c r="R216" s="0" t="n">
        <v>0</v>
      </c>
      <c r="S216" s="0" t="n">
        <v>0</v>
      </c>
      <c r="T216" s="0" t="s">
        <v>624</v>
      </c>
      <c r="U216" s="0" t="str">
        <f aca="false">IF('Basis Options'!D221="NGI/CHI. GATE","""NGI/CHI. GATE""",TRIM('Basis Options'!D221))</f>
        <v>IF-TRANSCO/Z6</v>
      </c>
      <c r="V216" s="0" t="s">
        <v>624</v>
      </c>
      <c r="W216" s="0" t="s">
        <v>569</v>
      </c>
      <c r="X216" s="0" t="s">
        <v>624</v>
      </c>
      <c r="Y216" s="0" t="s">
        <v>627</v>
      </c>
      <c r="Z216" s="0" t="s">
        <v>629</v>
      </c>
      <c r="AA216" s="0" t="s">
        <v>624</v>
      </c>
      <c r="AB216" s="0" t="s">
        <v>132</v>
      </c>
      <c r="AC216" s="254" t="n">
        <f aca="false">'Basis Options'!H221</f>
        <v>-310000</v>
      </c>
      <c r="AD216" s="254" t="e">
        <f aca="false">'Basis Options'!W221</f>
        <v>#NAME?</v>
      </c>
      <c r="AE216" s="0" t="n">
        <v>0</v>
      </c>
      <c r="AF216" s="0" t="n">
        <v>0</v>
      </c>
      <c r="AG216" s="0" t="n">
        <v>0</v>
      </c>
      <c r="AH216" s="254" t="e">
        <f aca="false">'Basis Options'!CD221</f>
        <v>#NAME?</v>
      </c>
      <c r="AI216" s="0" t="n">
        <v>226</v>
      </c>
      <c r="AJ216" s="0" t="s">
        <v>630</v>
      </c>
      <c r="AK216" s="0" t="n">
        <v>0</v>
      </c>
      <c r="AL216" s="0" t="n">
        <v>0</v>
      </c>
      <c r="AM216" s="0" t="n">
        <v>0</v>
      </c>
    </row>
    <row r="217" customFormat="false" ht="12.75" hidden="false" customHeight="false" outlineLevel="0" collapsed="false">
      <c r="A217" s="0" t="s">
        <v>621</v>
      </c>
      <c r="B217" s="0" t="str">
        <f aca="false">'Basis Options'!C222</f>
        <v>NJ0240.1</v>
      </c>
      <c r="C217" s="0" t="s">
        <v>622</v>
      </c>
      <c r="D217" s="0" t="s">
        <v>623</v>
      </c>
      <c r="E217" s="0" t="s">
        <v>131</v>
      </c>
      <c r="F217" s="0" t="str">
        <f aca="false">'Basis Options'!A222</f>
        <v>CMSMARSERTRA</v>
      </c>
      <c r="G217" s="0" t="s">
        <v>628</v>
      </c>
      <c r="H217" s="0" t="s">
        <v>625</v>
      </c>
      <c r="I217" s="0" t="s">
        <v>626</v>
      </c>
      <c r="J217" s="0" t="s">
        <v>627</v>
      </c>
      <c r="K217" s="475" t="n">
        <f aca="false">'Basis Options'!G222</f>
        <v>36831</v>
      </c>
      <c r="L217" s="254" t="e">
        <f aca="false">'Basis Options'!U222</f>
        <v>#NAME?</v>
      </c>
      <c r="M217" s="475" t="n">
        <f aca="false">'Basis Options'!Q222</f>
        <v>36829</v>
      </c>
      <c r="N217" s="0" t="str">
        <f aca="false">'Basis Options'!F222</f>
        <v>C</v>
      </c>
      <c r="O217" s="0" t="n">
        <f aca="false">'Basis Options'!I222</f>
        <v>1.6</v>
      </c>
      <c r="P217" s="0" t="n">
        <v>0</v>
      </c>
      <c r="Q217" s="0" t="n">
        <v>0</v>
      </c>
      <c r="R217" s="0" t="n">
        <v>0</v>
      </c>
      <c r="S217" s="0" t="n">
        <v>0</v>
      </c>
      <c r="T217" s="0" t="s">
        <v>624</v>
      </c>
      <c r="U217" s="0" t="str">
        <f aca="false">IF('Basis Options'!D222="NGI/CHI. GATE","""NGI/CHI. GATE""",TRIM('Basis Options'!D222))</f>
        <v>IF-TRANSCO/Z6</v>
      </c>
      <c r="V217" s="0" t="s">
        <v>624</v>
      </c>
      <c r="W217" s="0" t="s">
        <v>569</v>
      </c>
      <c r="X217" s="0" t="s">
        <v>624</v>
      </c>
      <c r="Y217" s="0" t="s">
        <v>627</v>
      </c>
      <c r="Z217" s="0" t="s">
        <v>629</v>
      </c>
      <c r="AA217" s="0" t="s">
        <v>624</v>
      </c>
      <c r="AB217" s="0" t="s">
        <v>132</v>
      </c>
      <c r="AC217" s="254" t="n">
        <f aca="false">'Basis Options'!H222</f>
        <v>-300000</v>
      </c>
      <c r="AD217" s="254" t="e">
        <f aca="false">'Basis Options'!W222</f>
        <v>#NAME?</v>
      </c>
      <c r="AE217" s="0" t="n">
        <v>0</v>
      </c>
      <c r="AF217" s="0" t="n">
        <v>0</v>
      </c>
      <c r="AG217" s="0" t="n">
        <v>0</v>
      </c>
      <c r="AH217" s="254" t="e">
        <f aca="false">'Basis Options'!CD222</f>
        <v>#NAME?</v>
      </c>
      <c r="AI217" s="0" t="n">
        <v>226</v>
      </c>
      <c r="AJ217" s="0" t="s">
        <v>630</v>
      </c>
      <c r="AK217" s="0" t="n">
        <v>0</v>
      </c>
      <c r="AL217" s="0" t="n">
        <v>0</v>
      </c>
      <c r="AM217" s="0" t="n">
        <v>0</v>
      </c>
    </row>
    <row r="218" customFormat="false" ht="12.75" hidden="false" customHeight="false" outlineLevel="0" collapsed="false">
      <c r="A218" s="0" t="s">
        <v>621</v>
      </c>
      <c r="B218" s="0" t="str">
        <f aca="false">'Basis Options'!C223</f>
        <v>NJ0240.2</v>
      </c>
      <c r="C218" s="0" t="s">
        <v>622</v>
      </c>
      <c r="D218" s="0" t="s">
        <v>623</v>
      </c>
      <c r="E218" s="0" t="s">
        <v>131</v>
      </c>
      <c r="F218" s="0" t="str">
        <f aca="false">'Basis Options'!A223</f>
        <v>CMSMARSERTRA</v>
      </c>
      <c r="G218" s="0" t="s">
        <v>628</v>
      </c>
      <c r="H218" s="0" t="s">
        <v>625</v>
      </c>
      <c r="I218" s="0" t="s">
        <v>626</v>
      </c>
      <c r="J218" s="0" t="s">
        <v>627</v>
      </c>
      <c r="K218" s="475" t="n">
        <f aca="false">'Basis Options'!G223</f>
        <v>36951</v>
      </c>
      <c r="L218" s="254" t="e">
        <f aca="false">'Basis Options'!U223</f>
        <v>#NAME?</v>
      </c>
      <c r="M218" s="475" t="n">
        <f aca="false">'Basis Options'!Q223</f>
        <v>36949</v>
      </c>
      <c r="N218" s="0" t="str">
        <f aca="false">'Basis Options'!F223</f>
        <v>C</v>
      </c>
      <c r="O218" s="0" t="n">
        <f aca="false">'Basis Options'!I223</f>
        <v>2.1</v>
      </c>
      <c r="P218" s="0" t="n">
        <v>0</v>
      </c>
      <c r="Q218" s="0" t="n">
        <v>0</v>
      </c>
      <c r="R218" s="0" t="n">
        <v>0</v>
      </c>
      <c r="S218" s="0" t="n">
        <v>0</v>
      </c>
      <c r="T218" s="0" t="s">
        <v>624</v>
      </c>
      <c r="U218" s="0" t="str">
        <f aca="false">IF('Basis Options'!D223="NGI/CHI. GATE","""NGI/CHI. GATE""",TRIM('Basis Options'!D223))</f>
        <v>IF-TRANSCO/Z6</v>
      </c>
      <c r="V218" s="0" t="s">
        <v>624</v>
      </c>
      <c r="W218" s="0" t="s">
        <v>569</v>
      </c>
      <c r="X218" s="0" t="s">
        <v>624</v>
      </c>
      <c r="Y218" s="0" t="s">
        <v>627</v>
      </c>
      <c r="Z218" s="0" t="s">
        <v>629</v>
      </c>
      <c r="AA218" s="0" t="s">
        <v>624</v>
      </c>
      <c r="AB218" s="0" t="s">
        <v>132</v>
      </c>
      <c r="AC218" s="254" t="n">
        <f aca="false">'Basis Options'!H223</f>
        <v>310000</v>
      </c>
      <c r="AD218" s="254" t="e">
        <f aca="false">'Basis Options'!W223</f>
        <v>#NAME?</v>
      </c>
      <c r="AE218" s="0" t="n">
        <v>0</v>
      </c>
      <c r="AF218" s="0" t="n">
        <v>0</v>
      </c>
      <c r="AG218" s="0" t="n">
        <v>0</v>
      </c>
      <c r="AH218" s="254" t="e">
        <f aca="false">'Basis Options'!CD223</f>
        <v>#NAME?</v>
      </c>
      <c r="AI218" s="0" t="n">
        <v>226</v>
      </c>
      <c r="AJ218" s="0" t="s">
        <v>630</v>
      </c>
      <c r="AK218" s="0" t="n">
        <v>0</v>
      </c>
      <c r="AL218" s="0" t="n">
        <v>0</v>
      </c>
      <c r="AM218" s="0" t="n">
        <v>0</v>
      </c>
    </row>
    <row r="219" customFormat="false" ht="12.75" hidden="false" customHeight="false" outlineLevel="0" collapsed="false">
      <c r="A219" s="0" t="s">
        <v>621</v>
      </c>
      <c r="B219" s="0" t="str">
        <f aca="false">'Basis Options'!C224</f>
        <v>NJ0240.2</v>
      </c>
      <c r="C219" s="0" t="s">
        <v>622</v>
      </c>
      <c r="D219" s="0" t="s">
        <v>623</v>
      </c>
      <c r="E219" s="0" t="s">
        <v>131</v>
      </c>
      <c r="F219" s="0" t="str">
        <f aca="false">'Basis Options'!A224</f>
        <v>CMSMARSERTRA</v>
      </c>
      <c r="G219" s="0" t="s">
        <v>628</v>
      </c>
      <c r="H219" s="0" t="s">
        <v>625</v>
      </c>
      <c r="I219" s="0" t="s">
        <v>626</v>
      </c>
      <c r="J219" s="0" t="s">
        <v>627</v>
      </c>
      <c r="K219" s="475" t="n">
        <f aca="false">'Basis Options'!G224</f>
        <v>36923</v>
      </c>
      <c r="L219" s="254" t="e">
        <f aca="false">'Basis Options'!U224</f>
        <v>#NAME?</v>
      </c>
      <c r="M219" s="475" t="n">
        <f aca="false">'Basis Options'!Q224</f>
        <v>36921</v>
      </c>
      <c r="N219" s="0" t="str">
        <f aca="false">'Basis Options'!F224</f>
        <v>C</v>
      </c>
      <c r="O219" s="0" t="n">
        <f aca="false">'Basis Options'!I224</f>
        <v>2.1</v>
      </c>
      <c r="P219" s="0" t="n">
        <v>0</v>
      </c>
      <c r="Q219" s="0" t="n">
        <v>0</v>
      </c>
      <c r="R219" s="0" t="n">
        <v>0</v>
      </c>
      <c r="S219" s="0" t="n">
        <v>0</v>
      </c>
      <c r="T219" s="0" t="s">
        <v>624</v>
      </c>
      <c r="U219" s="0" t="str">
        <f aca="false">IF('Basis Options'!D224="NGI/CHI. GATE","""NGI/CHI. GATE""",TRIM('Basis Options'!D224))</f>
        <v>IF-TRANSCO/Z6</v>
      </c>
      <c r="V219" s="0" t="s">
        <v>624</v>
      </c>
      <c r="W219" s="0" t="s">
        <v>569</v>
      </c>
      <c r="X219" s="0" t="s">
        <v>624</v>
      </c>
      <c r="Y219" s="0" t="s">
        <v>627</v>
      </c>
      <c r="Z219" s="0" t="s">
        <v>629</v>
      </c>
      <c r="AA219" s="0" t="s">
        <v>624</v>
      </c>
      <c r="AB219" s="0" t="s">
        <v>132</v>
      </c>
      <c r="AC219" s="254" t="n">
        <f aca="false">'Basis Options'!H224</f>
        <v>280000</v>
      </c>
      <c r="AD219" s="254" t="e">
        <f aca="false">'Basis Options'!W224</f>
        <v>#NAME?</v>
      </c>
      <c r="AE219" s="0" t="n">
        <v>0</v>
      </c>
      <c r="AF219" s="0" t="n">
        <v>0</v>
      </c>
      <c r="AG219" s="0" t="n">
        <v>0</v>
      </c>
      <c r="AH219" s="254" t="e">
        <f aca="false">'Basis Options'!CD224</f>
        <v>#NAME?</v>
      </c>
      <c r="AI219" s="0" t="n">
        <v>226</v>
      </c>
      <c r="AJ219" s="0" t="s">
        <v>630</v>
      </c>
      <c r="AK219" s="0" t="n">
        <v>0</v>
      </c>
      <c r="AL219" s="0" t="n">
        <v>0</v>
      </c>
      <c r="AM219" s="0" t="n">
        <v>0</v>
      </c>
    </row>
    <row r="220" customFormat="false" ht="12.75" hidden="false" customHeight="false" outlineLevel="0" collapsed="false">
      <c r="A220" s="0" t="s">
        <v>621</v>
      </c>
      <c r="B220" s="0" t="str">
        <f aca="false">'Basis Options'!C225</f>
        <v>NJ0240.2</v>
      </c>
      <c r="C220" s="0" t="s">
        <v>622</v>
      </c>
      <c r="D220" s="0" t="s">
        <v>623</v>
      </c>
      <c r="E220" s="0" t="s">
        <v>131</v>
      </c>
      <c r="F220" s="0" t="str">
        <f aca="false">'Basis Options'!A225</f>
        <v>CMSMARSERTRA</v>
      </c>
      <c r="G220" s="0" t="s">
        <v>628</v>
      </c>
      <c r="H220" s="0" t="s">
        <v>625</v>
      </c>
      <c r="I220" s="0" t="s">
        <v>626</v>
      </c>
      <c r="J220" s="0" t="s">
        <v>627</v>
      </c>
      <c r="K220" s="475" t="n">
        <f aca="false">'Basis Options'!G225</f>
        <v>36892</v>
      </c>
      <c r="L220" s="254" t="e">
        <f aca="false">'Basis Options'!U225</f>
        <v>#NAME?</v>
      </c>
      <c r="M220" s="475" t="n">
        <f aca="false">'Basis Options'!Q225</f>
        <v>36888</v>
      </c>
      <c r="N220" s="0" t="str">
        <f aca="false">'Basis Options'!F225</f>
        <v>C</v>
      </c>
      <c r="O220" s="0" t="n">
        <f aca="false">'Basis Options'!I225</f>
        <v>2.1</v>
      </c>
      <c r="P220" s="0" t="n">
        <v>0</v>
      </c>
      <c r="Q220" s="0" t="n">
        <v>0</v>
      </c>
      <c r="R220" s="0" t="n">
        <v>0</v>
      </c>
      <c r="S220" s="0" t="n">
        <v>0</v>
      </c>
      <c r="T220" s="0" t="s">
        <v>624</v>
      </c>
      <c r="U220" s="0" t="str">
        <f aca="false">IF('Basis Options'!D225="NGI/CHI. GATE","""NGI/CHI. GATE""",TRIM('Basis Options'!D225))</f>
        <v>IF-TRANSCO/Z6</v>
      </c>
      <c r="V220" s="0" t="s">
        <v>624</v>
      </c>
      <c r="W220" s="0" t="s">
        <v>569</v>
      </c>
      <c r="X220" s="0" t="s">
        <v>624</v>
      </c>
      <c r="Y220" s="0" t="s">
        <v>627</v>
      </c>
      <c r="Z220" s="0" t="s">
        <v>629</v>
      </c>
      <c r="AA220" s="0" t="s">
        <v>624</v>
      </c>
      <c r="AB220" s="0" t="s">
        <v>132</v>
      </c>
      <c r="AC220" s="254" t="n">
        <f aca="false">'Basis Options'!H225</f>
        <v>310000</v>
      </c>
      <c r="AD220" s="254" t="e">
        <f aca="false">'Basis Options'!W225</f>
        <v>#NAME?</v>
      </c>
      <c r="AE220" s="0" t="n">
        <v>0</v>
      </c>
      <c r="AF220" s="0" t="n">
        <v>0</v>
      </c>
      <c r="AG220" s="0" t="n">
        <v>0</v>
      </c>
      <c r="AH220" s="254" t="e">
        <f aca="false">'Basis Options'!CD225</f>
        <v>#NAME?</v>
      </c>
      <c r="AI220" s="0" t="n">
        <v>226</v>
      </c>
      <c r="AJ220" s="0" t="s">
        <v>630</v>
      </c>
      <c r="AK220" s="0" t="n">
        <v>0</v>
      </c>
      <c r="AL220" s="0" t="n">
        <v>0</v>
      </c>
      <c r="AM220" s="0" t="n">
        <v>0</v>
      </c>
    </row>
    <row r="221" customFormat="false" ht="12.75" hidden="false" customHeight="false" outlineLevel="0" collapsed="false">
      <c r="A221" s="0" t="s">
        <v>621</v>
      </c>
      <c r="B221" s="0" t="str">
        <f aca="false">'Basis Options'!C226</f>
        <v>NJ0240.2</v>
      </c>
      <c r="C221" s="0" t="s">
        <v>622</v>
      </c>
      <c r="D221" s="0" t="s">
        <v>623</v>
      </c>
      <c r="E221" s="0" t="s">
        <v>131</v>
      </c>
      <c r="F221" s="0" t="str">
        <f aca="false">'Basis Options'!A226</f>
        <v>CMSMARSERTRA</v>
      </c>
      <c r="G221" s="0" t="s">
        <v>628</v>
      </c>
      <c r="H221" s="0" t="s">
        <v>625</v>
      </c>
      <c r="I221" s="0" t="s">
        <v>626</v>
      </c>
      <c r="J221" s="0" t="s">
        <v>627</v>
      </c>
      <c r="K221" s="475" t="n">
        <f aca="false">'Basis Options'!G226</f>
        <v>36861</v>
      </c>
      <c r="L221" s="254" t="e">
        <f aca="false">'Basis Options'!U226</f>
        <v>#NAME?</v>
      </c>
      <c r="M221" s="475" t="n">
        <f aca="false">'Basis Options'!Q226</f>
        <v>36859</v>
      </c>
      <c r="N221" s="0" t="str">
        <f aca="false">'Basis Options'!F226</f>
        <v>C</v>
      </c>
      <c r="O221" s="0" t="n">
        <f aca="false">'Basis Options'!I226</f>
        <v>2.1</v>
      </c>
      <c r="P221" s="0" t="n">
        <v>0</v>
      </c>
      <c r="Q221" s="0" t="n">
        <v>0</v>
      </c>
      <c r="R221" s="0" t="n">
        <v>0</v>
      </c>
      <c r="S221" s="0" t="n">
        <v>0</v>
      </c>
      <c r="T221" s="0" t="s">
        <v>624</v>
      </c>
      <c r="U221" s="0" t="str">
        <f aca="false">IF('Basis Options'!D226="NGI/CHI. GATE","""NGI/CHI. GATE""",TRIM('Basis Options'!D226))</f>
        <v>IF-TRANSCO/Z6</v>
      </c>
      <c r="V221" s="0" t="s">
        <v>624</v>
      </c>
      <c r="W221" s="0" t="s">
        <v>569</v>
      </c>
      <c r="X221" s="0" t="s">
        <v>624</v>
      </c>
      <c r="Y221" s="0" t="s">
        <v>627</v>
      </c>
      <c r="Z221" s="0" t="s">
        <v>629</v>
      </c>
      <c r="AA221" s="0" t="s">
        <v>624</v>
      </c>
      <c r="AB221" s="0" t="s">
        <v>132</v>
      </c>
      <c r="AC221" s="254" t="n">
        <f aca="false">'Basis Options'!H226</f>
        <v>310000</v>
      </c>
      <c r="AD221" s="254" t="e">
        <f aca="false">'Basis Options'!W226</f>
        <v>#NAME?</v>
      </c>
      <c r="AE221" s="0" t="n">
        <v>0</v>
      </c>
      <c r="AF221" s="0" t="n">
        <v>0</v>
      </c>
      <c r="AG221" s="0" t="n">
        <v>0</v>
      </c>
      <c r="AH221" s="254" t="e">
        <f aca="false">'Basis Options'!CD226</f>
        <v>#NAME?</v>
      </c>
      <c r="AI221" s="0" t="n">
        <v>226</v>
      </c>
      <c r="AJ221" s="0" t="s">
        <v>630</v>
      </c>
      <c r="AK221" s="0" t="n">
        <v>0</v>
      </c>
      <c r="AL221" s="0" t="n">
        <v>0</v>
      </c>
      <c r="AM221" s="0" t="n">
        <v>0</v>
      </c>
    </row>
    <row r="222" customFormat="false" ht="12.75" hidden="false" customHeight="false" outlineLevel="0" collapsed="false">
      <c r="A222" s="0" t="s">
        <v>621</v>
      </c>
      <c r="B222" s="0" t="str">
        <f aca="false">'Basis Options'!C227</f>
        <v>NJ0240.2</v>
      </c>
      <c r="C222" s="0" t="s">
        <v>622</v>
      </c>
      <c r="D222" s="0" t="s">
        <v>623</v>
      </c>
      <c r="E222" s="0" t="s">
        <v>131</v>
      </c>
      <c r="F222" s="0" t="str">
        <f aca="false">'Basis Options'!A227</f>
        <v>CMSMARSERTRA</v>
      </c>
      <c r="G222" s="0" t="s">
        <v>628</v>
      </c>
      <c r="H222" s="0" t="s">
        <v>625</v>
      </c>
      <c r="I222" s="0" t="s">
        <v>626</v>
      </c>
      <c r="J222" s="0" t="s">
        <v>627</v>
      </c>
      <c r="K222" s="475" t="n">
        <f aca="false">'Basis Options'!G227</f>
        <v>36831</v>
      </c>
      <c r="L222" s="254" t="e">
        <f aca="false">'Basis Options'!U227</f>
        <v>#NAME?</v>
      </c>
      <c r="M222" s="475" t="n">
        <f aca="false">'Basis Options'!Q227</f>
        <v>36829</v>
      </c>
      <c r="N222" s="0" t="str">
        <f aca="false">'Basis Options'!F227</f>
        <v>C</v>
      </c>
      <c r="O222" s="0" t="n">
        <f aca="false">'Basis Options'!I227</f>
        <v>2.1</v>
      </c>
      <c r="P222" s="0" t="n">
        <v>0</v>
      </c>
      <c r="Q222" s="0" t="n">
        <v>0</v>
      </c>
      <c r="R222" s="0" t="n">
        <v>0</v>
      </c>
      <c r="S222" s="0" t="n">
        <v>0</v>
      </c>
      <c r="T222" s="0" t="s">
        <v>624</v>
      </c>
      <c r="U222" s="0" t="str">
        <f aca="false">IF('Basis Options'!D227="NGI/CHI. GATE","""NGI/CHI. GATE""",TRIM('Basis Options'!D227))</f>
        <v>IF-TRANSCO/Z6</v>
      </c>
      <c r="V222" s="0" t="s">
        <v>624</v>
      </c>
      <c r="W222" s="0" t="s">
        <v>569</v>
      </c>
      <c r="X222" s="0" t="s">
        <v>624</v>
      </c>
      <c r="Y222" s="0" t="s">
        <v>627</v>
      </c>
      <c r="Z222" s="0" t="s">
        <v>629</v>
      </c>
      <c r="AA222" s="0" t="s">
        <v>624</v>
      </c>
      <c r="AB222" s="0" t="s">
        <v>132</v>
      </c>
      <c r="AC222" s="254" t="n">
        <f aca="false">'Basis Options'!H227</f>
        <v>300000</v>
      </c>
      <c r="AD222" s="254" t="e">
        <f aca="false">'Basis Options'!W227</f>
        <v>#NAME?</v>
      </c>
      <c r="AE222" s="0" t="n">
        <v>0</v>
      </c>
      <c r="AF222" s="0" t="n">
        <v>0</v>
      </c>
      <c r="AG222" s="0" t="n">
        <v>0</v>
      </c>
      <c r="AH222" s="254" t="e">
        <f aca="false">'Basis Options'!CD227</f>
        <v>#NAME?</v>
      </c>
      <c r="AI222" s="0" t="n">
        <v>226</v>
      </c>
      <c r="AJ222" s="0" t="s">
        <v>630</v>
      </c>
      <c r="AK222" s="0" t="n">
        <v>0</v>
      </c>
      <c r="AL222" s="0" t="n">
        <v>0</v>
      </c>
      <c r="AM222" s="0" t="n">
        <v>0</v>
      </c>
    </row>
    <row r="223" customFormat="false" ht="12.75" hidden="false" customHeight="false" outlineLevel="0" collapsed="false">
      <c r="A223" s="0" t="s">
        <v>621</v>
      </c>
      <c r="B223" s="0" t="str">
        <f aca="false">'Basis Options'!C228</f>
        <v>NJ4328</v>
      </c>
      <c r="C223" s="0" t="s">
        <v>622</v>
      </c>
      <c r="D223" s="0" t="s">
        <v>623</v>
      </c>
      <c r="E223" s="0" t="s">
        <v>131</v>
      </c>
      <c r="F223" s="0" t="str">
        <f aca="false">'Basis Options'!A228</f>
        <v>PGEENETRAGAS</v>
      </c>
      <c r="G223" s="0" t="s">
        <v>628</v>
      </c>
      <c r="H223" s="0" t="s">
        <v>625</v>
      </c>
      <c r="I223" s="0" t="s">
        <v>626</v>
      </c>
      <c r="J223" s="0" t="s">
        <v>627</v>
      </c>
      <c r="K223" s="475" t="n">
        <f aca="false">'Basis Options'!G228</f>
        <v>36892</v>
      </c>
      <c r="L223" s="254" t="e">
        <f aca="false">'Basis Options'!U228</f>
        <v>#NAME?</v>
      </c>
      <c r="M223" s="475" t="n">
        <f aca="false">'Basis Options'!Q228</f>
        <v>36888</v>
      </c>
      <c r="N223" s="0" t="str">
        <f aca="false">'Basis Options'!F228</f>
        <v>C</v>
      </c>
      <c r="O223" s="0" t="n">
        <f aca="false">'Basis Options'!I228</f>
        <v>0.15</v>
      </c>
      <c r="P223" s="0" t="n">
        <v>0</v>
      </c>
      <c r="Q223" s="0" t="n">
        <v>0</v>
      </c>
      <c r="R223" s="0" t="n">
        <v>0</v>
      </c>
      <c r="S223" s="0" t="n">
        <v>0</v>
      </c>
      <c r="T223" s="0" t="s">
        <v>624</v>
      </c>
      <c r="U223" s="0" t="str">
        <f aca="false">IF('Basis Options'!D228="NGI/CHI. GATE","""NGI/CHI. GATE""",TRIM('Basis Options'!D228))</f>
        <v>"NGI/CHI. GATE"</v>
      </c>
      <c r="V223" s="0" t="s">
        <v>624</v>
      </c>
      <c r="W223" s="0" t="s">
        <v>569</v>
      </c>
      <c r="X223" s="0" t="s">
        <v>624</v>
      </c>
      <c r="Y223" s="0" t="s">
        <v>627</v>
      </c>
      <c r="Z223" s="0" t="s">
        <v>629</v>
      </c>
      <c r="AA223" s="0" t="s">
        <v>624</v>
      </c>
      <c r="AB223" s="0" t="s">
        <v>132</v>
      </c>
      <c r="AC223" s="254" t="n">
        <f aca="false">'Basis Options'!H228</f>
        <v>465000</v>
      </c>
      <c r="AD223" s="254" t="e">
        <f aca="false">'Basis Options'!W228</f>
        <v>#NAME?</v>
      </c>
      <c r="AE223" s="0" t="n">
        <v>0</v>
      </c>
      <c r="AF223" s="0" t="n">
        <v>0</v>
      </c>
      <c r="AG223" s="0" t="n">
        <v>0</v>
      </c>
      <c r="AH223" s="254" t="e">
        <f aca="false">'Basis Options'!CD228</f>
        <v>#NAME?</v>
      </c>
      <c r="AI223" s="0" t="n">
        <v>226</v>
      </c>
      <c r="AJ223" s="0" t="s">
        <v>630</v>
      </c>
      <c r="AK223" s="0" t="n">
        <v>0</v>
      </c>
      <c r="AL223" s="0" t="n">
        <v>0</v>
      </c>
      <c r="AM223" s="0" t="n">
        <v>0</v>
      </c>
    </row>
    <row r="224" customFormat="false" ht="12.75" hidden="false" customHeight="false" outlineLevel="0" collapsed="false">
      <c r="A224" s="0" t="s">
        <v>621</v>
      </c>
      <c r="B224" s="0" t="str">
        <f aca="false">'Basis Options'!C229</f>
        <v>NJ4328</v>
      </c>
      <c r="C224" s="0" t="s">
        <v>622</v>
      </c>
      <c r="D224" s="0" t="s">
        <v>623</v>
      </c>
      <c r="E224" s="0" t="s">
        <v>131</v>
      </c>
      <c r="F224" s="0" t="str">
        <f aca="false">'Basis Options'!A229</f>
        <v>PGEENETRAGAS</v>
      </c>
      <c r="G224" s="0" t="s">
        <v>628</v>
      </c>
      <c r="H224" s="0" t="s">
        <v>625</v>
      </c>
      <c r="I224" s="0" t="s">
        <v>626</v>
      </c>
      <c r="J224" s="0" t="s">
        <v>627</v>
      </c>
      <c r="K224" s="475" t="n">
        <f aca="false">'Basis Options'!G229</f>
        <v>36861</v>
      </c>
      <c r="L224" s="254" t="e">
        <f aca="false">'Basis Options'!U229</f>
        <v>#NAME?</v>
      </c>
      <c r="M224" s="475" t="n">
        <f aca="false">'Basis Options'!Q229</f>
        <v>36859</v>
      </c>
      <c r="N224" s="0" t="str">
        <f aca="false">'Basis Options'!F229</f>
        <v>C</v>
      </c>
      <c r="O224" s="0" t="n">
        <f aca="false">'Basis Options'!I229</f>
        <v>0.15</v>
      </c>
      <c r="P224" s="0" t="n">
        <v>0</v>
      </c>
      <c r="Q224" s="0" t="n">
        <v>0</v>
      </c>
      <c r="R224" s="0" t="n">
        <v>0</v>
      </c>
      <c r="S224" s="0" t="n">
        <v>0</v>
      </c>
      <c r="T224" s="0" t="s">
        <v>624</v>
      </c>
      <c r="U224" s="0" t="str">
        <f aca="false">IF('Basis Options'!D229="NGI/CHI. GATE","""NGI/CHI. GATE""",TRIM('Basis Options'!D229))</f>
        <v>"NGI/CHI. GATE"</v>
      </c>
      <c r="V224" s="0" t="s">
        <v>624</v>
      </c>
      <c r="W224" s="0" t="s">
        <v>569</v>
      </c>
      <c r="X224" s="0" t="s">
        <v>624</v>
      </c>
      <c r="Y224" s="0" t="s">
        <v>627</v>
      </c>
      <c r="Z224" s="0" t="s">
        <v>629</v>
      </c>
      <c r="AA224" s="0" t="s">
        <v>624</v>
      </c>
      <c r="AB224" s="0" t="s">
        <v>132</v>
      </c>
      <c r="AC224" s="254" t="n">
        <f aca="false">'Basis Options'!H229</f>
        <v>465000</v>
      </c>
      <c r="AD224" s="254" t="e">
        <f aca="false">'Basis Options'!W229</f>
        <v>#NAME?</v>
      </c>
      <c r="AE224" s="0" t="n">
        <v>0</v>
      </c>
      <c r="AF224" s="0" t="n">
        <v>0</v>
      </c>
      <c r="AG224" s="0" t="n">
        <v>0</v>
      </c>
      <c r="AH224" s="254" t="e">
        <f aca="false">'Basis Options'!CD229</f>
        <v>#NAME?</v>
      </c>
      <c r="AI224" s="0" t="n">
        <v>226</v>
      </c>
      <c r="AJ224" s="0" t="s">
        <v>630</v>
      </c>
      <c r="AK224" s="0" t="n">
        <v>0</v>
      </c>
      <c r="AL224" s="0" t="n">
        <v>0</v>
      </c>
      <c r="AM224" s="0" t="n">
        <v>0</v>
      </c>
    </row>
    <row r="225" customFormat="false" ht="12.75" hidden="false" customHeight="false" outlineLevel="0" collapsed="false">
      <c r="A225" s="0" t="s">
        <v>621</v>
      </c>
      <c r="B225" s="0" t="str">
        <f aca="false">'Basis Options'!C230</f>
        <v>NJ4410</v>
      </c>
      <c r="C225" s="0" t="s">
        <v>622</v>
      </c>
      <c r="D225" s="0" t="s">
        <v>623</v>
      </c>
      <c r="E225" s="0" t="s">
        <v>131</v>
      </c>
      <c r="F225" s="0" t="str">
        <f aca="false">'Basis Options'!A230</f>
        <v>DUKEENETRA</v>
      </c>
      <c r="G225" s="0" t="s">
        <v>628</v>
      </c>
      <c r="H225" s="0" t="s">
        <v>625</v>
      </c>
      <c r="I225" s="0" t="s">
        <v>626</v>
      </c>
      <c r="J225" s="0" t="s">
        <v>627</v>
      </c>
      <c r="K225" s="475" t="n">
        <f aca="false">'Basis Options'!G230</f>
        <v>36800</v>
      </c>
      <c r="L225" s="254" t="e">
        <f aca="false">'Basis Options'!U230</f>
        <v>#NAME?</v>
      </c>
      <c r="M225" s="475" t="n">
        <f aca="false">'Basis Options'!Q230</f>
        <v>36797</v>
      </c>
      <c r="N225" s="0" t="str">
        <f aca="false">'Basis Options'!F230</f>
        <v>P</v>
      </c>
      <c r="O225" s="0" t="n">
        <f aca="false">'Basis Options'!I230</f>
        <v>0.3</v>
      </c>
      <c r="P225" s="0" t="n">
        <v>0</v>
      </c>
      <c r="Q225" s="0" t="n">
        <v>0</v>
      </c>
      <c r="R225" s="0" t="n">
        <v>0</v>
      </c>
      <c r="S225" s="0" t="n">
        <v>0</v>
      </c>
      <c r="T225" s="0" t="s">
        <v>624</v>
      </c>
      <c r="U225" s="0" t="str">
        <f aca="false">IF('Basis Options'!D230="NGI/CHI. GATE","""NGI/CHI. GATE""",TRIM('Basis Options'!D230))</f>
        <v>IF-TRANSCO/Z6</v>
      </c>
      <c r="V225" s="0" t="s">
        <v>624</v>
      </c>
      <c r="W225" s="0" t="s">
        <v>569</v>
      </c>
      <c r="X225" s="0" t="s">
        <v>624</v>
      </c>
      <c r="Y225" s="0" t="s">
        <v>627</v>
      </c>
      <c r="Z225" s="0" t="s">
        <v>629</v>
      </c>
      <c r="AA225" s="0" t="s">
        <v>624</v>
      </c>
      <c r="AB225" s="0" t="s">
        <v>132</v>
      </c>
      <c r="AC225" s="254" t="n">
        <f aca="false">'Basis Options'!H230</f>
        <v>1550000</v>
      </c>
      <c r="AD225" s="254" t="e">
        <f aca="false">'Basis Options'!W230</f>
        <v>#NAME?</v>
      </c>
      <c r="AE225" s="0" t="n">
        <v>0</v>
      </c>
      <c r="AF225" s="0" t="n">
        <v>0</v>
      </c>
      <c r="AG225" s="0" t="n">
        <v>0</v>
      </c>
      <c r="AH225" s="254" t="e">
        <f aca="false">'Basis Options'!CD230</f>
        <v>#NAME?</v>
      </c>
      <c r="AI225" s="0" t="n">
        <v>226</v>
      </c>
      <c r="AJ225" s="0" t="s">
        <v>630</v>
      </c>
      <c r="AK225" s="0" t="n">
        <v>0</v>
      </c>
      <c r="AL225" s="0" t="n">
        <v>0</v>
      </c>
      <c r="AM225" s="0" t="n">
        <v>0</v>
      </c>
    </row>
    <row r="226" customFormat="false" ht="12.75" hidden="false" customHeight="false" outlineLevel="0" collapsed="false">
      <c r="A226" s="0" t="s">
        <v>621</v>
      </c>
      <c r="B226" s="0" t="str">
        <f aca="false">'Basis Options'!C231</f>
        <v>NJ4410</v>
      </c>
      <c r="C226" s="0" t="s">
        <v>622</v>
      </c>
      <c r="D226" s="0" t="s">
        <v>623</v>
      </c>
      <c r="E226" s="0" t="s">
        <v>131</v>
      </c>
      <c r="F226" s="0" t="str">
        <f aca="false">'Basis Options'!A231</f>
        <v>DUKEENETRA</v>
      </c>
      <c r="G226" s="0" t="s">
        <v>628</v>
      </c>
      <c r="H226" s="0" t="s">
        <v>625</v>
      </c>
      <c r="I226" s="0" t="s">
        <v>626</v>
      </c>
      <c r="J226" s="0" t="s">
        <v>627</v>
      </c>
      <c r="K226" s="475" t="n">
        <f aca="false">'Basis Options'!G231</f>
        <v>36770</v>
      </c>
      <c r="L226" s="254" t="e">
        <f aca="false">'Basis Options'!U231</f>
        <v>#NAME?</v>
      </c>
      <c r="M226" s="475" t="n">
        <f aca="false">'Basis Options'!Q231</f>
        <v>36768</v>
      </c>
      <c r="N226" s="0" t="str">
        <f aca="false">'Basis Options'!F231</f>
        <v>P</v>
      </c>
      <c r="O226" s="0" t="n">
        <f aca="false">'Basis Options'!I231</f>
        <v>0.3</v>
      </c>
      <c r="P226" s="0" t="n">
        <v>0</v>
      </c>
      <c r="Q226" s="0" t="n">
        <v>0</v>
      </c>
      <c r="R226" s="0" t="n">
        <v>0</v>
      </c>
      <c r="S226" s="0" t="n">
        <v>0</v>
      </c>
      <c r="T226" s="0" t="s">
        <v>624</v>
      </c>
      <c r="U226" s="0" t="str">
        <f aca="false">IF('Basis Options'!D231="NGI/CHI. GATE","""NGI/CHI. GATE""",TRIM('Basis Options'!D231))</f>
        <v>IF-TRANSCO/Z6</v>
      </c>
      <c r="V226" s="0" t="s">
        <v>624</v>
      </c>
      <c r="W226" s="0" t="s">
        <v>569</v>
      </c>
      <c r="X226" s="0" t="s">
        <v>624</v>
      </c>
      <c r="Y226" s="0" t="s">
        <v>627</v>
      </c>
      <c r="Z226" s="0" t="s">
        <v>629</v>
      </c>
      <c r="AA226" s="0" t="s">
        <v>624</v>
      </c>
      <c r="AB226" s="0" t="s">
        <v>132</v>
      </c>
      <c r="AC226" s="254" t="n">
        <f aca="false">'Basis Options'!H231</f>
        <v>1500000</v>
      </c>
      <c r="AD226" s="254" t="e">
        <f aca="false">'Basis Options'!W231</f>
        <v>#NAME?</v>
      </c>
      <c r="AE226" s="0" t="n">
        <v>0</v>
      </c>
      <c r="AF226" s="0" t="n">
        <v>0</v>
      </c>
      <c r="AG226" s="0" t="n">
        <v>0</v>
      </c>
      <c r="AH226" s="254" t="e">
        <f aca="false">'Basis Options'!CD231</f>
        <v>#NAME?</v>
      </c>
      <c r="AI226" s="0" t="n">
        <v>226</v>
      </c>
      <c r="AJ226" s="0" t="s">
        <v>630</v>
      </c>
      <c r="AK226" s="0" t="n">
        <v>0</v>
      </c>
      <c r="AL226" s="0" t="n">
        <v>0</v>
      </c>
      <c r="AM226" s="0" t="n">
        <v>0</v>
      </c>
    </row>
    <row r="227" customFormat="false" ht="12.75" hidden="false" customHeight="false" outlineLevel="0" collapsed="false">
      <c r="A227" s="0" t="s">
        <v>621</v>
      </c>
      <c r="B227" s="0" t="str">
        <f aca="false">'Basis Options'!C232</f>
        <v>NJ7455</v>
      </c>
      <c r="C227" s="0" t="s">
        <v>622</v>
      </c>
      <c r="D227" s="0" t="s">
        <v>623</v>
      </c>
      <c r="E227" s="0" t="s">
        <v>131</v>
      </c>
      <c r="F227" s="0" t="str">
        <f aca="false">'Basis Options'!A232</f>
        <v>OCCIDENTENEMAR</v>
      </c>
      <c r="G227" s="0" t="s">
        <v>628</v>
      </c>
      <c r="H227" s="0" t="s">
        <v>625</v>
      </c>
      <c r="I227" s="0" t="s">
        <v>626</v>
      </c>
      <c r="J227" s="0" t="s">
        <v>627</v>
      </c>
      <c r="K227" s="475" t="n">
        <f aca="false">'Basis Options'!G232</f>
        <v>36951</v>
      </c>
      <c r="L227" s="254" t="e">
        <f aca="false">'Basis Options'!U232</f>
        <v>#NAME?</v>
      </c>
      <c r="M227" s="475" t="n">
        <f aca="false">'Basis Options'!Q232</f>
        <v>36949</v>
      </c>
      <c r="N227" s="0" t="str">
        <f aca="false">'Basis Options'!F232</f>
        <v>C</v>
      </c>
      <c r="O227" s="0" t="n">
        <f aca="false">'Basis Options'!I232</f>
        <v>0.15</v>
      </c>
      <c r="P227" s="0" t="n">
        <v>0</v>
      </c>
      <c r="Q227" s="0" t="n">
        <v>0</v>
      </c>
      <c r="R227" s="0" t="n">
        <v>0</v>
      </c>
      <c r="S227" s="0" t="n">
        <v>0</v>
      </c>
      <c r="T227" s="0" t="s">
        <v>624</v>
      </c>
      <c r="U227" s="0" t="str">
        <f aca="false">IF('Basis Options'!D232="NGI/CHI. GATE","""NGI/CHI. GATE""",TRIM('Basis Options'!D232))</f>
        <v>"NGI/CHI. GATE"</v>
      </c>
      <c r="V227" s="0" t="s">
        <v>624</v>
      </c>
      <c r="W227" s="0" t="s">
        <v>569</v>
      </c>
      <c r="X227" s="0" t="s">
        <v>624</v>
      </c>
      <c r="Y227" s="0" t="s">
        <v>627</v>
      </c>
      <c r="Z227" s="0" t="s">
        <v>629</v>
      </c>
      <c r="AA227" s="0" t="s">
        <v>624</v>
      </c>
      <c r="AB227" s="0" t="s">
        <v>132</v>
      </c>
      <c r="AC227" s="254" t="n">
        <f aca="false">'Basis Options'!H232</f>
        <v>310000</v>
      </c>
      <c r="AD227" s="254" t="e">
        <f aca="false">'Basis Options'!W232</f>
        <v>#NAME?</v>
      </c>
      <c r="AE227" s="0" t="n">
        <v>0</v>
      </c>
      <c r="AF227" s="0" t="n">
        <v>0</v>
      </c>
      <c r="AG227" s="0" t="n">
        <v>0</v>
      </c>
      <c r="AH227" s="254" t="e">
        <f aca="false">'Basis Options'!CD232</f>
        <v>#NAME?</v>
      </c>
      <c r="AI227" s="0" t="n">
        <v>226</v>
      </c>
      <c r="AJ227" s="0" t="s">
        <v>630</v>
      </c>
      <c r="AK227" s="0" t="n">
        <v>0</v>
      </c>
      <c r="AL227" s="0" t="n">
        <v>0</v>
      </c>
      <c r="AM227" s="0" t="n">
        <v>0</v>
      </c>
    </row>
    <row r="228" customFormat="false" ht="12.75" hidden="false" customHeight="false" outlineLevel="0" collapsed="false">
      <c r="A228" s="0" t="s">
        <v>621</v>
      </c>
      <c r="B228" s="0" t="str">
        <f aca="false">'Basis Options'!C233</f>
        <v>NJ7455</v>
      </c>
      <c r="C228" s="0" t="s">
        <v>622</v>
      </c>
      <c r="D228" s="0" t="s">
        <v>623</v>
      </c>
      <c r="E228" s="0" t="s">
        <v>131</v>
      </c>
      <c r="F228" s="0" t="str">
        <f aca="false">'Basis Options'!A233</f>
        <v>OCCIDENTENEMAR</v>
      </c>
      <c r="G228" s="0" t="s">
        <v>628</v>
      </c>
      <c r="H228" s="0" t="s">
        <v>625</v>
      </c>
      <c r="I228" s="0" t="s">
        <v>626</v>
      </c>
      <c r="J228" s="0" t="s">
        <v>627</v>
      </c>
      <c r="K228" s="475" t="n">
        <f aca="false">'Basis Options'!G233</f>
        <v>36923</v>
      </c>
      <c r="L228" s="254" t="e">
        <f aca="false">'Basis Options'!U233</f>
        <v>#NAME?</v>
      </c>
      <c r="M228" s="475" t="n">
        <f aca="false">'Basis Options'!Q233</f>
        <v>36921</v>
      </c>
      <c r="N228" s="0" t="str">
        <f aca="false">'Basis Options'!F233</f>
        <v>C</v>
      </c>
      <c r="O228" s="0" t="n">
        <f aca="false">'Basis Options'!I233</f>
        <v>0.15</v>
      </c>
      <c r="P228" s="0" t="n">
        <v>0</v>
      </c>
      <c r="Q228" s="0" t="n">
        <v>0</v>
      </c>
      <c r="R228" s="0" t="n">
        <v>0</v>
      </c>
      <c r="S228" s="0" t="n">
        <v>0</v>
      </c>
      <c r="T228" s="0" t="s">
        <v>624</v>
      </c>
      <c r="U228" s="0" t="str">
        <f aca="false">IF('Basis Options'!D233="NGI/CHI. GATE","""NGI/CHI. GATE""",TRIM('Basis Options'!D233))</f>
        <v>"NGI/CHI. GATE"</v>
      </c>
      <c r="V228" s="0" t="s">
        <v>624</v>
      </c>
      <c r="W228" s="0" t="s">
        <v>569</v>
      </c>
      <c r="X228" s="0" t="s">
        <v>624</v>
      </c>
      <c r="Y228" s="0" t="s">
        <v>627</v>
      </c>
      <c r="Z228" s="0" t="s">
        <v>629</v>
      </c>
      <c r="AA228" s="0" t="s">
        <v>624</v>
      </c>
      <c r="AB228" s="0" t="s">
        <v>132</v>
      </c>
      <c r="AC228" s="254" t="n">
        <f aca="false">'Basis Options'!H233</f>
        <v>280000</v>
      </c>
      <c r="AD228" s="254" t="e">
        <f aca="false">'Basis Options'!W233</f>
        <v>#NAME?</v>
      </c>
      <c r="AE228" s="0" t="n">
        <v>0</v>
      </c>
      <c r="AF228" s="0" t="n">
        <v>0</v>
      </c>
      <c r="AG228" s="0" t="n">
        <v>0</v>
      </c>
      <c r="AH228" s="254" t="e">
        <f aca="false">'Basis Options'!CD233</f>
        <v>#NAME?</v>
      </c>
      <c r="AI228" s="0" t="n">
        <v>226</v>
      </c>
      <c r="AJ228" s="0" t="s">
        <v>630</v>
      </c>
      <c r="AK228" s="0" t="n">
        <v>0</v>
      </c>
      <c r="AL228" s="0" t="n">
        <v>0</v>
      </c>
      <c r="AM228" s="0" t="n">
        <v>0</v>
      </c>
    </row>
    <row r="229" customFormat="false" ht="12.75" hidden="false" customHeight="false" outlineLevel="0" collapsed="false">
      <c r="A229" s="0" t="s">
        <v>621</v>
      </c>
      <c r="B229" s="0" t="str">
        <f aca="false">'Basis Options'!C234</f>
        <v>NJ7455</v>
      </c>
      <c r="C229" s="0" t="s">
        <v>622</v>
      </c>
      <c r="D229" s="0" t="s">
        <v>623</v>
      </c>
      <c r="E229" s="0" t="s">
        <v>131</v>
      </c>
      <c r="F229" s="0" t="str">
        <f aca="false">'Basis Options'!A234</f>
        <v>OCCIDENTENEMAR</v>
      </c>
      <c r="G229" s="0" t="s">
        <v>628</v>
      </c>
      <c r="H229" s="0" t="s">
        <v>625</v>
      </c>
      <c r="I229" s="0" t="s">
        <v>626</v>
      </c>
      <c r="J229" s="0" t="s">
        <v>627</v>
      </c>
      <c r="K229" s="475" t="n">
        <f aca="false">'Basis Options'!G234</f>
        <v>36892</v>
      </c>
      <c r="L229" s="254" t="e">
        <f aca="false">'Basis Options'!U234</f>
        <v>#NAME?</v>
      </c>
      <c r="M229" s="475" t="n">
        <f aca="false">'Basis Options'!Q234</f>
        <v>36888</v>
      </c>
      <c r="N229" s="0" t="str">
        <f aca="false">'Basis Options'!F234</f>
        <v>C</v>
      </c>
      <c r="O229" s="0" t="n">
        <f aca="false">'Basis Options'!I234</f>
        <v>0.15</v>
      </c>
      <c r="P229" s="0" t="n">
        <v>0</v>
      </c>
      <c r="Q229" s="0" t="n">
        <v>0</v>
      </c>
      <c r="R229" s="0" t="n">
        <v>0</v>
      </c>
      <c r="S229" s="0" t="n">
        <v>0</v>
      </c>
      <c r="T229" s="0" t="s">
        <v>624</v>
      </c>
      <c r="U229" s="0" t="str">
        <f aca="false">IF('Basis Options'!D234="NGI/CHI. GATE","""NGI/CHI. GATE""",TRIM('Basis Options'!D234))</f>
        <v>"NGI/CHI. GATE"</v>
      </c>
      <c r="V229" s="0" t="s">
        <v>624</v>
      </c>
      <c r="W229" s="0" t="s">
        <v>569</v>
      </c>
      <c r="X229" s="0" t="s">
        <v>624</v>
      </c>
      <c r="Y229" s="0" t="s">
        <v>627</v>
      </c>
      <c r="Z229" s="0" t="s">
        <v>629</v>
      </c>
      <c r="AA229" s="0" t="s">
        <v>624</v>
      </c>
      <c r="AB229" s="0" t="s">
        <v>132</v>
      </c>
      <c r="AC229" s="254" t="n">
        <f aca="false">'Basis Options'!H234</f>
        <v>310000</v>
      </c>
      <c r="AD229" s="254" t="e">
        <f aca="false">'Basis Options'!W234</f>
        <v>#NAME?</v>
      </c>
      <c r="AE229" s="0" t="n">
        <v>0</v>
      </c>
      <c r="AF229" s="0" t="n">
        <v>0</v>
      </c>
      <c r="AG229" s="0" t="n">
        <v>0</v>
      </c>
      <c r="AH229" s="254" t="e">
        <f aca="false">'Basis Options'!CD234</f>
        <v>#NAME?</v>
      </c>
      <c r="AI229" s="0" t="n">
        <v>226</v>
      </c>
      <c r="AJ229" s="0" t="s">
        <v>630</v>
      </c>
      <c r="AK229" s="0" t="n">
        <v>0</v>
      </c>
      <c r="AL229" s="0" t="n">
        <v>0</v>
      </c>
      <c r="AM229" s="0" t="n">
        <v>0</v>
      </c>
    </row>
    <row r="230" customFormat="false" ht="12.75" hidden="false" customHeight="false" outlineLevel="0" collapsed="false">
      <c r="A230" s="0" t="s">
        <v>621</v>
      </c>
      <c r="B230" s="0" t="str">
        <f aca="false">'Basis Options'!C235</f>
        <v>NJ7455</v>
      </c>
      <c r="C230" s="0" t="s">
        <v>622</v>
      </c>
      <c r="D230" s="0" t="s">
        <v>623</v>
      </c>
      <c r="E230" s="0" t="s">
        <v>131</v>
      </c>
      <c r="F230" s="0" t="str">
        <f aca="false">'Basis Options'!A235</f>
        <v>OCCIDENTENEMAR</v>
      </c>
      <c r="G230" s="0" t="s">
        <v>628</v>
      </c>
      <c r="H230" s="0" t="s">
        <v>625</v>
      </c>
      <c r="I230" s="0" t="s">
        <v>626</v>
      </c>
      <c r="J230" s="0" t="s">
        <v>627</v>
      </c>
      <c r="K230" s="475" t="n">
        <f aca="false">'Basis Options'!G235</f>
        <v>36861</v>
      </c>
      <c r="L230" s="254" t="e">
        <f aca="false">'Basis Options'!U235</f>
        <v>#NAME?</v>
      </c>
      <c r="M230" s="475" t="n">
        <f aca="false">'Basis Options'!Q235</f>
        <v>36859</v>
      </c>
      <c r="N230" s="0" t="str">
        <f aca="false">'Basis Options'!F235</f>
        <v>C</v>
      </c>
      <c r="O230" s="0" t="n">
        <f aca="false">'Basis Options'!I235</f>
        <v>0.15</v>
      </c>
      <c r="P230" s="0" t="n">
        <v>0</v>
      </c>
      <c r="Q230" s="0" t="n">
        <v>0</v>
      </c>
      <c r="R230" s="0" t="n">
        <v>0</v>
      </c>
      <c r="S230" s="0" t="n">
        <v>0</v>
      </c>
      <c r="T230" s="0" t="s">
        <v>624</v>
      </c>
      <c r="U230" s="0" t="str">
        <f aca="false">IF('Basis Options'!D235="NGI/CHI. GATE","""NGI/CHI. GATE""",TRIM('Basis Options'!D235))</f>
        <v>"NGI/CHI. GATE"</v>
      </c>
      <c r="V230" s="0" t="s">
        <v>624</v>
      </c>
      <c r="W230" s="0" t="s">
        <v>569</v>
      </c>
      <c r="X230" s="0" t="s">
        <v>624</v>
      </c>
      <c r="Y230" s="0" t="s">
        <v>627</v>
      </c>
      <c r="Z230" s="0" t="s">
        <v>629</v>
      </c>
      <c r="AA230" s="0" t="s">
        <v>624</v>
      </c>
      <c r="AB230" s="0" t="s">
        <v>132</v>
      </c>
      <c r="AC230" s="254" t="n">
        <f aca="false">'Basis Options'!H235</f>
        <v>310000</v>
      </c>
      <c r="AD230" s="254" t="e">
        <f aca="false">'Basis Options'!W235</f>
        <v>#NAME?</v>
      </c>
      <c r="AE230" s="0" t="n">
        <v>0</v>
      </c>
      <c r="AF230" s="0" t="n">
        <v>0</v>
      </c>
      <c r="AG230" s="0" t="n">
        <v>0</v>
      </c>
      <c r="AH230" s="254" t="e">
        <f aca="false">'Basis Options'!CD235</f>
        <v>#NAME?</v>
      </c>
      <c r="AI230" s="0" t="n">
        <v>226</v>
      </c>
      <c r="AJ230" s="0" t="s">
        <v>630</v>
      </c>
      <c r="AK230" s="0" t="n">
        <v>0</v>
      </c>
      <c r="AL230" s="0" t="n">
        <v>0</v>
      </c>
      <c r="AM230" s="0" t="n">
        <v>0</v>
      </c>
    </row>
    <row r="231" customFormat="false" ht="12.75" hidden="false" customHeight="false" outlineLevel="0" collapsed="false">
      <c r="A231" s="0" t="s">
        <v>621</v>
      </c>
      <c r="B231" s="0" t="str">
        <f aca="false">'Basis Options'!C236</f>
        <v>NJ7455</v>
      </c>
      <c r="C231" s="0" t="s">
        <v>622</v>
      </c>
      <c r="D231" s="0" t="s">
        <v>623</v>
      </c>
      <c r="E231" s="0" t="s">
        <v>131</v>
      </c>
      <c r="F231" s="0" t="str">
        <f aca="false">'Basis Options'!A236</f>
        <v>OCCIDENTENEMAR</v>
      </c>
      <c r="G231" s="0" t="s">
        <v>628</v>
      </c>
      <c r="H231" s="0" t="s">
        <v>625</v>
      </c>
      <c r="I231" s="0" t="s">
        <v>626</v>
      </c>
      <c r="J231" s="0" t="s">
        <v>627</v>
      </c>
      <c r="K231" s="475" t="n">
        <f aca="false">'Basis Options'!G236</f>
        <v>36831</v>
      </c>
      <c r="L231" s="254" t="e">
        <f aca="false">'Basis Options'!U236</f>
        <v>#NAME?</v>
      </c>
      <c r="M231" s="475" t="n">
        <f aca="false">'Basis Options'!Q236</f>
        <v>36829</v>
      </c>
      <c r="N231" s="0" t="str">
        <f aca="false">'Basis Options'!F236</f>
        <v>C</v>
      </c>
      <c r="O231" s="0" t="n">
        <f aca="false">'Basis Options'!I236</f>
        <v>0.15</v>
      </c>
      <c r="P231" s="0" t="n">
        <v>0</v>
      </c>
      <c r="Q231" s="0" t="n">
        <v>0</v>
      </c>
      <c r="R231" s="0" t="n">
        <v>0</v>
      </c>
      <c r="S231" s="0" t="n">
        <v>0</v>
      </c>
      <c r="T231" s="0" t="s">
        <v>624</v>
      </c>
      <c r="U231" s="0" t="str">
        <f aca="false">IF('Basis Options'!D236="NGI/CHI. GATE","""NGI/CHI. GATE""",TRIM('Basis Options'!D236))</f>
        <v>"NGI/CHI. GATE"</v>
      </c>
      <c r="V231" s="0" t="s">
        <v>624</v>
      </c>
      <c r="W231" s="0" t="s">
        <v>569</v>
      </c>
      <c r="X231" s="0" t="s">
        <v>624</v>
      </c>
      <c r="Y231" s="0" t="s">
        <v>627</v>
      </c>
      <c r="Z231" s="0" t="s">
        <v>629</v>
      </c>
      <c r="AA231" s="0" t="s">
        <v>624</v>
      </c>
      <c r="AB231" s="0" t="s">
        <v>132</v>
      </c>
      <c r="AC231" s="254" t="n">
        <f aca="false">'Basis Options'!H236</f>
        <v>300000</v>
      </c>
      <c r="AD231" s="254" t="e">
        <f aca="false">'Basis Options'!W236</f>
        <v>#NAME?</v>
      </c>
      <c r="AE231" s="0" t="n">
        <v>0</v>
      </c>
      <c r="AF231" s="0" t="n">
        <v>0</v>
      </c>
      <c r="AG231" s="0" t="n">
        <v>0</v>
      </c>
      <c r="AH231" s="254" t="e">
        <f aca="false">'Basis Options'!CD236</f>
        <v>#NAME?</v>
      </c>
      <c r="AI231" s="0" t="n">
        <v>226</v>
      </c>
      <c r="AJ231" s="0" t="s">
        <v>630</v>
      </c>
      <c r="AK231" s="0" t="n">
        <v>0</v>
      </c>
      <c r="AL231" s="0" t="n">
        <v>0</v>
      </c>
      <c r="AM231" s="0" t="n">
        <v>0</v>
      </c>
    </row>
    <row r="232" customFormat="false" ht="12.75" hidden="false" customHeight="false" outlineLevel="0" collapsed="false">
      <c r="A232" s="0" t="s">
        <v>621</v>
      </c>
      <c r="B232" s="0" t="str">
        <f aca="false">'Basis Options'!C237</f>
        <v>NK0151</v>
      </c>
      <c r="C232" s="0" t="s">
        <v>622</v>
      </c>
      <c r="D232" s="0" t="s">
        <v>623</v>
      </c>
      <c r="E232" s="0" t="s">
        <v>131</v>
      </c>
      <c r="F232" s="0" t="str">
        <f aca="false">'Basis Options'!A237</f>
        <v>TRACTEBEENEMAR</v>
      </c>
      <c r="G232" s="0" t="s">
        <v>628</v>
      </c>
      <c r="H232" s="0" t="s">
        <v>625</v>
      </c>
      <c r="I232" s="0" t="s">
        <v>626</v>
      </c>
      <c r="J232" s="0" t="s">
        <v>627</v>
      </c>
      <c r="K232" s="475" t="n">
        <f aca="false">'Basis Options'!G237</f>
        <v>36951</v>
      </c>
      <c r="L232" s="254" t="e">
        <f aca="false">'Basis Options'!U237</f>
        <v>#NAME?</v>
      </c>
      <c r="M232" s="475" t="n">
        <f aca="false">'Basis Options'!Q237</f>
        <v>36949</v>
      </c>
      <c r="N232" s="0" t="str">
        <f aca="false">'Basis Options'!F237</f>
        <v>C</v>
      </c>
      <c r="O232" s="0" t="n">
        <f aca="false">'Basis Options'!I237</f>
        <v>0.15</v>
      </c>
      <c r="P232" s="0" t="n">
        <v>0</v>
      </c>
      <c r="Q232" s="0" t="n">
        <v>0</v>
      </c>
      <c r="R232" s="0" t="n">
        <v>0</v>
      </c>
      <c r="S232" s="0" t="n">
        <v>0</v>
      </c>
      <c r="T232" s="0" t="s">
        <v>624</v>
      </c>
      <c r="U232" s="0" t="str">
        <f aca="false">IF('Basis Options'!D237="NGI/CHI. GATE","""NGI/CHI. GATE""",TRIM('Basis Options'!D237))</f>
        <v>"NGI/CHI. GATE"</v>
      </c>
      <c r="V232" s="0" t="s">
        <v>624</v>
      </c>
      <c r="W232" s="0" t="s">
        <v>569</v>
      </c>
      <c r="X232" s="0" t="s">
        <v>624</v>
      </c>
      <c r="Y232" s="0" t="s">
        <v>627</v>
      </c>
      <c r="Z232" s="0" t="s">
        <v>629</v>
      </c>
      <c r="AA232" s="0" t="s">
        <v>624</v>
      </c>
      <c r="AB232" s="0" t="s">
        <v>132</v>
      </c>
      <c r="AC232" s="254" t="n">
        <f aca="false">'Basis Options'!H237</f>
        <v>310000</v>
      </c>
      <c r="AD232" s="254" t="e">
        <f aca="false">'Basis Options'!W237</f>
        <v>#NAME?</v>
      </c>
      <c r="AE232" s="0" t="n">
        <v>0</v>
      </c>
      <c r="AF232" s="0" t="n">
        <v>0</v>
      </c>
      <c r="AG232" s="0" t="n">
        <v>0</v>
      </c>
      <c r="AH232" s="254" t="e">
        <f aca="false">'Basis Options'!CD237</f>
        <v>#NAME?</v>
      </c>
      <c r="AI232" s="0" t="n">
        <v>226</v>
      </c>
      <c r="AJ232" s="0" t="s">
        <v>630</v>
      </c>
      <c r="AK232" s="0" t="n">
        <v>0</v>
      </c>
      <c r="AL232" s="0" t="n">
        <v>0</v>
      </c>
      <c r="AM232" s="0" t="n">
        <v>0</v>
      </c>
    </row>
    <row r="233" customFormat="false" ht="12.75" hidden="false" customHeight="false" outlineLevel="0" collapsed="false">
      <c r="A233" s="0" t="s">
        <v>621</v>
      </c>
      <c r="B233" s="0" t="str">
        <f aca="false">'Basis Options'!C238</f>
        <v>NK0151</v>
      </c>
      <c r="C233" s="0" t="s">
        <v>622</v>
      </c>
      <c r="D233" s="0" t="s">
        <v>623</v>
      </c>
      <c r="E233" s="0" t="s">
        <v>131</v>
      </c>
      <c r="F233" s="0" t="str">
        <f aca="false">'Basis Options'!A238</f>
        <v>TRACTEBEENEMAR</v>
      </c>
      <c r="G233" s="0" t="s">
        <v>628</v>
      </c>
      <c r="H233" s="0" t="s">
        <v>625</v>
      </c>
      <c r="I233" s="0" t="s">
        <v>626</v>
      </c>
      <c r="J233" s="0" t="s">
        <v>627</v>
      </c>
      <c r="K233" s="475" t="n">
        <f aca="false">'Basis Options'!G238</f>
        <v>36923</v>
      </c>
      <c r="L233" s="254" t="e">
        <f aca="false">'Basis Options'!U238</f>
        <v>#NAME?</v>
      </c>
      <c r="M233" s="475" t="n">
        <f aca="false">'Basis Options'!Q238</f>
        <v>36921</v>
      </c>
      <c r="N233" s="0" t="str">
        <f aca="false">'Basis Options'!F238</f>
        <v>C</v>
      </c>
      <c r="O233" s="0" t="n">
        <f aca="false">'Basis Options'!I238</f>
        <v>0.15</v>
      </c>
      <c r="P233" s="0" t="n">
        <v>0</v>
      </c>
      <c r="Q233" s="0" t="n">
        <v>0</v>
      </c>
      <c r="R233" s="0" t="n">
        <v>0</v>
      </c>
      <c r="S233" s="0" t="n">
        <v>0</v>
      </c>
      <c r="T233" s="0" t="s">
        <v>624</v>
      </c>
      <c r="U233" s="0" t="str">
        <f aca="false">IF('Basis Options'!D238="NGI/CHI. GATE","""NGI/CHI. GATE""",TRIM('Basis Options'!D238))</f>
        <v>"NGI/CHI. GATE"</v>
      </c>
      <c r="V233" s="0" t="s">
        <v>624</v>
      </c>
      <c r="W233" s="0" t="s">
        <v>569</v>
      </c>
      <c r="X233" s="0" t="s">
        <v>624</v>
      </c>
      <c r="Y233" s="0" t="s">
        <v>627</v>
      </c>
      <c r="Z233" s="0" t="s">
        <v>629</v>
      </c>
      <c r="AA233" s="0" t="s">
        <v>624</v>
      </c>
      <c r="AB233" s="0" t="s">
        <v>132</v>
      </c>
      <c r="AC233" s="254" t="n">
        <f aca="false">'Basis Options'!H238</f>
        <v>280000</v>
      </c>
      <c r="AD233" s="254" t="e">
        <f aca="false">'Basis Options'!W238</f>
        <v>#NAME?</v>
      </c>
      <c r="AE233" s="0" t="n">
        <v>0</v>
      </c>
      <c r="AF233" s="0" t="n">
        <v>0</v>
      </c>
      <c r="AG233" s="0" t="n">
        <v>0</v>
      </c>
      <c r="AH233" s="254" t="e">
        <f aca="false">'Basis Options'!CD238</f>
        <v>#NAME?</v>
      </c>
      <c r="AI233" s="0" t="n">
        <v>226</v>
      </c>
      <c r="AJ233" s="0" t="s">
        <v>630</v>
      </c>
      <c r="AK233" s="0" t="n">
        <v>0</v>
      </c>
      <c r="AL233" s="0" t="n">
        <v>0</v>
      </c>
      <c r="AM233" s="0" t="n">
        <v>0</v>
      </c>
    </row>
    <row r="234" customFormat="false" ht="12.75" hidden="false" customHeight="false" outlineLevel="0" collapsed="false">
      <c r="A234" s="0" t="s">
        <v>621</v>
      </c>
      <c r="B234" s="0" t="str">
        <f aca="false">'Basis Options'!C239</f>
        <v>NK0151</v>
      </c>
      <c r="C234" s="0" t="s">
        <v>622</v>
      </c>
      <c r="D234" s="0" t="s">
        <v>623</v>
      </c>
      <c r="E234" s="0" t="s">
        <v>131</v>
      </c>
      <c r="F234" s="0" t="str">
        <f aca="false">'Basis Options'!A239</f>
        <v>TRACTEBEENEMAR</v>
      </c>
      <c r="G234" s="0" t="s">
        <v>628</v>
      </c>
      <c r="H234" s="0" t="s">
        <v>625</v>
      </c>
      <c r="I234" s="0" t="s">
        <v>626</v>
      </c>
      <c r="J234" s="0" t="s">
        <v>627</v>
      </c>
      <c r="K234" s="475" t="n">
        <f aca="false">'Basis Options'!G239</f>
        <v>36892</v>
      </c>
      <c r="L234" s="254" t="e">
        <f aca="false">'Basis Options'!U239</f>
        <v>#NAME?</v>
      </c>
      <c r="M234" s="475" t="n">
        <f aca="false">'Basis Options'!Q239</f>
        <v>36888</v>
      </c>
      <c r="N234" s="0" t="str">
        <f aca="false">'Basis Options'!F239</f>
        <v>C</v>
      </c>
      <c r="O234" s="0" t="n">
        <f aca="false">'Basis Options'!I239</f>
        <v>0.15</v>
      </c>
      <c r="P234" s="0" t="n">
        <v>0</v>
      </c>
      <c r="Q234" s="0" t="n">
        <v>0</v>
      </c>
      <c r="R234" s="0" t="n">
        <v>0</v>
      </c>
      <c r="S234" s="0" t="n">
        <v>0</v>
      </c>
      <c r="T234" s="0" t="s">
        <v>624</v>
      </c>
      <c r="U234" s="0" t="str">
        <f aca="false">IF('Basis Options'!D239="NGI/CHI. GATE","""NGI/CHI. GATE""",TRIM('Basis Options'!D239))</f>
        <v>"NGI/CHI. GATE"</v>
      </c>
      <c r="V234" s="0" t="s">
        <v>624</v>
      </c>
      <c r="W234" s="0" t="s">
        <v>569</v>
      </c>
      <c r="X234" s="0" t="s">
        <v>624</v>
      </c>
      <c r="Y234" s="0" t="s">
        <v>627</v>
      </c>
      <c r="Z234" s="0" t="s">
        <v>629</v>
      </c>
      <c r="AA234" s="0" t="s">
        <v>624</v>
      </c>
      <c r="AB234" s="0" t="s">
        <v>132</v>
      </c>
      <c r="AC234" s="254" t="n">
        <f aca="false">'Basis Options'!H239</f>
        <v>310000</v>
      </c>
      <c r="AD234" s="254" t="e">
        <f aca="false">'Basis Options'!W239</f>
        <v>#NAME?</v>
      </c>
      <c r="AE234" s="0" t="n">
        <v>0</v>
      </c>
      <c r="AF234" s="0" t="n">
        <v>0</v>
      </c>
      <c r="AG234" s="0" t="n">
        <v>0</v>
      </c>
      <c r="AH234" s="254" t="e">
        <f aca="false">'Basis Options'!CD239</f>
        <v>#NAME?</v>
      </c>
      <c r="AI234" s="0" t="n">
        <v>226</v>
      </c>
      <c r="AJ234" s="0" t="s">
        <v>630</v>
      </c>
      <c r="AK234" s="0" t="n">
        <v>0</v>
      </c>
      <c r="AL234" s="0" t="n">
        <v>0</v>
      </c>
      <c r="AM234" s="0" t="n">
        <v>0</v>
      </c>
    </row>
    <row r="235" customFormat="false" ht="12.75" hidden="false" customHeight="false" outlineLevel="0" collapsed="false">
      <c r="A235" s="0" t="s">
        <v>621</v>
      </c>
      <c r="B235" s="0" t="str">
        <f aca="false">'Basis Options'!C240</f>
        <v>NK0151</v>
      </c>
      <c r="C235" s="0" t="s">
        <v>622</v>
      </c>
      <c r="D235" s="0" t="s">
        <v>623</v>
      </c>
      <c r="E235" s="0" t="s">
        <v>131</v>
      </c>
      <c r="F235" s="0" t="str">
        <f aca="false">'Basis Options'!A240</f>
        <v>TRACTEBEENEMAR</v>
      </c>
      <c r="G235" s="0" t="s">
        <v>628</v>
      </c>
      <c r="H235" s="0" t="s">
        <v>625</v>
      </c>
      <c r="I235" s="0" t="s">
        <v>626</v>
      </c>
      <c r="J235" s="0" t="s">
        <v>627</v>
      </c>
      <c r="K235" s="475" t="n">
        <f aca="false">'Basis Options'!G240</f>
        <v>36861</v>
      </c>
      <c r="L235" s="254" t="e">
        <f aca="false">'Basis Options'!U240</f>
        <v>#NAME?</v>
      </c>
      <c r="M235" s="475" t="n">
        <f aca="false">'Basis Options'!Q240</f>
        <v>36859</v>
      </c>
      <c r="N235" s="0" t="str">
        <f aca="false">'Basis Options'!F240</f>
        <v>C</v>
      </c>
      <c r="O235" s="0" t="n">
        <f aca="false">'Basis Options'!I240</f>
        <v>0.15</v>
      </c>
      <c r="P235" s="0" t="n">
        <v>0</v>
      </c>
      <c r="Q235" s="0" t="n">
        <v>0</v>
      </c>
      <c r="R235" s="0" t="n">
        <v>0</v>
      </c>
      <c r="S235" s="0" t="n">
        <v>0</v>
      </c>
      <c r="T235" s="0" t="s">
        <v>624</v>
      </c>
      <c r="U235" s="0" t="str">
        <f aca="false">IF('Basis Options'!D240="NGI/CHI. GATE","""NGI/CHI. GATE""",TRIM('Basis Options'!D240))</f>
        <v>"NGI/CHI. GATE"</v>
      </c>
      <c r="V235" s="0" t="s">
        <v>624</v>
      </c>
      <c r="W235" s="0" t="s">
        <v>569</v>
      </c>
      <c r="X235" s="0" t="s">
        <v>624</v>
      </c>
      <c r="Y235" s="0" t="s">
        <v>627</v>
      </c>
      <c r="Z235" s="0" t="s">
        <v>629</v>
      </c>
      <c r="AA235" s="0" t="s">
        <v>624</v>
      </c>
      <c r="AB235" s="0" t="s">
        <v>132</v>
      </c>
      <c r="AC235" s="254" t="n">
        <f aca="false">'Basis Options'!H240</f>
        <v>310000</v>
      </c>
      <c r="AD235" s="254" t="e">
        <f aca="false">'Basis Options'!W240</f>
        <v>#NAME?</v>
      </c>
      <c r="AE235" s="0" t="n">
        <v>0</v>
      </c>
      <c r="AF235" s="0" t="n">
        <v>0</v>
      </c>
      <c r="AG235" s="0" t="n">
        <v>0</v>
      </c>
      <c r="AH235" s="254" t="e">
        <f aca="false">'Basis Options'!CD240</f>
        <v>#NAME?</v>
      </c>
      <c r="AI235" s="0" t="n">
        <v>226</v>
      </c>
      <c r="AJ235" s="0" t="s">
        <v>630</v>
      </c>
      <c r="AK235" s="0" t="n">
        <v>0</v>
      </c>
      <c r="AL235" s="0" t="n">
        <v>0</v>
      </c>
      <c r="AM235" s="0" t="n">
        <v>0</v>
      </c>
    </row>
    <row r="236" customFormat="false" ht="12.75" hidden="false" customHeight="false" outlineLevel="0" collapsed="false">
      <c r="A236" s="0" t="s">
        <v>621</v>
      </c>
      <c r="B236" s="0" t="str">
        <f aca="false">'Basis Options'!C241</f>
        <v>NK0151</v>
      </c>
      <c r="C236" s="0" t="s">
        <v>622</v>
      </c>
      <c r="D236" s="0" t="s">
        <v>623</v>
      </c>
      <c r="E236" s="0" t="s">
        <v>131</v>
      </c>
      <c r="F236" s="0" t="str">
        <f aca="false">'Basis Options'!A241</f>
        <v>TRACTEBEENEMAR</v>
      </c>
      <c r="G236" s="0" t="s">
        <v>628</v>
      </c>
      <c r="H236" s="0" t="s">
        <v>625</v>
      </c>
      <c r="I236" s="0" t="s">
        <v>626</v>
      </c>
      <c r="J236" s="0" t="s">
        <v>627</v>
      </c>
      <c r="K236" s="475" t="n">
        <f aca="false">'Basis Options'!G241</f>
        <v>36831</v>
      </c>
      <c r="L236" s="254" t="e">
        <f aca="false">'Basis Options'!U241</f>
        <v>#NAME?</v>
      </c>
      <c r="M236" s="475" t="n">
        <f aca="false">'Basis Options'!Q241</f>
        <v>36829</v>
      </c>
      <c r="N236" s="0" t="str">
        <f aca="false">'Basis Options'!F241</f>
        <v>C</v>
      </c>
      <c r="O236" s="0" t="n">
        <f aca="false">'Basis Options'!I241</f>
        <v>0.15</v>
      </c>
      <c r="P236" s="0" t="n">
        <v>0</v>
      </c>
      <c r="Q236" s="0" t="n">
        <v>0</v>
      </c>
      <c r="R236" s="0" t="n">
        <v>0</v>
      </c>
      <c r="S236" s="0" t="n">
        <v>0</v>
      </c>
      <c r="T236" s="0" t="s">
        <v>624</v>
      </c>
      <c r="U236" s="0" t="str">
        <f aca="false">IF('Basis Options'!D241="NGI/CHI. GATE","""NGI/CHI. GATE""",TRIM('Basis Options'!D241))</f>
        <v>"NGI/CHI. GATE"</v>
      </c>
      <c r="V236" s="0" t="s">
        <v>624</v>
      </c>
      <c r="W236" s="0" t="s">
        <v>569</v>
      </c>
      <c r="X236" s="0" t="s">
        <v>624</v>
      </c>
      <c r="Y236" s="0" t="s">
        <v>627</v>
      </c>
      <c r="Z236" s="0" t="s">
        <v>629</v>
      </c>
      <c r="AA236" s="0" t="s">
        <v>624</v>
      </c>
      <c r="AB236" s="0" t="s">
        <v>132</v>
      </c>
      <c r="AC236" s="254" t="n">
        <f aca="false">'Basis Options'!H241</f>
        <v>300000</v>
      </c>
      <c r="AD236" s="254" t="e">
        <f aca="false">'Basis Options'!W241</f>
        <v>#NAME?</v>
      </c>
      <c r="AE236" s="0" t="n">
        <v>0</v>
      </c>
      <c r="AF236" s="0" t="n">
        <v>0</v>
      </c>
      <c r="AG236" s="0" t="n">
        <v>0</v>
      </c>
      <c r="AH236" s="254" t="e">
        <f aca="false">'Basis Options'!CD241</f>
        <v>#NAME?</v>
      </c>
      <c r="AI236" s="0" t="n">
        <v>226</v>
      </c>
      <c r="AJ236" s="0" t="s">
        <v>630</v>
      </c>
      <c r="AK236" s="0" t="n">
        <v>0</v>
      </c>
      <c r="AL236" s="0" t="n">
        <v>0</v>
      </c>
      <c r="AM236" s="0" t="n">
        <v>0</v>
      </c>
    </row>
    <row r="237" customFormat="false" ht="12.75" hidden="false" customHeight="false" outlineLevel="0" collapsed="false">
      <c r="A237" s="0" t="s">
        <v>621</v>
      </c>
      <c r="B237" s="0" t="str">
        <f aca="false">'Basis Options'!C242</f>
        <v>NK4321</v>
      </c>
      <c r="C237" s="0" t="s">
        <v>622</v>
      </c>
      <c r="D237" s="0" t="s">
        <v>623</v>
      </c>
      <c r="E237" s="0" t="s">
        <v>131</v>
      </c>
      <c r="F237" s="0" t="str">
        <f aca="false">'Basis Options'!A242</f>
        <v>AEPENESER</v>
      </c>
      <c r="G237" s="0" t="s">
        <v>628</v>
      </c>
      <c r="H237" s="0" t="s">
        <v>625</v>
      </c>
      <c r="I237" s="0" t="s">
        <v>626</v>
      </c>
      <c r="J237" s="0" t="s">
        <v>627</v>
      </c>
      <c r="K237" s="475" t="n">
        <f aca="false">'Basis Options'!G242</f>
        <v>36951</v>
      </c>
      <c r="L237" s="254" t="e">
        <f aca="false">'Basis Options'!U242</f>
        <v>#NAME?</v>
      </c>
      <c r="M237" s="475" t="n">
        <f aca="false">'Basis Options'!Q242</f>
        <v>36949</v>
      </c>
      <c r="N237" s="0" t="str">
        <f aca="false">'Basis Options'!F242</f>
        <v>P</v>
      </c>
      <c r="O237" s="0" t="n">
        <f aca="false">'Basis Options'!I242</f>
        <v>0.75</v>
      </c>
      <c r="P237" s="0" t="n">
        <v>0</v>
      </c>
      <c r="Q237" s="0" t="n">
        <v>0</v>
      </c>
      <c r="R237" s="0" t="n">
        <v>0</v>
      </c>
      <c r="S237" s="0" t="n">
        <v>0</v>
      </c>
      <c r="T237" s="0" t="s">
        <v>624</v>
      </c>
      <c r="U237" s="0" t="str">
        <f aca="false">IF('Basis Options'!D242="NGI/CHI. GATE","""NGI/CHI. GATE""",TRIM('Basis Options'!D242))</f>
        <v>IF-TRANSCO/Z6</v>
      </c>
      <c r="V237" s="0" t="s">
        <v>624</v>
      </c>
      <c r="W237" s="0" t="s">
        <v>569</v>
      </c>
      <c r="X237" s="0" t="s">
        <v>624</v>
      </c>
      <c r="Y237" s="0" t="s">
        <v>627</v>
      </c>
      <c r="Z237" s="0" t="s">
        <v>629</v>
      </c>
      <c r="AA237" s="0" t="s">
        <v>624</v>
      </c>
      <c r="AB237" s="0" t="s">
        <v>132</v>
      </c>
      <c r="AC237" s="254" t="n">
        <f aca="false">'Basis Options'!H242</f>
        <v>1000000</v>
      </c>
      <c r="AD237" s="254" t="e">
        <f aca="false">'Basis Options'!W242</f>
        <v>#NAME?</v>
      </c>
      <c r="AE237" s="0" t="n">
        <v>0</v>
      </c>
      <c r="AF237" s="0" t="n">
        <v>0</v>
      </c>
      <c r="AG237" s="0" t="n">
        <v>0</v>
      </c>
      <c r="AH237" s="254" t="e">
        <f aca="false">'Basis Options'!CD242</f>
        <v>#NAME?</v>
      </c>
      <c r="AI237" s="0" t="n">
        <v>226</v>
      </c>
      <c r="AJ237" s="0" t="s">
        <v>630</v>
      </c>
      <c r="AK237" s="0" t="n">
        <v>0</v>
      </c>
      <c r="AL237" s="0" t="n">
        <v>0</v>
      </c>
      <c r="AM237" s="0" t="n">
        <v>0</v>
      </c>
    </row>
    <row r="238" customFormat="false" ht="12.75" hidden="false" customHeight="false" outlineLevel="0" collapsed="false">
      <c r="A238" s="0" t="s">
        <v>621</v>
      </c>
      <c r="B238" s="0" t="str">
        <f aca="false">'Basis Options'!C243</f>
        <v>NK4321</v>
      </c>
      <c r="C238" s="0" t="s">
        <v>622</v>
      </c>
      <c r="D238" s="0" t="s">
        <v>623</v>
      </c>
      <c r="E238" s="0" t="s">
        <v>131</v>
      </c>
      <c r="F238" s="0" t="str">
        <f aca="false">'Basis Options'!A243</f>
        <v>AEPENESER</v>
      </c>
      <c r="G238" s="0" t="s">
        <v>628</v>
      </c>
      <c r="H238" s="0" t="s">
        <v>625</v>
      </c>
      <c r="I238" s="0" t="s">
        <v>626</v>
      </c>
      <c r="J238" s="0" t="s">
        <v>627</v>
      </c>
      <c r="K238" s="475" t="n">
        <f aca="false">'Basis Options'!G243</f>
        <v>36923</v>
      </c>
      <c r="L238" s="254" t="e">
        <f aca="false">'Basis Options'!U243</f>
        <v>#NAME?</v>
      </c>
      <c r="M238" s="475" t="n">
        <f aca="false">'Basis Options'!Q243</f>
        <v>36921</v>
      </c>
      <c r="N238" s="0" t="str">
        <f aca="false">'Basis Options'!F243</f>
        <v>P</v>
      </c>
      <c r="O238" s="0" t="n">
        <f aca="false">'Basis Options'!I243</f>
        <v>0.75</v>
      </c>
      <c r="P238" s="0" t="n">
        <v>0</v>
      </c>
      <c r="Q238" s="0" t="n">
        <v>0</v>
      </c>
      <c r="R238" s="0" t="n">
        <v>0</v>
      </c>
      <c r="S238" s="0" t="n">
        <v>0</v>
      </c>
      <c r="T238" s="0" t="s">
        <v>624</v>
      </c>
      <c r="U238" s="0" t="str">
        <f aca="false">IF('Basis Options'!D243="NGI/CHI. GATE","""NGI/CHI. GATE""",TRIM('Basis Options'!D243))</f>
        <v>IF-TRANSCO/Z6</v>
      </c>
      <c r="V238" s="0" t="s">
        <v>624</v>
      </c>
      <c r="W238" s="0" t="s">
        <v>569</v>
      </c>
      <c r="X238" s="0" t="s">
        <v>624</v>
      </c>
      <c r="Y238" s="0" t="s">
        <v>627</v>
      </c>
      <c r="Z238" s="0" t="s">
        <v>629</v>
      </c>
      <c r="AA238" s="0" t="s">
        <v>624</v>
      </c>
      <c r="AB238" s="0" t="s">
        <v>132</v>
      </c>
      <c r="AC238" s="254" t="n">
        <f aca="false">'Basis Options'!H243</f>
        <v>1000000</v>
      </c>
      <c r="AD238" s="254" t="e">
        <f aca="false">'Basis Options'!W243</f>
        <v>#NAME?</v>
      </c>
      <c r="AE238" s="0" t="n">
        <v>0</v>
      </c>
      <c r="AF238" s="0" t="n">
        <v>0</v>
      </c>
      <c r="AG238" s="0" t="n">
        <v>0</v>
      </c>
      <c r="AH238" s="254" t="e">
        <f aca="false">'Basis Options'!CD243</f>
        <v>#NAME?</v>
      </c>
      <c r="AI238" s="0" t="n">
        <v>226</v>
      </c>
      <c r="AJ238" s="0" t="s">
        <v>630</v>
      </c>
      <c r="AK238" s="0" t="n">
        <v>0</v>
      </c>
      <c r="AL238" s="0" t="n">
        <v>0</v>
      </c>
      <c r="AM238" s="0" t="n">
        <v>0</v>
      </c>
    </row>
    <row r="239" customFormat="false" ht="12.75" hidden="false" customHeight="false" outlineLevel="0" collapsed="false">
      <c r="A239" s="0" t="s">
        <v>621</v>
      </c>
      <c r="B239" s="0" t="str">
        <f aca="false">'Basis Options'!C244</f>
        <v>NK4321</v>
      </c>
      <c r="C239" s="0" t="s">
        <v>622</v>
      </c>
      <c r="D239" s="0" t="s">
        <v>623</v>
      </c>
      <c r="E239" s="0" t="s">
        <v>131</v>
      </c>
      <c r="F239" s="0" t="str">
        <f aca="false">'Basis Options'!A244</f>
        <v>AEPENESER</v>
      </c>
      <c r="G239" s="0" t="s">
        <v>628</v>
      </c>
      <c r="H239" s="0" t="s">
        <v>625</v>
      </c>
      <c r="I239" s="0" t="s">
        <v>626</v>
      </c>
      <c r="J239" s="0" t="s">
        <v>627</v>
      </c>
      <c r="K239" s="475" t="n">
        <f aca="false">'Basis Options'!G244</f>
        <v>36892</v>
      </c>
      <c r="L239" s="254" t="e">
        <f aca="false">'Basis Options'!U244</f>
        <v>#NAME?</v>
      </c>
      <c r="M239" s="475" t="n">
        <f aca="false">'Basis Options'!Q244</f>
        <v>36888</v>
      </c>
      <c r="N239" s="0" t="str">
        <f aca="false">'Basis Options'!F244</f>
        <v>P</v>
      </c>
      <c r="O239" s="0" t="n">
        <f aca="false">'Basis Options'!I244</f>
        <v>0.75</v>
      </c>
      <c r="P239" s="0" t="n">
        <v>0</v>
      </c>
      <c r="Q239" s="0" t="n">
        <v>0</v>
      </c>
      <c r="R239" s="0" t="n">
        <v>0</v>
      </c>
      <c r="S239" s="0" t="n">
        <v>0</v>
      </c>
      <c r="T239" s="0" t="s">
        <v>624</v>
      </c>
      <c r="U239" s="0" t="str">
        <f aca="false">IF('Basis Options'!D244="NGI/CHI. GATE","""NGI/CHI. GATE""",TRIM('Basis Options'!D244))</f>
        <v>IF-TRANSCO/Z6</v>
      </c>
      <c r="V239" s="0" t="s">
        <v>624</v>
      </c>
      <c r="W239" s="0" t="s">
        <v>569</v>
      </c>
      <c r="X239" s="0" t="s">
        <v>624</v>
      </c>
      <c r="Y239" s="0" t="s">
        <v>627</v>
      </c>
      <c r="Z239" s="0" t="s">
        <v>629</v>
      </c>
      <c r="AA239" s="0" t="s">
        <v>624</v>
      </c>
      <c r="AB239" s="0" t="s">
        <v>132</v>
      </c>
      <c r="AC239" s="254" t="n">
        <f aca="false">'Basis Options'!H244</f>
        <v>1000000</v>
      </c>
      <c r="AD239" s="254" t="e">
        <f aca="false">'Basis Options'!W244</f>
        <v>#NAME?</v>
      </c>
      <c r="AE239" s="0" t="n">
        <v>0</v>
      </c>
      <c r="AF239" s="0" t="n">
        <v>0</v>
      </c>
      <c r="AG239" s="0" t="n">
        <v>0</v>
      </c>
      <c r="AH239" s="254" t="e">
        <f aca="false">'Basis Options'!CD244</f>
        <v>#NAME?</v>
      </c>
      <c r="AI239" s="0" t="n">
        <v>226</v>
      </c>
      <c r="AJ239" s="0" t="s">
        <v>630</v>
      </c>
      <c r="AK239" s="0" t="n">
        <v>0</v>
      </c>
      <c r="AL239" s="0" t="n">
        <v>0</v>
      </c>
      <c r="AM239" s="0" t="n">
        <v>0</v>
      </c>
    </row>
    <row r="240" customFormat="false" ht="12.75" hidden="false" customHeight="false" outlineLevel="0" collapsed="false">
      <c r="A240" s="0" t="s">
        <v>621</v>
      </c>
      <c r="B240" s="0" t="str">
        <f aca="false">'Basis Options'!C245</f>
        <v>NK4321</v>
      </c>
      <c r="C240" s="0" t="s">
        <v>622</v>
      </c>
      <c r="D240" s="0" t="s">
        <v>623</v>
      </c>
      <c r="E240" s="0" t="s">
        <v>131</v>
      </c>
      <c r="F240" s="0" t="str">
        <f aca="false">'Basis Options'!A245</f>
        <v>AEPENESER</v>
      </c>
      <c r="G240" s="0" t="s">
        <v>628</v>
      </c>
      <c r="H240" s="0" t="s">
        <v>625</v>
      </c>
      <c r="I240" s="0" t="s">
        <v>626</v>
      </c>
      <c r="J240" s="0" t="s">
        <v>627</v>
      </c>
      <c r="K240" s="475" t="n">
        <f aca="false">'Basis Options'!G245</f>
        <v>36861</v>
      </c>
      <c r="L240" s="254" t="e">
        <f aca="false">'Basis Options'!U245</f>
        <v>#NAME?</v>
      </c>
      <c r="M240" s="475" t="n">
        <f aca="false">'Basis Options'!Q245</f>
        <v>36859</v>
      </c>
      <c r="N240" s="0" t="str">
        <f aca="false">'Basis Options'!F245</f>
        <v>P</v>
      </c>
      <c r="O240" s="0" t="n">
        <f aca="false">'Basis Options'!I245</f>
        <v>0.75</v>
      </c>
      <c r="P240" s="0" t="n">
        <v>0</v>
      </c>
      <c r="Q240" s="0" t="n">
        <v>0</v>
      </c>
      <c r="R240" s="0" t="n">
        <v>0</v>
      </c>
      <c r="S240" s="0" t="n">
        <v>0</v>
      </c>
      <c r="T240" s="0" t="s">
        <v>624</v>
      </c>
      <c r="U240" s="0" t="str">
        <f aca="false">IF('Basis Options'!D245="NGI/CHI. GATE","""NGI/CHI. GATE""",TRIM('Basis Options'!D245))</f>
        <v>IF-TRANSCO/Z6</v>
      </c>
      <c r="V240" s="0" t="s">
        <v>624</v>
      </c>
      <c r="W240" s="0" t="s">
        <v>569</v>
      </c>
      <c r="X240" s="0" t="s">
        <v>624</v>
      </c>
      <c r="Y240" s="0" t="s">
        <v>627</v>
      </c>
      <c r="Z240" s="0" t="s">
        <v>629</v>
      </c>
      <c r="AA240" s="0" t="s">
        <v>624</v>
      </c>
      <c r="AB240" s="0" t="s">
        <v>132</v>
      </c>
      <c r="AC240" s="254" t="n">
        <f aca="false">'Basis Options'!H245</f>
        <v>1000000</v>
      </c>
      <c r="AD240" s="254" t="e">
        <f aca="false">'Basis Options'!W245</f>
        <v>#NAME?</v>
      </c>
      <c r="AE240" s="0" t="n">
        <v>0</v>
      </c>
      <c r="AF240" s="0" t="n">
        <v>0</v>
      </c>
      <c r="AG240" s="0" t="n">
        <v>0</v>
      </c>
      <c r="AH240" s="254" t="e">
        <f aca="false">'Basis Options'!CD245</f>
        <v>#NAME?</v>
      </c>
      <c r="AI240" s="0" t="n">
        <v>226</v>
      </c>
      <c r="AJ240" s="0" t="s">
        <v>630</v>
      </c>
      <c r="AK240" s="0" t="n">
        <v>0</v>
      </c>
      <c r="AL240" s="0" t="n">
        <v>0</v>
      </c>
      <c r="AM240" s="0" t="n">
        <v>0</v>
      </c>
    </row>
    <row r="241" customFormat="false" ht="12.75" hidden="false" customHeight="false" outlineLevel="0" collapsed="false">
      <c r="A241" s="0" t="s">
        <v>621</v>
      </c>
      <c r="B241" s="0" t="str">
        <f aca="false">'Basis Options'!C246</f>
        <v>NK4321</v>
      </c>
      <c r="C241" s="0" t="s">
        <v>622</v>
      </c>
      <c r="D241" s="0" t="s">
        <v>623</v>
      </c>
      <c r="E241" s="0" t="s">
        <v>131</v>
      </c>
      <c r="F241" s="0" t="str">
        <f aca="false">'Basis Options'!A246</f>
        <v>AEPENESER</v>
      </c>
      <c r="G241" s="0" t="s">
        <v>628</v>
      </c>
      <c r="H241" s="0" t="s">
        <v>625</v>
      </c>
      <c r="I241" s="0" t="s">
        <v>626</v>
      </c>
      <c r="J241" s="0" t="s">
        <v>627</v>
      </c>
      <c r="K241" s="475" t="n">
        <f aca="false">'Basis Options'!G246</f>
        <v>36831</v>
      </c>
      <c r="L241" s="254" t="e">
        <f aca="false">'Basis Options'!U246</f>
        <v>#NAME?</v>
      </c>
      <c r="M241" s="475" t="n">
        <f aca="false">'Basis Options'!Q246</f>
        <v>36829</v>
      </c>
      <c r="N241" s="0" t="str">
        <f aca="false">'Basis Options'!F246</f>
        <v>P</v>
      </c>
      <c r="O241" s="0" t="n">
        <f aca="false">'Basis Options'!I246</f>
        <v>0.75</v>
      </c>
      <c r="P241" s="0" t="n">
        <v>0</v>
      </c>
      <c r="Q241" s="0" t="n">
        <v>0</v>
      </c>
      <c r="R241" s="0" t="n">
        <v>0</v>
      </c>
      <c r="S241" s="0" t="n">
        <v>0</v>
      </c>
      <c r="T241" s="0" t="s">
        <v>624</v>
      </c>
      <c r="U241" s="0" t="str">
        <f aca="false">IF('Basis Options'!D246="NGI/CHI. GATE","""NGI/CHI. GATE""",TRIM('Basis Options'!D246))</f>
        <v>IF-TRANSCO/Z6</v>
      </c>
      <c r="V241" s="0" t="s">
        <v>624</v>
      </c>
      <c r="W241" s="0" t="s">
        <v>569</v>
      </c>
      <c r="X241" s="0" t="s">
        <v>624</v>
      </c>
      <c r="Y241" s="0" t="s">
        <v>627</v>
      </c>
      <c r="Z241" s="0" t="s">
        <v>629</v>
      </c>
      <c r="AA241" s="0" t="s">
        <v>624</v>
      </c>
      <c r="AB241" s="0" t="s">
        <v>132</v>
      </c>
      <c r="AC241" s="254" t="n">
        <f aca="false">'Basis Options'!H246</f>
        <v>1000000</v>
      </c>
      <c r="AD241" s="254" t="e">
        <f aca="false">'Basis Options'!W246</f>
        <v>#NAME?</v>
      </c>
      <c r="AE241" s="0" t="n">
        <v>0</v>
      </c>
      <c r="AF241" s="0" t="n">
        <v>0</v>
      </c>
      <c r="AG241" s="0" t="n">
        <v>0</v>
      </c>
      <c r="AH241" s="254" t="e">
        <f aca="false">'Basis Options'!CD246</f>
        <v>#NAME?</v>
      </c>
      <c r="AI241" s="0" t="n">
        <v>226</v>
      </c>
      <c r="AJ241" s="0" t="s">
        <v>630</v>
      </c>
      <c r="AK241" s="0" t="n">
        <v>0</v>
      </c>
      <c r="AL241" s="0" t="n">
        <v>0</v>
      </c>
      <c r="AM241" s="0" t="n">
        <v>0</v>
      </c>
    </row>
    <row r="242" customFormat="false" ht="12.75" hidden="false" customHeight="false" outlineLevel="0" collapsed="false">
      <c r="A242" s="0" t="s">
        <v>621</v>
      </c>
      <c r="B242" s="0" t="str">
        <f aca="false">'Basis Options'!C247</f>
        <v>NK4353</v>
      </c>
      <c r="C242" s="0" t="s">
        <v>622</v>
      </c>
      <c r="D242" s="0" t="s">
        <v>623</v>
      </c>
      <c r="E242" s="0" t="s">
        <v>131</v>
      </c>
      <c r="F242" s="0" t="str">
        <f aca="false">'Basis Options'!A247</f>
        <v>ELPASMER</v>
      </c>
      <c r="G242" s="0" t="s">
        <v>628</v>
      </c>
      <c r="H242" s="0" t="s">
        <v>625</v>
      </c>
      <c r="I242" s="0" t="s">
        <v>626</v>
      </c>
      <c r="J242" s="0" t="s">
        <v>627</v>
      </c>
      <c r="K242" s="475" t="n">
        <f aca="false">'Basis Options'!G247</f>
        <v>36951</v>
      </c>
      <c r="L242" s="254" t="e">
        <f aca="false">'Basis Options'!U247</f>
        <v>#NAME?</v>
      </c>
      <c r="M242" s="475" t="n">
        <f aca="false">'Basis Options'!Q247</f>
        <v>36949</v>
      </c>
      <c r="N242" s="0" t="str">
        <f aca="false">'Basis Options'!F247</f>
        <v>P</v>
      </c>
      <c r="O242" s="0" t="n">
        <f aca="false">'Basis Options'!I247</f>
        <v>1.15</v>
      </c>
      <c r="P242" s="0" t="n">
        <v>0</v>
      </c>
      <c r="Q242" s="0" t="n">
        <v>0</v>
      </c>
      <c r="R242" s="0" t="n">
        <v>0</v>
      </c>
      <c r="S242" s="0" t="n">
        <v>0</v>
      </c>
      <c r="T242" s="0" t="s">
        <v>624</v>
      </c>
      <c r="U242" s="0" t="str">
        <f aca="false">IF('Basis Options'!D247="NGI/CHI. GATE","""NGI/CHI. GATE""",TRIM('Basis Options'!D247))</f>
        <v>IF-TRANSCO/Z6</v>
      </c>
      <c r="V242" s="0" t="s">
        <v>624</v>
      </c>
      <c r="W242" s="0" t="s">
        <v>569</v>
      </c>
      <c r="X242" s="0" t="s">
        <v>624</v>
      </c>
      <c r="Y242" s="0" t="s">
        <v>627</v>
      </c>
      <c r="Z242" s="0" t="s">
        <v>629</v>
      </c>
      <c r="AA242" s="0" t="s">
        <v>624</v>
      </c>
      <c r="AB242" s="0" t="s">
        <v>132</v>
      </c>
      <c r="AC242" s="254" t="n">
        <f aca="false">'Basis Options'!H247</f>
        <v>-620000</v>
      </c>
      <c r="AD242" s="254" t="e">
        <f aca="false">'Basis Options'!W247</f>
        <v>#NAME?</v>
      </c>
      <c r="AE242" s="0" t="n">
        <v>0</v>
      </c>
      <c r="AF242" s="0" t="n">
        <v>0</v>
      </c>
      <c r="AG242" s="0" t="n">
        <v>0</v>
      </c>
      <c r="AH242" s="254" t="e">
        <f aca="false">'Basis Options'!CD247</f>
        <v>#NAME?</v>
      </c>
      <c r="AI242" s="0" t="n">
        <v>226</v>
      </c>
      <c r="AJ242" s="0" t="s">
        <v>630</v>
      </c>
      <c r="AK242" s="0" t="n">
        <v>0</v>
      </c>
      <c r="AL242" s="0" t="n">
        <v>0</v>
      </c>
      <c r="AM242" s="0" t="n">
        <v>0</v>
      </c>
    </row>
    <row r="243" customFormat="false" ht="12.75" hidden="false" customHeight="false" outlineLevel="0" collapsed="false">
      <c r="A243" s="0" t="s">
        <v>621</v>
      </c>
      <c r="B243" s="0" t="str">
        <f aca="false">'Basis Options'!C248</f>
        <v>NK4353</v>
      </c>
      <c r="C243" s="0" t="s">
        <v>622</v>
      </c>
      <c r="D243" s="0" t="s">
        <v>623</v>
      </c>
      <c r="E243" s="0" t="s">
        <v>131</v>
      </c>
      <c r="F243" s="0" t="str">
        <f aca="false">'Basis Options'!A248</f>
        <v>ELPASMER</v>
      </c>
      <c r="G243" s="0" t="s">
        <v>628</v>
      </c>
      <c r="H243" s="0" t="s">
        <v>625</v>
      </c>
      <c r="I243" s="0" t="s">
        <v>626</v>
      </c>
      <c r="J243" s="0" t="s">
        <v>627</v>
      </c>
      <c r="K243" s="475" t="n">
        <f aca="false">'Basis Options'!G248</f>
        <v>36923</v>
      </c>
      <c r="L243" s="254" t="e">
        <f aca="false">'Basis Options'!U248</f>
        <v>#NAME?</v>
      </c>
      <c r="M243" s="475" t="n">
        <f aca="false">'Basis Options'!Q248</f>
        <v>36921</v>
      </c>
      <c r="N243" s="0" t="str">
        <f aca="false">'Basis Options'!F248</f>
        <v>P</v>
      </c>
      <c r="O243" s="0" t="n">
        <f aca="false">'Basis Options'!I248</f>
        <v>1.15</v>
      </c>
      <c r="P243" s="0" t="n">
        <v>0</v>
      </c>
      <c r="Q243" s="0" t="n">
        <v>0</v>
      </c>
      <c r="R243" s="0" t="n">
        <v>0</v>
      </c>
      <c r="S243" s="0" t="n">
        <v>0</v>
      </c>
      <c r="T243" s="0" t="s">
        <v>624</v>
      </c>
      <c r="U243" s="0" t="str">
        <f aca="false">IF('Basis Options'!D248="NGI/CHI. GATE","""NGI/CHI. GATE""",TRIM('Basis Options'!D248))</f>
        <v>IF-TRANSCO/Z6</v>
      </c>
      <c r="V243" s="0" t="s">
        <v>624</v>
      </c>
      <c r="W243" s="0" t="s">
        <v>569</v>
      </c>
      <c r="X243" s="0" t="s">
        <v>624</v>
      </c>
      <c r="Y243" s="0" t="s">
        <v>627</v>
      </c>
      <c r="Z243" s="0" t="s">
        <v>629</v>
      </c>
      <c r="AA243" s="0" t="s">
        <v>624</v>
      </c>
      <c r="AB243" s="0" t="s">
        <v>132</v>
      </c>
      <c r="AC243" s="254" t="n">
        <f aca="false">'Basis Options'!H248</f>
        <v>-560000</v>
      </c>
      <c r="AD243" s="254" t="e">
        <f aca="false">'Basis Options'!W248</f>
        <v>#NAME?</v>
      </c>
      <c r="AE243" s="0" t="n">
        <v>0</v>
      </c>
      <c r="AF243" s="0" t="n">
        <v>0</v>
      </c>
      <c r="AG243" s="0" t="n">
        <v>0</v>
      </c>
      <c r="AH243" s="254" t="e">
        <f aca="false">'Basis Options'!CD248</f>
        <v>#NAME?</v>
      </c>
      <c r="AI243" s="0" t="n">
        <v>226</v>
      </c>
      <c r="AJ243" s="0" t="s">
        <v>630</v>
      </c>
      <c r="AK243" s="0" t="n">
        <v>0</v>
      </c>
      <c r="AL243" s="0" t="n">
        <v>0</v>
      </c>
      <c r="AM243" s="0" t="n">
        <v>0</v>
      </c>
    </row>
    <row r="244" customFormat="false" ht="12.75" hidden="false" customHeight="false" outlineLevel="0" collapsed="false">
      <c r="A244" s="0" t="s">
        <v>621</v>
      </c>
      <c r="B244" s="0" t="str">
        <f aca="false">'Basis Options'!C249</f>
        <v>NK4353</v>
      </c>
      <c r="C244" s="0" t="s">
        <v>622</v>
      </c>
      <c r="D244" s="0" t="s">
        <v>623</v>
      </c>
      <c r="E244" s="0" t="s">
        <v>131</v>
      </c>
      <c r="F244" s="0" t="str">
        <f aca="false">'Basis Options'!A249</f>
        <v>ELPASMER</v>
      </c>
      <c r="G244" s="0" t="s">
        <v>628</v>
      </c>
      <c r="H244" s="0" t="s">
        <v>625</v>
      </c>
      <c r="I244" s="0" t="s">
        <v>626</v>
      </c>
      <c r="J244" s="0" t="s">
        <v>627</v>
      </c>
      <c r="K244" s="475" t="n">
        <f aca="false">'Basis Options'!G249</f>
        <v>36892</v>
      </c>
      <c r="L244" s="254" t="e">
        <f aca="false">'Basis Options'!U249</f>
        <v>#NAME?</v>
      </c>
      <c r="M244" s="475" t="n">
        <f aca="false">'Basis Options'!Q249</f>
        <v>36888</v>
      </c>
      <c r="N244" s="0" t="str">
        <f aca="false">'Basis Options'!F249</f>
        <v>P</v>
      </c>
      <c r="O244" s="0" t="n">
        <f aca="false">'Basis Options'!I249</f>
        <v>1.15</v>
      </c>
      <c r="P244" s="0" t="n">
        <v>0</v>
      </c>
      <c r="Q244" s="0" t="n">
        <v>0</v>
      </c>
      <c r="R244" s="0" t="n">
        <v>0</v>
      </c>
      <c r="S244" s="0" t="n">
        <v>0</v>
      </c>
      <c r="T244" s="0" t="s">
        <v>624</v>
      </c>
      <c r="U244" s="0" t="str">
        <f aca="false">IF('Basis Options'!D249="NGI/CHI. GATE","""NGI/CHI. GATE""",TRIM('Basis Options'!D249))</f>
        <v>IF-TRANSCO/Z6</v>
      </c>
      <c r="V244" s="0" t="s">
        <v>624</v>
      </c>
      <c r="W244" s="0" t="s">
        <v>569</v>
      </c>
      <c r="X244" s="0" t="s">
        <v>624</v>
      </c>
      <c r="Y244" s="0" t="s">
        <v>627</v>
      </c>
      <c r="Z244" s="0" t="s">
        <v>629</v>
      </c>
      <c r="AA244" s="0" t="s">
        <v>624</v>
      </c>
      <c r="AB244" s="0" t="s">
        <v>132</v>
      </c>
      <c r="AC244" s="254" t="n">
        <f aca="false">'Basis Options'!H249</f>
        <v>-620000</v>
      </c>
      <c r="AD244" s="254" t="e">
        <f aca="false">'Basis Options'!W249</f>
        <v>#NAME?</v>
      </c>
      <c r="AE244" s="0" t="n">
        <v>0</v>
      </c>
      <c r="AF244" s="0" t="n">
        <v>0</v>
      </c>
      <c r="AG244" s="0" t="n">
        <v>0</v>
      </c>
      <c r="AH244" s="254" t="e">
        <f aca="false">'Basis Options'!CD249</f>
        <v>#NAME?</v>
      </c>
      <c r="AI244" s="0" t="n">
        <v>226</v>
      </c>
      <c r="AJ244" s="0" t="s">
        <v>630</v>
      </c>
      <c r="AK244" s="0" t="n">
        <v>0</v>
      </c>
      <c r="AL244" s="0" t="n">
        <v>0</v>
      </c>
      <c r="AM244" s="0" t="n">
        <v>0</v>
      </c>
    </row>
    <row r="245" customFormat="false" ht="12.75" hidden="false" customHeight="false" outlineLevel="0" collapsed="false">
      <c r="A245" s="0" t="s">
        <v>621</v>
      </c>
      <c r="B245" s="0" t="str">
        <f aca="false">'Basis Options'!C250</f>
        <v>NK4353</v>
      </c>
      <c r="C245" s="0" t="s">
        <v>622</v>
      </c>
      <c r="D245" s="0" t="s">
        <v>623</v>
      </c>
      <c r="E245" s="0" t="s">
        <v>131</v>
      </c>
      <c r="F245" s="0" t="str">
        <f aca="false">'Basis Options'!A250</f>
        <v>ELPASMER</v>
      </c>
      <c r="G245" s="0" t="s">
        <v>628</v>
      </c>
      <c r="H245" s="0" t="s">
        <v>625</v>
      </c>
      <c r="I245" s="0" t="s">
        <v>626</v>
      </c>
      <c r="J245" s="0" t="s">
        <v>627</v>
      </c>
      <c r="K245" s="475" t="n">
        <f aca="false">'Basis Options'!G250</f>
        <v>36861</v>
      </c>
      <c r="L245" s="254" t="e">
        <f aca="false">'Basis Options'!U250</f>
        <v>#NAME?</v>
      </c>
      <c r="M245" s="475" t="n">
        <f aca="false">'Basis Options'!Q250</f>
        <v>36859</v>
      </c>
      <c r="N245" s="0" t="str">
        <f aca="false">'Basis Options'!F250</f>
        <v>P</v>
      </c>
      <c r="O245" s="0" t="n">
        <f aca="false">'Basis Options'!I250</f>
        <v>1.15</v>
      </c>
      <c r="P245" s="0" t="n">
        <v>0</v>
      </c>
      <c r="Q245" s="0" t="n">
        <v>0</v>
      </c>
      <c r="R245" s="0" t="n">
        <v>0</v>
      </c>
      <c r="S245" s="0" t="n">
        <v>0</v>
      </c>
      <c r="T245" s="0" t="s">
        <v>624</v>
      </c>
      <c r="U245" s="0" t="str">
        <f aca="false">IF('Basis Options'!D250="NGI/CHI. GATE","""NGI/CHI. GATE""",TRIM('Basis Options'!D250))</f>
        <v>IF-TRANSCO/Z6</v>
      </c>
      <c r="V245" s="0" t="s">
        <v>624</v>
      </c>
      <c r="W245" s="0" t="s">
        <v>569</v>
      </c>
      <c r="X245" s="0" t="s">
        <v>624</v>
      </c>
      <c r="Y245" s="0" t="s">
        <v>627</v>
      </c>
      <c r="Z245" s="0" t="s">
        <v>629</v>
      </c>
      <c r="AA245" s="0" t="s">
        <v>624</v>
      </c>
      <c r="AB245" s="0" t="s">
        <v>132</v>
      </c>
      <c r="AC245" s="254" t="n">
        <f aca="false">'Basis Options'!H250</f>
        <v>-620000</v>
      </c>
      <c r="AD245" s="254" t="e">
        <f aca="false">'Basis Options'!W250</f>
        <v>#NAME?</v>
      </c>
      <c r="AE245" s="0" t="n">
        <v>0</v>
      </c>
      <c r="AF245" s="0" t="n">
        <v>0</v>
      </c>
      <c r="AG245" s="0" t="n">
        <v>0</v>
      </c>
      <c r="AH245" s="254" t="e">
        <f aca="false">'Basis Options'!CD250</f>
        <v>#NAME?</v>
      </c>
      <c r="AI245" s="0" t="n">
        <v>226</v>
      </c>
      <c r="AJ245" s="0" t="s">
        <v>630</v>
      </c>
      <c r="AK245" s="0" t="n">
        <v>0</v>
      </c>
      <c r="AL245" s="0" t="n">
        <v>0</v>
      </c>
      <c r="AM245" s="0" t="n">
        <v>0</v>
      </c>
    </row>
    <row r="246" customFormat="false" ht="12.75" hidden="false" customHeight="false" outlineLevel="0" collapsed="false">
      <c r="A246" s="0" t="s">
        <v>621</v>
      </c>
      <c r="B246" s="0" t="str">
        <f aca="false">'Basis Options'!C251</f>
        <v>NK4353</v>
      </c>
      <c r="C246" s="0" t="s">
        <v>622</v>
      </c>
      <c r="D246" s="0" t="s">
        <v>623</v>
      </c>
      <c r="E246" s="0" t="s">
        <v>131</v>
      </c>
      <c r="F246" s="0" t="str">
        <f aca="false">'Basis Options'!A251</f>
        <v>ELPASMER</v>
      </c>
      <c r="G246" s="0" t="s">
        <v>628</v>
      </c>
      <c r="H246" s="0" t="s">
        <v>625</v>
      </c>
      <c r="I246" s="0" t="s">
        <v>626</v>
      </c>
      <c r="J246" s="0" t="s">
        <v>627</v>
      </c>
      <c r="K246" s="475" t="n">
        <f aca="false">'Basis Options'!G251</f>
        <v>36831</v>
      </c>
      <c r="L246" s="254" t="e">
        <f aca="false">'Basis Options'!U251</f>
        <v>#NAME?</v>
      </c>
      <c r="M246" s="475" t="n">
        <f aca="false">'Basis Options'!Q251</f>
        <v>36829</v>
      </c>
      <c r="N246" s="0" t="str">
        <f aca="false">'Basis Options'!F251</f>
        <v>P</v>
      </c>
      <c r="O246" s="0" t="n">
        <f aca="false">'Basis Options'!I251</f>
        <v>1.15</v>
      </c>
      <c r="P246" s="0" t="n">
        <v>0</v>
      </c>
      <c r="Q246" s="0" t="n">
        <v>0</v>
      </c>
      <c r="R246" s="0" t="n">
        <v>0</v>
      </c>
      <c r="S246" s="0" t="n">
        <v>0</v>
      </c>
      <c r="T246" s="0" t="s">
        <v>624</v>
      </c>
      <c r="U246" s="0" t="str">
        <f aca="false">IF('Basis Options'!D251="NGI/CHI. GATE","""NGI/CHI. GATE""",TRIM('Basis Options'!D251))</f>
        <v>IF-TRANSCO/Z6</v>
      </c>
      <c r="V246" s="0" t="s">
        <v>624</v>
      </c>
      <c r="W246" s="0" t="s">
        <v>569</v>
      </c>
      <c r="X246" s="0" t="s">
        <v>624</v>
      </c>
      <c r="Y246" s="0" t="s">
        <v>627</v>
      </c>
      <c r="Z246" s="0" t="s">
        <v>629</v>
      </c>
      <c r="AA246" s="0" t="s">
        <v>624</v>
      </c>
      <c r="AB246" s="0" t="s">
        <v>132</v>
      </c>
      <c r="AC246" s="254" t="n">
        <f aca="false">'Basis Options'!H251</f>
        <v>-600000</v>
      </c>
      <c r="AD246" s="254" t="e">
        <f aca="false">'Basis Options'!W251</f>
        <v>#NAME?</v>
      </c>
      <c r="AE246" s="0" t="n">
        <v>0</v>
      </c>
      <c r="AF246" s="0" t="n">
        <v>0</v>
      </c>
      <c r="AG246" s="0" t="n">
        <v>0</v>
      </c>
      <c r="AH246" s="254" t="e">
        <f aca="false">'Basis Options'!CD251</f>
        <v>#NAME?</v>
      </c>
      <c r="AI246" s="0" t="n">
        <v>226</v>
      </c>
      <c r="AJ246" s="0" t="s">
        <v>630</v>
      </c>
      <c r="AK246" s="0" t="n">
        <v>0</v>
      </c>
      <c r="AL246" s="0" t="n">
        <v>0</v>
      </c>
      <c r="AM246" s="0" t="n">
        <v>0</v>
      </c>
    </row>
    <row r="247" customFormat="false" ht="12.75" hidden="false" customHeight="false" outlineLevel="0" collapsed="false">
      <c r="A247" s="0" t="s">
        <v>621</v>
      </c>
      <c r="B247" s="0" t="str">
        <f aca="false">'Basis Options'!C252</f>
        <v>NK4369</v>
      </c>
      <c r="C247" s="0" t="s">
        <v>622</v>
      </c>
      <c r="D247" s="0" t="s">
        <v>623</v>
      </c>
      <c r="E247" s="0" t="s">
        <v>131</v>
      </c>
      <c r="F247" s="0" t="str">
        <f aca="false">'Basis Options'!A252</f>
        <v>ELPASMER</v>
      </c>
      <c r="G247" s="0" t="s">
        <v>628</v>
      </c>
      <c r="H247" s="0" t="s">
        <v>625</v>
      </c>
      <c r="I247" s="0" t="s">
        <v>626</v>
      </c>
      <c r="J247" s="0" t="s">
        <v>627</v>
      </c>
      <c r="K247" s="475" t="n">
        <f aca="false">'Basis Options'!G252</f>
        <v>36951</v>
      </c>
      <c r="L247" s="254" t="e">
        <f aca="false">'Basis Options'!U252</f>
        <v>#NAME?</v>
      </c>
      <c r="M247" s="475" t="n">
        <f aca="false">'Basis Options'!Q252</f>
        <v>36949</v>
      </c>
      <c r="N247" s="0" t="str">
        <f aca="false">'Basis Options'!F252</f>
        <v>P</v>
      </c>
      <c r="O247" s="0" t="n">
        <f aca="false">'Basis Options'!I252</f>
        <v>1</v>
      </c>
      <c r="P247" s="0" t="n">
        <v>0</v>
      </c>
      <c r="Q247" s="0" t="n">
        <v>0</v>
      </c>
      <c r="R247" s="0" t="n">
        <v>0</v>
      </c>
      <c r="S247" s="0" t="n">
        <v>0</v>
      </c>
      <c r="T247" s="0" t="s">
        <v>624</v>
      </c>
      <c r="U247" s="0" t="str">
        <f aca="false">IF('Basis Options'!D252="NGI/CHI. GATE","""NGI/CHI. GATE""",TRIM('Basis Options'!D252))</f>
        <v>IF-TRANSCO/Z6</v>
      </c>
      <c r="V247" s="0" t="s">
        <v>624</v>
      </c>
      <c r="W247" s="0" t="s">
        <v>569</v>
      </c>
      <c r="X247" s="0" t="s">
        <v>624</v>
      </c>
      <c r="Y247" s="0" t="s">
        <v>627</v>
      </c>
      <c r="Z247" s="0" t="s">
        <v>629</v>
      </c>
      <c r="AA247" s="0" t="s">
        <v>624</v>
      </c>
      <c r="AB247" s="0" t="s">
        <v>132</v>
      </c>
      <c r="AC247" s="254" t="n">
        <f aca="false">'Basis Options'!H252</f>
        <v>-1000000</v>
      </c>
      <c r="AD247" s="254" t="e">
        <f aca="false">'Basis Options'!W252</f>
        <v>#NAME?</v>
      </c>
      <c r="AE247" s="0" t="n">
        <v>0</v>
      </c>
      <c r="AF247" s="0" t="n">
        <v>0</v>
      </c>
      <c r="AG247" s="0" t="n">
        <v>0</v>
      </c>
      <c r="AH247" s="254" t="e">
        <f aca="false">'Basis Options'!CD252</f>
        <v>#NAME?</v>
      </c>
      <c r="AI247" s="0" t="n">
        <v>226</v>
      </c>
      <c r="AJ247" s="0" t="s">
        <v>630</v>
      </c>
      <c r="AK247" s="0" t="n">
        <v>0</v>
      </c>
      <c r="AL247" s="0" t="n">
        <v>0</v>
      </c>
      <c r="AM247" s="0" t="n">
        <v>0</v>
      </c>
    </row>
    <row r="248" customFormat="false" ht="12.75" hidden="false" customHeight="false" outlineLevel="0" collapsed="false">
      <c r="A248" s="0" t="s">
        <v>621</v>
      </c>
      <c r="B248" s="0" t="str">
        <f aca="false">'Basis Options'!C253</f>
        <v>NK7690</v>
      </c>
      <c r="C248" s="0" t="s">
        <v>622</v>
      </c>
      <c r="D248" s="0" t="s">
        <v>623</v>
      </c>
      <c r="E248" s="0" t="s">
        <v>131</v>
      </c>
      <c r="F248" s="0" t="str">
        <f aca="false">'Basis Options'!A253</f>
        <v>ELPASMER</v>
      </c>
      <c r="G248" s="0" t="s">
        <v>628</v>
      </c>
      <c r="H248" s="0" t="s">
        <v>625</v>
      </c>
      <c r="I248" s="0" t="s">
        <v>626</v>
      </c>
      <c r="J248" s="0" t="s">
        <v>627</v>
      </c>
      <c r="K248" s="475" t="n">
        <f aca="false">'Basis Options'!G253</f>
        <v>36951</v>
      </c>
      <c r="L248" s="254" t="e">
        <f aca="false">'Basis Options'!U253</f>
        <v>#NAME?</v>
      </c>
      <c r="M248" s="475" t="n">
        <f aca="false">'Basis Options'!Q253</f>
        <v>36949</v>
      </c>
      <c r="N248" s="0" t="str">
        <f aca="false">'Basis Options'!F253</f>
        <v>P</v>
      </c>
      <c r="O248" s="0" t="n">
        <f aca="false">'Basis Options'!I253</f>
        <v>0.75</v>
      </c>
      <c r="P248" s="0" t="n">
        <v>0</v>
      </c>
      <c r="Q248" s="0" t="n">
        <v>0</v>
      </c>
      <c r="R248" s="0" t="n">
        <v>0</v>
      </c>
      <c r="S248" s="0" t="n">
        <v>0</v>
      </c>
      <c r="T248" s="0" t="s">
        <v>624</v>
      </c>
      <c r="U248" s="0" t="str">
        <f aca="false">IF('Basis Options'!D253="NGI/CHI. GATE","""NGI/CHI. GATE""",TRIM('Basis Options'!D253))</f>
        <v>IF-TRANSCO/Z6</v>
      </c>
      <c r="V248" s="0" t="s">
        <v>624</v>
      </c>
      <c r="W248" s="0" t="s">
        <v>569</v>
      </c>
      <c r="X248" s="0" t="s">
        <v>624</v>
      </c>
      <c r="Y248" s="0" t="s">
        <v>627</v>
      </c>
      <c r="Z248" s="0" t="s">
        <v>629</v>
      </c>
      <c r="AA248" s="0" t="s">
        <v>624</v>
      </c>
      <c r="AB248" s="0" t="s">
        <v>132</v>
      </c>
      <c r="AC248" s="254" t="n">
        <f aca="false">'Basis Options'!H253</f>
        <v>1000000</v>
      </c>
      <c r="AD248" s="254" t="e">
        <f aca="false">'Basis Options'!W253</f>
        <v>#NAME?</v>
      </c>
      <c r="AE248" s="0" t="n">
        <v>0</v>
      </c>
      <c r="AF248" s="0" t="n">
        <v>0</v>
      </c>
      <c r="AG248" s="0" t="n">
        <v>0</v>
      </c>
      <c r="AH248" s="254" t="e">
        <f aca="false">'Basis Options'!CD253</f>
        <v>#NAME?</v>
      </c>
      <c r="AI248" s="0" t="n">
        <v>226</v>
      </c>
      <c r="AJ248" s="0" t="s">
        <v>630</v>
      </c>
      <c r="AK248" s="0" t="n">
        <v>0</v>
      </c>
      <c r="AL248" s="0" t="n">
        <v>0</v>
      </c>
      <c r="AM248" s="0" t="n">
        <v>0</v>
      </c>
    </row>
    <row r="249" customFormat="false" ht="12.75" hidden="false" customHeight="false" outlineLevel="0" collapsed="false">
      <c r="A249" s="0" t="s">
        <v>621</v>
      </c>
      <c r="B249" s="0" t="str">
        <f aca="false">'Basis Options'!C254</f>
        <v>NK7690</v>
      </c>
      <c r="C249" s="0" t="s">
        <v>622</v>
      </c>
      <c r="D249" s="0" t="s">
        <v>623</v>
      </c>
      <c r="E249" s="0" t="s">
        <v>131</v>
      </c>
      <c r="F249" s="0" t="str">
        <f aca="false">'Basis Options'!A254</f>
        <v>ELPASMER</v>
      </c>
      <c r="G249" s="0" t="s">
        <v>628</v>
      </c>
      <c r="H249" s="0" t="s">
        <v>625</v>
      </c>
      <c r="I249" s="0" t="s">
        <v>626</v>
      </c>
      <c r="J249" s="0" t="s">
        <v>627</v>
      </c>
      <c r="K249" s="475" t="n">
        <f aca="false">'Basis Options'!G254</f>
        <v>36923</v>
      </c>
      <c r="L249" s="254" t="e">
        <f aca="false">'Basis Options'!U254</f>
        <v>#NAME?</v>
      </c>
      <c r="M249" s="475" t="n">
        <f aca="false">'Basis Options'!Q254</f>
        <v>36921</v>
      </c>
      <c r="N249" s="0" t="str">
        <f aca="false">'Basis Options'!F254</f>
        <v>P</v>
      </c>
      <c r="O249" s="0" t="n">
        <f aca="false">'Basis Options'!I254</f>
        <v>0.75</v>
      </c>
      <c r="P249" s="0" t="n">
        <v>0</v>
      </c>
      <c r="Q249" s="0" t="n">
        <v>0</v>
      </c>
      <c r="R249" s="0" t="n">
        <v>0</v>
      </c>
      <c r="S249" s="0" t="n">
        <v>0</v>
      </c>
      <c r="T249" s="0" t="s">
        <v>624</v>
      </c>
      <c r="U249" s="0" t="str">
        <f aca="false">IF('Basis Options'!D254="NGI/CHI. GATE","""NGI/CHI. GATE""",TRIM('Basis Options'!D254))</f>
        <v>IF-TRANSCO/Z6</v>
      </c>
      <c r="V249" s="0" t="s">
        <v>624</v>
      </c>
      <c r="W249" s="0" t="s">
        <v>569</v>
      </c>
      <c r="X249" s="0" t="s">
        <v>624</v>
      </c>
      <c r="Y249" s="0" t="s">
        <v>627</v>
      </c>
      <c r="Z249" s="0" t="s">
        <v>629</v>
      </c>
      <c r="AA249" s="0" t="s">
        <v>624</v>
      </c>
      <c r="AB249" s="0" t="s">
        <v>132</v>
      </c>
      <c r="AC249" s="254" t="n">
        <f aca="false">'Basis Options'!H254</f>
        <v>1000000</v>
      </c>
      <c r="AD249" s="254" t="e">
        <f aca="false">'Basis Options'!W254</f>
        <v>#NAME?</v>
      </c>
      <c r="AE249" s="0" t="n">
        <v>0</v>
      </c>
      <c r="AF249" s="0" t="n">
        <v>0</v>
      </c>
      <c r="AG249" s="0" t="n">
        <v>0</v>
      </c>
      <c r="AH249" s="254" t="e">
        <f aca="false">'Basis Options'!CD254</f>
        <v>#NAME?</v>
      </c>
      <c r="AI249" s="0" t="n">
        <v>226</v>
      </c>
      <c r="AJ249" s="0" t="s">
        <v>630</v>
      </c>
      <c r="AK249" s="0" t="n">
        <v>0</v>
      </c>
      <c r="AL249" s="0" t="n">
        <v>0</v>
      </c>
      <c r="AM249" s="0" t="n">
        <v>0</v>
      </c>
    </row>
    <row r="250" customFormat="false" ht="12.75" hidden="false" customHeight="false" outlineLevel="0" collapsed="false">
      <c r="A250" s="0" t="s">
        <v>621</v>
      </c>
      <c r="B250" s="0" t="str">
        <f aca="false">'Basis Options'!C255</f>
        <v>NK7690</v>
      </c>
      <c r="C250" s="0" t="s">
        <v>622</v>
      </c>
      <c r="D250" s="0" t="s">
        <v>623</v>
      </c>
      <c r="E250" s="0" t="s">
        <v>131</v>
      </c>
      <c r="F250" s="0" t="str">
        <f aca="false">'Basis Options'!A255</f>
        <v>ELPASMER</v>
      </c>
      <c r="G250" s="0" t="s">
        <v>628</v>
      </c>
      <c r="H250" s="0" t="s">
        <v>625</v>
      </c>
      <c r="I250" s="0" t="s">
        <v>626</v>
      </c>
      <c r="J250" s="0" t="s">
        <v>627</v>
      </c>
      <c r="K250" s="475" t="n">
        <f aca="false">'Basis Options'!G255</f>
        <v>36892</v>
      </c>
      <c r="L250" s="254" t="e">
        <f aca="false">'Basis Options'!U255</f>
        <v>#NAME?</v>
      </c>
      <c r="M250" s="475" t="n">
        <f aca="false">'Basis Options'!Q255</f>
        <v>36888</v>
      </c>
      <c r="N250" s="0" t="str">
        <f aca="false">'Basis Options'!F255</f>
        <v>P</v>
      </c>
      <c r="O250" s="0" t="n">
        <f aca="false">'Basis Options'!I255</f>
        <v>0.75</v>
      </c>
      <c r="P250" s="0" t="n">
        <v>0</v>
      </c>
      <c r="Q250" s="0" t="n">
        <v>0</v>
      </c>
      <c r="R250" s="0" t="n">
        <v>0</v>
      </c>
      <c r="S250" s="0" t="n">
        <v>0</v>
      </c>
      <c r="T250" s="0" t="s">
        <v>624</v>
      </c>
      <c r="U250" s="0" t="str">
        <f aca="false">IF('Basis Options'!D255="NGI/CHI. GATE","""NGI/CHI. GATE""",TRIM('Basis Options'!D255))</f>
        <v>IF-TRANSCO/Z6</v>
      </c>
      <c r="V250" s="0" t="s">
        <v>624</v>
      </c>
      <c r="W250" s="0" t="s">
        <v>569</v>
      </c>
      <c r="X250" s="0" t="s">
        <v>624</v>
      </c>
      <c r="Y250" s="0" t="s">
        <v>627</v>
      </c>
      <c r="Z250" s="0" t="s">
        <v>629</v>
      </c>
      <c r="AA250" s="0" t="s">
        <v>624</v>
      </c>
      <c r="AB250" s="0" t="s">
        <v>132</v>
      </c>
      <c r="AC250" s="254" t="n">
        <f aca="false">'Basis Options'!H255</f>
        <v>1000000</v>
      </c>
      <c r="AD250" s="254" t="e">
        <f aca="false">'Basis Options'!W255</f>
        <v>#NAME?</v>
      </c>
      <c r="AE250" s="0" t="n">
        <v>0</v>
      </c>
      <c r="AF250" s="0" t="n">
        <v>0</v>
      </c>
      <c r="AG250" s="0" t="n">
        <v>0</v>
      </c>
      <c r="AH250" s="254" t="e">
        <f aca="false">'Basis Options'!CD255</f>
        <v>#NAME?</v>
      </c>
      <c r="AI250" s="0" t="n">
        <v>226</v>
      </c>
      <c r="AJ250" s="0" t="s">
        <v>630</v>
      </c>
      <c r="AK250" s="0" t="n">
        <v>0</v>
      </c>
      <c r="AL250" s="0" t="n">
        <v>0</v>
      </c>
      <c r="AM250" s="0" t="n">
        <v>0</v>
      </c>
    </row>
    <row r="251" customFormat="false" ht="12.75" hidden="false" customHeight="false" outlineLevel="0" collapsed="false">
      <c r="A251" s="0" t="s">
        <v>621</v>
      </c>
      <c r="B251" s="0" t="str">
        <f aca="false">'Basis Options'!C256</f>
        <v>NK7690</v>
      </c>
      <c r="C251" s="0" t="s">
        <v>622</v>
      </c>
      <c r="D251" s="0" t="s">
        <v>623</v>
      </c>
      <c r="E251" s="0" t="s">
        <v>131</v>
      </c>
      <c r="F251" s="0" t="str">
        <f aca="false">'Basis Options'!A256</f>
        <v>ELPASMER</v>
      </c>
      <c r="G251" s="0" t="s">
        <v>628</v>
      </c>
      <c r="H251" s="0" t="s">
        <v>625</v>
      </c>
      <c r="I251" s="0" t="s">
        <v>626</v>
      </c>
      <c r="J251" s="0" t="s">
        <v>627</v>
      </c>
      <c r="K251" s="475" t="n">
        <f aca="false">'Basis Options'!G256</f>
        <v>36861</v>
      </c>
      <c r="L251" s="254" t="e">
        <f aca="false">'Basis Options'!U256</f>
        <v>#NAME?</v>
      </c>
      <c r="M251" s="475" t="n">
        <f aca="false">'Basis Options'!Q256</f>
        <v>36859</v>
      </c>
      <c r="N251" s="0" t="str">
        <f aca="false">'Basis Options'!F256</f>
        <v>P</v>
      </c>
      <c r="O251" s="0" t="n">
        <f aca="false">'Basis Options'!I256</f>
        <v>0.75</v>
      </c>
      <c r="P251" s="0" t="n">
        <v>0</v>
      </c>
      <c r="Q251" s="0" t="n">
        <v>0</v>
      </c>
      <c r="R251" s="0" t="n">
        <v>0</v>
      </c>
      <c r="S251" s="0" t="n">
        <v>0</v>
      </c>
      <c r="T251" s="0" t="s">
        <v>624</v>
      </c>
      <c r="U251" s="0" t="str">
        <f aca="false">IF('Basis Options'!D256="NGI/CHI. GATE","""NGI/CHI. GATE""",TRIM('Basis Options'!D256))</f>
        <v>IF-TRANSCO/Z6</v>
      </c>
      <c r="V251" s="0" t="s">
        <v>624</v>
      </c>
      <c r="W251" s="0" t="s">
        <v>569</v>
      </c>
      <c r="X251" s="0" t="s">
        <v>624</v>
      </c>
      <c r="Y251" s="0" t="s">
        <v>627</v>
      </c>
      <c r="Z251" s="0" t="s">
        <v>629</v>
      </c>
      <c r="AA251" s="0" t="s">
        <v>624</v>
      </c>
      <c r="AB251" s="0" t="s">
        <v>132</v>
      </c>
      <c r="AC251" s="254" t="n">
        <f aca="false">'Basis Options'!H256</f>
        <v>1000000</v>
      </c>
      <c r="AD251" s="254" t="e">
        <f aca="false">'Basis Options'!W256</f>
        <v>#NAME?</v>
      </c>
      <c r="AE251" s="0" t="n">
        <v>0</v>
      </c>
      <c r="AF251" s="0" t="n">
        <v>0</v>
      </c>
      <c r="AG251" s="0" t="n">
        <v>0</v>
      </c>
      <c r="AH251" s="254" t="e">
        <f aca="false">'Basis Options'!CD256</f>
        <v>#NAME?</v>
      </c>
      <c r="AI251" s="0" t="n">
        <v>226</v>
      </c>
      <c r="AJ251" s="0" t="s">
        <v>630</v>
      </c>
      <c r="AK251" s="0" t="n">
        <v>0</v>
      </c>
      <c r="AL251" s="0" t="n">
        <v>0</v>
      </c>
      <c r="AM251" s="0" t="n">
        <v>0</v>
      </c>
    </row>
    <row r="252" customFormat="false" ht="12.75" hidden="false" customHeight="false" outlineLevel="0" collapsed="false">
      <c r="A252" s="0" t="s">
        <v>621</v>
      </c>
      <c r="B252" s="0" t="str">
        <f aca="false">'Basis Options'!C257</f>
        <v>NK7690</v>
      </c>
      <c r="C252" s="0" t="s">
        <v>622</v>
      </c>
      <c r="D252" s="0" t="s">
        <v>623</v>
      </c>
      <c r="E252" s="0" t="s">
        <v>131</v>
      </c>
      <c r="F252" s="0" t="str">
        <f aca="false">'Basis Options'!A257</f>
        <v>ELPASMER</v>
      </c>
      <c r="G252" s="0" t="s">
        <v>628</v>
      </c>
      <c r="H252" s="0" t="s">
        <v>625</v>
      </c>
      <c r="I252" s="0" t="s">
        <v>626</v>
      </c>
      <c r="J252" s="0" t="s">
        <v>627</v>
      </c>
      <c r="K252" s="475" t="n">
        <f aca="false">'Basis Options'!G257</f>
        <v>36831</v>
      </c>
      <c r="L252" s="254" t="e">
        <f aca="false">'Basis Options'!U257</f>
        <v>#NAME?</v>
      </c>
      <c r="M252" s="475" t="n">
        <f aca="false">'Basis Options'!Q257</f>
        <v>36829</v>
      </c>
      <c r="N252" s="0" t="str">
        <f aca="false">'Basis Options'!F257</f>
        <v>P</v>
      </c>
      <c r="O252" s="0" t="n">
        <f aca="false">'Basis Options'!I257</f>
        <v>0.75</v>
      </c>
      <c r="P252" s="0" t="n">
        <v>0</v>
      </c>
      <c r="Q252" s="0" t="n">
        <v>0</v>
      </c>
      <c r="R252" s="0" t="n">
        <v>0</v>
      </c>
      <c r="S252" s="0" t="n">
        <v>0</v>
      </c>
      <c r="T252" s="0" t="s">
        <v>624</v>
      </c>
      <c r="U252" s="0" t="str">
        <f aca="false">IF('Basis Options'!D257="NGI/CHI. GATE","""NGI/CHI. GATE""",TRIM('Basis Options'!D257))</f>
        <v>IF-TRANSCO/Z6</v>
      </c>
      <c r="V252" s="0" t="s">
        <v>624</v>
      </c>
      <c r="W252" s="0" t="s">
        <v>569</v>
      </c>
      <c r="X252" s="0" t="s">
        <v>624</v>
      </c>
      <c r="Y252" s="0" t="s">
        <v>627</v>
      </c>
      <c r="Z252" s="0" t="s">
        <v>629</v>
      </c>
      <c r="AA252" s="0" t="s">
        <v>624</v>
      </c>
      <c r="AB252" s="0" t="s">
        <v>132</v>
      </c>
      <c r="AC252" s="254" t="n">
        <f aca="false">'Basis Options'!H257</f>
        <v>1000000</v>
      </c>
      <c r="AD252" s="254" t="e">
        <f aca="false">'Basis Options'!W257</f>
        <v>#NAME?</v>
      </c>
      <c r="AE252" s="0" t="n">
        <v>0</v>
      </c>
      <c r="AF252" s="0" t="n">
        <v>0</v>
      </c>
      <c r="AG252" s="0" t="n">
        <v>0</v>
      </c>
      <c r="AH252" s="254" t="e">
        <f aca="false">'Basis Options'!CD257</f>
        <v>#NAME?</v>
      </c>
      <c r="AI252" s="0" t="n">
        <v>226</v>
      </c>
      <c r="AJ252" s="0" t="s">
        <v>630</v>
      </c>
      <c r="AK252" s="0" t="n">
        <v>0</v>
      </c>
      <c r="AL252" s="0" t="n">
        <v>0</v>
      </c>
      <c r="AM252" s="0" t="n">
        <v>0</v>
      </c>
    </row>
    <row r="253" customFormat="false" ht="12.75" hidden="false" customHeight="false" outlineLevel="0" collapsed="false">
      <c r="A253" s="0" t="s">
        <v>621</v>
      </c>
      <c r="B253" s="0" t="str">
        <f aca="false">'Basis Options'!C258</f>
        <v>NK7692</v>
      </c>
      <c r="C253" s="0" t="s">
        <v>622</v>
      </c>
      <c r="D253" s="0" t="s">
        <v>623</v>
      </c>
      <c r="E253" s="0" t="s">
        <v>131</v>
      </c>
      <c r="F253" s="0" t="str">
        <f aca="false">'Basis Options'!A258</f>
        <v>ELPASMER</v>
      </c>
      <c r="G253" s="0" t="s">
        <v>628</v>
      </c>
      <c r="H253" s="0" t="s">
        <v>625</v>
      </c>
      <c r="I253" s="0" t="s">
        <v>626</v>
      </c>
      <c r="J253" s="0" t="s">
        <v>627</v>
      </c>
      <c r="K253" s="475" t="n">
        <f aca="false">'Basis Options'!G258</f>
        <v>36951</v>
      </c>
      <c r="L253" s="254" t="e">
        <f aca="false">'Basis Options'!U258</f>
        <v>#NAME?</v>
      </c>
      <c r="M253" s="475" t="n">
        <f aca="false">'Basis Options'!Q258</f>
        <v>36949</v>
      </c>
      <c r="N253" s="0" t="str">
        <f aca="false">'Basis Options'!F258</f>
        <v>C</v>
      </c>
      <c r="O253" s="0" t="n">
        <f aca="false">'Basis Options'!I258</f>
        <v>3</v>
      </c>
      <c r="P253" s="0" t="n">
        <v>0</v>
      </c>
      <c r="Q253" s="0" t="n">
        <v>0</v>
      </c>
      <c r="R253" s="0" t="n">
        <v>0</v>
      </c>
      <c r="S253" s="0" t="n">
        <v>0</v>
      </c>
      <c r="T253" s="0" t="s">
        <v>624</v>
      </c>
      <c r="U253" s="0" t="str">
        <f aca="false">IF('Basis Options'!D258="NGI/CHI. GATE","""NGI/CHI. GATE""",TRIM('Basis Options'!D258))</f>
        <v>IF-TRANSCO/Z6</v>
      </c>
      <c r="V253" s="0" t="s">
        <v>624</v>
      </c>
      <c r="W253" s="0" t="s">
        <v>569</v>
      </c>
      <c r="X253" s="0" t="s">
        <v>624</v>
      </c>
      <c r="Y253" s="0" t="s">
        <v>627</v>
      </c>
      <c r="Z253" s="0" t="s">
        <v>629</v>
      </c>
      <c r="AA253" s="0" t="s">
        <v>624</v>
      </c>
      <c r="AB253" s="0" t="s">
        <v>132</v>
      </c>
      <c r="AC253" s="254" t="n">
        <f aca="false">'Basis Options'!H258</f>
        <v>-310000</v>
      </c>
      <c r="AD253" s="254" t="e">
        <f aca="false">'Basis Options'!W258</f>
        <v>#NAME?</v>
      </c>
      <c r="AE253" s="0" t="n">
        <v>0</v>
      </c>
      <c r="AF253" s="0" t="n">
        <v>0</v>
      </c>
      <c r="AG253" s="0" t="n">
        <v>0</v>
      </c>
      <c r="AH253" s="254" t="e">
        <f aca="false">'Basis Options'!CD258</f>
        <v>#NAME?</v>
      </c>
      <c r="AI253" s="0" t="n">
        <v>226</v>
      </c>
      <c r="AJ253" s="0" t="s">
        <v>630</v>
      </c>
      <c r="AK253" s="0" t="n">
        <v>0</v>
      </c>
      <c r="AL253" s="0" t="n">
        <v>0</v>
      </c>
      <c r="AM253" s="0" t="n">
        <v>0</v>
      </c>
    </row>
    <row r="254" customFormat="false" ht="12.75" hidden="false" customHeight="false" outlineLevel="0" collapsed="false">
      <c r="A254" s="0" t="s">
        <v>621</v>
      </c>
      <c r="B254" s="0" t="str">
        <f aca="false">'Basis Options'!C259</f>
        <v>NK7692</v>
      </c>
      <c r="C254" s="0" t="s">
        <v>622</v>
      </c>
      <c r="D254" s="0" t="s">
        <v>623</v>
      </c>
      <c r="E254" s="0" t="s">
        <v>131</v>
      </c>
      <c r="F254" s="0" t="str">
        <f aca="false">'Basis Options'!A259</f>
        <v>ELPASMER</v>
      </c>
      <c r="G254" s="0" t="s">
        <v>628</v>
      </c>
      <c r="H254" s="0" t="s">
        <v>625</v>
      </c>
      <c r="I254" s="0" t="s">
        <v>626</v>
      </c>
      <c r="J254" s="0" t="s">
        <v>627</v>
      </c>
      <c r="K254" s="475" t="n">
        <f aca="false">'Basis Options'!G259</f>
        <v>36923</v>
      </c>
      <c r="L254" s="254" t="e">
        <f aca="false">'Basis Options'!U259</f>
        <v>#NAME?</v>
      </c>
      <c r="M254" s="475" t="n">
        <f aca="false">'Basis Options'!Q259</f>
        <v>36921</v>
      </c>
      <c r="N254" s="0" t="str">
        <f aca="false">'Basis Options'!F259</f>
        <v>C</v>
      </c>
      <c r="O254" s="0" t="n">
        <f aca="false">'Basis Options'!I259</f>
        <v>3</v>
      </c>
      <c r="P254" s="0" t="n">
        <v>0</v>
      </c>
      <c r="Q254" s="0" t="n">
        <v>0</v>
      </c>
      <c r="R254" s="0" t="n">
        <v>0</v>
      </c>
      <c r="S254" s="0" t="n">
        <v>0</v>
      </c>
      <c r="T254" s="0" t="s">
        <v>624</v>
      </c>
      <c r="U254" s="0" t="str">
        <f aca="false">IF('Basis Options'!D259="NGI/CHI. GATE","""NGI/CHI. GATE""",TRIM('Basis Options'!D259))</f>
        <v>IF-TRANSCO/Z6</v>
      </c>
      <c r="V254" s="0" t="s">
        <v>624</v>
      </c>
      <c r="W254" s="0" t="s">
        <v>569</v>
      </c>
      <c r="X254" s="0" t="s">
        <v>624</v>
      </c>
      <c r="Y254" s="0" t="s">
        <v>627</v>
      </c>
      <c r="Z254" s="0" t="s">
        <v>629</v>
      </c>
      <c r="AA254" s="0" t="s">
        <v>624</v>
      </c>
      <c r="AB254" s="0" t="s">
        <v>132</v>
      </c>
      <c r="AC254" s="254" t="n">
        <f aca="false">'Basis Options'!H259</f>
        <v>-280000</v>
      </c>
      <c r="AD254" s="254" t="e">
        <f aca="false">'Basis Options'!W259</f>
        <v>#NAME?</v>
      </c>
      <c r="AE254" s="0" t="n">
        <v>0</v>
      </c>
      <c r="AF254" s="0" t="n">
        <v>0</v>
      </c>
      <c r="AG254" s="0" t="n">
        <v>0</v>
      </c>
      <c r="AH254" s="254" t="e">
        <f aca="false">'Basis Options'!CD259</f>
        <v>#NAME?</v>
      </c>
      <c r="AI254" s="0" t="n">
        <v>226</v>
      </c>
      <c r="AJ254" s="0" t="s">
        <v>630</v>
      </c>
      <c r="AK254" s="0" t="n">
        <v>0</v>
      </c>
      <c r="AL254" s="0" t="n">
        <v>0</v>
      </c>
      <c r="AM254" s="0" t="n">
        <v>0</v>
      </c>
    </row>
    <row r="255" customFormat="false" ht="12.75" hidden="false" customHeight="false" outlineLevel="0" collapsed="false">
      <c r="A255" s="0" t="s">
        <v>621</v>
      </c>
      <c r="B255" s="0" t="str">
        <f aca="false">'Basis Options'!C260</f>
        <v>NK7692</v>
      </c>
      <c r="C255" s="0" t="s">
        <v>622</v>
      </c>
      <c r="D255" s="0" t="s">
        <v>623</v>
      </c>
      <c r="E255" s="0" t="s">
        <v>131</v>
      </c>
      <c r="F255" s="0" t="str">
        <f aca="false">'Basis Options'!A260</f>
        <v>ELPASMER</v>
      </c>
      <c r="G255" s="0" t="s">
        <v>628</v>
      </c>
      <c r="H255" s="0" t="s">
        <v>625</v>
      </c>
      <c r="I255" s="0" t="s">
        <v>626</v>
      </c>
      <c r="J255" s="0" t="s">
        <v>627</v>
      </c>
      <c r="K255" s="475" t="n">
        <f aca="false">'Basis Options'!G260</f>
        <v>36892</v>
      </c>
      <c r="L255" s="254" t="e">
        <f aca="false">'Basis Options'!U260</f>
        <v>#NAME?</v>
      </c>
      <c r="M255" s="475" t="n">
        <f aca="false">'Basis Options'!Q260</f>
        <v>36888</v>
      </c>
      <c r="N255" s="0" t="str">
        <f aca="false">'Basis Options'!F260</f>
        <v>C</v>
      </c>
      <c r="O255" s="0" t="n">
        <f aca="false">'Basis Options'!I260</f>
        <v>3</v>
      </c>
      <c r="P255" s="0" t="n">
        <v>0</v>
      </c>
      <c r="Q255" s="0" t="n">
        <v>0</v>
      </c>
      <c r="R255" s="0" t="n">
        <v>0</v>
      </c>
      <c r="S255" s="0" t="n">
        <v>0</v>
      </c>
      <c r="T255" s="0" t="s">
        <v>624</v>
      </c>
      <c r="U255" s="0" t="str">
        <f aca="false">IF('Basis Options'!D260="NGI/CHI. GATE","""NGI/CHI. GATE""",TRIM('Basis Options'!D260))</f>
        <v>IF-TRANSCO/Z6</v>
      </c>
      <c r="V255" s="0" t="s">
        <v>624</v>
      </c>
      <c r="W255" s="0" t="s">
        <v>569</v>
      </c>
      <c r="X255" s="0" t="s">
        <v>624</v>
      </c>
      <c r="Y255" s="0" t="s">
        <v>627</v>
      </c>
      <c r="Z255" s="0" t="s">
        <v>629</v>
      </c>
      <c r="AA255" s="0" t="s">
        <v>624</v>
      </c>
      <c r="AB255" s="0" t="s">
        <v>132</v>
      </c>
      <c r="AC255" s="254" t="n">
        <f aca="false">'Basis Options'!H260</f>
        <v>-310000</v>
      </c>
      <c r="AD255" s="254" t="e">
        <f aca="false">'Basis Options'!W260</f>
        <v>#NAME?</v>
      </c>
      <c r="AE255" s="0" t="n">
        <v>0</v>
      </c>
      <c r="AF255" s="0" t="n">
        <v>0</v>
      </c>
      <c r="AG255" s="0" t="n">
        <v>0</v>
      </c>
      <c r="AH255" s="254" t="e">
        <f aca="false">'Basis Options'!CD260</f>
        <v>#NAME?</v>
      </c>
      <c r="AI255" s="0" t="n">
        <v>226</v>
      </c>
      <c r="AJ255" s="0" t="s">
        <v>630</v>
      </c>
      <c r="AK255" s="0" t="n">
        <v>0</v>
      </c>
      <c r="AL255" s="0" t="n">
        <v>0</v>
      </c>
      <c r="AM255" s="0" t="n">
        <v>0</v>
      </c>
    </row>
    <row r="256" customFormat="false" ht="12.75" hidden="false" customHeight="false" outlineLevel="0" collapsed="false">
      <c r="A256" s="0" t="s">
        <v>621</v>
      </c>
      <c r="B256" s="0" t="str">
        <f aca="false">'Basis Options'!C261</f>
        <v>NK7692</v>
      </c>
      <c r="C256" s="0" t="s">
        <v>622</v>
      </c>
      <c r="D256" s="0" t="s">
        <v>623</v>
      </c>
      <c r="E256" s="0" t="s">
        <v>131</v>
      </c>
      <c r="F256" s="0" t="str">
        <f aca="false">'Basis Options'!A261</f>
        <v>ELPASMER</v>
      </c>
      <c r="G256" s="0" t="s">
        <v>628</v>
      </c>
      <c r="H256" s="0" t="s">
        <v>625</v>
      </c>
      <c r="I256" s="0" t="s">
        <v>626</v>
      </c>
      <c r="J256" s="0" t="s">
        <v>627</v>
      </c>
      <c r="K256" s="475" t="n">
        <f aca="false">'Basis Options'!G261</f>
        <v>36861</v>
      </c>
      <c r="L256" s="254" t="e">
        <f aca="false">'Basis Options'!U261</f>
        <v>#NAME?</v>
      </c>
      <c r="M256" s="475" t="n">
        <f aca="false">'Basis Options'!Q261</f>
        <v>36859</v>
      </c>
      <c r="N256" s="0" t="str">
        <f aca="false">'Basis Options'!F261</f>
        <v>C</v>
      </c>
      <c r="O256" s="0" t="n">
        <f aca="false">'Basis Options'!I261</f>
        <v>3</v>
      </c>
      <c r="P256" s="0" t="n">
        <v>0</v>
      </c>
      <c r="Q256" s="0" t="n">
        <v>0</v>
      </c>
      <c r="R256" s="0" t="n">
        <v>0</v>
      </c>
      <c r="S256" s="0" t="n">
        <v>0</v>
      </c>
      <c r="T256" s="0" t="s">
        <v>624</v>
      </c>
      <c r="U256" s="0" t="str">
        <f aca="false">IF('Basis Options'!D261="NGI/CHI. GATE","""NGI/CHI. GATE""",TRIM('Basis Options'!D261))</f>
        <v>IF-TRANSCO/Z6</v>
      </c>
      <c r="V256" s="0" t="s">
        <v>624</v>
      </c>
      <c r="W256" s="0" t="s">
        <v>569</v>
      </c>
      <c r="X256" s="0" t="s">
        <v>624</v>
      </c>
      <c r="Y256" s="0" t="s">
        <v>627</v>
      </c>
      <c r="Z256" s="0" t="s">
        <v>629</v>
      </c>
      <c r="AA256" s="0" t="s">
        <v>624</v>
      </c>
      <c r="AB256" s="0" t="s">
        <v>132</v>
      </c>
      <c r="AC256" s="254" t="n">
        <f aca="false">'Basis Options'!H261</f>
        <v>-310000</v>
      </c>
      <c r="AD256" s="254" t="e">
        <f aca="false">'Basis Options'!W261</f>
        <v>#NAME?</v>
      </c>
      <c r="AE256" s="0" t="n">
        <v>0</v>
      </c>
      <c r="AF256" s="0" t="n">
        <v>0</v>
      </c>
      <c r="AG256" s="0" t="n">
        <v>0</v>
      </c>
      <c r="AH256" s="254" t="e">
        <f aca="false">'Basis Options'!CD261</f>
        <v>#NAME?</v>
      </c>
      <c r="AI256" s="0" t="n">
        <v>226</v>
      </c>
      <c r="AJ256" s="0" t="s">
        <v>630</v>
      </c>
      <c r="AK256" s="0" t="n">
        <v>0</v>
      </c>
      <c r="AL256" s="0" t="n">
        <v>0</v>
      </c>
      <c r="AM256" s="0" t="n">
        <v>0</v>
      </c>
    </row>
    <row r="257" customFormat="false" ht="12.75" hidden="false" customHeight="false" outlineLevel="0" collapsed="false">
      <c r="A257" s="0" t="s">
        <v>621</v>
      </c>
      <c r="B257" s="0" t="str">
        <f aca="false">'Basis Options'!C262</f>
        <v>NK7692</v>
      </c>
      <c r="C257" s="0" t="s">
        <v>622</v>
      </c>
      <c r="D257" s="0" t="s">
        <v>623</v>
      </c>
      <c r="E257" s="0" t="s">
        <v>131</v>
      </c>
      <c r="F257" s="0" t="str">
        <f aca="false">'Basis Options'!A262</f>
        <v>ELPASMER</v>
      </c>
      <c r="G257" s="0" t="s">
        <v>628</v>
      </c>
      <c r="H257" s="0" t="s">
        <v>625</v>
      </c>
      <c r="I257" s="0" t="s">
        <v>626</v>
      </c>
      <c r="J257" s="0" t="s">
        <v>627</v>
      </c>
      <c r="K257" s="475" t="n">
        <f aca="false">'Basis Options'!G262</f>
        <v>36831</v>
      </c>
      <c r="L257" s="254" t="e">
        <f aca="false">'Basis Options'!U262</f>
        <v>#NAME?</v>
      </c>
      <c r="M257" s="475" t="n">
        <f aca="false">'Basis Options'!Q262</f>
        <v>36829</v>
      </c>
      <c r="N257" s="0" t="str">
        <f aca="false">'Basis Options'!F262</f>
        <v>C</v>
      </c>
      <c r="O257" s="0" t="n">
        <f aca="false">'Basis Options'!I262</f>
        <v>3</v>
      </c>
      <c r="P257" s="0" t="n">
        <v>0</v>
      </c>
      <c r="Q257" s="0" t="n">
        <v>0</v>
      </c>
      <c r="R257" s="0" t="n">
        <v>0</v>
      </c>
      <c r="S257" s="0" t="n">
        <v>0</v>
      </c>
      <c r="T257" s="0" t="s">
        <v>624</v>
      </c>
      <c r="U257" s="0" t="str">
        <f aca="false">IF('Basis Options'!D262="NGI/CHI. GATE","""NGI/CHI. GATE""",TRIM('Basis Options'!D262))</f>
        <v>IF-TRANSCO/Z6</v>
      </c>
      <c r="V257" s="0" t="s">
        <v>624</v>
      </c>
      <c r="W257" s="0" t="s">
        <v>569</v>
      </c>
      <c r="X257" s="0" t="s">
        <v>624</v>
      </c>
      <c r="Y257" s="0" t="s">
        <v>627</v>
      </c>
      <c r="Z257" s="0" t="s">
        <v>629</v>
      </c>
      <c r="AA257" s="0" t="s">
        <v>624</v>
      </c>
      <c r="AB257" s="0" t="s">
        <v>132</v>
      </c>
      <c r="AC257" s="254" t="n">
        <f aca="false">'Basis Options'!H262</f>
        <v>-300000</v>
      </c>
      <c r="AD257" s="254" t="e">
        <f aca="false">'Basis Options'!W262</f>
        <v>#NAME?</v>
      </c>
      <c r="AE257" s="0" t="n">
        <v>0</v>
      </c>
      <c r="AF257" s="0" t="n">
        <v>0</v>
      </c>
      <c r="AG257" s="0" t="n">
        <v>0</v>
      </c>
      <c r="AH257" s="254" t="e">
        <f aca="false">'Basis Options'!CD262</f>
        <v>#NAME?</v>
      </c>
      <c r="AI257" s="0" t="n">
        <v>226</v>
      </c>
      <c r="AJ257" s="0" t="s">
        <v>630</v>
      </c>
      <c r="AK257" s="0" t="n">
        <v>0</v>
      </c>
      <c r="AL257" s="0" t="n">
        <v>0</v>
      </c>
      <c r="AM257" s="0" t="n">
        <v>0</v>
      </c>
    </row>
    <row r="258" customFormat="false" ht="12.75" hidden="false" customHeight="false" outlineLevel="0" collapsed="false">
      <c r="A258" s="0" t="s">
        <v>621</v>
      </c>
      <c r="B258" s="0" t="str">
        <f aca="false">'Basis Options'!C263</f>
        <v>NK7700</v>
      </c>
      <c r="C258" s="0" t="s">
        <v>622</v>
      </c>
      <c r="D258" s="0" t="s">
        <v>623</v>
      </c>
      <c r="E258" s="0" t="s">
        <v>131</v>
      </c>
      <c r="F258" s="0" t="str">
        <f aca="false">'Basis Options'!A263</f>
        <v>ELPASMER</v>
      </c>
      <c r="G258" s="0" t="s">
        <v>628</v>
      </c>
      <c r="H258" s="0" t="s">
        <v>625</v>
      </c>
      <c r="I258" s="0" t="s">
        <v>626</v>
      </c>
      <c r="J258" s="0" t="s">
        <v>627</v>
      </c>
      <c r="K258" s="475" t="n">
        <f aca="false">'Basis Options'!G263</f>
        <v>36951</v>
      </c>
      <c r="L258" s="254" t="e">
        <f aca="false">'Basis Options'!U263</f>
        <v>#NAME?</v>
      </c>
      <c r="M258" s="475" t="n">
        <f aca="false">'Basis Options'!Q263</f>
        <v>36949</v>
      </c>
      <c r="N258" s="0" t="str">
        <f aca="false">'Basis Options'!F263</f>
        <v>P</v>
      </c>
      <c r="O258" s="0" t="n">
        <f aca="false">'Basis Options'!I263</f>
        <v>0.75</v>
      </c>
      <c r="P258" s="0" t="n">
        <v>0</v>
      </c>
      <c r="Q258" s="0" t="n">
        <v>0</v>
      </c>
      <c r="R258" s="0" t="n">
        <v>0</v>
      </c>
      <c r="S258" s="0" t="n">
        <v>0</v>
      </c>
      <c r="T258" s="0" t="s">
        <v>624</v>
      </c>
      <c r="U258" s="0" t="str">
        <f aca="false">IF('Basis Options'!D263="NGI/CHI. GATE","""NGI/CHI. GATE""",TRIM('Basis Options'!D263))</f>
        <v>IF-TRANSCO/Z6</v>
      </c>
      <c r="V258" s="0" t="s">
        <v>624</v>
      </c>
      <c r="W258" s="0" t="s">
        <v>569</v>
      </c>
      <c r="X258" s="0" t="s">
        <v>624</v>
      </c>
      <c r="Y258" s="0" t="s">
        <v>627</v>
      </c>
      <c r="Z258" s="0" t="s">
        <v>629</v>
      </c>
      <c r="AA258" s="0" t="s">
        <v>624</v>
      </c>
      <c r="AB258" s="0" t="s">
        <v>132</v>
      </c>
      <c r="AC258" s="254" t="n">
        <f aca="false">'Basis Options'!H263</f>
        <v>500000</v>
      </c>
      <c r="AD258" s="254" t="e">
        <f aca="false">'Basis Options'!W263</f>
        <v>#NAME?</v>
      </c>
      <c r="AE258" s="0" t="n">
        <v>0</v>
      </c>
      <c r="AF258" s="0" t="n">
        <v>0</v>
      </c>
      <c r="AG258" s="0" t="n">
        <v>0</v>
      </c>
      <c r="AH258" s="254" t="e">
        <f aca="false">'Basis Options'!CD263</f>
        <v>#NAME?</v>
      </c>
      <c r="AI258" s="0" t="n">
        <v>226</v>
      </c>
      <c r="AJ258" s="0" t="s">
        <v>630</v>
      </c>
      <c r="AK258" s="0" t="n">
        <v>0</v>
      </c>
      <c r="AL258" s="0" t="n">
        <v>0</v>
      </c>
      <c r="AM258" s="0" t="n">
        <v>0</v>
      </c>
    </row>
    <row r="259" customFormat="false" ht="12.75" hidden="false" customHeight="false" outlineLevel="0" collapsed="false">
      <c r="A259" s="0" t="s">
        <v>621</v>
      </c>
      <c r="B259" s="0" t="str">
        <f aca="false">'Basis Options'!C264</f>
        <v>NL2540.1</v>
      </c>
      <c r="C259" s="0" t="s">
        <v>622</v>
      </c>
      <c r="D259" s="0" t="s">
        <v>623</v>
      </c>
      <c r="E259" s="0" t="s">
        <v>131</v>
      </c>
      <c r="F259" s="0" t="str">
        <f aca="false">'Basis Options'!A264</f>
        <v>ELPASMER</v>
      </c>
      <c r="G259" s="0" t="s">
        <v>628</v>
      </c>
      <c r="H259" s="0" t="s">
        <v>625</v>
      </c>
      <c r="I259" s="0" t="s">
        <v>626</v>
      </c>
      <c r="J259" s="0" t="s">
        <v>627</v>
      </c>
      <c r="K259" s="475" t="n">
        <f aca="false">'Basis Options'!G264</f>
        <v>36951</v>
      </c>
      <c r="L259" s="254" t="e">
        <f aca="false">'Basis Options'!U264</f>
        <v>#NAME?</v>
      </c>
      <c r="M259" s="475" t="n">
        <f aca="false">'Basis Options'!Q264</f>
        <v>36949</v>
      </c>
      <c r="N259" s="0" t="str">
        <f aca="false">'Basis Options'!F264</f>
        <v>C</v>
      </c>
      <c r="O259" s="0" t="n">
        <f aca="false">'Basis Options'!I264</f>
        <v>1.75</v>
      </c>
      <c r="P259" s="0" t="n">
        <v>0</v>
      </c>
      <c r="Q259" s="0" t="n">
        <v>0</v>
      </c>
      <c r="R259" s="0" t="n">
        <v>0</v>
      </c>
      <c r="S259" s="0" t="n">
        <v>0</v>
      </c>
      <c r="T259" s="0" t="s">
        <v>624</v>
      </c>
      <c r="U259" s="0" t="str">
        <f aca="false">IF('Basis Options'!D264="NGI/CHI. GATE","""NGI/CHI. GATE""",TRIM('Basis Options'!D264))</f>
        <v>IF-TRANSCO/Z6</v>
      </c>
      <c r="V259" s="0" t="s">
        <v>624</v>
      </c>
      <c r="W259" s="0" t="s">
        <v>569</v>
      </c>
      <c r="X259" s="0" t="s">
        <v>624</v>
      </c>
      <c r="Y259" s="0" t="s">
        <v>627</v>
      </c>
      <c r="Z259" s="0" t="s">
        <v>629</v>
      </c>
      <c r="AA259" s="0" t="s">
        <v>624</v>
      </c>
      <c r="AB259" s="0" t="s">
        <v>132</v>
      </c>
      <c r="AC259" s="254" t="n">
        <f aca="false">'Basis Options'!H264</f>
        <v>-1000000</v>
      </c>
      <c r="AD259" s="254" t="e">
        <f aca="false">'Basis Options'!W264</f>
        <v>#NAME?</v>
      </c>
      <c r="AE259" s="0" t="n">
        <v>0</v>
      </c>
      <c r="AF259" s="0" t="n">
        <v>0</v>
      </c>
      <c r="AG259" s="0" t="n">
        <v>0</v>
      </c>
      <c r="AH259" s="254" t="e">
        <f aca="false">'Basis Options'!CD264</f>
        <v>#NAME?</v>
      </c>
      <c r="AI259" s="0" t="n">
        <v>226</v>
      </c>
      <c r="AJ259" s="0" t="s">
        <v>630</v>
      </c>
      <c r="AK259" s="0" t="n">
        <v>0</v>
      </c>
      <c r="AL259" s="0" t="n">
        <v>0</v>
      </c>
      <c r="AM259" s="0" t="n">
        <v>0</v>
      </c>
    </row>
    <row r="260" customFormat="false" ht="12.75" hidden="false" customHeight="false" outlineLevel="0" collapsed="false">
      <c r="A260" s="0" t="s">
        <v>621</v>
      </c>
      <c r="B260" s="0" t="str">
        <f aca="false">'Basis Options'!C265</f>
        <v>NL2540.1</v>
      </c>
      <c r="C260" s="0" t="s">
        <v>622</v>
      </c>
      <c r="D260" s="0" t="s">
        <v>623</v>
      </c>
      <c r="E260" s="0" t="s">
        <v>131</v>
      </c>
      <c r="F260" s="0" t="str">
        <f aca="false">'Basis Options'!A265</f>
        <v>ELPASMER</v>
      </c>
      <c r="G260" s="0" t="s">
        <v>628</v>
      </c>
      <c r="H260" s="0" t="s">
        <v>625</v>
      </c>
      <c r="I260" s="0" t="s">
        <v>626</v>
      </c>
      <c r="J260" s="0" t="s">
        <v>627</v>
      </c>
      <c r="K260" s="475" t="n">
        <f aca="false">'Basis Options'!G265</f>
        <v>36923</v>
      </c>
      <c r="L260" s="254" t="e">
        <f aca="false">'Basis Options'!U265</f>
        <v>#NAME?</v>
      </c>
      <c r="M260" s="475" t="n">
        <f aca="false">'Basis Options'!Q265</f>
        <v>36921</v>
      </c>
      <c r="N260" s="0" t="str">
        <f aca="false">'Basis Options'!F265</f>
        <v>C</v>
      </c>
      <c r="O260" s="0" t="n">
        <f aca="false">'Basis Options'!I265</f>
        <v>1.75</v>
      </c>
      <c r="P260" s="0" t="n">
        <v>0</v>
      </c>
      <c r="Q260" s="0" t="n">
        <v>0</v>
      </c>
      <c r="R260" s="0" t="n">
        <v>0</v>
      </c>
      <c r="S260" s="0" t="n">
        <v>0</v>
      </c>
      <c r="T260" s="0" t="s">
        <v>624</v>
      </c>
      <c r="U260" s="0" t="str">
        <f aca="false">IF('Basis Options'!D265="NGI/CHI. GATE","""NGI/CHI. GATE""",TRIM('Basis Options'!D265))</f>
        <v>IF-TRANSCO/Z6</v>
      </c>
      <c r="V260" s="0" t="s">
        <v>624</v>
      </c>
      <c r="W260" s="0" t="s">
        <v>569</v>
      </c>
      <c r="X260" s="0" t="s">
        <v>624</v>
      </c>
      <c r="Y260" s="0" t="s">
        <v>627</v>
      </c>
      <c r="Z260" s="0" t="s">
        <v>629</v>
      </c>
      <c r="AA260" s="0" t="s">
        <v>624</v>
      </c>
      <c r="AB260" s="0" t="s">
        <v>132</v>
      </c>
      <c r="AC260" s="254" t="n">
        <f aca="false">'Basis Options'!H265</f>
        <v>-1000000</v>
      </c>
      <c r="AD260" s="254" t="e">
        <f aca="false">'Basis Options'!W265</f>
        <v>#NAME?</v>
      </c>
      <c r="AE260" s="0" t="n">
        <v>0</v>
      </c>
      <c r="AF260" s="0" t="n">
        <v>0</v>
      </c>
      <c r="AG260" s="0" t="n">
        <v>0</v>
      </c>
      <c r="AH260" s="254" t="e">
        <f aca="false">'Basis Options'!CD265</f>
        <v>#NAME?</v>
      </c>
      <c r="AI260" s="0" t="n">
        <v>226</v>
      </c>
      <c r="AJ260" s="0" t="s">
        <v>630</v>
      </c>
      <c r="AK260" s="0" t="n">
        <v>0</v>
      </c>
      <c r="AL260" s="0" t="n">
        <v>0</v>
      </c>
      <c r="AM260" s="0" t="n">
        <v>0</v>
      </c>
    </row>
    <row r="261" customFormat="false" ht="12.75" hidden="false" customHeight="false" outlineLevel="0" collapsed="false">
      <c r="A261" s="0" t="s">
        <v>621</v>
      </c>
      <c r="B261" s="0" t="str">
        <f aca="false">'Basis Options'!C266</f>
        <v>NL2540.1</v>
      </c>
      <c r="C261" s="0" t="s">
        <v>622</v>
      </c>
      <c r="D261" s="0" t="s">
        <v>623</v>
      </c>
      <c r="E261" s="0" t="s">
        <v>131</v>
      </c>
      <c r="F261" s="0" t="str">
        <f aca="false">'Basis Options'!A266</f>
        <v>ELPASMER</v>
      </c>
      <c r="G261" s="0" t="s">
        <v>628</v>
      </c>
      <c r="H261" s="0" t="s">
        <v>625</v>
      </c>
      <c r="I261" s="0" t="s">
        <v>626</v>
      </c>
      <c r="J261" s="0" t="s">
        <v>627</v>
      </c>
      <c r="K261" s="475" t="n">
        <f aca="false">'Basis Options'!G266</f>
        <v>36892</v>
      </c>
      <c r="L261" s="254" t="e">
        <f aca="false">'Basis Options'!U266</f>
        <v>#NAME?</v>
      </c>
      <c r="M261" s="475" t="n">
        <f aca="false">'Basis Options'!Q266</f>
        <v>36888</v>
      </c>
      <c r="N261" s="0" t="str">
        <f aca="false">'Basis Options'!F266</f>
        <v>C</v>
      </c>
      <c r="O261" s="0" t="n">
        <f aca="false">'Basis Options'!I266</f>
        <v>1.75</v>
      </c>
      <c r="P261" s="0" t="n">
        <v>0</v>
      </c>
      <c r="Q261" s="0" t="n">
        <v>0</v>
      </c>
      <c r="R261" s="0" t="n">
        <v>0</v>
      </c>
      <c r="S261" s="0" t="n">
        <v>0</v>
      </c>
      <c r="T261" s="0" t="s">
        <v>624</v>
      </c>
      <c r="U261" s="0" t="str">
        <f aca="false">IF('Basis Options'!D266="NGI/CHI. GATE","""NGI/CHI. GATE""",TRIM('Basis Options'!D266))</f>
        <v>IF-TRANSCO/Z6</v>
      </c>
      <c r="V261" s="0" t="s">
        <v>624</v>
      </c>
      <c r="W261" s="0" t="s">
        <v>569</v>
      </c>
      <c r="X261" s="0" t="s">
        <v>624</v>
      </c>
      <c r="Y261" s="0" t="s">
        <v>627</v>
      </c>
      <c r="Z261" s="0" t="s">
        <v>629</v>
      </c>
      <c r="AA261" s="0" t="s">
        <v>624</v>
      </c>
      <c r="AB261" s="0" t="s">
        <v>132</v>
      </c>
      <c r="AC261" s="254" t="n">
        <f aca="false">'Basis Options'!H266</f>
        <v>-1000000</v>
      </c>
      <c r="AD261" s="254" t="e">
        <f aca="false">'Basis Options'!W266</f>
        <v>#NAME?</v>
      </c>
      <c r="AE261" s="0" t="n">
        <v>0</v>
      </c>
      <c r="AF261" s="0" t="n">
        <v>0</v>
      </c>
      <c r="AG261" s="0" t="n">
        <v>0</v>
      </c>
      <c r="AH261" s="254" t="e">
        <f aca="false">'Basis Options'!CD266</f>
        <v>#NAME?</v>
      </c>
      <c r="AI261" s="0" t="n">
        <v>226</v>
      </c>
      <c r="AJ261" s="0" t="s">
        <v>630</v>
      </c>
      <c r="AK261" s="0" t="n">
        <v>0</v>
      </c>
      <c r="AL261" s="0" t="n">
        <v>0</v>
      </c>
      <c r="AM261" s="0" t="n">
        <v>0</v>
      </c>
    </row>
    <row r="262" customFormat="false" ht="12.75" hidden="false" customHeight="false" outlineLevel="0" collapsed="false">
      <c r="A262" s="0" t="s">
        <v>621</v>
      </c>
      <c r="B262" s="0" t="str">
        <f aca="false">'Basis Options'!C267</f>
        <v>NL2540.1</v>
      </c>
      <c r="C262" s="0" t="s">
        <v>622</v>
      </c>
      <c r="D262" s="0" t="s">
        <v>623</v>
      </c>
      <c r="E262" s="0" t="s">
        <v>131</v>
      </c>
      <c r="F262" s="0" t="str">
        <f aca="false">'Basis Options'!A267</f>
        <v>ELPASMER</v>
      </c>
      <c r="G262" s="0" t="s">
        <v>628</v>
      </c>
      <c r="H262" s="0" t="s">
        <v>625</v>
      </c>
      <c r="I262" s="0" t="s">
        <v>626</v>
      </c>
      <c r="J262" s="0" t="s">
        <v>627</v>
      </c>
      <c r="K262" s="475" t="n">
        <f aca="false">'Basis Options'!G267</f>
        <v>36861</v>
      </c>
      <c r="L262" s="254" t="e">
        <f aca="false">'Basis Options'!U267</f>
        <v>#NAME?</v>
      </c>
      <c r="M262" s="475" t="n">
        <f aca="false">'Basis Options'!Q267</f>
        <v>36859</v>
      </c>
      <c r="N262" s="0" t="str">
        <f aca="false">'Basis Options'!F267</f>
        <v>C</v>
      </c>
      <c r="O262" s="0" t="n">
        <f aca="false">'Basis Options'!I267</f>
        <v>1.75</v>
      </c>
      <c r="P262" s="0" t="n">
        <v>0</v>
      </c>
      <c r="Q262" s="0" t="n">
        <v>0</v>
      </c>
      <c r="R262" s="0" t="n">
        <v>0</v>
      </c>
      <c r="S262" s="0" t="n">
        <v>0</v>
      </c>
      <c r="T262" s="0" t="s">
        <v>624</v>
      </c>
      <c r="U262" s="0" t="str">
        <f aca="false">IF('Basis Options'!D267="NGI/CHI. GATE","""NGI/CHI. GATE""",TRIM('Basis Options'!D267))</f>
        <v>IF-TRANSCO/Z6</v>
      </c>
      <c r="V262" s="0" t="s">
        <v>624</v>
      </c>
      <c r="W262" s="0" t="s">
        <v>569</v>
      </c>
      <c r="X262" s="0" t="s">
        <v>624</v>
      </c>
      <c r="Y262" s="0" t="s">
        <v>627</v>
      </c>
      <c r="Z262" s="0" t="s">
        <v>629</v>
      </c>
      <c r="AA262" s="0" t="s">
        <v>624</v>
      </c>
      <c r="AB262" s="0" t="s">
        <v>132</v>
      </c>
      <c r="AC262" s="254" t="n">
        <f aca="false">'Basis Options'!H267</f>
        <v>-1000000</v>
      </c>
      <c r="AD262" s="254" t="e">
        <f aca="false">'Basis Options'!W267</f>
        <v>#NAME?</v>
      </c>
      <c r="AE262" s="0" t="n">
        <v>0</v>
      </c>
      <c r="AF262" s="0" t="n">
        <v>0</v>
      </c>
      <c r="AG262" s="0" t="n">
        <v>0</v>
      </c>
      <c r="AH262" s="254" t="e">
        <f aca="false">'Basis Options'!CD267</f>
        <v>#NAME?</v>
      </c>
      <c r="AI262" s="0" t="n">
        <v>226</v>
      </c>
      <c r="AJ262" s="0" t="s">
        <v>630</v>
      </c>
      <c r="AK262" s="0" t="n">
        <v>0</v>
      </c>
      <c r="AL262" s="0" t="n">
        <v>0</v>
      </c>
      <c r="AM262" s="0" t="n">
        <v>0</v>
      </c>
    </row>
    <row r="263" customFormat="false" ht="12.75" hidden="false" customHeight="false" outlineLevel="0" collapsed="false">
      <c r="A263" s="0" t="s">
        <v>621</v>
      </c>
      <c r="B263" s="0" t="str">
        <f aca="false">'Basis Options'!C268</f>
        <v>NL2540.1</v>
      </c>
      <c r="C263" s="0" t="s">
        <v>622</v>
      </c>
      <c r="D263" s="0" t="s">
        <v>623</v>
      </c>
      <c r="E263" s="0" t="s">
        <v>131</v>
      </c>
      <c r="F263" s="0" t="str">
        <f aca="false">'Basis Options'!A268</f>
        <v>ELPASMER</v>
      </c>
      <c r="G263" s="0" t="s">
        <v>628</v>
      </c>
      <c r="H263" s="0" t="s">
        <v>625</v>
      </c>
      <c r="I263" s="0" t="s">
        <v>626</v>
      </c>
      <c r="J263" s="0" t="s">
        <v>627</v>
      </c>
      <c r="K263" s="475" t="n">
        <f aca="false">'Basis Options'!G268</f>
        <v>36831</v>
      </c>
      <c r="L263" s="254" t="e">
        <f aca="false">'Basis Options'!U268</f>
        <v>#NAME?</v>
      </c>
      <c r="M263" s="475" t="n">
        <f aca="false">'Basis Options'!Q268</f>
        <v>36829</v>
      </c>
      <c r="N263" s="0" t="str">
        <f aca="false">'Basis Options'!F268</f>
        <v>C</v>
      </c>
      <c r="O263" s="0" t="n">
        <f aca="false">'Basis Options'!I268</f>
        <v>1.75</v>
      </c>
      <c r="P263" s="0" t="n">
        <v>0</v>
      </c>
      <c r="Q263" s="0" t="n">
        <v>0</v>
      </c>
      <c r="R263" s="0" t="n">
        <v>0</v>
      </c>
      <c r="S263" s="0" t="n">
        <v>0</v>
      </c>
      <c r="T263" s="0" t="s">
        <v>624</v>
      </c>
      <c r="U263" s="0" t="str">
        <f aca="false">IF('Basis Options'!D268="NGI/CHI. GATE","""NGI/CHI. GATE""",TRIM('Basis Options'!D268))</f>
        <v>IF-TRANSCO/Z6</v>
      </c>
      <c r="V263" s="0" t="s">
        <v>624</v>
      </c>
      <c r="W263" s="0" t="s">
        <v>569</v>
      </c>
      <c r="X263" s="0" t="s">
        <v>624</v>
      </c>
      <c r="Y263" s="0" t="s">
        <v>627</v>
      </c>
      <c r="Z263" s="0" t="s">
        <v>629</v>
      </c>
      <c r="AA263" s="0" t="s">
        <v>624</v>
      </c>
      <c r="AB263" s="0" t="s">
        <v>132</v>
      </c>
      <c r="AC263" s="254" t="n">
        <f aca="false">'Basis Options'!H268</f>
        <v>-1000000</v>
      </c>
      <c r="AD263" s="254" t="e">
        <f aca="false">'Basis Options'!W268</f>
        <v>#NAME?</v>
      </c>
      <c r="AE263" s="0" t="n">
        <v>0</v>
      </c>
      <c r="AF263" s="0" t="n">
        <v>0</v>
      </c>
      <c r="AG263" s="0" t="n">
        <v>0</v>
      </c>
      <c r="AH263" s="254" t="e">
        <f aca="false">'Basis Options'!CD268</f>
        <v>#NAME?</v>
      </c>
      <c r="AI263" s="0" t="n">
        <v>226</v>
      </c>
      <c r="AJ263" s="0" t="s">
        <v>630</v>
      </c>
      <c r="AK263" s="0" t="n">
        <v>0</v>
      </c>
      <c r="AL263" s="0" t="n">
        <v>0</v>
      </c>
      <c r="AM263" s="0" t="n">
        <v>0</v>
      </c>
    </row>
    <row r="264" customFormat="false" ht="12.75" hidden="false" customHeight="false" outlineLevel="0" collapsed="false">
      <c r="A264" s="0" t="s">
        <v>621</v>
      </c>
      <c r="B264" s="0" t="str">
        <f aca="false">'Basis Options'!C269</f>
        <v>NL2540.2</v>
      </c>
      <c r="C264" s="0" t="s">
        <v>622</v>
      </c>
      <c r="D264" s="0" t="s">
        <v>623</v>
      </c>
      <c r="E264" s="0" t="s">
        <v>131</v>
      </c>
      <c r="F264" s="0" t="str">
        <f aca="false">'Basis Options'!A269</f>
        <v>ELPASMER</v>
      </c>
      <c r="G264" s="0" t="s">
        <v>628</v>
      </c>
      <c r="H264" s="0" t="s">
        <v>625</v>
      </c>
      <c r="I264" s="0" t="s">
        <v>626</v>
      </c>
      <c r="J264" s="0" t="s">
        <v>627</v>
      </c>
      <c r="K264" s="475" t="n">
        <f aca="false">'Basis Options'!G269</f>
        <v>36951</v>
      </c>
      <c r="L264" s="254" t="e">
        <f aca="false">'Basis Options'!U269</f>
        <v>#NAME?</v>
      </c>
      <c r="M264" s="475" t="n">
        <f aca="false">'Basis Options'!Q269</f>
        <v>36949</v>
      </c>
      <c r="N264" s="0" t="str">
        <f aca="false">'Basis Options'!F269</f>
        <v>C</v>
      </c>
      <c r="O264" s="0" t="n">
        <f aca="false">'Basis Options'!I269</f>
        <v>2.5</v>
      </c>
      <c r="P264" s="0" t="n">
        <v>0</v>
      </c>
      <c r="Q264" s="0" t="n">
        <v>0</v>
      </c>
      <c r="R264" s="0" t="n">
        <v>0</v>
      </c>
      <c r="S264" s="0" t="n">
        <v>0</v>
      </c>
      <c r="T264" s="0" t="s">
        <v>624</v>
      </c>
      <c r="U264" s="0" t="str">
        <f aca="false">IF('Basis Options'!D269="NGI/CHI. GATE","""NGI/CHI. GATE""",TRIM('Basis Options'!D269))</f>
        <v>IF-TRANSCO/Z6</v>
      </c>
      <c r="V264" s="0" t="s">
        <v>624</v>
      </c>
      <c r="W264" s="0" t="s">
        <v>569</v>
      </c>
      <c r="X264" s="0" t="s">
        <v>624</v>
      </c>
      <c r="Y264" s="0" t="s">
        <v>627</v>
      </c>
      <c r="Z264" s="0" t="s">
        <v>629</v>
      </c>
      <c r="AA264" s="0" t="s">
        <v>624</v>
      </c>
      <c r="AB264" s="0" t="s">
        <v>132</v>
      </c>
      <c r="AC264" s="254" t="n">
        <f aca="false">'Basis Options'!H269</f>
        <v>1000000</v>
      </c>
      <c r="AD264" s="254" t="e">
        <f aca="false">'Basis Options'!W269</f>
        <v>#NAME?</v>
      </c>
      <c r="AE264" s="0" t="n">
        <v>0</v>
      </c>
      <c r="AF264" s="0" t="n">
        <v>0</v>
      </c>
      <c r="AG264" s="0" t="n">
        <v>0</v>
      </c>
      <c r="AH264" s="254" t="e">
        <f aca="false">'Basis Options'!CD269</f>
        <v>#NAME?</v>
      </c>
      <c r="AI264" s="0" t="n">
        <v>226</v>
      </c>
      <c r="AJ264" s="0" t="s">
        <v>630</v>
      </c>
      <c r="AK264" s="0" t="n">
        <v>0</v>
      </c>
      <c r="AL264" s="0" t="n">
        <v>0</v>
      </c>
      <c r="AM264" s="0" t="n">
        <v>0</v>
      </c>
    </row>
    <row r="265" customFormat="false" ht="12.75" hidden="false" customHeight="false" outlineLevel="0" collapsed="false">
      <c r="A265" s="0" t="s">
        <v>621</v>
      </c>
      <c r="B265" s="0" t="str">
        <f aca="false">'Basis Options'!C270</f>
        <v>NL2540.2</v>
      </c>
      <c r="C265" s="0" t="s">
        <v>622</v>
      </c>
      <c r="D265" s="0" t="s">
        <v>623</v>
      </c>
      <c r="E265" s="0" t="s">
        <v>131</v>
      </c>
      <c r="F265" s="0" t="str">
        <f aca="false">'Basis Options'!A270</f>
        <v>ELPASMER</v>
      </c>
      <c r="G265" s="0" t="s">
        <v>628</v>
      </c>
      <c r="H265" s="0" t="s">
        <v>625</v>
      </c>
      <c r="I265" s="0" t="s">
        <v>626</v>
      </c>
      <c r="J265" s="0" t="s">
        <v>627</v>
      </c>
      <c r="K265" s="475" t="n">
        <f aca="false">'Basis Options'!G270</f>
        <v>36923</v>
      </c>
      <c r="L265" s="254" t="e">
        <f aca="false">'Basis Options'!U270</f>
        <v>#NAME?</v>
      </c>
      <c r="M265" s="475" t="n">
        <f aca="false">'Basis Options'!Q270</f>
        <v>36921</v>
      </c>
      <c r="N265" s="0" t="str">
        <f aca="false">'Basis Options'!F270</f>
        <v>C</v>
      </c>
      <c r="O265" s="0" t="n">
        <f aca="false">'Basis Options'!I270</f>
        <v>2.5</v>
      </c>
      <c r="P265" s="0" t="n">
        <v>0</v>
      </c>
      <c r="Q265" s="0" t="n">
        <v>0</v>
      </c>
      <c r="R265" s="0" t="n">
        <v>0</v>
      </c>
      <c r="S265" s="0" t="n">
        <v>0</v>
      </c>
      <c r="T265" s="0" t="s">
        <v>624</v>
      </c>
      <c r="U265" s="0" t="str">
        <f aca="false">IF('Basis Options'!D270="NGI/CHI. GATE","""NGI/CHI. GATE""",TRIM('Basis Options'!D270))</f>
        <v>IF-TRANSCO/Z6</v>
      </c>
      <c r="V265" s="0" t="s">
        <v>624</v>
      </c>
      <c r="W265" s="0" t="s">
        <v>569</v>
      </c>
      <c r="X265" s="0" t="s">
        <v>624</v>
      </c>
      <c r="Y265" s="0" t="s">
        <v>627</v>
      </c>
      <c r="Z265" s="0" t="s">
        <v>629</v>
      </c>
      <c r="AA265" s="0" t="s">
        <v>624</v>
      </c>
      <c r="AB265" s="0" t="s">
        <v>132</v>
      </c>
      <c r="AC265" s="254" t="n">
        <f aca="false">'Basis Options'!H270</f>
        <v>1000000</v>
      </c>
      <c r="AD265" s="254" t="e">
        <f aca="false">'Basis Options'!W270</f>
        <v>#NAME?</v>
      </c>
      <c r="AE265" s="0" t="n">
        <v>0</v>
      </c>
      <c r="AF265" s="0" t="n">
        <v>0</v>
      </c>
      <c r="AG265" s="0" t="n">
        <v>0</v>
      </c>
      <c r="AH265" s="254" t="e">
        <f aca="false">'Basis Options'!CD270</f>
        <v>#NAME?</v>
      </c>
      <c r="AI265" s="0" t="n">
        <v>226</v>
      </c>
      <c r="AJ265" s="0" t="s">
        <v>630</v>
      </c>
      <c r="AK265" s="0" t="n">
        <v>0</v>
      </c>
      <c r="AL265" s="0" t="n">
        <v>0</v>
      </c>
      <c r="AM265" s="0" t="n">
        <v>0</v>
      </c>
    </row>
    <row r="266" customFormat="false" ht="12.75" hidden="false" customHeight="false" outlineLevel="0" collapsed="false">
      <c r="A266" s="0" t="s">
        <v>621</v>
      </c>
      <c r="B266" s="0" t="str">
        <f aca="false">'Basis Options'!C271</f>
        <v>NL2540.2</v>
      </c>
      <c r="C266" s="0" t="s">
        <v>622</v>
      </c>
      <c r="D266" s="0" t="s">
        <v>623</v>
      </c>
      <c r="E266" s="0" t="s">
        <v>131</v>
      </c>
      <c r="F266" s="0" t="str">
        <f aca="false">'Basis Options'!A271</f>
        <v>ELPASMER</v>
      </c>
      <c r="G266" s="0" t="s">
        <v>628</v>
      </c>
      <c r="H266" s="0" t="s">
        <v>625</v>
      </c>
      <c r="I266" s="0" t="s">
        <v>626</v>
      </c>
      <c r="J266" s="0" t="s">
        <v>627</v>
      </c>
      <c r="K266" s="475" t="n">
        <f aca="false">'Basis Options'!G271</f>
        <v>36892</v>
      </c>
      <c r="L266" s="254" t="e">
        <f aca="false">'Basis Options'!U271</f>
        <v>#NAME?</v>
      </c>
      <c r="M266" s="475" t="n">
        <f aca="false">'Basis Options'!Q271</f>
        <v>36888</v>
      </c>
      <c r="N266" s="0" t="str">
        <f aca="false">'Basis Options'!F271</f>
        <v>C</v>
      </c>
      <c r="O266" s="0" t="n">
        <f aca="false">'Basis Options'!I271</f>
        <v>2.5</v>
      </c>
      <c r="P266" s="0" t="n">
        <v>0</v>
      </c>
      <c r="Q266" s="0" t="n">
        <v>0</v>
      </c>
      <c r="R266" s="0" t="n">
        <v>0</v>
      </c>
      <c r="S266" s="0" t="n">
        <v>0</v>
      </c>
      <c r="T266" s="0" t="s">
        <v>624</v>
      </c>
      <c r="U266" s="0" t="str">
        <f aca="false">IF('Basis Options'!D271="NGI/CHI. GATE","""NGI/CHI. GATE""",TRIM('Basis Options'!D271))</f>
        <v>IF-TRANSCO/Z6</v>
      </c>
      <c r="V266" s="0" t="s">
        <v>624</v>
      </c>
      <c r="W266" s="0" t="s">
        <v>569</v>
      </c>
      <c r="X266" s="0" t="s">
        <v>624</v>
      </c>
      <c r="Y266" s="0" t="s">
        <v>627</v>
      </c>
      <c r="Z266" s="0" t="s">
        <v>629</v>
      </c>
      <c r="AA266" s="0" t="s">
        <v>624</v>
      </c>
      <c r="AB266" s="0" t="s">
        <v>132</v>
      </c>
      <c r="AC266" s="254" t="n">
        <f aca="false">'Basis Options'!H271</f>
        <v>1000000</v>
      </c>
      <c r="AD266" s="254" t="e">
        <f aca="false">'Basis Options'!W271</f>
        <v>#NAME?</v>
      </c>
      <c r="AE266" s="0" t="n">
        <v>0</v>
      </c>
      <c r="AF266" s="0" t="n">
        <v>0</v>
      </c>
      <c r="AG266" s="0" t="n">
        <v>0</v>
      </c>
      <c r="AH266" s="254" t="e">
        <f aca="false">'Basis Options'!CD271</f>
        <v>#NAME?</v>
      </c>
      <c r="AI266" s="0" t="n">
        <v>226</v>
      </c>
      <c r="AJ266" s="0" t="s">
        <v>630</v>
      </c>
      <c r="AK266" s="0" t="n">
        <v>0</v>
      </c>
      <c r="AL266" s="0" t="n">
        <v>0</v>
      </c>
      <c r="AM266" s="0" t="n">
        <v>0</v>
      </c>
    </row>
    <row r="267" customFormat="false" ht="12.75" hidden="false" customHeight="false" outlineLevel="0" collapsed="false">
      <c r="A267" s="0" t="s">
        <v>621</v>
      </c>
      <c r="B267" s="0" t="str">
        <f aca="false">'Basis Options'!C272</f>
        <v>NL2540.2</v>
      </c>
      <c r="C267" s="0" t="s">
        <v>622</v>
      </c>
      <c r="D267" s="0" t="s">
        <v>623</v>
      </c>
      <c r="E267" s="0" t="s">
        <v>131</v>
      </c>
      <c r="F267" s="0" t="str">
        <f aca="false">'Basis Options'!A272</f>
        <v>ELPASMER</v>
      </c>
      <c r="G267" s="0" t="s">
        <v>628</v>
      </c>
      <c r="H267" s="0" t="s">
        <v>625</v>
      </c>
      <c r="I267" s="0" t="s">
        <v>626</v>
      </c>
      <c r="J267" s="0" t="s">
        <v>627</v>
      </c>
      <c r="K267" s="475" t="n">
        <f aca="false">'Basis Options'!G272</f>
        <v>36861</v>
      </c>
      <c r="L267" s="254" t="e">
        <f aca="false">'Basis Options'!U272</f>
        <v>#NAME?</v>
      </c>
      <c r="M267" s="475" t="n">
        <f aca="false">'Basis Options'!Q272</f>
        <v>36859</v>
      </c>
      <c r="N267" s="0" t="str">
        <f aca="false">'Basis Options'!F272</f>
        <v>C</v>
      </c>
      <c r="O267" s="0" t="n">
        <f aca="false">'Basis Options'!I272</f>
        <v>2.5</v>
      </c>
      <c r="P267" s="0" t="n">
        <v>0</v>
      </c>
      <c r="Q267" s="0" t="n">
        <v>0</v>
      </c>
      <c r="R267" s="0" t="n">
        <v>0</v>
      </c>
      <c r="S267" s="0" t="n">
        <v>0</v>
      </c>
      <c r="T267" s="0" t="s">
        <v>624</v>
      </c>
      <c r="U267" s="0" t="str">
        <f aca="false">IF('Basis Options'!D272="NGI/CHI. GATE","""NGI/CHI. GATE""",TRIM('Basis Options'!D272))</f>
        <v>IF-TRANSCO/Z6</v>
      </c>
      <c r="V267" s="0" t="s">
        <v>624</v>
      </c>
      <c r="W267" s="0" t="s">
        <v>569</v>
      </c>
      <c r="X267" s="0" t="s">
        <v>624</v>
      </c>
      <c r="Y267" s="0" t="s">
        <v>627</v>
      </c>
      <c r="Z267" s="0" t="s">
        <v>629</v>
      </c>
      <c r="AA267" s="0" t="s">
        <v>624</v>
      </c>
      <c r="AB267" s="0" t="s">
        <v>132</v>
      </c>
      <c r="AC267" s="254" t="n">
        <f aca="false">'Basis Options'!H272</f>
        <v>1000000</v>
      </c>
      <c r="AD267" s="254" t="e">
        <f aca="false">'Basis Options'!W272</f>
        <v>#NAME?</v>
      </c>
      <c r="AE267" s="0" t="n">
        <v>0</v>
      </c>
      <c r="AF267" s="0" t="n">
        <v>0</v>
      </c>
      <c r="AG267" s="0" t="n">
        <v>0</v>
      </c>
      <c r="AH267" s="254" t="e">
        <f aca="false">'Basis Options'!CD272</f>
        <v>#NAME?</v>
      </c>
      <c r="AI267" s="0" t="n">
        <v>226</v>
      </c>
      <c r="AJ267" s="0" t="s">
        <v>630</v>
      </c>
      <c r="AK267" s="0" t="n">
        <v>0</v>
      </c>
      <c r="AL267" s="0" t="n">
        <v>0</v>
      </c>
      <c r="AM267" s="0" t="n">
        <v>0</v>
      </c>
    </row>
    <row r="268" customFormat="false" ht="12.75" hidden="false" customHeight="false" outlineLevel="0" collapsed="false">
      <c r="A268" s="0" t="s">
        <v>621</v>
      </c>
      <c r="B268" s="0" t="str">
        <f aca="false">'Basis Options'!C273</f>
        <v>NL2540.2</v>
      </c>
      <c r="C268" s="0" t="s">
        <v>622</v>
      </c>
      <c r="D268" s="0" t="s">
        <v>623</v>
      </c>
      <c r="E268" s="0" t="s">
        <v>131</v>
      </c>
      <c r="F268" s="0" t="str">
        <f aca="false">'Basis Options'!A273</f>
        <v>ELPASMER</v>
      </c>
      <c r="G268" s="0" t="s">
        <v>628</v>
      </c>
      <c r="H268" s="0" t="s">
        <v>625</v>
      </c>
      <c r="I268" s="0" t="s">
        <v>626</v>
      </c>
      <c r="J268" s="0" t="s">
        <v>627</v>
      </c>
      <c r="K268" s="475" t="n">
        <f aca="false">'Basis Options'!G273</f>
        <v>36831</v>
      </c>
      <c r="L268" s="254" t="e">
        <f aca="false">'Basis Options'!U273</f>
        <v>#NAME?</v>
      </c>
      <c r="M268" s="475" t="n">
        <f aca="false">'Basis Options'!Q273</f>
        <v>36829</v>
      </c>
      <c r="N268" s="0" t="str">
        <f aca="false">'Basis Options'!F273</f>
        <v>C</v>
      </c>
      <c r="O268" s="0" t="n">
        <f aca="false">'Basis Options'!I273</f>
        <v>2.5</v>
      </c>
      <c r="P268" s="0" t="n">
        <v>0</v>
      </c>
      <c r="Q268" s="0" t="n">
        <v>0</v>
      </c>
      <c r="R268" s="0" t="n">
        <v>0</v>
      </c>
      <c r="S268" s="0" t="n">
        <v>0</v>
      </c>
      <c r="T268" s="0" t="s">
        <v>624</v>
      </c>
      <c r="U268" s="0" t="str">
        <f aca="false">IF('Basis Options'!D273="NGI/CHI. GATE","""NGI/CHI. GATE""",TRIM('Basis Options'!D273))</f>
        <v>IF-TRANSCO/Z6</v>
      </c>
      <c r="V268" s="0" t="s">
        <v>624</v>
      </c>
      <c r="W268" s="0" t="s">
        <v>569</v>
      </c>
      <c r="X268" s="0" t="s">
        <v>624</v>
      </c>
      <c r="Y268" s="0" t="s">
        <v>627</v>
      </c>
      <c r="Z268" s="0" t="s">
        <v>629</v>
      </c>
      <c r="AA268" s="0" t="s">
        <v>624</v>
      </c>
      <c r="AB268" s="0" t="s">
        <v>132</v>
      </c>
      <c r="AC268" s="254" t="n">
        <f aca="false">'Basis Options'!H273</f>
        <v>1000000</v>
      </c>
      <c r="AD268" s="254" t="e">
        <f aca="false">'Basis Options'!W273</f>
        <v>#NAME?</v>
      </c>
      <c r="AE268" s="0" t="n">
        <v>0</v>
      </c>
      <c r="AF268" s="0" t="n">
        <v>0</v>
      </c>
      <c r="AG268" s="0" t="n">
        <v>0</v>
      </c>
      <c r="AH268" s="254" t="e">
        <f aca="false">'Basis Options'!CD273</f>
        <v>#NAME?</v>
      </c>
      <c r="AI268" s="0" t="n">
        <v>226</v>
      </c>
      <c r="AJ268" s="0" t="s">
        <v>630</v>
      </c>
      <c r="AK268" s="0" t="n">
        <v>0</v>
      </c>
      <c r="AL268" s="0" t="n">
        <v>0</v>
      </c>
      <c r="AM268" s="0" t="n">
        <v>0</v>
      </c>
    </row>
    <row r="269" customFormat="false" ht="12.75" hidden="false" customHeight="false" outlineLevel="0" collapsed="false">
      <c r="A269" s="0" t="s">
        <v>621</v>
      </c>
      <c r="B269" s="0" t="str">
        <f aca="false">'Basis Options'!C274</f>
        <v>NL4381.1</v>
      </c>
      <c r="C269" s="0" t="s">
        <v>622</v>
      </c>
      <c r="D269" s="0" t="s">
        <v>623</v>
      </c>
      <c r="E269" s="0" t="s">
        <v>131</v>
      </c>
      <c r="F269" s="0" t="str">
        <f aca="false">'Basis Options'!A274</f>
        <v>ELPASMER</v>
      </c>
      <c r="G269" s="0" t="s">
        <v>628</v>
      </c>
      <c r="H269" s="0" t="s">
        <v>625</v>
      </c>
      <c r="I269" s="0" t="s">
        <v>626</v>
      </c>
      <c r="J269" s="0" t="s">
        <v>627</v>
      </c>
      <c r="K269" s="475" t="n">
        <f aca="false">'Basis Options'!G274</f>
        <v>36800</v>
      </c>
      <c r="L269" s="254" t="e">
        <f aca="false">'Basis Options'!U274</f>
        <v>#NAME?</v>
      </c>
      <c r="M269" s="475" t="n">
        <f aca="false">'Basis Options'!Q274</f>
        <v>36797</v>
      </c>
      <c r="N269" s="0" t="str">
        <f aca="false">'Basis Options'!F274</f>
        <v>P</v>
      </c>
      <c r="O269" s="0" t="n">
        <f aca="false">'Basis Options'!I274</f>
        <v>0.5</v>
      </c>
      <c r="P269" s="0" t="n">
        <v>0</v>
      </c>
      <c r="Q269" s="0" t="n">
        <v>0</v>
      </c>
      <c r="R269" s="0" t="n">
        <v>0</v>
      </c>
      <c r="S269" s="0" t="n">
        <v>0</v>
      </c>
      <c r="T269" s="0" t="s">
        <v>624</v>
      </c>
      <c r="U269" s="0" t="str">
        <f aca="false">IF('Basis Options'!D274="NGI/CHI. GATE","""NGI/CHI. GATE""",TRIM('Basis Options'!D274))</f>
        <v>IF-TRANSCO/Z6</v>
      </c>
      <c r="V269" s="0" t="s">
        <v>624</v>
      </c>
      <c r="W269" s="0" t="s">
        <v>569</v>
      </c>
      <c r="X269" s="0" t="s">
        <v>624</v>
      </c>
      <c r="Y269" s="0" t="s">
        <v>627</v>
      </c>
      <c r="Z269" s="0" t="s">
        <v>629</v>
      </c>
      <c r="AA269" s="0" t="s">
        <v>624</v>
      </c>
      <c r="AB269" s="0" t="s">
        <v>132</v>
      </c>
      <c r="AC269" s="254" t="n">
        <f aca="false">'Basis Options'!H274</f>
        <v>-1000000</v>
      </c>
      <c r="AD269" s="254" t="e">
        <f aca="false">'Basis Options'!W274</f>
        <v>#NAME?</v>
      </c>
      <c r="AE269" s="0" t="n">
        <v>0</v>
      </c>
      <c r="AF269" s="0" t="n">
        <v>0</v>
      </c>
      <c r="AG269" s="0" t="n">
        <v>0</v>
      </c>
      <c r="AH269" s="254" t="e">
        <f aca="false">'Basis Options'!CD274</f>
        <v>#NAME?</v>
      </c>
      <c r="AI269" s="0" t="n">
        <v>226</v>
      </c>
      <c r="AJ269" s="0" t="s">
        <v>630</v>
      </c>
      <c r="AK269" s="0" t="n">
        <v>0</v>
      </c>
      <c r="AL269" s="0" t="n">
        <v>0</v>
      </c>
      <c r="AM269" s="0" t="n">
        <v>0</v>
      </c>
    </row>
    <row r="270" customFormat="false" ht="12.75" hidden="false" customHeight="false" outlineLevel="0" collapsed="false">
      <c r="A270" s="0" t="s">
        <v>621</v>
      </c>
      <c r="B270" s="0" t="str">
        <f aca="false">'Basis Options'!C275</f>
        <v>NL4381.1</v>
      </c>
      <c r="C270" s="0" t="s">
        <v>622</v>
      </c>
      <c r="D270" s="0" t="s">
        <v>623</v>
      </c>
      <c r="E270" s="0" t="s">
        <v>131</v>
      </c>
      <c r="F270" s="0" t="str">
        <f aca="false">'Basis Options'!A275</f>
        <v>ELPASMER</v>
      </c>
      <c r="G270" s="0" t="s">
        <v>628</v>
      </c>
      <c r="H270" s="0" t="s">
        <v>625</v>
      </c>
      <c r="I270" s="0" t="s">
        <v>626</v>
      </c>
      <c r="J270" s="0" t="s">
        <v>627</v>
      </c>
      <c r="K270" s="475" t="n">
        <f aca="false">'Basis Options'!G275</f>
        <v>36770</v>
      </c>
      <c r="L270" s="254" t="e">
        <f aca="false">'Basis Options'!U275</f>
        <v>#NAME?</v>
      </c>
      <c r="M270" s="475" t="n">
        <f aca="false">'Basis Options'!Q275</f>
        <v>36768</v>
      </c>
      <c r="N270" s="0" t="str">
        <f aca="false">'Basis Options'!F275</f>
        <v>P</v>
      </c>
      <c r="O270" s="0" t="n">
        <f aca="false">'Basis Options'!I275</f>
        <v>0.5</v>
      </c>
      <c r="P270" s="0" t="n">
        <v>0</v>
      </c>
      <c r="Q270" s="0" t="n">
        <v>0</v>
      </c>
      <c r="R270" s="0" t="n">
        <v>0</v>
      </c>
      <c r="S270" s="0" t="n">
        <v>0</v>
      </c>
      <c r="T270" s="0" t="s">
        <v>624</v>
      </c>
      <c r="U270" s="0" t="str">
        <f aca="false">IF('Basis Options'!D275="NGI/CHI. GATE","""NGI/CHI. GATE""",TRIM('Basis Options'!D275))</f>
        <v>IF-TRANSCO/Z6</v>
      </c>
      <c r="V270" s="0" t="s">
        <v>624</v>
      </c>
      <c r="W270" s="0" t="s">
        <v>569</v>
      </c>
      <c r="X270" s="0" t="s">
        <v>624</v>
      </c>
      <c r="Y270" s="0" t="s">
        <v>627</v>
      </c>
      <c r="Z270" s="0" t="s">
        <v>629</v>
      </c>
      <c r="AA270" s="0" t="s">
        <v>624</v>
      </c>
      <c r="AB270" s="0" t="s">
        <v>132</v>
      </c>
      <c r="AC270" s="254" t="n">
        <f aca="false">'Basis Options'!H275</f>
        <v>-1000000</v>
      </c>
      <c r="AD270" s="254" t="e">
        <f aca="false">'Basis Options'!W275</f>
        <v>#NAME?</v>
      </c>
      <c r="AE270" s="0" t="n">
        <v>0</v>
      </c>
      <c r="AF270" s="0" t="n">
        <v>0</v>
      </c>
      <c r="AG270" s="0" t="n">
        <v>0</v>
      </c>
      <c r="AH270" s="254" t="e">
        <f aca="false">'Basis Options'!CD275</f>
        <v>#NAME?</v>
      </c>
      <c r="AI270" s="0" t="n">
        <v>226</v>
      </c>
      <c r="AJ270" s="0" t="s">
        <v>630</v>
      </c>
      <c r="AK270" s="0" t="n">
        <v>0</v>
      </c>
      <c r="AL270" s="0" t="n">
        <v>0</v>
      </c>
      <c r="AM270" s="0" t="n">
        <v>0</v>
      </c>
    </row>
    <row r="271" customFormat="false" ht="12.75" hidden="false" customHeight="false" outlineLevel="0" collapsed="false">
      <c r="A271" s="0" t="s">
        <v>621</v>
      </c>
      <c r="B271" s="0" t="str">
        <f aca="false">'Basis Options'!C276</f>
        <v>NL4381.2</v>
      </c>
      <c r="C271" s="0" t="s">
        <v>622</v>
      </c>
      <c r="D271" s="0" t="s">
        <v>623</v>
      </c>
      <c r="E271" s="0" t="s">
        <v>131</v>
      </c>
      <c r="F271" s="0" t="str">
        <f aca="false">'Basis Options'!A276</f>
        <v>ELPASMER</v>
      </c>
      <c r="G271" s="0" t="s">
        <v>628</v>
      </c>
      <c r="H271" s="0" t="s">
        <v>625</v>
      </c>
      <c r="I271" s="0" t="s">
        <v>626</v>
      </c>
      <c r="J271" s="0" t="s">
        <v>627</v>
      </c>
      <c r="K271" s="475" t="n">
        <f aca="false">'Basis Options'!G276</f>
        <v>36800</v>
      </c>
      <c r="L271" s="254" t="e">
        <f aca="false">'Basis Options'!U276</f>
        <v>#NAME?</v>
      </c>
      <c r="M271" s="475" t="n">
        <f aca="false">'Basis Options'!Q276</f>
        <v>36797</v>
      </c>
      <c r="N271" s="0" t="str">
        <f aca="false">'Basis Options'!F276</f>
        <v>P</v>
      </c>
      <c r="O271" s="0" t="n">
        <f aca="false">'Basis Options'!I276</f>
        <v>0.3</v>
      </c>
      <c r="P271" s="0" t="n">
        <v>0</v>
      </c>
      <c r="Q271" s="0" t="n">
        <v>0</v>
      </c>
      <c r="R271" s="0" t="n">
        <v>0</v>
      </c>
      <c r="S271" s="0" t="n">
        <v>0</v>
      </c>
      <c r="T271" s="0" t="s">
        <v>624</v>
      </c>
      <c r="U271" s="0" t="str">
        <f aca="false">IF('Basis Options'!D276="NGI/CHI. GATE","""NGI/CHI. GATE""",TRIM('Basis Options'!D276))</f>
        <v>IF-TRANSCO/Z6</v>
      </c>
      <c r="V271" s="0" t="s">
        <v>624</v>
      </c>
      <c r="W271" s="0" t="s">
        <v>569</v>
      </c>
      <c r="X271" s="0" t="s">
        <v>624</v>
      </c>
      <c r="Y271" s="0" t="s">
        <v>627</v>
      </c>
      <c r="Z271" s="0" t="s">
        <v>629</v>
      </c>
      <c r="AA271" s="0" t="s">
        <v>624</v>
      </c>
      <c r="AB271" s="0" t="s">
        <v>132</v>
      </c>
      <c r="AC271" s="254" t="n">
        <f aca="false">'Basis Options'!H276</f>
        <v>1000000</v>
      </c>
      <c r="AD271" s="254" t="e">
        <f aca="false">'Basis Options'!W276</f>
        <v>#NAME?</v>
      </c>
      <c r="AE271" s="0" t="n">
        <v>0</v>
      </c>
      <c r="AF271" s="0" t="n">
        <v>0</v>
      </c>
      <c r="AG271" s="0" t="n">
        <v>0</v>
      </c>
      <c r="AH271" s="254" t="e">
        <f aca="false">'Basis Options'!CD276</f>
        <v>#NAME?</v>
      </c>
      <c r="AI271" s="0" t="n">
        <v>226</v>
      </c>
      <c r="AJ271" s="0" t="s">
        <v>630</v>
      </c>
      <c r="AK271" s="0" t="n">
        <v>0</v>
      </c>
      <c r="AL271" s="0" t="n">
        <v>0</v>
      </c>
      <c r="AM271" s="0" t="n">
        <v>0</v>
      </c>
    </row>
    <row r="272" customFormat="false" ht="12.75" hidden="false" customHeight="false" outlineLevel="0" collapsed="false">
      <c r="A272" s="0" t="s">
        <v>621</v>
      </c>
      <c r="B272" s="0" t="str">
        <f aca="false">'Basis Options'!C277</f>
        <v>NL4381.2</v>
      </c>
      <c r="C272" s="0" t="s">
        <v>622</v>
      </c>
      <c r="D272" s="0" t="s">
        <v>623</v>
      </c>
      <c r="E272" s="0" t="s">
        <v>131</v>
      </c>
      <c r="F272" s="0" t="str">
        <f aca="false">'Basis Options'!A277</f>
        <v>ELPASMER</v>
      </c>
      <c r="G272" s="0" t="s">
        <v>628</v>
      </c>
      <c r="H272" s="0" t="s">
        <v>625</v>
      </c>
      <c r="I272" s="0" t="s">
        <v>626</v>
      </c>
      <c r="J272" s="0" t="s">
        <v>627</v>
      </c>
      <c r="K272" s="475" t="n">
        <f aca="false">'Basis Options'!G277</f>
        <v>36770</v>
      </c>
      <c r="L272" s="254" t="e">
        <f aca="false">'Basis Options'!U277</f>
        <v>#NAME?</v>
      </c>
      <c r="M272" s="475" t="n">
        <f aca="false">'Basis Options'!Q277</f>
        <v>36768</v>
      </c>
      <c r="N272" s="0" t="str">
        <f aca="false">'Basis Options'!F277</f>
        <v>P</v>
      </c>
      <c r="O272" s="0" t="n">
        <f aca="false">'Basis Options'!I277</f>
        <v>0.3</v>
      </c>
      <c r="P272" s="0" t="n">
        <v>0</v>
      </c>
      <c r="Q272" s="0" t="n">
        <v>0</v>
      </c>
      <c r="R272" s="0" t="n">
        <v>0</v>
      </c>
      <c r="S272" s="0" t="n">
        <v>0</v>
      </c>
      <c r="T272" s="0" t="s">
        <v>624</v>
      </c>
      <c r="U272" s="0" t="str">
        <f aca="false">IF('Basis Options'!D277="NGI/CHI. GATE","""NGI/CHI. GATE""",TRIM('Basis Options'!D277))</f>
        <v>IF-TRANSCO/Z6</v>
      </c>
      <c r="V272" s="0" t="s">
        <v>624</v>
      </c>
      <c r="W272" s="0" t="s">
        <v>569</v>
      </c>
      <c r="X272" s="0" t="s">
        <v>624</v>
      </c>
      <c r="Y272" s="0" t="s">
        <v>627</v>
      </c>
      <c r="Z272" s="0" t="s">
        <v>629</v>
      </c>
      <c r="AA272" s="0" t="s">
        <v>624</v>
      </c>
      <c r="AB272" s="0" t="s">
        <v>132</v>
      </c>
      <c r="AC272" s="254" t="n">
        <f aca="false">'Basis Options'!H277</f>
        <v>1000000</v>
      </c>
      <c r="AD272" s="254" t="e">
        <f aca="false">'Basis Options'!W277</f>
        <v>#NAME?</v>
      </c>
      <c r="AE272" s="0" t="n">
        <v>0</v>
      </c>
      <c r="AF272" s="0" t="n">
        <v>0</v>
      </c>
      <c r="AG272" s="0" t="n">
        <v>0</v>
      </c>
      <c r="AH272" s="254" t="e">
        <f aca="false">'Basis Options'!CD277</f>
        <v>#NAME?</v>
      </c>
      <c r="AI272" s="0" t="n">
        <v>226</v>
      </c>
      <c r="AJ272" s="0" t="s">
        <v>630</v>
      </c>
      <c r="AK272" s="0" t="n">
        <v>0</v>
      </c>
      <c r="AL272" s="0" t="n">
        <v>0</v>
      </c>
      <c r="AM272" s="0" t="n">
        <v>0</v>
      </c>
    </row>
    <row r="273" customFormat="false" ht="12.75" hidden="false" customHeight="false" outlineLevel="0" collapsed="false">
      <c r="A273" s="0" t="s">
        <v>621</v>
      </c>
      <c r="B273" s="0" t="str">
        <f aca="false">'Basis Options'!C278</f>
        <v>NL6881</v>
      </c>
      <c r="C273" s="0" t="s">
        <v>622</v>
      </c>
      <c r="D273" s="0" t="s">
        <v>623</v>
      </c>
      <c r="E273" s="0" t="s">
        <v>131</v>
      </c>
      <c r="F273" s="0" t="str">
        <f aca="false">'Basis Options'!A278</f>
        <v>ELPASMER</v>
      </c>
      <c r="G273" s="0" t="s">
        <v>628</v>
      </c>
      <c r="H273" s="0" t="s">
        <v>625</v>
      </c>
      <c r="I273" s="0" t="s">
        <v>626</v>
      </c>
      <c r="J273" s="0" t="s">
        <v>627</v>
      </c>
      <c r="K273" s="475" t="n">
        <f aca="false">'Basis Options'!G278</f>
        <v>36951</v>
      </c>
      <c r="L273" s="254" t="e">
        <f aca="false">'Basis Options'!U278</f>
        <v>#NAME?</v>
      </c>
      <c r="M273" s="475" t="n">
        <f aca="false">'Basis Options'!Q278</f>
        <v>36949</v>
      </c>
      <c r="N273" s="0" t="str">
        <f aca="false">'Basis Options'!F278</f>
        <v>C</v>
      </c>
      <c r="O273" s="0" t="n">
        <f aca="false">'Basis Options'!I278</f>
        <v>3</v>
      </c>
      <c r="P273" s="0" t="n">
        <v>0</v>
      </c>
      <c r="Q273" s="0" t="n">
        <v>0</v>
      </c>
      <c r="R273" s="0" t="n">
        <v>0</v>
      </c>
      <c r="S273" s="0" t="n">
        <v>0</v>
      </c>
      <c r="T273" s="0" t="s">
        <v>624</v>
      </c>
      <c r="U273" s="0" t="str">
        <f aca="false">IF('Basis Options'!D278="NGI/CHI. GATE","""NGI/CHI. GATE""",TRIM('Basis Options'!D278))</f>
        <v>IF-TRANSCO/Z6</v>
      </c>
      <c r="V273" s="0" t="s">
        <v>624</v>
      </c>
      <c r="W273" s="0" t="s">
        <v>569</v>
      </c>
      <c r="X273" s="0" t="s">
        <v>624</v>
      </c>
      <c r="Y273" s="0" t="s">
        <v>627</v>
      </c>
      <c r="Z273" s="0" t="s">
        <v>629</v>
      </c>
      <c r="AA273" s="0" t="s">
        <v>624</v>
      </c>
      <c r="AB273" s="0" t="s">
        <v>132</v>
      </c>
      <c r="AC273" s="254" t="n">
        <f aca="false">'Basis Options'!H278</f>
        <v>-1000000</v>
      </c>
      <c r="AD273" s="254" t="e">
        <f aca="false">'Basis Options'!W278</f>
        <v>#NAME?</v>
      </c>
      <c r="AE273" s="0" t="n">
        <v>0</v>
      </c>
      <c r="AF273" s="0" t="n">
        <v>0</v>
      </c>
      <c r="AG273" s="0" t="n">
        <v>0</v>
      </c>
      <c r="AH273" s="254" t="e">
        <f aca="false">'Basis Options'!CD278</f>
        <v>#NAME?</v>
      </c>
      <c r="AI273" s="0" t="n">
        <v>226</v>
      </c>
      <c r="AJ273" s="0" t="s">
        <v>630</v>
      </c>
      <c r="AK273" s="0" t="n">
        <v>0</v>
      </c>
      <c r="AL273" s="0" t="n">
        <v>0</v>
      </c>
      <c r="AM273" s="0" t="n">
        <v>0</v>
      </c>
    </row>
    <row r="274" customFormat="false" ht="12.75" hidden="false" customHeight="false" outlineLevel="0" collapsed="false">
      <c r="A274" s="0" t="s">
        <v>621</v>
      </c>
      <c r="B274" s="0" t="str">
        <f aca="false">'Basis Options'!C279</f>
        <v>NL6881</v>
      </c>
      <c r="C274" s="0" t="s">
        <v>622</v>
      </c>
      <c r="D274" s="0" t="s">
        <v>623</v>
      </c>
      <c r="E274" s="0" t="s">
        <v>131</v>
      </c>
      <c r="F274" s="0" t="str">
        <f aca="false">'Basis Options'!A279</f>
        <v>ELPASMER</v>
      </c>
      <c r="G274" s="0" t="s">
        <v>628</v>
      </c>
      <c r="H274" s="0" t="s">
        <v>625</v>
      </c>
      <c r="I274" s="0" t="s">
        <v>626</v>
      </c>
      <c r="J274" s="0" t="s">
        <v>627</v>
      </c>
      <c r="K274" s="475" t="n">
        <f aca="false">'Basis Options'!G279</f>
        <v>36923</v>
      </c>
      <c r="L274" s="254" t="e">
        <f aca="false">'Basis Options'!U279</f>
        <v>#NAME?</v>
      </c>
      <c r="M274" s="475" t="n">
        <f aca="false">'Basis Options'!Q279</f>
        <v>36921</v>
      </c>
      <c r="N274" s="0" t="str">
        <f aca="false">'Basis Options'!F279</f>
        <v>C</v>
      </c>
      <c r="O274" s="0" t="n">
        <f aca="false">'Basis Options'!I279</f>
        <v>3</v>
      </c>
      <c r="P274" s="0" t="n">
        <v>0</v>
      </c>
      <c r="Q274" s="0" t="n">
        <v>0</v>
      </c>
      <c r="R274" s="0" t="n">
        <v>0</v>
      </c>
      <c r="S274" s="0" t="n">
        <v>0</v>
      </c>
      <c r="T274" s="0" t="s">
        <v>624</v>
      </c>
      <c r="U274" s="0" t="str">
        <f aca="false">IF('Basis Options'!D279="NGI/CHI. GATE","""NGI/CHI. GATE""",TRIM('Basis Options'!D279))</f>
        <v>IF-TRANSCO/Z6</v>
      </c>
      <c r="V274" s="0" t="s">
        <v>624</v>
      </c>
      <c r="W274" s="0" t="s">
        <v>569</v>
      </c>
      <c r="X274" s="0" t="s">
        <v>624</v>
      </c>
      <c r="Y274" s="0" t="s">
        <v>627</v>
      </c>
      <c r="Z274" s="0" t="s">
        <v>629</v>
      </c>
      <c r="AA274" s="0" t="s">
        <v>624</v>
      </c>
      <c r="AB274" s="0" t="s">
        <v>132</v>
      </c>
      <c r="AC274" s="254" t="n">
        <f aca="false">'Basis Options'!H279</f>
        <v>-1000000</v>
      </c>
      <c r="AD274" s="254" t="e">
        <f aca="false">'Basis Options'!W279</f>
        <v>#NAME?</v>
      </c>
      <c r="AE274" s="0" t="n">
        <v>0</v>
      </c>
      <c r="AF274" s="0" t="n">
        <v>0</v>
      </c>
      <c r="AG274" s="0" t="n">
        <v>0</v>
      </c>
      <c r="AH274" s="254" t="e">
        <f aca="false">'Basis Options'!CD279</f>
        <v>#NAME?</v>
      </c>
      <c r="AI274" s="0" t="n">
        <v>226</v>
      </c>
      <c r="AJ274" s="0" t="s">
        <v>630</v>
      </c>
      <c r="AK274" s="0" t="n">
        <v>0</v>
      </c>
      <c r="AL274" s="0" t="n">
        <v>0</v>
      </c>
      <c r="AM274" s="0" t="n">
        <v>0</v>
      </c>
    </row>
    <row r="275" customFormat="false" ht="12.75" hidden="false" customHeight="false" outlineLevel="0" collapsed="false">
      <c r="A275" s="0" t="s">
        <v>621</v>
      </c>
      <c r="B275" s="0" t="str">
        <f aca="false">'Basis Options'!C280</f>
        <v>NL6881</v>
      </c>
      <c r="C275" s="0" t="s">
        <v>622</v>
      </c>
      <c r="D275" s="0" t="s">
        <v>623</v>
      </c>
      <c r="E275" s="0" t="s">
        <v>131</v>
      </c>
      <c r="F275" s="0" t="str">
        <f aca="false">'Basis Options'!A280</f>
        <v>ELPASMER</v>
      </c>
      <c r="G275" s="0" t="s">
        <v>628</v>
      </c>
      <c r="H275" s="0" t="s">
        <v>625</v>
      </c>
      <c r="I275" s="0" t="s">
        <v>626</v>
      </c>
      <c r="J275" s="0" t="s">
        <v>627</v>
      </c>
      <c r="K275" s="475" t="n">
        <f aca="false">'Basis Options'!G280</f>
        <v>36892</v>
      </c>
      <c r="L275" s="254" t="e">
        <f aca="false">'Basis Options'!U280</f>
        <v>#NAME?</v>
      </c>
      <c r="M275" s="475" t="n">
        <f aca="false">'Basis Options'!Q280</f>
        <v>36888</v>
      </c>
      <c r="N275" s="0" t="str">
        <f aca="false">'Basis Options'!F280</f>
        <v>C</v>
      </c>
      <c r="O275" s="0" t="n">
        <f aca="false">'Basis Options'!I280</f>
        <v>3</v>
      </c>
      <c r="P275" s="0" t="n">
        <v>0</v>
      </c>
      <c r="Q275" s="0" t="n">
        <v>0</v>
      </c>
      <c r="R275" s="0" t="n">
        <v>0</v>
      </c>
      <c r="S275" s="0" t="n">
        <v>0</v>
      </c>
      <c r="T275" s="0" t="s">
        <v>624</v>
      </c>
      <c r="U275" s="0" t="str">
        <f aca="false">IF('Basis Options'!D280="NGI/CHI. GATE","""NGI/CHI. GATE""",TRIM('Basis Options'!D280))</f>
        <v>IF-TRANSCO/Z6</v>
      </c>
      <c r="V275" s="0" t="s">
        <v>624</v>
      </c>
      <c r="W275" s="0" t="s">
        <v>569</v>
      </c>
      <c r="X275" s="0" t="s">
        <v>624</v>
      </c>
      <c r="Y275" s="0" t="s">
        <v>627</v>
      </c>
      <c r="Z275" s="0" t="s">
        <v>629</v>
      </c>
      <c r="AA275" s="0" t="s">
        <v>624</v>
      </c>
      <c r="AB275" s="0" t="s">
        <v>132</v>
      </c>
      <c r="AC275" s="254" t="n">
        <f aca="false">'Basis Options'!H280</f>
        <v>-1000000</v>
      </c>
      <c r="AD275" s="254" t="e">
        <f aca="false">'Basis Options'!W280</f>
        <v>#NAME?</v>
      </c>
      <c r="AE275" s="0" t="n">
        <v>0</v>
      </c>
      <c r="AF275" s="0" t="n">
        <v>0</v>
      </c>
      <c r="AG275" s="0" t="n">
        <v>0</v>
      </c>
      <c r="AH275" s="254" t="e">
        <f aca="false">'Basis Options'!CD280</f>
        <v>#NAME?</v>
      </c>
      <c r="AI275" s="0" t="n">
        <v>226</v>
      </c>
      <c r="AJ275" s="0" t="s">
        <v>630</v>
      </c>
      <c r="AK275" s="0" t="n">
        <v>0</v>
      </c>
      <c r="AL275" s="0" t="n">
        <v>0</v>
      </c>
      <c r="AM275" s="0" t="n">
        <v>0</v>
      </c>
    </row>
    <row r="276" customFormat="false" ht="12.75" hidden="false" customHeight="false" outlineLevel="0" collapsed="false">
      <c r="A276" s="0" t="s">
        <v>621</v>
      </c>
      <c r="B276" s="0" t="str">
        <f aca="false">'Basis Options'!C281</f>
        <v>NL6881</v>
      </c>
      <c r="C276" s="0" t="s">
        <v>622</v>
      </c>
      <c r="D276" s="0" t="s">
        <v>623</v>
      </c>
      <c r="E276" s="0" t="s">
        <v>131</v>
      </c>
      <c r="F276" s="0" t="str">
        <f aca="false">'Basis Options'!A281</f>
        <v>ELPASMER</v>
      </c>
      <c r="G276" s="0" t="s">
        <v>628</v>
      </c>
      <c r="H276" s="0" t="s">
        <v>625</v>
      </c>
      <c r="I276" s="0" t="s">
        <v>626</v>
      </c>
      <c r="J276" s="0" t="s">
        <v>627</v>
      </c>
      <c r="K276" s="475" t="n">
        <f aca="false">'Basis Options'!G281</f>
        <v>36861</v>
      </c>
      <c r="L276" s="254" t="e">
        <f aca="false">'Basis Options'!U281</f>
        <v>#NAME?</v>
      </c>
      <c r="M276" s="475" t="n">
        <f aca="false">'Basis Options'!Q281</f>
        <v>36859</v>
      </c>
      <c r="N276" s="0" t="str">
        <f aca="false">'Basis Options'!F281</f>
        <v>C</v>
      </c>
      <c r="O276" s="0" t="n">
        <f aca="false">'Basis Options'!I281</f>
        <v>3</v>
      </c>
      <c r="P276" s="0" t="n">
        <v>0</v>
      </c>
      <c r="Q276" s="0" t="n">
        <v>0</v>
      </c>
      <c r="R276" s="0" t="n">
        <v>0</v>
      </c>
      <c r="S276" s="0" t="n">
        <v>0</v>
      </c>
      <c r="T276" s="0" t="s">
        <v>624</v>
      </c>
      <c r="U276" s="0" t="str">
        <f aca="false">IF('Basis Options'!D281="NGI/CHI. GATE","""NGI/CHI. GATE""",TRIM('Basis Options'!D281))</f>
        <v>IF-TRANSCO/Z6</v>
      </c>
      <c r="V276" s="0" t="s">
        <v>624</v>
      </c>
      <c r="W276" s="0" t="s">
        <v>569</v>
      </c>
      <c r="X276" s="0" t="s">
        <v>624</v>
      </c>
      <c r="Y276" s="0" t="s">
        <v>627</v>
      </c>
      <c r="Z276" s="0" t="s">
        <v>629</v>
      </c>
      <c r="AA276" s="0" t="s">
        <v>624</v>
      </c>
      <c r="AB276" s="0" t="s">
        <v>132</v>
      </c>
      <c r="AC276" s="254" t="n">
        <f aca="false">'Basis Options'!H281</f>
        <v>-1000000</v>
      </c>
      <c r="AD276" s="254" t="e">
        <f aca="false">'Basis Options'!W281</f>
        <v>#NAME?</v>
      </c>
      <c r="AE276" s="0" t="n">
        <v>0</v>
      </c>
      <c r="AF276" s="0" t="n">
        <v>0</v>
      </c>
      <c r="AG276" s="0" t="n">
        <v>0</v>
      </c>
      <c r="AH276" s="254" t="e">
        <f aca="false">'Basis Options'!CD281</f>
        <v>#NAME?</v>
      </c>
      <c r="AI276" s="0" t="n">
        <v>226</v>
      </c>
      <c r="AJ276" s="0" t="s">
        <v>630</v>
      </c>
      <c r="AK276" s="0" t="n">
        <v>0</v>
      </c>
      <c r="AL276" s="0" t="n">
        <v>0</v>
      </c>
      <c r="AM276" s="0" t="n">
        <v>0</v>
      </c>
    </row>
    <row r="277" customFormat="false" ht="12.75" hidden="false" customHeight="false" outlineLevel="0" collapsed="false">
      <c r="A277" s="0" t="s">
        <v>621</v>
      </c>
      <c r="B277" s="0" t="str">
        <f aca="false">'Basis Options'!C282</f>
        <v>NL6881</v>
      </c>
      <c r="C277" s="0" t="s">
        <v>622</v>
      </c>
      <c r="D277" s="0" t="s">
        <v>623</v>
      </c>
      <c r="E277" s="0" t="s">
        <v>131</v>
      </c>
      <c r="F277" s="0" t="str">
        <f aca="false">'Basis Options'!A282</f>
        <v>ELPASMER</v>
      </c>
      <c r="G277" s="0" t="s">
        <v>628</v>
      </c>
      <c r="H277" s="0" t="s">
        <v>625</v>
      </c>
      <c r="I277" s="0" t="s">
        <v>626</v>
      </c>
      <c r="J277" s="0" t="s">
        <v>627</v>
      </c>
      <c r="K277" s="475" t="n">
        <f aca="false">'Basis Options'!G282</f>
        <v>36831</v>
      </c>
      <c r="L277" s="254" t="e">
        <f aca="false">'Basis Options'!U282</f>
        <v>#NAME?</v>
      </c>
      <c r="M277" s="475" t="n">
        <f aca="false">'Basis Options'!Q282</f>
        <v>36829</v>
      </c>
      <c r="N277" s="0" t="str">
        <f aca="false">'Basis Options'!F282</f>
        <v>C</v>
      </c>
      <c r="O277" s="0" t="n">
        <f aca="false">'Basis Options'!I282</f>
        <v>3</v>
      </c>
      <c r="P277" s="0" t="n">
        <v>0</v>
      </c>
      <c r="Q277" s="0" t="n">
        <v>0</v>
      </c>
      <c r="R277" s="0" t="n">
        <v>0</v>
      </c>
      <c r="S277" s="0" t="n">
        <v>0</v>
      </c>
      <c r="T277" s="0" t="s">
        <v>624</v>
      </c>
      <c r="U277" s="0" t="str">
        <f aca="false">IF('Basis Options'!D282="NGI/CHI. GATE","""NGI/CHI. GATE""",TRIM('Basis Options'!D282))</f>
        <v>IF-TRANSCO/Z6</v>
      </c>
      <c r="V277" s="0" t="s">
        <v>624</v>
      </c>
      <c r="W277" s="0" t="s">
        <v>569</v>
      </c>
      <c r="X277" s="0" t="s">
        <v>624</v>
      </c>
      <c r="Y277" s="0" t="s">
        <v>627</v>
      </c>
      <c r="Z277" s="0" t="s">
        <v>629</v>
      </c>
      <c r="AA277" s="0" t="s">
        <v>624</v>
      </c>
      <c r="AB277" s="0" t="s">
        <v>132</v>
      </c>
      <c r="AC277" s="254" t="n">
        <f aca="false">'Basis Options'!H282</f>
        <v>-1000000</v>
      </c>
      <c r="AD277" s="254" t="e">
        <f aca="false">'Basis Options'!W282</f>
        <v>#NAME?</v>
      </c>
      <c r="AE277" s="0" t="n">
        <v>0</v>
      </c>
      <c r="AF277" s="0" t="n">
        <v>0</v>
      </c>
      <c r="AG277" s="0" t="n">
        <v>0</v>
      </c>
      <c r="AH277" s="254" t="e">
        <f aca="false">'Basis Options'!CD282</f>
        <v>#NAME?</v>
      </c>
      <c r="AI277" s="0" t="n">
        <v>226</v>
      </c>
      <c r="AJ277" s="0" t="s">
        <v>630</v>
      </c>
      <c r="AK277" s="0" t="n">
        <v>0</v>
      </c>
      <c r="AL277" s="0" t="n">
        <v>0</v>
      </c>
      <c r="AM277" s="0" t="n">
        <v>0</v>
      </c>
    </row>
    <row r="278" customFormat="false" ht="12.75" hidden="false" customHeight="false" outlineLevel="0" collapsed="false">
      <c r="A278" s="0" t="s">
        <v>621</v>
      </c>
      <c r="B278" s="0" t="str">
        <f aca="false">'Basis Options'!C283</f>
        <v>NL6887</v>
      </c>
      <c r="C278" s="0" t="s">
        <v>622</v>
      </c>
      <c r="D278" s="0" t="s">
        <v>623</v>
      </c>
      <c r="E278" s="0" t="s">
        <v>131</v>
      </c>
      <c r="F278" s="0" t="str">
        <f aca="false">'Basis Options'!A283</f>
        <v>SOUTHERCOMENEMA</v>
      </c>
      <c r="G278" s="0" t="s">
        <v>628</v>
      </c>
      <c r="H278" s="0" t="s">
        <v>625</v>
      </c>
      <c r="I278" s="0" t="s">
        <v>626</v>
      </c>
      <c r="J278" s="0" t="s">
        <v>627</v>
      </c>
      <c r="K278" s="475" t="n">
        <f aca="false">'Basis Options'!G283</f>
        <v>36951</v>
      </c>
      <c r="L278" s="254" t="e">
        <f aca="false">'Basis Options'!U283</f>
        <v>#NAME?</v>
      </c>
      <c r="M278" s="475" t="n">
        <f aca="false">'Basis Options'!Q283</f>
        <v>36949</v>
      </c>
      <c r="N278" s="0" t="str">
        <f aca="false">'Basis Options'!F283</f>
        <v>P</v>
      </c>
      <c r="O278" s="0" t="n">
        <f aca="false">'Basis Options'!I283</f>
        <v>0.5</v>
      </c>
      <c r="P278" s="0" t="n">
        <v>0</v>
      </c>
      <c r="Q278" s="0" t="n">
        <v>0</v>
      </c>
      <c r="R278" s="0" t="n">
        <v>0</v>
      </c>
      <c r="S278" s="0" t="n">
        <v>0</v>
      </c>
      <c r="T278" s="0" t="s">
        <v>624</v>
      </c>
      <c r="U278" s="0" t="str">
        <f aca="false">IF('Basis Options'!D283="NGI/CHI. GATE","""NGI/CHI. GATE""",TRIM('Basis Options'!D283))</f>
        <v>IF-TRANSCO/Z6</v>
      </c>
      <c r="V278" s="0" t="s">
        <v>624</v>
      </c>
      <c r="W278" s="0" t="s">
        <v>569</v>
      </c>
      <c r="X278" s="0" t="s">
        <v>624</v>
      </c>
      <c r="Y278" s="0" t="s">
        <v>627</v>
      </c>
      <c r="Z278" s="0" t="s">
        <v>629</v>
      </c>
      <c r="AA278" s="0" t="s">
        <v>624</v>
      </c>
      <c r="AB278" s="0" t="s">
        <v>132</v>
      </c>
      <c r="AC278" s="254" t="n">
        <f aca="false">'Basis Options'!H283</f>
        <v>500000</v>
      </c>
      <c r="AD278" s="254" t="e">
        <f aca="false">'Basis Options'!W283</f>
        <v>#NAME?</v>
      </c>
      <c r="AE278" s="0" t="n">
        <v>0</v>
      </c>
      <c r="AF278" s="0" t="n">
        <v>0</v>
      </c>
      <c r="AG278" s="0" t="n">
        <v>0</v>
      </c>
      <c r="AH278" s="254" t="e">
        <f aca="false">'Basis Options'!CD283</f>
        <v>#NAME?</v>
      </c>
      <c r="AI278" s="0" t="n">
        <v>226</v>
      </c>
      <c r="AJ278" s="0" t="s">
        <v>630</v>
      </c>
      <c r="AK278" s="0" t="n">
        <v>0</v>
      </c>
      <c r="AL278" s="0" t="n">
        <v>0</v>
      </c>
      <c r="AM278" s="0" t="n">
        <v>0</v>
      </c>
    </row>
    <row r="279" customFormat="false" ht="12.75" hidden="false" customHeight="false" outlineLevel="0" collapsed="false">
      <c r="A279" s="0" t="s">
        <v>621</v>
      </c>
      <c r="B279" s="0" t="str">
        <f aca="false">'Basis Options'!C284</f>
        <v>NL6890.1</v>
      </c>
      <c r="C279" s="0" t="s">
        <v>622</v>
      </c>
      <c r="D279" s="0" t="s">
        <v>623</v>
      </c>
      <c r="E279" s="0" t="s">
        <v>131</v>
      </c>
      <c r="F279" s="0" t="str">
        <f aca="false">'Basis Options'!A284</f>
        <v>SOUTHERCOMENEMA</v>
      </c>
      <c r="G279" s="0" t="s">
        <v>628</v>
      </c>
      <c r="H279" s="0" t="s">
        <v>625</v>
      </c>
      <c r="I279" s="0" t="s">
        <v>626</v>
      </c>
      <c r="J279" s="0" t="s">
        <v>627</v>
      </c>
      <c r="K279" s="475" t="n">
        <f aca="false">'Basis Options'!G284</f>
        <v>36951</v>
      </c>
      <c r="L279" s="254" t="e">
        <f aca="false">'Basis Options'!U284</f>
        <v>#NAME?</v>
      </c>
      <c r="M279" s="475" t="n">
        <f aca="false">'Basis Options'!Q284</f>
        <v>36949</v>
      </c>
      <c r="N279" s="0" t="str">
        <f aca="false">'Basis Options'!F284</f>
        <v>C</v>
      </c>
      <c r="O279" s="0" t="n">
        <f aca="false">'Basis Options'!I284</f>
        <v>1.57</v>
      </c>
      <c r="P279" s="0" t="n">
        <v>0</v>
      </c>
      <c r="Q279" s="0" t="n">
        <v>0</v>
      </c>
      <c r="R279" s="0" t="n">
        <v>0</v>
      </c>
      <c r="S279" s="0" t="n">
        <v>0</v>
      </c>
      <c r="T279" s="0" t="s">
        <v>624</v>
      </c>
      <c r="U279" s="0" t="str">
        <f aca="false">IF('Basis Options'!D284="NGI/CHI. GATE","""NGI/CHI. GATE""",TRIM('Basis Options'!D284))</f>
        <v>IF-TRANSCO/Z6</v>
      </c>
      <c r="V279" s="0" t="s">
        <v>624</v>
      </c>
      <c r="W279" s="0" t="s">
        <v>569</v>
      </c>
      <c r="X279" s="0" t="s">
        <v>624</v>
      </c>
      <c r="Y279" s="0" t="s">
        <v>627</v>
      </c>
      <c r="Z279" s="0" t="s">
        <v>629</v>
      </c>
      <c r="AA279" s="0" t="s">
        <v>624</v>
      </c>
      <c r="AB279" s="0" t="s">
        <v>132</v>
      </c>
      <c r="AC279" s="254" t="n">
        <f aca="false">'Basis Options'!H284</f>
        <v>500000</v>
      </c>
      <c r="AD279" s="254" t="e">
        <f aca="false">'Basis Options'!W284</f>
        <v>#NAME?</v>
      </c>
      <c r="AE279" s="0" t="n">
        <v>0</v>
      </c>
      <c r="AF279" s="0" t="n">
        <v>0</v>
      </c>
      <c r="AG279" s="0" t="n">
        <v>0</v>
      </c>
      <c r="AH279" s="254" t="e">
        <f aca="false">'Basis Options'!CD284</f>
        <v>#NAME?</v>
      </c>
      <c r="AI279" s="0" t="n">
        <v>226</v>
      </c>
      <c r="AJ279" s="0" t="s">
        <v>630</v>
      </c>
      <c r="AK279" s="0" t="n">
        <v>0</v>
      </c>
      <c r="AL279" s="0" t="n">
        <v>0</v>
      </c>
      <c r="AM279" s="0" t="n">
        <v>0</v>
      </c>
    </row>
    <row r="280" customFormat="false" ht="12.75" hidden="false" customHeight="false" outlineLevel="0" collapsed="false">
      <c r="A280" s="0" t="s">
        <v>621</v>
      </c>
      <c r="B280" s="0" t="str">
        <f aca="false">'Basis Options'!C285</f>
        <v>NL6890.1</v>
      </c>
      <c r="C280" s="0" t="s">
        <v>622</v>
      </c>
      <c r="D280" s="0" t="s">
        <v>623</v>
      </c>
      <c r="E280" s="0" t="s">
        <v>131</v>
      </c>
      <c r="F280" s="0" t="str">
        <f aca="false">'Basis Options'!A285</f>
        <v>SOUTHERCOMENEMA</v>
      </c>
      <c r="G280" s="0" t="s">
        <v>628</v>
      </c>
      <c r="H280" s="0" t="s">
        <v>625</v>
      </c>
      <c r="I280" s="0" t="s">
        <v>626</v>
      </c>
      <c r="J280" s="0" t="s">
        <v>627</v>
      </c>
      <c r="K280" s="475" t="n">
        <f aca="false">'Basis Options'!G285</f>
        <v>36923</v>
      </c>
      <c r="L280" s="254" t="e">
        <f aca="false">'Basis Options'!U285</f>
        <v>#NAME?</v>
      </c>
      <c r="M280" s="475" t="n">
        <f aca="false">'Basis Options'!Q285</f>
        <v>36921</v>
      </c>
      <c r="N280" s="0" t="str">
        <f aca="false">'Basis Options'!F285</f>
        <v>C</v>
      </c>
      <c r="O280" s="0" t="n">
        <f aca="false">'Basis Options'!I285</f>
        <v>1.57</v>
      </c>
      <c r="P280" s="0" t="n">
        <v>0</v>
      </c>
      <c r="Q280" s="0" t="n">
        <v>0</v>
      </c>
      <c r="R280" s="0" t="n">
        <v>0</v>
      </c>
      <c r="S280" s="0" t="n">
        <v>0</v>
      </c>
      <c r="T280" s="0" t="s">
        <v>624</v>
      </c>
      <c r="U280" s="0" t="str">
        <f aca="false">IF('Basis Options'!D285="NGI/CHI. GATE","""NGI/CHI. GATE""",TRIM('Basis Options'!D285))</f>
        <v>IF-TRANSCO/Z6</v>
      </c>
      <c r="V280" s="0" t="s">
        <v>624</v>
      </c>
      <c r="W280" s="0" t="s">
        <v>569</v>
      </c>
      <c r="X280" s="0" t="s">
        <v>624</v>
      </c>
      <c r="Y280" s="0" t="s">
        <v>627</v>
      </c>
      <c r="Z280" s="0" t="s">
        <v>629</v>
      </c>
      <c r="AA280" s="0" t="s">
        <v>624</v>
      </c>
      <c r="AB280" s="0" t="s">
        <v>132</v>
      </c>
      <c r="AC280" s="254" t="n">
        <f aca="false">'Basis Options'!H285</f>
        <v>500000</v>
      </c>
      <c r="AD280" s="254" t="e">
        <f aca="false">'Basis Options'!W285</f>
        <v>#NAME?</v>
      </c>
      <c r="AE280" s="0" t="n">
        <v>0</v>
      </c>
      <c r="AF280" s="0" t="n">
        <v>0</v>
      </c>
      <c r="AG280" s="0" t="n">
        <v>0</v>
      </c>
      <c r="AH280" s="254" t="e">
        <f aca="false">'Basis Options'!CD285</f>
        <v>#NAME?</v>
      </c>
      <c r="AI280" s="0" t="n">
        <v>226</v>
      </c>
      <c r="AJ280" s="0" t="s">
        <v>630</v>
      </c>
      <c r="AK280" s="0" t="n">
        <v>0</v>
      </c>
      <c r="AL280" s="0" t="n">
        <v>0</v>
      </c>
      <c r="AM280" s="0" t="n">
        <v>0</v>
      </c>
    </row>
    <row r="281" customFormat="false" ht="12.75" hidden="false" customHeight="false" outlineLevel="0" collapsed="false">
      <c r="A281" s="0" t="s">
        <v>621</v>
      </c>
      <c r="B281" s="0" t="str">
        <f aca="false">'Basis Options'!C286</f>
        <v>NL6890.1</v>
      </c>
      <c r="C281" s="0" t="s">
        <v>622</v>
      </c>
      <c r="D281" s="0" t="s">
        <v>623</v>
      </c>
      <c r="E281" s="0" t="s">
        <v>131</v>
      </c>
      <c r="F281" s="0" t="str">
        <f aca="false">'Basis Options'!A286</f>
        <v>SOUTHERCOMENEMA</v>
      </c>
      <c r="G281" s="0" t="s">
        <v>628</v>
      </c>
      <c r="H281" s="0" t="s">
        <v>625</v>
      </c>
      <c r="I281" s="0" t="s">
        <v>626</v>
      </c>
      <c r="J281" s="0" t="s">
        <v>627</v>
      </c>
      <c r="K281" s="475" t="n">
        <f aca="false">'Basis Options'!G286</f>
        <v>36892</v>
      </c>
      <c r="L281" s="254" t="e">
        <f aca="false">'Basis Options'!U286</f>
        <v>#NAME?</v>
      </c>
      <c r="M281" s="475" t="n">
        <f aca="false">'Basis Options'!Q286</f>
        <v>36888</v>
      </c>
      <c r="N281" s="0" t="str">
        <f aca="false">'Basis Options'!F286</f>
        <v>C</v>
      </c>
      <c r="O281" s="0" t="n">
        <f aca="false">'Basis Options'!I286</f>
        <v>1.57</v>
      </c>
      <c r="P281" s="0" t="n">
        <v>0</v>
      </c>
      <c r="Q281" s="0" t="n">
        <v>0</v>
      </c>
      <c r="R281" s="0" t="n">
        <v>0</v>
      </c>
      <c r="S281" s="0" t="n">
        <v>0</v>
      </c>
      <c r="T281" s="0" t="s">
        <v>624</v>
      </c>
      <c r="U281" s="0" t="str">
        <f aca="false">IF('Basis Options'!D286="NGI/CHI. GATE","""NGI/CHI. GATE""",TRIM('Basis Options'!D286))</f>
        <v>IF-TRANSCO/Z6</v>
      </c>
      <c r="V281" s="0" t="s">
        <v>624</v>
      </c>
      <c r="W281" s="0" t="s">
        <v>569</v>
      </c>
      <c r="X281" s="0" t="s">
        <v>624</v>
      </c>
      <c r="Y281" s="0" t="s">
        <v>627</v>
      </c>
      <c r="Z281" s="0" t="s">
        <v>629</v>
      </c>
      <c r="AA281" s="0" t="s">
        <v>624</v>
      </c>
      <c r="AB281" s="0" t="s">
        <v>132</v>
      </c>
      <c r="AC281" s="254" t="n">
        <f aca="false">'Basis Options'!H286</f>
        <v>500000</v>
      </c>
      <c r="AD281" s="254" t="e">
        <f aca="false">'Basis Options'!W286</f>
        <v>#NAME?</v>
      </c>
      <c r="AE281" s="0" t="n">
        <v>0</v>
      </c>
      <c r="AF281" s="0" t="n">
        <v>0</v>
      </c>
      <c r="AG281" s="0" t="n">
        <v>0</v>
      </c>
      <c r="AH281" s="254" t="e">
        <f aca="false">'Basis Options'!CD286</f>
        <v>#NAME?</v>
      </c>
      <c r="AI281" s="0" t="n">
        <v>226</v>
      </c>
      <c r="AJ281" s="0" t="s">
        <v>630</v>
      </c>
      <c r="AK281" s="0" t="n">
        <v>0</v>
      </c>
      <c r="AL281" s="0" t="n">
        <v>0</v>
      </c>
      <c r="AM281" s="0" t="n">
        <v>0</v>
      </c>
    </row>
    <row r="282" customFormat="false" ht="12.75" hidden="false" customHeight="false" outlineLevel="0" collapsed="false">
      <c r="A282" s="0" t="s">
        <v>621</v>
      </c>
      <c r="B282" s="0" t="str">
        <f aca="false">'Basis Options'!C287</f>
        <v>NL6890.1</v>
      </c>
      <c r="C282" s="0" t="s">
        <v>622</v>
      </c>
      <c r="D282" s="0" t="s">
        <v>623</v>
      </c>
      <c r="E282" s="0" t="s">
        <v>131</v>
      </c>
      <c r="F282" s="0" t="str">
        <f aca="false">'Basis Options'!A287</f>
        <v>SOUTHERCOMENEMA</v>
      </c>
      <c r="G282" s="0" t="s">
        <v>628</v>
      </c>
      <c r="H282" s="0" t="s">
        <v>625</v>
      </c>
      <c r="I282" s="0" t="s">
        <v>626</v>
      </c>
      <c r="J282" s="0" t="s">
        <v>627</v>
      </c>
      <c r="K282" s="475" t="n">
        <f aca="false">'Basis Options'!G287</f>
        <v>36861</v>
      </c>
      <c r="L282" s="254" t="e">
        <f aca="false">'Basis Options'!U287</f>
        <v>#NAME?</v>
      </c>
      <c r="M282" s="475" t="n">
        <f aca="false">'Basis Options'!Q287</f>
        <v>36859</v>
      </c>
      <c r="N282" s="0" t="str">
        <f aca="false">'Basis Options'!F287</f>
        <v>C</v>
      </c>
      <c r="O282" s="0" t="n">
        <f aca="false">'Basis Options'!I287</f>
        <v>1.57</v>
      </c>
      <c r="P282" s="0" t="n">
        <v>0</v>
      </c>
      <c r="Q282" s="0" t="n">
        <v>0</v>
      </c>
      <c r="R282" s="0" t="n">
        <v>0</v>
      </c>
      <c r="S282" s="0" t="n">
        <v>0</v>
      </c>
      <c r="T282" s="0" t="s">
        <v>624</v>
      </c>
      <c r="U282" s="0" t="str">
        <f aca="false">IF('Basis Options'!D287="NGI/CHI. GATE","""NGI/CHI. GATE""",TRIM('Basis Options'!D287))</f>
        <v>IF-TRANSCO/Z6</v>
      </c>
      <c r="V282" s="0" t="s">
        <v>624</v>
      </c>
      <c r="W282" s="0" t="s">
        <v>569</v>
      </c>
      <c r="X282" s="0" t="s">
        <v>624</v>
      </c>
      <c r="Y282" s="0" t="s">
        <v>627</v>
      </c>
      <c r="Z282" s="0" t="s">
        <v>629</v>
      </c>
      <c r="AA282" s="0" t="s">
        <v>624</v>
      </c>
      <c r="AB282" s="0" t="s">
        <v>132</v>
      </c>
      <c r="AC282" s="254" t="n">
        <f aca="false">'Basis Options'!H287</f>
        <v>500000</v>
      </c>
      <c r="AD282" s="254" t="e">
        <f aca="false">'Basis Options'!W287</f>
        <v>#NAME?</v>
      </c>
      <c r="AE282" s="0" t="n">
        <v>0</v>
      </c>
      <c r="AF282" s="0" t="n">
        <v>0</v>
      </c>
      <c r="AG282" s="0" t="n">
        <v>0</v>
      </c>
      <c r="AH282" s="254" t="e">
        <f aca="false">'Basis Options'!CD287</f>
        <v>#NAME?</v>
      </c>
      <c r="AI282" s="0" t="n">
        <v>226</v>
      </c>
      <c r="AJ282" s="0" t="s">
        <v>630</v>
      </c>
      <c r="AK282" s="0" t="n">
        <v>0</v>
      </c>
      <c r="AL282" s="0" t="n">
        <v>0</v>
      </c>
      <c r="AM282" s="0" t="n">
        <v>0</v>
      </c>
    </row>
    <row r="283" customFormat="false" ht="12.75" hidden="false" customHeight="false" outlineLevel="0" collapsed="false">
      <c r="A283" s="0" t="s">
        <v>621</v>
      </c>
      <c r="B283" s="0" t="str">
        <f aca="false">'Basis Options'!C288</f>
        <v>NL6890.1</v>
      </c>
      <c r="C283" s="0" t="s">
        <v>622</v>
      </c>
      <c r="D283" s="0" t="s">
        <v>623</v>
      </c>
      <c r="E283" s="0" t="s">
        <v>131</v>
      </c>
      <c r="F283" s="0" t="str">
        <f aca="false">'Basis Options'!A288</f>
        <v>SOUTHERCOMENEMA</v>
      </c>
      <c r="G283" s="0" t="s">
        <v>628</v>
      </c>
      <c r="H283" s="0" t="s">
        <v>625</v>
      </c>
      <c r="I283" s="0" t="s">
        <v>626</v>
      </c>
      <c r="J283" s="0" t="s">
        <v>627</v>
      </c>
      <c r="K283" s="475" t="n">
        <f aca="false">'Basis Options'!G288</f>
        <v>36831</v>
      </c>
      <c r="L283" s="254" t="e">
        <f aca="false">'Basis Options'!U288</f>
        <v>#NAME?</v>
      </c>
      <c r="M283" s="475" t="n">
        <f aca="false">'Basis Options'!Q288</f>
        <v>36829</v>
      </c>
      <c r="N283" s="0" t="str">
        <f aca="false">'Basis Options'!F288</f>
        <v>C</v>
      </c>
      <c r="O283" s="0" t="n">
        <f aca="false">'Basis Options'!I288</f>
        <v>1.57</v>
      </c>
      <c r="P283" s="0" t="n">
        <v>0</v>
      </c>
      <c r="Q283" s="0" t="n">
        <v>0</v>
      </c>
      <c r="R283" s="0" t="n">
        <v>0</v>
      </c>
      <c r="S283" s="0" t="n">
        <v>0</v>
      </c>
      <c r="T283" s="0" t="s">
        <v>624</v>
      </c>
      <c r="U283" s="0" t="str">
        <f aca="false">IF('Basis Options'!D288="NGI/CHI. GATE","""NGI/CHI. GATE""",TRIM('Basis Options'!D288))</f>
        <v>IF-TRANSCO/Z6</v>
      </c>
      <c r="V283" s="0" t="s">
        <v>624</v>
      </c>
      <c r="W283" s="0" t="s">
        <v>569</v>
      </c>
      <c r="X283" s="0" t="s">
        <v>624</v>
      </c>
      <c r="Y283" s="0" t="s">
        <v>627</v>
      </c>
      <c r="Z283" s="0" t="s">
        <v>629</v>
      </c>
      <c r="AA283" s="0" t="s">
        <v>624</v>
      </c>
      <c r="AB283" s="0" t="s">
        <v>132</v>
      </c>
      <c r="AC283" s="254" t="n">
        <f aca="false">'Basis Options'!H288</f>
        <v>500000</v>
      </c>
      <c r="AD283" s="254" t="e">
        <f aca="false">'Basis Options'!W288</f>
        <v>#NAME?</v>
      </c>
      <c r="AE283" s="0" t="n">
        <v>0</v>
      </c>
      <c r="AF283" s="0" t="n">
        <v>0</v>
      </c>
      <c r="AG283" s="0" t="n">
        <v>0</v>
      </c>
      <c r="AH283" s="254" t="e">
        <f aca="false">'Basis Options'!CD288</f>
        <v>#NAME?</v>
      </c>
      <c r="AI283" s="0" t="n">
        <v>226</v>
      </c>
      <c r="AJ283" s="0" t="s">
        <v>630</v>
      </c>
      <c r="AK283" s="0" t="n">
        <v>0</v>
      </c>
      <c r="AL283" s="0" t="n">
        <v>0</v>
      </c>
      <c r="AM283" s="0" t="n">
        <v>0</v>
      </c>
    </row>
    <row r="284" customFormat="false" ht="12.75" hidden="false" customHeight="false" outlineLevel="0" collapsed="false">
      <c r="A284" s="0" t="s">
        <v>621</v>
      </c>
      <c r="B284" s="0" t="str">
        <f aca="false">'Basis Options'!C289</f>
        <v>NL6890.2</v>
      </c>
      <c r="C284" s="0" t="s">
        <v>622</v>
      </c>
      <c r="D284" s="0" t="s">
        <v>623</v>
      </c>
      <c r="E284" s="0" t="s">
        <v>131</v>
      </c>
      <c r="F284" s="0" t="str">
        <f aca="false">'Basis Options'!A289</f>
        <v>SOUTHERCOMENEMA</v>
      </c>
      <c r="G284" s="0" t="s">
        <v>628</v>
      </c>
      <c r="H284" s="0" t="s">
        <v>625</v>
      </c>
      <c r="I284" s="0" t="s">
        <v>626</v>
      </c>
      <c r="J284" s="0" t="s">
        <v>627</v>
      </c>
      <c r="K284" s="475" t="n">
        <f aca="false">'Basis Options'!G289</f>
        <v>36951</v>
      </c>
      <c r="L284" s="254" t="e">
        <f aca="false">'Basis Options'!U289</f>
        <v>#NAME?</v>
      </c>
      <c r="M284" s="475" t="n">
        <f aca="false">'Basis Options'!Q289</f>
        <v>36949</v>
      </c>
      <c r="N284" s="0" t="str">
        <f aca="false">'Basis Options'!F289</f>
        <v>P</v>
      </c>
      <c r="O284" s="0" t="n">
        <f aca="false">'Basis Options'!I289</f>
        <v>1.57</v>
      </c>
      <c r="P284" s="0" t="n">
        <v>0</v>
      </c>
      <c r="Q284" s="0" t="n">
        <v>0</v>
      </c>
      <c r="R284" s="0" t="n">
        <v>0</v>
      </c>
      <c r="S284" s="0" t="n">
        <v>0</v>
      </c>
      <c r="T284" s="0" t="s">
        <v>624</v>
      </c>
      <c r="U284" s="0" t="str">
        <f aca="false">IF('Basis Options'!D289="NGI/CHI. GATE","""NGI/CHI. GATE""",TRIM('Basis Options'!D289))</f>
        <v>IF-TRANSCO/Z6</v>
      </c>
      <c r="V284" s="0" t="s">
        <v>624</v>
      </c>
      <c r="W284" s="0" t="s">
        <v>569</v>
      </c>
      <c r="X284" s="0" t="s">
        <v>624</v>
      </c>
      <c r="Y284" s="0" t="s">
        <v>627</v>
      </c>
      <c r="Z284" s="0" t="s">
        <v>629</v>
      </c>
      <c r="AA284" s="0" t="s">
        <v>624</v>
      </c>
      <c r="AB284" s="0" t="s">
        <v>132</v>
      </c>
      <c r="AC284" s="254" t="n">
        <f aca="false">'Basis Options'!H289</f>
        <v>500000</v>
      </c>
      <c r="AD284" s="254" t="e">
        <f aca="false">'Basis Options'!W289</f>
        <v>#NAME?</v>
      </c>
      <c r="AE284" s="0" t="n">
        <v>0</v>
      </c>
      <c r="AF284" s="0" t="n">
        <v>0</v>
      </c>
      <c r="AG284" s="0" t="n">
        <v>0</v>
      </c>
      <c r="AH284" s="254" t="e">
        <f aca="false">'Basis Options'!CD289</f>
        <v>#NAME?</v>
      </c>
      <c r="AI284" s="0" t="n">
        <v>226</v>
      </c>
      <c r="AJ284" s="0" t="s">
        <v>630</v>
      </c>
      <c r="AK284" s="0" t="n">
        <v>0</v>
      </c>
      <c r="AL284" s="0" t="n">
        <v>0</v>
      </c>
      <c r="AM284" s="0" t="n">
        <v>0</v>
      </c>
    </row>
    <row r="285" customFormat="false" ht="12.75" hidden="false" customHeight="false" outlineLevel="0" collapsed="false">
      <c r="A285" s="0" t="s">
        <v>621</v>
      </c>
      <c r="B285" s="0" t="str">
        <f aca="false">'Basis Options'!C290</f>
        <v>NL6890.2</v>
      </c>
      <c r="C285" s="0" t="s">
        <v>622</v>
      </c>
      <c r="D285" s="0" t="s">
        <v>623</v>
      </c>
      <c r="E285" s="0" t="s">
        <v>131</v>
      </c>
      <c r="F285" s="0" t="str">
        <f aca="false">'Basis Options'!A290</f>
        <v>SOUTHERCOMENEMA</v>
      </c>
      <c r="G285" s="0" t="s">
        <v>628</v>
      </c>
      <c r="H285" s="0" t="s">
        <v>625</v>
      </c>
      <c r="I285" s="0" t="s">
        <v>626</v>
      </c>
      <c r="J285" s="0" t="s">
        <v>627</v>
      </c>
      <c r="K285" s="475" t="n">
        <f aca="false">'Basis Options'!G290</f>
        <v>36923</v>
      </c>
      <c r="L285" s="254" t="e">
        <f aca="false">'Basis Options'!U290</f>
        <v>#NAME?</v>
      </c>
      <c r="M285" s="475" t="n">
        <f aca="false">'Basis Options'!Q290</f>
        <v>36921</v>
      </c>
      <c r="N285" s="0" t="str">
        <f aca="false">'Basis Options'!F290</f>
        <v>P</v>
      </c>
      <c r="O285" s="0" t="n">
        <f aca="false">'Basis Options'!I290</f>
        <v>1.57</v>
      </c>
      <c r="P285" s="0" t="n">
        <v>0</v>
      </c>
      <c r="Q285" s="0" t="n">
        <v>0</v>
      </c>
      <c r="R285" s="0" t="n">
        <v>0</v>
      </c>
      <c r="S285" s="0" t="n">
        <v>0</v>
      </c>
      <c r="T285" s="0" t="s">
        <v>624</v>
      </c>
      <c r="U285" s="0" t="str">
        <f aca="false">IF('Basis Options'!D290="NGI/CHI. GATE","""NGI/CHI. GATE""",TRIM('Basis Options'!D290))</f>
        <v>IF-TRANSCO/Z6</v>
      </c>
      <c r="V285" s="0" t="s">
        <v>624</v>
      </c>
      <c r="W285" s="0" t="s">
        <v>569</v>
      </c>
      <c r="X285" s="0" t="s">
        <v>624</v>
      </c>
      <c r="Y285" s="0" t="s">
        <v>627</v>
      </c>
      <c r="Z285" s="0" t="s">
        <v>629</v>
      </c>
      <c r="AA285" s="0" t="s">
        <v>624</v>
      </c>
      <c r="AB285" s="0" t="s">
        <v>132</v>
      </c>
      <c r="AC285" s="254" t="n">
        <f aca="false">'Basis Options'!H290</f>
        <v>500000</v>
      </c>
      <c r="AD285" s="254" t="e">
        <f aca="false">'Basis Options'!W290</f>
        <v>#NAME?</v>
      </c>
      <c r="AE285" s="0" t="n">
        <v>0</v>
      </c>
      <c r="AF285" s="0" t="n">
        <v>0</v>
      </c>
      <c r="AG285" s="0" t="n">
        <v>0</v>
      </c>
      <c r="AH285" s="254" t="e">
        <f aca="false">'Basis Options'!CD290</f>
        <v>#NAME?</v>
      </c>
      <c r="AI285" s="0" t="n">
        <v>226</v>
      </c>
      <c r="AJ285" s="0" t="s">
        <v>630</v>
      </c>
      <c r="AK285" s="0" t="n">
        <v>0</v>
      </c>
      <c r="AL285" s="0" t="n">
        <v>0</v>
      </c>
      <c r="AM285" s="0" t="n">
        <v>0</v>
      </c>
    </row>
    <row r="286" customFormat="false" ht="12.75" hidden="false" customHeight="false" outlineLevel="0" collapsed="false">
      <c r="A286" s="0" t="s">
        <v>621</v>
      </c>
      <c r="B286" s="0" t="str">
        <f aca="false">'Basis Options'!C291</f>
        <v>NL6890.2</v>
      </c>
      <c r="C286" s="0" t="s">
        <v>622</v>
      </c>
      <c r="D286" s="0" t="s">
        <v>623</v>
      </c>
      <c r="E286" s="0" t="s">
        <v>131</v>
      </c>
      <c r="F286" s="0" t="str">
        <f aca="false">'Basis Options'!A291</f>
        <v>SOUTHERCOMENEMA</v>
      </c>
      <c r="G286" s="0" t="s">
        <v>628</v>
      </c>
      <c r="H286" s="0" t="s">
        <v>625</v>
      </c>
      <c r="I286" s="0" t="s">
        <v>626</v>
      </c>
      <c r="J286" s="0" t="s">
        <v>627</v>
      </c>
      <c r="K286" s="475" t="n">
        <f aca="false">'Basis Options'!G291</f>
        <v>36892</v>
      </c>
      <c r="L286" s="254" t="e">
        <f aca="false">'Basis Options'!U291</f>
        <v>#NAME?</v>
      </c>
      <c r="M286" s="475" t="n">
        <f aca="false">'Basis Options'!Q291</f>
        <v>36888</v>
      </c>
      <c r="N286" s="0" t="str">
        <f aca="false">'Basis Options'!F291</f>
        <v>P</v>
      </c>
      <c r="O286" s="0" t="n">
        <f aca="false">'Basis Options'!I291</f>
        <v>1.57</v>
      </c>
      <c r="P286" s="0" t="n">
        <v>0</v>
      </c>
      <c r="Q286" s="0" t="n">
        <v>0</v>
      </c>
      <c r="R286" s="0" t="n">
        <v>0</v>
      </c>
      <c r="S286" s="0" t="n">
        <v>0</v>
      </c>
      <c r="T286" s="0" t="s">
        <v>624</v>
      </c>
      <c r="U286" s="0" t="str">
        <f aca="false">IF('Basis Options'!D291="NGI/CHI. GATE","""NGI/CHI. GATE""",TRIM('Basis Options'!D291))</f>
        <v>IF-TRANSCO/Z6</v>
      </c>
      <c r="V286" s="0" t="s">
        <v>624</v>
      </c>
      <c r="W286" s="0" t="s">
        <v>569</v>
      </c>
      <c r="X286" s="0" t="s">
        <v>624</v>
      </c>
      <c r="Y286" s="0" t="s">
        <v>627</v>
      </c>
      <c r="Z286" s="0" t="s">
        <v>629</v>
      </c>
      <c r="AA286" s="0" t="s">
        <v>624</v>
      </c>
      <c r="AB286" s="0" t="s">
        <v>132</v>
      </c>
      <c r="AC286" s="254" t="n">
        <f aca="false">'Basis Options'!H291</f>
        <v>500000</v>
      </c>
      <c r="AD286" s="254" t="e">
        <f aca="false">'Basis Options'!W291</f>
        <v>#NAME?</v>
      </c>
      <c r="AE286" s="0" t="n">
        <v>0</v>
      </c>
      <c r="AF286" s="0" t="n">
        <v>0</v>
      </c>
      <c r="AG286" s="0" t="n">
        <v>0</v>
      </c>
      <c r="AH286" s="254" t="e">
        <f aca="false">'Basis Options'!CD291</f>
        <v>#NAME?</v>
      </c>
      <c r="AI286" s="0" t="n">
        <v>226</v>
      </c>
      <c r="AJ286" s="0" t="s">
        <v>630</v>
      </c>
      <c r="AK286" s="0" t="n">
        <v>0</v>
      </c>
      <c r="AL286" s="0" t="n">
        <v>0</v>
      </c>
      <c r="AM286" s="0" t="n">
        <v>0</v>
      </c>
    </row>
    <row r="287" customFormat="false" ht="12.75" hidden="false" customHeight="false" outlineLevel="0" collapsed="false">
      <c r="A287" s="0" t="s">
        <v>621</v>
      </c>
      <c r="B287" s="0" t="str">
        <f aca="false">'Basis Options'!C292</f>
        <v>NL6890.2</v>
      </c>
      <c r="C287" s="0" t="s">
        <v>622</v>
      </c>
      <c r="D287" s="0" t="s">
        <v>623</v>
      </c>
      <c r="E287" s="0" t="s">
        <v>131</v>
      </c>
      <c r="F287" s="0" t="str">
        <f aca="false">'Basis Options'!A292</f>
        <v>SOUTHERCOMENEMA</v>
      </c>
      <c r="G287" s="0" t="s">
        <v>628</v>
      </c>
      <c r="H287" s="0" t="s">
        <v>625</v>
      </c>
      <c r="I287" s="0" t="s">
        <v>626</v>
      </c>
      <c r="J287" s="0" t="s">
        <v>627</v>
      </c>
      <c r="K287" s="475" t="n">
        <f aca="false">'Basis Options'!G292</f>
        <v>36861</v>
      </c>
      <c r="L287" s="254" t="e">
        <f aca="false">'Basis Options'!U292</f>
        <v>#NAME?</v>
      </c>
      <c r="M287" s="475" t="n">
        <f aca="false">'Basis Options'!Q292</f>
        <v>36859</v>
      </c>
      <c r="N287" s="0" t="str">
        <f aca="false">'Basis Options'!F292</f>
        <v>P</v>
      </c>
      <c r="O287" s="0" t="n">
        <f aca="false">'Basis Options'!I292</f>
        <v>1.57</v>
      </c>
      <c r="P287" s="0" t="n">
        <v>0</v>
      </c>
      <c r="Q287" s="0" t="n">
        <v>0</v>
      </c>
      <c r="R287" s="0" t="n">
        <v>0</v>
      </c>
      <c r="S287" s="0" t="n">
        <v>0</v>
      </c>
      <c r="T287" s="0" t="s">
        <v>624</v>
      </c>
      <c r="U287" s="0" t="str">
        <f aca="false">IF('Basis Options'!D292="NGI/CHI. GATE","""NGI/CHI. GATE""",TRIM('Basis Options'!D292))</f>
        <v>IF-TRANSCO/Z6</v>
      </c>
      <c r="V287" s="0" t="s">
        <v>624</v>
      </c>
      <c r="W287" s="0" t="s">
        <v>569</v>
      </c>
      <c r="X287" s="0" t="s">
        <v>624</v>
      </c>
      <c r="Y287" s="0" t="s">
        <v>627</v>
      </c>
      <c r="Z287" s="0" t="s">
        <v>629</v>
      </c>
      <c r="AA287" s="0" t="s">
        <v>624</v>
      </c>
      <c r="AB287" s="0" t="s">
        <v>132</v>
      </c>
      <c r="AC287" s="254" t="n">
        <f aca="false">'Basis Options'!H292</f>
        <v>500000</v>
      </c>
      <c r="AD287" s="254" t="e">
        <f aca="false">'Basis Options'!W292</f>
        <v>#NAME?</v>
      </c>
      <c r="AE287" s="0" t="n">
        <v>0</v>
      </c>
      <c r="AF287" s="0" t="n">
        <v>0</v>
      </c>
      <c r="AG287" s="0" t="n">
        <v>0</v>
      </c>
      <c r="AH287" s="254" t="e">
        <f aca="false">'Basis Options'!CD292</f>
        <v>#NAME?</v>
      </c>
      <c r="AI287" s="0" t="n">
        <v>226</v>
      </c>
      <c r="AJ287" s="0" t="s">
        <v>630</v>
      </c>
      <c r="AK287" s="0" t="n">
        <v>0</v>
      </c>
      <c r="AL287" s="0" t="n">
        <v>0</v>
      </c>
      <c r="AM287" s="0" t="n">
        <v>0</v>
      </c>
    </row>
    <row r="288" customFormat="false" ht="12.75" hidden="false" customHeight="false" outlineLevel="0" collapsed="false">
      <c r="A288" s="0" t="s">
        <v>621</v>
      </c>
      <c r="B288" s="0" t="str">
        <f aca="false">'Basis Options'!C293</f>
        <v>NL6890.2</v>
      </c>
      <c r="C288" s="0" t="s">
        <v>622</v>
      </c>
      <c r="D288" s="0" t="s">
        <v>623</v>
      </c>
      <c r="E288" s="0" t="s">
        <v>131</v>
      </c>
      <c r="F288" s="0" t="str">
        <f aca="false">'Basis Options'!A293</f>
        <v>SOUTHERCOMENEMA</v>
      </c>
      <c r="G288" s="0" t="s">
        <v>628</v>
      </c>
      <c r="H288" s="0" t="s">
        <v>625</v>
      </c>
      <c r="I288" s="0" t="s">
        <v>626</v>
      </c>
      <c r="J288" s="0" t="s">
        <v>627</v>
      </c>
      <c r="K288" s="475" t="n">
        <f aca="false">'Basis Options'!G293</f>
        <v>36831</v>
      </c>
      <c r="L288" s="254" t="e">
        <f aca="false">'Basis Options'!U293</f>
        <v>#NAME?</v>
      </c>
      <c r="M288" s="475" t="n">
        <f aca="false">'Basis Options'!Q293</f>
        <v>36829</v>
      </c>
      <c r="N288" s="0" t="str">
        <f aca="false">'Basis Options'!F293</f>
        <v>P</v>
      </c>
      <c r="O288" s="0" t="n">
        <f aca="false">'Basis Options'!I293</f>
        <v>1.57</v>
      </c>
      <c r="P288" s="0" t="n">
        <v>0</v>
      </c>
      <c r="Q288" s="0" t="n">
        <v>0</v>
      </c>
      <c r="R288" s="0" t="n">
        <v>0</v>
      </c>
      <c r="S288" s="0" t="n">
        <v>0</v>
      </c>
      <c r="T288" s="0" t="s">
        <v>624</v>
      </c>
      <c r="U288" s="0" t="str">
        <f aca="false">IF('Basis Options'!D293="NGI/CHI. GATE","""NGI/CHI. GATE""",TRIM('Basis Options'!D293))</f>
        <v>IF-TRANSCO/Z6</v>
      </c>
      <c r="V288" s="0" t="s">
        <v>624</v>
      </c>
      <c r="W288" s="0" t="s">
        <v>569</v>
      </c>
      <c r="X288" s="0" t="s">
        <v>624</v>
      </c>
      <c r="Y288" s="0" t="s">
        <v>627</v>
      </c>
      <c r="Z288" s="0" t="s">
        <v>629</v>
      </c>
      <c r="AA288" s="0" t="s">
        <v>624</v>
      </c>
      <c r="AB288" s="0" t="s">
        <v>132</v>
      </c>
      <c r="AC288" s="254" t="n">
        <f aca="false">'Basis Options'!H293</f>
        <v>500000</v>
      </c>
      <c r="AD288" s="254" t="e">
        <f aca="false">'Basis Options'!W293</f>
        <v>#NAME?</v>
      </c>
      <c r="AE288" s="0" t="n">
        <v>0</v>
      </c>
      <c r="AF288" s="0" t="n">
        <v>0</v>
      </c>
      <c r="AG288" s="0" t="n">
        <v>0</v>
      </c>
      <c r="AH288" s="254" t="e">
        <f aca="false">'Basis Options'!CD293</f>
        <v>#NAME?</v>
      </c>
      <c r="AI288" s="0" t="n">
        <v>226</v>
      </c>
      <c r="AJ288" s="0" t="s">
        <v>630</v>
      </c>
      <c r="AK288" s="0" t="n">
        <v>0</v>
      </c>
      <c r="AL288" s="0" t="n">
        <v>0</v>
      </c>
      <c r="AM288" s="0" t="n">
        <v>0</v>
      </c>
    </row>
    <row r="289" customFormat="false" ht="12.75" hidden="false" customHeight="false" outlineLevel="0" collapsed="false">
      <c r="A289" s="0" t="s">
        <v>621</v>
      </c>
      <c r="B289" s="0" t="str">
        <f aca="false">'Basis Options'!C294</f>
        <v>NL8209.1</v>
      </c>
      <c r="C289" s="0" t="s">
        <v>622</v>
      </c>
      <c r="D289" s="0" t="s">
        <v>623</v>
      </c>
      <c r="E289" s="0" t="s">
        <v>131</v>
      </c>
      <c r="F289" s="0" t="str">
        <f aca="false">'Basis Options'!A294</f>
        <v>ELPASMER</v>
      </c>
      <c r="G289" s="0" t="s">
        <v>628</v>
      </c>
      <c r="H289" s="0" t="s">
        <v>625</v>
      </c>
      <c r="I289" s="0" t="s">
        <v>626</v>
      </c>
      <c r="J289" s="0" t="s">
        <v>627</v>
      </c>
      <c r="K289" s="475" t="n">
        <f aca="false">'Basis Options'!G294</f>
        <v>36831</v>
      </c>
      <c r="L289" s="254" t="e">
        <f aca="false">'Basis Options'!U294</f>
        <v>#NAME?</v>
      </c>
      <c r="M289" s="475" t="n">
        <f aca="false">'Basis Options'!Q294</f>
        <v>36829</v>
      </c>
      <c r="N289" s="0" t="str">
        <f aca="false">'Basis Options'!F294</f>
        <v>C</v>
      </c>
      <c r="O289" s="0" t="n">
        <f aca="false">'Basis Options'!I294</f>
        <v>1.5</v>
      </c>
      <c r="P289" s="0" t="n">
        <v>0</v>
      </c>
      <c r="Q289" s="0" t="n">
        <v>0</v>
      </c>
      <c r="R289" s="0" t="n">
        <v>0</v>
      </c>
      <c r="S289" s="0" t="n">
        <v>0</v>
      </c>
      <c r="T289" s="0" t="s">
        <v>624</v>
      </c>
      <c r="U289" s="0" t="str">
        <f aca="false">IF('Basis Options'!D294="NGI/CHI. GATE","""NGI/CHI. GATE""",TRIM('Basis Options'!D294))</f>
        <v>IF-TRANSCO/Z6</v>
      </c>
      <c r="V289" s="0" t="s">
        <v>624</v>
      </c>
      <c r="W289" s="0" t="s">
        <v>569</v>
      </c>
      <c r="X289" s="0" t="s">
        <v>624</v>
      </c>
      <c r="Y289" s="0" t="s">
        <v>627</v>
      </c>
      <c r="Z289" s="0" t="s">
        <v>629</v>
      </c>
      <c r="AA289" s="0" t="s">
        <v>624</v>
      </c>
      <c r="AB289" s="0" t="s">
        <v>132</v>
      </c>
      <c r="AC289" s="254" t="n">
        <f aca="false">'Basis Options'!H294</f>
        <v>-2000000</v>
      </c>
      <c r="AD289" s="254" t="e">
        <f aca="false">'Basis Options'!W294</f>
        <v>#NAME?</v>
      </c>
      <c r="AE289" s="0" t="n">
        <v>0</v>
      </c>
      <c r="AF289" s="0" t="n">
        <v>0</v>
      </c>
      <c r="AG289" s="0" t="n">
        <v>0</v>
      </c>
      <c r="AH289" s="254" t="e">
        <f aca="false">'Basis Options'!CD294</f>
        <v>#NAME?</v>
      </c>
      <c r="AI289" s="0" t="n">
        <v>226</v>
      </c>
      <c r="AJ289" s="0" t="s">
        <v>630</v>
      </c>
      <c r="AK289" s="0" t="n">
        <v>0</v>
      </c>
      <c r="AL289" s="0" t="n">
        <v>0</v>
      </c>
      <c r="AM289" s="0" t="n">
        <v>0</v>
      </c>
    </row>
    <row r="290" customFormat="false" ht="12.75" hidden="false" customHeight="false" outlineLevel="0" collapsed="false">
      <c r="A290" s="0" t="s">
        <v>621</v>
      </c>
      <c r="B290" s="0" t="str">
        <f aca="false">'Basis Options'!C295</f>
        <v>NL8209.2</v>
      </c>
      <c r="C290" s="0" t="s">
        <v>622</v>
      </c>
      <c r="D290" s="0" t="s">
        <v>623</v>
      </c>
      <c r="E290" s="0" t="s">
        <v>131</v>
      </c>
      <c r="F290" s="0" t="str">
        <f aca="false">'Basis Options'!A295</f>
        <v>OMICRON</v>
      </c>
      <c r="G290" s="0" t="s">
        <v>628</v>
      </c>
      <c r="H290" s="0" t="s">
        <v>625</v>
      </c>
      <c r="I290" s="0" t="s">
        <v>626</v>
      </c>
      <c r="J290" s="0" t="s">
        <v>627</v>
      </c>
      <c r="K290" s="475" t="n">
        <f aca="false">'Basis Options'!G295</f>
        <v>36831</v>
      </c>
      <c r="L290" s="254" t="e">
        <f aca="false">'Basis Options'!U295</f>
        <v>#NAME?</v>
      </c>
      <c r="M290" s="475" t="n">
        <f aca="false">'Basis Options'!Q295</f>
        <v>36829</v>
      </c>
      <c r="N290" s="0" t="str">
        <f aca="false">'Basis Options'!F295</f>
        <v>C</v>
      </c>
      <c r="O290" s="0" t="n">
        <f aca="false">'Basis Options'!I295</f>
        <v>1.5</v>
      </c>
      <c r="P290" s="0" t="n">
        <v>0</v>
      </c>
      <c r="Q290" s="0" t="n">
        <v>0</v>
      </c>
      <c r="R290" s="0" t="n">
        <v>0</v>
      </c>
      <c r="S290" s="0" t="n">
        <v>0</v>
      </c>
      <c r="T290" s="0" t="s">
        <v>624</v>
      </c>
      <c r="U290" s="0" t="str">
        <f aca="false">IF('Basis Options'!D295="NGI/CHI. GATE","""NGI/CHI. GATE""",TRIM('Basis Options'!D295))</f>
        <v>IF-TRANSCO/Z6</v>
      </c>
      <c r="V290" s="0" t="s">
        <v>624</v>
      </c>
      <c r="W290" s="0" t="s">
        <v>569</v>
      </c>
      <c r="X290" s="0" t="s">
        <v>624</v>
      </c>
      <c r="Y290" s="0" t="s">
        <v>627</v>
      </c>
      <c r="Z290" s="0" t="s">
        <v>629</v>
      </c>
      <c r="AA290" s="0" t="s">
        <v>624</v>
      </c>
      <c r="AB290" s="0" t="s">
        <v>132</v>
      </c>
      <c r="AC290" s="254" t="n">
        <f aca="false">'Basis Options'!H295</f>
        <v>1000000</v>
      </c>
      <c r="AD290" s="254" t="e">
        <f aca="false">'Basis Options'!W295</f>
        <v>#NAME?</v>
      </c>
      <c r="AE290" s="0" t="n">
        <v>0</v>
      </c>
      <c r="AF290" s="0" t="n">
        <v>0</v>
      </c>
      <c r="AG290" s="0" t="n">
        <v>0</v>
      </c>
      <c r="AH290" s="254" t="e">
        <f aca="false">'Basis Options'!CD295</f>
        <v>#NAME?</v>
      </c>
      <c r="AI290" s="0" t="n">
        <v>226</v>
      </c>
      <c r="AJ290" s="0" t="s">
        <v>630</v>
      </c>
      <c r="AK290" s="0" t="n">
        <v>0</v>
      </c>
      <c r="AL290" s="0" t="n">
        <v>0</v>
      </c>
      <c r="AM290" s="0" t="n">
        <v>0</v>
      </c>
    </row>
    <row r="291" customFormat="false" ht="12.75" hidden="false" customHeight="false" outlineLevel="0" collapsed="false">
      <c r="A291" s="0" t="s">
        <v>621</v>
      </c>
      <c r="B291" s="0" t="str">
        <f aca="false">'Basis Options'!C296</f>
        <v>NL8217</v>
      </c>
      <c r="C291" s="0" t="s">
        <v>622</v>
      </c>
      <c r="D291" s="0" t="s">
        <v>623</v>
      </c>
      <c r="E291" s="0" t="s">
        <v>131</v>
      </c>
      <c r="F291" s="0" t="str">
        <f aca="false">'Basis Options'!A296</f>
        <v>ELPASMER</v>
      </c>
      <c r="G291" s="0" t="s">
        <v>628</v>
      </c>
      <c r="H291" s="0" t="s">
        <v>625</v>
      </c>
      <c r="I291" s="0" t="s">
        <v>626</v>
      </c>
      <c r="J291" s="0" t="s">
        <v>627</v>
      </c>
      <c r="K291" s="475" t="n">
        <f aca="false">'Basis Options'!G296</f>
        <v>36982</v>
      </c>
      <c r="L291" s="254" t="e">
        <f aca="false">'Basis Options'!U296</f>
        <v>#NAME?</v>
      </c>
      <c r="M291" s="475" t="n">
        <f aca="false">'Basis Options'!Q296</f>
        <v>36979</v>
      </c>
      <c r="N291" s="0" t="str">
        <f aca="false">'Basis Options'!F296</f>
        <v>C</v>
      </c>
      <c r="O291" s="0" t="n">
        <f aca="false">'Basis Options'!I296</f>
        <v>0.7</v>
      </c>
      <c r="P291" s="0" t="n">
        <v>0</v>
      </c>
      <c r="Q291" s="0" t="n">
        <v>0</v>
      </c>
      <c r="R291" s="0" t="n">
        <v>0</v>
      </c>
      <c r="S291" s="0" t="n">
        <v>0</v>
      </c>
      <c r="T291" s="0" t="s">
        <v>624</v>
      </c>
      <c r="U291" s="0" t="str">
        <f aca="false">IF('Basis Options'!D296="NGI/CHI. GATE","""NGI/CHI. GATE""",TRIM('Basis Options'!D296))</f>
        <v>IF-TRANSCO/Z6</v>
      </c>
      <c r="V291" s="0" t="s">
        <v>624</v>
      </c>
      <c r="W291" s="0" t="s">
        <v>569</v>
      </c>
      <c r="X291" s="0" t="s">
        <v>624</v>
      </c>
      <c r="Y291" s="0" t="s">
        <v>627</v>
      </c>
      <c r="Z291" s="0" t="s">
        <v>629</v>
      </c>
      <c r="AA291" s="0" t="s">
        <v>624</v>
      </c>
      <c r="AB291" s="0" t="s">
        <v>132</v>
      </c>
      <c r="AC291" s="254" t="n">
        <f aca="false">'Basis Options'!H296</f>
        <v>-1000000</v>
      </c>
      <c r="AD291" s="254" t="e">
        <f aca="false">'Basis Options'!W296</f>
        <v>#NAME?</v>
      </c>
      <c r="AE291" s="0" t="n">
        <v>0</v>
      </c>
      <c r="AF291" s="0" t="n">
        <v>0</v>
      </c>
      <c r="AG291" s="0" t="n">
        <v>0</v>
      </c>
      <c r="AH291" s="254" t="e">
        <f aca="false">'Basis Options'!CD296</f>
        <v>#NAME?</v>
      </c>
      <c r="AI291" s="0" t="n">
        <v>226</v>
      </c>
      <c r="AJ291" s="0" t="s">
        <v>630</v>
      </c>
      <c r="AK291" s="0" t="n">
        <v>0</v>
      </c>
      <c r="AL291" s="0" t="n">
        <v>0</v>
      </c>
      <c r="AM291" s="0" t="n">
        <v>0</v>
      </c>
    </row>
    <row r="292" customFormat="false" ht="12.75" hidden="false" customHeight="false" outlineLevel="0" collapsed="false">
      <c r="A292" s="0" t="s">
        <v>621</v>
      </c>
      <c r="B292" s="0" t="str">
        <f aca="false">'Basis Options'!C297</f>
        <v>NL8222</v>
      </c>
      <c r="C292" s="0" t="s">
        <v>622</v>
      </c>
      <c r="D292" s="0" t="s">
        <v>623</v>
      </c>
      <c r="E292" s="0" t="s">
        <v>131</v>
      </c>
      <c r="F292" s="0" t="str">
        <f aca="false">'Basis Options'!A297</f>
        <v>KOCHENETRA</v>
      </c>
      <c r="G292" s="0" t="s">
        <v>628</v>
      </c>
      <c r="H292" s="0" t="s">
        <v>625</v>
      </c>
      <c r="I292" s="0" t="s">
        <v>626</v>
      </c>
      <c r="J292" s="0" t="s">
        <v>627</v>
      </c>
      <c r="K292" s="475" t="n">
        <f aca="false">'Basis Options'!G297</f>
        <v>36982</v>
      </c>
      <c r="L292" s="254" t="e">
        <f aca="false">'Basis Options'!U297</f>
        <v>#NAME?</v>
      </c>
      <c r="M292" s="475" t="n">
        <f aca="false">'Basis Options'!Q297</f>
        <v>36979</v>
      </c>
      <c r="N292" s="0" t="str">
        <f aca="false">'Basis Options'!F297</f>
        <v>C</v>
      </c>
      <c r="O292" s="0" t="n">
        <f aca="false">'Basis Options'!I297</f>
        <v>0.7</v>
      </c>
      <c r="P292" s="0" t="n">
        <v>0</v>
      </c>
      <c r="Q292" s="0" t="n">
        <v>0</v>
      </c>
      <c r="R292" s="0" t="n">
        <v>0</v>
      </c>
      <c r="S292" s="0" t="n">
        <v>0</v>
      </c>
      <c r="T292" s="0" t="s">
        <v>624</v>
      </c>
      <c r="U292" s="0" t="str">
        <f aca="false">IF('Basis Options'!D297="NGI/CHI. GATE","""NGI/CHI. GATE""",TRIM('Basis Options'!D297))</f>
        <v>IF-TRANSCO/Z6</v>
      </c>
      <c r="V292" s="0" t="s">
        <v>624</v>
      </c>
      <c r="W292" s="0" t="s">
        <v>569</v>
      </c>
      <c r="X292" s="0" t="s">
        <v>624</v>
      </c>
      <c r="Y292" s="0" t="s">
        <v>627</v>
      </c>
      <c r="Z292" s="0" t="s">
        <v>629</v>
      </c>
      <c r="AA292" s="0" t="s">
        <v>624</v>
      </c>
      <c r="AB292" s="0" t="s">
        <v>132</v>
      </c>
      <c r="AC292" s="254" t="n">
        <f aca="false">'Basis Options'!H297</f>
        <v>-2100000</v>
      </c>
      <c r="AD292" s="254" t="e">
        <f aca="false">'Basis Options'!W297</f>
        <v>#NAME?</v>
      </c>
      <c r="AE292" s="0" t="n">
        <v>0</v>
      </c>
      <c r="AF292" s="0" t="n">
        <v>0</v>
      </c>
      <c r="AG292" s="0" t="n">
        <v>0</v>
      </c>
      <c r="AH292" s="254" t="e">
        <f aca="false">'Basis Options'!CD297</f>
        <v>#NAME?</v>
      </c>
      <c r="AI292" s="0" t="n">
        <v>226</v>
      </c>
      <c r="AJ292" s="0" t="s">
        <v>630</v>
      </c>
      <c r="AK292" s="0" t="n">
        <v>0</v>
      </c>
      <c r="AL292" s="0" t="n">
        <v>0</v>
      </c>
      <c r="AM292" s="0" t="n">
        <v>0</v>
      </c>
    </row>
    <row r="293" customFormat="false" ht="12.75" hidden="false" customHeight="false" outlineLevel="0" collapsed="false">
      <c r="A293" s="0" t="s">
        <v>621</v>
      </c>
      <c r="B293" s="0" t="str">
        <f aca="false">'Basis Options'!C298</f>
        <v>NL8409</v>
      </c>
      <c r="C293" s="0" t="s">
        <v>622</v>
      </c>
      <c r="D293" s="0" t="s">
        <v>623</v>
      </c>
      <c r="E293" s="0" t="s">
        <v>131</v>
      </c>
      <c r="F293" s="0" t="str">
        <f aca="false">'Basis Options'!A298</f>
        <v>DUKEENETRA</v>
      </c>
      <c r="G293" s="0" t="s">
        <v>628</v>
      </c>
      <c r="H293" s="0" t="s">
        <v>625</v>
      </c>
      <c r="I293" s="0" t="s">
        <v>626</v>
      </c>
      <c r="J293" s="0" t="s">
        <v>627</v>
      </c>
      <c r="K293" s="475" t="n">
        <f aca="false">'Basis Options'!G298</f>
        <v>36951</v>
      </c>
      <c r="L293" s="254" t="e">
        <f aca="false">'Basis Options'!U298</f>
        <v>#NAME?</v>
      </c>
      <c r="M293" s="475" t="n">
        <f aca="false">'Basis Options'!Q298</f>
        <v>36949</v>
      </c>
      <c r="N293" s="0" t="str">
        <f aca="false">'Basis Options'!F298</f>
        <v>P</v>
      </c>
      <c r="O293" s="0" t="n">
        <f aca="false">'Basis Options'!I298</f>
        <v>0.75</v>
      </c>
      <c r="P293" s="0" t="n">
        <v>0</v>
      </c>
      <c r="Q293" s="0" t="n">
        <v>0</v>
      </c>
      <c r="R293" s="0" t="n">
        <v>0</v>
      </c>
      <c r="S293" s="0" t="n">
        <v>0</v>
      </c>
      <c r="T293" s="0" t="s">
        <v>624</v>
      </c>
      <c r="U293" s="0" t="str">
        <f aca="false">IF('Basis Options'!D298="NGI/CHI. GATE","""NGI/CHI. GATE""",TRIM('Basis Options'!D298))</f>
        <v>IF-TRANSCO/Z6</v>
      </c>
      <c r="V293" s="0" t="s">
        <v>624</v>
      </c>
      <c r="W293" s="0" t="s">
        <v>569</v>
      </c>
      <c r="X293" s="0" t="s">
        <v>624</v>
      </c>
      <c r="Y293" s="0" t="s">
        <v>627</v>
      </c>
      <c r="Z293" s="0" t="s">
        <v>629</v>
      </c>
      <c r="AA293" s="0" t="s">
        <v>624</v>
      </c>
      <c r="AB293" s="0" t="s">
        <v>132</v>
      </c>
      <c r="AC293" s="254" t="n">
        <f aca="false">'Basis Options'!H298</f>
        <v>930000</v>
      </c>
      <c r="AD293" s="254" t="e">
        <f aca="false">'Basis Options'!W298</f>
        <v>#NAME?</v>
      </c>
      <c r="AE293" s="0" t="n">
        <v>0</v>
      </c>
      <c r="AF293" s="0" t="n">
        <v>0</v>
      </c>
      <c r="AG293" s="0" t="n">
        <v>0</v>
      </c>
      <c r="AH293" s="254" t="e">
        <f aca="false">'Basis Options'!CD298</f>
        <v>#NAME?</v>
      </c>
      <c r="AI293" s="0" t="n">
        <v>226</v>
      </c>
      <c r="AJ293" s="0" t="s">
        <v>630</v>
      </c>
      <c r="AK293" s="0" t="n">
        <v>0</v>
      </c>
      <c r="AL293" s="0" t="n">
        <v>0</v>
      </c>
      <c r="AM293" s="0" t="n">
        <v>0</v>
      </c>
    </row>
    <row r="294" customFormat="false" ht="12.75" hidden="false" customHeight="false" outlineLevel="0" collapsed="false">
      <c r="A294" s="0" t="s">
        <v>621</v>
      </c>
      <c r="B294" s="0" t="str">
        <f aca="false">'Basis Options'!C299</f>
        <v>NL8409</v>
      </c>
      <c r="C294" s="0" t="s">
        <v>622</v>
      </c>
      <c r="D294" s="0" t="s">
        <v>623</v>
      </c>
      <c r="E294" s="0" t="s">
        <v>131</v>
      </c>
      <c r="F294" s="0" t="str">
        <f aca="false">'Basis Options'!A299</f>
        <v>DUKEENETRA</v>
      </c>
      <c r="G294" s="0" t="s">
        <v>628</v>
      </c>
      <c r="H294" s="0" t="s">
        <v>625</v>
      </c>
      <c r="I294" s="0" t="s">
        <v>626</v>
      </c>
      <c r="J294" s="0" t="s">
        <v>627</v>
      </c>
      <c r="K294" s="475" t="n">
        <f aca="false">'Basis Options'!G299</f>
        <v>36923</v>
      </c>
      <c r="L294" s="254" t="e">
        <f aca="false">'Basis Options'!U299</f>
        <v>#NAME?</v>
      </c>
      <c r="M294" s="475" t="n">
        <f aca="false">'Basis Options'!Q299</f>
        <v>36921</v>
      </c>
      <c r="N294" s="0" t="str">
        <f aca="false">'Basis Options'!F299</f>
        <v>P</v>
      </c>
      <c r="O294" s="0" t="n">
        <f aca="false">'Basis Options'!I299</f>
        <v>0.75</v>
      </c>
      <c r="P294" s="0" t="n">
        <v>0</v>
      </c>
      <c r="Q294" s="0" t="n">
        <v>0</v>
      </c>
      <c r="R294" s="0" t="n">
        <v>0</v>
      </c>
      <c r="S294" s="0" t="n">
        <v>0</v>
      </c>
      <c r="T294" s="0" t="s">
        <v>624</v>
      </c>
      <c r="U294" s="0" t="str">
        <f aca="false">IF('Basis Options'!D299="NGI/CHI. GATE","""NGI/CHI. GATE""",TRIM('Basis Options'!D299))</f>
        <v>IF-TRANSCO/Z6</v>
      </c>
      <c r="V294" s="0" t="s">
        <v>624</v>
      </c>
      <c r="W294" s="0" t="s">
        <v>569</v>
      </c>
      <c r="X294" s="0" t="s">
        <v>624</v>
      </c>
      <c r="Y294" s="0" t="s">
        <v>627</v>
      </c>
      <c r="Z294" s="0" t="s">
        <v>629</v>
      </c>
      <c r="AA294" s="0" t="s">
        <v>624</v>
      </c>
      <c r="AB294" s="0" t="s">
        <v>132</v>
      </c>
      <c r="AC294" s="254" t="n">
        <f aca="false">'Basis Options'!H299</f>
        <v>840000</v>
      </c>
      <c r="AD294" s="254" t="e">
        <f aca="false">'Basis Options'!W299</f>
        <v>#NAME?</v>
      </c>
      <c r="AE294" s="0" t="n">
        <v>0</v>
      </c>
      <c r="AF294" s="0" t="n">
        <v>0</v>
      </c>
      <c r="AG294" s="0" t="n">
        <v>0</v>
      </c>
      <c r="AH294" s="254" t="e">
        <f aca="false">'Basis Options'!CD299</f>
        <v>#NAME?</v>
      </c>
      <c r="AI294" s="0" t="n">
        <v>226</v>
      </c>
      <c r="AJ294" s="0" t="s">
        <v>630</v>
      </c>
      <c r="AK294" s="0" t="n">
        <v>0</v>
      </c>
      <c r="AL294" s="0" t="n">
        <v>0</v>
      </c>
      <c r="AM294" s="0" t="n">
        <v>0</v>
      </c>
    </row>
    <row r="295" customFormat="false" ht="12.75" hidden="false" customHeight="false" outlineLevel="0" collapsed="false">
      <c r="A295" s="0" t="s">
        <v>621</v>
      </c>
      <c r="B295" s="0" t="str">
        <f aca="false">'Basis Options'!C300</f>
        <v>NL8409</v>
      </c>
      <c r="C295" s="0" t="s">
        <v>622</v>
      </c>
      <c r="D295" s="0" t="s">
        <v>623</v>
      </c>
      <c r="E295" s="0" t="s">
        <v>131</v>
      </c>
      <c r="F295" s="0" t="str">
        <f aca="false">'Basis Options'!A300</f>
        <v>DUKEENETRA</v>
      </c>
      <c r="G295" s="0" t="s">
        <v>628</v>
      </c>
      <c r="H295" s="0" t="s">
        <v>625</v>
      </c>
      <c r="I295" s="0" t="s">
        <v>626</v>
      </c>
      <c r="J295" s="0" t="s">
        <v>627</v>
      </c>
      <c r="K295" s="475" t="n">
        <f aca="false">'Basis Options'!G300</f>
        <v>36892</v>
      </c>
      <c r="L295" s="254" t="e">
        <f aca="false">'Basis Options'!U300</f>
        <v>#NAME?</v>
      </c>
      <c r="M295" s="475" t="n">
        <f aca="false">'Basis Options'!Q300</f>
        <v>36888</v>
      </c>
      <c r="N295" s="0" t="str">
        <f aca="false">'Basis Options'!F300</f>
        <v>P</v>
      </c>
      <c r="O295" s="0" t="n">
        <f aca="false">'Basis Options'!I300</f>
        <v>0.75</v>
      </c>
      <c r="P295" s="0" t="n">
        <v>0</v>
      </c>
      <c r="Q295" s="0" t="n">
        <v>0</v>
      </c>
      <c r="R295" s="0" t="n">
        <v>0</v>
      </c>
      <c r="S295" s="0" t="n">
        <v>0</v>
      </c>
      <c r="T295" s="0" t="s">
        <v>624</v>
      </c>
      <c r="U295" s="0" t="str">
        <f aca="false">IF('Basis Options'!D300="NGI/CHI. GATE","""NGI/CHI. GATE""",TRIM('Basis Options'!D300))</f>
        <v>IF-TRANSCO/Z6</v>
      </c>
      <c r="V295" s="0" t="s">
        <v>624</v>
      </c>
      <c r="W295" s="0" t="s">
        <v>569</v>
      </c>
      <c r="X295" s="0" t="s">
        <v>624</v>
      </c>
      <c r="Y295" s="0" t="s">
        <v>627</v>
      </c>
      <c r="Z295" s="0" t="s">
        <v>629</v>
      </c>
      <c r="AA295" s="0" t="s">
        <v>624</v>
      </c>
      <c r="AB295" s="0" t="s">
        <v>132</v>
      </c>
      <c r="AC295" s="254" t="n">
        <f aca="false">'Basis Options'!H300</f>
        <v>930000</v>
      </c>
      <c r="AD295" s="254" t="e">
        <f aca="false">'Basis Options'!W300</f>
        <v>#NAME?</v>
      </c>
      <c r="AE295" s="0" t="n">
        <v>0</v>
      </c>
      <c r="AF295" s="0" t="n">
        <v>0</v>
      </c>
      <c r="AG295" s="0" t="n">
        <v>0</v>
      </c>
      <c r="AH295" s="254" t="e">
        <f aca="false">'Basis Options'!CD300</f>
        <v>#NAME?</v>
      </c>
      <c r="AI295" s="0" t="n">
        <v>226</v>
      </c>
      <c r="AJ295" s="0" t="s">
        <v>630</v>
      </c>
      <c r="AK295" s="0" t="n">
        <v>0</v>
      </c>
      <c r="AL295" s="0" t="n">
        <v>0</v>
      </c>
      <c r="AM295" s="0" t="n">
        <v>0</v>
      </c>
    </row>
    <row r="296" customFormat="false" ht="12.75" hidden="false" customHeight="false" outlineLevel="0" collapsed="false">
      <c r="A296" s="0" t="s">
        <v>621</v>
      </c>
      <c r="B296" s="0" t="str">
        <f aca="false">'Basis Options'!C301</f>
        <v>NL8409</v>
      </c>
      <c r="C296" s="0" t="s">
        <v>622</v>
      </c>
      <c r="D296" s="0" t="s">
        <v>623</v>
      </c>
      <c r="E296" s="0" t="s">
        <v>131</v>
      </c>
      <c r="F296" s="0" t="str">
        <f aca="false">'Basis Options'!A301</f>
        <v>DUKEENETRA</v>
      </c>
      <c r="G296" s="0" t="s">
        <v>628</v>
      </c>
      <c r="H296" s="0" t="s">
        <v>625</v>
      </c>
      <c r="I296" s="0" t="s">
        <v>626</v>
      </c>
      <c r="J296" s="0" t="s">
        <v>627</v>
      </c>
      <c r="K296" s="475" t="n">
        <f aca="false">'Basis Options'!G301</f>
        <v>36861</v>
      </c>
      <c r="L296" s="254" t="e">
        <f aca="false">'Basis Options'!U301</f>
        <v>#NAME?</v>
      </c>
      <c r="M296" s="475" t="n">
        <f aca="false">'Basis Options'!Q301</f>
        <v>36859</v>
      </c>
      <c r="N296" s="0" t="str">
        <f aca="false">'Basis Options'!F301</f>
        <v>P</v>
      </c>
      <c r="O296" s="0" t="n">
        <f aca="false">'Basis Options'!I301</f>
        <v>0.75</v>
      </c>
      <c r="P296" s="0" t="n">
        <v>0</v>
      </c>
      <c r="Q296" s="0" t="n">
        <v>0</v>
      </c>
      <c r="R296" s="0" t="n">
        <v>0</v>
      </c>
      <c r="S296" s="0" t="n">
        <v>0</v>
      </c>
      <c r="T296" s="0" t="s">
        <v>624</v>
      </c>
      <c r="U296" s="0" t="str">
        <f aca="false">IF('Basis Options'!D301="NGI/CHI. GATE","""NGI/CHI. GATE""",TRIM('Basis Options'!D301))</f>
        <v>IF-TRANSCO/Z6</v>
      </c>
      <c r="V296" s="0" t="s">
        <v>624</v>
      </c>
      <c r="W296" s="0" t="s">
        <v>569</v>
      </c>
      <c r="X296" s="0" t="s">
        <v>624</v>
      </c>
      <c r="Y296" s="0" t="s">
        <v>627</v>
      </c>
      <c r="Z296" s="0" t="s">
        <v>629</v>
      </c>
      <c r="AA296" s="0" t="s">
        <v>624</v>
      </c>
      <c r="AB296" s="0" t="s">
        <v>132</v>
      </c>
      <c r="AC296" s="254" t="n">
        <f aca="false">'Basis Options'!H301</f>
        <v>930000</v>
      </c>
      <c r="AD296" s="254" t="e">
        <f aca="false">'Basis Options'!W301</f>
        <v>#NAME?</v>
      </c>
      <c r="AE296" s="0" t="n">
        <v>0</v>
      </c>
      <c r="AF296" s="0" t="n">
        <v>0</v>
      </c>
      <c r="AG296" s="0" t="n">
        <v>0</v>
      </c>
      <c r="AH296" s="254" t="e">
        <f aca="false">'Basis Options'!CD301</f>
        <v>#NAME?</v>
      </c>
      <c r="AI296" s="0" t="n">
        <v>226</v>
      </c>
      <c r="AJ296" s="0" t="s">
        <v>630</v>
      </c>
      <c r="AK296" s="0" t="n">
        <v>0</v>
      </c>
      <c r="AL296" s="0" t="n">
        <v>0</v>
      </c>
      <c r="AM296" s="0" t="n">
        <v>0</v>
      </c>
    </row>
    <row r="297" customFormat="false" ht="12.75" hidden="false" customHeight="false" outlineLevel="0" collapsed="false">
      <c r="A297" s="0" t="s">
        <v>621</v>
      </c>
      <c r="B297" s="0" t="str">
        <f aca="false">'Basis Options'!C302</f>
        <v>NL8409</v>
      </c>
      <c r="C297" s="0" t="s">
        <v>622</v>
      </c>
      <c r="D297" s="0" t="s">
        <v>623</v>
      </c>
      <c r="E297" s="0" t="s">
        <v>131</v>
      </c>
      <c r="F297" s="0" t="str">
        <f aca="false">'Basis Options'!A302</f>
        <v>DUKEENETRA</v>
      </c>
      <c r="G297" s="0" t="s">
        <v>628</v>
      </c>
      <c r="H297" s="0" t="s">
        <v>625</v>
      </c>
      <c r="I297" s="0" t="s">
        <v>626</v>
      </c>
      <c r="J297" s="0" t="s">
        <v>627</v>
      </c>
      <c r="K297" s="475" t="n">
        <f aca="false">'Basis Options'!G302</f>
        <v>36831</v>
      </c>
      <c r="L297" s="254" t="e">
        <f aca="false">'Basis Options'!U302</f>
        <v>#NAME?</v>
      </c>
      <c r="M297" s="475" t="n">
        <f aca="false">'Basis Options'!Q302</f>
        <v>36829</v>
      </c>
      <c r="N297" s="0" t="str">
        <f aca="false">'Basis Options'!F302</f>
        <v>P</v>
      </c>
      <c r="O297" s="0" t="n">
        <f aca="false">'Basis Options'!I302</f>
        <v>0.75</v>
      </c>
      <c r="P297" s="0" t="n">
        <v>0</v>
      </c>
      <c r="Q297" s="0" t="n">
        <v>0</v>
      </c>
      <c r="R297" s="0" t="n">
        <v>0</v>
      </c>
      <c r="S297" s="0" t="n">
        <v>0</v>
      </c>
      <c r="T297" s="0" t="s">
        <v>624</v>
      </c>
      <c r="U297" s="0" t="str">
        <f aca="false">IF('Basis Options'!D302="NGI/CHI. GATE","""NGI/CHI. GATE""",TRIM('Basis Options'!D302))</f>
        <v>IF-TRANSCO/Z6</v>
      </c>
      <c r="V297" s="0" t="s">
        <v>624</v>
      </c>
      <c r="W297" s="0" t="s">
        <v>569</v>
      </c>
      <c r="X297" s="0" t="s">
        <v>624</v>
      </c>
      <c r="Y297" s="0" t="s">
        <v>627</v>
      </c>
      <c r="Z297" s="0" t="s">
        <v>629</v>
      </c>
      <c r="AA297" s="0" t="s">
        <v>624</v>
      </c>
      <c r="AB297" s="0" t="s">
        <v>132</v>
      </c>
      <c r="AC297" s="254" t="n">
        <f aca="false">'Basis Options'!H302</f>
        <v>900000</v>
      </c>
      <c r="AD297" s="254" t="e">
        <f aca="false">'Basis Options'!W302</f>
        <v>#NAME?</v>
      </c>
      <c r="AE297" s="0" t="n">
        <v>0</v>
      </c>
      <c r="AF297" s="0" t="n">
        <v>0</v>
      </c>
      <c r="AG297" s="0" t="n">
        <v>0</v>
      </c>
      <c r="AH297" s="254" t="e">
        <f aca="false">'Basis Options'!CD302</f>
        <v>#NAME?</v>
      </c>
      <c r="AI297" s="0" t="n">
        <v>226</v>
      </c>
      <c r="AJ297" s="0" t="s">
        <v>630</v>
      </c>
      <c r="AK297" s="0" t="n">
        <v>0</v>
      </c>
      <c r="AL297" s="0" t="n">
        <v>0</v>
      </c>
      <c r="AM297" s="0" t="n">
        <v>0</v>
      </c>
    </row>
    <row r="298" customFormat="false" ht="12.75" hidden="false" customHeight="false" outlineLevel="0" collapsed="false">
      <c r="A298" s="0" t="s">
        <v>621</v>
      </c>
      <c r="B298" s="0" t="str">
        <f aca="false">'Basis Options'!C303</f>
        <v>NL8413.1</v>
      </c>
      <c r="C298" s="0" t="s">
        <v>622</v>
      </c>
      <c r="D298" s="0" t="s">
        <v>623</v>
      </c>
      <c r="E298" s="0" t="s">
        <v>131</v>
      </c>
      <c r="F298" s="0" t="str">
        <f aca="false">'Basis Options'!A303</f>
        <v>ELPASMER</v>
      </c>
      <c r="G298" s="0" t="s">
        <v>628</v>
      </c>
      <c r="H298" s="0" t="s">
        <v>625</v>
      </c>
      <c r="I298" s="0" t="s">
        <v>626</v>
      </c>
      <c r="J298" s="0" t="s">
        <v>627</v>
      </c>
      <c r="K298" s="475" t="n">
        <f aca="false">'Basis Options'!G303</f>
        <v>36800</v>
      </c>
      <c r="L298" s="254" t="e">
        <f aca="false">'Basis Options'!U303</f>
        <v>#NAME?</v>
      </c>
      <c r="M298" s="475" t="n">
        <f aca="false">'Basis Options'!Q303</f>
        <v>36797</v>
      </c>
      <c r="N298" s="0" t="str">
        <f aca="false">'Basis Options'!F303</f>
        <v>C</v>
      </c>
      <c r="O298" s="0" t="n">
        <f aca="false">'Basis Options'!I303</f>
        <v>0.7</v>
      </c>
      <c r="P298" s="0" t="n">
        <v>0</v>
      </c>
      <c r="Q298" s="0" t="n">
        <v>0</v>
      </c>
      <c r="R298" s="0" t="n">
        <v>0</v>
      </c>
      <c r="S298" s="0" t="n">
        <v>0</v>
      </c>
      <c r="T298" s="0" t="s">
        <v>624</v>
      </c>
      <c r="U298" s="0" t="str">
        <f aca="false">IF('Basis Options'!D303="NGI/CHI. GATE","""NGI/CHI. GATE""",TRIM('Basis Options'!D303))</f>
        <v>IF-TRANSCO/Z6</v>
      </c>
      <c r="V298" s="0" t="s">
        <v>624</v>
      </c>
      <c r="W298" s="0" t="s">
        <v>569</v>
      </c>
      <c r="X298" s="0" t="s">
        <v>624</v>
      </c>
      <c r="Y298" s="0" t="s">
        <v>627</v>
      </c>
      <c r="Z298" s="0" t="s">
        <v>629</v>
      </c>
      <c r="AA298" s="0" t="s">
        <v>624</v>
      </c>
      <c r="AB298" s="0" t="s">
        <v>132</v>
      </c>
      <c r="AC298" s="254" t="n">
        <f aca="false">'Basis Options'!H303</f>
        <v>-1000000</v>
      </c>
      <c r="AD298" s="254" t="e">
        <f aca="false">'Basis Options'!W303</f>
        <v>#NAME?</v>
      </c>
      <c r="AE298" s="0" t="n">
        <v>0</v>
      </c>
      <c r="AF298" s="0" t="n">
        <v>0</v>
      </c>
      <c r="AG298" s="0" t="n">
        <v>0</v>
      </c>
      <c r="AH298" s="254" t="e">
        <f aca="false">'Basis Options'!CD303</f>
        <v>#NAME?</v>
      </c>
      <c r="AI298" s="0" t="n">
        <v>226</v>
      </c>
      <c r="AJ298" s="0" t="s">
        <v>630</v>
      </c>
      <c r="AK298" s="0" t="n">
        <v>0</v>
      </c>
      <c r="AL298" s="0" t="n">
        <v>0</v>
      </c>
      <c r="AM298" s="0" t="n">
        <v>0</v>
      </c>
    </row>
    <row r="299" customFormat="false" ht="12.75" hidden="false" customHeight="false" outlineLevel="0" collapsed="false">
      <c r="A299" s="0" t="s">
        <v>621</v>
      </c>
      <c r="B299" s="0" t="str">
        <f aca="false">'Basis Options'!C304</f>
        <v>NL8413.2</v>
      </c>
      <c r="C299" s="0" t="s">
        <v>622</v>
      </c>
      <c r="D299" s="0" t="s">
        <v>623</v>
      </c>
      <c r="E299" s="0" t="s">
        <v>131</v>
      </c>
      <c r="F299" s="0" t="str">
        <f aca="false">'Basis Options'!A304</f>
        <v>ELPASMER</v>
      </c>
      <c r="G299" s="0" t="s">
        <v>628</v>
      </c>
      <c r="H299" s="0" t="s">
        <v>625</v>
      </c>
      <c r="I299" s="0" t="s">
        <v>626</v>
      </c>
      <c r="J299" s="0" t="s">
        <v>627</v>
      </c>
      <c r="K299" s="475" t="n">
        <f aca="false">'Basis Options'!G304</f>
        <v>36800</v>
      </c>
      <c r="L299" s="254" t="e">
        <f aca="false">'Basis Options'!U304</f>
        <v>#NAME?</v>
      </c>
      <c r="M299" s="475" t="n">
        <f aca="false">'Basis Options'!Q304</f>
        <v>36797</v>
      </c>
      <c r="N299" s="0" t="str">
        <f aca="false">'Basis Options'!F304</f>
        <v>C</v>
      </c>
      <c r="O299" s="0" t="n">
        <f aca="false">'Basis Options'!I304</f>
        <v>0.7</v>
      </c>
      <c r="P299" s="0" t="n">
        <v>0</v>
      </c>
      <c r="Q299" s="0" t="n">
        <v>0</v>
      </c>
      <c r="R299" s="0" t="n">
        <v>0</v>
      </c>
      <c r="S299" s="0" t="n">
        <v>0</v>
      </c>
      <c r="T299" s="0" t="s">
        <v>624</v>
      </c>
      <c r="U299" s="0" t="str">
        <f aca="false">IF('Basis Options'!D304="NGI/CHI. GATE","""NGI/CHI. GATE""",TRIM('Basis Options'!D304))</f>
        <v>IF-TRANSCO/Z6</v>
      </c>
      <c r="V299" s="0" t="s">
        <v>624</v>
      </c>
      <c r="W299" s="0" t="s">
        <v>569</v>
      </c>
      <c r="X299" s="0" t="s">
        <v>624</v>
      </c>
      <c r="Y299" s="0" t="s">
        <v>627</v>
      </c>
      <c r="Z299" s="0" t="s">
        <v>629</v>
      </c>
      <c r="AA299" s="0" t="s">
        <v>624</v>
      </c>
      <c r="AB299" s="0" t="s">
        <v>132</v>
      </c>
      <c r="AC299" s="254" t="n">
        <f aca="false">'Basis Options'!H304</f>
        <v>-1000000</v>
      </c>
      <c r="AD299" s="254" t="e">
        <f aca="false">'Basis Options'!W304</f>
        <v>#NAME?</v>
      </c>
      <c r="AE299" s="0" t="n">
        <v>0</v>
      </c>
      <c r="AF299" s="0" t="n">
        <v>0</v>
      </c>
      <c r="AG299" s="0" t="n">
        <v>0</v>
      </c>
      <c r="AH299" s="254" t="e">
        <f aca="false">'Basis Options'!CD304</f>
        <v>#NAME?</v>
      </c>
      <c r="AI299" s="0" t="n">
        <v>226</v>
      </c>
      <c r="AJ299" s="0" t="s">
        <v>630</v>
      </c>
      <c r="AK299" s="0" t="n">
        <v>0</v>
      </c>
      <c r="AL299" s="0" t="n">
        <v>0</v>
      </c>
      <c r="AM299" s="0" t="n">
        <v>0</v>
      </c>
    </row>
    <row r="300" customFormat="false" ht="12.75" hidden="false" customHeight="false" outlineLevel="0" collapsed="false">
      <c r="A300" s="0" t="s">
        <v>621</v>
      </c>
      <c r="B300" s="0" t="str">
        <f aca="false">'Basis Options'!C305</f>
        <v>NL8413.3</v>
      </c>
      <c r="C300" s="0" t="s">
        <v>622</v>
      </c>
      <c r="D300" s="0" t="s">
        <v>623</v>
      </c>
      <c r="E300" s="0" t="s">
        <v>131</v>
      </c>
      <c r="F300" s="0" t="str">
        <f aca="false">'Basis Options'!A305</f>
        <v>ELPASMER</v>
      </c>
      <c r="G300" s="0" t="s">
        <v>628</v>
      </c>
      <c r="H300" s="0" t="s">
        <v>625</v>
      </c>
      <c r="I300" s="0" t="s">
        <v>626</v>
      </c>
      <c r="J300" s="0" t="s">
        <v>627</v>
      </c>
      <c r="K300" s="475" t="n">
        <f aca="false">'Basis Options'!G305</f>
        <v>36800</v>
      </c>
      <c r="L300" s="254" t="e">
        <f aca="false">'Basis Options'!U305</f>
        <v>#NAME?</v>
      </c>
      <c r="M300" s="475" t="n">
        <f aca="false">'Basis Options'!Q305</f>
        <v>36797</v>
      </c>
      <c r="N300" s="0" t="str">
        <f aca="false">'Basis Options'!F305</f>
        <v>C</v>
      </c>
      <c r="O300" s="0" t="n">
        <f aca="false">'Basis Options'!I305</f>
        <v>0.7</v>
      </c>
      <c r="P300" s="0" t="n">
        <v>0</v>
      </c>
      <c r="Q300" s="0" t="n">
        <v>0</v>
      </c>
      <c r="R300" s="0" t="n">
        <v>0</v>
      </c>
      <c r="S300" s="0" t="n">
        <v>0</v>
      </c>
      <c r="T300" s="0" t="s">
        <v>624</v>
      </c>
      <c r="U300" s="0" t="str">
        <f aca="false">IF('Basis Options'!D305="NGI/CHI. GATE","""NGI/CHI. GATE""",TRIM('Basis Options'!D305))</f>
        <v>IF-TRANSCO/Z6</v>
      </c>
      <c r="V300" s="0" t="s">
        <v>624</v>
      </c>
      <c r="W300" s="0" t="s">
        <v>569</v>
      </c>
      <c r="X300" s="0" t="s">
        <v>624</v>
      </c>
      <c r="Y300" s="0" t="s">
        <v>627</v>
      </c>
      <c r="Z300" s="0" t="s">
        <v>629</v>
      </c>
      <c r="AA300" s="0" t="s">
        <v>624</v>
      </c>
      <c r="AB300" s="0" t="s">
        <v>132</v>
      </c>
      <c r="AC300" s="254" t="n">
        <f aca="false">'Basis Options'!H305</f>
        <v>-1000000</v>
      </c>
      <c r="AD300" s="254" t="e">
        <f aca="false">'Basis Options'!W305</f>
        <v>#NAME?</v>
      </c>
      <c r="AE300" s="0" t="n">
        <v>0</v>
      </c>
      <c r="AF300" s="0" t="n">
        <v>0</v>
      </c>
      <c r="AG300" s="0" t="n">
        <v>0</v>
      </c>
      <c r="AH300" s="254" t="e">
        <f aca="false">'Basis Options'!CD305</f>
        <v>#NAME?</v>
      </c>
      <c r="AI300" s="0" t="n">
        <v>226</v>
      </c>
      <c r="AJ300" s="0" t="s">
        <v>630</v>
      </c>
      <c r="AK300" s="0" t="n">
        <v>0</v>
      </c>
      <c r="AL300" s="0" t="n">
        <v>0</v>
      </c>
      <c r="AM300" s="0" t="n">
        <v>0</v>
      </c>
    </row>
    <row r="301" customFormat="false" ht="12.75" hidden="false" customHeight="false" outlineLevel="0" collapsed="false">
      <c r="A301" s="0" t="s">
        <v>621</v>
      </c>
      <c r="B301" s="0" t="str">
        <f aca="false">'Basis Options'!C306</f>
        <v>NL8419.1</v>
      </c>
      <c r="C301" s="0" t="s">
        <v>622</v>
      </c>
      <c r="D301" s="0" t="s">
        <v>623</v>
      </c>
      <c r="E301" s="0" t="s">
        <v>131</v>
      </c>
      <c r="F301" s="0" t="str">
        <f aca="false">'Basis Options'!A306</f>
        <v>DYNEGYMARAND</v>
      </c>
      <c r="G301" s="0" t="s">
        <v>628</v>
      </c>
      <c r="H301" s="0" t="s">
        <v>625</v>
      </c>
      <c r="I301" s="0" t="s">
        <v>626</v>
      </c>
      <c r="J301" s="0" t="s">
        <v>627</v>
      </c>
      <c r="K301" s="475" t="n">
        <f aca="false">'Basis Options'!G306</f>
        <v>36951</v>
      </c>
      <c r="L301" s="254" t="e">
        <f aca="false">'Basis Options'!U306</f>
        <v>#NAME?</v>
      </c>
      <c r="M301" s="475" t="n">
        <f aca="false">'Basis Options'!Q306</f>
        <v>36949</v>
      </c>
      <c r="N301" s="0" t="str">
        <f aca="false">'Basis Options'!F306</f>
        <v>C</v>
      </c>
      <c r="O301" s="0" t="n">
        <f aca="false">'Basis Options'!I306</f>
        <v>1.75</v>
      </c>
      <c r="P301" s="0" t="n">
        <v>0</v>
      </c>
      <c r="Q301" s="0" t="n">
        <v>0</v>
      </c>
      <c r="R301" s="0" t="n">
        <v>0</v>
      </c>
      <c r="S301" s="0" t="n">
        <v>0</v>
      </c>
      <c r="T301" s="0" t="s">
        <v>624</v>
      </c>
      <c r="U301" s="0" t="str">
        <f aca="false">IF('Basis Options'!D306="NGI/CHI. GATE","""NGI/CHI. GATE""",TRIM('Basis Options'!D306))</f>
        <v>IF-TRANSCO/Z6</v>
      </c>
      <c r="V301" s="0" t="s">
        <v>624</v>
      </c>
      <c r="W301" s="0" t="s">
        <v>569</v>
      </c>
      <c r="X301" s="0" t="s">
        <v>624</v>
      </c>
      <c r="Y301" s="0" t="s">
        <v>627</v>
      </c>
      <c r="Z301" s="0" t="s">
        <v>629</v>
      </c>
      <c r="AA301" s="0" t="s">
        <v>624</v>
      </c>
      <c r="AB301" s="0" t="s">
        <v>132</v>
      </c>
      <c r="AC301" s="254" t="n">
        <f aca="false">'Basis Options'!H306</f>
        <v>-310000</v>
      </c>
      <c r="AD301" s="254" t="e">
        <f aca="false">'Basis Options'!W306</f>
        <v>#NAME?</v>
      </c>
      <c r="AE301" s="0" t="n">
        <v>0</v>
      </c>
      <c r="AF301" s="0" t="n">
        <v>0</v>
      </c>
      <c r="AG301" s="0" t="n">
        <v>0</v>
      </c>
      <c r="AH301" s="254" t="e">
        <f aca="false">'Basis Options'!CD306</f>
        <v>#NAME?</v>
      </c>
      <c r="AI301" s="0" t="n">
        <v>226</v>
      </c>
      <c r="AJ301" s="0" t="s">
        <v>630</v>
      </c>
      <c r="AK301" s="0" t="n">
        <v>0</v>
      </c>
      <c r="AL301" s="0" t="n">
        <v>0</v>
      </c>
      <c r="AM301" s="0" t="n">
        <v>0</v>
      </c>
    </row>
    <row r="302" customFormat="false" ht="12.75" hidden="false" customHeight="false" outlineLevel="0" collapsed="false">
      <c r="A302" s="0" t="s">
        <v>621</v>
      </c>
      <c r="B302" s="0" t="str">
        <f aca="false">'Basis Options'!C307</f>
        <v>NL8419.1</v>
      </c>
      <c r="C302" s="0" t="s">
        <v>622</v>
      </c>
      <c r="D302" s="0" t="s">
        <v>623</v>
      </c>
      <c r="E302" s="0" t="s">
        <v>131</v>
      </c>
      <c r="F302" s="0" t="str">
        <f aca="false">'Basis Options'!A307</f>
        <v>DYNEGYMARAND</v>
      </c>
      <c r="G302" s="0" t="s">
        <v>628</v>
      </c>
      <c r="H302" s="0" t="s">
        <v>625</v>
      </c>
      <c r="I302" s="0" t="s">
        <v>626</v>
      </c>
      <c r="J302" s="0" t="s">
        <v>627</v>
      </c>
      <c r="K302" s="475" t="n">
        <f aca="false">'Basis Options'!G307</f>
        <v>36923</v>
      </c>
      <c r="L302" s="254" t="e">
        <f aca="false">'Basis Options'!U307</f>
        <v>#NAME?</v>
      </c>
      <c r="M302" s="475" t="n">
        <f aca="false">'Basis Options'!Q307</f>
        <v>36921</v>
      </c>
      <c r="N302" s="0" t="str">
        <f aca="false">'Basis Options'!F307</f>
        <v>C</v>
      </c>
      <c r="O302" s="0" t="n">
        <f aca="false">'Basis Options'!I307</f>
        <v>1.75</v>
      </c>
      <c r="P302" s="0" t="n">
        <v>0</v>
      </c>
      <c r="Q302" s="0" t="n">
        <v>0</v>
      </c>
      <c r="R302" s="0" t="n">
        <v>0</v>
      </c>
      <c r="S302" s="0" t="n">
        <v>0</v>
      </c>
      <c r="T302" s="0" t="s">
        <v>624</v>
      </c>
      <c r="U302" s="0" t="str">
        <f aca="false">IF('Basis Options'!D307="NGI/CHI. GATE","""NGI/CHI. GATE""",TRIM('Basis Options'!D307))</f>
        <v>IF-TRANSCO/Z6</v>
      </c>
      <c r="V302" s="0" t="s">
        <v>624</v>
      </c>
      <c r="W302" s="0" t="s">
        <v>569</v>
      </c>
      <c r="X302" s="0" t="s">
        <v>624</v>
      </c>
      <c r="Y302" s="0" t="s">
        <v>627</v>
      </c>
      <c r="Z302" s="0" t="s">
        <v>629</v>
      </c>
      <c r="AA302" s="0" t="s">
        <v>624</v>
      </c>
      <c r="AB302" s="0" t="s">
        <v>132</v>
      </c>
      <c r="AC302" s="254" t="n">
        <f aca="false">'Basis Options'!H307</f>
        <v>-280000</v>
      </c>
      <c r="AD302" s="254" t="e">
        <f aca="false">'Basis Options'!W307</f>
        <v>#NAME?</v>
      </c>
      <c r="AE302" s="0" t="n">
        <v>0</v>
      </c>
      <c r="AF302" s="0" t="n">
        <v>0</v>
      </c>
      <c r="AG302" s="0" t="n">
        <v>0</v>
      </c>
      <c r="AH302" s="254" t="e">
        <f aca="false">'Basis Options'!CD307</f>
        <v>#NAME?</v>
      </c>
      <c r="AI302" s="0" t="n">
        <v>226</v>
      </c>
      <c r="AJ302" s="0" t="s">
        <v>630</v>
      </c>
      <c r="AK302" s="0" t="n">
        <v>0</v>
      </c>
      <c r="AL302" s="0" t="n">
        <v>0</v>
      </c>
      <c r="AM302" s="0" t="n">
        <v>0</v>
      </c>
    </row>
    <row r="303" customFormat="false" ht="12.75" hidden="false" customHeight="false" outlineLevel="0" collapsed="false">
      <c r="A303" s="0" t="s">
        <v>621</v>
      </c>
      <c r="B303" s="0" t="str">
        <f aca="false">'Basis Options'!C308</f>
        <v>NL8419.1</v>
      </c>
      <c r="C303" s="0" t="s">
        <v>622</v>
      </c>
      <c r="D303" s="0" t="s">
        <v>623</v>
      </c>
      <c r="E303" s="0" t="s">
        <v>131</v>
      </c>
      <c r="F303" s="0" t="str">
        <f aca="false">'Basis Options'!A308</f>
        <v>DYNEGYMARAND</v>
      </c>
      <c r="G303" s="0" t="s">
        <v>628</v>
      </c>
      <c r="H303" s="0" t="s">
        <v>625</v>
      </c>
      <c r="I303" s="0" t="s">
        <v>626</v>
      </c>
      <c r="J303" s="0" t="s">
        <v>627</v>
      </c>
      <c r="K303" s="475" t="n">
        <f aca="false">'Basis Options'!G308</f>
        <v>36892</v>
      </c>
      <c r="L303" s="254" t="e">
        <f aca="false">'Basis Options'!U308</f>
        <v>#NAME?</v>
      </c>
      <c r="M303" s="475" t="n">
        <f aca="false">'Basis Options'!Q308</f>
        <v>36888</v>
      </c>
      <c r="N303" s="0" t="str">
        <f aca="false">'Basis Options'!F308</f>
        <v>C</v>
      </c>
      <c r="O303" s="0" t="n">
        <f aca="false">'Basis Options'!I308</f>
        <v>1.75</v>
      </c>
      <c r="P303" s="0" t="n">
        <v>0</v>
      </c>
      <c r="Q303" s="0" t="n">
        <v>0</v>
      </c>
      <c r="R303" s="0" t="n">
        <v>0</v>
      </c>
      <c r="S303" s="0" t="n">
        <v>0</v>
      </c>
      <c r="T303" s="0" t="s">
        <v>624</v>
      </c>
      <c r="U303" s="0" t="str">
        <f aca="false">IF('Basis Options'!D308="NGI/CHI. GATE","""NGI/CHI. GATE""",TRIM('Basis Options'!D308))</f>
        <v>IF-TRANSCO/Z6</v>
      </c>
      <c r="V303" s="0" t="s">
        <v>624</v>
      </c>
      <c r="W303" s="0" t="s">
        <v>569</v>
      </c>
      <c r="X303" s="0" t="s">
        <v>624</v>
      </c>
      <c r="Y303" s="0" t="s">
        <v>627</v>
      </c>
      <c r="Z303" s="0" t="s">
        <v>629</v>
      </c>
      <c r="AA303" s="0" t="s">
        <v>624</v>
      </c>
      <c r="AB303" s="0" t="s">
        <v>132</v>
      </c>
      <c r="AC303" s="254" t="n">
        <f aca="false">'Basis Options'!H308</f>
        <v>-310000</v>
      </c>
      <c r="AD303" s="254" t="e">
        <f aca="false">'Basis Options'!W308</f>
        <v>#NAME?</v>
      </c>
      <c r="AE303" s="0" t="n">
        <v>0</v>
      </c>
      <c r="AF303" s="0" t="n">
        <v>0</v>
      </c>
      <c r="AG303" s="0" t="n">
        <v>0</v>
      </c>
      <c r="AH303" s="254" t="e">
        <f aca="false">'Basis Options'!CD308</f>
        <v>#NAME?</v>
      </c>
      <c r="AI303" s="0" t="n">
        <v>226</v>
      </c>
      <c r="AJ303" s="0" t="s">
        <v>630</v>
      </c>
      <c r="AK303" s="0" t="n">
        <v>0</v>
      </c>
      <c r="AL303" s="0" t="n">
        <v>0</v>
      </c>
      <c r="AM303" s="0" t="n">
        <v>0</v>
      </c>
    </row>
    <row r="304" customFormat="false" ht="12.75" hidden="false" customHeight="false" outlineLevel="0" collapsed="false">
      <c r="A304" s="0" t="s">
        <v>621</v>
      </c>
      <c r="B304" s="0" t="str">
        <f aca="false">'Basis Options'!C309</f>
        <v>NL8419.1</v>
      </c>
      <c r="C304" s="0" t="s">
        <v>622</v>
      </c>
      <c r="D304" s="0" t="s">
        <v>623</v>
      </c>
      <c r="E304" s="0" t="s">
        <v>131</v>
      </c>
      <c r="F304" s="0" t="str">
        <f aca="false">'Basis Options'!A309</f>
        <v>DYNEGYMARAND</v>
      </c>
      <c r="G304" s="0" t="s">
        <v>628</v>
      </c>
      <c r="H304" s="0" t="s">
        <v>625</v>
      </c>
      <c r="I304" s="0" t="s">
        <v>626</v>
      </c>
      <c r="J304" s="0" t="s">
        <v>627</v>
      </c>
      <c r="K304" s="475" t="n">
        <f aca="false">'Basis Options'!G309</f>
        <v>36861</v>
      </c>
      <c r="L304" s="254" t="e">
        <f aca="false">'Basis Options'!U309</f>
        <v>#NAME?</v>
      </c>
      <c r="M304" s="475" t="n">
        <f aca="false">'Basis Options'!Q309</f>
        <v>36859</v>
      </c>
      <c r="N304" s="0" t="str">
        <f aca="false">'Basis Options'!F309</f>
        <v>C</v>
      </c>
      <c r="O304" s="0" t="n">
        <f aca="false">'Basis Options'!I309</f>
        <v>1.75</v>
      </c>
      <c r="P304" s="0" t="n">
        <v>0</v>
      </c>
      <c r="Q304" s="0" t="n">
        <v>0</v>
      </c>
      <c r="R304" s="0" t="n">
        <v>0</v>
      </c>
      <c r="S304" s="0" t="n">
        <v>0</v>
      </c>
      <c r="T304" s="0" t="s">
        <v>624</v>
      </c>
      <c r="U304" s="0" t="str">
        <f aca="false">IF('Basis Options'!D309="NGI/CHI. GATE","""NGI/CHI. GATE""",TRIM('Basis Options'!D309))</f>
        <v>IF-TRANSCO/Z6</v>
      </c>
      <c r="V304" s="0" t="s">
        <v>624</v>
      </c>
      <c r="W304" s="0" t="s">
        <v>569</v>
      </c>
      <c r="X304" s="0" t="s">
        <v>624</v>
      </c>
      <c r="Y304" s="0" t="s">
        <v>627</v>
      </c>
      <c r="Z304" s="0" t="s">
        <v>629</v>
      </c>
      <c r="AA304" s="0" t="s">
        <v>624</v>
      </c>
      <c r="AB304" s="0" t="s">
        <v>132</v>
      </c>
      <c r="AC304" s="254" t="n">
        <f aca="false">'Basis Options'!H309</f>
        <v>-310000</v>
      </c>
      <c r="AD304" s="254" t="e">
        <f aca="false">'Basis Options'!W309</f>
        <v>#NAME?</v>
      </c>
      <c r="AE304" s="0" t="n">
        <v>0</v>
      </c>
      <c r="AF304" s="0" t="n">
        <v>0</v>
      </c>
      <c r="AG304" s="0" t="n">
        <v>0</v>
      </c>
      <c r="AH304" s="254" t="e">
        <f aca="false">'Basis Options'!CD309</f>
        <v>#NAME?</v>
      </c>
      <c r="AI304" s="0" t="n">
        <v>226</v>
      </c>
      <c r="AJ304" s="0" t="s">
        <v>630</v>
      </c>
      <c r="AK304" s="0" t="n">
        <v>0</v>
      </c>
      <c r="AL304" s="0" t="n">
        <v>0</v>
      </c>
      <c r="AM304" s="0" t="n">
        <v>0</v>
      </c>
    </row>
    <row r="305" customFormat="false" ht="12.75" hidden="false" customHeight="false" outlineLevel="0" collapsed="false">
      <c r="A305" s="0" t="s">
        <v>621</v>
      </c>
      <c r="B305" s="0" t="str">
        <f aca="false">'Basis Options'!C310</f>
        <v>NL8419.1</v>
      </c>
      <c r="C305" s="0" t="s">
        <v>622</v>
      </c>
      <c r="D305" s="0" t="s">
        <v>623</v>
      </c>
      <c r="E305" s="0" t="s">
        <v>131</v>
      </c>
      <c r="F305" s="0" t="str">
        <f aca="false">'Basis Options'!A310</f>
        <v>DYNEGYMARAND</v>
      </c>
      <c r="G305" s="0" t="s">
        <v>628</v>
      </c>
      <c r="H305" s="0" t="s">
        <v>625</v>
      </c>
      <c r="I305" s="0" t="s">
        <v>626</v>
      </c>
      <c r="J305" s="0" t="s">
        <v>627</v>
      </c>
      <c r="K305" s="475" t="n">
        <f aca="false">'Basis Options'!G310</f>
        <v>36831</v>
      </c>
      <c r="L305" s="254" t="e">
        <f aca="false">'Basis Options'!U310</f>
        <v>#NAME?</v>
      </c>
      <c r="M305" s="475" t="n">
        <f aca="false">'Basis Options'!Q310</f>
        <v>36829</v>
      </c>
      <c r="N305" s="0" t="str">
        <f aca="false">'Basis Options'!F310</f>
        <v>C</v>
      </c>
      <c r="O305" s="0" t="n">
        <f aca="false">'Basis Options'!I310</f>
        <v>1.75</v>
      </c>
      <c r="P305" s="0" t="n">
        <v>0</v>
      </c>
      <c r="Q305" s="0" t="n">
        <v>0</v>
      </c>
      <c r="R305" s="0" t="n">
        <v>0</v>
      </c>
      <c r="S305" s="0" t="n">
        <v>0</v>
      </c>
      <c r="T305" s="0" t="s">
        <v>624</v>
      </c>
      <c r="U305" s="0" t="str">
        <f aca="false">IF('Basis Options'!D310="NGI/CHI. GATE","""NGI/CHI. GATE""",TRIM('Basis Options'!D310))</f>
        <v>IF-TRANSCO/Z6</v>
      </c>
      <c r="V305" s="0" t="s">
        <v>624</v>
      </c>
      <c r="W305" s="0" t="s">
        <v>569</v>
      </c>
      <c r="X305" s="0" t="s">
        <v>624</v>
      </c>
      <c r="Y305" s="0" t="s">
        <v>627</v>
      </c>
      <c r="Z305" s="0" t="s">
        <v>629</v>
      </c>
      <c r="AA305" s="0" t="s">
        <v>624</v>
      </c>
      <c r="AB305" s="0" t="s">
        <v>132</v>
      </c>
      <c r="AC305" s="254" t="n">
        <f aca="false">'Basis Options'!H310</f>
        <v>-300000</v>
      </c>
      <c r="AD305" s="254" t="e">
        <f aca="false">'Basis Options'!W310</f>
        <v>#NAME?</v>
      </c>
      <c r="AE305" s="0" t="n">
        <v>0</v>
      </c>
      <c r="AF305" s="0" t="n">
        <v>0</v>
      </c>
      <c r="AG305" s="0" t="n">
        <v>0</v>
      </c>
      <c r="AH305" s="254" t="e">
        <f aca="false">'Basis Options'!CD310</f>
        <v>#NAME?</v>
      </c>
      <c r="AI305" s="0" t="n">
        <v>226</v>
      </c>
      <c r="AJ305" s="0" t="s">
        <v>630</v>
      </c>
      <c r="AK305" s="0" t="n">
        <v>0</v>
      </c>
      <c r="AL305" s="0" t="n">
        <v>0</v>
      </c>
      <c r="AM305" s="0" t="n">
        <v>0</v>
      </c>
    </row>
    <row r="306" customFormat="false" ht="12.75" hidden="false" customHeight="false" outlineLevel="0" collapsed="false">
      <c r="A306" s="0" t="s">
        <v>621</v>
      </c>
      <c r="B306" s="0" t="str">
        <f aca="false">'Basis Options'!C311</f>
        <v>NL8419.2</v>
      </c>
      <c r="C306" s="0" t="s">
        <v>622</v>
      </c>
      <c r="D306" s="0" t="s">
        <v>623</v>
      </c>
      <c r="E306" s="0" t="s">
        <v>131</v>
      </c>
      <c r="F306" s="0" t="str">
        <f aca="false">'Basis Options'!A311</f>
        <v>DYNEGYMARAND</v>
      </c>
      <c r="G306" s="0" t="s">
        <v>628</v>
      </c>
      <c r="H306" s="0" t="s">
        <v>625</v>
      </c>
      <c r="I306" s="0" t="s">
        <v>626</v>
      </c>
      <c r="J306" s="0" t="s">
        <v>627</v>
      </c>
      <c r="K306" s="475" t="n">
        <f aca="false">'Basis Options'!G311</f>
        <v>36951</v>
      </c>
      <c r="L306" s="254" t="e">
        <f aca="false">'Basis Options'!U311</f>
        <v>#NAME?</v>
      </c>
      <c r="M306" s="475" t="n">
        <f aca="false">'Basis Options'!Q311</f>
        <v>36949</v>
      </c>
      <c r="N306" s="0" t="str">
        <f aca="false">'Basis Options'!F311</f>
        <v>C</v>
      </c>
      <c r="O306" s="0" t="n">
        <f aca="false">'Basis Options'!I311</f>
        <v>2.5</v>
      </c>
      <c r="P306" s="0" t="n">
        <v>0</v>
      </c>
      <c r="Q306" s="0" t="n">
        <v>0</v>
      </c>
      <c r="R306" s="0" t="n">
        <v>0</v>
      </c>
      <c r="S306" s="0" t="n">
        <v>0</v>
      </c>
      <c r="T306" s="0" t="s">
        <v>624</v>
      </c>
      <c r="U306" s="0" t="str">
        <f aca="false">IF('Basis Options'!D311="NGI/CHI. GATE","""NGI/CHI. GATE""",TRIM('Basis Options'!D311))</f>
        <v>IF-TRANSCO/Z6</v>
      </c>
      <c r="V306" s="0" t="s">
        <v>624</v>
      </c>
      <c r="W306" s="0" t="s">
        <v>569</v>
      </c>
      <c r="X306" s="0" t="s">
        <v>624</v>
      </c>
      <c r="Y306" s="0" t="s">
        <v>627</v>
      </c>
      <c r="Z306" s="0" t="s">
        <v>629</v>
      </c>
      <c r="AA306" s="0" t="s">
        <v>624</v>
      </c>
      <c r="AB306" s="0" t="s">
        <v>132</v>
      </c>
      <c r="AC306" s="254" t="n">
        <f aca="false">'Basis Options'!H311</f>
        <v>310000</v>
      </c>
      <c r="AD306" s="254" t="e">
        <f aca="false">'Basis Options'!W311</f>
        <v>#NAME?</v>
      </c>
      <c r="AE306" s="0" t="n">
        <v>0</v>
      </c>
      <c r="AF306" s="0" t="n">
        <v>0</v>
      </c>
      <c r="AG306" s="0" t="n">
        <v>0</v>
      </c>
      <c r="AH306" s="254" t="e">
        <f aca="false">'Basis Options'!CD311</f>
        <v>#NAME?</v>
      </c>
      <c r="AI306" s="0" t="n">
        <v>226</v>
      </c>
      <c r="AJ306" s="0" t="s">
        <v>630</v>
      </c>
      <c r="AK306" s="0" t="n">
        <v>0</v>
      </c>
      <c r="AL306" s="0" t="n">
        <v>0</v>
      </c>
      <c r="AM306" s="0" t="n">
        <v>0</v>
      </c>
    </row>
    <row r="307" customFormat="false" ht="12.75" hidden="false" customHeight="false" outlineLevel="0" collapsed="false">
      <c r="A307" s="0" t="s">
        <v>621</v>
      </c>
      <c r="B307" s="0" t="str">
        <f aca="false">'Basis Options'!C312</f>
        <v>NL8419.2</v>
      </c>
      <c r="C307" s="0" t="s">
        <v>622</v>
      </c>
      <c r="D307" s="0" t="s">
        <v>623</v>
      </c>
      <c r="E307" s="0" t="s">
        <v>131</v>
      </c>
      <c r="F307" s="0" t="str">
        <f aca="false">'Basis Options'!A312</f>
        <v>DYNEGYMARAND</v>
      </c>
      <c r="G307" s="0" t="s">
        <v>628</v>
      </c>
      <c r="H307" s="0" t="s">
        <v>625</v>
      </c>
      <c r="I307" s="0" t="s">
        <v>626</v>
      </c>
      <c r="J307" s="0" t="s">
        <v>627</v>
      </c>
      <c r="K307" s="475" t="n">
        <f aca="false">'Basis Options'!G312</f>
        <v>36923</v>
      </c>
      <c r="L307" s="254" t="e">
        <f aca="false">'Basis Options'!U312</f>
        <v>#NAME?</v>
      </c>
      <c r="M307" s="475" t="n">
        <f aca="false">'Basis Options'!Q312</f>
        <v>36921</v>
      </c>
      <c r="N307" s="0" t="str">
        <f aca="false">'Basis Options'!F312</f>
        <v>C</v>
      </c>
      <c r="O307" s="0" t="n">
        <f aca="false">'Basis Options'!I312</f>
        <v>2.5</v>
      </c>
      <c r="P307" s="0" t="n">
        <v>0</v>
      </c>
      <c r="Q307" s="0" t="n">
        <v>0</v>
      </c>
      <c r="R307" s="0" t="n">
        <v>0</v>
      </c>
      <c r="S307" s="0" t="n">
        <v>0</v>
      </c>
      <c r="T307" s="0" t="s">
        <v>624</v>
      </c>
      <c r="U307" s="0" t="str">
        <f aca="false">IF('Basis Options'!D312="NGI/CHI. GATE","""NGI/CHI. GATE""",TRIM('Basis Options'!D312))</f>
        <v>IF-TRANSCO/Z6</v>
      </c>
      <c r="V307" s="0" t="s">
        <v>624</v>
      </c>
      <c r="W307" s="0" t="s">
        <v>569</v>
      </c>
      <c r="X307" s="0" t="s">
        <v>624</v>
      </c>
      <c r="Y307" s="0" t="s">
        <v>627</v>
      </c>
      <c r="Z307" s="0" t="s">
        <v>629</v>
      </c>
      <c r="AA307" s="0" t="s">
        <v>624</v>
      </c>
      <c r="AB307" s="0" t="s">
        <v>132</v>
      </c>
      <c r="AC307" s="254" t="n">
        <f aca="false">'Basis Options'!H312</f>
        <v>280000</v>
      </c>
      <c r="AD307" s="254" t="e">
        <f aca="false">'Basis Options'!W312</f>
        <v>#NAME?</v>
      </c>
      <c r="AE307" s="0" t="n">
        <v>0</v>
      </c>
      <c r="AF307" s="0" t="n">
        <v>0</v>
      </c>
      <c r="AG307" s="0" t="n">
        <v>0</v>
      </c>
      <c r="AH307" s="254" t="e">
        <f aca="false">'Basis Options'!CD312</f>
        <v>#NAME?</v>
      </c>
      <c r="AI307" s="0" t="n">
        <v>226</v>
      </c>
      <c r="AJ307" s="0" t="s">
        <v>630</v>
      </c>
      <c r="AK307" s="0" t="n">
        <v>0</v>
      </c>
      <c r="AL307" s="0" t="n">
        <v>0</v>
      </c>
      <c r="AM307" s="0" t="n">
        <v>0</v>
      </c>
    </row>
    <row r="308" customFormat="false" ht="12.75" hidden="false" customHeight="false" outlineLevel="0" collapsed="false">
      <c r="A308" s="0" t="s">
        <v>621</v>
      </c>
      <c r="B308" s="0" t="str">
        <f aca="false">'Basis Options'!C313</f>
        <v>NL8419.2</v>
      </c>
      <c r="C308" s="0" t="s">
        <v>622</v>
      </c>
      <c r="D308" s="0" t="s">
        <v>623</v>
      </c>
      <c r="E308" s="0" t="s">
        <v>131</v>
      </c>
      <c r="F308" s="0" t="str">
        <f aca="false">'Basis Options'!A313</f>
        <v>DYNEGYMARAND</v>
      </c>
      <c r="G308" s="0" t="s">
        <v>628</v>
      </c>
      <c r="H308" s="0" t="s">
        <v>625</v>
      </c>
      <c r="I308" s="0" t="s">
        <v>626</v>
      </c>
      <c r="J308" s="0" t="s">
        <v>627</v>
      </c>
      <c r="K308" s="475" t="n">
        <f aca="false">'Basis Options'!G313</f>
        <v>36892</v>
      </c>
      <c r="L308" s="254" t="e">
        <f aca="false">'Basis Options'!U313</f>
        <v>#NAME?</v>
      </c>
      <c r="M308" s="475" t="n">
        <f aca="false">'Basis Options'!Q313</f>
        <v>36888</v>
      </c>
      <c r="N308" s="0" t="str">
        <f aca="false">'Basis Options'!F313</f>
        <v>C</v>
      </c>
      <c r="O308" s="0" t="n">
        <f aca="false">'Basis Options'!I313</f>
        <v>2.5</v>
      </c>
      <c r="P308" s="0" t="n">
        <v>0</v>
      </c>
      <c r="Q308" s="0" t="n">
        <v>0</v>
      </c>
      <c r="R308" s="0" t="n">
        <v>0</v>
      </c>
      <c r="S308" s="0" t="n">
        <v>0</v>
      </c>
      <c r="T308" s="0" t="s">
        <v>624</v>
      </c>
      <c r="U308" s="0" t="str">
        <f aca="false">IF('Basis Options'!D313="NGI/CHI. GATE","""NGI/CHI. GATE""",TRIM('Basis Options'!D313))</f>
        <v>IF-TRANSCO/Z6</v>
      </c>
      <c r="V308" s="0" t="s">
        <v>624</v>
      </c>
      <c r="W308" s="0" t="s">
        <v>569</v>
      </c>
      <c r="X308" s="0" t="s">
        <v>624</v>
      </c>
      <c r="Y308" s="0" t="s">
        <v>627</v>
      </c>
      <c r="Z308" s="0" t="s">
        <v>629</v>
      </c>
      <c r="AA308" s="0" t="s">
        <v>624</v>
      </c>
      <c r="AB308" s="0" t="s">
        <v>132</v>
      </c>
      <c r="AC308" s="254" t="n">
        <f aca="false">'Basis Options'!H313</f>
        <v>310000</v>
      </c>
      <c r="AD308" s="254" t="e">
        <f aca="false">'Basis Options'!W313</f>
        <v>#NAME?</v>
      </c>
      <c r="AE308" s="0" t="n">
        <v>0</v>
      </c>
      <c r="AF308" s="0" t="n">
        <v>0</v>
      </c>
      <c r="AG308" s="0" t="n">
        <v>0</v>
      </c>
      <c r="AH308" s="254" t="e">
        <f aca="false">'Basis Options'!CD313</f>
        <v>#NAME?</v>
      </c>
      <c r="AI308" s="0" t="n">
        <v>226</v>
      </c>
      <c r="AJ308" s="0" t="s">
        <v>630</v>
      </c>
      <c r="AK308" s="0" t="n">
        <v>0</v>
      </c>
      <c r="AL308" s="0" t="n">
        <v>0</v>
      </c>
      <c r="AM308" s="0" t="n">
        <v>0</v>
      </c>
    </row>
    <row r="309" customFormat="false" ht="12.75" hidden="false" customHeight="false" outlineLevel="0" collapsed="false">
      <c r="A309" s="0" t="s">
        <v>621</v>
      </c>
      <c r="B309" s="0" t="str">
        <f aca="false">'Basis Options'!C314</f>
        <v>NL8419.2</v>
      </c>
      <c r="C309" s="0" t="s">
        <v>622</v>
      </c>
      <c r="D309" s="0" t="s">
        <v>623</v>
      </c>
      <c r="E309" s="0" t="s">
        <v>131</v>
      </c>
      <c r="F309" s="0" t="str">
        <f aca="false">'Basis Options'!A314</f>
        <v>DYNEGYMARAND</v>
      </c>
      <c r="G309" s="0" t="s">
        <v>628</v>
      </c>
      <c r="H309" s="0" t="s">
        <v>625</v>
      </c>
      <c r="I309" s="0" t="s">
        <v>626</v>
      </c>
      <c r="J309" s="0" t="s">
        <v>627</v>
      </c>
      <c r="K309" s="475" t="n">
        <f aca="false">'Basis Options'!G314</f>
        <v>36861</v>
      </c>
      <c r="L309" s="254" t="e">
        <f aca="false">'Basis Options'!U314</f>
        <v>#NAME?</v>
      </c>
      <c r="M309" s="475" t="n">
        <f aca="false">'Basis Options'!Q314</f>
        <v>36859</v>
      </c>
      <c r="N309" s="0" t="str">
        <f aca="false">'Basis Options'!F314</f>
        <v>C</v>
      </c>
      <c r="O309" s="0" t="n">
        <f aca="false">'Basis Options'!I314</f>
        <v>2.5</v>
      </c>
      <c r="P309" s="0" t="n">
        <v>0</v>
      </c>
      <c r="Q309" s="0" t="n">
        <v>0</v>
      </c>
      <c r="R309" s="0" t="n">
        <v>0</v>
      </c>
      <c r="S309" s="0" t="n">
        <v>0</v>
      </c>
      <c r="T309" s="0" t="s">
        <v>624</v>
      </c>
      <c r="U309" s="0" t="str">
        <f aca="false">IF('Basis Options'!D314="NGI/CHI. GATE","""NGI/CHI. GATE""",TRIM('Basis Options'!D314))</f>
        <v>IF-TRANSCO/Z6</v>
      </c>
      <c r="V309" s="0" t="s">
        <v>624</v>
      </c>
      <c r="W309" s="0" t="s">
        <v>569</v>
      </c>
      <c r="X309" s="0" t="s">
        <v>624</v>
      </c>
      <c r="Y309" s="0" t="s">
        <v>627</v>
      </c>
      <c r="Z309" s="0" t="s">
        <v>629</v>
      </c>
      <c r="AA309" s="0" t="s">
        <v>624</v>
      </c>
      <c r="AB309" s="0" t="s">
        <v>132</v>
      </c>
      <c r="AC309" s="254" t="n">
        <f aca="false">'Basis Options'!H314</f>
        <v>310000</v>
      </c>
      <c r="AD309" s="254" t="e">
        <f aca="false">'Basis Options'!W314</f>
        <v>#NAME?</v>
      </c>
      <c r="AE309" s="0" t="n">
        <v>0</v>
      </c>
      <c r="AF309" s="0" t="n">
        <v>0</v>
      </c>
      <c r="AG309" s="0" t="n">
        <v>0</v>
      </c>
      <c r="AH309" s="254" t="e">
        <f aca="false">'Basis Options'!CD314</f>
        <v>#NAME?</v>
      </c>
      <c r="AI309" s="0" t="n">
        <v>226</v>
      </c>
      <c r="AJ309" s="0" t="s">
        <v>630</v>
      </c>
      <c r="AK309" s="0" t="n">
        <v>0</v>
      </c>
      <c r="AL309" s="0" t="n">
        <v>0</v>
      </c>
      <c r="AM309" s="0" t="n">
        <v>0</v>
      </c>
    </row>
    <row r="310" customFormat="false" ht="12.75" hidden="false" customHeight="false" outlineLevel="0" collapsed="false">
      <c r="A310" s="0" t="s">
        <v>621</v>
      </c>
      <c r="B310" s="0" t="str">
        <f aca="false">'Basis Options'!C315</f>
        <v>NL8419.2</v>
      </c>
      <c r="C310" s="0" t="s">
        <v>622</v>
      </c>
      <c r="D310" s="0" t="s">
        <v>623</v>
      </c>
      <c r="E310" s="0" t="s">
        <v>131</v>
      </c>
      <c r="F310" s="0" t="str">
        <f aca="false">'Basis Options'!A315</f>
        <v>DYNEGYMARAND</v>
      </c>
      <c r="G310" s="0" t="s">
        <v>628</v>
      </c>
      <c r="H310" s="0" t="s">
        <v>625</v>
      </c>
      <c r="I310" s="0" t="s">
        <v>626</v>
      </c>
      <c r="J310" s="0" t="s">
        <v>627</v>
      </c>
      <c r="K310" s="475" t="n">
        <f aca="false">'Basis Options'!G315</f>
        <v>36831</v>
      </c>
      <c r="L310" s="254" t="e">
        <f aca="false">'Basis Options'!U315</f>
        <v>#NAME?</v>
      </c>
      <c r="M310" s="475" t="n">
        <f aca="false">'Basis Options'!Q315</f>
        <v>36829</v>
      </c>
      <c r="N310" s="0" t="str">
        <f aca="false">'Basis Options'!F315</f>
        <v>C</v>
      </c>
      <c r="O310" s="0" t="n">
        <f aca="false">'Basis Options'!I315</f>
        <v>2.5</v>
      </c>
      <c r="P310" s="0" t="n">
        <v>0</v>
      </c>
      <c r="Q310" s="0" t="n">
        <v>0</v>
      </c>
      <c r="R310" s="0" t="n">
        <v>0</v>
      </c>
      <c r="S310" s="0" t="n">
        <v>0</v>
      </c>
      <c r="T310" s="0" t="s">
        <v>624</v>
      </c>
      <c r="U310" s="0" t="str">
        <f aca="false">IF('Basis Options'!D315="NGI/CHI. GATE","""NGI/CHI. GATE""",TRIM('Basis Options'!D315))</f>
        <v>IF-TRANSCO/Z6</v>
      </c>
      <c r="V310" s="0" t="s">
        <v>624</v>
      </c>
      <c r="W310" s="0" t="s">
        <v>569</v>
      </c>
      <c r="X310" s="0" t="s">
        <v>624</v>
      </c>
      <c r="Y310" s="0" t="s">
        <v>627</v>
      </c>
      <c r="Z310" s="0" t="s">
        <v>629</v>
      </c>
      <c r="AA310" s="0" t="s">
        <v>624</v>
      </c>
      <c r="AB310" s="0" t="s">
        <v>132</v>
      </c>
      <c r="AC310" s="254" t="n">
        <f aca="false">'Basis Options'!H315</f>
        <v>300000</v>
      </c>
      <c r="AD310" s="254" t="e">
        <f aca="false">'Basis Options'!W315</f>
        <v>#NAME?</v>
      </c>
      <c r="AE310" s="0" t="n">
        <v>0</v>
      </c>
      <c r="AF310" s="0" t="n">
        <v>0</v>
      </c>
      <c r="AG310" s="0" t="n">
        <v>0</v>
      </c>
      <c r="AH310" s="254" t="e">
        <f aca="false">'Basis Options'!CD315</f>
        <v>#NAME?</v>
      </c>
      <c r="AI310" s="0" t="n">
        <v>226</v>
      </c>
      <c r="AJ310" s="0" t="s">
        <v>630</v>
      </c>
      <c r="AK310" s="0" t="n">
        <v>0</v>
      </c>
      <c r="AL310" s="0" t="n">
        <v>0</v>
      </c>
      <c r="AM310" s="0" t="n">
        <v>0</v>
      </c>
    </row>
    <row r="311" customFormat="false" ht="12.75" hidden="false" customHeight="false" outlineLevel="0" collapsed="false">
      <c r="A311" s="0" t="s">
        <v>621</v>
      </c>
      <c r="B311" s="0" t="str">
        <f aca="false">'Basis Options'!C316</f>
        <v>NL9178</v>
      </c>
      <c r="C311" s="0" t="s">
        <v>622</v>
      </c>
      <c r="D311" s="0" t="s">
        <v>623</v>
      </c>
      <c r="E311" s="0" t="s">
        <v>131</v>
      </c>
      <c r="F311" s="0" t="str">
        <f aca="false">'Basis Options'!A316</f>
        <v>SMALLVENUSA</v>
      </c>
      <c r="G311" s="0" t="s">
        <v>628</v>
      </c>
      <c r="H311" s="0" t="s">
        <v>625</v>
      </c>
      <c r="I311" s="0" t="s">
        <v>626</v>
      </c>
      <c r="J311" s="0" t="s">
        <v>627</v>
      </c>
      <c r="K311" s="475" t="n">
        <f aca="false">'Basis Options'!G316</f>
        <v>36951</v>
      </c>
      <c r="L311" s="254" t="e">
        <f aca="false">'Basis Options'!U316</f>
        <v>#NAME?</v>
      </c>
      <c r="M311" s="475" t="n">
        <f aca="false">'Basis Options'!Q316</f>
        <v>36949</v>
      </c>
      <c r="N311" s="0" t="str">
        <f aca="false">'Basis Options'!F316</f>
        <v>P</v>
      </c>
      <c r="O311" s="0" t="n">
        <f aca="false">'Basis Options'!I316</f>
        <v>0.4</v>
      </c>
      <c r="P311" s="0" t="n">
        <v>0</v>
      </c>
      <c r="Q311" s="0" t="n">
        <v>0</v>
      </c>
      <c r="R311" s="0" t="n">
        <v>0</v>
      </c>
      <c r="S311" s="0" t="n">
        <v>0</v>
      </c>
      <c r="T311" s="0" t="s">
        <v>624</v>
      </c>
      <c r="U311" s="0" t="str">
        <f aca="false">IF('Basis Options'!D316="NGI/CHI. GATE","""NGI/CHI. GATE""",TRIM('Basis Options'!D316))</f>
        <v>IF-TRANSCO/Z6</v>
      </c>
      <c r="V311" s="0" t="s">
        <v>624</v>
      </c>
      <c r="W311" s="0" t="s">
        <v>569</v>
      </c>
      <c r="X311" s="0" t="s">
        <v>624</v>
      </c>
      <c r="Y311" s="0" t="s">
        <v>627</v>
      </c>
      <c r="Z311" s="0" t="s">
        <v>629</v>
      </c>
      <c r="AA311" s="0" t="s">
        <v>624</v>
      </c>
      <c r="AB311" s="0" t="s">
        <v>132</v>
      </c>
      <c r="AC311" s="254" t="n">
        <f aca="false">'Basis Options'!H316</f>
        <v>500000</v>
      </c>
      <c r="AD311" s="254" t="e">
        <f aca="false">'Basis Options'!W316</f>
        <v>#NAME?</v>
      </c>
      <c r="AE311" s="0" t="n">
        <v>0</v>
      </c>
      <c r="AF311" s="0" t="n">
        <v>0</v>
      </c>
      <c r="AG311" s="0" t="n">
        <v>0</v>
      </c>
      <c r="AH311" s="254" t="e">
        <f aca="false">'Basis Options'!CD316</f>
        <v>#NAME?</v>
      </c>
      <c r="AI311" s="0" t="n">
        <v>226</v>
      </c>
      <c r="AJ311" s="0" t="s">
        <v>630</v>
      </c>
      <c r="AK311" s="0" t="n">
        <v>0</v>
      </c>
      <c r="AL311" s="0" t="n">
        <v>0</v>
      </c>
      <c r="AM311" s="0" t="n">
        <v>0</v>
      </c>
    </row>
    <row r="312" customFormat="false" ht="12.75" hidden="false" customHeight="false" outlineLevel="0" collapsed="false">
      <c r="A312" s="0" t="s">
        <v>621</v>
      </c>
      <c r="B312" s="0" t="str">
        <f aca="false">'Basis Options'!C317</f>
        <v>NL9178</v>
      </c>
      <c r="C312" s="0" t="s">
        <v>622</v>
      </c>
      <c r="D312" s="0" t="s">
        <v>623</v>
      </c>
      <c r="E312" s="0" t="s">
        <v>131</v>
      </c>
      <c r="F312" s="0" t="str">
        <f aca="false">'Basis Options'!A317</f>
        <v>SMALLVENUSA</v>
      </c>
      <c r="G312" s="0" t="s">
        <v>628</v>
      </c>
      <c r="H312" s="0" t="s">
        <v>625</v>
      </c>
      <c r="I312" s="0" t="s">
        <v>626</v>
      </c>
      <c r="J312" s="0" t="s">
        <v>627</v>
      </c>
      <c r="K312" s="475" t="n">
        <f aca="false">'Basis Options'!G317</f>
        <v>36923</v>
      </c>
      <c r="L312" s="254" t="e">
        <f aca="false">'Basis Options'!U317</f>
        <v>#NAME?</v>
      </c>
      <c r="M312" s="475" t="n">
        <f aca="false">'Basis Options'!Q317</f>
        <v>36921</v>
      </c>
      <c r="N312" s="0" t="str">
        <f aca="false">'Basis Options'!F317</f>
        <v>P</v>
      </c>
      <c r="O312" s="0" t="n">
        <f aca="false">'Basis Options'!I317</f>
        <v>0.4</v>
      </c>
      <c r="P312" s="0" t="n">
        <v>0</v>
      </c>
      <c r="Q312" s="0" t="n">
        <v>0</v>
      </c>
      <c r="R312" s="0" t="n">
        <v>0</v>
      </c>
      <c r="S312" s="0" t="n">
        <v>0</v>
      </c>
      <c r="T312" s="0" t="s">
        <v>624</v>
      </c>
      <c r="U312" s="0" t="str">
        <f aca="false">IF('Basis Options'!D317="NGI/CHI. GATE","""NGI/CHI. GATE""",TRIM('Basis Options'!D317))</f>
        <v>IF-TRANSCO/Z6</v>
      </c>
      <c r="V312" s="0" t="s">
        <v>624</v>
      </c>
      <c r="W312" s="0" t="s">
        <v>569</v>
      </c>
      <c r="X312" s="0" t="s">
        <v>624</v>
      </c>
      <c r="Y312" s="0" t="s">
        <v>627</v>
      </c>
      <c r="Z312" s="0" t="s">
        <v>629</v>
      </c>
      <c r="AA312" s="0" t="s">
        <v>624</v>
      </c>
      <c r="AB312" s="0" t="s">
        <v>132</v>
      </c>
      <c r="AC312" s="254" t="n">
        <f aca="false">'Basis Options'!H317</f>
        <v>500000</v>
      </c>
      <c r="AD312" s="254" t="e">
        <f aca="false">'Basis Options'!W317</f>
        <v>#NAME?</v>
      </c>
      <c r="AE312" s="0" t="n">
        <v>0</v>
      </c>
      <c r="AF312" s="0" t="n">
        <v>0</v>
      </c>
      <c r="AG312" s="0" t="n">
        <v>0</v>
      </c>
      <c r="AH312" s="254" t="e">
        <f aca="false">'Basis Options'!CD317</f>
        <v>#NAME?</v>
      </c>
      <c r="AI312" s="0" t="n">
        <v>226</v>
      </c>
      <c r="AJ312" s="0" t="s">
        <v>630</v>
      </c>
      <c r="AK312" s="0" t="n">
        <v>0</v>
      </c>
      <c r="AL312" s="0" t="n">
        <v>0</v>
      </c>
      <c r="AM312" s="0" t="n">
        <v>0</v>
      </c>
    </row>
    <row r="313" customFormat="false" ht="12.75" hidden="false" customHeight="false" outlineLevel="0" collapsed="false">
      <c r="A313" s="0" t="s">
        <v>621</v>
      </c>
      <c r="B313" s="0" t="str">
        <f aca="false">'Basis Options'!C318</f>
        <v>NL9178</v>
      </c>
      <c r="C313" s="0" t="s">
        <v>622</v>
      </c>
      <c r="D313" s="0" t="s">
        <v>623</v>
      </c>
      <c r="E313" s="0" t="s">
        <v>131</v>
      </c>
      <c r="F313" s="0" t="str">
        <f aca="false">'Basis Options'!A318</f>
        <v>SMALLVENUSA</v>
      </c>
      <c r="G313" s="0" t="s">
        <v>628</v>
      </c>
      <c r="H313" s="0" t="s">
        <v>625</v>
      </c>
      <c r="I313" s="0" t="s">
        <v>626</v>
      </c>
      <c r="J313" s="0" t="s">
        <v>627</v>
      </c>
      <c r="K313" s="475" t="n">
        <f aca="false">'Basis Options'!G318</f>
        <v>36892</v>
      </c>
      <c r="L313" s="254" t="e">
        <f aca="false">'Basis Options'!U318</f>
        <v>#NAME?</v>
      </c>
      <c r="M313" s="475" t="n">
        <f aca="false">'Basis Options'!Q318</f>
        <v>36888</v>
      </c>
      <c r="N313" s="0" t="str">
        <f aca="false">'Basis Options'!F318</f>
        <v>P</v>
      </c>
      <c r="O313" s="0" t="n">
        <f aca="false">'Basis Options'!I318</f>
        <v>0.4</v>
      </c>
      <c r="P313" s="0" t="n">
        <v>0</v>
      </c>
      <c r="Q313" s="0" t="n">
        <v>0</v>
      </c>
      <c r="R313" s="0" t="n">
        <v>0</v>
      </c>
      <c r="S313" s="0" t="n">
        <v>0</v>
      </c>
      <c r="T313" s="0" t="s">
        <v>624</v>
      </c>
      <c r="U313" s="0" t="str">
        <f aca="false">IF('Basis Options'!D318="NGI/CHI. GATE","""NGI/CHI. GATE""",TRIM('Basis Options'!D318))</f>
        <v>IF-TRANSCO/Z6</v>
      </c>
      <c r="V313" s="0" t="s">
        <v>624</v>
      </c>
      <c r="W313" s="0" t="s">
        <v>569</v>
      </c>
      <c r="X313" s="0" t="s">
        <v>624</v>
      </c>
      <c r="Y313" s="0" t="s">
        <v>627</v>
      </c>
      <c r="Z313" s="0" t="s">
        <v>629</v>
      </c>
      <c r="AA313" s="0" t="s">
        <v>624</v>
      </c>
      <c r="AB313" s="0" t="s">
        <v>132</v>
      </c>
      <c r="AC313" s="254" t="n">
        <f aca="false">'Basis Options'!H318</f>
        <v>500000</v>
      </c>
      <c r="AD313" s="254" t="e">
        <f aca="false">'Basis Options'!W318</f>
        <v>#NAME?</v>
      </c>
      <c r="AE313" s="0" t="n">
        <v>0</v>
      </c>
      <c r="AF313" s="0" t="n">
        <v>0</v>
      </c>
      <c r="AG313" s="0" t="n">
        <v>0</v>
      </c>
      <c r="AH313" s="254" t="e">
        <f aca="false">'Basis Options'!CD318</f>
        <v>#NAME?</v>
      </c>
      <c r="AI313" s="0" t="n">
        <v>226</v>
      </c>
      <c r="AJ313" s="0" t="s">
        <v>630</v>
      </c>
      <c r="AK313" s="0" t="n">
        <v>0</v>
      </c>
      <c r="AL313" s="0" t="n">
        <v>0</v>
      </c>
      <c r="AM313" s="0" t="n">
        <v>0</v>
      </c>
    </row>
    <row r="314" customFormat="false" ht="12.75" hidden="false" customHeight="false" outlineLevel="0" collapsed="false">
      <c r="A314" s="0" t="s">
        <v>621</v>
      </c>
      <c r="B314" s="0" t="str">
        <f aca="false">'Basis Options'!C319</f>
        <v>NL9178</v>
      </c>
      <c r="C314" s="0" t="s">
        <v>622</v>
      </c>
      <c r="D314" s="0" t="s">
        <v>623</v>
      </c>
      <c r="E314" s="0" t="s">
        <v>131</v>
      </c>
      <c r="F314" s="0" t="str">
        <f aca="false">'Basis Options'!A319</f>
        <v>SMALLVENUSA</v>
      </c>
      <c r="G314" s="0" t="s">
        <v>628</v>
      </c>
      <c r="H314" s="0" t="s">
        <v>625</v>
      </c>
      <c r="I314" s="0" t="s">
        <v>626</v>
      </c>
      <c r="J314" s="0" t="s">
        <v>627</v>
      </c>
      <c r="K314" s="475" t="n">
        <f aca="false">'Basis Options'!G319</f>
        <v>36861</v>
      </c>
      <c r="L314" s="254" t="e">
        <f aca="false">'Basis Options'!U319</f>
        <v>#NAME?</v>
      </c>
      <c r="M314" s="475" t="n">
        <f aca="false">'Basis Options'!Q319</f>
        <v>36859</v>
      </c>
      <c r="N314" s="0" t="str">
        <f aca="false">'Basis Options'!F319</f>
        <v>P</v>
      </c>
      <c r="O314" s="0" t="n">
        <f aca="false">'Basis Options'!I319</f>
        <v>0.4</v>
      </c>
      <c r="P314" s="0" t="n">
        <v>0</v>
      </c>
      <c r="Q314" s="0" t="n">
        <v>0</v>
      </c>
      <c r="R314" s="0" t="n">
        <v>0</v>
      </c>
      <c r="S314" s="0" t="n">
        <v>0</v>
      </c>
      <c r="T314" s="0" t="s">
        <v>624</v>
      </c>
      <c r="U314" s="0" t="str">
        <f aca="false">IF('Basis Options'!D319="NGI/CHI. GATE","""NGI/CHI. GATE""",TRIM('Basis Options'!D319))</f>
        <v>IF-TRANSCO/Z6</v>
      </c>
      <c r="V314" s="0" t="s">
        <v>624</v>
      </c>
      <c r="W314" s="0" t="s">
        <v>569</v>
      </c>
      <c r="X314" s="0" t="s">
        <v>624</v>
      </c>
      <c r="Y314" s="0" t="s">
        <v>627</v>
      </c>
      <c r="Z314" s="0" t="s">
        <v>629</v>
      </c>
      <c r="AA314" s="0" t="s">
        <v>624</v>
      </c>
      <c r="AB314" s="0" t="s">
        <v>132</v>
      </c>
      <c r="AC314" s="254" t="n">
        <f aca="false">'Basis Options'!H319</f>
        <v>500000</v>
      </c>
      <c r="AD314" s="254" t="e">
        <f aca="false">'Basis Options'!W319</f>
        <v>#NAME?</v>
      </c>
      <c r="AE314" s="0" t="n">
        <v>0</v>
      </c>
      <c r="AF314" s="0" t="n">
        <v>0</v>
      </c>
      <c r="AG314" s="0" t="n">
        <v>0</v>
      </c>
      <c r="AH314" s="254" t="e">
        <f aca="false">'Basis Options'!CD319</f>
        <v>#NAME?</v>
      </c>
      <c r="AI314" s="0" t="n">
        <v>226</v>
      </c>
      <c r="AJ314" s="0" t="s">
        <v>630</v>
      </c>
      <c r="AK314" s="0" t="n">
        <v>0</v>
      </c>
      <c r="AL314" s="0" t="n">
        <v>0</v>
      </c>
      <c r="AM314" s="0" t="n">
        <v>0</v>
      </c>
    </row>
    <row r="315" customFormat="false" ht="12.75" hidden="false" customHeight="false" outlineLevel="0" collapsed="false">
      <c r="A315" s="0" t="s">
        <v>621</v>
      </c>
      <c r="B315" s="0" t="str">
        <f aca="false">'Basis Options'!C320</f>
        <v>NL9178</v>
      </c>
      <c r="C315" s="0" t="s">
        <v>622</v>
      </c>
      <c r="D315" s="0" t="s">
        <v>623</v>
      </c>
      <c r="E315" s="0" t="s">
        <v>131</v>
      </c>
      <c r="F315" s="0" t="str">
        <f aca="false">'Basis Options'!A320</f>
        <v>SMALLVENUSA</v>
      </c>
      <c r="G315" s="0" t="s">
        <v>628</v>
      </c>
      <c r="H315" s="0" t="s">
        <v>625</v>
      </c>
      <c r="I315" s="0" t="s">
        <v>626</v>
      </c>
      <c r="J315" s="0" t="s">
        <v>627</v>
      </c>
      <c r="K315" s="475" t="n">
        <f aca="false">'Basis Options'!G320</f>
        <v>36831</v>
      </c>
      <c r="L315" s="254" t="e">
        <f aca="false">'Basis Options'!U320</f>
        <v>#NAME?</v>
      </c>
      <c r="M315" s="475" t="n">
        <f aca="false">'Basis Options'!Q320</f>
        <v>36829</v>
      </c>
      <c r="N315" s="0" t="str">
        <f aca="false">'Basis Options'!F320</f>
        <v>P</v>
      </c>
      <c r="O315" s="0" t="n">
        <f aca="false">'Basis Options'!I320</f>
        <v>0.4</v>
      </c>
      <c r="P315" s="0" t="n">
        <v>0</v>
      </c>
      <c r="Q315" s="0" t="n">
        <v>0</v>
      </c>
      <c r="R315" s="0" t="n">
        <v>0</v>
      </c>
      <c r="S315" s="0" t="n">
        <v>0</v>
      </c>
      <c r="T315" s="0" t="s">
        <v>624</v>
      </c>
      <c r="U315" s="0" t="str">
        <f aca="false">IF('Basis Options'!D320="NGI/CHI. GATE","""NGI/CHI. GATE""",TRIM('Basis Options'!D320))</f>
        <v>IF-TRANSCO/Z6</v>
      </c>
      <c r="V315" s="0" t="s">
        <v>624</v>
      </c>
      <c r="W315" s="0" t="s">
        <v>569</v>
      </c>
      <c r="X315" s="0" t="s">
        <v>624</v>
      </c>
      <c r="Y315" s="0" t="s">
        <v>627</v>
      </c>
      <c r="Z315" s="0" t="s">
        <v>629</v>
      </c>
      <c r="AA315" s="0" t="s">
        <v>624</v>
      </c>
      <c r="AB315" s="0" t="s">
        <v>132</v>
      </c>
      <c r="AC315" s="254" t="n">
        <f aca="false">'Basis Options'!H320</f>
        <v>500000</v>
      </c>
      <c r="AD315" s="254" t="e">
        <f aca="false">'Basis Options'!W320</f>
        <v>#NAME?</v>
      </c>
      <c r="AE315" s="0" t="n">
        <v>0</v>
      </c>
      <c r="AF315" s="0" t="n">
        <v>0</v>
      </c>
      <c r="AG315" s="0" t="n">
        <v>0</v>
      </c>
      <c r="AH315" s="254" t="e">
        <f aca="false">'Basis Options'!CD320</f>
        <v>#NAME?</v>
      </c>
      <c r="AI315" s="0" t="n">
        <v>226</v>
      </c>
      <c r="AJ315" s="0" t="s">
        <v>630</v>
      </c>
      <c r="AK315" s="0" t="n">
        <v>0</v>
      </c>
      <c r="AL315" s="0" t="n">
        <v>0</v>
      </c>
      <c r="AM315" s="0" t="n">
        <v>0</v>
      </c>
    </row>
    <row r="316" customFormat="false" ht="12.75" hidden="false" customHeight="false" outlineLevel="0" collapsed="false">
      <c r="A316" s="0" t="s">
        <v>621</v>
      </c>
      <c r="B316" s="0" t="str">
        <f aca="false">'Basis Options'!C321</f>
        <v>NM2053.1</v>
      </c>
      <c r="C316" s="0" t="s">
        <v>622</v>
      </c>
      <c r="D316" s="0" t="s">
        <v>623</v>
      </c>
      <c r="E316" s="0" t="s">
        <v>131</v>
      </c>
      <c r="F316" s="0" t="str">
        <f aca="false">'Basis Options'!A321</f>
        <v>ELPASMER</v>
      </c>
      <c r="G316" s="0" t="s">
        <v>628</v>
      </c>
      <c r="H316" s="0" t="s">
        <v>625</v>
      </c>
      <c r="I316" s="0" t="s">
        <v>626</v>
      </c>
      <c r="J316" s="0" t="s">
        <v>627</v>
      </c>
      <c r="K316" s="475" t="n">
        <f aca="false">'Basis Options'!G321</f>
        <v>36951</v>
      </c>
      <c r="L316" s="254" t="e">
        <f aca="false">'Basis Options'!U321</f>
        <v>#NAME?</v>
      </c>
      <c r="M316" s="475" t="n">
        <f aca="false">'Basis Options'!Q321</f>
        <v>36949</v>
      </c>
      <c r="N316" s="0" t="str">
        <f aca="false">'Basis Options'!F321</f>
        <v>C</v>
      </c>
      <c r="O316" s="0" t="n">
        <f aca="false">'Basis Options'!I321</f>
        <v>1.7</v>
      </c>
      <c r="P316" s="0" t="n">
        <v>0</v>
      </c>
      <c r="Q316" s="0" t="n">
        <v>0</v>
      </c>
      <c r="R316" s="0" t="n">
        <v>0</v>
      </c>
      <c r="S316" s="0" t="n">
        <v>0</v>
      </c>
      <c r="T316" s="0" t="s">
        <v>624</v>
      </c>
      <c r="U316" s="0" t="str">
        <f aca="false">IF('Basis Options'!D321="NGI/CHI. GATE","""NGI/CHI. GATE""",TRIM('Basis Options'!D321))</f>
        <v>IF-TRANSCO/Z6</v>
      </c>
      <c r="V316" s="0" t="s">
        <v>624</v>
      </c>
      <c r="W316" s="0" t="s">
        <v>569</v>
      </c>
      <c r="X316" s="0" t="s">
        <v>624</v>
      </c>
      <c r="Y316" s="0" t="s">
        <v>627</v>
      </c>
      <c r="Z316" s="0" t="s">
        <v>629</v>
      </c>
      <c r="AA316" s="0" t="s">
        <v>624</v>
      </c>
      <c r="AB316" s="0" t="s">
        <v>132</v>
      </c>
      <c r="AC316" s="254" t="n">
        <f aca="false">'Basis Options'!H321</f>
        <v>-500000</v>
      </c>
      <c r="AD316" s="254" t="e">
        <f aca="false">'Basis Options'!W321</f>
        <v>#NAME?</v>
      </c>
      <c r="AE316" s="0" t="n">
        <v>0</v>
      </c>
      <c r="AF316" s="0" t="n">
        <v>0</v>
      </c>
      <c r="AG316" s="0" t="n">
        <v>0</v>
      </c>
      <c r="AH316" s="254" t="e">
        <f aca="false">'Basis Options'!CD321</f>
        <v>#NAME?</v>
      </c>
      <c r="AI316" s="0" t="n">
        <v>226</v>
      </c>
      <c r="AJ316" s="0" t="s">
        <v>630</v>
      </c>
      <c r="AK316" s="0" t="n">
        <v>0</v>
      </c>
      <c r="AL316" s="0" t="n">
        <v>0</v>
      </c>
      <c r="AM316" s="0" t="n">
        <v>0</v>
      </c>
    </row>
    <row r="317" customFormat="false" ht="12.75" hidden="false" customHeight="false" outlineLevel="0" collapsed="false">
      <c r="A317" s="0" t="s">
        <v>621</v>
      </c>
      <c r="B317" s="0" t="str">
        <f aca="false">'Basis Options'!C322</f>
        <v>NM2053.2</v>
      </c>
      <c r="C317" s="0" t="s">
        <v>622</v>
      </c>
      <c r="D317" s="0" t="s">
        <v>623</v>
      </c>
      <c r="E317" s="0" t="s">
        <v>131</v>
      </c>
      <c r="F317" s="0" t="str">
        <f aca="false">'Basis Options'!A322</f>
        <v>ELPASMER</v>
      </c>
      <c r="G317" s="0" t="s">
        <v>628</v>
      </c>
      <c r="H317" s="0" t="s">
        <v>625</v>
      </c>
      <c r="I317" s="0" t="s">
        <v>626</v>
      </c>
      <c r="J317" s="0" t="s">
        <v>627</v>
      </c>
      <c r="K317" s="475" t="n">
        <f aca="false">'Basis Options'!G322</f>
        <v>36951</v>
      </c>
      <c r="L317" s="254" t="e">
        <f aca="false">'Basis Options'!U322</f>
        <v>#NAME?</v>
      </c>
      <c r="M317" s="475" t="n">
        <f aca="false">'Basis Options'!Q322</f>
        <v>36949</v>
      </c>
      <c r="N317" s="0" t="str">
        <f aca="false">'Basis Options'!F322</f>
        <v>C</v>
      </c>
      <c r="O317" s="0" t="n">
        <f aca="false">'Basis Options'!I322</f>
        <v>2.5</v>
      </c>
      <c r="P317" s="0" t="n">
        <v>0</v>
      </c>
      <c r="Q317" s="0" t="n">
        <v>0</v>
      </c>
      <c r="R317" s="0" t="n">
        <v>0</v>
      </c>
      <c r="S317" s="0" t="n">
        <v>0</v>
      </c>
      <c r="T317" s="0" t="s">
        <v>624</v>
      </c>
      <c r="U317" s="0" t="str">
        <f aca="false">IF('Basis Options'!D322="NGI/CHI. GATE","""NGI/CHI. GATE""",TRIM('Basis Options'!D322))</f>
        <v>IF-TRANSCO/Z6</v>
      </c>
      <c r="V317" s="0" t="s">
        <v>624</v>
      </c>
      <c r="W317" s="0" t="s">
        <v>569</v>
      </c>
      <c r="X317" s="0" t="s">
        <v>624</v>
      </c>
      <c r="Y317" s="0" t="s">
        <v>627</v>
      </c>
      <c r="Z317" s="0" t="s">
        <v>629</v>
      </c>
      <c r="AA317" s="0" t="s">
        <v>624</v>
      </c>
      <c r="AB317" s="0" t="s">
        <v>132</v>
      </c>
      <c r="AC317" s="254" t="n">
        <f aca="false">'Basis Options'!H322</f>
        <v>1000000</v>
      </c>
      <c r="AD317" s="254" t="e">
        <f aca="false">'Basis Options'!W322</f>
        <v>#NAME?</v>
      </c>
      <c r="AE317" s="0" t="n">
        <v>0</v>
      </c>
      <c r="AF317" s="0" t="n">
        <v>0</v>
      </c>
      <c r="AG317" s="0" t="n">
        <v>0</v>
      </c>
      <c r="AH317" s="254" t="e">
        <f aca="false">'Basis Options'!CD322</f>
        <v>#NAME?</v>
      </c>
      <c r="AI317" s="0" t="n">
        <v>226</v>
      </c>
      <c r="AJ317" s="0" t="s">
        <v>630</v>
      </c>
      <c r="AK317" s="0" t="n">
        <v>0</v>
      </c>
      <c r="AL317" s="0" t="n">
        <v>0</v>
      </c>
      <c r="AM317" s="0" t="n">
        <v>0</v>
      </c>
    </row>
    <row r="318" customFormat="false" ht="12.75" hidden="false" customHeight="false" outlineLevel="0" collapsed="false">
      <c r="A318" s="0" t="s">
        <v>621</v>
      </c>
      <c r="B318" s="0" t="str">
        <f aca="false">'Basis Options'!C323</f>
        <v>NM2063.1</v>
      </c>
      <c r="C318" s="0" t="s">
        <v>622</v>
      </c>
      <c r="D318" s="0" t="s">
        <v>623</v>
      </c>
      <c r="E318" s="0" t="s">
        <v>131</v>
      </c>
      <c r="F318" s="0" t="str">
        <f aca="false">'Basis Options'!A323</f>
        <v>ELPASMER</v>
      </c>
      <c r="G318" s="0" t="s">
        <v>628</v>
      </c>
      <c r="H318" s="0" t="s">
        <v>625</v>
      </c>
      <c r="I318" s="0" t="s">
        <v>626</v>
      </c>
      <c r="J318" s="0" t="s">
        <v>627</v>
      </c>
      <c r="K318" s="475" t="n">
        <f aca="false">'Basis Options'!G323</f>
        <v>36951</v>
      </c>
      <c r="L318" s="254" t="e">
        <f aca="false">'Basis Options'!U323</f>
        <v>#NAME?</v>
      </c>
      <c r="M318" s="475" t="n">
        <f aca="false">'Basis Options'!Q323</f>
        <v>36949</v>
      </c>
      <c r="N318" s="0" t="str">
        <f aca="false">'Basis Options'!F323</f>
        <v>P</v>
      </c>
      <c r="O318" s="0" t="n">
        <f aca="false">'Basis Options'!I323</f>
        <v>1.7</v>
      </c>
      <c r="P318" s="0" t="n">
        <v>0</v>
      </c>
      <c r="Q318" s="0" t="n">
        <v>0</v>
      </c>
      <c r="R318" s="0" t="n">
        <v>0</v>
      </c>
      <c r="S318" s="0" t="n">
        <v>0</v>
      </c>
      <c r="T318" s="0" t="s">
        <v>624</v>
      </c>
      <c r="U318" s="0" t="str">
        <f aca="false">IF('Basis Options'!D323="NGI/CHI. GATE","""NGI/CHI. GATE""",TRIM('Basis Options'!D323))</f>
        <v>IF-TRANSCO/Z6</v>
      </c>
      <c r="V318" s="0" t="s">
        <v>624</v>
      </c>
      <c r="W318" s="0" t="s">
        <v>569</v>
      </c>
      <c r="X318" s="0" t="s">
        <v>624</v>
      </c>
      <c r="Y318" s="0" t="s">
        <v>627</v>
      </c>
      <c r="Z318" s="0" t="s">
        <v>629</v>
      </c>
      <c r="AA318" s="0" t="s">
        <v>624</v>
      </c>
      <c r="AB318" s="0" t="s">
        <v>132</v>
      </c>
      <c r="AC318" s="254" t="n">
        <f aca="false">'Basis Options'!H323</f>
        <v>-1000000</v>
      </c>
      <c r="AD318" s="254" t="e">
        <f aca="false">'Basis Options'!W323</f>
        <v>#NAME?</v>
      </c>
      <c r="AE318" s="0" t="n">
        <v>0</v>
      </c>
      <c r="AF318" s="0" t="n">
        <v>0</v>
      </c>
      <c r="AG318" s="0" t="n">
        <v>0</v>
      </c>
      <c r="AH318" s="254" t="e">
        <f aca="false">'Basis Options'!CD323</f>
        <v>#NAME?</v>
      </c>
      <c r="AI318" s="0" t="n">
        <v>226</v>
      </c>
      <c r="AJ318" s="0" t="s">
        <v>630</v>
      </c>
      <c r="AK318" s="0" t="n">
        <v>0</v>
      </c>
      <c r="AL318" s="0" t="n">
        <v>0</v>
      </c>
      <c r="AM318" s="0" t="n">
        <v>0</v>
      </c>
    </row>
    <row r="319" customFormat="false" ht="12.75" hidden="false" customHeight="false" outlineLevel="0" collapsed="false">
      <c r="A319" s="0" t="s">
        <v>621</v>
      </c>
      <c r="B319" s="0" t="str">
        <f aca="false">'Basis Options'!C324</f>
        <v>NM2063.1</v>
      </c>
      <c r="C319" s="0" t="s">
        <v>622</v>
      </c>
      <c r="D319" s="0" t="s">
        <v>623</v>
      </c>
      <c r="E319" s="0" t="s">
        <v>131</v>
      </c>
      <c r="F319" s="0" t="str">
        <f aca="false">'Basis Options'!A324</f>
        <v>ELPASMER</v>
      </c>
      <c r="G319" s="0" t="s">
        <v>628</v>
      </c>
      <c r="H319" s="0" t="s">
        <v>625</v>
      </c>
      <c r="I319" s="0" t="s">
        <v>626</v>
      </c>
      <c r="J319" s="0" t="s">
        <v>627</v>
      </c>
      <c r="K319" s="475" t="n">
        <f aca="false">'Basis Options'!G324</f>
        <v>36923</v>
      </c>
      <c r="L319" s="254" t="e">
        <f aca="false">'Basis Options'!U324</f>
        <v>#NAME?</v>
      </c>
      <c r="M319" s="475" t="n">
        <f aca="false">'Basis Options'!Q324</f>
        <v>36921</v>
      </c>
      <c r="N319" s="0" t="str">
        <f aca="false">'Basis Options'!F324</f>
        <v>P</v>
      </c>
      <c r="O319" s="0" t="n">
        <f aca="false">'Basis Options'!I324</f>
        <v>1.7</v>
      </c>
      <c r="P319" s="0" t="n">
        <v>0</v>
      </c>
      <c r="Q319" s="0" t="n">
        <v>0</v>
      </c>
      <c r="R319" s="0" t="n">
        <v>0</v>
      </c>
      <c r="S319" s="0" t="n">
        <v>0</v>
      </c>
      <c r="T319" s="0" t="s">
        <v>624</v>
      </c>
      <c r="U319" s="0" t="str">
        <f aca="false">IF('Basis Options'!D324="NGI/CHI. GATE","""NGI/CHI. GATE""",TRIM('Basis Options'!D324))</f>
        <v>IF-TRANSCO/Z6</v>
      </c>
      <c r="V319" s="0" t="s">
        <v>624</v>
      </c>
      <c r="W319" s="0" t="s">
        <v>569</v>
      </c>
      <c r="X319" s="0" t="s">
        <v>624</v>
      </c>
      <c r="Y319" s="0" t="s">
        <v>627</v>
      </c>
      <c r="Z319" s="0" t="s">
        <v>629</v>
      </c>
      <c r="AA319" s="0" t="s">
        <v>624</v>
      </c>
      <c r="AB319" s="0" t="s">
        <v>132</v>
      </c>
      <c r="AC319" s="254" t="n">
        <f aca="false">'Basis Options'!H324</f>
        <v>-1000000</v>
      </c>
      <c r="AD319" s="254" t="e">
        <f aca="false">'Basis Options'!W324</f>
        <v>#NAME?</v>
      </c>
      <c r="AE319" s="0" t="n">
        <v>0</v>
      </c>
      <c r="AF319" s="0" t="n">
        <v>0</v>
      </c>
      <c r="AG319" s="0" t="n">
        <v>0</v>
      </c>
      <c r="AH319" s="254" t="e">
        <f aca="false">'Basis Options'!CD324</f>
        <v>#NAME?</v>
      </c>
      <c r="AI319" s="0" t="n">
        <v>226</v>
      </c>
      <c r="AJ319" s="0" t="s">
        <v>630</v>
      </c>
      <c r="AK319" s="0" t="n">
        <v>0</v>
      </c>
      <c r="AL319" s="0" t="n">
        <v>0</v>
      </c>
      <c r="AM319" s="0" t="n">
        <v>0</v>
      </c>
    </row>
    <row r="320" customFormat="false" ht="12.75" hidden="false" customHeight="false" outlineLevel="0" collapsed="false">
      <c r="A320" s="0" t="s">
        <v>621</v>
      </c>
      <c r="B320" s="0" t="str">
        <f aca="false">'Basis Options'!C325</f>
        <v>NM2063.1</v>
      </c>
      <c r="C320" s="0" t="s">
        <v>622</v>
      </c>
      <c r="D320" s="0" t="s">
        <v>623</v>
      </c>
      <c r="E320" s="0" t="s">
        <v>131</v>
      </c>
      <c r="F320" s="0" t="str">
        <f aca="false">'Basis Options'!A325</f>
        <v>ELPASMER</v>
      </c>
      <c r="G320" s="0" t="s">
        <v>628</v>
      </c>
      <c r="H320" s="0" t="s">
        <v>625</v>
      </c>
      <c r="I320" s="0" t="s">
        <v>626</v>
      </c>
      <c r="J320" s="0" t="s">
        <v>627</v>
      </c>
      <c r="K320" s="475" t="n">
        <f aca="false">'Basis Options'!G325</f>
        <v>36892</v>
      </c>
      <c r="L320" s="254" t="e">
        <f aca="false">'Basis Options'!U325</f>
        <v>#NAME?</v>
      </c>
      <c r="M320" s="475" t="n">
        <f aca="false">'Basis Options'!Q325</f>
        <v>36888</v>
      </c>
      <c r="N320" s="0" t="str">
        <f aca="false">'Basis Options'!F325</f>
        <v>P</v>
      </c>
      <c r="O320" s="0" t="n">
        <f aca="false">'Basis Options'!I325</f>
        <v>1.7</v>
      </c>
      <c r="P320" s="0" t="n">
        <v>0</v>
      </c>
      <c r="Q320" s="0" t="n">
        <v>0</v>
      </c>
      <c r="R320" s="0" t="n">
        <v>0</v>
      </c>
      <c r="S320" s="0" t="n">
        <v>0</v>
      </c>
      <c r="T320" s="0" t="s">
        <v>624</v>
      </c>
      <c r="U320" s="0" t="str">
        <f aca="false">IF('Basis Options'!D325="NGI/CHI. GATE","""NGI/CHI. GATE""",TRIM('Basis Options'!D325))</f>
        <v>IF-TRANSCO/Z6</v>
      </c>
      <c r="V320" s="0" t="s">
        <v>624</v>
      </c>
      <c r="W320" s="0" t="s">
        <v>569</v>
      </c>
      <c r="X320" s="0" t="s">
        <v>624</v>
      </c>
      <c r="Y320" s="0" t="s">
        <v>627</v>
      </c>
      <c r="Z320" s="0" t="s">
        <v>629</v>
      </c>
      <c r="AA320" s="0" t="s">
        <v>624</v>
      </c>
      <c r="AB320" s="0" t="s">
        <v>132</v>
      </c>
      <c r="AC320" s="254" t="n">
        <f aca="false">'Basis Options'!H325</f>
        <v>-1000000</v>
      </c>
      <c r="AD320" s="254" t="e">
        <f aca="false">'Basis Options'!W325</f>
        <v>#NAME?</v>
      </c>
      <c r="AE320" s="0" t="n">
        <v>0</v>
      </c>
      <c r="AF320" s="0" t="n">
        <v>0</v>
      </c>
      <c r="AG320" s="0" t="n">
        <v>0</v>
      </c>
      <c r="AH320" s="254" t="e">
        <f aca="false">'Basis Options'!CD325</f>
        <v>#NAME?</v>
      </c>
      <c r="AI320" s="0" t="n">
        <v>226</v>
      </c>
      <c r="AJ320" s="0" t="s">
        <v>630</v>
      </c>
      <c r="AK320" s="0" t="n">
        <v>0</v>
      </c>
      <c r="AL320" s="0" t="n">
        <v>0</v>
      </c>
      <c r="AM320" s="0" t="n">
        <v>0</v>
      </c>
    </row>
    <row r="321" customFormat="false" ht="12.75" hidden="false" customHeight="false" outlineLevel="0" collapsed="false">
      <c r="A321" s="0" t="s">
        <v>621</v>
      </c>
      <c r="B321" s="0" t="str">
        <f aca="false">'Basis Options'!C326</f>
        <v>NM2063.2</v>
      </c>
      <c r="C321" s="0" t="s">
        <v>622</v>
      </c>
      <c r="D321" s="0" t="s">
        <v>623</v>
      </c>
      <c r="E321" s="0" t="s">
        <v>131</v>
      </c>
      <c r="F321" s="0" t="str">
        <f aca="false">'Basis Options'!A326</f>
        <v>ELPASMER</v>
      </c>
      <c r="G321" s="0" t="s">
        <v>628</v>
      </c>
      <c r="H321" s="0" t="s">
        <v>625</v>
      </c>
      <c r="I321" s="0" t="s">
        <v>626</v>
      </c>
      <c r="J321" s="0" t="s">
        <v>627</v>
      </c>
      <c r="K321" s="475" t="n">
        <f aca="false">'Basis Options'!G326</f>
        <v>36951</v>
      </c>
      <c r="L321" s="254" t="e">
        <f aca="false">'Basis Options'!U326</f>
        <v>#NAME?</v>
      </c>
      <c r="M321" s="475" t="n">
        <f aca="false">'Basis Options'!Q326</f>
        <v>36949</v>
      </c>
      <c r="N321" s="0" t="str">
        <f aca="false">'Basis Options'!F326</f>
        <v>P</v>
      </c>
      <c r="O321" s="0" t="n">
        <f aca="false">'Basis Options'!I326</f>
        <v>1</v>
      </c>
      <c r="P321" s="0" t="n">
        <v>0</v>
      </c>
      <c r="Q321" s="0" t="n">
        <v>0</v>
      </c>
      <c r="R321" s="0" t="n">
        <v>0</v>
      </c>
      <c r="S321" s="0" t="n">
        <v>0</v>
      </c>
      <c r="T321" s="0" t="s">
        <v>624</v>
      </c>
      <c r="U321" s="0" t="str">
        <f aca="false">IF('Basis Options'!D326="NGI/CHI. GATE","""NGI/CHI. GATE""",TRIM('Basis Options'!D326))</f>
        <v>IF-TRANSCO/Z6</v>
      </c>
      <c r="V321" s="0" t="s">
        <v>624</v>
      </c>
      <c r="W321" s="0" t="s">
        <v>569</v>
      </c>
      <c r="X321" s="0" t="s">
        <v>624</v>
      </c>
      <c r="Y321" s="0" t="s">
        <v>627</v>
      </c>
      <c r="Z321" s="0" t="s">
        <v>629</v>
      </c>
      <c r="AA321" s="0" t="s">
        <v>624</v>
      </c>
      <c r="AB321" s="0" t="s">
        <v>132</v>
      </c>
      <c r="AC321" s="254" t="n">
        <f aca="false">'Basis Options'!H326</f>
        <v>1000000</v>
      </c>
      <c r="AD321" s="254" t="e">
        <f aca="false">'Basis Options'!W326</f>
        <v>#NAME?</v>
      </c>
      <c r="AE321" s="0" t="n">
        <v>0</v>
      </c>
      <c r="AF321" s="0" t="n">
        <v>0</v>
      </c>
      <c r="AG321" s="0" t="n">
        <v>0</v>
      </c>
      <c r="AH321" s="254" t="e">
        <f aca="false">'Basis Options'!CD326</f>
        <v>#NAME?</v>
      </c>
      <c r="AI321" s="0" t="n">
        <v>226</v>
      </c>
      <c r="AJ321" s="0" t="s">
        <v>630</v>
      </c>
      <c r="AK321" s="0" t="n">
        <v>0</v>
      </c>
      <c r="AL321" s="0" t="n">
        <v>0</v>
      </c>
      <c r="AM321" s="0" t="n">
        <v>0</v>
      </c>
    </row>
    <row r="322" customFormat="false" ht="12.75" hidden="false" customHeight="false" outlineLevel="0" collapsed="false">
      <c r="A322" s="0" t="s">
        <v>621</v>
      </c>
      <c r="B322" s="0" t="str">
        <f aca="false">'Basis Options'!C327</f>
        <v>NM2063.2</v>
      </c>
      <c r="C322" s="0" t="s">
        <v>622</v>
      </c>
      <c r="D322" s="0" t="s">
        <v>623</v>
      </c>
      <c r="E322" s="0" t="s">
        <v>131</v>
      </c>
      <c r="F322" s="0" t="str">
        <f aca="false">'Basis Options'!A327</f>
        <v>ELPASMER</v>
      </c>
      <c r="G322" s="0" t="s">
        <v>628</v>
      </c>
      <c r="H322" s="0" t="s">
        <v>625</v>
      </c>
      <c r="I322" s="0" t="s">
        <v>626</v>
      </c>
      <c r="J322" s="0" t="s">
        <v>627</v>
      </c>
      <c r="K322" s="475" t="n">
        <f aca="false">'Basis Options'!G327</f>
        <v>36923</v>
      </c>
      <c r="L322" s="254" t="e">
        <f aca="false">'Basis Options'!U327</f>
        <v>#NAME?</v>
      </c>
      <c r="M322" s="475" t="n">
        <f aca="false">'Basis Options'!Q327</f>
        <v>36921</v>
      </c>
      <c r="N322" s="0" t="str">
        <f aca="false">'Basis Options'!F327</f>
        <v>P</v>
      </c>
      <c r="O322" s="0" t="n">
        <f aca="false">'Basis Options'!I327</f>
        <v>1</v>
      </c>
      <c r="P322" s="0" t="n">
        <v>0</v>
      </c>
      <c r="Q322" s="0" t="n">
        <v>0</v>
      </c>
      <c r="R322" s="0" t="n">
        <v>0</v>
      </c>
      <c r="S322" s="0" t="n">
        <v>0</v>
      </c>
      <c r="T322" s="0" t="s">
        <v>624</v>
      </c>
      <c r="U322" s="0" t="str">
        <f aca="false">IF('Basis Options'!D327="NGI/CHI. GATE","""NGI/CHI. GATE""",TRIM('Basis Options'!D327))</f>
        <v>IF-TRANSCO/Z6</v>
      </c>
      <c r="V322" s="0" t="s">
        <v>624</v>
      </c>
      <c r="W322" s="0" t="s">
        <v>569</v>
      </c>
      <c r="X322" s="0" t="s">
        <v>624</v>
      </c>
      <c r="Y322" s="0" t="s">
        <v>627</v>
      </c>
      <c r="Z322" s="0" t="s">
        <v>629</v>
      </c>
      <c r="AA322" s="0" t="s">
        <v>624</v>
      </c>
      <c r="AB322" s="0" t="s">
        <v>132</v>
      </c>
      <c r="AC322" s="254" t="n">
        <f aca="false">'Basis Options'!H327</f>
        <v>1000000</v>
      </c>
      <c r="AD322" s="254" t="e">
        <f aca="false">'Basis Options'!W327</f>
        <v>#NAME?</v>
      </c>
      <c r="AE322" s="0" t="n">
        <v>0</v>
      </c>
      <c r="AF322" s="0" t="n">
        <v>0</v>
      </c>
      <c r="AG322" s="0" t="n">
        <v>0</v>
      </c>
      <c r="AH322" s="254" t="e">
        <f aca="false">'Basis Options'!CD327</f>
        <v>#NAME?</v>
      </c>
      <c r="AI322" s="0" t="n">
        <v>226</v>
      </c>
      <c r="AJ322" s="0" t="s">
        <v>630</v>
      </c>
      <c r="AK322" s="0" t="n">
        <v>0</v>
      </c>
      <c r="AL322" s="0" t="n">
        <v>0</v>
      </c>
      <c r="AM322" s="0" t="n">
        <v>0</v>
      </c>
    </row>
    <row r="323" customFormat="false" ht="12.75" hidden="false" customHeight="false" outlineLevel="0" collapsed="false">
      <c r="A323" s="0" t="s">
        <v>621</v>
      </c>
      <c r="B323" s="0" t="str">
        <f aca="false">'Basis Options'!C328</f>
        <v>NM2063.2</v>
      </c>
      <c r="C323" s="0" t="s">
        <v>622</v>
      </c>
      <c r="D323" s="0" t="s">
        <v>623</v>
      </c>
      <c r="E323" s="0" t="s">
        <v>131</v>
      </c>
      <c r="F323" s="0" t="str">
        <f aca="false">'Basis Options'!A328</f>
        <v>ELPASMER</v>
      </c>
      <c r="G323" s="0" t="s">
        <v>628</v>
      </c>
      <c r="H323" s="0" t="s">
        <v>625</v>
      </c>
      <c r="I323" s="0" t="s">
        <v>626</v>
      </c>
      <c r="J323" s="0" t="s">
        <v>627</v>
      </c>
      <c r="K323" s="475" t="n">
        <f aca="false">'Basis Options'!G328</f>
        <v>36892</v>
      </c>
      <c r="L323" s="254" t="e">
        <f aca="false">'Basis Options'!U328</f>
        <v>#NAME?</v>
      </c>
      <c r="M323" s="475" t="n">
        <f aca="false">'Basis Options'!Q328</f>
        <v>36888</v>
      </c>
      <c r="N323" s="0" t="str">
        <f aca="false">'Basis Options'!F328</f>
        <v>P</v>
      </c>
      <c r="O323" s="0" t="n">
        <f aca="false">'Basis Options'!I328</f>
        <v>1</v>
      </c>
      <c r="P323" s="0" t="n">
        <v>0</v>
      </c>
      <c r="Q323" s="0" t="n">
        <v>0</v>
      </c>
      <c r="R323" s="0" t="n">
        <v>0</v>
      </c>
      <c r="S323" s="0" t="n">
        <v>0</v>
      </c>
      <c r="T323" s="0" t="s">
        <v>624</v>
      </c>
      <c r="U323" s="0" t="str">
        <f aca="false">IF('Basis Options'!D328="NGI/CHI. GATE","""NGI/CHI. GATE""",TRIM('Basis Options'!D328))</f>
        <v>IF-TRANSCO/Z6</v>
      </c>
      <c r="V323" s="0" t="s">
        <v>624</v>
      </c>
      <c r="W323" s="0" t="s">
        <v>569</v>
      </c>
      <c r="X323" s="0" t="s">
        <v>624</v>
      </c>
      <c r="Y323" s="0" t="s">
        <v>627</v>
      </c>
      <c r="Z323" s="0" t="s">
        <v>629</v>
      </c>
      <c r="AA323" s="0" t="s">
        <v>624</v>
      </c>
      <c r="AB323" s="0" t="s">
        <v>132</v>
      </c>
      <c r="AC323" s="254" t="n">
        <f aca="false">'Basis Options'!H328</f>
        <v>1000000</v>
      </c>
      <c r="AD323" s="254" t="e">
        <f aca="false">'Basis Options'!W328</f>
        <v>#NAME?</v>
      </c>
      <c r="AE323" s="0" t="n">
        <v>0</v>
      </c>
      <c r="AF323" s="0" t="n">
        <v>0</v>
      </c>
      <c r="AG323" s="0" t="n">
        <v>0</v>
      </c>
      <c r="AH323" s="254" t="e">
        <f aca="false">'Basis Options'!CD328</f>
        <v>#NAME?</v>
      </c>
      <c r="AI323" s="0" t="n">
        <v>226</v>
      </c>
      <c r="AJ323" s="0" t="s">
        <v>630</v>
      </c>
      <c r="AK323" s="0" t="n">
        <v>0</v>
      </c>
      <c r="AL323" s="0" t="n">
        <v>0</v>
      </c>
      <c r="AM323" s="0" t="n">
        <v>0</v>
      </c>
    </row>
    <row r="324" customFormat="false" ht="12.75" hidden="false" customHeight="false" outlineLevel="0" collapsed="false">
      <c r="A324" s="0" t="s">
        <v>621</v>
      </c>
      <c r="B324" s="0" t="str">
        <f aca="false">'Basis Options'!C329</f>
        <v>NM2077.1</v>
      </c>
      <c r="C324" s="0" t="s">
        <v>622</v>
      </c>
      <c r="D324" s="0" t="s">
        <v>623</v>
      </c>
      <c r="E324" s="0" t="s">
        <v>131</v>
      </c>
      <c r="F324" s="0" t="str">
        <f aca="false">'Basis Options'!A329</f>
        <v>ELPASMER</v>
      </c>
      <c r="G324" s="0" t="s">
        <v>628</v>
      </c>
      <c r="H324" s="0" t="s">
        <v>625</v>
      </c>
      <c r="I324" s="0" t="s">
        <v>626</v>
      </c>
      <c r="J324" s="0" t="s">
        <v>627</v>
      </c>
      <c r="K324" s="475" t="n">
        <f aca="false">'Basis Options'!G329</f>
        <v>36800</v>
      </c>
      <c r="L324" s="254" t="e">
        <f aca="false">'Basis Options'!U329</f>
        <v>#NAME?</v>
      </c>
      <c r="M324" s="475" t="n">
        <f aca="false">'Basis Options'!Q329</f>
        <v>36797</v>
      </c>
      <c r="N324" s="0" t="str">
        <f aca="false">'Basis Options'!F329</f>
        <v>C</v>
      </c>
      <c r="O324" s="0" t="n">
        <f aca="false">'Basis Options'!I329</f>
        <v>0.7</v>
      </c>
      <c r="P324" s="0" t="n">
        <v>0</v>
      </c>
      <c r="Q324" s="0" t="n">
        <v>0</v>
      </c>
      <c r="R324" s="0" t="n">
        <v>0</v>
      </c>
      <c r="S324" s="0" t="n">
        <v>0</v>
      </c>
      <c r="T324" s="0" t="s">
        <v>624</v>
      </c>
      <c r="U324" s="0" t="str">
        <f aca="false">IF('Basis Options'!D329="NGI/CHI. GATE","""NGI/CHI. GATE""",TRIM('Basis Options'!D329))</f>
        <v>IF-TRANSCO/Z6</v>
      </c>
      <c r="V324" s="0" t="s">
        <v>624</v>
      </c>
      <c r="W324" s="0" t="s">
        <v>569</v>
      </c>
      <c r="X324" s="0" t="s">
        <v>624</v>
      </c>
      <c r="Y324" s="0" t="s">
        <v>627</v>
      </c>
      <c r="Z324" s="0" t="s">
        <v>629</v>
      </c>
      <c r="AA324" s="0" t="s">
        <v>624</v>
      </c>
      <c r="AB324" s="0" t="s">
        <v>132</v>
      </c>
      <c r="AC324" s="254" t="n">
        <f aca="false">'Basis Options'!H329</f>
        <v>-1000000</v>
      </c>
      <c r="AD324" s="254" t="e">
        <f aca="false">'Basis Options'!W329</f>
        <v>#NAME?</v>
      </c>
      <c r="AE324" s="0" t="n">
        <v>0</v>
      </c>
      <c r="AF324" s="0" t="n">
        <v>0</v>
      </c>
      <c r="AG324" s="0" t="n">
        <v>0</v>
      </c>
      <c r="AH324" s="254" t="e">
        <f aca="false">'Basis Options'!CD329</f>
        <v>#NAME?</v>
      </c>
      <c r="AI324" s="0" t="n">
        <v>226</v>
      </c>
      <c r="AJ324" s="0" t="s">
        <v>630</v>
      </c>
      <c r="AK324" s="0" t="n">
        <v>0</v>
      </c>
      <c r="AL324" s="0" t="n">
        <v>0</v>
      </c>
      <c r="AM324" s="0" t="n">
        <v>0</v>
      </c>
    </row>
    <row r="325" customFormat="false" ht="12.75" hidden="false" customHeight="false" outlineLevel="0" collapsed="false">
      <c r="A325" s="0" t="s">
        <v>621</v>
      </c>
      <c r="B325" s="0" t="str">
        <f aca="false">'Basis Options'!C330</f>
        <v>NM2077.2</v>
      </c>
      <c r="C325" s="0" t="s">
        <v>622</v>
      </c>
      <c r="D325" s="0" t="s">
        <v>623</v>
      </c>
      <c r="E325" s="0" t="s">
        <v>131</v>
      </c>
      <c r="F325" s="0" t="str">
        <f aca="false">'Basis Options'!A330</f>
        <v>ELPASMER</v>
      </c>
      <c r="G325" s="0" t="s">
        <v>628</v>
      </c>
      <c r="H325" s="0" t="s">
        <v>625</v>
      </c>
      <c r="I325" s="0" t="s">
        <v>626</v>
      </c>
      <c r="J325" s="0" t="s">
        <v>627</v>
      </c>
      <c r="K325" s="475" t="n">
        <f aca="false">'Basis Options'!G330</f>
        <v>36800</v>
      </c>
      <c r="L325" s="254" t="e">
        <f aca="false">'Basis Options'!U330</f>
        <v>#NAME?</v>
      </c>
      <c r="M325" s="475" t="n">
        <f aca="false">'Basis Options'!Q330</f>
        <v>36797</v>
      </c>
      <c r="N325" s="0" t="str">
        <f aca="false">'Basis Options'!F330</f>
        <v>C</v>
      </c>
      <c r="O325" s="0" t="n">
        <f aca="false">'Basis Options'!I330</f>
        <v>0.7</v>
      </c>
      <c r="P325" s="0" t="n">
        <v>0</v>
      </c>
      <c r="Q325" s="0" t="n">
        <v>0</v>
      </c>
      <c r="R325" s="0" t="n">
        <v>0</v>
      </c>
      <c r="S325" s="0" t="n">
        <v>0</v>
      </c>
      <c r="T325" s="0" t="s">
        <v>624</v>
      </c>
      <c r="U325" s="0" t="str">
        <f aca="false">IF('Basis Options'!D330="NGI/CHI. GATE","""NGI/CHI. GATE""",TRIM('Basis Options'!D330))</f>
        <v>IF-TRANSCO/Z6</v>
      </c>
      <c r="V325" s="0" t="s">
        <v>624</v>
      </c>
      <c r="W325" s="0" t="s">
        <v>569</v>
      </c>
      <c r="X325" s="0" t="s">
        <v>624</v>
      </c>
      <c r="Y325" s="0" t="s">
        <v>627</v>
      </c>
      <c r="Z325" s="0" t="s">
        <v>629</v>
      </c>
      <c r="AA325" s="0" t="s">
        <v>624</v>
      </c>
      <c r="AB325" s="0" t="s">
        <v>132</v>
      </c>
      <c r="AC325" s="254" t="n">
        <f aca="false">'Basis Options'!H330</f>
        <v>-1000000</v>
      </c>
      <c r="AD325" s="254" t="e">
        <f aca="false">'Basis Options'!W330</f>
        <v>#NAME?</v>
      </c>
      <c r="AE325" s="0" t="n">
        <v>0</v>
      </c>
      <c r="AF325" s="0" t="n">
        <v>0</v>
      </c>
      <c r="AG325" s="0" t="n">
        <v>0</v>
      </c>
      <c r="AH325" s="254" t="e">
        <f aca="false">'Basis Options'!CD330</f>
        <v>#NAME?</v>
      </c>
      <c r="AI325" s="0" t="n">
        <v>226</v>
      </c>
      <c r="AJ325" s="0" t="s">
        <v>630</v>
      </c>
      <c r="AK325" s="0" t="n">
        <v>0</v>
      </c>
      <c r="AL325" s="0" t="n">
        <v>0</v>
      </c>
      <c r="AM325" s="0" t="n">
        <v>0</v>
      </c>
    </row>
    <row r="326" customFormat="false" ht="12.75" hidden="false" customHeight="false" outlineLevel="0" collapsed="false">
      <c r="A326" s="0" t="s">
        <v>621</v>
      </c>
      <c r="B326" s="0" t="str">
        <f aca="false">'Basis Options'!C331</f>
        <v>NM2100</v>
      </c>
      <c r="C326" s="0" t="s">
        <v>622</v>
      </c>
      <c r="D326" s="0" t="s">
        <v>623</v>
      </c>
      <c r="E326" s="0" t="s">
        <v>131</v>
      </c>
      <c r="F326" s="0" t="str">
        <f aca="false">'Basis Options'!A331</f>
        <v>DUKEENETRA</v>
      </c>
      <c r="G326" s="0" t="s">
        <v>628</v>
      </c>
      <c r="H326" s="0" t="s">
        <v>625</v>
      </c>
      <c r="I326" s="0" t="s">
        <v>626</v>
      </c>
      <c r="J326" s="0" t="s">
        <v>627</v>
      </c>
      <c r="K326" s="475" t="n">
        <f aca="false">'Basis Options'!G331</f>
        <v>36800</v>
      </c>
      <c r="L326" s="254" t="e">
        <f aca="false">'Basis Options'!U331</f>
        <v>#NAME?</v>
      </c>
      <c r="M326" s="475" t="n">
        <f aca="false">'Basis Options'!Q331</f>
        <v>36797</v>
      </c>
      <c r="N326" s="0" t="str">
        <f aca="false">'Basis Options'!F331</f>
        <v>P</v>
      </c>
      <c r="O326" s="0" t="n">
        <f aca="false">'Basis Options'!I331</f>
        <v>0.4</v>
      </c>
      <c r="P326" s="0" t="n">
        <v>0</v>
      </c>
      <c r="Q326" s="0" t="n">
        <v>0</v>
      </c>
      <c r="R326" s="0" t="n">
        <v>0</v>
      </c>
      <c r="S326" s="0" t="n">
        <v>0</v>
      </c>
      <c r="T326" s="0" t="s">
        <v>624</v>
      </c>
      <c r="U326" s="0" t="str">
        <f aca="false">IF('Basis Options'!D331="NGI/CHI. GATE","""NGI/CHI. GATE""",TRIM('Basis Options'!D331))</f>
        <v>IF-TRANSCO/Z6</v>
      </c>
      <c r="V326" s="0" t="s">
        <v>624</v>
      </c>
      <c r="W326" s="0" t="s">
        <v>569</v>
      </c>
      <c r="X326" s="0" t="s">
        <v>624</v>
      </c>
      <c r="Y326" s="0" t="s">
        <v>627</v>
      </c>
      <c r="Z326" s="0" t="s">
        <v>629</v>
      </c>
      <c r="AA326" s="0" t="s">
        <v>624</v>
      </c>
      <c r="AB326" s="0" t="s">
        <v>132</v>
      </c>
      <c r="AC326" s="254" t="n">
        <f aca="false">'Basis Options'!H331</f>
        <v>3100000</v>
      </c>
      <c r="AD326" s="254" t="e">
        <f aca="false">'Basis Options'!W331</f>
        <v>#NAME?</v>
      </c>
      <c r="AE326" s="0" t="n">
        <v>0</v>
      </c>
      <c r="AF326" s="0" t="n">
        <v>0</v>
      </c>
      <c r="AG326" s="0" t="n">
        <v>0</v>
      </c>
      <c r="AH326" s="254" t="e">
        <f aca="false">'Basis Options'!CD331</f>
        <v>#NAME?</v>
      </c>
      <c r="AI326" s="0" t="n">
        <v>226</v>
      </c>
      <c r="AJ326" s="0" t="s">
        <v>630</v>
      </c>
      <c r="AK326" s="0" t="n">
        <v>0</v>
      </c>
      <c r="AL326" s="0" t="n">
        <v>0</v>
      </c>
      <c r="AM326" s="0" t="n">
        <v>0</v>
      </c>
    </row>
    <row r="327" customFormat="false" ht="12.75" hidden="false" customHeight="false" outlineLevel="0" collapsed="false">
      <c r="A327" s="0" t="s">
        <v>621</v>
      </c>
      <c r="B327" s="0" t="str">
        <f aca="false">'Basis Options'!C332</f>
        <v>NM2109</v>
      </c>
      <c r="C327" s="0" t="s">
        <v>622</v>
      </c>
      <c r="D327" s="0" t="s">
        <v>623</v>
      </c>
      <c r="E327" s="0" t="s">
        <v>131</v>
      </c>
      <c r="F327" s="0" t="str">
        <f aca="false">'Basis Options'!A332</f>
        <v>ELPASMER</v>
      </c>
      <c r="G327" s="0" t="s">
        <v>628</v>
      </c>
      <c r="H327" s="0" t="s">
        <v>625</v>
      </c>
      <c r="I327" s="0" t="s">
        <v>626</v>
      </c>
      <c r="J327" s="0" t="s">
        <v>627</v>
      </c>
      <c r="K327" s="475" t="n">
        <f aca="false">'Basis Options'!G332</f>
        <v>36831</v>
      </c>
      <c r="L327" s="254" t="e">
        <f aca="false">'Basis Options'!U332</f>
        <v>#NAME?</v>
      </c>
      <c r="M327" s="475" t="n">
        <f aca="false">'Basis Options'!Q332</f>
        <v>36829</v>
      </c>
      <c r="N327" s="0" t="str">
        <f aca="false">'Basis Options'!F332</f>
        <v>P</v>
      </c>
      <c r="O327" s="0" t="n">
        <f aca="false">'Basis Options'!I332</f>
        <v>0.4</v>
      </c>
      <c r="P327" s="0" t="n">
        <v>0</v>
      </c>
      <c r="Q327" s="0" t="n">
        <v>0</v>
      </c>
      <c r="R327" s="0" t="n">
        <v>0</v>
      </c>
      <c r="S327" s="0" t="n">
        <v>0</v>
      </c>
      <c r="T327" s="0" t="s">
        <v>624</v>
      </c>
      <c r="U327" s="0" t="str">
        <f aca="false">IF('Basis Options'!D332="NGI/CHI. GATE","""NGI/CHI. GATE""",TRIM('Basis Options'!D332))</f>
        <v>IF-TRANSCO/Z6</v>
      </c>
      <c r="V327" s="0" t="s">
        <v>624</v>
      </c>
      <c r="W327" s="0" t="s">
        <v>569</v>
      </c>
      <c r="X327" s="0" t="s">
        <v>624</v>
      </c>
      <c r="Y327" s="0" t="s">
        <v>627</v>
      </c>
      <c r="Z327" s="0" t="s">
        <v>629</v>
      </c>
      <c r="AA327" s="0" t="s">
        <v>624</v>
      </c>
      <c r="AB327" s="0" t="s">
        <v>132</v>
      </c>
      <c r="AC327" s="254" t="n">
        <f aca="false">'Basis Options'!H332</f>
        <v>-500000</v>
      </c>
      <c r="AD327" s="254" t="e">
        <f aca="false">'Basis Options'!W332</f>
        <v>#NAME?</v>
      </c>
      <c r="AE327" s="0" t="n">
        <v>0</v>
      </c>
      <c r="AF327" s="0" t="n">
        <v>0</v>
      </c>
      <c r="AG327" s="0" t="n">
        <v>0</v>
      </c>
      <c r="AH327" s="254" t="e">
        <f aca="false">'Basis Options'!CD332</f>
        <v>#NAME?</v>
      </c>
      <c r="AI327" s="0" t="n">
        <v>226</v>
      </c>
      <c r="AJ327" s="0" t="s">
        <v>630</v>
      </c>
      <c r="AK327" s="0" t="n">
        <v>0</v>
      </c>
      <c r="AL327" s="0" t="n">
        <v>0</v>
      </c>
      <c r="AM327" s="0" t="n">
        <v>0</v>
      </c>
    </row>
    <row r="328" customFormat="false" ht="12.75" hidden="false" customHeight="false" outlineLevel="0" collapsed="false">
      <c r="A328" s="0" t="s">
        <v>621</v>
      </c>
      <c r="B328" s="0" t="str">
        <f aca="false">'Basis Options'!C333</f>
        <v>NM2145</v>
      </c>
      <c r="C328" s="0" t="s">
        <v>622</v>
      </c>
      <c r="D328" s="0" t="s">
        <v>623</v>
      </c>
      <c r="E328" s="0" t="s">
        <v>131</v>
      </c>
      <c r="F328" s="0" t="str">
        <f aca="false">'Basis Options'!A333</f>
        <v>SMALLVENUSA</v>
      </c>
      <c r="G328" s="0" t="s">
        <v>628</v>
      </c>
      <c r="H328" s="0" t="s">
        <v>625</v>
      </c>
      <c r="I328" s="0" t="s">
        <v>626</v>
      </c>
      <c r="J328" s="0" t="s">
        <v>627</v>
      </c>
      <c r="K328" s="475" t="n">
        <f aca="false">'Basis Options'!G333</f>
        <v>36831</v>
      </c>
      <c r="L328" s="254" t="e">
        <f aca="false">'Basis Options'!U333</f>
        <v>#NAME?</v>
      </c>
      <c r="M328" s="475" t="n">
        <f aca="false">'Basis Options'!Q333</f>
        <v>36829</v>
      </c>
      <c r="N328" s="0" t="str">
        <f aca="false">'Basis Options'!F333</f>
        <v>P</v>
      </c>
      <c r="O328" s="0" t="n">
        <f aca="false">'Basis Options'!I333</f>
        <v>0.4</v>
      </c>
      <c r="P328" s="0" t="n">
        <v>0</v>
      </c>
      <c r="Q328" s="0" t="n">
        <v>0</v>
      </c>
      <c r="R328" s="0" t="n">
        <v>0</v>
      </c>
      <c r="S328" s="0" t="n">
        <v>0</v>
      </c>
      <c r="T328" s="0" t="s">
        <v>624</v>
      </c>
      <c r="U328" s="0" t="str">
        <f aca="false">IF('Basis Options'!D333="NGI/CHI. GATE","""NGI/CHI. GATE""",TRIM('Basis Options'!D333))</f>
        <v>IF-TRANSCO/Z6</v>
      </c>
      <c r="V328" s="0" t="s">
        <v>624</v>
      </c>
      <c r="W328" s="0" t="s">
        <v>569</v>
      </c>
      <c r="X328" s="0" t="s">
        <v>624</v>
      </c>
      <c r="Y328" s="0" t="s">
        <v>627</v>
      </c>
      <c r="Z328" s="0" t="s">
        <v>629</v>
      </c>
      <c r="AA328" s="0" t="s">
        <v>624</v>
      </c>
      <c r="AB328" s="0" t="s">
        <v>132</v>
      </c>
      <c r="AC328" s="254" t="n">
        <f aca="false">'Basis Options'!H333</f>
        <v>500000</v>
      </c>
      <c r="AD328" s="254" t="e">
        <f aca="false">'Basis Options'!W333</f>
        <v>#NAME?</v>
      </c>
      <c r="AE328" s="0" t="n">
        <v>0</v>
      </c>
      <c r="AF328" s="0" t="n">
        <v>0</v>
      </c>
      <c r="AG328" s="0" t="n">
        <v>0</v>
      </c>
      <c r="AH328" s="254" t="e">
        <f aca="false">'Basis Options'!CD333</f>
        <v>#NAME?</v>
      </c>
      <c r="AI328" s="0" t="n">
        <v>226</v>
      </c>
      <c r="AJ328" s="0" t="s">
        <v>630</v>
      </c>
      <c r="AK328" s="0" t="n">
        <v>0</v>
      </c>
      <c r="AL328" s="0" t="n">
        <v>0</v>
      </c>
      <c r="AM328" s="0" t="n">
        <v>0</v>
      </c>
    </row>
    <row r="329" customFormat="false" ht="12.75" hidden="false" customHeight="false" outlineLevel="0" collapsed="false">
      <c r="A329" s="0" t="s">
        <v>621</v>
      </c>
      <c r="B329" s="0" t="str">
        <f aca="false">'Basis Options'!C334</f>
        <v>NM2238</v>
      </c>
      <c r="C329" s="0" t="s">
        <v>622</v>
      </c>
      <c r="D329" s="0" t="s">
        <v>623</v>
      </c>
      <c r="E329" s="0" t="s">
        <v>131</v>
      </c>
      <c r="F329" s="0" t="str">
        <f aca="false">'Basis Options'!A334</f>
        <v>ELPASMER</v>
      </c>
      <c r="G329" s="0" t="s">
        <v>628</v>
      </c>
      <c r="H329" s="0" t="s">
        <v>625</v>
      </c>
      <c r="I329" s="0" t="s">
        <v>626</v>
      </c>
      <c r="J329" s="0" t="s">
        <v>627</v>
      </c>
      <c r="K329" s="475" t="n">
        <f aca="false">'Basis Options'!G334</f>
        <v>36800</v>
      </c>
      <c r="L329" s="254" t="e">
        <f aca="false">'Basis Options'!U334</f>
        <v>#NAME?</v>
      </c>
      <c r="M329" s="475" t="n">
        <f aca="false">'Basis Options'!Q334</f>
        <v>36797</v>
      </c>
      <c r="N329" s="0" t="str">
        <f aca="false">'Basis Options'!F334</f>
        <v>C</v>
      </c>
      <c r="O329" s="0" t="n">
        <f aca="false">'Basis Options'!I334</f>
        <v>0.7</v>
      </c>
      <c r="P329" s="0" t="n">
        <v>0</v>
      </c>
      <c r="Q329" s="0" t="n">
        <v>0</v>
      </c>
      <c r="R329" s="0" t="n">
        <v>0</v>
      </c>
      <c r="S329" s="0" t="n">
        <v>0</v>
      </c>
      <c r="T329" s="0" t="s">
        <v>624</v>
      </c>
      <c r="U329" s="0" t="str">
        <f aca="false">IF('Basis Options'!D334="NGI/CHI. GATE","""NGI/CHI. GATE""",TRIM('Basis Options'!D334))</f>
        <v>IF-TRANSCO/Z6</v>
      </c>
      <c r="V329" s="0" t="s">
        <v>624</v>
      </c>
      <c r="W329" s="0" t="s">
        <v>569</v>
      </c>
      <c r="X329" s="0" t="s">
        <v>624</v>
      </c>
      <c r="Y329" s="0" t="s">
        <v>627</v>
      </c>
      <c r="Z329" s="0" t="s">
        <v>629</v>
      </c>
      <c r="AA329" s="0" t="s">
        <v>624</v>
      </c>
      <c r="AB329" s="0" t="s">
        <v>132</v>
      </c>
      <c r="AC329" s="254" t="n">
        <f aca="false">'Basis Options'!H334</f>
        <v>-620000</v>
      </c>
      <c r="AD329" s="254" t="e">
        <f aca="false">'Basis Options'!W334</f>
        <v>#NAME?</v>
      </c>
      <c r="AE329" s="0" t="n">
        <v>0</v>
      </c>
      <c r="AF329" s="0" t="n">
        <v>0</v>
      </c>
      <c r="AG329" s="0" t="n">
        <v>0</v>
      </c>
      <c r="AH329" s="254" t="e">
        <f aca="false">'Basis Options'!CD334</f>
        <v>#NAME?</v>
      </c>
      <c r="AI329" s="0" t="n">
        <v>226</v>
      </c>
      <c r="AJ329" s="0" t="s">
        <v>630</v>
      </c>
      <c r="AK329" s="0" t="n">
        <v>0</v>
      </c>
      <c r="AL329" s="0" t="n">
        <v>0</v>
      </c>
      <c r="AM329" s="0" t="n">
        <v>0</v>
      </c>
    </row>
    <row r="330" customFormat="false" ht="12.75" hidden="false" customHeight="false" outlineLevel="0" collapsed="false">
      <c r="A330" s="0" t="s">
        <v>621</v>
      </c>
      <c r="B330" s="0" t="str">
        <f aca="false">'Basis Options'!C335</f>
        <v>NM4160.1</v>
      </c>
      <c r="C330" s="0" t="s">
        <v>622</v>
      </c>
      <c r="D330" s="0" t="s">
        <v>623</v>
      </c>
      <c r="E330" s="0" t="s">
        <v>131</v>
      </c>
      <c r="F330" s="0" t="str">
        <f aca="false">'Basis Options'!A335</f>
        <v>ELPASMER</v>
      </c>
      <c r="G330" s="0" t="s">
        <v>628</v>
      </c>
      <c r="H330" s="0" t="s">
        <v>625</v>
      </c>
      <c r="I330" s="0" t="s">
        <v>626</v>
      </c>
      <c r="J330" s="0" t="s">
        <v>627</v>
      </c>
      <c r="K330" s="475" t="n">
        <f aca="false">'Basis Options'!G335</f>
        <v>36951</v>
      </c>
      <c r="L330" s="254" t="e">
        <f aca="false">'Basis Options'!U335</f>
        <v>#NAME?</v>
      </c>
      <c r="M330" s="475" t="n">
        <f aca="false">'Basis Options'!Q335</f>
        <v>36949</v>
      </c>
      <c r="N330" s="0" t="str">
        <f aca="false">'Basis Options'!F335</f>
        <v>C</v>
      </c>
      <c r="O330" s="0" t="n">
        <f aca="false">'Basis Options'!I335</f>
        <v>5</v>
      </c>
      <c r="P330" s="0" t="n">
        <v>0</v>
      </c>
      <c r="Q330" s="0" t="n">
        <v>0</v>
      </c>
      <c r="R330" s="0" t="n">
        <v>0</v>
      </c>
      <c r="S330" s="0" t="n">
        <v>0</v>
      </c>
      <c r="T330" s="0" t="s">
        <v>624</v>
      </c>
      <c r="U330" s="0" t="str">
        <f aca="false">IF('Basis Options'!D335="NGI/CHI. GATE","""NGI/CHI. GATE""",TRIM('Basis Options'!D335))</f>
        <v>IF-TRANSCO/Z6</v>
      </c>
      <c r="V330" s="0" t="s">
        <v>624</v>
      </c>
      <c r="W330" s="0" t="s">
        <v>569</v>
      </c>
      <c r="X330" s="0" t="s">
        <v>624</v>
      </c>
      <c r="Y330" s="0" t="s">
        <v>627</v>
      </c>
      <c r="Z330" s="0" t="s">
        <v>629</v>
      </c>
      <c r="AA330" s="0" t="s">
        <v>624</v>
      </c>
      <c r="AB330" s="0" t="s">
        <v>132</v>
      </c>
      <c r="AC330" s="254" t="n">
        <f aca="false">'Basis Options'!H335</f>
        <v>-500000</v>
      </c>
      <c r="AD330" s="254" t="e">
        <f aca="false">'Basis Options'!W335</f>
        <v>#NAME?</v>
      </c>
      <c r="AE330" s="0" t="n">
        <v>0</v>
      </c>
      <c r="AF330" s="0" t="n">
        <v>0</v>
      </c>
      <c r="AG330" s="0" t="n">
        <v>0</v>
      </c>
      <c r="AH330" s="254" t="e">
        <f aca="false">'Basis Options'!CD335</f>
        <v>#NAME?</v>
      </c>
      <c r="AI330" s="0" t="n">
        <v>226</v>
      </c>
      <c r="AJ330" s="0" t="s">
        <v>630</v>
      </c>
      <c r="AK330" s="0" t="n">
        <v>0</v>
      </c>
      <c r="AL330" s="0" t="n">
        <v>0</v>
      </c>
      <c r="AM330" s="0" t="n">
        <v>0</v>
      </c>
    </row>
    <row r="331" customFormat="false" ht="12.75" hidden="false" customHeight="false" outlineLevel="0" collapsed="false">
      <c r="A331" s="0" t="s">
        <v>621</v>
      </c>
      <c r="B331" s="0" t="str">
        <f aca="false">'Basis Options'!C336</f>
        <v>NM4160.1</v>
      </c>
      <c r="C331" s="0" t="s">
        <v>622</v>
      </c>
      <c r="D331" s="0" t="s">
        <v>623</v>
      </c>
      <c r="E331" s="0" t="s">
        <v>131</v>
      </c>
      <c r="F331" s="0" t="str">
        <f aca="false">'Basis Options'!A336</f>
        <v>ELPASMER</v>
      </c>
      <c r="G331" s="0" t="s">
        <v>628</v>
      </c>
      <c r="H331" s="0" t="s">
        <v>625</v>
      </c>
      <c r="I331" s="0" t="s">
        <v>626</v>
      </c>
      <c r="J331" s="0" t="s">
        <v>627</v>
      </c>
      <c r="K331" s="475" t="n">
        <f aca="false">'Basis Options'!G336</f>
        <v>36923</v>
      </c>
      <c r="L331" s="254" t="e">
        <f aca="false">'Basis Options'!U336</f>
        <v>#NAME?</v>
      </c>
      <c r="M331" s="475" t="n">
        <f aca="false">'Basis Options'!Q336</f>
        <v>36921</v>
      </c>
      <c r="N331" s="0" t="str">
        <f aca="false">'Basis Options'!F336</f>
        <v>C</v>
      </c>
      <c r="O331" s="0" t="n">
        <f aca="false">'Basis Options'!I336</f>
        <v>5</v>
      </c>
      <c r="P331" s="0" t="n">
        <v>0</v>
      </c>
      <c r="Q331" s="0" t="n">
        <v>0</v>
      </c>
      <c r="R331" s="0" t="n">
        <v>0</v>
      </c>
      <c r="S331" s="0" t="n">
        <v>0</v>
      </c>
      <c r="T331" s="0" t="s">
        <v>624</v>
      </c>
      <c r="U331" s="0" t="str">
        <f aca="false">IF('Basis Options'!D336="NGI/CHI. GATE","""NGI/CHI. GATE""",TRIM('Basis Options'!D336))</f>
        <v>IF-TRANSCO/Z6</v>
      </c>
      <c r="V331" s="0" t="s">
        <v>624</v>
      </c>
      <c r="W331" s="0" t="s">
        <v>569</v>
      </c>
      <c r="X331" s="0" t="s">
        <v>624</v>
      </c>
      <c r="Y331" s="0" t="s">
        <v>627</v>
      </c>
      <c r="Z331" s="0" t="s">
        <v>629</v>
      </c>
      <c r="AA331" s="0" t="s">
        <v>624</v>
      </c>
      <c r="AB331" s="0" t="s">
        <v>132</v>
      </c>
      <c r="AC331" s="254" t="n">
        <f aca="false">'Basis Options'!H336</f>
        <v>-500000</v>
      </c>
      <c r="AD331" s="254" t="e">
        <f aca="false">'Basis Options'!W336</f>
        <v>#NAME?</v>
      </c>
      <c r="AE331" s="0" t="n">
        <v>0</v>
      </c>
      <c r="AF331" s="0" t="n">
        <v>0</v>
      </c>
      <c r="AG331" s="0" t="n">
        <v>0</v>
      </c>
      <c r="AH331" s="254" t="e">
        <f aca="false">'Basis Options'!CD336</f>
        <v>#NAME?</v>
      </c>
      <c r="AI331" s="0" t="n">
        <v>226</v>
      </c>
      <c r="AJ331" s="0" t="s">
        <v>630</v>
      </c>
      <c r="AK331" s="0" t="n">
        <v>0</v>
      </c>
      <c r="AL331" s="0" t="n">
        <v>0</v>
      </c>
      <c r="AM331" s="0" t="n">
        <v>0</v>
      </c>
    </row>
    <row r="332" customFormat="false" ht="12.75" hidden="false" customHeight="false" outlineLevel="0" collapsed="false">
      <c r="A332" s="0" t="s">
        <v>621</v>
      </c>
      <c r="B332" s="0" t="str">
        <f aca="false">'Basis Options'!C337</f>
        <v>NM4160.1</v>
      </c>
      <c r="C332" s="0" t="s">
        <v>622</v>
      </c>
      <c r="D332" s="0" t="s">
        <v>623</v>
      </c>
      <c r="E332" s="0" t="s">
        <v>131</v>
      </c>
      <c r="F332" s="0" t="str">
        <f aca="false">'Basis Options'!A337</f>
        <v>ELPASMER</v>
      </c>
      <c r="G332" s="0" t="s">
        <v>628</v>
      </c>
      <c r="H332" s="0" t="s">
        <v>625</v>
      </c>
      <c r="I332" s="0" t="s">
        <v>626</v>
      </c>
      <c r="J332" s="0" t="s">
        <v>627</v>
      </c>
      <c r="K332" s="475" t="n">
        <f aca="false">'Basis Options'!G337</f>
        <v>36892</v>
      </c>
      <c r="L332" s="254" t="e">
        <f aca="false">'Basis Options'!U337</f>
        <v>#NAME?</v>
      </c>
      <c r="M332" s="475" t="n">
        <f aca="false">'Basis Options'!Q337</f>
        <v>36888</v>
      </c>
      <c r="N332" s="0" t="str">
        <f aca="false">'Basis Options'!F337</f>
        <v>C</v>
      </c>
      <c r="O332" s="0" t="n">
        <f aca="false">'Basis Options'!I337</f>
        <v>5</v>
      </c>
      <c r="P332" s="0" t="n">
        <v>0</v>
      </c>
      <c r="Q332" s="0" t="n">
        <v>0</v>
      </c>
      <c r="R332" s="0" t="n">
        <v>0</v>
      </c>
      <c r="S332" s="0" t="n">
        <v>0</v>
      </c>
      <c r="T332" s="0" t="s">
        <v>624</v>
      </c>
      <c r="U332" s="0" t="str">
        <f aca="false">IF('Basis Options'!D337="NGI/CHI. GATE","""NGI/CHI. GATE""",TRIM('Basis Options'!D337))</f>
        <v>IF-TRANSCO/Z6</v>
      </c>
      <c r="V332" s="0" t="s">
        <v>624</v>
      </c>
      <c r="W332" s="0" t="s">
        <v>569</v>
      </c>
      <c r="X332" s="0" t="s">
        <v>624</v>
      </c>
      <c r="Y332" s="0" t="s">
        <v>627</v>
      </c>
      <c r="Z332" s="0" t="s">
        <v>629</v>
      </c>
      <c r="AA332" s="0" t="s">
        <v>624</v>
      </c>
      <c r="AB332" s="0" t="s">
        <v>132</v>
      </c>
      <c r="AC332" s="254" t="n">
        <f aca="false">'Basis Options'!H337</f>
        <v>-500000</v>
      </c>
      <c r="AD332" s="254" t="e">
        <f aca="false">'Basis Options'!W337</f>
        <v>#NAME?</v>
      </c>
      <c r="AE332" s="0" t="n">
        <v>0</v>
      </c>
      <c r="AF332" s="0" t="n">
        <v>0</v>
      </c>
      <c r="AG332" s="0" t="n">
        <v>0</v>
      </c>
      <c r="AH332" s="254" t="e">
        <f aca="false">'Basis Options'!CD337</f>
        <v>#NAME?</v>
      </c>
      <c r="AI332" s="0" t="n">
        <v>226</v>
      </c>
      <c r="AJ332" s="0" t="s">
        <v>630</v>
      </c>
      <c r="AK332" s="0" t="n">
        <v>0</v>
      </c>
      <c r="AL332" s="0" t="n">
        <v>0</v>
      </c>
      <c r="AM332" s="0" t="n">
        <v>0</v>
      </c>
    </row>
    <row r="333" customFormat="false" ht="12.75" hidden="false" customHeight="false" outlineLevel="0" collapsed="false">
      <c r="A333" s="0" t="s">
        <v>621</v>
      </c>
      <c r="B333" s="0" t="str">
        <f aca="false">'Basis Options'!C338</f>
        <v>NM4160.1</v>
      </c>
      <c r="C333" s="0" t="s">
        <v>622</v>
      </c>
      <c r="D333" s="0" t="s">
        <v>623</v>
      </c>
      <c r="E333" s="0" t="s">
        <v>131</v>
      </c>
      <c r="F333" s="0" t="str">
        <f aca="false">'Basis Options'!A338</f>
        <v>ELPASMER</v>
      </c>
      <c r="G333" s="0" t="s">
        <v>628</v>
      </c>
      <c r="H333" s="0" t="s">
        <v>625</v>
      </c>
      <c r="I333" s="0" t="s">
        <v>626</v>
      </c>
      <c r="J333" s="0" t="s">
        <v>627</v>
      </c>
      <c r="K333" s="475" t="n">
        <f aca="false">'Basis Options'!G338</f>
        <v>36861</v>
      </c>
      <c r="L333" s="254" t="e">
        <f aca="false">'Basis Options'!U338</f>
        <v>#NAME?</v>
      </c>
      <c r="M333" s="475" t="n">
        <f aca="false">'Basis Options'!Q338</f>
        <v>36859</v>
      </c>
      <c r="N333" s="0" t="str">
        <f aca="false">'Basis Options'!F338</f>
        <v>C</v>
      </c>
      <c r="O333" s="0" t="n">
        <f aca="false">'Basis Options'!I338</f>
        <v>5</v>
      </c>
      <c r="P333" s="0" t="n">
        <v>0</v>
      </c>
      <c r="Q333" s="0" t="n">
        <v>0</v>
      </c>
      <c r="R333" s="0" t="n">
        <v>0</v>
      </c>
      <c r="S333" s="0" t="n">
        <v>0</v>
      </c>
      <c r="T333" s="0" t="s">
        <v>624</v>
      </c>
      <c r="U333" s="0" t="str">
        <f aca="false">IF('Basis Options'!D338="NGI/CHI. GATE","""NGI/CHI. GATE""",TRIM('Basis Options'!D338))</f>
        <v>IF-TRANSCO/Z6</v>
      </c>
      <c r="V333" s="0" t="s">
        <v>624</v>
      </c>
      <c r="W333" s="0" t="s">
        <v>569</v>
      </c>
      <c r="X333" s="0" t="s">
        <v>624</v>
      </c>
      <c r="Y333" s="0" t="s">
        <v>627</v>
      </c>
      <c r="Z333" s="0" t="s">
        <v>629</v>
      </c>
      <c r="AA333" s="0" t="s">
        <v>624</v>
      </c>
      <c r="AB333" s="0" t="s">
        <v>132</v>
      </c>
      <c r="AC333" s="254" t="n">
        <f aca="false">'Basis Options'!H338</f>
        <v>-500000</v>
      </c>
      <c r="AD333" s="254" t="e">
        <f aca="false">'Basis Options'!W338</f>
        <v>#NAME?</v>
      </c>
      <c r="AE333" s="0" t="n">
        <v>0</v>
      </c>
      <c r="AF333" s="0" t="n">
        <v>0</v>
      </c>
      <c r="AG333" s="0" t="n">
        <v>0</v>
      </c>
      <c r="AH333" s="254" t="e">
        <f aca="false">'Basis Options'!CD338</f>
        <v>#NAME?</v>
      </c>
      <c r="AI333" s="0" t="n">
        <v>226</v>
      </c>
      <c r="AJ333" s="0" t="s">
        <v>630</v>
      </c>
      <c r="AK333" s="0" t="n">
        <v>0</v>
      </c>
      <c r="AL333" s="0" t="n">
        <v>0</v>
      </c>
      <c r="AM333" s="0" t="n">
        <v>0</v>
      </c>
    </row>
    <row r="334" customFormat="false" ht="12.75" hidden="false" customHeight="false" outlineLevel="0" collapsed="false">
      <c r="A334" s="0" t="s">
        <v>621</v>
      </c>
      <c r="B334" s="0" t="str">
        <f aca="false">'Basis Options'!C339</f>
        <v>NM4160.1</v>
      </c>
      <c r="C334" s="0" t="s">
        <v>622</v>
      </c>
      <c r="D334" s="0" t="s">
        <v>623</v>
      </c>
      <c r="E334" s="0" t="s">
        <v>131</v>
      </c>
      <c r="F334" s="0" t="str">
        <f aca="false">'Basis Options'!A339</f>
        <v>ELPASMER</v>
      </c>
      <c r="G334" s="0" t="s">
        <v>628</v>
      </c>
      <c r="H334" s="0" t="s">
        <v>625</v>
      </c>
      <c r="I334" s="0" t="s">
        <v>626</v>
      </c>
      <c r="J334" s="0" t="s">
        <v>627</v>
      </c>
      <c r="K334" s="475" t="n">
        <f aca="false">'Basis Options'!G339</f>
        <v>36831</v>
      </c>
      <c r="L334" s="254" t="e">
        <f aca="false">'Basis Options'!U339</f>
        <v>#NAME?</v>
      </c>
      <c r="M334" s="475" t="n">
        <f aca="false">'Basis Options'!Q339</f>
        <v>36829</v>
      </c>
      <c r="N334" s="0" t="str">
        <f aca="false">'Basis Options'!F339</f>
        <v>C</v>
      </c>
      <c r="O334" s="0" t="n">
        <f aca="false">'Basis Options'!I339</f>
        <v>5</v>
      </c>
      <c r="P334" s="0" t="n">
        <v>0</v>
      </c>
      <c r="Q334" s="0" t="n">
        <v>0</v>
      </c>
      <c r="R334" s="0" t="n">
        <v>0</v>
      </c>
      <c r="S334" s="0" t="n">
        <v>0</v>
      </c>
      <c r="T334" s="0" t="s">
        <v>624</v>
      </c>
      <c r="U334" s="0" t="str">
        <f aca="false">IF('Basis Options'!D339="NGI/CHI. GATE","""NGI/CHI. GATE""",TRIM('Basis Options'!D339))</f>
        <v>IF-TRANSCO/Z6</v>
      </c>
      <c r="V334" s="0" t="s">
        <v>624</v>
      </c>
      <c r="W334" s="0" t="s">
        <v>569</v>
      </c>
      <c r="X334" s="0" t="s">
        <v>624</v>
      </c>
      <c r="Y334" s="0" t="s">
        <v>627</v>
      </c>
      <c r="Z334" s="0" t="s">
        <v>629</v>
      </c>
      <c r="AA334" s="0" t="s">
        <v>624</v>
      </c>
      <c r="AB334" s="0" t="s">
        <v>132</v>
      </c>
      <c r="AC334" s="254" t="n">
        <f aca="false">'Basis Options'!H339</f>
        <v>-500000</v>
      </c>
      <c r="AD334" s="254" t="e">
        <f aca="false">'Basis Options'!W339</f>
        <v>#NAME?</v>
      </c>
      <c r="AE334" s="0" t="n">
        <v>0</v>
      </c>
      <c r="AF334" s="0" t="n">
        <v>0</v>
      </c>
      <c r="AG334" s="0" t="n">
        <v>0</v>
      </c>
      <c r="AH334" s="254" t="e">
        <f aca="false">'Basis Options'!CD339</f>
        <v>#NAME?</v>
      </c>
      <c r="AI334" s="0" t="n">
        <v>226</v>
      </c>
      <c r="AJ334" s="0" t="s">
        <v>630</v>
      </c>
      <c r="AK334" s="0" t="n">
        <v>0</v>
      </c>
      <c r="AL334" s="0" t="n">
        <v>0</v>
      </c>
      <c r="AM334" s="0" t="n">
        <v>0</v>
      </c>
    </row>
    <row r="335" customFormat="false" ht="12.75" hidden="false" customHeight="false" outlineLevel="0" collapsed="false">
      <c r="A335" s="0" t="s">
        <v>621</v>
      </c>
      <c r="B335" s="0" t="str">
        <f aca="false">'Basis Options'!C340</f>
        <v>NM4160.2</v>
      </c>
      <c r="C335" s="0" t="s">
        <v>622</v>
      </c>
      <c r="D335" s="0" t="s">
        <v>623</v>
      </c>
      <c r="E335" s="0" t="s">
        <v>131</v>
      </c>
      <c r="F335" s="0" t="str">
        <f aca="false">'Basis Options'!A340</f>
        <v>ELPASMER</v>
      </c>
      <c r="G335" s="0" t="s">
        <v>628</v>
      </c>
      <c r="H335" s="0" t="s">
        <v>625</v>
      </c>
      <c r="I335" s="0" t="s">
        <v>626</v>
      </c>
      <c r="J335" s="0" t="s">
        <v>627</v>
      </c>
      <c r="K335" s="475" t="n">
        <f aca="false">'Basis Options'!G340</f>
        <v>36982</v>
      </c>
      <c r="L335" s="254" t="e">
        <f aca="false">'Basis Options'!U340</f>
        <v>#NAME?</v>
      </c>
      <c r="M335" s="475" t="n">
        <f aca="false">'Basis Options'!Q340</f>
        <v>36979</v>
      </c>
      <c r="N335" s="0" t="str">
        <f aca="false">'Basis Options'!F340</f>
        <v>P</v>
      </c>
      <c r="O335" s="0" t="n">
        <f aca="false">'Basis Options'!I340</f>
        <v>0.4</v>
      </c>
      <c r="P335" s="0" t="n">
        <v>0</v>
      </c>
      <c r="Q335" s="0" t="n">
        <v>0</v>
      </c>
      <c r="R335" s="0" t="n">
        <v>0</v>
      </c>
      <c r="S335" s="0" t="n">
        <v>0</v>
      </c>
      <c r="T335" s="0" t="s">
        <v>624</v>
      </c>
      <c r="U335" s="0" t="str">
        <f aca="false">IF('Basis Options'!D340="NGI/CHI. GATE","""NGI/CHI. GATE""",TRIM('Basis Options'!D340))</f>
        <v>IF-TRANSCO/Z6</v>
      </c>
      <c r="V335" s="0" t="s">
        <v>624</v>
      </c>
      <c r="W335" s="0" t="s">
        <v>569</v>
      </c>
      <c r="X335" s="0" t="s">
        <v>624</v>
      </c>
      <c r="Y335" s="0" t="s">
        <v>627</v>
      </c>
      <c r="Z335" s="0" t="s">
        <v>629</v>
      </c>
      <c r="AA335" s="0" t="s">
        <v>624</v>
      </c>
      <c r="AB335" s="0" t="s">
        <v>132</v>
      </c>
      <c r="AC335" s="254" t="n">
        <f aca="false">'Basis Options'!H340</f>
        <v>-1000000</v>
      </c>
      <c r="AD335" s="254" t="e">
        <f aca="false">'Basis Options'!W340</f>
        <v>#NAME?</v>
      </c>
      <c r="AE335" s="0" t="n">
        <v>0</v>
      </c>
      <c r="AF335" s="0" t="n">
        <v>0</v>
      </c>
      <c r="AG335" s="0" t="n">
        <v>0</v>
      </c>
      <c r="AH335" s="254" t="e">
        <f aca="false">'Basis Options'!CD340</f>
        <v>#NAME?</v>
      </c>
      <c r="AI335" s="0" t="n">
        <v>226</v>
      </c>
      <c r="AJ335" s="0" t="s">
        <v>630</v>
      </c>
      <c r="AK335" s="0" t="n">
        <v>0</v>
      </c>
      <c r="AL335" s="0" t="n">
        <v>0</v>
      </c>
      <c r="AM335" s="0" t="n">
        <v>0</v>
      </c>
    </row>
    <row r="336" customFormat="false" ht="12.75" hidden="false" customHeight="false" outlineLevel="0" collapsed="false">
      <c r="A336" s="0" t="s">
        <v>621</v>
      </c>
      <c r="B336" s="0" t="str">
        <f aca="false">'Basis Options'!C341</f>
        <v>NM4160.3</v>
      </c>
      <c r="C336" s="0" t="s">
        <v>622</v>
      </c>
      <c r="D336" s="0" t="s">
        <v>623</v>
      </c>
      <c r="E336" s="0" t="s">
        <v>131</v>
      </c>
      <c r="F336" s="0" t="str">
        <f aca="false">'Basis Options'!A341</f>
        <v>ELPASMER</v>
      </c>
      <c r="G336" s="0" t="s">
        <v>628</v>
      </c>
      <c r="H336" s="0" t="s">
        <v>625</v>
      </c>
      <c r="I336" s="0" t="s">
        <v>626</v>
      </c>
      <c r="J336" s="0" t="s">
        <v>627</v>
      </c>
      <c r="K336" s="475" t="n">
        <f aca="false">'Basis Options'!G341</f>
        <v>36982</v>
      </c>
      <c r="L336" s="254" t="e">
        <f aca="false">'Basis Options'!U341</f>
        <v>#NAME?</v>
      </c>
      <c r="M336" s="475" t="n">
        <f aca="false">'Basis Options'!Q341</f>
        <v>36979</v>
      </c>
      <c r="N336" s="0" t="str">
        <f aca="false">'Basis Options'!F341</f>
        <v>C</v>
      </c>
      <c r="O336" s="0" t="n">
        <f aca="false">'Basis Options'!I341</f>
        <v>0.7</v>
      </c>
      <c r="P336" s="0" t="n">
        <v>0</v>
      </c>
      <c r="Q336" s="0" t="n">
        <v>0</v>
      </c>
      <c r="R336" s="0" t="n">
        <v>0</v>
      </c>
      <c r="S336" s="0" t="n">
        <v>0</v>
      </c>
      <c r="T336" s="0" t="s">
        <v>624</v>
      </c>
      <c r="U336" s="0" t="str">
        <f aca="false">IF('Basis Options'!D341="NGI/CHI. GATE","""NGI/CHI. GATE""",TRIM('Basis Options'!D341))</f>
        <v>IF-TRANSCO/Z6</v>
      </c>
      <c r="V336" s="0" t="s">
        <v>624</v>
      </c>
      <c r="W336" s="0" t="s">
        <v>569</v>
      </c>
      <c r="X336" s="0" t="s">
        <v>624</v>
      </c>
      <c r="Y336" s="0" t="s">
        <v>627</v>
      </c>
      <c r="Z336" s="0" t="s">
        <v>629</v>
      </c>
      <c r="AA336" s="0" t="s">
        <v>624</v>
      </c>
      <c r="AB336" s="0" t="s">
        <v>132</v>
      </c>
      <c r="AC336" s="254" t="n">
        <f aca="false">'Basis Options'!H341</f>
        <v>-1000000</v>
      </c>
      <c r="AD336" s="254" t="e">
        <f aca="false">'Basis Options'!W341</f>
        <v>#NAME?</v>
      </c>
      <c r="AE336" s="0" t="n">
        <v>0</v>
      </c>
      <c r="AF336" s="0" t="n">
        <v>0</v>
      </c>
      <c r="AG336" s="0" t="n">
        <v>0</v>
      </c>
      <c r="AH336" s="254" t="e">
        <f aca="false">'Basis Options'!CD341</f>
        <v>#NAME?</v>
      </c>
      <c r="AI336" s="0" t="n">
        <v>226</v>
      </c>
      <c r="AJ336" s="0" t="s">
        <v>630</v>
      </c>
      <c r="AK336" s="0" t="n">
        <v>0</v>
      </c>
      <c r="AL336" s="0" t="n">
        <v>0</v>
      </c>
      <c r="AM336" s="0" t="n">
        <v>0</v>
      </c>
    </row>
    <row r="337" customFormat="false" ht="12.75" hidden="false" customHeight="false" outlineLevel="0" collapsed="false">
      <c r="A337" s="0" t="s">
        <v>621</v>
      </c>
      <c r="B337" s="0" t="str">
        <f aca="false">'Basis Options'!C342</f>
        <v>NM6058.1</v>
      </c>
      <c r="C337" s="0" t="s">
        <v>622</v>
      </c>
      <c r="D337" s="0" t="s">
        <v>623</v>
      </c>
      <c r="E337" s="0" t="s">
        <v>131</v>
      </c>
      <c r="F337" s="0" t="str">
        <f aca="false">'Basis Options'!A342</f>
        <v>ELPASMER</v>
      </c>
      <c r="G337" s="0" t="s">
        <v>628</v>
      </c>
      <c r="H337" s="0" t="s">
        <v>625</v>
      </c>
      <c r="I337" s="0" t="s">
        <v>626</v>
      </c>
      <c r="J337" s="0" t="s">
        <v>627</v>
      </c>
      <c r="K337" s="475" t="n">
        <f aca="false">'Basis Options'!G342</f>
        <v>36951</v>
      </c>
      <c r="L337" s="254" t="e">
        <f aca="false">'Basis Options'!U342</f>
        <v>#NAME?</v>
      </c>
      <c r="M337" s="475" t="n">
        <f aca="false">'Basis Options'!Q342</f>
        <v>36949</v>
      </c>
      <c r="N337" s="0" t="str">
        <f aca="false">'Basis Options'!F342</f>
        <v>C</v>
      </c>
      <c r="O337" s="0" t="n">
        <f aca="false">'Basis Options'!I342</f>
        <v>1.6</v>
      </c>
      <c r="P337" s="0" t="n">
        <v>0</v>
      </c>
      <c r="Q337" s="0" t="n">
        <v>0</v>
      </c>
      <c r="R337" s="0" t="n">
        <v>0</v>
      </c>
      <c r="S337" s="0" t="n">
        <v>0</v>
      </c>
      <c r="T337" s="0" t="s">
        <v>624</v>
      </c>
      <c r="U337" s="0" t="str">
        <f aca="false">IF('Basis Options'!D342="NGI/CHI. GATE","""NGI/CHI. GATE""",TRIM('Basis Options'!D342))</f>
        <v>IF-TRANSCO/Z6</v>
      </c>
      <c r="V337" s="0" t="s">
        <v>624</v>
      </c>
      <c r="W337" s="0" t="s">
        <v>569</v>
      </c>
      <c r="X337" s="0" t="s">
        <v>624</v>
      </c>
      <c r="Y337" s="0" t="s">
        <v>627</v>
      </c>
      <c r="Z337" s="0" t="s">
        <v>629</v>
      </c>
      <c r="AA337" s="0" t="s">
        <v>624</v>
      </c>
      <c r="AB337" s="0" t="s">
        <v>132</v>
      </c>
      <c r="AC337" s="254" t="n">
        <f aca="false">'Basis Options'!H342</f>
        <v>-500000</v>
      </c>
      <c r="AD337" s="254" t="e">
        <f aca="false">'Basis Options'!W342</f>
        <v>#NAME?</v>
      </c>
      <c r="AE337" s="0" t="n">
        <v>0</v>
      </c>
      <c r="AF337" s="0" t="n">
        <v>0</v>
      </c>
      <c r="AG337" s="0" t="n">
        <v>0</v>
      </c>
      <c r="AH337" s="254" t="e">
        <f aca="false">'Basis Options'!CD342</f>
        <v>#NAME?</v>
      </c>
      <c r="AI337" s="0" t="n">
        <v>226</v>
      </c>
      <c r="AJ337" s="0" t="s">
        <v>630</v>
      </c>
      <c r="AK337" s="0" t="n">
        <v>0</v>
      </c>
      <c r="AL337" s="0" t="n">
        <v>0</v>
      </c>
      <c r="AM337" s="0" t="n">
        <v>0</v>
      </c>
    </row>
    <row r="338" customFormat="false" ht="12.75" hidden="false" customHeight="false" outlineLevel="0" collapsed="false">
      <c r="A338" s="0" t="s">
        <v>621</v>
      </c>
      <c r="B338" s="0" t="str">
        <f aca="false">'Basis Options'!C343</f>
        <v>NM6058.1</v>
      </c>
      <c r="C338" s="0" t="s">
        <v>622</v>
      </c>
      <c r="D338" s="0" t="s">
        <v>623</v>
      </c>
      <c r="E338" s="0" t="s">
        <v>131</v>
      </c>
      <c r="F338" s="0" t="str">
        <f aca="false">'Basis Options'!A343</f>
        <v>ELPASMER</v>
      </c>
      <c r="G338" s="0" t="s">
        <v>628</v>
      </c>
      <c r="H338" s="0" t="s">
        <v>625</v>
      </c>
      <c r="I338" s="0" t="s">
        <v>626</v>
      </c>
      <c r="J338" s="0" t="s">
        <v>627</v>
      </c>
      <c r="K338" s="475" t="n">
        <f aca="false">'Basis Options'!G343</f>
        <v>36923</v>
      </c>
      <c r="L338" s="254" t="e">
        <f aca="false">'Basis Options'!U343</f>
        <v>#NAME?</v>
      </c>
      <c r="M338" s="475" t="n">
        <f aca="false">'Basis Options'!Q343</f>
        <v>36921</v>
      </c>
      <c r="N338" s="0" t="str">
        <f aca="false">'Basis Options'!F343</f>
        <v>C</v>
      </c>
      <c r="O338" s="0" t="n">
        <f aca="false">'Basis Options'!I343</f>
        <v>1.6</v>
      </c>
      <c r="P338" s="0" t="n">
        <v>0</v>
      </c>
      <c r="Q338" s="0" t="n">
        <v>0</v>
      </c>
      <c r="R338" s="0" t="n">
        <v>0</v>
      </c>
      <c r="S338" s="0" t="n">
        <v>0</v>
      </c>
      <c r="T338" s="0" t="s">
        <v>624</v>
      </c>
      <c r="U338" s="0" t="str">
        <f aca="false">IF('Basis Options'!D343="NGI/CHI. GATE","""NGI/CHI. GATE""",TRIM('Basis Options'!D343))</f>
        <v>IF-TRANSCO/Z6</v>
      </c>
      <c r="V338" s="0" t="s">
        <v>624</v>
      </c>
      <c r="W338" s="0" t="s">
        <v>569</v>
      </c>
      <c r="X338" s="0" t="s">
        <v>624</v>
      </c>
      <c r="Y338" s="0" t="s">
        <v>627</v>
      </c>
      <c r="Z338" s="0" t="s">
        <v>629</v>
      </c>
      <c r="AA338" s="0" t="s">
        <v>624</v>
      </c>
      <c r="AB338" s="0" t="s">
        <v>132</v>
      </c>
      <c r="AC338" s="254" t="n">
        <f aca="false">'Basis Options'!H343</f>
        <v>-500000</v>
      </c>
      <c r="AD338" s="254" t="e">
        <f aca="false">'Basis Options'!W343</f>
        <v>#NAME?</v>
      </c>
      <c r="AE338" s="0" t="n">
        <v>0</v>
      </c>
      <c r="AF338" s="0" t="n">
        <v>0</v>
      </c>
      <c r="AG338" s="0" t="n">
        <v>0</v>
      </c>
      <c r="AH338" s="254" t="e">
        <f aca="false">'Basis Options'!CD343</f>
        <v>#NAME?</v>
      </c>
      <c r="AI338" s="0" t="n">
        <v>226</v>
      </c>
      <c r="AJ338" s="0" t="s">
        <v>630</v>
      </c>
      <c r="AK338" s="0" t="n">
        <v>0</v>
      </c>
      <c r="AL338" s="0" t="n">
        <v>0</v>
      </c>
      <c r="AM338" s="0" t="n">
        <v>0</v>
      </c>
    </row>
    <row r="339" customFormat="false" ht="12.75" hidden="false" customHeight="false" outlineLevel="0" collapsed="false">
      <c r="A339" s="0" t="s">
        <v>621</v>
      </c>
      <c r="B339" s="0" t="str">
        <f aca="false">'Basis Options'!C344</f>
        <v>NM6058.1</v>
      </c>
      <c r="C339" s="0" t="s">
        <v>622</v>
      </c>
      <c r="D339" s="0" t="s">
        <v>623</v>
      </c>
      <c r="E339" s="0" t="s">
        <v>131</v>
      </c>
      <c r="F339" s="0" t="str">
        <f aca="false">'Basis Options'!A344</f>
        <v>ELPASMER</v>
      </c>
      <c r="G339" s="0" t="s">
        <v>628</v>
      </c>
      <c r="H339" s="0" t="s">
        <v>625</v>
      </c>
      <c r="I339" s="0" t="s">
        <v>626</v>
      </c>
      <c r="J339" s="0" t="s">
        <v>627</v>
      </c>
      <c r="K339" s="475" t="n">
        <f aca="false">'Basis Options'!G344</f>
        <v>36892</v>
      </c>
      <c r="L339" s="254" t="e">
        <f aca="false">'Basis Options'!U344</f>
        <v>#NAME?</v>
      </c>
      <c r="M339" s="475" t="n">
        <f aca="false">'Basis Options'!Q344</f>
        <v>36888</v>
      </c>
      <c r="N339" s="0" t="str">
        <f aca="false">'Basis Options'!F344</f>
        <v>C</v>
      </c>
      <c r="O339" s="0" t="n">
        <f aca="false">'Basis Options'!I344</f>
        <v>1.6</v>
      </c>
      <c r="P339" s="0" t="n">
        <v>0</v>
      </c>
      <c r="Q339" s="0" t="n">
        <v>0</v>
      </c>
      <c r="R339" s="0" t="n">
        <v>0</v>
      </c>
      <c r="S339" s="0" t="n">
        <v>0</v>
      </c>
      <c r="T339" s="0" t="s">
        <v>624</v>
      </c>
      <c r="U339" s="0" t="str">
        <f aca="false">IF('Basis Options'!D344="NGI/CHI. GATE","""NGI/CHI. GATE""",TRIM('Basis Options'!D344))</f>
        <v>IF-TRANSCO/Z6</v>
      </c>
      <c r="V339" s="0" t="s">
        <v>624</v>
      </c>
      <c r="W339" s="0" t="s">
        <v>569</v>
      </c>
      <c r="X339" s="0" t="s">
        <v>624</v>
      </c>
      <c r="Y339" s="0" t="s">
        <v>627</v>
      </c>
      <c r="Z339" s="0" t="s">
        <v>629</v>
      </c>
      <c r="AA339" s="0" t="s">
        <v>624</v>
      </c>
      <c r="AB339" s="0" t="s">
        <v>132</v>
      </c>
      <c r="AC339" s="254" t="n">
        <f aca="false">'Basis Options'!H344</f>
        <v>-500000</v>
      </c>
      <c r="AD339" s="254" t="e">
        <f aca="false">'Basis Options'!W344</f>
        <v>#NAME?</v>
      </c>
      <c r="AE339" s="0" t="n">
        <v>0</v>
      </c>
      <c r="AF339" s="0" t="n">
        <v>0</v>
      </c>
      <c r="AG339" s="0" t="n">
        <v>0</v>
      </c>
      <c r="AH339" s="254" t="e">
        <f aca="false">'Basis Options'!CD344</f>
        <v>#NAME?</v>
      </c>
      <c r="AI339" s="0" t="n">
        <v>226</v>
      </c>
      <c r="AJ339" s="0" t="s">
        <v>630</v>
      </c>
      <c r="AK339" s="0" t="n">
        <v>0</v>
      </c>
      <c r="AL339" s="0" t="n">
        <v>0</v>
      </c>
      <c r="AM339" s="0" t="n">
        <v>0</v>
      </c>
    </row>
    <row r="340" customFormat="false" ht="12.75" hidden="false" customHeight="false" outlineLevel="0" collapsed="false">
      <c r="A340" s="0" t="s">
        <v>621</v>
      </c>
      <c r="B340" s="0" t="str">
        <f aca="false">'Basis Options'!C345</f>
        <v>NM6058.1</v>
      </c>
      <c r="C340" s="0" t="s">
        <v>622</v>
      </c>
      <c r="D340" s="0" t="s">
        <v>623</v>
      </c>
      <c r="E340" s="0" t="s">
        <v>131</v>
      </c>
      <c r="F340" s="0" t="str">
        <f aca="false">'Basis Options'!A345</f>
        <v>ELPASMER</v>
      </c>
      <c r="G340" s="0" t="s">
        <v>628</v>
      </c>
      <c r="H340" s="0" t="s">
        <v>625</v>
      </c>
      <c r="I340" s="0" t="s">
        <v>626</v>
      </c>
      <c r="J340" s="0" t="s">
        <v>627</v>
      </c>
      <c r="K340" s="475" t="n">
        <f aca="false">'Basis Options'!G345</f>
        <v>36861</v>
      </c>
      <c r="L340" s="254" t="e">
        <f aca="false">'Basis Options'!U345</f>
        <v>#NAME?</v>
      </c>
      <c r="M340" s="475" t="n">
        <f aca="false">'Basis Options'!Q345</f>
        <v>36859</v>
      </c>
      <c r="N340" s="0" t="str">
        <f aca="false">'Basis Options'!F345</f>
        <v>C</v>
      </c>
      <c r="O340" s="0" t="n">
        <f aca="false">'Basis Options'!I345</f>
        <v>1.6</v>
      </c>
      <c r="P340" s="0" t="n">
        <v>0</v>
      </c>
      <c r="Q340" s="0" t="n">
        <v>0</v>
      </c>
      <c r="R340" s="0" t="n">
        <v>0</v>
      </c>
      <c r="S340" s="0" t="n">
        <v>0</v>
      </c>
      <c r="T340" s="0" t="s">
        <v>624</v>
      </c>
      <c r="U340" s="0" t="str">
        <f aca="false">IF('Basis Options'!D345="NGI/CHI. GATE","""NGI/CHI. GATE""",TRIM('Basis Options'!D345))</f>
        <v>IF-TRANSCO/Z6</v>
      </c>
      <c r="V340" s="0" t="s">
        <v>624</v>
      </c>
      <c r="W340" s="0" t="s">
        <v>569</v>
      </c>
      <c r="X340" s="0" t="s">
        <v>624</v>
      </c>
      <c r="Y340" s="0" t="s">
        <v>627</v>
      </c>
      <c r="Z340" s="0" t="s">
        <v>629</v>
      </c>
      <c r="AA340" s="0" t="s">
        <v>624</v>
      </c>
      <c r="AB340" s="0" t="s">
        <v>132</v>
      </c>
      <c r="AC340" s="254" t="n">
        <f aca="false">'Basis Options'!H345</f>
        <v>-500000</v>
      </c>
      <c r="AD340" s="254" t="e">
        <f aca="false">'Basis Options'!W345</f>
        <v>#NAME?</v>
      </c>
      <c r="AE340" s="0" t="n">
        <v>0</v>
      </c>
      <c r="AF340" s="0" t="n">
        <v>0</v>
      </c>
      <c r="AG340" s="0" t="n">
        <v>0</v>
      </c>
      <c r="AH340" s="254" t="e">
        <f aca="false">'Basis Options'!CD345</f>
        <v>#NAME?</v>
      </c>
      <c r="AI340" s="0" t="n">
        <v>226</v>
      </c>
      <c r="AJ340" s="0" t="s">
        <v>630</v>
      </c>
      <c r="AK340" s="0" t="n">
        <v>0</v>
      </c>
      <c r="AL340" s="0" t="n">
        <v>0</v>
      </c>
      <c r="AM340" s="0" t="n">
        <v>0</v>
      </c>
    </row>
    <row r="341" customFormat="false" ht="12.75" hidden="false" customHeight="false" outlineLevel="0" collapsed="false">
      <c r="A341" s="0" t="s">
        <v>621</v>
      </c>
      <c r="B341" s="0" t="str">
        <f aca="false">'Basis Options'!C346</f>
        <v>NM6058.1</v>
      </c>
      <c r="C341" s="0" t="s">
        <v>622</v>
      </c>
      <c r="D341" s="0" t="s">
        <v>623</v>
      </c>
      <c r="E341" s="0" t="s">
        <v>131</v>
      </c>
      <c r="F341" s="0" t="str">
        <f aca="false">'Basis Options'!A346</f>
        <v>ELPASMER</v>
      </c>
      <c r="G341" s="0" t="s">
        <v>628</v>
      </c>
      <c r="H341" s="0" t="s">
        <v>625</v>
      </c>
      <c r="I341" s="0" t="s">
        <v>626</v>
      </c>
      <c r="J341" s="0" t="s">
        <v>627</v>
      </c>
      <c r="K341" s="475" t="n">
        <f aca="false">'Basis Options'!G346</f>
        <v>36831</v>
      </c>
      <c r="L341" s="254" t="e">
        <f aca="false">'Basis Options'!U346</f>
        <v>#NAME?</v>
      </c>
      <c r="M341" s="475" t="n">
        <f aca="false">'Basis Options'!Q346</f>
        <v>36829</v>
      </c>
      <c r="N341" s="0" t="str">
        <f aca="false">'Basis Options'!F346</f>
        <v>C</v>
      </c>
      <c r="O341" s="0" t="n">
        <f aca="false">'Basis Options'!I346</f>
        <v>1.6</v>
      </c>
      <c r="P341" s="0" t="n">
        <v>0</v>
      </c>
      <c r="Q341" s="0" t="n">
        <v>0</v>
      </c>
      <c r="R341" s="0" t="n">
        <v>0</v>
      </c>
      <c r="S341" s="0" t="n">
        <v>0</v>
      </c>
      <c r="T341" s="0" t="s">
        <v>624</v>
      </c>
      <c r="U341" s="0" t="str">
        <f aca="false">IF('Basis Options'!D346="NGI/CHI. GATE","""NGI/CHI. GATE""",TRIM('Basis Options'!D346))</f>
        <v>IF-TRANSCO/Z6</v>
      </c>
      <c r="V341" s="0" t="s">
        <v>624</v>
      </c>
      <c r="W341" s="0" t="s">
        <v>569</v>
      </c>
      <c r="X341" s="0" t="s">
        <v>624</v>
      </c>
      <c r="Y341" s="0" t="s">
        <v>627</v>
      </c>
      <c r="Z341" s="0" t="s">
        <v>629</v>
      </c>
      <c r="AA341" s="0" t="s">
        <v>624</v>
      </c>
      <c r="AB341" s="0" t="s">
        <v>132</v>
      </c>
      <c r="AC341" s="254" t="n">
        <f aca="false">'Basis Options'!H346</f>
        <v>-500000</v>
      </c>
      <c r="AD341" s="254" t="e">
        <f aca="false">'Basis Options'!W346</f>
        <v>#NAME?</v>
      </c>
      <c r="AE341" s="0" t="n">
        <v>0</v>
      </c>
      <c r="AF341" s="0" t="n">
        <v>0</v>
      </c>
      <c r="AG341" s="0" t="n">
        <v>0</v>
      </c>
      <c r="AH341" s="254" t="e">
        <f aca="false">'Basis Options'!CD346</f>
        <v>#NAME?</v>
      </c>
      <c r="AI341" s="0" t="n">
        <v>226</v>
      </c>
      <c r="AJ341" s="0" t="s">
        <v>630</v>
      </c>
      <c r="AK341" s="0" t="n">
        <v>0</v>
      </c>
      <c r="AL341" s="0" t="n">
        <v>0</v>
      </c>
      <c r="AM341" s="0" t="n">
        <v>0</v>
      </c>
    </row>
    <row r="342" customFormat="false" ht="12.75" hidden="false" customHeight="false" outlineLevel="0" collapsed="false">
      <c r="A342" s="0" t="s">
        <v>621</v>
      </c>
      <c r="B342" s="0" t="str">
        <f aca="false">'Basis Options'!C347</f>
        <v>NM6058.2</v>
      </c>
      <c r="C342" s="0" t="s">
        <v>622</v>
      </c>
      <c r="D342" s="0" t="s">
        <v>623</v>
      </c>
      <c r="E342" s="0" t="s">
        <v>131</v>
      </c>
      <c r="F342" s="0" t="str">
        <f aca="false">'Basis Options'!A347</f>
        <v>ELPASMER</v>
      </c>
      <c r="G342" s="0" t="s">
        <v>628</v>
      </c>
      <c r="H342" s="0" t="s">
        <v>625</v>
      </c>
      <c r="I342" s="0" t="s">
        <v>626</v>
      </c>
      <c r="J342" s="0" t="s">
        <v>627</v>
      </c>
      <c r="K342" s="475" t="n">
        <f aca="false">'Basis Options'!G347</f>
        <v>36951</v>
      </c>
      <c r="L342" s="254" t="e">
        <f aca="false">'Basis Options'!U347</f>
        <v>#NAME?</v>
      </c>
      <c r="M342" s="475" t="n">
        <f aca="false">'Basis Options'!Q347</f>
        <v>36949</v>
      </c>
      <c r="N342" s="0" t="str">
        <f aca="false">'Basis Options'!F347</f>
        <v>P</v>
      </c>
      <c r="O342" s="0" t="n">
        <f aca="false">'Basis Options'!I347</f>
        <v>1.6</v>
      </c>
      <c r="P342" s="0" t="n">
        <v>0</v>
      </c>
      <c r="Q342" s="0" t="n">
        <v>0</v>
      </c>
      <c r="R342" s="0" t="n">
        <v>0</v>
      </c>
      <c r="S342" s="0" t="n">
        <v>0</v>
      </c>
      <c r="T342" s="0" t="s">
        <v>624</v>
      </c>
      <c r="U342" s="0" t="str">
        <f aca="false">IF('Basis Options'!D347="NGI/CHI. GATE","""NGI/CHI. GATE""",TRIM('Basis Options'!D347))</f>
        <v>IF-TRANSCO/Z6</v>
      </c>
      <c r="V342" s="0" t="s">
        <v>624</v>
      </c>
      <c r="W342" s="0" t="s">
        <v>569</v>
      </c>
      <c r="X342" s="0" t="s">
        <v>624</v>
      </c>
      <c r="Y342" s="0" t="s">
        <v>627</v>
      </c>
      <c r="Z342" s="0" t="s">
        <v>629</v>
      </c>
      <c r="AA342" s="0" t="s">
        <v>624</v>
      </c>
      <c r="AB342" s="0" t="s">
        <v>132</v>
      </c>
      <c r="AC342" s="254" t="n">
        <f aca="false">'Basis Options'!H347</f>
        <v>-500000</v>
      </c>
      <c r="AD342" s="254" t="e">
        <f aca="false">'Basis Options'!W347</f>
        <v>#NAME?</v>
      </c>
      <c r="AE342" s="0" t="n">
        <v>0</v>
      </c>
      <c r="AF342" s="0" t="n">
        <v>0</v>
      </c>
      <c r="AG342" s="0" t="n">
        <v>0</v>
      </c>
      <c r="AH342" s="254" t="e">
        <f aca="false">'Basis Options'!CD347</f>
        <v>#NAME?</v>
      </c>
      <c r="AI342" s="0" t="n">
        <v>226</v>
      </c>
      <c r="AJ342" s="0" t="s">
        <v>630</v>
      </c>
      <c r="AK342" s="0" t="n">
        <v>0</v>
      </c>
      <c r="AL342" s="0" t="n">
        <v>0</v>
      </c>
      <c r="AM342" s="0" t="n">
        <v>0</v>
      </c>
    </row>
    <row r="343" customFormat="false" ht="12.75" hidden="false" customHeight="false" outlineLevel="0" collapsed="false">
      <c r="A343" s="0" t="s">
        <v>621</v>
      </c>
      <c r="B343" s="0" t="str">
        <f aca="false">'Basis Options'!C348</f>
        <v>NM6058.2</v>
      </c>
      <c r="C343" s="0" t="s">
        <v>622</v>
      </c>
      <c r="D343" s="0" t="s">
        <v>623</v>
      </c>
      <c r="E343" s="0" t="s">
        <v>131</v>
      </c>
      <c r="F343" s="0" t="str">
        <f aca="false">'Basis Options'!A348</f>
        <v>ELPASMER</v>
      </c>
      <c r="G343" s="0" t="s">
        <v>628</v>
      </c>
      <c r="H343" s="0" t="s">
        <v>625</v>
      </c>
      <c r="I343" s="0" t="s">
        <v>626</v>
      </c>
      <c r="J343" s="0" t="s">
        <v>627</v>
      </c>
      <c r="K343" s="475" t="n">
        <f aca="false">'Basis Options'!G348</f>
        <v>36923</v>
      </c>
      <c r="L343" s="254" t="e">
        <f aca="false">'Basis Options'!U348</f>
        <v>#NAME?</v>
      </c>
      <c r="M343" s="475" t="n">
        <f aca="false">'Basis Options'!Q348</f>
        <v>36921</v>
      </c>
      <c r="N343" s="0" t="str">
        <f aca="false">'Basis Options'!F348</f>
        <v>P</v>
      </c>
      <c r="O343" s="0" t="n">
        <f aca="false">'Basis Options'!I348</f>
        <v>1.6</v>
      </c>
      <c r="P343" s="0" t="n">
        <v>0</v>
      </c>
      <c r="Q343" s="0" t="n">
        <v>0</v>
      </c>
      <c r="R343" s="0" t="n">
        <v>0</v>
      </c>
      <c r="S343" s="0" t="n">
        <v>0</v>
      </c>
      <c r="T343" s="0" t="s">
        <v>624</v>
      </c>
      <c r="U343" s="0" t="str">
        <f aca="false">IF('Basis Options'!D348="NGI/CHI. GATE","""NGI/CHI. GATE""",TRIM('Basis Options'!D348))</f>
        <v>IF-TRANSCO/Z6</v>
      </c>
      <c r="V343" s="0" t="s">
        <v>624</v>
      </c>
      <c r="W343" s="0" t="s">
        <v>569</v>
      </c>
      <c r="X343" s="0" t="s">
        <v>624</v>
      </c>
      <c r="Y343" s="0" t="s">
        <v>627</v>
      </c>
      <c r="Z343" s="0" t="s">
        <v>629</v>
      </c>
      <c r="AA343" s="0" t="s">
        <v>624</v>
      </c>
      <c r="AB343" s="0" t="s">
        <v>132</v>
      </c>
      <c r="AC343" s="254" t="n">
        <f aca="false">'Basis Options'!H348</f>
        <v>-500000</v>
      </c>
      <c r="AD343" s="254" t="e">
        <f aca="false">'Basis Options'!W348</f>
        <v>#NAME?</v>
      </c>
      <c r="AE343" s="0" t="n">
        <v>0</v>
      </c>
      <c r="AF343" s="0" t="n">
        <v>0</v>
      </c>
      <c r="AG343" s="0" t="n">
        <v>0</v>
      </c>
      <c r="AH343" s="254" t="e">
        <f aca="false">'Basis Options'!CD348</f>
        <v>#NAME?</v>
      </c>
      <c r="AI343" s="0" t="n">
        <v>226</v>
      </c>
      <c r="AJ343" s="0" t="s">
        <v>630</v>
      </c>
      <c r="AK343" s="0" t="n">
        <v>0</v>
      </c>
      <c r="AL343" s="0" t="n">
        <v>0</v>
      </c>
      <c r="AM343" s="0" t="n">
        <v>0</v>
      </c>
    </row>
    <row r="344" customFormat="false" ht="12.75" hidden="false" customHeight="false" outlineLevel="0" collapsed="false">
      <c r="A344" s="0" t="s">
        <v>621</v>
      </c>
      <c r="B344" s="0" t="str">
        <f aca="false">'Basis Options'!C349</f>
        <v>NM6058.2</v>
      </c>
      <c r="C344" s="0" t="s">
        <v>622</v>
      </c>
      <c r="D344" s="0" t="s">
        <v>623</v>
      </c>
      <c r="E344" s="0" t="s">
        <v>131</v>
      </c>
      <c r="F344" s="0" t="str">
        <f aca="false">'Basis Options'!A349</f>
        <v>ELPASMER</v>
      </c>
      <c r="G344" s="0" t="s">
        <v>628</v>
      </c>
      <c r="H344" s="0" t="s">
        <v>625</v>
      </c>
      <c r="I344" s="0" t="s">
        <v>626</v>
      </c>
      <c r="J344" s="0" t="s">
        <v>627</v>
      </c>
      <c r="K344" s="475" t="n">
        <f aca="false">'Basis Options'!G349</f>
        <v>36892</v>
      </c>
      <c r="L344" s="254" t="e">
        <f aca="false">'Basis Options'!U349</f>
        <v>#NAME?</v>
      </c>
      <c r="M344" s="475" t="n">
        <f aca="false">'Basis Options'!Q349</f>
        <v>36888</v>
      </c>
      <c r="N344" s="0" t="str">
        <f aca="false">'Basis Options'!F349</f>
        <v>P</v>
      </c>
      <c r="O344" s="0" t="n">
        <f aca="false">'Basis Options'!I349</f>
        <v>1.6</v>
      </c>
      <c r="P344" s="0" t="n">
        <v>0</v>
      </c>
      <c r="Q344" s="0" t="n">
        <v>0</v>
      </c>
      <c r="R344" s="0" t="n">
        <v>0</v>
      </c>
      <c r="S344" s="0" t="n">
        <v>0</v>
      </c>
      <c r="T344" s="0" t="s">
        <v>624</v>
      </c>
      <c r="U344" s="0" t="str">
        <f aca="false">IF('Basis Options'!D349="NGI/CHI. GATE","""NGI/CHI. GATE""",TRIM('Basis Options'!D349))</f>
        <v>IF-TRANSCO/Z6</v>
      </c>
      <c r="V344" s="0" t="s">
        <v>624</v>
      </c>
      <c r="W344" s="0" t="s">
        <v>569</v>
      </c>
      <c r="X344" s="0" t="s">
        <v>624</v>
      </c>
      <c r="Y344" s="0" t="s">
        <v>627</v>
      </c>
      <c r="Z344" s="0" t="s">
        <v>629</v>
      </c>
      <c r="AA344" s="0" t="s">
        <v>624</v>
      </c>
      <c r="AB344" s="0" t="s">
        <v>132</v>
      </c>
      <c r="AC344" s="254" t="n">
        <f aca="false">'Basis Options'!H349</f>
        <v>-500000</v>
      </c>
      <c r="AD344" s="254" t="e">
        <f aca="false">'Basis Options'!W349</f>
        <v>#NAME?</v>
      </c>
      <c r="AE344" s="0" t="n">
        <v>0</v>
      </c>
      <c r="AF344" s="0" t="n">
        <v>0</v>
      </c>
      <c r="AG344" s="0" t="n">
        <v>0</v>
      </c>
      <c r="AH344" s="254" t="e">
        <f aca="false">'Basis Options'!CD349</f>
        <v>#NAME?</v>
      </c>
      <c r="AI344" s="0" t="n">
        <v>226</v>
      </c>
      <c r="AJ344" s="0" t="s">
        <v>630</v>
      </c>
      <c r="AK344" s="0" t="n">
        <v>0</v>
      </c>
      <c r="AL344" s="0" t="n">
        <v>0</v>
      </c>
      <c r="AM344" s="0" t="n">
        <v>0</v>
      </c>
    </row>
    <row r="345" customFormat="false" ht="12.75" hidden="false" customHeight="false" outlineLevel="0" collapsed="false">
      <c r="A345" s="0" t="s">
        <v>621</v>
      </c>
      <c r="B345" s="0" t="str">
        <f aca="false">'Basis Options'!C350</f>
        <v>NM6058.2</v>
      </c>
      <c r="C345" s="0" t="s">
        <v>622</v>
      </c>
      <c r="D345" s="0" t="s">
        <v>623</v>
      </c>
      <c r="E345" s="0" t="s">
        <v>131</v>
      </c>
      <c r="F345" s="0" t="str">
        <f aca="false">'Basis Options'!A350</f>
        <v>ELPASMER</v>
      </c>
      <c r="G345" s="0" t="s">
        <v>628</v>
      </c>
      <c r="H345" s="0" t="s">
        <v>625</v>
      </c>
      <c r="I345" s="0" t="s">
        <v>626</v>
      </c>
      <c r="J345" s="0" t="s">
        <v>627</v>
      </c>
      <c r="K345" s="475" t="n">
        <f aca="false">'Basis Options'!G350</f>
        <v>36861</v>
      </c>
      <c r="L345" s="254" t="e">
        <f aca="false">'Basis Options'!U350</f>
        <v>#NAME?</v>
      </c>
      <c r="M345" s="475" t="n">
        <f aca="false">'Basis Options'!Q350</f>
        <v>36859</v>
      </c>
      <c r="N345" s="0" t="str">
        <f aca="false">'Basis Options'!F350</f>
        <v>P</v>
      </c>
      <c r="O345" s="0" t="n">
        <f aca="false">'Basis Options'!I350</f>
        <v>1.6</v>
      </c>
      <c r="P345" s="0" t="n">
        <v>0</v>
      </c>
      <c r="Q345" s="0" t="n">
        <v>0</v>
      </c>
      <c r="R345" s="0" t="n">
        <v>0</v>
      </c>
      <c r="S345" s="0" t="n">
        <v>0</v>
      </c>
      <c r="T345" s="0" t="s">
        <v>624</v>
      </c>
      <c r="U345" s="0" t="str">
        <f aca="false">IF('Basis Options'!D350="NGI/CHI. GATE","""NGI/CHI. GATE""",TRIM('Basis Options'!D350))</f>
        <v>IF-TRANSCO/Z6</v>
      </c>
      <c r="V345" s="0" t="s">
        <v>624</v>
      </c>
      <c r="W345" s="0" t="s">
        <v>569</v>
      </c>
      <c r="X345" s="0" t="s">
        <v>624</v>
      </c>
      <c r="Y345" s="0" t="s">
        <v>627</v>
      </c>
      <c r="Z345" s="0" t="s">
        <v>629</v>
      </c>
      <c r="AA345" s="0" t="s">
        <v>624</v>
      </c>
      <c r="AB345" s="0" t="s">
        <v>132</v>
      </c>
      <c r="AC345" s="254" t="n">
        <f aca="false">'Basis Options'!H350</f>
        <v>-500000</v>
      </c>
      <c r="AD345" s="254" t="e">
        <f aca="false">'Basis Options'!W350</f>
        <v>#NAME?</v>
      </c>
      <c r="AE345" s="0" t="n">
        <v>0</v>
      </c>
      <c r="AF345" s="0" t="n">
        <v>0</v>
      </c>
      <c r="AG345" s="0" t="n">
        <v>0</v>
      </c>
      <c r="AH345" s="254" t="e">
        <f aca="false">'Basis Options'!CD350</f>
        <v>#NAME?</v>
      </c>
      <c r="AI345" s="0" t="n">
        <v>226</v>
      </c>
      <c r="AJ345" s="0" t="s">
        <v>630</v>
      </c>
      <c r="AK345" s="0" t="n">
        <v>0</v>
      </c>
      <c r="AL345" s="0" t="n">
        <v>0</v>
      </c>
      <c r="AM345" s="0" t="n">
        <v>0</v>
      </c>
    </row>
    <row r="346" customFormat="false" ht="12.75" hidden="false" customHeight="false" outlineLevel="0" collapsed="false">
      <c r="A346" s="0" t="s">
        <v>621</v>
      </c>
      <c r="B346" s="0" t="str">
        <f aca="false">'Basis Options'!C351</f>
        <v>NM6058.2</v>
      </c>
      <c r="C346" s="0" t="s">
        <v>622</v>
      </c>
      <c r="D346" s="0" t="s">
        <v>623</v>
      </c>
      <c r="E346" s="0" t="s">
        <v>131</v>
      </c>
      <c r="F346" s="0" t="str">
        <f aca="false">'Basis Options'!A351</f>
        <v>ELPASMER</v>
      </c>
      <c r="G346" s="0" t="s">
        <v>628</v>
      </c>
      <c r="H346" s="0" t="s">
        <v>625</v>
      </c>
      <c r="I346" s="0" t="s">
        <v>626</v>
      </c>
      <c r="J346" s="0" t="s">
        <v>627</v>
      </c>
      <c r="K346" s="475" t="n">
        <f aca="false">'Basis Options'!G351</f>
        <v>36831</v>
      </c>
      <c r="L346" s="254" t="e">
        <f aca="false">'Basis Options'!U351</f>
        <v>#NAME?</v>
      </c>
      <c r="M346" s="475" t="n">
        <f aca="false">'Basis Options'!Q351</f>
        <v>36829</v>
      </c>
      <c r="N346" s="0" t="str">
        <f aca="false">'Basis Options'!F351</f>
        <v>P</v>
      </c>
      <c r="O346" s="0" t="n">
        <f aca="false">'Basis Options'!I351</f>
        <v>1.6</v>
      </c>
      <c r="P346" s="0" t="n">
        <v>0</v>
      </c>
      <c r="Q346" s="0" t="n">
        <v>0</v>
      </c>
      <c r="R346" s="0" t="n">
        <v>0</v>
      </c>
      <c r="S346" s="0" t="n">
        <v>0</v>
      </c>
      <c r="T346" s="0" t="s">
        <v>624</v>
      </c>
      <c r="U346" s="0" t="str">
        <f aca="false">IF('Basis Options'!D351="NGI/CHI. GATE","""NGI/CHI. GATE""",TRIM('Basis Options'!D351))</f>
        <v>IF-TRANSCO/Z6</v>
      </c>
      <c r="V346" s="0" t="s">
        <v>624</v>
      </c>
      <c r="W346" s="0" t="s">
        <v>569</v>
      </c>
      <c r="X346" s="0" t="s">
        <v>624</v>
      </c>
      <c r="Y346" s="0" t="s">
        <v>627</v>
      </c>
      <c r="Z346" s="0" t="s">
        <v>629</v>
      </c>
      <c r="AA346" s="0" t="s">
        <v>624</v>
      </c>
      <c r="AB346" s="0" t="s">
        <v>132</v>
      </c>
      <c r="AC346" s="254" t="n">
        <f aca="false">'Basis Options'!H351</f>
        <v>-500000</v>
      </c>
      <c r="AD346" s="254" t="e">
        <f aca="false">'Basis Options'!W351</f>
        <v>#NAME?</v>
      </c>
      <c r="AE346" s="0" t="n">
        <v>0</v>
      </c>
      <c r="AF346" s="0" t="n">
        <v>0</v>
      </c>
      <c r="AG346" s="0" t="n">
        <v>0</v>
      </c>
      <c r="AH346" s="254" t="e">
        <f aca="false">'Basis Options'!CD351</f>
        <v>#NAME?</v>
      </c>
      <c r="AI346" s="0" t="n">
        <v>226</v>
      </c>
      <c r="AJ346" s="0" t="s">
        <v>630</v>
      </c>
      <c r="AK346" s="0" t="n">
        <v>0</v>
      </c>
      <c r="AL346" s="0" t="n">
        <v>0</v>
      </c>
      <c r="AM346" s="0" t="n">
        <v>0</v>
      </c>
    </row>
    <row r="347" customFormat="false" ht="12.75" hidden="false" customHeight="false" outlineLevel="0" collapsed="false">
      <c r="A347" s="0" t="s">
        <v>621</v>
      </c>
      <c r="B347" s="0" t="str">
        <f aca="false">'Basis Options'!C352</f>
        <v>NM6058.3</v>
      </c>
      <c r="C347" s="0" t="s">
        <v>622</v>
      </c>
      <c r="D347" s="0" t="s">
        <v>623</v>
      </c>
      <c r="E347" s="0" t="s">
        <v>131</v>
      </c>
      <c r="F347" s="0" t="str">
        <f aca="false">'Basis Options'!A352</f>
        <v>ELPASMER</v>
      </c>
      <c r="G347" s="0" t="s">
        <v>628</v>
      </c>
      <c r="H347" s="0" t="s">
        <v>625</v>
      </c>
      <c r="I347" s="0" t="s">
        <v>626</v>
      </c>
      <c r="J347" s="0" t="s">
        <v>627</v>
      </c>
      <c r="K347" s="475" t="n">
        <f aca="false">'Basis Options'!G352</f>
        <v>36923</v>
      </c>
      <c r="L347" s="254" t="e">
        <f aca="false">'Basis Options'!U352</f>
        <v>#NAME?</v>
      </c>
      <c r="M347" s="475" t="n">
        <f aca="false">'Basis Options'!Q352</f>
        <v>36921</v>
      </c>
      <c r="N347" s="0" t="str">
        <f aca="false">'Basis Options'!F352</f>
        <v>C</v>
      </c>
      <c r="O347" s="0" t="n">
        <f aca="false">'Basis Options'!I352</f>
        <v>2.5</v>
      </c>
      <c r="P347" s="0" t="n">
        <v>0</v>
      </c>
      <c r="Q347" s="0" t="n">
        <v>0</v>
      </c>
      <c r="R347" s="0" t="n">
        <v>0</v>
      </c>
      <c r="S347" s="0" t="n">
        <v>0</v>
      </c>
      <c r="T347" s="0" t="s">
        <v>624</v>
      </c>
      <c r="U347" s="0" t="str">
        <f aca="false">IF('Basis Options'!D352="NGI/CHI. GATE","""NGI/CHI. GATE""",TRIM('Basis Options'!D352))</f>
        <v>IF-TRANSCO/Z6</v>
      </c>
      <c r="V347" s="0" t="s">
        <v>624</v>
      </c>
      <c r="W347" s="0" t="s">
        <v>569</v>
      </c>
      <c r="X347" s="0" t="s">
        <v>624</v>
      </c>
      <c r="Y347" s="0" t="s">
        <v>627</v>
      </c>
      <c r="Z347" s="0" t="s">
        <v>629</v>
      </c>
      <c r="AA347" s="0" t="s">
        <v>624</v>
      </c>
      <c r="AB347" s="0" t="s">
        <v>132</v>
      </c>
      <c r="AC347" s="254" t="n">
        <f aca="false">'Basis Options'!H352</f>
        <v>-500000</v>
      </c>
      <c r="AD347" s="254" t="e">
        <f aca="false">'Basis Options'!W352</f>
        <v>#NAME?</v>
      </c>
      <c r="AE347" s="0" t="n">
        <v>0</v>
      </c>
      <c r="AF347" s="0" t="n">
        <v>0</v>
      </c>
      <c r="AG347" s="0" t="n">
        <v>0</v>
      </c>
      <c r="AH347" s="254" t="e">
        <f aca="false">'Basis Options'!CD352</f>
        <v>#NAME?</v>
      </c>
      <c r="AI347" s="0" t="n">
        <v>226</v>
      </c>
      <c r="AJ347" s="0" t="s">
        <v>630</v>
      </c>
      <c r="AK347" s="0" t="n">
        <v>0</v>
      </c>
      <c r="AL347" s="0" t="n">
        <v>0</v>
      </c>
      <c r="AM347" s="0" t="n">
        <v>0</v>
      </c>
    </row>
    <row r="348" customFormat="false" ht="12.75" hidden="false" customHeight="false" outlineLevel="0" collapsed="false">
      <c r="A348" s="0" t="s">
        <v>621</v>
      </c>
      <c r="B348" s="0" t="str">
        <f aca="false">'Basis Options'!C353</f>
        <v>NM6058.3</v>
      </c>
      <c r="C348" s="0" t="s">
        <v>622</v>
      </c>
      <c r="D348" s="0" t="s">
        <v>623</v>
      </c>
      <c r="E348" s="0" t="s">
        <v>131</v>
      </c>
      <c r="F348" s="0" t="str">
        <f aca="false">'Basis Options'!A353</f>
        <v>ELPASMER</v>
      </c>
      <c r="G348" s="0" t="s">
        <v>628</v>
      </c>
      <c r="H348" s="0" t="s">
        <v>625</v>
      </c>
      <c r="I348" s="0" t="s">
        <v>626</v>
      </c>
      <c r="J348" s="0" t="s">
        <v>627</v>
      </c>
      <c r="K348" s="475" t="n">
        <f aca="false">'Basis Options'!G353</f>
        <v>36892</v>
      </c>
      <c r="L348" s="254" t="e">
        <f aca="false">'Basis Options'!U353</f>
        <v>#NAME?</v>
      </c>
      <c r="M348" s="475" t="n">
        <f aca="false">'Basis Options'!Q353</f>
        <v>36888</v>
      </c>
      <c r="N348" s="0" t="str">
        <f aca="false">'Basis Options'!F353</f>
        <v>C</v>
      </c>
      <c r="O348" s="0" t="n">
        <f aca="false">'Basis Options'!I353</f>
        <v>2.5</v>
      </c>
      <c r="P348" s="0" t="n">
        <v>0</v>
      </c>
      <c r="Q348" s="0" t="n">
        <v>0</v>
      </c>
      <c r="R348" s="0" t="n">
        <v>0</v>
      </c>
      <c r="S348" s="0" t="n">
        <v>0</v>
      </c>
      <c r="T348" s="0" t="s">
        <v>624</v>
      </c>
      <c r="U348" s="0" t="str">
        <f aca="false">IF('Basis Options'!D353="NGI/CHI. GATE","""NGI/CHI. GATE""",TRIM('Basis Options'!D353))</f>
        <v>IF-TRANSCO/Z6</v>
      </c>
      <c r="V348" s="0" t="s">
        <v>624</v>
      </c>
      <c r="W348" s="0" t="s">
        <v>569</v>
      </c>
      <c r="X348" s="0" t="s">
        <v>624</v>
      </c>
      <c r="Y348" s="0" t="s">
        <v>627</v>
      </c>
      <c r="Z348" s="0" t="s">
        <v>629</v>
      </c>
      <c r="AA348" s="0" t="s">
        <v>624</v>
      </c>
      <c r="AB348" s="0" t="s">
        <v>132</v>
      </c>
      <c r="AC348" s="254" t="n">
        <f aca="false">'Basis Options'!H353</f>
        <v>-500000</v>
      </c>
      <c r="AD348" s="254" t="e">
        <f aca="false">'Basis Options'!W353</f>
        <v>#NAME?</v>
      </c>
      <c r="AE348" s="0" t="n">
        <v>0</v>
      </c>
      <c r="AF348" s="0" t="n">
        <v>0</v>
      </c>
      <c r="AG348" s="0" t="n">
        <v>0</v>
      </c>
      <c r="AH348" s="254" t="e">
        <f aca="false">'Basis Options'!CD353</f>
        <v>#NAME?</v>
      </c>
      <c r="AI348" s="0" t="n">
        <v>226</v>
      </c>
      <c r="AJ348" s="0" t="s">
        <v>630</v>
      </c>
      <c r="AK348" s="0" t="n">
        <v>0</v>
      </c>
      <c r="AL348" s="0" t="n">
        <v>0</v>
      </c>
      <c r="AM348" s="0" t="n">
        <v>0</v>
      </c>
    </row>
    <row r="349" customFormat="false" ht="12.75" hidden="false" customHeight="false" outlineLevel="0" collapsed="false">
      <c r="A349" s="0" t="s">
        <v>621</v>
      </c>
      <c r="B349" s="0" t="str">
        <f aca="false">'Basis Options'!C354</f>
        <v>NM6058.3</v>
      </c>
      <c r="C349" s="0" t="s">
        <v>622</v>
      </c>
      <c r="D349" s="0" t="s">
        <v>623</v>
      </c>
      <c r="E349" s="0" t="s">
        <v>131</v>
      </c>
      <c r="F349" s="0" t="str">
        <f aca="false">'Basis Options'!A354</f>
        <v>ELPASMER</v>
      </c>
      <c r="G349" s="0" t="s">
        <v>628</v>
      </c>
      <c r="H349" s="0" t="s">
        <v>625</v>
      </c>
      <c r="I349" s="0" t="s">
        <v>626</v>
      </c>
      <c r="J349" s="0" t="s">
        <v>627</v>
      </c>
      <c r="K349" s="475" t="n">
        <f aca="false">'Basis Options'!G354</f>
        <v>36861</v>
      </c>
      <c r="L349" s="254" t="e">
        <f aca="false">'Basis Options'!U354</f>
        <v>#NAME?</v>
      </c>
      <c r="M349" s="475" t="n">
        <f aca="false">'Basis Options'!Q354</f>
        <v>36859</v>
      </c>
      <c r="N349" s="0" t="str">
        <f aca="false">'Basis Options'!F354</f>
        <v>C</v>
      </c>
      <c r="O349" s="0" t="n">
        <f aca="false">'Basis Options'!I354</f>
        <v>2.5</v>
      </c>
      <c r="P349" s="0" t="n">
        <v>0</v>
      </c>
      <c r="Q349" s="0" t="n">
        <v>0</v>
      </c>
      <c r="R349" s="0" t="n">
        <v>0</v>
      </c>
      <c r="S349" s="0" t="n">
        <v>0</v>
      </c>
      <c r="T349" s="0" t="s">
        <v>624</v>
      </c>
      <c r="U349" s="0" t="str">
        <f aca="false">IF('Basis Options'!D354="NGI/CHI. GATE","""NGI/CHI. GATE""",TRIM('Basis Options'!D354))</f>
        <v>IF-TRANSCO/Z6</v>
      </c>
      <c r="V349" s="0" t="s">
        <v>624</v>
      </c>
      <c r="W349" s="0" t="s">
        <v>569</v>
      </c>
      <c r="X349" s="0" t="s">
        <v>624</v>
      </c>
      <c r="Y349" s="0" t="s">
        <v>627</v>
      </c>
      <c r="Z349" s="0" t="s">
        <v>629</v>
      </c>
      <c r="AA349" s="0" t="s">
        <v>624</v>
      </c>
      <c r="AB349" s="0" t="s">
        <v>132</v>
      </c>
      <c r="AC349" s="254" t="n">
        <f aca="false">'Basis Options'!H354</f>
        <v>-500000</v>
      </c>
      <c r="AD349" s="254" t="e">
        <f aca="false">'Basis Options'!W354</f>
        <v>#NAME?</v>
      </c>
      <c r="AE349" s="0" t="n">
        <v>0</v>
      </c>
      <c r="AF349" s="0" t="n">
        <v>0</v>
      </c>
      <c r="AG349" s="0" t="n">
        <v>0</v>
      </c>
      <c r="AH349" s="254" t="e">
        <f aca="false">'Basis Options'!CD354</f>
        <v>#NAME?</v>
      </c>
      <c r="AI349" s="0" t="n">
        <v>226</v>
      </c>
      <c r="AJ349" s="0" t="s">
        <v>630</v>
      </c>
      <c r="AK349" s="0" t="n">
        <v>0</v>
      </c>
      <c r="AL349" s="0" t="n">
        <v>0</v>
      </c>
      <c r="AM349" s="0" t="n">
        <v>0</v>
      </c>
    </row>
    <row r="350" customFormat="false" ht="12.75" hidden="false" customHeight="false" outlineLevel="0" collapsed="false">
      <c r="A350" s="0" t="s">
        <v>621</v>
      </c>
      <c r="B350" s="0" t="str">
        <f aca="false">'Basis Options'!C355</f>
        <v>NM6058.4</v>
      </c>
      <c r="C350" s="0" t="s">
        <v>622</v>
      </c>
      <c r="D350" s="0" t="s">
        <v>623</v>
      </c>
      <c r="E350" s="0" t="s">
        <v>131</v>
      </c>
      <c r="F350" s="0" t="str">
        <f aca="false">'Basis Options'!A355</f>
        <v>ELPASMER</v>
      </c>
      <c r="G350" s="0" t="s">
        <v>628</v>
      </c>
      <c r="H350" s="0" t="s">
        <v>625</v>
      </c>
      <c r="I350" s="0" t="s">
        <v>626</v>
      </c>
      <c r="J350" s="0" t="s">
        <v>627</v>
      </c>
      <c r="K350" s="475" t="n">
        <f aca="false">'Basis Options'!G355</f>
        <v>36951</v>
      </c>
      <c r="L350" s="254" t="e">
        <f aca="false">'Basis Options'!U355</f>
        <v>#NAME?</v>
      </c>
      <c r="M350" s="475" t="n">
        <f aca="false">'Basis Options'!Q355</f>
        <v>36949</v>
      </c>
      <c r="N350" s="0" t="str">
        <f aca="false">'Basis Options'!F355</f>
        <v>P</v>
      </c>
      <c r="O350" s="0" t="n">
        <f aca="false">'Basis Options'!I355</f>
        <v>0.75</v>
      </c>
      <c r="P350" s="0" t="n">
        <v>0</v>
      </c>
      <c r="Q350" s="0" t="n">
        <v>0</v>
      </c>
      <c r="R350" s="0" t="n">
        <v>0</v>
      </c>
      <c r="S350" s="0" t="n">
        <v>0</v>
      </c>
      <c r="T350" s="0" t="s">
        <v>624</v>
      </c>
      <c r="U350" s="0" t="str">
        <f aca="false">IF('Basis Options'!D355="NGI/CHI. GATE","""NGI/CHI. GATE""",TRIM('Basis Options'!D355))</f>
        <v>IF-TRANSCO/Z6</v>
      </c>
      <c r="V350" s="0" t="s">
        <v>624</v>
      </c>
      <c r="W350" s="0" t="s">
        <v>569</v>
      </c>
      <c r="X350" s="0" t="s">
        <v>624</v>
      </c>
      <c r="Y350" s="0" t="s">
        <v>627</v>
      </c>
      <c r="Z350" s="0" t="s">
        <v>629</v>
      </c>
      <c r="AA350" s="0" t="s">
        <v>624</v>
      </c>
      <c r="AB350" s="0" t="s">
        <v>132</v>
      </c>
      <c r="AC350" s="254" t="n">
        <f aca="false">'Basis Options'!H355</f>
        <v>500000</v>
      </c>
      <c r="AD350" s="254" t="e">
        <f aca="false">'Basis Options'!W355</f>
        <v>#NAME?</v>
      </c>
      <c r="AE350" s="0" t="n">
        <v>0</v>
      </c>
      <c r="AF350" s="0" t="n">
        <v>0</v>
      </c>
      <c r="AG350" s="0" t="n">
        <v>0</v>
      </c>
      <c r="AH350" s="254" t="e">
        <f aca="false">'Basis Options'!CD355</f>
        <v>#NAME?</v>
      </c>
      <c r="AI350" s="0" t="n">
        <v>226</v>
      </c>
      <c r="AJ350" s="0" t="s">
        <v>630</v>
      </c>
      <c r="AK350" s="0" t="n">
        <v>0</v>
      </c>
      <c r="AL350" s="0" t="n">
        <v>0</v>
      </c>
      <c r="AM350" s="0" t="n">
        <v>0</v>
      </c>
    </row>
    <row r="351" customFormat="false" ht="12.75" hidden="false" customHeight="false" outlineLevel="0" collapsed="false">
      <c r="A351" s="0" t="s">
        <v>621</v>
      </c>
      <c r="B351" s="0" t="str">
        <f aca="false">'Basis Options'!C356</f>
        <v>NM6058.4</v>
      </c>
      <c r="C351" s="0" t="s">
        <v>622</v>
      </c>
      <c r="D351" s="0" t="s">
        <v>623</v>
      </c>
      <c r="E351" s="0" t="s">
        <v>131</v>
      </c>
      <c r="F351" s="0" t="str">
        <f aca="false">'Basis Options'!A356</f>
        <v>ELPASMER</v>
      </c>
      <c r="G351" s="0" t="s">
        <v>628</v>
      </c>
      <c r="H351" s="0" t="s">
        <v>625</v>
      </c>
      <c r="I351" s="0" t="s">
        <v>626</v>
      </c>
      <c r="J351" s="0" t="s">
        <v>627</v>
      </c>
      <c r="K351" s="475" t="n">
        <f aca="false">'Basis Options'!G356</f>
        <v>36923</v>
      </c>
      <c r="L351" s="254" t="e">
        <f aca="false">'Basis Options'!U356</f>
        <v>#NAME?</v>
      </c>
      <c r="M351" s="475" t="n">
        <f aca="false">'Basis Options'!Q356</f>
        <v>36921</v>
      </c>
      <c r="N351" s="0" t="str">
        <f aca="false">'Basis Options'!F356</f>
        <v>P</v>
      </c>
      <c r="O351" s="0" t="n">
        <f aca="false">'Basis Options'!I356</f>
        <v>0.75</v>
      </c>
      <c r="P351" s="0" t="n">
        <v>0</v>
      </c>
      <c r="Q351" s="0" t="n">
        <v>0</v>
      </c>
      <c r="R351" s="0" t="n">
        <v>0</v>
      </c>
      <c r="S351" s="0" t="n">
        <v>0</v>
      </c>
      <c r="T351" s="0" t="s">
        <v>624</v>
      </c>
      <c r="U351" s="0" t="str">
        <f aca="false">IF('Basis Options'!D356="NGI/CHI. GATE","""NGI/CHI. GATE""",TRIM('Basis Options'!D356))</f>
        <v>IF-TRANSCO/Z6</v>
      </c>
      <c r="V351" s="0" t="s">
        <v>624</v>
      </c>
      <c r="W351" s="0" t="s">
        <v>569</v>
      </c>
      <c r="X351" s="0" t="s">
        <v>624</v>
      </c>
      <c r="Y351" s="0" t="s">
        <v>627</v>
      </c>
      <c r="Z351" s="0" t="s">
        <v>629</v>
      </c>
      <c r="AA351" s="0" t="s">
        <v>624</v>
      </c>
      <c r="AB351" s="0" t="s">
        <v>132</v>
      </c>
      <c r="AC351" s="254" t="n">
        <f aca="false">'Basis Options'!H356</f>
        <v>500000</v>
      </c>
      <c r="AD351" s="254" t="e">
        <f aca="false">'Basis Options'!W356</f>
        <v>#NAME?</v>
      </c>
      <c r="AE351" s="0" t="n">
        <v>0</v>
      </c>
      <c r="AF351" s="0" t="n">
        <v>0</v>
      </c>
      <c r="AG351" s="0" t="n">
        <v>0</v>
      </c>
      <c r="AH351" s="254" t="e">
        <f aca="false">'Basis Options'!CD356</f>
        <v>#NAME?</v>
      </c>
      <c r="AI351" s="0" t="n">
        <v>226</v>
      </c>
      <c r="AJ351" s="0" t="s">
        <v>630</v>
      </c>
      <c r="AK351" s="0" t="n">
        <v>0</v>
      </c>
      <c r="AL351" s="0" t="n">
        <v>0</v>
      </c>
      <c r="AM351" s="0" t="n">
        <v>0</v>
      </c>
    </row>
    <row r="352" customFormat="false" ht="12.75" hidden="false" customHeight="false" outlineLevel="0" collapsed="false">
      <c r="A352" s="0" t="s">
        <v>621</v>
      </c>
      <c r="B352" s="0" t="str">
        <f aca="false">'Basis Options'!C357</f>
        <v>NM6058.4</v>
      </c>
      <c r="C352" s="0" t="s">
        <v>622</v>
      </c>
      <c r="D352" s="0" t="s">
        <v>623</v>
      </c>
      <c r="E352" s="0" t="s">
        <v>131</v>
      </c>
      <c r="F352" s="0" t="str">
        <f aca="false">'Basis Options'!A357</f>
        <v>ELPASMER</v>
      </c>
      <c r="G352" s="0" t="s">
        <v>628</v>
      </c>
      <c r="H352" s="0" t="s">
        <v>625</v>
      </c>
      <c r="I352" s="0" t="s">
        <v>626</v>
      </c>
      <c r="J352" s="0" t="s">
        <v>627</v>
      </c>
      <c r="K352" s="475" t="n">
        <f aca="false">'Basis Options'!G357</f>
        <v>36892</v>
      </c>
      <c r="L352" s="254" t="e">
        <f aca="false">'Basis Options'!U357</f>
        <v>#NAME?</v>
      </c>
      <c r="M352" s="475" t="n">
        <f aca="false">'Basis Options'!Q357</f>
        <v>36888</v>
      </c>
      <c r="N352" s="0" t="str">
        <f aca="false">'Basis Options'!F357</f>
        <v>P</v>
      </c>
      <c r="O352" s="0" t="n">
        <f aca="false">'Basis Options'!I357</f>
        <v>0.75</v>
      </c>
      <c r="P352" s="0" t="n">
        <v>0</v>
      </c>
      <c r="Q352" s="0" t="n">
        <v>0</v>
      </c>
      <c r="R352" s="0" t="n">
        <v>0</v>
      </c>
      <c r="S352" s="0" t="n">
        <v>0</v>
      </c>
      <c r="T352" s="0" t="s">
        <v>624</v>
      </c>
      <c r="U352" s="0" t="str">
        <f aca="false">IF('Basis Options'!D357="NGI/CHI. GATE","""NGI/CHI. GATE""",TRIM('Basis Options'!D357))</f>
        <v>IF-TRANSCO/Z6</v>
      </c>
      <c r="V352" s="0" t="s">
        <v>624</v>
      </c>
      <c r="W352" s="0" t="s">
        <v>569</v>
      </c>
      <c r="X352" s="0" t="s">
        <v>624</v>
      </c>
      <c r="Y352" s="0" t="s">
        <v>627</v>
      </c>
      <c r="Z352" s="0" t="s">
        <v>629</v>
      </c>
      <c r="AA352" s="0" t="s">
        <v>624</v>
      </c>
      <c r="AB352" s="0" t="s">
        <v>132</v>
      </c>
      <c r="AC352" s="254" t="n">
        <f aca="false">'Basis Options'!H357</f>
        <v>500000</v>
      </c>
      <c r="AD352" s="254" t="e">
        <f aca="false">'Basis Options'!W357</f>
        <v>#NAME?</v>
      </c>
      <c r="AE352" s="0" t="n">
        <v>0</v>
      </c>
      <c r="AF352" s="0" t="n">
        <v>0</v>
      </c>
      <c r="AG352" s="0" t="n">
        <v>0</v>
      </c>
      <c r="AH352" s="254" t="e">
        <f aca="false">'Basis Options'!CD357</f>
        <v>#NAME?</v>
      </c>
      <c r="AI352" s="0" t="n">
        <v>226</v>
      </c>
      <c r="AJ352" s="0" t="s">
        <v>630</v>
      </c>
      <c r="AK352" s="0" t="n">
        <v>0</v>
      </c>
      <c r="AL352" s="0" t="n">
        <v>0</v>
      </c>
      <c r="AM352" s="0" t="n">
        <v>0</v>
      </c>
    </row>
    <row r="353" customFormat="false" ht="12.75" hidden="false" customHeight="false" outlineLevel="0" collapsed="false">
      <c r="A353" s="0" t="s">
        <v>621</v>
      </c>
      <c r="B353" s="0" t="str">
        <f aca="false">'Basis Options'!C358</f>
        <v>NM6058.4</v>
      </c>
      <c r="C353" s="0" t="s">
        <v>622</v>
      </c>
      <c r="D353" s="0" t="s">
        <v>623</v>
      </c>
      <c r="E353" s="0" t="s">
        <v>131</v>
      </c>
      <c r="F353" s="0" t="str">
        <f aca="false">'Basis Options'!A358</f>
        <v>ELPASMER</v>
      </c>
      <c r="G353" s="0" t="s">
        <v>628</v>
      </c>
      <c r="H353" s="0" t="s">
        <v>625</v>
      </c>
      <c r="I353" s="0" t="s">
        <v>626</v>
      </c>
      <c r="J353" s="0" t="s">
        <v>627</v>
      </c>
      <c r="K353" s="475" t="n">
        <f aca="false">'Basis Options'!G358</f>
        <v>36861</v>
      </c>
      <c r="L353" s="254" t="e">
        <f aca="false">'Basis Options'!U358</f>
        <v>#NAME?</v>
      </c>
      <c r="M353" s="475" t="n">
        <f aca="false">'Basis Options'!Q358</f>
        <v>36859</v>
      </c>
      <c r="N353" s="0" t="str">
        <f aca="false">'Basis Options'!F358</f>
        <v>P</v>
      </c>
      <c r="O353" s="0" t="n">
        <f aca="false">'Basis Options'!I358</f>
        <v>0.75</v>
      </c>
      <c r="P353" s="0" t="n">
        <v>0</v>
      </c>
      <c r="Q353" s="0" t="n">
        <v>0</v>
      </c>
      <c r="R353" s="0" t="n">
        <v>0</v>
      </c>
      <c r="S353" s="0" t="n">
        <v>0</v>
      </c>
      <c r="T353" s="0" t="s">
        <v>624</v>
      </c>
      <c r="U353" s="0" t="str">
        <f aca="false">IF('Basis Options'!D358="NGI/CHI. GATE","""NGI/CHI. GATE""",TRIM('Basis Options'!D358))</f>
        <v>IF-TRANSCO/Z6</v>
      </c>
      <c r="V353" s="0" t="s">
        <v>624</v>
      </c>
      <c r="W353" s="0" t="s">
        <v>569</v>
      </c>
      <c r="X353" s="0" t="s">
        <v>624</v>
      </c>
      <c r="Y353" s="0" t="s">
        <v>627</v>
      </c>
      <c r="Z353" s="0" t="s">
        <v>629</v>
      </c>
      <c r="AA353" s="0" t="s">
        <v>624</v>
      </c>
      <c r="AB353" s="0" t="s">
        <v>132</v>
      </c>
      <c r="AC353" s="254" t="n">
        <f aca="false">'Basis Options'!H358</f>
        <v>500000</v>
      </c>
      <c r="AD353" s="254" t="e">
        <f aca="false">'Basis Options'!W358</f>
        <v>#NAME?</v>
      </c>
      <c r="AE353" s="0" t="n">
        <v>0</v>
      </c>
      <c r="AF353" s="0" t="n">
        <v>0</v>
      </c>
      <c r="AG353" s="0" t="n">
        <v>0</v>
      </c>
      <c r="AH353" s="254" t="e">
        <f aca="false">'Basis Options'!CD358</f>
        <v>#NAME?</v>
      </c>
      <c r="AI353" s="0" t="n">
        <v>226</v>
      </c>
      <c r="AJ353" s="0" t="s">
        <v>630</v>
      </c>
      <c r="AK353" s="0" t="n">
        <v>0</v>
      </c>
      <c r="AL353" s="0" t="n">
        <v>0</v>
      </c>
      <c r="AM353" s="0" t="n">
        <v>0</v>
      </c>
    </row>
    <row r="354" customFormat="false" ht="12.75" hidden="false" customHeight="false" outlineLevel="0" collapsed="false">
      <c r="A354" s="0" t="s">
        <v>621</v>
      </c>
      <c r="B354" s="0" t="str">
        <f aca="false">'Basis Options'!C359</f>
        <v>NM6058.4</v>
      </c>
      <c r="C354" s="0" t="s">
        <v>622</v>
      </c>
      <c r="D354" s="0" t="s">
        <v>623</v>
      </c>
      <c r="E354" s="0" t="s">
        <v>131</v>
      </c>
      <c r="F354" s="0" t="str">
        <f aca="false">'Basis Options'!A359</f>
        <v>ELPASMER</v>
      </c>
      <c r="G354" s="0" t="s">
        <v>628</v>
      </c>
      <c r="H354" s="0" t="s">
        <v>625</v>
      </c>
      <c r="I354" s="0" t="s">
        <v>626</v>
      </c>
      <c r="J354" s="0" t="s">
        <v>627</v>
      </c>
      <c r="K354" s="475" t="n">
        <f aca="false">'Basis Options'!G359</f>
        <v>36831</v>
      </c>
      <c r="L354" s="254" t="e">
        <f aca="false">'Basis Options'!U359</f>
        <v>#NAME?</v>
      </c>
      <c r="M354" s="475" t="n">
        <f aca="false">'Basis Options'!Q359</f>
        <v>36829</v>
      </c>
      <c r="N354" s="0" t="str">
        <f aca="false">'Basis Options'!F359</f>
        <v>P</v>
      </c>
      <c r="O354" s="0" t="n">
        <f aca="false">'Basis Options'!I359</f>
        <v>0.75</v>
      </c>
      <c r="P354" s="0" t="n">
        <v>0</v>
      </c>
      <c r="Q354" s="0" t="n">
        <v>0</v>
      </c>
      <c r="R354" s="0" t="n">
        <v>0</v>
      </c>
      <c r="S354" s="0" t="n">
        <v>0</v>
      </c>
      <c r="T354" s="0" t="s">
        <v>624</v>
      </c>
      <c r="U354" s="0" t="str">
        <f aca="false">IF('Basis Options'!D359="NGI/CHI. GATE","""NGI/CHI. GATE""",TRIM('Basis Options'!D359))</f>
        <v>IF-TRANSCO/Z6</v>
      </c>
      <c r="V354" s="0" t="s">
        <v>624</v>
      </c>
      <c r="W354" s="0" t="s">
        <v>569</v>
      </c>
      <c r="X354" s="0" t="s">
        <v>624</v>
      </c>
      <c r="Y354" s="0" t="s">
        <v>627</v>
      </c>
      <c r="Z354" s="0" t="s">
        <v>629</v>
      </c>
      <c r="AA354" s="0" t="s">
        <v>624</v>
      </c>
      <c r="AB354" s="0" t="s">
        <v>132</v>
      </c>
      <c r="AC354" s="254" t="n">
        <f aca="false">'Basis Options'!H359</f>
        <v>500000</v>
      </c>
      <c r="AD354" s="254" t="e">
        <f aca="false">'Basis Options'!W359</f>
        <v>#NAME?</v>
      </c>
      <c r="AE354" s="0" t="n">
        <v>0</v>
      </c>
      <c r="AF354" s="0" t="n">
        <v>0</v>
      </c>
      <c r="AG354" s="0" t="n">
        <v>0</v>
      </c>
      <c r="AH354" s="254" t="e">
        <f aca="false">'Basis Options'!CD359</f>
        <v>#NAME?</v>
      </c>
      <c r="AI354" s="0" t="n">
        <v>226</v>
      </c>
      <c r="AJ354" s="0" t="s">
        <v>630</v>
      </c>
      <c r="AK354" s="0" t="n">
        <v>0</v>
      </c>
      <c r="AL354" s="0" t="n">
        <v>0</v>
      </c>
      <c r="AM354" s="0" t="n">
        <v>0</v>
      </c>
    </row>
    <row r="355" customFormat="false" ht="12.75" hidden="false" customHeight="false" outlineLevel="0" collapsed="false">
      <c r="A355" s="0" t="s">
        <v>621</v>
      </c>
      <c r="B355" s="0" t="str">
        <f aca="false">'Basis Options'!C360</f>
        <v>NM6058.5</v>
      </c>
      <c r="C355" s="0" t="s">
        <v>622</v>
      </c>
      <c r="D355" s="0" t="s">
        <v>623</v>
      </c>
      <c r="E355" s="0" t="s">
        <v>131</v>
      </c>
      <c r="F355" s="0" t="str">
        <f aca="false">'Basis Options'!A360</f>
        <v>ELPASMER</v>
      </c>
      <c r="G355" s="0" t="s">
        <v>628</v>
      </c>
      <c r="H355" s="0" t="s">
        <v>625</v>
      </c>
      <c r="I355" s="0" t="s">
        <v>626</v>
      </c>
      <c r="J355" s="0" t="s">
        <v>627</v>
      </c>
      <c r="K355" s="475" t="n">
        <f aca="false">'Basis Options'!G360</f>
        <v>37316</v>
      </c>
      <c r="L355" s="254" t="e">
        <f aca="false">'Basis Options'!U360</f>
        <v>#NAME?</v>
      </c>
      <c r="M355" s="475" t="n">
        <f aca="false">'Basis Options'!Q360</f>
        <v>37314</v>
      </c>
      <c r="N355" s="0" t="str">
        <f aca="false">'Basis Options'!F360</f>
        <v>C</v>
      </c>
      <c r="O355" s="0" t="n">
        <f aca="false">'Basis Options'!I360</f>
        <v>1.33</v>
      </c>
      <c r="P355" s="0" t="n">
        <v>0</v>
      </c>
      <c r="Q355" s="0" t="n">
        <v>0</v>
      </c>
      <c r="R355" s="0" t="n">
        <v>0</v>
      </c>
      <c r="S355" s="0" t="n">
        <v>0</v>
      </c>
      <c r="T355" s="0" t="s">
        <v>624</v>
      </c>
      <c r="U355" s="0" t="str">
        <f aca="false">IF('Basis Options'!D360="NGI/CHI. GATE","""NGI/CHI. GATE""",TRIM('Basis Options'!D360))</f>
        <v>IF-TRANSCO/Z6</v>
      </c>
      <c r="V355" s="0" t="s">
        <v>624</v>
      </c>
      <c r="W355" s="0" t="s">
        <v>569</v>
      </c>
      <c r="X355" s="0" t="s">
        <v>624</v>
      </c>
      <c r="Y355" s="0" t="s">
        <v>627</v>
      </c>
      <c r="Z355" s="0" t="s">
        <v>629</v>
      </c>
      <c r="AA355" s="0" t="s">
        <v>624</v>
      </c>
      <c r="AB355" s="0" t="s">
        <v>132</v>
      </c>
      <c r="AC355" s="254" t="n">
        <f aca="false">'Basis Options'!H360</f>
        <v>500000</v>
      </c>
      <c r="AD355" s="254" t="e">
        <f aca="false">'Basis Options'!W360</f>
        <v>#NAME?</v>
      </c>
      <c r="AE355" s="0" t="n">
        <v>0</v>
      </c>
      <c r="AF355" s="0" t="n">
        <v>0</v>
      </c>
      <c r="AG355" s="0" t="n">
        <v>0</v>
      </c>
      <c r="AH355" s="254" t="e">
        <f aca="false">'Basis Options'!CD360</f>
        <v>#NAME?</v>
      </c>
      <c r="AI355" s="0" t="n">
        <v>226</v>
      </c>
      <c r="AJ355" s="0" t="s">
        <v>630</v>
      </c>
      <c r="AK355" s="0" t="n">
        <v>0</v>
      </c>
      <c r="AL355" s="0" t="n">
        <v>0</v>
      </c>
      <c r="AM355" s="0" t="n">
        <v>0</v>
      </c>
    </row>
    <row r="356" customFormat="false" ht="12.75" hidden="false" customHeight="false" outlineLevel="0" collapsed="false">
      <c r="A356" s="0" t="s">
        <v>621</v>
      </c>
      <c r="B356" s="0" t="str">
        <f aca="false">'Basis Options'!C361</f>
        <v>NM6058.5</v>
      </c>
      <c r="C356" s="0" t="s">
        <v>622</v>
      </c>
      <c r="D356" s="0" t="s">
        <v>623</v>
      </c>
      <c r="E356" s="0" t="s">
        <v>131</v>
      </c>
      <c r="F356" s="0" t="str">
        <f aca="false">'Basis Options'!A361</f>
        <v>ELPASMER</v>
      </c>
      <c r="G356" s="0" t="s">
        <v>628</v>
      </c>
      <c r="H356" s="0" t="s">
        <v>625</v>
      </c>
      <c r="I356" s="0" t="s">
        <v>626</v>
      </c>
      <c r="J356" s="0" t="s">
        <v>627</v>
      </c>
      <c r="K356" s="475" t="n">
        <f aca="false">'Basis Options'!G361</f>
        <v>37288</v>
      </c>
      <c r="L356" s="254" t="e">
        <f aca="false">'Basis Options'!U361</f>
        <v>#NAME?</v>
      </c>
      <c r="M356" s="475" t="n">
        <f aca="false">'Basis Options'!Q361</f>
        <v>37286</v>
      </c>
      <c r="N356" s="0" t="str">
        <f aca="false">'Basis Options'!F361</f>
        <v>C</v>
      </c>
      <c r="O356" s="0" t="n">
        <f aca="false">'Basis Options'!I361</f>
        <v>1.33</v>
      </c>
      <c r="P356" s="0" t="n">
        <v>0</v>
      </c>
      <c r="Q356" s="0" t="n">
        <v>0</v>
      </c>
      <c r="R356" s="0" t="n">
        <v>0</v>
      </c>
      <c r="S356" s="0" t="n">
        <v>0</v>
      </c>
      <c r="T356" s="0" t="s">
        <v>624</v>
      </c>
      <c r="U356" s="0" t="str">
        <f aca="false">IF('Basis Options'!D361="NGI/CHI. GATE","""NGI/CHI. GATE""",TRIM('Basis Options'!D361))</f>
        <v>IF-TRANSCO/Z6</v>
      </c>
      <c r="V356" s="0" t="s">
        <v>624</v>
      </c>
      <c r="W356" s="0" t="s">
        <v>569</v>
      </c>
      <c r="X356" s="0" t="s">
        <v>624</v>
      </c>
      <c r="Y356" s="0" t="s">
        <v>627</v>
      </c>
      <c r="Z356" s="0" t="s">
        <v>629</v>
      </c>
      <c r="AA356" s="0" t="s">
        <v>624</v>
      </c>
      <c r="AB356" s="0" t="s">
        <v>132</v>
      </c>
      <c r="AC356" s="254" t="n">
        <f aca="false">'Basis Options'!H361</f>
        <v>500000</v>
      </c>
      <c r="AD356" s="254" t="e">
        <f aca="false">'Basis Options'!W361</f>
        <v>#NAME?</v>
      </c>
      <c r="AE356" s="0" t="n">
        <v>0</v>
      </c>
      <c r="AF356" s="0" t="n">
        <v>0</v>
      </c>
      <c r="AG356" s="0" t="n">
        <v>0</v>
      </c>
      <c r="AH356" s="254" t="e">
        <f aca="false">'Basis Options'!CD361</f>
        <v>#NAME?</v>
      </c>
      <c r="AI356" s="0" t="n">
        <v>226</v>
      </c>
      <c r="AJ356" s="0" t="s">
        <v>630</v>
      </c>
      <c r="AK356" s="0" t="n">
        <v>0</v>
      </c>
      <c r="AL356" s="0" t="n">
        <v>0</v>
      </c>
      <c r="AM356" s="0" t="n">
        <v>0</v>
      </c>
    </row>
    <row r="357" customFormat="false" ht="12.75" hidden="false" customHeight="false" outlineLevel="0" collapsed="false">
      <c r="A357" s="0" t="s">
        <v>621</v>
      </c>
      <c r="B357" s="0" t="str">
        <f aca="false">'Basis Options'!C362</f>
        <v>NM6058.5</v>
      </c>
      <c r="C357" s="0" t="s">
        <v>622</v>
      </c>
      <c r="D357" s="0" t="s">
        <v>623</v>
      </c>
      <c r="E357" s="0" t="s">
        <v>131</v>
      </c>
      <c r="F357" s="0" t="str">
        <f aca="false">'Basis Options'!A362</f>
        <v>ELPASMER</v>
      </c>
      <c r="G357" s="0" t="s">
        <v>628</v>
      </c>
      <c r="H357" s="0" t="s">
        <v>625</v>
      </c>
      <c r="I357" s="0" t="s">
        <v>626</v>
      </c>
      <c r="J357" s="0" t="s">
        <v>627</v>
      </c>
      <c r="K357" s="475" t="n">
        <f aca="false">'Basis Options'!G362</f>
        <v>37257</v>
      </c>
      <c r="L357" s="254" t="e">
        <f aca="false">'Basis Options'!U362</f>
        <v>#NAME?</v>
      </c>
      <c r="M357" s="475" t="n">
        <f aca="false">'Basis Options'!Q362</f>
        <v>37253</v>
      </c>
      <c r="N357" s="0" t="str">
        <f aca="false">'Basis Options'!F362</f>
        <v>C</v>
      </c>
      <c r="O357" s="0" t="n">
        <f aca="false">'Basis Options'!I362</f>
        <v>1.33</v>
      </c>
      <c r="P357" s="0" t="n">
        <v>0</v>
      </c>
      <c r="Q357" s="0" t="n">
        <v>0</v>
      </c>
      <c r="R357" s="0" t="n">
        <v>0</v>
      </c>
      <c r="S357" s="0" t="n">
        <v>0</v>
      </c>
      <c r="T357" s="0" t="s">
        <v>624</v>
      </c>
      <c r="U357" s="0" t="str">
        <f aca="false">IF('Basis Options'!D362="NGI/CHI. GATE","""NGI/CHI. GATE""",TRIM('Basis Options'!D362))</f>
        <v>IF-TRANSCO/Z6</v>
      </c>
      <c r="V357" s="0" t="s">
        <v>624</v>
      </c>
      <c r="W357" s="0" t="s">
        <v>569</v>
      </c>
      <c r="X357" s="0" t="s">
        <v>624</v>
      </c>
      <c r="Y357" s="0" t="s">
        <v>627</v>
      </c>
      <c r="Z357" s="0" t="s">
        <v>629</v>
      </c>
      <c r="AA357" s="0" t="s">
        <v>624</v>
      </c>
      <c r="AB357" s="0" t="s">
        <v>132</v>
      </c>
      <c r="AC357" s="254" t="n">
        <f aca="false">'Basis Options'!H362</f>
        <v>500000</v>
      </c>
      <c r="AD357" s="254" t="e">
        <f aca="false">'Basis Options'!W362</f>
        <v>#NAME?</v>
      </c>
      <c r="AE357" s="0" t="n">
        <v>0</v>
      </c>
      <c r="AF357" s="0" t="n">
        <v>0</v>
      </c>
      <c r="AG357" s="0" t="n">
        <v>0</v>
      </c>
      <c r="AH357" s="254" t="e">
        <f aca="false">'Basis Options'!CD362</f>
        <v>#NAME?</v>
      </c>
      <c r="AI357" s="0" t="n">
        <v>226</v>
      </c>
      <c r="AJ357" s="0" t="s">
        <v>630</v>
      </c>
      <c r="AK357" s="0" t="n">
        <v>0</v>
      </c>
      <c r="AL357" s="0" t="n">
        <v>0</v>
      </c>
      <c r="AM357" s="0" t="n">
        <v>0</v>
      </c>
    </row>
    <row r="358" customFormat="false" ht="12.75" hidden="false" customHeight="false" outlineLevel="0" collapsed="false">
      <c r="A358" s="0" t="s">
        <v>621</v>
      </c>
      <c r="B358" s="0" t="str">
        <f aca="false">'Basis Options'!C363</f>
        <v>NM6058.5</v>
      </c>
      <c r="C358" s="0" t="s">
        <v>622</v>
      </c>
      <c r="D358" s="0" t="s">
        <v>623</v>
      </c>
      <c r="E358" s="0" t="s">
        <v>131</v>
      </c>
      <c r="F358" s="0" t="str">
        <f aca="false">'Basis Options'!A363</f>
        <v>ELPASMER</v>
      </c>
      <c r="G358" s="0" t="s">
        <v>628</v>
      </c>
      <c r="H358" s="0" t="s">
        <v>625</v>
      </c>
      <c r="I358" s="0" t="s">
        <v>626</v>
      </c>
      <c r="J358" s="0" t="s">
        <v>627</v>
      </c>
      <c r="K358" s="475" t="n">
        <f aca="false">'Basis Options'!G363</f>
        <v>37226</v>
      </c>
      <c r="L358" s="254" t="e">
        <f aca="false">'Basis Options'!U363</f>
        <v>#NAME?</v>
      </c>
      <c r="M358" s="475" t="n">
        <f aca="false">'Basis Options'!Q363</f>
        <v>37224</v>
      </c>
      <c r="N358" s="0" t="str">
        <f aca="false">'Basis Options'!F363</f>
        <v>C</v>
      </c>
      <c r="O358" s="0" t="n">
        <f aca="false">'Basis Options'!I363</f>
        <v>1.33</v>
      </c>
      <c r="P358" s="0" t="n">
        <v>0</v>
      </c>
      <c r="Q358" s="0" t="n">
        <v>0</v>
      </c>
      <c r="R358" s="0" t="n">
        <v>0</v>
      </c>
      <c r="S358" s="0" t="n">
        <v>0</v>
      </c>
      <c r="T358" s="0" t="s">
        <v>624</v>
      </c>
      <c r="U358" s="0" t="str">
        <f aca="false">IF('Basis Options'!D363="NGI/CHI. GATE","""NGI/CHI. GATE""",TRIM('Basis Options'!D363))</f>
        <v>IF-TRANSCO/Z6</v>
      </c>
      <c r="V358" s="0" t="s">
        <v>624</v>
      </c>
      <c r="W358" s="0" t="s">
        <v>569</v>
      </c>
      <c r="X358" s="0" t="s">
        <v>624</v>
      </c>
      <c r="Y358" s="0" t="s">
        <v>627</v>
      </c>
      <c r="Z358" s="0" t="s">
        <v>629</v>
      </c>
      <c r="AA358" s="0" t="s">
        <v>624</v>
      </c>
      <c r="AB358" s="0" t="s">
        <v>132</v>
      </c>
      <c r="AC358" s="254" t="n">
        <f aca="false">'Basis Options'!H363</f>
        <v>500000</v>
      </c>
      <c r="AD358" s="254" t="e">
        <f aca="false">'Basis Options'!W363</f>
        <v>#NAME?</v>
      </c>
      <c r="AE358" s="0" t="n">
        <v>0</v>
      </c>
      <c r="AF358" s="0" t="n">
        <v>0</v>
      </c>
      <c r="AG358" s="0" t="n">
        <v>0</v>
      </c>
      <c r="AH358" s="254" t="e">
        <f aca="false">'Basis Options'!CD363</f>
        <v>#NAME?</v>
      </c>
      <c r="AI358" s="0" t="n">
        <v>226</v>
      </c>
      <c r="AJ358" s="0" t="s">
        <v>630</v>
      </c>
      <c r="AK358" s="0" t="n">
        <v>0</v>
      </c>
      <c r="AL358" s="0" t="n">
        <v>0</v>
      </c>
      <c r="AM358" s="0" t="n">
        <v>0</v>
      </c>
    </row>
    <row r="359" customFormat="false" ht="12.75" hidden="false" customHeight="false" outlineLevel="0" collapsed="false">
      <c r="A359" s="0" t="s">
        <v>621</v>
      </c>
      <c r="B359" s="0" t="str">
        <f aca="false">'Basis Options'!C364</f>
        <v>NM6058.5</v>
      </c>
      <c r="C359" s="0" t="s">
        <v>622</v>
      </c>
      <c r="D359" s="0" t="s">
        <v>623</v>
      </c>
      <c r="E359" s="0" t="s">
        <v>131</v>
      </c>
      <c r="F359" s="0" t="str">
        <f aca="false">'Basis Options'!A364</f>
        <v>ELPASMER</v>
      </c>
      <c r="G359" s="0" t="s">
        <v>628</v>
      </c>
      <c r="H359" s="0" t="s">
        <v>625</v>
      </c>
      <c r="I359" s="0" t="s">
        <v>626</v>
      </c>
      <c r="J359" s="0" t="s">
        <v>627</v>
      </c>
      <c r="K359" s="475" t="n">
        <f aca="false">'Basis Options'!G364</f>
        <v>37196</v>
      </c>
      <c r="L359" s="254" t="e">
        <f aca="false">'Basis Options'!U364</f>
        <v>#NAME?</v>
      </c>
      <c r="M359" s="475" t="n">
        <f aca="false">'Basis Options'!Q364</f>
        <v>37194</v>
      </c>
      <c r="N359" s="0" t="str">
        <f aca="false">'Basis Options'!F364</f>
        <v>C</v>
      </c>
      <c r="O359" s="0" t="n">
        <f aca="false">'Basis Options'!I364</f>
        <v>1.33</v>
      </c>
      <c r="P359" s="0" t="n">
        <v>0</v>
      </c>
      <c r="Q359" s="0" t="n">
        <v>0</v>
      </c>
      <c r="R359" s="0" t="n">
        <v>0</v>
      </c>
      <c r="S359" s="0" t="n">
        <v>0</v>
      </c>
      <c r="T359" s="0" t="s">
        <v>624</v>
      </c>
      <c r="U359" s="0" t="str">
        <f aca="false">IF('Basis Options'!D364="NGI/CHI. GATE","""NGI/CHI. GATE""",TRIM('Basis Options'!D364))</f>
        <v>IF-TRANSCO/Z6</v>
      </c>
      <c r="V359" s="0" t="s">
        <v>624</v>
      </c>
      <c r="W359" s="0" t="s">
        <v>569</v>
      </c>
      <c r="X359" s="0" t="s">
        <v>624</v>
      </c>
      <c r="Y359" s="0" t="s">
        <v>627</v>
      </c>
      <c r="Z359" s="0" t="s">
        <v>629</v>
      </c>
      <c r="AA359" s="0" t="s">
        <v>624</v>
      </c>
      <c r="AB359" s="0" t="s">
        <v>132</v>
      </c>
      <c r="AC359" s="254" t="n">
        <f aca="false">'Basis Options'!H364</f>
        <v>500000</v>
      </c>
      <c r="AD359" s="254" t="e">
        <f aca="false">'Basis Options'!W364</f>
        <v>#NAME?</v>
      </c>
      <c r="AE359" s="0" t="n">
        <v>0</v>
      </c>
      <c r="AF359" s="0" t="n">
        <v>0</v>
      </c>
      <c r="AG359" s="0" t="n">
        <v>0</v>
      </c>
      <c r="AH359" s="254" t="e">
        <f aca="false">'Basis Options'!CD364</f>
        <v>#NAME?</v>
      </c>
      <c r="AI359" s="0" t="n">
        <v>226</v>
      </c>
      <c r="AJ359" s="0" t="s">
        <v>630</v>
      </c>
      <c r="AK359" s="0" t="n">
        <v>0</v>
      </c>
      <c r="AL359" s="0" t="n">
        <v>0</v>
      </c>
      <c r="AM359" s="0" t="n">
        <v>0</v>
      </c>
    </row>
    <row r="360" customFormat="false" ht="12.75" hidden="false" customHeight="false" outlineLevel="0" collapsed="false">
      <c r="A360" s="0" t="s">
        <v>621</v>
      </c>
      <c r="B360" s="0" t="str">
        <f aca="false">'Basis Options'!C365</f>
        <v>NM6058.6</v>
      </c>
      <c r="C360" s="0" t="s">
        <v>622</v>
      </c>
      <c r="D360" s="0" t="s">
        <v>623</v>
      </c>
      <c r="E360" s="0" t="s">
        <v>131</v>
      </c>
      <c r="F360" s="0" t="str">
        <f aca="false">'Basis Options'!A365</f>
        <v>ELPASMER</v>
      </c>
      <c r="G360" s="0" t="s">
        <v>628</v>
      </c>
      <c r="H360" s="0" t="s">
        <v>625</v>
      </c>
      <c r="I360" s="0" t="s">
        <v>626</v>
      </c>
      <c r="J360" s="0" t="s">
        <v>627</v>
      </c>
      <c r="K360" s="475" t="n">
        <f aca="false">'Basis Options'!G365</f>
        <v>37316</v>
      </c>
      <c r="L360" s="254" t="e">
        <f aca="false">'Basis Options'!U365</f>
        <v>#NAME?</v>
      </c>
      <c r="M360" s="475" t="n">
        <f aca="false">'Basis Options'!Q365</f>
        <v>37314</v>
      </c>
      <c r="N360" s="0" t="str">
        <f aca="false">'Basis Options'!F365</f>
        <v>P</v>
      </c>
      <c r="O360" s="0" t="n">
        <f aca="false">'Basis Options'!I365</f>
        <v>1.33</v>
      </c>
      <c r="P360" s="0" t="n">
        <v>0</v>
      </c>
      <c r="Q360" s="0" t="n">
        <v>0</v>
      </c>
      <c r="R360" s="0" t="n">
        <v>0</v>
      </c>
      <c r="S360" s="0" t="n">
        <v>0</v>
      </c>
      <c r="T360" s="0" t="s">
        <v>624</v>
      </c>
      <c r="U360" s="0" t="str">
        <f aca="false">IF('Basis Options'!D365="NGI/CHI. GATE","""NGI/CHI. GATE""",TRIM('Basis Options'!D365))</f>
        <v>IF-TRANSCO/Z6</v>
      </c>
      <c r="V360" s="0" t="s">
        <v>624</v>
      </c>
      <c r="W360" s="0" t="s">
        <v>569</v>
      </c>
      <c r="X360" s="0" t="s">
        <v>624</v>
      </c>
      <c r="Y360" s="0" t="s">
        <v>627</v>
      </c>
      <c r="Z360" s="0" t="s">
        <v>629</v>
      </c>
      <c r="AA360" s="0" t="s">
        <v>624</v>
      </c>
      <c r="AB360" s="0" t="s">
        <v>132</v>
      </c>
      <c r="AC360" s="254" t="n">
        <f aca="false">'Basis Options'!H365</f>
        <v>500000</v>
      </c>
      <c r="AD360" s="254" t="e">
        <f aca="false">'Basis Options'!W365</f>
        <v>#NAME?</v>
      </c>
      <c r="AE360" s="0" t="n">
        <v>0</v>
      </c>
      <c r="AF360" s="0" t="n">
        <v>0</v>
      </c>
      <c r="AG360" s="0" t="n">
        <v>0</v>
      </c>
      <c r="AH360" s="254" t="e">
        <f aca="false">'Basis Options'!CD365</f>
        <v>#NAME?</v>
      </c>
      <c r="AI360" s="0" t="n">
        <v>226</v>
      </c>
      <c r="AJ360" s="0" t="s">
        <v>630</v>
      </c>
      <c r="AK360" s="0" t="n">
        <v>0</v>
      </c>
      <c r="AL360" s="0" t="n">
        <v>0</v>
      </c>
      <c r="AM360" s="0" t="n">
        <v>0</v>
      </c>
    </row>
    <row r="361" customFormat="false" ht="12.75" hidden="false" customHeight="false" outlineLevel="0" collapsed="false">
      <c r="A361" s="0" t="s">
        <v>621</v>
      </c>
      <c r="B361" s="0" t="str">
        <f aca="false">'Basis Options'!C366</f>
        <v>NM6058.6</v>
      </c>
      <c r="C361" s="0" t="s">
        <v>622</v>
      </c>
      <c r="D361" s="0" t="s">
        <v>623</v>
      </c>
      <c r="E361" s="0" t="s">
        <v>131</v>
      </c>
      <c r="F361" s="0" t="str">
        <f aca="false">'Basis Options'!A366</f>
        <v>ELPASMER</v>
      </c>
      <c r="G361" s="0" t="s">
        <v>628</v>
      </c>
      <c r="H361" s="0" t="s">
        <v>625</v>
      </c>
      <c r="I361" s="0" t="s">
        <v>626</v>
      </c>
      <c r="J361" s="0" t="s">
        <v>627</v>
      </c>
      <c r="K361" s="475" t="n">
        <f aca="false">'Basis Options'!G366</f>
        <v>37288</v>
      </c>
      <c r="L361" s="254" t="e">
        <f aca="false">'Basis Options'!U366</f>
        <v>#NAME?</v>
      </c>
      <c r="M361" s="475" t="n">
        <f aca="false">'Basis Options'!Q366</f>
        <v>37286</v>
      </c>
      <c r="N361" s="0" t="str">
        <f aca="false">'Basis Options'!F366</f>
        <v>P</v>
      </c>
      <c r="O361" s="0" t="n">
        <f aca="false">'Basis Options'!I366</f>
        <v>1.33</v>
      </c>
      <c r="P361" s="0" t="n">
        <v>0</v>
      </c>
      <c r="Q361" s="0" t="n">
        <v>0</v>
      </c>
      <c r="R361" s="0" t="n">
        <v>0</v>
      </c>
      <c r="S361" s="0" t="n">
        <v>0</v>
      </c>
      <c r="T361" s="0" t="s">
        <v>624</v>
      </c>
      <c r="U361" s="0" t="str">
        <f aca="false">IF('Basis Options'!D366="NGI/CHI. GATE","""NGI/CHI. GATE""",TRIM('Basis Options'!D366))</f>
        <v>IF-TRANSCO/Z6</v>
      </c>
      <c r="V361" s="0" t="s">
        <v>624</v>
      </c>
      <c r="W361" s="0" t="s">
        <v>569</v>
      </c>
      <c r="X361" s="0" t="s">
        <v>624</v>
      </c>
      <c r="Y361" s="0" t="s">
        <v>627</v>
      </c>
      <c r="Z361" s="0" t="s">
        <v>629</v>
      </c>
      <c r="AA361" s="0" t="s">
        <v>624</v>
      </c>
      <c r="AB361" s="0" t="s">
        <v>132</v>
      </c>
      <c r="AC361" s="254" t="n">
        <f aca="false">'Basis Options'!H366</f>
        <v>500000</v>
      </c>
      <c r="AD361" s="254" t="e">
        <f aca="false">'Basis Options'!W366</f>
        <v>#NAME?</v>
      </c>
      <c r="AE361" s="0" t="n">
        <v>0</v>
      </c>
      <c r="AF361" s="0" t="n">
        <v>0</v>
      </c>
      <c r="AG361" s="0" t="n">
        <v>0</v>
      </c>
      <c r="AH361" s="254" t="e">
        <f aca="false">'Basis Options'!CD366</f>
        <v>#NAME?</v>
      </c>
      <c r="AI361" s="0" t="n">
        <v>226</v>
      </c>
      <c r="AJ361" s="0" t="s">
        <v>630</v>
      </c>
      <c r="AK361" s="0" t="n">
        <v>0</v>
      </c>
      <c r="AL361" s="0" t="n">
        <v>0</v>
      </c>
      <c r="AM361" s="0" t="n">
        <v>0</v>
      </c>
    </row>
    <row r="362" customFormat="false" ht="12.75" hidden="false" customHeight="false" outlineLevel="0" collapsed="false">
      <c r="A362" s="0" t="s">
        <v>621</v>
      </c>
      <c r="B362" s="0" t="str">
        <f aca="false">'Basis Options'!C367</f>
        <v>NM6058.6</v>
      </c>
      <c r="C362" s="0" t="s">
        <v>622</v>
      </c>
      <c r="D362" s="0" t="s">
        <v>623</v>
      </c>
      <c r="E362" s="0" t="s">
        <v>131</v>
      </c>
      <c r="F362" s="0" t="str">
        <f aca="false">'Basis Options'!A367</f>
        <v>ELPASMER</v>
      </c>
      <c r="G362" s="0" t="s">
        <v>628</v>
      </c>
      <c r="H362" s="0" t="s">
        <v>625</v>
      </c>
      <c r="I362" s="0" t="s">
        <v>626</v>
      </c>
      <c r="J362" s="0" t="s">
        <v>627</v>
      </c>
      <c r="K362" s="475" t="n">
        <f aca="false">'Basis Options'!G367</f>
        <v>37257</v>
      </c>
      <c r="L362" s="254" t="e">
        <f aca="false">'Basis Options'!U367</f>
        <v>#NAME?</v>
      </c>
      <c r="M362" s="475" t="n">
        <f aca="false">'Basis Options'!Q367</f>
        <v>37253</v>
      </c>
      <c r="N362" s="0" t="str">
        <f aca="false">'Basis Options'!F367</f>
        <v>P</v>
      </c>
      <c r="O362" s="0" t="n">
        <f aca="false">'Basis Options'!I367</f>
        <v>1.33</v>
      </c>
      <c r="P362" s="0" t="n">
        <v>0</v>
      </c>
      <c r="Q362" s="0" t="n">
        <v>0</v>
      </c>
      <c r="R362" s="0" t="n">
        <v>0</v>
      </c>
      <c r="S362" s="0" t="n">
        <v>0</v>
      </c>
      <c r="T362" s="0" t="s">
        <v>624</v>
      </c>
      <c r="U362" s="0" t="str">
        <f aca="false">IF('Basis Options'!D367="NGI/CHI. GATE","""NGI/CHI. GATE""",TRIM('Basis Options'!D367))</f>
        <v>IF-TRANSCO/Z6</v>
      </c>
      <c r="V362" s="0" t="s">
        <v>624</v>
      </c>
      <c r="W362" s="0" t="s">
        <v>569</v>
      </c>
      <c r="X362" s="0" t="s">
        <v>624</v>
      </c>
      <c r="Y362" s="0" t="s">
        <v>627</v>
      </c>
      <c r="Z362" s="0" t="s">
        <v>629</v>
      </c>
      <c r="AA362" s="0" t="s">
        <v>624</v>
      </c>
      <c r="AB362" s="0" t="s">
        <v>132</v>
      </c>
      <c r="AC362" s="254" t="n">
        <f aca="false">'Basis Options'!H367</f>
        <v>500000</v>
      </c>
      <c r="AD362" s="254" t="e">
        <f aca="false">'Basis Options'!W367</f>
        <v>#NAME?</v>
      </c>
      <c r="AE362" s="0" t="n">
        <v>0</v>
      </c>
      <c r="AF362" s="0" t="n">
        <v>0</v>
      </c>
      <c r="AG362" s="0" t="n">
        <v>0</v>
      </c>
      <c r="AH362" s="254" t="e">
        <f aca="false">'Basis Options'!CD367</f>
        <v>#NAME?</v>
      </c>
      <c r="AI362" s="0" t="n">
        <v>226</v>
      </c>
      <c r="AJ362" s="0" t="s">
        <v>630</v>
      </c>
      <c r="AK362" s="0" t="n">
        <v>0</v>
      </c>
      <c r="AL362" s="0" t="n">
        <v>0</v>
      </c>
      <c r="AM362" s="0" t="n">
        <v>0</v>
      </c>
    </row>
    <row r="363" customFormat="false" ht="12.75" hidden="false" customHeight="false" outlineLevel="0" collapsed="false">
      <c r="A363" s="0" t="s">
        <v>621</v>
      </c>
      <c r="B363" s="0" t="str">
        <f aca="false">'Basis Options'!C368</f>
        <v>NM6058.6</v>
      </c>
      <c r="C363" s="0" t="s">
        <v>622</v>
      </c>
      <c r="D363" s="0" t="s">
        <v>623</v>
      </c>
      <c r="E363" s="0" t="s">
        <v>131</v>
      </c>
      <c r="F363" s="0" t="str">
        <f aca="false">'Basis Options'!A368</f>
        <v>ELPASMER</v>
      </c>
      <c r="G363" s="0" t="s">
        <v>628</v>
      </c>
      <c r="H363" s="0" t="s">
        <v>625</v>
      </c>
      <c r="I363" s="0" t="s">
        <v>626</v>
      </c>
      <c r="J363" s="0" t="s">
        <v>627</v>
      </c>
      <c r="K363" s="475" t="n">
        <f aca="false">'Basis Options'!G368</f>
        <v>37226</v>
      </c>
      <c r="L363" s="254" t="e">
        <f aca="false">'Basis Options'!U368</f>
        <v>#NAME?</v>
      </c>
      <c r="M363" s="475" t="n">
        <f aca="false">'Basis Options'!Q368</f>
        <v>37224</v>
      </c>
      <c r="N363" s="0" t="str">
        <f aca="false">'Basis Options'!F368</f>
        <v>P</v>
      </c>
      <c r="O363" s="0" t="n">
        <f aca="false">'Basis Options'!I368</f>
        <v>1.33</v>
      </c>
      <c r="P363" s="0" t="n">
        <v>0</v>
      </c>
      <c r="Q363" s="0" t="n">
        <v>0</v>
      </c>
      <c r="R363" s="0" t="n">
        <v>0</v>
      </c>
      <c r="S363" s="0" t="n">
        <v>0</v>
      </c>
      <c r="T363" s="0" t="s">
        <v>624</v>
      </c>
      <c r="U363" s="0" t="str">
        <f aca="false">IF('Basis Options'!D368="NGI/CHI. GATE","""NGI/CHI. GATE""",TRIM('Basis Options'!D368))</f>
        <v>IF-TRANSCO/Z6</v>
      </c>
      <c r="V363" s="0" t="s">
        <v>624</v>
      </c>
      <c r="W363" s="0" t="s">
        <v>569</v>
      </c>
      <c r="X363" s="0" t="s">
        <v>624</v>
      </c>
      <c r="Y363" s="0" t="s">
        <v>627</v>
      </c>
      <c r="Z363" s="0" t="s">
        <v>629</v>
      </c>
      <c r="AA363" s="0" t="s">
        <v>624</v>
      </c>
      <c r="AB363" s="0" t="s">
        <v>132</v>
      </c>
      <c r="AC363" s="254" t="n">
        <f aca="false">'Basis Options'!H368</f>
        <v>500000</v>
      </c>
      <c r="AD363" s="254" t="e">
        <f aca="false">'Basis Options'!W368</f>
        <v>#NAME?</v>
      </c>
      <c r="AE363" s="0" t="n">
        <v>0</v>
      </c>
      <c r="AF363" s="0" t="n">
        <v>0</v>
      </c>
      <c r="AG363" s="0" t="n">
        <v>0</v>
      </c>
      <c r="AH363" s="254" t="e">
        <f aca="false">'Basis Options'!CD368</f>
        <v>#NAME?</v>
      </c>
      <c r="AI363" s="0" t="n">
        <v>226</v>
      </c>
      <c r="AJ363" s="0" t="s">
        <v>630</v>
      </c>
      <c r="AK363" s="0" t="n">
        <v>0</v>
      </c>
      <c r="AL363" s="0" t="n">
        <v>0</v>
      </c>
      <c r="AM363" s="0" t="n">
        <v>0</v>
      </c>
    </row>
    <row r="364" customFormat="false" ht="12.75" hidden="false" customHeight="false" outlineLevel="0" collapsed="false">
      <c r="A364" s="0" t="s">
        <v>621</v>
      </c>
      <c r="B364" s="0" t="str">
        <f aca="false">'Basis Options'!C369</f>
        <v>NM6058.6</v>
      </c>
      <c r="C364" s="0" t="s">
        <v>622</v>
      </c>
      <c r="D364" s="0" t="s">
        <v>623</v>
      </c>
      <c r="E364" s="0" t="s">
        <v>131</v>
      </c>
      <c r="F364" s="0" t="str">
        <f aca="false">'Basis Options'!A369</f>
        <v>ELPASMER</v>
      </c>
      <c r="G364" s="0" t="s">
        <v>628</v>
      </c>
      <c r="H364" s="0" t="s">
        <v>625</v>
      </c>
      <c r="I364" s="0" t="s">
        <v>626</v>
      </c>
      <c r="J364" s="0" t="s">
        <v>627</v>
      </c>
      <c r="K364" s="475" t="n">
        <f aca="false">'Basis Options'!G369</f>
        <v>37196</v>
      </c>
      <c r="L364" s="254" t="e">
        <f aca="false">'Basis Options'!U369</f>
        <v>#NAME?</v>
      </c>
      <c r="M364" s="475" t="n">
        <f aca="false">'Basis Options'!Q369</f>
        <v>37194</v>
      </c>
      <c r="N364" s="0" t="str">
        <f aca="false">'Basis Options'!F369</f>
        <v>P</v>
      </c>
      <c r="O364" s="0" t="n">
        <f aca="false">'Basis Options'!I369</f>
        <v>1.33</v>
      </c>
      <c r="P364" s="0" t="n">
        <v>0</v>
      </c>
      <c r="Q364" s="0" t="n">
        <v>0</v>
      </c>
      <c r="R364" s="0" t="n">
        <v>0</v>
      </c>
      <c r="S364" s="0" t="n">
        <v>0</v>
      </c>
      <c r="T364" s="0" t="s">
        <v>624</v>
      </c>
      <c r="U364" s="0" t="str">
        <f aca="false">IF('Basis Options'!D369="NGI/CHI. GATE","""NGI/CHI. GATE""",TRIM('Basis Options'!D369))</f>
        <v>IF-TRANSCO/Z6</v>
      </c>
      <c r="V364" s="0" t="s">
        <v>624</v>
      </c>
      <c r="W364" s="0" t="s">
        <v>569</v>
      </c>
      <c r="X364" s="0" t="s">
        <v>624</v>
      </c>
      <c r="Y364" s="0" t="s">
        <v>627</v>
      </c>
      <c r="Z364" s="0" t="s">
        <v>629</v>
      </c>
      <c r="AA364" s="0" t="s">
        <v>624</v>
      </c>
      <c r="AB364" s="0" t="s">
        <v>132</v>
      </c>
      <c r="AC364" s="254" t="n">
        <f aca="false">'Basis Options'!H369</f>
        <v>500000</v>
      </c>
      <c r="AD364" s="254" t="e">
        <f aca="false">'Basis Options'!W369</f>
        <v>#NAME?</v>
      </c>
      <c r="AE364" s="0" t="n">
        <v>0</v>
      </c>
      <c r="AF364" s="0" t="n">
        <v>0</v>
      </c>
      <c r="AG364" s="0" t="n">
        <v>0</v>
      </c>
      <c r="AH364" s="254" t="e">
        <f aca="false">'Basis Options'!CD369</f>
        <v>#NAME?</v>
      </c>
      <c r="AI364" s="0" t="n">
        <v>226</v>
      </c>
      <c r="AJ364" s="0" t="s">
        <v>630</v>
      </c>
      <c r="AK364" s="0" t="n">
        <v>0</v>
      </c>
      <c r="AL364" s="0" t="n">
        <v>0</v>
      </c>
      <c r="AM364" s="0" t="n">
        <v>0</v>
      </c>
    </row>
    <row r="365" customFormat="false" ht="12.75" hidden="false" customHeight="false" outlineLevel="0" collapsed="false">
      <c r="A365" s="0" t="s">
        <v>621</v>
      </c>
      <c r="B365" s="0" t="str">
        <f aca="false">'Basis Options'!C370</f>
        <v>NM6102.1</v>
      </c>
      <c r="C365" s="0" t="s">
        <v>622</v>
      </c>
      <c r="D365" s="0" t="s">
        <v>623</v>
      </c>
      <c r="E365" s="0" t="s">
        <v>131</v>
      </c>
      <c r="F365" s="0" t="str">
        <f aca="false">'Basis Options'!A370</f>
        <v>ELPASMER</v>
      </c>
      <c r="G365" s="0" t="s">
        <v>628</v>
      </c>
      <c r="H365" s="0" t="s">
        <v>625</v>
      </c>
      <c r="I365" s="0" t="s">
        <v>626</v>
      </c>
      <c r="J365" s="0" t="s">
        <v>627</v>
      </c>
      <c r="K365" s="475" t="n">
        <f aca="false">'Basis Options'!G370</f>
        <v>36951</v>
      </c>
      <c r="L365" s="254" t="e">
        <f aca="false">'Basis Options'!U370</f>
        <v>#NAME?</v>
      </c>
      <c r="M365" s="475" t="n">
        <f aca="false">'Basis Options'!Q370</f>
        <v>36949</v>
      </c>
      <c r="N365" s="0" t="str">
        <f aca="false">'Basis Options'!F370</f>
        <v>C</v>
      </c>
      <c r="O365" s="0" t="n">
        <f aca="false">'Basis Options'!I370</f>
        <v>2.5</v>
      </c>
      <c r="P365" s="0" t="n">
        <v>0</v>
      </c>
      <c r="Q365" s="0" t="n">
        <v>0</v>
      </c>
      <c r="R365" s="0" t="n">
        <v>0</v>
      </c>
      <c r="S365" s="0" t="n">
        <v>0</v>
      </c>
      <c r="T365" s="0" t="s">
        <v>624</v>
      </c>
      <c r="U365" s="0" t="str">
        <f aca="false">IF('Basis Options'!D370="NGI/CHI. GATE","""NGI/CHI. GATE""",TRIM('Basis Options'!D370))</f>
        <v>IF-TRANSCO/Z6</v>
      </c>
      <c r="V365" s="0" t="s">
        <v>624</v>
      </c>
      <c r="W365" s="0" t="s">
        <v>569</v>
      </c>
      <c r="X365" s="0" t="s">
        <v>624</v>
      </c>
      <c r="Y365" s="0" t="s">
        <v>627</v>
      </c>
      <c r="Z365" s="0" t="s">
        <v>629</v>
      </c>
      <c r="AA365" s="0" t="s">
        <v>624</v>
      </c>
      <c r="AB365" s="0" t="s">
        <v>132</v>
      </c>
      <c r="AC365" s="254" t="n">
        <f aca="false">'Basis Options'!H370</f>
        <v>-500000</v>
      </c>
      <c r="AD365" s="254" t="e">
        <f aca="false">'Basis Options'!W370</f>
        <v>#NAME?</v>
      </c>
      <c r="AE365" s="0" t="n">
        <v>0</v>
      </c>
      <c r="AF365" s="0" t="n">
        <v>0</v>
      </c>
      <c r="AG365" s="0" t="n">
        <v>0</v>
      </c>
      <c r="AH365" s="254" t="e">
        <f aca="false">'Basis Options'!CD370</f>
        <v>#NAME?</v>
      </c>
      <c r="AI365" s="0" t="n">
        <v>226</v>
      </c>
      <c r="AJ365" s="0" t="s">
        <v>630</v>
      </c>
      <c r="AK365" s="0" t="n">
        <v>0</v>
      </c>
      <c r="AL365" s="0" t="n">
        <v>0</v>
      </c>
      <c r="AM365" s="0" t="n">
        <v>0</v>
      </c>
    </row>
    <row r="366" customFormat="false" ht="12.75" hidden="false" customHeight="false" outlineLevel="0" collapsed="false">
      <c r="A366" s="0" t="s">
        <v>621</v>
      </c>
      <c r="B366" s="0" t="str">
        <f aca="false">'Basis Options'!C371</f>
        <v>NM6102.1</v>
      </c>
      <c r="C366" s="0" t="s">
        <v>622</v>
      </c>
      <c r="D366" s="0" t="s">
        <v>623</v>
      </c>
      <c r="E366" s="0" t="s">
        <v>131</v>
      </c>
      <c r="F366" s="0" t="str">
        <f aca="false">'Basis Options'!A371</f>
        <v>ELPASMER</v>
      </c>
      <c r="G366" s="0" t="s">
        <v>628</v>
      </c>
      <c r="H366" s="0" t="s">
        <v>625</v>
      </c>
      <c r="I366" s="0" t="s">
        <v>626</v>
      </c>
      <c r="J366" s="0" t="s">
        <v>627</v>
      </c>
      <c r="K366" s="475" t="n">
        <f aca="false">'Basis Options'!G371</f>
        <v>36923</v>
      </c>
      <c r="L366" s="254" t="e">
        <f aca="false">'Basis Options'!U371</f>
        <v>#NAME?</v>
      </c>
      <c r="M366" s="475" t="n">
        <f aca="false">'Basis Options'!Q371</f>
        <v>36921</v>
      </c>
      <c r="N366" s="0" t="str">
        <f aca="false">'Basis Options'!F371</f>
        <v>C</v>
      </c>
      <c r="O366" s="0" t="n">
        <f aca="false">'Basis Options'!I371</f>
        <v>2.5</v>
      </c>
      <c r="P366" s="0" t="n">
        <v>0</v>
      </c>
      <c r="Q366" s="0" t="n">
        <v>0</v>
      </c>
      <c r="R366" s="0" t="n">
        <v>0</v>
      </c>
      <c r="S366" s="0" t="n">
        <v>0</v>
      </c>
      <c r="T366" s="0" t="s">
        <v>624</v>
      </c>
      <c r="U366" s="0" t="str">
        <f aca="false">IF('Basis Options'!D371="NGI/CHI. GATE","""NGI/CHI. GATE""",TRIM('Basis Options'!D371))</f>
        <v>IF-TRANSCO/Z6</v>
      </c>
      <c r="V366" s="0" t="s">
        <v>624</v>
      </c>
      <c r="W366" s="0" t="s">
        <v>569</v>
      </c>
      <c r="X366" s="0" t="s">
        <v>624</v>
      </c>
      <c r="Y366" s="0" t="s">
        <v>627</v>
      </c>
      <c r="Z366" s="0" t="s">
        <v>629</v>
      </c>
      <c r="AA366" s="0" t="s">
        <v>624</v>
      </c>
      <c r="AB366" s="0" t="s">
        <v>132</v>
      </c>
      <c r="AC366" s="254" t="n">
        <f aca="false">'Basis Options'!H371</f>
        <v>-500000</v>
      </c>
      <c r="AD366" s="254" t="e">
        <f aca="false">'Basis Options'!W371</f>
        <v>#NAME?</v>
      </c>
      <c r="AE366" s="0" t="n">
        <v>0</v>
      </c>
      <c r="AF366" s="0" t="n">
        <v>0</v>
      </c>
      <c r="AG366" s="0" t="n">
        <v>0</v>
      </c>
      <c r="AH366" s="254" t="e">
        <f aca="false">'Basis Options'!CD371</f>
        <v>#NAME?</v>
      </c>
      <c r="AI366" s="0" t="n">
        <v>226</v>
      </c>
      <c r="AJ366" s="0" t="s">
        <v>630</v>
      </c>
      <c r="AK366" s="0" t="n">
        <v>0</v>
      </c>
      <c r="AL366" s="0" t="n">
        <v>0</v>
      </c>
      <c r="AM366" s="0" t="n">
        <v>0</v>
      </c>
    </row>
    <row r="367" customFormat="false" ht="12.75" hidden="false" customHeight="false" outlineLevel="0" collapsed="false">
      <c r="A367" s="0" t="s">
        <v>621</v>
      </c>
      <c r="B367" s="0" t="str">
        <f aca="false">'Basis Options'!C372</f>
        <v>NM6102.1</v>
      </c>
      <c r="C367" s="0" t="s">
        <v>622</v>
      </c>
      <c r="D367" s="0" t="s">
        <v>623</v>
      </c>
      <c r="E367" s="0" t="s">
        <v>131</v>
      </c>
      <c r="F367" s="0" t="str">
        <f aca="false">'Basis Options'!A372</f>
        <v>ELPASMER</v>
      </c>
      <c r="G367" s="0" t="s">
        <v>628</v>
      </c>
      <c r="H367" s="0" t="s">
        <v>625</v>
      </c>
      <c r="I367" s="0" t="s">
        <v>626</v>
      </c>
      <c r="J367" s="0" t="s">
        <v>627</v>
      </c>
      <c r="K367" s="475" t="n">
        <f aca="false">'Basis Options'!G372</f>
        <v>36892</v>
      </c>
      <c r="L367" s="254" t="e">
        <f aca="false">'Basis Options'!U372</f>
        <v>#NAME?</v>
      </c>
      <c r="M367" s="475" t="n">
        <f aca="false">'Basis Options'!Q372</f>
        <v>36888</v>
      </c>
      <c r="N367" s="0" t="str">
        <f aca="false">'Basis Options'!F372</f>
        <v>C</v>
      </c>
      <c r="O367" s="0" t="n">
        <f aca="false">'Basis Options'!I372</f>
        <v>2.5</v>
      </c>
      <c r="P367" s="0" t="n">
        <v>0</v>
      </c>
      <c r="Q367" s="0" t="n">
        <v>0</v>
      </c>
      <c r="R367" s="0" t="n">
        <v>0</v>
      </c>
      <c r="S367" s="0" t="n">
        <v>0</v>
      </c>
      <c r="T367" s="0" t="s">
        <v>624</v>
      </c>
      <c r="U367" s="0" t="str">
        <f aca="false">IF('Basis Options'!D372="NGI/CHI. GATE","""NGI/CHI. GATE""",TRIM('Basis Options'!D372))</f>
        <v>IF-TRANSCO/Z6</v>
      </c>
      <c r="V367" s="0" t="s">
        <v>624</v>
      </c>
      <c r="W367" s="0" t="s">
        <v>569</v>
      </c>
      <c r="X367" s="0" t="s">
        <v>624</v>
      </c>
      <c r="Y367" s="0" t="s">
        <v>627</v>
      </c>
      <c r="Z367" s="0" t="s">
        <v>629</v>
      </c>
      <c r="AA367" s="0" t="s">
        <v>624</v>
      </c>
      <c r="AB367" s="0" t="s">
        <v>132</v>
      </c>
      <c r="AC367" s="254" t="n">
        <f aca="false">'Basis Options'!H372</f>
        <v>-500000</v>
      </c>
      <c r="AD367" s="254" t="e">
        <f aca="false">'Basis Options'!W372</f>
        <v>#NAME?</v>
      </c>
      <c r="AE367" s="0" t="n">
        <v>0</v>
      </c>
      <c r="AF367" s="0" t="n">
        <v>0</v>
      </c>
      <c r="AG367" s="0" t="n">
        <v>0</v>
      </c>
      <c r="AH367" s="254" t="e">
        <f aca="false">'Basis Options'!CD372</f>
        <v>#NAME?</v>
      </c>
      <c r="AI367" s="0" t="n">
        <v>226</v>
      </c>
      <c r="AJ367" s="0" t="s">
        <v>630</v>
      </c>
      <c r="AK367" s="0" t="n">
        <v>0</v>
      </c>
      <c r="AL367" s="0" t="n">
        <v>0</v>
      </c>
      <c r="AM367" s="0" t="n">
        <v>0</v>
      </c>
    </row>
    <row r="368" customFormat="false" ht="12.75" hidden="false" customHeight="false" outlineLevel="0" collapsed="false">
      <c r="A368" s="0" t="s">
        <v>621</v>
      </c>
      <c r="B368" s="0" t="str">
        <f aca="false">'Basis Options'!C373</f>
        <v>NM6102.1</v>
      </c>
      <c r="C368" s="0" t="s">
        <v>622</v>
      </c>
      <c r="D368" s="0" t="s">
        <v>623</v>
      </c>
      <c r="E368" s="0" t="s">
        <v>131</v>
      </c>
      <c r="F368" s="0" t="str">
        <f aca="false">'Basis Options'!A373</f>
        <v>ELPASMER</v>
      </c>
      <c r="G368" s="0" t="s">
        <v>628</v>
      </c>
      <c r="H368" s="0" t="s">
        <v>625</v>
      </c>
      <c r="I368" s="0" t="s">
        <v>626</v>
      </c>
      <c r="J368" s="0" t="s">
        <v>627</v>
      </c>
      <c r="K368" s="475" t="n">
        <f aca="false">'Basis Options'!G373</f>
        <v>36861</v>
      </c>
      <c r="L368" s="254" t="e">
        <f aca="false">'Basis Options'!U373</f>
        <v>#NAME?</v>
      </c>
      <c r="M368" s="475" t="n">
        <f aca="false">'Basis Options'!Q373</f>
        <v>36859</v>
      </c>
      <c r="N368" s="0" t="str">
        <f aca="false">'Basis Options'!F373</f>
        <v>C</v>
      </c>
      <c r="O368" s="0" t="n">
        <f aca="false">'Basis Options'!I373</f>
        <v>2.5</v>
      </c>
      <c r="P368" s="0" t="n">
        <v>0</v>
      </c>
      <c r="Q368" s="0" t="n">
        <v>0</v>
      </c>
      <c r="R368" s="0" t="n">
        <v>0</v>
      </c>
      <c r="S368" s="0" t="n">
        <v>0</v>
      </c>
      <c r="T368" s="0" t="s">
        <v>624</v>
      </c>
      <c r="U368" s="0" t="str">
        <f aca="false">IF('Basis Options'!D373="NGI/CHI. GATE","""NGI/CHI. GATE""",TRIM('Basis Options'!D373))</f>
        <v>IF-TRANSCO/Z6</v>
      </c>
      <c r="V368" s="0" t="s">
        <v>624</v>
      </c>
      <c r="W368" s="0" t="s">
        <v>569</v>
      </c>
      <c r="X368" s="0" t="s">
        <v>624</v>
      </c>
      <c r="Y368" s="0" t="s">
        <v>627</v>
      </c>
      <c r="Z368" s="0" t="s">
        <v>629</v>
      </c>
      <c r="AA368" s="0" t="s">
        <v>624</v>
      </c>
      <c r="AB368" s="0" t="s">
        <v>132</v>
      </c>
      <c r="AC368" s="254" t="n">
        <f aca="false">'Basis Options'!H373</f>
        <v>-500000</v>
      </c>
      <c r="AD368" s="254" t="e">
        <f aca="false">'Basis Options'!W373</f>
        <v>#NAME?</v>
      </c>
      <c r="AE368" s="0" t="n">
        <v>0</v>
      </c>
      <c r="AF368" s="0" t="n">
        <v>0</v>
      </c>
      <c r="AG368" s="0" t="n">
        <v>0</v>
      </c>
      <c r="AH368" s="254" t="e">
        <f aca="false">'Basis Options'!CD373</f>
        <v>#NAME?</v>
      </c>
      <c r="AI368" s="0" t="n">
        <v>226</v>
      </c>
      <c r="AJ368" s="0" t="s">
        <v>630</v>
      </c>
      <c r="AK368" s="0" t="n">
        <v>0</v>
      </c>
      <c r="AL368" s="0" t="n">
        <v>0</v>
      </c>
      <c r="AM368" s="0" t="n">
        <v>0</v>
      </c>
    </row>
    <row r="369" customFormat="false" ht="12.75" hidden="false" customHeight="false" outlineLevel="0" collapsed="false">
      <c r="A369" s="0" t="s">
        <v>621</v>
      </c>
      <c r="B369" s="0" t="str">
        <f aca="false">'Basis Options'!C374</f>
        <v>NM6102.1</v>
      </c>
      <c r="C369" s="0" t="s">
        <v>622</v>
      </c>
      <c r="D369" s="0" t="s">
        <v>623</v>
      </c>
      <c r="E369" s="0" t="s">
        <v>131</v>
      </c>
      <c r="F369" s="0" t="str">
        <f aca="false">'Basis Options'!A374</f>
        <v>ELPASMER</v>
      </c>
      <c r="G369" s="0" t="s">
        <v>628</v>
      </c>
      <c r="H369" s="0" t="s">
        <v>625</v>
      </c>
      <c r="I369" s="0" t="s">
        <v>626</v>
      </c>
      <c r="J369" s="0" t="s">
        <v>627</v>
      </c>
      <c r="K369" s="475" t="n">
        <f aca="false">'Basis Options'!G374</f>
        <v>36831</v>
      </c>
      <c r="L369" s="254" t="e">
        <f aca="false">'Basis Options'!U374</f>
        <v>#NAME?</v>
      </c>
      <c r="M369" s="475" t="n">
        <f aca="false">'Basis Options'!Q374</f>
        <v>36829</v>
      </c>
      <c r="N369" s="0" t="str">
        <f aca="false">'Basis Options'!F374</f>
        <v>C</v>
      </c>
      <c r="O369" s="0" t="n">
        <f aca="false">'Basis Options'!I374</f>
        <v>2.5</v>
      </c>
      <c r="P369" s="0" t="n">
        <v>0</v>
      </c>
      <c r="Q369" s="0" t="n">
        <v>0</v>
      </c>
      <c r="R369" s="0" t="n">
        <v>0</v>
      </c>
      <c r="S369" s="0" t="n">
        <v>0</v>
      </c>
      <c r="T369" s="0" t="s">
        <v>624</v>
      </c>
      <c r="U369" s="0" t="str">
        <f aca="false">IF('Basis Options'!D374="NGI/CHI. GATE","""NGI/CHI. GATE""",TRIM('Basis Options'!D374))</f>
        <v>IF-TRANSCO/Z6</v>
      </c>
      <c r="V369" s="0" t="s">
        <v>624</v>
      </c>
      <c r="W369" s="0" t="s">
        <v>569</v>
      </c>
      <c r="X369" s="0" t="s">
        <v>624</v>
      </c>
      <c r="Y369" s="0" t="s">
        <v>627</v>
      </c>
      <c r="Z369" s="0" t="s">
        <v>629</v>
      </c>
      <c r="AA369" s="0" t="s">
        <v>624</v>
      </c>
      <c r="AB369" s="0" t="s">
        <v>132</v>
      </c>
      <c r="AC369" s="254" t="n">
        <f aca="false">'Basis Options'!H374</f>
        <v>-500000</v>
      </c>
      <c r="AD369" s="254" t="e">
        <f aca="false">'Basis Options'!W374</f>
        <v>#NAME?</v>
      </c>
      <c r="AE369" s="0" t="n">
        <v>0</v>
      </c>
      <c r="AF369" s="0" t="n">
        <v>0</v>
      </c>
      <c r="AG369" s="0" t="n">
        <v>0</v>
      </c>
      <c r="AH369" s="254" t="e">
        <f aca="false">'Basis Options'!CD374</f>
        <v>#NAME?</v>
      </c>
      <c r="AI369" s="0" t="n">
        <v>226</v>
      </c>
      <c r="AJ369" s="0" t="s">
        <v>630</v>
      </c>
      <c r="AK369" s="0" t="n">
        <v>0</v>
      </c>
      <c r="AL369" s="0" t="n">
        <v>0</v>
      </c>
      <c r="AM369" s="0" t="n">
        <v>0</v>
      </c>
    </row>
    <row r="370" customFormat="false" ht="12.75" hidden="false" customHeight="false" outlineLevel="0" collapsed="false">
      <c r="A370" s="0" t="s">
        <v>621</v>
      </c>
      <c r="B370" s="0" t="str">
        <f aca="false">'Basis Options'!C375</f>
        <v>NM6107</v>
      </c>
      <c r="C370" s="0" t="s">
        <v>622</v>
      </c>
      <c r="D370" s="0" t="s">
        <v>623</v>
      </c>
      <c r="E370" s="0" t="s">
        <v>131</v>
      </c>
      <c r="F370" s="0" t="str">
        <f aca="false">'Basis Options'!A375</f>
        <v>JARON</v>
      </c>
      <c r="G370" s="0" t="s">
        <v>628</v>
      </c>
      <c r="H370" s="0" t="s">
        <v>625</v>
      </c>
      <c r="I370" s="0" t="s">
        <v>626</v>
      </c>
      <c r="J370" s="0" t="s">
        <v>627</v>
      </c>
      <c r="K370" s="475" t="n">
        <f aca="false">'Basis Options'!G375</f>
        <v>36951</v>
      </c>
      <c r="L370" s="254" t="e">
        <f aca="false">'Basis Options'!U375</f>
        <v>#NAME?</v>
      </c>
      <c r="M370" s="475" t="n">
        <f aca="false">'Basis Options'!Q375</f>
        <v>36949</v>
      </c>
      <c r="N370" s="0" t="str">
        <f aca="false">'Basis Options'!F375</f>
        <v>P</v>
      </c>
      <c r="O370" s="0" t="n">
        <f aca="false">'Basis Options'!I375</f>
        <v>0.7</v>
      </c>
      <c r="P370" s="0" t="n">
        <v>0</v>
      </c>
      <c r="Q370" s="0" t="n">
        <v>0</v>
      </c>
      <c r="R370" s="0" t="n">
        <v>0</v>
      </c>
      <c r="S370" s="0" t="n">
        <v>0</v>
      </c>
      <c r="T370" s="0" t="s">
        <v>624</v>
      </c>
      <c r="U370" s="0" t="str">
        <f aca="false">IF('Basis Options'!D375="NGI/CHI. GATE","""NGI/CHI. GATE""",TRIM('Basis Options'!D375))</f>
        <v>IF-TRANSCO/Z6</v>
      </c>
      <c r="V370" s="0" t="s">
        <v>624</v>
      </c>
      <c r="W370" s="0" t="s">
        <v>569</v>
      </c>
      <c r="X370" s="0" t="s">
        <v>624</v>
      </c>
      <c r="Y370" s="0" t="s">
        <v>627</v>
      </c>
      <c r="Z370" s="0" t="s">
        <v>629</v>
      </c>
      <c r="AA370" s="0" t="s">
        <v>624</v>
      </c>
      <c r="AB370" s="0" t="s">
        <v>132</v>
      </c>
      <c r="AC370" s="254" t="n">
        <f aca="false">'Basis Options'!H375</f>
        <v>500000</v>
      </c>
      <c r="AD370" s="254" t="e">
        <f aca="false">'Basis Options'!W375</f>
        <v>#NAME?</v>
      </c>
      <c r="AE370" s="0" t="n">
        <v>0</v>
      </c>
      <c r="AF370" s="0" t="n">
        <v>0</v>
      </c>
      <c r="AG370" s="0" t="n">
        <v>0</v>
      </c>
      <c r="AH370" s="254" t="e">
        <f aca="false">'Basis Options'!CD375</f>
        <v>#NAME?</v>
      </c>
      <c r="AI370" s="0" t="n">
        <v>226</v>
      </c>
      <c r="AJ370" s="0" t="s">
        <v>630</v>
      </c>
      <c r="AK370" s="0" t="n">
        <v>0</v>
      </c>
      <c r="AL370" s="0" t="n">
        <v>0</v>
      </c>
      <c r="AM370" s="0" t="n">
        <v>0</v>
      </c>
    </row>
    <row r="371" customFormat="false" ht="12.75" hidden="false" customHeight="false" outlineLevel="0" collapsed="false">
      <c r="A371" s="0" t="s">
        <v>621</v>
      </c>
      <c r="B371" s="0" t="str">
        <f aca="false">'Basis Options'!C376</f>
        <v>NM6107</v>
      </c>
      <c r="C371" s="0" t="s">
        <v>622</v>
      </c>
      <c r="D371" s="0" t="s">
        <v>623</v>
      </c>
      <c r="E371" s="0" t="s">
        <v>131</v>
      </c>
      <c r="F371" s="0" t="str">
        <f aca="false">'Basis Options'!A376</f>
        <v>JARON</v>
      </c>
      <c r="G371" s="0" t="s">
        <v>628</v>
      </c>
      <c r="H371" s="0" t="s">
        <v>625</v>
      </c>
      <c r="I371" s="0" t="s">
        <v>626</v>
      </c>
      <c r="J371" s="0" t="s">
        <v>627</v>
      </c>
      <c r="K371" s="475" t="n">
        <f aca="false">'Basis Options'!G376</f>
        <v>36923</v>
      </c>
      <c r="L371" s="254" t="e">
        <f aca="false">'Basis Options'!U376</f>
        <v>#NAME?</v>
      </c>
      <c r="M371" s="475" t="n">
        <f aca="false">'Basis Options'!Q376</f>
        <v>36921</v>
      </c>
      <c r="N371" s="0" t="str">
        <f aca="false">'Basis Options'!F376</f>
        <v>P</v>
      </c>
      <c r="O371" s="0" t="n">
        <f aca="false">'Basis Options'!I376</f>
        <v>0.7</v>
      </c>
      <c r="P371" s="0" t="n">
        <v>0</v>
      </c>
      <c r="Q371" s="0" t="n">
        <v>0</v>
      </c>
      <c r="R371" s="0" t="n">
        <v>0</v>
      </c>
      <c r="S371" s="0" t="n">
        <v>0</v>
      </c>
      <c r="T371" s="0" t="s">
        <v>624</v>
      </c>
      <c r="U371" s="0" t="str">
        <f aca="false">IF('Basis Options'!D376="NGI/CHI. GATE","""NGI/CHI. GATE""",TRIM('Basis Options'!D376))</f>
        <v>IF-TRANSCO/Z6</v>
      </c>
      <c r="V371" s="0" t="s">
        <v>624</v>
      </c>
      <c r="W371" s="0" t="s">
        <v>569</v>
      </c>
      <c r="X371" s="0" t="s">
        <v>624</v>
      </c>
      <c r="Y371" s="0" t="s">
        <v>627</v>
      </c>
      <c r="Z371" s="0" t="s">
        <v>629</v>
      </c>
      <c r="AA371" s="0" t="s">
        <v>624</v>
      </c>
      <c r="AB371" s="0" t="s">
        <v>132</v>
      </c>
      <c r="AC371" s="254" t="n">
        <f aca="false">'Basis Options'!H376</f>
        <v>500000</v>
      </c>
      <c r="AD371" s="254" t="e">
        <f aca="false">'Basis Options'!W376</f>
        <v>#NAME?</v>
      </c>
      <c r="AE371" s="0" t="n">
        <v>0</v>
      </c>
      <c r="AF371" s="0" t="n">
        <v>0</v>
      </c>
      <c r="AG371" s="0" t="n">
        <v>0</v>
      </c>
      <c r="AH371" s="254" t="e">
        <f aca="false">'Basis Options'!CD376</f>
        <v>#NAME?</v>
      </c>
      <c r="AI371" s="0" t="n">
        <v>226</v>
      </c>
      <c r="AJ371" s="0" t="s">
        <v>630</v>
      </c>
      <c r="AK371" s="0" t="n">
        <v>0</v>
      </c>
      <c r="AL371" s="0" t="n">
        <v>0</v>
      </c>
      <c r="AM371" s="0" t="n">
        <v>0</v>
      </c>
    </row>
    <row r="372" customFormat="false" ht="12.75" hidden="false" customHeight="false" outlineLevel="0" collapsed="false">
      <c r="A372" s="0" t="s">
        <v>621</v>
      </c>
      <c r="B372" s="0" t="str">
        <f aca="false">'Basis Options'!C377</f>
        <v>NM6107</v>
      </c>
      <c r="C372" s="0" t="s">
        <v>622</v>
      </c>
      <c r="D372" s="0" t="s">
        <v>623</v>
      </c>
      <c r="E372" s="0" t="s">
        <v>131</v>
      </c>
      <c r="F372" s="0" t="str">
        <f aca="false">'Basis Options'!A377</f>
        <v>JARON</v>
      </c>
      <c r="G372" s="0" t="s">
        <v>628</v>
      </c>
      <c r="H372" s="0" t="s">
        <v>625</v>
      </c>
      <c r="I372" s="0" t="s">
        <v>626</v>
      </c>
      <c r="J372" s="0" t="s">
        <v>627</v>
      </c>
      <c r="K372" s="475" t="n">
        <f aca="false">'Basis Options'!G377</f>
        <v>36892</v>
      </c>
      <c r="L372" s="254" t="e">
        <f aca="false">'Basis Options'!U377</f>
        <v>#NAME?</v>
      </c>
      <c r="M372" s="475" t="n">
        <f aca="false">'Basis Options'!Q377</f>
        <v>36888</v>
      </c>
      <c r="N372" s="0" t="str">
        <f aca="false">'Basis Options'!F377</f>
        <v>P</v>
      </c>
      <c r="O372" s="0" t="n">
        <f aca="false">'Basis Options'!I377</f>
        <v>0.7</v>
      </c>
      <c r="P372" s="0" t="n">
        <v>0</v>
      </c>
      <c r="Q372" s="0" t="n">
        <v>0</v>
      </c>
      <c r="R372" s="0" t="n">
        <v>0</v>
      </c>
      <c r="S372" s="0" t="n">
        <v>0</v>
      </c>
      <c r="T372" s="0" t="s">
        <v>624</v>
      </c>
      <c r="U372" s="0" t="str">
        <f aca="false">IF('Basis Options'!D377="NGI/CHI. GATE","""NGI/CHI. GATE""",TRIM('Basis Options'!D377))</f>
        <v>IF-TRANSCO/Z6</v>
      </c>
      <c r="V372" s="0" t="s">
        <v>624</v>
      </c>
      <c r="W372" s="0" t="s">
        <v>569</v>
      </c>
      <c r="X372" s="0" t="s">
        <v>624</v>
      </c>
      <c r="Y372" s="0" t="s">
        <v>627</v>
      </c>
      <c r="Z372" s="0" t="s">
        <v>629</v>
      </c>
      <c r="AA372" s="0" t="s">
        <v>624</v>
      </c>
      <c r="AB372" s="0" t="s">
        <v>132</v>
      </c>
      <c r="AC372" s="254" t="n">
        <f aca="false">'Basis Options'!H377</f>
        <v>500000</v>
      </c>
      <c r="AD372" s="254" t="e">
        <f aca="false">'Basis Options'!W377</f>
        <v>#NAME?</v>
      </c>
      <c r="AE372" s="0" t="n">
        <v>0</v>
      </c>
      <c r="AF372" s="0" t="n">
        <v>0</v>
      </c>
      <c r="AG372" s="0" t="n">
        <v>0</v>
      </c>
      <c r="AH372" s="254" t="e">
        <f aca="false">'Basis Options'!CD377</f>
        <v>#NAME?</v>
      </c>
      <c r="AI372" s="0" t="n">
        <v>226</v>
      </c>
      <c r="AJ372" s="0" t="s">
        <v>630</v>
      </c>
      <c r="AK372" s="0" t="n">
        <v>0</v>
      </c>
      <c r="AL372" s="0" t="n">
        <v>0</v>
      </c>
      <c r="AM372" s="0" t="n">
        <v>0</v>
      </c>
    </row>
    <row r="373" customFormat="false" ht="12.75" hidden="false" customHeight="false" outlineLevel="0" collapsed="false">
      <c r="A373" s="0" t="s">
        <v>621</v>
      </c>
      <c r="B373" s="0" t="str">
        <f aca="false">'Basis Options'!C378</f>
        <v>NM6107</v>
      </c>
      <c r="C373" s="0" t="s">
        <v>622</v>
      </c>
      <c r="D373" s="0" t="s">
        <v>623</v>
      </c>
      <c r="E373" s="0" t="s">
        <v>131</v>
      </c>
      <c r="F373" s="0" t="str">
        <f aca="false">'Basis Options'!A378</f>
        <v>JARON</v>
      </c>
      <c r="G373" s="0" t="s">
        <v>628</v>
      </c>
      <c r="H373" s="0" t="s">
        <v>625</v>
      </c>
      <c r="I373" s="0" t="s">
        <v>626</v>
      </c>
      <c r="J373" s="0" t="s">
        <v>627</v>
      </c>
      <c r="K373" s="475" t="n">
        <f aca="false">'Basis Options'!G378</f>
        <v>36861</v>
      </c>
      <c r="L373" s="254" t="e">
        <f aca="false">'Basis Options'!U378</f>
        <v>#NAME?</v>
      </c>
      <c r="M373" s="475" t="n">
        <f aca="false">'Basis Options'!Q378</f>
        <v>36859</v>
      </c>
      <c r="N373" s="0" t="str">
        <f aca="false">'Basis Options'!F378</f>
        <v>P</v>
      </c>
      <c r="O373" s="0" t="n">
        <f aca="false">'Basis Options'!I378</f>
        <v>0.7</v>
      </c>
      <c r="P373" s="0" t="n">
        <v>0</v>
      </c>
      <c r="Q373" s="0" t="n">
        <v>0</v>
      </c>
      <c r="R373" s="0" t="n">
        <v>0</v>
      </c>
      <c r="S373" s="0" t="n">
        <v>0</v>
      </c>
      <c r="T373" s="0" t="s">
        <v>624</v>
      </c>
      <c r="U373" s="0" t="str">
        <f aca="false">IF('Basis Options'!D378="NGI/CHI. GATE","""NGI/CHI. GATE""",TRIM('Basis Options'!D378))</f>
        <v>IF-TRANSCO/Z6</v>
      </c>
      <c r="V373" s="0" t="s">
        <v>624</v>
      </c>
      <c r="W373" s="0" t="s">
        <v>569</v>
      </c>
      <c r="X373" s="0" t="s">
        <v>624</v>
      </c>
      <c r="Y373" s="0" t="s">
        <v>627</v>
      </c>
      <c r="Z373" s="0" t="s">
        <v>629</v>
      </c>
      <c r="AA373" s="0" t="s">
        <v>624</v>
      </c>
      <c r="AB373" s="0" t="s">
        <v>132</v>
      </c>
      <c r="AC373" s="254" t="n">
        <f aca="false">'Basis Options'!H378</f>
        <v>500000</v>
      </c>
      <c r="AD373" s="254" t="e">
        <f aca="false">'Basis Options'!W378</f>
        <v>#NAME?</v>
      </c>
      <c r="AE373" s="0" t="n">
        <v>0</v>
      </c>
      <c r="AF373" s="0" t="n">
        <v>0</v>
      </c>
      <c r="AG373" s="0" t="n">
        <v>0</v>
      </c>
      <c r="AH373" s="254" t="e">
        <f aca="false">'Basis Options'!CD378</f>
        <v>#NAME?</v>
      </c>
      <c r="AI373" s="0" t="n">
        <v>226</v>
      </c>
      <c r="AJ373" s="0" t="s">
        <v>630</v>
      </c>
      <c r="AK373" s="0" t="n">
        <v>0</v>
      </c>
      <c r="AL373" s="0" t="n">
        <v>0</v>
      </c>
      <c r="AM373" s="0" t="n">
        <v>0</v>
      </c>
    </row>
    <row r="374" customFormat="false" ht="12.75" hidden="false" customHeight="false" outlineLevel="0" collapsed="false">
      <c r="A374" s="0" t="s">
        <v>621</v>
      </c>
      <c r="B374" s="0" t="str">
        <f aca="false">'Basis Options'!C379</f>
        <v>NM6107</v>
      </c>
      <c r="C374" s="0" t="s">
        <v>622</v>
      </c>
      <c r="D374" s="0" t="s">
        <v>623</v>
      </c>
      <c r="E374" s="0" t="s">
        <v>131</v>
      </c>
      <c r="F374" s="0" t="str">
        <f aca="false">'Basis Options'!A379</f>
        <v>JARON</v>
      </c>
      <c r="G374" s="0" t="s">
        <v>628</v>
      </c>
      <c r="H374" s="0" t="s">
        <v>625</v>
      </c>
      <c r="I374" s="0" t="s">
        <v>626</v>
      </c>
      <c r="J374" s="0" t="s">
        <v>627</v>
      </c>
      <c r="K374" s="475" t="n">
        <f aca="false">'Basis Options'!G379</f>
        <v>36831</v>
      </c>
      <c r="L374" s="254" t="e">
        <f aca="false">'Basis Options'!U379</f>
        <v>#NAME?</v>
      </c>
      <c r="M374" s="475" t="n">
        <f aca="false">'Basis Options'!Q379</f>
        <v>36829</v>
      </c>
      <c r="N374" s="0" t="str">
        <f aca="false">'Basis Options'!F379</f>
        <v>P</v>
      </c>
      <c r="O374" s="0" t="n">
        <f aca="false">'Basis Options'!I379</f>
        <v>0.7</v>
      </c>
      <c r="P374" s="0" t="n">
        <v>0</v>
      </c>
      <c r="Q374" s="0" t="n">
        <v>0</v>
      </c>
      <c r="R374" s="0" t="n">
        <v>0</v>
      </c>
      <c r="S374" s="0" t="n">
        <v>0</v>
      </c>
      <c r="T374" s="0" t="s">
        <v>624</v>
      </c>
      <c r="U374" s="0" t="str">
        <f aca="false">IF('Basis Options'!D379="NGI/CHI. GATE","""NGI/CHI. GATE""",TRIM('Basis Options'!D379))</f>
        <v>IF-TRANSCO/Z6</v>
      </c>
      <c r="V374" s="0" t="s">
        <v>624</v>
      </c>
      <c r="W374" s="0" t="s">
        <v>569</v>
      </c>
      <c r="X374" s="0" t="s">
        <v>624</v>
      </c>
      <c r="Y374" s="0" t="s">
        <v>627</v>
      </c>
      <c r="Z374" s="0" t="s">
        <v>629</v>
      </c>
      <c r="AA374" s="0" t="s">
        <v>624</v>
      </c>
      <c r="AB374" s="0" t="s">
        <v>132</v>
      </c>
      <c r="AC374" s="254" t="n">
        <f aca="false">'Basis Options'!H379</f>
        <v>500000</v>
      </c>
      <c r="AD374" s="254" t="e">
        <f aca="false">'Basis Options'!W379</f>
        <v>#NAME?</v>
      </c>
      <c r="AE374" s="0" t="n">
        <v>0</v>
      </c>
      <c r="AF374" s="0" t="n">
        <v>0</v>
      </c>
      <c r="AG374" s="0" t="n">
        <v>0</v>
      </c>
      <c r="AH374" s="254" t="e">
        <f aca="false">'Basis Options'!CD379</f>
        <v>#NAME?</v>
      </c>
      <c r="AI374" s="0" t="n">
        <v>226</v>
      </c>
      <c r="AJ374" s="0" t="s">
        <v>630</v>
      </c>
      <c r="AK374" s="0" t="n">
        <v>0</v>
      </c>
      <c r="AL374" s="0" t="n">
        <v>0</v>
      </c>
      <c r="AM374" s="0" t="n">
        <v>0</v>
      </c>
    </row>
    <row r="375" customFormat="false" ht="12.75" hidden="false" customHeight="false" outlineLevel="0" collapsed="false">
      <c r="A375" s="0" t="s">
        <v>621</v>
      </c>
      <c r="B375" s="0" t="str">
        <f aca="false">'Basis Options'!C380</f>
        <v>NM6136</v>
      </c>
      <c r="C375" s="0" t="s">
        <v>622</v>
      </c>
      <c r="D375" s="0" t="s">
        <v>623</v>
      </c>
      <c r="E375" s="0" t="s">
        <v>131</v>
      </c>
      <c r="F375" s="0" t="str">
        <f aca="false">'Basis Options'!A380</f>
        <v>DUKEENETRA</v>
      </c>
      <c r="G375" s="0" t="s">
        <v>628</v>
      </c>
      <c r="H375" s="0" t="s">
        <v>625</v>
      </c>
      <c r="I375" s="0" t="s">
        <v>626</v>
      </c>
      <c r="J375" s="0" t="s">
        <v>627</v>
      </c>
      <c r="K375" s="475" t="n">
        <f aca="false">'Basis Options'!G380</f>
        <v>36951</v>
      </c>
      <c r="L375" s="254" t="e">
        <f aca="false">'Basis Options'!U380</f>
        <v>#NAME?</v>
      </c>
      <c r="M375" s="475" t="n">
        <f aca="false">'Basis Options'!Q380</f>
        <v>36949</v>
      </c>
      <c r="N375" s="0" t="str">
        <f aca="false">'Basis Options'!F380</f>
        <v>P</v>
      </c>
      <c r="O375" s="0" t="n">
        <f aca="false">'Basis Options'!I380</f>
        <v>0.75</v>
      </c>
      <c r="P375" s="0" t="n">
        <v>0</v>
      </c>
      <c r="Q375" s="0" t="n">
        <v>0</v>
      </c>
      <c r="R375" s="0" t="n">
        <v>0</v>
      </c>
      <c r="S375" s="0" t="n">
        <v>0</v>
      </c>
      <c r="T375" s="0" t="s">
        <v>624</v>
      </c>
      <c r="U375" s="0" t="str">
        <f aca="false">IF('Basis Options'!D380="NGI/CHI. GATE","""NGI/CHI. GATE""",TRIM('Basis Options'!D380))</f>
        <v>IF-TRANSCO/Z6</v>
      </c>
      <c r="V375" s="0" t="s">
        <v>624</v>
      </c>
      <c r="W375" s="0" t="s">
        <v>569</v>
      </c>
      <c r="X375" s="0" t="s">
        <v>624</v>
      </c>
      <c r="Y375" s="0" t="s">
        <v>627</v>
      </c>
      <c r="Z375" s="0" t="s">
        <v>629</v>
      </c>
      <c r="AA375" s="0" t="s">
        <v>624</v>
      </c>
      <c r="AB375" s="0" t="s">
        <v>132</v>
      </c>
      <c r="AC375" s="254" t="n">
        <f aca="false">'Basis Options'!H380</f>
        <v>1500000</v>
      </c>
      <c r="AD375" s="254" t="e">
        <f aca="false">'Basis Options'!W380</f>
        <v>#NAME?</v>
      </c>
      <c r="AE375" s="0" t="n">
        <v>0</v>
      </c>
      <c r="AF375" s="0" t="n">
        <v>0</v>
      </c>
      <c r="AG375" s="0" t="n">
        <v>0</v>
      </c>
      <c r="AH375" s="254" t="e">
        <f aca="false">'Basis Options'!CD380</f>
        <v>#NAME?</v>
      </c>
      <c r="AI375" s="0" t="n">
        <v>226</v>
      </c>
      <c r="AJ375" s="0" t="s">
        <v>630</v>
      </c>
      <c r="AK375" s="0" t="n">
        <v>0</v>
      </c>
      <c r="AL375" s="0" t="n">
        <v>0</v>
      </c>
      <c r="AM375" s="0" t="n">
        <v>0</v>
      </c>
    </row>
    <row r="376" customFormat="false" ht="12.75" hidden="false" customHeight="false" outlineLevel="0" collapsed="false">
      <c r="A376" s="0" t="s">
        <v>621</v>
      </c>
      <c r="B376" s="0" t="str">
        <f aca="false">'Basis Options'!C381</f>
        <v>NM6136</v>
      </c>
      <c r="C376" s="0" t="s">
        <v>622</v>
      </c>
      <c r="D376" s="0" t="s">
        <v>623</v>
      </c>
      <c r="E376" s="0" t="s">
        <v>131</v>
      </c>
      <c r="F376" s="0" t="str">
        <f aca="false">'Basis Options'!A381</f>
        <v>DUKEENETRA</v>
      </c>
      <c r="G376" s="0" t="s">
        <v>628</v>
      </c>
      <c r="H376" s="0" t="s">
        <v>625</v>
      </c>
      <c r="I376" s="0" t="s">
        <v>626</v>
      </c>
      <c r="J376" s="0" t="s">
        <v>627</v>
      </c>
      <c r="K376" s="475" t="n">
        <f aca="false">'Basis Options'!G381</f>
        <v>36923</v>
      </c>
      <c r="L376" s="254" t="e">
        <f aca="false">'Basis Options'!U381</f>
        <v>#NAME?</v>
      </c>
      <c r="M376" s="475" t="n">
        <f aca="false">'Basis Options'!Q381</f>
        <v>36921</v>
      </c>
      <c r="N376" s="0" t="str">
        <f aca="false">'Basis Options'!F381</f>
        <v>P</v>
      </c>
      <c r="O376" s="0" t="n">
        <f aca="false">'Basis Options'!I381</f>
        <v>0.75</v>
      </c>
      <c r="P376" s="0" t="n">
        <v>0</v>
      </c>
      <c r="Q376" s="0" t="n">
        <v>0</v>
      </c>
      <c r="R376" s="0" t="n">
        <v>0</v>
      </c>
      <c r="S376" s="0" t="n">
        <v>0</v>
      </c>
      <c r="T376" s="0" t="s">
        <v>624</v>
      </c>
      <c r="U376" s="0" t="str">
        <f aca="false">IF('Basis Options'!D381="NGI/CHI. GATE","""NGI/CHI. GATE""",TRIM('Basis Options'!D381))</f>
        <v>IF-TRANSCO/Z6</v>
      </c>
      <c r="V376" s="0" t="s">
        <v>624</v>
      </c>
      <c r="W376" s="0" t="s">
        <v>569</v>
      </c>
      <c r="X376" s="0" t="s">
        <v>624</v>
      </c>
      <c r="Y376" s="0" t="s">
        <v>627</v>
      </c>
      <c r="Z376" s="0" t="s">
        <v>629</v>
      </c>
      <c r="AA376" s="0" t="s">
        <v>624</v>
      </c>
      <c r="AB376" s="0" t="s">
        <v>132</v>
      </c>
      <c r="AC376" s="254" t="n">
        <f aca="false">'Basis Options'!H381</f>
        <v>1500000</v>
      </c>
      <c r="AD376" s="254" t="e">
        <f aca="false">'Basis Options'!W381</f>
        <v>#NAME?</v>
      </c>
      <c r="AE376" s="0" t="n">
        <v>0</v>
      </c>
      <c r="AF376" s="0" t="n">
        <v>0</v>
      </c>
      <c r="AG376" s="0" t="n">
        <v>0</v>
      </c>
      <c r="AH376" s="254" t="e">
        <f aca="false">'Basis Options'!CD381</f>
        <v>#NAME?</v>
      </c>
      <c r="AI376" s="0" t="n">
        <v>226</v>
      </c>
      <c r="AJ376" s="0" t="s">
        <v>630</v>
      </c>
      <c r="AK376" s="0" t="n">
        <v>0</v>
      </c>
      <c r="AL376" s="0" t="n">
        <v>0</v>
      </c>
      <c r="AM376" s="0" t="n">
        <v>0</v>
      </c>
    </row>
    <row r="377" customFormat="false" ht="12.75" hidden="false" customHeight="false" outlineLevel="0" collapsed="false">
      <c r="A377" s="0" t="s">
        <v>621</v>
      </c>
      <c r="B377" s="0" t="str">
        <f aca="false">'Basis Options'!C382</f>
        <v>NM6136</v>
      </c>
      <c r="C377" s="0" t="s">
        <v>622</v>
      </c>
      <c r="D377" s="0" t="s">
        <v>623</v>
      </c>
      <c r="E377" s="0" t="s">
        <v>131</v>
      </c>
      <c r="F377" s="0" t="str">
        <f aca="false">'Basis Options'!A382</f>
        <v>DUKEENETRA</v>
      </c>
      <c r="G377" s="0" t="s">
        <v>628</v>
      </c>
      <c r="H377" s="0" t="s">
        <v>625</v>
      </c>
      <c r="I377" s="0" t="s">
        <v>626</v>
      </c>
      <c r="J377" s="0" t="s">
        <v>627</v>
      </c>
      <c r="K377" s="475" t="n">
        <f aca="false">'Basis Options'!G382</f>
        <v>36892</v>
      </c>
      <c r="L377" s="254" t="e">
        <f aca="false">'Basis Options'!U382</f>
        <v>#NAME?</v>
      </c>
      <c r="M377" s="475" t="n">
        <f aca="false">'Basis Options'!Q382</f>
        <v>36888</v>
      </c>
      <c r="N377" s="0" t="str">
        <f aca="false">'Basis Options'!F382</f>
        <v>P</v>
      </c>
      <c r="O377" s="0" t="n">
        <f aca="false">'Basis Options'!I382</f>
        <v>0.75</v>
      </c>
      <c r="P377" s="0" t="n">
        <v>0</v>
      </c>
      <c r="Q377" s="0" t="n">
        <v>0</v>
      </c>
      <c r="R377" s="0" t="n">
        <v>0</v>
      </c>
      <c r="S377" s="0" t="n">
        <v>0</v>
      </c>
      <c r="T377" s="0" t="s">
        <v>624</v>
      </c>
      <c r="U377" s="0" t="str">
        <f aca="false">IF('Basis Options'!D382="NGI/CHI. GATE","""NGI/CHI. GATE""",TRIM('Basis Options'!D382))</f>
        <v>IF-TRANSCO/Z6</v>
      </c>
      <c r="V377" s="0" t="s">
        <v>624</v>
      </c>
      <c r="W377" s="0" t="s">
        <v>569</v>
      </c>
      <c r="X377" s="0" t="s">
        <v>624</v>
      </c>
      <c r="Y377" s="0" t="s">
        <v>627</v>
      </c>
      <c r="Z377" s="0" t="s">
        <v>629</v>
      </c>
      <c r="AA377" s="0" t="s">
        <v>624</v>
      </c>
      <c r="AB377" s="0" t="s">
        <v>132</v>
      </c>
      <c r="AC377" s="254" t="n">
        <f aca="false">'Basis Options'!H382</f>
        <v>1500000</v>
      </c>
      <c r="AD377" s="254" t="e">
        <f aca="false">'Basis Options'!W382</f>
        <v>#NAME?</v>
      </c>
      <c r="AE377" s="0" t="n">
        <v>0</v>
      </c>
      <c r="AF377" s="0" t="n">
        <v>0</v>
      </c>
      <c r="AG377" s="0" t="n">
        <v>0</v>
      </c>
      <c r="AH377" s="254" t="e">
        <f aca="false">'Basis Options'!CD382</f>
        <v>#NAME?</v>
      </c>
      <c r="AI377" s="0" t="n">
        <v>226</v>
      </c>
      <c r="AJ377" s="0" t="s">
        <v>630</v>
      </c>
      <c r="AK377" s="0" t="n">
        <v>0</v>
      </c>
      <c r="AL377" s="0" t="n">
        <v>0</v>
      </c>
      <c r="AM377" s="0" t="n">
        <v>0</v>
      </c>
    </row>
    <row r="378" customFormat="false" ht="12.75" hidden="false" customHeight="false" outlineLevel="0" collapsed="false">
      <c r="A378" s="0" t="s">
        <v>621</v>
      </c>
      <c r="B378" s="0" t="str">
        <f aca="false">'Basis Options'!C383</f>
        <v>NM6136</v>
      </c>
      <c r="C378" s="0" t="s">
        <v>622</v>
      </c>
      <c r="D378" s="0" t="s">
        <v>623</v>
      </c>
      <c r="E378" s="0" t="s">
        <v>131</v>
      </c>
      <c r="F378" s="0" t="str">
        <f aca="false">'Basis Options'!A383</f>
        <v>DUKEENETRA</v>
      </c>
      <c r="G378" s="0" t="s">
        <v>628</v>
      </c>
      <c r="H378" s="0" t="s">
        <v>625</v>
      </c>
      <c r="I378" s="0" t="s">
        <v>626</v>
      </c>
      <c r="J378" s="0" t="s">
        <v>627</v>
      </c>
      <c r="K378" s="475" t="n">
        <f aca="false">'Basis Options'!G383</f>
        <v>36861</v>
      </c>
      <c r="L378" s="254" t="e">
        <f aca="false">'Basis Options'!U383</f>
        <v>#NAME?</v>
      </c>
      <c r="M378" s="475" t="n">
        <f aca="false">'Basis Options'!Q383</f>
        <v>36859</v>
      </c>
      <c r="N378" s="0" t="str">
        <f aca="false">'Basis Options'!F383</f>
        <v>P</v>
      </c>
      <c r="O378" s="0" t="n">
        <f aca="false">'Basis Options'!I383</f>
        <v>0.75</v>
      </c>
      <c r="P378" s="0" t="n">
        <v>0</v>
      </c>
      <c r="Q378" s="0" t="n">
        <v>0</v>
      </c>
      <c r="R378" s="0" t="n">
        <v>0</v>
      </c>
      <c r="S378" s="0" t="n">
        <v>0</v>
      </c>
      <c r="T378" s="0" t="s">
        <v>624</v>
      </c>
      <c r="U378" s="0" t="str">
        <f aca="false">IF('Basis Options'!D383="NGI/CHI. GATE","""NGI/CHI. GATE""",TRIM('Basis Options'!D383))</f>
        <v>IF-TRANSCO/Z6</v>
      </c>
      <c r="V378" s="0" t="s">
        <v>624</v>
      </c>
      <c r="W378" s="0" t="s">
        <v>569</v>
      </c>
      <c r="X378" s="0" t="s">
        <v>624</v>
      </c>
      <c r="Y378" s="0" t="s">
        <v>627</v>
      </c>
      <c r="Z378" s="0" t="s">
        <v>629</v>
      </c>
      <c r="AA378" s="0" t="s">
        <v>624</v>
      </c>
      <c r="AB378" s="0" t="s">
        <v>132</v>
      </c>
      <c r="AC378" s="254" t="n">
        <f aca="false">'Basis Options'!H383</f>
        <v>1500000</v>
      </c>
      <c r="AD378" s="254" t="e">
        <f aca="false">'Basis Options'!W383</f>
        <v>#NAME?</v>
      </c>
      <c r="AE378" s="0" t="n">
        <v>0</v>
      </c>
      <c r="AF378" s="0" t="n">
        <v>0</v>
      </c>
      <c r="AG378" s="0" t="n">
        <v>0</v>
      </c>
      <c r="AH378" s="254" t="e">
        <f aca="false">'Basis Options'!CD383</f>
        <v>#NAME?</v>
      </c>
      <c r="AI378" s="0" t="n">
        <v>226</v>
      </c>
      <c r="AJ378" s="0" t="s">
        <v>630</v>
      </c>
      <c r="AK378" s="0" t="n">
        <v>0</v>
      </c>
      <c r="AL378" s="0" t="n">
        <v>0</v>
      </c>
      <c r="AM378" s="0" t="n">
        <v>0</v>
      </c>
    </row>
    <row r="379" customFormat="false" ht="12.75" hidden="false" customHeight="false" outlineLevel="0" collapsed="false">
      <c r="A379" s="0" t="s">
        <v>621</v>
      </c>
      <c r="B379" s="0" t="str">
        <f aca="false">'Basis Options'!C384</f>
        <v>NM6136</v>
      </c>
      <c r="C379" s="0" t="s">
        <v>622</v>
      </c>
      <c r="D379" s="0" t="s">
        <v>623</v>
      </c>
      <c r="E379" s="0" t="s">
        <v>131</v>
      </c>
      <c r="F379" s="0" t="str">
        <f aca="false">'Basis Options'!A384</f>
        <v>DUKEENETRA</v>
      </c>
      <c r="G379" s="0" t="s">
        <v>628</v>
      </c>
      <c r="H379" s="0" t="s">
        <v>625</v>
      </c>
      <c r="I379" s="0" t="s">
        <v>626</v>
      </c>
      <c r="J379" s="0" t="s">
        <v>627</v>
      </c>
      <c r="K379" s="475" t="n">
        <f aca="false">'Basis Options'!G384</f>
        <v>36831</v>
      </c>
      <c r="L379" s="254" t="e">
        <f aca="false">'Basis Options'!U384</f>
        <v>#NAME?</v>
      </c>
      <c r="M379" s="475" t="n">
        <f aca="false">'Basis Options'!Q384</f>
        <v>36829</v>
      </c>
      <c r="N379" s="0" t="str">
        <f aca="false">'Basis Options'!F384</f>
        <v>P</v>
      </c>
      <c r="O379" s="0" t="n">
        <f aca="false">'Basis Options'!I384</f>
        <v>0.75</v>
      </c>
      <c r="P379" s="0" t="n">
        <v>0</v>
      </c>
      <c r="Q379" s="0" t="n">
        <v>0</v>
      </c>
      <c r="R379" s="0" t="n">
        <v>0</v>
      </c>
      <c r="S379" s="0" t="n">
        <v>0</v>
      </c>
      <c r="T379" s="0" t="s">
        <v>624</v>
      </c>
      <c r="U379" s="0" t="str">
        <f aca="false">IF('Basis Options'!D384="NGI/CHI. GATE","""NGI/CHI. GATE""",TRIM('Basis Options'!D384))</f>
        <v>IF-TRANSCO/Z6</v>
      </c>
      <c r="V379" s="0" t="s">
        <v>624</v>
      </c>
      <c r="W379" s="0" t="s">
        <v>569</v>
      </c>
      <c r="X379" s="0" t="s">
        <v>624</v>
      </c>
      <c r="Y379" s="0" t="s">
        <v>627</v>
      </c>
      <c r="Z379" s="0" t="s">
        <v>629</v>
      </c>
      <c r="AA379" s="0" t="s">
        <v>624</v>
      </c>
      <c r="AB379" s="0" t="s">
        <v>132</v>
      </c>
      <c r="AC379" s="254" t="n">
        <f aca="false">'Basis Options'!H384</f>
        <v>1500000</v>
      </c>
      <c r="AD379" s="254" t="e">
        <f aca="false">'Basis Options'!W384</f>
        <v>#NAME?</v>
      </c>
      <c r="AE379" s="0" t="n">
        <v>0</v>
      </c>
      <c r="AF379" s="0" t="n">
        <v>0</v>
      </c>
      <c r="AG379" s="0" t="n">
        <v>0</v>
      </c>
      <c r="AH379" s="254" t="e">
        <f aca="false">'Basis Options'!CD384</f>
        <v>#NAME?</v>
      </c>
      <c r="AI379" s="0" t="n">
        <v>226</v>
      </c>
      <c r="AJ379" s="0" t="s">
        <v>630</v>
      </c>
      <c r="AK379" s="0" t="n">
        <v>0</v>
      </c>
      <c r="AL379" s="0" t="n">
        <v>0</v>
      </c>
      <c r="AM379" s="0" t="n">
        <v>0</v>
      </c>
    </row>
    <row r="380" customFormat="false" ht="12.75" hidden="false" customHeight="false" outlineLevel="0" collapsed="false">
      <c r="A380" s="0" t="s">
        <v>621</v>
      </c>
      <c r="B380" s="0" t="str">
        <f aca="false">'Basis Options'!C385</f>
        <v>NM7673.1</v>
      </c>
      <c r="C380" s="0" t="s">
        <v>622</v>
      </c>
      <c r="D380" s="0" t="s">
        <v>623</v>
      </c>
      <c r="E380" s="0" t="s">
        <v>131</v>
      </c>
      <c r="F380" s="0" t="str">
        <f aca="false">'Basis Options'!A385</f>
        <v>ELPASMER</v>
      </c>
      <c r="G380" s="0" t="s">
        <v>628</v>
      </c>
      <c r="H380" s="0" t="s">
        <v>625</v>
      </c>
      <c r="I380" s="0" t="s">
        <v>626</v>
      </c>
      <c r="J380" s="0" t="s">
        <v>627</v>
      </c>
      <c r="K380" s="475" t="n">
        <f aca="false">'Basis Options'!G385</f>
        <v>36800</v>
      </c>
      <c r="L380" s="254" t="e">
        <f aca="false">'Basis Options'!U385</f>
        <v>#NAME?</v>
      </c>
      <c r="M380" s="475" t="n">
        <f aca="false">'Basis Options'!Q385</f>
        <v>36797</v>
      </c>
      <c r="N380" s="0" t="str">
        <f aca="false">'Basis Options'!F385</f>
        <v>P</v>
      </c>
      <c r="O380" s="0" t="n">
        <f aca="false">'Basis Options'!I385</f>
        <v>0.65</v>
      </c>
      <c r="P380" s="0" t="n">
        <v>0</v>
      </c>
      <c r="Q380" s="0" t="n">
        <v>0</v>
      </c>
      <c r="R380" s="0" t="n">
        <v>0</v>
      </c>
      <c r="S380" s="0" t="n">
        <v>0</v>
      </c>
      <c r="T380" s="0" t="s">
        <v>624</v>
      </c>
      <c r="U380" s="0" t="str">
        <f aca="false">IF('Basis Options'!D385="NGI/CHI. GATE","""NGI/CHI. GATE""",TRIM('Basis Options'!D385))</f>
        <v>IF-TRANSCO/Z6</v>
      </c>
      <c r="V380" s="0" t="s">
        <v>624</v>
      </c>
      <c r="W380" s="0" t="s">
        <v>569</v>
      </c>
      <c r="X380" s="0" t="s">
        <v>624</v>
      </c>
      <c r="Y380" s="0" t="s">
        <v>627</v>
      </c>
      <c r="Z380" s="0" t="s">
        <v>629</v>
      </c>
      <c r="AA380" s="0" t="s">
        <v>624</v>
      </c>
      <c r="AB380" s="0" t="s">
        <v>132</v>
      </c>
      <c r="AC380" s="254" t="n">
        <f aca="false">'Basis Options'!H385</f>
        <v>-500000</v>
      </c>
      <c r="AD380" s="254" t="e">
        <f aca="false">'Basis Options'!W385</f>
        <v>#NAME?</v>
      </c>
      <c r="AE380" s="0" t="n">
        <v>0</v>
      </c>
      <c r="AF380" s="0" t="n">
        <v>0</v>
      </c>
      <c r="AG380" s="0" t="n">
        <v>0</v>
      </c>
      <c r="AH380" s="254" t="e">
        <f aca="false">'Basis Options'!CD385</f>
        <v>#NAME?</v>
      </c>
      <c r="AI380" s="0" t="n">
        <v>226</v>
      </c>
      <c r="AJ380" s="0" t="s">
        <v>630</v>
      </c>
      <c r="AK380" s="0" t="n">
        <v>0</v>
      </c>
      <c r="AL380" s="0" t="n">
        <v>0</v>
      </c>
      <c r="AM380" s="0" t="n">
        <v>0</v>
      </c>
    </row>
    <row r="381" customFormat="false" ht="12.75" hidden="false" customHeight="false" outlineLevel="0" collapsed="false">
      <c r="A381" s="0" t="s">
        <v>621</v>
      </c>
      <c r="B381" s="0" t="str">
        <f aca="false">'Basis Options'!C386</f>
        <v>NM7673.2</v>
      </c>
      <c r="C381" s="0" t="s">
        <v>622</v>
      </c>
      <c r="D381" s="0" t="s">
        <v>623</v>
      </c>
      <c r="E381" s="0" t="s">
        <v>131</v>
      </c>
      <c r="F381" s="0" t="str">
        <f aca="false">'Basis Options'!A386</f>
        <v>ELPASMER</v>
      </c>
      <c r="G381" s="0" t="s">
        <v>628</v>
      </c>
      <c r="H381" s="0" t="s">
        <v>625</v>
      </c>
      <c r="I381" s="0" t="s">
        <v>626</v>
      </c>
      <c r="J381" s="0" t="s">
        <v>627</v>
      </c>
      <c r="K381" s="475" t="n">
        <f aca="false">'Basis Options'!G386</f>
        <v>36800</v>
      </c>
      <c r="L381" s="254" t="e">
        <f aca="false">'Basis Options'!U386</f>
        <v>#NAME?</v>
      </c>
      <c r="M381" s="475" t="n">
        <f aca="false">'Basis Options'!Q386</f>
        <v>36797</v>
      </c>
      <c r="N381" s="0" t="str">
        <f aca="false">'Basis Options'!F386</f>
        <v>P</v>
      </c>
      <c r="O381" s="0" t="n">
        <f aca="false">'Basis Options'!I386</f>
        <v>0.35</v>
      </c>
      <c r="P381" s="0" t="n">
        <v>0</v>
      </c>
      <c r="Q381" s="0" t="n">
        <v>0</v>
      </c>
      <c r="R381" s="0" t="n">
        <v>0</v>
      </c>
      <c r="S381" s="0" t="n">
        <v>0</v>
      </c>
      <c r="T381" s="0" t="s">
        <v>624</v>
      </c>
      <c r="U381" s="0" t="str">
        <f aca="false">IF('Basis Options'!D386="NGI/CHI. GATE","""NGI/CHI. GATE""",TRIM('Basis Options'!D386))</f>
        <v>IF-TRANSCO/Z6</v>
      </c>
      <c r="V381" s="0" t="s">
        <v>624</v>
      </c>
      <c r="W381" s="0" t="s">
        <v>569</v>
      </c>
      <c r="X381" s="0" t="s">
        <v>624</v>
      </c>
      <c r="Y381" s="0" t="s">
        <v>627</v>
      </c>
      <c r="Z381" s="0" t="s">
        <v>629</v>
      </c>
      <c r="AA381" s="0" t="s">
        <v>624</v>
      </c>
      <c r="AB381" s="0" t="s">
        <v>132</v>
      </c>
      <c r="AC381" s="254" t="n">
        <f aca="false">'Basis Options'!H386</f>
        <v>500000</v>
      </c>
      <c r="AD381" s="254" t="e">
        <f aca="false">'Basis Options'!W386</f>
        <v>#NAME?</v>
      </c>
      <c r="AE381" s="0" t="n">
        <v>0</v>
      </c>
      <c r="AF381" s="0" t="n">
        <v>0</v>
      </c>
      <c r="AG381" s="0" t="n">
        <v>0</v>
      </c>
      <c r="AH381" s="254" t="e">
        <f aca="false">'Basis Options'!CD386</f>
        <v>#NAME?</v>
      </c>
      <c r="AI381" s="0" t="n">
        <v>226</v>
      </c>
      <c r="AJ381" s="0" t="s">
        <v>630</v>
      </c>
      <c r="AK381" s="0" t="n">
        <v>0</v>
      </c>
      <c r="AL381" s="0" t="n">
        <v>0</v>
      </c>
      <c r="AM381" s="0" t="n">
        <v>0</v>
      </c>
    </row>
    <row r="382" customFormat="false" ht="12.75" hidden="false" customHeight="false" outlineLevel="0" collapsed="false">
      <c r="A382" s="0" t="s">
        <v>621</v>
      </c>
      <c r="B382" s="0" t="str">
        <f aca="false">'Basis Options'!C387</f>
        <v>NM7673.3</v>
      </c>
      <c r="C382" s="0" t="s">
        <v>622</v>
      </c>
      <c r="D382" s="0" t="s">
        <v>623</v>
      </c>
      <c r="E382" s="0" t="s">
        <v>131</v>
      </c>
      <c r="F382" s="0" t="str">
        <f aca="false">'Basis Options'!A387</f>
        <v>ELPASMER</v>
      </c>
      <c r="G382" s="0" t="s">
        <v>628</v>
      </c>
      <c r="H382" s="0" t="s">
        <v>625</v>
      </c>
      <c r="I382" s="0" t="s">
        <v>626</v>
      </c>
      <c r="J382" s="0" t="s">
        <v>627</v>
      </c>
      <c r="K382" s="475" t="n">
        <f aca="false">'Basis Options'!G387</f>
        <v>36951</v>
      </c>
      <c r="L382" s="254" t="e">
        <f aca="false">'Basis Options'!U387</f>
        <v>#NAME?</v>
      </c>
      <c r="M382" s="475" t="n">
        <f aca="false">'Basis Options'!Q387</f>
        <v>36949</v>
      </c>
      <c r="N382" s="0" t="str">
        <f aca="false">'Basis Options'!F387</f>
        <v>P</v>
      </c>
      <c r="O382" s="0" t="n">
        <f aca="false">'Basis Options'!I387</f>
        <v>1</v>
      </c>
      <c r="P382" s="0" t="n">
        <v>0</v>
      </c>
      <c r="Q382" s="0" t="n">
        <v>0</v>
      </c>
      <c r="R382" s="0" t="n">
        <v>0</v>
      </c>
      <c r="S382" s="0" t="n">
        <v>0</v>
      </c>
      <c r="T382" s="0" t="s">
        <v>624</v>
      </c>
      <c r="U382" s="0" t="str">
        <f aca="false">IF('Basis Options'!D387="NGI/CHI. GATE","""NGI/CHI. GATE""",TRIM('Basis Options'!D387))</f>
        <v>IF-TRANSCO/Z6</v>
      </c>
      <c r="V382" s="0" t="s">
        <v>624</v>
      </c>
      <c r="W382" s="0" t="s">
        <v>569</v>
      </c>
      <c r="X382" s="0" t="s">
        <v>624</v>
      </c>
      <c r="Y382" s="0" t="s">
        <v>627</v>
      </c>
      <c r="Z382" s="0" t="s">
        <v>629</v>
      </c>
      <c r="AA382" s="0" t="s">
        <v>624</v>
      </c>
      <c r="AB382" s="0" t="s">
        <v>132</v>
      </c>
      <c r="AC382" s="254" t="n">
        <f aca="false">'Basis Options'!H387</f>
        <v>1000000</v>
      </c>
      <c r="AD382" s="254" t="e">
        <f aca="false">'Basis Options'!W387</f>
        <v>#NAME?</v>
      </c>
      <c r="AE382" s="0" t="n">
        <v>0</v>
      </c>
      <c r="AF382" s="0" t="n">
        <v>0</v>
      </c>
      <c r="AG382" s="0" t="n">
        <v>0</v>
      </c>
      <c r="AH382" s="254" t="e">
        <f aca="false">'Basis Options'!CD387</f>
        <v>#NAME?</v>
      </c>
      <c r="AI382" s="0" t="n">
        <v>226</v>
      </c>
      <c r="AJ382" s="0" t="s">
        <v>630</v>
      </c>
      <c r="AK382" s="0" t="n">
        <v>0</v>
      </c>
      <c r="AL382" s="0" t="n">
        <v>0</v>
      </c>
      <c r="AM382" s="0" t="n">
        <v>0</v>
      </c>
    </row>
    <row r="383" customFormat="false" ht="12.75" hidden="false" customHeight="false" outlineLevel="0" collapsed="false">
      <c r="A383" s="0" t="s">
        <v>621</v>
      </c>
      <c r="B383" s="0" t="str">
        <f aca="false">'Basis Options'!C388</f>
        <v>NM7733</v>
      </c>
      <c r="C383" s="0" t="s">
        <v>622</v>
      </c>
      <c r="D383" s="0" t="s">
        <v>623</v>
      </c>
      <c r="E383" s="0" t="s">
        <v>131</v>
      </c>
      <c r="F383" s="0" t="str">
        <f aca="false">'Basis Options'!A388</f>
        <v>ELPASMER</v>
      </c>
      <c r="G383" s="0" t="s">
        <v>628</v>
      </c>
      <c r="H383" s="0" t="s">
        <v>625</v>
      </c>
      <c r="I383" s="0" t="s">
        <v>626</v>
      </c>
      <c r="J383" s="0" t="s">
        <v>627</v>
      </c>
      <c r="K383" s="475" t="n">
        <f aca="false">'Basis Options'!G388</f>
        <v>36951</v>
      </c>
      <c r="L383" s="254" t="e">
        <f aca="false">'Basis Options'!U388</f>
        <v>#NAME?</v>
      </c>
      <c r="M383" s="475" t="n">
        <f aca="false">'Basis Options'!Q388</f>
        <v>36949</v>
      </c>
      <c r="N383" s="0" t="str">
        <f aca="false">'Basis Options'!F388</f>
        <v>P</v>
      </c>
      <c r="O383" s="0" t="n">
        <f aca="false">'Basis Options'!I388</f>
        <v>1.15</v>
      </c>
      <c r="P383" s="0" t="n">
        <v>0</v>
      </c>
      <c r="Q383" s="0" t="n">
        <v>0</v>
      </c>
      <c r="R383" s="0" t="n">
        <v>0</v>
      </c>
      <c r="S383" s="0" t="n">
        <v>0</v>
      </c>
      <c r="T383" s="0" t="s">
        <v>624</v>
      </c>
      <c r="U383" s="0" t="str">
        <f aca="false">IF('Basis Options'!D388="NGI/CHI. GATE","""NGI/CHI. GATE""",TRIM('Basis Options'!D388))</f>
        <v>IF-TRANSCO/Z6</v>
      </c>
      <c r="V383" s="0" t="s">
        <v>624</v>
      </c>
      <c r="W383" s="0" t="s">
        <v>569</v>
      </c>
      <c r="X383" s="0" t="s">
        <v>624</v>
      </c>
      <c r="Y383" s="0" t="s">
        <v>627</v>
      </c>
      <c r="Z383" s="0" t="s">
        <v>629</v>
      </c>
      <c r="AA383" s="0" t="s">
        <v>624</v>
      </c>
      <c r="AB383" s="0" t="s">
        <v>132</v>
      </c>
      <c r="AC383" s="254" t="n">
        <f aca="false">'Basis Options'!H388</f>
        <v>1000000</v>
      </c>
      <c r="AD383" s="254" t="e">
        <f aca="false">'Basis Options'!W388</f>
        <v>#NAME?</v>
      </c>
      <c r="AE383" s="0" t="n">
        <v>0</v>
      </c>
      <c r="AF383" s="0" t="n">
        <v>0</v>
      </c>
      <c r="AG383" s="0" t="n">
        <v>0</v>
      </c>
      <c r="AH383" s="254" t="e">
        <f aca="false">'Basis Options'!CD388</f>
        <v>#NAME?</v>
      </c>
      <c r="AI383" s="0" t="n">
        <v>226</v>
      </c>
      <c r="AJ383" s="0" t="s">
        <v>630</v>
      </c>
      <c r="AK383" s="0" t="n">
        <v>0</v>
      </c>
      <c r="AL383" s="0" t="n">
        <v>0</v>
      </c>
      <c r="AM383" s="0" t="n">
        <v>0</v>
      </c>
    </row>
    <row r="384" customFormat="false" ht="12.75" hidden="false" customHeight="false" outlineLevel="0" collapsed="false">
      <c r="A384" s="0" t="s">
        <v>621</v>
      </c>
      <c r="B384" s="0" t="str">
        <f aca="false">'Basis Options'!C389</f>
        <v>NN0150.1</v>
      </c>
      <c r="C384" s="0" t="s">
        <v>622</v>
      </c>
      <c r="D384" s="0" t="s">
        <v>623</v>
      </c>
      <c r="E384" s="0" t="s">
        <v>131</v>
      </c>
      <c r="F384" s="0" t="str">
        <f aca="false">'Basis Options'!A389</f>
        <v>ELPASMER</v>
      </c>
      <c r="G384" s="0" t="s">
        <v>628</v>
      </c>
      <c r="H384" s="0" t="s">
        <v>625</v>
      </c>
      <c r="I384" s="0" t="s">
        <v>626</v>
      </c>
      <c r="J384" s="0" t="s">
        <v>627</v>
      </c>
      <c r="K384" s="475" t="n">
        <f aca="false">'Basis Options'!G389</f>
        <v>36800</v>
      </c>
      <c r="L384" s="254" t="e">
        <f aca="false">'Basis Options'!U389</f>
        <v>#NAME?</v>
      </c>
      <c r="M384" s="475" t="n">
        <f aca="false">'Basis Options'!Q389</f>
        <v>36797</v>
      </c>
      <c r="N384" s="0" t="str">
        <f aca="false">'Basis Options'!F389</f>
        <v>C</v>
      </c>
      <c r="O384" s="0" t="n">
        <f aca="false">'Basis Options'!I389</f>
        <v>0.7</v>
      </c>
      <c r="P384" s="0" t="n">
        <v>0</v>
      </c>
      <c r="Q384" s="0" t="n">
        <v>0</v>
      </c>
      <c r="R384" s="0" t="n">
        <v>0</v>
      </c>
      <c r="S384" s="0" t="n">
        <v>0</v>
      </c>
      <c r="T384" s="0" t="s">
        <v>624</v>
      </c>
      <c r="U384" s="0" t="str">
        <f aca="false">IF('Basis Options'!D389="NGI/CHI. GATE","""NGI/CHI. GATE""",TRIM('Basis Options'!D389))</f>
        <v>IF-TRANSCO/Z6</v>
      </c>
      <c r="V384" s="0" t="s">
        <v>624</v>
      </c>
      <c r="W384" s="0" t="s">
        <v>569</v>
      </c>
      <c r="X384" s="0" t="s">
        <v>624</v>
      </c>
      <c r="Y384" s="0" t="s">
        <v>627</v>
      </c>
      <c r="Z384" s="0" t="s">
        <v>629</v>
      </c>
      <c r="AA384" s="0" t="s">
        <v>624</v>
      </c>
      <c r="AB384" s="0" t="s">
        <v>132</v>
      </c>
      <c r="AC384" s="254" t="n">
        <f aca="false">'Basis Options'!H389</f>
        <v>-1000000</v>
      </c>
      <c r="AD384" s="254" t="e">
        <f aca="false">'Basis Options'!W389</f>
        <v>#NAME?</v>
      </c>
      <c r="AE384" s="0" t="n">
        <v>0</v>
      </c>
      <c r="AF384" s="0" t="n">
        <v>0</v>
      </c>
      <c r="AG384" s="0" t="n">
        <v>0</v>
      </c>
      <c r="AH384" s="254" t="e">
        <f aca="false">'Basis Options'!CD389</f>
        <v>#NAME?</v>
      </c>
      <c r="AI384" s="0" t="n">
        <v>226</v>
      </c>
      <c r="AJ384" s="0" t="s">
        <v>630</v>
      </c>
      <c r="AK384" s="0" t="n">
        <v>0</v>
      </c>
      <c r="AL384" s="0" t="n">
        <v>0</v>
      </c>
      <c r="AM384" s="0" t="n">
        <v>0</v>
      </c>
    </row>
    <row r="385" customFormat="false" ht="12.75" hidden="false" customHeight="false" outlineLevel="0" collapsed="false">
      <c r="A385" s="0" t="s">
        <v>621</v>
      </c>
      <c r="B385" s="0" t="str">
        <f aca="false">'Basis Options'!C390</f>
        <v>NN0150.2</v>
      </c>
      <c r="C385" s="0" t="s">
        <v>622</v>
      </c>
      <c r="D385" s="0" t="s">
        <v>623</v>
      </c>
      <c r="E385" s="0" t="s">
        <v>131</v>
      </c>
      <c r="F385" s="0" t="str">
        <f aca="false">'Basis Options'!A390</f>
        <v>ELPASMER</v>
      </c>
      <c r="G385" s="0" t="s">
        <v>628</v>
      </c>
      <c r="H385" s="0" t="s">
        <v>625</v>
      </c>
      <c r="I385" s="0" t="s">
        <v>626</v>
      </c>
      <c r="J385" s="0" t="s">
        <v>627</v>
      </c>
      <c r="K385" s="475" t="n">
        <f aca="false">'Basis Options'!G390</f>
        <v>36831</v>
      </c>
      <c r="L385" s="254" t="e">
        <f aca="false">'Basis Options'!U390</f>
        <v>#NAME?</v>
      </c>
      <c r="M385" s="475" t="n">
        <f aca="false">'Basis Options'!Q390</f>
        <v>36829</v>
      </c>
      <c r="N385" s="0" t="str">
        <f aca="false">'Basis Options'!F390</f>
        <v>C</v>
      </c>
      <c r="O385" s="0" t="n">
        <f aca="false">'Basis Options'!I390</f>
        <v>1</v>
      </c>
      <c r="P385" s="0" t="n">
        <v>0</v>
      </c>
      <c r="Q385" s="0" t="n">
        <v>0</v>
      </c>
      <c r="R385" s="0" t="n">
        <v>0</v>
      </c>
      <c r="S385" s="0" t="n">
        <v>0</v>
      </c>
      <c r="T385" s="0" t="s">
        <v>624</v>
      </c>
      <c r="U385" s="0" t="str">
        <f aca="false">IF('Basis Options'!D390="NGI/CHI. GATE","""NGI/CHI. GATE""",TRIM('Basis Options'!D390))</f>
        <v>IF-TRANSCO/Z6</v>
      </c>
      <c r="V385" s="0" t="s">
        <v>624</v>
      </c>
      <c r="W385" s="0" t="s">
        <v>569</v>
      </c>
      <c r="X385" s="0" t="s">
        <v>624</v>
      </c>
      <c r="Y385" s="0" t="s">
        <v>627</v>
      </c>
      <c r="Z385" s="0" t="s">
        <v>629</v>
      </c>
      <c r="AA385" s="0" t="s">
        <v>624</v>
      </c>
      <c r="AB385" s="0" t="s">
        <v>132</v>
      </c>
      <c r="AC385" s="254" t="n">
        <f aca="false">'Basis Options'!H390</f>
        <v>-1000000</v>
      </c>
      <c r="AD385" s="254" t="e">
        <f aca="false">'Basis Options'!W390</f>
        <v>#NAME?</v>
      </c>
      <c r="AE385" s="0" t="n">
        <v>0</v>
      </c>
      <c r="AF385" s="0" t="n">
        <v>0</v>
      </c>
      <c r="AG385" s="0" t="n">
        <v>0</v>
      </c>
      <c r="AH385" s="254" t="e">
        <f aca="false">'Basis Options'!CD390</f>
        <v>#NAME?</v>
      </c>
      <c r="AI385" s="0" t="n">
        <v>226</v>
      </c>
      <c r="AJ385" s="0" t="s">
        <v>630</v>
      </c>
      <c r="AK385" s="0" t="n">
        <v>0</v>
      </c>
      <c r="AL385" s="0" t="n">
        <v>0</v>
      </c>
      <c r="AM385" s="0" t="n">
        <v>0</v>
      </c>
    </row>
    <row r="386" customFormat="false" ht="12.75" hidden="false" customHeight="false" outlineLevel="0" collapsed="false">
      <c r="A386" s="0" t="s">
        <v>621</v>
      </c>
      <c r="B386" s="0" t="str">
        <f aca="false">'Basis Options'!C391</f>
        <v>NN2121</v>
      </c>
      <c r="C386" s="0" t="s">
        <v>622</v>
      </c>
      <c r="D386" s="0" t="s">
        <v>623</v>
      </c>
      <c r="E386" s="0" t="s">
        <v>131</v>
      </c>
      <c r="F386" s="0" t="str">
        <f aca="false">'Basis Options'!A391</f>
        <v>ELPASMER</v>
      </c>
      <c r="G386" s="0" t="s">
        <v>628</v>
      </c>
      <c r="H386" s="0" t="s">
        <v>625</v>
      </c>
      <c r="I386" s="0" t="s">
        <v>626</v>
      </c>
      <c r="J386" s="0" t="s">
        <v>627</v>
      </c>
      <c r="K386" s="475" t="n">
        <f aca="false">'Basis Options'!G391</f>
        <v>36951</v>
      </c>
      <c r="L386" s="254" t="e">
        <f aca="false">'Basis Options'!U391</f>
        <v>#NAME?</v>
      </c>
      <c r="M386" s="475" t="n">
        <f aca="false">'Basis Options'!Q391</f>
        <v>36949</v>
      </c>
      <c r="N386" s="0" t="str">
        <f aca="false">'Basis Options'!F391</f>
        <v>C</v>
      </c>
      <c r="O386" s="0" t="n">
        <f aca="false">'Basis Options'!I391</f>
        <v>0.3</v>
      </c>
      <c r="P386" s="0" t="n">
        <v>0</v>
      </c>
      <c r="Q386" s="0" t="n">
        <v>0</v>
      </c>
      <c r="R386" s="0" t="n">
        <v>0</v>
      </c>
      <c r="S386" s="0" t="n">
        <v>0</v>
      </c>
      <c r="T386" s="0" t="s">
        <v>624</v>
      </c>
      <c r="U386" s="0" t="str">
        <f aca="false">IF('Basis Options'!D391="NGI/CHI. GATE","""NGI/CHI. GATE""",TRIM('Basis Options'!D391))</f>
        <v>"NGI/CHI. GATE"</v>
      </c>
      <c r="V386" s="0" t="s">
        <v>624</v>
      </c>
      <c r="W386" s="0" t="s">
        <v>569</v>
      </c>
      <c r="X386" s="0" t="s">
        <v>624</v>
      </c>
      <c r="Y386" s="0" t="s">
        <v>627</v>
      </c>
      <c r="Z386" s="0" t="s">
        <v>629</v>
      </c>
      <c r="AA386" s="0" t="s">
        <v>624</v>
      </c>
      <c r="AB386" s="0" t="s">
        <v>132</v>
      </c>
      <c r="AC386" s="254" t="n">
        <f aca="false">'Basis Options'!H391</f>
        <v>-1500000</v>
      </c>
      <c r="AD386" s="254" t="e">
        <f aca="false">'Basis Options'!W391</f>
        <v>#NAME?</v>
      </c>
      <c r="AE386" s="0" t="n">
        <v>0</v>
      </c>
      <c r="AF386" s="0" t="n">
        <v>0</v>
      </c>
      <c r="AG386" s="0" t="n">
        <v>0</v>
      </c>
      <c r="AH386" s="254" t="e">
        <f aca="false">'Basis Options'!CD391</f>
        <v>#NAME?</v>
      </c>
      <c r="AI386" s="0" t="n">
        <v>226</v>
      </c>
      <c r="AJ386" s="0" t="s">
        <v>630</v>
      </c>
      <c r="AK386" s="0" t="n">
        <v>0</v>
      </c>
      <c r="AL386" s="0" t="n">
        <v>0</v>
      </c>
      <c r="AM386" s="0" t="n">
        <v>0</v>
      </c>
    </row>
    <row r="387" customFormat="false" ht="12.75" hidden="false" customHeight="false" outlineLevel="0" collapsed="false">
      <c r="A387" s="0" t="s">
        <v>621</v>
      </c>
      <c r="B387" s="0" t="str">
        <f aca="false">'Basis Options'!C392</f>
        <v>NN2121</v>
      </c>
      <c r="C387" s="0" t="s">
        <v>622</v>
      </c>
      <c r="D387" s="0" t="s">
        <v>623</v>
      </c>
      <c r="E387" s="0" t="s">
        <v>131</v>
      </c>
      <c r="F387" s="0" t="str">
        <f aca="false">'Basis Options'!A392</f>
        <v>ELPASMER</v>
      </c>
      <c r="G387" s="0" t="s">
        <v>628</v>
      </c>
      <c r="H387" s="0" t="s">
        <v>625</v>
      </c>
      <c r="I387" s="0" t="s">
        <v>626</v>
      </c>
      <c r="J387" s="0" t="s">
        <v>627</v>
      </c>
      <c r="K387" s="475" t="n">
        <f aca="false">'Basis Options'!G392</f>
        <v>36923</v>
      </c>
      <c r="L387" s="254" t="e">
        <f aca="false">'Basis Options'!U392</f>
        <v>#NAME?</v>
      </c>
      <c r="M387" s="475" t="n">
        <f aca="false">'Basis Options'!Q392</f>
        <v>36921</v>
      </c>
      <c r="N387" s="0" t="str">
        <f aca="false">'Basis Options'!F392</f>
        <v>C</v>
      </c>
      <c r="O387" s="0" t="n">
        <f aca="false">'Basis Options'!I392</f>
        <v>0.3</v>
      </c>
      <c r="P387" s="0" t="n">
        <v>0</v>
      </c>
      <c r="Q387" s="0" t="n">
        <v>0</v>
      </c>
      <c r="R387" s="0" t="n">
        <v>0</v>
      </c>
      <c r="S387" s="0" t="n">
        <v>0</v>
      </c>
      <c r="T387" s="0" t="s">
        <v>624</v>
      </c>
      <c r="U387" s="0" t="str">
        <f aca="false">IF('Basis Options'!D392="NGI/CHI. GATE","""NGI/CHI. GATE""",TRIM('Basis Options'!D392))</f>
        <v>"NGI/CHI. GATE"</v>
      </c>
      <c r="V387" s="0" t="s">
        <v>624</v>
      </c>
      <c r="W387" s="0" t="s">
        <v>569</v>
      </c>
      <c r="X387" s="0" t="s">
        <v>624</v>
      </c>
      <c r="Y387" s="0" t="s">
        <v>627</v>
      </c>
      <c r="Z387" s="0" t="s">
        <v>629</v>
      </c>
      <c r="AA387" s="0" t="s">
        <v>624</v>
      </c>
      <c r="AB387" s="0" t="s">
        <v>132</v>
      </c>
      <c r="AC387" s="254" t="n">
        <f aca="false">'Basis Options'!H392</f>
        <v>-1500000</v>
      </c>
      <c r="AD387" s="254" t="e">
        <f aca="false">'Basis Options'!W392</f>
        <v>#NAME?</v>
      </c>
      <c r="AE387" s="0" t="n">
        <v>0</v>
      </c>
      <c r="AF387" s="0" t="n">
        <v>0</v>
      </c>
      <c r="AG387" s="0" t="n">
        <v>0</v>
      </c>
      <c r="AH387" s="254" t="e">
        <f aca="false">'Basis Options'!CD392</f>
        <v>#NAME?</v>
      </c>
      <c r="AI387" s="0" t="n">
        <v>226</v>
      </c>
      <c r="AJ387" s="0" t="s">
        <v>630</v>
      </c>
      <c r="AK387" s="0" t="n">
        <v>0</v>
      </c>
      <c r="AL387" s="0" t="n">
        <v>0</v>
      </c>
      <c r="AM387" s="0" t="n">
        <v>0</v>
      </c>
    </row>
    <row r="388" customFormat="false" ht="12.75" hidden="false" customHeight="false" outlineLevel="0" collapsed="false">
      <c r="A388" s="0" t="s">
        <v>621</v>
      </c>
      <c r="B388" s="0" t="str">
        <f aca="false">'Basis Options'!C393</f>
        <v>NN2121</v>
      </c>
      <c r="C388" s="0" t="s">
        <v>622</v>
      </c>
      <c r="D388" s="0" t="s">
        <v>623</v>
      </c>
      <c r="E388" s="0" t="s">
        <v>131</v>
      </c>
      <c r="F388" s="0" t="str">
        <f aca="false">'Basis Options'!A393</f>
        <v>ELPASMER</v>
      </c>
      <c r="G388" s="0" t="s">
        <v>628</v>
      </c>
      <c r="H388" s="0" t="s">
        <v>625</v>
      </c>
      <c r="I388" s="0" t="s">
        <v>626</v>
      </c>
      <c r="J388" s="0" t="s">
        <v>627</v>
      </c>
      <c r="K388" s="475" t="n">
        <f aca="false">'Basis Options'!G393</f>
        <v>36892</v>
      </c>
      <c r="L388" s="254" t="e">
        <f aca="false">'Basis Options'!U393</f>
        <v>#NAME?</v>
      </c>
      <c r="M388" s="475" t="n">
        <f aca="false">'Basis Options'!Q393</f>
        <v>36888</v>
      </c>
      <c r="N388" s="0" t="str">
        <f aca="false">'Basis Options'!F393</f>
        <v>C</v>
      </c>
      <c r="O388" s="0" t="n">
        <f aca="false">'Basis Options'!I393</f>
        <v>0.3</v>
      </c>
      <c r="P388" s="0" t="n">
        <v>0</v>
      </c>
      <c r="Q388" s="0" t="n">
        <v>0</v>
      </c>
      <c r="R388" s="0" t="n">
        <v>0</v>
      </c>
      <c r="S388" s="0" t="n">
        <v>0</v>
      </c>
      <c r="T388" s="0" t="s">
        <v>624</v>
      </c>
      <c r="U388" s="0" t="str">
        <f aca="false">IF('Basis Options'!D393="NGI/CHI. GATE","""NGI/CHI. GATE""",TRIM('Basis Options'!D393))</f>
        <v>"NGI/CHI. GATE"</v>
      </c>
      <c r="V388" s="0" t="s">
        <v>624</v>
      </c>
      <c r="W388" s="0" t="s">
        <v>569</v>
      </c>
      <c r="X388" s="0" t="s">
        <v>624</v>
      </c>
      <c r="Y388" s="0" t="s">
        <v>627</v>
      </c>
      <c r="Z388" s="0" t="s">
        <v>629</v>
      </c>
      <c r="AA388" s="0" t="s">
        <v>624</v>
      </c>
      <c r="AB388" s="0" t="s">
        <v>132</v>
      </c>
      <c r="AC388" s="254" t="n">
        <f aca="false">'Basis Options'!H393</f>
        <v>-1500000</v>
      </c>
      <c r="AD388" s="254" t="e">
        <f aca="false">'Basis Options'!W393</f>
        <v>#NAME?</v>
      </c>
      <c r="AE388" s="0" t="n">
        <v>0</v>
      </c>
      <c r="AF388" s="0" t="n">
        <v>0</v>
      </c>
      <c r="AG388" s="0" t="n">
        <v>0</v>
      </c>
      <c r="AH388" s="254" t="e">
        <f aca="false">'Basis Options'!CD393</f>
        <v>#NAME?</v>
      </c>
      <c r="AI388" s="0" t="n">
        <v>226</v>
      </c>
      <c r="AJ388" s="0" t="s">
        <v>630</v>
      </c>
      <c r="AK388" s="0" t="n">
        <v>0</v>
      </c>
      <c r="AL388" s="0" t="n">
        <v>0</v>
      </c>
      <c r="AM388" s="0" t="n">
        <v>0</v>
      </c>
    </row>
    <row r="389" customFormat="false" ht="12.75" hidden="false" customHeight="false" outlineLevel="0" collapsed="false">
      <c r="A389" s="0" t="s">
        <v>621</v>
      </c>
      <c r="B389" s="0" t="str">
        <f aca="false">'Basis Options'!C394</f>
        <v>NN2121</v>
      </c>
      <c r="C389" s="0" t="s">
        <v>622</v>
      </c>
      <c r="D389" s="0" t="s">
        <v>623</v>
      </c>
      <c r="E389" s="0" t="s">
        <v>131</v>
      </c>
      <c r="F389" s="0" t="str">
        <f aca="false">'Basis Options'!A394</f>
        <v>ELPASMER</v>
      </c>
      <c r="G389" s="0" t="s">
        <v>628</v>
      </c>
      <c r="H389" s="0" t="s">
        <v>625</v>
      </c>
      <c r="I389" s="0" t="s">
        <v>626</v>
      </c>
      <c r="J389" s="0" t="s">
        <v>627</v>
      </c>
      <c r="K389" s="475" t="n">
        <f aca="false">'Basis Options'!G394</f>
        <v>36861</v>
      </c>
      <c r="L389" s="254" t="e">
        <f aca="false">'Basis Options'!U394</f>
        <v>#NAME?</v>
      </c>
      <c r="M389" s="475" t="n">
        <f aca="false">'Basis Options'!Q394</f>
        <v>36859</v>
      </c>
      <c r="N389" s="0" t="str">
        <f aca="false">'Basis Options'!F394</f>
        <v>C</v>
      </c>
      <c r="O389" s="0" t="n">
        <f aca="false">'Basis Options'!I394</f>
        <v>0.3</v>
      </c>
      <c r="P389" s="0" t="n">
        <v>0</v>
      </c>
      <c r="Q389" s="0" t="n">
        <v>0</v>
      </c>
      <c r="R389" s="0" t="n">
        <v>0</v>
      </c>
      <c r="S389" s="0" t="n">
        <v>0</v>
      </c>
      <c r="T389" s="0" t="s">
        <v>624</v>
      </c>
      <c r="U389" s="0" t="str">
        <f aca="false">IF('Basis Options'!D394="NGI/CHI. GATE","""NGI/CHI. GATE""",TRIM('Basis Options'!D394))</f>
        <v>"NGI/CHI. GATE"</v>
      </c>
      <c r="V389" s="0" t="s">
        <v>624</v>
      </c>
      <c r="W389" s="0" t="s">
        <v>569</v>
      </c>
      <c r="X389" s="0" t="s">
        <v>624</v>
      </c>
      <c r="Y389" s="0" t="s">
        <v>627</v>
      </c>
      <c r="Z389" s="0" t="s">
        <v>629</v>
      </c>
      <c r="AA389" s="0" t="s">
        <v>624</v>
      </c>
      <c r="AB389" s="0" t="s">
        <v>132</v>
      </c>
      <c r="AC389" s="254" t="n">
        <f aca="false">'Basis Options'!H394</f>
        <v>-1500000</v>
      </c>
      <c r="AD389" s="254" t="e">
        <f aca="false">'Basis Options'!W394</f>
        <v>#NAME?</v>
      </c>
      <c r="AE389" s="0" t="n">
        <v>0</v>
      </c>
      <c r="AF389" s="0" t="n">
        <v>0</v>
      </c>
      <c r="AG389" s="0" t="n">
        <v>0</v>
      </c>
      <c r="AH389" s="254" t="e">
        <f aca="false">'Basis Options'!CD394</f>
        <v>#NAME?</v>
      </c>
      <c r="AI389" s="0" t="n">
        <v>226</v>
      </c>
      <c r="AJ389" s="0" t="s">
        <v>630</v>
      </c>
      <c r="AK389" s="0" t="n">
        <v>0</v>
      </c>
      <c r="AL389" s="0" t="n">
        <v>0</v>
      </c>
      <c r="AM389" s="0" t="n">
        <v>0</v>
      </c>
    </row>
    <row r="390" customFormat="false" ht="12.75" hidden="false" customHeight="false" outlineLevel="0" collapsed="false">
      <c r="A390" s="0" t="s">
        <v>621</v>
      </c>
      <c r="B390" s="0" t="str">
        <f aca="false">'Basis Options'!C395</f>
        <v>NN2121</v>
      </c>
      <c r="C390" s="0" t="s">
        <v>622</v>
      </c>
      <c r="D390" s="0" t="s">
        <v>623</v>
      </c>
      <c r="E390" s="0" t="s">
        <v>131</v>
      </c>
      <c r="F390" s="0" t="str">
        <f aca="false">'Basis Options'!A395</f>
        <v>ELPASMER</v>
      </c>
      <c r="G390" s="0" t="s">
        <v>628</v>
      </c>
      <c r="H390" s="0" t="s">
        <v>625</v>
      </c>
      <c r="I390" s="0" t="s">
        <v>626</v>
      </c>
      <c r="J390" s="0" t="s">
        <v>627</v>
      </c>
      <c r="K390" s="475" t="n">
        <f aca="false">'Basis Options'!G395</f>
        <v>36831</v>
      </c>
      <c r="L390" s="254" t="e">
        <f aca="false">'Basis Options'!U395</f>
        <v>#NAME?</v>
      </c>
      <c r="M390" s="475" t="n">
        <f aca="false">'Basis Options'!Q395</f>
        <v>36829</v>
      </c>
      <c r="N390" s="0" t="str">
        <f aca="false">'Basis Options'!F395</f>
        <v>C</v>
      </c>
      <c r="O390" s="0" t="n">
        <f aca="false">'Basis Options'!I395</f>
        <v>0.3</v>
      </c>
      <c r="P390" s="0" t="n">
        <v>0</v>
      </c>
      <c r="Q390" s="0" t="n">
        <v>0</v>
      </c>
      <c r="R390" s="0" t="n">
        <v>0</v>
      </c>
      <c r="S390" s="0" t="n">
        <v>0</v>
      </c>
      <c r="T390" s="0" t="s">
        <v>624</v>
      </c>
      <c r="U390" s="0" t="str">
        <f aca="false">IF('Basis Options'!D395="NGI/CHI. GATE","""NGI/CHI. GATE""",TRIM('Basis Options'!D395))</f>
        <v>"NGI/CHI. GATE"</v>
      </c>
      <c r="V390" s="0" t="s">
        <v>624</v>
      </c>
      <c r="W390" s="0" t="s">
        <v>569</v>
      </c>
      <c r="X390" s="0" t="s">
        <v>624</v>
      </c>
      <c r="Y390" s="0" t="s">
        <v>627</v>
      </c>
      <c r="Z390" s="0" t="s">
        <v>629</v>
      </c>
      <c r="AA390" s="0" t="s">
        <v>624</v>
      </c>
      <c r="AB390" s="0" t="s">
        <v>132</v>
      </c>
      <c r="AC390" s="254" t="n">
        <f aca="false">'Basis Options'!H395</f>
        <v>-1500000</v>
      </c>
      <c r="AD390" s="254" t="e">
        <f aca="false">'Basis Options'!W395</f>
        <v>#NAME?</v>
      </c>
      <c r="AE390" s="0" t="n">
        <v>0</v>
      </c>
      <c r="AF390" s="0" t="n">
        <v>0</v>
      </c>
      <c r="AG390" s="0" t="n">
        <v>0</v>
      </c>
      <c r="AH390" s="254" t="e">
        <f aca="false">'Basis Options'!CD395</f>
        <v>#NAME?</v>
      </c>
      <c r="AI390" s="0" t="n">
        <v>226</v>
      </c>
      <c r="AJ390" s="0" t="s">
        <v>630</v>
      </c>
      <c r="AK390" s="0" t="n">
        <v>0</v>
      </c>
      <c r="AL390" s="0" t="n">
        <v>0</v>
      </c>
      <c r="AM390" s="0" t="n">
        <v>0</v>
      </c>
    </row>
    <row r="391" customFormat="false" ht="12.75" hidden="false" customHeight="false" outlineLevel="0" collapsed="false">
      <c r="A391" s="0" t="s">
        <v>621</v>
      </c>
      <c r="B391" s="0" t="str">
        <f aca="false">'Basis Options'!C396</f>
        <v>NN2173</v>
      </c>
      <c r="C391" s="0" t="s">
        <v>622</v>
      </c>
      <c r="D391" s="0" t="s">
        <v>623</v>
      </c>
      <c r="E391" s="0" t="s">
        <v>131</v>
      </c>
      <c r="F391" s="0" t="str">
        <f aca="false">'Basis Options'!A396</f>
        <v>DUKEENETRA</v>
      </c>
      <c r="G391" s="0" t="s">
        <v>628</v>
      </c>
      <c r="H391" s="0" t="s">
        <v>625</v>
      </c>
      <c r="I391" s="0" t="s">
        <v>626</v>
      </c>
      <c r="J391" s="0" t="s">
        <v>627</v>
      </c>
      <c r="K391" s="475" t="n">
        <f aca="false">'Basis Options'!G396</f>
        <v>36800</v>
      </c>
      <c r="L391" s="254" t="e">
        <f aca="false">'Basis Options'!U396</f>
        <v>#NAME?</v>
      </c>
      <c r="M391" s="475" t="n">
        <f aca="false">'Basis Options'!Q396</f>
        <v>36797</v>
      </c>
      <c r="N391" s="0" t="str">
        <f aca="false">'Basis Options'!F396</f>
        <v>P</v>
      </c>
      <c r="O391" s="0" t="n">
        <f aca="false">'Basis Options'!I396</f>
        <v>0.55</v>
      </c>
      <c r="P391" s="0" t="n">
        <v>0</v>
      </c>
      <c r="Q391" s="0" t="n">
        <v>0</v>
      </c>
      <c r="R391" s="0" t="n">
        <v>0</v>
      </c>
      <c r="S391" s="0" t="n">
        <v>0</v>
      </c>
      <c r="T391" s="0" t="s">
        <v>624</v>
      </c>
      <c r="U391" s="0" t="str">
        <f aca="false">IF('Basis Options'!D396="NGI/CHI. GATE","""NGI/CHI. GATE""",TRIM('Basis Options'!D396))</f>
        <v>IF-TRANSCO/Z6</v>
      </c>
      <c r="V391" s="0" t="s">
        <v>624</v>
      </c>
      <c r="W391" s="0" t="s">
        <v>569</v>
      </c>
      <c r="X391" s="0" t="s">
        <v>624</v>
      </c>
      <c r="Y391" s="0" t="s">
        <v>627</v>
      </c>
      <c r="Z391" s="0" t="s">
        <v>629</v>
      </c>
      <c r="AA391" s="0" t="s">
        <v>624</v>
      </c>
      <c r="AB391" s="0" t="s">
        <v>132</v>
      </c>
      <c r="AC391" s="254" t="n">
        <f aca="false">'Basis Options'!H396</f>
        <v>465000</v>
      </c>
      <c r="AD391" s="254" t="e">
        <f aca="false">'Basis Options'!W396</f>
        <v>#NAME?</v>
      </c>
      <c r="AE391" s="0" t="n">
        <v>0</v>
      </c>
      <c r="AF391" s="0" t="n">
        <v>0</v>
      </c>
      <c r="AG391" s="0" t="n">
        <v>0</v>
      </c>
      <c r="AH391" s="254" t="e">
        <f aca="false">'Basis Options'!CD396</f>
        <v>#NAME?</v>
      </c>
      <c r="AI391" s="0" t="n">
        <v>226</v>
      </c>
      <c r="AJ391" s="0" t="s">
        <v>630</v>
      </c>
      <c r="AK391" s="0" t="n">
        <v>0</v>
      </c>
      <c r="AL391" s="0" t="n">
        <v>0</v>
      </c>
      <c r="AM391" s="0" t="n">
        <v>0</v>
      </c>
    </row>
    <row r="392" customFormat="false" ht="12.75" hidden="false" customHeight="false" outlineLevel="0" collapsed="false">
      <c r="A392" s="0" t="s">
        <v>621</v>
      </c>
      <c r="B392" s="0" t="str">
        <f aca="false">'Basis Options'!C397</f>
        <v>NN3942</v>
      </c>
      <c r="C392" s="0" t="s">
        <v>622</v>
      </c>
      <c r="D392" s="0" t="s">
        <v>623</v>
      </c>
      <c r="E392" s="0" t="s">
        <v>131</v>
      </c>
      <c r="F392" s="0" t="str">
        <f aca="false">'Basis Options'!A397</f>
        <v>ELPASMER</v>
      </c>
      <c r="G392" s="0" t="s">
        <v>628</v>
      </c>
      <c r="H392" s="0" t="s">
        <v>625</v>
      </c>
      <c r="I392" s="0" t="s">
        <v>626</v>
      </c>
      <c r="J392" s="0" t="s">
        <v>627</v>
      </c>
      <c r="K392" s="475" t="n">
        <f aca="false">'Basis Options'!G397</f>
        <v>36831</v>
      </c>
      <c r="L392" s="254" t="e">
        <f aca="false">'Basis Options'!U397</f>
        <v>#NAME?</v>
      </c>
      <c r="M392" s="475" t="n">
        <f aca="false">'Basis Options'!Q397</f>
        <v>36829</v>
      </c>
      <c r="N392" s="0" t="str">
        <f aca="false">'Basis Options'!F397</f>
        <v>C</v>
      </c>
      <c r="O392" s="0" t="n">
        <f aca="false">'Basis Options'!I397</f>
        <v>1</v>
      </c>
      <c r="P392" s="0" t="n">
        <v>0</v>
      </c>
      <c r="Q392" s="0" t="n">
        <v>0</v>
      </c>
      <c r="R392" s="0" t="n">
        <v>0</v>
      </c>
      <c r="S392" s="0" t="n">
        <v>0</v>
      </c>
      <c r="T392" s="0" t="s">
        <v>624</v>
      </c>
      <c r="U392" s="0" t="str">
        <f aca="false">IF('Basis Options'!D397="NGI/CHI. GATE","""NGI/CHI. GATE""",TRIM('Basis Options'!D397))</f>
        <v>IF-TRANSCO/Z6</v>
      </c>
      <c r="V392" s="0" t="s">
        <v>624</v>
      </c>
      <c r="W392" s="0" t="s">
        <v>569</v>
      </c>
      <c r="X392" s="0" t="s">
        <v>624</v>
      </c>
      <c r="Y392" s="0" t="s">
        <v>627</v>
      </c>
      <c r="Z392" s="0" t="s">
        <v>629</v>
      </c>
      <c r="AA392" s="0" t="s">
        <v>624</v>
      </c>
      <c r="AB392" s="0" t="s">
        <v>132</v>
      </c>
      <c r="AC392" s="254" t="n">
        <f aca="false">'Basis Options'!H397</f>
        <v>-500000</v>
      </c>
      <c r="AD392" s="254" t="e">
        <f aca="false">'Basis Options'!W397</f>
        <v>#NAME?</v>
      </c>
      <c r="AE392" s="0" t="n">
        <v>0</v>
      </c>
      <c r="AF392" s="0" t="n">
        <v>0</v>
      </c>
      <c r="AG392" s="0" t="n">
        <v>0</v>
      </c>
      <c r="AH392" s="254" t="e">
        <f aca="false">'Basis Options'!CD397</f>
        <v>#NAME?</v>
      </c>
      <c r="AI392" s="0" t="n">
        <v>226</v>
      </c>
      <c r="AJ392" s="0" t="s">
        <v>630</v>
      </c>
      <c r="AK392" s="0" t="n">
        <v>0</v>
      </c>
      <c r="AL392" s="0" t="n">
        <v>0</v>
      </c>
      <c r="AM392" s="0" t="n">
        <v>0</v>
      </c>
    </row>
    <row r="393" customFormat="false" ht="12.75" hidden="false" customHeight="false" outlineLevel="0" collapsed="false">
      <c r="A393" s="0" t="s">
        <v>621</v>
      </c>
      <c r="B393" s="0" t="str">
        <f aca="false">'Basis Options'!C398</f>
        <v>NN3958</v>
      </c>
      <c r="C393" s="0" t="s">
        <v>622</v>
      </c>
      <c r="D393" s="0" t="s">
        <v>623</v>
      </c>
      <c r="E393" s="0" t="s">
        <v>131</v>
      </c>
      <c r="F393" s="0" t="str">
        <f aca="false">'Basis Options'!A398</f>
        <v>DUKEENETRA</v>
      </c>
      <c r="G393" s="0" t="s">
        <v>628</v>
      </c>
      <c r="H393" s="0" t="s">
        <v>625</v>
      </c>
      <c r="I393" s="0" t="s">
        <v>626</v>
      </c>
      <c r="J393" s="0" t="s">
        <v>627</v>
      </c>
      <c r="K393" s="475" t="n">
        <f aca="false">'Basis Options'!G398</f>
        <v>36923</v>
      </c>
      <c r="L393" s="254" t="e">
        <f aca="false">'Basis Options'!U398</f>
        <v>#NAME?</v>
      </c>
      <c r="M393" s="475" t="n">
        <f aca="false">'Basis Options'!Q398</f>
        <v>36921</v>
      </c>
      <c r="N393" s="0" t="str">
        <f aca="false">'Basis Options'!F398</f>
        <v>P</v>
      </c>
      <c r="O393" s="0" t="n">
        <f aca="false">'Basis Options'!I398</f>
        <v>0.75</v>
      </c>
      <c r="P393" s="0" t="n">
        <v>0</v>
      </c>
      <c r="Q393" s="0" t="n">
        <v>0</v>
      </c>
      <c r="R393" s="0" t="n">
        <v>0</v>
      </c>
      <c r="S393" s="0" t="n">
        <v>0</v>
      </c>
      <c r="T393" s="0" t="s">
        <v>624</v>
      </c>
      <c r="U393" s="0" t="str">
        <f aca="false">IF('Basis Options'!D398="NGI/CHI. GATE","""NGI/CHI. GATE""",TRIM('Basis Options'!D398))</f>
        <v>IF-TRANSCO/Z6</v>
      </c>
      <c r="V393" s="0" t="s">
        <v>624</v>
      </c>
      <c r="W393" s="0" t="s">
        <v>569</v>
      </c>
      <c r="X393" s="0" t="s">
        <v>624</v>
      </c>
      <c r="Y393" s="0" t="s">
        <v>627</v>
      </c>
      <c r="Z393" s="0" t="s">
        <v>629</v>
      </c>
      <c r="AA393" s="0" t="s">
        <v>624</v>
      </c>
      <c r="AB393" s="0" t="s">
        <v>132</v>
      </c>
      <c r="AC393" s="254" t="n">
        <f aca="false">'Basis Options'!H398</f>
        <v>840000</v>
      </c>
      <c r="AD393" s="254" t="e">
        <f aca="false">'Basis Options'!W398</f>
        <v>#NAME?</v>
      </c>
      <c r="AE393" s="0" t="n">
        <v>0</v>
      </c>
      <c r="AF393" s="0" t="n">
        <v>0</v>
      </c>
      <c r="AG393" s="0" t="n">
        <v>0</v>
      </c>
      <c r="AH393" s="254" t="e">
        <f aca="false">'Basis Options'!CD398</f>
        <v>#NAME?</v>
      </c>
      <c r="AI393" s="0" t="n">
        <v>226</v>
      </c>
      <c r="AJ393" s="0" t="s">
        <v>630</v>
      </c>
      <c r="AK393" s="0" t="n">
        <v>0</v>
      </c>
      <c r="AL393" s="0" t="n">
        <v>0</v>
      </c>
      <c r="AM393" s="0" t="n">
        <v>0</v>
      </c>
    </row>
    <row r="394" customFormat="false" ht="12.75" hidden="false" customHeight="false" outlineLevel="0" collapsed="false">
      <c r="A394" s="0" t="s">
        <v>621</v>
      </c>
      <c r="B394" s="0" t="str">
        <f aca="false">'Basis Options'!C399</f>
        <v>NN3958</v>
      </c>
      <c r="C394" s="0" t="s">
        <v>622</v>
      </c>
      <c r="D394" s="0" t="s">
        <v>623</v>
      </c>
      <c r="E394" s="0" t="s">
        <v>131</v>
      </c>
      <c r="F394" s="0" t="str">
        <f aca="false">'Basis Options'!A399</f>
        <v>DUKEENETRA</v>
      </c>
      <c r="G394" s="0" t="s">
        <v>628</v>
      </c>
      <c r="H394" s="0" t="s">
        <v>625</v>
      </c>
      <c r="I394" s="0" t="s">
        <v>626</v>
      </c>
      <c r="J394" s="0" t="s">
        <v>627</v>
      </c>
      <c r="K394" s="475" t="n">
        <f aca="false">'Basis Options'!G399</f>
        <v>36892</v>
      </c>
      <c r="L394" s="254" t="e">
        <f aca="false">'Basis Options'!U399</f>
        <v>#NAME?</v>
      </c>
      <c r="M394" s="475" t="n">
        <f aca="false">'Basis Options'!Q399</f>
        <v>36888</v>
      </c>
      <c r="N394" s="0" t="str">
        <f aca="false">'Basis Options'!F399</f>
        <v>P</v>
      </c>
      <c r="O394" s="0" t="n">
        <f aca="false">'Basis Options'!I399</f>
        <v>0.75</v>
      </c>
      <c r="P394" s="0" t="n">
        <v>0</v>
      </c>
      <c r="Q394" s="0" t="n">
        <v>0</v>
      </c>
      <c r="R394" s="0" t="n">
        <v>0</v>
      </c>
      <c r="S394" s="0" t="n">
        <v>0</v>
      </c>
      <c r="T394" s="0" t="s">
        <v>624</v>
      </c>
      <c r="U394" s="0" t="str">
        <f aca="false">IF('Basis Options'!D399="NGI/CHI. GATE","""NGI/CHI. GATE""",TRIM('Basis Options'!D399))</f>
        <v>IF-TRANSCO/Z6</v>
      </c>
      <c r="V394" s="0" t="s">
        <v>624</v>
      </c>
      <c r="W394" s="0" t="s">
        <v>569</v>
      </c>
      <c r="X394" s="0" t="s">
        <v>624</v>
      </c>
      <c r="Y394" s="0" t="s">
        <v>627</v>
      </c>
      <c r="Z394" s="0" t="s">
        <v>629</v>
      </c>
      <c r="AA394" s="0" t="s">
        <v>624</v>
      </c>
      <c r="AB394" s="0" t="s">
        <v>132</v>
      </c>
      <c r="AC394" s="254" t="n">
        <f aca="false">'Basis Options'!H399</f>
        <v>930000</v>
      </c>
      <c r="AD394" s="254" t="e">
        <f aca="false">'Basis Options'!W399</f>
        <v>#NAME?</v>
      </c>
      <c r="AE394" s="0" t="n">
        <v>0</v>
      </c>
      <c r="AF394" s="0" t="n">
        <v>0</v>
      </c>
      <c r="AG394" s="0" t="n">
        <v>0</v>
      </c>
      <c r="AH394" s="254" t="e">
        <f aca="false">'Basis Options'!CD399</f>
        <v>#NAME?</v>
      </c>
      <c r="AI394" s="0" t="n">
        <v>226</v>
      </c>
      <c r="AJ394" s="0" t="s">
        <v>630</v>
      </c>
      <c r="AK394" s="0" t="n">
        <v>0</v>
      </c>
      <c r="AL394" s="0" t="n">
        <v>0</v>
      </c>
      <c r="AM394" s="0" t="n">
        <v>0</v>
      </c>
    </row>
    <row r="395" customFormat="false" ht="12.75" hidden="false" customHeight="false" outlineLevel="0" collapsed="false">
      <c r="A395" s="0" t="s">
        <v>621</v>
      </c>
      <c r="B395" s="0" t="str">
        <f aca="false">'Basis Options'!C400</f>
        <v>NN3958</v>
      </c>
      <c r="C395" s="0" t="s">
        <v>622</v>
      </c>
      <c r="D395" s="0" t="s">
        <v>623</v>
      </c>
      <c r="E395" s="0" t="s">
        <v>131</v>
      </c>
      <c r="F395" s="0" t="str">
        <f aca="false">'Basis Options'!A400</f>
        <v>DUKEENETRA</v>
      </c>
      <c r="G395" s="0" t="s">
        <v>628</v>
      </c>
      <c r="H395" s="0" t="s">
        <v>625</v>
      </c>
      <c r="I395" s="0" t="s">
        <v>626</v>
      </c>
      <c r="J395" s="0" t="s">
        <v>627</v>
      </c>
      <c r="K395" s="475" t="n">
        <f aca="false">'Basis Options'!G400</f>
        <v>36861</v>
      </c>
      <c r="L395" s="254" t="e">
        <f aca="false">'Basis Options'!U400</f>
        <v>#NAME?</v>
      </c>
      <c r="M395" s="475" t="n">
        <f aca="false">'Basis Options'!Q400</f>
        <v>36859</v>
      </c>
      <c r="N395" s="0" t="str">
        <f aca="false">'Basis Options'!F400</f>
        <v>P</v>
      </c>
      <c r="O395" s="0" t="n">
        <f aca="false">'Basis Options'!I400</f>
        <v>0.75</v>
      </c>
      <c r="P395" s="0" t="n">
        <v>0</v>
      </c>
      <c r="Q395" s="0" t="n">
        <v>0</v>
      </c>
      <c r="R395" s="0" t="n">
        <v>0</v>
      </c>
      <c r="S395" s="0" t="n">
        <v>0</v>
      </c>
      <c r="T395" s="0" t="s">
        <v>624</v>
      </c>
      <c r="U395" s="0" t="str">
        <f aca="false">IF('Basis Options'!D400="NGI/CHI. GATE","""NGI/CHI. GATE""",TRIM('Basis Options'!D400))</f>
        <v>IF-TRANSCO/Z6</v>
      </c>
      <c r="V395" s="0" t="s">
        <v>624</v>
      </c>
      <c r="W395" s="0" t="s">
        <v>569</v>
      </c>
      <c r="X395" s="0" t="s">
        <v>624</v>
      </c>
      <c r="Y395" s="0" t="s">
        <v>627</v>
      </c>
      <c r="Z395" s="0" t="s">
        <v>629</v>
      </c>
      <c r="AA395" s="0" t="s">
        <v>624</v>
      </c>
      <c r="AB395" s="0" t="s">
        <v>132</v>
      </c>
      <c r="AC395" s="254" t="n">
        <f aca="false">'Basis Options'!H400</f>
        <v>930000</v>
      </c>
      <c r="AD395" s="254" t="e">
        <f aca="false">'Basis Options'!W400</f>
        <v>#NAME?</v>
      </c>
      <c r="AE395" s="0" t="n">
        <v>0</v>
      </c>
      <c r="AF395" s="0" t="n">
        <v>0</v>
      </c>
      <c r="AG395" s="0" t="n">
        <v>0</v>
      </c>
      <c r="AH395" s="254" t="e">
        <f aca="false">'Basis Options'!CD400</f>
        <v>#NAME?</v>
      </c>
      <c r="AI395" s="0" t="n">
        <v>226</v>
      </c>
      <c r="AJ395" s="0" t="s">
        <v>630</v>
      </c>
      <c r="AK395" s="0" t="n">
        <v>0</v>
      </c>
      <c r="AL395" s="0" t="n">
        <v>0</v>
      </c>
      <c r="AM395" s="0" t="n">
        <v>0</v>
      </c>
    </row>
    <row r="396" customFormat="false" ht="12.75" hidden="false" customHeight="false" outlineLevel="0" collapsed="false">
      <c r="A396" s="0" t="s">
        <v>621</v>
      </c>
      <c r="B396" s="0" t="str">
        <f aca="false">'Basis Options'!C401</f>
        <v>NN9640.1</v>
      </c>
      <c r="C396" s="0" t="s">
        <v>622</v>
      </c>
      <c r="D396" s="0" t="s">
        <v>623</v>
      </c>
      <c r="E396" s="0" t="s">
        <v>131</v>
      </c>
      <c r="F396" s="0" t="str">
        <f aca="false">'Basis Options'!A401</f>
        <v>ELPASMER</v>
      </c>
      <c r="G396" s="0" t="s">
        <v>628</v>
      </c>
      <c r="H396" s="0" t="s">
        <v>625</v>
      </c>
      <c r="I396" s="0" t="s">
        <v>626</v>
      </c>
      <c r="J396" s="0" t="s">
        <v>627</v>
      </c>
      <c r="K396" s="475" t="n">
        <f aca="false">'Basis Options'!G401</f>
        <v>36951</v>
      </c>
      <c r="L396" s="254" t="e">
        <f aca="false">'Basis Options'!U401</f>
        <v>#NAME?</v>
      </c>
      <c r="M396" s="475" t="n">
        <f aca="false">'Basis Options'!Q401</f>
        <v>36949</v>
      </c>
      <c r="N396" s="0" t="str">
        <f aca="false">'Basis Options'!F401</f>
        <v>C</v>
      </c>
      <c r="O396" s="0" t="n">
        <f aca="false">'Basis Options'!I401</f>
        <v>1.6</v>
      </c>
      <c r="P396" s="0" t="n">
        <v>0</v>
      </c>
      <c r="Q396" s="0" t="n">
        <v>0</v>
      </c>
      <c r="R396" s="0" t="n">
        <v>0</v>
      </c>
      <c r="S396" s="0" t="n">
        <v>0</v>
      </c>
      <c r="T396" s="0" t="s">
        <v>624</v>
      </c>
      <c r="U396" s="0" t="str">
        <f aca="false">IF('Basis Options'!D401="NGI/CHI. GATE","""NGI/CHI. GATE""",TRIM('Basis Options'!D401))</f>
        <v>IF-TRANSCO/Z6</v>
      </c>
      <c r="V396" s="0" t="s">
        <v>624</v>
      </c>
      <c r="W396" s="0" t="s">
        <v>569</v>
      </c>
      <c r="X396" s="0" t="s">
        <v>624</v>
      </c>
      <c r="Y396" s="0" t="s">
        <v>627</v>
      </c>
      <c r="Z396" s="0" t="s">
        <v>629</v>
      </c>
      <c r="AA396" s="0" t="s">
        <v>624</v>
      </c>
      <c r="AB396" s="0" t="s">
        <v>132</v>
      </c>
      <c r="AC396" s="254" t="n">
        <f aca="false">'Basis Options'!H401</f>
        <v>-500000</v>
      </c>
      <c r="AD396" s="254" t="e">
        <f aca="false">'Basis Options'!W401</f>
        <v>#NAME?</v>
      </c>
      <c r="AE396" s="0" t="n">
        <v>0</v>
      </c>
      <c r="AF396" s="0" t="n">
        <v>0</v>
      </c>
      <c r="AG396" s="0" t="n">
        <v>0</v>
      </c>
      <c r="AH396" s="254" t="e">
        <f aca="false">'Basis Options'!CD401</f>
        <v>#NAME?</v>
      </c>
      <c r="AI396" s="0" t="n">
        <v>226</v>
      </c>
      <c r="AJ396" s="0" t="s">
        <v>630</v>
      </c>
      <c r="AK396" s="0" t="n">
        <v>0</v>
      </c>
      <c r="AL396" s="0" t="n">
        <v>0</v>
      </c>
      <c r="AM396" s="0" t="n">
        <v>0</v>
      </c>
    </row>
    <row r="397" customFormat="false" ht="12.75" hidden="false" customHeight="false" outlineLevel="0" collapsed="false">
      <c r="A397" s="0" t="s">
        <v>621</v>
      </c>
      <c r="B397" s="0" t="str">
        <f aca="false">'Basis Options'!C402</f>
        <v>NN9640.1</v>
      </c>
      <c r="C397" s="0" t="s">
        <v>622</v>
      </c>
      <c r="D397" s="0" t="s">
        <v>623</v>
      </c>
      <c r="E397" s="0" t="s">
        <v>131</v>
      </c>
      <c r="F397" s="0" t="str">
        <f aca="false">'Basis Options'!A402</f>
        <v>ELPASMER</v>
      </c>
      <c r="G397" s="0" t="s">
        <v>628</v>
      </c>
      <c r="H397" s="0" t="s">
        <v>625</v>
      </c>
      <c r="I397" s="0" t="s">
        <v>626</v>
      </c>
      <c r="J397" s="0" t="s">
        <v>627</v>
      </c>
      <c r="K397" s="475" t="n">
        <f aca="false">'Basis Options'!G402</f>
        <v>36923</v>
      </c>
      <c r="L397" s="254" t="e">
        <f aca="false">'Basis Options'!U402</f>
        <v>#NAME?</v>
      </c>
      <c r="M397" s="475" t="n">
        <f aca="false">'Basis Options'!Q402</f>
        <v>36921</v>
      </c>
      <c r="N397" s="0" t="str">
        <f aca="false">'Basis Options'!F402</f>
        <v>C</v>
      </c>
      <c r="O397" s="0" t="n">
        <f aca="false">'Basis Options'!I402</f>
        <v>1.6</v>
      </c>
      <c r="P397" s="0" t="n">
        <v>0</v>
      </c>
      <c r="Q397" s="0" t="n">
        <v>0</v>
      </c>
      <c r="R397" s="0" t="n">
        <v>0</v>
      </c>
      <c r="S397" s="0" t="n">
        <v>0</v>
      </c>
      <c r="T397" s="0" t="s">
        <v>624</v>
      </c>
      <c r="U397" s="0" t="str">
        <f aca="false">IF('Basis Options'!D402="NGI/CHI. GATE","""NGI/CHI. GATE""",TRIM('Basis Options'!D402))</f>
        <v>IF-TRANSCO/Z6</v>
      </c>
      <c r="V397" s="0" t="s">
        <v>624</v>
      </c>
      <c r="W397" s="0" t="s">
        <v>569</v>
      </c>
      <c r="X397" s="0" t="s">
        <v>624</v>
      </c>
      <c r="Y397" s="0" t="s">
        <v>627</v>
      </c>
      <c r="Z397" s="0" t="s">
        <v>629</v>
      </c>
      <c r="AA397" s="0" t="s">
        <v>624</v>
      </c>
      <c r="AB397" s="0" t="s">
        <v>132</v>
      </c>
      <c r="AC397" s="254" t="n">
        <f aca="false">'Basis Options'!H402</f>
        <v>-500000</v>
      </c>
      <c r="AD397" s="254" t="e">
        <f aca="false">'Basis Options'!W402</f>
        <v>#NAME?</v>
      </c>
      <c r="AE397" s="0" t="n">
        <v>0</v>
      </c>
      <c r="AF397" s="0" t="n">
        <v>0</v>
      </c>
      <c r="AG397" s="0" t="n">
        <v>0</v>
      </c>
      <c r="AH397" s="254" t="e">
        <f aca="false">'Basis Options'!CD402</f>
        <v>#NAME?</v>
      </c>
      <c r="AI397" s="0" t="n">
        <v>226</v>
      </c>
      <c r="AJ397" s="0" t="s">
        <v>630</v>
      </c>
      <c r="AK397" s="0" t="n">
        <v>0</v>
      </c>
      <c r="AL397" s="0" t="n">
        <v>0</v>
      </c>
      <c r="AM397" s="0" t="n">
        <v>0</v>
      </c>
    </row>
    <row r="398" customFormat="false" ht="12.75" hidden="false" customHeight="false" outlineLevel="0" collapsed="false">
      <c r="A398" s="0" t="s">
        <v>621</v>
      </c>
      <c r="B398" s="0" t="str">
        <f aca="false">'Basis Options'!C403</f>
        <v>NN9640.1</v>
      </c>
      <c r="C398" s="0" t="s">
        <v>622</v>
      </c>
      <c r="D398" s="0" t="s">
        <v>623</v>
      </c>
      <c r="E398" s="0" t="s">
        <v>131</v>
      </c>
      <c r="F398" s="0" t="str">
        <f aca="false">'Basis Options'!A403</f>
        <v>ELPASMER</v>
      </c>
      <c r="G398" s="0" t="s">
        <v>628</v>
      </c>
      <c r="H398" s="0" t="s">
        <v>625</v>
      </c>
      <c r="I398" s="0" t="s">
        <v>626</v>
      </c>
      <c r="J398" s="0" t="s">
        <v>627</v>
      </c>
      <c r="K398" s="475" t="n">
        <f aca="false">'Basis Options'!G403</f>
        <v>36892</v>
      </c>
      <c r="L398" s="254" t="e">
        <f aca="false">'Basis Options'!U403</f>
        <v>#NAME?</v>
      </c>
      <c r="M398" s="475" t="n">
        <f aca="false">'Basis Options'!Q403</f>
        <v>36888</v>
      </c>
      <c r="N398" s="0" t="str">
        <f aca="false">'Basis Options'!F403</f>
        <v>C</v>
      </c>
      <c r="O398" s="0" t="n">
        <f aca="false">'Basis Options'!I403</f>
        <v>1.6</v>
      </c>
      <c r="P398" s="0" t="n">
        <v>0</v>
      </c>
      <c r="Q398" s="0" t="n">
        <v>0</v>
      </c>
      <c r="R398" s="0" t="n">
        <v>0</v>
      </c>
      <c r="S398" s="0" t="n">
        <v>0</v>
      </c>
      <c r="T398" s="0" t="s">
        <v>624</v>
      </c>
      <c r="U398" s="0" t="str">
        <f aca="false">IF('Basis Options'!D403="NGI/CHI. GATE","""NGI/CHI. GATE""",TRIM('Basis Options'!D403))</f>
        <v>IF-TRANSCO/Z6</v>
      </c>
      <c r="V398" s="0" t="s">
        <v>624</v>
      </c>
      <c r="W398" s="0" t="s">
        <v>569</v>
      </c>
      <c r="X398" s="0" t="s">
        <v>624</v>
      </c>
      <c r="Y398" s="0" t="s">
        <v>627</v>
      </c>
      <c r="Z398" s="0" t="s">
        <v>629</v>
      </c>
      <c r="AA398" s="0" t="s">
        <v>624</v>
      </c>
      <c r="AB398" s="0" t="s">
        <v>132</v>
      </c>
      <c r="AC398" s="254" t="n">
        <f aca="false">'Basis Options'!H403</f>
        <v>-500000</v>
      </c>
      <c r="AD398" s="254" t="e">
        <f aca="false">'Basis Options'!W403</f>
        <v>#NAME?</v>
      </c>
      <c r="AE398" s="0" t="n">
        <v>0</v>
      </c>
      <c r="AF398" s="0" t="n">
        <v>0</v>
      </c>
      <c r="AG398" s="0" t="n">
        <v>0</v>
      </c>
      <c r="AH398" s="254" t="e">
        <f aca="false">'Basis Options'!CD403</f>
        <v>#NAME?</v>
      </c>
      <c r="AI398" s="0" t="n">
        <v>226</v>
      </c>
      <c r="AJ398" s="0" t="s">
        <v>630</v>
      </c>
      <c r="AK398" s="0" t="n">
        <v>0</v>
      </c>
      <c r="AL398" s="0" t="n">
        <v>0</v>
      </c>
      <c r="AM398" s="0" t="n">
        <v>0</v>
      </c>
    </row>
    <row r="399" customFormat="false" ht="12.75" hidden="false" customHeight="false" outlineLevel="0" collapsed="false">
      <c r="A399" s="0" t="s">
        <v>621</v>
      </c>
      <c r="B399" s="0" t="str">
        <f aca="false">'Basis Options'!C404</f>
        <v>NN9640.1</v>
      </c>
      <c r="C399" s="0" t="s">
        <v>622</v>
      </c>
      <c r="D399" s="0" t="s">
        <v>623</v>
      </c>
      <c r="E399" s="0" t="s">
        <v>131</v>
      </c>
      <c r="F399" s="0" t="str">
        <f aca="false">'Basis Options'!A404</f>
        <v>ELPASMER</v>
      </c>
      <c r="G399" s="0" t="s">
        <v>628</v>
      </c>
      <c r="H399" s="0" t="s">
        <v>625</v>
      </c>
      <c r="I399" s="0" t="s">
        <v>626</v>
      </c>
      <c r="J399" s="0" t="s">
        <v>627</v>
      </c>
      <c r="K399" s="475" t="n">
        <f aca="false">'Basis Options'!G404</f>
        <v>36861</v>
      </c>
      <c r="L399" s="254" t="e">
        <f aca="false">'Basis Options'!U404</f>
        <v>#NAME?</v>
      </c>
      <c r="M399" s="475" t="n">
        <f aca="false">'Basis Options'!Q404</f>
        <v>36859</v>
      </c>
      <c r="N399" s="0" t="str">
        <f aca="false">'Basis Options'!F404</f>
        <v>C</v>
      </c>
      <c r="O399" s="0" t="n">
        <f aca="false">'Basis Options'!I404</f>
        <v>1.6</v>
      </c>
      <c r="P399" s="0" t="n">
        <v>0</v>
      </c>
      <c r="Q399" s="0" t="n">
        <v>0</v>
      </c>
      <c r="R399" s="0" t="n">
        <v>0</v>
      </c>
      <c r="S399" s="0" t="n">
        <v>0</v>
      </c>
      <c r="T399" s="0" t="s">
        <v>624</v>
      </c>
      <c r="U399" s="0" t="str">
        <f aca="false">IF('Basis Options'!D404="NGI/CHI. GATE","""NGI/CHI. GATE""",TRIM('Basis Options'!D404))</f>
        <v>IF-TRANSCO/Z6</v>
      </c>
      <c r="V399" s="0" t="s">
        <v>624</v>
      </c>
      <c r="W399" s="0" t="s">
        <v>569</v>
      </c>
      <c r="X399" s="0" t="s">
        <v>624</v>
      </c>
      <c r="Y399" s="0" t="s">
        <v>627</v>
      </c>
      <c r="Z399" s="0" t="s">
        <v>629</v>
      </c>
      <c r="AA399" s="0" t="s">
        <v>624</v>
      </c>
      <c r="AB399" s="0" t="s">
        <v>132</v>
      </c>
      <c r="AC399" s="254" t="n">
        <f aca="false">'Basis Options'!H404</f>
        <v>-500000</v>
      </c>
      <c r="AD399" s="254" t="e">
        <f aca="false">'Basis Options'!W404</f>
        <v>#NAME?</v>
      </c>
      <c r="AE399" s="0" t="n">
        <v>0</v>
      </c>
      <c r="AF399" s="0" t="n">
        <v>0</v>
      </c>
      <c r="AG399" s="0" t="n">
        <v>0</v>
      </c>
      <c r="AH399" s="254" t="e">
        <f aca="false">'Basis Options'!CD404</f>
        <v>#NAME?</v>
      </c>
      <c r="AI399" s="0" t="n">
        <v>226</v>
      </c>
      <c r="AJ399" s="0" t="s">
        <v>630</v>
      </c>
      <c r="AK399" s="0" t="n">
        <v>0</v>
      </c>
      <c r="AL399" s="0" t="n">
        <v>0</v>
      </c>
      <c r="AM399" s="0" t="n">
        <v>0</v>
      </c>
    </row>
    <row r="400" customFormat="false" ht="12.75" hidden="false" customHeight="false" outlineLevel="0" collapsed="false">
      <c r="A400" s="0" t="s">
        <v>621</v>
      </c>
      <c r="B400" s="0" t="str">
        <f aca="false">'Basis Options'!C405</f>
        <v>NN9640.1</v>
      </c>
      <c r="C400" s="0" t="s">
        <v>622</v>
      </c>
      <c r="D400" s="0" t="s">
        <v>623</v>
      </c>
      <c r="E400" s="0" t="s">
        <v>131</v>
      </c>
      <c r="F400" s="0" t="str">
        <f aca="false">'Basis Options'!A405</f>
        <v>ELPASMER</v>
      </c>
      <c r="G400" s="0" t="s">
        <v>628</v>
      </c>
      <c r="H400" s="0" t="s">
        <v>625</v>
      </c>
      <c r="I400" s="0" t="s">
        <v>626</v>
      </c>
      <c r="J400" s="0" t="s">
        <v>627</v>
      </c>
      <c r="K400" s="475" t="n">
        <f aca="false">'Basis Options'!G405</f>
        <v>36831</v>
      </c>
      <c r="L400" s="254" t="e">
        <f aca="false">'Basis Options'!U405</f>
        <v>#NAME?</v>
      </c>
      <c r="M400" s="475" t="n">
        <f aca="false">'Basis Options'!Q405</f>
        <v>36829</v>
      </c>
      <c r="N400" s="0" t="str">
        <f aca="false">'Basis Options'!F405</f>
        <v>C</v>
      </c>
      <c r="O400" s="0" t="n">
        <f aca="false">'Basis Options'!I405</f>
        <v>1.6</v>
      </c>
      <c r="P400" s="0" t="n">
        <v>0</v>
      </c>
      <c r="Q400" s="0" t="n">
        <v>0</v>
      </c>
      <c r="R400" s="0" t="n">
        <v>0</v>
      </c>
      <c r="S400" s="0" t="n">
        <v>0</v>
      </c>
      <c r="T400" s="0" t="s">
        <v>624</v>
      </c>
      <c r="U400" s="0" t="str">
        <f aca="false">IF('Basis Options'!D405="NGI/CHI. GATE","""NGI/CHI. GATE""",TRIM('Basis Options'!D405))</f>
        <v>IF-TRANSCO/Z6</v>
      </c>
      <c r="V400" s="0" t="s">
        <v>624</v>
      </c>
      <c r="W400" s="0" t="s">
        <v>569</v>
      </c>
      <c r="X400" s="0" t="s">
        <v>624</v>
      </c>
      <c r="Y400" s="0" t="s">
        <v>627</v>
      </c>
      <c r="Z400" s="0" t="s">
        <v>629</v>
      </c>
      <c r="AA400" s="0" t="s">
        <v>624</v>
      </c>
      <c r="AB400" s="0" t="s">
        <v>132</v>
      </c>
      <c r="AC400" s="254" t="n">
        <f aca="false">'Basis Options'!H405</f>
        <v>-500000</v>
      </c>
      <c r="AD400" s="254" t="e">
        <f aca="false">'Basis Options'!W405</f>
        <v>#NAME?</v>
      </c>
      <c r="AE400" s="0" t="n">
        <v>0</v>
      </c>
      <c r="AF400" s="0" t="n">
        <v>0</v>
      </c>
      <c r="AG400" s="0" t="n">
        <v>0</v>
      </c>
      <c r="AH400" s="254" t="e">
        <f aca="false">'Basis Options'!CD405</f>
        <v>#NAME?</v>
      </c>
      <c r="AI400" s="0" t="n">
        <v>226</v>
      </c>
      <c r="AJ400" s="0" t="s">
        <v>630</v>
      </c>
      <c r="AK400" s="0" t="n">
        <v>0</v>
      </c>
      <c r="AL400" s="0" t="n">
        <v>0</v>
      </c>
      <c r="AM400" s="0" t="n">
        <v>0</v>
      </c>
    </row>
    <row r="401" customFormat="false" ht="12.75" hidden="false" customHeight="false" outlineLevel="0" collapsed="false">
      <c r="A401" s="0" t="s">
        <v>621</v>
      </c>
      <c r="B401" s="0" t="str">
        <f aca="false">'Basis Options'!C406</f>
        <v>NN9640.2</v>
      </c>
      <c r="C401" s="0" t="s">
        <v>622</v>
      </c>
      <c r="D401" s="0" t="s">
        <v>623</v>
      </c>
      <c r="E401" s="0" t="s">
        <v>131</v>
      </c>
      <c r="F401" s="0" t="str">
        <f aca="false">'Basis Options'!A406</f>
        <v>ELPASMER</v>
      </c>
      <c r="G401" s="0" t="s">
        <v>628</v>
      </c>
      <c r="H401" s="0" t="s">
        <v>625</v>
      </c>
      <c r="I401" s="0" t="s">
        <v>626</v>
      </c>
      <c r="J401" s="0" t="s">
        <v>627</v>
      </c>
      <c r="K401" s="475" t="n">
        <f aca="false">'Basis Options'!G406</f>
        <v>36951</v>
      </c>
      <c r="L401" s="254" t="e">
        <f aca="false">'Basis Options'!U406</f>
        <v>#NAME?</v>
      </c>
      <c r="M401" s="475" t="n">
        <f aca="false">'Basis Options'!Q406</f>
        <v>36949</v>
      </c>
      <c r="N401" s="0" t="str">
        <f aca="false">'Basis Options'!F406</f>
        <v>P</v>
      </c>
      <c r="O401" s="0" t="n">
        <f aca="false">'Basis Options'!I406</f>
        <v>1.6</v>
      </c>
      <c r="P401" s="0" t="n">
        <v>0</v>
      </c>
      <c r="Q401" s="0" t="n">
        <v>0</v>
      </c>
      <c r="R401" s="0" t="n">
        <v>0</v>
      </c>
      <c r="S401" s="0" t="n">
        <v>0</v>
      </c>
      <c r="T401" s="0" t="s">
        <v>624</v>
      </c>
      <c r="U401" s="0" t="str">
        <f aca="false">IF('Basis Options'!D406="NGI/CHI. GATE","""NGI/CHI. GATE""",TRIM('Basis Options'!D406))</f>
        <v>IF-TRANSCO/Z6</v>
      </c>
      <c r="V401" s="0" t="s">
        <v>624</v>
      </c>
      <c r="W401" s="0" t="s">
        <v>569</v>
      </c>
      <c r="X401" s="0" t="s">
        <v>624</v>
      </c>
      <c r="Y401" s="0" t="s">
        <v>627</v>
      </c>
      <c r="Z401" s="0" t="s">
        <v>629</v>
      </c>
      <c r="AA401" s="0" t="s">
        <v>624</v>
      </c>
      <c r="AB401" s="0" t="s">
        <v>132</v>
      </c>
      <c r="AC401" s="254" t="n">
        <f aca="false">'Basis Options'!H406</f>
        <v>-500000</v>
      </c>
      <c r="AD401" s="254" t="e">
        <f aca="false">'Basis Options'!W406</f>
        <v>#NAME?</v>
      </c>
      <c r="AE401" s="0" t="n">
        <v>0</v>
      </c>
      <c r="AF401" s="0" t="n">
        <v>0</v>
      </c>
      <c r="AG401" s="0" t="n">
        <v>0</v>
      </c>
      <c r="AH401" s="254" t="e">
        <f aca="false">'Basis Options'!CD406</f>
        <v>#NAME?</v>
      </c>
      <c r="AI401" s="0" t="n">
        <v>226</v>
      </c>
      <c r="AJ401" s="0" t="s">
        <v>630</v>
      </c>
      <c r="AK401" s="0" t="n">
        <v>0</v>
      </c>
      <c r="AL401" s="0" t="n">
        <v>0</v>
      </c>
      <c r="AM401" s="0" t="n">
        <v>0</v>
      </c>
    </row>
    <row r="402" customFormat="false" ht="12.75" hidden="false" customHeight="false" outlineLevel="0" collapsed="false">
      <c r="A402" s="0" t="s">
        <v>621</v>
      </c>
      <c r="B402" s="0" t="str">
        <f aca="false">'Basis Options'!C407</f>
        <v>NN9640.2</v>
      </c>
      <c r="C402" s="0" t="s">
        <v>622</v>
      </c>
      <c r="D402" s="0" t="s">
        <v>623</v>
      </c>
      <c r="E402" s="0" t="s">
        <v>131</v>
      </c>
      <c r="F402" s="0" t="str">
        <f aca="false">'Basis Options'!A407</f>
        <v>ELPASMER</v>
      </c>
      <c r="G402" s="0" t="s">
        <v>628</v>
      </c>
      <c r="H402" s="0" t="s">
        <v>625</v>
      </c>
      <c r="I402" s="0" t="s">
        <v>626</v>
      </c>
      <c r="J402" s="0" t="s">
        <v>627</v>
      </c>
      <c r="K402" s="475" t="n">
        <f aca="false">'Basis Options'!G407</f>
        <v>36923</v>
      </c>
      <c r="L402" s="254" t="e">
        <f aca="false">'Basis Options'!U407</f>
        <v>#NAME?</v>
      </c>
      <c r="M402" s="475" t="n">
        <f aca="false">'Basis Options'!Q407</f>
        <v>36921</v>
      </c>
      <c r="N402" s="0" t="str">
        <f aca="false">'Basis Options'!F407</f>
        <v>P</v>
      </c>
      <c r="O402" s="0" t="n">
        <f aca="false">'Basis Options'!I407</f>
        <v>1.6</v>
      </c>
      <c r="P402" s="0" t="n">
        <v>0</v>
      </c>
      <c r="Q402" s="0" t="n">
        <v>0</v>
      </c>
      <c r="R402" s="0" t="n">
        <v>0</v>
      </c>
      <c r="S402" s="0" t="n">
        <v>0</v>
      </c>
      <c r="T402" s="0" t="s">
        <v>624</v>
      </c>
      <c r="U402" s="0" t="str">
        <f aca="false">IF('Basis Options'!D407="NGI/CHI. GATE","""NGI/CHI. GATE""",TRIM('Basis Options'!D407))</f>
        <v>IF-TRANSCO/Z6</v>
      </c>
      <c r="V402" s="0" t="s">
        <v>624</v>
      </c>
      <c r="W402" s="0" t="s">
        <v>569</v>
      </c>
      <c r="X402" s="0" t="s">
        <v>624</v>
      </c>
      <c r="Y402" s="0" t="s">
        <v>627</v>
      </c>
      <c r="Z402" s="0" t="s">
        <v>629</v>
      </c>
      <c r="AA402" s="0" t="s">
        <v>624</v>
      </c>
      <c r="AB402" s="0" t="s">
        <v>132</v>
      </c>
      <c r="AC402" s="254" t="n">
        <f aca="false">'Basis Options'!H407</f>
        <v>-500000</v>
      </c>
      <c r="AD402" s="254" t="e">
        <f aca="false">'Basis Options'!W407</f>
        <v>#NAME?</v>
      </c>
      <c r="AE402" s="0" t="n">
        <v>0</v>
      </c>
      <c r="AF402" s="0" t="n">
        <v>0</v>
      </c>
      <c r="AG402" s="0" t="n">
        <v>0</v>
      </c>
      <c r="AH402" s="254" t="e">
        <f aca="false">'Basis Options'!CD407</f>
        <v>#NAME?</v>
      </c>
      <c r="AI402" s="0" t="n">
        <v>226</v>
      </c>
      <c r="AJ402" s="0" t="s">
        <v>630</v>
      </c>
      <c r="AK402" s="0" t="n">
        <v>0</v>
      </c>
      <c r="AL402" s="0" t="n">
        <v>0</v>
      </c>
      <c r="AM402" s="0" t="n">
        <v>0</v>
      </c>
    </row>
    <row r="403" customFormat="false" ht="12.75" hidden="false" customHeight="false" outlineLevel="0" collapsed="false">
      <c r="A403" s="0" t="s">
        <v>621</v>
      </c>
      <c r="B403" s="0" t="str">
        <f aca="false">'Basis Options'!C408</f>
        <v>NN9640.2</v>
      </c>
      <c r="C403" s="0" t="s">
        <v>622</v>
      </c>
      <c r="D403" s="0" t="s">
        <v>623</v>
      </c>
      <c r="E403" s="0" t="s">
        <v>131</v>
      </c>
      <c r="F403" s="0" t="str">
        <f aca="false">'Basis Options'!A408</f>
        <v>ELPASMER</v>
      </c>
      <c r="G403" s="0" t="s">
        <v>628</v>
      </c>
      <c r="H403" s="0" t="s">
        <v>625</v>
      </c>
      <c r="I403" s="0" t="s">
        <v>626</v>
      </c>
      <c r="J403" s="0" t="s">
        <v>627</v>
      </c>
      <c r="K403" s="475" t="n">
        <f aca="false">'Basis Options'!G408</f>
        <v>36892</v>
      </c>
      <c r="L403" s="254" t="e">
        <f aca="false">'Basis Options'!U408</f>
        <v>#NAME?</v>
      </c>
      <c r="M403" s="475" t="n">
        <f aca="false">'Basis Options'!Q408</f>
        <v>36888</v>
      </c>
      <c r="N403" s="0" t="str">
        <f aca="false">'Basis Options'!F408</f>
        <v>P</v>
      </c>
      <c r="O403" s="0" t="n">
        <f aca="false">'Basis Options'!I408</f>
        <v>1.6</v>
      </c>
      <c r="P403" s="0" t="n">
        <v>0</v>
      </c>
      <c r="Q403" s="0" t="n">
        <v>0</v>
      </c>
      <c r="R403" s="0" t="n">
        <v>0</v>
      </c>
      <c r="S403" s="0" t="n">
        <v>0</v>
      </c>
      <c r="T403" s="0" t="s">
        <v>624</v>
      </c>
      <c r="U403" s="0" t="str">
        <f aca="false">IF('Basis Options'!D408="NGI/CHI. GATE","""NGI/CHI. GATE""",TRIM('Basis Options'!D408))</f>
        <v>IF-TRANSCO/Z6</v>
      </c>
      <c r="V403" s="0" t="s">
        <v>624</v>
      </c>
      <c r="W403" s="0" t="s">
        <v>569</v>
      </c>
      <c r="X403" s="0" t="s">
        <v>624</v>
      </c>
      <c r="Y403" s="0" t="s">
        <v>627</v>
      </c>
      <c r="Z403" s="0" t="s">
        <v>629</v>
      </c>
      <c r="AA403" s="0" t="s">
        <v>624</v>
      </c>
      <c r="AB403" s="0" t="s">
        <v>132</v>
      </c>
      <c r="AC403" s="254" t="n">
        <f aca="false">'Basis Options'!H408</f>
        <v>-500000</v>
      </c>
      <c r="AD403" s="254" t="e">
        <f aca="false">'Basis Options'!W408</f>
        <v>#NAME?</v>
      </c>
      <c r="AE403" s="0" t="n">
        <v>0</v>
      </c>
      <c r="AF403" s="0" t="n">
        <v>0</v>
      </c>
      <c r="AG403" s="0" t="n">
        <v>0</v>
      </c>
      <c r="AH403" s="254" t="e">
        <f aca="false">'Basis Options'!CD408</f>
        <v>#NAME?</v>
      </c>
      <c r="AI403" s="0" t="n">
        <v>226</v>
      </c>
      <c r="AJ403" s="0" t="s">
        <v>630</v>
      </c>
      <c r="AK403" s="0" t="n">
        <v>0</v>
      </c>
      <c r="AL403" s="0" t="n">
        <v>0</v>
      </c>
      <c r="AM403" s="0" t="n">
        <v>0</v>
      </c>
    </row>
    <row r="404" customFormat="false" ht="12.75" hidden="false" customHeight="false" outlineLevel="0" collapsed="false">
      <c r="A404" s="0" t="s">
        <v>621</v>
      </c>
      <c r="B404" s="0" t="str">
        <f aca="false">'Basis Options'!C409</f>
        <v>NN9640.2</v>
      </c>
      <c r="C404" s="0" t="s">
        <v>622</v>
      </c>
      <c r="D404" s="0" t="s">
        <v>623</v>
      </c>
      <c r="E404" s="0" t="s">
        <v>131</v>
      </c>
      <c r="F404" s="0" t="str">
        <f aca="false">'Basis Options'!A409</f>
        <v>ELPASMER</v>
      </c>
      <c r="G404" s="0" t="s">
        <v>628</v>
      </c>
      <c r="H404" s="0" t="s">
        <v>625</v>
      </c>
      <c r="I404" s="0" t="s">
        <v>626</v>
      </c>
      <c r="J404" s="0" t="s">
        <v>627</v>
      </c>
      <c r="K404" s="475" t="n">
        <f aca="false">'Basis Options'!G409</f>
        <v>36861</v>
      </c>
      <c r="L404" s="254" t="e">
        <f aca="false">'Basis Options'!U409</f>
        <v>#NAME?</v>
      </c>
      <c r="M404" s="475" t="n">
        <f aca="false">'Basis Options'!Q409</f>
        <v>36859</v>
      </c>
      <c r="N404" s="0" t="str">
        <f aca="false">'Basis Options'!F409</f>
        <v>P</v>
      </c>
      <c r="O404" s="0" t="n">
        <f aca="false">'Basis Options'!I409</f>
        <v>1.6</v>
      </c>
      <c r="P404" s="0" t="n">
        <v>0</v>
      </c>
      <c r="Q404" s="0" t="n">
        <v>0</v>
      </c>
      <c r="R404" s="0" t="n">
        <v>0</v>
      </c>
      <c r="S404" s="0" t="n">
        <v>0</v>
      </c>
      <c r="T404" s="0" t="s">
        <v>624</v>
      </c>
      <c r="U404" s="0" t="str">
        <f aca="false">IF('Basis Options'!D409="NGI/CHI. GATE","""NGI/CHI. GATE""",TRIM('Basis Options'!D409))</f>
        <v>IF-TRANSCO/Z6</v>
      </c>
      <c r="V404" s="0" t="s">
        <v>624</v>
      </c>
      <c r="W404" s="0" t="s">
        <v>569</v>
      </c>
      <c r="X404" s="0" t="s">
        <v>624</v>
      </c>
      <c r="Y404" s="0" t="s">
        <v>627</v>
      </c>
      <c r="Z404" s="0" t="s">
        <v>629</v>
      </c>
      <c r="AA404" s="0" t="s">
        <v>624</v>
      </c>
      <c r="AB404" s="0" t="s">
        <v>132</v>
      </c>
      <c r="AC404" s="254" t="n">
        <f aca="false">'Basis Options'!H409</f>
        <v>-500000</v>
      </c>
      <c r="AD404" s="254" t="e">
        <f aca="false">'Basis Options'!W409</f>
        <v>#NAME?</v>
      </c>
      <c r="AE404" s="0" t="n">
        <v>0</v>
      </c>
      <c r="AF404" s="0" t="n">
        <v>0</v>
      </c>
      <c r="AG404" s="0" t="n">
        <v>0</v>
      </c>
      <c r="AH404" s="254" t="e">
        <f aca="false">'Basis Options'!CD409</f>
        <v>#NAME?</v>
      </c>
      <c r="AI404" s="0" t="n">
        <v>226</v>
      </c>
      <c r="AJ404" s="0" t="s">
        <v>630</v>
      </c>
      <c r="AK404" s="0" t="n">
        <v>0</v>
      </c>
      <c r="AL404" s="0" t="n">
        <v>0</v>
      </c>
      <c r="AM404" s="0" t="n">
        <v>0</v>
      </c>
    </row>
    <row r="405" customFormat="false" ht="12.75" hidden="false" customHeight="false" outlineLevel="0" collapsed="false">
      <c r="A405" s="0" t="s">
        <v>621</v>
      </c>
      <c r="B405" s="0" t="str">
        <f aca="false">'Basis Options'!C410</f>
        <v>NN9640.2</v>
      </c>
      <c r="C405" s="0" t="s">
        <v>622</v>
      </c>
      <c r="D405" s="0" t="s">
        <v>623</v>
      </c>
      <c r="E405" s="0" t="s">
        <v>131</v>
      </c>
      <c r="F405" s="0" t="str">
        <f aca="false">'Basis Options'!A410</f>
        <v>ELPASMER</v>
      </c>
      <c r="G405" s="0" t="s">
        <v>628</v>
      </c>
      <c r="H405" s="0" t="s">
        <v>625</v>
      </c>
      <c r="I405" s="0" t="s">
        <v>626</v>
      </c>
      <c r="J405" s="0" t="s">
        <v>627</v>
      </c>
      <c r="K405" s="475" t="n">
        <f aca="false">'Basis Options'!G410</f>
        <v>36831</v>
      </c>
      <c r="L405" s="254" t="e">
        <f aca="false">'Basis Options'!U410</f>
        <v>#NAME?</v>
      </c>
      <c r="M405" s="475" t="n">
        <f aca="false">'Basis Options'!Q410</f>
        <v>36829</v>
      </c>
      <c r="N405" s="0" t="str">
        <f aca="false">'Basis Options'!F410</f>
        <v>P</v>
      </c>
      <c r="O405" s="0" t="n">
        <f aca="false">'Basis Options'!I410</f>
        <v>1.6</v>
      </c>
      <c r="P405" s="0" t="n">
        <v>0</v>
      </c>
      <c r="Q405" s="0" t="n">
        <v>0</v>
      </c>
      <c r="R405" s="0" t="n">
        <v>0</v>
      </c>
      <c r="S405" s="0" t="n">
        <v>0</v>
      </c>
      <c r="T405" s="0" t="s">
        <v>624</v>
      </c>
      <c r="U405" s="0" t="str">
        <f aca="false">IF('Basis Options'!D410="NGI/CHI. GATE","""NGI/CHI. GATE""",TRIM('Basis Options'!D410))</f>
        <v>IF-TRANSCO/Z6</v>
      </c>
      <c r="V405" s="0" t="s">
        <v>624</v>
      </c>
      <c r="W405" s="0" t="s">
        <v>569</v>
      </c>
      <c r="X405" s="0" t="s">
        <v>624</v>
      </c>
      <c r="Y405" s="0" t="s">
        <v>627</v>
      </c>
      <c r="Z405" s="0" t="s">
        <v>629</v>
      </c>
      <c r="AA405" s="0" t="s">
        <v>624</v>
      </c>
      <c r="AB405" s="0" t="s">
        <v>132</v>
      </c>
      <c r="AC405" s="254" t="n">
        <f aca="false">'Basis Options'!H410</f>
        <v>-500000</v>
      </c>
      <c r="AD405" s="254" t="e">
        <f aca="false">'Basis Options'!W410</f>
        <v>#NAME?</v>
      </c>
      <c r="AE405" s="0" t="n">
        <v>0</v>
      </c>
      <c r="AF405" s="0" t="n">
        <v>0</v>
      </c>
      <c r="AG405" s="0" t="n">
        <v>0</v>
      </c>
      <c r="AH405" s="254" t="e">
        <f aca="false">'Basis Options'!CD410</f>
        <v>#NAME?</v>
      </c>
      <c r="AI405" s="0" t="n">
        <v>226</v>
      </c>
      <c r="AJ405" s="0" t="s">
        <v>630</v>
      </c>
      <c r="AK405" s="0" t="n">
        <v>0</v>
      </c>
      <c r="AL405" s="0" t="n">
        <v>0</v>
      </c>
      <c r="AM405" s="0" t="n">
        <v>0</v>
      </c>
    </row>
    <row r="406" customFormat="false" ht="12.75" hidden="false" customHeight="false" outlineLevel="0" collapsed="false">
      <c r="A406" s="0" t="s">
        <v>621</v>
      </c>
      <c r="B406" s="0" t="str">
        <f aca="false">'Basis Options'!C411</f>
        <v>NO1679.1</v>
      </c>
      <c r="C406" s="0" t="s">
        <v>622</v>
      </c>
      <c r="D406" s="0" t="s">
        <v>623</v>
      </c>
      <c r="E406" s="0" t="s">
        <v>131</v>
      </c>
      <c r="F406" s="0" t="str">
        <f aca="false">'Basis Options'!A411</f>
        <v>UTILICORP</v>
      </c>
      <c r="G406" s="0" t="s">
        <v>628</v>
      </c>
      <c r="H406" s="0" t="s">
        <v>625</v>
      </c>
      <c r="I406" s="0" t="s">
        <v>626</v>
      </c>
      <c r="J406" s="0" t="s">
        <v>627</v>
      </c>
      <c r="K406" s="475" t="n">
        <f aca="false">'Basis Options'!G411</f>
        <v>36800</v>
      </c>
      <c r="L406" s="254" t="e">
        <f aca="false">'Basis Options'!U411</f>
        <v>#NAME?</v>
      </c>
      <c r="M406" s="475" t="n">
        <f aca="false">'Basis Options'!Q411</f>
        <v>36797</v>
      </c>
      <c r="N406" s="0" t="str">
        <f aca="false">'Basis Options'!F411</f>
        <v>P</v>
      </c>
      <c r="O406" s="0" t="n">
        <f aca="false">'Basis Options'!I411</f>
        <v>0.55</v>
      </c>
      <c r="P406" s="0" t="n">
        <v>0</v>
      </c>
      <c r="Q406" s="0" t="n">
        <v>0</v>
      </c>
      <c r="R406" s="0" t="n">
        <v>0</v>
      </c>
      <c r="S406" s="0" t="n">
        <v>0</v>
      </c>
      <c r="T406" s="0" t="s">
        <v>624</v>
      </c>
      <c r="U406" s="0" t="str">
        <f aca="false">IF('Basis Options'!D411="NGI/CHI. GATE","""NGI/CHI. GATE""",TRIM('Basis Options'!D411))</f>
        <v>IF-TRANSCO/Z6</v>
      </c>
      <c r="V406" s="0" t="s">
        <v>624</v>
      </c>
      <c r="W406" s="0" t="s">
        <v>569</v>
      </c>
      <c r="X406" s="0" t="s">
        <v>624</v>
      </c>
      <c r="Y406" s="0" t="s">
        <v>627</v>
      </c>
      <c r="Z406" s="0" t="s">
        <v>629</v>
      </c>
      <c r="AA406" s="0" t="s">
        <v>624</v>
      </c>
      <c r="AB406" s="0" t="s">
        <v>132</v>
      </c>
      <c r="AC406" s="254" t="n">
        <f aca="false">'Basis Options'!H411</f>
        <v>-2170000</v>
      </c>
      <c r="AD406" s="254" t="e">
        <f aca="false">'Basis Options'!W411</f>
        <v>#NAME?</v>
      </c>
      <c r="AE406" s="0" t="n">
        <v>0</v>
      </c>
      <c r="AF406" s="0" t="n">
        <v>0</v>
      </c>
      <c r="AG406" s="0" t="n">
        <v>0</v>
      </c>
      <c r="AH406" s="254" t="e">
        <f aca="false">'Basis Options'!CD411</f>
        <v>#NAME?</v>
      </c>
      <c r="AI406" s="0" t="n">
        <v>226</v>
      </c>
      <c r="AJ406" s="0" t="s">
        <v>630</v>
      </c>
      <c r="AK406" s="0" t="n">
        <v>0</v>
      </c>
      <c r="AL406" s="0" t="n">
        <v>0</v>
      </c>
      <c r="AM406" s="0" t="n">
        <v>0</v>
      </c>
    </row>
    <row r="407" customFormat="false" ht="12.75" hidden="false" customHeight="false" outlineLevel="0" collapsed="false">
      <c r="A407" s="0" t="s">
        <v>621</v>
      </c>
      <c r="B407" s="0" t="str">
        <f aca="false">'Basis Options'!C412</f>
        <v>NO1679.2</v>
      </c>
      <c r="C407" s="0" t="s">
        <v>622</v>
      </c>
      <c r="D407" s="0" t="s">
        <v>623</v>
      </c>
      <c r="E407" s="0" t="s">
        <v>131</v>
      </c>
      <c r="F407" s="0" t="str">
        <f aca="false">'Basis Options'!A412</f>
        <v>UTILICORP</v>
      </c>
      <c r="G407" s="0" t="s">
        <v>628</v>
      </c>
      <c r="H407" s="0" t="s">
        <v>625</v>
      </c>
      <c r="I407" s="0" t="s">
        <v>626</v>
      </c>
      <c r="J407" s="0" t="s">
        <v>627</v>
      </c>
      <c r="K407" s="475" t="n">
        <f aca="false">'Basis Options'!G412</f>
        <v>36800</v>
      </c>
      <c r="L407" s="254" t="e">
        <f aca="false">'Basis Options'!U412</f>
        <v>#NAME?</v>
      </c>
      <c r="M407" s="475" t="n">
        <f aca="false">'Basis Options'!Q412</f>
        <v>36797</v>
      </c>
      <c r="N407" s="0" t="str">
        <f aca="false">'Basis Options'!F412</f>
        <v>P</v>
      </c>
      <c r="O407" s="0" t="n">
        <f aca="false">'Basis Options'!I412</f>
        <v>0.55</v>
      </c>
      <c r="P407" s="0" t="n">
        <v>0</v>
      </c>
      <c r="Q407" s="0" t="n">
        <v>0</v>
      </c>
      <c r="R407" s="0" t="n">
        <v>0</v>
      </c>
      <c r="S407" s="0" t="n">
        <v>0</v>
      </c>
      <c r="T407" s="0" t="s">
        <v>624</v>
      </c>
      <c r="U407" s="0" t="str">
        <f aca="false">IF('Basis Options'!D412="NGI/CHI. GATE","""NGI/CHI. GATE""",TRIM('Basis Options'!D412))</f>
        <v>IF-TRANSCO/Z6</v>
      </c>
      <c r="V407" s="0" t="s">
        <v>624</v>
      </c>
      <c r="W407" s="0" t="s">
        <v>569</v>
      </c>
      <c r="X407" s="0" t="s">
        <v>624</v>
      </c>
      <c r="Y407" s="0" t="s">
        <v>627</v>
      </c>
      <c r="Z407" s="0" t="s">
        <v>629</v>
      </c>
      <c r="AA407" s="0" t="s">
        <v>624</v>
      </c>
      <c r="AB407" s="0" t="s">
        <v>132</v>
      </c>
      <c r="AC407" s="254" t="n">
        <f aca="false">'Basis Options'!H412</f>
        <v>-930000</v>
      </c>
      <c r="AD407" s="254" t="e">
        <f aca="false">'Basis Options'!W412</f>
        <v>#NAME?</v>
      </c>
      <c r="AE407" s="0" t="n">
        <v>0</v>
      </c>
      <c r="AF407" s="0" t="n">
        <v>0</v>
      </c>
      <c r="AG407" s="0" t="n">
        <v>0</v>
      </c>
      <c r="AH407" s="254" t="e">
        <f aca="false">'Basis Options'!CD412</f>
        <v>#NAME?</v>
      </c>
      <c r="AI407" s="0" t="n">
        <v>226</v>
      </c>
      <c r="AJ407" s="0" t="s">
        <v>630</v>
      </c>
      <c r="AK407" s="0" t="n">
        <v>0</v>
      </c>
      <c r="AL407" s="0" t="n">
        <v>0</v>
      </c>
      <c r="AM407" s="0" t="n">
        <v>0</v>
      </c>
    </row>
    <row r="408" customFormat="false" ht="12.75" hidden="false" customHeight="false" outlineLevel="0" collapsed="false">
      <c r="A408" s="0" t="s">
        <v>621</v>
      </c>
      <c r="B408" s="0" t="str">
        <f aca="false">'Basis Options'!C413</f>
        <v>NO1684</v>
      </c>
      <c r="C408" s="0" t="s">
        <v>622</v>
      </c>
      <c r="D408" s="0" t="s">
        <v>623</v>
      </c>
      <c r="E408" s="0" t="s">
        <v>131</v>
      </c>
      <c r="F408" s="0" t="str">
        <f aca="false">'Basis Options'!A413</f>
        <v>DUKEENETRA</v>
      </c>
      <c r="G408" s="0" t="s">
        <v>628</v>
      </c>
      <c r="H408" s="0" t="s">
        <v>625</v>
      </c>
      <c r="I408" s="0" t="s">
        <v>626</v>
      </c>
      <c r="J408" s="0" t="s">
        <v>627</v>
      </c>
      <c r="K408" s="475" t="n">
        <f aca="false">'Basis Options'!G413</f>
        <v>36951</v>
      </c>
      <c r="L408" s="254" t="e">
        <f aca="false">'Basis Options'!U413</f>
        <v>#NAME?</v>
      </c>
      <c r="M408" s="475" t="n">
        <f aca="false">'Basis Options'!Q413</f>
        <v>36949</v>
      </c>
      <c r="N408" s="0" t="str">
        <f aca="false">'Basis Options'!F413</f>
        <v>P</v>
      </c>
      <c r="O408" s="0" t="n">
        <f aca="false">'Basis Options'!I413</f>
        <v>-0.3</v>
      </c>
      <c r="P408" s="0" t="n">
        <v>0</v>
      </c>
      <c r="Q408" s="0" t="n">
        <v>0</v>
      </c>
      <c r="R408" s="0" t="n">
        <v>0</v>
      </c>
      <c r="S408" s="0" t="n">
        <v>0</v>
      </c>
      <c r="T408" s="0" t="s">
        <v>624</v>
      </c>
      <c r="U408" s="0" t="str">
        <f aca="false">IF('Basis Options'!D413="NGI/CHI. GATE","""NGI/CHI. GATE""",TRIM('Basis Options'!D413))</f>
        <v>IF-PAN/TX/OK</v>
      </c>
      <c r="V408" s="0" t="s">
        <v>624</v>
      </c>
      <c r="W408" s="0" t="s">
        <v>569</v>
      </c>
      <c r="X408" s="0" t="s">
        <v>624</v>
      </c>
      <c r="Y408" s="0" t="s">
        <v>627</v>
      </c>
      <c r="Z408" s="0" t="s">
        <v>629</v>
      </c>
      <c r="AA408" s="0" t="s">
        <v>624</v>
      </c>
      <c r="AB408" s="0" t="s">
        <v>132</v>
      </c>
      <c r="AC408" s="254" t="n">
        <f aca="false">'Basis Options'!H413</f>
        <v>-620000</v>
      </c>
      <c r="AD408" s="254" t="e">
        <f aca="false">'Basis Options'!W413</f>
        <v>#NAME?</v>
      </c>
      <c r="AE408" s="0" t="n">
        <v>0</v>
      </c>
      <c r="AF408" s="0" t="n">
        <v>0</v>
      </c>
      <c r="AG408" s="0" t="n">
        <v>0</v>
      </c>
      <c r="AH408" s="254" t="e">
        <f aca="false">'Basis Options'!CD413</f>
        <v>#NAME?</v>
      </c>
      <c r="AI408" s="0" t="n">
        <v>226</v>
      </c>
      <c r="AJ408" s="0" t="s">
        <v>630</v>
      </c>
      <c r="AK408" s="0" t="n">
        <v>0</v>
      </c>
      <c r="AL408" s="0" t="n">
        <v>0</v>
      </c>
      <c r="AM408" s="0" t="n">
        <v>0</v>
      </c>
    </row>
    <row r="409" customFormat="false" ht="12.75" hidden="false" customHeight="false" outlineLevel="0" collapsed="false">
      <c r="A409" s="0" t="s">
        <v>621</v>
      </c>
      <c r="B409" s="0" t="str">
        <f aca="false">'Basis Options'!C414</f>
        <v>NO1684</v>
      </c>
      <c r="C409" s="0" t="s">
        <v>622</v>
      </c>
      <c r="D409" s="0" t="s">
        <v>623</v>
      </c>
      <c r="E409" s="0" t="s">
        <v>131</v>
      </c>
      <c r="F409" s="0" t="str">
        <f aca="false">'Basis Options'!A414</f>
        <v>DUKEENETRA</v>
      </c>
      <c r="G409" s="0" t="s">
        <v>628</v>
      </c>
      <c r="H409" s="0" t="s">
        <v>625</v>
      </c>
      <c r="I409" s="0" t="s">
        <v>626</v>
      </c>
      <c r="J409" s="0" t="s">
        <v>627</v>
      </c>
      <c r="K409" s="475" t="n">
        <f aca="false">'Basis Options'!G414</f>
        <v>36923</v>
      </c>
      <c r="L409" s="254" t="e">
        <f aca="false">'Basis Options'!U414</f>
        <v>#NAME?</v>
      </c>
      <c r="M409" s="475" t="n">
        <f aca="false">'Basis Options'!Q414</f>
        <v>36921</v>
      </c>
      <c r="N409" s="0" t="str">
        <f aca="false">'Basis Options'!F414</f>
        <v>P</v>
      </c>
      <c r="O409" s="0" t="n">
        <f aca="false">'Basis Options'!I414</f>
        <v>-0.3</v>
      </c>
      <c r="P409" s="0" t="n">
        <v>0</v>
      </c>
      <c r="Q409" s="0" t="n">
        <v>0</v>
      </c>
      <c r="R409" s="0" t="n">
        <v>0</v>
      </c>
      <c r="S409" s="0" t="n">
        <v>0</v>
      </c>
      <c r="T409" s="0" t="s">
        <v>624</v>
      </c>
      <c r="U409" s="0" t="str">
        <f aca="false">IF('Basis Options'!D414="NGI/CHI. GATE","""NGI/CHI. GATE""",TRIM('Basis Options'!D414))</f>
        <v>IF-PAN/TX/OK</v>
      </c>
      <c r="V409" s="0" t="s">
        <v>624</v>
      </c>
      <c r="W409" s="0" t="s">
        <v>569</v>
      </c>
      <c r="X409" s="0" t="s">
        <v>624</v>
      </c>
      <c r="Y409" s="0" t="s">
        <v>627</v>
      </c>
      <c r="Z409" s="0" t="s">
        <v>629</v>
      </c>
      <c r="AA409" s="0" t="s">
        <v>624</v>
      </c>
      <c r="AB409" s="0" t="s">
        <v>132</v>
      </c>
      <c r="AC409" s="254" t="n">
        <f aca="false">'Basis Options'!H414</f>
        <v>-560000</v>
      </c>
      <c r="AD409" s="254" t="e">
        <f aca="false">'Basis Options'!W414</f>
        <v>#NAME?</v>
      </c>
      <c r="AE409" s="0" t="n">
        <v>0</v>
      </c>
      <c r="AF409" s="0" t="n">
        <v>0</v>
      </c>
      <c r="AG409" s="0" t="n">
        <v>0</v>
      </c>
      <c r="AH409" s="254" t="e">
        <f aca="false">'Basis Options'!CD414</f>
        <v>#NAME?</v>
      </c>
      <c r="AI409" s="0" t="n">
        <v>226</v>
      </c>
      <c r="AJ409" s="0" t="s">
        <v>630</v>
      </c>
      <c r="AK409" s="0" t="n">
        <v>0</v>
      </c>
      <c r="AL409" s="0" t="n">
        <v>0</v>
      </c>
      <c r="AM409" s="0" t="n">
        <v>0</v>
      </c>
    </row>
    <row r="410" customFormat="false" ht="12.75" hidden="false" customHeight="false" outlineLevel="0" collapsed="false">
      <c r="A410" s="0" t="s">
        <v>621</v>
      </c>
      <c r="B410" s="0" t="str">
        <f aca="false">'Basis Options'!C415</f>
        <v>NO1684</v>
      </c>
      <c r="C410" s="0" t="s">
        <v>622</v>
      </c>
      <c r="D410" s="0" t="s">
        <v>623</v>
      </c>
      <c r="E410" s="0" t="s">
        <v>131</v>
      </c>
      <c r="F410" s="0" t="str">
        <f aca="false">'Basis Options'!A415</f>
        <v>DUKEENETRA</v>
      </c>
      <c r="G410" s="0" t="s">
        <v>628</v>
      </c>
      <c r="H410" s="0" t="s">
        <v>625</v>
      </c>
      <c r="I410" s="0" t="s">
        <v>626</v>
      </c>
      <c r="J410" s="0" t="s">
        <v>627</v>
      </c>
      <c r="K410" s="475" t="n">
        <f aca="false">'Basis Options'!G415</f>
        <v>36892</v>
      </c>
      <c r="L410" s="254" t="e">
        <f aca="false">'Basis Options'!U415</f>
        <v>#NAME?</v>
      </c>
      <c r="M410" s="475" t="n">
        <f aca="false">'Basis Options'!Q415</f>
        <v>36888</v>
      </c>
      <c r="N410" s="0" t="str">
        <f aca="false">'Basis Options'!F415</f>
        <v>P</v>
      </c>
      <c r="O410" s="0" t="n">
        <f aca="false">'Basis Options'!I415</f>
        <v>-0.3</v>
      </c>
      <c r="P410" s="0" t="n">
        <v>0</v>
      </c>
      <c r="Q410" s="0" t="n">
        <v>0</v>
      </c>
      <c r="R410" s="0" t="n">
        <v>0</v>
      </c>
      <c r="S410" s="0" t="n">
        <v>0</v>
      </c>
      <c r="T410" s="0" t="s">
        <v>624</v>
      </c>
      <c r="U410" s="0" t="str">
        <f aca="false">IF('Basis Options'!D415="NGI/CHI. GATE","""NGI/CHI. GATE""",TRIM('Basis Options'!D415))</f>
        <v>IF-PAN/TX/OK</v>
      </c>
      <c r="V410" s="0" t="s">
        <v>624</v>
      </c>
      <c r="W410" s="0" t="s">
        <v>569</v>
      </c>
      <c r="X410" s="0" t="s">
        <v>624</v>
      </c>
      <c r="Y410" s="0" t="s">
        <v>627</v>
      </c>
      <c r="Z410" s="0" t="s">
        <v>629</v>
      </c>
      <c r="AA410" s="0" t="s">
        <v>624</v>
      </c>
      <c r="AB410" s="0" t="s">
        <v>132</v>
      </c>
      <c r="AC410" s="254" t="n">
        <f aca="false">'Basis Options'!H415</f>
        <v>-620000</v>
      </c>
      <c r="AD410" s="254" t="e">
        <f aca="false">'Basis Options'!W415</f>
        <v>#NAME?</v>
      </c>
      <c r="AE410" s="0" t="n">
        <v>0</v>
      </c>
      <c r="AF410" s="0" t="n">
        <v>0</v>
      </c>
      <c r="AG410" s="0" t="n">
        <v>0</v>
      </c>
      <c r="AH410" s="254" t="e">
        <f aca="false">'Basis Options'!CD415</f>
        <v>#NAME?</v>
      </c>
      <c r="AI410" s="0" t="n">
        <v>226</v>
      </c>
      <c r="AJ410" s="0" t="s">
        <v>630</v>
      </c>
      <c r="AK410" s="0" t="n">
        <v>0</v>
      </c>
      <c r="AL410" s="0" t="n">
        <v>0</v>
      </c>
      <c r="AM410" s="0" t="n">
        <v>0</v>
      </c>
    </row>
    <row r="411" customFormat="false" ht="12.75" hidden="false" customHeight="false" outlineLevel="0" collapsed="false">
      <c r="A411" s="0" t="s">
        <v>621</v>
      </c>
      <c r="B411" s="0" t="str">
        <f aca="false">'Basis Options'!C416</f>
        <v>NO1684</v>
      </c>
      <c r="C411" s="0" t="s">
        <v>622</v>
      </c>
      <c r="D411" s="0" t="s">
        <v>623</v>
      </c>
      <c r="E411" s="0" t="s">
        <v>131</v>
      </c>
      <c r="F411" s="0" t="str">
        <f aca="false">'Basis Options'!A416</f>
        <v>DUKEENETRA</v>
      </c>
      <c r="G411" s="0" t="s">
        <v>628</v>
      </c>
      <c r="H411" s="0" t="s">
        <v>625</v>
      </c>
      <c r="I411" s="0" t="s">
        <v>626</v>
      </c>
      <c r="J411" s="0" t="s">
        <v>627</v>
      </c>
      <c r="K411" s="475" t="n">
        <f aca="false">'Basis Options'!G416</f>
        <v>36861</v>
      </c>
      <c r="L411" s="254" t="e">
        <f aca="false">'Basis Options'!U416</f>
        <v>#NAME?</v>
      </c>
      <c r="M411" s="475" t="n">
        <f aca="false">'Basis Options'!Q416</f>
        <v>36859</v>
      </c>
      <c r="N411" s="0" t="str">
        <f aca="false">'Basis Options'!F416</f>
        <v>P</v>
      </c>
      <c r="O411" s="0" t="n">
        <f aca="false">'Basis Options'!I416</f>
        <v>-0.3</v>
      </c>
      <c r="P411" s="0" t="n">
        <v>0</v>
      </c>
      <c r="Q411" s="0" t="n">
        <v>0</v>
      </c>
      <c r="R411" s="0" t="n">
        <v>0</v>
      </c>
      <c r="S411" s="0" t="n">
        <v>0</v>
      </c>
      <c r="T411" s="0" t="s">
        <v>624</v>
      </c>
      <c r="U411" s="0" t="str">
        <f aca="false">IF('Basis Options'!D416="NGI/CHI. GATE","""NGI/CHI. GATE""",TRIM('Basis Options'!D416))</f>
        <v>IF-PAN/TX/OK</v>
      </c>
      <c r="V411" s="0" t="s">
        <v>624</v>
      </c>
      <c r="W411" s="0" t="s">
        <v>569</v>
      </c>
      <c r="X411" s="0" t="s">
        <v>624</v>
      </c>
      <c r="Y411" s="0" t="s">
        <v>627</v>
      </c>
      <c r="Z411" s="0" t="s">
        <v>629</v>
      </c>
      <c r="AA411" s="0" t="s">
        <v>624</v>
      </c>
      <c r="AB411" s="0" t="s">
        <v>132</v>
      </c>
      <c r="AC411" s="254" t="n">
        <f aca="false">'Basis Options'!H416</f>
        <v>-620000</v>
      </c>
      <c r="AD411" s="254" t="e">
        <f aca="false">'Basis Options'!W416</f>
        <v>#NAME?</v>
      </c>
      <c r="AE411" s="0" t="n">
        <v>0</v>
      </c>
      <c r="AF411" s="0" t="n">
        <v>0</v>
      </c>
      <c r="AG411" s="0" t="n">
        <v>0</v>
      </c>
      <c r="AH411" s="254" t="e">
        <f aca="false">'Basis Options'!CD416</f>
        <v>#NAME?</v>
      </c>
      <c r="AI411" s="0" t="n">
        <v>226</v>
      </c>
      <c r="AJ411" s="0" t="s">
        <v>630</v>
      </c>
      <c r="AK411" s="0" t="n">
        <v>0</v>
      </c>
      <c r="AL411" s="0" t="n">
        <v>0</v>
      </c>
      <c r="AM411" s="0" t="n">
        <v>0</v>
      </c>
    </row>
    <row r="412" customFormat="false" ht="12.75" hidden="false" customHeight="false" outlineLevel="0" collapsed="false">
      <c r="A412" s="0" t="s">
        <v>621</v>
      </c>
      <c r="B412" s="0" t="str">
        <f aca="false">'Basis Options'!C417</f>
        <v>NO1684</v>
      </c>
      <c r="C412" s="0" t="s">
        <v>622</v>
      </c>
      <c r="D412" s="0" t="s">
        <v>623</v>
      </c>
      <c r="E412" s="0" t="s">
        <v>131</v>
      </c>
      <c r="F412" s="0" t="str">
        <f aca="false">'Basis Options'!A417</f>
        <v>DUKEENETRA</v>
      </c>
      <c r="G412" s="0" t="s">
        <v>628</v>
      </c>
      <c r="H412" s="0" t="s">
        <v>625</v>
      </c>
      <c r="I412" s="0" t="s">
        <v>626</v>
      </c>
      <c r="J412" s="0" t="s">
        <v>627</v>
      </c>
      <c r="K412" s="475" t="n">
        <f aca="false">'Basis Options'!G417</f>
        <v>36831</v>
      </c>
      <c r="L412" s="254" t="e">
        <f aca="false">'Basis Options'!U417</f>
        <v>#NAME?</v>
      </c>
      <c r="M412" s="475" t="n">
        <f aca="false">'Basis Options'!Q417</f>
        <v>36829</v>
      </c>
      <c r="N412" s="0" t="str">
        <f aca="false">'Basis Options'!F417</f>
        <v>P</v>
      </c>
      <c r="O412" s="0" t="n">
        <f aca="false">'Basis Options'!I417</f>
        <v>-0.3</v>
      </c>
      <c r="P412" s="0" t="n">
        <v>0</v>
      </c>
      <c r="Q412" s="0" t="n">
        <v>0</v>
      </c>
      <c r="R412" s="0" t="n">
        <v>0</v>
      </c>
      <c r="S412" s="0" t="n">
        <v>0</v>
      </c>
      <c r="T412" s="0" t="s">
        <v>624</v>
      </c>
      <c r="U412" s="0" t="str">
        <f aca="false">IF('Basis Options'!D417="NGI/CHI. GATE","""NGI/CHI. GATE""",TRIM('Basis Options'!D417))</f>
        <v>IF-PAN/TX/OK</v>
      </c>
      <c r="V412" s="0" t="s">
        <v>624</v>
      </c>
      <c r="W412" s="0" t="s">
        <v>569</v>
      </c>
      <c r="X412" s="0" t="s">
        <v>624</v>
      </c>
      <c r="Y412" s="0" t="s">
        <v>627</v>
      </c>
      <c r="Z412" s="0" t="s">
        <v>629</v>
      </c>
      <c r="AA412" s="0" t="s">
        <v>624</v>
      </c>
      <c r="AB412" s="0" t="s">
        <v>132</v>
      </c>
      <c r="AC412" s="254" t="n">
        <f aca="false">'Basis Options'!H417</f>
        <v>-600000</v>
      </c>
      <c r="AD412" s="254" t="e">
        <f aca="false">'Basis Options'!W417</f>
        <v>#NAME?</v>
      </c>
      <c r="AE412" s="0" t="n">
        <v>0</v>
      </c>
      <c r="AF412" s="0" t="n">
        <v>0</v>
      </c>
      <c r="AG412" s="0" t="n">
        <v>0</v>
      </c>
      <c r="AH412" s="254" t="e">
        <f aca="false">'Basis Options'!CD417</f>
        <v>#NAME?</v>
      </c>
      <c r="AI412" s="0" t="n">
        <v>226</v>
      </c>
      <c r="AJ412" s="0" t="s">
        <v>630</v>
      </c>
      <c r="AK412" s="0" t="n">
        <v>0</v>
      </c>
      <c r="AL412" s="0" t="n">
        <v>0</v>
      </c>
      <c r="AM412" s="0" t="n">
        <v>0</v>
      </c>
    </row>
    <row r="413" customFormat="false" ht="12.75" hidden="false" customHeight="false" outlineLevel="0" collapsed="false">
      <c r="A413" s="0" t="s">
        <v>621</v>
      </c>
      <c r="B413" s="0" t="str">
        <f aca="false">'Basis Options'!C418</f>
        <v>NO2879</v>
      </c>
      <c r="C413" s="0" t="s">
        <v>622</v>
      </c>
      <c r="D413" s="0" t="s">
        <v>623</v>
      </c>
      <c r="E413" s="0" t="s">
        <v>131</v>
      </c>
      <c r="F413" s="0" t="str">
        <f aca="false">'Basis Options'!A418</f>
        <v>RELIANTENESER</v>
      </c>
      <c r="G413" s="0" t="s">
        <v>628</v>
      </c>
      <c r="H413" s="0" t="s">
        <v>625</v>
      </c>
      <c r="I413" s="0" t="s">
        <v>626</v>
      </c>
      <c r="J413" s="0" t="s">
        <v>627</v>
      </c>
      <c r="K413" s="475" t="n">
        <f aca="false">'Basis Options'!G418</f>
        <v>36951</v>
      </c>
      <c r="L413" s="254" t="e">
        <f aca="false">'Basis Options'!U418</f>
        <v>#NAME?</v>
      </c>
      <c r="M413" s="475" t="n">
        <f aca="false">'Basis Options'!Q418</f>
        <v>36949</v>
      </c>
      <c r="N413" s="0" t="str">
        <f aca="false">'Basis Options'!F418</f>
        <v>P</v>
      </c>
      <c r="O413" s="0" t="n">
        <f aca="false">'Basis Options'!I418</f>
        <v>-0.3</v>
      </c>
      <c r="P413" s="0" t="n">
        <v>0</v>
      </c>
      <c r="Q413" s="0" t="n">
        <v>0</v>
      </c>
      <c r="R413" s="0" t="n">
        <v>0</v>
      </c>
      <c r="S413" s="0" t="n">
        <v>0</v>
      </c>
      <c r="T413" s="0" t="s">
        <v>624</v>
      </c>
      <c r="U413" s="0" t="str">
        <f aca="false">IF('Basis Options'!D418="NGI/CHI. GATE","""NGI/CHI. GATE""",TRIM('Basis Options'!D418))</f>
        <v>IF-PAN/TX/OK</v>
      </c>
      <c r="V413" s="0" t="s">
        <v>624</v>
      </c>
      <c r="W413" s="0" t="s">
        <v>569</v>
      </c>
      <c r="X413" s="0" t="s">
        <v>624</v>
      </c>
      <c r="Y413" s="0" t="s">
        <v>627</v>
      </c>
      <c r="Z413" s="0" t="s">
        <v>629</v>
      </c>
      <c r="AA413" s="0" t="s">
        <v>624</v>
      </c>
      <c r="AB413" s="0" t="s">
        <v>132</v>
      </c>
      <c r="AC413" s="254" t="n">
        <f aca="false">'Basis Options'!H418</f>
        <v>-310000</v>
      </c>
      <c r="AD413" s="254" t="e">
        <f aca="false">'Basis Options'!W418</f>
        <v>#NAME?</v>
      </c>
      <c r="AE413" s="0" t="n">
        <v>0</v>
      </c>
      <c r="AF413" s="0" t="n">
        <v>0</v>
      </c>
      <c r="AG413" s="0" t="n">
        <v>0</v>
      </c>
      <c r="AH413" s="254" t="e">
        <f aca="false">'Basis Options'!CD418</f>
        <v>#NAME?</v>
      </c>
      <c r="AI413" s="0" t="n">
        <v>226</v>
      </c>
      <c r="AJ413" s="0" t="s">
        <v>630</v>
      </c>
      <c r="AK413" s="0" t="n">
        <v>0</v>
      </c>
      <c r="AL413" s="0" t="n">
        <v>0</v>
      </c>
      <c r="AM413" s="0" t="n">
        <v>0</v>
      </c>
    </row>
    <row r="414" customFormat="false" ht="12.75" hidden="false" customHeight="false" outlineLevel="0" collapsed="false">
      <c r="A414" s="0" t="s">
        <v>621</v>
      </c>
      <c r="B414" s="0" t="str">
        <f aca="false">'Basis Options'!C419</f>
        <v>NO2879</v>
      </c>
      <c r="C414" s="0" t="s">
        <v>622</v>
      </c>
      <c r="D414" s="0" t="s">
        <v>623</v>
      </c>
      <c r="E414" s="0" t="s">
        <v>131</v>
      </c>
      <c r="F414" s="0" t="str">
        <f aca="false">'Basis Options'!A419</f>
        <v>RELIANTENESER</v>
      </c>
      <c r="G414" s="0" t="s">
        <v>628</v>
      </c>
      <c r="H414" s="0" t="s">
        <v>625</v>
      </c>
      <c r="I414" s="0" t="s">
        <v>626</v>
      </c>
      <c r="J414" s="0" t="s">
        <v>627</v>
      </c>
      <c r="K414" s="475" t="n">
        <f aca="false">'Basis Options'!G419</f>
        <v>36923</v>
      </c>
      <c r="L414" s="254" t="e">
        <f aca="false">'Basis Options'!U419</f>
        <v>#NAME?</v>
      </c>
      <c r="M414" s="475" t="n">
        <f aca="false">'Basis Options'!Q419</f>
        <v>36921</v>
      </c>
      <c r="N414" s="0" t="str">
        <f aca="false">'Basis Options'!F419</f>
        <v>P</v>
      </c>
      <c r="O414" s="0" t="n">
        <f aca="false">'Basis Options'!I419</f>
        <v>-0.3</v>
      </c>
      <c r="P414" s="0" t="n">
        <v>0</v>
      </c>
      <c r="Q414" s="0" t="n">
        <v>0</v>
      </c>
      <c r="R414" s="0" t="n">
        <v>0</v>
      </c>
      <c r="S414" s="0" t="n">
        <v>0</v>
      </c>
      <c r="T414" s="0" t="s">
        <v>624</v>
      </c>
      <c r="U414" s="0" t="str">
        <f aca="false">IF('Basis Options'!D419="NGI/CHI. GATE","""NGI/CHI. GATE""",TRIM('Basis Options'!D419))</f>
        <v>IF-PAN/TX/OK</v>
      </c>
      <c r="V414" s="0" t="s">
        <v>624</v>
      </c>
      <c r="W414" s="0" t="s">
        <v>569</v>
      </c>
      <c r="X414" s="0" t="s">
        <v>624</v>
      </c>
      <c r="Y414" s="0" t="s">
        <v>627</v>
      </c>
      <c r="Z414" s="0" t="s">
        <v>629</v>
      </c>
      <c r="AA414" s="0" t="s">
        <v>624</v>
      </c>
      <c r="AB414" s="0" t="s">
        <v>132</v>
      </c>
      <c r="AC414" s="254" t="n">
        <f aca="false">'Basis Options'!H419</f>
        <v>-280000</v>
      </c>
      <c r="AD414" s="254" t="e">
        <f aca="false">'Basis Options'!W419</f>
        <v>#NAME?</v>
      </c>
      <c r="AE414" s="0" t="n">
        <v>0</v>
      </c>
      <c r="AF414" s="0" t="n">
        <v>0</v>
      </c>
      <c r="AG414" s="0" t="n">
        <v>0</v>
      </c>
      <c r="AH414" s="254" t="e">
        <f aca="false">'Basis Options'!CD419</f>
        <v>#NAME?</v>
      </c>
      <c r="AI414" s="0" t="n">
        <v>226</v>
      </c>
      <c r="AJ414" s="0" t="s">
        <v>630</v>
      </c>
      <c r="AK414" s="0" t="n">
        <v>0</v>
      </c>
      <c r="AL414" s="0" t="n">
        <v>0</v>
      </c>
      <c r="AM414" s="0" t="n">
        <v>0</v>
      </c>
    </row>
    <row r="415" customFormat="false" ht="12.75" hidden="false" customHeight="false" outlineLevel="0" collapsed="false">
      <c r="A415" s="0" t="s">
        <v>621</v>
      </c>
      <c r="B415" s="0" t="str">
        <f aca="false">'Basis Options'!C420</f>
        <v>NO2879</v>
      </c>
      <c r="C415" s="0" t="s">
        <v>622</v>
      </c>
      <c r="D415" s="0" t="s">
        <v>623</v>
      </c>
      <c r="E415" s="0" t="s">
        <v>131</v>
      </c>
      <c r="F415" s="0" t="str">
        <f aca="false">'Basis Options'!A420</f>
        <v>RELIANTENESER</v>
      </c>
      <c r="G415" s="0" t="s">
        <v>628</v>
      </c>
      <c r="H415" s="0" t="s">
        <v>625</v>
      </c>
      <c r="I415" s="0" t="s">
        <v>626</v>
      </c>
      <c r="J415" s="0" t="s">
        <v>627</v>
      </c>
      <c r="K415" s="475" t="n">
        <f aca="false">'Basis Options'!G420</f>
        <v>36892</v>
      </c>
      <c r="L415" s="254" t="e">
        <f aca="false">'Basis Options'!U420</f>
        <v>#NAME?</v>
      </c>
      <c r="M415" s="475" t="n">
        <f aca="false">'Basis Options'!Q420</f>
        <v>36888</v>
      </c>
      <c r="N415" s="0" t="str">
        <f aca="false">'Basis Options'!F420</f>
        <v>P</v>
      </c>
      <c r="O415" s="0" t="n">
        <f aca="false">'Basis Options'!I420</f>
        <v>-0.3</v>
      </c>
      <c r="P415" s="0" t="n">
        <v>0</v>
      </c>
      <c r="Q415" s="0" t="n">
        <v>0</v>
      </c>
      <c r="R415" s="0" t="n">
        <v>0</v>
      </c>
      <c r="S415" s="0" t="n">
        <v>0</v>
      </c>
      <c r="T415" s="0" t="s">
        <v>624</v>
      </c>
      <c r="U415" s="0" t="str">
        <f aca="false">IF('Basis Options'!D420="NGI/CHI. GATE","""NGI/CHI. GATE""",TRIM('Basis Options'!D420))</f>
        <v>IF-PAN/TX/OK</v>
      </c>
      <c r="V415" s="0" t="s">
        <v>624</v>
      </c>
      <c r="W415" s="0" t="s">
        <v>569</v>
      </c>
      <c r="X415" s="0" t="s">
        <v>624</v>
      </c>
      <c r="Y415" s="0" t="s">
        <v>627</v>
      </c>
      <c r="Z415" s="0" t="s">
        <v>629</v>
      </c>
      <c r="AA415" s="0" t="s">
        <v>624</v>
      </c>
      <c r="AB415" s="0" t="s">
        <v>132</v>
      </c>
      <c r="AC415" s="254" t="n">
        <f aca="false">'Basis Options'!H420</f>
        <v>-310000</v>
      </c>
      <c r="AD415" s="254" t="e">
        <f aca="false">'Basis Options'!W420</f>
        <v>#NAME?</v>
      </c>
      <c r="AE415" s="0" t="n">
        <v>0</v>
      </c>
      <c r="AF415" s="0" t="n">
        <v>0</v>
      </c>
      <c r="AG415" s="0" t="n">
        <v>0</v>
      </c>
      <c r="AH415" s="254" t="e">
        <f aca="false">'Basis Options'!CD420</f>
        <v>#NAME?</v>
      </c>
      <c r="AI415" s="0" t="n">
        <v>226</v>
      </c>
      <c r="AJ415" s="0" t="s">
        <v>630</v>
      </c>
      <c r="AK415" s="0" t="n">
        <v>0</v>
      </c>
      <c r="AL415" s="0" t="n">
        <v>0</v>
      </c>
      <c r="AM415" s="0" t="n">
        <v>0</v>
      </c>
    </row>
    <row r="416" customFormat="false" ht="12.75" hidden="false" customHeight="false" outlineLevel="0" collapsed="false">
      <c r="A416" s="0" t="s">
        <v>621</v>
      </c>
      <c r="B416" s="0" t="str">
        <f aca="false">'Basis Options'!C421</f>
        <v>NO2879</v>
      </c>
      <c r="C416" s="0" t="s">
        <v>622</v>
      </c>
      <c r="D416" s="0" t="s">
        <v>623</v>
      </c>
      <c r="E416" s="0" t="s">
        <v>131</v>
      </c>
      <c r="F416" s="0" t="str">
        <f aca="false">'Basis Options'!A421</f>
        <v>RELIANTENESER</v>
      </c>
      <c r="G416" s="0" t="s">
        <v>628</v>
      </c>
      <c r="H416" s="0" t="s">
        <v>625</v>
      </c>
      <c r="I416" s="0" t="s">
        <v>626</v>
      </c>
      <c r="J416" s="0" t="s">
        <v>627</v>
      </c>
      <c r="K416" s="475" t="n">
        <f aca="false">'Basis Options'!G421</f>
        <v>36861</v>
      </c>
      <c r="L416" s="254" t="e">
        <f aca="false">'Basis Options'!U421</f>
        <v>#NAME?</v>
      </c>
      <c r="M416" s="475" t="n">
        <f aca="false">'Basis Options'!Q421</f>
        <v>36859</v>
      </c>
      <c r="N416" s="0" t="str">
        <f aca="false">'Basis Options'!F421</f>
        <v>P</v>
      </c>
      <c r="O416" s="0" t="n">
        <f aca="false">'Basis Options'!I421</f>
        <v>-0.3</v>
      </c>
      <c r="P416" s="0" t="n">
        <v>0</v>
      </c>
      <c r="Q416" s="0" t="n">
        <v>0</v>
      </c>
      <c r="R416" s="0" t="n">
        <v>0</v>
      </c>
      <c r="S416" s="0" t="n">
        <v>0</v>
      </c>
      <c r="T416" s="0" t="s">
        <v>624</v>
      </c>
      <c r="U416" s="0" t="str">
        <f aca="false">IF('Basis Options'!D421="NGI/CHI. GATE","""NGI/CHI. GATE""",TRIM('Basis Options'!D421))</f>
        <v>IF-PAN/TX/OK</v>
      </c>
      <c r="V416" s="0" t="s">
        <v>624</v>
      </c>
      <c r="W416" s="0" t="s">
        <v>569</v>
      </c>
      <c r="X416" s="0" t="s">
        <v>624</v>
      </c>
      <c r="Y416" s="0" t="s">
        <v>627</v>
      </c>
      <c r="Z416" s="0" t="s">
        <v>629</v>
      </c>
      <c r="AA416" s="0" t="s">
        <v>624</v>
      </c>
      <c r="AB416" s="0" t="s">
        <v>132</v>
      </c>
      <c r="AC416" s="254" t="n">
        <f aca="false">'Basis Options'!H421</f>
        <v>-310000</v>
      </c>
      <c r="AD416" s="254" t="e">
        <f aca="false">'Basis Options'!W421</f>
        <v>#NAME?</v>
      </c>
      <c r="AE416" s="0" t="n">
        <v>0</v>
      </c>
      <c r="AF416" s="0" t="n">
        <v>0</v>
      </c>
      <c r="AG416" s="0" t="n">
        <v>0</v>
      </c>
      <c r="AH416" s="254" t="e">
        <f aca="false">'Basis Options'!CD421</f>
        <v>#NAME?</v>
      </c>
      <c r="AI416" s="0" t="n">
        <v>226</v>
      </c>
      <c r="AJ416" s="0" t="s">
        <v>630</v>
      </c>
      <c r="AK416" s="0" t="n">
        <v>0</v>
      </c>
      <c r="AL416" s="0" t="n">
        <v>0</v>
      </c>
      <c r="AM416" s="0" t="n">
        <v>0</v>
      </c>
    </row>
    <row r="417" customFormat="false" ht="12.75" hidden="false" customHeight="false" outlineLevel="0" collapsed="false">
      <c r="A417" s="0" t="s">
        <v>621</v>
      </c>
      <c r="B417" s="0" t="str">
        <f aca="false">'Basis Options'!C422</f>
        <v>NO2879</v>
      </c>
      <c r="C417" s="0" t="s">
        <v>622</v>
      </c>
      <c r="D417" s="0" t="s">
        <v>623</v>
      </c>
      <c r="E417" s="0" t="s">
        <v>131</v>
      </c>
      <c r="F417" s="0" t="str">
        <f aca="false">'Basis Options'!A422</f>
        <v>RELIANTENESER</v>
      </c>
      <c r="G417" s="0" t="s">
        <v>628</v>
      </c>
      <c r="H417" s="0" t="s">
        <v>625</v>
      </c>
      <c r="I417" s="0" t="s">
        <v>626</v>
      </c>
      <c r="J417" s="0" t="s">
        <v>627</v>
      </c>
      <c r="K417" s="475" t="n">
        <f aca="false">'Basis Options'!G422</f>
        <v>36831</v>
      </c>
      <c r="L417" s="254" t="e">
        <f aca="false">'Basis Options'!U422</f>
        <v>#NAME?</v>
      </c>
      <c r="M417" s="475" t="n">
        <f aca="false">'Basis Options'!Q422</f>
        <v>36829</v>
      </c>
      <c r="N417" s="0" t="str">
        <f aca="false">'Basis Options'!F422</f>
        <v>P</v>
      </c>
      <c r="O417" s="0" t="n">
        <f aca="false">'Basis Options'!I422</f>
        <v>-0.3</v>
      </c>
      <c r="P417" s="0" t="n">
        <v>0</v>
      </c>
      <c r="Q417" s="0" t="n">
        <v>0</v>
      </c>
      <c r="R417" s="0" t="n">
        <v>0</v>
      </c>
      <c r="S417" s="0" t="n">
        <v>0</v>
      </c>
      <c r="T417" s="0" t="s">
        <v>624</v>
      </c>
      <c r="U417" s="0" t="str">
        <f aca="false">IF('Basis Options'!D422="NGI/CHI. GATE","""NGI/CHI. GATE""",TRIM('Basis Options'!D422))</f>
        <v>IF-PAN/TX/OK</v>
      </c>
      <c r="V417" s="0" t="s">
        <v>624</v>
      </c>
      <c r="W417" s="0" t="s">
        <v>569</v>
      </c>
      <c r="X417" s="0" t="s">
        <v>624</v>
      </c>
      <c r="Y417" s="0" t="s">
        <v>627</v>
      </c>
      <c r="Z417" s="0" t="s">
        <v>629</v>
      </c>
      <c r="AA417" s="0" t="s">
        <v>624</v>
      </c>
      <c r="AB417" s="0" t="s">
        <v>132</v>
      </c>
      <c r="AC417" s="254" t="n">
        <f aca="false">'Basis Options'!H422</f>
        <v>-300000</v>
      </c>
      <c r="AD417" s="254" t="e">
        <f aca="false">'Basis Options'!W422</f>
        <v>#NAME?</v>
      </c>
      <c r="AE417" s="0" t="n">
        <v>0</v>
      </c>
      <c r="AF417" s="0" t="n">
        <v>0</v>
      </c>
      <c r="AG417" s="0" t="n">
        <v>0</v>
      </c>
      <c r="AH417" s="254" t="e">
        <f aca="false">'Basis Options'!CD422</f>
        <v>#NAME?</v>
      </c>
      <c r="AI417" s="0" t="n">
        <v>226</v>
      </c>
      <c r="AJ417" s="0" t="s">
        <v>630</v>
      </c>
      <c r="AK417" s="0" t="n">
        <v>0</v>
      </c>
      <c r="AL417" s="0" t="n">
        <v>0</v>
      </c>
      <c r="AM417" s="0" t="n">
        <v>0</v>
      </c>
    </row>
    <row r="418" customFormat="false" ht="12.75" hidden="false" customHeight="false" outlineLevel="0" collapsed="false">
      <c r="A418" s="0" t="s">
        <v>621</v>
      </c>
      <c r="B418" s="0" t="str">
        <f aca="false">'Basis Options'!C423</f>
        <v>NO2888</v>
      </c>
      <c r="C418" s="0" t="s">
        <v>622</v>
      </c>
      <c r="D418" s="0" t="s">
        <v>623</v>
      </c>
      <c r="E418" s="0" t="s">
        <v>131</v>
      </c>
      <c r="F418" s="0" t="str">
        <f aca="false">'Basis Options'!A423</f>
        <v>UTILICORP</v>
      </c>
      <c r="G418" s="0" t="s">
        <v>628</v>
      </c>
      <c r="H418" s="0" t="s">
        <v>625</v>
      </c>
      <c r="I418" s="0" t="s">
        <v>626</v>
      </c>
      <c r="J418" s="0" t="s">
        <v>627</v>
      </c>
      <c r="K418" s="475" t="n">
        <f aca="false">'Basis Options'!G423</f>
        <v>36800</v>
      </c>
      <c r="L418" s="254" t="e">
        <f aca="false">'Basis Options'!U423</f>
        <v>#NAME?</v>
      </c>
      <c r="M418" s="475" t="n">
        <f aca="false">'Basis Options'!Q423</f>
        <v>36797</v>
      </c>
      <c r="N418" s="0" t="str">
        <f aca="false">'Basis Options'!F423</f>
        <v>P</v>
      </c>
      <c r="O418" s="0" t="n">
        <f aca="false">'Basis Options'!I423</f>
        <v>0.55</v>
      </c>
      <c r="P418" s="0" t="n">
        <v>0</v>
      </c>
      <c r="Q418" s="0" t="n">
        <v>0</v>
      </c>
      <c r="R418" s="0" t="n">
        <v>0</v>
      </c>
      <c r="S418" s="0" t="n">
        <v>0</v>
      </c>
      <c r="T418" s="0" t="s">
        <v>624</v>
      </c>
      <c r="U418" s="0" t="str">
        <f aca="false">IF('Basis Options'!D423="NGI/CHI. GATE","""NGI/CHI. GATE""",TRIM('Basis Options'!D423))</f>
        <v>IF-TRANSCO/Z6</v>
      </c>
      <c r="V418" s="0" t="s">
        <v>624</v>
      </c>
      <c r="W418" s="0" t="s">
        <v>569</v>
      </c>
      <c r="X418" s="0" t="s">
        <v>624</v>
      </c>
      <c r="Y418" s="0" t="s">
        <v>627</v>
      </c>
      <c r="Z418" s="0" t="s">
        <v>629</v>
      </c>
      <c r="AA418" s="0" t="s">
        <v>624</v>
      </c>
      <c r="AB418" s="0" t="s">
        <v>132</v>
      </c>
      <c r="AC418" s="254" t="n">
        <f aca="false">'Basis Options'!H423</f>
        <v>-1550000</v>
      </c>
      <c r="AD418" s="254" t="e">
        <f aca="false">'Basis Options'!W423</f>
        <v>#NAME?</v>
      </c>
      <c r="AE418" s="0" t="n">
        <v>0</v>
      </c>
      <c r="AF418" s="0" t="n">
        <v>0</v>
      </c>
      <c r="AG418" s="0" t="n">
        <v>0</v>
      </c>
      <c r="AH418" s="254" t="e">
        <f aca="false">'Basis Options'!CD423</f>
        <v>#NAME?</v>
      </c>
      <c r="AI418" s="0" t="n">
        <v>226</v>
      </c>
      <c r="AJ418" s="0" t="s">
        <v>630</v>
      </c>
      <c r="AK418" s="0" t="n">
        <v>0</v>
      </c>
      <c r="AL418" s="0" t="n">
        <v>0</v>
      </c>
      <c r="AM418" s="0" t="n">
        <v>0</v>
      </c>
    </row>
    <row r="419" customFormat="false" ht="12.75" hidden="false" customHeight="false" outlineLevel="0" collapsed="false">
      <c r="A419" s="0" t="s">
        <v>621</v>
      </c>
      <c r="B419" s="0" t="str">
        <f aca="false">'Basis Options'!C424</f>
        <v>NO2893</v>
      </c>
      <c r="C419" s="0" t="s">
        <v>622</v>
      </c>
      <c r="D419" s="0" t="s">
        <v>623</v>
      </c>
      <c r="E419" s="0" t="s">
        <v>131</v>
      </c>
      <c r="F419" s="0" t="str">
        <f aca="false">'Basis Options'!A424</f>
        <v>ELPASMER</v>
      </c>
      <c r="G419" s="0" t="s">
        <v>628</v>
      </c>
      <c r="H419" s="0" t="s">
        <v>625</v>
      </c>
      <c r="I419" s="0" t="s">
        <v>626</v>
      </c>
      <c r="J419" s="0" t="s">
        <v>627</v>
      </c>
      <c r="K419" s="475" t="n">
        <f aca="false">'Basis Options'!G424</f>
        <v>36951</v>
      </c>
      <c r="L419" s="254" t="e">
        <f aca="false">'Basis Options'!U424</f>
        <v>#NAME?</v>
      </c>
      <c r="M419" s="475" t="n">
        <f aca="false">'Basis Options'!Q424</f>
        <v>36949</v>
      </c>
      <c r="N419" s="0" t="str">
        <f aca="false">'Basis Options'!F424</f>
        <v>C</v>
      </c>
      <c r="O419" s="0" t="n">
        <f aca="false">'Basis Options'!I424</f>
        <v>2.3</v>
      </c>
      <c r="P419" s="0" t="n">
        <v>0</v>
      </c>
      <c r="Q419" s="0" t="n">
        <v>0</v>
      </c>
      <c r="R419" s="0" t="n">
        <v>0</v>
      </c>
      <c r="S419" s="0" t="n">
        <v>0</v>
      </c>
      <c r="T419" s="0" t="s">
        <v>624</v>
      </c>
      <c r="U419" s="0" t="str">
        <f aca="false">IF('Basis Options'!D424="NGI/CHI. GATE","""NGI/CHI. GATE""",TRIM('Basis Options'!D424))</f>
        <v>IF-TRANSCO/Z6</v>
      </c>
      <c r="V419" s="0" t="s">
        <v>624</v>
      </c>
      <c r="W419" s="0" t="s">
        <v>569</v>
      </c>
      <c r="X419" s="0" t="s">
        <v>624</v>
      </c>
      <c r="Y419" s="0" t="s">
        <v>627</v>
      </c>
      <c r="Z419" s="0" t="s">
        <v>629</v>
      </c>
      <c r="AA419" s="0" t="s">
        <v>624</v>
      </c>
      <c r="AB419" s="0" t="s">
        <v>132</v>
      </c>
      <c r="AC419" s="254" t="n">
        <f aca="false">'Basis Options'!H424</f>
        <v>500000</v>
      </c>
      <c r="AD419" s="254" t="e">
        <f aca="false">'Basis Options'!W424</f>
        <v>#NAME?</v>
      </c>
      <c r="AE419" s="0" t="n">
        <v>0</v>
      </c>
      <c r="AF419" s="0" t="n">
        <v>0</v>
      </c>
      <c r="AG419" s="0" t="n">
        <v>0</v>
      </c>
      <c r="AH419" s="254" t="e">
        <f aca="false">'Basis Options'!CD424</f>
        <v>#NAME?</v>
      </c>
      <c r="AI419" s="0" t="n">
        <v>226</v>
      </c>
      <c r="AJ419" s="0" t="s">
        <v>630</v>
      </c>
      <c r="AK419" s="0" t="n">
        <v>0</v>
      </c>
      <c r="AL419" s="0" t="n">
        <v>0</v>
      </c>
      <c r="AM419" s="0" t="n">
        <v>0</v>
      </c>
    </row>
    <row r="420" customFormat="false" ht="12.75" hidden="false" customHeight="false" outlineLevel="0" collapsed="false">
      <c r="A420" s="0" t="s">
        <v>621</v>
      </c>
      <c r="B420" s="0" t="str">
        <f aca="false">'Basis Options'!C425</f>
        <v>NO2893</v>
      </c>
      <c r="C420" s="0" t="s">
        <v>622</v>
      </c>
      <c r="D420" s="0" t="s">
        <v>623</v>
      </c>
      <c r="E420" s="0" t="s">
        <v>131</v>
      </c>
      <c r="F420" s="0" t="str">
        <f aca="false">'Basis Options'!A425</f>
        <v>ELPASMER</v>
      </c>
      <c r="G420" s="0" t="s">
        <v>628</v>
      </c>
      <c r="H420" s="0" t="s">
        <v>625</v>
      </c>
      <c r="I420" s="0" t="s">
        <v>626</v>
      </c>
      <c r="J420" s="0" t="s">
        <v>627</v>
      </c>
      <c r="K420" s="475" t="n">
        <f aca="false">'Basis Options'!G425</f>
        <v>36923</v>
      </c>
      <c r="L420" s="254" t="e">
        <f aca="false">'Basis Options'!U425</f>
        <v>#NAME?</v>
      </c>
      <c r="M420" s="475" t="n">
        <f aca="false">'Basis Options'!Q425</f>
        <v>36921</v>
      </c>
      <c r="N420" s="0" t="str">
        <f aca="false">'Basis Options'!F425</f>
        <v>C</v>
      </c>
      <c r="O420" s="0" t="n">
        <f aca="false">'Basis Options'!I425</f>
        <v>2.3</v>
      </c>
      <c r="P420" s="0" t="n">
        <v>0</v>
      </c>
      <c r="Q420" s="0" t="n">
        <v>0</v>
      </c>
      <c r="R420" s="0" t="n">
        <v>0</v>
      </c>
      <c r="S420" s="0" t="n">
        <v>0</v>
      </c>
      <c r="T420" s="0" t="s">
        <v>624</v>
      </c>
      <c r="U420" s="0" t="str">
        <f aca="false">IF('Basis Options'!D425="NGI/CHI. GATE","""NGI/CHI. GATE""",TRIM('Basis Options'!D425))</f>
        <v>IF-TRANSCO/Z6</v>
      </c>
      <c r="V420" s="0" t="s">
        <v>624</v>
      </c>
      <c r="W420" s="0" t="s">
        <v>569</v>
      </c>
      <c r="X420" s="0" t="s">
        <v>624</v>
      </c>
      <c r="Y420" s="0" t="s">
        <v>627</v>
      </c>
      <c r="Z420" s="0" t="s">
        <v>629</v>
      </c>
      <c r="AA420" s="0" t="s">
        <v>624</v>
      </c>
      <c r="AB420" s="0" t="s">
        <v>132</v>
      </c>
      <c r="AC420" s="254" t="n">
        <f aca="false">'Basis Options'!H425</f>
        <v>500000</v>
      </c>
      <c r="AD420" s="254" t="e">
        <f aca="false">'Basis Options'!W425</f>
        <v>#NAME?</v>
      </c>
      <c r="AE420" s="0" t="n">
        <v>0</v>
      </c>
      <c r="AF420" s="0" t="n">
        <v>0</v>
      </c>
      <c r="AG420" s="0" t="n">
        <v>0</v>
      </c>
      <c r="AH420" s="254" t="e">
        <f aca="false">'Basis Options'!CD425</f>
        <v>#NAME?</v>
      </c>
      <c r="AI420" s="0" t="n">
        <v>226</v>
      </c>
      <c r="AJ420" s="0" t="s">
        <v>630</v>
      </c>
      <c r="AK420" s="0" t="n">
        <v>0</v>
      </c>
      <c r="AL420" s="0" t="n">
        <v>0</v>
      </c>
      <c r="AM420" s="0" t="n">
        <v>0</v>
      </c>
    </row>
    <row r="421" customFormat="false" ht="12.75" hidden="false" customHeight="false" outlineLevel="0" collapsed="false">
      <c r="A421" s="0" t="s">
        <v>621</v>
      </c>
      <c r="B421" s="0" t="str">
        <f aca="false">'Basis Options'!C426</f>
        <v>NO2893</v>
      </c>
      <c r="C421" s="0" t="s">
        <v>622</v>
      </c>
      <c r="D421" s="0" t="s">
        <v>623</v>
      </c>
      <c r="E421" s="0" t="s">
        <v>131</v>
      </c>
      <c r="F421" s="0" t="str">
        <f aca="false">'Basis Options'!A426</f>
        <v>ELPASMER</v>
      </c>
      <c r="G421" s="0" t="s">
        <v>628</v>
      </c>
      <c r="H421" s="0" t="s">
        <v>625</v>
      </c>
      <c r="I421" s="0" t="s">
        <v>626</v>
      </c>
      <c r="J421" s="0" t="s">
        <v>627</v>
      </c>
      <c r="K421" s="475" t="n">
        <f aca="false">'Basis Options'!G426</f>
        <v>36892</v>
      </c>
      <c r="L421" s="254" t="e">
        <f aca="false">'Basis Options'!U426</f>
        <v>#NAME?</v>
      </c>
      <c r="M421" s="475" t="n">
        <f aca="false">'Basis Options'!Q426</f>
        <v>36888</v>
      </c>
      <c r="N421" s="0" t="str">
        <f aca="false">'Basis Options'!F426</f>
        <v>C</v>
      </c>
      <c r="O421" s="0" t="n">
        <f aca="false">'Basis Options'!I426</f>
        <v>2.3</v>
      </c>
      <c r="P421" s="0" t="n">
        <v>0</v>
      </c>
      <c r="Q421" s="0" t="n">
        <v>0</v>
      </c>
      <c r="R421" s="0" t="n">
        <v>0</v>
      </c>
      <c r="S421" s="0" t="n">
        <v>0</v>
      </c>
      <c r="T421" s="0" t="s">
        <v>624</v>
      </c>
      <c r="U421" s="0" t="str">
        <f aca="false">IF('Basis Options'!D426="NGI/CHI. GATE","""NGI/CHI. GATE""",TRIM('Basis Options'!D426))</f>
        <v>IF-TRANSCO/Z6</v>
      </c>
      <c r="V421" s="0" t="s">
        <v>624</v>
      </c>
      <c r="W421" s="0" t="s">
        <v>569</v>
      </c>
      <c r="X421" s="0" t="s">
        <v>624</v>
      </c>
      <c r="Y421" s="0" t="s">
        <v>627</v>
      </c>
      <c r="Z421" s="0" t="s">
        <v>629</v>
      </c>
      <c r="AA421" s="0" t="s">
        <v>624</v>
      </c>
      <c r="AB421" s="0" t="s">
        <v>132</v>
      </c>
      <c r="AC421" s="254" t="n">
        <f aca="false">'Basis Options'!H426</f>
        <v>500000</v>
      </c>
      <c r="AD421" s="254" t="e">
        <f aca="false">'Basis Options'!W426</f>
        <v>#NAME?</v>
      </c>
      <c r="AE421" s="0" t="n">
        <v>0</v>
      </c>
      <c r="AF421" s="0" t="n">
        <v>0</v>
      </c>
      <c r="AG421" s="0" t="n">
        <v>0</v>
      </c>
      <c r="AH421" s="254" t="e">
        <f aca="false">'Basis Options'!CD426</f>
        <v>#NAME?</v>
      </c>
      <c r="AI421" s="0" t="n">
        <v>226</v>
      </c>
      <c r="AJ421" s="0" t="s">
        <v>630</v>
      </c>
      <c r="AK421" s="0" t="n">
        <v>0</v>
      </c>
      <c r="AL421" s="0" t="n">
        <v>0</v>
      </c>
      <c r="AM421" s="0" t="n">
        <v>0</v>
      </c>
    </row>
    <row r="422" customFormat="false" ht="12.75" hidden="false" customHeight="false" outlineLevel="0" collapsed="false">
      <c r="A422" s="0" t="s">
        <v>621</v>
      </c>
      <c r="B422" s="0" t="str">
        <f aca="false">'Basis Options'!C427</f>
        <v>NO2893</v>
      </c>
      <c r="C422" s="0" t="s">
        <v>622</v>
      </c>
      <c r="D422" s="0" t="s">
        <v>623</v>
      </c>
      <c r="E422" s="0" t="s">
        <v>131</v>
      </c>
      <c r="F422" s="0" t="str">
        <f aca="false">'Basis Options'!A427</f>
        <v>ELPASMER</v>
      </c>
      <c r="G422" s="0" t="s">
        <v>628</v>
      </c>
      <c r="H422" s="0" t="s">
        <v>625</v>
      </c>
      <c r="I422" s="0" t="s">
        <v>626</v>
      </c>
      <c r="J422" s="0" t="s">
        <v>627</v>
      </c>
      <c r="K422" s="475" t="n">
        <f aca="false">'Basis Options'!G427</f>
        <v>36861</v>
      </c>
      <c r="L422" s="254" t="e">
        <f aca="false">'Basis Options'!U427</f>
        <v>#NAME?</v>
      </c>
      <c r="M422" s="475" t="n">
        <f aca="false">'Basis Options'!Q427</f>
        <v>36859</v>
      </c>
      <c r="N422" s="0" t="str">
        <f aca="false">'Basis Options'!F427</f>
        <v>C</v>
      </c>
      <c r="O422" s="0" t="n">
        <f aca="false">'Basis Options'!I427</f>
        <v>2.3</v>
      </c>
      <c r="P422" s="0" t="n">
        <v>0</v>
      </c>
      <c r="Q422" s="0" t="n">
        <v>0</v>
      </c>
      <c r="R422" s="0" t="n">
        <v>0</v>
      </c>
      <c r="S422" s="0" t="n">
        <v>0</v>
      </c>
      <c r="T422" s="0" t="s">
        <v>624</v>
      </c>
      <c r="U422" s="0" t="str">
        <f aca="false">IF('Basis Options'!D427="NGI/CHI. GATE","""NGI/CHI. GATE""",TRIM('Basis Options'!D427))</f>
        <v>IF-TRANSCO/Z6</v>
      </c>
      <c r="V422" s="0" t="s">
        <v>624</v>
      </c>
      <c r="W422" s="0" t="s">
        <v>569</v>
      </c>
      <c r="X422" s="0" t="s">
        <v>624</v>
      </c>
      <c r="Y422" s="0" t="s">
        <v>627</v>
      </c>
      <c r="Z422" s="0" t="s">
        <v>629</v>
      </c>
      <c r="AA422" s="0" t="s">
        <v>624</v>
      </c>
      <c r="AB422" s="0" t="s">
        <v>132</v>
      </c>
      <c r="AC422" s="254" t="n">
        <f aca="false">'Basis Options'!H427</f>
        <v>500000</v>
      </c>
      <c r="AD422" s="254" t="e">
        <f aca="false">'Basis Options'!W427</f>
        <v>#NAME?</v>
      </c>
      <c r="AE422" s="0" t="n">
        <v>0</v>
      </c>
      <c r="AF422" s="0" t="n">
        <v>0</v>
      </c>
      <c r="AG422" s="0" t="n">
        <v>0</v>
      </c>
      <c r="AH422" s="254" t="e">
        <f aca="false">'Basis Options'!CD427</f>
        <v>#NAME?</v>
      </c>
      <c r="AI422" s="0" t="n">
        <v>226</v>
      </c>
      <c r="AJ422" s="0" t="s">
        <v>630</v>
      </c>
      <c r="AK422" s="0" t="n">
        <v>0</v>
      </c>
      <c r="AL422" s="0" t="n">
        <v>0</v>
      </c>
      <c r="AM422" s="0" t="n">
        <v>0</v>
      </c>
    </row>
    <row r="423" customFormat="false" ht="12.75" hidden="false" customHeight="false" outlineLevel="0" collapsed="false">
      <c r="A423" s="0" t="s">
        <v>621</v>
      </c>
      <c r="B423" s="0" t="str">
        <f aca="false">'Basis Options'!C428</f>
        <v>NO2893</v>
      </c>
      <c r="C423" s="0" t="s">
        <v>622</v>
      </c>
      <c r="D423" s="0" t="s">
        <v>623</v>
      </c>
      <c r="E423" s="0" t="s">
        <v>131</v>
      </c>
      <c r="F423" s="0" t="str">
        <f aca="false">'Basis Options'!A428</f>
        <v>ELPASMER</v>
      </c>
      <c r="G423" s="0" t="s">
        <v>628</v>
      </c>
      <c r="H423" s="0" t="s">
        <v>625</v>
      </c>
      <c r="I423" s="0" t="s">
        <v>626</v>
      </c>
      <c r="J423" s="0" t="s">
        <v>627</v>
      </c>
      <c r="K423" s="475" t="n">
        <f aca="false">'Basis Options'!G428</f>
        <v>36831</v>
      </c>
      <c r="L423" s="254" t="e">
        <f aca="false">'Basis Options'!U428</f>
        <v>#NAME?</v>
      </c>
      <c r="M423" s="475" t="n">
        <f aca="false">'Basis Options'!Q428</f>
        <v>36829</v>
      </c>
      <c r="N423" s="0" t="str">
        <f aca="false">'Basis Options'!F428</f>
        <v>C</v>
      </c>
      <c r="O423" s="0" t="n">
        <f aca="false">'Basis Options'!I428</f>
        <v>2.3</v>
      </c>
      <c r="P423" s="0" t="n">
        <v>0</v>
      </c>
      <c r="Q423" s="0" t="n">
        <v>0</v>
      </c>
      <c r="R423" s="0" t="n">
        <v>0</v>
      </c>
      <c r="S423" s="0" t="n">
        <v>0</v>
      </c>
      <c r="T423" s="0" t="s">
        <v>624</v>
      </c>
      <c r="U423" s="0" t="str">
        <f aca="false">IF('Basis Options'!D428="NGI/CHI. GATE","""NGI/CHI. GATE""",TRIM('Basis Options'!D428))</f>
        <v>IF-TRANSCO/Z6</v>
      </c>
      <c r="V423" s="0" t="s">
        <v>624</v>
      </c>
      <c r="W423" s="0" t="s">
        <v>569</v>
      </c>
      <c r="X423" s="0" t="s">
        <v>624</v>
      </c>
      <c r="Y423" s="0" t="s">
        <v>627</v>
      </c>
      <c r="Z423" s="0" t="s">
        <v>629</v>
      </c>
      <c r="AA423" s="0" t="s">
        <v>624</v>
      </c>
      <c r="AB423" s="0" t="s">
        <v>132</v>
      </c>
      <c r="AC423" s="254" t="n">
        <f aca="false">'Basis Options'!H428</f>
        <v>500000</v>
      </c>
      <c r="AD423" s="254" t="e">
        <f aca="false">'Basis Options'!W428</f>
        <v>#NAME?</v>
      </c>
      <c r="AE423" s="0" t="n">
        <v>0</v>
      </c>
      <c r="AF423" s="0" t="n">
        <v>0</v>
      </c>
      <c r="AG423" s="0" t="n">
        <v>0</v>
      </c>
      <c r="AH423" s="254" t="e">
        <f aca="false">'Basis Options'!CD428</f>
        <v>#NAME?</v>
      </c>
      <c r="AI423" s="0" t="n">
        <v>226</v>
      </c>
      <c r="AJ423" s="0" t="s">
        <v>630</v>
      </c>
      <c r="AK423" s="0" t="n">
        <v>0</v>
      </c>
      <c r="AL423" s="0" t="n">
        <v>0</v>
      </c>
      <c r="AM423" s="0" t="n">
        <v>0</v>
      </c>
    </row>
    <row r="424" customFormat="false" ht="12.75" hidden="false" customHeight="false" outlineLevel="0" collapsed="false">
      <c r="A424" s="0" t="s">
        <v>621</v>
      </c>
      <c r="B424" s="0" t="str">
        <f aca="false">'Basis Options'!C429</f>
        <v>NO2894</v>
      </c>
      <c r="C424" s="0" t="s">
        <v>622</v>
      </c>
      <c r="D424" s="0" t="s">
        <v>623</v>
      </c>
      <c r="E424" s="0" t="s">
        <v>131</v>
      </c>
      <c r="F424" s="0" t="str">
        <f aca="false">'Basis Options'!A429</f>
        <v>AEPENESER</v>
      </c>
      <c r="G424" s="0" t="s">
        <v>628</v>
      </c>
      <c r="H424" s="0" t="s">
        <v>625</v>
      </c>
      <c r="I424" s="0" t="s">
        <v>626</v>
      </c>
      <c r="J424" s="0" t="s">
        <v>627</v>
      </c>
      <c r="K424" s="475" t="n">
        <f aca="false">'Basis Options'!G429</f>
        <v>36951</v>
      </c>
      <c r="L424" s="254" t="e">
        <f aca="false">'Basis Options'!U429</f>
        <v>#NAME?</v>
      </c>
      <c r="M424" s="475" t="n">
        <f aca="false">'Basis Options'!Q429</f>
        <v>36949</v>
      </c>
      <c r="N424" s="0" t="str">
        <f aca="false">'Basis Options'!F429</f>
        <v>P</v>
      </c>
      <c r="O424" s="0" t="n">
        <f aca="false">'Basis Options'!I429</f>
        <v>0.95</v>
      </c>
      <c r="P424" s="0" t="n">
        <v>0</v>
      </c>
      <c r="Q424" s="0" t="n">
        <v>0</v>
      </c>
      <c r="R424" s="0" t="n">
        <v>0</v>
      </c>
      <c r="S424" s="0" t="n">
        <v>0</v>
      </c>
      <c r="T424" s="0" t="s">
        <v>624</v>
      </c>
      <c r="U424" s="0" t="str">
        <f aca="false">IF('Basis Options'!D429="NGI/CHI. GATE","""NGI/CHI. GATE""",TRIM('Basis Options'!D429))</f>
        <v>IF-TRANSCO/Z6</v>
      </c>
      <c r="V424" s="0" t="s">
        <v>624</v>
      </c>
      <c r="W424" s="0" t="s">
        <v>569</v>
      </c>
      <c r="X424" s="0" t="s">
        <v>624</v>
      </c>
      <c r="Y424" s="0" t="s">
        <v>627</v>
      </c>
      <c r="Z424" s="0" t="s">
        <v>629</v>
      </c>
      <c r="AA424" s="0" t="s">
        <v>624</v>
      </c>
      <c r="AB424" s="0" t="s">
        <v>132</v>
      </c>
      <c r="AC424" s="254" t="n">
        <f aca="false">'Basis Options'!H429</f>
        <v>1000000</v>
      </c>
      <c r="AD424" s="254" t="e">
        <f aca="false">'Basis Options'!W429</f>
        <v>#NAME?</v>
      </c>
      <c r="AE424" s="0" t="n">
        <v>0</v>
      </c>
      <c r="AF424" s="0" t="n">
        <v>0</v>
      </c>
      <c r="AG424" s="0" t="n">
        <v>0</v>
      </c>
      <c r="AH424" s="254" t="e">
        <f aca="false">'Basis Options'!CD429</f>
        <v>#NAME?</v>
      </c>
      <c r="AI424" s="0" t="n">
        <v>226</v>
      </c>
      <c r="AJ424" s="0" t="s">
        <v>630</v>
      </c>
      <c r="AK424" s="0" t="n">
        <v>0</v>
      </c>
      <c r="AL424" s="0" t="n">
        <v>0</v>
      </c>
      <c r="AM424" s="0" t="n">
        <v>0</v>
      </c>
    </row>
    <row r="425" customFormat="false" ht="12.75" hidden="false" customHeight="false" outlineLevel="0" collapsed="false">
      <c r="A425" s="0" t="s">
        <v>621</v>
      </c>
      <c r="B425" s="0" t="str">
        <f aca="false">'Basis Options'!C430</f>
        <v>NO2894</v>
      </c>
      <c r="C425" s="0" t="s">
        <v>622</v>
      </c>
      <c r="D425" s="0" t="s">
        <v>623</v>
      </c>
      <c r="E425" s="0" t="s">
        <v>131</v>
      </c>
      <c r="F425" s="0" t="str">
        <f aca="false">'Basis Options'!A430</f>
        <v>AEPENESER</v>
      </c>
      <c r="G425" s="0" t="s">
        <v>628</v>
      </c>
      <c r="H425" s="0" t="s">
        <v>625</v>
      </c>
      <c r="I425" s="0" t="s">
        <v>626</v>
      </c>
      <c r="J425" s="0" t="s">
        <v>627</v>
      </c>
      <c r="K425" s="475" t="n">
        <f aca="false">'Basis Options'!G430</f>
        <v>36923</v>
      </c>
      <c r="L425" s="254" t="e">
        <f aca="false">'Basis Options'!U430</f>
        <v>#NAME?</v>
      </c>
      <c r="M425" s="475" t="n">
        <f aca="false">'Basis Options'!Q430</f>
        <v>36921</v>
      </c>
      <c r="N425" s="0" t="str">
        <f aca="false">'Basis Options'!F430</f>
        <v>P</v>
      </c>
      <c r="O425" s="0" t="n">
        <f aca="false">'Basis Options'!I430</f>
        <v>0.95</v>
      </c>
      <c r="P425" s="0" t="n">
        <v>0</v>
      </c>
      <c r="Q425" s="0" t="n">
        <v>0</v>
      </c>
      <c r="R425" s="0" t="n">
        <v>0</v>
      </c>
      <c r="S425" s="0" t="n">
        <v>0</v>
      </c>
      <c r="T425" s="0" t="s">
        <v>624</v>
      </c>
      <c r="U425" s="0" t="str">
        <f aca="false">IF('Basis Options'!D430="NGI/CHI. GATE","""NGI/CHI. GATE""",TRIM('Basis Options'!D430))</f>
        <v>IF-TRANSCO/Z6</v>
      </c>
      <c r="V425" s="0" t="s">
        <v>624</v>
      </c>
      <c r="W425" s="0" t="s">
        <v>569</v>
      </c>
      <c r="X425" s="0" t="s">
        <v>624</v>
      </c>
      <c r="Y425" s="0" t="s">
        <v>627</v>
      </c>
      <c r="Z425" s="0" t="s">
        <v>629</v>
      </c>
      <c r="AA425" s="0" t="s">
        <v>624</v>
      </c>
      <c r="AB425" s="0" t="s">
        <v>132</v>
      </c>
      <c r="AC425" s="254" t="n">
        <f aca="false">'Basis Options'!H430</f>
        <v>1000000</v>
      </c>
      <c r="AD425" s="254" t="e">
        <f aca="false">'Basis Options'!W430</f>
        <v>#NAME?</v>
      </c>
      <c r="AE425" s="0" t="n">
        <v>0</v>
      </c>
      <c r="AF425" s="0" t="n">
        <v>0</v>
      </c>
      <c r="AG425" s="0" t="n">
        <v>0</v>
      </c>
      <c r="AH425" s="254" t="e">
        <f aca="false">'Basis Options'!CD430</f>
        <v>#NAME?</v>
      </c>
      <c r="AI425" s="0" t="n">
        <v>226</v>
      </c>
      <c r="AJ425" s="0" t="s">
        <v>630</v>
      </c>
      <c r="AK425" s="0" t="n">
        <v>0</v>
      </c>
      <c r="AL425" s="0" t="n">
        <v>0</v>
      </c>
      <c r="AM425" s="0" t="n">
        <v>0</v>
      </c>
    </row>
    <row r="426" customFormat="false" ht="12.75" hidden="false" customHeight="false" outlineLevel="0" collapsed="false">
      <c r="A426" s="0" t="s">
        <v>621</v>
      </c>
      <c r="B426" s="0" t="str">
        <f aca="false">'Basis Options'!C431</f>
        <v>NO2894</v>
      </c>
      <c r="C426" s="0" t="s">
        <v>622</v>
      </c>
      <c r="D426" s="0" t="s">
        <v>623</v>
      </c>
      <c r="E426" s="0" t="s">
        <v>131</v>
      </c>
      <c r="F426" s="0" t="str">
        <f aca="false">'Basis Options'!A431</f>
        <v>AEPENESER</v>
      </c>
      <c r="G426" s="0" t="s">
        <v>628</v>
      </c>
      <c r="H426" s="0" t="s">
        <v>625</v>
      </c>
      <c r="I426" s="0" t="s">
        <v>626</v>
      </c>
      <c r="J426" s="0" t="s">
        <v>627</v>
      </c>
      <c r="K426" s="475" t="n">
        <f aca="false">'Basis Options'!G431</f>
        <v>36892</v>
      </c>
      <c r="L426" s="254" t="e">
        <f aca="false">'Basis Options'!U431</f>
        <v>#NAME?</v>
      </c>
      <c r="M426" s="475" t="n">
        <f aca="false">'Basis Options'!Q431</f>
        <v>36888</v>
      </c>
      <c r="N426" s="0" t="str">
        <f aca="false">'Basis Options'!F431</f>
        <v>P</v>
      </c>
      <c r="O426" s="0" t="n">
        <f aca="false">'Basis Options'!I431</f>
        <v>0.95</v>
      </c>
      <c r="P426" s="0" t="n">
        <v>0</v>
      </c>
      <c r="Q426" s="0" t="n">
        <v>0</v>
      </c>
      <c r="R426" s="0" t="n">
        <v>0</v>
      </c>
      <c r="S426" s="0" t="n">
        <v>0</v>
      </c>
      <c r="T426" s="0" t="s">
        <v>624</v>
      </c>
      <c r="U426" s="0" t="str">
        <f aca="false">IF('Basis Options'!D431="NGI/CHI. GATE","""NGI/CHI. GATE""",TRIM('Basis Options'!D431))</f>
        <v>IF-TRANSCO/Z6</v>
      </c>
      <c r="V426" s="0" t="s">
        <v>624</v>
      </c>
      <c r="W426" s="0" t="s">
        <v>569</v>
      </c>
      <c r="X426" s="0" t="s">
        <v>624</v>
      </c>
      <c r="Y426" s="0" t="s">
        <v>627</v>
      </c>
      <c r="Z426" s="0" t="s">
        <v>629</v>
      </c>
      <c r="AA426" s="0" t="s">
        <v>624</v>
      </c>
      <c r="AB426" s="0" t="s">
        <v>132</v>
      </c>
      <c r="AC426" s="254" t="n">
        <f aca="false">'Basis Options'!H431</f>
        <v>1000000</v>
      </c>
      <c r="AD426" s="254" t="e">
        <f aca="false">'Basis Options'!W431</f>
        <v>#NAME?</v>
      </c>
      <c r="AE426" s="0" t="n">
        <v>0</v>
      </c>
      <c r="AF426" s="0" t="n">
        <v>0</v>
      </c>
      <c r="AG426" s="0" t="n">
        <v>0</v>
      </c>
      <c r="AH426" s="254" t="e">
        <f aca="false">'Basis Options'!CD431</f>
        <v>#NAME?</v>
      </c>
      <c r="AI426" s="0" t="n">
        <v>226</v>
      </c>
      <c r="AJ426" s="0" t="s">
        <v>630</v>
      </c>
      <c r="AK426" s="0" t="n">
        <v>0</v>
      </c>
      <c r="AL426" s="0" t="n">
        <v>0</v>
      </c>
      <c r="AM426" s="0" t="n">
        <v>0</v>
      </c>
    </row>
    <row r="427" customFormat="false" ht="12.75" hidden="false" customHeight="false" outlineLevel="0" collapsed="false">
      <c r="A427" s="0" t="s">
        <v>621</v>
      </c>
      <c r="B427" s="0" t="str">
        <f aca="false">'Basis Options'!C432</f>
        <v>NO2894</v>
      </c>
      <c r="C427" s="0" t="s">
        <v>622</v>
      </c>
      <c r="D427" s="0" t="s">
        <v>623</v>
      </c>
      <c r="E427" s="0" t="s">
        <v>131</v>
      </c>
      <c r="F427" s="0" t="str">
        <f aca="false">'Basis Options'!A432</f>
        <v>AEPENESER</v>
      </c>
      <c r="G427" s="0" t="s">
        <v>628</v>
      </c>
      <c r="H427" s="0" t="s">
        <v>625</v>
      </c>
      <c r="I427" s="0" t="s">
        <v>626</v>
      </c>
      <c r="J427" s="0" t="s">
        <v>627</v>
      </c>
      <c r="K427" s="475" t="n">
        <f aca="false">'Basis Options'!G432</f>
        <v>36861</v>
      </c>
      <c r="L427" s="254" t="e">
        <f aca="false">'Basis Options'!U432</f>
        <v>#NAME?</v>
      </c>
      <c r="M427" s="475" t="n">
        <f aca="false">'Basis Options'!Q432</f>
        <v>36859</v>
      </c>
      <c r="N427" s="0" t="str">
        <f aca="false">'Basis Options'!F432</f>
        <v>P</v>
      </c>
      <c r="O427" s="0" t="n">
        <f aca="false">'Basis Options'!I432</f>
        <v>0.95</v>
      </c>
      <c r="P427" s="0" t="n">
        <v>0</v>
      </c>
      <c r="Q427" s="0" t="n">
        <v>0</v>
      </c>
      <c r="R427" s="0" t="n">
        <v>0</v>
      </c>
      <c r="S427" s="0" t="n">
        <v>0</v>
      </c>
      <c r="T427" s="0" t="s">
        <v>624</v>
      </c>
      <c r="U427" s="0" t="str">
        <f aca="false">IF('Basis Options'!D432="NGI/CHI. GATE","""NGI/CHI. GATE""",TRIM('Basis Options'!D432))</f>
        <v>IF-TRANSCO/Z6</v>
      </c>
      <c r="V427" s="0" t="s">
        <v>624</v>
      </c>
      <c r="W427" s="0" t="s">
        <v>569</v>
      </c>
      <c r="X427" s="0" t="s">
        <v>624</v>
      </c>
      <c r="Y427" s="0" t="s">
        <v>627</v>
      </c>
      <c r="Z427" s="0" t="s">
        <v>629</v>
      </c>
      <c r="AA427" s="0" t="s">
        <v>624</v>
      </c>
      <c r="AB427" s="0" t="s">
        <v>132</v>
      </c>
      <c r="AC427" s="254" t="n">
        <f aca="false">'Basis Options'!H432</f>
        <v>1000000</v>
      </c>
      <c r="AD427" s="254" t="e">
        <f aca="false">'Basis Options'!W432</f>
        <v>#NAME?</v>
      </c>
      <c r="AE427" s="0" t="n">
        <v>0</v>
      </c>
      <c r="AF427" s="0" t="n">
        <v>0</v>
      </c>
      <c r="AG427" s="0" t="n">
        <v>0</v>
      </c>
      <c r="AH427" s="254" t="e">
        <f aca="false">'Basis Options'!CD432</f>
        <v>#NAME?</v>
      </c>
      <c r="AI427" s="0" t="n">
        <v>226</v>
      </c>
      <c r="AJ427" s="0" t="s">
        <v>630</v>
      </c>
      <c r="AK427" s="0" t="n">
        <v>0</v>
      </c>
      <c r="AL427" s="0" t="n">
        <v>0</v>
      </c>
      <c r="AM427" s="0" t="n">
        <v>0</v>
      </c>
    </row>
    <row r="428" customFormat="false" ht="12.75" hidden="false" customHeight="false" outlineLevel="0" collapsed="false">
      <c r="A428" s="0" t="s">
        <v>621</v>
      </c>
      <c r="B428" s="0" t="str">
        <f aca="false">'Basis Options'!C433</f>
        <v>NO2894</v>
      </c>
      <c r="C428" s="0" t="s">
        <v>622</v>
      </c>
      <c r="D428" s="0" t="s">
        <v>623</v>
      </c>
      <c r="E428" s="0" t="s">
        <v>131</v>
      </c>
      <c r="F428" s="0" t="str">
        <f aca="false">'Basis Options'!A433</f>
        <v>AEPENESER</v>
      </c>
      <c r="G428" s="0" t="s">
        <v>628</v>
      </c>
      <c r="H428" s="0" t="s">
        <v>625</v>
      </c>
      <c r="I428" s="0" t="s">
        <v>626</v>
      </c>
      <c r="J428" s="0" t="s">
        <v>627</v>
      </c>
      <c r="K428" s="475" t="n">
        <f aca="false">'Basis Options'!G433</f>
        <v>36831</v>
      </c>
      <c r="L428" s="254" t="e">
        <f aca="false">'Basis Options'!U433</f>
        <v>#NAME?</v>
      </c>
      <c r="M428" s="475" t="n">
        <f aca="false">'Basis Options'!Q433</f>
        <v>36829</v>
      </c>
      <c r="N428" s="0" t="str">
        <f aca="false">'Basis Options'!F433</f>
        <v>P</v>
      </c>
      <c r="O428" s="0" t="n">
        <f aca="false">'Basis Options'!I433</f>
        <v>0.95</v>
      </c>
      <c r="P428" s="0" t="n">
        <v>0</v>
      </c>
      <c r="Q428" s="0" t="n">
        <v>0</v>
      </c>
      <c r="R428" s="0" t="n">
        <v>0</v>
      </c>
      <c r="S428" s="0" t="n">
        <v>0</v>
      </c>
      <c r="T428" s="0" t="s">
        <v>624</v>
      </c>
      <c r="U428" s="0" t="str">
        <f aca="false">IF('Basis Options'!D433="NGI/CHI. GATE","""NGI/CHI. GATE""",TRIM('Basis Options'!D433))</f>
        <v>IF-TRANSCO/Z6</v>
      </c>
      <c r="V428" s="0" t="s">
        <v>624</v>
      </c>
      <c r="W428" s="0" t="s">
        <v>569</v>
      </c>
      <c r="X428" s="0" t="s">
        <v>624</v>
      </c>
      <c r="Y428" s="0" t="s">
        <v>627</v>
      </c>
      <c r="Z428" s="0" t="s">
        <v>629</v>
      </c>
      <c r="AA428" s="0" t="s">
        <v>624</v>
      </c>
      <c r="AB428" s="0" t="s">
        <v>132</v>
      </c>
      <c r="AC428" s="254" t="n">
        <f aca="false">'Basis Options'!H433</f>
        <v>1000000</v>
      </c>
      <c r="AD428" s="254" t="e">
        <f aca="false">'Basis Options'!W433</f>
        <v>#NAME?</v>
      </c>
      <c r="AE428" s="0" t="n">
        <v>0</v>
      </c>
      <c r="AF428" s="0" t="n">
        <v>0</v>
      </c>
      <c r="AG428" s="0" t="n">
        <v>0</v>
      </c>
      <c r="AH428" s="254" t="e">
        <f aca="false">'Basis Options'!CD433</f>
        <v>#NAME?</v>
      </c>
      <c r="AI428" s="0" t="n">
        <v>226</v>
      </c>
      <c r="AJ428" s="0" t="s">
        <v>630</v>
      </c>
      <c r="AK428" s="0" t="n">
        <v>0</v>
      </c>
      <c r="AL428" s="0" t="n">
        <v>0</v>
      </c>
      <c r="AM428" s="0" t="n">
        <v>0</v>
      </c>
    </row>
    <row r="429" customFormat="false" ht="12.75" hidden="false" customHeight="false" outlineLevel="0" collapsed="false">
      <c r="A429" s="0" t="s">
        <v>621</v>
      </c>
      <c r="B429" s="0" t="str">
        <f aca="false">'Basis Options'!C434</f>
        <v>NO4881</v>
      </c>
      <c r="C429" s="0" t="s">
        <v>622</v>
      </c>
      <c r="D429" s="0" t="s">
        <v>623</v>
      </c>
      <c r="E429" s="0" t="s">
        <v>131</v>
      </c>
      <c r="F429" s="0" t="str">
        <f aca="false">'Basis Options'!A434</f>
        <v>TRACTEBEENEMAR</v>
      </c>
      <c r="G429" s="0" t="s">
        <v>628</v>
      </c>
      <c r="H429" s="0" t="s">
        <v>625</v>
      </c>
      <c r="I429" s="0" t="s">
        <v>626</v>
      </c>
      <c r="J429" s="0" t="s">
        <v>627</v>
      </c>
      <c r="K429" s="475" t="n">
        <f aca="false">'Basis Options'!G434</f>
        <v>36951</v>
      </c>
      <c r="L429" s="254" t="e">
        <f aca="false">'Basis Options'!U434</f>
        <v>#NAME?</v>
      </c>
      <c r="M429" s="475" t="n">
        <f aca="false">'Basis Options'!Q434</f>
        <v>36949</v>
      </c>
      <c r="N429" s="0" t="str">
        <f aca="false">'Basis Options'!F434</f>
        <v>C</v>
      </c>
      <c r="O429" s="0" t="n">
        <f aca="false">'Basis Options'!I434</f>
        <v>0.35</v>
      </c>
      <c r="P429" s="0" t="n">
        <v>0</v>
      </c>
      <c r="Q429" s="0" t="n">
        <v>0</v>
      </c>
      <c r="R429" s="0" t="n">
        <v>0</v>
      </c>
      <c r="S429" s="0" t="n">
        <v>0</v>
      </c>
      <c r="T429" s="0" t="s">
        <v>624</v>
      </c>
      <c r="U429" s="0" t="str">
        <f aca="false">IF('Basis Options'!D434="NGI/CHI. GATE","""NGI/CHI. GATE""",TRIM('Basis Options'!D434))</f>
        <v>MICH_CG-GD</v>
      </c>
      <c r="V429" s="0" t="s">
        <v>624</v>
      </c>
      <c r="W429" s="0" t="s">
        <v>569</v>
      </c>
      <c r="X429" s="0" t="s">
        <v>624</v>
      </c>
      <c r="Y429" s="0" t="s">
        <v>627</v>
      </c>
      <c r="Z429" s="0" t="s">
        <v>629</v>
      </c>
      <c r="AA429" s="0" t="s">
        <v>624</v>
      </c>
      <c r="AB429" s="0" t="s">
        <v>132</v>
      </c>
      <c r="AC429" s="254" t="n">
        <f aca="false">'Basis Options'!H434</f>
        <v>-500000</v>
      </c>
      <c r="AD429" s="254" t="e">
        <f aca="false">'Basis Options'!W434</f>
        <v>#NAME?</v>
      </c>
      <c r="AE429" s="0" t="n">
        <v>0</v>
      </c>
      <c r="AF429" s="0" t="n">
        <v>0</v>
      </c>
      <c r="AG429" s="0" t="n">
        <v>0</v>
      </c>
      <c r="AH429" s="254" t="e">
        <f aca="false">'Basis Options'!CD434</f>
        <v>#NAME?</v>
      </c>
      <c r="AI429" s="0" t="n">
        <v>226</v>
      </c>
      <c r="AJ429" s="0" t="s">
        <v>630</v>
      </c>
      <c r="AK429" s="0" t="n">
        <v>0</v>
      </c>
      <c r="AL429" s="0" t="n">
        <v>0</v>
      </c>
      <c r="AM429" s="0" t="n">
        <v>0</v>
      </c>
    </row>
    <row r="430" customFormat="false" ht="12.75" hidden="false" customHeight="false" outlineLevel="0" collapsed="false">
      <c r="A430" s="0" t="s">
        <v>621</v>
      </c>
      <c r="B430" s="0" t="str">
        <f aca="false">'Basis Options'!C435</f>
        <v>NO4881</v>
      </c>
      <c r="C430" s="0" t="s">
        <v>622</v>
      </c>
      <c r="D430" s="0" t="s">
        <v>623</v>
      </c>
      <c r="E430" s="0" t="s">
        <v>131</v>
      </c>
      <c r="F430" s="0" t="str">
        <f aca="false">'Basis Options'!A435</f>
        <v>TRACTEBEENEMAR</v>
      </c>
      <c r="G430" s="0" t="s">
        <v>628</v>
      </c>
      <c r="H430" s="0" t="s">
        <v>625</v>
      </c>
      <c r="I430" s="0" t="s">
        <v>626</v>
      </c>
      <c r="J430" s="0" t="s">
        <v>627</v>
      </c>
      <c r="K430" s="475" t="n">
        <f aca="false">'Basis Options'!G435</f>
        <v>36923</v>
      </c>
      <c r="L430" s="254" t="e">
        <f aca="false">'Basis Options'!U435</f>
        <v>#NAME?</v>
      </c>
      <c r="M430" s="475" t="n">
        <f aca="false">'Basis Options'!Q435</f>
        <v>36921</v>
      </c>
      <c r="N430" s="0" t="str">
        <f aca="false">'Basis Options'!F435</f>
        <v>C</v>
      </c>
      <c r="O430" s="0" t="n">
        <f aca="false">'Basis Options'!I435</f>
        <v>0.35</v>
      </c>
      <c r="P430" s="0" t="n">
        <v>0</v>
      </c>
      <c r="Q430" s="0" t="n">
        <v>0</v>
      </c>
      <c r="R430" s="0" t="n">
        <v>0</v>
      </c>
      <c r="S430" s="0" t="n">
        <v>0</v>
      </c>
      <c r="T430" s="0" t="s">
        <v>624</v>
      </c>
      <c r="U430" s="0" t="str">
        <f aca="false">IF('Basis Options'!D435="NGI/CHI. GATE","""NGI/CHI. GATE""",TRIM('Basis Options'!D435))</f>
        <v>MICH_CG-GD</v>
      </c>
      <c r="V430" s="0" t="s">
        <v>624</v>
      </c>
      <c r="W430" s="0" t="s">
        <v>569</v>
      </c>
      <c r="X430" s="0" t="s">
        <v>624</v>
      </c>
      <c r="Y430" s="0" t="s">
        <v>627</v>
      </c>
      <c r="Z430" s="0" t="s">
        <v>629</v>
      </c>
      <c r="AA430" s="0" t="s">
        <v>624</v>
      </c>
      <c r="AB430" s="0" t="s">
        <v>132</v>
      </c>
      <c r="AC430" s="254" t="n">
        <f aca="false">'Basis Options'!H435</f>
        <v>-500000</v>
      </c>
      <c r="AD430" s="254" t="e">
        <f aca="false">'Basis Options'!W435</f>
        <v>#NAME?</v>
      </c>
      <c r="AE430" s="0" t="n">
        <v>0</v>
      </c>
      <c r="AF430" s="0" t="n">
        <v>0</v>
      </c>
      <c r="AG430" s="0" t="n">
        <v>0</v>
      </c>
      <c r="AH430" s="254" t="e">
        <f aca="false">'Basis Options'!CD435</f>
        <v>#NAME?</v>
      </c>
      <c r="AI430" s="0" t="n">
        <v>226</v>
      </c>
      <c r="AJ430" s="0" t="s">
        <v>630</v>
      </c>
      <c r="AK430" s="0" t="n">
        <v>0</v>
      </c>
      <c r="AL430" s="0" t="n">
        <v>0</v>
      </c>
      <c r="AM430" s="0" t="n">
        <v>0</v>
      </c>
    </row>
    <row r="431" customFormat="false" ht="12.75" hidden="false" customHeight="false" outlineLevel="0" collapsed="false">
      <c r="A431" s="0" t="s">
        <v>621</v>
      </c>
      <c r="B431" s="0" t="str">
        <f aca="false">'Basis Options'!C436</f>
        <v>NO4881</v>
      </c>
      <c r="C431" s="0" t="s">
        <v>622</v>
      </c>
      <c r="D431" s="0" t="s">
        <v>623</v>
      </c>
      <c r="E431" s="0" t="s">
        <v>131</v>
      </c>
      <c r="F431" s="0" t="str">
        <f aca="false">'Basis Options'!A436</f>
        <v>TRACTEBEENEMAR</v>
      </c>
      <c r="G431" s="0" t="s">
        <v>628</v>
      </c>
      <c r="H431" s="0" t="s">
        <v>625</v>
      </c>
      <c r="I431" s="0" t="s">
        <v>626</v>
      </c>
      <c r="J431" s="0" t="s">
        <v>627</v>
      </c>
      <c r="K431" s="475" t="n">
        <f aca="false">'Basis Options'!G436</f>
        <v>36892</v>
      </c>
      <c r="L431" s="254" t="e">
        <f aca="false">'Basis Options'!U436</f>
        <v>#NAME?</v>
      </c>
      <c r="M431" s="475" t="n">
        <f aca="false">'Basis Options'!Q436</f>
        <v>36888</v>
      </c>
      <c r="N431" s="0" t="str">
        <f aca="false">'Basis Options'!F436</f>
        <v>C</v>
      </c>
      <c r="O431" s="0" t="n">
        <f aca="false">'Basis Options'!I436</f>
        <v>0.35</v>
      </c>
      <c r="P431" s="0" t="n">
        <v>0</v>
      </c>
      <c r="Q431" s="0" t="n">
        <v>0</v>
      </c>
      <c r="R431" s="0" t="n">
        <v>0</v>
      </c>
      <c r="S431" s="0" t="n">
        <v>0</v>
      </c>
      <c r="T431" s="0" t="s">
        <v>624</v>
      </c>
      <c r="U431" s="0" t="str">
        <f aca="false">IF('Basis Options'!D436="NGI/CHI. GATE","""NGI/CHI. GATE""",TRIM('Basis Options'!D436))</f>
        <v>MICH_CG-GD</v>
      </c>
      <c r="V431" s="0" t="s">
        <v>624</v>
      </c>
      <c r="W431" s="0" t="s">
        <v>569</v>
      </c>
      <c r="X431" s="0" t="s">
        <v>624</v>
      </c>
      <c r="Y431" s="0" t="s">
        <v>627</v>
      </c>
      <c r="Z431" s="0" t="s">
        <v>629</v>
      </c>
      <c r="AA431" s="0" t="s">
        <v>624</v>
      </c>
      <c r="AB431" s="0" t="s">
        <v>132</v>
      </c>
      <c r="AC431" s="254" t="n">
        <f aca="false">'Basis Options'!H436</f>
        <v>-500000</v>
      </c>
      <c r="AD431" s="254" t="e">
        <f aca="false">'Basis Options'!W436</f>
        <v>#NAME?</v>
      </c>
      <c r="AE431" s="0" t="n">
        <v>0</v>
      </c>
      <c r="AF431" s="0" t="n">
        <v>0</v>
      </c>
      <c r="AG431" s="0" t="n">
        <v>0</v>
      </c>
      <c r="AH431" s="254" t="e">
        <f aca="false">'Basis Options'!CD436</f>
        <v>#NAME?</v>
      </c>
      <c r="AI431" s="0" t="n">
        <v>226</v>
      </c>
      <c r="AJ431" s="0" t="s">
        <v>630</v>
      </c>
      <c r="AK431" s="0" t="n">
        <v>0</v>
      </c>
      <c r="AL431" s="0" t="n">
        <v>0</v>
      </c>
      <c r="AM431" s="0" t="n">
        <v>0</v>
      </c>
    </row>
    <row r="432" customFormat="false" ht="12.75" hidden="false" customHeight="false" outlineLevel="0" collapsed="false">
      <c r="A432" s="0" t="s">
        <v>621</v>
      </c>
      <c r="B432" s="0" t="str">
        <f aca="false">'Basis Options'!C437</f>
        <v>NO4881</v>
      </c>
      <c r="C432" s="0" t="s">
        <v>622</v>
      </c>
      <c r="D432" s="0" t="s">
        <v>623</v>
      </c>
      <c r="E432" s="0" t="s">
        <v>131</v>
      </c>
      <c r="F432" s="0" t="str">
        <f aca="false">'Basis Options'!A437</f>
        <v>TRACTEBEENEMAR</v>
      </c>
      <c r="G432" s="0" t="s">
        <v>628</v>
      </c>
      <c r="H432" s="0" t="s">
        <v>625</v>
      </c>
      <c r="I432" s="0" t="s">
        <v>626</v>
      </c>
      <c r="J432" s="0" t="s">
        <v>627</v>
      </c>
      <c r="K432" s="475" t="n">
        <f aca="false">'Basis Options'!G437</f>
        <v>36861</v>
      </c>
      <c r="L432" s="254" t="e">
        <f aca="false">'Basis Options'!U437</f>
        <v>#NAME?</v>
      </c>
      <c r="M432" s="475" t="n">
        <f aca="false">'Basis Options'!Q437</f>
        <v>36859</v>
      </c>
      <c r="N432" s="0" t="str">
        <f aca="false">'Basis Options'!F437</f>
        <v>C</v>
      </c>
      <c r="O432" s="0" t="n">
        <f aca="false">'Basis Options'!I437</f>
        <v>0.35</v>
      </c>
      <c r="P432" s="0" t="n">
        <v>0</v>
      </c>
      <c r="Q432" s="0" t="n">
        <v>0</v>
      </c>
      <c r="R432" s="0" t="n">
        <v>0</v>
      </c>
      <c r="S432" s="0" t="n">
        <v>0</v>
      </c>
      <c r="T432" s="0" t="s">
        <v>624</v>
      </c>
      <c r="U432" s="0" t="str">
        <f aca="false">IF('Basis Options'!D437="NGI/CHI. GATE","""NGI/CHI. GATE""",TRIM('Basis Options'!D437))</f>
        <v>MICH_CG-GD</v>
      </c>
      <c r="V432" s="0" t="s">
        <v>624</v>
      </c>
      <c r="W432" s="0" t="s">
        <v>569</v>
      </c>
      <c r="X432" s="0" t="s">
        <v>624</v>
      </c>
      <c r="Y432" s="0" t="s">
        <v>627</v>
      </c>
      <c r="Z432" s="0" t="s">
        <v>629</v>
      </c>
      <c r="AA432" s="0" t="s">
        <v>624</v>
      </c>
      <c r="AB432" s="0" t="s">
        <v>132</v>
      </c>
      <c r="AC432" s="254" t="n">
        <f aca="false">'Basis Options'!H437</f>
        <v>-500000</v>
      </c>
      <c r="AD432" s="254" t="e">
        <f aca="false">'Basis Options'!W437</f>
        <v>#NAME?</v>
      </c>
      <c r="AE432" s="0" t="n">
        <v>0</v>
      </c>
      <c r="AF432" s="0" t="n">
        <v>0</v>
      </c>
      <c r="AG432" s="0" t="n">
        <v>0</v>
      </c>
      <c r="AH432" s="254" t="e">
        <f aca="false">'Basis Options'!CD437</f>
        <v>#NAME?</v>
      </c>
      <c r="AI432" s="0" t="n">
        <v>226</v>
      </c>
      <c r="AJ432" s="0" t="s">
        <v>630</v>
      </c>
      <c r="AK432" s="0" t="n">
        <v>0</v>
      </c>
      <c r="AL432" s="0" t="n">
        <v>0</v>
      </c>
      <c r="AM432" s="0" t="n">
        <v>0</v>
      </c>
    </row>
    <row r="433" customFormat="false" ht="12.75" hidden="false" customHeight="false" outlineLevel="0" collapsed="false">
      <c r="A433" s="0" t="s">
        <v>621</v>
      </c>
      <c r="B433" s="0" t="str">
        <f aca="false">'Basis Options'!C438</f>
        <v>NO4881</v>
      </c>
      <c r="C433" s="0" t="s">
        <v>622</v>
      </c>
      <c r="D433" s="0" t="s">
        <v>623</v>
      </c>
      <c r="E433" s="0" t="s">
        <v>131</v>
      </c>
      <c r="F433" s="0" t="str">
        <f aca="false">'Basis Options'!A438</f>
        <v>TRACTEBEENEMAR</v>
      </c>
      <c r="G433" s="0" t="s">
        <v>628</v>
      </c>
      <c r="H433" s="0" t="s">
        <v>625</v>
      </c>
      <c r="I433" s="0" t="s">
        <v>626</v>
      </c>
      <c r="J433" s="0" t="s">
        <v>627</v>
      </c>
      <c r="K433" s="475" t="n">
        <f aca="false">'Basis Options'!G438</f>
        <v>36831</v>
      </c>
      <c r="L433" s="254" t="e">
        <f aca="false">'Basis Options'!U438</f>
        <v>#NAME?</v>
      </c>
      <c r="M433" s="475" t="n">
        <f aca="false">'Basis Options'!Q438</f>
        <v>36829</v>
      </c>
      <c r="N433" s="0" t="str">
        <f aca="false">'Basis Options'!F438</f>
        <v>C</v>
      </c>
      <c r="O433" s="0" t="n">
        <f aca="false">'Basis Options'!I438</f>
        <v>0.35</v>
      </c>
      <c r="P433" s="0" t="n">
        <v>0</v>
      </c>
      <c r="Q433" s="0" t="n">
        <v>0</v>
      </c>
      <c r="R433" s="0" t="n">
        <v>0</v>
      </c>
      <c r="S433" s="0" t="n">
        <v>0</v>
      </c>
      <c r="T433" s="0" t="s">
        <v>624</v>
      </c>
      <c r="U433" s="0" t="str">
        <f aca="false">IF('Basis Options'!D438="NGI/CHI. GATE","""NGI/CHI. GATE""",TRIM('Basis Options'!D438))</f>
        <v>MICH_CG-GD</v>
      </c>
      <c r="V433" s="0" t="s">
        <v>624</v>
      </c>
      <c r="W433" s="0" t="s">
        <v>569</v>
      </c>
      <c r="X433" s="0" t="s">
        <v>624</v>
      </c>
      <c r="Y433" s="0" t="s">
        <v>627</v>
      </c>
      <c r="Z433" s="0" t="s">
        <v>629</v>
      </c>
      <c r="AA433" s="0" t="s">
        <v>624</v>
      </c>
      <c r="AB433" s="0" t="s">
        <v>132</v>
      </c>
      <c r="AC433" s="254" t="n">
        <f aca="false">'Basis Options'!H438</f>
        <v>-500000</v>
      </c>
      <c r="AD433" s="254" t="e">
        <f aca="false">'Basis Options'!W438</f>
        <v>#NAME?</v>
      </c>
      <c r="AE433" s="0" t="n">
        <v>0</v>
      </c>
      <c r="AF433" s="0" t="n">
        <v>0</v>
      </c>
      <c r="AG433" s="0" t="n">
        <v>0</v>
      </c>
      <c r="AH433" s="254" t="e">
        <f aca="false">'Basis Options'!CD438</f>
        <v>#NAME?</v>
      </c>
      <c r="AI433" s="0" t="n">
        <v>226</v>
      </c>
      <c r="AJ433" s="0" t="s">
        <v>630</v>
      </c>
      <c r="AK433" s="0" t="n">
        <v>0</v>
      </c>
      <c r="AL433" s="0" t="n">
        <v>0</v>
      </c>
      <c r="AM433" s="0" t="n">
        <v>0</v>
      </c>
    </row>
    <row r="434" customFormat="false" ht="12.75" hidden="false" customHeight="false" outlineLevel="0" collapsed="false">
      <c r="A434" s="0" t="s">
        <v>621</v>
      </c>
      <c r="B434" s="0" t="str">
        <f aca="false">'Basis Options'!C439</f>
        <v>NO7688.1</v>
      </c>
      <c r="C434" s="0" t="s">
        <v>622</v>
      </c>
      <c r="D434" s="0" t="s">
        <v>623</v>
      </c>
      <c r="E434" s="0" t="s">
        <v>131</v>
      </c>
      <c r="F434" s="0" t="str">
        <f aca="false">'Basis Options'!A439</f>
        <v>RELIANTENESER</v>
      </c>
      <c r="G434" s="0" t="s">
        <v>628</v>
      </c>
      <c r="H434" s="0" t="s">
        <v>625</v>
      </c>
      <c r="I434" s="0" t="s">
        <v>626</v>
      </c>
      <c r="J434" s="0" t="s">
        <v>627</v>
      </c>
      <c r="K434" s="475" t="n">
        <f aca="false">'Basis Options'!G439</f>
        <v>36951</v>
      </c>
      <c r="L434" s="254" t="e">
        <f aca="false">'Basis Options'!U439</f>
        <v>#NAME?</v>
      </c>
      <c r="M434" s="475" t="n">
        <f aca="false">'Basis Options'!Q439</f>
        <v>36949</v>
      </c>
      <c r="N434" s="0" t="str">
        <f aca="false">'Basis Options'!F439</f>
        <v>P</v>
      </c>
      <c r="O434" s="0" t="n">
        <f aca="false">'Basis Options'!I439</f>
        <v>-0.4</v>
      </c>
      <c r="P434" s="0" t="n">
        <v>0</v>
      </c>
      <c r="Q434" s="0" t="n">
        <v>0</v>
      </c>
      <c r="R434" s="0" t="n">
        <v>0</v>
      </c>
      <c r="S434" s="0" t="n">
        <v>0</v>
      </c>
      <c r="T434" s="0" t="s">
        <v>624</v>
      </c>
      <c r="U434" s="0" t="str">
        <f aca="false">IF('Basis Options'!D439="NGI/CHI. GATE","""NGI/CHI. GATE""",TRIM('Basis Options'!D439))</f>
        <v>IF-NWPL_ROCKY_M</v>
      </c>
      <c r="V434" s="0" t="s">
        <v>624</v>
      </c>
      <c r="W434" s="0" t="s">
        <v>569</v>
      </c>
      <c r="X434" s="0" t="s">
        <v>624</v>
      </c>
      <c r="Y434" s="0" t="s">
        <v>627</v>
      </c>
      <c r="Z434" s="0" t="s">
        <v>629</v>
      </c>
      <c r="AA434" s="0" t="s">
        <v>624</v>
      </c>
      <c r="AB434" s="0" t="s">
        <v>132</v>
      </c>
      <c r="AC434" s="254" t="n">
        <f aca="false">'Basis Options'!H439</f>
        <v>-310000</v>
      </c>
      <c r="AD434" s="254" t="e">
        <f aca="false">'Basis Options'!W439</f>
        <v>#NAME?</v>
      </c>
      <c r="AE434" s="0" t="n">
        <v>0</v>
      </c>
      <c r="AF434" s="0" t="n">
        <v>0</v>
      </c>
      <c r="AG434" s="0" t="n">
        <v>0</v>
      </c>
      <c r="AH434" s="254" t="e">
        <f aca="false">'Basis Options'!CD439</f>
        <v>#NAME?</v>
      </c>
      <c r="AI434" s="0" t="n">
        <v>226</v>
      </c>
      <c r="AJ434" s="0" t="s">
        <v>630</v>
      </c>
      <c r="AK434" s="0" t="n">
        <v>0</v>
      </c>
      <c r="AL434" s="0" t="n">
        <v>0</v>
      </c>
      <c r="AM434" s="0" t="n">
        <v>0</v>
      </c>
    </row>
    <row r="435" customFormat="false" ht="12.75" hidden="false" customHeight="false" outlineLevel="0" collapsed="false">
      <c r="A435" s="0" t="s">
        <v>621</v>
      </c>
      <c r="B435" s="0" t="str">
        <f aca="false">'Basis Options'!C440</f>
        <v>NO7688.1</v>
      </c>
      <c r="C435" s="0" t="s">
        <v>622</v>
      </c>
      <c r="D435" s="0" t="s">
        <v>623</v>
      </c>
      <c r="E435" s="0" t="s">
        <v>131</v>
      </c>
      <c r="F435" s="0" t="str">
        <f aca="false">'Basis Options'!A440</f>
        <v>RELIANTENESER</v>
      </c>
      <c r="G435" s="0" t="s">
        <v>628</v>
      </c>
      <c r="H435" s="0" t="s">
        <v>625</v>
      </c>
      <c r="I435" s="0" t="s">
        <v>626</v>
      </c>
      <c r="J435" s="0" t="s">
        <v>627</v>
      </c>
      <c r="K435" s="475" t="n">
        <f aca="false">'Basis Options'!G440</f>
        <v>36923</v>
      </c>
      <c r="L435" s="254" t="e">
        <f aca="false">'Basis Options'!U440</f>
        <v>#NAME?</v>
      </c>
      <c r="M435" s="475" t="n">
        <f aca="false">'Basis Options'!Q440</f>
        <v>36921</v>
      </c>
      <c r="N435" s="0" t="str">
        <f aca="false">'Basis Options'!F440</f>
        <v>P</v>
      </c>
      <c r="O435" s="0" t="n">
        <f aca="false">'Basis Options'!I440</f>
        <v>-0.4</v>
      </c>
      <c r="P435" s="0" t="n">
        <v>0</v>
      </c>
      <c r="Q435" s="0" t="n">
        <v>0</v>
      </c>
      <c r="R435" s="0" t="n">
        <v>0</v>
      </c>
      <c r="S435" s="0" t="n">
        <v>0</v>
      </c>
      <c r="T435" s="0" t="s">
        <v>624</v>
      </c>
      <c r="U435" s="0" t="str">
        <f aca="false">IF('Basis Options'!D440="NGI/CHI. GATE","""NGI/CHI. GATE""",TRIM('Basis Options'!D440))</f>
        <v>IF-NWPL_ROCKY_M</v>
      </c>
      <c r="V435" s="0" t="s">
        <v>624</v>
      </c>
      <c r="W435" s="0" t="s">
        <v>569</v>
      </c>
      <c r="X435" s="0" t="s">
        <v>624</v>
      </c>
      <c r="Y435" s="0" t="s">
        <v>627</v>
      </c>
      <c r="Z435" s="0" t="s">
        <v>629</v>
      </c>
      <c r="AA435" s="0" t="s">
        <v>624</v>
      </c>
      <c r="AB435" s="0" t="s">
        <v>132</v>
      </c>
      <c r="AC435" s="254" t="n">
        <f aca="false">'Basis Options'!H440</f>
        <v>-280000</v>
      </c>
      <c r="AD435" s="254" t="e">
        <f aca="false">'Basis Options'!W440</f>
        <v>#NAME?</v>
      </c>
      <c r="AE435" s="0" t="n">
        <v>0</v>
      </c>
      <c r="AF435" s="0" t="n">
        <v>0</v>
      </c>
      <c r="AG435" s="0" t="n">
        <v>0</v>
      </c>
      <c r="AH435" s="254" t="e">
        <f aca="false">'Basis Options'!CD440</f>
        <v>#NAME?</v>
      </c>
      <c r="AI435" s="0" t="n">
        <v>226</v>
      </c>
      <c r="AJ435" s="0" t="s">
        <v>630</v>
      </c>
      <c r="AK435" s="0" t="n">
        <v>0</v>
      </c>
      <c r="AL435" s="0" t="n">
        <v>0</v>
      </c>
      <c r="AM435" s="0" t="n">
        <v>0</v>
      </c>
    </row>
    <row r="436" customFormat="false" ht="12.75" hidden="false" customHeight="false" outlineLevel="0" collapsed="false">
      <c r="A436" s="0" t="s">
        <v>621</v>
      </c>
      <c r="B436" s="0" t="str">
        <f aca="false">'Basis Options'!C441</f>
        <v>NO7688.1</v>
      </c>
      <c r="C436" s="0" t="s">
        <v>622</v>
      </c>
      <c r="D436" s="0" t="s">
        <v>623</v>
      </c>
      <c r="E436" s="0" t="s">
        <v>131</v>
      </c>
      <c r="F436" s="0" t="str">
        <f aca="false">'Basis Options'!A441</f>
        <v>RELIANTENESER</v>
      </c>
      <c r="G436" s="0" t="s">
        <v>628</v>
      </c>
      <c r="H436" s="0" t="s">
        <v>625</v>
      </c>
      <c r="I436" s="0" t="s">
        <v>626</v>
      </c>
      <c r="J436" s="0" t="s">
        <v>627</v>
      </c>
      <c r="K436" s="475" t="n">
        <f aca="false">'Basis Options'!G441</f>
        <v>36892</v>
      </c>
      <c r="L436" s="254" t="e">
        <f aca="false">'Basis Options'!U441</f>
        <v>#NAME?</v>
      </c>
      <c r="M436" s="475" t="n">
        <f aca="false">'Basis Options'!Q441</f>
        <v>36888</v>
      </c>
      <c r="N436" s="0" t="str">
        <f aca="false">'Basis Options'!F441</f>
        <v>P</v>
      </c>
      <c r="O436" s="0" t="n">
        <f aca="false">'Basis Options'!I441</f>
        <v>-0.4</v>
      </c>
      <c r="P436" s="0" t="n">
        <v>0</v>
      </c>
      <c r="Q436" s="0" t="n">
        <v>0</v>
      </c>
      <c r="R436" s="0" t="n">
        <v>0</v>
      </c>
      <c r="S436" s="0" t="n">
        <v>0</v>
      </c>
      <c r="T436" s="0" t="s">
        <v>624</v>
      </c>
      <c r="U436" s="0" t="str">
        <f aca="false">IF('Basis Options'!D441="NGI/CHI. GATE","""NGI/CHI. GATE""",TRIM('Basis Options'!D441))</f>
        <v>IF-NWPL_ROCKY_M</v>
      </c>
      <c r="V436" s="0" t="s">
        <v>624</v>
      </c>
      <c r="W436" s="0" t="s">
        <v>569</v>
      </c>
      <c r="X436" s="0" t="s">
        <v>624</v>
      </c>
      <c r="Y436" s="0" t="s">
        <v>627</v>
      </c>
      <c r="Z436" s="0" t="s">
        <v>629</v>
      </c>
      <c r="AA436" s="0" t="s">
        <v>624</v>
      </c>
      <c r="AB436" s="0" t="s">
        <v>132</v>
      </c>
      <c r="AC436" s="254" t="n">
        <f aca="false">'Basis Options'!H441</f>
        <v>-310000</v>
      </c>
      <c r="AD436" s="254" t="e">
        <f aca="false">'Basis Options'!W441</f>
        <v>#NAME?</v>
      </c>
      <c r="AE436" s="0" t="n">
        <v>0</v>
      </c>
      <c r="AF436" s="0" t="n">
        <v>0</v>
      </c>
      <c r="AG436" s="0" t="n">
        <v>0</v>
      </c>
      <c r="AH436" s="254" t="e">
        <f aca="false">'Basis Options'!CD441</f>
        <v>#NAME?</v>
      </c>
      <c r="AI436" s="0" t="n">
        <v>226</v>
      </c>
      <c r="AJ436" s="0" t="s">
        <v>630</v>
      </c>
      <c r="AK436" s="0" t="n">
        <v>0</v>
      </c>
      <c r="AL436" s="0" t="n">
        <v>0</v>
      </c>
      <c r="AM436" s="0" t="n">
        <v>0</v>
      </c>
    </row>
    <row r="437" customFormat="false" ht="12.75" hidden="false" customHeight="false" outlineLevel="0" collapsed="false">
      <c r="A437" s="0" t="s">
        <v>621</v>
      </c>
      <c r="B437" s="0" t="str">
        <f aca="false">'Basis Options'!C442</f>
        <v>NO7688.1</v>
      </c>
      <c r="C437" s="0" t="s">
        <v>622</v>
      </c>
      <c r="D437" s="0" t="s">
        <v>623</v>
      </c>
      <c r="E437" s="0" t="s">
        <v>131</v>
      </c>
      <c r="F437" s="0" t="str">
        <f aca="false">'Basis Options'!A442</f>
        <v>RELIANTENESER</v>
      </c>
      <c r="G437" s="0" t="s">
        <v>628</v>
      </c>
      <c r="H437" s="0" t="s">
        <v>625</v>
      </c>
      <c r="I437" s="0" t="s">
        <v>626</v>
      </c>
      <c r="J437" s="0" t="s">
        <v>627</v>
      </c>
      <c r="K437" s="475" t="n">
        <f aca="false">'Basis Options'!G442</f>
        <v>36861</v>
      </c>
      <c r="L437" s="254" t="e">
        <f aca="false">'Basis Options'!U442</f>
        <v>#NAME?</v>
      </c>
      <c r="M437" s="475" t="n">
        <f aca="false">'Basis Options'!Q442</f>
        <v>36859</v>
      </c>
      <c r="N437" s="0" t="str">
        <f aca="false">'Basis Options'!F442</f>
        <v>P</v>
      </c>
      <c r="O437" s="0" t="n">
        <f aca="false">'Basis Options'!I442</f>
        <v>-0.4</v>
      </c>
      <c r="P437" s="0" t="n">
        <v>0</v>
      </c>
      <c r="Q437" s="0" t="n">
        <v>0</v>
      </c>
      <c r="R437" s="0" t="n">
        <v>0</v>
      </c>
      <c r="S437" s="0" t="n">
        <v>0</v>
      </c>
      <c r="T437" s="0" t="s">
        <v>624</v>
      </c>
      <c r="U437" s="0" t="str">
        <f aca="false">IF('Basis Options'!D442="NGI/CHI. GATE","""NGI/CHI. GATE""",TRIM('Basis Options'!D442))</f>
        <v>IF-NWPL_ROCKY_M</v>
      </c>
      <c r="V437" s="0" t="s">
        <v>624</v>
      </c>
      <c r="W437" s="0" t="s">
        <v>569</v>
      </c>
      <c r="X437" s="0" t="s">
        <v>624</v>
      </c>
      <c r="Y437" s="0" t="s">
        <v>627</v>
      </c>
      <c r="Z437" s="0" t="s">
        <v>629</v>
      </c>
      <c r="AA437" s="0" t="s">
        <v>624</v>
      </c>
      <c r="AB437" s="0" t="s">
        <v>132</v>
      </c>
      <c r="AC437" s="254" t="n">
        <f aca="false">'Basis Options'!H442</f>
        <v>-310000</v>
      </c>
      <c r="AD437" s="254" t="e">
        <f aca="false">'Basis Options'!W442</f>
        <v>#NAME?</v>
      </c>
      <c r="AE437" s="0" t="n">
        <v>0</v>
      </c>
      <c r="AF437" s="0" t="n">
        <v>0</v>
      </c>
      <c r="AG437" s="0" t="n">
        <v>0</v>
      </c>
      <c r="AH437" s="254" t="e">
        <f aca="false">'Basis Options'!CD442</f>
        <v>#NAME?</v>
      </c>
      <c r="AI437" s="0" t="n">
        <v>226</v>
      </c>
      <c r="AJ437" s="0" t="s">
        <v>630</v>
      </c>
      <c r="AK437" s="0" t="n">
        <v>0</v>
      </c>
      <c r="AL437" s="0" t="n">
        <v>0</v>
      </c>
      <c r="AM437" s="0" t="n">
        <v>0</v>
      </c>
    </row>
    <row r="438" customFormat="false" ht="12.75" hidden="false" customHeight="false" outlineLevel="0" collapsed="false">
      <c r="A438" s="0" t="s">
        <v>621</v>
      </c>
      <c r="B438" s="0" t="str">
        <f aca="false">'Basis Options'!C443</f>
        <v>NO7688.1</v>
      </c>
      <c r="C438" s="0" t="s">
        <v>622</v>
      </c>
      <c r="D438" s="0" t="s">
        <v>623</v>
      </c>
      <c r="E438" s="0" t="s">
        <v>131</v>
      </c>
      <c r="F438" s="0" t="str">
        <f aca="false">'Basis Options'!A443</f>
        <v>RELIANTENESER</v>
      </c>
      <c r="G438" s="0" t="s">
        <v>628</v>
      </c>
      <c r="H438" s="0" t="s">
        <v>625</v>
      </c>
      <c r="I438" s="0" t="s">
        <v>626</v>
      </c>
      <c r="J438" s="0" t="s">
        <v>627</v>
      </c>
      <c r="K438" s="475" t="n">
        <f aca="false">'Basis Options'!G443</f>
        <v>36831</v>
      </c>
      <c r="L438" s="254" t="e">
        <f aca="false">'Basis Options'!U443</f>
        <v>#NAME?</v>
      </c>
      <c r="M438" s="475" t="n">
        <f aca="false">'Basis Options'!Q443</f>
        <v>36829</v>
      </c>
      <c r="N438" s="0" t="str">
        <f aca="false">'Basis Options'!F443</f>
        <v>P</v>
      </c>
      <c r="O438" s="0" t="n">
        <f aca="false">'Basis Options'!I443</f>
        <v>-0.4</v>
      </c>
      <c r="P438" s="0" t="n">
        <v>0</v>
      </c>
      <c r="Q438" s="0" t="n">
        <v>0</v>
      </c>
      <c r="R438" s="0" t="n">
        <v>0</v>
      </c>
      <c r="S438" s="0" t="n">
        <v>0</v>
      </c>
      <c r="T438" s="0" t="s">
        <v>624</v>
      </c>
      <c r="U438" s="0" t="str">
        <f aca="false">IF('Basis Options'!D443="NGI/CHI. GATE","""NGI/CHI. GATE""",TRIM('Basis Options'!D443))</f>
        <v>IF-NWPL_ROCKY_M</v>
      </c>
      <c r="V438" s="0" t="s">
        <v>624</v>
      </c>
      <c r="W438" s="0" t="s">
        <v>569</v>
      </c>
      <c r="X438" s="0" t="s">
        <v>624</v>
      </c>
      <c r="Y438" s="0" t="s">
        <v>627</v>
      </c>
      <c r="Z438" s="0" t="s">
        <v>629</v>
      </c>
      <c r="AA438" s="0" t="s">
        <v>624</v>
      </c>
      <c r="AB438" s="0" t="s">
        <v>132</v>
      </c>
      <c r="AC438" s="254" t="n">
        <f aca="false">'Basis Options'!H443</f>
        <v>-300000</v>
      </c>
      <c r="AD438" s="254" t="e">
        <f aca="false">'Basis Options'!W443</f>
        <v>#NAME?</v>
      </c>
      <c r="AE438" s="0" t="n">
        <v>0</v>
      </c>
      <c r="AF438" s="0" t="n">
        <v>0</v>
      </c>
      <c r="AG438" s="0" t="n">
        <v>0</v>
      </c>
      <c r="AH438" s="254" t="e">
        <f aca="false">'Basis Options'!CD443</f>
        <v>#NAME?</v>
      </c>
      <c r="AI438" s="0" t="n">
        <v>226</v>
      </c>
      <c r="AJ438" s="0" t="s">
        <v>630</v>
      </c>
      <c r="AK438" s="0" t="n">
        <v>0</v>
      </c>
      <c r="AL438" s="0" t="n">
        <v>0</v>
      </c>
      <c r="AM438" s="0" t="n">
        <v>0</v>
      </c>
    </row>
    <row r="439" customFormat="false" ht="12.75" hidden="false" customHeight="false" outlineLevel="0" collapsed="false">
      <c r="A439" s="0" t="s">
        <v>621</v>
      </c>
      <c r="B439" s="0" t="str">
        <f aca="false">'Basis Options'!C444</f>
        <v>NO7688.2</v>
      </c>
      <c r="C439" s="0" t="s">
        <v>622</v>
      </c>
      <c r="D439" s="0" t="s">
        <v>623</v>
      </c>
      <c r="E439" s="0" t="s">
        <v>131</v>
      </c>
      <c r="F439" s="0" t="str">
        <f aca="false">'Basis Options'!A444</f>
        <v>RELIANTENESER</v>
      </c>
      <c r="G439" s="0" t="s">
        <v>628</v>
      </c>
      <c r="H439" s="0" t="s">
        <v>625</v>
      </c>
      <c r="I439" s="0" t="s">
        <v>626</v>
      </c>
      <c r="J439" s="0" t="s">
        <v>627</v>
      </c>
      <c r="K439" s="475" t="n">
        <f aca="false">'Basis Options'!G444</f>
        <v>36951</v>
      </c>
      <c r="L439" s="254" t="e">
        <f aca="false">'Basis Options'!U444</f>
        <v>#NAME?</v>
      </c>
      <c r="M439" s="475" t="n">
        <f aca="false">'Basis Options'!Q444</f>
        <v>36949</v>
      </c>
      <c r="N439" s="0" t="str">
        <f aca="false">'Basis Options'!F444</f>
        <v>C</v>
      </c>
      <c r="O439" s="0" t="n">
        <f aca="false">'Basis Options'!I444</f>
        <v>-0.1</v>
      </c>
      <c r="P439" s="0" t="n">
        <v>0</v>
      </c>
      <c r="Q439" s="0" t="n">
        <v>0</v>
      </c>
      <c r="R439" s="0" t="n">
        <v>0</v>
      </c>
      <c r="S439" s="0" t="n">
        <v>0</v>
      </c>
      <c r="T439" s="0" t="s">
        <v>624</v>
      </c>
      <c r="U439" s="0" t="str">
        <f aca="false">IF('Basis Options'!D444="NGI/CHI. GATE","""NGI/CHI. GATE""",TRIM('Basis Options'!D444))</f>
        <v>IF-NWPL_ROCKY_M</v>
      </c>
      <c r="V439" s="0" t="s">
        <v>624</v>
      </c>
      <c r="W439" s="0" t="s">
        <v>569</v>
      </c>
      <c r="X439" s="0" t="s">
        <v>624</v>
      </c>
      <c r="Y439" s="0" t="s">
        <v>627</v>
      </c>
      <c r="Z439" s="0" t="s">
        <v>629</v>
      </c>
      <c r="AA439" s="0" t="s">
        <v>624</v>
      </c>
      <c r="AB439" s="0" t="s">
        <v>132</v>
      </c>
      <c r="AC439" s="254" t="n">
        <f aca="false">'Basis Options'!H444</f>
        <v>310000</v>
      </c>
      <c r="AD439" s="254" t="e">
        <f aca="false">'Basis Options'!W444</f>
        <v>#NAME?</v>
      </c>
      <c r="AE439" s="0" t="n">
        <v>0</v>
      </c>
      <c r="AF439" s="0" t="n">
        <v>0</v>
      </c>
      <c r="AG439" s="0" t="n">
        <v>0</v>
      </c>
      <c r="AH439" s="254" t="e">
        <f aca="false">'Basis Options'!CD444</f>
        <v>#NAME?</v>
      </c>
      <c r="AI439" s="0" t="n">
        <v>226</v>
      </c>
      <c r="AJ439" s="0" t="s">
        <v>630</v>
      </c>
      <c r="AK439" s="0" t="n">
        <v>0</v>
      </c>
      <c r="AL439" s="0" t="n">
        <v>0</v>
      </c>
      <c r="AM439" s="0" t="n">
        <v>0</v>
      </c>
    </row>
    <row r="440" customFormat="false" ht="12.75" hidden="false" customHeight="false" outlineLevel="0" collapsed="false">
      <c r="A440" s="0" t="s">
        <v>621</v>
      </c>
      <c r="B440" s="0" t="str">
        <f aca="false">'Basis Options'!C445</f>
        <v>NO7688.2</v>
      </c>
      <c r="C440" s="0" t="s">
        <v>622</v>
      </c>
      <c r="D440" s="0" t="s">
        <v>623</v>
      </c>
      <c r="E440" s="0" t="s">
        <v>131</v>
      </c>
      <c r="F440" s="0" t="str">
        <f aca="false">'Basis Options'!A445</f>
        <v>RELIANTENESER</v>
      </c>
      <c r="G440" s="0" t="s">
        <v>628</v>
      </c>
      <c r="H440" s="0" t="s">
        <v>625</v>
      </c>
      <c r="I440" s="0" t="s">
        <v>626</v>
      </c>
      <c r="J440" s="0" t="s">
        <v>627</v>
      </c>
      <c r="K440" s="475" t="n">
        <f aca="false">'Basis Options'!G445</f>
        <v>36923</v>
      </c>
      <c r="L440" s="254" t="e">
        <f aca="false">'Basis Options'!U445</f>
        <v>#NAME?</v>
      </c>
      <c r="M440" s="475" t="n">
        <f aca="false">'Basis Options'!Q445</f>
        <v>36921</v>
      </c>
      <c r="N440" s="0" t="str">
        <f aca="false">'Basis Options'!F445</f>
        <v>C</v>
      </c>
      <c r="O440" s="0" t="n">
        <f aca="false">'Basis Options'!I445</f>
        <v>-0.1</v>
      </c>
      <c r="P440" s="0" t="n">
        <v>0</v>
      </c>
      <c r="Q440" s="0" t="n">
        <v>0</v>
      </c>
      <c r="R440" s="0" t="n">
        <v>0</v>
      </c>
      <c r="S440" s="0" t="n">
        <v>0</v>
      </c>
      <c r="T440" s="0" t="s">
        <v>624</v>
      </c>
      <c r="U440" s="0" t="str">
        <f aca="false">IF('Basis Options'!D445="NGI/CHI. GATE","""NGI/CHI. GATE""",TRIM('Basis Options'!D445))</f>
        <v>IF-NWPL_ROCKY_M</v>
      </c>
      <c r="V440" s="0" t="s">
        <v>624</v>
      </c>
      <c r="W440" s="0" t="s">
        <v>569</v>
      </c>
      <c r="X440" s="0" t="s">
        <v>624</v>
      </c>
      <c r="Y440" s="0" t="s">
        <v>627</v>
      </c>
      <c r="Z440" s="0" t="s">
        <v>629</v>
      </c>
      <c r="AA440" s="0" t="s">
        <v>624</v>
      </c>
      <c r="AB440" s="0" t="s">
        <v>132</v>
      </c>
      <c r="AC440" s="254" t="n">
        <f aca="false">'Basis Options'!H445</f>
        <v>280000</v>
      </c>
      <c r="AD440" s="254" t="e">
        <f aca="false">'Basis Options'!W445</f>
        <v>#NAME?</v>
      </c>
      <c r="AE440" s="0" t="n">
        <v>0</v>
      </c>
      <c r="AF440" s="0" t="n">
        <v>0</v>
      </c>
      <c r="AG440" s="0" t="n">
        <v>0</v>
      </c>
      <c r="AH440" s="254" t="e">
        <f aca="false">'Basis Options'!CD445</f>
        <v>#NAME?</v>
      </c>
      <c r="AI440" s="0" t="n">
        <v>226</v>
      </c>
      <c r="AJ440" s="0" t="s">
        <v>630</v>
      </c>
      <c r="AK440" s="0" t="n">
        <v>0</v>
      </c>
      <c r="AL440" s="0" t="n">
        <v>0</v>
      </c>
      <c r="AM440" s="0" t="n">
        <v>0</v>
      </c>
    </row>
    <row r="441" customFormat="false" ht="12.75" hidden="false" customHeight="false" outlineLevel="0" collapsed="false">
      <c r="A441" s="0" t="s">
        <v>621</v>
      </c>
      <c r="B441" s="0" t="str">
        <f aca="false">'Basis Options'!C446</f>
        <v>NO7688.2</v>
      </c>
      <c r="C441" s="0" t="s">
        <v>622</v>
      </c>
      <c r="D441" s="0" t="s">
        <v>623</v>
      </c>
      <c r="E441" s="0" t="s">
        <v>131</v>
      </c>
      <c r="F441" s="0" t="str">
        <f aca="false">'Basis Options'!A446</f>
        <v>RELIANTENESER</v>
      </c>
      <c r="G441" s="0" t="s">
        <v>628</v>
      </c>
      <c r="H441" s="0" t="s">
        <v>625</v>
      </c>
      <c r="I441" s="0" t="s">
        <v>626</v>
      </c>
      <c r="J441" s="0" t="s">
        <v>627</v>
      </c>
      <c r="K441" s="475" t="n">
        <f aca="false">'Basis Options'!G446</f>
        <v>36892</v>
      </c>
      <c r="L441" s="254" t="e">
        <f aca="false">'Basis Options'!U446</f>
        <v>#NAME?</v>
      </c>
      <c r="M441" s="475" t="n">
        <f aca="false">'Basis Options'!Q446</f>
        <v>36888</v>
      </c>
      <c r="N441" s="0" t="str">
        <f aca="false">'Basis Options'!F446</f>
        <v>C</v>
      </c>
      <c r="O441" s="0" t="n">
        <f aca="false">'Basis Options'!I446</f>
        <v>-0.1</v>
      </c>
      <c r="P441" s="0" t="n">
        <v>0</v>
      </c>
      <c r="Q441" s="0" t="n">
        <v>0</v>
      </c>
      <c r="R441" s="0" t="n">
        <v>0</v>
      </c>
      <c r="S441" s="0" t="n">
        <v>0</v>
      </c>
      <c r="T441" s="0" t="s">
        <v>624</v>
      </c>
      <c r="U441" s="0" t="str">
        <f aca="false">IF('Basis Options'!D446="NGI/CHI. GATE","""NGI/CHI. GATE""",TRIM('Basis Options'!D446))</f>
        <v>IF-NWPL_ROCKY_M</v>
      </c>
      <c r="V441" s="0" t="s">
        <v>624</v>
      </c>
      <c r="W441" s="0" t="s">
        <v>569</v>
      </c>
      <c r="X441" s="0" t="s">
        <v>624</v>
      </c>
      <c r="Y441" s="0" t="s">
        <v>627</v>
      </c>
      <c r="Z441" s="0" t="s">
        <v>629</v>
      </c>
      <c r="AA441" s="0" t="s">
        <v>624</v>
      </c>
      <c r="AB441" s="0" t="s">
        <v>132</v>
      </c>
      <c r="AC441" s="254" t="n">
        <f aca="false">'Basis Options'!H446</f>
        <v>310000</v>
      </c>
      <c r="AD441" s="254" t="e">
        <f aca="false">'Basis Options'!W446</f>
        <v>#NAME?</v>
      </c>
      <c r="AE441" s="0" t="n">
        <v>0</v>
      </c>
      <c r="AF441" s="0" t="n">
        <v>0</v>
      </c>
      <c r="AG441" s="0" t="n">
        <v>0</v>
      </c>
      <c r="AH441" s="254" t="e">
        <f aca="false">'Basis Options'!CD446</f>
        <v>#NAME?</v>
      </c>
      <c r="AI441" s="0" t="n">
        <v>226</v>
      </c>
      <c r="AJ441" s="0" t="s">
        <v>630</v>
      </c>
      <c r="AK441" s="0" t="n">
        <v>0</v>
      </c>
      <c r="AL441" s="0" t="n">
        <v>0</v>
      </c>
      <c r="AM441" s="0" t="n">
        <v>0</v>
      </c>
    </row>
    <row r="442" customFormat="false" ht="12.75" hidden="false" customHeight="false" outlineLevel="0" collapsed="false">
      <c r="A442" s="0" t="s">
        <v>621</v>
      </c>
      <c r="B442" s="0" t="str">
        <f aca="false">'Basis Options'!C447</f>
        <v>NO7688.2</v>
      </c>
      <c r="C442" s="0" t="s">
        <v>622</v>
      </c>
      <c r="D442" s="0" t="s">
        <v>623</v>
      </c>
      <c r="E442" s="0" t="s">
        <v>131</v>
      </c>
      <c r="F442" s="0" t="str">
        <f aca="false">'Basis Options'!A447</f>
        <v>RELIANTENESER</v>
      </c>
      <c r="G442" s="0" t="s">
        <v>628</v>
      </c>
      <c r="H442" s="0" t="s">
        <v>625</v>
      </c>
      <c r="I442" s="0" t="s">
        <v>626</v>
      </c>
      <c r="J442" s="0" t="s">
        <v>627</v>
      </c>
      <c r="K442" s="475" t="n">
        <f aca="false">'Basis Options'!G447</f>
        <v>36861</v>
      </c>
      <c r="L442" s="254" t="e">
        <f aca="false">'Basis Options'!U447</f>
        <v>#NAME?</v>
      </c>
      <c r="M442" s="475" t="n">
        <f aca="false">'Basis Options'!Q447</f>
        <v>36859</v>
      </c>
      <c r="N442" s="0" t="str">
        <f aca="false">'Basis Options'!F447</f>
        <v>C</v>
      </c>
      <c r="O442" s="0" t="n">
        <f aca="false">'Basis Options'!I447</f>
        <v>-0.1</v>
      </c>
      <c r="P442" s="0" t="n">
        <v>0</v>
      </c>
      <c r="Q442" s="0" t="n">
        <v>0</v>
      </c>
      <c r="R442" s="0" t="n">
        <v>0</v>
      </c>
      <c r="S442" s="0" t="n">
        <v>0</v>
      </c>
      <c r="T442" s="0" t="s">
        <v>624</v>
      </c>
      <c r="U442" s="0" t="str">
        <f aca="false">IF('Basis Options'!D447="NGI/CHI. GATE","""NGI/CHI. GATE""",TRIM('Basis Options'!D447))</f>
        <v>IF-NWPL_ROCKY_M</v>
      </c>
      <c r="V442" s="0" t="s">
        <v>624</v>
      </c>
      <c r="W442" s="0" t="s">
        <v>569</v>
      </c>
      <c r="X442" s="0" t="s">
        <v>624</v>
      </c>
      <c r="Y442" s="0" t="s">
        <v>627</v>
      </c>
      <c r="Z442" s="0" t="s">
        <v>629</v>
      </c>
      <c r="AA442" s="0" t="s">
        <v>624</v>
      </c>
      <c r="AB442" s="0" t="s">
        <v>132</v>
      </c>
      <c r="AC442" s="254" t="n">
        <f aca="false">'Basis Options'!H447</f>
        <v>310000</v>
      </c>
      <c r="AD442" s="254" t="e">
        <f aca="false">'Basis Options'!W447</f>
        <v>#NAME?</v>
      </c>
      <c r="AE442" s="0" t="n">
        <v>0</v>
      </c>
      <c r="AF442" s="0" t="n">
        <v>0</v>
      </c>
      <c r="AG442" s="0" t="n">
        <v>0</v>
      </c>
      <c r="AH442" s="254" t="e">
        <f aca="false">'Basis Options'!CD447</f>
        <v>#NAME?</v>
      </c>
      <c r="AI442" s="0" t="n">
        <v>226</v>
      </c>
      <c r="AJ442" s="0" t="s">
        <v>630</v>
      </c>
      <c r="AK442" s="0" t="n">
        <v>0</v>
      </c>
      <c r="AL442" s="0" t="n">
        <v>0</v>
      </c>
      <c r="AM442" s="0" t="n">
        <v>0</v>
      </c>
    </row>
    <row r="443" customFormat="false" ht="12.75" hidden="false" customHeight="false" outlineLevel="0" collapsed="false">
      <c r="A443" s="0" t="s">
        <v>621</v>
      </c>
      <c r="B443" s="0" t="str">
        <f aca="false">'Basis Options'!C448</f>
        <v>NO7688.2</v>
      </c>
      <c r="C443" s="0" t="s">
        <v>622</v>
      </c>
      <c r="D443" s="0" t="s">
        <v>623</v>
      </c>
      <c r="E443" s="0" t="s">
        <v>131</v>
      </c>
      <c r="F443" s="0" t="str">
        <f aca="false">'Basis Options'!A448</f>
        <v>RELIANTENESER</v>
      </c>
      <c r="G443" s="0" t="s">
        <v>628</v>
      </c>
      <c r="H443" s="0" t="s">
        <v>625</v>
      </c>
      <c r="I443" s="0" t="s">
        <v>626</v>
      </c>
      <c r="J443" s="0" t="s">
        <v>627</v>
      </c>
      <c r="K443" s="475" t="n">
        <f aca="false">'Basis Options'!G448</f>
        <v>36831</v>
      </c>
      <c r="L443" s="254" t="e">
        <f aca="false">'Basis Options'!U448</f>
        <v>#NAME?</v>
      </c>
      <c r="M443" s="475" t="n">
        <f aca="false">'Basis Options'!Q448</f>
        <v>36829</v>
      </c>
      <c r="N443" s="0" t="str">
        <f aca="false">'Basis Options'!F448</f>
        <v>C</v>
      </c>
      <c r="O443" s="0" t="n">
        <f aca="false">'Basis Options'!I448</f>
        <v>-0.1</v>
      </c>
      <c r="P443" s="0" t="n">
        <v>0</v>
      </c>
      <c r="Q443" s="0" t="n">
        <v>0</v>
      </c>
      <c r="R443" s="0" t="n">
        <v>0</v>
      </c>
      <c r="S443" s="0" t="n">
        <v>0</v>
      </c>
      <c r="T443" s="0" t="s">
        <v>624</v>
      </c>
      <c r="U443" s="0" t="str">
        <f aca="false">IF('Basis Options'!D448="NGI/CHI. GATE","""NGI/CHI. GATE""",TRIM('Basis Options'!D448))</f>
        <v>IF-NWPL_ROCKY_M</v>
      </c>
      <c r="V443" s="0" t="s">
        <v>624</v>
      </c>
      <c r="W443" s="0" t="s">
        <v>569</v>
      </c>
      <c r="X443" s="0" t="s">
        <v>624</v>
      </c>
      <c r="Y443" s="0" t="s">
        <v>627</v>
      </c>
      <c r="Z443" s="0" t="s">
        <v>629</v>
      </c>
      <c r="AA443" s="0" t="s">
        <v>624</v>
      </c>
      <c r="AB443" s="0" t="s">
        <v>132</v>
      </c>
      <c r="AC443" s="254" t="n">
        <f aca="false">'Basis Options'!H448</f>
        <v>300000</v>
      </c>
      <c r="AD443" s="254" t="e">
        <f aca="false">'Basis Options'!W448</f>
        <v>#NAME?</v>
      </c>
      <c r="AE443" s="0" t="n">
        <v>0</v>
      </c>
      <c r="AF443" s="0" t="n">
        <v>0</v>
      </c>
      <c r="AG443" s="0" t="n">
        <v>0</v>
      </c>
      <c r="AH443" s="254" t="e">
        <f aca="false">'Basis Options'!CD448</f>
        <v>#NAME?</v>
      </c>
      <c r="AI443" s="0" t="n">
        <v>226</v>
      </c>
      <c r="AJ443" s="0" t="s">
        <v>630</v>
      </c>
      <c r="AK443" s="0" t="n">
        <v>0</v>
      </c>
      <c r="AL443" s="0" t="n">
        <v>0</v>
      </c>
      <c r="AM443" s="0" t="n">
        <v>0</v>
      </c>
    </row>
    <row r="444" customFormat="false" ht="12.75" hidden="false" customHeight="false" outlineLevel="0" collapsed="false">
      <c r="A444" s="0" t="s">
        <v>621</v>
      </c>
      <c r="B444" s="0" t="str">
        <f aca="false">'Basis Options'!C449</f>
        <v>NP3241</v>
      </c>
      <c r="C444" s="0" t="s">
        <v>622</v>
      </c>
      <c r="D444" s="0" t="s">
        <v>623</v>
      </c>
      <c r="E444" s="0" t="s">
        <v>131</v>
      </c>
      <c r="F444" s="0" t="str">
        <f aca="false">'Basis Options'!A449</f>
        <v>DUKEENETRA</v>
      </c>
      <c r="G444" s="0" t="s">
        <v>628</v>
      </c>
      <c r="H444" s="0" t="s">
        <v>625</v>
      </c>
      <c r="I444" s="0" t="s">
        <v>626</v>
      </c>
      <c r="J444" s="0" t="s">
        <v>627</v>
      </c>
      <c r="K444" s="475" t="n">
        <f aca="false">'Basis Options'!G449</f>
        <v>36951</v>
      </c>
      <c r="L444" s="254" t="e">
        <f aca="false">'Basis Options'!U449</f>
        <v>#NAME?</v>
      </c>
      <c r="M444" s="475" t="n">
        <f aca="false">'Basis Options'!Q449</f>
        <v>36949</v>
      </c>
      <c r="N444" s="0" t="str">
        <f aca="false">'Basis Options'!F449</f>
        <v>C</v>
      </c>
      <c r="O444" s="0" t="n">
        <f aca="false">'Basis Options'!I449</f>
        <v>0.2</v>
      </c>
      <c r="P444" s="0" t="n">
        <v>0</v>
      </c>
      <c r="Q444" s="0" t="n">
        <v>0</v>
      </c>
      <c r="R444" s="0" t="n">
        <v>0</v>
      </c>
      <c r="S444" s="0" t="n">
        <v>0</v>
      </c>
      <c r="T444" s="0" t="s">
        <v>624</v>
      </c>
      <c r="U444" s="0" t="str">
        <f aca="false">IF('Basis Options'!D449="NGI/CHI. GATE","""NGI/CHI. GATE""",TRIM('Basis Options'!D449))</f>
        <v>NGI-SOCAL</v>
      </c>
      <c r="V444" s="0" t="s">
        <v>624</v>
      </c>
      <c r="W444" s="0" t="s">
        <v>569</v>
      </c>
      <c r="X444" s="0" t="s">
        <v>624</v>
      </c>
      <c r="Y444" s="0" t="s">
        <v>627</v>
      </c>
      <c r="Z444" s="0" t="s">
        <v>629</v>
      </c>
      <c r="AA444" s="0" t="s">
        <v>624</v>
      </c>
      <c r="AB444" s="0" t="s">
        <v>132</v>
      </c>
      <c r="AC444" s="254" t="n">
        <f aca="false">'Basis Options'!H449</f>
        <v>155000</v>
      </c>
      <c r="AD444" s="254" t="e">
        <f aca="false">'Basis Options'!W449</f>
        <v>#NAME?</v>
      </c>
      <c r="AE444" s="0" t="n">
        <v>0</v>
      </c>
      <c r="AF444" s="0" t="n">
        <v>0</v>
      </c>
      <c r="AG444" s="0" t="n">
        <v>0</v>
      </c>
      <c r="AH444" s="254" t="e">
        <f aca="false">'Basis Options'!CD449</f>
        <v>#NAME?</v>
      </c>
      <c r="AI444" s="0" t="n">
        <v>226</v>
      </c>
      <c r="AJ444" s="0" t="s">
        <v>630</v>
      </c>
      <c r="AK444" s="0" t="n">
        <v>0</v>
      </c>
      <c r="AL444" s="0" t="n">
        <v>0</v>
      </c>
      <c r="AM444" s="0" t="n">
        <v>0</v>
      </c>
    </row>
    <row r="445" customFormat="false" ht="12.75" hidden="false" customHeight="false" outlineLevel="0" collapsed="false">
      <c r="A445" s="0" t="s">
        <v>621</v>
      </c>
      <c r="B445" s="0" t="str">
        <f aca="false">'Basis Options'!C450</f>
        <v>NP3241</v>
      </c>
      <c r="C445" s="0" t="s">
        <v>622</v>
      </c>
      <c r="D445" s="0" t="s">
        <v>623</v>
      </c>
      <c r="E445" s="0" t="s">
        <v>131</v>
      </c>
      <c r="F445" s="0" t="str">
        <f aca="false">'Basis Options'!A450</f>
        <v>DUKEENETRA</v>
      </c>
      <c r="G445" s="0" t="s">
        <v>628</v>
      </c>
      <c r="H445" s="0" t="s">
        <v>625</v>
      </c>
      <c r="I445" s="0" t="s">
        <v>626</v>
      </c>
      <c r="J445" s="0" t="s">
        <v>627</v>
      </c>
      <c r="K445" s="475" t="n">
        <f aca="false">'Basis Options'!G450</f>
        <v>36923</v>
      </c>
      <c r="L445" s="254" t="e">
        <f aca="false">'Basis Options'!U450</f>
        <v>#NAME?</v>
      </c>
      <c r="M445" s="475" t="n">
        <f aca="false">'Basis Options'!Q450</f>
        <v>36921</v>
      </c>
      <c r="N445" s="0" t="str">
        <f aca="false">'Basis Options'!F450</f>
        <v>C</v>
      </c>
      <c r="O445" s="0" t="n">
        <f aca="false">'Basis Options'!I450</f>
        <v>0.2</v>
      </c>
      <c r="P445" s="0" t="n">
        <v>0</v>
      </c>
      <c r="Q445" s="0" t="n">
        <v>0</v>
      </c>
      <c r="R445" s="0" t="n">
        <v>0</v>
      </c>
      <c r="S445" s="0" t="n">
        <v>0</v>
      </c>
      <c r="T445" s="0" t="s">
        <v>624</v>
      </c>
      <c r="U445" s="0" t="str">
        <f aca="false">IF('Basis Options'!D450="NGI/CHI. GATE","""NGI/CHI. GATE""",TRIM('Basis Options'!D450))</f>
        <v>NGI-SOCAL</v>
      </c>
      <c r="V445" s="0" t="s">
        <v>624</v>
      </c>
      <c r="W445" s="0" t="s">
        <v>569</v>
      </c>
      <c r="X445" s="0" t="s">
        <v>624</v>
      </c>
      <c r="Y445" s="0" t="s">
        <v>627</v>
      </c>
      <c r="Z445" s="0" t="s">
        <v>629</v>
      </c>
      <c r="AA445" s="0" t="s">
        <v>624</v>
      </c>
      <c r="AB445" s="0" t="s">
        <v>132</v>
      </c>
      <c r="AC445" s="254" t="n">
        <f aca="false">'Basis Options'!H450</f>
        <v>140000</v>
      </c>
      <c r="AD445" s="254" t="e">
        <f aca="false">'Basis Options'!W450</f>
        <v>#NAME?</v>
      </c>
      <c r="AE445" s="0" t="n">
        <v>0</v>
      </c>
      <c r="AF445" s="0" t="n">
        <v>0</v>
      </c>
      <c r="AG445" s="0" t="n">
        <v>0</v>
      </c>
      <c r="AH445" s="254" t="e">
        <f aca="false">'Basis Options'!CD450</f>
        <v>#NAME?</v>
      </c>
      <c r="AI445" s="0" t="n">
        <v>226</v>
      </c>
      <c r="AJ445" s="0" t="s">
        <v>630</v>
      </c>
      <c r="AK445" s="0" t="n">
        <v>0</v>
      </c>
      <c r="AL445" s="0" t="n">
        <v>0</v>
      </c>
      <c r="AM445" s="0" t="n">
        <v>0</v>
      </c>
    </row>
    <row r="446" customFormat="false" ht="12.75" hidden="false" customHeight="false" outlineLevel="0" collapsed="false">
      <c r="A446" s="0" t="s">
        <v>621</v>
      </c>
      <c r="B446" s="0" t="str">
        <f aca="false">'Basis Options'!C451</f>
        <v>NP3241</v>
      </c>
      <c r="C446" s="0" t="s">
        <v>622</v>
      </c>
      <c r="D446" s="0" t="s">
        <v>623</v>
      </c>
      <c r="E446" s="0" t="s">
        <v>131</v>
      </c>
      <c r="F446" s="0" t="str">
        <f aca="false">'Basis Options'!A451</f>
        <v>DUKEENETRA</v>
      </c>
      <c r="G446" s="0" t="s">
        <v>628</v>
      </c>
      <c r="H446" s="0" t="s">
        <v>625</v>
      </c>
      <c r="I446" s="0" t="s">
        <v>626</v>
      </c>
      <c r="J446" s="0" t="s">
        <v>627</v>
      </c>
      <c r="K446" s="475" t="n">
        <f aca="false">'Basis Options'!G451</f>
        <v>36892</v>
      </c>
      <c r="L446" s="254" t="e">
        <f aca="false">'Basis Options'!U451</f>
        <v>#NAME?</v>
      </c>
      <c r="M446" s="475" t="n">
        <f aca="false">'Basis Options'!Q451</f>
        <v>36888</v>
      </c>
      <c r="N446" s="0" t="str">
        <f aca="false">'Basis Options'!F451</f>
        <v>C</v>
      </c>
      <c r="O446" s="0" t="n">
        <f aca="false">'Basis Options'!I451</f>
        <v>0.2</v>
      </c>
      <c r="P446" s="0" t="n">
        <v>0</v>
      </c>
      <c r="Q446" s="0" t="n">
        <v>0</v>
      </c>
      <c r="R446" s="0" t="n">
        <v>0</v>
      </c>
      <c r="S446" s="0" t="n">
        <v>0</v>
      </c>
      <c r="T446" s="0" t="s">
        <v>624</v>
      </c>
      <c r="U446" s="0" t="str">
        <f aca="false">IF('Basis Options'!D451="NGI/CHI. GATE","""NGI/CHI. GATE""",TRIM('Basis Options'!D451))</f>
        <v>NGI-SOCAL</v>
      </c>
      <c r="V446" s="0" t="s">
        <v>624</v>
      </c>
      <c r="W446" s="0" t="s">
        <v>569</v>
      </c>
      <c r="X446" s="0" t="s">
        <v>624</v>
      </c>
      <c r="Y446" s="0" t="s">
        <v>627</v>
      </c>
      <c r="Z446" s="0" t="s">
        <v>629</v>
      </c>
      <c r="AA446" s="0" t="s">
        <v>624</v>
      </c>
      <c r="AB446" s="0" t="s">
        <v>132</v>
      </c>
      <c r="AC446" s="254" t="n">
        <f aca="false">'Basis Options'!H451</f>
        <v>155000</v>
      </c>
      <c r="AD446" s="254" t="e">
        <f aca="false">'Basis Options'!W451</f>
        <v>#NAME?</v>
      </c>
      <c r="AE446" s="0" t="n">
        <v>0</v>
      </c>
      <c r="AF446" s="0" t="n">
        <v>0</v>
      </c>
      <c r="AG446" s="0" t="n">
        <v>0</v>
      </c>
      <c r="AH446" s="254" t="e">
        <f aca="false">'Basis Options'!CD451</f>
        <v>#NAME?</v>
      </c>
      <c r="AI446" s="0" t="n">
        <v>226</v>
      </c>
      <c r="AJ446" s="0" t="s">
        <v>630</v>
      </c>
      <c r="AK446" s="0" t="n">
        <v>0</v>
      </c>
      <c r="AL446" s="0" t="n">
        <v>0</v>
      </c>
      <c r="AM446" s="0" t="n">
        <v>0</v>
      </c>
    </row>
    <row r="447" customFormat="false" ht="12.75" hidden="false" customHeight="false" outlineLevel="0" collapsed="false">
      <c r="A447" s="0" t="s">
        <v>621</v>
      </c>
      <c r="B447" s="0" t="str">
        <f aca="false">'Basis Options'!C452</f>
        <v>NP3241</v>
      </c>
      <c r="C447" s="0" t="s">
        <v>622</v>
      </c>
      <c r="D447" s="0" t="s">
        <v>623</v>
      </c>
      <c r="E447" s="0" t="s">
        <v>131</v>
      </c>
      <c r="F447" s="0" t="str">
        <f aca="false">'Basis Options'!A452</f>
        <v>DUKEENETRA</v>
      </c>
      <c r="G447" s="0" t="s">
        <v>628</v>
      </c>
      <c r="H447" s="0" t="s">
        <v>625</v>
      </c>
      <c r="I447" s="0" t="s">
        <v>626</v>
      </c>
      <c r="J447" s="0" t="s">
        <v>627</v>
      </c>
      <c r="K447" s="475" t="n">
        <f aca="false">'Basis Options'!G452</f>
        <v>36861</v>
      </c>
      <c r="L447" s="254" t="e">
        <f aca="false">'Basis Options'!U452</f>
        <v>#NAME?</v>
      </c>
      <c r="M447" s="475" t="n">
        <f aca="false">'Basis Options'!Q452</f>
        <v>36859</v>
      </c>
      <c r="N447" s="0" t="str">
        <f aca="false">'Basis Options'!F452</f>
        <v>C</v>
      </c>
      <c r="O447" s="0" t="n">
        <f aca="false">'Basis Options'!I452</f>
        <v>0.2</v>
      </c>
      <c r="P447" s="0" t="n">
        <v>0</v>
      </c>
      <c r="Q447" s="0" t="n">
        <v>0</v>
      </c>
      <c r="R447" s="0" t="n">
        <v>0</v>
      </c>
      <c r="S447" s="0" t="n">
        <v>0</v>
      </c>
      <c r="T447" s="0" t="s">
        <v>624</v>
      </c>
      <c r="U447" s="0" t="str">
        <f aca="false">IF('Basis Options'!D452="NGI/CHI. GATE","""NGI/CHI. GATE""",TRIM('Basis Options'!D452))</f>
        <v>NGI-SOCAL</v>
      </c>
      <c r="V447" s="0" t="s">
        <v>624</v>
      </c>
      <c r="W447" s="0" t="s">
        <v>569</v>
      </c>
      <c r="X447" s="0" t="s">
        <v>624</v>
      </c>
      <c r="Y447" s="0" t="s">
        <v>627</v>
      </c>
      <c r="Z447" s="0" t="s">
        <v>629</v>
      </c>
      <c r="AA447" s="0" t="s">
        <v>624</v>
      </c>
      <c r="AB447" s="0" t="s">
        <v>132</v>
      </c>
      <c r="AC447" s="254" t="n">
        <f aca="false">'Basis Options'!H452</f>
        <v>155000</v>
      </c>
      <c r="AD447" s="254" t="e">
        <f aca="false">'Basis Options'!W452</f>
        <v>#NAME?</v>
      </c>
      <c r="AE447" s="0" t="n">
        <v>0</v>
      </c>
      <c r="AF447" s="0" t="n">
        <v>0</v>
      </c>
      <c r="AG447" s="0" t="n">
        <v>0</v>
      </c>
      <c r="AH447" s="254" t="e">
        <f aca="false">'Basis Options'!CD452</f>
        <v>#NAME?</v>
      </c>
      <c r="AI447" s="0" t="n">
        <v>226</v>
      </c>
      <c r="AJ447" s="0" t="s">
        <v>630</v>
      </c>
      <c r="AK447" s="0" t="n">
        <v>0</v>
      </c>
      <c r="AL447" s="0" t="n">
        <v>0</v>
      </c>
      <c r="AM447" s="0" t="n">
        <v>0</v>
      </c>
    </row>
    <row r="448" customFormat="false" ht="12.75" hidden="false" customHeight="false" outlineLevel="0" collapsed="false">
      <c r="A448" s="0" t="s">
        <v>621</v>
      </c>
      <c r="B448" s="0" t="str">
        <f aca="false">'Basis Options'!C453</f>
        <v>NP3241</v>
      </c>
      <c r="C448" s="0" t="s">
        <v>622</v>
      </c>
      <c r="D448" s="0" t="s">
        <v>623</v>
      </c>
      <c r="E448" s="0" t="s">
        <v>131</v>
      </c>
      <c r="F448" s="0" t="str">
        <f aca="false">'Basis Options'!A453</f>
        <v>DUKEENETRA</v>
      </c>
      <c r="G448" s="0" t="s">
        <v>628</v>
      </c>
      <c r="H448" s="0" t="s">
        <v>625</v>
      </c>
      <c r="I448" s="0" t="s">
        <v>626</v>
      </c>
      <c r="J448" s="0" t="s">
        <v>627</v>
      </c>
      <c r="K448" s="475" t="n">
        <f aca="false">'Basis Options'!G453</f>
        <v>36831</v>
      </c>
      <c r="L448" s="254" t="e">
        <f aca="false">'Basis Options'!U453</f>
        <v>#NAME?</v>
      </c>
      <c r="M448" s="475" t="n">
        <f aca="false">'Basis Options'!Q453</f>
        <v>36829</v>
      </c>
      <c r="N448" s="0" t="str">
        <f aca="false">'Basis Options'!F453</f>
        <v>C</v>
      </c>
      <c r="O448" s="0" t="n">
        <f aca="false">'Basis Options'!I453</f>
        <v>0.2</v>
      </c>
      <c r="P448" s="0" t="n">
        <v>0</v>
      </c>
      <c r="Q448" s="0" t="n">
        <v>0</v>
      </c>
      <c r="R448" s="0" t="n">
        <v>0</v>
      </c>
      <c r="S448" s="0" t="n">
        <v>0</v>
      </c>
      <c r="T448" s="0" t="s">
        <v>624</v>
      </c>
      <c r="U448" s="0" t="str">
        <f aca="false">IF('Basis Options'!D453="NGI/CHI. GATE","""NGI/CHI. GATE""",TRIM('Basis Options'!D453))</f>
        <v>NGI-SOCAL</v>
      </c>
      <c r="V448" s="0" t="s">
        <v>624</v>
      </c>
      <c r="W448" s="0" t="s">
        <v>569</v>
      </c>
      <c r="X448" s="0" t="s">
        <v>624</v>
      </c>
      <c r="Y448" s="0" t="s">
        <v>627</v>
      </c>
      <c r="Z448" s="0" t="s">
        <v>629</v>
      </c>
      <c r="AA448" s="0" t="s">
        <v>624</v>
      </c>
      <c r="AB448" s="0" t="s">
        <v>132</v>
      </c>
      <c r="AC448" s="254" t="n">
        <f aca="false">'Basis Options'!H453</f>
        <v>150000</v>
      </c>
      <c r="AD448" s="254" t="e">
        <f aca="false">'Basis Options'!W453</f>
        <v>#NAME?</v>
      </c>
      <c r="AE448" s="0" t="n">
        <v>0</v>
      </c>
      <c r="AF448" s="0" t="n">
        <v>0</v>
      </c>
      <c r="AG448" s="0" t="n">
        <v>0</v>
      </c>
      <c r="AH448" s="254" t="e">
        <f aca="false">'Basis Options'!CD453</f>
        <v>#NAME?</v>
      </c>
      <c r="AI448" s="0" t="n">
        <v>226</v>
      </c>
      <c r="AJ448" s="0" t="s">
        <v>630</v>
      </c>
      <c r="AK448" s="0" t="n">
        <v>0</v>
      </c>
      <c r="AL448" s="0" t="n">
        <v>0</v>
      </c>
      <c r="AM448" s="0" t="n">
        <v>0</v>
      </c>
    </row>
    <row r="449" customFormat="false" ht="12.75" hidden="false" customHeight="false" outlineLevel="0" collapsed="false">
      <c r="A449" s="0" t="s">
        <v>621</v>
      </c>
      <c r="B449" s="0" t="str">
        <f aca="false">'Basis Options'!C454</f>
        <v>NP6690</v>
      </c>
      <c r="C449" s="0" t="s">
        <v>622</v>
      </c>
      <c r="D449" s="0" t="s">
        <v>623</v>
      </c>
      <c r="E449" s="0" t="s">
        <v>131</v>
      </c>
      <c r="F449" s="0" t="str">
        <f aca="false">'Basis Options'!A454</f>
        <v>AEPENESER</v>
      </c>
      <c r="G449" s="0" t="s">
        <v>628</v>
      </c>
      <c r="H449" s="0" t="s">
        <v>625</v>
      </c>
      <c r="I449" s="0" t="s">
        <v>626</v>
      </c>
      <c r="J449" s="0" t="s">
        <v>627</v>
      </c>
      <c r="K449" s="475" t="n">
        <f aca="false">'Basis Options'!G454</f>
        <v>36951</v>
      </c>
      <c r="L449" s="254" t="e">
        <f aca="false">'Basis Options'!U454</f>
        <v>#NAME?</v>
      </c>
      <c r="M449" s="475" t="n">
        <f aca="false">'Basis Options'!Q454</f>
        <v>36949</v>
      </c>
      <c r="N449" s="0" t="str">
        <f aca="false">'Basis Options'!F454</f>
        <v>P</v>
      </c>
      <c r="O449" s="0" t="n">
        <f aca="false">'Basis Options'!I454</f>
        <v>0.95</v>
      </c>
      <c r="P449" s="0" t="n">
        <v>0</v>
      </c>
      <c r="Q449" s="0" t="n">
        <v>0</v>
      </c>
      <c r="R449" s="0" t="n">
        <v>0</v>
      </c>
      <c r="S449" s="0" t="n">
        <v>0</v>
      </c>
      <c r="T449" s="0" t="s">
        <v>624</v>
      </c>
      <c r="U449" s="0" t="str">
        <f aca="false">IF('Basis Options'!D454="NGI/CHI. GATE","""NGI/CHI. GATE""",TRIM('Basis Options'!D454))</f>
        <v>IF-TRANSCO/Z6</v>
      </c>
      <c r="V449" s="0" t="s">
        <v>624</v>
      </c>
      <c r="W449" s="0" t="s">
        <v>569</v>
      </c>
      <c r="X449" s="0" t="s">
        <v>624</v>
      </c>
      <c r="Y449" s="0" t="s">
        <v>627</v>
      </c>
      <c r="Z449" s="0" t="s">
        <v>629</v>
      </c>
      <c r="AA449" s="0" t="s">
        <v>624</v>
      </c>
      <c r="AB449" s="0" t="s">
        <v>132</v>
      </c>
      <c r="AC449" s="254" t="n">
        <f aca="false">'Basis Options'!H454</f>
        <v>500000</v>
      </c>
      <c r="AD449" s="254" t="e">
        <f aca="false">'Basis Options'!W454</f>
        <v>#NAME?</v>
      </c>
      <c r="AE449" s="0" t="n">
        <v>0</v>
      </c>
      <c r="AF449" s="0" t="n">
        <v>0</v>
      </c>
      <c r="AG449" s="0" t="n">
        <v>0</v>
      </c>
      <c r="AH449" s="254" t="e">
        <f aca="false">'Basis Options'!CD454</f>
        <v>#NAME?</v>
      </c>
      <c r="AI449" s="0" t="n">
        <v>226</v>
      </c>
      <c r="AJ449" s="0" t="s">
        <v>630</v>
      </c>
      <c r="AK449" s="0" t="n">
        <v>0</v>
      </c>
      <c r="AL449" s="0" t="n">
        <v>0</v>
      </c>
      <c r="AM449" s="0" t="n">
        <v>0</v>
      </c>
    </row>
    <row r="450" customFormat="false" ht="12.75" hidden="false" customHeight="false" outlineLevel="0" collapsed="false">
      <c r="A450" s="0" t="s">
        <v>621</v>
      </c>
      <c r="B450" s="0" t="str">
        <f aca="false">'Basis Options'!C455</f>
        <v>NP6690</v>
      </c>
      <c r="C450" s="0" t="s">
        <v>622</v>
      </c>
      <c r="D450" s="0" t="s">
        <v>623</v>
      </c>
      <c r="E450" s="0" t="s">
        <v>131</v>
      </c>
      <c r="F450" s="0" t="str">
        <f aca="false">'Basis Options'!A455</f>
        <v>AEPENESER</v>
      </c>
      <c r="G450" s="0" t="s">
        <v>628</v>
      </c>
      <c r="H450" s="0" t="s">
        <v>625</v>
      </c>
      <c r="I450" s="0" t="s">
        <v>626</v>
      </c>
      <c r="J450" s="0" t="s">
        <v>627</v>
      </c>
      <c r="K450" s="475" t="n">
        <f aca="false">'Basis Options'!G455</f>
        <v>36923</v>
      </c>
      <c r="L450" s="254" t="e">
        <f aca="false">'Basis Options'!U455</f>
        <v>#NAME?</v>
      </c>
      <c r="M450" s="475" t="n">
        <f aca="false">'Basis Options'!Q455</f>
        <v>36921</v>
      </c>
      <c r="N450" s="0" t="str">
        <f aca="false">'Basis Options'!F455</f>
        <v>P</v>
      </c>
      <c r="O450" s="0" t="n">
        <f aca="false">'Basis Options'!I455</f>
        <v>0.95</v>
      </c>
      <c r="P450" s="0" t="n">
        <v>0</v>
      </c>
      <c r="Q450" s="0" t="n">
        <v>0</v>
      </c>
      <c r="R450" s="0" t="n">
        <v>0</v>
      </c>
      <c r="S450" s="0" t="n">
        <v>0</v>
      </c>
      <c r="T450" s="0" t="s">
        <v>624</v>
      </c>
      <c r="U450" s="0" t="str">
        <f aca="false">IF('Basis Options'!D455="NGI/CHI. GATE","""NGI/CHI. GATE""",TRIM('Basis Options'!D455))</f>
        <v>IF-TRANSCO/Z6</v>
      </c>
      <c r="V450" s="0" t="s">
        <v>624</v>
      </c>
      <c r="W450" s="0" t="s">
        <v>569</v>
      </c>
      <c r="X450" s="0" t="s">
        <v>624</v>
      </c>
      <c r="Y450" s="0" t="s">
        <v>627</v>
      </c>
      <c r="Z450" s="0" t="s">
        <v>629</v>
      </c>
      <c r="AA450" s="0" t="s">
        <v>624</v>
      </c>
      <c r="AB450" s="0" t="s">
        <v>132</v>
      </c>
      <c r="AC450" s="254" t="n">
        <f aca="false">'Basis Options'!H455</f>
        <v>500000</v>
      </c>
      <c r="AD450" s="254" t="e">
        <f aca="false">'Basis Options'!W455</f>
        <v>#NAME?</v>
      </c>
      <c r="AE450" s="0" t="n">
        <v>0</v>
      </c>
      <c r="AF450" s="0" t="n">
        <v>0</v>
      </c>
      <c r="AG450" s="0" t="n">
        <v>0</v>
      </c>
      <c r="AH450" s="254" t="e">
        <f aca="false">'Basis Options'!CD455</f>
        <v>#NAME?</v>
      </c>
      <c r="AI450" s="0" t="n">
        <v>226</v>
      </c>
      <c r="AJ450" s="0" t="s">
        <v>630</v>
      </c>
      <c r="AK450" s="0" t="n">
        <v>0</v>
      </c>
      <c r="AL450" s="0" t="n">
        <v>0</v>
      </c>
      <c r="AM450" s="0" t="n">
        <v>0</v>
      </c>
    </row>
    <row r="451" customFormat="false" ht="12.75" hidden="false" customHeight="false" outlineLevel="0" collapsed="false">
      <c r="A451" s="0" t="s">
        <v>621</v>
      </c>
      <c r="B451" s="0" t="str">
        <f aca="false">'Basis Options'!C456</f>
        <v>NP6690</v>
      </c>
      <c r="C451" s="0" t="s">
        <v>622</v>
      </c>
      <c r="D451" s="0" t="s">
        <v>623</v>
      </c>
      <c r="E451" s="0" t="s">
        <v>131</v>
      </c>
      <c r="F451" s="0" t="str">
        <f aca="false">'Basis Options'!A456</f>
        <v>AEPENESER</v>
      </c>
      <c r="G451" s="0" t="s">
        <v>628</v>
      </c>
      <c r="H451" s="0" t="s">
        <v>625</v>
      </c>
      <c r="I451" s="0" t="s">
        <v>626</v>
      </c>
      <c r="J451" s="0" t="s">
        <v>627</v>
      </c>
      <c r="K451" s="475" t="n">
        <f aca="false">'Basis Options'!G456</f>
        <v>36892</v>
      </c>
      <c r="L451" s="254" t="e">
        <f aca="false">'Basis Options'!U456</f>
        <v>#NAME?</v>
      </c>
      <c r="M451" s="475" t="n">
        <f aca="false">'Basis Options'!Q456</f>
        <v>36888</v>
      </c>
      <c r="N451" s="0" t="str">
        <f aca="false">'Basis Options'!F456</f>
        <v>P</v>
      </c>
      <c r="O451" s="0" t="n">
        <f aca="false">'Basis Options'!I456</f>
        <v>0.95</v>
      </c>
      <c r="P451" s="0" t="n">
        <v>0</v>
      </c>
      <c r="Q451" s="0" t="n">
        <v>0</v>
      </c>
      <c r="R451" s="0" t="n">
        <v>0</v>
      </c>
      <c r="S451" s="0" t="n">
        <v>0</v>
      </c>
      <c r="T451" s="0" t="s">
        <v>624</v>
      </c>
      <c r="U451" s="0" t="str">
        <f aca="false">IF('Basis Options'!D456="NGI/CHI. GATE","""NGI/CHI. GATE""",TRIM('Basis Options'!D456))</f>
        <v>IF-TRANSCO/Z6</v>
      </c>
      <c r="V451" s="0" t="s">
        <v>624</v>
      </c>
      <c r="W451" s="0" t="s">
        <v>569</v>
      </c>
      <c r="X451" s="0" t="s">
        <v>624</v>
      </c>
      <c r="Y451" s="0" t="s">
        <v>627</v>
      </c>
      <c r="Z451" s="0" t="s">
        <v>629</v>
      </c>
      <c r="AA451" s="0" t="s">
        <v>624</v>
      </c>
      <c r="AB451" s="0" t="s">
        <v>132</v>
      </c>
      <c r="AC451" s="254" t="n">
        <f aca="false">'Basis Options'!H456</f>
        <v>500000</v>
      </c>
      <c r="AD451" s="254" t="e">
        <f aca="false">'Basis Options'!W456</f>
        <v>#NAME?</v>
      </c>
      <c r="AE451" s="0" t="n">
        <v>0</v>
      </c>
      <c r="AF451" s="0" t="n">
        <v>0</v>
      </c>
      <c r="AG451" s="0" t="n">
        <v>0</v>
      </c>
      <c r="AH451" s="254" t="e">
        <f aca="false">'Basis Options'!CD456</f>
        <v>#NAME?</v>
      </c>
      <c r="AI451" s="0" t="n">
        <v>226</v>
      </c>
      <c r="AJ451" s="0" t="s">
        <v>630</v>
      </c>
      <c r="AK451" s="0" t="n">
        <v>0</v>
      </c>
      <c r="AL451" s="0" t="n">
        <v>0</v>
      </c>
      <c r="AM451" s="0" t="n">
        <v>0</v>
      </c>
    </row>
    <row r="452" customFormat="false" ht="12.75" hidden="false" customHeight="false" outlineLevel="0" collapsed="false">
      <c r="A452" s="0" t="s">
        <v>621</v>
      </c>
      <c r="B452" s="0" t="str">
        <f aca="false">'Basis Options'!C457</f>
        <v>NP6690</v>
      </c>
      <c r="C452" s="0" t="s">
        <v>622</v>
      </c>
      <c r="D452" s="0" t="s">
        <v>623</v>
      </c>
      <c r="E452" s="0" t="s">
        <v>131</v>
      </c>
      <c r="F452" s="0" t="str">
        <f aca="false">'Basis Options'!A457</f>
        <v>AEPENESER</v>
      </c>
      <c r="G452" s="0" t="s">
        <v>628</v>
      </c>
      <c r="H452" s="0" t="s">
        <v>625</v>
      </c>
      <c r="I452" s="0" t="s">
        <v>626</v>
      </c>
      <c r="J452" s="0" t="s">
        <v>627</v>
      </c>
      <c r="K452" s="475" t="n">
        <f aca="false">'Basis Options'!G457</f>
        <v>36861</v>
      </c>
      <c r="L452" s="254" t="e">
        <f aca="false">'Basis Options'!U457</f>
        <v>#NAME?</v>
      </c>
      <c r="M452" s="475" t="n">
        <f aca="false">'Basis Options'!Q457</f>
        <v>36859</v>
      </c>
      <c r="N452" s="0" t="str">
        <f aca="false">'Basis Options'!F457</f>
        <v>P</v>
      </c>
      <c r="O452" s="0" t="n">
        <f aca="false">'Basis Options'!I457</f>
        <v>0.95</v>
      </c>
      <c r="P452" s="0" t="n">
        <v>0</v>
      </c>
      <c r="Q452" s="0" t="n">
        <v>0</v>
      </c>
      <c r="R452" s="0" t="n">
        <v>0</v>
      </c>
      <c r="S452" s="0" t="n">
        <v>0</v>
      </c>
      <c r="T452" s="0" t="s">
        <v>624</v>
      </c>
      <c r="U452" s="0" t="str">
        <f aca="false">IF('Basis Options'!D457="NGI/CHI. GATE","""NGI/CHI. GATE""",TRIM('Basis Options'!D457))</f>
        <v>IF-TRANSCO/Z6</v>
      </c>
      <c r="V452" s="0" t="s">
        <v>624</v>
      </c>
      <c r="W452" s="0" t="s">
        <v>569</v>
      </c>
      <c r="X452" s="0" t="s">
        <v>624</v>
      </c>
      <c r="Y452" s="0" t="s">
        <v>627</v>
      </c>
      <c r="Z452" s="0" t="s">
        <v>629</v>
      </c>
      <c r="AA452" s="0" t="s">
        <v>624</v>
      </c>
      <c r="AB452" s="0" t="s">
        <v>132</v>
      </c>
      <c r="AC452" s="254" t="n">
        <f aca="false">'Basis Options'!H457</f>
        <v>500000</v>
      </c>
      <c r="AD452" s="254" t="e">
        <f aca="false">'Basis Options'!W457</f>
        <v>#NAME?</v>
      </c>
      <c r="AE452" s="0" t="n">
        <v>0</v>
      </c>
      <c r="AF452" s="0" t="n">
        <v>0</v>
      </c>
      <c r="AG452" s="0" t="n">
        <v>0</v>
      </c>
      <c r="AH452" s="254" t="e">
        <f aca="false">'Basis Options'!CD457</f>
        <v>#NAME?</v>
      </c>
      <c r="AI452" s="0" t="n">
        <v>226</v>
      </c>
      <c r="AJ452" s="0" t="s">
        <v>630</v>
      </c>
      <c r="AK452" s="0" t="n">
        <v>0</v>
      </c>
      <c r="AL452" s="0" t="n">
        <v>0</v>
      </c>
      <c r="AM452" s="0" t="n">
        <v>0</v>
      </c>
    </row>
    <row r="453" customFormat="false" ht="12.75" hidden="false" customHeight="false" outlineLevel="0" collapsed="false">
      <c r="A453" s="0" t="s">
        <v>621</v>
      </c>
      <c r="B453" s="0" t="str">
        <f aca="false">'Basis Options'!C458</f>
        <v>NP6690</v>
      </c>
      <c r="C453" s="0" t="s">
        <v>622</v>
      </c>
      <c r="D453" s="0" t="s">
        <v>623</v>
      </c>
      <c r="E453" s="0" t="s">
        <v>131</v>
      </c>
      <c r="F453" s="0" t="str">
        <f aca="false">'Basis Options'!A458</f>
        <v>AEPENESER</v>
      </c>
      <c r="G453" s="0" t="s">
        <v>628</v>
      </c>
      <c r="H453" s="0" t="s">
        <v>625</v>
      </c>
      <c r="I453" s="0" t="s">
        <v>626</v>
      </c>
      <c r="J453" s="0" t="s">
        <v>627</v>
      </c>
      <c r="K453" s="475" t="n">
        <f aca="false">'Basis Options'!G458</f>
        <v>36831</v>
      </c>
      <c r="L453" s="254" t="e">
        <f aca="false">'Basis Options'!U458</f>
        <v>#NAME?</v>
      </c>
      <c r="M453" s="475" t="n">
        <f aca="false">'Basis Options'!Q458</f>
        <v>36829</v>
      </c>
      <c r="N453" s="0" t="str">
        <f aca="false">'Basis Options'!F458</f>
        <v>P</v>
      </c>
      <c r="O453" s="0" t="n">
        <f aca="false">'Basis Options'!I458</f>
        <v>0.95</v>
      </c>
      <c r="P453" s="0" t="n">
        <v>0</v>
      </c>
      <c r="Q453" s="0" t="n">
        <v>0</v>
      </c>
      <c r="R453" s="0" t="n">
        <v>0</v>
      </c>
      <c r="S453" s="0" t="n">
        <v>0</v>
      </c>
      <c r="T453" s="0" t="s">
        <v>624</v>
      </c>
      <c r="U453" s="0" t="str">
        <f aca="false">IF('Basis Options'!D458="NGI/CHI. GATE","""NGI/CHI. GATE""",TRIM('Basis Options'!D458))</f>
        <v>IF-TRANSCO/Z6</v>
      </c>
      <c r="V453" s="0" t="s">
        <v>624</v>
      </c>
      <c r="W453" s="0" t="s">
        <v>569</v>
      </c>
      <c r="X453" s="0" t="s">
        <v>624</v>
      </c>
      <c r="Y453" s="0" t="s">
        <v>627</v>
      </c>
      <c r="Z453" s="0" t="s">
        <v>629</v>
      </c>
      <c r="AA453" s="0" t="s">
        <v>624</v>
      </c>
      <c r="AB453" s="0" t="s">
        <v>132</v>
      </c>
      <c r="AC453" s="254" t="n">
        <f aca="false">'Basis Options'!H458</f>
        <v>500000</v>
      </c>
      <c r="AD453" s="254" t="e">
        <f aca="false">'Basis Options'!W458</f>
        <v>#NAME?</v>
      </c>
      <c r="AE453" s="0" t="n">
        <v>0</v>
      </c>
      <c r="AF453" s="0" t="n">
        <v>0</v>
      </c>
      <c r="AG453" s="0" t="n">
        <v>0</v>
      </c>
      <c r="AH453" s="254" t="e">
        <f aca="false">'Basis Options'!CD458</f>
        <v>#NAME?</v>
      </c>
      <c r="AI453" s="0" t="n">
        <v>226</v>
      </c>
      <c r="AJ453" s="0" t="s">
        <v>630</v>
      </c>
      <c r="AK453" s="0" t="n">
        <v>0</v>
      </c>
      <c r="AL453" s="0" t="n">
        <v>0</v>
      </c>
      <c r="AM453" s="0" t="n">
        <v>0</v>
      </c>
    </row>
    <row r="454" customFormat="false" ht="12.75" hidden="false" customHeight="false" outlineLevel="0" collapsed="false">
      <c r="A454" s="0" t="s">
        <v>621</v>
      </c>
      <c r="B454" s="0" t="str">
        <f aca="false">'Basis Options'!C459</f>
        <v>NP8939.1</v>
      </c>
      <c r="C454" s="0" t="s">
        <v>622</v>
      </c>
      <c r="D454" s="0" t="s">
        <v>623</v>
      </c>
      <c r="E454" s="0" t="s">
        <v>131</v>
      </c>
      <c r="F454" s="0" t="str">
        <f aca="false">'Basis Options'!A459</f>
        <v>WILLIAMSENEMAR</v>
      </c>
      <c r="G454" s="0" t="s">
        <v>628</v>
      </c>
      <c r="H454" s="0" t="s">
        <v>625</v>
      </c>
      <c r="I454" s="0" t="s">
        <v>626</v>
      </c>
      <c r="J454" s="0" t="s">
        <v>627</v>
      </c>
      <c r="K454" s="475" t="n">
        <f aca="false">'Basis Options'!G459</f>
        <v>37316</v>
      </c>
      <c r="L454" s="254" t="e">
        <f aca="false">'Basis Options'!U459</f>
        <v>#NAME?</v>
      </c>
      <c r="M454" s="475" t="n">
        <f aca="false">'Basis Options'!Q459</f>
        <v>37314</v>
      </c>
      <c r="N454" s="0" t="str">
        <f aca="false">'Basis Options'!F459</f>
        <v>P</v>
      </c>
      <c r="O454" s="0" t="n">
        <f aca="false">'Basis Options'!I459</f>
        <v>0.95</v>
      </c>
      <c r="P454" s="0" t="n">
        <v>0</v>
      </c>
      <c r="Q454" s="0" t="n">
        <v>0</v>
      </c>
      <c r="R454" s="0" t="n">
        <v>0</v>
      </c>
      <c r="S454" s="0" t="n">
        <v>0</v>
      </c>
      <c r="T454" s="0" t="s">
        <v>624</v>
      </c>
      <c r="U454" s="0" t="str">
        <f aca="false">IF('Basis Options'!D459="NGI/CHI. GATE","""NGI/CHI. GATE""",TRIM('Basis Options'!D459))</f>
        <v>IF-TRANSCO/Z6</v>
      </c>
      <c r="V454" s="0" t="s">
        <v>624</v>
      </c>
      <c r="W454" s="0" t="s">
        <v>569</v>
      </c>
      <c r="X454" s="0" t="s">
        <v>624</v>
      </c>
      <c r="Y454" s="0" t="s">
        <v>627</v>
      </c>
      <c r="Z454" s="0" t="s">
        <v>629</v>
      </c>
      <c r="AA454" s="0" t="s">
        <v>624</v>
      </c>
      <c r="AB454" s="0" t="s">
        <v>132</v>
      </c>
      <c r="AC454" s="254" t="n">
        <f aca="false">'Basis Options'!H459</f>
        <v>-1000000</v>
      </c>
      <c r="AD454" s="254" t="e">
        <f aca="false">'Basis Options'!W459</f>
        <v>#NAME?</v>
      </c>
      <c r="AE454" s="0" t="n">
        <v>0</v>
      </c>
      <c r="AF454" s="0" t="n">
        <v>0</v>
      </c>
      <c r="AG454" s="0" t="n">
        <v>0</v>
      </c>
      <c r="AH454" s="254" t="e">
        <f aca="false">'Basis Options'!CD459</f>
        <v>#NAME?</v>
      </c>
      <c r="AI454" s="0" t="n">
        <v>226</v>
      </c>
      <c r="AJ454" s="0" t="s">
        <v>630</v>
      </c>
      <c r="AK454" s="0" t="n">
        <v>0</v>
      </c>
      <c r="AL454" s="0" t="n">
        <v>0</v>
      </c>
      <c r="AM454" s="0" t="n">
        <v>0</v>
      </c>
    </row>
    <row r="455" customFormat="false" ht="12.75" hidden="false" customHeight="false" outlineLevel="0" collapsed="false">
      <c r="A455" s="0" t="s">
        <v>621</v>
      </c>
      <c r="B455" s="0" t="str">
        <f aca="false">'Basis Options'!C460</f>
        <v>NP8939.1</v>
      </c>
      <c r="C455" s="0" t="s">
        <v>622</v>
      </c>
      <c r="D455" s="0" t="s">
        <v>623</v>
      </c>
      <c r="E455" s="0" t="s">
        <v>131</v>
      </c>
      <c r="F455" s="0" t="str">
        <f aca="false">'Basis Options'!A460</f>
        <v>WILLIAMSENEMAR</v>
      </c>
      <c r="G455" s="0" t="s">
        <v>628</v>
      </c>
      <c r="H455" s="0" t="s">
        <v>625</v>
      </c>
      <c r="I455" s="0" t="s">
        <v>626</v>
      </c>
      <c r="J455" s="0" t="s">
        <v>627</v>
      </c>
      <c r="K455" s="475" t="n">
        <f aca="false">'Basis Options'!G460</f>
        <v>37288</v>
      </c>
      <c r="L455" s="254" t="e">
        <f aca="false">'Basis Options'!U460</f>
        <v>#NAME?</v>
      </c>
      <c r="M455" s="475" t="n">
        <f aca="false">'Basis Options'!Q460</f>
        <v>37286</v>
      </c>
      <c r="N455" s="0" t="str">
        <f aca="false">'Basis Options'!F460</f>
        <v>P</v>
      </c>
      <c r="O455" s="0" t="n">
        <f aca="false">'Basis Options'!I460</f>
        <v>0.95</v>
      </c>
      <c r="P455" s="0" t="n">
        <v>0</v>
      </c>
      <c r="Q455" s="0" t="n">
        <v>0</v>
      </c>
      <c r="R455" s="0" t="n">
        <v>0</v>
      </c>
      <c r="S455" s="0" t="n">
        <v>0</v>
      </c>
      <c r="T455" s="0" t="s">
        <v>624</v>
      </c>
      <c r="U455" s="0" t="str">
        <f aca="false">IF('Basis Options'!D460="NGI/CHI. GATE","""NGI/CHI. GATE""",TRIM('Basis Options'!D460))</f>
        <v>IF-TRANSCO/Z6</v>
      </c>
      <c r="V455" s="0" t="s">
        <v>624</v>
      </c>
      <c r="W455" s="0" t="s">
        <v>569</v>
      </c>
      <c r="X455" s="0" t="s">
        <v>624</v>
      </c>
      <c r="Y455" s="0" t="s">
        <v>627</v>
      </c>
      <c r="Z455" s="0" t="s">
        <v>629</v>
      </c>
      <c r="AA455" s="0" t="s">
        <v>624</v>
      </c>
      <c r="AB455" s="0" t="s">
        <v>132</v>
      </c>
      <c r="AC455" s="254" t="n">
        <f aca="false">'Basis Options'!H460</f>
        <v>-1000000</v>
      </c>
      <c r="AD455" s="254" t="e">
        <f aca="false">'Basis Options'!W460</f>
        <v>#NAME?</v>
      </c>
      <c r="AE455" s="0" t="n">
        <v>0</v>
      </c>
      <c r="AF455" s="0" t="n">
        <v>0</v>
      </c>
      <c r="AG455" s="0" t="n">
        <v>0</v>
      </c>
      <c r="AH455" s="254" t="e">
        <f aca="false">'Basis Options'!CD460</f>
        <v>#NAME?</v>
      </c>
      <c r="AI455" s="0" t="n">
        <v>226</v>
      </c>
      <c r="AJ455" s="0" t="s">
        <v>630</v>
      </c>
      <c r="AK455" s="0" t="n">
        <v>0</v>
      </c>
      <c r="AL455" s="0" t="n">
        <v>0</v>
      </c>
      <c r="AM455" s="0" t="n">
        <v>0</v>
      </c>
    </row>
    <row r="456" customFormat="false" ht="12.75" hidden="false" customHeight="false" outlineLevel="0" collapsed="false">
      <c r="A456" s="0" t="s">
        <v>621</v>
      </c>
      <c r="B456" s="0" t="str">
        <f aca="false">'Basis Options'!C461</f>
        <v>NP8939.1</v>
      </c>
      <c r="C456" s="0" t="s">
        <v>622</v>
      </c>
      <c r="D456" s="0" t="s">
        <v>623</v>
      </c>
      <c r="E456" s="0" t="s">
        <v>131</v>
      </c>
      <c r="F456" s="0" t="str">
        <f aca="false">'Basis Options'!A461</f>
        <v>WILLIAMSENEMAR</v>
      </c>
      <c r="G456" s="0" t="s">
        <v>628</v>
      </c>
      <c r="H456" s="0" t="s">
        <v>625</v>
      </c>
      <c r="I456" s="0" t="s">
        <v>626</v>
      </c>
      <c r="J456" s="0" t="s">
        <v>627</v>
      </c>
      <c r="K456" s="475" t="n">
        <f aca="false">'Basis Options'!G461</f>
        <v>37257</v>
      </c>
      <c r="L456" s="254" t="e">
        <f aca="false">'Basis Options'!U461</f>
        <v>#NAME?</v>
      </c>
      <c r="M456" s="475" t="n">
        <f aca="false">'Basis Options'!Q461</f>
        <v>37253</v>
      </c>
      <c r="N456" s="0" t="str">
        <f aca="false">'Basis Options'!F461</f>
        <v>P</v>
      </c>
      <c r="O456" s="0" t="n">
        <f aca="false">'Basis Options'!I461</f>
        <v>0.95</v>
      </c>
      <c r="P456" s="0" t="n">
        <v>0</v>
      </c>
      <c r="Q456" s="0" t="n">
        <v>0</v>
      </c>
      <c r="R456" s="0" t="n">
        <v>0</v>
      </c>
      <c r="S456" s="0" t="n">
        <v>0</v>
      </c>
      <c r="T456" s="0" t="s">
        <v>624</v>
      </c>
      <c r="U456" s="0" t="str">
        <f aca="false">IF('Basis Options'!D461="NGI/CHI. GATE","""NGI/CHI. GATE""",TRIM('Basis Options'!D461))</f>
        <v>IF-TRANSCO/Z6</v>
      </c>
      <c r="V456" s="0" t="s">
        <v>624</v>
      </c>
      <c r="W456" s="0" t="s">
        <v>569</v>
      </c>
      <c r="X456" s="0" t="s">
        <v>624</v>
      </c>
      <c r="Y456" s="0" t="s">
        <v>627</v>
      </c>
      <c r="Z456" s="0" t="s">
        <v>629</v>
      </c>
      <c r="AA456" s="0" t="s">
        <v>624</v>
      </c>
      <c r="AB456" s="0" t="s">
        <v>132</v>
      </c>
      <c r="AC456" s="254" t="n">
        <f aca="false">'Basis Options'!H461</f>
        <v>-1000000</v>
      </c>
      <c r="AD456" s="254" t="e">
        <f aca="false">'Basis Options'!W461</f>
        <v>#NAME?</v>
      </c>
      <c r="AE456" s="0" t="n">
        <v>0</v>
      </c>
      <c r="AF456" s="0" t="n">
        <v>0</v>
      </c>
      <c r="AG456" s="0" t="n">
        <v>0</v>
      </c>
      <c r="AH456" s="254" t="e">
        <f aca="false">'Basis Options'!CD461</f>
        <v>#NAME?</v>
      </c>
      <c r="AI456" s="0" t="n">
        <v>226</v>
      </c>
      <c r="AJ456" s="0" t="s">
        <v>630</v>
      </c>
      <c r="AK456" s="0" t="n">
        <v>0</v>
      </c>
      <c r="AL456" s="0" t="n">
        <v>0</v>
      </c>
      <c r="AM456" s="0" t="n">
        <v>0</v>
      </c>
    </row>
    <row r="457" customFormat="false" ht="12.75" hidden="false" customHeight="false" outlineLevel="0" collapsed="false">
      <c r="A457" s="0" t="s">
        <v>621</v>
      </c>
      <c r="B457" s="0" t="str">
        <f aca="false">'Basis Options'!C462</f>
        <v>NP8939.1</v>
      </c>
      <c r="C457" s="0" t="s">
        <v>622</v>
      </c>
      <c r="D457" s="0" t="s">
        <v>623</v>
      </c>
      <c r="E457" s="0" t="s">
        <v>131</v>
      </c>
      <c r="F457" s="0" t="str">
        <f aca="false">'Basis Options'!A462</f>
        <v>WILLIAMSENEMAR</v>
      </c>
      <c r="G457" s="0" t="s">
        <v>628</v>
      </c>
      <c r="H457" s="0" t="s">
        <v>625</v>
      </c>
      <c r="I457" s="0" t="s">
        <v>626</v>
      </c>
      <c r="J457" s="0" t="s">
        <v>627</v>
      </c>
      <c r="K457" s="475" t="n">
        <f aca="false">'Basis Options'!G462</f>
        <v>37226</v>
      </c>
      <c r="L457" s="254" t="e">
        <f aca="false">'Basis Options'!U462</f>
        <v>#NAME?</v>
      </c>
      <c r="M457" s="475" t="n">
        <f aca="false">'Basis Options'!Q462</f>
        <v>37224</v>
      </c>
      <c r="N457" s="0" t="str">
        <f aca="false">'Basis Options'!F462</f>
        <v>P</v>
      </c>
      <c r="O457" s="0" t="n">
        <f aca="false">'Basis Options'!I462</f>
        <v>0.95</v>
      </c>
      <c r="P457" s="0" t="n">
        <v>0</v>
      </c>
      <c r="Q457" s="0" t="n">
        <v>0</v>
      </c>
      <c r="R457" s="0" t="n">
        <v>0</v>
      </c>
      <c r="S457" s="0" t="n">
        <v>0</v>
      </c>
      <c r="T457" s="0" t="s">
        <v>624</v>
      </c>
      <c r="U457" s="0" t="str">
        <f aca="false">IF('Basis Options'!D462="NGI/CHI. GATE","""NGI/CHI. GATE""",TRIM('Basis Options'!D462))</f>
        <v>IF-TRANSCO/Z6</v>
      </c>
      <c r="V457" s="0" t="s">
        <v>624</v>
      </c>
      <c r="W457" s="0" t="s">
        <v>569</v>
      </c>
      <c r="X457" s="0" t="s">
        <v>624</v>
      </c>
      <c r="Y457" s="0" t="s">
        <v>627</v>
      </c>
      <c r="Z457" s="0" t="s">
        <v>629</v>
      </c>
      <c r="AA457" s="0" t="s">
        <v>624</v>
      </c>
      <c r="AB457" s="0" t="s">
        <v>132</v>
      </c>
      <c r="AC457" s="254" t="n">
        <f aca="false">'Basis Options'!H462</f>
        <v>-1000000</v>
      </c>
      <c r="AD457" s="254" t="e">
        <f aca="false">'Basis Options'!W462</f>
        <v>#NAME?</v>
      </c>
      <c r="AE457" s="0" t="n">
        <v>0</v>
      </c>
      <c r="AF457" s="0" t="n">
        <v>0</v>
      </c>
      <c r="AG457" s="0" t="n">
        <v>0</v>
      </c>
      <c r="AH457" s="254" t="e">
        <f aca="false">'Basis Options'!CD462</f>
        <v>#NAME?</v>
      </c>
      <c r="AI457" s="0" t="n">
        <v>226</v>
      </c>
      <c r="AJ457" s="0" t="s">
        <v>630</v>
      </c>
      <c r="AK457" s="0" t="n">
        <v>0</v>
      </c>
      <c r="AL457" s="0" t="n">
        <v>0</v>
      </c>
      <c r="AM457" s="0" t="n">
        <v>0</v>
      </c>
    </row>
    <row r="458" customFormat="false" ht="12.75" hidden="false" customHeight="false" outlineLevel="0" collapsed="false">
      <c r="A458" s="0" t="s">
        <v>621</v>
      </c>
      <c r="B458" s="0" t="str">
        <f aca="false">'Basis Options'!C463</f>
        <v>NP8939.1</v>
      </c>
      <c r="C458" s="0" t="s">
        <v>622</v>
      </c>
      <c r="D458" s="0" t="s">
        <v>623</v>
      </c>
      <c r="E458" s="0" t="s">
        <v>131</v>
      </c>
      <c r="F458" s="0" t="str">
        <f aca="false">'Basis Options'!A463</f>
        <v>WILLIAMSENEMAR</v>
      </c>
      <c r="G458" s="0" t="s">
        <v>628</v>
      </c>
      <c r="H458" s="0" t="s">
        <v>625</v>
      </c>
      <c r="I458" s="0" t="s">
        <v>626</v>
      </c>
      <c r="J458" s="0" t="s">
        <v>627</v>
      </c>
      <c r="K458" s="475" t="n">
        <f aca="false">'Basis Options'!G463</f>
        <v>37196</v>
      </c>
      <c r="L458" s="254" t="e">
        <f aca="false">'Basis Options'!U463</f>
        <v>#NAME?</v>
      </c>
      <c r="M458" s="475" t="n">
        <f aca="false">'Basis Options'!Q463</f>
        <v>37194</v>
      </c>
      <c r="N458" s="0" t="str">
        <f aca="false">'Basis Options'!F463</f>
        <v>P</v>
      </c>
      <c r="O458" s="0" t="n">
        <f aca="false">'Basis Options'!I463</f>
        <v>0.95</v>
      </c>
      <c r="P458" s="0" t="n">
        <v>0</v>
      </c>
      <c r="Q458" s="0" t="n">
        <v>0</v>
      </c>
      <c r="R458" s="0" t="n">
        <v>0</v>
      </c>
      <c r="S458" s="0" t="n">
        <v>0</v>
      </c>
      <c r="T458" s="0" t="s">
        <v>624</v>
      </c>
      <c r="U458" s="0" t="str">
        <f aca="false">IF('Basis Options'!D463="NGI/CHI. GATE","""NGI/CHI. GATE""",TRIM('Basis Options'!D463))</f>
        <v>IF-TRANSCO/Z6</v>
      </c>
      <c r="V458" s="0" t="s">
        <v>624</v>
      </c>
      <c r="W458" s="0" t="s">
        <v>569</v>
      </c>
      <c r="X458" s="0" t="s">
        <v>624</v>
      </c>
      <c r="Y458" s="0" t="s">
        <v>627</v>
      </c>
      <c r="Z458" s="0" t="s">
        <v>629</v>
      </c>
      <c r="AA458" s="0" t="s">
        <v>624</v>
      </c>
      <c r="AB458" s="0" t="s">
        <v>132</v>
      </c>
      <c r="AC458" s="254" t="n">
        <f aca="false">'Basis Options'!H463</f>
        <v>-1000000</v>
      </c>
      <c r="AD458" s="254" t="e">
        <f aca="false">'Basis Options'!W463</f>
        <v>#NAME?</v>
      </c>
      <c r="AE458" s="0" t="n">
        <v>0</v>
      </c>
      <c r="AF458" s="0" t="n">
        <v>0</v>
      </c>
      <c r="AG458" s="0" t="n">
        <v>0</v>
      </c>
      <c r="AH458" s="254" t="e">
        <f aca="false">'Basis Options'!CD463</f>
        <v>#NAME?</v>
      </c>
      <c r="AI458" s="0" t="n">
        <v>226</v>
      </c>
      <c r="AJ458" s="0" t="s">
        <v>630</v>
      </c>
      <c r="AK458" s="0" t="n">
        <v>0</v>
      </c>
      <c r="AL458" s="0" t="n">
        <v>0</v>
      </c>
      <c r="AM458" s="0" t="n">
        <v>0</v>
      </c>
    </row>
    <row r="459" customFormat="false" ht="12.75" hidden="false" customHeight="false" outlineLevel="0" collapsed="false">
      <c r="A459" s="0" t="s">
        <v>621</v>
      </c>
      <c r="B459" s="0" t="str">
        <f aca="false">'Basis Options'!C464</f>
        <v>NP8966.1</v>
      </c>
      <c r="C459" s="0" t="s">
        <v>622</v>
      </c>
      <c r="D459" s="0" t="s">
        <v>623</v>
      </c>
      <c r="E459" s="0" t="s">
        <v>131</v>
      </c>
      <c r="F459" s="0" t="str">
        <f aca="false">'Basis Options'!A464</f>
        <v>ELPASMER</v>
      </c>
      <c r="G459" s="0" t="s">
        <v>628</v>
      </c>
      <c r="H459" s="0" t="s">
        <v>625</v>
      </c>
      <c r="I459" s="0" t="s">
        <v>626</v>
      </c>
      <c r="J459" s="0" t="s">
        <v>627</v>
      </c>
      <c r="K459" s="475" t="n">
        <f aca="false">'Basis Options'!G464</f>
        <v>36951</v>
      </c>
      <c r="L459" s="254" t="e">
        <f aca="false">'Basis Options'!U464</f>
        <v>#NAME?</v>
      </c>
      <c r="M459" s="475" t="n">
        <f aca="false">'Basis Options'!Q464</f>
        <v>36949</v>
      </c>
      <c r="N459" s="0" t="str">
        <f aca="false">'Basis Options'!F464</f>
        <v>C</v>
      </c>
      <c r="O459" s="0" t="n">
        <f aca="false">'Basis Options'!I464</f>
        <v>1.7</v>
      </c>
      <c r="P459" s="0" t="n">
        <v>0</v>
      </c>
      <c r="Q459" s="0" t="n">
        <v>0</v>
      </c>
      <c r="R459" s="0" t="n">
        <v>0</v>
      </c>
      <c r="S459" s="0" t="n">
        <v>0</v>
      </c>
      <c r="T459" s="0" t="s">
        <v>624</v>
      </c>
      <c r="U459" s="0" t="str">
        <f aca="false">IF('Basis Options'!D464="NGI/CHI. GATE","""NGI/CHI. GATE""",TRIM('Basis Options'!D464))</f>
        <v>IF-TRANSCO/Z6</v>
      </c>
      <c r="V459" s="0" t="s">
        <v>624</v>
      </c>
      <c r="W459" s="0" t="s">
        <v>569</v>
      </c>
      <c r="X459" s="0" t="s">
        <v>624</v>
      </c>
      <c r="Y459" s="0" t="s">
        <v>627</v>
      </c>
      <c r="Z459" s="0" t="s">
        <v>629</v>
      </c>
      <c r="AA459" s="0" t="s">
        <v>624</v>
      </c>
      <c r="AB459" s="0" t="s">
        <v>132</v>
      </c>
      <c r="AC459" s="254" t="n">
        <f aca="false">'Basis Options'!H464</f>
        <v>-1000000</v>
      </c>
      <c r="AD459" s="254" t="e">
        <f aca="false">'Basis Options'!W464</f>
        <v>#NAME?</v>
      </c>
      <c r="AE459" s="0" t="n">
        <v>0</v>
      </c>
      <c r="AF459" s="0" t="n">
        <v>0</v>
      </c>
      <c r="AG459" s="0" t="n">
        <v>0</v>
      </c>
      <c r="AH459" s="254" t="e">
        <f aca="false">'Basis Options'!CD464</f>
        <v>#NAME?</v>
      </c>
      <c r="AI459" s="0" t="n">
        <v>226</v>
      </c>
      <c r="AJ459" s="0" t="s">
        <v>630</v>
      </c>
      <c r="AK459" s="0" t="n">
        <v>0</v>
      </c>
      <c r="AL459" s="0" t="n">
        <v>0</v>
      </c>
      <c r="AM459" s="0" t="n">
        <v>0</v>
      </c>
    </row>
    <row r="460" customFormat="false" ht="12.75" hidden="false" customHeight="false" outlineLevel="0" collapsed="false">
      <c r="A460" s="0" t="s">
        <v>621</v>
      </c>
      <c r="B460" s="0" t="str">
        <f aca="false">'Basis Options'!C465</f>
        <v>NP8966.1</v>
      </c>
      <c r="C460" s="0" t="s">
        <v>622</v>
      </c>
      <c r="D460" s="0" t="s">
        <v>623</v>
      </c>
      <c r="E460" s="0" t="s">
        <v>131</v>
      </c>
      <c r="F460" s="0" t="str">
        <f aca="false">'Basis Options'!A465</f>
        <v>ELPASMER</v>
      </c>
      <c r="G460" s="0" t="s">
        <v>628</v>
      </c>
      <c r="H460" s="0" t="s">
        <v>625</v>
      </c>
      <c r="I460" s="0" t="s">
        <v>626</v>
      </c>
      <c r="J460" s="0" t="s">
        <v>627</v>
      </c>
      <c r="K460" s="475" t="n">
        <f aca="false">'Basis Options'!G465</f>
        <v>36923</v>
      </c>
      <c r="L460" s="254" t="e">
        <f aca="false">'Basis Options'!U465</f>
        <v>#NAME?</v>
      </c>
      <c r="M460" s="475" t="n">
        <f aca="false">'Basis Options'!Q465</f>
        <v>36921</v>
      </c>
      <c r="N460" s="0" t="str">
        <f aca="false">'Basis Options'!F465</f>
        <v>C</v>
      </c>
      <c r="O460" s="0" t="n">
        <f aca="false">'Basis Options'!I465</f>
        <v>1.7</v>
      </c>
      <c r="P460" s="0" t="n">
        <v>0</v>
      </c>
      <c r="Q460" s="0" t="n">
        <v>0</v>
      </c>
      <c r="R460" s="0" t="n">
        <v>0</v>
      </c>
      <c r="S460" s="0" t="n">
        <v>0</v>
      </c>
      <c r="T460" s="0" t="s">
        <v>624</v>
      </c>
      <c r="U460" s="0" t="str">
        <f aca="false">IF('Basis Options'!D465="NGI/CHI. GATE","""NGI/CHI. GATE""",TRIM('Basis Options'!D465))</f>
        <v>IF-TRANSCO/Z6</v>
      </c>
      <c r="V460" s="0" t="s">
        <v>624</v>
      </c>
      <c r="W460" s="0" t="s">
        <v>569</v>
      </c>
      <c r="X460" s="0" t="s">
        <v>624</v>
      </c>
      <c r="Y460" s="0" t="s">
        <v>627</v>
      </c>
      <c r="Z460" s="0" t="s">
        <v>629</v>
      </c>
      <c r="AA460" s="0" t="s">
        <v>624</v>
      </c>
      <c r="AB460" s="0" t="s">
        <v>132</v>
      </c>
      <c r="AC460" s="254" t="n">
        <f aca="false">'Basis Options'!H465</f>
        <v>-1000000</v>
      </c>
      <c r="AD460" s="254" t="e">
        <f aca="false">'Basis Options'!W465</f>
        <v>#NAME?</v>
      </c>
      <c r="AE460" s="0" t="n">
        <v>0</v>
      </c>
      <c r="AF460" s="0" t="n">
        <v>0</v>
      </c>
      <c r="AG460" s="0" t="n">
        <v>0</v>
      </c>
      <c r="AH460" s="254" t="e">
        <f aca="false">'Basis Options'!CD465</f>
        <v>#NAME?</v>
      </c>
      <c r="AI460" s="0" t="n">
        <v>226</v>
      </c>
      <c r="AJ460" s="0" t="s">
        <v>630</v>
      </c>
      <c r="AK460" s="0" t="n">
        <v>0</v>
      </c>
      <c r="AL460" s="0" t="n">
        <v>0</v>
      </c>
      <c r="AM460" s="0" t="n">
        <v>0</v>
      </c>
    </row>
    <row r="461" customFormat="false" ht="12.75" hidden="false" customHeight="false" outlineLevel="0" collapsed="false">
      <c r="A461" s="0" t="s">
        <v>621</v>
      </c>
      <c r="B461" s="0" t="str">
        <f aca="false">'Basis Options'!C466</f>
        <v>NP8966.1</v>
      </c>
      <c r="C461" s="0" t="s">
        <v>622</v>
      </c>
      <c r="D461" s="0" t="s">
        <v>623</v>
      </c>
      <c r="E461" s="0" t="s">
        <v>131</v>
      </c>
      <c r="F461" s="0" t="str">
        <f aca="false">'Basis Options'!A466</f>
        <v>ELPASMER</v>
      </c>
      <c r="G461" s="0" t="s">
        <v>628</v>
      </c>
      <c r="H461" s="0" t="s">
        <v>625</v>
      </c>
      <c r="I461" s="0" t="s">
        <v>626</v>
      </c>
      <c r="J461" s="0" t="s">
        <v>627</v>
      </c>
      <c r="K461" s="475" t="n">
        <f aca="false">'Basis Options'!G466</f>
        <v>36892</v>
      </c>
      <c r="L461" s="254" t="e">
        <f aca="false">'Basis Options'!U466</f>
        <v>#NAME?</v>
      </c>
      <c r="M461" s="475" t="n">
        <f aca="false">'Basis Options'!Q466</f>
        <v>36888</v>
      </c>
      <c r="N461" s="0" t="str">
        <f aca="false">'Basis Options'!F466</f>
        <v>C</v>
      </c>
      <c r="O461" s="0" t="n">
        <f aca="false">'Basis Options'!I466</f>
        <v>1.7</v>
      </c>
      <c r="P461" s="0" t="n">
        <v>0</v>
      </c>
      <c r="Q461" s="0" t="n">
        <v>0</v>
      </c>
      <c r="R461" s="0" t="n">
        <v>0</v>
      </c>
      <c r="S461" s="0" t="n">
        <v>0</v>
      </c>
      <c r="T461" s="0" t="s">
        <v>624</v>
      </c>
      <c r="U461" s="0" t="str">
        <f aca="false">IF('Basis Options'!D466="NGI/CHI. GATE","""NGI/CHI. GATE""",TRIM('Basis Options'!D466))</f>
        <v>IF-TRANSCO/Z6</v>
      </c>
      <c r="V461" s="0" t="s">
        <v>624</v>
      </c>
      <c r="W461" s="0" t="s">
        <v>569</v>
      </c>
      <c r="X461" s="0" t="s">
        <v>624</v>
      </c>
      <c r="Y461" s="0" t="s">
        <v>627</v>
      </c>
      <c r="Z461" s="0" t="s">
        <v>629</v>
      </c>
      <c r="AA461" s="0" t="s">
        <v>624</v>
      </c>
      <c r="AB461" s="0" t="s">
        <v>132</v>
      </c>
      <c r="AC461" s="254" t="n">
        <f aca="false">'Basis Options'!H466</f>
        <v>-1000000</v>
      </c>
      <c r="AD461" s="254" t="e">
        <f aca="false">'Basis Options'!W466</f>
        <v>#NAME?</v>
      </c>
      <c r="AE461" s="0" t="n">
        <v>0</v>
      </c>
      <c r="AF461" s="0" t="n">
        <v>0</v>
      </c>
      <c r="AG461" s="0" t="n">
        <v>0</v>
      </c>
      <c r="AH461" s="254" t="e">
        <f aca="false">'Basis Options'!CD466</f>
        <v>#NAME?</v>
      </c>
      <c r="AI461" s="0" t="n">
        <v>226</v>
      </c>
      <c r="AJ461" s="0" t="s">
        <v>630</v>
      </c>
      <c r="AK461" s="0" t="n">
        <v>0</v>
      </c>
      <c r="AL461" s="0" t="n">
        <v>0</v>
      </c>
      <c r="AM461" s="0" t="n">
        <v>0</v>
      </c>
    </row>
    <row r="462" customFormat="false" ht="12.75" hidden="false" customHeight="false" outlineLevel="0" collapsed="false">
      <c r="A462" s="0" t="s">
        <v>621</v>
      </c>
      <c r="B462" s="0" t="str">
        <f aca="false">'Basis Options'!C467</f>
        <v>NP8966.1</v>
      </c>
      <c r="C462" s="0" t="s">
        <v>622</v>
      </c>
      <c r="D462" s="0" t="s">
        <v>623</v>
      </c>
      <c r="E462" s="0" t="s">
        <v>131</v>
      </c>
      <c r="F462" s="0" t="str">
        <f aca="false">'Basis Options'!A467</f>
        <v>ELPASMER</v>
      </c>
      <c r="G462" s="0" t="s">
        <v>628</v>
      </c>
      <c r="H462" s="0" t="s">
        <v>625</v>
      </c>
      <c r="I462" s="0" t="s">
        <v>626</v>
      </c>
      <c r="J462" s="0" t="s">
        <v>627</v>
      </c>
      <c r="K462" s="475" t="n">
        <f aca="false">'Basis Options'!G467</f>
        <v>36861</v>
      </c>
      <c r="L462" s="254" t="e">
        <f aca="false">'Basis Options'!U467</f>
        <v>#NAME?</v>
      </c>
      <c r="M462" s="475" t="n">
        <f aca="false">'Basis Options'!Q467</f>
        <v>36859</v>
      </c>
      <c r="N462" s="0" t="str">
        <f aca="false">'Basis Options'!F467</f>
        <v>C</v>
      </c>
      <c r="O462" s="0" t="n">
        <f aca="false">'Basis Options'!I467</f>
        <v>1.7</v>
      </c>
      <c r="P462" s="0" t="n">
        <v>0</v>
      </c>
      <c r="Q462" s="0" t="n">
        <v>0</v>
      </c>
      <c r="R462" s="0" t="n">
        <v>0</v>
      </c>
      <c r="S462" s="0" t="n">
        <v>0</v>
      </c>
      <c r="T462" s="0" t="s">
        <v>624</v>
      </c>
      <c r="U462" s="0" t="str">
        <f aca="false">IF('Basis Options'!D467="NGI/CHI. GATE","""NGI/CHI. GATE""",TRIM('Basis Options'!D467))</f>
        <v>IF-TRANSCO/Z6</v>
      </c>
      <c r="V462" s="0" t="s">
        <v>624</v>
      </c>
      <c r="W462" s="0" t="s">
        <v>569</v>
      </c>
      <c r="X462" s="0" t="s">
        <v>624</v>
      </c>
      <c r="Y462" s="0" t="s">
        <v>627</v>
      </c>
      <c r="Z462" s="0" t="s">
        <v>629</v>
      </c>
      <c r="AA462" s="0" t="s">
        <v>624</v>
      </c>
      <c r="AB462" s="0" t="s">
        <v>132</v>
      </c>
      <c r="AC462" s="254" t="n">
        <f aca="false">'Basis Options'!H467</f>
        <v>-1000000</v>
      </c>
      <c r="AD462" s="254" t="e">
        <f aca="false">'Basis Options'!W467</f>
        <v>#NAME?</v>
      </c>
      <c r="AE462" s="0" t="n">
        <v>0</v>
      </c>
      <c r="AF462" s="0" t="n">
        <v>0</v>
      </c>
      <c r="AG462" s="0" t="n">
        <v>0</v>
      </c>
      <c r="AH462" s="254" t="e">
        <f aca="false">'Basis Options'!CD467</f>
        <v>#NAME?</v>
      </c>
      <c r="AI462" s="0" t="n">
        <v>226</v>
      </c>
      <c r="AJ462" s="0" t="s">
        <v>630</v>
      </c>
      <c r="AK462" s="0" t="n">
        <v>0</v>
      </c>
      <c r="AL462" s="0" t="n">
        <v>0</v>
      </c>
      <c r="AM462" s="0" t="n">
        <v>0</v>
      </c>
    </row>
    <row r="463" customFormat="false" ht="12.75" hidden="false" customHeight="false" outlineLevel="0" collapsed="false">
      <c r="A463" s="0" t="s">
        <v>621</v>
      </c>
      <c r="B463" s="0" t="str">
        <f aca="false">'Basis Options'!C468</f>
        <v>NP8966.1</v>
      </c>
      <c r="C463" s="0" t="s">
        <v>622</v>
      </c>
      <c r="D463" s="0" t="s">
        <v>623</v>
      </c>
      <c r="E463" s="0" t="s">
        <v>131</v>
      </c>
      <c r="F463" s="0" t="str">
        <f aca="false">'Basis Options'!A468</f>
        <v>ELPASMER</v>
      </c>
      <c r="G463" s="0" t="s">
        <v>628</v>
      </c>
      <c r="H463" s="0" t="s">
        <v>625</v>
      </c>
      <c r="I463" s="0" t="s">
        <v>626</v>
      </c>
      <c r="J463" s="0" t="s">
        <v>627</v>
      </c>
      <c r="K463" s="475" t="n">
        <f aca="false">'Basis Options'!G468</f>
        <v>36831</v>
      </c>
      <c r="L463" s="254" t="e">
        <f aca="false">'Basis Options'!U468</f>
        <v>#NAME?</v>
      </c>
      <c r="M463" s="475" t="n">
        <f aca="false">'Basis Options'!Q468</f>
        <v>36829</v>
      </c>
      <c r="N463" s="0" t="str">
        <f aca="false">'Basis Options'!F468</f>
        <v>C</v>
      </c>
      <c r="O463" s="0" t="n">
        <f aca="false">'Basis Options'!I468</f>
        <v>1.7</v>
      </c>
      <c r="P463" s="0" t="n">
        <v>0</v>
      </c>
      <c r="Q463" s="0" t="n">
        <v>0</v>
      </c>
      <c r="R463" s="0" t="n">
        <v>0</v>
      </c>
      <c r="S463" s="0" t="n">
        <v>0</v>
      </c>
      <c r="T463" s="0" t="s">
        <v>624</v>
      </c>
      <c r="U463" s="0" t="str">
        <f aca="false">IF('Basis Options'!D468="NGI/CHI. GATE","""NGI/CHI. GATE""",TRIM('Basis Options'!D468))</f>
        <v>IF-TRANSCO/Z6</v>
      </c>
      <c r="V463" s="0" t="s">
        <v>624</v>
      </c>
      <c r="W463" s="0" t="s">
        <v>569</v>
      </c>
      <c r="X463" s="0" t="s">
        <v>624</v>
      </c>
      <c r="Y463" s="0" t="s">
        <v>627</v>
      </c>
      <c r="Z463" s="0" t="s">
        <v>629</v>
      </c>
      <c r="AA463" s="0" t="s">
        <v>624</v>
      </c>
      <c r="AB463" s="0" t="s">
        <v>132</v>
      </c>
      <c r="AC463" s="254" t="n">
        <f aca="false">'Basis Options'!H468</f>
        <v>-1000000</v>
      </c>
      <c r="AD463" s="254" t="e">
        <f aca="false">'Basis Options'!W468</f>
        <v>#NAME?</v>
      </c>
      <c r="AE463" s="0" t="n">
        <v>0</v>
      </c>
      <c r="AF463" s="0" t="n">
        <v>0</v>
      </c>
      <c r="AG463" s="0" t="n">
        <v>0</v>
      </c>
      <c r="AH463" s="254" t="e">
        <f aca="false">'Basis Options'!CD468</f>
        <v>#NAME?</v>
      </c>
      <c r="AI463" s="0" t="n">
        <v>226</v>
      </c>
      <c r="AJ463" s="0" t="s">
        <v>630</v>
      </c>
      <c r="AK463" s="0" t="n">
        <v>0</v>
      </c>
      <c r="AL463" s="0" t="n">
        <v>0</v>
      </c>
      <c r="AM463" s="0" t="n">
        <v>0</v>
      </c>
    </row>
    <row r="464" customFormat="false" ht="12.75" hidden="false" customHeight="false" outlineLevel="0" collapsed="false">
      <c r="A464" s="0" t="s">
        <v>621</v>
      </c>
      <c r="B464" s="0" t="str">
        <f aca="false">'Basis Options'!C469</f>
        <v>NP8966.2</v>
      </c>
      <c r="C464" s="0" t="s">
        <v>622</v>
      </c>
      <c r="D464" s="0" t="s">
        <v>623</v>
      </c>
      <c r="E464" s="0" t="s">
        <v>131</v>
      </c>
      <c r="F464" s="0" t="str">
        <f aca="false">'Basis Options'!A469</f>
        <v>ELPASMER</v>
      </c>
      <c r="G464" s="0" t="s">
        <v>628</v>
      </c>
      <c r="H464" s="0" t="s">
        <v>625</v>
      </c>
      <c r="I464" s="0" t="s">
        <v>626</v>
      </c>
      <c r="J464" s="0" t="s">
        <v>627</v>
      </c>
      <c r="K464" s="475" t="n">
        <f aca="false">'Basis Options'!G469</f>
        <v>36951</v>
      </c>
      <c r="L464" s="254" t="e">
        <f aca="false">'Basis Options'!U469</f>
        <v>#NAME?</v>
      </c>
      <c r="M464" s="475" t="n">
        <f aca="false">'Basis Options'!Q469</f>
        <v>36949</v>
      </c>
      <c r="N464" s="0" t="str">
        <f aca="false">'Basis Options'!F469</f>
        <v>P</v>
      </c>
      <c r="O464" s="0" t="n">
        <f aca="false">'Basis Options'!I469</f>
        <v>1.7</v>
      </c>
      <c r="P464" s="0" t="n">
        <v>0</v>
      </c>
      <c r="Q464" s="0" t="n">
        <v>0</v>
      </c>
      <c r="R464" s="0" t="n">
        <v>0</v>
      </c>
      <c r="S464" s="0" t="n">
        <v>0</v>
      </c>
      <c r="T464" s="0" t="s">
        <v>624</v>
      </c>
      <c r="U464" s="0" t="str">
        <f aca="false">IF('Basis Options'!D469="NGI/CHI. GATE","""NGI/CHI. GATE""",TRIM('Basis Options'!D469))</f>
        <v>IF-TRANSCO/Z6</v>
      </c>
      <c r="V464" s="0" t="s">
        <v>624</v>
      </c>
      <c r="W464" s="0" t="s">
        <v>569</v>
      </c>
      <c r="X464" s="0" t="s">
        <v>624</v>
      </c>
      <c r="Y464" s="0" t="s">
        <v>627</v>
      </c>
      <c r="Z464" s="0" t="s">
        <v>629</v>
      </c>
      <c r="AA464" s="0" t="s">
        <v>624</v>
      </c>
      <c r="AB464" s="0" t="s">
        <v>132</v>
      </c>
      <c r="AC464" s="254" t="n">
        <f aca="false">'Basis Options'!H469</f>
        <v>-1000000</v>
      </c>
      <c r="AD464" s="254" t="e">
        <f aca="false">'Basis Options'!W469</f>
        <v>#NAME?</v>
      </c>
      <c r="AE464" s="0" t="n">
        <v>0</v>
      </c>
      <c r="AF464" s="0" t="n">
        <v>0</v>
      </c>
      <c r="AG464" s="0" t="n">
        <v>0</v>
      </c>
      <c r="AH464" s="254" t="e">
        <f aca="false">'Basis Options'!CD469</f>
        <v>#NAME?</v>
      </c>
      <c r="AI464" s="0" t="n">
        <v>226</v>
      </c>
      <c r="AJ464" s="0" t="s">
        <v>630</v>
      </c>
      <c r="AK464" s="0" t="n">
        <v>0</v>
      </c>
      <c r="AL464" s="0" t="n">
        <v>0</v>
      </c>
      <c r="AM464" s="0" t="n">
        <v>0</v>
      </c>
    </row>
    <row r="465" customFormat="false" ht="12.75" hidden="false" customHeight="false" outlineLevel="0" collapsed="false">
      <c r="A465" s="0" t="s">
        <v>621</v>
      </c>
      <c r="B465" s="0" t="str">
        <f aca="false">'Basis Options'!C470</f>
        <v>NP8966.2</v>
      </c>
      <c r="C465" s="0" t="s">
        <v>622</v>
      </c>
      <c r="D465" s="0" t="s">
        <v>623</v>
      </c>
      <c r="E465" s="0" t="s">
        <v>131</v>
      </c>
      <c r="F465" s="0" t="str">
        <f aca="false">'Basis Options'!A470</f>
        <v>ELPASMER</v>
      </c>
      <c r="G465" s="0" t="s">
        <v>628</v>
      </c>
      <c r="H465" s="0" t="s">
        <v>625</v>
      </c>
      <c r="I465" s="0" t="s">
        <v>626</v>
      </c>
      <c r="J465" s="0" t="s">
        <v>627</v>
      </c>
      <c r="K465" s="475" t="n">
        <f aca="false">'Basis Options'!G470</f>
        <v>36923</v>
      </c>
      <c r="L465" s="254" t="e">
        <f aca="false">'Basis Options'!U470</f>
        <v>#NAME?</v>
      </c>
      <c r="M465" s="475" t="n">
        <f aca="false">'Basis Options'!Q470</f>
        <v>36921</v>
      </c>
      <c r="N465" s="0" t="str">
        <f aca="false">'Basis Options'!F470</f>
        <v>P</v>
      </c>
      <c r="O465" s="0" t="n">
        <f aca="false">'Basis Options'!I470</f>
        <v>1.7</v>
      </c>
      <c r="P465" s="0" t="n">
        <v>0</v>
      </c>
      <c r="Q465" s="0" t="n">
        <v>0</v>
      </c>
      <c r="R465" s="0" t="n">
        <v>0</v>
      </c>
      <c r="S465" s="0" t="n">
        <v>0</v>
      </c>
      <c r="T465" s="0" t="s">
        <v>624</v>
      </c>
      <c r="U465" s="0" t="str">
        <f aca="false">IF('Basis Options'!D470="NGI/CHI. GATE","""NGI/CHI. GATE""",TRIM('Basis Options'!D470))</f>
        <v>IF-TRANSCO/Z6</v>
      </c>
      <c r="V465" s="0" t="s">
        <v>624</v>
      </c>
      <c r="W465" s="0" t="s">
        <v>569</v>
      </c>
      <c r="X465" s="0" t="s">
        <v>624</v>
      </c>
      <c r="Y465" s="0" t="s">
        <v>627</v>
      </c>
      <c r="Z465" s="0" t="s">
        <v>629</v>
      </c>
      <c r="AA465" s="0" t="s">
        <v>624</v>
      </c>
      <c r="AB465" s="0" t="s">
        <v>132</v>
      </c>
      <c r="AC465" s="254" t="n">
        <f aca="false">'Basis Options'!H470</f>
        <v>-1000000</v>
      </c>
      <c r="AD465" s="254" t="e">
        <f aca="false">'Basis Options'!W470</f>
        <v>#NAME?</v>
      </c>
      <c r="AE465" s="0" t="n">
        <v>0</v>
      </c>
      <c r="AF465" s="0" t="n">
        <v>0</v>
      </c>
      <c r="AG465" s="0" t="n">
        <v>0</v>
      </c>
      <c r="AH465" s="254" t="e">
        <f aca="false">'Basis Options'!CD470</f>
        <v>#NAME?</v>
      </c>
      <c r="AI465" s="0" t="n">
        <v>226</v>
      </c>
      <c r="AJ465" s="0" t="s">
        <v>630</v>
      </c>
      <c r="AK465" s="0" t="n">
        <v>0</v>
      </c>
      <c r="AL465" s="0" t="n">
        <v>0</v>
      </c>
      <c r="AM465" s="0" t="n">
        <v>0</v>
      </c>
    </row>
    <row r="466" customFormat="false" ht="12.75" hidden="false" customHeight="false" outlineLevel="0" collapsed="false">
      <c r="A466" s="0" t="s">
        <v>621</v>
      </c>
      <c r="B466" s="0" t="str">
        <f aca="false">'Basis Options'!C471</f>
        <v>NP8966.2</v>
      </c>
      <c r="C466" s="0" t="s">
        <v>622</v>
      </c>
      <c r="D466" s="0" t="s">
        <v>623</v>
      </c>
      <c r="E466" s="0" t="s">
        <v>131</v>
      </c>
      <c r="F466" s="0" t="str">
        <f aca="false">'Basis Options'!A471</f>
        <v>ELPASMER</v>
      </c>
      <c r="G466" s="0" t="s">
        <v>628</v>
      </c>
      <c r="H466" s="0" t="s">
        <v>625</v>
      </c>
      <c r="I466" s="0" t="s">
        <v>626</v>
      </c>
      <c r="J466" s="0" t="s">
        <v>627</v>
      </c>
      <c r="K466" s="475" t="n">
        <f aca="false">'Basis Options'!G471</f>
        <v>36892</v>
      </c>
      <c r="L466" s="254" t="e">
        <f aca="false">'Basis Options'!U471</f>
        <v>#NAME?</v>
      </c>
      <c r="M466" s="475" t="n">
        <f aca="false">'Basis Options'!Q471</f>
        <v>36888</v>
      </c>
      <c r="N466" s="0" t="str">
        <f aca="false">'Basis Options'!F471</f>
        <v>P</v>
      </c>
      <c r="O466" s="0" t="n">
        <f aca="false">'Basis Options'!I471</f>
        <v>1.7</v>
      </c>
      <c r="P466" s="0" t="n">
        <v>0</v>
      </c>
      <c r="Q466" s="0" t="n">
        <v>0</v>
      </c>
      <c r="R466" s="0" t="n">
        <v>0</v>
      </c>
      <c r="S466" s="0" t="n">
        <v>0</v>
      </c>
      <c r="T466" s="0" t="s">
        <v>624</v>
      </c>
      <c r="U466" s="0" t="str">
        <f aca="false">IF('Basis Options'!D471="NGI/CHI. GATE","""NGI/CHI. GATE""",TRIM('Basis Options'!D471))</f>
        <v>IF-TRANSCO/Z6</v>
      </c>
      <c r="V466" s="0" t="s">
        <v>624</v>
      </c>
      <c r="W466" s="0" t="s">
        <v>569</v>
      </c>
      <c r="X466" s="0" t="s">
        <v>624</v>
      </c>
      <c r="Y466" s="0" t="s">
        <v>627</v>
      </c>
      <c r="Z466" s="0" t="s">
        <v>629</v>
      </c>
      <c r="AA466" s="0" t="s">
        <v>624</v>
      </c>
      <c r="AB466" s="0" t="s">
        <v>132</v>
      </c>
      <c r="AC466" s="254" t="n">
        <f aca="false">'Basis Options'!H471</f>
        <v>-1000000</v>
      </c>
      <c r="AD466" s="254" t="e">
        <f aca="false">'Basis Options'!W471</f>
        <v>#NAME?</v>
      </c>
      <c r="AE466" s="0" t="n">
        <v>0</v>
      </c>
      <c r="AF466" s="0" t="n">
        <v>0</v>
      </c>
      <c r="AG466" s="0" t="n">
        <v>0</v>
      </c>
      <c r="AH466" s="254" t="e">
        <f aca="false">'Basis Options'!CD471</f>
        <v>#NAME?</v>
      </c>
      <c r="AI466" s="0" t="n">
        <v>226</v>
      </c>
      <c r="AJ466" s="0" t="s">
        <v>630</v>
      </c>
      <c r="AK466" s="0" t="n">
        <v>0</v>
      </c>
      <c r="AL466" s="0" t="n">
        <v>0</v>
      </c>
      <c r="AM466" s="0" t="n">
        <v>0</v>
      </c>
    </row>
    <row r="467" customFormat="false" ht="12.75" hidden="false" customHeight="false" outlineLevel="0" collapsed="false">
      <c r="A467" s="0" t="s">
        <v>621</v>
      </c>
      <c r="B467" s="0" t="str">
        <f aca="false">'Basis Options'!C472</f>
        <v>NP8966.2</v>
      </c>
      <c r="C467" s="0" t="s">
        <v>622</v>
      </c>
      <c r="D467" s="0" t="s">
        <v>623</v>
      </c>
      <c r="E467" s="0" t="s">
        <v>131</v>
      </c>
      <c r="F467" s="0" t="str">
        <f aca="false">'Basis Options'!A472</f>
        <v>ELPASMER</v>
      </c>
      <c r="G467" s="0" t="s">
        <v>628</v>
      </c>
      <c r="H467" s="0" t="s">
        <v>625</v>
      </c>
      <c r="I467" s="0" t="s">
        <v>626</v>
      </c>
      <c r="J467" s="0" t="s">
        <v>627</v>
      </c>
      <c r="K467" s="475" t="n">
        <f aca="false">'Basis Options'!G472</f>
        <v>36861</v>
      </c>
      <c r="L467" s="254" t="e">
        <f aca="false">'Basis Options'!U472</f>
        <v>#NAME?</v>
      </c>
      <c r="M467" s="475" t="n">
        <f aca="false">'Basis Options'!Q472</f>
        <v>36859</v>
      </c>
      <c r="N467" s="0" t="str">
        <f aca="false">'Basis Options'!F472</f>
        <v>P</v>
      </c>
      <c r="O467" s="0" t="n">
        <f aca="false">'Basis Options'!I472</f>
        <v>1.7</v>
      </c>
      <c r="P467" s="0" t="n">
        <v>0</v>
      </c>
      <c r="Q467" s="0" t="n">
        <v>0</v>
      </c>
      <c r="R467" s="0" t="n">
        <v>0</v>
      </c>
      <c r="S467" s="0" t="n">
        <v>0</v>
      </c>
      <c r="T467" s="0" t="s">
        <v>624</v>
      </c>
      <c r="U467" s="0" t="str">
        <f aca="false">IF('Basis Options'!D472="NGI/CHI. GATE","""NGI/CHI. GATE""",TRIM('Basis Options'!D472))</f>
        <v>IF-TRANSCO/Z6</v>
      </c>
      <c r="V467" s="0" t="s">
        <v>624</v>
      </c>
      <c r="W467" s="0" t="s">
        <v>569</v>
      </c>
      <c r="X467" s="0" t="s">
        <v>624</v>
      </c>
      <c r="Y467" s="0" t="s">
        <v>627</v>
      </c>
      <c r="Z467" s="0" t="s">
        <v>629</v>
      </c>
      <c r="AA467" s="0" t="s">
        <v>624</v>
      </c>
      <c r="AB467" s="0" t="s">
        <v>132</v>
      </c>
      <c r="AC467" s="254" t="n">
        <f aca="false">'Basis Options'!H472</f>
        <v>-1000000</v>
      </c>
      <c r="AD467" s="254" t="e">
        <f aca="false">'Basis Options'!W472</f>
        <v>#NAME?</v>
      </c>
      <c r="AE467" s="0" t="n">
        <v>0</v>
      </c>
      <c r="AF467" s="0" t="n">
        <v>0</v>
      </c>
      <c r="AG467" s="0" t="n">
        <v>0</v>
      </c>
      <c r="AH467" s="254" t="e">
        <f aca="false">'Basis Options'!CD472</f>
        <v>#NAME?</v>
      </c>
      <c r="AI467" s="0" t="n">
        <v>226</v>
      </c>
      <c r="AJ467" s="0" t="s">
        <v>630</v>
      </c>
      <c r="AK467" s="0" t="n">
        <v>0</v>
      </c>
      <c r="AL467" s="0" t="n">
        <v>0</v>
      </c>
      <c r="AM467" s="0" t="n">
        <v>0</v>
      </c>
    </row>
    <row r="468" customFormat="false" ht="12.75" hidden="false" customHeight="false" outlineLevel="0" collapsed="false">
      <c r="A468" s="0" t="s">
        <v>621</v>
      </c>
      <c r="B468" s="0" t="str">
        <f aca="false">'Basis Options'!C473</f>
        <v>NP8966.2</v>
      </c>
      <c r="C468" s="0" t="s">
        <v>622</v>
      </c>
      <c r="D468" s="0" t="s">
        <v>623</v>
      </c>
      <c r="E468" s="0" t="s">
        <v>131</v>
      </c>
      <c r="F468" s="0" t="str">
        <f aca="false">'Basis Options'!A473</f>
        <v>ELPASMER</v>
      </c>
      <c r="G468" s="0" t="s">
        <v>628</v>
      </c>
      <c r="H468" s="0" t="s">
        <v>625</v>
      </c>
      <c r="I468" s="0" t="s">
        <v>626</v>
      </c>
      <c r="J468" s="0" t="s">
        <v>627</v>
      </c>
      <c r="K468" s="475" t="n">
        <f aca="false">'Basis Options'!G473</f>
        <v>36831</v>
      </c>
      <c r="L468" s="254" t="e">
        <f aca="false">'Basis Options'!U473</f>
        <v>#NAME?</v>
      </c>
      <c r="M468" s="475" t="n">
        <f aca="false">'Basis Options'!Q473</f>
        <v>36829</v>
      </c>
      <c r="N468" s="0" t="str">
        <f aca="false">'Basis Options'!F473</f>
        <v>P</v>
      </c>
      <c r="O468" s="0" t="n">
        <f aca="false">'Basis Options'!I473</f>
        <v>1.7</v>
      </c>
      <c r="P468" s="0" t="n">
        <v>0</v>
      </c>
      <c r="Q468" s="0" t="n">
        <v>0</v>
      </c>
      <c r="R468" s="0" t="n">
        <v>0</v>
      </c>
      <c r="S468" s="0" t="n">
        <v>0</v>
      </c>
      <c r="T468" s="0" t="s">
        <v>624</v>
      </c>
      <c r="U468" s="0" t="str">
        <f aca="false">IF('Basis Options'!D473="NGI/CHI. GATE","""NGI/CHI. GATE""",TRIM('Basis Options'!D473))</f>
        <v>IF-TRANSCO/Z6</v>
      </c>
      <c r="V468" s="0" t="s">
        <v>624</v>
      </c>
      <c r="W468" s="0" t="s">
        <v>569</v>
      </c>
      <c r="X468" s="0" t="s">
        <v>624</v>
      </c>
      <c r="Y468" s="0" t="s">
        <v>627</v>
      </c>
      <c r="Z468" s="0" t="s">
        <v>629</v>
      </c>
      <c r="AA468" s="0" t="s">
        <v>624</v>
      </c>
      <c r="AB468" s="0" t="s">
        <v>132</v>
      </c>
      <c r="AC468" s="254" t="n">
        <f aca="false">'Basis Options'!H473</f>
        <v>-1000000</v>
      </c>
      <c r="AD468" s="254" t="e">
        <f aca="false">'Basis Options'!W473</f>
        <v>#NAME?</v>
      </c>
      <c r="AE468" s="0" t="n">
        <v>0</v>
      </c>
      <c r="AF468" s="0" t="n">
        <v>0</v>
      </c>
      <c r="AG468" s="0" t="n">
        <v>0</v>
      </c>
      <c r="AH468" s="254" t="e">
        <f aca="false">'Basis Options'!CD473</f>
        <v>#NAME?</v>
      </c>
      <c r="AI468" s="0" t="n">
        <v>226</v>
      </c>
      <c r="AJ468" s="0" t="s">
        <v>630</v>
      </c>
      <c r="AK468" s="0" t="n">
        <v>0</v>
      </c>
      <c r="AL468" s="0" t="n">
        <v>0</v>
      </c>
      <c r="AM468" s="0" t="n">
        <v>0</v>
      </c>
    </row>
    <row r="469" customFormat="false" ht="12.75" hidden="false" customHeight="false" outlineLevel="0" collapsed="false">
      <c r="A469" s="0" t="s">
        <v>621</v>
      </c>
      <c r="B469" s="0" t="str">
        <f aca="false">'Basis Options'!C474</f>
        <v>NR1864</v>
      </c>
      <c r="C469" s="0" t="s">
        <v>622</v>
      </c>
      <c r="D469" s="0" t="s">
        <v>623</v>
      </c>
      <c r="E469" s="0" t="s">
        <v>131</v>
      </c>
      <c r="F469" s="0" t="str">
        <f aca="false">'Basis Options'!A474</f>
        <v>UTILICORP</v>
      </c>
      <c r="G469" s="0" t="s">
        <v>628</v>
      </c>
      <c r="H469" s="0" t="s">
        <v>625</v>
      </c>
      <c r="I469" s="0" t="s">
        <v>626</v>
      </c>
      <c r="J469" s="0" t="s">
        <v>627</v>
      </c>
      <c r="K469" s="475" t="n">
        <f aca="false">'Basis Options'!G474</f>
        <v>36951</v>
      </c>
      <c r="L469" s="254" t="e">
        <f aca="false">'Basis Options'!U474</f>
        <v>#NAME?</v>
      </c>
      <c r="M469" s="475" t="n">
        <f aca="false">'Basis Options'!Q474</f>
        <v>36949</v>
      </c>
      <c r="N469" s="0" t="str">
        <f aca="false">'Basis Options'!F474</f>
        <v>C</v>
      </c>
      <c r="O469" s="0" t="n">
        <f aca="false">'Basis Options'!I474</f>
        <v>0.15</v>
      </c>
      <c r="P469" s="0" t="n">
        <v>0</v>
      </c>
      <c r="Q469" s="0" t="n">
        <v>0</v>
      </c>
      <c r="R469" s="0" t="n">
        <v>0</v>
      </c>
      <c r="S469" s="0" t="n">
        <v>0</v>
      </c>
      <c r="T469" s="0" t="s">
        <v>624</v>
      </c>
      <c r="U469" s="0" t="str">
        <f aca="false">IF('Basis Options'!D474="NGI/CHI. GATE","""NGI/CHI. GATE""",TRIM('Basis Options'!D474))</f>
        <v>"NGI/CHI. GATE"</v>
      </c>
      <c r="V469" s="0" t="s">
        <v>624</v>
      </c>
      <c r="W469" s="0" t="s">
        <v>569</v>
      </c>
      <c r="X469" s="0" t="s">
        <v>624</v>
      </c>
      <c r="Y469" s="0" t="s">
        <v>627</v>
      </c>
      <c r="Z469" s="0" t="s">
        <v>629</v>
      </c>
      <c r="AA469" s="0" t="s">
        <v>624</v>
      </c>
      <c r="AB469" s="0" t="s">
        <v>132</v>
      </c>
      <c r="AC469" s="254" t="n">
        <f aca="false">'Basis Options'!H474</f>
        <v>-155000</v>
      </c>
      <c r="AD469" s="254" t="e">
        <f aca="false">'Basis Options'!W474</f>
        <v>#NAME?</v>
      </c>
      <c r="AE469" s="0" t="n">
        <v>0</v>
      </c>
      <c r="AF469" s="0" t="n">
        <v>0</v>
      </c>
      <c r="AG469" s="0" t="n">
        <v>0</v>
      </c>
      <c r="AH469" s="254" t="e">
        <f aca="false">'Basis Options'!CD474</f>
        <v>#NAME?</v>
      </c>
      <c r="AI469" s="0" t="n">
        <v>226</v>
      </c>
      <c r="AJ469" s="0" t="s">
        <v>630</v>
      </c>
      <c r="AK469" s="0" t="n">
        <v>0</v>
      </c>
      <c r="AL469" s="0" t="n">
        <v>0</v>
      </c>
      <c r="AM469" s="0" t="n">
        <v>0</v>
      </c>
    </row>
    <row r="470" customFormat="false" ht="12.75" hidden="false" customHeight="false" outlineLevel="0" collapsed="false">
      <c r="A470" s="0" t="s">
        <v>621</v>
      </c>
      <c r="B470" s="0" t="str">
        <f aca="false">'Basis Options'!C475</f>
        <v>NR1864</v>
      </c>
      <c r="C470" s="0" t="s">
        <v>622</v>
      </c>
      <c r="D470" s="0" t="s">
        <v>623</v>
      </c>
      <c r="E470" s="0" t="s">
        <v>131</v>
      </c>
      <c r="F470" s="0" t="str">
        <f aca="false">'Basis Options'!A475</f>
        <v>UTILICORP</v>
      </c>
      <c r="G470" s="0" t="s">
        <v>628</v>
      </c>
      <c r="H470" s="0" t="s">
        <v>625</v>
      </c>
      <c r="I470" s="0" t="s">
        <v>626</v>
      </c>
      <c r="J470" s="0" t="s">
        <v>627</v>
      </c>
      <c r="K470" s="475" t="n">
        <f aca="false">'Basis Options'!G475</f>
        <v>36923</v>
      </c>
      <c r="L470" s="254" t="e">
        <f aca="false">'Basis Options'!U475</f>
        <v>#NAME?</v>
      </c>
      <c r="M470" s="475" t="n">
        <f aca="false">'Basis Options'!Q475</f>
        <v>36921</v>
      </c>
      <c r="N470" s="0" t="str">
        <f aca="false">'Basis Options'!F475</f>
        <v>C</v>
      </c>
      <c r="O470" s="0" t="n">
        <f aca="false">'Basis Options'!I475</f>
        <v>0.15</v>
      </c>
      <c r="P470" s="0" t="n">
        <v>0</v>
      </c>
      <c r="Q470" s="0" t="n">
        <v>0</v>
      </c>
      <c r="R470" s="0" t="n">
        <v>0</v>
      </c>
      <c r="S470" s="0" t="n">
        <v>0</v>
      </c>
      <c r="T470" s="0" t="s">
        <v>624</v>
      </c>
      <c r="U470" s="0" t="str">
        <f aca="false">IF('Basis Options'!D475="NGI/CHI. GATE","""NGI/CHI. GATE""",TRIM('Basis Options'!D475))</f>
        <v>"NGI/CHI. GATE"</v>
      </c>
      <c r="V470" s="0" t="s">
        <v>624</v>
      </c>
      <c r="W470" s="0" t="s">
        <v>569</v>
      </c>
      <c r="X470" s="0" t="s">
        <v>624</v>
      </c>
      <c r="Y470" s="0" t="s">
        <v>627</v>
      </c>
      <c r="Z470" s="0" t="s">
        <v>629</v>
      </c>
      <c r="AA470" s="0" t="s">
        <v>624</v>
      </c>
      <c r="AB470" s="0" t="s">
        <v>132</v>
      </c>
      <c r="AC470" s="254" t="n">
        <f aca="false">'Basis Options'!H475</f>
        <v>-140000</v>
      </c>
      <c r="AD470" s="254" t="e">
        <f aca="false">'Basis Options'!W475</f>
        <v>#NAME?</v>
      </c>
      <c r="AE470" s="0" t="n">
        <v>0</v>
      </c>
      <c r="AF470" s="0" t="n">
        <v>0</v>
      </c>
      <c r="AG470" s="0" t="n">
        <v>0</v>
      </c>
      <c r="AH470" s="254" t="e">
        <f aca="false">'Basis Options'!CD475</f>
        <v>#NAME?</v>
      </c>
      <c r="AI470" s="0" t="n">
        <v>226</v>
      </c>
      <c r="AJ470" s="0" t="s">
        <v>630</v>
      </c>
      <c r="AK470" s="0" t="n">
        <v>0</v>
      </c>
      <c r="AL470" s="0" t="n">
        <v>0</v>
      </c>
      <c r="AM470" s="0" t="n">
        <v>0</v>
      </c>
    </row>
    <row r="471" customFormat="false" ht="12.75" hidden="false" customHeight="false" outlineLevel="0" collapsed="false">
      <c r="A471" s="0" t="s">
        <v>621</v>
      </c>
      <c r="B471" s="0" t="str">
        <f aca="false">'Basis Options'!C476</f>
        <v>NR1864</v>
      </c>
      <c r="C471" s="0" t="s">
        <v>622</v>
      </c>
      <c r="D471" s="0" t="s">
        <v>623</v>
      </c>
      <c r="E471" s="0" t="s">
        <v>131</v>
      </c>
      <c r="F471" s="0" t="str">
        <f aca="false">'Basis Options'!A476</f>
        <v>UTILICORP</v>
      </c>
      <c r="G471" s="0" t="s">
        <v>628</v>
      </c>
      <c r="H471" s="0" t="s">
        <v>625</v>
      </c>
      <c r="I471" s="0" t="s">
        <v>626</v>
      </c>
      <c r="J471" s="0" t="s">
        <v>627</v>
      </c>
      <c r="K471" s="475" t="n">
        <f aca="false">'Basis Options'!G476</f>
        <v>36892</v>
      </c>
      <c r="L471" s="254" t="e">
        <f aca="false">'Basis Options'!U476</f>
        <v>#NAME?</v>
      </c>
      <c r="M471" s="475" t="n">
        <f aca="false">'Basis Options'!Q476</f>
        <v>36888</v>
      </c>
      <c r="N471" s="0" t="str">
        <f aca="false">'Basis Options'!F476</f>
        <v>C</v>
      </c>
      <c r="O471" s="0" t="n">
        <f aca="false">'Basis Options'!I476</f>
        <v>0.15</v>
      </c>
      <c r="P471" s="0" t="n">
        <v>0</v>
      </c>
      <c r="Q471" s="0" t="n">
        <v>0</v>
      </c>
      <c r="R471" s="0" t="n">
        <v>0</v>
      </c>
      <c r="S471" s="0" t="n">
        <v>0</v>
      </c>
      <c r="T471" s="0" t="s">
        <v>624</v>
      </c>
      <c r="U471" s="0" t="str">
        <f aca="false">IF('Basis Options'!D476="NGI/CHI. GATE","""NGI/CHI. GATE""",TRIM('Basis Options'!D476))</f>
        <v>"NGI/CHI. GATE"</v>
      </c>
      <c r="V471" s="0" t="s">
        <v>624</v>
      </c>
      <c r="W471" s="0" t="s">
        <v>569</v>
      </c>
      <c r="X471" s="0" t="s">
        <v>624</v>
      </c>
      <c r="Y471" s="0" t="s">
        <v>627</v>
      </c>
      <c r="Z471" s="0" t="s">
        <v>629</v>
      </c>
      <c r="AA471" s="0" t="s">
        <v>624</v>
      </c>
      <c r="AB471" s="0" t="s">
        <v>132</v>
      </c>
      <c r="AC471" s="254" t="n">
        <f aca="false">'Basis Options'!H476</f>
        <v>-155000</v>
      </c>
      <c r="AD471" s="254" t="e">
        <f aca="false">'Basis Options'!W476</f>
        <v>#NAME?</v>
      </c>
      <c r="AE471" s="0" t="n">
        <v>0</v>
      </c>
      <c r="AF471" s="0" t="n">
        <v>0</v>
      </c>
      <c r="AG471" s="0" t="n">
        <v>0</v>
      </c>
      <c r="AH471" s="254" t="e">
        <f aca="false">'Basis Options'!CD476</f>
        <v>#NAME?</v>
      </c>
      <c r="AI471" s="0" t="n">
        <v>226</v>
      </c>
      <c r="AJ471" s="0" t="s">
        <v>630</v>
      </c>
      <c r="AK471" s="0" t="n">
        <v>0</v>
      </c>
      <c r="AL471" s="0" t="n">
        <v>0</v>
      </c>
      <c r="AM471" s="0" t="n">
        <v>0</v>
      </c>
    </row>
    <row r="472" customFormat="false" ht="12.75" hidden="false" customHeight="false" outlineLevel="0" collapsed="false">
      <c r="A472" s="0" t="s">
        <v>621</v>
      </c>
      <c r="B472" s="0" t="str">
        <f aca="false">'Basis Options'!C477</f>
        <v>NR1864</v>
      </c>
      <c r="C472" s="0" t="s">
        <v>622</v>
      </c>
      <c r="D472" s="0" t="s">
        <v>623</v>
      </c>
      <c r="E472" s="0" t="s">
        <v>131</v>
      </c>
      <c r="F472" s="0" t="str">
        <f aca="false">'Basis Options'!A477</f>
        <v>UTILICORP</v>
      </c>
      <c r="G472" s="0" t="s">
        <v>628</v>
      </c>
      <c r="H472" s="0" t="s">
        <v>625</v>
      </c>
      <c r="I472" s="0" t="s">
        <v>626</v>
      </c>
      <c r="J472" s="0" t="s">
        <v>627</v>
      </c>
      <c r="K472" s="475" t="n">
        <f aca="false">'Basis Options'!G477</f>
        <v>36861</v>
      </c>
      <c r="L472" s="254" t="e">
        <f aca="false">'Basis Options'!U477</f>
        <v>#NAME?</v>
      </c>
      <c r="M472" s="475" t="n">
        <f aca="false">'Basis Options'!Q477</f>
        <v>36859</v>
      </c>
      <c r="N472" s="0" t="str">
        <f aca="false">'Basis Options'!F477</f>
        <v>C</v>
      </c>
      <c r="O472" s="0" t="n">
        <f aca="false">'Basis Options'!I477</f>
        <v>0.15</v>
      </c>
      <c r="P472" s="0" t="n">
        <v>0</v>
      </c>
      <c r="Q472" s="0" t="n">
        <v>0</v>
      </c>
      <c r="R472" s="0" t="n">
        <v>0</v>
      </c>
      <c r="S472" s="0" t="n">
        <v>0</v>
      </c>
      <c r="T472" s="0" t="s">
        <v>624</v>
      </c>
      <c r="U472" s="0" t="str">
        <f aca="false">IF('Basis Options'!D477="NGI/CHI. GATE","""NGI/CHI. GATE""",TRIM('Basis Options'!D477))</f>
        <v>"NGI/CHI. GATE"</v>
      </c>
      <c r="V472" s="0" t="s">
        <v>624</v>
      </c>
      <c r="W472" s="0" t="s">
        <v>569</v>
      </c>
      <c r="X472" s="0" t="s">
        <v>624</v>
      </c>
      <c r="Y472" s="0" t="s">
        <v>627</v>
      </c>
      <c r="Z472" s="0" t="s">
        <v>629</v>
      </c>
      <c r="AA472" s="0" t="s">
        <v>624</v>
      </c>
      <c r="AB472" s="0" t="s">
        <v>132</v>
      </c>
      <c r="AC472" s="254" t="n">
        <f aca="false">'Basis Options'!H477</f>
        <v>-155000</v>
      </c>
      <c r="AD472" s="254" t="e">
        <f aca="false">'Basis Options'!W477</f>
        <v>#NAME?</v>
      </c>
      <c r="AE472" s="0" t="n">
        <v>0</v>
      </c>
      <c r="AF472" s="0" t="n">
        <v>0</v>
      </c>
      <c r="AG472" s="0" t="n">
        <v>0</v>
      </c>
      <c r="AH472" s="254" t="e">
        <f aca="false">'Basis Options'!CD477</f>
        <v>#NAME?</v>
      </c>
      <c r="AI472" s="0" t="n">
        <v>226</v>
      </c>
      <c r="AJ472" s="0" t="s">
        <v>630</v>
      </c>
      <c r="AK472" s="0" t="n">
        <v>0</v>
      </c>
      <c r="AL472" s="0" t="n">
        <v>0</v>
      </c>
      <c r="AM472" s="0" t="n">
        <v>0</v>
      </c>
    </row>
    <row r="473" customFormat="false" ht="12.75" hidden="false" customHeight="false" outlineLevel="0" collapsed="false">
      <c r="A473" s="0" t="s">
        <v>621</v>
      </c>
      <c r="B473" s="0" t="str">
        <f aca="false">'Basis Options'!C478</f>
        <v>NR1864</v>
      </c>
      <c r="C473" s="0" t="s">
        <v>622</v>
      </c>
      <c r="D473" s="0" t="s">
        <v>623</v>
      </c>
      <c r="E473" s="0" t="s">
        <v>131</v>
      </c>
      <c r="F473" s="0" t="str">
        <f aca="false">'Basis Options'!A478</f>
        <v>UTILICORP</v>
      </c>
      <c r="G473" s="0" t="s">
        <v>628</v>
      </c>
      <c r="H473" s="0" t="s">
        <v>625</v>
      </c>
      <c r="I473" s="0" t="s">
        <v>626</v>
      </c>
      <c r="J473" s="0" t="s">
        <v>627</v>
      </c>
      <c r="K473" s="475" t="n">
        <f aca="false">'Basis Options'!G478</f>
        <v>36831</v>
      </c>
      <c r="L473" s="254" t="e">
        <f aca="false">'Basis Options'!U478</f>
        <v>#NAME?</v>
      </c>
      <c r="M473" s="475" t="n">
        <f aca="false">'Basis Options'!Q478</f>
        <v>36829</v>
      </c>
      <c r="N473" s="0" t="str">
        <f aca="false">'Basis Options'!F478</f>
        <v>C</v>
      </c>
      <c r="O473" s="0" t="n">
        <f aca="false">'Basis Options'!I478</f>
        <v>0.15</v>
      </c>
      <c r="P473" s="0" t="n">
        <v>0</v>
      </c>
      <c r="Q473" s="0" t="n">
        <v>0</v>
      </c>
      <c r="R473" s="0" t="n">
        <v>0</v>
      </c>
      <c r="S473" s="0" t="n">
        <v>0</v>
      </c>
      <c r="T473" s="0" t="s">
        <v>624</v>
      </c>
      <c r="U473" s="0" t="str">
        <f aca="false">IF('Basis Options'!D478="NGI/CHI. GATE","""NGI/CHI. GATE""",TRIM('Basis Options'!D478))</f>
        <v>"NGI/CHI. GATE"</v>
      </c>
      <c r="V473" s="0" t="s">
        <v>624</v>
      </c>
      <c r="W473" s="0" t="s">
        <v>569</v>
      </c>
      <c r="X473" s="0" t="s">
        <v>624</v>
      </c>
      <c r="Y473" s="0" t="s">
        <v>627</v>
      </c>
      <c r="Z473" s="0" t="s">
        <v>629</v>
      </c>
      <c r="AA473" s="0" t="s">
        <v>624</v>
      </c>
      <c r="AB473" s="0" t="s">
        <v>132</v>
      </c>
      <c r="AC473" s="254" t="n">
        <f aca="false">'Basis Options'!H478</f>
        <v>-150000</v>
      </c>
      <c r="AD473" s="254" t="e">
        <f aca="false">'Basis Options'!W478</f>
        <v>#NAME?</v>
      </c>
      <c r="AE473" s="0" t="n">
        <v>0</v>
      </c>
      <c r="AF473" s="0" t="n">
        <v>0</v>
      </c>
      <c r="AG473" s="0" t="n">
        <v>0</v>
      </c>
      <c r="AH473" s="254" t="e">
        <f aca="false">'Basis Options'!CD478</f>
        <v>#NAME?</v>
      </c>
      <c r="AI473" s="0" t="n">
        <v>226</v>
      </c>
      <c r="AJ473" s="0" t="s">
        <v>630</v>
      </c>
      <c r="AK473" s="0" t="n">
        <v>0</v>
      </c>
      <c r="AL473" s="0" t="n">
        <v>0</v>
      </c>
      <c r="AM473" s="0" t="n">
        <v>0</v>
      </c>
    </row>
    <row r="474" customFormat="false" ht="12.75" hidden="false" customHeight="false" outlineLevel="0" collapsed="false">
      <c r="A474" s="0" t="s">
        <v>621</v>
      </c>
      <c r="B474" s="0" t="str">
        <f aca="false">'Basis Options'!C479</f>
        <v>NR1866</v>
      </c>
      <c r="C474" s="0" t="s">
        <v>622</v>
      </c>
      <c r="D474" s="0" t="s">
        <v>623</v>
      </c>
      <c r="E474" s="0" t="s">
        <v>131</v>
      </c>
      <c r="F474" s="0" t="str">
        <f aca="false">'Basis Options'!A479</f>
        <v>ELPASMER</v>
      </c>
      <c r="G474" s="0" t="s">
        <v>628</v>
      </c>
      <c r="H474" s="0" t="s">
        <v>625</v>
      </c>
      <c r="I474" s="0" t="s">
        <v>626</v>
      </c>
      <c r="J474" s="0" t="s">
        <v>627</v>
      </c>
      <c r="K474" s="475" t="n">
        <f aca="false">'Basis Options'!G479</f>
        <v>36951</v>
      </c>
      <c r="L474" s="254" t="e">
        <f aca="false">'Basis Options'!U479</f>
        <v>#NAME?</v>
      </c>
      <c r="M474" s="475" t="n">
        <f aca="false">'Basis Options'!Q479</f>
        <v>36949</v>
      </c>
      <c r="N474" s="0" t="str">
        <f aca="false">'Basis Options'!F479</f>
        <v>C</v>
      </c>
      <c r="O474" s="0" t="n">
        <f aca="false">'Basis Options'!I479</f>
        <v>0.3</v>
      </c>
      <c r="P474" s="0" t="n">
        <v>0</v>
      </c>
      <c r="Q474" s="0" t="n">
        <v>0</v>
      </c>
      <c r="R474" s="0" t="n">
        <v>0</v>
      </c>
      <c r="S474" s="0" t="n">
        <v>0</v>
      </c>
      <c r="T474" s="0" t="s">
        <v>624</v>
      </c>
      <c r="U474" s="0" t="str">
        <f aca="false">IF('Basis Options'!D479="NGI/CHI. GATE","""NGI/CHI. GATE""",TRIM('Basis Options'!D479))</f>
        <v>NGI-SOCAL</v>
      </c>
      <c r="V474" s="0" t="s">
        <v>624</v>
      </c>
      <c r="W474" s="0" t="s">
        <v>569</v>
      </c>
      <c r="X474" s="0" t="s">
        <v>624</v>
      </c>
      <c r="Y474" s="0" t="s">
        <v>627</v>
      </c>
      <c r="Z474" s="0" t="s">
        <v>629</v>
      </c>
      <c r="AA474" s="0" t="s">
        <v>624</v>
      </c>
      <c r="AB474" s="0" t="s">
        <v>132</v>
      </c>
      <c r="AC474" s="254" t="n">
        <f aca="false">'Basis Options'!H479</f>
        <v>1000000</v>
      </c>
      <c r="AD474" s="254" t="e">
        <f aca="false">'Basis Options'!W479</f>
        <v>#NAME?</v>
      </c>
      <c r="AE474" s="0" t="n">
        <v>0</v>
      </c>
      <c r="AF474" s="0" t="n">
        <v>0</v>
      </c>
      <c r="AG474" s="0" t="n">
        <v>0</v>
      </c>
      <c r="AH474" s="254" t="e">
        <f aca="false">'Basis Options'!CD479</f>
        <v>#NAME?</v>
      </c>
      <c r="AI474" s="0" t="n">
        <v>226</v>
      </c>
      <c r="AJ474" s="0" t="s">
        <v>630</v>
      </c>
      <c r="AK474" s="0" t="n">
        <v>0</v>
      </c>
      <c r="AL474" s="0" t="n">
        <v>0</v>
      </c>
      <c r="AM474" s="0" t="n">
        <v>0</v>
      </c>
    </row>
    <row r="475" customFormat="false" ht="12.75" hidden="false" customHeight="false" outlineLevel="0" collapsed="false">
      <c r="A475" s="0" t="s">
        <v>621</v>
      </c>
      <c r="B475" s="0" t="str">
        <f aca="false">'Basis Options'!C480</f>
        <v>NR1866</v>
      </c>
      <c r="C475" s="0" t="s">
        <v>622</v>
      </c>
      <c r="D475" s="0" t="s">
        <v>623</v>
      </c>
      <c r="E475" s="0" t="s">
        <v>131</v>
      </c>
      <c r="F475" s="0" t="str">
        <f aca="false">'Basis Options'!A480</f>
        <v>ELPASMER</v>
      </c>
      <c r="G475" s="0" t="s">
        <v>628</v>
      </c>
      <c r="H475" s="0" t="s">
        <v>625</v>
      </c>
      <c r="I475" s="0" t="s">
        <v>626</v>
      </c>
      <c r="J475" s="0" t="s">
        <v>627</v>
      </c>
      <c r="K475" s="475" t="n">
        <f aca="false">'Basis Options'!G480</f>
        <v>36923</v>
      </c>
      <c r="L475" s="254" t="e">
        <f aca="false">'Basis Options'!U480</f>
        <v>#NAME?</v>
      </c>
      <c r="M475" s="475" t="n">
        <f aca="false">'Basis Options'!Q480</f>
        <v>36921</v>
      </c>
      <c r="N475" s="0" t="str">
        <f aca="false">'Basis Options'!F480</f>
        <v>C</v>
      </c>
      <c r="O475" s="0" t="n">
        <f aca="false">'Basis Options'!I480</f>
        <v>0.3</v>
      </c>
      <c r="P475" s="0" t="n">
        <v>0</v>
      </c>
      <c r="Q475" s="0" t="n">
        <v>0</v>
      </c>
      <c r="R475" s="0" t="n">
        <v>0</v>
      </c>
      <c r="S475" s="0" t="n">
        <v>0</v>
      </c>
      <c r="T475" s="0" t="s">
        <v>624</v>
      </c>
      <c r="U475" s="0" t="str">
        <f aca="false">IF('Basis Options'!D480="NGI/CHI. GATE","""NGI/CHI. GATE""",TRIM('Basis Options'!D480))</f>
        <v>NGI-SOCAL</v>
      </c>
      <c r="V475" s="0" t="s">
        <v>624</v>
      </c>
      <c r="W475" s="0" t="s">
        <v>569</v>
      </c>
      <c r="X475" s="0" t="s">
        <v>624</v>
      </c>
      <c r="Y475" s="0" t="s">
        <v>627</v>
      </c>
      <c r="Z475" s="0" t="s">
        <v>629</v>
      </c>
      <c r="AA475" s="0" t="s">
        <v>624</v>
      </c>
      <c r="AB475" s="0" t="s">
        <v>132</v>
      </c>
      <c r="AC475" s="254" t="n">
        <f aca="false">'Basis Options'!H480</f>
        <v>1000000</v>
      </c>
      <c r="AD475" s="254" t="e">
        <f aca="false">'Basis Options'!W480</f>
        <v>#NAME?</v>
      </c>
      <c r="AE475" s="0" t="n">
        <v>0</v>
      </c>
      <c r="AF475" s="0" t="n">
        <v>0</v>
      </c>
      <c r="AG475" s="0" t="n">
        <v>0</v>
      </c>
      <c r="AH475" s="254" t="e">
        <f aca="false">'Basis Options'!CD480</f>
        <v>#NAME?</v>
      </c>
      <c r="AI475" s="0" t="n">
        <v>226</v>
      </c>
      <c r="AJ475" s="0" t="s">
        <v>630</v>
      </c>
      <c r="AK475" s="0" t="n">
        <v>0</v>
      </c>
      <c r="AL475" s="0" t="n">
        <v>0</v>
      </c>
      <c r="AM475" s="0" t="n">
        <v>0</v>
      </c>
    </row>
    <row r="476" customFormat="false" ht="12.75" hidden="false" customHeight="false" outlineLevel="0" collapsed="false">
      <c r="A476" s="0" t="s">
        <v>621</v>
      </c>
      <c r="B476" s="0" t="str">
        <f aca="false">'Basis Options'!C481</f>
        <v>NR1866</v>
      </c>
      <c r="C476" s="0" t="s">
        <v>622</v>
      </c>
      <c r="D476" s="0" t="s">
        <v>623</v>
      </c>
      <c r="E476" s="0" t="s">
        <v>131</v>
      </c>
      <c r="F476" s="0" t="str">
        <f aca="false">'Basis Options'!A481</f>
        <v>ELPASMER</v>
      </c>
      <c r="G476" s="0" t="s">
        <v>628</v>
      </c>
      <c r="H476" s="0" t="s">
        <v>625</v>
      </c>
      <c r="I476" s="0" t="s">
        <v>626</v>
      </c>
      <c r="J476" s="0" t="s">
        <v>627</v>
      </c>
      <c r="K476" s="475" t="n">
        <f aca="false">'Basis Options'!G481</f>
        <v>36892</v>
      </c>
      <c r="L476" s="254" t="e">
        <f aca="false">'Basis Options'!U481</f>
        <v>#NAME?</v>
      </c>
      <c r="M476" s="475" t="n">
        <f aca="false">'Basis Options'!Q481</f>
        <v>36888</v>
      </c>
      <c r="N476" s="0" t="str">
        <f aca="false">'Basis Options'!F481</f>
        <v>C</v>
      </c>
      <c r="O476" s="0" t="n">
        <f aca="false">'Basis Options'!I481</f>
        <v>0.3</v>
      </c>
      <c r="P476" s="0" t="n">
        <v>0</v>
      </c>
      <c r="Q476" s="0" t="n">
        <v>0</v>
      </c>
      <c r="R476" s="0" t="n">
        <v>0</v>
      </c>
      <c r="S476" s="0" t="n">
        <v>0</v>
      </c>
      <c r="T476" s="0" t="s">
        <v>624</v>
      </c>
      <c r="U476" s="0" t="str">
        <f aca="false">IF('Basis Options'!D481="NGI/CHI. GATE","""NGI/CHI. GATE""",TRIM('Basis Options'!D481))</f>
        <v>NGI-SOCAL</v>
      </c>
      <c r="V476" s="0" t="s">
        <v>624</v>
      </c>
      <c r="W476" s="0" t="s">
        <v>569</v>
      </c>
      <c r="X476" s="0" t="s">
        <v>624</v>
      </c>
      <c r="Y476" s="0" t="s">
        <v>627</v>
      </c>
      <c r="Z476" s="0" t="s">
        <v>629</v>
      </c>
      <c r="AA476" s="0" t="s">
        <v>624</v>
      </c>
      <c r="AB476" s="0" t="s">
        <v>132</v>
      </c>
      <c r="AC476" s="254" t="n">
        <f aca="false">'Basis Options'!H481</f>
        <v>1000000</v>
      </c>
      <c r="AD476" s="254" t="e">
        <f aca="false">'Basis Options'!W481</f>
        <v>#NAME?</v>
      </c>
      <c r="AE476" s="0" t="n">
        <v>0</v>
      </c>
      <c r="AF476" s="0" t="n">
        <v>0</v>
      </c>
      <c r="AG476" s="0" t="n">
        <v>0</v>
      </c>
      <c r="AH476" s="254" t="e">
        <f aca="false">'Basis Options'!CD481</f>
        <v>#NAME?</v>
      </c>
      <c r="AI476" s="0" t="n">
        <v>226</v>
      </c>
      <c r="AJ476" s="0" t="s">
        <v>630</v>
      </c>
      <c r="AK476" s="0" t="n">
        <v>0</v>
      </c>
      <c r="AL476" s="0" t="n">
        <v>0</v>
      </c>
      <c r="AM476" s="0" t="n">
        <v>0</v>
      </c>
    </row>
    <row r="477" customFormat="false" ht="12.75" hidden="false" customHeight="false" outlineLevel="0" collapsed="false">
      <c r="A477" s="0" t="s">
        <v>621</v>
      </c>
      <c r="B477" s="0" t="str">
        <f aca="false">'Basis Options'!C482</f>
        <v>NR1866</v>
      </c>
      <c r="C477" s="0" t="s">
        <v>622</v>
      </c>
      <c r="D477" s="0" t="s">
        <v>623</v>
      </c>
      <c r="E477" s="0" t="s">
        <v>131</v>
      </c>
      <c r="F477" s="0" t="str">
        <f aca="false">'Basis Options'!A482</f>
        <v>ELPASMER</v>
      </c>
      <c r="G477" s="0" t="s">
        <v>628</v>
      </c>
      <c r="H477" s="0" t="s">
        <v>625</v>
      </c>
      <c r="I477" s="0" t="s">
        <v>626</v>
      </c>
      <c r="J477" s="0" t="s">
        <v>627</v>
      </c>
      <c r="K477" s="475" t="n">
        <f aca="false">'Basis Options'!G482</f>
        <v>36861</v>
      </c>
      <c r="L477" s="254" t="e">
        <f aca="false">'Basis Options'!U482</f>
        <v>#NAME?</v>
      </c>
      <c r="M477" s="475" t="n">
        <f aca="false">'Basis Options'!Q482</f>
        <v>36859</v>
      </c>
      <c r="N477" s="0" t="str">
        <f aca="false">'Basis Options'!F482</f>
        <v>C</v>
      </c>
      <c r="O477" s="0" t="n">
        <f aca="false">'Basis Options'!I482</f>
        <v>0.3</v>
      </c>
      <c r="P477" s="0" t="n">
        <v>0</v>
      </c>
      <c r="Q477" s="0" t="n">
        <v>0</v>
      </c>
      <c r="R477" s="0" t="n">
        <v>0</v>
      </c>
      <c r="S477" s="0" t="n">
        <v>0</v>
      </c>
      <c r="T477" s="0" t="s">
        <v>624</v>
      </c>
      <c r="U477" s="0" t="str">
        <f aca="false">IF('Basis Options'!D482="NGI/CHI. GATE","""NGI/CHI. GATE""",TRIM('Basis Options'!D482))</f>
        <v>NGI-SOCAL</v>
      </c>
      <c r="V477" s="0" t="s">
        <v>624</v>
      </c>
      <c r="W477" s="0" t="s">
        <v>569</v>
      </c>
      <c r="X477" s="0" t="s">
        <v>624</v>
      </c>
      <c r="Y477" s="0" t="s">
        <v>627</v>
      </c>
      <c r="Z477" s="0" t="s">
        <v>629</v>
      </c>
      <c r="AA477" s="0" t="s">
        <v>624</v>
      </c>
      <c r="AB477" s="0" t="s">
        <v>132</v>
      </c>
      <c r="AC477" s="254" t="n">
        <f aca="false">'Basis Options'!H482</f>
        <v>1000000</v>
      </c>
      <c r="AD477" s="254" t="e">
        <f aca="false">'Basis Options'!W482</f>
        <v>#NAME?</v>
      </c>
      <c r="AE477" s="0" t="n">
        <v>0</v>
      </c>
      <c r="AF477" s="0" t="n">
        <v>0</v>
      </c>
      <c r="AG477" s="0" t="n">
        <v>0</v>
      </c>
      <c r="AH477" s="254" t="e">
        <f aca="false">'Basis Options'!CD482</f>
        <v>#NAME?</v>
      </c>
      <c r="AI477" s="0" t="n">
        <v>226</v>
      </c>
      <c r="AJ477" s="0" t="s">
        <v>630</v>
      </c>
      <c r="AK477" s="0" t="n">
        <v>0</v>
      </c>
      <c r="AL477" s="0" t="n">
        <v>0</v>
      </c>
      <c r="AM477" s="0" t="n">
        <v>0</v>
      </c>
    </row>
    <row r="478" customFormat="false" ht="12.75" hidden="false" customHeight="false" outlineLevel="0" collapsed="false">
      <c r="A478" s="0" t="s">
        <v>621</v>
      </c>
      <c r="B478" s="0" t="str">
        <f aca="false">'Basis Options'!C483</f>
        <v>NR1866</v>
      </c>
      <c r="C478" s="0" t="s">
        <v>622</v>
      </c>
      <c r="D478" s="0" t="s">
        <v>623</v>
      </c>
      <c r="E478" s="0" t="s">
        <v>131</v>
      </c>
      <c r="F478" s="0" t="str">
        <f aca="false">'Basis Options'!A483</f>
        <v>ELPASMER</v>
      </c>
      <c r="G478" s="0" t="s">
        <v>628</v>
      </c>
      <c r="H478" s="0" t="s">
        <v>625</v>
      </c>
      <c r="I478" s="0" t="s">
        <v>626</v>
      </c>
      <c r="J478" s="0" t="s">
        <v>627</v>
      </c>
      <c r="K478" s="475" t="n">
        <f aca="false">'Basis Options'!G483</f>
        <v>36831</v>
      </c>
      <c r="L478" s="254" t="e">
        <f aca="false">'Basis Options'!U483</f>
        <v>#NAME?</v>
      </c>
      <c r="M478" s="475" t="n">
        <f aca="false">'Basis Options'!Q483</f>
        <v>36829</v>
      </c>
      <c r="N478" s="0" t="str">
        <f aca="false">'Basis Options'!F483</f>
        <v>C</v>
      </c>
      <c r="O478" s="0" t="n">
        <f aca="false">'Basis Options'!I483</f>
        <v>0.3</v>
      </c>
      <c r="P478" s="0" t="n">
        <v>0</v>
      </c>
      <c r="Q478" s="0" t="n">
        <v>0</v>
      </c>
      <c r="R478" s="0" t="n">
        <v>0</v>
      </c>
      <c r="S478" s="0" t="n">
        <v>0</v>
      </c>
      <c r="T478" s="0" t="s">
        <v>624</v>
      </c>
      <c r="U478" s="0" t="str">
        <f aca="false">IF('Basis Options'!D483="NGI/CHI. GATE","""NGI/CHI. GATE""",TRIM('Basis Options'!D483))</f>
        <v>NGI-SOCAL</v>
      </c>
      <c r="V478" s="0" t="s">
        <v>624</v>
      </c>
      <c r="W478" s="0" t="s">
        <v>569</v>
      </c>
      <c r="X478" s="0" t="s">
        <v>624</v>
      </c>
      <c r="Y478" s="0" t="s">
        <v>627</v>
      </c>
      <c r="Z478" s="0" t="s">
        <v>629</v>
      </c>
      <c r="AA478" s="0" t="s">
        <v>624</v>
      </c>
      <c r="AB478" s="0" t="s">
        <v>132</v>
      </c>
      <c r="AC478" s="254" t="n">
        <f aca="false">'Basis Options'!H483</f>
        <v>1000000</v>
      </c>
      <c r="AD478" s="254" t="e">
        <f aca="false">'Basis Options'!W483</f>
        <v>#NAME?</v>
      </c>
      <c r="AE478" s="0" t="n">
        <v>0</v>
      </c>
      <c r="AF478" s="0" t="n">
        <v>0</v>
      </c>
      <c r="AG478" s="0" t="n">
        <v>0</v>
      </c>
      <c r="AH478" s="254" t="e">
        <f aca="false">'Basis Options'!CD483</f>
        <v>#NAME?</v>
      </c>
      <c r="AI478" s="0" t="n">
        <v>226</v>
      </c>
      <c r="AJ478" s="0" t="s">
        <v>630</v>
      </c>
      <c r="AK478" s="0" t="n">
        <v>0</v>
      </c>
      <c r="AL478" s="0" t="n">
        <v>0</v>
      </c>
      <c r="AM478" s="0" t="n">
        <v>0</v>
      </c>
    </row>
    <row r="479" customFormat="false" ht="12.75" hidden="false" customHeight="false" outlineLevel="0" collapsed="false">
      <c r="A479" s="0" t="s">
        <v>621</v>
      </c>
      <c r="B479" s="0" t="str">
        <f aca="false">'Basis Options'!C484</f>
        <v>NR1867</v>
      </c>
      <c r="C479" s="0" t="s">
        <v>622</v>
      </c>
      <c r="D479" s="0" t="s">
        <v>623</v>
      </c>
      <c r="E479" s="0" t="s">
        <v>131</v>
      </c>
      <c r="F479" s="0" t="str">
        <f aca="false">'Basis Options'!A484</f>
        <v>CONAGRAENESER</v>
      </c>
      <c r="G479" s="0" t="s">
        <v>628</v>
      </c>
      <c r="H479" s="0" t="s">
        <v>625</v>
      </c>
      <c r="I479" s="0" t="s">
        <v>626</v>
      </c>
      <c r="J479" s="0" t="s">
        <v>627</v>
      </c>
      <c r="K479" s="475" t="n">
        <f aca="false">'Basis Options'!G484</f>
        <v>36951</v>
      </c>
      <c r="L479" s="254" t="e">
        <f aca="false">'Basis Options'!U484</f>
        <v>#NAME?</v>
      </c>
      <c r="M479" s="475" t="n">
        <f aca="false">'Basis Options'!Q484</f>
        <v>36949</v>
      </c>
      <c r="N479" s="0" t="str">
        <f aca="false">'Basis Options'!F484</f>
        <v>C</v>
      </c>
      <c r="O479" s="0" t="n">
        <f aca="false">'Basis Options'!I484</f>
        <v>0.3</v>
      </c>
      <c r="P479" s="0" t="n">
        <v>0</v>
      </c>
      <c r="Q479" s="0" t="n">
        <v>0</v>
      </c>
      <c r="R479" s="0" t="n">
        <v>0</v>
      </c>
      <c r="S479" s="0" t="n">
        <v>0</v>
      </c>
      <c r="T479" s="0" t="s">
        <v>624</v>
      </c>
      <c r="U479" s="0" t="str">
        <f aca="false">IF('Basis Options'!D484="NGI/CHI. GATE","""NGI/CHI. GATE""",TRIM('Basis Options'!D484))</f>
        <v>NGI-SOCAL</v>
      </c>
      <c r="V479" s="0" t="s">
        <v>624</v>
      </c>
      <c r="W479" s="0" t="s">
        <v>569</v>
      </c>
      <c r="X479" s="0" t="s">
        <v>624</v>
      </c>
      <c r="Y479" s="0" t="s">
        <v>627</v>
      </c>
      <c r="Z479" s="0" t="s">
        <v>629</v>
      </c>
      <c r="AA479" s="0" t="s">
        <v>624</v>
      </c>
      <c r="AB479" s="0" t="s">
        <v>132</v>
      </c>
      <c r="AC479" s="254" t="n">
        <f aca="false">'Basis Options'!H484</f>
        <v>500000</v>
      </c>
      <c r="AD479" s="254" t="e">
        <f aca="false">'Basis Options'!W484</f>
        <v>#NAME?</v>
      </c>
      <c r="AE479" s="0" t="n">
        <v>0</v>
      </c>
      <c r="AF479" s="0" t="n">
        <v>0</v>
      </c>
      <c r="AG479" s="0" t="n">
        <v>0</v>
      </c>
      <c r="AH479" s="254" t="e">
        <f aca="false">'Basis Options'!CD484</f>
        <v>#NAME?</v>
      </c>
      <c r="AI479" s="0" t="n">
        <v>226</v>
      </c>
      <c r="AJ479" s="0" t="s">
        <v>630</v>
      </c>
      <c r="AK479" s="0" t="n">
        <v>0</v>
      </c>
      <c r="AL479" s="0" t="n">
        <v>0</v>
      </c>
      <c r="AM479" s="0" t="n">
        <v>0</v>
      </c>
    </row>
    <row r="480" customFormat="false" ht="12.75" hidden="false" customHeight="false" outlineLevel="0" collapsed="false">
      <c r="A480" s="0" t="s">
        <v>621</v>
      </c>
      <c r="B480" s="0" t="str">
        <f aca="false">'Basis Options'!C485</f>
        <v>NR1867</v>
      </c>
      <c r="C480" s="0" t="s">
        <v>622</v>
      </c>
      <c r="D480" s="0" t="s">
        <v>623</v>
      </c>
      <c r="E480" s="0" t="s">
        <v>131</v>
      </c>
      <c r="F480" s="0" t="str">
        <f aca="false">'Basis Options'!A485</f>
        <v>CONAGRAENESER</v>
      </c>
      <c r="G480" s="0" t="s">
        <v>628</v>
      </c>
      <c r="H480" s="0" t="s">
        <v>625</v>
      </c>
      <c r="I480" s="0" t="s">
        <v>626</v>
      </c>
      <c r="J480" s="0" t="s">
        <v>627</v>
      </c>
      <c r="K480" s="475" t="n">
        <f aca="false">'Basis Options'!G485</f>
        <v>36923</v>
      </c>
      <c r="L480" s="254" t="e">
        <f aca="false">'Basis Options'!U485</f>
        <v>#NAME?</v>
      </c>
      <c r="M480" s="475" t="n">
        <f aca="false">'Basis Options'!Q485</f>
        <v>36921</v>
      </c>
      <c r="N480" s="0" t="str">
        <f aca="false">'Basis Options'!F485</f>
        <v>C</v>
      </c>
      <c r="O480" s="0" t="n">
        <f aca="false">'Basis Options'!I485</f>
        <v>0.3</v>
      </c>
      <c r="P480" s="0" t="n">
        <v>0</v>
      </c>
      <c r="Q480" s="0" t="n">
        <v>0</v>
      </c>
      <c r="R480" s="0" t="n">
        <v>0</v>
      </c>
      <c r="S480" s="0" t="n">
        <v>0</v>
      </c>
      <c r="T480" s="0" t="s">
        <v>624</v>
      </c>
      <c r="U480" s="0" t="str">
        <f aca="false">IF('Basis Options'!D485="NGI/CHI. GATE","""NGI/CHI. GATE""",TRIM('Basis Options'!D485))</f>
        <v>NGI-SOCAL</v>
      </c>
      <c r="V480" s="0" t="s">
        <v>624</v>
      </c>
      <c r="W480" s="0" t="s">
        <v>569</v>
      </c>
      <c r="X480" s="0" t="s">
        <v>624</v>
      </c>
      <c r="Y480" s="0" t="s">
        <v>627</v>
      </c>
      <c r="Z480" s="0" t="s">
        <v>629</v>
      </c>
      <c r="AA480" s="0" t="s">
        <v>624</v>
      </c>
      <c r="AB480" s="0" t="s">
        <v>132</v>
      </c>
      <c r="AC480" s="254" t="n">
        <f aca="false">'Basis Options'!H485</f>
        <v>500000</v>
      </c>
      <c r="AD480" s="254" t="e">
        <f aca="false">'Basis Options'!W485</f>
        <v>#NAME?</v>
      </c>
      <c r="AE480" s="0" t="n">
        <v>0</v>
      </c>
      <c r="AF480" s="0" t="n">
        <v>0</v>
      </c>
      <c r="AG480" s="0" t="n">
        <v>0</v>
      </c>
      <c r="AH480" s="254" t="e">
        <f aca="false">'Basis Options'!CD485</f>
        <v>#NAME?</v>
      </c>
      <c r="AI480" s="0" t="n">
        <v>226</v>
      </c>
      <c r="AJ480" s="0" t="s">
        <v>630</v>
      </c>
      <c r="AK480" s="0" t="n">
        <v>0</v>
      </c>
      <c r="AL480" s="0" t="n">
        <v>0</v>
      </c>
      <c r="AM480" s="0" t="n">
        <v>0</v>
      </c>
    </row>
    <row r="481" customFormat="false" ht="12.75" hidden="false" customHeight="false" outlineLevel="0" collapsed="false">
      <c r="A481" s="0" t="s">
        <v>621</v>
      </c>
      <c r="B481" s="0" t="str">
        <f aca="false">'Basis Options'!C486</f>
        <v>NR1867</v>
      </c>
      <c r="C481" s="0" t="s">
        <v>622</v>
      </c>
      <c r="D481" s="0" t="s">
        <v>623</v>
      </c>
      <c r="E481" s="0" t="s">
        <v>131</v>
      </c>
      <c r="F481" s="0" t="str">
        <f aca="false">'Basis Options'!A486</f>
        <v>CONAGRAENESER</v>
      </c>
      <c r="G481" s="0" t="s">
        <v>628</v>
      </c>
      <c r="H481" s="0" t="s">
        <v>625</v>
      </c>
      <c r="I481" s="0" t="s">
        <v>626</v>
      </c>
      <c r="J481" s="0" t="s">
        <v>627</v>
      </c>
      <c r="K481" s="475" t="n">
        <f aca="false">'Basis Options'!G486</f>
        <v>36892</v>
      </c>
      <c r="L481" s="254" t="e">
        <f aca="false">'Basis Options'!U486</f>
        <v>#NAME?</v>
      </c>
      <c r="M481" s="475" t="n">
        <f aca="false">'Basis Options'!Q486</f>
        <v>36888</v>
      </c>
      <c r="N481" s="0" t="str">
        <f aca="false">'Basis Options'!F486</f>
        <v>C</v>
      </c>
      <c r="O481" s="0" t="n">
        <f aca="false">'Basis Options'!I486</f>
        <v>0.3</v>
      </c>
      <c r="P481" s="0" t="n">
        <v>0</v>
      </c>
      <c r="Q481" s="0" t="n">
        <v>0</v>
      </c>
      <c r="R481" s="0" t="n">
        <v>0</v>
      </c>
      <c r="S481" s="0" t="n">
        <v>0</v>
      </c>
      <c r="T481" s="0" t="s">
        <v>624</v>
      </c>
      <c r="U481" s="0" t="str">
        <f aca="false">IF('Basis Options'!D486="NGI/CHI. GATE","""NGI/CHI. GATE""",TRIM('Basis Options'!D486))</f>
        <v>NGI-SOCAL</v>
      </c>
      <c r="V481" s="0" t="s">
        <v>624</v>
      </c>
      <c r="W481" s="0" t="s">
        <v>569</v>
      </c>
      <c r="X481" s="0" t="s">
        <v>624</v>
      </c>
      <c r="Y481" s="0" t="s">
        <v>627</v>
      </c>
      <c r="Z481" s="0" t="s">
        <v>629</v>
      </c>
      <c r="AA481" s="0" t="s">
        <v>624</v>
      </c>
      <c r="AB481" s="0" t="s">
        <v>132</v>
      </c>
      <c r="AC481" s="254" t="n">
        <f aca="false">'Basis Options'!H486</f>
        <v>500000</v>
      </c>
      <c r="AD481" s="254" t="e">
        <f aca="false">'Basis Options'!W486</f>
        <v>#NAME?</v>
      </c>
      <c r="AE481" s="0" t="n">
        <v>0</v>
      </c>
      <c r="AF481" s="0" t="n">
        <v>0</v>
      </c>
      <c r="AG481" s="0" t="n">
        <v>0</v>
      </c>
      <c r="AH481" s="254" t="e">
        <f aca="false">'Basis Options'!CD486</f>
        <v>#NAME?</v>
      </c>
      <c r="AI481" s="0" t="n">
        <v>226</v>
      </c>
      <c r="AJ481" s="0" t="s">
        <v>630</v>
      </c>
      <c r="AK481" s="0" t="n">
        <v>0</v>
      </c>
      <c r="AL481" s="0" t="n">
        <v>0</v>
      </c>
      <c r="AM481" s="0" t="n">
        <v>0</v>
      </c>
    </row>
    <row r="482" customFormat="false" ht="12.75" hidden="false" customHeight="false" outlineLevel="0" collapsed="false">
      <c r="A482" s="0" t="s">
        <v>621</v>
      </c>
      <c r="B482" s="0" t="str">
        <f aca="false">'Basis Options'!C487</f>
        <v>NR1867</v>
      </c>
      <c r="C482" s="0" t="s">
        <v>622</v>
      </c>
      <c r="D482" s="0" t="s">
        <v>623</v>
      </c>
      <c r="E482" s="0" t="s">
        <v>131</v>
      </c>
      <c r="F482" s="0" t="str">
        <f aca="false">'Basis Options'!A487</f>
        <v>CONAGRAENESER</v>
      </c>
      <c r="G482" s="0" t="s">
        <v>628</v>
      </c>
      <c r="H482" s="0" t="s">
        <v>625</v>
      </c>
      <c r="I482" s="0" t="s">
        <v>626</v>
      </c>
      <c r="J482" s="0" t="s">
        <v>627</v>
      </c>
      <c r="K482" s="475" t="n">
        <f aca="false">'Basis Options'!G487</f>
        <v>36861</v>
      </c>
      <c r="L482" s="254" t="e">
        <f aca="false">'Basis Options'!U487</f>
        <v>#NAME?</v>
      </c>
      <c r="M482" s="475" t="n">
        <f aca="false">'Basis Options'!Q487</f>
        <v>36859</v>
      </c>
      <c r="N482" s="0" t="str">
        <f aca="false">'Basis Options'!F487</f>
        <v>C</v>
      </c>
      <c r="O482" s="0" t="n">
        <f aca="false">'Basis Options'!I487</f>
        <v>0.3</v>
      </c>
      <c r="P482" s="0" t="n">
        <v>0</v>
      </c>
      <c r="Q482" s="0" t="n">
        <v>0</v>
      </c>
      <c r="R482" s="0" t="n">
        <v>0</v>
      </c>
      <c r="S482" s="0" t="n">
        <v>0</v>
      </c>
      <c r="T482" s="0" t="s">
        <v>624</v>
      </c>
      <c r="U482" s="0" t="str">
        <f aca="false">IF('Basis Options'!D487="NGI/CHI. GATE","""NGI/CHI. GATE""",TRIM('Basis Options'!D487))</f>
        <v>NGI-SOCAL</v>
      </c>
      <c r="V482" s="0" t="s">
        <v>624</v>
      </c>
      <c r="W482" s="0" t="s">
        <v>569</v>
      </c>
      <c r="X482" s="0" t="s">
        <v>624</v>
      </c>
      <c r="Y482" s="0" t="s">
        <v>627</v>
      </c>
      <c r="Z482" s="0" t="s">
        <v>629</v>
      </c>
      <c r="AA482" s="0" t="s">
        <v>624</v>
      </c>
      <c r="AB482" s="0" t="s">
        <v>132</v>
      </c>
      <c r="AC482" s="254" t="n">
        <f aca="false">'Basis Options'!H487</f>
        <v>500000</v>
      </c>
      <c r="AD482" s="254" t="e">
        <f aca="false">'Basis Options'!W487</f>
        <v>#NAME?</v>
      </c>
      <c r="AE482" s="0" t="n">
        <v>0</v>
      </c>
      <c r="AF482" s="0" t="n">
        <v>0</v>
      </c>
      <c r="AG482" s="0" t="n">
        <v>0</v>
      </c>
      <c r="AH482" s="254" t="e">
        <f aca="false">'Basis Options'!CD487</f>
        <v>#NAME?</v>
      </c>
      <c r="AI482" s="0" t="n">
        <v>226</v>
      </c>
      <c r="AJ482" s="0" t="s">
        <v>630</v>
      </c>
      <c r="AK482" s="0" t="n">
        <v>0</v>
      </c>
      <c r="AL482" s="0" t="n">
        <v>0</v>
      </c>
      <c r="AM482" s="0" t="n">
        <v>0</v>
      </c>
    </row>
    <row r="483" customFormat="false" ht="12.75" hidden="false" customHeight="false" outlineLevel="0" collapsed="false">
      <c r="A483" s="0" t="s">
        <v>621</v>
      </c>
      <c r="B483" s="0" t="str">
        <f aca="false">'Basis Options'!C488</f>
        <v>NR1867</v>
      </c>
      <c r="C483" s="0" t="s">
        <v>622</v>
      </c>
      <c r="D483" s="0" t="s">
        <v>623</v>
      </c>
      <c r="E483" s="0" t="s">
        <v>131</v>
      </c>
      <c r="F483" s="0" t="str">
        <f aca="false">'Basis Options'!A488</f>
        <v>CONAGRAENESER</v>
      </c>
      <c r="G483" s="0" t="s">
        <v>628</v>
      </c>
      <c r="H483" s="0" t="s">
        <v>625</v>
      </c>
      <c r="I483" s="0" t="s">
        <v>626</v>
      </c>
      <c r="J483" s="0" t="s">
        <v>627</v>
      </c>
      <c r="K483" s="475" t="n">
        <f aca="false">'Basis Options'!G488</f>
        <v>36831</v>
      </c>
      <c r="L483" s="254" t="e">
        <f aca="false">'Basis Options'!U488</f>
        <v>#NAME?</v>
      </c>
      <c r="M483" s="475" t="n">
        <f aca="false">'Basis Options'!Q488</f>
        <v>36829</v>
      </c>
      <c r="N483" s="0" t="str">
        <f aca="false">'Basis Options'!F488</f>
        <v>C</v>
      </c>
      <c r="O483" s="0" t="n">
        <f aca="false">'Basis Options'!I488</f>
        <v>0.3</v>
      </c>
      <c r="P483" s="0" t="n">
        <v>0</v>
      </c>
      <c r="Q483" s="0" t="n">
        <v>0</v>
      </c>
      <c r="R483" s="0" t="n">
        <v>0</v>
      </c>
      <c r="S483" s="0" t="n">
        <v>0</v>
      </c>
      <c r="T483" s="0" t="s">
        <v>624</v>
      </c>
      <c r="U483" s="0" t="str">
        <f aca="false">IF('Basis Options'!D488="NGI/CHI. GATE","""NGI/CHI. GATE""",TRIM('Basis Options'!D488))</f>
        <v>NGI-SOCAL</v>
      </c>
      <c r="V483" s="0" t="s">
        <v>624</v>
      </c>
      <c r="W483" s="0" t="s">
        <v>569</v>
      </c>
      <c r="X483" s="0" t="s">
        <v>624</v>
      </c>
      <c r="Y483" s="0" t="s">
        <v>627</v>
      </c>
      <c r="Z483" s="0" t="s">
        <v>629</v>
      </c>
      <c r="AA483" s="0" t="s">
        <v>624</v>
      </c>
      <c r="AB483" s="0" t="s">
        <v>132</v>
      </c>
      <c r="AC483" s="254" t="n">
        <f aca="false">'Basis Options'!H488</f>
        <v>500000</v>
      </c>
      <c r="AD483" s="254" t="e">
        <f aca="false">'Basis Options'!W488</f>
        <v>#NAME?</v>
      </c>
      <c r="AE483" s="0" t="n">
        <v>0</v>
      </c>
      <c r="AF483" s="0" t="n">
        <v>0</v>
      </c>
      <c r="AG483" s="0" t="n">
        <v>0</v>
      </c>
      <c r="AH483" s="254" t="e">
        <f aca="false">'Basis Options'!CD488</f>
        <v>#NAME?</v>
      </c>
      <c r="AI483" s="0" t="n">
        <v>226</v>
      </c>
      <c r="AJ483" s="0" t="s">
        <v>630</v>
      </c>
      <c r="AK483" s="0" t="n">
        <v>0</v>
      </c>
      <c r="AL483" s="0" t="n">
        <v>0</v>
      </c>
      <c r="AM483" s="0" t="n">
        <v>0</v>
      </c>
    </row>
    <row r="484" customFormat="false" ht="12.75" hidden="false" customHeight="false" outlineLevel="0" collapsed="false">
      <c r="A484" s="0" t="s">
        <v>621</v>
      </c>
      <c r="B484" s="0" t="str">
        <f aca="false">'Basis Options'!C489</f>
        <v>NR3983</v>
      </c>
      <c r="C484" s="0" t="s">
        <v>622</v>
      </c>
      <c r="D484" s="0" t="s">
        <v>623</v>
      </c>
      <c r="E484" s="0" t="s">
        <v>131</v>
      </c>
      <c r="F484" s="0" t="str">
        <f aca="false">'Basis Options'!A489</f>
        <v>SOUTHERCOMENEMA</v>
      </c>
      <c r="G484" s="0" t="s">
        <v>628</v>
      </c>
      <c r="H484" s="0" t="s">
        <v>625</v>
      </c>
      <c r="I484" s="0" t="s">
        <v>626</v>
      </c>
      <c r="J484" s="0" t="s">
        <v>627</v>
      </c>
      <c r="K484" s="475" t="n">
        <f aca="false">'Basis Options'!G489</f>
        <v>37165</v>
      </c>
      <c r="L484" s="254" t="e">
        <f aca="false">'Basis Options'!U489</f>
        <v>#NAME?</v>
      </c>
      <c r="M484" s="475" t="n">
        <f aca="false">'Basis Options'!Q489</f>
        <v>37161</v>
      </c>
      <c r="N484" s="0" t="str">
        <f aca="false">'Basis Options'!F489</f>
        <v>C</v>
      </c>
      <c r="O484" s="0" t="n">
        <f aca="false">'Basis Options'!I489</f>
        <v>0.5</v>
      </c>
      <c r="P484" s="0" t="n">
        <v>0</v>
      </c>
      <c r="Q484" s="0" t="n">
        <v>0</v>
      </c>
      <c r="R484" s="0" t="n">
        <v>0</v>
      </c>
      <c r="S484" s="0" t="n">
        <v>0</v>
      </c>
      <c r="T484" s="0" t="s">
        <v>624</v>
      </c>
      <c r="U484" s="0" t="str">
        <f aca="false">IF('Basis Options'!D489="NGI/CHI. GATE","""NGI/CHI. GATE""",TRIM('Basis Options'!D489))</f>
        <v>IF-TRANSCO/Z6</v>
      </c>
      <c r="V484" s="0" t="s">
        <v>624</v>
      </c>
      <c r="W484" s="0" t="s">
        <v>569</v>
      </c>
      <c r="X484" s="0" t="s">
        <v>624</v>
      </c>
      <c r="Y484" s="0" t="s">
        <v>627</v>
      </c>
      <c r="Z484" s="0" t="s">
        <v>629</v>
      </c>
      <c r="AA484" s="0" t="s">
        <v>624</v>
      </c>
      <c r="AB484" s="0" t="s">
        <v>132</v>
      </c>
      <c r="AC484" s="254" t="n">
        <f aca="false">'Basis Options'!H489</f>
        <v>310000</v>
      </c>
      <c r="AD484" s="254" t="e">
        <f aca="false">'Basis Options'!W489</f>
        <v>#NAME?</v>
      </c>
      <c r="AE484" s="0" t="n">
        <v>0</v>
      </c>
      <c r="AF484" s="0" t="n">
        <v>0</v>
      </c>
      <c r="AG484" s="0" t="n">
        <v>0</v>
      </c>
      <c r="AH484" s="254" t="e">
        <f aca="false">'Basis Options'!CD489</f>
        <v>#NAME?</v>
      </c>
      <c r="AI484" s="0" t="n">
        <v>226</v>
      </c>
      <c r="AJ484" s="0" t="s">
        <v>630</v>
      </c>
      <c r="AK484" s="0" t="n">
        <v>0</v>
      </c>
      <c r="AL484" s="0" t="n">
        <v>0</v>
      </c>
      <c r="AM484" s="0" t="n">
        <v>0</v>
      </c>
    </row>
    <row r="485" customFormat="false" ht="12.75" hidden="false" customHeight="false" outlineLevel="0" collapsed="false">
      <c r="A485" s="0" t="s">
        <v>621</v>
      </c>
      <c r="B485" s="0" t="str">
        <f aca="false">'Basis Options'!C490</f>
        <v>NR3983</v>
      </c>
      <c r="C485" s="0" t="s">
        <v>622</v>
      </c>
      <c r="D485" s="0" t="s">
        <v>623</v>
      </c>
      <c r="E485" s="0" t="s">
        <v>131</v>
      </c>
      <c r="F485" s="0" t="str">
        <f aca="false">'Basis Options'!A490</f>
        <v>SOUTHERCOMENEMA</v>
      </c>
      <c r="G485" s="0" t="s">
        <v>628</v>
      </c>
      <c r="H485" s="0" t="s">
        <v>625</v>
      </c>
      <c r="I485" s="0" t="s">
        <v>626</v>
      </c>
      <c r="J485" s="0" t="s">
        <v>627</v>
      </c>
      <c r="K485" s="475" t="n">
        <f aca="false">'Basis Options'!G490</f>
        <v>37135</v>
      </c>
      <c r="L485" s="254" t="e">
        <f aca="false">'Basis Options'!U490</f>
        <v>#NAME?</v>
      </c>
      <c r="M485" s="475" t="n">
        <f aca="false">'Basis Options'!Q490</f>
        <v>37133</v>
      </c>
      <c r="N485" s="0" t="str">
        <f aca="false">'Basis Options'!F490</f>
        <v>C</v>
      </c>
      <c r="O485" s="0" t="n">
        <f aca="false">'Basis Options'!I490</f>
        <v>0.5</v>
      </c>
      <c r="P485" s="0" t="n">
        <v>0</v>
      </c>
      <c r="Q485" s="0" t="n">
        <v>0</v>
      </c>
      <c r="R485" s="0" t="n">
        <v>0</v>
      </c>
      <c r="S485" s="0" t="n">
        <v>0</v>
      </c>
      <c r="T485" s="0" t="s">
        <v>624</v>
      </c>
      <c r="U485" s="0" t="str">
        <f aca="false">IF('Basis Options'!D490="NGI/CHI. GATE","""NGI/CHI. GATE""",TRIM('Basis Options'!D490))</f>
        <v>IF-TRANSCO/Z6</v>
      </c>
      <c r="V485" s="0" t="s">
        <v>624</v>
      </c>
      <c r="W485" s="0" t="s">
        <v>569</v>
      </c>
      <c r="X485" s="0" t="s">
        <v>624</v>
      </c>
      <c r="Y485" s="0" t="s">
        <v>627</v>
      </c>
      <c r="Z485" s="0" t="s">
        <v>629</v>
      </c>
      <c r="AA485" s="0" t="s">
        <v>624</v>
      </c>
      <c r="AB485" s="0" t="s">
        <v>132</v>
      </c>
      <c r="AC485" s="254" t="n">
        <f aca="false">'Basis Options'!H490</f>
        <v>300000</v>
      </c>
      <c r="AD485" s="254" t="e">
        <f aca="false">'Basis Options'!W490</f>
        <v>#NAME?</v>
      </c>
      <c r="AE485" s="0" t="n">
        <v>0</v>
      </c>
      <c r="AF485" s="0" t="n">
        <v>0</v>
      </c>
      <c r="AG485" s="0" t="n">
        <v>0</v>
      </c>
      <c r="AH485" s="254" t="e">
        <f aca="false">'Basis Options'!CD490</f>
        <v>#NAME?</v>
      </c>
      <c r="AI485" s="0" t="n">
        <v>226</v>
      </c>
      <c r="AJ485" s="0" t="s">
        <v>630</v>
      </c>
      <c r="AK485" s="0" t="n">
        <v>0</v>
      </c>
      <c r="AL485" s="0" t="n">
        <v>0</v>
      </c>
      <c r="AM485" s="0" t="n">
        <v>0</v>
      </c>
    </row>
    <row r="486" customFormat="false" ht="12.75" hidden="false" customHeight="false" outlineLevel="0" collapsed="false">
      <c r="A486" s="0" t="s">
        <v>621</v>
      </c>
      <c r="B486" s="0" t="str">
        <f aca="false">'Basis Options'!C491</f>
        <v>NR3983</v>
      </c>
      <c r="C486" s="0" t="s">
        <v>622</v>
      </c>
      <c r="D486" s="0" t="s">
        <v>623</v>
      </c>
      <c r="E486" s="0" t="s">
        <v>131</v>
      </c>
      <c r="F486" s="0" t="str">
        <f aca="false">'Basis Options'!A491</f>
        <v>SOUTHERCOMENEMA</v>
      </c>
      <c r="G486" s="0" t="s">
        <v>628</v>
      </c>
      <c r="H486" s="0" t="s">
        <v>625</v>
      </c>
      <c r="I486" s="0" t="s">
        <v>626</v>
      </c>
      <c r="J486" s="0" t="s">
        <v>627</v>
      </c>
      <c r="K486" s="475" t="n">
        <f aca="false">'Basis Options'!G491</f>
        <v>37104</v>
      </c>
      <c r="L486" s="254" t="e">
        <f aca="false">'Basis Options'!U491</f>
        <v>#NAME?</v>
      </c>
      <c r="M486" s="475" t="n">
        <f aca="false">'Basis Options'!Q491</f>
        <v>37102</v>
      </c>
      <c r="N486" s="0" t="str">
        <f aca="false">'Basis Options'!F491</f>
        <v>C</v>
      </c>
      <c r="O486" s="0" t="n">
        <f aca="false">'Basis Options'!I491</f>
        <v>0.5</v>
      </c>
      <c r="P486" s="0" t="n">
        <v>0</v>
      </c>
      <c r="Q486" s="0" t="n">
        <v>0</v>
      </c>
      <c r="R486" s="0" t="n">
        <v>0</v>
      </c>
      <c r="S486" s="0" t="n">
        <v>0</v>
      </c>
      <c r="T486" s="0" t="s">
        <v>624</v>
      </c>
      <c r="U486" s="0" t="str">
        <f aca="false">IF('Basis Options'!D491="NGI/CHI. GATE","""NGI/CHI. GATE""",TRIM('Basis Options'!D491))</f>
        <v>IF-TRANSCO/Z6</v>
      </c>
      <c r="V486" s="0" t="s">
        <v>624</v>
      </c>
      <c r="W486" s="0" t="s">
        <v>569</v>
      </c>
      <c r="X486" s="0" t="s">
        <v>624</v>
      </c>
      <c r="Y486" s="0" t="s">
        <v>627</v>
      </c>
      <c r="Z486" s="0" t="s">
        <v>629</v>
      </c>
      <c r="AA486" s="0" t="s">
        <v>624</v>
      </c>
      <c r="AB486" s="0" t="s">
        <v>132</v>
      </c>
      <c r="AC486" s="254" t="n">
        <f aca="false">'Basis Options'!H491</f>
        <v>310000</v>
      </c>
      <c r="AD486" s="254" t="e">
        <f aca="false">'Basis Options'!W491</f>
        <v>#NAME?</v>
      </c>
      <c r="AE486" s="0" t="n">
        <v>0</v>
      </c>
      <c r="AF486" s="0" t="n">
        <v>0</v>
      </c>
      <c r="AG486" s="0" t="n">
        <v>0</v>
      </c>
      <c r="AH486" s="254" t="e">
        <f aca="false">'Basis Options'!CD491</f>
        <v>#NAME?</v>
      </c>
      <c r="AI486" s="0" t="n">
        <v>226</v>
      </c>
      <c r="AJ486" s="0" t="s">
        <v>630</v>
      </c>
      <c r="AK486" s="0" t="n">
        <v>0</v>
      </c>
      <c r="AL486" s="0" t="n">
        <v>0</v>
      </c>
      <c r="AM486" s="0" t="n">
        <v>0</v>
      </c>
    </row>
    <row r="487" customFormat="false" ht="12.75" hidden="false" customHeight="false" outlineLevel="0" collapsed="false">
      <c r="A487" s="0" t="s">
        <v>621</v>
      </c>
      <c r="B487" s="0" t="str">
        <f aca="false">'Basis Options'!C492</f>
        <v>NR3983</v>
      </c>
      <c r="C487" s="0" t="s">
        <v>622</v>
      </c>
      <c r="D487" s="0" t="s">
        <v>623</v>
      </c>
      <c r="E487" s="0" t="s">
        <v>131</v>
      </c>
      <c r="F487" s="0" t="str">
        <f aca="false">'Basis Options'!A492</f>
        <v>SOUTHERCOMENEMA</v>
      </c>
      <c r="G487" s="0" t="s">
        <v>628</v>
      </c>
      <c r="H487" s="0" t="s">
        <v>625</v>
      </c>
      <c r="I487" s="0" t="s">
        <v>626</v>
      </c>
      <c r="J487" s="0" t="s">
        <v>627</v>
      </c>
      <c r="K487" s="475" t="n">
        <f aca="false">'Basis Options'!G492</f>
        <v>37073</v>
      </c>
      <c r="L487" s="254" t="e">
        <f aca="false">'Basis Options'!U492</f>
        <v>#NAME?</v>
      </c>
      <c r="M487" s="475" t="n">
        <f aca="false">'Basis Options'!Q492</f>
        <v>37070</v>
      </c>
      <c r="N487" s="0" t="str">
        <f aca="false">'Basis Options'!F492</f>
        <v>C</v>
      </c>
      <c r="O487" s="0" t="n">
        <f aca="false">'Basis Options'!I492</f>
        <v>0.5</v>
      </c>
      <c r="P487" s="0" t="n">
        <v>0</v>
      </c>
      <c r="Q487" s="0" t="n">
        <v>0</v>
      </c>
      <c r="R487" s="0" t="n">
        <v>0</v>
      </c>
      <c r="S487" s="0" t="n">
        <v>0</v>
      </c>
      <c r="T487" s="0" t="s">
        <v>624</v>
      </c>
      <c r="U487" s="0" t="str">
        <f aca="false">IF('Basis Options'!D492="NGI/CHI. GATE","""NGI/CHI. GATE""",TRIM('Basis Options'!D492))</f>
        <v>IF-TRANSCO/Z6</v>
      </c>
      <c r="V487" s="0" t="s">
        <v>624</v>
      </c>
      <c r="W487" s="0" t="s">
        <v>569</v>
      </c>
      <c r="X487" s="0" t="s">
        <v>624</v>
      </c>
      <c r="Y487" s="0" t="s">
        <v>627</v>
      </c>
      <c r="Z487" s="0" t="s">
        <v>629</v>
      </c>
      <c r="AA487" s="0" t="s">
        <v>624</v>
      </c>
      <c r="AB487" s="0" t="s">
        <v>132</v>
      </c>
      <c r="AC487" s="254" t="n">
        <f aca="false">'Basis Options'!H492</f>
        <v>310000</v>
      </c>
      <c r="AD487" s="254" t="e">
        <f aca="false">'Basis Options'!W492</f>
        <v>#NAME?</v>
      </c>
      <c r="AE487" s="0" t="n">
        <v>0</v>
      </c>
      <c r="AF487" s="0" t="n">
        <v>0</v>
      </c>
      <c r="AG487" s="0" t="n">
        <v>0</v>
      </c>
      <c r="AH487" s="254" t="e">
        <f aca="false">'Basis Options'!CD492</f>
        <v>#NAME?</v>
      </c>
      <c r="AI487" s="0" t="n">
        <v>226</v>
      </c>
      <c r="AJ487" s="0" t="s">
        <v>630</v>
      </c>
      <c r="AK487" s="0" t="n">
        <v>0</v>
      </c>
      <c r="AL487" s="0" t="n">
        <v>0</v>
      </c>
      <c r="AM487" s="0" t="n">
        <v>0</v>
      </c>
    </row>
    <row r="488" customFormat="false" ht="12.75" hidden="false" customHeight="false" outlineLevel="0" collapsed="false">
      <c r="A488" s="0" t="s">
        <v>621</v>
      </c>
      <c r="B488" s="0" t="str">
        <f aca="false">'Basis Options'!C493</f>
        <v>NR3983</v>
      </c>
      <c r="C488" s="0" t="s">
        <v>622</v>
      </c>
      <c r="D488" s="0" t="s">
        <v>623</v>
      </c>
      <c r="E488" s="0" t="s">
        <v>131</v>
      </c>
      <c r="F488" s="0" t="str">
        <f aca="false">'Basis Options'!A493</f>
        <v>SOUTHERCOMENEMA</v>
      </c>
      <c r="G488" s="0" t="s">
        <v>628</v>
      </c>
      <c r="H488" s="0" t="s">
        <v>625</v>
      </c>
      <c r="I488" s="0" t="s">
        <v>626</v>
      </c>
      <c r="J488" s="0" t="s">
        <v>627</v>
      </c>
      <c r="K488" s="475" t="n">
        <f aca="false">'Basis Options'!G493</f>
        <v>37043</v>
      </c>
      <c r="L488" s="254" t="e">
        <f aca="false">'Basis Options'!U493</f>
        <v>#NAME?</v>
      </c>
      <c r="M488" s="475" t="n">
        <f aca="false">'Basis Options'!Q493</f>
        <v>37041</v>
      </c>
      <c r="N488" s="0" t="str">
        <f aca="false">'Basis Options'!F493</f>
        <v>C</v>
      </c>
      <c r="O488" s="0" t="n">
        <f aca="false">'Basis Options'!I493</f>
        <v>0.5</v>
      </c>
      <c r="P488" s="0" t="n">
        <v>0</v>
      </c>
      <c r="Q488" s="0" t="n">
        <v>0</v>
      </c>
      <c r="R488" s="0" t="n">
        <v>0</v>
      </c>
      <c r="S488" s="0" t="n">
        <v>0</v>
      </c>
      <c r="T488" s="0" t="s">
        <v>624</v>
      </c>
      <c r="U488" s="0" t="str">
        <f aca="false">IF('Basis Options'!D493="NGI/CHI. GATE","""NGI/CHI. GATE""",TRIM('Basis Options'!D493))</f>
        <v>IF-TRANSCO/Z6</v>
      </c>
      <c r="V488" s="0" t="s">
        <v>624</v>
      </c>
      <c r="W488" s="0" t="s">
        <v>569</v>
      </c>
      <c r="X488" s="0" t="s">
        <v>624</v>
      </c>
      <c r="Y488" s="0" t="s">
        <v>627</v>
      </c>
      <c r="Z488" s="0" t="s">
        <v>629</v>
      </c>
      <c r="AA488" s="0" t="s">
        <v>624</v>
      </c>
      <c r="AB488" s="0" t="s">
        <v>132</v>
      </c>
      <c r="AC488" s="254" t="n">
        <f aca="false">'Basis Options'!H493</f>
        <v>300000</v>
      </c>
      <c r="AD488" s="254" t="e">
        <f aca="false">'Basis Options'!W493</f>
        <v>#NAME?</v>
      </c>
      <c r="AE488" s="0" t="n">
        <v>0</v>
      </c>
      <c r="AF488" s="0" t="n">
        <v>0</v>
      </c>
      <c r="AG488" s="0" t="n">
        <v>0</v>
      </c>
      <c r="AH488" s="254" t="e">
        <f aca="false">'Basis Options'!CD493</f>
        <v>#NAME?</v>
      </c>
      <c r="AI488" s="0" t="n">
        <v>226</v>
      </c>
      <c r="AJ488" s="0" t="s">
        <v>630</v>
      </c>
      <c r="AK488" s="0" t="n">
        <v>0</v>
      </c>
      <c r="AL488" s="0" t="n">
        <v>0</v>
      </c>
      <c r="AM488" s="0" t="n">
        <v>0</v>
      </c>
    </row>
    <row r="489" customFormat="false" ht="12.75" hidden="false" customHeight="false" outlineLevel="0" collapsed="false">
      <c r="A489" s="0" t="s">
        <v>621</v>
      </c>
      <c r="B489" s="0" t="str">
        <f aca="false">'Basis Options'!C494</f>
        <v>NR3983</v>
      </c>
      <c r="C489" s="0" t="s">
        <v>622</v>
      </c>
      <c r="D489" s="0" t="s">
        <v>623</v>
      </c>
      <c r="E489" s="0" t="s">
        <v>131</v>
      </c>
      <c r="F489" s="0" t="str">
        <f aca="false">'Basis Options'!A494</f>
        <v>SOUTHERCOMENEMA</v>
      </c>
      <c r="G489" s="0" t="s">
        <v>628</v>
      </c>
      <c r="H489" s="0" t="s">
        <v>625</v>
      </c>
      <c r="I489" s="0" t="s">
        <v>626</v>
      </c>
      <c r="J489" s="0" t="s">
        <v>627</v>
      </c>
      <c r="K489" s="475" t="n">
        <f aca="false">'Basis Options'!G494</f>
        <v>37012</v>
      </c>
      <c r="L489" s="254" t="e">
        <f aca="false">'Basis Options'!U494</f>
        <v>#NAME?</v>
      </c>
      <c r="M489" s="475" t="n">
        <f aca="false">'Basis Options'!Q494</f>
        <v>37008</v>
      </c>
      <c r="N489" s="0" t="str">
        <f aca="false">'Basis Options'!F494</f>
        <v>C</v>
      </c>
      <c r="O489" s="0" t="n">
        <f aca="false">'Basis Options'!I494</f>
        <v>0.5</v>
      </c>
      <c r="P489" s="0" t="n">
        <v>0</v>
      </c>
      <c r="Q489" s="0" t="n">
        <v>0</v>
      </c>
      <c r="R489" s="0" t="n">
        <v>0</v>
      </c>
      <c r="S489" s="0" t="n">
        <v>0</v>
      </c>
      <c r="T489" s="0" t="s">
        <v>624</v>
      </c>
      <c r="U489" s="0" t="str">
        <f aca="false">IF('Basis Options'!D494="NGI/CHI. GATE","""NGI/CHI. GATE""",TRIM('Basis Options'!D494))</f>
        <v>IF-TRANSCO/Z6</v>
      </c>
      <c r="V489" s="0" t="s">
        <v>624</v>
      </c>
      <c r="W489" s="0" t="s">
        <v>569</v>
      </c>
      <c r="X489" s="0" t="s">
        <v>624</v>
      </c>
      <c r="Y489" s="0" t="s">
        <v>627</v>
      </c>
      <c r="Z489" s="0" t="s">
        <v>629</v>
      </c>
      <c r="AA489" s="0" t="s">
        <v>624</v>
      </c>
      <c r="AB489" s="0" t="s">
        <v>132</v>
      </c>
      <c r="AC489" s="254" t="n">
        <f aca="false">'Basis Options'!H494</f>
        <v>310000</v>
      </c>
      <c r="AD489" s="254" t="e">
        <f aca="false">'Basis Options'!W494</f>
        <v>#NAME?</v>
      </c>
      <c r="AE489" s="0" t="n">
        <v>0</v>
      </c>
      <c r="AF489" s="0" t="n">
        <v>0</v>
      </c>
      <c r="AG489" s="0" t="n">
        <v>0</v>
      </c>
      <c r="AH489" s="254" t="e">
        <f aca="false">'Basis Options'!CD494</f>
        <v>#NAME?</v>
      </c>
      <c r="AI489" s="0" t="n">
        <v>226</v>
      </c>
      <c r="AJ489" s="0" t="s">
        <v>630</v>
      </c>
      <c r="AK489" s="0" t="n">
        <v>0</v>
      </c>
      <c r="AL489" s="0" t="n">
        <v>0</v>
      </c>
      <c r="AM489" s="0" t="n">
        <v>0</v>
      </c>
    </row>
    <row r="490" customFormat="false" ht="12.75" hidden="false" customHeight="false" outlineLevel="0" collapsed="false">
      <c r="A490" s="0" t="s">
        <v>621</v>
      </c>
      <c r="B490" s="0" t="str">
        <f aca="false">'Basis Options'!C495</f>
        <v>NR3983</v>
      </c>
      <c r="C490" s="0" t="s">
        <v>622</v>
      </c>
      <c r="D490" s="0" t="s">
        <v>623</v>
      </c>
      <c r="E490" s="0" t="s">
        <v>131</v>
      </c>
      <c r="F490" s="0" t="str">
        <f aca="false">'Basis Options'!A495</f>
        <v>SOUTHERCOMENEMA</v>
      </c>
      <c r="G490" s="0" t="s">
        <v>628</v>
      </c>
      <c r="H490" s="0" t="s">
        <v>625</v>
      </c>
      <c r="I490" s="0" t="s">
        <v>626</v>
      </c>
      <c r="J490" s="0" t="s">
        <v>627</v>
      </c>
      <c r="K490" s="475" t="n">
        <f aca="false">'Basis Options'!G495</f>
        <v>36982</v>
      </c>
      <c r="L490" s="254" t="e">
        <f aca="false">'Basis Options'!U495</f>
        <v>#NAME?</v>
      </c>
      <c r="M490" s="475" t="n">
        <f aca="false">'Basis Options'!Q495</f>
        <v>36979</v>
      </c>
      <c r="N490" s="0" t="str">
        <f aca="false">'Basis Options'!F495</f>
        <v>C</v>
      </c>
      <c r="O490" s="0" t="n">
        <f aca="false">'Basis Options'!I495</f>
        <v>0.5</v>
      </c>
      <c r="P490" s="0" t="n">
        <v>0</v>
      </c>
      <c r="Q490" s="0" t="n">
        <v>0</v>
      </c>
      <c r="R490" s="0" t="n">
        <v>0</v>
      </c>
      <c r="S490" s="0" t="n">
        <v>0</v>
      </c>
      <c r="T490" s="0" t="s">
        <v>624</v>
      </c>
      <c r="U490" s="0" t="str">
        <f aca="false">IF('Basis Options'!D495="NGI/CHI. GATE","""NGI/CHI. GATE""",TRIM('Basis Options'!D495))</f>
        <v>IF-TRANSCO/Z6</v>
      </c>
      <c r="V490" s="0" t="s">
        <v>624</v>
      </c>
      <c r="W490" s="0" t="s">
        <v>569</v>
      </c>
      <c r="X490" s="0" t="s">
        <v>624</v>
      </c>
      <c r="Y490" s="0" t="s">
        <v>627</v>
      </c>
      <c r="Z490" s="0" t="s">
        <v>629</v>
      </c>
      <c r="AA490" s="0" t="s">
        <v>624</v>
      </c>
      <c r="AB490" s="0" t="s">
        <v>132</v>
      </c>
      <c r="AC490" s="254" t="n">
        <f aca="false">'Basis Options'!H495</f>
        <v>300000</v>
      </c>
      <c r="AD490" s="254" t="e">
        <f aca="false">'Basis Options'!W495</f>
        <v>#NAME?</v>
      </c>
      <c r="AE490" s="0" t="n">
        <v>0</v>
      </c>
      <c r="AF490" s="0" t="n">
        <v>0</v>
      </c>
      <c r="AG490" s="0" t="n">
        <v>0</v>
      </c>
      <c r="AH490" s="254" t="e">
        <f aca="false">'Basis Options'!CD495</f>
        <v>#NAME?</v>
      </c>
      <c r="AI490" s="0" t="n">
        <v>226</v>
      </c>
      <c r="AJ490" s="0" t="s">
        <v>630</v>
      </c>
      <c r="AK490" s="0" t="n">
        <v>0</v>
      </c>
      <c r="AL490" s="0" t="n">
        <v>0</v>
      </c>
      <c r="AM490" s="0" t="n">
        <v>0</v>
      </c>
    </row>
    <row r="491" customFormat="false" ht="12.75" hidden="false" customHeight="false" outlineLevel="0" collapsed="false">
      <c r="A491" s="0" t="s">
        <v>621</v>
      </c>
      <c r="B491" s="0" t="str">
        <f aca="false">'Basis Options'!C496</f>
        <v>NR3997</v>
      </c>
      <c r="C491" s="0" t="s">
        <v>622</v>
      </c>
      <c r="D491" s="0" t="s">
        <v>623</v>
      </c>
      <c r="E491" s="0" t="s">
        <v>131</v>
      </c>
      <c r="F491" s="0" t="str">
        <f aca="false">'Basis Options'!A496</f>
        <v>ELPASMER</v>
      </c>
      <c r="G491" s="0" t="s">
        <v>628</v>
      </c>
      <c r="H491" s="0" t="s">
        <v>625</v>
      </c>
      <c r="I491" s="0" t="s">
        <v>626</v>
      </c>
      <c r="J491" s="0" t="s">
        <v>627</v>
      </c>
      <c r="K491" s="475" t="n">
        <f aca="false">'Basis Options'!G496</f>
        <v>36951</v>
      </c>
      <c r="L491" s="254" t="e">
        <f aca="false">'Basis Options'!U496</f>
        <v>#NAME?</v>
      </c>
      <c r="M491" s="475" t="n">
        <f aca="false">'Basis Options'!Q496</f>
        <v>36949</v>
      </c>
      <c r="N491" s="0" t="str">
        <f aca="false">'Basis Options'!F496</f>
        <v>C</v>
      </c>
      <c r="O491" s="0" t="n">
        <f aca="false">'Basis Options'!I496</f>
        <v>0.3</v>
      </c>
      <c r="P491" s="0" t="n">
        <v>0</v>
      </c>
      <c r="Q491" s="0" t="n">
        <v>0</v>
      </c>
      <c r="R491" s="0" t="n">
        <v>0</v>
      </c>
      <c r="S491" s="0" t="n">
        <v>0</v>
      </c>
      <c r="T491" s="0" t="s">
        <v>624</v>
      </c>
      <c r="U491" s="0" t="str">
        <f aca="false">IF('Basis Options'!D496="NGI/CHI. GATE","""NGI/CHI. GATE""",TRIM('Basis Options'!D496))</f>
        <v>NGI-SOCAL</v>
      </c>
      <c r="V491" s="0" t="s">
        <v>624</v>
      </c>
      <c r="W491" s="0" t="s">
        <v>569</v>
      </c>
      <c r="X491" s="0" t="s">
        <v>624</v>
      </c>
      <c r="Y491" s="0" t="s">
        <v>627</v>
      </c>
      <c r="Z491" s="0" t="s">
        <v>629</v>
      </c>
      <c r="AA491" s="0" t="s">
        <v>624</v>
      </c>
      <c r="AB491" s="0" t="s">
        <v>132</v>
      </c>
      <c r="AC491" s="254" t="n">
        <f aca="false">'Basis Options'!H496</f>
        <v>500000</v>
      </c>
      <c r="AD491" s="254" t="e">
        <f aca="false">'Basis Options'!W496</f>
        <v>#NAME?</v>
      </c>
      <c r="AE491" s="0" t="n">
        <v>0</v>
      </c>
      <c r="AF491" s="0" t="n">
        <v>0</v>
      </c>
      <c r="AG491" s="0" t="n">
        <v>0</v>
      </c>
      <c r="AH491" s="254" t="e">
        <f aca="false">'Basis Options'!CD496</f>
        <v>#NAME?</v>
      </c>
      <c r="AI491" s="0" t="n">
        <v>226</v>
      </c>
      <c r="AJ491" s="0" t="s">
        <v>630</v>
      </c>
      <c r="AK491" s="0" t="n">
        <v>0</v>
      </c>
      <c r="AL491" s="0" t="n">
        <v>0</v>
      </c>
      <c r="AM491" s="0" t="n">
        <v>0</v>
      </c>
    </row>
    <row r="492" customFormat="false" ht="12.75" hidden="false" customHeight="false" outlineLevel="0" collapsed="false">
      <c r="A492" s="0" t="s">
        <v>621</v>
      </c>
      <c r="B492" s="0" t="str">
        <f aca="false">'Basis Options'!C497</f>
        <v>NR3997</v>
      </c>
      <c r="C492" s="0" t="s">
        <v>622</v>
      </c>
      <c r="D492" s="0" t="s">
        <v>623</v>
      </c>
      <c r="E492" s="0" t="s">
        <v>131</v>
      </c>
      <c r="F492" s="0" t="str">
        <f aca="false">'Basis Options'!A497</f>
        <v>ELPASMER</v>
      </c>
      <c r="G492" s="0" t="s">
        <v>628</v>
      </c>
      <c r="H492" s="0" t="s">
        <v>625</v>
      </c>
      <c r="I492" s="0" t="s">
        <v>626</v>
      </c>
      <c r="J492" s="0" t="s">
        <v>627</v>
      </c>
      <c r="K492" s="475" t="n">
        <f aca="false">'Basis Options'!G497</f>
        <v>36923</v>
      </c>
      <c r="L492" s="254" t="e">
        <f aca="false">'Basis Options'!U497</f>
        <v>#NAME?</v>
      </c>
      <c r="M492" s="475" t="n">
        <f aca="false">'Basis Options'!Q497</f>
        <v>36921</v>
      </c>
      <c r="N492" s="0" t="str">
        <f aca="false">'Basis Options'!F497</f>
        <v>C</v>
      </c>
      <c r="O492" s="0" t="n">
        <f aca="false">'Basis Options'!I497</f>
        <v>0.3</v>
      </c>
      <c r="P492" s="0" t="n">
        <v>0</v>
      </c>
      <c r="Q492" s="0" t="n">
        <v>0</v>
      </c>
      <c r="R492" s="0" t="n">
        <v>0</v>
      </c>
      <c r="S492" s="0" t="n">
        <v>0</v>
      </c>
      <c r="T492" s="0" t="s">
        <v>624</v>
      </c>
      <c r="U492" s="0" t="str">
        <f aca="false">IF('Basis Options'!D497="NGI/CHI. GATE","""NGI/CHI. GATE""",TRIM('Basis Options'!D497))</f>
        <v>NGI-SOCAL</v>
      </c>
      <c r="V492" s="0" t="s">
        <v>624</v>
      </c>
      <c r="W492" s="0" t="s">
        <v>569</v>
      </c>
      <c r="X492" s="0" t="s">
        <v>624</v>
      </c>
      <c r="Y492" s="0" t="s">
        <v>627</v>
      </c>
      <c r="Z492" s="0" t="s">
        <v>629</v>
      </c>
      <c r="AA492" s="0" t="s">
        <v>624</v>
      </c>
      <c r="AB492" s="0" t="s">
        <v>132</v>
      </c>
      <c r="AC492" s="254" t="n">
        <f aca="false">'Basis Options'!H497</f>
        <v>500000</v>
      </c>
      <c r="AD492" s="254" t="e">
        <f aca="false">'Basis Options'!W497</f>
        <v>#NAME?</v>
      </c>
      <c r="AE492" s="0" t="n">
        <v>0</v>
      </c>
      <c r="AF492" s="0" t="n">
        <v>0</v>
      </c>
      <c r="AG492" s="0" t="n">
        <v>0</v>
      </c>
      <c r="AH492" s="254" t="e">
        <f aca="false">'Basis Options'!CD497</f>
        <v>#NAME?</v>
      </c>
      <c r="AI492" s="0" t="n">
        <v>226</v>
      </c>
      <c r="AJ492" s="0" t="s">
        <v>630</v>
      </c>
      <c r="AK492" s="0" t="n">
        <v>0</v>
      </c>
      <c r="AL492" s="0" t="n">
        <v>0</v>
      </c>
      <c r="AM492" s="0" t="n">
        <v>0</v>
      </c>
    </row>
    <row r="493" customFormat="false" ht="12.75" hidden="false" customHeight="false" outlineLevel="0" collapsed="false">
      <c r="A493" s="0" t="s">
        <v>621</v>
      </c>
      <c r="B493" s="0" t="str">
        <f aca="false">'Basis Options'!C498</f>
        <v>NR3997</v>
      </c>
      <c r="C493" s="0" t="s">
        <v>622</v>
      </c>
      <c r="D493" s="0" t="s">
        <v>623</v>
      </c>
      <c r="E493" s="0" t="s">
        <v>131</v>
      </c>
      <c r="F493" s="0" t="str">
        <f aca="false">'Basis Options'!A498</f>
        <v>ELPASMER</v>
      </c>
      <c r="G493" s="0" t="s">
        <v>628</v>
      </c>
      <c r="H493" s="0" t="s">
        <v>625</v>
      </c>
      <c r="I493" s="0" t="s">
        <v>626</v>
      </c>
      <c r="J493" s="0" t="s">
        <v>627</v>
      </c>
      <c r="K493" s="475" t="n">
        <f aca="false">'Basis Options'!G498</f>
        <v>36892</v>
      </c>
      <c r="L493" s="254" t="e">
        <f aca="false">'Basis Options'!U498</f>
        <v>#NAME?</v>
      </c>
      <c r="M493" s="475" t="n">
        <f aca="false">'Basis Options'!Q498</f>
        <v>36888</v>
      </c>
      <c r="N493" s="0" t="str">
        <f aca="false">'Basis Options'!F498</f>
        <v>C</v>
      </c>
      <c r="O493" s="0" t="n">
        <f aca="false">'Basis Options'!I498</f>
        <v>0.3</v>
      </c>
      <c r="P493" s="0" t="n">
        <v>0</v>
      </c>
      <c r="Q493" s="0" t="n">
        <v>0</v>
      </c>
      <c r="R493" s="0" t="n">
        <v>0</v>
      </c>
      <c r="S493" s="0" t="n">
        <v>0</v>
      </c>
      <c r="T493" s="0" t="s">
        <v>624</v>
      </c>
      <c r="U493" s="0" t="str">
        <f aca="false">IF('Basis Options'!D498="NGI/CHI. GATE","""NGI/CHI. GATE""",TRIM('Basis Options'!D498))</f>
        <v>NGI-SOCAL</v>
      </c>
      <c r="V493" s="0" t="s">
        <v>624</v>
      </c>
      <c r="W493" s="0" t="s">
        <v>569</v>
      </c>
      <c r="X493" s="0" t="s">
        <v>624</v>
      </c>
      <c r="Y493" s="0" t="s">
        <v>627</v>
      </c>
      <c r="Z493" s="0" t="s">
        <v>629</v>
      </c>
      <c r="AA493" s="0" t="s">
        <v>624</v>
      </c>
      <c r="AB493" s="0" t="s">
        <v>132</v>
      </c>
      <c r="AC493" s="254" t="n">
        <f aca="false">'Basis Options'!H498</f>
        <v>500000</v>
      </c>
      <c r="AD493" s="254" t="e">
        <f aca="false">'Basis Options'!W498</f>
        <v>#NAME?</v>
      </c>
      <c r="AE493" s="0" t="n">
        <v>0</v>
      </c>
      <c r="AF493" s="0" t="n">
        <v>0</v>
      </c>
      <c r="AG493" s="0" t="n">
        <v>0</v>
      </c>
      <c r="AH493" s="254" t="e">
        <f aca="false">'Basis Options'!CD498</f>
        <v>#NAME?</v>
      </c>
      <c r="AI493" s="0" t="n">
        <v>226</v>
      </c>
      <c r="AJ493" s="0" t="s">
        <v>630</v>
      </c>
      <c r="AK493" s="0" t="n">
        <v>0</v>
      </c>
      <c r="AL493" s="0" t="n">
        <v>0</v>
      </c>
      <c r="AM493" s="0" t="n">
        <v>0</v>
      </c>
    </row>
    <row r="494" customFormat="false" ht="12.75" hidden="false" customHeight="false" outlineLevel="0" collapsed="false">
      <c r="A494" s="0" t="s">
        <v>621</v>
      </c>
      <c r="B494" s="0" t="str">
        <f aca="false">'Basis Options'!C499</f>
        <v>NR3997</v>
      </c>
      <c r="C494" s="0" t="s">
        <v>622</v>
      </c>
      <c r="D494" s="0" t="s">
        <v>623</v>
      </c>
      <c r="E494" s="0" t="s">
        <v>131</v>
      </c>
      <c r="F494" s="0" t="str">
        <f aca="false">'Basis Options'!A499</f>
        <v>ELPASMER</v>
      </c>
      <c r="G494" s="0" t="s">
        <v>628</v>
      </c>
      <c r="H494" s="0" t="s">
        <v>625</v>
      </c>
      <c r="I494" s="0" t="s">
        <v>626</v>
      </c>
      <c r="J494" s="0" t="s">
        <v>627</v>
      </c>
      <c r="K494" s="475" t="n">
        <f aca="false">'Basis Options'!G499</f>
        <v>36861</v>
      </c>
      <c r="L494" s="254" t="e">
        <f aca="false">'Basis Options'!U499</f>
        <v>#NAME?</v>
      </c>
      <c r="M494" s="475" t="n">
        <f aca="false">'Basis Options'!Q499</f>
        <v>36859</v>
      </c>
      <c r="N494" s="0" t="str">
        <f aca="false">'Basis Options'!F499</f>
        <v>C</v>
      </c>
      <c r="O494" s="0" t="n">
        <f aca="false">'Basis Options'!I499</f>
        <v>0.3</v>
      </c>
      <c r="P494" s="0" t="n">
        <v>0</v>
      </c>
      <c r="Q494" s="0" t="n">
        <v>0</v>
      </c>
      <c r="R494" s="0" t="n">
        <v>0</v>
      </c>
      <c r="S494" s="0" t="n">
        <v>0</v>
      </c>
      <c r="T494" s="0" t="s">
        <v>624</v>
      </c>
      <c r="U494" s="0" t="str">
        <f aca="false">IF('Basis Options'!D499="NGI/CHI. GATE","""NGI/CHI. GATE""",TRIM('Basis Options'!D499))</f>
        <v>NGI-SOCAL</v>
      </c>
      <c r="V494" s="0" t="s">
        <v>624</v>
      </c>
      <c r="W494" s="0" t="s">
        <v>569</v>
      </c>
      <c r="X494" s="0" t="s">
        <v>624</v>
      </c>
      <c r="Y494" s="0" t="s">
        <v>627</v>
      </c>
      <c r="Z494" s="0" t="s">
        <v>629</v>
      </c>
      <c r="AA494" s="0" t="s">
        <v>624</v>
      </c>
      <c r="AB494" s="0" t="s">
        <v>132</v>
      </c>
      <c r="AC494" s="254" t="n">
        <f aca="false">'Basis Options'!H499</f>
        <v>500000</v>
      </c>
      <c r="AD494" s="254" t="e">
        <f aca="false">'Basis Options'!W499</f>
        <v>#NAME?</v>
      </c>
      <c r="AE494" s="0" t="n">
        <v>0</v>
      </c>
      <c r="AF494" s="0" t="n">
        <v>0</v>
      </c>
      <c r="AG494" s="0" t="n">
        <v>0</v>
      </c>
      <c r="AH494" s="254" t="e">
        <f aca="false">'Basis Options'!CD499</f>
        <v>#NAME?</v>
      </c>
      <c r="AI494" s="0" t="n">
        <v>226</v>
      </c>
      <c r="AJ494" s="0" t="s">
        <v>630</v>
      </c>
      <c r="AK494" s="0" t="n">
        <v>0</v>
      </c>
      <c r="AL494" s="0" t="n">
        <v>0</v>
      </c>
      <c r="AM494" s="0" t="n">
        <v>0</v>
      </c>
    </row>
    <row r="495" customFormat="false" ht="12.75" hidden="false" customHeight="false" outlineLevel="0" collapsed="false">
      <c r="A495" s="0" t="s">
        <v>621</v>
      </c>
      <c r="B495" s="0" t="str">
        <f aca="false">'Basis Options'!C500</f>
        <v>NR3997</v>
      </c>
      <c r="C495" s="0" t="s">
        <v>622</v>
      </c>
      <c r="D495" s="0" t="s">
        <v>623</v>
      </c>
      <c r="E495" s="0" t="s">
        <v>131</v>
      </c>
      <c r="F495" s="0" t="str">
        <f aca="false">'Basis Options'!A500</f>
        <v>ELPASMER</v>
      </c>
      <c r="G495" s="0" t="s">
        <v>628</v>
      </c>
      <c r="H495" s="0" t="s">
        <v>625</v>
      </c>
      <c r="I495" s="0" t="s">
        <v>626</v>
      </c>
      <c r="J495" s="0" t="s">
        <v>627</v>
      </c>
      <c r="K495" s="475" t="n">
        <f aca="false">'Basis Options'!G500</f>
        <v>36831</v>
      </c>
      <c r="L495" s="254" t="e">
        <f aca="false">'Basis Options'!U500</f>
        <v>#NAME?</v>
      </c>
      <c r="M495" s="475" t="n">
        <f aca="false">'Basis Options'!Q500</f>
        <v>36829</v>
      </c>
      <c r="N495" s="0" t="str">
        <f aca="false">'Basis Options'!F500</f>
        <v>C</v>
      </c>
      <c r="O495" s="0" t="n">
        <f aca="false">'Basis Options'!I500</f>
        <v>0.3</v>
      </c>
      <c r="P495" s="0" t="n">
        <v>0</v>
      </c>
      <c r="Q495" s="0" t="n">
        <v>0</v>
      </c>
      <c r="R495" s="0" t="n">
        <v>0</v>
      </c>
      <c r="S495" s="0" t="n">
        <v>0</v>
      </c>
      <c r="T495" s="0" t="s">
        <v>624</v>
      </c>
      <c r="U495" s="0" t="str">
        <f aca="false">IF('Basis Options'!D500="NGI/CHI. GATE","""NGI/CHI. GATE""",TRIM('Basis Options'!D500))</f>
        <v>NGI-SOCAL</v>
      </c>
      <c r="V495" s="0" t="s">
        <v>624</v>
      </c>
      <c r="W495" s="0" t="s">
        <v>569</v>
      </c>
      <c r="X495" s="0" t="s">
        <v>624</v>
      </c>
      <c r="Y495" s="0" t="s">
        <v>627</v>
      </c>
      <c r="Z495" s="0" t="s">
        <v>629</v>
      </c>
      <c r="AA495" s="0" t="s">
        <v>624</v>
      </c>
      <c r="AB495" s="0" t="s">
        <v>132</v>
      </c>
      <c r="AC495" s="254" t="n">
        <f aca="false">'Basis Options'!H500</f>
        <v>500000</v>
      </c>
      <c r="AD495" s="254" t="e">
        <f aca="false">'Basis Options'!W500</f>
        <v>#NAME?</v>
      </c>
      <c r="AE495" s="0" t="n">
        <v>0</v>
      </c>
      <c r="AF495" s="0" t="n">
        <v>0</v>
      </c>
      <c r="AG495" s="0" t="n">
        <v>0</v>
      </c>
      <c r="AH495" s="254" t="e">
        <f aca="false">'Basis Options'!CD500</f>
        <v>#NAME?</v>
      </c>
      <c r="AI495" s="0" t="n">
        <v>226</v>
      </c>
      <c r="AJ495" s="0" t="s">
        <v>630</v>
      </c>
      <c r="AK495" s="0" t="n">
        <v>0</v>
      </c>
      <c r="AL495" s="0" t="n">
        <v>0</v>
      </c>
      <c r="AM495" s="0" t="n">
        <v>0</v>
      </c>
    </row>
    <row r="496" customFormat="false" ht="12.75" hidden="false" customHeight="false" outlineLevel="0" collapsed="false">
      <c r="A496" s="0" t="s">
        <v>621</v>
      </c>
      <c r="B496" s="0" t="str">
        <f aca="false">'Basis Options'!C501</f>
        <v>NR3998</v>
      </c>
      <c r="C496" s="0" t="s">
        <v>622</v>
      </c>
      <c r="D496" s="0" t="s">
        <v>623</v>
      </c>
      <c r="E496" s="0" t="s">
        <v>131</v>
      </c>
      <c r="F496" s="0" t="str">
        <f aca="false">'Basis Options'!A501</f>
        <v>CONAGRAENESER</v>
      </c>
      <c r="G496" s="0" t="s">
        <v>628</v>
      </c>
      <c r="H496" s="0" t="s">
        <v>625</v>
      </c>
      <c r="I496" s="0" t="s">
        <v>626</v>
      </c>
      <c r="J496" s="0" t="s">
        <v>627</v>
      </c>
      <c r="K496" s="475" t="n">
        <f aca="false">'Basis Options'!G501</f>
        <v>36831</v>
      </c>
      <c r="L496" s="254" t="e">
        <f aca="false">'Basis Options'!U501</f>
        <v>#NAME?</v>
      </c>
      <c r="M496" s="475" t="n">
        <f aca="false">'Basis Options'!Q501</f>
        <v>36829</v>
      </c>
      <c r="N496" s="0" t="str">
        <f aca="false">'Basis Options'!F501</f>
        <v>C</v>
      </c>
      <c r="O496" s="0" t="n">
        <f aca="false">'Basis Options'!I501</f>
        <v>0.8</v>
      </c>
      <c r="P496" s="0" t="n">
        <v>0</v>
      </c>
      <c r="Q496" s="0" t="n">
        <v>0</v>
      </c>
      <c r="R496" s="0" t="n">
        <v>0</v>
      </c>
      <c r="S496" s="0" t="n">
        <v>0</v>
      </c>
      <c r="T496" s="0" t="s">
        <v>624</v>
      </c>
      <c r="U496" s="0" t="str">
        <f aca="false">IF('Basis Options'!D501="NGI/CHI. GATE","""NGI/CHI. GATE""",TRIM('Basis Options'!D501))</f>
        <v>IF-TRANSCO/Z6</v>
      </c>
      <c r="V496" s="0" t="s">
        <v>624</v>
      </c>
      <c r="W496" s="0" t="s">
        <v>569</v>
      </c>
      <c r="X496" s="0" t="s">
        <v>624</v>
      </c>
      <c r="Y496" s="0" t="s">
        <v>627</v>
      </c>
      <c r="Z496" s="0" t="s">
        <v>629</v>
      </c>
      <c r="AA496" s="0" t="s">
        <v>624</v>
      </c>
      <c r="AB496" s="0" t="s">
        <v>132</v>
      </c>
      <c r="AC496" s="254" t="n">
        <f aca="false">'Basis Options'!H501</f>
        <v>1000000</v>
      </c>
      <c r="AD496" s="254" t="e">
        <f aca="false">'Basis Options'!W501</f>
        <v>#NAME?</v>
      </c>
      <c r="AE496" s="0" t="n">
        <v>0</v>
      </c>
      <c r="AF496" s="0" t="n">
        <v>0</v>
      </c>
      <c r="AG496" s="0" t="n">
        <v>0</v>
      </c>
      <c r="AH496" s="254" t="e">
        <f aca="false">'Basis Options'!CD501</f>
        <v>#NAME?</v>
      </c>
      <c r="AI496" s="0" t="n">
        <v>226</v>
      </c>
      <c r="AJ496" s="0" t="s">
        <v>630</v>
      </c>
      <c r="AK496" s="0" t="n">
        <v>0</v>
      </c>
      <c r="AL496" s="0" t="n">
        <v>0</v>
      </c>
      <c r="AM496" s="0" t="n">
        <v>0</v>
      </c>
    </row>
    <row r="497" customFormat="false" ht="12.75" hidden="false" customHeight="false" outlineLevel="0" collapsed="false">
      <c r="A497" s="0" t="s">
        <v>621</v>
      </c>
      <c r="B497" s="0" t="str">
        <f aca="false">'Basis Options'!C502</f>
        <v>NR5974</v>
      </c>
      <c r="C497" s="0" t="s">
        <v>622</v>
      </c>
      <c r="D497" s="0" t="s">
        <v>623</v>
      </c>
      <c r="E497" s="0" t="s">
        <v>131</v>
      </c>
      <c r="F497" s="0" t="str">
        <f aca="false">'Basis Options'!A502</f>
        <v>CONAGRAENESER</v>
      </c>
      <c r="G497" s="0" t="s">
        <v>628</v>
      </c>
      <c r="H497" s="0" t="s">
        <v>625</v>
      </c>
      <c r="I497" s="0" t="s">
        <v>626</v>
      </c>
      <c r="J497" s="0" t="s">
        <v>627</v>
      </c>
      <c r="K497" s="475" t="n">
        <f aca="false">'Basis Options'!G502</f>
        <v>36800</v>
      </c>
      <c r="L497" s="254" t="e">
        <f aca="false">'Basis Options'!U502</f>
        <v>#NAME?</v>
      </c>
      <c r="M497" s="475" t="n">
        <f aca="false">'Basis Options'!Q502</f>
        <v>36797</v>
      </c>
      <c r="N497" s="0" t="str">
        <f aca="false">'Basis Options'!F502</f>
        <v>C</v>
      </c>
      <c r="O497" s="0" t="n">
        <f aca="false">'Basis Options'!I502</f>
        <v>0.7</v>
      </c>
      <c r="P497" s="0" t="n">
        <v>0</v>
      </c>
      <c r="Q497" s="0" t="n">
        <v>0</v>
      </c>
      <c r="R497" s="0" t="n">
        <v>0</v>
      </c>
      <c r="S497" s="0" t="n">
        <v>0</v>
      </c>
      <c r="T497" s="0" t="s">
        <v>624</v>
      </c>
      <c r="U497" s="0" t="str">
        <f aca="false">IF('Basis Options'!D502="NGI/CHI. GATE","""NGI/CHI. GATE""",TRIM('Basis Options'!D502))</f>
        <v>IF-TRANSCO/Z6</v>
      </c>
      <c r="V497" s="0" t="s">
        <v>624</v>
      </c>
      <c r="W497" s="0" t="s">
        <v>569</v>
      </c>
      <c r="X497" s="0" t="s">
        <v>624</v>
      </c>
      <c r="Y497" s="0" t="s">
        <v>627</v>
      </c>
      <c r="Z497" s="0" t="s">
        <v>629</v>
      </c>
      <c r="AA497" s="0" t="s">
        <v>624</v>
      </c>
      <c r="AB497" s="0" t="s">
        <v>132</v>
      </c>
      <c r="AC497" s="254" t="n">
        <f aca="false">'Basis Options'!H502</f>
        <v>310000</v>
      </c>
      <c r="AD497" s="254" t="e">
        <f aca="false">'Basis Options'!W502</f>
        <v>#NAME?</v>
      </c>
      <c r="AE497" s="0" t="n">
        <v>0</v>
      </c>
      <c r="AF497" s="0" t="n">
        <v>0</v>
      </c>
      <c r="AG497" s="0" t="n">
        <v>0</v>
      </c>
      <c r="AH497" s="254" t="e">
        <f aca="false">'Basis Options'!CD502</f>
        <v>#NAME?</v>
      </c>
      <c r="AI497" s="0" t="n">
        <v>226</v>
      </c>
      <c r="AJ497" s="0" t="s">
        <v>630</v>
      </c>
      <c r="AK497" s="0" t="n">
        <v>0</v>
      </c>
      <c r="AL497" s="0" t="n">
        <v>0</v>
      </c>
      <c r="AM497" s="0" t="n">
        <v>0</v>
      </c>
    </row>
    <row r="498" customFormat="false" ht="12.75" hidden="false" customHeight="false" outlineLevel="0" collapsed="false">
      <c r="A498" s="0" t="s">
        <v>621</v>
      </c>
      <c r="B498" s="0" t="str">
        <f aca="false">'Basis Options'!C503</f>
        <v>NR5976</v>
      </c>
      <c r="C498" s="0" t="s">
        <v>622</v>
      </c>
      <c r="D498" s="0" t="s">
        <v>623</v>
      </c>
      <c r="E498" s="0" t="s">
        <v>131</v>
      </c>
      <c r="F498" s="0" t="str">
        <f aca="false">'Basis Options'!A503</f>
        <v>TRACTEBEENEMAR</v>
      </c>
      <c r="G498" s="0" t="s">
        <v>628</v>
      </c>
      <c r="H498" s="0" t="s">
        <v>625</v>
      </c>
      <c r="I498" s="0" t="s">
        <v>626</v>
      </c>
      <c r="J498" s="0" t="s">
        <v>627</v>
      </c>
      <c r="K498" s="475" t="n">
        <f aca="false">'Basis Options'!G503</f>
        <v>36951</v>
      </c>
      <c r="L498" s="254" t="e">
        <f aca="false">'Basis Options'!U503</f>
        <v>#NAME?</v>
      </c>
      <c r="M498" s="475" t="n">
        <f aca="false">'Basis Options'!Q503</f>
        <v>36949</v>
      </c>
      <c r="N498" s="0" t="str">
        <f aca="false">'Basis Options'!F503</f>
        <v>C</v>
      </c>
      <c r="O498" s="0" t="n">
        <f aca="false">'Basis Options'!I503</f>
        <v>2.5</v>
      </c>
      <c r="P498" s="0" t="n">
        <v>0</v>
      </c>
      <c r="Q498" s="0" t="n">
        <v>0</v>
      </c>
      <c r="R498" s="0" t="n">
        <v>0</v>
      </c>
      <c r="S498" s="0" t="n">
        <v>0</v>
      </c>
      <c r="T498" s="0" t="s">
        <v>624</v>
      </c>
      <c r="U498" s="0" t="str">
        <f aca="false">IF('Basis Options'!D503="NGI/CHI. GATE","""NGI/CHI. GATE""",TRIM('Basis Options'!D503))</f>
        <v>IF-TRANSCO/Z6</v>
      </c>
      <c r="V498" s="0" t="s">
        <v>624</v>
      </c>
      <c r="W498" s="0" t="s">
        <v>569</v>
      </c>
      <c r="X498" s="0" t="s">
        <v>624</v>
      </c>
      <c r="Y498" s="0" t="s">
        <v>627</v>
      </c>
      <c r="Z498" s="0" t="s">
        <v>629</v>
      </c>
      <c r="AA498" s="0" t="s">
        <v>624</v>
      </c>
      <c r="AB498" s="0" t="s">
        <v>132</v>
      </c>
      <c r="AC498" s="254" t="n">
        <f aca="false">'Basis Options'!H503</f>
        <v>310000</v>
      </c>
      <c r="AD498" s="254" t="e">
        <f aca="false">'Basis Options'!W503</f>
        <v>#NAME?</v>
      </c>
      <c r="AE498" s="0" t="n">
        <v>0</v>
      </c>
      <c r="AF498" s="0" t="n">
        <v>0</v>
      </c>
      <c r="AG498" s="0" t="n">
        <v>0</v>
      </c>
      <c r="AH498" s="254" t="e">
        <f aca="false">'Basis Options'!CD503</f>
        <v>#NAME?</v>
      </c>
      <c r="AI498" s="0" t="n">
        <v>226</v>
      </c>
      <c r="AJ498" s="0" t="s">
        <v>630</v>
      </c>
      <c r="AK498" s="0" t="n">
        <v>0</v>
      </c>
      <c r="AL498" s="0" t="n">
        <v>0</v>
      </c>
      <c r="AM498" s="0" t="n">
        <v>0</v>
      </c>
    </row>
    <row r="499" customFormat="false" ht="12.75" hidden="false" customHeight="false" outlineLevel="0" collapsed="false">
      <c r="A499" s="0" t="s">
        <v>621</v>
      </c>
      <c r="B499" s="0" t="str">
        <f aca="false">'Basis Options'!C504</f>
        <v>NR5976</v>
      </c>
      <c r="C499" s="0" t="s">
        <v>622</v>
      </c>
      <c r="D499" s="0" t="s">
        <v>623</v>
      </c>
      <c r="E499" s="0" t="s">
        <v>131</v>
      </c>
      <c r="F499" s="0" t="str">
        <f aca="false">'Basis Options'!A504</f>
        <v>TRACTEBEENEMAR</v>
      </c>
      <c r="G499" s="0" t="s">
        <v>628</v>
      </c>
      <c r="H499" s="0" t="s">
        <v>625</v>
      </c>
      <c r="I499" s="0" t="s">
        <v>626</v>
      </c>
      <c r="J499" s="0" t="s">
        <v>627</v>
      </c>
      <c r="K499" s="475" t="n">
        <f aca="false">'Basis Options'!G504</f>
        <v>36923</v>
      </c>
      <c r="L499" s="254" t="e">
        <f aca="false">'Basis Options'!U504</f>
        <v>#NAME?</v>
      </c>
      <c r="M499" s="475" t="n">
        <f aca="false">'Basis Options'!Q504</f>
        <v>36921</v>
      </c>
      <c r="N499" s="0" t="str">
        <f aca="false">'Basis Options'!F504</f>
        <v>C</v>
      </c>
      <c r="O499" s="0" t="n">
        <f aca="false">'Basis Options'!I504</f>
        <v>2.5</v>
      </c>
      <c r="P499" s="0" t="n">
        <v>0</v>
      </c>
      <c r="Q499" s="0" t="n">
        <v>0</v>
      </c>
      <c r="R499" s="0" t="n">
        <v>0</v>
      </c>
      <c r="S499" s="0" t="n">
        <v>0</v>
      </c>
      <c r="T499" s="0" t="s">
        <v>624</v>
      </c>
      <c r="U499" s="0" t="str">
        <f aca="false">IF('Basis Options'!D504="NGI/CHI. GATE","""NGI/CHI. GATE""",TRIM('Basis Options'!D504))</f>
        <v>IF-TRANSCO/Z6</v>
      </c>
      <c r="V499" s="0" t="s">
        <v>624</v>
      </c>
      <c r="W499" s="0" t="s">
        <v>569</v>
      </c>
      <c r="X499" s="0" t="s">
        <v>624</v>
      </c>
      <c r="Y499" s="0" t="s">
        <v>627</v>
      </c>
      <c r="Z499" s="0" t="s">
        <v>629</v>
      </c>
      <c r="AA499" s="0" t="s">
        <v>624</v>
      </c>
      <c r="AB499" s="0" t="s">
        <v>132</v>
      </c>
      <c r="AC499" s="254" t="n">
        <f aca="false">'Basis Options'!H504</f>
        <v>280000</v>
      </c>
      <c r="AD499" s="254" t="e">
        <f aca="false">'Basis Options'!W504</f>
        <v>#NAME?</v>
      </c>
      <c r="AE499" s="0" t="n">
        <v>0</v>
      </c>
      <c r="AF499" s="0" t="n">
        <v>0</v>
      </c>
      <c r="AG499" s="0" t="n">
        <v>0</v>
      </c>
      <c r="AH499" s="254" t="e">
        <f aca="false">'Basis Options'!CD504</f>
        <v>#NAME?</v>
      </c>
      <c r="AI499" s="0" t="n">
        <v>226</v>
      </c>
      <c r="AJ499" s="0" t="s">
        <v>630</v>
      </c>
      <c r="AK499" s="0" t="n">
        <v>0</v>
      </c>
      <c r="AL499" s="0" t="n">
        <v>0</v>
      </c>
      <c r="AM499" s="0" t="n">
        <v>0</v>
      </c>
    </row>
    <row r="500" customFormat="false" ht="12.75" hidden="false" customHeight="false" outlineLevel="0" collapsed="false">
      <c r="A500" s="0" t="s">
        <v>621</v>
      </c>
      <c r="B500" s="0" t="str">
        <f aca="false">'Basis Options'!C505</f>
        <v>NR5976</v>
      </c>
      <c r="C500" s="0" t="s">
        <v>622</v>
      </c>
      <c r="D500" s="0" t="s">
        <v>623</v>
      </c>
      <c r="E500" s="0" t="s">
        <v>131</v>
      </c>
      <c r="F500" s="0" t="str">
        <f aca="false">'Basis Options'!A505</f>
        <v>TRACTEBEENEMAR</v>
      </c>
      <c r="G500" s="0" t="s">
        <v>628</v>
      </c>
      <c r="H500" s="0" t="s">
        <v>625</v>
      </c>
      <c r="I500" s="0" t="s">
        <v>626</v>
      </c>
      <c r="J500" s="0" t="s">
        <v>627</v>
      </c>
      <c r="K500" s="475" t="n">
        <f aca="false">'Basis Options'!G505</f>
        <v>36892</v>
      </c>
      <c r="L500" s="254" t="e">
        <f aca="false">'Basis Options'!U505</f>
        <v>#NAME?</v>
      </c>
      <c r="M500" s="475" t="n">
        <f aca="false">'Basis Options'!Q505</f>
        <v>36888</v>
      </c>
      <c r="N500" s="0" t="str">
        <f aca="false">'Basis Options'!F505</f>
        <v>C</v>
      </c>
      <c r="O500" s="0" t="n">
        <f aca="false">'Basis Options'!I505</f>
        <v>2.5</v>
      </c>
      <c r="P500" s="0" t="n">
        <v>0</v>
      </c>
      <c r="Q500" s="0" t="n">
        <v>0</v>
      </c>
      <c r="R500" s="0" t="n">
        <v>0</v>
      </c>
      <c r="S500" s="0" t="n">
        <v>0</v>
      </c>
      <c r="T500" s="0" t="s">
        <v>624</v>
      </c>
      <c r="U500" s="0" t="str">
        <f aca="false">IF('Basis Options'!D505="NGI/CHI. GATE","""NGI/CHI. GATE""",TRIM('Basis Options'!D505))</f>
        <v>IF-TRANSCO/Z6</v>
      </c>
      <c r="V500" s="0" t="s">
        <v>624</v>
      </c>
      <c r="W500" s="0" t="s">
        <v>569</v>
      </c>
      <c r="X500" s="0" t="s">
        <v>624</v>
      </c>
      <c r="Y500" s="0" t="s">
        <v>627</v>
      </c>
      <c r="Z500" s="0" t="s">
        <v>629</v>
      </c>
      <c r="AA500" s="0" t="s">
        <v>624</v>
      </c>
      <c r="AB500" s="0" t="s">
        <v>132</v>
      </c>
      <c r="AC500" s="254" t="n">
        <f aca="false">'Basis Options'!H505</f>
        <v>310000</v>
      </c>
      <c r="AD500" s="254" t="e">
        <f aca="false">'Basis Options'!W505</f>
        <v>#NAME?</v>
      </c>
      <c r="AE500" s="0" t="n">
        <v>0</v>
      </c>
      <c r="AF500" s="0" t="n">
        <v>0</v>
      </c>
      <c r="AG500" s="0" t="n">
        <v>0</v>
      </c>
      <c r="AH500" s="254" t="e">
        <f aca="false">'Basis Options'!CD505</f>
        <v>#NAME?</v>
      </c>
      <c r="AI500" s="0" t="n">
        <v>226</v>
      </c>
      <c r="AJ500" s="0" t="s">
        <v>630</v>
      </c>
      <c r="AK500" s="0" t="n">
        <v>0</v>
      </c>
      <c r="AL500" s="0" t="n">
        <v>0</v>
      </c>
      <c r="AM500" s="0" t="n">
        <v>0</v>
      </c>
    </row>
    <row r="501" customFormat="false" ht="12.75" hidden="false" customHeight="false" outlineLevel="0" collapsed="false">
      <c r="A501" s="0" t="s">
        <v>621</v>
      </c>
      <c r="B501" s="0" t="str">
        <f aca="false">'Basis Options'!C506</f>
        <v>NR5976</v>
      </c>
      <c r="C501" s="0" t="s">
        <v>622</v>
      </c>
      <c r="D501" s="0" t="s">
        <v>623</v>
      </c>
      <c r="E501" s="0" t="s">
        <v>131</v>
      </c>
      <c r="F501" s="0" t="str">
        <f aca="false">'Basis Options'!A506</f>
        <v>TRACTEBEENEMAR</v>
      </c>
      <c r="G501" s="0" t="s">
        <v>628</v>
      </c>
      <c r="H501" s="0" t="s">
        <v>625</v>
      </c>
      <c r="I501" s="0" t="s">
        <v>626</v>
      </c>
      <c r="J501" s="0" t="s">
        <v>627</v>
      </c>
      <c r="K501" s="475" t="n">
        <f aca="false">'Basis Options'!G506</f>
        <v>36861</v>
      </c>
      <c r="L501" s="254" t="e">
        <f aca="false">'Basis Options'!U506</f>
        <v>#NAME?</v>
      </c>
      <c r="M501" s="475" t="n">
        <f aca="false">'Basis Options'!Q506</f>
        <v>36859</v>
      </c>
      <c r="N501" s="0" t="str">
        <f aca="false">'Basis Options'!F506</f>
        <v>C</v>
      </c>
      <c r="O501" s="0" t="n">
        <f aca="false">'Basis Options'!I506</f>
        <v>2.5</v>
      </c>
      <c r="P501" s="0" t="n">
        <v>0</v>
      </c>
      <c r="Q501" s="0" t="n">
        <v>0</v>
      </c>
      <c r="R501" s="0" t="n">
        <v>0</v>
      </c>
      <c r="S501" s="0" t="n">
        <v>0</v>
      </c>
      <c r="T501" s="0" t="s">
        <v>624</v>
      </c>
      <c r="U501" s="0" t="str">
        <f aca="false">IF('Basis Options'!D506="NGI/CHI. GATE","""NGI/CHI. GATE""",TRIM('Basis Options'!D506))</f>
        <v>IF-TRANSCO/Z6</v>
      </c>
      <c r="V501" s="0" t="s">
        <v>624</v>
      </c>
      <c r="W501" s="0" t="s">
        <v>569</v>
      </c>
      <c r="X501" s="0" t="s">
        <v>624</v>
      </c>
      <c r="Y501" s="0" t="s">
        <v>627</v>
      </c>
      <c r="Z501" s="0" t="s">
        <v>629</v>
      </c>
      <c r="AA501" s="0" t="s">
        <v>624</v>
      </c>
      <c r="AB501" s="0" t="s">
        <v>132</v>
      </c>
      <c r="AC501" s="254" t="n">
        <f aca="false">'Basis Options'!H506</f>
        <v>310000</v>
      </c>
      <c r="AD501" s="254" t="e">
        <f aca="false">'Basis Options'!W506</f>
        <v>#NAME?</v>
      </c>
      <c r="AE501" s="0" t="n">
        <v>0</v>
      </c>
      <c r="AF501" s="0" t="n">
        <v>0</v>
      </c>
      <c r="AG501" s="0" t="n">
        <v>0</v>
      </c>
      <c r="AH501" s="254" t="e">
        <f aca="false">'Basis Options'!CD506</f>
        <v>#NAME?</v>
      </c>
      <c r="AI501" s="0" t="n">
        <v>226</v>
      </c>
      <c r="AJ501" s="0" t="s">
        <v>630</v>
      </c>
      <c r="AK501" s="0" t="n">
        <v>0</v>
      </c>
      <c r="AL501" s="0" t="n">
        <v>0</v>
      </c>
      <c r="AM501" s="0" t="n">
        <v>0</v>
      </c>
    </row>
    <row r="502" customFormat="false" ht="12.75" hidden="false" customHeight="false" outlineLevel="0" collapsed="false">
      <c r="A502" s="0" t="s">
        <v>621</v>
      </c>
      <c r="B502" s="0" t="str">
        <f aca="false">'Basis Options'!C507</f>
        <v>NR5976</v>
      </c>
      <c r="C502" s="0" t="s">
        <v>622</v>
      </c>
      <c r="D502" s="0" t="s">
        <v>623</v>
      </c>
      <c r="E502" s="0" t="s">
        <v>131</v>
      </c>
      <c r="F502" s="0" t="str">
        <f aca="false">'Basis Options'!A507</f>
        <v>TRACTEBEENEMAR</v>
      </c>
      <c r="G502" s="0" t="s">
        <v>628</v>
      </c>
      <c r="H502" s="0" t="s">
        <v>625</v>
      </c>
      <c r="I502" s="0" t="s">
        <v>626</v>
      </c>
      <c r="J502" s="0" t="s">
        <v>627</v>
      </c>
      <c r="K502" s="475" t="n">
        <f aca="false">'Basis Options'!G507</f>
        <v>36831</v>
      </c>
      <c r="L502" s="254" t="e">
        <f aca="false">'Basis Options'!U507</f>
        <v>#NAME?</v>
      </c>
      <c r="M502" s="475" t="n">
        <f aca="false">'Basis Options'!Q507</f>
        <v>36829</v>
      </c>
      <c r="N502" s="0" t="str">
        <f aca="false">'Basis Options'!F507</f>
        <v>C</v>
      </c>
      <c r="O502" s="0" t="n">
        <f aca="false">'Basis Options'!I507</f>
        <v>2.5</v>
      </c>
      <c r="P502" s="0" t="n">
        <v>0</v>
      </c>
      <c r="Q502" s="0" t="n">
        <v>0</v>
      </c>
      <c r="R502" s="0" t="n">
        <v>0</v>
      </c>
      <c r="S502" s="0" t="n">
        <v>0</v>
      </c>
      <c r="T502" s="0" t="s">
        <v>624</v>
      </c>
      <c r="U502" s="0" t="str">
        <f aca="false">IF('Basis Options'!D507="NGI/CHI. GATE","""NGI/CHI. GATE""",TRIM('Basis Options'!D507))</f>
        <v>IF-TRANSCO/Z6</v>
      </c>
      <c r="V502" s="0" t="s">
        <v>624</v>
      </c>
      <c r="W502" s="0" t="s">
        <v>569</v>
      </c>
      <c r="X502" s="0" t="s">
        <v>624</v>
      </c>
      <c r="Y502" s="0" t="s">
        <v>627</v>
      </c>
      <c r="Z502" s="0" t="s">
        <v>629</v>
      </c>
      <c r="AA502" s="0" t="s">
        <v>624</v>
      </c>
      <c r="AB502" s="0" t="s">
        <v>132</v>
      </c>
      <c r="AC502" s="254" t="n">
        <f aca="false">'Basis Options'!H507</f>
        <v>300000</v>
      </c>
      <c r="AD502" s="254" t="e">
        <f aca="false">'Basis Options'!W507</f>
        <v>#NAME?</v>
      </c>
      <c r="AE502" s="0" t="n">
        <v>0</v>
      </c>
      <c r="AF502" s="0" t="n">
        <v>0</v>
      </c>
      <c r="AG502" s="0" t="n">
        <v>0</v>
      </c>
      <c r="AH502" s="254" t="e">
        <f aca="false">'Basis Options'!CD507</f>
        <v>#NAME?</v>
      </c>
      <c r="AI502" s="0" t="n">
        <v>226</v>
      </c>
      <c r="AJ502" s="0" t="s">
        <v>630</v>
      </c>
      <c r="AK502" s="0" t="n">
        <v>0</v>
      </c>
      <c r="AL502" s="0" t="n">
        <v>0</v>
      </c>
      <c r="AM502" s="0" t="n">
        <v>0</v>
      </c>
    </row>
    <row r="503" customFormat="false" ht="12.75" hidden="false" customHeight="false" outlineLevel="0" collapsed="false">
      <c r="A503" s="0" t="s">
        <v>621</v>
      </c>
      <c r="B503" s="0" t="str">
        <f aca="false">'Basis Options'!C508</f>
        <v>NR5978</v>
      </c>
      <c r="C503" s="0" t="s">
        <v>622</v>
      </c>
      <c r="D503" s="0" t="s">
        <v>623</v>
      </c>
      <c r="E503" s="0" t="s">
        <v>131</v>
      </c>
      <c r="F503" s="0" t="str">
        <f aca="false">'Basis Options'!A508</f>
        <v>TRACTEBEENEMAR</v>
      </c>
      <c r="G503" s="0" t="s">
        <v>628</v>
      </c>
      <c r="H503" s="0" t="s">
        <v>625</v>
      </c>
      <c r="I503" s="0" t="s">
        <v>626</v>
      </c>
      <c r="J503" s="0" t="s">
        <v>627</v>
      </c>
      <c r="K503" s="475" t="n">
        <f aca="false">'Basis Options'!G508</f>
        <v>36800</v>
      </c>
      <c r="L503" s="254" t="e">
        <f aca="false">'Basis Options'!U508</f>
        <v>#NAME?</v>
      </c>
      <c r="M503" s="475" t="n">
        <f aca="false">'Basis Options'!Q508</f>
        <v>36797</v>
      </c>
      <c r="N503" s="0" t="str">
        <f aca="false">'Basis Options'!F508</f>
        <v>C</v>
      </c>
      <c r="O503" s="0" t="n">
        <f aca="false">'Basis Options'!I508</f>
        <v>0.4</v>
      </c>
      <c r="P503" s="0" t="n">
        <v>0</v>
      </c>
      <c r="Q503" s="0" t="n">
        <v>0</v>
      </c>
      <c r="R503" s="0" t="n">
        <v>0</v>
      </c>
      <c r="S503" s="0" t="n">
        <v>0</v>
      </c>
      <c r="T503" s="0" t="s">
        <v>624</v>
      </c>
      <c r="U503" s="0" t="str">
        <f aca="false">IF('Basis Options'!D508="NGI/CHI. GATE","""NGI/CHI. GATE""",TRIM('Basis Options'!D508))</f>
        <v>IF-TRANSCO/Z6</v>
      </c>
      <c r="V503" s="0" t="s">
        <v>624</v>
      </c>
      <c r="W503" s="0" t="s">
        <v>569</v>
      </c>
      <c r="X503" s="0" t="s">
        <v>624</v>
      </c>
      <c r="Y503" s="0" t="s">
        <v>627</v>
      </c>
      <c r="Z503" s="0" t="s">
        <v>629</v>
      </c>
      <c r="AA503" s="0" t="s">
        <v>624</v>
      </c>
      <c r="AB503" s="0" t="s">
        <v>132</v>
      </c>
      <c r="AC503" s="254" t="n">
        <f aca="false">'Basis Options'!H508</f>
        <v>-620000</v>
      </c>
      <c r="AD503" s="254" t="e">
        <f aca="false">'Basis Options'!W508</f>
        <v>#NAME?</v>
      </c>
      <c r="AE503" s="0" t="n">
        <v>0</v>
      </c>
      <c r="AF503" s="0" t="n">
        <v>0</v>
      </c>
      <c r="AG503" s="0" t="n">
        <v>0</v>
      </c>
      <c r="AH503" s="254" t="e">
        <f aca="false">'Basis Options'!CD508</f>
        <v>#NAME?</v>
      </c>
      <c r="AI503" s="0" t="n">
        <v>226</v>
      </c>
      <c r="AJ503" s="0" t="s">
        <v>630</v>
      </c>
      <c r="AK503" s="0" t="n">
        <v>0</v>
      </c>
      <c r="AL503" s="0" t="n">
        <v>0</v>
      </c>
      <c r="AM503" s="0" t="n">
        <v>0</v>
      </c>
    </row>
    <row r="504" customFormat="false" ht="12.75" hidden="false" customHeight="false" outlineLevel="0" collapsed="false">
      <c r="A504" s="0" t="s">
        <v>621</v>
      </c>
      <c r="B504" s="0" t="str">
        <f aca="false">'Basis Options'!C509</f>
        <v>NR5979</v>
      </c>
      <c r="C504" s="0" t="s">
        <v>622</v>
      </c>
      <c r="D504" s="0" t="s">
        <v>623</v>
      </c>
      <c r="E504" s="0" t="s">
        <v>131</v>
      </c>
      <c r="F504" s="0" t="str">
        <f aca="false">'Basis Options'!A509</f>
        <v>TRACTEBEENEMAR</v>
      </c>
      <c r="G504" s="0" t="s">
        <v>628</v>
      </c>
      <c r="H504" s="0" t="s">
        <v>625</v>
      </c>
      <c r="I504" s="0" t="s">
        <v>626</v>
      </c>
      <c r="J504" s="0" t="s">
        <v>627</v>
      </c>
      <c r="K504" s="475" t="n">
        <f aca="false">'Basis Options'!G509</f>
        <v>36951</v>
      </c>
      <c r="L504" s="254" t="e">
        <f aca="false">'Basis Options'!U509</f>
        <v>#NAME?</v>
      </c>
      <c r="M504" s="475" t="n">
        <f aca="false">'Basis Options'!Q509</f>
        <v>36949</v>
      </c>
      <c r="N504" s="0" t="str">
        <f aca="false">'Basis Options'!F509</f>
        <v>C</v>
      </c>
      <c r="O504" s="0" t="n">
        <f aca="false">'Basis Options'!I509</f>
        <v>0.15</v>
      </c>
      <c r="P504" s="0" t="n">
        <v>0</v>
      </c>
      <c r="Q504" s="0" t="n">
        <v>0</v>
      </c>
      <c r="R504" s="0" t="n">
        <v>0</v>
      </c>
      <c r="S504" s="0" t="n">
        <v>0</v>
      </c>
      <c r="T504" s="0" t="s">
        <v>624</v>
      </c>
      <c r="U504" s="0" t="str">
        <f aca="false">IF('Basis Options'!D509="NGI/CHI. GATE","""NGI/CHI. GATE""",TRIM('Basis Options'!D509))</f>
        <v>"NGI/CHI. GATE"</v>
      </c>
      <c r="V504" s="0" t="s">
        <v>624</v>
      </c>
      <c r="W504" s="0" t="s">
        <v>569</v>
      </c>
      <c r="X504" s="0" t="s">
        <v>624</v>
      </c>
      <c r="Y504" s="0" t="s">
        <v>627</v>
      </c>
      <c r="Z504" s="0" t="s">
        <v>629</v>
      </c>
      <c r="AA504" s="0" t="s">
        <v>624</v>
      </c>
      <c r="AB504" s="0" t="s">
        <v>132</v>
      </c>
      <c r="AC504" s="254" t="n">
        <f aca="false">'Basis Options'!H509</f>
        <v>-310000</v>
      </c>
      <c r="AD504" s="254" t="e">
        <f aca="false">'Basis Options'!W509</f>
        <v>#NAME?</v>
      </c>
      <c r="AE504" s="0" t="n">
        <v>0</v>
      </c>
      <c r="AF504" s="0" t="n">
        <v>0</v>
      </c>
      <c r="AG504" s="0" t="n">
        <v>0</v>
      </c>
      <c r="AH504" s="254" t="e">
        <f aca="false">'Basis Options'!CD509</f>
        <v>#NAME?</v>
      </c>
      <c r="AI504" s="0" t="n">
        <v>226</v>
      </c>
      <c r="AJ504" s="0" t="s">
        <v>630</v>
      </c>
      <c r="AK504" s="0" t="n">
        <v>0</v>
      </c>
      <c r="AL504" s="0" t="n">
        <v>0</v>
      </c>
      <c r="AM504" s="0" t="n">
        <v>0</v>
      </c>
    </row>
    <row r="505" customFormat="false" ht="12.75" hidden="false" customHeight="false" outlineLevel="0" collapsed="false">
      <c r="A505" s="0" t="s">
        <v>621</v>
      </c>
      <c r="B505" s="0" t="str">
        <f aca="false">'Basis Options'!C510</f>
        <v>NR5979</v>
      </c>
      <c r="C505" s="0" t="s">
        <v>622</v>
      </c>
      <c r="D505" s="0" t="s">
        <v>623</v>
      </c>
      <c r="E505" s="0" t="s">
        <v>131</v>
      </c>
      <c r="F505" s="0" t="str">
        <f aca="false">'Basis Options'!A510</f>
        <v>TRACTEBEENEMAR</v>
      </c>
      <c r="G505" s="0" t="s">
        <v>628</v>
      </c>
      <c r="H505" s="0" t="s">
        <v>625</v>
      </c>
      <c r="I505" s="0" t="s">
        <v>626</v>
      </c>
      <c r="J505" s="0" t="s">
        <v>627</v>
      </c>
      <c r="K505" s="475" t="n">
        <f aca="false">'Basis Options'!G510</f>
        <v>36923</v>
      </c>
      <c r="L505" s="254" t="e">
        <f aca="false">'Basis Options'!U510</f>
        <v>#NAME?</v>
      </c>
      <c r="M505" s="475" t="n">
        <f aca="false">'Basis Options'!Q510</f>
        <v>36921</v>
      </c>
      <c r="N505" s="0" t="str">
        <f aca="false">'Basis Options'!F510</f>
        <v>C</v>
      </c>
      <c r="O505" s="0" t="n">
        <f aca="false">'Basis Options'!I510</f>
        <v>0.15</v>
      </c>
      <c r="P505" s="0" t="n">
        <v>0</v>
      </c>
      <c r="Q505" s="0" t="n">
        <v>0</v>
      </c>
      <c r="R505" s="0" t="n">
        <v>0</v>
      </c>
      <c r="S505" s="0" t="n">
        <v>0</v>
      </c>
      <c r="T505" s="0" t="s">
        <v>624</v>
      </c>
      <c r="U505" s="0" t="str">
        <f aca="false">IF('Basis Options'!D510="NGI/CHI. GATE","""NGI/CHI. GATE""",TRIM('Basis Options'!D510))</f>
        <v>"NGI/CHI. GATE"</v>
      </c>
      <c r="V505" s="0" t="s">
        <v>624</v>
      </c>
      <c r="W505" s="0" t="s">
        <v>569</v>
      </c>
      <c r="X505" s="0" t="s">
        <v>624</v>
      </c>
      <c r="Y505" s="0" t="s">
        <v>627</v>
      </c>
      <c r="Z505" s="0" t="s">
        <v>629</v>
      </c>
      <c r="AA505" s="0" t="s">
        <v>624</v>
      </c>
      <c r="AB505" s="0" t="s">
        <v>132</v>
      </c>
      <c r="AC505" s="254" t="n">
        <f aca="false">'Basis Options'!H510</f>
        <v>-280000</v>
      </c>
      <c r="AD505" s="254" t="e">
        <f aca="false">'Basis Options'!W510</f>
        <v>#NAME?</v>
      </c>
      <c r="AE505" s="0" t="n">
        <v>0</v>
      </c>
      <c r="AF505" s="0" t="n">
        <v>0</v>
      </c>
      <c r="AG505" s="0" t="n">
        <v>0</v>
      </c>
      <c r="AH505" s="254" t="e">
        <f aca="false">'Basis Options'!CD510</f>
        <v>#NAME?</v>
      </c>
      <c r="AI505" s="0" t="n">
        <v>226</v>
      </c>
      <c r="AJ505" s="0" t="s">
        <v>630</v>
      </c>
      <c r="AK505" s="0" t="n">
        <v>0</v>
      </c>
      <c r="AL505" s="0" t="n">
        <v>0</v>
      </c>
      <c r="AM505" s="0" t="n">
        <v>0</v>
      </c>
    </row>
    <row r="506" customFormat="false" ht="12.75" hidden="false" customHeight="false" outlineLevel="0" collapsed="false">
      <c r="A506" s="0" t="s">
        <v>621</v>
      </c>
      <c r="B506" s="0" t="str">
        <f aca="false">'Basis Options'!C511</f>
        <v>NR5979</v>
      </c>
      <c r="C506" s="0" t="s">
        <v>622</v>
      </c>
      <c r="D506" s="0" t="s">
        <v>623</v>
      </c>
      <c r="E506" s="0" t="s">
        <v>131</v>
      </c>
      <c r="F506" s="0" t="str">
        <f aca="false">'Basis Options'!A511</f>
        <v>TRACTEBEENEMAR</v>
      </c>
      <c r="G506" s="0" t="s">
        <v>628</v>
      </c>
      <c r="H506" s="0" t="s">
        <v>625</v>
      </c>
      <c r="I506" s="0" t="s">
        <v>626</v>
      </c>
      <c r="J506" s="0" t="s">
        <v>627</v>
      </c>
      <c r="K506" s="475" t="n">
        <f aca="false">'Basis Options'!G511</f>
        <v>36892</v>
      </c>
      <c r="L506" s="254" t="e">
        <f aca="false">'Basis Options'!U511</f>
        <v>#NAME?</v>
      </c>
      <c r="M506" s="475" t="n">
        <f aca="false">'Basis Options'!Q511</f>
        <v>36888</v>
      </c>
      <c r="N506" s="0" t="str">
        <f aca="false">'Basis Options'!F511</f>
        <v>C</v>
      </c>
      <c r="O506" s="0" t="n">
        <f aca="false">'Basis Options'!I511</f>
        <v>0.15</v>
      </c>
      <c r="P506" s="0" t="n">
        <v>0</v>
      </c>
      <c r="Q506" s="0" t="n">
        <v>0</v>
      </c>
      <c r="R506" s="0" t="n">
        <v>0</v>
      </c>
      <c r="S506" s="0" t="n">
        <v>0</v>
      </c>
      <c r="T506" s="0" t="s">
        <v>624</v>
      </c>
      <c r="U506" s="0" t="str">
        <f aca="false">IF('Basis Options'!D511="NGI/CHI. GATE","""NGI/CHI. GATE""",TRIM('Basis Options'!D511))</f>
        <v>"NGI/CHI. GATE"</v>
      </c>
      <c r="V506" s="0" t="s">
        <v>624</v>
      </c>
      <c r="W506" s="0" t="s">
        <v>569</v>
      </c>
      <c r="X506" s="0" t="s">
        <v>624</v>
      </c>
      <c r="Y506" s="0" t="s">
        <v>627</v>
      </c>
      <c r="Z506" s="0" t="s">
        <v>629</v>
      </c>
      <c r="AA506" s="0" t="s">
        <v>624</v>
      </c>
      <c r="AB506" s="0" t="s">
        <v>132</v>
      </c>
      <c r="AC506" s="254" t="n">
        <f aca="false">'Basis Options'!H511</f>
        <v>-310000</v>
      </c>
      <c r="AD506" s="254" t="e">
        <f aca="false">'Basis Options'!W511</f>
        <v>#NAME?</v>
      </c>
      <c r="AE506" s="0" t="n">
        <v>0</v>
      </c>
      <c r="AF506" s="0" t="n">
        <v>0</v>
      </c>
      <c r="AG506" s="0" t="n">
        <v>0</v>
      </c>
      <c r="AH506" s="254" t="e">
        <f aca="false">'Basis Options'!CD511</f>
        <v>#NAME?</v>
      </c>
      <c r="AI506" s="0" t="n">
        <v>226</v>
      </c>
      <c r="AJ506" s="0" t="s">
        <v>630</v>
      </c>
      <c r="AK506" s="0" t="n">
        <v>0</v>
      </c>
      <c r="AL506" s="0" t="n">
        <v>0</v>
      </c>
      <c r="AM506" s="0" t="n">
        <v>0</v>
      </c>
    </row>
    <row r="507" customFormat="false" ht="12.75" hidden="false" customHeight="false" outlineLevel="0" collapsed="false">
      <c r="A507" s="0" t="s">
        <v>621</v>
      </c>
      <c r="B507" s="0" t="str">
        <f aca="false">'Basis Options'!C512</f>
        <v>NR5979</v>
      </c>
      <c r="C507" s="0" t="s">
        <v>622</v>
      </c>
      <c r="D507" s="0" t="s">
        <v>623</v>
      </c>
      <c r="E507" s="0" t="s">
        <v>131</v>
      </c>
      <c r="F507" s="0" t="str">
        <f aca="false">'Basis Options'!A512</f>
        <v>TRACTEBEENEMAR</v>
      </c>
      <c r="G507" s="0" t="s">
        <v>628</v>
      </c>
      <c r="H507" s="0" t="s">
        <v>625</v>
      </c>
      <c r="I507" s="0" t="s">
        <v>626</v>
      </c>
      <c r="J507" s="0" t="s">
        <v>627</v>
      </c>
      <c r="K507" s="475" t="n">
        <f aca="false">'Basis Options'!G512</f>
        <v>36861</v>
      </c>
      <c r="L507" s="254" t="e">
        <f aca="false">'Basis Options'!U512</f>
        <v>#NAME?</v>
      </c>
      <c r="M507" s="475" t="n">
        <f aca="false">'Basis Options'!Q512</f>
        <v>36859</v>
      </c>
      <c r="N507" s="0" t="str">
        <f aca="false">'Basis Options'!F512</f>
        <v>C</v>
      </c>
      <c r="O507" s="0" t="n">
        <f aca="false">'Basis Options'!I512</f>
        <v>0.15</v>
      </c>
      <c r="P507" s="0" t="n">
        <v>0</v>
      </c>
      <c r="Q507" s="0" t="n">
        <v>0</v>
      </c>
      <c r="R507" s="0" t="n">
        <v>0</v>
      </c>
      <c r="S507" s="0" t="n">
        <v>0</v>
      </c>
      <c r="T507" s="0" t="s">
        <v>624</v>
      </c>
      <c r="U507" s="0" t="str">
        <f aca="false">IF('Basis Options'!D512="NGI/CHI. GATE","""NGI/CHI. GATE""",TRIM('Basis Options'!D512))</f>
        <v>"NGI/CHI. GATE"</v>
      </c>
      <c r="V507" s="0" t="s">
        <v>624</v>
      </c>
      <c r="W507" s="0" t="s">
        <v>569</v>
      </c>
      <c r="X507" s="0" t="s">
        <v>624</v>
      </c>
      <c r="Y507" s="0" t="s">
        <v>627</v>
      </c>
      <c r="Z507" s="0" t="s">
        <v>629</v>
      </c>
      <c r="AA507" s="0" t="s">
        <v>624</v>
      </c>
      <c r="AB507" s="0" t="s">
        <v>132</v>
      </c>
      <c r="AC507" s="254" t="n">
        <f aca="false">'Basis Options'!H512</f>
        <v>-310000</v>
      </c>
      <c r="AD507" s="254" t="e">
        <f aca="false">'Basis Options'!W512</f>
        <v>#NAME?</v>
      </c>
      <c r="AE507" s="0" t="n">
        <v>0</v>
      </c>
      <c r="AF507" s="0" t="n">
        <v>0</v>
      </c>
      <c r="AG507" s="0" t="n">
        <v>0</v>
      </c>
      <c r="AH507" s="254" t="e">
        <f aca="false">'Basis Options'!CD512</f>
        <v>#NAME?</v>
      </c>
      <c r="AI507" s="0" t="n">
        <v>226</v>
      </c>
      <c r="AJ507" s="0" t="s">
        <v>630</v>
      </c>
      <c r="AK507" s="0" t="n">
        <v>0</v>
      </c>
      <c r="AL507" s="0" t="n">
        <v>0</v>
      </c>
      <c r="AM507" s="0" t="n">
        <v>0</v>
      </c>
    </row>
    <row r="508" customFormat="false" ht="12.75" hidden="false" customHeight="false" outlineLevel="0" collapsed="false">
      <c r="A508" s="0" t="s">
        <v>621</v>
      </c>
      <c r="B508" s="0" t="str">
        <f aca="false">'Basis Options'!C513</f>
        <v>NR5979</v>
      </c>
      <c r="C508" s="0" t="s">
        <v>622</v>
      </c>
      <c r="D508" s="0" t="s">
        <v>623</v>
      </c>
      <c r="E508" s="0" t="s">
        <v>131</v>
      </c>
      <c r="F508" s="0" t="str">
        <f aca="false">'Basis Options'!A513</f>
        <v>TRACTEBEENEMAR</v>
      </c>
      <c r="G508" s="0" t="s">
        <v>628</v>
      </c>
      <c r="H508" s="0" t="s">
        <v>625</v>
      </c>
      <c r="I508" s="0" t="s">
        <v>626</v>
      </c>
      <c r="J508" s="0" t="s">
        <v>627</v>
      </c>
      <c r="K508" s="475" t="n">
        <f aca="false">'Basis Options'!G513</f>
        <v>36831</v>
      </c>
      <c r="L508" s="254" t="e">
        <f aca="false">'Basis Options'!U513</f>
        <v>#NAME?</v>
      </c>
      <c r="M508" s="475" t="n">
        <f aca="false">'Basis Options'!Q513</f>
        <v>36829</v>
      </c>
      <c r="N508" s="0" t="str">
        <f aca="false">'Basis Options'!F513</f>
        <v>C</v>
      </c>
      <c r="O508" s="0" t="n">
        <f aca="false">'Basis Options'!I513</f>
        <v>0.15</v>
      </c>
      <c r="P508" s="0" t="n">
        <v>0</v>
      </c>
      <c r="Q508" s="0" t="n">
        <v>0</v>
      </c>
      <c r="R508" s="0" t="n">
        <v>0</v>
      </c>
      <c r="S508" s="0" t="n">
        <v>0</v>
      </c>
      <c r="T508" s="0" t="s">
        <v>624</v>
      </c>
      <c r="U508" s="0" t="str">
        <f aca="false">IF('Basis Options'!D513="NGI/CHI. GATE","""NGI/CHI. GATE""",TRIM('Basis Options'!D513))</f>
        <v>"NGI/CHI. GATE"</v>
      </c>
      <c r="V508" s="0" t="s">
        <v>624</v>
      </c>
      <c r="W508" s="0" t="s">
        <v>569</v>
      </c>
      <c r="X508" s="0" t="s">
        <v>624</v>
      </c>
      <c r="Y508" s="0" t="s">
        <v>627</v>
      </c>
      <c r="Z508" s="0" t="s">
        <v>629</v>
      </c>
      <c r="AA508" s="0" t="s">
        <v>624</v>
      </c>
      <c r="AB508" s="0" t="s">
        <v>132</v>
      </c>
      <c r="AC508" s="254" t="n">
        <f aca="false">'Basis Options'!H513</f>
        <v>-300000</v>
      </c>
      <c r="AD508" s="254" t="e">
        <f aca="false">'Basis Options'!W513</f>
        <v>#NAME?</v>
      </c>
      <c r="AE508" s="0" t="n">
        <v>0</v>
      </c>
      <c r="AF508" s="0" t="n">
        <v>0</v>
      </c>
      <c r="AG508" s="0" t="n">
        <v>0</v>
      </c>
      <c r="AH508" s="254" t="e">
        <f aca="false">'Basis Options'!CD513</f>
        <v>#NAME?</v>
      </c>
      <c r="AI508" s="0" t="n">
        <v>226</v>
      </c>
      <c r="AJ508" s="0" t="s">
        <v>630</v>
      </c>
      <c r="AK508" s="0" t="n">
        <v>0</v>
      </c>
      <c r="AL508" s="0" t="n">
        <v>0</v>
      </c>
      <c r="AM508" s="0" t="n">
        <v>0</v>
      </c>
    </row>
    <row r="509" customFormat="false" ht="12.75" hidden="false" customHeight="false" outlineLevel="0" collapsed="false">
      <c r="A509" s="0" t="s">
        <v>621</v>
      </c>
      <c r="B509" s="0" t="str">
        <f aca="false">'Basis Options'!C514</f>
        <v>NR5983</v>
      </c>
      <c r="C509" s="0" t="s">
        <v>622</v>
      </c>
      <c r="D509" s="0" t="s">
        <v>623</v>
      </c>
      <c r="E509" s="0" t="s">
        <v>131</v>
      </c>
      <c r="F509" s="0" t="str">
        <f aca="false">'Basis Options'!A514</f>
        <v>UTILICORP</v>
      </c>
      <c r="G509" s="0" t="s">
        <v>628</v>
      </c>
      <c r="H509" s="0" t="s">
        <v>625</v>
      </c>
      <c r="I509" s="0" t="s">
        <v>626</v>
      </c>
      <c r="J509" s="0" t="s">
        <v>627</v>
      </c>
      <c r="K509" s="475" t="n">
        <f aca="false">'Basis Options'!G514</f>
        <v>36800</v>
      </c>
      <c r="L509" s="254" t="e">
        <f aca="false">'Basis Options'!U514</f>
        <v>#NAME?</v>
      </c>
      <c r="M509" s="475" t="n">
        <f aca="false">'Basis Options'!Q514</f>
        <v>36797</v>
      </c>
      <c r="N509" s="0" t="str">
        <f aca="false">'Basis Options'!F514</f>
        <v>P</v>
      </c>
      <c r="O509" s="0" t="n">
        <f aca="false">'Basis Options'!I514</f>
        <v>0.4</v>
      </c>
      <c r="P509" s="0" t="n">
        <v>0</v>
      </c>
      <c r="Q509" s="0" t="n">
        <v>0</v>
      </c>
      <c r="R509" s="0" t="n">
        <v>0</v>
      </c>
      <c r="S509" s="0" t="n">
        <v>0</v>
      </c>
      <c r="T509" s="0" t="s">
        <v>624</v>
      </c>
      <c r="U509" s="0" t="str">
        <f aca="false">IF('Basis Options'!D514="NGI/CHI. GATE","""NGI/CHI. GATE""",TRIM('Basis Options'!D514))</f>
        <v>IF-TRANSCO/Z6</v>
      </c>
      <c r="V509" s="0" t="s">
        <v>624</v>
      </c>
      <c r="W509" s="0" t="s">
        <v>569</v>
      </c>
      <c r="X509" s="0" t="s">
        <v>624</v>
      </c>
      <c r="Y509" s="0" t="s">
        <v>627</v>
      </c>
      <c r="Z509" s="0" t="s">
        <v>629</v>
      </c>
      <c r="AA509" s="0" t="s">
        <v>624</v>
      </c>
      <c r="AB509" s="0" t="s">
        <v>132</v>
      </c>
      <c r="AC509" s="254" t="n">
        <f aca="false">'Basis Options'!H514</f>
        <v>310000</v>
      </c>
      <c r="AD509" s="254" t="e">
        <f aca="false">'Basis Options'!W514</f>
        <v>#NAME?</v>
      </c>
      <c r="AE509" s="0" t="n">
        <v>0</v>
      </c>
      <c r="AF509" s="0" t="n">
        <v>0</v>
      </c>
      <c r="AG509" s="0" t="n">
        <v>0</v>
      </c>
      <c r="AH509" s="254" t="e">
        <f aca="false">'Basis Options'!CD514</f>
        <v>#NAME?</v>
      </c>
      <c r="AI509" s="0" t="n">
        <v>226</v>
      </c>
      <c r="AJ509" s="0" t="s">
        <v>630</v>
      </c>
      <c r="AK509" s="0" t="n">
        <v>0</v>
      </c>
      <c r="AL509" s="0" t="n">
        <v>0</v>
      </c>
      <c r="AM509" s="0" t="n">
        <v>0</v>
      </c>
    </row>
    <row r="510" customFormat="false" ht="12.75" hidden="false" customHeight="false" outlineLevel="0" collapsed="false">
      <c r="A510" s="0" t="s">
        <v>621</v>
      </c>
      <c r="B510" s="0" t="str">
        <f aca="false">'Basis Options'!C515</f>
        <v>NR7762</v>
      </c>
      <c r="C510" s="0" t="s">
        <v>622</v>
      </c>
      <c r="D510" s="0" t="s">
        <v>623</v>
      </c>
      <c r="E510" s="0" t="s">
        <v>131</v>
      </c>
      <c r="F510" s="0" t="str">
        <f aca="false">'Basis Options'!A515</f>
        <v>CONAGRAENESER</v>
      </c>
      <c r="G510" s="0" t="s">
        <v>628</v>
      </c>
      <c r="H510" s="0" t="s">
        <v>625</v>
      </c>
      <c r="I510" s="0" t="s">
        <v>626</v>
      </c>
      <c r="J510" s="0" t="s">
        <v>627</v>
      </c>
      <c r="K510" s="475" t="n">
        <f aca="false">'Basis Options'!G515</f>
        <v>36800</v>
      </c>
      <c r="L510" s="254" t="e">
        <f aca="false">'Basis Options'!U515</f>
        <v>#NAME?</v>
      </c>
      <c r="M510" s="475" t="n">
        <f aca="false">'Basis Options'!Q515</f>
        <v>36797</v>
      </c>
      <c r="N510" s="0" t="str">
        <f aca="false">'Basis Options'!F515</f>
        <v>P</v>
      </c>
      <c r="O510" s="0" t="n">
        <f aca="false">'Basis Options'!I515</f>
        <v>0.3</v>
      </c>
      <c r="P510" s="0" t="n">
        <v>0</v>
      </c>
      <c r="Q510" s="0" t="n">
        <v>0</v>
      </c>
      <c r="R510" s="0" t="n">
        <v>0</v>
      </c>
      <c r="S510" s="0" t="n">
        <v>0</v>
      </c>
      <c r="T510" s="0" t="s">
        <v>624</v>
      </c>
      <c r="U510" s="0" t="str">
        <f aca="false">IF('Basis Options'!D515="NGI/CHI. GATE","""NGI/CHI. GATE""",TRIM('Basis Options'!D515))</f>
        <v>NGI-SOCAL</v>
      </c>
      <c r="V510" s="0" t="s">
        <v>624</v>
      </c>
      <c r="W510" s="0" t="s">
        <v>569</v>
      </c>
      <c r="X510" s="0" t="s">
        <v>624</v>
      </c>
      <c r="Y510" s="0" t="s">
        <v>627</v>
      </c>
      <c r="Z510" s="0" t="s">
        <v>629</v>
      </c>
      <c r="AA510" s="0" t="s">
        <v>624</v>
      </c>
      <c r="AB510" s="0" t="s">
        <v>132</v>
      </c>
      <c r="AC510" s="254" t="n">
        <f aca="false">'Basis Options'!H515</f>
        <v>500000</v>
      </c>
      <c r="AD510" s="254" t="e">
        <f aca="false">'Basis Options'!W515</f>
        <v>#NAME?</v>
      </c>
      <c r="AE510" s="0" t="n">
        <v>0</v>
      </c>
      <c r="AF510" s="0" t="n">
        <v>0</v>
      </c>
      <c r="AG510" s="0" t="n">
        <v>0</v>
      </c>
      <c r="AH510" s="254" t="e">
        <f aca="false">'Basis Options'!CD515</f>
        <v>#NAME?</v>
      </c>
      <c r="AI510" s="0" t="n">
        <v>226</v>
      </c>
      <c r="AJ510" s="0" t="s">
        <v>630</v>
      </c>
      <c r="AK510" s="0" t="n">
        <v>0</v>
      </c>
      <c r="AL510" s="0" t="n">
        <v>0</v>
      </c>
      <c r="AM510" s="0" t="n">
        <v>0</v>
      </c>
    </row>
    <row r="511" customFormat="false" ht="12.75" hidden="false" customHeight="false" outlineLevel="0" collapsed="false">
      <c r="A511" s="0" t="s">
        <v>621</v>
      </c>
      <c r="B511" s="0" t="str">
        <f aca="false">'Basis Options'!C516</f>
        <v>NR7764</v>
      </c>
      <c r="C511" s="0" t="s">
        <v>622</v>
      </c>
      <c r="D511" s="0" t="s">
        <v>623</v>
      </c>
      <c r="E511" s="0" t="s">
        <v>131</v>
      </c>
      <c r="F511" s="0" t="str">
        <f aca="false">'Basis Options'!A516</f>
        <v>ELPASMER</v>
      </c>
      <c r="G511" s="0" t="s">
        <v>628</v>
      </c>
      <c r="H511" s="0" t="s">
        <v>625</v>
      </c>
      <c r="I511" s="0" t="s">
        <v>626</v>
      </c>
      <c r="J511" s="0" t="s">
        <v>627</v>
      </c>
      <c r="K511" s="475" t="n">
        <f aca="false">'Basis Options'!G516</f>
        <v>36951</v>
      </c>
      <c r="L511" s="254" t="e">
        <f aca="false">'Basis Options'!U516</f>
        <v>#NAME?</v>
      </c>
      <c r="M511" s="475" t="n">
        <f aca="false">'Basis Options'!Q516</f>
        <v>36949</v>
      </c>
      <c r="N511" s="0" t="str">
        <f aca="false">'Basis Options'!F516</f>
        <v>C</v>
      </c>
      <c r="O511" s="0" t="n">
        <f aca="false">'Basis Options'!I516</f>
        <v>0.3</v>
      </c>
      <c r="P511" s="0" t="n">
        <v>0</v>
      </c>
      <c r="Q511" s="0" t="n">
        <v>0</v>
      </c>
      <c r="R511" s="0" t="n">
        <v>0</v>
      </c>
      <c r="S511" s="0" t="n">
        <v>0</v>
      </c>
      <c r="T511" s="0" t="s">
        <v>624</v>
      </c>
      <c r="U511" s="0" t="str">
        <f aca="false">IF('Basis Options'!D516="NGI/CHI. GATE","""NGI/CHI. GATE""",TRIM('Basis Options'!D516))</f>
        <v>NGI-SOCAL</v>
      </c>
      <c r="V511" s="0" t="s">
        <v>624</v>
      </c>
      <c r="W511" s="0" t="s">
        <v>569</v>
      </c>
      <c r="X511" s="0" t="s">
        <v>624</v>
      </c>
      <c r="Y511" s="0" t="s">
        <v>627</v>
      </c>
      <c r="Z511" s="0" t="s">
        <v>629</v>
      </c>
      <c r="AA511" s="0" t="s">
        <v>624</v>
      </c>
      <c r="AB511" s="0" t="s">
        <v>132</v>
      </c>
      <c r="AC511" s="254" t="n">
        <f aca="false">'Basis Options'!H516</f>
        <v>500000</v>
      </c>
      <c r="AD511" s="254" t="e">
        <f aca="false">'Basis Options'!W516</f>
        <v>#NAME?</v>
      </c>
      <c r="AE511" s="0" t="n">
        <v>0</v>
      </c>
      <c r="AF511" s="0" t="n">
        <v>0</v>
      </c>
      <c r="AG511" s="0" t="n">
        <v>0</v>
      </c>
      <c r="AH511" s="254" t="e">
        <f aca="false">'Basis Options'!CD516</f>
        <v>#NAME?</v>
      </c>
      <c r="AI511" s="0" t="n">
        <v>226</v>
      </c>
      <c r="AJ511" s="0" t="s">
        <v>630</v>
      </c>
      <c r="AK511" s="0" t="n">
        <v>0</v>
      </c>
      <c r="AL511" s="0" t="n">
        <v>0</v>
      </c>
      <c r="AM511" s="0" t="n">
        <v>0</v>
      </c>
    </row>
    <row r="512" customFormat="false" ht="12.75" hidden="false" customHeight="false" outlineLevel="0" collapsed="false">
      <c r="A512" s="0" t="s">
        <v>621</v>
      </c>
      <c r="B512" s="0" t="str">
        <f aca="false">'Basis Options'!C517</f>
        <v>NR7764</v>
      </c>
      <c r="C512" s="0" t="s">
        <v>622</v>
      </c>
      <c r="D512" s="0" t="s">
        <v>623</v>
      </c>
      <c r="E512" s="0" t="s">
        <v>131</v>
      </c>
      <c r="F512" s="0" t="str">
        <f aca="false">'Basis Options'!A517</f>
        <v>ELPASMER</v>
      </c>
      <c r="G512" s="0" t="s">
        <v>628</v>
      </c>
      <c r="H512" s="0" t="s">
        <v>625</v>
      </c>
      <c r="I512" s="0" t="s">
        <v>626</v>
      </c>
      <c r="J512" s="0" t="s">
        <v>627</v>
      </c>
      <c r="K512" s="475" t="n">
        <f aca="false">'Basis Options'!G517</f>
        <v>36923</v>
      </c>
      <c r="L512" s="254" t="e">
        <f aca="false">'Basis Options'!U517</f>
        <v>#NAME?</v>
      </c>
      <c r="M512" s="475" t="n">
        <f aca="false">'Basis Options'!Q517</f>
        <v>36921</v>
      </c>
      <c r="N512" s="0" t="str">
        <f aca="false">'Basis Options'!F517</f>
        <v>C</v>
      </c>
      <c r="O512" s="0" t="n">
        <f aca="false">'Basis Options'!I517</f>
        <v>0.3</v>
      </c>
      <c r="P512" s="0" t="n">
        <v>0</v>
      </c>
      <c r="Q512" s="0" t="n">
        <v>0</v>
      </c>
      <c r="R512" s="0" t="n">
        <v>0</v>
      </c>
      <c r="S512" s="0" t="n">
        <v>0</v>
      </c>
      <c r="T512" s="0" t="s">
        <v>624</v>
      </c>
      <c r="U512" s="0" t="str">
        <f aca="false">IF('Basis Options'!D517="NGI/CHI. GATE","""NGI/CHI. GATE""",TRIM('Basis Options'!D517))</f>
        <v>NGI-SOCAL</v>
      </c>
      <c r="V512" s="0" t="s">
        <v>624</v>
      </c>
      <c r="W512" s="0" t="s">
        <v>569</v>
      </c>
      <c r="X512" s="0" t="s">
        <v>624</v>
      </c>
      <c r="Y512" s="0" t="s">
        <v>627</v>
      </c>
      <c r="Z512" s="0" t="s">
        <v>629</v>
      </c>
      <c r="AA512" s="0" t="s">
        <v>624</v>
      </c>
      <c r="AB512" s="0" t="s">
        <v>132</v>
      </c>
      <c r="AC512" s="254" t="n">
        <f aca="false">'Basis Options'!H517</f>
        <v>500000</v>
      </c>
      <c r="AD512" s="254" t="e">
        <f aca="false">'Basis Options'!W517</f>
        <v>#NAME?</v>
      </c>
      <c r="AE512" s="0" t="n">
        <v>0</v>
      </c>
      <c r="AF512" s="0" t="n">
        <v>0</v>
      </c>
      <c r="AG512" s="0" t="n">
        <v>0</v>
      </c>
      <c r="AH512" s="254" t="e">
        <f aca="false">'Basis Options'!CD517</f>
        <v>#NAME?</v>
      </c>
      <c r="AI512" s="0" t="n">
        <v>226</v>
      </c>
      <c r="AJ512" s="0" t="s">
        <v>630</v>
      </c>
      <c r="AK512" s="0" t="n">
        <v>0</v>
      </c>
      <c r="AL512" s="0" t="n">
        <v>0</v>
      </c>
      <c r="AM512" s="0" t="n">
        <v>0</v>
      </c>
    </row>
    <row r="513" customFormat="false" ht="12.75" hidden="false" customHeight="false" outlineLevel="0" collapsed="false">
      <c r="A513" s="0" t="s">
        <v>621</v>
      </c>
      <c r="B513" s="0" t="str">
        <f aca="false">'Basis Options'!C518</f>
        <v>NR7764</v>
      </c>
      <c r="C513" s="0" t="s">
        <v>622</v>
      </c>
      <c r="D513" s="0" t="s">
        <v>623</v>
      </c>
      <c r="E513" s="0" t="s">
        <v>131</v>
      </c>
      <c r="F513" s="0" t="str">
        <f aca="false">'Basis Options'!A518</f>
        <v>ELPASMER</v>
      </c>
      <c r="G513" s="0" t="s">
        <v>628</v>
      </c>
      <c r="H513" s="0" t="s">
        <v>625</v>
      </c>
      <c r="I513" s="0" t="s">
        <v>626</v>
      </c>
      <c r="J513" s="0" t="s">
        <v>627</v>
      </c>
      <c r="K513" s="475" t="n">
        <f aca="false">'Basis Options'!G518</f>
        <v>36892</v>
      </c>
      <c r="L513" s="254" t="e">
        <f aca="false">'Basis Options'!U518</f>
        <v>#NAME?</v>
      </c>
      <c r="M513" s="475" t="n">
        <f aca="false">'Basis Options'!Q518</f>
        <v>36888</v>
      </c>
      <c r="N513" s="0" t="str">
        <f aca="false">'Basis Options'!F518</f>
        <v>C</v>
      </c>
      <c r="O513" s="0" t="n">
        <f aca="false">'Basis Options'!I518</f>
        <v>0.3</v>
      </c>
      <c r="P513" s="0" t="n">
        <v>0</v>
      </c>
      <c r="Q513" s="0" t="n">
        <v>0</v>
      </c>
      <c r="R513" s="0" t="n">
        <v>0</v>
      </c>
      <c r="S513" s="0" t="n">
        <v>0</v>
      </c>
      <c r="T513" s="0" t="s">
        <v>624</v>
      </c>
      <c r="U513" s="0" t="str">
        <f aca="false">IF('Basis Options'!D518="NGI/CHI. GATE","""NGI/CHI. GATE""",TRIM('Basis Options'!D518))</f>
        <v>NGI-SOCAL</v>
      </c>
      <c r="V513" s="0" t="s">
        <v>624</v>
      </c>
      <c r="W513" s="0" t="s">
        <v>569</v>
      </c>
      <c r="X513" s="0" t="s">
        <v>624</v>
      </c>
      <c r="Y513" s="0" t="s">
        <v>627</v>
      </c>
      <c r="Z513" s="0" t="s">
        <v>629</v>
      </c>
      <c r="AA513" s="0" t="s">
        <v>624</v>
      </c>
      <c r="AB513" s="0" t="s">
        <v>132</v>
      </c>
      <c r="AC513" s="254" t="n">
        <f aca="false">'Basis Options'!H518</f>
        <v>500000</v>
      </c>
      <c r="AD513" s="254" t="e">
        <f aca="false">'Basis Options'!W518</f>
        <v>#NAME?</v>
      </c>
      <c r="AE513" s="0" t="n">
        <v>0</v>
      </c>
      <c r="AF513" s="0" t="n">
        <v>0</v>
      </c>
      <c r="AG513" s="0" t="n">
        <v>0</v>
      </c>
      <c r="AH513" s="254" t="e">
        <f aca="false">'Basis Options'!CD518</f>
        <v>#NAME?</v>
      </c>
      <c r="AI513" s="0" t="n">
        <v>226</v>
      </c>
      <c r="AJ513" s="0" t="s">
        <v>630</v>
      </c>
      <c r="AK513" s="0" t="n">
        <v>0</v>
      </c>
      <c r="AL513" s="0" t="n">
        <v>0</v>
      </c>
      <c r="AM513" s="0" t="n">
        <v>0</v>
      </c>
    </row>
    <row r="514" customFormat="false" ht="12.75" hidden="false" customHeight="false" outlineLevel="0" collapsed="false">
      <c r="A514" s="0" t="s">
        <v>621</v>
      </c>
      <c r="B514" s="0" t="str">
        <f aca="false">'Basis Options'!C519</f>
        <v>NR7764</v>
      </c>
      <c r="C514" s="0" t="s">
        <v>622</v>
      </c>
      <c r="D514" s="0" t="s">
        <v>623</v>
      </c>
      <c r="E514" s="0" t="s">
        <v>131</v>
      </c>
      <c r="F514" s="0" t="str">
        <f aca="false">'Basis Options'!A519</f>
        <v>ELPASMER</v>
      </c>
      <c r="G514" s="0" t="s">
        <v>628</v>
      </c>
      <c r="H514" s="0" t="s">
        <v>625</v>
      </c>
      <c r="I514" s="0" t="s">
        <v>626</v>
      </c>
      <c r="J514" s="0" t="s">
        <v>627</v>
      </c>
      <c r="K514" s="475" t="n">
        <f aca="false">'Basis Options'!G519</f>
        <v>36861</v>
      </c>
      <c r="L514" s="254" t="e">
        <f aca="false">'Basis Options'!U519</f>
        <v>#NAME?</v>
      </c>
      <c r="M514" s="475" t="n">
        <f aca="false">'Basis Options'!Q519</f>
        <v>36859</v>
      </c>
      <c r="N514" s="0" t="str">
        <f aca="false">'Basis Options'!F519</f>
        <v>C</v>
      </c>
      <c r="O514" s="0" t="n">
        <f aca="false">'Basis Options'!I519</f>
        <v>0.3</v>
      </c>
      <c r="P514" s="0" t="n">
        <v>0</v>
      </c>
      <c r="Q514" s="0" t="n">
        <v>0</v>
      </c>
      <c r="R514" s="0" t="n">
        <v>0</v>
      </c>
      <c r="S514" s="0" t="n">
        <v>0</v>
      </c>
      <c r="T514" s="0" t="s">
        <v>624</v>
      </c>
      <c r="U514" s="0" t="str">
        <f aca="false">IF('Basis Options'!D519="NGI/CHI. GATE","""NGI/CHI. GATE""",TRIM('Basis Options'!D519))</f>
        <v>NGI-SOCAL</v>
      </c>
      <c r="V514" s="0" t="s">
        <v>624</v>
      </c>
      <c r="W514" s="0" t="s">
        <v>569</v>
      </c>
      <c r="X514" s="0" t="s">
        <v>624</v>
      </c>
      <c r="Y514" s="0" t="s">
        <v>627</v>
      </c>
      <c r="Z514" s="0" t="s">
        <v>629</v>
      </c>
      <c r="AA514" s="0" t="s">
        <v>624</v>
      </c>
      <c r="AB514" s="0" t="s">
        <v>132</v>
      </c>
      <c r="AC514" s="254" t="n">
        <f aca="false">'Basis Options'!H519</f>
        <v>500000</v>
      </c>
      <c r="AD514" s="254" t="e">
        <f aca="false">'Basis Options'!W519</f>
        <v>#NAME?</v>
      </c>
      <c r="AE514" s="0" t="n">
        <v>0</v>
      </c>
      <c r="AF514" s="0" t="n">
        <v>0</v>
      </c>
      <c r="AG514" s="0" t="n">
        <v>0</v>
      </c>
      <c r="AH514" s="254" t="e">
        <f aca="false">'Basis Options'!CD519</f>
        <v>#NAME?</v>
      </c>
      <c r="AI514" s="0" t="n">
        <v>226</v>
      </c>
      <c r="AJ514" s="0" t="s">
        <v>630</v>
      </c>
      <c r="AK514" s="0" t="n">
        <v>0</v>
      </c>
      <c r="AL514" s="0" t="n">
        <v>0</v>
      </c>
      <c r="AM514" s="0" t="n">
        <v>0</v>
      </c>
    </row>
    <row r="515" customFormat="false" ht="12.75" hidden="false" customHeight="false" outlineLevel="0" collapsed="false">
      <c r="A515" s="0" t="s">
        <v>621</v>
      </c>
      <c r="B515" s="0" t="str">
        <f aca="false">'Basis Options'!C520</f>
        <v>NR7764</v>
      </c>
      <c r="C515" s="0" t="s">
        <v>622</v>
      </c>
      <c r="D515" s="0" t="s">
        <v>623</v>
      </c>
      <c r="E515" s="0" t="s">
        <v>131</v>
      </c>
      <c r="F515" s="0" t="str">
        <f aca="false">'Basis Options'!A520</f>
        <v>ELPASMER</v>
      </c>
      <c r="G515" s="0" t="s">
        <v>628</v>
      </c>
      <c r="H515" s="0" t="s">
        <v>625</v>
      </c>
      <c r="I515" s="0" t="s">
        <v>626</v>
      </c>
      <c r="J515" s="0" t="s">
        <v>627</v>
      </c>
      <c r="K515" s="475" t="n">
        <f aca="false">'Basis Options'!G520</f>
        <v>36831</v>
      </c>
      <c r="L515" s="254" t="e">
        <f aca="false">'Basis Options'!U520</f>
        <v>#NAME?</v>
      </c>
      <c r="M515" s="475" t="n">
        <f aca="false">'Basis Options'!Q520</f>
        <v>36829</v>
      </c>
      <c r="N515" s="0" t="str">
        <f aca="false">'Basis Options'!F520</f>
        <v>C</v>
      </c>
      <c r="O515" s="0" t="n">
        <f aca="false">'Basis Options'!I520</f>
        <v>0.3</v>
      </c>
      <c r="P515" s="0" t="n">
        <v>0</v>
      </c>
      <c r="Q515" s="0" t="n">
        <v>0</v>
      </c>
      <c r="R515" s="0" t="n">
        <v>0</v>
      </c>
      <c r="S515" s="0" t="n">
        <v>0</v>
      </c>
      <c r="T515" s="0" t="s">
        <v>624</v>
      </c>
      <c r="U515" s="0" t="str">
        <f aca="false">IF('Basis Options'!D520="NGI/CHI. GATE","""NGI/CHI. GATE""",TRIM('Basis Options'!D520))</f>
        <v>NGI-SOCAL</v>
      </c>
      <c r="V515" s="0" t="s">
        <v>624</v>
      </c>
      <c r="W515" s="0" t="s">
        <v>569</v>
      </c>
      <c r="X515" s="0" t="s">
        <v>624</v>
      </c>
      <c r="Y515" s="0" t="s">
        <v>627</v>
      </c>
      <c r="Z515" s="0" t="s">
        <v>629</v>
      </c>
      <c r="AA515" s="0" t="s">
        <v>624</v>
      </c>
      <c r="AB515" s="0" t="s">
        <v>132</v>
      </c>
      <c r="AC515" s="254" t="n">
        <f aca="false">'Basis Options'!H520</f>
        <v>500000</v>
      </c>
      <c r="AD515" s="254" t="e">
        <f aca="false">'Basis Options'!W520</f>
        <v>#NAME?</v>
      </c>
      <c r="AE515" s="0" t="n">
        <v>0</v>
      </c>
      <c r="AF515" s="0" t="n">
        <v>0</v>
      </c>
      <c r="AG515" s="0" t="n">
        <v>0</v>
      </c>
      <c r="AH515" s="254" t="e">
        <f aca="false">'Basis Options'!CD520</f>
        <v>#NAME?</v>
      </c>
      <c r="AI515" s="0" t="n">
        <v>226</v>
      </c>
      <c r="AJ515" s="0" t="s">
        <v>630</v>
      </c>
      <c r="AK515" s="0" t="n">
        <v>0</v>
      </c>
      <c r="AL515" s="0" t="n">
        <v>0</v>
      </c>
      <c r="AM515" s="0" t="n">
        <v>0</v>
      </c>
    </row>
    <row r="516" customFormat="false" ht="12.75" hidden="false" customHeight="false" outlineLevel="0" collapsed="false">
      <c r="A516" s="0" t="s">
        <v>621</v>
      </c>
      <c r="B516" s="0" t="str">
        <f aca="false">'Basis Options'!C521</f>
        <v>NR7765</v>
      </c>
      <c r="C516" s="0" t="s">
        <v>622</v>
      </c>
      <c r="D516" s="0" t="s">
        <v>623</v>
      </c>
      <c r="E516" s="0" t="s">
        <v>131</v>
      </c>
      <c r="F516" s="0" t="str">
        <f aca="false">'Basis Options'!A521</f>
        <v>ELPASMER</v>
      </c>
      <c r="G516" s="0" t="s">
        <v>628</v>
      </c>
      <c r="H516" s="0" t="s">
        <v>625</v>
      </c>
      <c r="I516" s="0" t="s">
        <v>626</v>
      </c>
      <c r="J516" s="0" t="s">
        <v>627</v>
      </c>
      <c r="K516" s="475" t="n">
        <f aca="false">'Basis Options'!G521</f>
        <v>36951</v>
      </c>
      <c r="L516" s="254" t="e">
        <f aca="false">'Basis Options'!U521</f>
        <v>#NAME?</v>
      </c>
      <c r="M516" s="475" t="n">
        <f aca="false">'Basis Options'!Q521</f>
        <v>36949</v>
      </c>
      <c r="N516" s="0" t="str">
        <f aca="false">'Basis Options'!F521</f>
        <v>P</v>
      </c>
      <c r="O516" s="0" t="n">
        <f aca="false">'Basis Options'!I521</f>
        <v>1.3</v>
      </c>
      <c r="P516" s="0" t="n">
        <v>0</v>
      </c>
      <c r="Q516" s="0" t="n">
        <v>0</v>
      </c>
      <c r="R516" s="0" t="n">
        <v>0</v>
      </c>
      <c r="S516" s="0" t="n">
        <v>0</v>
      </c>
      <c r="T516" s="0" t="s">
        <v>624</v>
      </c>
      <c r="U516" s="0" t="str">
        <f aca="false">IF('Basis Options'!D521="NGI/CHI. GATE","""NGI/CHI. GATE""",TRIM('Basis Options'!D521))</f>
        <v>IF-TRANSCO/Z6</v>
      </c>
      <c r="V516" s="0" t="s">
        <v>624</v>
      </c>
      <c r="W516" s="0" t="s">
        <v>569</v>
      </c>
      <c r="X516" s="0" t="s">
        <v>624</v>
      </c>
      <c r="Y516" s="0" t="s">
        <v>627</v>
      </c>
      <c r="Z516" s="0" t="s">
        <v>629</v>
      </c>
      <c r="AA516" s="0" t="s">
        <v>624</v>
      </c>
      <c r="AB516" s="0" t="s">
        <v>132</v>
      </c>
      <c r="AC516" s="254" t="n">
        <f aca="false">'Basis Options'!H521</f>
        <v>-1000000</v>
      </c>
      <c r="AD516" s="254" t="e">
        <f aca="false">'Basis Options'!W521</f>
        <v>#NAME?</v>
      </c>
      <c r="AE516" s="0" t="n">
        <v>0</v>
      </c>
      <c r="AF516" s="0" t="n">
        <v>0</v>
      </c>
      <c r="AG516" s="0" t="n">
        <v>0</v>
      </c>
      <c r="AH516" s="254" t="e">
        <f aca="false">'Basis Options'!CD521</f>
        <v>#NAME?</v>
      </c>
      <c r="AI516" s="0" t="n">
        <v>226</v>
      </c>
      <c r="AJ516" s="0" t="s">
        <v>630</v>
      </c>
      <c r="AK516" s="0" t="n">
        <v>0</v>
      </c>
      <c r="AL516" s="0" t="n">
        <v>0</v>
      </c>
      <c r="AM516" s="0" t="n">
        <v>0</v>
      </c>
    </row>
    <row r="517" customFormat="false" ht="12.75" hidden="false" customHeight="false" outlineLevel="0" collapsed="false">
      <c r="A517" s="0" t="s">
        <v>621</v>
      </c>
      <c r="B517" s="0" t="str">
        <f aca="false">'Basis Options'!C522</f>
        <v>NR7765</v>
      </c>
      <c r="C517" s="0" t="s">
        <v>622</v>
      </c>
      <c r="D517" s="0" t="s">
        <v>623</v>
      </c>
      <c r="E517" s="0" t="s">
        <v>131</v>
      </c>
      <c r="F517" s="0" t="str">
        <f aca="false">'Basis Options'!A522</f>
        <v>ELPASMER</v>
      </c>
      <c r="G517" s="0" t="s">
        <v>628</v>
      </c>
      <c r="H517" s="0" t="s">
        <v>625</v>
      </c>
      <c r="I517" s="0" t="s">
        <v>626</v>
      </c>
      <c r="J517" s="0" t="s">
        <v>627</v>
      </c>
      <c r="K517" s="475" t="n">
        <f aca="false">'Basis Options'!G522</f>
        <v>36923</v>
      </c>
      <c r="L517" s="254" t="e">
        <f aca="false">'Basis Options'!U522</f>
        <v>#NAME?</v>
      </c>
      <c r="M517" s="475" t="n">
        <f aca="false">'Basis Options'!Q522</f>
        <v>36921</v>
      </c>
      <c r="N517" s="0" t="str">
        <f aca="false">'Basis Options'!F522</f>
        <v>P</v>
      </c>
      <c r="O517" s="0" t="n">
        <f aca="false">'Basis Options'!I522</f>
        <v>1.3</v>
      </c>
      <c r="P517" s="0" t="n">
        <v>0</v>
      </c>
      <c r="Q517" s="0" t="n">
        <v>0</v>
      </c>
      <c r="R517" s="0" t="n">
        <v>0</v>
      </c>
      <c r="S517" s="0" t="n">
        <v>0</v>
      </c>
      <c r="T517" s="0" t="s">
        <v>624</v>
      </c>
      <c r="U517" s="0" t="str">
        <f aca="false">IF('Basis Options'!D522="NGI/CHI. GATE","""NGI/CHI. GATE""",TRIM('Basis Options'!D522))</f>
        <v>IF-TRANSCO/Z6</v>
      </c>
      <c r="V517" s="0" t="s">
        <v>624</v>
      </c>
      <c r="W517" s="0" t="s">
        <v>569</v>
      </c>
      <c r="X517" s="0" t="s">
        <v>624</v>
      </c>
      <c r="Y517" s="0" t="s">
        <v>627</v>
      </c>
      <c r="Z517" s="0" t="s">
        <v>629</v>
      </c>
      <c r="AA517" s="0" t="s">
        <v>624</v>
      </c>
      <c r="AB517" s="0" t="s">
        <v>132</v>
      </c>
      <c r="AC517" s="254" t="n">
        <f aca="false">'Basis Options'!H522</f>
        <v>-1000000</v>
      </c>
      <c r="AD517" s="254" t="e">
        <f aca="false">'Basis Options'!W522</f>
        <v>#NAME?</v>
      </c>
      <c r="AE517" s="0" t="n">
        <v>0</v>
      </c>
      <c r="AF517" s="0" t="n">
        <v>0</v>
      </c>
      <c r="AG517" s="0" t="n">
        <v>0</v>
      </c>
      <c r="AH517" s="254" t="e">
        <f aca="false">'Basis Options'!CD522</f>
        <v>#NAME?</v>
      </c>
      <c r="AI517" s="0" t="n">
        <v>226</v>
      </c>
      <c r="AJ517" s="0" t="s">
        <v>630</v>
      </c>
      <c r="AK517" s="0" t="n">
        <v>0</v>
      </c>
      <c r="AL517" s="0" t="n">
        <v>0</v>
      </c>
      <c r="AM517" s="0" t="n">
        <v>0</v>
      </c>
    </row>
    <row r="518" customFormat="false" ht="12.75" hidden="false" customHeight="false" outlineLevel="0" collapsed="false">
      <c r="A518" s="0" t="s">
        <v>621</v>
      </c>
      <c r="B518" s="0" t="str">
        <f aca="false">'Basis Options'!C523</f>
        <v>NR7765</v>
      </c>
      <c r="C518" s="0" t="s">
        <v>622</v>
      </c>
      <c r="D518" s="0" t="s">
        <v>623</v>
      </c>
      <c r="E518" s="0" t="s">
        <v>131</v>
      </c>
      <c r="F518" s="0" t="str">
        <f aca="false">'Basis Options'!A523</f>
        <v>ELPASMER</v>
      </c>
      <c r="G518" s="0" t="s">
        <v>628</v>
      </c>
      <c r="H518" s="0" t="s">
        <v>625</v>
      </c>
      <c r="I518" s="0" t="s">
        <v>626</v>
      </c>
      <c r="J518" s="0" t="s">
        <v>627</v>
      </c>
      <c r="K518" s="475" t="n">
        <f aca="false">'Basis Options'!G523</f>
        <v>36892</v>
      </c>
      <c r="L518" s="254" t="e">
        <f aca="false">'Basis Options'!U523</f>
        <v>#NAME?</v>
      </c>
      <c r="M518" s="475" t="n">
        <f aca="false">'Basis Options'!Q523</f>
        <v>36888</v>
      </c>
      <c r="N518" s="0" t="str">
        <f aca="false">'Basis Options'!F523</f>
        <v>P</v>
      </c>
      <c r="O518" s="0" t="n">
        <f aca="false">'Basis Options'!I523</f>
        <v>1.3</v>
      </c>
      <c r="P518" s="0" t="n">
        <v>0</v>
      </c>
      <c r="Q518" s="0" t="n">
        <v>0</v>
      </c>
      <c r="R518" s="0" t="n">
        <v>0</v>
      </c>
      <c r="S518" s="0" t="n">
        <v>0</v>
      </c>
      <c r="T518" s="0" t="s">
        <v>624</v>
      </c>
      <c r="U518" s="0" t="str">
        <f aca="false">IF('Basis Options'!D523="NGI/CHI. GATE","""NGI/CHI. GATE""",TRIM('Basis Options'!D523))</f>
        <v>IF-TRANSCO/Z6</v>
      </c>
      <c r="V518" s="0" t="s">
        <v>624</v>
      </c>
      <c r="W518" s="0" t="s">
        <v>569</v>
      </c>
      <c r="X518" s="0" t="s">
        <v>624</v>
      </c>
      <c r="Y518" s="0" t="s">
        <v>627</v>
      </c>
      <c r="Z518" s="0" t="s">
        <v>629</v>
      </c>
      <c r="AA518" s="0" t="s">
        <v>624</v>
      </c>
      <c r="AB518" s="0" t="s">
        <v>132</v>
      </c>
      <c r="AC518" s="254" t="n">
        <f aca="false">'Basis Options'!H523</f>
        <v>-1000000</v>
      </c>
      <c r="AD518" s="254" t="e">
        <f aca="false">'Basis Options'!W523</f>
        <v>#NAME?</v>
      </c>
      <c r="AE518" s="0" t="n">
        <v>0</v>
      </c>
      <c r="AF518" s="0" t="n">
        <v>0</v>
      </c>
      <c r="AG518" s="0" t="n">
        <v>0</v>
      </c>
      <c r="AH518" s="254" t="e">
        <f aca="false">'Basis Options'!CD523</f>
        <v>#NAME?</v>
      </c>
      <c r="AI518" s="0" t="n">
        <v>226</v>
      </c>
      <c r="AJ518" s="0" t="s">
        <v>630</v>
      </c>
      <c r="AK518" s="0" t="n">
        <v>0</v>
      </c>
      <c r="AL518" s="0" t="n">
        <v>0</v>
      </c>
      <c r="AM518" s="0" t="n">
        <v>0</v>
      </c>
    </row>
    <row r="519" customFormat="false" ht="12.75" hidden="false" customHeight="false" outlineLevel="0" collapsed="false">
      <c r="A519" s="0" t="s">
        <v>621</v>
      </c>
      <c r="B519" s="0" t="str">
        <f aca="false">'Basis Options'!C524</f>
        <v>NR7765</v>
      </c>
      <c r="C519" s="0" t="s">
        <v>622</v>
      </c>
      <c r="D519" s="0" t="s">
        <v>623</v>
      </c>
      <c r="E519" s="0" t="s">
        <v>131</v>
      </c>
      <c r="F519" s="0" t="str">
        <f aca="false">'Basis Options'!A524</f>
        <v>ELPASMER</v>
      </c>
      <c r="G519" s="0" t="s">
        <v>628</v>
      </c>
      <c r="H519" s="0" t="s">
        <v>625</v>
      </c>
      <c r="I519" s="0" t="s">
        <v>626</v>
      </c>
      <c r="J519" s="0" t="s">
        <v>627</v>
      </c>
      <c r="K519" s="475" t="n">
        <f aca="false">'Basis Options'!G524</f>
        <v>36861</v>
      </c>
      <c r="L519" s="254" t="e">
        <f aca="false">'Basis Options'!U524</f>
        <v>#NAME?</v>
      </c>
      <c r="M519" s="475" t="n">
        <f aca="false">'Basis Options'!Q524</f>
        <v>36859</v>
      </c>
      <c r="N519" s="0" t="str">
        <f aca="false">'Basis Options'!F524</f>
        <v>P</v>
      </c>
      <c r="O519" s="0" t="n">
        <f aca="false">'Basis Options'!I524</f>
        <v>1.3</v>
      </c>
      <c r="P519" s="0" t="n">
        <v>0</v>
      </c>
      <c r="Q519" s="0" t="n">
        <v>0</v>
      </c>
      <c r="R519" s="0" t="n">
        <v>0</v>
      </c>
      <c r="S519" s="0" t="n">
        <v>0</v>
      </c>
      <c r="T519" s="0" t="s">
        <v>624</v>
      </c>
      <c r="U519" s="0" t="str">
        <f aca="false">IF('Basis Options'!D524="NGI/CHI. GATE","""NGI/CHI. GATE""",TRIM('Basis Options'!D524))</f>
        <v>IF-TRANSCO/Z6</v>
      </c>
      <c r="V519" s="0" t="s">
        <v>624</v>
      </c>
      <c r="W519" s="0" t="s">
        <v>569</v>
      </c>
      <c r="X519" s="0" t="s">
        <v>624</v>
      </c>
      <c r="Y519" s="0" t="s">
        <v>627</v>
      </c>
      <c r="Z519" s="0" t="s">
        <v>629</v>
      </c>
      <c r="AA519" s="0" t="s">
        <v>624</v>
      </c>
      <c r="AB519" s="0" t="s">
        <v>132</v>
      </c>
      <c r="AC519" s="254" t="n">
        <f aca="false">'Basis Options'!H524</f>
        <v>-1000000</v>
      </c>
      <c r="AD519" s="254" t="e">
        <f aca="false">'Basis Options'!W524</f>
        <v>#NAME?</v>
      </c>
      <c r="AE519" s="0" t="n">
        <v>0</v>
      </c>
      <c r="AF519" s="0" t="n">
        <v>0</v>
      </c>
      <c r="AG519" s="0" t="n">
        <v>0</v>
      </c>
      <c r="AH519" s="254" t="e">
        <f aca="false">'Basis Options'!CD524</f>
        <v>#NAME?</v>
      </c>
      <c r="AI519" s="0" t="n">
        <v>226</v>
      </c>
      <c r="AJ519" s="0" t="s">
        <v>630</v>
      </c>
      <c r="AK519" s="0" t="n">
        <v>0</v>
      </c>
      <c r="AL519" s="0" t="n">
        <v>0</v>
      </c>
      <c r="AM519" s="0" t="n">
        <v>0</v>
      </c>
    </row>
    <row r="520" customFormat="false" ht="12.75" hidden="false" customHeight="false" outlineLevel="0" collapsed="false">
      <c r="A520" s="0" t="s">
        <v>621</v>
      </c>
      <c r="B520" s="0" t="str">
        <f aca="false">'Basis Options'!C525</f>
        <v>NR7765</v>
      </c>
      <c r="C520" s="0" t="s">
        <v>622</v>
      </c>
      <c r="D520" s="0" t="s">
        <v>623</v>
      </c>
      <c r="E520" s="0" t="s">
        <v>131</v>
      </c>
      <c r="F520" s="0" t="str">
        <f aca="false">'Basis Options'!A525</f>
        <v>ELPASMER</v>
      </c>
      <c r="G520" s="0" t="s">
        <v>628</v>
      </c>
      <c r="H520" s="0" t="s">
        <v>625</v>
      </c>
      <c r="I520" s="0" t="s">
        <v>626</v>
      </c>
      <c r="J520" s="0" t="s">
        <v>627</v>
      </c>
      <c r="K520" s="475" t="n">
        <f aca="false">'Basis Options'!G525</f>
        <v>36831</v>
      </c>
      <c r="L520" s="254" t="e">
        <f aca="false">'Basis Options'!U525</f>
        <v>#NAME?</v>
      </c>
      <c r="M520" s="475" t="n">
        <f aca="false">'Basis Options'!Q525</f>
        <v>36829</v>
      </c>
      <c r="N520" s="0" t="str">
        <f aca="false">'Basis Options'!F525</f>
        <v>P</v>
      </c>
      <c r="O520" s="0" t="n">
        <f aca="false">'Basis Options'!I525</f>
        <v>1.3</v>
      </c>
      <c r="P520" s="0" t="n">
        <v>0</v>
      </c>
      <c r="Q520" s="0" t="n">
        <v>0</v>
      </c>
      <c r="R520" s="0" t="n">
        <v>0</v>
      </c>
      <c r="S520" s="0" t="n">
        <v>0</v>
      </c>
      <c r="T520" s="0" t="s">
        <v>624</v>
      </c>
      <c r="U520" s="0" t="str">
        <f aca="false">IF('Basis Options'!D525="NGI/CHI. GATE","""NGI/CHI. GATE""",TRIM('Basis Options'!D525))</f>
        <v>IF-TRANSCO/Z6</v>
      </c>
      <c r="V520" s="0" t="s">
        <v>624</v>
      </c>
      <c r="W520" s="0" t="s">
        <v>569</v>
      </c>
      <c r="X520" s="0" t="s">
        <v>624</v>
      </c>
      <c r="Y520" s="0" t="s">
        <v>627</v>
      </c>
      <c r="Z520" s="0" t="s">
        <v>629</v>
      </c>
      <c r="AA520" s="0" t="s">
        <v>624</v>
      </c>
      <c r="AB520" s="0" t="s">
        <v>132</v>
      </c>
      <c r="AC520" s="254" t="n">
        <f aca="false">'Basis Options'!H525</f>
        <v>-1000000</v>
      </c>
      <c r="AD520" s="254" t="e">
        <f aca="false">'Basis Options'!W525</f>
        <v>#NAME?</v>
      </c>
      <c r="AE520" s="0" t="n">
        <v>0</v>
      </c>
      <c r="AF520" s="0" t="n">
        <v>0</v>
      </c>
      <c r="AG520" s="0" t="n">
        <v>0</v>
      </c>
      <c r="AH520" s="254" t="e">
        <f aca="false">'Basis Options'!CD525</f>
        <v>#NAME?</v>
      </c>
      <c r="AI520" s="0" t="n">
        <v>226</v>
      </c>
      <c r="AJ520" s="0" t="s">
        <v>630</v>
      </c>
      <c r="AK520" s="0" t="n">
        <v>0</v>
      </c>
      <c r="AL520" s="0" t="n">
        <v>0</v>
      </c>
      <c r="AM520" s="0" t="n">
        <v>0</v>
      </c>
    </row>
    <row r="521" customFormat="false" ht="12.75" hidden="false" customHeight="false" outlineLevel="0" collapsed="false">
      <c r="A521" s="0" t="s">
        <v>621</v>
      </c>
      <c r="B521" s="0" t="str">
        <f aca="false">'Basis Options'!C526</f>
        <v>NR7766</v>
      </c>
      <c r="C521" s="0" t="s">
        <v>622</v>
      </c>
      <c r="D521" s="0" t="s">
        <v>623</v>
      </c>
      <c r="E521" s="0" t="s">
        <v>131</v>
      </c>
      <c r="F521" s="0" t="str">
        <f aca="false">'Basis Options'!A526</f>
        <v>AEPENESER</v>
      </c>
      <c r="G521" s="0" t="s">
        <v>628</v>
      </c>
      <c r="H521" s="0" t="s">
        <v>625</v>
      </c>
      <c r="I521" s="0" t="s">
        <v>626</v>
      </c>
      <c r="J521" s="0" t="s">
        <v>627</v>
      </c>
      <c r="K521" s="475" t="n">
        <f aca="false">'Basis Options'!G526</f>
        <v>36831</v>
      </c>
      <c r="L521" s="254" t="e">
        <f aca="false">'Basis Options'!U526</f>
        <v>#NAME?</v>
      </c>
      <c r="M521" s="475" t="n">
        <f aca="false">'Basis Options'!Q526</f>
        <v>36829</v>
      </c>
      <c r="N521" s="0" t="str">
        <f aca="false">'Basis Options'!F526</f>
        <v>C</v>
      </c>
      <c r="O521" s="0" t="n">
        <f aca="false">'Basis Options'!I526</f>
        <v>0.8</v>
      </c>
      <c r="P521" s="0" t="n">
        <v>0</v>
      </c>
      <c r="Q521" s="0" t="n">
        <v>0</v>
      </c>
      <c r="R521" s="0" t="n">
        <v>0</v>
      </c>
      <c r="S521" s="0" t="n">
        <v>0</v>
      </c>
      <c r="T521" s="0" t="s">
        <v>624</v>
      </c>
      <c r="U521" s="0" t="str">
        <f aca="false">IF('Basis Options'!D526="NGI/CHI. GATE","""NGI/CHI. GATE""",TRIM('Basis Options'!D526))</f>
        <v>IF-TRANSCO/Z6</v>
      </c>
      <c r="V521" s="0" t="s">
        <v>624</v>
      </c>
      <c r="W521" s="0" t="s">
        <v>569</v>
      </c>
      <c r="X521" s="0" t="s">
        <v>624</v>
      </c>
      <c r="Y521" s="0" t="s">
        <v>627</v>
      </c>
      <c r="Z521" s="0" t="s">
        <v>629</v>
      </c>
      <c r="AA521" s="0" t="s">
        <v>624</v>
      </c>
      <c r="AB521" s="0" t="s">
        <v>132</v>
      </c>
      <c r="AC521" s="254" t="n">
        <f aca="false">'Basis Options'!H526</f>
        <v>500000</v>
      </c>
      <c r="AD521" s="254" t="e">
        <f aca="false">'Basis Options'!W526</f>
        <v>#NAME?</v>
      </c>
      <c r="AE521" s="0" t="n">
        <v>0</v>
      </c>
      <c r="AF521" s="0" t="n">
        <v>0</v>
      </c>
      <c r="AG521" s="0" t="n">
        <v>0</v>
      </c>
      <c r="AH521" s="254" t="e">
        <f aca="false">'Basis Options'!CD526</f>
        <v>#NAME?</v>
      </c>
      <c r="AI521" s="0" t="n">
        <v>226</v>
      </c>
      <c r="AJ521" s="0" t="s">
        <v>630</v>
      </c>
      <c r="AK521" s="0" t="n">
        <v>0</v>
      </c>
      <c r="AL521" s="0" t="n">
        <v>0</v>
      </c>
      <c r="AM521" s="0" t="n">
        <v>0</v>
      </c>
    </row>
    <row r="522" customFormat="false" ht="12.75" hidden="false" customHeight="false" outlineLevel="0" collapsed="false">
      <c r="A522" s="0" t="s">
        <v>621</v>
      </c>
      <c r="B522" s="0" t="str">
        <f aca="false">'Basis Options'!C527</f>
        <v>NR7767.1</v>
      </c>
      <c r="C522" s="0" t="s">
        <v>622</v>
      </c>
      <c r="D522" s="0" t="s">
        <v>623</v>
      </c>
      <c r="E522" s="0" t="s">
        <v>131</v>
      </c>
      <c r="F522" s="0" t="str">
        <f aca="false">'Basis Options'!A527</f>
        <v>SOUTHERCOMENEMA</v>
      </c>
      <c r="G522" s="0" t="s">
        <v>628</v>
      </c>
      <c r="H522" s="0" t="s">
        <v>625</v>
      </c>
      <c r="I522" s="0" t="s">
        <v>626</v>
      </c>
      <c r="J522" s="0" t="s">
        <v>627</v>
      </c>
      <c r="K522" s="475" t="n">
        <f aca="false">'Basis Options'!G527</f>
        <v>36951</v>
      </c>
      <c r="L522" s="254" t="e">
        <f aca="false">'Basis Options'!U527</f>
        <v>#NAME?</v>
      </c>
      <c r="M522" s="475" t="n">
        <f aca="false">'Basis Options'!Q527</f>
        <v>36949</v>
      </c>
      <c r="N522" s="0" t="str">
        <f aca="false">'Basis Options'!F527</f>
        <v>C</v>
      </c>
      <c r="O522" s="0" t="n">
        <f aca="false">'Basis Options'!I527</f>
        <v>1.3</v>
      </c>
      <c r="P522" s="0" t="n">
        <v>0</v>
      </c>
      <c r="Q522" s="0" t="n">
        <v>0</v>
      </c>
      <c r="R522" s="0" t="n">
        <v>0</v>
      </c>
      <c r="S522" s="0" t="n">
        <v>0</v>
      </c>
      <c r="T522" s="0" t="s">
        <v>624</v>
      </c>
      <c r="U522" s="0" t="str">
        <f aca="false">IF('Basis Options'!D527="NGI/CHI. GATE","""NGI/CHI. GATE""",TRIM('Basis Options'!D527))</f>
        <v>IF-TRANSCO/Z6</v>
      </c>
      <c r="V522" s="0" t="s">
        <v>624</v>
      </c>
      <c r="W522" s="0" t="s">
        <v>569</v>
      </c>
      <c r="X522" s="0" t="s">
        <v>624</v>
      </c>
      <c r="Y522" s="0" t="s">
        <v>627</v>
      </c>
      <c r="Z522" s="0" t="s">
        <v>629</v>
      </c>
      <c r="AA522" s="0" t="s">
        <v>624</v>
      </c>
      <c r="AB522" s="0" t="s">
        <v>132</v>
      </c>
      <c r="AC522" s="254" t="n">
        <f aca="false">'Basis Options'!H527</f>
        <v>155000</v>
      </c>
      <c r="AD522" s="254" t="e">
        <f aca="false">'Basis Options'!W527</f>
        <v>#NAME?</v>
      </c>
      <c r="AE522" s="0" t="n">
        <v>0</v>
      </c>
      <c r="AF522" s="0" t="n">
        <v>0</v>
      </c>
      <c r="AG522" s="0" t="n">
        <v>0</v>
      </c>
      <c r="AH522" s="254" t="e">
        <f aca="false">'Basis Options'!CD527</f>
        <v>#NAME?</v>
      </c>
      <c r="AI522" s="0" t="n">
        <v>226</v>
      </c>
      <c r="AJ522" s="0" t="s">
        <v>630</v>
      </c>
      <c r="AK522" s="0" t="n">
        <v>0</v>
      </c>
      <c r="AL522" s="0" t="n">
        <v>0</v>
      </c>
      <c r="AM522" s="0" t="n">
        <v>0</v>
      </c>
    </row>
    <row r="523" customFormat="false" ht="12.75" hidden="false" customHeight="false" outlineLevel="0" collapsed="false">
      <c r="A523" s="0" t="s">
        <v>621</v>
      </c>
      <c r="B523" s="0" t="str">
        <f aca="false">'Basis Options'!C528</f>
        <v>NR7767.1</v>
      </c>
      <c r="C523" s="0" t="s">
        <v>622</v>
      </c>
      <c r="D523" s="0" t="s">
        <v>623</v>
      </c>
      <c r="E523" s="0" t="s">
        <v>131</v>
      </c>
      <c r="F523" s="0" t="str">
        <f aca="false">'Basis Options'!A528</f>
        <v>SOUTHERCOMENEMA</v>
      </c>
      <c r="G523" s="0" t="s">
        <v>628</v>
      </c>
      <c r="H523" s="0" t="s">
        <v>625</v>
      </c>
      <c r="I523" s="0" t="s">
        <v>626</v>
      </c>
      <c r="J523" s="0" t="s">
        <v>627</v>
      </c>
      <c r="K523" s="475" t="n">
        <f aca="false">'Basis Options'!G528</f>
        <v>36923</v>
      </c>
      <c r="L523" s="254" t="e">
        <f aca="false">'Basis Options'!U528</f>
        <v>#NAME?</v>
      </c>
      <c r="M523" s="475" t="n">
        <f aca="false">'Basis Options'!Q528</f>
        <v>36921</v>
      </c>
      <c r="N523" s="0" t="str">
        <f aca="false">'Basis Options'!F528</f>
        <v>C</v>
      </c>
      <c r="O523" s="0" t="n">
        <f aca="false">'Basis Options'!I528</f>
        <v>1.3</v>
      </c>
      <c r="P523" s="0" t="n">
        <v>0</v>
      </c>
      <c r="Q523" s="0" t="n">
        <v>0</v>
      </c>
      <c r="R523" s="0" t="n">
        <v>0</v>
      </c>
      <c r="S523" s="0" t="n">
        <v>0</v>
      </c>
      <c r="T523" s="0" t="s">
        <v>624</v>
      </c>
      <c r="U523" s="0" t="str">
        <f aca="false">IF('Basis Options'!D528="NGI/CHI. GATE","""NGI/CHI. GATE""",TRIM('Basis Options'!D528))</f>
        <v>IF-TRANSCO/Z6</v>
      </c>
      <c r="V523" s="0" t="s">
        <v>624</v>
      </c>
      <c r="W523" s="0" t="s">
        <v>569</v>
      </c>
      <c r="X523" s="0" t="s">
        <v>624</v>
      </c>
      <c r="Y523" s="0" t="s">
        <v>627</v>
      </c>
      <c r="Z523" s="0" t="s">
        <v>629</v>
      </c>
      <c r="AA523" s="0" t="s">
        <v>624</v>
      </c>
      <c r="AB523" s="0" t="s">
        <v>132</v>
      </c>
      <c r="AC523" s="254" t="n">
        <f aca="false">'Basis Options'!H528</f>
        <v>140000</v>
      </c>
      <c r="AD523" s="254" t="e">
        <f aca="false">'Basis Options'!W528</f>
        <v>#NAME?</v>
      </c>
      <c r="AE523" s="0" t="n">
        <v>0</v>
      </c>
      <c r="AF523" s="0" t="n">
        <v>0</v>
      </c>
      <c r="AG523" s="0" t="n">
        <v>0</v>
      </c>
      <c r="AH523" s="254" t="e">
        <f aca="false">'Basis Options'!CD528</f>
        <v>#NAME?</v>
      </c>
      <c r="AI523" s="0" t="n">
        <v>226</v>
      </c>
      <c r="AJ523" s="0" t="s">
        <v>630</v>
      </c>
      <c r="AK523" s="0" t="n">
        <v>0</v>
      </c>
      <c r="AL523" s="0" t="n">
        <v>0</v>
      </c>
      <c r="AM523" s="0" t="n">
        <v>0</v>
      </c>
    </row>
    <row r="524" customFormat="false" ht="12.75" hidden="false" customHeight="false" outlineLevel="0" collapsed="false">
      <c r="A524" s="0" t="s">
        <v>621</v>
      </c>
      <c r="B524" s="0" t="str">
        <f aca="false">'Basis Options'!C529</f>
        <v>NR7767.1</v>
      </c>
      <c r="C524" s="0" t="s">
        <v>622</v>
      </c>
      <c r="D524" s="0" t="s">
        <v>623</v>
      </c>
      <c r="E524" s="0" t="s">
        <v>131</v>
      </c>
      <c r="F524" s="0" t="str">
        <f aca="false">'Basis Options'!A529</f>
        <v>SOUTHERCOMENEMA</v>
      </c>
      <c r="G524" s="0" t="s">
        <v>628</v>
      </c>
      <c r="H524" s="0" t="s">
        <v>625</v>
      </c>
      <c r="I524" s="0" t="s">
        <v>626</v>
      </c>
      <c r="J524" s="0" t="s">
        <v>627</v>
      </c>
      <c r="K524" s="475" t="n">
        <f aca="false">'Basis Options'!G529</f>
        <v>36892</v>
      </c>
      <c r="L524" s="254" t="e">
        <f aca="false">'Basis Options'!U529</f>
        <v>#NAME?</v>
      </c>
      <c r="M524" s="475" t="n">
        <f aca="false">'Basis Options'!Q529</f>
        <v>36888</v>
      </c>
      <c r="N524" s="0" t="str">
        <f aca="false">'Basis Options'!F529</f>
        <v>C</v>
      </c>
      <c r="O524" s="0" t="n">
        <f aca="false">'Basis Options'!I529</f>
        <v>1.3</v>
      </c>
      <c r="P524" s="0" t="n">
        <v>0</v>
      </c>
      <c r="Q524" s="0" t="n">
        <v>0</v>
      </c>
      <c r="R524" s="0" t="n">
        <v>0</v>
      </c>
      <c r="S524" s="0" t="n">
        <v>0</v>
      </c>
      <c r="T524" s="0" t="s">
        <v>624</v>
      </c>
      <c r="U524" s="0" t="str">
        <f aca="false">IF('Basis Options'!D529="NGI/CHI. GATE","""NGI/CHI. GATE""",TRIM('Basis Options'!D529))</f>
        <v>IF-TRANSCO/Z6</v>
      </c>
      <c r="V524" s="0" t="s">
        <v>624</v>
      </c>
      <c r="W524" s="0" t="s">
        <v>569</v>
      </c>
      <c r="X524" s="0" t="s">
        <v>624</v>
      </c>
      <c r="Y524" s="0" t="s">
        <v>627</v>
      </c>
      <c r="Z524" s="0" t="s">
        <v>629</v>
      </c>
      <c r="AA524" s="0" t="s">
        <v>624</v>
      </c>
      <c r="AB524" s="0" t="s">
        <v>132</v>
      </c>
      <c r="AC524" s="254" t="n">
        <f aca="false">'Basis Options'!H529</f>
        <v>155000</v>
      </c>
      <c r="AD524" s="254" t="e">
        <f aca="false">'Basis Options'!W529</f>
        <v>#NAME?</v>
      </c>
      <c r="AE524" s="0" t="n">
        <v>0</v>
      </c>
      <c r="AF524" s="0" t="n">
        <v>0</v>
      </c>
      <c r="AG524" s="0" t="n">
        <v>0</v>
      </c>
      <c r="AH524" s="254" t="e">
        <f aca="false">'Basis Options'!CD529</f>
        <v>#NAME?</v>
      </c>
      <c r="AI524" s="0" t="n">
        <v>226</v>
      </c>
      <c r="AJ524" s="0" t="s">
        <v>630</v>
      </c>
      <c r="AK524" s="0" t="n">
        <v>0</v>
      </c>
      <c r="AL524" s="0" t="n">
        <v>0</v>
      </c>
      <c r="AM524" s="0" t="n">
        <v>0</v>
      </c>
    </row>
    <row r="525" customFormat="false" ht="12.75" hidden="false" customHeight="false" outlineLevel="0" collapsed="false">
      <c r="A525" s="0" t="s">
        <v>621</v>
      </c>
      <c r="B525" s="0" t="str">
        <f aca="false">'Basis Options'!C530</f>
        <v>NR7767.1</v>
      </c>
      <c r="C525" s="0" t="s">
        <v>622</v>
      </c>
      <c r="D525" s="0" t="s">
        <v>623</v>
      </c>
      <c r="E525" s="0" t="s">
        <v>131</v>
      </c>
      <c r="F525" s="0" t="str">
        <f aca="false">'Basis Options'!A530</f>
        <v>SOUTHERCOMENEMA</v>
      </c>
      <c r="G525" s="0" t="s">
        <v>628</v>
      </c>
      <c r="H525" s="0" t="s">
        <v>625</v>
      </c>
      <c r="I525" s="0" t="s">
        <v>626</v>
      </c>
      <c r="J525" s="0" t="s">
        <v>627</v>
      </c>
      <c r="K525" s="475" t="n">
        <f aca="false">'Basis Options'!G530</f>
        <v>36861</v>
      </c>
      <c r="L525" s="254" t="e">
        <f aca="false">'Basis Options'!U530</f>
        <v>#NAME?</v>
      </c>
      <c r="M525" s="475" t="n">
        <f aca="false">'Basis Options'!Q530</f>
        <v>36859</v>
      </c>
      <c r="N525" s="0" t="str">
        <f aca="false">'Basis Options'!F530</f>
        <v>C</v>
      </c>
      <c r="O525" s="0" t="n">
        <f aca="false">'Basis Options'!I530</f>
        <v>1.3</v>
      </c>
      <c r="P525" s="0" t="n">
        <v>0</v>
      </c>
      <c r="Q525" s="0" t="n">
        <v>0</v>
      </c>
      <c r="R525" s="0" t="n">
        <v>0</v>
      </c>
      <c r="S525" s="0" t="n">
        <v>0</v>
      </c>
      <c r="T525" s="0" t="s">
        <v>624</v>
      </c>
      <c r="U525" s="0" t="str">
        <f aca="false">IF('Basis Options'!D530="NGI/CHI. GATE","""NGI/CHI. GATE""",TRIM('Basis Options'!D530))</f>
        <v>IF-TRANSCO/Z6</v>
      </c>
      <c r="V525" s="0" t="s">
        <v>624</v>
      </c>
      <c r="W525" s="0" t="s">
        <v>569</v>
      </c>
      <c r="X525" s="0" t="s">
        <v>624</v>
      </c>
      <c r="Y525" s="0" t="s">
        <v>627</v>
      </c>
      <c r="Z525" s="0" t="s">
        <v>629</v>
      </c>
      <c r="AA525" s="0" t="s">
        <v>624</v>
      </c>
      <c r="AB525" s="0" t="s">
        <v>132</v>
      </c>
      <c r="AC525" s="254" t="n">
        <f aca="false">'Basis Options'!H530</f>
        <v>155000</v>
      </c>
      <c r="AD525" s="254" t="e">
        <f aca="false">'Basis Options'!W530</f>
        <v>#NAME?</v>
      </c>
      <c r="AE525" s="0" t="n">
        <v>0</v>
      </c>
      <c r="AF525" s="0" t="n">
        <v>0</v>
      </c>
      <c r="AG525" s="0" t="n">
        <v>0</v>
      </c>
      <c r="AH525" s="254" t="e">
        <f aca="false">'Basis Options'!CD530</f>
        <v>#NAME?</v>
      </c>
      <c r="AI525" s="0" t="n">
        <v>226</v>
      </c>
      <c r="AJ525" s="0" t="s">
        <v>630</v>
      </c>
      <c r="AK525" s="0" t="n">
        <v>0</v>
      </c>
      <c r="AL525" s="0" t="n">
        <v>0</v>
      </c>
      <c r="AM525" s="0" t="n">
        <v>0</v>
      </c>
    </row>
    <row r="526" customFormat="false" ht="12.75" hidden="false" customHeight="false" outlineLevel="0" collapsed="false">
      <c r="A526" s="0" t="s">
        <v>621</v>
      </c>
      <c r="B526" s="0" t="str">
        <f aca="false">'Basis Options'!C531</f>
        <v>NR7767.1</v>
      </c>
      <c r="C526" s="0" t="s">
        <v>622</v>
      </c>
      <c r="D526" s="0" t="s">
        <v>623</v>
      </c>
      <c r="E526" s="0" t="s">
        <v>131</v>
      </c>
      <c r="F526" s="0" t="str">
        <f aca="false">'Basis Options'!A531</f>
        <v>SOUTHERCOMENEMA</v>
      </c>
      <c r="G526" s="0" t="s">
        <v>628</v>
      </c>
      <c r="H526" s="0" t="s">
        <v>625</v>
      </c>
      <c r="I526" s="0" t="s">
        <v>626</v>
      </c>
      <c r="J526" s="0" t="s">
        <v>627</v>
      </c>
      <c r="K526" s="475" t="n">
        <f aca="false">'Basis Options'!G531</f>
        <v>36831</v>
      </c>
      <c r="L526" s="254" t="e">
        <f aca="false">'Basis Options'!U531</f>
        <v>#NAME?</v>
      </c>
      <c r="M526" s="475" t="n">
        <f aca="false">'Basis Options'!Q531</f>
        <v>36829</v>
      </c>
      <c r="N526" s="0" t="str">
        <f aca="false">'Basis Options'!F531</f>
        <v>C</v>
      </c>
      <c r="O526" s="0" t="n">
        <f aca="false">'Basis Options'!I531</f>
        <v>1.3</v>
      </c>
      <c r="P526" s="0" t="n">
        <v>0</v>
      </c>
      <c r="Q526" s="0" t="n">
        <v>0</v>
      </c>
      <c r="R526" s="0" t="n">
        <v>0</v>
      </c>
      <c r="S526" s="0" t="n">
        <v>0</v>
      </c>
      <c r="T526" s="0" t="s">
        <v>624</v>
      </c>
      <c r="U526" s="0" t="str">
        <f aca="false">IF('Basis Options'!D531="NGI/CHI. GATE","""NGI/CHI. GATE""",TRIM('Basis Options'!D531))</f>
        <v>IF-TRANSCO/Z6</v>
      </c>
      <c r="V526" s="0" t="s">
        <v>624</v>
      </c>
      <c r="W526" s="0" t="s">
        <v>569</v>
      </c>
      <c r="X526" s="0" t="s">
        <v>624</v>
      </c>
      <c r="Y526" s="0" t="s">
        <v>627</v>
      </c>
      <c r="Z526" s="0" t="s">
        <v>629</v>
      </c>
      <c r="AA526" s="0" t="s">
        <v>624</v>
      </c>
      <c r="AB526" s="0" t="s">
        <v>132</v>
      </c>
      <c r="AC526" s="254" t="n">
        <f aca="false">'Basis Options'!H531</f>
        <v>150000</v>
      </c>
      <c r="AD526" s="254" t="e">
        <f aca="false">'Basis Options'!W531</f>
        <v>#NAME?</v>
      </c>
      <c r="AE526" s="0" t="n">
        <v>0</v>
      </c>
      <c r="AF526" s="0" t="n">
        <v>0</v>
      </c>
      <c r="AG526" s="0" t="n">
        <v>0</v>
      </c>
      <c r="AH526" s="254" t="e">
        <f aca="false">'Basis Options'!CD531</f>
        <v>#NAME?</v>
      </c>
      <c r="AI526" s="0" t="n">
        <v>226</v>
      </c>
      <c r="AJ526" s="0" t="s">
        <v>630</v>
      </c>
      <c r="AK526" s="0" t="n">
        <v>0</v>
      </c>
      <c r="AL526" s="0" t="n">
        <v>0</v>
      </c>
      <c r="AM526" s="0" t="n">
        <v>0</v>
      </c>
    </row>
    <row r="527" customFormat="false" ht="12.75" hidden="false" customHeight="false" outlineLevel="0" collapsed="false">
      <c r="A527" s="0" t="s">
        <v>621</v>
      </c>
      <c r="B527" s="0" t="str">
        <f aca="false">'Basis Options'!C532</f>
        <v>NR7767.2</v>
      </c>
      <c r="C527" s="0" t="s">
        <v>622</v>
      </c>
      <c r="D527" s="0" t="s">
        <v>623</v>
      </c>
      <c r="E527" s="0" t="s">
        <v>131</v>
      </c>
      <c r="F527" s="0" t="str">
        <f aca="false">'Basis Options'!A532</f>
        <v>SOUTHERCOMENEMA</v>
      </c>
      <c r="G527" s="0" t="s">
        <v>628</v>
      </c>
      <c r="H527" s="0" t="s">
        <v>625</v>
      </c>
      <c r="I527" s="0" t="s">
        <v>626</v>
      </c>
      <c r="J527" s="0" t="s">
        <v>627</v>
      </c>
      <c r="K527" s="475" t="n">
        <f aca="false">'Basis Options'!G532</f>
        <v>36951</v>
      </c>
      <c r="L527" s="254" t="e">
        <f aca="false">'Basis Options'!U532</f>
        <v>#NAME?</v>
      </c>
      <c r="M527" s="475" t="n">
        <f aca="false">'Basis Options'!Q532</f>
        <v>36949</v>
      </c>
      <c r="N527" s="0" t="str">
        <f aca="false">'Basis Options'!F532</f>
        <v>P</v>
      </c>
      <c r="O527" s="0" t="n">
        <f aca="false">'Basis Options'!I532</f>
        <v>1.3</v>
      </c>
      <c r="P527" s="0" t="n">
        <v>0</v>
      </c>
      <c r="Q527" s="0" t="n">
        <v>0</v>
      </c>
      <c r="R527" s="0" t="n">
        <v>0</v>
      </c>
      <c r="S527" s="0" t="n">
        <v>0</v>
      </c>
      <c r="T527" s="0" t="s">
        <v>624</v>
      </c>
      <c r="U527" s="0" t="str">
        <f aca="false">IF('Basis Options'!D532="NGI/CHI. GATE","""NGI/CHI. GATE""",TRIM('Basis Options'!D532))</f>
        <v>IF-TRANSCO/Z6</v>
      </c>
      <c r="V527" s="0" t="s">
        <v>624</v>
      </c>
      <c r="W527" s="0" t="s">
        <v>569</v>
      </c>
      <c r="X527" s="0" t="s">
        <v>624</v>
      </c>
      <c r="Y527" s="0" t="s">
        <v>627</v>
      </c>
      <c r="Z527" s="0" t="s">
        <v>629</v>
      </c>
      <c r="AA527" s="0" t="s">
        <v>624</v>
      </c>
      <c r="AB527" s="0" t="s">
        <v>132</v>
      </c>
      <c r="AC527" s="254" t="n">
        <f aca="false">'Basis Options'!H532</f>
        <v>155000</v>
      </c>
      <c r="AD527" s="254" t="e">
        <f aca="false">'Basis Options'!W532</f>
        <v>#NAME?</v>
      </c>
      <c r="AE527" s="0" t="n">
        <v>0</v>
      </c>
      <c r="AF527" s="0" t="n">
        <v>0</v>
      </c>
      <c r="AG527" s="0" t="n">
        <v>0</v>
      </c>
      <c r="AH527" s="254" t="e">
        <f aca="false">'Basis Options'!CD532</f>
        <v>#NAME?</v>
      </c>
      <c r="AI527" s="0" t="n">
        <v>226</v>
      </c>
      <c r="AJ527" s="0" t="s">
        <v>630</v>
      </c>
      <c r="AK527" s="0" t="n">
        <v>0</v>
      </c>
      <c r="AL527" s="0" t="n">
        <v>0</v>
      </c>
      <c r="AM527" s="0" t="n">
        <v>0</v>
      </c>
    </row>
    <row r="528" customFormat="false" ht="12.75" hidden="false" customHeight="false" outlineLevel="0" collapsed="false">
      <c r="A528" s="0" t="s">
        <v>621</v>
      </c>
      <c r="B528" s="0" t="str">
        <f aca="false">'Basis Options'!C533</f>
        <v>NR7767.2</v>
      </c>
      <c r="C528" s="0" t="s">
        <v>622</v>
      </c>
      <c r="D528" s="0" t="s">
        <v>623</v>
      </c>
      <c r="E528" s="0" t="s">
        <v>131</v>
      </c>
      <c r="F528" s="0" t="str">
        <f aca="false">'Basis Options'!A533</f>
        <v>SOUTHERCOMENEMA</v>
      </c>
      <c r="G528" s="0" t="s">
        <v>628</v>
      </c>
      <c r="H528" s="0" t="s">
        <v>625</v>
      </c>
      <c r="I528" s="0" t="s">
        <v>626</v>
      </c>
      <c r="J528" s="0" t="s">
        <v>627</v>
      </c>
      <c r="K528" s="475" t="n">
        <f aca="false">'Basis Options'!G533</f>
        <v>36923</v>
      </c>
      <c r="L528" s="254" t="e">
        <f aca="false">'Basis Options'!U533</f>
        <v>#NAME?</v>
      </c>
      <c r="M528" s="475" t="n">
        <f aca="false">'Basis Options'!Q533</f>
        <v>36921</v>
      </c>
      <c r="N528" s="0" t="str">
        <f aca="false">'Basis Options'!F533</f>
        <v>P</v>
      </c>
      <c r="O528" s="0" t="n">
        <f aca="false">'Basis Options'!I533</f>
        <v>1.3</v>
      </c>
      <c r="P528" s="0" t="n">
        <v>0</v>
      </c>
      <c r="Q528" s="0" t="n">
        <v>0</v>
      </c>
      <c r="R528" s="0" t="n">
        <v>0</v>
      </c>
      <c r="S528" s="0" t="n">
        <v>0</v>
      </c>
      <c r="T528" s="0" t="s">
        <v>624</v>
      </c>
      <c r="U528" s="0" t="str">
        <f aca="false">IF('Basis Options'!D533="NGI/CHI. GATE","""NGI/CHI. GATE""",TRIM('Basis Options'!D533))</f>
        <v>IF-TRANSCO/Z6</v>
      </c>
      <c r="V528" s="0" t="s">
        <v>624</v>
      </c>
      <c r="W528" s="0" t="s">
        <v>569</v>
      </c>
      <c r="X528" s="0" t="s">
        <v>624</v>
      </c>
      <c r="Y528" s="0" t="s">
        <v>627</v>
      </c>
      <c r="Z528" s="0" t="s">
        <v>629</v>
      </c>
      <c r="AA528" s="0" t="s">
        <v>624</v>
      </c>
      <c r="AB528" s="0" t="s">
        <v>132</v>
      </c>
      <c r="AC528" s="254" t="n">
        <f aca="false">'Basis Options'!H533</f>
        <v>140000</v>
      </c>
      <c r="AD528" s="254" t="e">
        <f aca="false">'Basis Options'!W533</f>
        <v>#NAME?</v>
      </c>
      <c r="AE528" s="0" t="n">
        <v>0</v>
      </c>
      <c r="AF528" s="0" t="n">
        <v>0</v>
      </c>
      <c r="AG528" s="0" t="n">
        <v>0</v>
      </c>
      <c r="AH528" s="254" t="e">
        <f aca="false">'Basis Options'!CD533</f>
        <v>#NAME?</v>
      </c>
      <c r="AI528" s="0" t="n">
        <v>226</v>
      </c>
      <c r="AJ528" s="0" t="s">
        <v>630</v>
      </c>
      <c r="AK528" s="0" t="n">
        <v>0</v>
      </c>
      <c r="AL528" s="0" t="n">
        <v>0</v>
      </c>
      <c r="AM528" s="0" t="n">
        <v>0</v>
      </c>
    </row>
    <row r="529" customFormat="false" ht="12.75" hidden="false" customHeight="false" outlineLevel="0" collapsed="false">
      <c r="A529" s="0" t="s">
        <v>621</v>
      </c>
      <c r="B529" s="0" t="str">
        <f aca="false">'Basis Options'!C534</f>
        <v>NR7767.2</v>
      </c>
      <c r="C529" s="0" t="s">
        <v>622</v>
      </c>
      <c r="D529" s="0" t="s">
        <v>623</v>
      </c>
      <c r="E529" s="0" t="s">
        <v>131</v>
      </c>
      <c r="F529" s="0" t="str">
        <f aca="false">'Basis Options'!A534</f>
        <v>SOUTHERCOMENEMA</v>
      </c>
      <c r="G529" s="0" t="s">
        <v>628</v>
      </c>
      <c r="H529" s="0" t="s">
        <v>625</v>
      </c>
      <c r="I529" s="0" t="s">
        <v>626</v>
      </c>
      <c r="J529" s="0" t="s">
        <v>627</v>
      </c>
      <c r="K529" s="475" t="n">
        <f aca="false">'Basis Options'!G534</f>
        <v>36892</v>
      </c>
      <c r="L529" s="254" t="e">
        <f aca="false">'Basis Options'!U534</f>
        <v>#NAME?</v>
      </c>
      <c r="M529" s="475" t="n">
        <f aca="false">'Basis Options'!Q534</f>
        <v>36888</v>
      </c>
      <c r="N529" s="0" t="str">
        <f aca="false">'Basis Options'!F534</f>
        <v>P</v>
      </c>
      <c r="O529" s="0" t="n">
        <f aca="false">'Basis Options'!I534</f>
        <v>1.3</v>
      </c>
      <c r="P529" s="0" t="n">
        <v>0</v>
      </c>
      <c r="Q529" s="0" t="n">
        <v>0</v>
      </c>
      <c r="R529" s="0" t="n">
        <v>0</v>
      </c>
      <c r="S529" s="0" t="n">
        <v>0</v>
      </c>
      <c r="T529" s="0" t="s">
        <v>624</v>
      </c>
      <c r="U529" s="0" t="str">
        <f aca="false">IF('Basis Options'!D534="NGI/CHI. GATE","""NGI/CHI. GATE""",TRIM('Basis Options'!D534))</f>
        <v>IF-TRANSCO/Z6</v>
      </c>
      <c r="V529" s="0" t="s">
        <v>624</v>
      </c>
      <c r="W529" s="0" t="s">
        <v>569</v>
      </c>
      <c r="X529" s="0" t="s">
        <v>624</v>
      </c>
      <c r="Y529" s="0" t="s">
        <v>627</v>
      </c>
      <c r="Z529" s="0" t="s">
        <v>629</v>
      </c>
      <c r="AA529" s="0" t="s">
        <v>624</v>
      </c>
      <c r="AB529" s="0" t="s">
        <v>132</v>
      </c>
      <c r="AC529" s="254" t="n">
        <f aca="false">'Basis Options'!H534</f>
        <v>155000</v>
      </c>
      <c r="AD529" s="254" t="e">
        <f aca="false">'Basis Options'!W534</f>
        <v>#NAME?</v>
      </c>
      <c r="AE529" s="0" t="n">
        <v>0</v>
      </c>
      <c r="AF529" s="0" t="n">
        <v>0</v>
      </c>
      <c r="AG529" s="0" t="n">
        <v>0</v>
      </c>
      <c r="AH529" s="254" t="e">
        <f aca="false">'Basis Options'!CD534</f>
        <v>#NAME?</v>
      </c>
      <c r="AI529" s="0" t="n">
        <v>226</v>
      </c>
      <c r="AJ529" s="0" t="s">
        <v>630</v>
      </c>
      <c r="AK529" s="0" t="n">
        <v>0</v>
      </c>
      <c r="AL529" s="0" t="n">
        <v>0</v>
      </c>
      <c r="AM529" s="0" t="n">
        <v>0</v>
      </c>
    </row>
    <row r="530" customFormat="false" ht="12.75" hidden="false" customHeight="false" outlineLevel="0" collapsed="false">
      <c r="A530" s="0" t="s">
        <v>621</v>
      </c>
      <c r="B530" s="0" t="str">
        <f aca="false">'Basis Options'!C535</f>
        <v>NR7767.2</v>
      </c>
      <c r="C530" s="0" t="s">
        <v>622</v>
      </c>
      <c r="D530" s="0" t="s">
        <v>623</v>
      </c>
      <c r="E530" s="0" t="s">
        <v>131</v>
      </c>
      <c r="F530" s="0" t="str">
        <f aca="false">'Basis Options'!A535</f>
        <v>SOUTHERCOMENEMA</v>
      </c>
      <c r="G530" s="0" t="s">
        <v>628</v>
      </c>
      <c r="H530" s="0" t="s">
        <v>625</v>
      </c>
      <c r="I530" s="0" t="s">
        <v>626</v>
      </c>
      <c r="J530" s="0" t="s">
        <v>627</v>
      </c>
      <c r="K530" s="475" t="n">
        <f aca="false">'Basis Options'!G535</f>
        <v>36861</v>
      </c>
      <c r="L530" s="254" t="e">
        <f aca="false">'Basis Options'!U535</f>
        <v>#NAME?</v>
      </c>
      <c r="M530" s="475" t="n">
        <f aca="false">'Basis Options'!Q535</f>
        <v>36859</v>
      </c>
      <c r="N530" s="0" t="str">
        <f aca="false">'Basis Options'!F535</f>
        <v>P</v>
      </c>
      <c r="O530" s="0" t="n">
        <f aca="false">'Basis Options'!I535</f>
        <v>1.3</v>
      </c>
      <c r="P530" s="0" t="n">
        <v>0</v>
      </c>
      <c r="Q530" s="0" t="n">
        <v>0</v>
      </c>
      <c r="R530" s="0" t="n">
        <v>0</v>
      </c>
      <c r="S530" s="0" t="n">
        <v>0</v>
      </c>
      <c r="T530" s="0" t="s">
        <v>624</v>
      </c>
      <c r="U530" s="0" t="str">
        <f aca="false">IF('Basis Options'!D535="NGI/CHI. GATE","""NGI/CHI. GATE""",TRIM('Basis Options'!D535))</f>
        <v>IF-TRANSCO/Z6</v>
      </c>
      <c r="V530" s="0" t="s">
        <v>624</v>
      </c>
      <c r="W530" s="0" t="s">
        <v>569</v>
      </c>
      <c r="X530" s="0" t="s">
        <v>624</v>
      </c>
      <c r="Y530" s="0" t="s">
        <v>627</v>
      </c>
      <c r="Z530" s="0" t="s">
        <v>629</v>
      </c>
      <c r="AA530" s="0" t="s">
        <v>624</v>
      </c>
      <c r="AB530" s="0" t="s">
        <v>132</v>
      </c>
      <c r="AC530" s="254" t="n">
        <f aca="false">'Basis Options'!H535</f>
        <v>155000</v>
      </c>
      <c r="AD530" s="254" t="e">
        <f aca="false">'Basis Options'!W535</f>
        <v>#NAME?</v>
      </c>
      <c r="AE530" s="0" t="n">
        <v>0</v>
      </c>
      <c r="AF530" s="0" t="n">
        <v>0</v>
      </c>
      <c r="AG530" s="0" t="n">
        <v>0</v>
      </c>
      <c r="AH530" s="254" t="e">
        <f aca="false">'Basis Options'!CD535</f>
        <v>#NAME?</v>
      </c>
      <c r="AI530" s="0" t="n">
        <v>226</v>
      </c>
      <c r="AJ530" s="0" t="s">
        <v>630</v>
      </c>
      <c r="AK530" s="0" t="n">
        <v>0</v>
      </c>
      <c r="AL530" s="0" t="n">
        <v>0</v>
      </c>
      <c r="AM530" s="0" t="n">
        <v>0</v>
      </c>
    </row>
    <row r="531" customFormat="false" ht="12.75" hidden="false" customHeight="false" outlineLevel="0" collapsed="false">
      <c r="A531" s="0" t="s">
        <v>621</v>
      </c>
      <c r="B531" s="0" t="str">
        <f aca="false">'Basis Options'!C536</f>
        <v>NR7767.2</v>
      </c>
      <c r="C531" s="0" t="s">
        <v>622</v>
      </c>
      <c r="D531" s="0" t="s">
        <v>623</v>
      </c>
      <c r="E531" s="0" t="s">
        <v>131</v>
      </c>
      <c r="F531" s="0" t="str">
        <f aca="false">'Basis Options'!A536</f>
        <v>SOUTHERCOMENEMA</v>
      </c>
      <c r="G531" s="0" t="s">
        <v>628</v>
      </c>
      <c r="H531" s="0" t="s">
        <v>625</v>
      </c>
      <c r="I531" s="0" t="s">
        <v>626</v>
      </c>
      <c r="J531" s="0" t="s">
        <v>627</v>
      </c>
      <c r="K531" s="475" t="n">
        <f aca="false">'Basis Options'!G536</f>
        <v>36831</v>
      </c>
      <c r="L531" s="254" t="e">
        <f aca="false">'Basis Options'!U536</f>
        <v>#NAME?</v>
      </c>
      <c r="M531" s="475" t="n">
        <f aca="false">'Basis Options'!Q536</f>
        <v>36829</v>
      </c>
      <c r="N531" s="0" t="str">
        <f aca="false">'Basis Options'!F536</f>
        <v>P</v>
      </c>
      <c r="O531" s="0" t="n">
        <f aca="false">'Basis Options'!I536</f>
        <v>1.3</v>
      </c>
      <c r="P531" s="0" t="n">
        <v>0</v>
      </c>
      <c r="Q531" s="0" t="n">
        <v>0</v>
      </c>
      <c r="R531" s="0" t="n">
        <v>0</v>
      </c>
      <c r="S531" s="0" t="n">
        <v>0</v>
      </c>
      <c r="T531" s="0" t="s">
        <v>624</v>
      </c>
      <c r="U531" s="0" t="str">
        <f aca="false">IF('Basis Options'!D536="NGI/CHI. GATE","""NGI/CHI. GATE""",TRIM('Basis Options'!D536))</f>
        <v>IF-TRANSCO/Z6</v>
      </c>
      <c r="V531" s="0" t="s">
        <v>624</v>
      </c>
      <c r="W531" s="0" t="s">
        <v>569</v>
      </c>
      <c r="X531" s="0" t="s">
        <v>624</v>
      </c>
      <c r="Y531" s="0" t="s">
        <v>627</v>
      </c>
      <c r="Z531" s="0" t="s">
        <v>629</v>
      </c>
      <c r="AA531" s="0" t="s">
        <v>624</v>
      </c>
      <c r="AB531" s="0" t="s">
        <v>132</v>
      </c>
      <c r="AC531" s="254" t="n">
        <f aca="false">'Basis Options'!H536</f>
        <v>150000</v>
      </c>
      <c r="AD531" s="254" t="e">
        <f aca="false">'Basis Options'!W536</f>
        <v>#NAME?</v>
      </c>
      <c r="AE531" s="0" t="n">
        <v>0</v>
      </c>
      <c r="AF531" s="0" t="n">
        <v>0</v>
      </c>
      <c r="AG531" s="0" t="n">
        <v>0</v>
      </c>
      <c r="AH531" s="254" t="e">
        <f aca="false">'Basis Options'!CD536</f>
        <v>#NAME?</v>
      </c>
      <c r="AI531" s="0" t="n">
        <v>226</v>
      </c>
      <c r="AJ531" s="0" t="s">
        <v>630</v>
      </c>
      <c r="AK531" s="0" t="n">
        <v>0</v>
      </c>
      <c r="AL531" s="0" t="n">
        <v>0</v>
      </c>
      <c r="AM531" s="0" t="n">
        <v>0</v>
      </c>
    </row>
    <row r="532" customFormat="false" ht="12.75" hidden="false" customHeight="false" outlineLevel="0" collapsed="false">
      <c r="A532" s="0" t="s">
        <v>621</v>
      </c>
      <c r="B532" s="0" t="str">
        <f aca="false">'Basis Options'!C537</f>
        <v>NS0945</v>
      </c>
      <c r="C532" s="0" t="s">
        <v>622</v>
      </c>
      <c r="D532" s="0" t="s">
        <v>623</v>
      </c>
      <c r="E532" s="0" t="s">
        <v>131</v>
      </c>
      <c r="F532" s="0" t="str">
        <f aca="false">'Basis Options'!A537</f>
        <v>UTILICORP</v>
      </c>
      <c r="G532" s="0" t="s">
        <v>628</v>
      </c>
      <c r="H532" s="0" t="s">
        <v>625</v>
      </c>
      <c r="I532" s="0" t="s">
        <v>626</v>
      </c>
      <c r="J532" s="0" t="s">
        <v>627</v>
      </c>
      <c r="K532" s="475" t="n">
        <f aca="false">'Basis Options'!G537</f>
        <v>36800</v>
      </c>
      <c r="L532" s="254" t="e">
        <f aca="false">'Basis Options'!U537</f>
        <v>#NAME?</v>
      </c>
      <c r="M532" s="475" t="n">
        <f aca="false">'Basis Options'!Q537</f>
        <v>36797</v>
      </c>
      <c r="N532" s="0" t="str">
        <f aca="false">'Basis Options'!F537</f>
        <v>P</v>
      </c>
      <c r="O532" s="0" t="n">
        <f aca="false">'Basis Options'!I537</f>
        <v>0.4</v>
      </c>
      <c r="P532" s="0" t="n">
        <v>0</v>
      </c>
      <c r="Q532" s="0" t="n">
        <v>0</v>
      </c>
      <c r="R532" s="0" t="n">
        <v>0</v>
      </c>
      <c r="S532" s="0" t="n">
        <v>0</v>
      </c>
      <c r="T532" s="0" t="s">
        <v>624</v>
      </c>
      <c r="U532" s="0" t="str">
        <f aca="false">IF('Basis Options'!D537="NGI/CHI. GATE","""NGI/CHI. GATE""",TRIM('Basis Options'!D537))</f>
        <v>IF-TRANSCO/Z6</v>
      </c>
      <c r="V532" s="0" t="s">
        <v>624</v>
      </c>
      <c r="W532" s="0" t="s">
        <v>569</v>
      </c>
      <c r="X532" s="0" t="s">
        <v>624</v>
      </c>
      <c r="Y532" s="0" t="s">
        <v>627</v>
      </c>
      <c r="Z532" s="0" t="s">
        <v>629</v>
      </c>
      <c r="AA532" s="0" t="s">
        <v>624</v>
      </c>
      <c r="AB532" s="0" t="s">
        <v>132</v>
      </c>
      <c r="AC532" s="254" t="n">
        <f aca="false">'Basis Options'!H537</f>
        <v>-1240000</v>
      </c>
      <c r="AD532" s="254" t="e">
        <f aca="false">'Basis Options'!W537</f>
        <v>#NAME?</v>
      </c>
      <c r="AE532" s="0" t="n">
        <v>0</v>
      </c>
      <c r="AF532" s="0" t="n">
        <v>0</v>
      </c>
      <c r="AG532" s="0" t="n">
        <v>0</v>
      </c>
      <c r="AH532" s="254" t="e">
        <f aca="false">'Basis Options'!CD537</f>
        <v>#NAME?</v>
      </c>
      <c r="AI532" s="0" t="n">
        <v>226</v>
      </c>
      <c r="AJ532" s="0" t="s">
        <v>630</v>
      </c>
      <c r="AK532" s="0" t="n">
        <v>0</v>
      </c>
      <c r="AL532" s="0" t="n">
        <v>0</v>
      </c>
      <c r="AM532" s="0" t="n">
        <v>0</v>
      </c>
    </row>
    <row r="533" customFormat="false" ht="12.75" hidden="false" customHeight="false" outlineLevel="0" collapsed="false">
      <c r="A533" s="0" t="s">
        <v>621</v>
      </c>
      <c r="B533" s="0" t="str">
        <f aca="false">'Basis Options'!C538</f>
        <v>NS0946</v>
      </c>
      <c r="C533" s="0" t="s">
        <v>622</v>
      </c>
      <c r="D533" s="0" t="s">
        <v>623</v>
      </c>
      <c r="E533" s="0" t="s">
        <v>131</v>
      </c>
      <c r="F533" s="0" t="str">
        <f aca="false">'Basis Options'!A538</f>
        <v>UTILICORP</v>
      </c>
      <c r="G533" s="0" t="s">
        <v>628</v>
      </c>
      <c r="H533" s="0" t="s">
        <v>625</v>
      </c>
      <c r="I533" s="0" t="s">
        <v>626</v>
      </c>
      <c r="J533" s="0" t="s">
        <v>627</v>
      </c>
      <c r="K533" s="475" t="n">
        <f aca="false">'Basis Options'!G538</f>
        <v>36951</v>
      </c>
      <c r="L533" s="254" t="e">
        <f aca="false">'Basis Options'!U538</f>
        <v>#NAME?</v>
      </c>
      <c r="M533" s="475" t="n">
        <f aca="false">'Basis Options'!Q538</f>
        <v>36949</v>
      </c>
      <c r="N533" s="0" t="str">
        <f aca="false">'Basis Options'!F538</f>
        <v>C</v>
      </c>
      <c r="O533" s="0" t="n">
        <f aca="false">'Basis Options'!I538</f>
        <v>0.4</v>
      </c>
      <c r="P533" s="0" t="n">
        <v>0</v>
      </c>
      <c r="Q533" s="0" t="n">
        <v>0</v>
      </c>
      <c r="R533" s="0" t="n">
        <v>0</v>
      </c>
      <c r="S533" s="0" t="n">
        <v>0</v>
      </c>
      <c r="T533" s="0" t="s">
        <v>624</v>
      </c>
      <c r="U533" s="0" t="str">
        <f aca="false">IF('Basis Options'!D538="NGI/CHI. GATE","""NGI/CHI. GATE""",TRIM('Basis Options'!D538))</f>
        <v>IF-CGT/APPALAC</v>
      </c>
      <c r="V533" s="0" t="s">
        <v>624</v>
      </c>
      <c r="W533" s="0" t="s">
        <v>569</v>
      </c>
      <c r="X533" s="0" t="s">
        <v>624</v>
      </c>
      <c r="Y533" s="0" t="s">
        <v>627</v>
      </c>
      <c r="Z533" s="0" t="s">
        <v>629</v>
      </c>
      <c r="AA533" s="0" t="s">
        <v>624</v>
      </c>
      <c r="AB533" s="0" t="s">
        <v>132</v>
      </c>
      <c r="AC533" s="254" t="n">
        <f aca="false">'Basis Options'!H538</f>
        <v>-310000</v>
      </c>
      <c r="AD533" s="254" t="e">
        <f aca="false">'Basis Options'!W538</f>
        <v>#NAME?</v>
      </c>
      <c r="AE533" s="0" t="n">
        <v>0</v>
      </c>
      <c r="AF533" s="0" t="n">
        <v>0</v>
      </c>
      <c r="AG533" s="0" t="n">
        <v>0</v>
      </c>
      <c r="AH533" s="254" t="e">
        <f aca="false">'Basis Options'!CD538</f>
        <v>#NAME?</v>
      </c>
      <c r="AI533" s="0" t="n">
        <v>226</v>
      </c>
      <c r="AJ533" s="0" t="s">
        <v>630</v>
      </c>
      <c r="AK533" s="0" t="n">
        <v>0</v>
      </c>
      <c r="AL533" s="0" t="n">
        <v>0</v>
      </c>
      <c r="AM533" s="0" t="n">
        <v>0</v>
      </c>
    </row>
    <row r="534" customFormat="false" ht="12.75" hidden="false" customHeight="false" outlineLevel="0" collapsed="false">
      <c r="A534" s="0" t="s">
        <v>621</v>
      </c>
      <c r="B534" s="0" t="str">
        <f aca="false">'Basis Options'!C539</f>
        <v>NS0946</v>
      </c>
      <c r="C534" s="0" t="s">
        <v>622</v>
      </c>
      <c r="D534" s="0" t="s">
        <v>623</v>
      </c>
      <c r="E534" s="0" t="s">
        <v>131</v>
      </c>
      <c r="F534" s="0" t="str">
        <f aca="false">'Basis Options'!A539</f>
        <v>UTILICORP</v>
      </c>
      <c r="G534" s="0" t="s">
        <v>628</v>
      </c>
      <c r="H534" s="0" t="s">
        <v>625</v>
      </c>
      <c r="I534" s="0" t="s">
        <v>626</v>
      </c>
      <c r="J534" s="0" t="s">
        <v>627</v>
      </c>
      <c r="K534" s="475" t="n">
        <f aca="false">'Basis Options'!G539</f>
        <v>36923</v>
      </c>
      <c r="L534" s="254" t="e">
        <f aca="false">'Basis Options'!U539</f>
        <v>#NAME?</v>
      </c>
      <c r="M534" s="475" t="n">
        <f aca="false">'Basis Options'!Q539</f>
        <v>36921</v>
      </c>
      <c r="N534" s="0" t="str">
        <f aca="false">'Basis Options'!F539</f>
        <v>C</v>
      </c>
      <c r="O534" s="0" t="n">
        <f aca="false">'Basis Options'!I539</f>
        <v>0.4</v>
      </c>
      <c r="P534" s="0" t="n">
        <v>0</v>
      </c>
      <c r="Q534" s="0" t="n">
        <v>0</v>
      </c>
      <c r="R534" s="0" t="n">
        <v>0</v>
      </c>
      <c r="S534" s="0" t="n">
        <v>0</v>
      </c>
      <c r="T534" s="0" t="s">
        <v>624</v>
      </c>
      <c r="U534" s="0" t="str">
        <f aca="false">IF('Basis Options'!D539="NGI/CHI. GATE","""NGI/CHI. GATE""",TRIM('Basis Options'!D539))</f>
        <v>IF-CGT/APPALAC</v>
      </c>
      <c r="V534" s="0" t="s">
        <v>624</v>
      </c>
      <c r="W534" s="0" t="s">
        <v>569</v>
      </c>
      <c r="X534" s="0" t="s">
        <v>624</v>
      </c>
      <c r="Y534" s="0" t="s">
        <v>627</v>
      </c>
      <c r="Z534" s="0" t="s">
        <v>629</v>
      </c>
      <c r="AA534" s="0" t="s">
        <v>624</v>
      </c>
      <c r="AB534" s="0" t="s">
        <v>132</v>
      </c>
      <c r="AC534" s="254" t="n">
        <f aca="false">'Basis Options'!H539</f>
        <v>-280000</v>
      </c>
      <c r="AD534" s="254" t="e">
        <f aca="false">'Basis Options'!W539</f>
        <v>#NAME?</v>
      </c>
      <c r="AE534" s="0" t="n">
        <v>0</v>
      </c>
      <c r="AF534" s="0" t="n">
        <v>0</v>
      </c>
      <c r="AG534" s="0" t="n">
        <v>0</v>
      </c>
      <c r="AH534" s="254" t="e">
        <f aca="false">'Basis Options'!CD539</f>
        <v>#NAME?</v>
      </c>
      <c r="AI534" s="0" t="n">
        <v>226</v>
      </c>
      <c r="AJ534" s="0" t="s">
        <v>630</v>
      </c>
      <c r="AK534" s="0" t="n">
        <v>0</v>
      </c>
      <c r="AL534" s="0" t="n">
        <v>0</v>
      </c>
      <c r="AM534" s="0" t="n">
        <v>0</v>
      </c>
    </row>
    <row r="535" customFormat="false" ht="12.75" hidden="false" customHeight="false" outlineLevel="0" collapsed="false">
      <c r="A535" s="0" t="s">
        <v>621</v>
      </c>
      <c r="B535" s="0" t="str">
        <f aca="false">'Basis Options'!C540</f>
        <v>NS0946</v>
      </c>
      <c r="C535" s="0" t="s">
        <v>622</v>
      </c>
      <c r="D535" s="0" t="s">
        <v>623</v>
      </c>
      <c r="E535" s="0" t="s">
        <v>131</v>
      </c>
      <c r="F535" s="0" t="str">
        <f aca="false">'Basis Options'!A540</f>
        <v>UTILICORP</v>
      </c>
      <c r="G535" s="0" t="s">
        <v>628</v>
      </c>
      <c r="H535" s="0" t="s">
        <v>625</v>
      </c>
      <c r="I535" s="0" t="s">
        <v>626</v>
      </c>
      <c r="J535" s="0" t="s">
        <v>627</v>
      </c>
      <c r="K535" s="475" t="n">
        <f aca="false">'Basis Options'!G540</f>
        <v>36892</v>
      </c>
      <c r="L535" s="254" t="e">
        <f aca="false">'Basis Options'!U540</f>
        <v>#NAME?</v>
      </c>
      <c r="M535" s="475" t="n">
        <f aca="false">'Basis Options'!Q540</f>
        <v>36888</v>
      </c>
      <c r="N535" s="0" t="str">
        <f aca="false">'Basis Options'!F540</f>
        <v>C</v>
      </c>
      <c r="O535" s="0" t="n">
        <f aca="false">'Basis Options'!I540</f>
        <v>0.4</v>
      </c>
      <c r="P535" s="0" t="n">
        <v>0</v>
      </c>
      <c r="Q535" s="0" t="n">
        <v>0</v>
      </c>
      <c r="R535" s="0" t="n">
        <v>0</v>
      </c>
      <c r="S535" s="0" t="n">
        <v>0</v>
      </c>
      <c r="T535" s="0" t="s">
        <v>624</v>
      </c>
      <c r="U535" s="0" t="str">
        <f aca="false">IF('Basis Options'!D540="NGI/CHI. GATE","""NGI/CHI. GATE""",TRIM('Basis Options'!D540))</f>
        <v>IF-CGT/APPALAC</v>
      </c>
      <c r="V535" s="0" t="s">
        <v>624</v>
      </c>
      <c r="W535" s="0" t="s">
        <v>569</v>
      </c>
      <c r="X535" s="0" t="s">
        <v>624</v>
      </c>
      <c r="Y535" s="0" t="s">
        <v>627</v>
      </c>
      <c r="Z535" s="0" t="s">
        <v>629</v>
      </c>
      <c r="AA535" s="0" t="s">
        <v>624</v>
      </c>
      <c r="AB535" s="0" t="s">
        <v>132</v>
      </c>
      <c r="AC535" s="254" t="n">
        <f aca="false">'Basis Options'!H540</f>
        <v>-310000</v>
      </c>
      <c r="AD535" s="254" t="e">
        <f aca="false">'Basis Options'!W540</f>
        <v>#NAME?</v>
      </c>
      <c r="AE535" s="0" t="n">
        <v>0</v>
      </c>
      <c r="AF535" s="0" t="n">
        <v>0</v>
      </c>
      <c r="AG535" s="0" t="n">
        <v>0</v>
      </c>
      <c r="AH535" s="254" t="e">
        <f aca="false">'Basis Options'!CD540</f>
        <v>#NAME?</v>
      </c>
      <c r="AI535" s="0" t="n">
        <v>226</v>
      </c>
      <c r="AJ535" s="0" t="s">
        <v>630</v>
      </c>
      <c r="AK535" s="0" t="n">
        <v>0</v>
      </c>
      <c r="AL535" s="0" t="n">
        <v>0</v>
      </c>
      <c r="AM535" s="0" t="n">
        <v>0</v>
      </c>
    </row>
    <row r="536" customFormat="false" ht="12.75" hidden="false" customHeight="false" outlineLevel="0" collapsed="false">
      <c r="A536" s="0" t="s">
        <v>621</v>
      </c>
      <c r="B536" s="0" t="str">
        <f aca="false">'Basis Options'!C541</f>
        <v>NS0946</v>
      </c>
      <c r="C536" s="0" t="s">
        <v>622</v>
      </c>
      <c r="D536" s="0" t="s">
        <v>623</v>
      </c>
      <c r="E536" s="0" t="s">
        <v>131</v>
      </c>
      <c r="F536" s="0" t="str">
        <f aca="false">'Basis Options'!A541</f>
        <v>UTILICORP</v>
      </c>
      <c r="G536" s="0" t="s">
        <v>628</v>
      </c>
      <c r="H536" s="0" t="s">
        <v>625</v>
      </c>
      <c r="I536" s="0" t="s">
        <v>626</v>
      </c>
      <c r="J536" s="0" t="s">
        <v>627</v>
      </c>
      <c r="K536" s="475" t="n">
        <f aca="false">'Basis Options'!G541</f>
        <v>36861</v>
      </c>
      <c r="L536" s="254" t="e">
        <f aca="false">'Basis Options'!U541</f>
        <v>#NAME?</v>
      </c>
      <c r="M536" s="475" t="n">
        <f aca="false">'Basis Options'!Q541</f>
        <v>36859</v>
      </c>
      <c r="N536" s="0" t="str">
        <f aca="false">'Basis Options'!F541</f>
        <v>C</v>
      </c>
      <c r="O536" s="0" t="n">
        <f aca="false">'Basis Options'!I541</f>
        <v>0.4</v>
      </c>
      <c r="P536" s="0" t="n">
        <v>0</v>
      </c>
      <c r="Q536" s="0" t="n">
        <v>0</v>
      </c>
      <c r="R536" s="0" t="n">
        <v>0</v>
      </c>
      <c r="S536" s="0" t="n">
        <v>0</v>
      </c>
      <c r="T536" s="0" t="s">
        <v>624</v>
      </c>
      <c r="U536" s="0" t="str">
        <f aca="false">IF('Basis Options'!D541="NGI/CHI. GATE","""NGI/CHI. GATE""",TRIM('Basis Options'!D541))</f>
        <v>IF-CGT/APPALAC</v>
      </c>
      <c r="V536" s="0" t="s">
        <v>624</v>
      </c>
      <c r="W536" s="0" t="s">
        <v>569</v>
      </c>
      <c r="X536" s="0" t="s">
        <v>624</v>
      </c>
      <c r="Y536" s="0" t="s">
        <v>627</v>
      </c>
      <c r="Z536" s="0" t="s">
        <v>629</v>
      </c>
      <c r="AA536" s="0" t="s">
        <v>624</v>
      </c>
      <c r="AB536" s="0" t="s">
        <v>132</v>
      </c>
      <c r="AC536" s="254" t="n">
        <f aca="false">'Basis Options'!H541</f>
        <v>-310000</v>
      </c>
      <c r="AD536" s="254" t="e">
        <f aca="false">'Basis Options'!W541</f>
        <v>#NAME?</v>
      </c>
      <c r="AE536" s="0" t="n">
        <v>0</v>
      </c>
      <c r="AF536" s="0" t="n">
        <v>0</v>
      </c>
      <c r="AG536" s="0" t="n">
        <v>0</v>
      </c>
      <c r="AH536" s="254" t="e">
        <f aca="false">'Basis Options'!CD541</f>
        <v>#NAME?</v>
      </c>
      <c r="AI536" s="0" t="n">
        <v>226</v>
      </c>
      <c r="AJ536" s="0" t="s">
        <v>630</v>
      </c>
      <c r="AK536" s="0" t="n">
        <v>0</v>
      </c>
      <c r="AL536" s="0" t="n">
        <v>0</v>
      </c>
      <c r="AM536" s="0" t="n">
        <v>0</v>
      </c>
    </row>
    <row r="537" customFormat="false" ht="12.75" hidden="false" customHeight="false" outlineLevel="0" collapsed="false">
      <c r="A537" s="0" t="s">
        <v>621</v>
      </c>
      <c r="B537" s="0" t="str">
        <f aca="false">'Basis Options'!C542</f>
        <v>NS0946</v>
      </c>
      <c r="C537" s="0" t="s">
        <v>622</v>
      </c>
      <c r="D537" s="0" t="s">
        <v>623</v>
      </c>
      <c r="E537" s="0" t="s">
        <v>131</v>
      </c>
      <c r="F537" s="0" t="str">
        <f aca="false">'Basis Options'!A542</f>
        <v>UTILICORP</v>
      </c>
      <c r="G537" s="0" t="s">
        <v>628</v>
      </c>
      <c r="H537" s="0" t="s">
        <v>625</v>
      </c>
      <c r="I537" s="0" t="s">
        <v>626</v>
      </c>
      <c r="J537" s="0" t="s">
        <v>627</v>
      </c>
      <c r="K537" s="475" t="n">
        <f aca="false">'Basis Options'!G542</f>
        <v>36831</v>
      </c>
      <c r="L537" s="254" t="e">
        <f aca="false">'Basis Options'!U542</f>
        <v>#NAME?</v>
      </c>
      <c r="M537" s="475" t="n">
        <f aca="false">'Basis Options'!Q542</f>
        <v>36829</v>
      </c>
      <c r="N537" s="0" t="str">
        <f aca="false">'Basis Options'!F542</f>
        <v>C</v>
      </c>
      <c r="O537" s="0" t="n">
        <f aca="false">'Basis Options'!I542</f>
        <v>0.4</v>
      </c>
      <c r="P537" s="0" t="n">
        <v>0</v>
      </c>
      <c r="Q537" s="0" t="n">
        <v>0</v>
      </c>
      <c r="R537" s="0" t="n">
        <v>0</v>
      </c>
      <c r="S537" s="0" t="n">
        <v>0</v>
      </c>
      <c r="T537" s="0" t="s">
        <v>624</v>
      </c>
      <c r="U537" s="0" t="str">
        <f aca="false">IF('Basis Options'!D542="NGI/CHI. GATE","""NGI/CHI. GATE""",TRIM('Basis Options'!D542))</f>
        <v>IF-CGT/APPALAC</v>
      </c>
      <c r="V537" s="0" t="s">
        <v>624</v>
      </c>
      <c r="W537" s="0" t="s">
        <v>569</v>
      </c>
      <c r="X537" s="0" t="s">
        <v>624</v>
      </c>
      <c r="Y537" s="0" t="s">
        <v>627</v>
      </c>
      <c r="Z537" s="0" t="s">
        <v>629</v>
      </c>
      <c r="AA537" s="0" t="s">
        <v>624</v>
      </c>
      <c r="AB537" s="0" t="s">
        <v>132</v>
      </c>
      <c r="AC537" s="254" t="n">
        <f aca="false">'Basis Options'!H542</f>
        <v>-300000</v>
      </c>
      <c r="AD537" s="254" t="e">
        <f aca="false">'Basis Options'!W542</f>
        <v>#NAME?</v>
      </c>
      <c r="AE537" s="0" t="n">
        <v>0</v>
      </c>
      <c r="AF537" s="0" t="n">
        <v>0</v>
      </c>
      <c r="AG537" s="0" t="n">
        <v>0</v>
      </c>
      <c r="AH537" s="254" t="e">
        <f aca="false">'Basis Options'!CD542</f>
        <v>#NAME?</v>
      </c>
      <c r="AI537" s="0" t="n">
        <v>226</v>
      </c>
      <c r="AJ537" s="0" t="s">
        <v>630</v>
      </c>
      <c r="AK537" s="0" t="n">
        <v>0</v>
      </c>
      <c r="AL537" s="0" t="n">
        <v>0</v>
      </c>
      <c r="AM537" s="0" t="n">
        <v>0</v>
      </c>
    </row>
    <row r="538" customFormat="false" ht="12.75" hidden="false" customHeight="false" outlineLevel="0" collapsed="false">
      <c r="A538" s="0" t="s">
        <v>621</v>
      </c>
      <c r="B538" s="0" t="str">
        <f aca="false">'Basis Options'!C543</f>
        <v>NS0947</v>
      </c>
      <c r="C538" s="0" t="s">
        <v>622</v>
      </c>
      <c r="D538" s="0" t="s">
        <v>623</v>
      </c>
      <c r="E538" s="0" t="s">
        <v>131</v>
      </c>
      <c r="F538" s="0" t="str">
        <f aca="false">'Basis Options'!A543</f>
        <v>UTILICORP</v>
      </c>
      <c r="G538" s="0" t="s">
        <v>628</v>
      </c>
      <c r="H538" s="0" t="s">
        <v>625</v>
      </c>
      <c r="I538" s="0" t="s">
        <v>626</v>
      </c>
      <c r="J538" s="0" t="s">
        <v>627</v>
      </c>
      <c r="K538" s="475" t="n">
        <f aca="false">'Basis Options'!G543</f>
        <v>36951</v>
      </c>
      <c r="L538" s="254" t="e">
        <f aca="false">'Basis Options'!U543</f>
        <v>#NAME?</v>
      </c>
      <c r="M538" s="475" t="n">
        <f aca="false">'Basis Options'!Q543</f>
        <v>36949</v>
      </c>
      <c r="N538" s="0" t="str">
        <f aca="false">'Basis Options'!F543</f>
        <v>C</v>
      </c>
      <c r="O538" s="0" t="n">
        <f aca="false">'Basis Options'!I543</f>
        <v>0.5</v>
      </c>
      <c r="P538" s="0" t="n">
        <v>0</v>
      </c>
      <c r="Q538" s="0" t="n">
        <v>0</v>
      </c>
      <c r="R538" s="0" t="n">
        <v>0</v>
      </c>
      <c r="S538" s="0" t="n">
        <v>0</v>
      </c>
      <c r="T538" s="0" t="s">
        <v>624</v>
      </c>
      <c r="U538" s="0" t="str">
        <f aca="false">IF('Basis Options'!D543="NGI/CHI. GATE","""NGI/CHI. GATE""",TRIM('Basis Options'!D543))</f>
        <v>IF-CNG/APPALACH</v>
      </c>
      <c r="V538" s="0" t="s">
        <v>624</v>
      </c>
      <c r="W538" s="0" t="s">
        <v>569</v>
      </c>
      <c r="X538" s="0" t="s">
        <v>624</v>
      </c>
      <c r="Y538" s="0" t="s">
        <v>627</v>
      </c>
      <c r="Z538" s="0" t="s">
        <v>629</v>
      </c>
      <c r="AA538" s="0" t="s">
        <v>624</v>
      </c>
      <c r="AB538" s="0" t="s">
        <v>132</v>
      </c>
      <c r="AC538" s="254" t="n">
        <f aca="false">'Basis Options'!H543</f>
        <v>-310000</v>
      </c>
      <c r="AD538" s="254" t="e">
        <f aca="false">'Basis Options'!W543</f>
        <v>#NAME?</v>
      </c>
      <c r="AE538" s="0" t="n">
        <v>0</v>
      </c>
      <c r="AF538" s="0" t="n">
        <v>0</v>
      </c>
      <c r="AG538" s="0" t="n">
        <v>0</v>
      </c>
      <c r="AH538" s="254" t="e">
        <f aca="false">'Basis Options'!CD543</f>
        <v>#NAME?</v>
      </c>
      <c r="AI538" s="0" t="n">
        <v>226</v>
      </c>
      <c r="AJ538" s="0" t="s">
        <v>630</v>
      </c>
      <c r="AK538" s="0" t="n">
        <v>0</v>
      </c>
      <c r="AL538" s="0" t="n">
        <v>0</v>
      </c>
      <c r="AM538" s="0" t="n">
        <v>0</v>
      </c>
    </row>
    <row r="539" customFormat="false" ht="12.75" hidden="false" customHeight="false" outlineLevel="0" collapsed="false">
      <c r="A539" s="0" t="s">
        <v>621</v>
      </c>
      <c r="B539" s="0" t="str">
        <f aca="false">'Basis Options'!C544</f>
        <v>NS0947</v>
      </c>
      <c r="C539" s="0" t="s">
        <v>622</v>
      </c>
      <c r="D539" s="0" t="s">
        <v>623</v>
      </c>
      <c r="E539" s="0" t="s">
        <v>131</v>
      </c>
      <c r="F539" s="0" t="str">
        <f aca="false">'Basis Options'!A544</f>
        <v>UTILICORP</v>
      </c>
      <c r="G539" s="0" t="s">
        <v>628</v>
      </c>
      <c r="H539" s="0" t="s">
        <v>625</v>
      </c>
      <c r="I539" s="0" t="s">
        <v>626</v>
      </c>
      <c r="J539" s="0" t="s">
        <v>627</v>
      </c>
      <c r="K539" s="475" t="n">
        <f aca="false">'Basis Options'!G544</f>
        <v>36923</v>
      </c>
      <c r="L539" s="254" t="e">
        <f aca="false">'Basis Options'!U544</f>
        <v>#NAME?</v>
      </c>
      <c r="M539" s="475" t="n">
        <f aca="false">'Basis Options'!Q544</f>
        <v>36921</v>
      </c>
      <c r="N539" s="0" t="str">
        <f aca="false">'Basis Options'!F544</f>
        <v>C</v>
      </c>
      <c r="O539" s="0" t="n">
        <f aca="false">'Basis Options'!I544</f>
        <v>0.5</v>
      </c>
      <c r="P539" s="0" t="n">
        <v>0</v>
      </c>
      <c r="Q539" s="0" t="n">
        <v>0</v>
      </c>
      <c r="R539" s="0" t="n">
        <v>0</v>
      </c>
      <c r="S539" s="0" t="n">
        <v>0</v>
      </c>
      <c r="T539" s="0" t="s">
        <v>624</v>
      </c>
      <c r="U539" s="0" t="str">
        <f aca="false">IF('Basis Options'!D544="NGI/CHI. GATE","""NGI/CHI. GATE""",TRIM('Basis Options'!D544))</f>
        <v>IF-CNG/APPALACH</v>
      </c>
      <c r="V539" s="0" t="s">
        <v>624</v>
      </c>
      <c r="W539" s="0" t="s">
        <v>569</v>
      </c>
      <c r="X539" s="0" t="s">
        <v>624</v>
      </c>
      <c r="Y539" s="0" t="s">
        <v>627</v>
      </c>
      <c r="Z539" s="0" t="s">
        <v>629</v>
      </c>
      <c r="AA539" s="0" t="s">
        <v>624</v>
      </c>
      <c r="AB539" s="0" t="s">
        <v>132</v>
      </c>
      <c r="AC539" s="254" t="n">
        <f aca="false">'Basis Options'!H544</f>
        <v>-280000</v>
      </c>
      <c r="AD539" s="254" t="e">
        <f aca="false">'Basis Options'!W544</f>
        <v>#NAME?</v>
      </c>
      <c r="AE539" s="0" t="n">
        <v>0</v>
      </c>
      <c r="AF539" s="0" t="n">
        <v>0</v>
      </c>
      <c r="AG539" s="0" t="n">
        <v>0</v>
      </c>
      <c r="AH539" s="254" t="e">
        <f aca="false">'Basis Options'!CD544</f>
        <v>#NAME?</v>
      </c>
      <c r="AI539" s="0" t="n">
        <v>226</v>
      </c>
      <c r="AJ539" s="0" t="s">
        <v>630</v>
      </c>
      <c r="AK539" s="0" t="n">
        <v>0</v>
      </c>
      <c r="AL539" s="0" t="n">
        <v>0</v>
      </c>
      <c r="AM539" s="0" t="n">
        <v>0</v>
      </c>
    </row>
    <row r="540" customFormat="false" ht="12.75" hidden="false" customHeight="false" outlineLevel="0" collapsed="false">
      <c r="A540" s="0" t="s">
        <v>621</v>
      </c>
      <c r="B540" s="0" t="str">
        <f aca="false">'Basis Options'!C545</f>
        <v>NS0947</v>
      </c>
      <c r="C540" s="0" t="s">
        <v>622</v>
      </c>
      <c r="D540" s="0" t="s">
        <v>623</v>
      </c>
      <c r="E540" s="0" t="s">
        <v>131</v>
      </c>
      <c r="F540" s="0" t="str">
        <f aca="false">'Basis Options'!A545</f>
        <v>UTILICORP</v>
      </c>
      <c r="G540" s="0" t="s">
        <v>628</v>
      </c>
      <c r="H540" s="0" t="s">
        <v>625</v>
      </c>
      <c r="I540" s="0" t="s">
        <v>626</v>
      </c>
      <c r="J540" s="0" t="s">
        <v>627</v>
      </c>
      <c r="K540" s="475" t="n">
        <f aca="false">'Basis Options'!G545</f>
        <v>36892</v>
      </c>
      <c r="L540" s="254" t="e">
        <f aca="false">'Basis Options'!U545</f>
        <v>#NAME?</v>
      </c>
      <c r="M540" s="475" t="n">
        <f aca="false">'Basis Options'!Q545</f>
        <v>36888</v>
      </c>
      <c r="N540" s="0" t="str">
        <f aca="false">'Basis Options'!F545</f>
        <v>C</v>
      </c>
      <c r="O540" s="0" t="n">
        <f aca="false">'Basis Options'!I545</f>
        <v>0.5</v>
      </c>
      <c r="P540" s="0" t="n">
        <v>0</v>
      </c>
      <c r="Q540" s="0" t="n">
        <v>0</v>
      </c>
      <c r="R540" s="0" t="n">
        <v>0</v>
      </c>
      <c r="S540" s="0" t="n">
        <v>0</v>
      </c>
      <c r="T540" s="0" t="s">
        <v>624</v>
      </c>
      <c r="U540" s="0" t="str">
        <f aca="false">IF('Basis Options'!D545="NGI/CHI. GATE","""NGI/CHI. GATE""",TRIM('Basis Options'!D545))</f>
        <v>IF-CNG/APPALACH</v>
      </c>
      <c r="V540" s="0" t="s">
        <v>624</v>
      </c>
      <c r="W540" s="0" t="s">
        <v>569</v>
      </c>
      <c r="X540" s="0" t="s">
        <v>624</v>
      </c>
      <c r="Y540" s="0" t="s">
        <v>627</v>
      </c>
      <c r="Z540" s="0" t="s">
        <v>629</v>
      </c>
      <c r="AA540" s="0" t="s">
        <v>624</v>
      </c>
      <c r="AB540" s="0" t="s">
        <v>132</v>
      </c>
      <c r="AC540" s="254" t="n">
        <f aca="false">'Basis Options'!H545</f>
        <v>-310000</v>
      </c>
      <c r="AD540" s="254" t="e">
        <f aca="false">'Basis Options'!W545</f>
        <v>#NAME?</v>
      </c>
      <c r="AE540" s="0" t="n">
        <v>0</v>
      </c>
      <c r="AF540" s="0" t="n">
        <v>0</v>
      </c>
      <c r="AG540" s="0" t="n">
        <v>0</v>
      </c>
      <c r="AH540" s="254" t="e">
        <f aca="false">'Basis Options'!CD545</f>
        <v>#NAME?</v>
      </c>
      <c r="AI540" s="0" t="n">
        <v>226</v>
      </c>
      <c r="AJ540" s="0" t="s">
        <v>630</v>
      </c>
      <c r="AK540" s="0" t="n">
        <v>0</v>
      </c>
      <c r="AL540" s="0" t="n">
        <v>0</v>
      </c>
      <c r="AM540" s="0" t="n">
        <v>0</v>
      </c>
    </row>
    <row r="541" customFormat="false" ht="12.75" hidden="false" customHeight="false" outlineLevel="0" collapsed="false">
      <c r="A541" s="0" t="s">
        <v>621</v>
      </c>
      <c r="B541" s="0" t="str">
        <f aca="false">'Basis Options'!C546</f>
        <v>NS0947</v>
      </c>
      <c r="C541" s="0" t="s">
        <v>622</v>
      </c>
      <c r="D541" s="0" t="s">
        <v>623</v>
      </c>
      <c r="E541" s="0" t="s">
        <v>131</v>
      </c>
      <c r="F541" s="0" t="str">
        <f aca="false">'Basis Options'!A546</f>
        <v>UTILICORP</v>
      </c>
      <c r="G541" s="0" t="s">
        <v>628</v>
      </c>
      <c r="H541" s="0" t="s">
        <v>625</v>
      </c>
      <c r="I541" s="0" t="s">
        <v>626</v>
      </c>
      <c r="J541" s="0" t="s">
        <v>627</v>
      </c>
      <c r="K541" s="475" t="n">
        <f aca="false">'Basis Options'!G546</f>
        <v>36861</v>
      </c>
      <c r="L541" s="254" t="e">
        <f aca="false">'Basis Options'!U546</f>
        <v>#NAME?</v>
      </c>
      <c r="M541" s="475" t="n">
        <f aca="false">'Basis Options'!Q546</f>
        <v>36859</v>
      </c>
      <c r="N541" s="0" t="str">
        <f aca="false">'Basis Options'!F546</f>
        <v>C</v>
      </c>
      <c r="O541" s="0" t="n">
        <f aca="false">'Basis Options'!I546</f>
        <v>0.5</v>
      </c>
      <c r="P541" s="0" t="n">
        <v>0</v>
      </c>
      <c r="Q541" s="0" t="n">
        <v>0</v>
      </c>
      <c r="R541" s="0" t="n">
        <v>0</v>
      </c>
      <c r="S541" s="0" t="n">
        <v>0</v>
      </c>
      <c r="T541" s="0" t="s">
        <v>624</v>
      </c>
      <c r="U541" s="0" t="str">
        <f aca="false">IF('Basis Options'!D546="NGI/CHI. GATE","""NGI/CHI. GATE""",TRIM('Basis Options'!D546))</f>
        <v>IF-CNG/APPALACH</v>
      </c>
      <c r="V541" s="0" t="s">
        <v>624</v>
      </c>
      <c r="W541" s="0" t="s">
        <v>569</v>
      </c>
      <c r="X541" s="0" t="s">
        <v>624</v>
      </c>
      <c r="Y541" s="0" t="s">
        <v>627</v>
      </c>
      <c r="Z541" s="0" t="s">
        <v>629</v>
      </c>
      <c r="AA541" s="0" t="s">
        <v>624</v>
      </c>
      <c r="AB541" s="0" t="s">
        <v>132</v>
      </c>
      <c r="AC541" s="254" t="n">
        <f aca="false">'Basis Options'!H546</f>
        <v>-310000</v>
      </c>
      <c r="AD541" s="254" t="e">
        <f aca="false">'Basis Options'!W546</f>
        <v>#NAME?</v>
      </c>
      <c r="AE541" s="0" t="n">
        <v>0</v>
      </c>
      <c r="AF541" s="0" t="n">
        <v>0</v>
      </c>
      <c r="AG541" s="0" t="n">
        <v>0</v>
      </c>
      <c r="AH541" s="254" t="e">
        <f aca="false">'Basis Options'!CD546</f>
        <v>#NAME?</v>
      </c>
      <c r="AI541" s="0" t="n">
        <v>226</v>
      </c>
      <c r="AJ541" s="0" t="s">
        <v>630</v>
      </c>
      <c r="AK541" s="0" t="n">
        <v>0</v>
      </c>
      <c r="AL541" s="0" t="n">
        <v>0</v>
      </c>
      <c r="AM541" s="0" t="n">
        <v>0</v>
      </c>
    </row>
    <row r="542" customFormat="false" ht="12.75" hidden="false" customHeight="false" outlineLevel="0" collapsed="false">
      <c r="A542" s="0" t="s">
        <v>621</v>
      </c>
      <c r="B542" s="0" t="str">
        <f aca="false">'Basis Options'!C547</f>
        <v>NS0947</v>
      </c>
      <c r="C542" s="0" t="s">
        <v>622</v>
      </c>
      <c r="D542" s="0" t="s">
        <v>623</v>
      </c>
      <c r="E542" s="0" t="s">
        <v>131</v>
      </c>
      <c r="F542" s="0" t="str">
        <f aca="false">'Basis Options'!A547</f>
        <v>UTILICORP</v>
      </c>
      <c r="G542" s="0" t="s">
        <v>628</v>
      </c>
      <c r="H542" s="0" t="s">
        <v>625</v>
      </c>
      <c r="I542" s="0" t="s">
        <v>626</v>
      </c>
      <c r="J542" s="0" t="s">
        <v>627</v>
      </c>
      <c r="K542" s="475" t="n">
        <f aca="false">'Basis Options'!G547</f>
        <v>36831</v>
      </c>
      <c r="L542" s="254" t="e">
        <f aca="false">'Basis Options'!U547</f>
        <v>#NAME?</v>
      </c>
      <c r="M542" s="475" t="n">
        <f aca="false">'Basis Options'!Q547</f>
        <v>36829</v>
      </c>
      <c r="N542" s="0" t="str">
        <f aca="false">'Basis Options'!F547</f>
        <v>C</v>
      </c>
      <c r="O542" s="0" t="n">
        <f aca="false">'Basis Options'!I547</f>
        <v>0.5</v>
      </c>
      <c r="P542" s="0" t="n">
        <v>0</v>
      </c>
      <c r="Q542" s="0" t="n">
        <v>0</v>
      </c>
      <c r="R542" s="0" t="n">
        <v>0</v>
      </c>
      <c r="S542" s="0" t="n">
        <v>0</v>
      </c>
      <c r="T542" s="0" t="s">
        <v>624</v>
      </c>
      <c r="U542" s="0" t="str">
        <f aca="false">IF('Basis Options'!D547="NGI/CHI. GATE","""NGI/CHI. GATE""",TRIM('Basis Options'!D547))</f>
        <v>IF-CNG/APPALACH</v>
      </c>
      <c r="V542" s="0" t="s">
        <v>624</v>
      </c>
      <c r="W542" s="0" t="s">
        <v>569</v>
      </c>
      <c r="X542" s="0" t="s">
        <v>624</v>
      </c>
      <c r="Y542" s="0" t="s">
        <v>627</v>
      </c>
      <c r="Z542" s="0" t="s">
        <v>629</v>
      </c>
      <c r="AA542" s="0" t="s">
        <v>624</v>
      </c>
      <c r="AB542" s="0" t="s">
        <v>132</v>
      </c>
      <c r="AC542" s="254" t="n">
        <f aca="false">'Basis Options'!H547</f>
        <v>-300000</v>
      </c>
      <c r="AD542" s="254" t="e">
        <f aca="false">'Basis Options'!W547</f>
        <v>#NAME?</v>
      </c>
      <c r="AE542" s="0" t="n">
        <v>0</v>
      </c>
      <c r="AF542" s="0" t="n">
        <v>0</v>
      </c>
      <c r="AG542" s="0" t="n">
        <v>0</v>
      </c>
      <c r="AH542" s="254" t="e">
        <f aca="false">'Basis Options'!CD547</f>
        <v>#NAME?</v>
      </c>
      <c r="AI542" s="0" t="n">
        <v>226</v>
      </c>
      <c r="AJ542" s="0" t="s">
        <v>630</v>
      </c>
      <c r="AK542" s="0" t="n">
        <v>0</v>
      </c>
      <c r="AL542" s="0" t="n">
        <v>0</v>
      </c>
      <c r="AM542" s="0" t="n">
        <v>0</v>
      </c>
    </row>
    <row r="543" customFormat="false" ht="12.75" hidden="false" customHeight="false" outlineLevel="0" collapsed="false">
      <c r="A543" s="0" t="s">
        <v>621</v>
      </c>
      <c r="B543" s="0" t="str">
        <f aca="false">'Basis Options'!C548</f>
        <v>NS2705</v>
      </c>
      <c r="C543" s="0" t="s">
        <v>622</v>
      </c>
      <c r="D543" s="0" t="s">
        <v>623</v>
      </c>
      <c r="E543" s="0" t="s">
        <v>131</v>
      </c>
      <c r="F543" s="0" t="str">
        <f aca="false">'Basis Options'!A548</f>
        <v>RELIANTENESER</v>
      </c>
      <c r="G543" s="0" t="s">
        <v>628</v>
      </c>
      <c r="H543" s="0" t="s">
        <v>625</v>
      </c>
      <c r="I543" s="0" t="s">
        <v>626</v>
      </c>
      <c r="J543" s="0" t="s">
        <v>627</v>
      </c>
      <c r="K543" s="475" t="n">
        <f aca="false">'Basis Options'!G548</f>
        <v>36951</v>
      </c>
      <c r="L543" s="254" t="e">
        <f aca="false">'Basis Options'!U548</f>
        <v>#NAME?</v>
      </c>
      <c r="M543" s="475" t="n">
        <f aca="false">'Basis Options'!Q548</f>
        <v>36949</v>
      </c>
      <c r="N543" s="0" t="str">
        <f aca="false">'Basis Options'!F548</f>
        <v>P</v>
      </c>
      <c r="O543" s="0" t="n">
        <f aca="false">'Basis Options'!I548</f>
        <v>-0.25</v>
      </c>
      <c r="P543" s="0" t="n">
        <v>0</v>
      </c>
      <c r="Q543" s="0" t="n">
        <v>0</v>
      </c>
      <c r="R543" s="0" t="n">
        <v>0</v>
      </c>
      <c r="S543" s="0" t="n">
        <v>0</v>
      </c>
      <c r="T543" s="0" t="s">
        <v>624</v>
      </c>
      <c r="U543" s="0" t="str">
        <f aca="false">IF('Basis Options'!D548="NGI/CHI. GATE","""NGI/CHI. GATE""",TRIM('Basis Options'!D548))</f>
        <v>IF-PAN/TX/OK</v>
      </c>
      <c r="V543" s="0" t="s">
        <v>624</v>
      </c>
      <c r="W543" s="0" t="s">
        <v>569</v>
      </c>
      <c r="X543" s="0" t="s">
        <v>624</v>
      </c>
      <c r="Y543" s="0" t="s">
        <v>627</v>
      </c>
      <c r="Z543" s="0" t="s">
        <v>629</v>
      </c>
      <c r="AA543" s="0" t="s">
        <v>624</v>
      </c>
      <c r="AB543" s="0" t="s">
        <v>132</v>
      </c>
      <c r="AC543" s="254" t="n">
        <f aca="false">'Basis Options'!H548</f>
        <v>-310000</v>
      </c>
      <c r="AD543" s="254" t="e">
        <f aca="false">'Basis Options'!W548</f>
        <v>#NAME?</v>
      </c>
      <c r="AE543" s="0" t="n">
        <v>0</v>
      </c>
      <c r="AF543" s="0" t="n">
        <v>0</v>
      </c>
      <c r="AG543" s="0" t="n">
        <v>0</v>
      </c>
      <c r="AH543" s="254" t="e">
        <f aca="false">'Basis Options'!CD548</f>
        <v>#NAME?</v>
      </c>
      <c r="AI543" s="0" t="n">
        <v>226</v>
      </c>
      <c r="AJ543" s="0" t="s">
        <v>630</v>
      </c>
      <c r="AK543" s="0" t="n">
        <v>0</v>
      </c>
      <c r="AL543" s="0" t="n">
        <v>0</v>
      </c>
      <c r="AM543" s="0" t="n">
        <v>0</v>
      </c>
    </row>
    <row r="544" customFormat="false" ht="12.75" hidden="false" customHeight="false" outlineLevel="0" collapsed="false">
      <c r="A544" s="0" t="s">
        <v>621</v>
      </c>
      <c r="B544" s="0" t="str">
        <f aca="false">'Basis Options'!C549</f>
        <v>NS2705</v>
      </c>
      <c r="C544" s="0" t="s">
        <v>622</v>
      </c>
      <c r="D544" s="0" t="s">
        <v>623</v>
      </c>
      <c r="E544" s="0" t="s">
        <v>131</v>
      </c>
      <c r="F544" s="0" t="str">
        <f aca="false">'Basis Options'!A549</f>
        <v>RELIANTENESER</v>
      </c>
      <c r="G544" s="0" t="s">
        <v>628</v>
      </c>
      <c r="H544" s="0" t="s">
        <v>625</v>
      </c>
      <c r="I544" s="0" t="s">
        <v>626</v>
      </c>
      <c r="J544" s="0" t="s">
        <v>627</v>
      </c>
      <c r="K544" s="475" t="n">
        <f aca="false">'Basis Options'!G549</f>
        <v>36923</v>
      </c>
      <c r="L544" s="254" t="e">
        <f aca="false">'Basis Options'!U549</f>
        <v>#NAME?</v>
      </c>
      <c r="M544" s="475" t="n">
        <f aca="false">'Basis Options'!Q549</f>
        <v>36921</v>
      </c>
      <c r="N544" s="0" t="str">
        <f aca="false">'Basis Options'!F549</f>
        <v>P</v>
      </c>
      <c r="O544" s="0" t="n">
        <f aca="false">'Basis Options'!I549</f>
        <v>-0.25</v>
      </c>
      <c r="P544" s="0" t="n">
        <v>0</v>
      </c>
      <c r="Q544" s="0" t="n">
        <v>0</v>
      </c>
      <c r="R544" s="0" t="n">
        <v>0</v>
      </c>
      <c r="S544" s="0" t="n">
        <v>0</v>
      </c>
      <c r="T544" s="0" t="s">
        <v>624</v>
      </c>
      <c r="U544" s="0" t="str">
        <f aca="false">IF('Basis Options'!D549="NGI/CHI. GATE","""NGI/CHI. GATE""",TRIM('Basis Options'!D549))</f>
        <v>IF-PAN/TX/OK</v>
      </c>
      <c r="V544" s="0" t="s">
        <v>624</v>
      </c>
      <c r="W544" s="0" t="s">
        <v>569</v>
      </c>
      <c r="X544" s="0" t="s">
        <v>624</v>
      </c>
      <c r="Y544" s="0" t="s">
        <v>627</v>
      </c>
      <c r="Z544" s="0" t="s">
        <v>629</v>
      </c>
      <c r="AA544" s="0" t="s">
        <v>624</v>
      </c>
      <c r="AB544" s="0" t="s">
        <v>132</v>
      </c>
      <c r="AC544" s="254" t="n">
        <f aca="false">'Basis Options'!H549</f>
        <v>-280000</v>
      </c>
      <c r="AD544" s="254" t="e">
        <f aca="false">'Basis Options'!W549</f>
        <v>#NAME?</v>
      </c>
      <c r="AE544" s="0" t="n">
        <v>0</v>
      </c>
      <c r="AF544" s="0" t="n">
        <v>0</v>
      </c>
      <c r="AG544" s="0" t="n">
        <v>0</v>
      </c>
      <c r="AH544" s="254" t="e">
        <f aca="false">'Basis Options'!CD549</f>
        <v>#NAME?</v>
      </c>
      <c r="AI544" s="0" t="n">
        <v>226</v>
      </c>
      <c r="AJ544" s="0" t="s">
        <v>630</v>
      </c>
      <c r="AK544" s="0" t="n">
        <v>0</v>
      </c>
      <c r="AL544" s="0" t="n">
        <v>0</v>
      </c>
      <c r="AM544" s="0" t="n">
        <v>0</v>
      </c>
    </row>
    <row r="545" customFormat="false" ht="12.75" hidden="false" customHeight="false" outlineLevel="0" collapsed="false">
      <c r="A545" s="0" t="s">
        <v>621</v>
      </c>
      <c r="B545" s="0" t="str">
        <f aca="false">'Basis Options'!C550</f>
        <v>NS2705</v>
      </c>
      <c r="C545" s="0" t="s">
        <v>622</v>
      </c>
      <c r="D545" s="0" t="s">
        <v>623</v>
      </c>
      <c r="E545" s="0" t="s">
        <v>131</v>
      </c>
      <c r="F545" s="0" t="str">
        <f aca="false">'Basis Options'!A550</f>
        <v>RELIANTENESER</v>
      </c>
      <c r="G545" s="0" t="s">
        <v>628</v>
      </c>
      <c r="H545" s="0" t="s">
        <v>625</v>
      </c>
      <c r="I545" s="0" t="s">
        <v>626</v>
      </c>
      <c r="J545" s="0" t="s">
        <v>627</v>
      </c>
      <c r="K545" s="475" t="n">
        <f aca="false">'Basis Options'!G550</f>
        <v>36892</v>
      </c>
      <c r="L545" s="254" t="e">
        <f aca="false">'Basis Options'!U550</f>
        <v>#NAME?</v>
      </c>
      <c r="M545" s="475" t="n">
        <f aca="false">'Basis Options'!Q550</f>
        <v>36888</v>
      </c>
      <c r="N545" s="0" t="str">
        <f aca="false">'Basis Options'!F550</f>
        <v>P</v>
      </c>
      <c r="O545" s="0" t="n">
        <f aca="false">'Basis Options'!I550</f>
        <v>-0.25</v>
      </c>
      <c r="P545" s="0" t="n">
        <v>0</v>
      </c>
      <c r="Q545" s="0" t="n">
        <v>0</v>
      </c>
      <c r="R545" s="0" t="n">
        <v>0</v>
      </c>
      <c r="S545" s="0" t="n">
        <v>0</v>
      </c>
      <c r="T545" s="0" t="s">
        <v>624</v>
      </c>
      <c r="U545" s="0" t="str">
        <f aca="false">IF('Basis Options'!D550="NGI/CHI. GATE","""NGI/CHI. GATE""",TRIM('Basis Options'!D550))</f>
        <v>IF-PAN/TX/OK</v>
      </c>
      <c r="V545" s="0" t="s">
        <v>624</v>
      </c>
      <c r="W545" s="0" t="s">
        <v>569</v>
      </c>
      <c r="X545" s="0" t="s">
        <v>624</v>
      </c>
      <c r="Y545" s="0" t="s">
        <v>627</v>
      </c>
      <c r="Z545" s="0" t="s">
        <v>629</v>
      </c>
      <c r="AA545" s="0" t="s">
        <v>624</v>
      </c>
      <c r="AB545" s="0" t="s">
        <v>132</v>
      </c>
      <c r="AC545" s="254" t="n">
        <f aca="false">'Basis Options'!H550</f>
        <v>-310000</v>
      </c>
      <c r="AD545" s="254" t="e">
        <f aca="false">'Basis Options'!W550</f>
        <v>#NAME?</v>
      </c>
      <c r="AE545" s="0" t="n">
        <v>0</v>
      </c>
      <c r="AF545" s="0" t="n">
        <v>0</v>
      </c>
      <c r="AG545" s="0" t="n">
        <v>0</v>
      </c>
      <c r="AH545" s="254" t="e">
        <f aca="false">'Basis Options'!CD550</f>
        <v>#NAME?</v>
      </c>
      <c r="AI545" s="0" t="n">
        <v>226</v>
      </c>
      <c r="AJ545" s="0" t="s">
        <v>630</v>
      </c>
      <c r="AK545" s="0" t="n">
        <v>0</v>
      </c>
      <c r="AL545" s="0" t="n">
        <v>0</v>
      </c>
      <c r="AM545" s="0" t="n">
        <v>0</v>
      </c>
    </row>
    <row r="546" customFormat="false" ht="12.75" hidden="false" customHeight="false" outlineLevel="0" collapsed="false">
      <c r="A546" s="0" t="s">
        <v>621</v>
      </c>
      <c r="B546" s="0" t="str">
        <f aca="false">'Basis Options'!C551</f>
        <v>NS2705</v>
      </c>
      <c r="C546" s="0" t="s">
        <v>622</v>
      </c>
      <c r="D546" s="0" t="s">
        <v>623</v>
      </c>
      <c r="E546" s="0" t="s">
        <v>131</v>
      </c>
      <c r="F546" s="0" t="str">
        <f aca="false">'Basis Options'!A551</f>
        <v>RELIANTENESER</v>
      </c>
      <c r="G546" s="0" t="s">
        <v>628</v>
      </c>
      <c r="H546" s="0" t="s">
        <v>625</v>
      </c>
      <c r="I546" s="0" t="s">
        <v>626</v>
      </c>
      <c r="J546" s="0" t="s">
        <v>627</v>
      </c>
      <c r="K546" s="475" t="n">
        <f aca="false">'Basis Options'!G551</f>
        <v>36861</v>
      </c>
      <c r="L546" s="254" t="e">
        <f aca="false">'Basis Options'!U551</f>
        <v>#NAME?</v>
      </c>
      <c r="M546" s="475" t="n">
        <f aca="false">'Basis Options'!Q551</f>
        <v>36859</v>
      </c>
      <c r="N546" s="0" t="str">
        <f aca="false">'Basis Options'!F551</f>
        <v>P</v>
      </c>
      <c r="O546" s="0" t="n">
        <f aca="false">'Basis Options'!I551</f>
        <v>-0.25</v>
      </c>
      <c r="P546" s="0" t="n">
        <v>0</v>
      </c>
      <c r="Q546" s="0" t="n">
        <v>0</v>
      </c>
      <c r="R546" s="0" t="n">
        <v>0</v>
      </c>
      <c r="S546" s="0" t="n">
        <v>0</v>
      </c>
      <c r="T546" s="0" t="s">
        <v>624</v>
      </c>
      <c r="U546" s="0" t="str">
        <f aca="false">IF('Basis Options'!D551="NGI/CHI. GATE","""NGI/CHI. GATE""",TRIM('Basis Options'!D551))</f>
        <v>IF-PAN/TX/OK</v>
      </c>
      <c r="V546" s="0" t="s">
        <v>624</v>
      </c>
      <c r="W546" s="0" t="s">
        <v>569</v>
      </c>
      <c r="X546" s="0" t="s">
        <v>624</v>
      </c>
      <c r="Y546" s="0" t="s">
        <v>627</v>
      </c>
      <c r="Z546" s="0" t="s">
        <v>629</v>
      </c>
      <c r="AA546" s="0" t="s">
        <v>624</v>
      </c>
      <c r="AB546" s="0" t="s">
        <v>132</v>
      </c>
      <c r="AC546" s="254" t="n">
        <f aca="false">'Basis Options'!H551</f>
        <v>-310000</v>
      </c>
      <c r="AD546" s="254" t="e">
        <f aca="false">'Basis Options'!W551</f>
        <v>#NAME?</v>
      </c>
      <c r="AE546" s="0" t="n">
        <v>0</v>
      </c>
      <c r="AF546" s="0" t="n">
        <v>0</v>
      </c>
      <c r="AG546" s="0" t="n">
        <v>0</v>
      </c>
      <c r="AH546" s="254" t="e">
        <f aca="false">'Basis Options'!CD551</f>
        <v>#NAME?</v>
      </c>
      <c r="AI546" s="0" t="n">
        <v>226</v>
      </c>
      <c r="AJ546" s="0" t="s">
        <v>630</v>
      </c>
      <c r="AK546" s="0" t="n">
        <v>0</v>
      </c>
      <c r="AL546" s="0" t="n">
        <v>0</v>
      </c>
      <c r="AM546" s="0" t="n">
        <v>0</v>
      </c>
    </row>
    <row r="547" customFormat="false" ht="12.75" hidden="false" customHeight="false" outlineLevel="0" collapsed="false">
      <c r="A547" s="0" t="s">
        <v>621</v>
      </c>
      <c r="B547" s="0" t="str">
        <f aca="false">'Basis Options'!C552</f>
        <v>NS2705</v>
      </c>
      <c r="C547" s="0" t="s">
        <v>622</v>
      </c>
      <c r="D547" s="0" t="s">
        <v>623</v>
      </c>
      <c r="E547" s="0" t="s">
        <v>131</v>
      </c>
      <c r="F547" s="0" t="str">
        <f aca="false">'Basis Options'!A552</f>
        <v>RELIANTENESER</v>
      </c>
      <c r="G547" s="0" t="s">
        <v>628</v>
      </c>
      <c r="H547" s="0" t="s">
        <v>625</v>
      </c>
      <c r="I547" s="0" t="s">
        <v>626</v>
      </c>
      <c r="J547" s="0" t="s">
        <v>627</v>
      </c>
      <c r="K547" s="475" t="n">
        <f aca="false">'Basis Options'!G552</f>
        <v>36831</v>
      </c>
      <c r="L547" s="254" t="e">
        <f aca="false">'Basis Options'!U552</f>
        <v>#NAME?</v>
      </c>
      <c r="M547" s="475" t="n">
        <f aca="false">'Basis Options'!Q552</f>
        <v>36829</v>
      </c>
      <c r="N547" s="0" t="str">
        <f aca="false">'Basis Options'!F552</f>
        <v>P</v>
      </c>
      <c r="O547" s="0" t="n">
        <f aca="false">'Basis Options'!I552</f>
        <v>-0.25</v>
      </c>
      <c r="P547" s="0" t="n">
        <v>0</v>
      </c>
      <c r="Q547" s="0" t="n">
        <v>0</v>
      </c>
      <c r="R547" s="0" t="n">
        <v>0</v>
      </c>
      <c r="S547" s="0" t="n">
        <v>0</v>
      </c>
      <c r="T547" s="0" t="s">
        <v>624</v>
      </c>
      <c r="U547" s="0" t="str">
        <f aca="false">IF('Basis Options'!D552="NGI/CHI. GATE","""NGI/CHI. GATE""",TRIM('Basis Options'!D552))</f>
        <v>IF-PAN/TX/OK</v>
      </c>
      <c r="V547" s="0" t="s">
        <v>624</v>
      </c>
      <c r="W547" s="0" t="s">
        <v>569</v>
      </c>
      <c r="X547" s="0" t="s">
        <v>624</v>
      </c>
      <c r="Y547" s="0" t="s">
        <v>627</v>
      </c>
      <c r="Z547" s="0" t="s">
        <v>629</v>
      </c>
      <c r="AA547" s="0" t="s">
        <v>624</v>
      </c>
      <c r="AB547" s="0" t="s">
        <v>132</v>
      </c>
      <c r="AC547" s="254" t="n">
        <f aca="false">'Basis Options'!H552</f>
        <v>-300000</v>
      </c>
      <c r="AD547" s="254" t="e">
        <f aca="false">'Basis Options'!W552</f>
        <v>#NAME?</v>
      </c>
      <c r="AE547" s="0" t="n">
        <v>0</v>
      </c>
      <c r="AF547" s="0" t="n">
        <v>0</v>
      </c>
      <c r="AG547" s="0" t="n">
        <v>0</v>
      </c>
      <c r="AH547" s="254" t="e">
        <f aca="false">'Basis Options'!CD552</f>
        <v>#NAME?</v>
      </c>
      <c r="AI547" s="0" t="n">
        <v>226</v>
      </c>
      <c r="AJ547" s="0" t="s">
        <v>630</v>
      </c>
      <c r="AK547" s="0" t="n">
        <v>0</v>
      </c>
      <c r="AL547" s="0" t="n">
        <v>0</v>
      </c>
      <c r="AM547" s="0" t="n">
        <v>0</v>
      </c>
    </row>
    <row r="548" customFormat="false" ht="12.75" hidden="false" customHeight="false" outlineLevel="0" collapsed="false">
      <c r="A548" s="0" t="s">
        <v>621</v>
      </c>
      <c r="B548" s="0" t="str">
        <f aca="false">'Basis Options'!C553</f>
        <v>NS2749</v>
      </c>
      <c r="C548" s="0" t="s">
        <v>622</v>
      </c>
      <c r="D548" s="0" t="s">
        <v>623</v>
      </c>
      <c r="E548" s="0" t="s">
        <v>131</v>
      </c>
      <c r="F548" s="0" t="str">
        <f aca="false">'Basis Options'!A553</f>
        <v>DUKEENETRA</v>
      </c>
      <c r="G548" s="0" t="s">
        <v>628</v>
      </c>
      <c r="H548" s="0" t="s">
        <v>625</v>
      </c>
      <c r="I548" s="0" t="s">
        <v>626</v>
      </c>
      <c r="J548" s="0" t="s">
        <v>627</v>
      </c>
      <c r="K548" s="475" t="n">
        <f aca="false">'Basis Options'!G553</f>
        <v>37681</v>
      </c>
      <c r="L548" s="254" t="e">
        <f aca="false">'Basis Options'!U553</f>
        <v>#NAME?</v>
      </c>
      <c r="M548" s="475" t="n">
        <f aca="false">'Basis Options'!Q553</f>
        <v>37679</v>
      </c>
      <c r="N548" s="0" t="str">
        <f aca="false">'Basis Options'!F553</f>
        <v>C</v>
      </c>
      <c r="O548" s="0" t="n">
        <f aca="false">'Basis Options'!I553</f>
        <v>0.2</v>
      </c>
      <c r="P548" s="0" t="n">
        <v>0</v>
      </c>
      <c r="Q548" s="0" t="n">
        <v>0</v>
      </c>
      <c r="R548" s="0" t="n">
        <v>0</v>
      </c>
      <c r="S548" s="0" t="n">
        <v>0</v>
      </c>
      <c r="T548" s="0" t="s">
        <v>624</v>
      </c>
      <c r="U548" s="0" t="str">
        <f aca="false">IF('Basis Options'!D553="NGI/CHI. GATE","""NGI/CHI. GATE""",TRIM('Basis Options'!D553))</f>
        <v>"NGI/CHI. GATE"</v>
      </c>
      <c r="V548" s="0" t="s">
        <v>624</v>
      </c>
      <c r="W548" s="0" t="s">
        <v>569</v>
      </c>
      <c r="X548" s="0" t="s">
        <v>624</v>
      </c>
      <c r="Y548" s="0" t="s">
        <v>627</v>
      </c>
      <c r="Z548" s="0" t="s">
        <v>629</v>
      </c>
      <c r="AA548" s="0" t="s">
        <v>624</v>
      </c>
      <c r="AB548" s="0" t="s">
        <v>132</v>
      </c>
      <c r="AC548" s="254" t="n">
        <f aca="false">'Basis Options'!H553</f>
        <v>310000</v>
      </c>
      <c r="AD548" s="254" t="e">
        <f aca="false">'Basis Options'!W553</f>
        <v>#NAME?</v>
      </c>
      <c r="AE548" s="0" t="n">
        <v>0</v>
      </c>
      <c r="AF548" s="0" t="n">
        <v>0</v>
      </c>
      <c r="AG548" s="0" t="n">
        <v>0</v>
      </c>
      <c r="AH548" s="254" t="e">
        <f aca="false">'Basis Options'!CD553</f>
        <v>#NAME?</v>
      </c>
      <c r="AI548" s="0" t="n">
        <v>226</v>
      </c>
      <c r="AJ548" s="0" t="s">
        <v>630</v>
      </c>
      <c r="AK548" s="0" t="n">
        <v>0</v>
      </c>
      <c r="AL548" s="0" t="n">
        <v>0</v>
      </c>
      <c r="AM548" s="0" t="n">
        <v>0</v>
      </c>
    </row>
    <row r="549" customFormat="false" ht="12.75" hidden="false" customHeight="false" outlineLevel="0" collapsed="false">
      <c r="A549" s="0" t="s">
        <v>621</v>
      </c>
      <c r="B549" s="0" t="str">
        <f aca="false">'Basis Options'!C554</f>
        <v>NS2749</v>
      </c>
      <c r="C549" s="0" t="s">
        <v>622</v>
      </c>
      <c r="D549" s="0" t="s">
        <v>623</v>
      </c>
      <c r="E549" s="0" t="s">
        <v>131</v>
      </c>
      <c r="F549" s="0" t="str">
        <f aca="false">'Basis Options'!A554</f>
        <v>DUKEENETRA</v>
      </c>
      <c r="G549" s="0" t="s">
        <v>628</v>
      </c>
      <c r="H549" s="0" t="s">
        <v>625</v>
      </c>
      <c r="I549" s="0" t="s">
        <v>626</v>
      </c>
      <c r="J549" s="0" t="s">
        <v>627</v>
      </c>
      <c r="K549" s="475" t="n">
        <f aca="false">'Basis Options'!G554</f>
        <v>37653</v>
      </c>
      <c r="L549" s="254" t="e">
        <f aca="false">'Basis Options'!U554</f>
        <v>#NAME?</v>
      </c>
      <c r="M549" s="475" t="n">
        <f aca="false">'Basis Options'!Q554</f>
        <v>37651</v>
      </c>
      <c r="N549" s="0" t="str">
        <f aca="false">'Basis Options'!F554</f>
        <v>C</v>
      </c>
      <c r="O549" s="0" t="n">
        <f aca="false">'Basis Options'!I554</f>
        <v>0.2</v>
      </c>
      <c r="P549" s="0" t="n">
        <v>0</v>
      </c>
      <c r="Q549" s="0" t="n">
        <v>0</v>
      </c>
      <c r="R549" s="0" t="n">
        <v>0</v>
      </c>
      <c r="S549" s="0" t="n">
        <v>0</v>
      </c>
      <c r="T549" s="0" t="s">
        <v>624</v>
      </c>
      <c r="U549" s="0" t="str">
        <f aca="false">IF('Basis Options'!D554="NGI/CHI. GATE","""NGI/CHI. GATE""",TRIM('Basis Options'!D554))</f>
        <v>"NGI/CHI. GATE"</v>
      </c>
      <c r="V549" s="0" t="s">
        <v>624</v>
      </c>
      <c r="W549" s="0" t="s">
        <v>569</v>
      </c>
      <c r="X549" s="0" t="s">
        <v>624</v>
      </c>
      <c r="Y549" s="0" t="s">
        <v>627</v>
      </c>
      <c r="Z549" s="0" t="s">
        <v>629</v>
      </c>
      <c r="AA549" s="0" t="s">
        <v>624</v>
      </c>
      <c r="AB549" s="0" t="s">
        <v>132</v>
      </c>
      <c r="AC549" s="254" t="n">
        <f aca="false">'Basis Options'!H554</f>
        <v>280000</v>
      </c>
      <c r="AD549" s="254" t="e">
        <f aca="false">'Basis Options'!W554</f>
        <v>#NAME?</v>
      </c>
      <c r="AE549" s="0" t="n">
        <v>0</v>
      </c>
      <c r="AF549" s="0" t="n">
        <v>0</v>
      </c>
      <c r="AG549" s="0" t="n">
        <v>0</v>
      </c>
      <c r="AH549" s="254" t="e">
        <f aca="false">'Basis Options'!CD554</f>
        <v>#NAME?</v>
      </c>
      <c r="AI549" s="0" t="n">
        <v>226</v>
      </c>
      <c r="AJ549" s="0" t="s">
        <v>630</v>
      </c>
      <c r="AK549" s="0" t="n">
        <v>0</v>
      </c>
      <c r="AL549" s="0" t="n">
        <v>0</v>
      </c>
      <c r="AM549" s="0" t="n">
        <v>0</v>
      </c>
    </row>
    <row r="550" customFormat="false" ht="12.75" hidden="false" customHeight="false" outlineLevel="0" collapsed="false">
      <c r="A550" s="0" t="s">
        <v>621</v>
      </c>
      <c r="B550" s="0" t="str">
        <f aca="false">'Basis Options'!C555</f>
        <v>NS2749</v>
      </c>
      <c r="C550" s="0" t="s">
        <v>622</v>
      </c>
      <c r="D550" s="0" t="s">
        <v>623</v>
      </c>
      <c r="E550" s="0" t="s">
        <v>131</v>
      </c>
      <c r="F550" s="0" t="str">
        <f aca="false">'Basis Options'!A555</f>
        <v>DUKEENETRA</v>
      </c>
      <c r="G550" s="0" t="s">
        <v>628</v>
      </c>
      <c r="H550" s="0" t="s">
        <v>625</v>
      </c>
      <c r="I550" s="0" t="s">
        <v>626</v>
      </c>
      <c r="J550" s="0" t="s">
        <v>627</v>
      </c>
      <c r="K550" s="475" t="n">
        <f aca="false">'Basis Options'!G555</f>
        <v>37622</v>
      </c>
      <c r="L550" s="254" t="e">
        <f aca="false">'Basis Options'!U555</f>
        <v>#NAME?</v>
      </c>
      <c r="M550" s="475" t="n">
        <f aca="false">'Basis Options'!Q555</f>
        <v>37620</v>
      </c>
      <c r="N550" s="0" t="str">
        <f aca="false">'Basis Options'!F555</f>
        <v>C</v>
      </c>
      <c r="O550" s="0" t="n">
        <f aca="false">'Basis Options'!I555</f>
        <v>0.2</v>
      </c>
      <c r="P550" s="0" t="n">
        <v>0</v>
      </c>
      <c r="Q550" s="0" t="n">
        <v>0</v>
      </c>
      <c r="R550" s="0" t="n">
        <v>0</v>
      </c>
      <c r="S550" s="0" t="n">
        <v>0</v>
      </c>
      <c r="T550" s="0" t="s">
        <v>624</v>
      </c>
      <c r="U550" s="0" t="str">
        <f aca="false">IF('Basis Options'!D555="NGI/CHI. GATE","""NGI/CHI. GATE""",TRIM('Basis Options'!D555))</f>
        <v>"NGI/CHI. GATE"</v>
      </c>
      <c r="V550" s="0" t="s">
        <v>624</v>
      </c>
      <c r="W550" s="0" t="s">
        <v>569</v>
      </c>
      <c r="X550" s="0" t="s">
        <v>624</v>
      </c>
      <c r="Y550" s="0" t="s">
        <v>627</v>
      </c>
      <c r="Z550" s="0" t="s">
        <v>629</v>
      </c>
      <c r="AA550" s="0" t="s">
        <v>624</v>
      </c>
      <c r="AB550" s="0" t="s">
        <v>132</v>
      </c>
      <c r="AC550" s="254" t="n">
        <f aca="false">'Basis Options'!H555</f>
        <v>310000</v>
      </c>
      <c r="AD550" s="254" t="e">
        <f aca="false">'Basis Options'!W555</f>
        <v>#NAME?</v>
      </c>
      <c r="AE550" s="0" t="n">
        <v>0</v>
      </c>
      <c r="AF550" s="0" t="n">
        <v>0</v>
      </c>
      <c r="AG550" s="0" t="n">
        <v>0</v>
      </c>
      <c r="AH550" s="254" t="e">
        <f aca="false">'Basis Options'!CD555</f>
        <v>#NAME?</v>
      </c>
      <c r="AI550" s="0" t="n">
        <v>226</v>
      </c>
      <c r="AJ550" s="0" t="s">
        <v>630</v>
      </c>
      <c r="AK550" s="0" t="n">
        <v>0</v>
      </c>
      <c r="AL550" s="0" t="n">
        <v>0</v>
      </c>
      <c r="AM550" s="0" t="n">
        <v>0</v>
      </c>
    </row>
    <row r="551" customFormat="false" ht="12.75" hidden="false" customHeight="false" outlineLevel="0" collapsed="false">
      <c r="A551" s="0" t="s">
        <v>621</v>
      </c>
      <c r="B551" s="0" t="str">
        <f aca="false">'Basis Options'!C556</f>
        <v>NS2749</v>
      </c>
      <c r="C551" s="0" t="s">
        <v>622</v>
      </c>
      <c r="D551" s="0" t="s">
        <v>623</v>
      </c>
      <c r="E551" s="0" t="s">
        <v>131</v>
      </c>
      <c r="F551" s="0" t="str">
        <f aca="false">'Basis Options'!A556</f>
        <v>DUKEENETRA</v>
      </c>
      <c r="G551" s="0" t="s">
        <v>628</v>
      </c>
      <c r="H551" s="0" t="s">
        <v>625</v>
      </c>
      <c r="I551" s="0" t="s">
        <v>626</v>
      </c>
      <c r="J551" s="0" t="s">
        <v>627</v>
      </c>
      <c r="K551" s="475" t="n">
        <f aca="false">'Basis Options'!G556</f>
        <v>37591</v>
      </c>
      <c r="L551" s="254" t="e">
        <f aca="false">'Basis Options'!U556</f>
        <v>#NAME?</v>
      </c>
      <c r="M551" s="475" t="n">
        <f aca="false">'Basis Options'!Q556</f>
        <v>37588</v>
      </c>
      <c r="N551" s="0" t="str">
        <f aca="false">'Basis Options'!F556</f>
        <v>C</v>
      </c>
      <c r="O551" s="0" t="n">
        <f aca="false">'Basis Options'!I556</f>
        <v>0.2</v>
      </c>
      <c r="P551" s="0" t="n">
        <v>0</v>
      </c>
      <c r="Q551" s="0" t="n">
        <v>0</v>
      </c>
      <c r="R551" s="0" t="n">
        <v>0</v>
      </c>
      <c r="S551" s="0" t="n">
        <v>0</v>
      </c>
      <c r="T551" s="0" t="s">
        <v>624</v>
      </c>
      <c r="U551" s="0" t="str">
        <f aca="false">IF('Basis Options'!D556="NGI/CHI. GATE","""NGI/CHI. GATE""",TRIM('Basis Options'!D556))</f>
        <v>"NGI/CHI. GATE"</v>
      </c>
      <c r="V551" s="0" t="s">
        <v>624</v>
      </c>
      <c r="W551" s="0" t="s">
        <v>569</v>
      </c>
      <c r="X551" s="0" t="s">
        <v>624</v>
      </c>
      <c r="Y551" s="0" t="s">
        <v>627</v>
      </c>
      <c r="Z551" s="0" t="s">
        <v>629</v>
      </c>
      <c r="AA551" s="0" t="s">
        <v>624</v>
      </c>
      <c r="AB551" s="0" t="s">
        <v>132</v>
      </c>
      <c r="AC551" s="254" t="n">
        <f aca="false">'Basis Options'!H556</f>
        <v>310000</v>
      </c>
      <c r="AD551" s="254" t="e">
        <f aca="false">'Basis Options'!W556</f>
        <v>#NAME?</v>
      </c>
      <c r="AE551" s="0" t="n">
        <v>0</v>
      </c>
      <c r="AF551" s="0" t="n">
        <v>0</v>
      </c>
      <c r="AG551" s="0" t="n">
        <v>0</v>
      </c>
      <c r="AH551" s="254" t="e">
        <f aca="false">'Basis Options'!CD556</f>
        <v>#NAME?</v>
      </c>
      <c r="AI551" s="0" t="n">
        <v>226</v>
      </c>
      <c r="AJ551" s="0" t="s">
        <v>630</v>
      </c>
      <c r="AK551" s="0" t="n">
        <v>0</v>
      </c>
      <c r="AL551" s="0" t="n">
        <v>0</v>
      </c>
      <c r="AM551" s="0" t="n">
        <v>0</v>
      </c>
    </row>
    <row r="552" customFormat="false" ht="12.75" hidden="false" customHeight="false" outlineLevel="0" collapsed="false">
      <c r="A552" s="0" t="s">
        <v>621</v>
      </c>
      <c r="B552" s="0" t="str">
        <f aca="false">'Basis Options'!C557</f>
        <v>NS2749</v>
      </c>
      <c r="C552" s="0" t="s">
        <v>622</v>
      </c>
      <c r="D552" s="0" t="s">
        <v>623</v>
      </c>
      <c r="E552" s="0" t="s">
        <v>131</v>
      </c>
      <c r="F552" s="0" t="str">
        <f aca="false">'Basis Options'!A557</f>
        <v>DUKEENETRA</v>
      </c>
      <c r="G552" s="0" t="s">
        <v>628</v>
      </c>
      <c r="H552" s="0" t="s">
        <v>625</v>
      </c>
      <c r="I552" s="0" t="s">
        <v>626</v>
      </c>
      <c r="J552" s="0" t="s">
        <v>627</v>
      </c>
      <c r="K552" s="475" t="n">
        <f aca="false">'Basis Options'!G557</f>
        <v>37561</v>
      </c>
      <c r="L552" s="254" t="e">
        <f aca="false">'Basis Options'!U557</f>
        <v>#NAME?</v>
      </c>
      <c r="M552" s="475" t="n">
        <f aca="false">'Basis Options'!Q557</f>
        <v>37559</v>
      </c>
      <c r="N552" s="0" t="str">
        <f aca="false">'Basis Options'!F557</f>
        <v>C</v>
      </c>
      <c r="O552" s="0" t="n">
        <f aca="false">'Basis Options'!I557</f>
        <v>0.2</v>
      </c>
      <c r="P552" s="0" t="n">
        <v>0</v>
      </c>
      <c r="Q552" s="0" t="n">
        <v>0</v>
      </c>
      <c r="R552" s="0" t="n">
        <v>0</v>
      </c>
      <c r="S552" s="0" t="n">
        <v>0</v>
      </c>
      <c r="T552" s="0" t="s">
        <v>624</v>
      </c>
      <c r="U552" s="0" t="str">
        <f aca="false">IF('Basis Options'!D557="NGI/CHI. GATE","""NGI/CHI. GATE""",TRIM('Basis Options'!D557))</f>
        <v>"NGI/CHI. GATE"</v>
      </c>
      <c r="V552" s="0" t="s">
        <v>624</v>
      </c>
      <c r="W552" s="0" t="s">
        <v>569</v>
      </c>
      <c r="X552" s="0" t="s">
        <v>624</v>
      </c>
      <c r="Y552" s="0" t="s">
        <v>627</v>
      </c>
      <c r="Z552" s="0" t="s">
        <v>629</v>
      </c>
      <c r="AA552" s="0" t="s">
        <v>624</v>
      </c>
      <c r="AB552" s="0" t="s">
        <v>132</v>
      </c>
      <c r="AC552" s="254" t="n">
        <f aca="false">'Basis Options'!H557</f>
        <v>300000</v>
      </c>
      <c r="AD552" s="254" t="e">
        <f aca="false">'Basis Options'!W557</f>
        <v>#NAME?</v>
      </c>
      <c r="AE552" s="0" t="n">
        <v>0</v>
      </c>
      <c r="AF552" s="0" t="n">
        <v>0</v>
      </c>
      <c r="AG552" s="0" t="n">
        <v>0</v>
      </c>
      <c r="AH552" s="254" t="e">
        <f aca="false">'Basis Options'!CD557</f>
        <v>#NAME?</v>
      </c>
      <c r="AI552" s="0" t="n">
        <v>226</v>
      </c>
      <c r="AJ552" s="0" t="s">
        <v>630</v>
      </c>
      <c r="AK552" s="0" t="n">
        <v>0</v>
      </c>
      <c r="AL552" s="0" t="n">
        <v>0</v>
      </c>
      <c r="AM552" s="0" t="n">
        <v>0</v>
      </c>
    </row>
    <row r="553" customFormat="false" ht="12.75" hidden="false" customHeight="false" outlineLevel="0" collapsed="false">
      <c r="A553" s="0" t="s">
        <v>621</v>
      </c>
      <c r="B553" s="0" t="str">
        <f aca="false">'Basis Options'!C558</f>
        <v>NS2782</v>
      </c>
      <c r="C553" s="0" t="s">
        <v>622</v>
      </c>
      <c r="D553" s="0" t="s">
        <v>623</v>
      </c>
      <c r="E553" s="0" t="s">
        <v>131</v>
      </c>
      <c r="F553" s="0" t="str">
        <f aca="false">'Basis Options'!A558</f>
        <v>ELPASMER</v>
      </c>
      <c r="G553" s="0" t="s">
        <v>628</v>
      </c>
      <c r="H553" s="0" t="s">
        <v>625</v>
      </c>
      <c r="I553" s="0" t="s">
        <v>626</v>
      </c>
      <c r="J553" s="0" t="s">
        <v>627</v>
      </c>
      <c r="K553" s="475" t="n">
        <f aca="false">'Basis Options'!G558</f>
        <v>36951</v>
      </c>
      <c r="L553" s="254" t="e">
        <f aca="false">'Basis Options'!U558</f>
        <v>#NAME?</v>
      </c>
      <c r="M553" s="475" t="n">
        <f aca="false">'Basis Options'!Q558</f>
        <v>36949</v>
      </c>
      <c r="N553" s="0" t="str">
        <f aca="false">'Basis Options'!F558</f>
        <v>C</v>
      </c>
      <c r="O553" s="0" t="n">
        <f aca="false">'Basis Options'!I558</f>
        <v>0.3</v>
      </c>
      <c r="P553" s="0" t="n">
        <v>0</v>
      </c>
      <c r="Q553" s="0" t="n">
        <v>0</v>
      </c>
      <c r="R553" s="0" t="n">
        <v>0</v>
      </c>
      <c r="S553" s="0" t="n">
        <v>0</v>
      </c>
      <c r="T553" s="0" t="s">
        <v>624</v>
      </c>
      <c r="U553" s="0" t="str">
        <f aca="false">IF('Basis Options'!D558="NGI/CHI. GATE","""NGI/CHI. GATE""",TRIM('Basis Options'!D558))</f>
        <v>NGI-SOCAL</v>
      </c>
      <c r="V553" s="0" t="s">
        <v>624</v>
      </c>
      <c r="W553" s="0" t="s">
        <v>569</v>
      </c>
      <c r="X553" s="0" t="s">
        <v>624</v>
      </c>
      <c r="Y553" s="0" t="s">
        <v>627</v>
      </c>
      <c r="Z553" s="0" t="s">
        <v>629</v>
      </c>
      <c r="AA553" s="0" t="s">
        <v>624</v>
      </c>
      <c r="AB553" s="0" t="s">
        <v>132</v>
      </c>
      <c r="AC553" s="254" t="n">
        <f aca="false">'Basis Options'!H558</f>
        <v>155000</v>
      </c>
      <c r="AD553" s="254" t="e">
        <f aca="false">'Basis Options'!W558</f>
        <v>#NAME?</v>
      </c>
      <c r="AE553" s="0" t="n">
        <v>0</v>
      </c>
      <c r="AF553" s="0" t="n">
        <v>0</v>
      </c>
      <c r="AG553" s="0" t="n">
        <v>0</v>
      </c>
      <c r="AH553" s="254" t="e">
        <f aca="false">'Basis Options'!CD558</f>
        <v>#NAME?</v>
      </c>
      <c r="AI553" s="0" t="n">
        <v>226</v>
      </c>
      <c r="AJ553" s="0" t="s">
        <v>630</v>
      </c>
      <c r="AK553" s="0" t="n">
        <v>0</v>
      </c>
      <c r="AL553" s="0" t="n">
        <v>0</v>
      </c>
      <c r="AM553" s="0" t="n">
        <v>0</v>
      </c>
    </row>
    <row r="554" customFormat="false" ht="12.75" hidden="false" customHeight="false" outlineLevel="0" collapsed="false">
      <c r="A554" s="0" t="s">
        <v>621</v>
      </c>
      <c r="B554" s="0" t="str">
        <f aca="false">'Basis Options'!C559</f>
        <v>NS2782</v>
      </c>
      <c r="C554" s="0" t="s">
        <v>622</v>
      </c>
      <c r="D554" s="0" t="s">
        <v>623</v>
      </c>
      <c r="E554" s="0" t="s">
        <v>131</v>
      </c>
      <c r="F554" s="0" t="str">
        <f aca="false">'Basis Options'!A559</f>
        <v>ELPASMER</v>
      </c>
      <c r="G554" s="0" t="s">
        <v>628</v>
      </c>
      <c r="H554" s="0" t="s">
        <v>625</v>
      </c>
      <c r="I554" s="0" t="s">
        <v>626</v>
      </c>
      <c r="J554" s="0" t="s">
        <v>627</v>
      </c>
      <c r="K554" s="475" t="n">
        <f aca="false">'Basis Options'!G559</f>
        <v>36923</v>
      </c>
      <c r="L554" s="254" t="e">
        <f aca="false">'Basis Options'!U559</f>
        <v>#NAME?</v>
      </c>
      <c r="M554" s="475" t="n">
        <f aca="false">'Basis Options'!Q559</f>
        <v>36921</v>
      </c>
      <c r="N554" s="0" t="str">
        <f aca="false">'Basis Options'!F559</f>
        <v>C</v>
      </c>
      <c r="O554" s="0" t="n">
        <f aca="false">'Basis Options'!I559</f>
        <v>0.3</v>
      </c>
      <c r="P554" s="0" t="n">
        <v>0</v>
      </c>
      <c r="Q554" s="0" t="n">
        <v>0</v>
      </c>
      <c r="R554" s="0" t="n">
        <v>0</v>
      </c>
      <c r="S554" s="0" t="n">
        <v>0</v>
      </c>
      <c r="T554" s="0" t="s">
        <v>624</v>
      </c>
      <c r="U554" s="0" t="str">
        <f aca="false">IF('Basis Options'!D559="NGI/CHI. GATE","""NGI/CHI. GATE""",TRIM('Basis Options'!D559))</f>
        <v>NGI-SOCAL</v>
      </c>
      <c r="V554" s="0" t="s">
        <v>624</v>
      </c>
      <c r="W554" s="0" t="s">
        <v>569</v>
      </c>
      <c r="X554" s="0" t="s">
        <v>624</v>
      </c>
      <c r="Y554" s="0" t="s">
        <v>627</v>
      </c>
      <c r="Z554" s="0" t="s">
        <v>629</v>
      </c>
      <c r="AA554" s="0" t="s">
        <v>624</v>
      </c>
      <c r="AB554" s="0" t="s">
        <v>132</v>
      </c>
      <c r="AC554" s="254" t="n">
        <f aca="false">'Basis Options'!H559</f>
        <v>140000</v>
      </c>
      <c r="AD554" s="254" t="e">
        <f aca="false">'Basis Options'!W559</f>
        <v>#NAME?</v>
      </c>
      <c r="AE554" s="0" t="n">
        <v>0</v>
      </c>
      <c r="AF554" s="0" t="n">
        <v>0</v>
      </c>
      <c r="AG554" s="0" t="n">
        <v>0</v>
      </c>
      <c r="AH554" s="254" t="e">
        <f aca="false">'Basis Options'!CD559</f>
        <v>#NAME?</v>
      </c>
      <c r="AI554" s="0" t="n">
        <v>226</v>
      </c>
      <c r="AJ554" s="0" t="s">
        <v>630</v>
      </c>
      <c r="AK554" s="0" t="n">
        <v>0</v>
      </c>
      <c r="AL554" s="0" t="n">
        <v>0</v>
      </c>
      <c r="AM554" s="0" t="n">
        <v>0</v>
      </c>
    </row>
    <row r="555" customFormat="false" ht="12.75" hidden="false" customHeight="false" outlineLevel="0" collapsed="false">
      <c r="A555" s="0" t="s">
        <v>621</v>
      </c>
      <c r="B555" s="0" t="str">
        <f aca="false">'Basis Options'!C560</f>
        <v>NS2782</v>
      </c>
      <c r="C555" s="0" t="s">
        <v>622</v>
      </c>
      <c r="D555" s="0" t="s">
        <v>623</v>
      </c>
      <c r="E555" s="0" t="s">
        <v>131</v>
      </c>
      <c r="F555" s="0" t="str">
        <f aca="false">'Basis Options'!A560</f>
        <v>ELPASMER</v>
      </c>
      <c r="G555" s="0" t="s">
        <v>628</v>
      </c>
      <c r="H555" s="0" t="s">
        <v>625</v>
      </c>
      <c r="I555" s="0" t="s">
        <v>626</v>
      </c>
      <c r="J555" s="0" t="s">
        <v>627</v>
      </c>
      <c r="K555" s="475" t="n">
        <f aca="false">'Basis Options'!G560</f>
        <v>36892</v>
      </c>
      <c r="L555" s="254" t="e">
        <f aca="false">'Basis Options'!U560</f>
        <v>#NAME?</v>
      </c>
      <c r="M555" s="475" t="n">
        <f aca="false">'Basis Options'!Q560</f>
        <v>36888</v>
      </c>
      <c r="N555" s="0" t="str">
        <f aca="false">'Basis Options'!F560</f>
        <v>C</v>
      </c>
      <c r="O555" s="0" t="n">
        <f aca="false">'Basis Options'!I560</f>
        <v>0.3</v>
      </c>
      <c r="P555" s="0" t="n">
        <v>0</v>
      </c>
      <c r="Q555" s="0" t="n">
        <v>0</v>
      </c>
      <c r="R555" s="0" t="n">
        <v>0</v>
      </c>
      <c r="S555" s="0" t="n">
        <v>0</v>
      </c>
      <c r="T555" s="0" t="s">
        <v>624</v>
      </c>
      <c r="U555" s="0" t="str">
        <f aca="false">IF('Basis Options'!D560="NGI/CHI. GATE","""NGI/CHI. GATE""",TRIM('Basis Options'!D560))</f>
        <v>NGI-SOCAL</v>
      </c>
      <c r="V555" s="0" t="s">
        <v>624</v>
      </c>
      <c r="W555" s="0" t="s">
        <v>569</v>
      </c>
      <c r="X555" s="0" t="s">
        <v>624</v>
      </c>
      <c r="Y555" s="0" t="s">
        <v>627</v>
      </c>
      <c r="Z555" s="0" t="s">
        <v>629</v>
      </c>
      <c r="AA555" s="0" t="s">
        <v>624</v>
      </c>
      <c r="AB555" s="0" t="s">
        <v>132</v>
      </c>
      <c r="AC555" s="254" t="n">
        <f aca="false">'Basis Options'!H560</f>
        <v>155000</v>
      </c>
      <c r="AD555" s="254" t="e">
        <f aca="false">'Basis Options'!W560</f>
        <v>#NAME?</v>
      </c>
      <c r="AE555" s="0" t="n">
        <v>0</v>
      </c>
      <c r="AF555" s="0" t="n">
        <v>0</v>
      </c>
      <c r="AG555" s="0" t="n">
        <v>0</v>
      </c>
      <c r="AH555" s="254" t="e">
        <f aca="false">'Basis Options'!CD560</f>
        <v>#NAME?</v>
      </c>
      <c r="AI555" s="0" t="n">
        <v>226</v>
      </c>
      <c r="AJ555" s="0" t="s">
        <v>630</v>
      </c>
      <c r="AK555" s="0" t="n">
        <v>0</v>
      </c>
      <c r="AL555" s="0" t="n">
        <v>0</v>
      </c>
      <c r="AM555" s="0" t="n">
        <v>0</v>
      </c>
    </row>
    <row r="556" customFormat="false" ht="12.75" hidden="false" customHeight="false" outlineLevel="0" collapsed="false">
      <c r="A556" s="0" t="s">
        <v>621</v>
      </c>
      <c r="B556" s="0" t="str">
        <f aca="false">'Basis Options'!C561</f>
        <v>NS2782</v>
      </c>
      <c r="C556" s="0" t="s">
        <v>622</v>
      </c>
      <c r="D556" s="0" t="s">
        <v>623</v>
      </c>
      <c r="E556" s="0" t="s">
        <v>131</v>
      </c>
      <c r="F556" s="0" t="str">
        <f aca="false">'Basis Options'!A561</f>
        <v>ELPASMER</v>
      </c>
      <c r="G556" s="0" t="s">
        <v>628</v>
      </c>
      <c r="H556" s="0" t="s">
        <v>625</v>
      </c>
      <c r="I556" s="0" t="s">
        <v>626</v>
      </c>
      <c r="J556" s="0" t="s">
        <v>627</v>
      </c>
      <c r="K556" s="475" t="n">
        <f aca="false">'Basis Options'!G561</f>
        <v>36861</v>
      </c>
      <c r="L556" s="254" t="e">
        <f aca="false">'Basis Options'!U561</f>
        <v>#NAME?</v>
      </c>
      <c r="M556" s="475" t="n">
        <f aca="false">'Basis Options'!Q561</f>
        <v>36859</v>
      </c>
      <c r="N556" s="0" t="str">
        <f aca="false">'Basis Options'!F561</f>
        <v>C</v>
      </c>
      <c r="O556" s="0" t="n">
        <f aca="false">'Basis Options'!I561</f>
        <v>0.3</v>
      </c>
      <c r="P556" s="0" t="n">
        <v>0</v>
      </c>
      <c r="Q556" s="0" t="n">
        <v>0</v>
      </c>
      <c r="R556" s="0" t="n">
        <v>0</v>
      </c>
      <c r="S556" s="0" t="n">
        <v>0</v>
      </c>
      <c r="T556" s="0" t="s">
        <v>624</v>
      </c>
      <c r="U556" s="0" t="str">
        <f aca="false">IF('Basis Options'!D561="NGI/CHI. GATE","""NGI/CHI. GATE""",TRIM('Basis Options'!D561))</f>
        <v>NGI-SOCAL</v>
      </c>
      <c r="V556" s="0" t="s">
        <v>624</v>
      </c>
      <c r="W556" s="0" t="s">
        <v>569</v>
      </c>
      <c r="X556" s="0" t="s">
        <v>624</v>
      </c>
      <c r="Y556" s="0" t="s">
        <v>627</v>
      </c>
      <c r="Z556" s="0" t="s">
        <v>629</v>
      </c>
      <c r="AA556" s="0" t="s">
        <v>624</v>
      </c>
      <c r="AB556" s="0" t="s">
        <v>132</v>
      </c>
      <c r="AC556" s="254" t="n">
        <f aca="false">'Basis Options'!H561</f>
        <v>155000</v>
      </c>
      <c r="AD556" s="254" t="e">
        <f aca="false">'Basis Options'!W561</f>
        <v>#NAME?</v>
      </c>
      <c r="AE556" s="0" t="n">
        <v>0</v>
      </c>
      <c r="AF556" s="0" t="n">
        <v>0</v>
      </c>
      <c r="AG556" s="0" t="n">
        <v>0</v>
      </c>
      <c r="AH556" s="254" t="e">
        <f aca="false">'Basis Options'!CD561</f>
        <v>#NAME?</v>
      </c>
      <c r="AI556" s="0" t="n">
        <v>226</v>
      </c>
      <c r="AJ556" s="0" t="s">
        <v>630</v>
      </c>
      <c r="AK556" s="0" t="n">
        <v>0</v>
      </c>
      <c r="AL556" s="0" t="n">
        <v>0</v>
      </c>
      <c r="AM556" s="0" t="n">
        <v>0</v>
      </c>
    </row>
    <row r="557" customFormat="false" ht="12.75" hidden="false" customHeight="false" outlineLevel="0" collapsed="false">
      <c r="A557" s="0" t="s">
        <v>621</v>
      </c>
      <c r="B557" s="0" t="str">
        <f aca="false">'Basis Options'!C562</f>
        <v>NS2782</v>
      </c>
      <c r="C557" s="0" t="s">
        <v>622</v>
      </c>
      <c r="D557" s="0" t="s">
        <v>623</v>
      </c>
      <c r="E557" s="0" t="s">
        <v>131</v>
      </c>
      <c r="F557" s="0" t="str">
        <f aca="false">'Basis Options'!A562</f>
        <v>ELPASMER</v>
      </c>
      <c r="G557" s="0" t="s">
        <v>628</v>
      </c>
      <c r="H557" s="0" t="s">
        <v>625</v>
      </c>
      <c r="I557" s="0" t="s">
        <v>626</v>
      </c>
      <c r="J557" s="0" t="s">
        <v>627</v>
      </c>
      <c r="K557" s="475" t="n">
        <f aca="false">'Basis Options'!G562</f>
        <v>36831</v>
      </c>
      <c r="L557" s="254" t="e">
        <f aca="false">'Basis Options'!U562</f>
        <v>#NAME?</v>
      </c>
      <c r="M557" s="475" t="n">
        <f aca="false">'Basis Options'!Q562</f>
        <v>36829</v>
      </c>
      <c r="N557" s="0" t="str">
        <f aca="false">'Basis Options'!F562</f>
        <v>C</v>
      </c>
      <c r="O557" s="0" t="n">
        <f aca="false">'Basis Options'!I562</f>
        <v>0.3</v>
      </c>
      <c r="P557" s="0" t="n">
        <v>0</v>
      </c>
      <c r="Q557" s="0" t="n">
        <v>0</v>
      </c>
      <c r="R557" s="0" t="n">
        <v>0</v>
      </c>
      <c r="S557" s="0" t="n">
        <v>0</v>
      </c>
      <c r="T557" s="0" t="s">
        <v>624</v>
      </c>
      <c r="U557" s="0" t="str">
        <f aca="false">IF('Basis Options'!D562="NGI/CHI. GATE","""NGI/CHI. GATE""",TRIM('Basis Options'!D562))</f>
        <v>NGI-SOCAL</v>
      </c>
      <c r="V557" s="0" t="s">
        <v>624</v>
      </c>
      <c r="W557" s="0" t="s">
        <v>569</v>
      </c>
      <c r="X557" s="0" t="s">
        <v>624</v>
      </c>
      <c r="Y557" s="0" t="s">
        <v>627</v>
      </c>
      <c r="Z557" s="0" t="s">
        <v>629</v>
      </c>
      <c r="AA557" s="0" t="s">
        <v>624</v>
      </c>
      <c r="AB557" s="0" t="s">
        <v>132</v>
      </c>
      <c r="AC557" s="254" t="n">
        <f aca="false">'Basis Options'!H562</f>
        <v>150000</v>
      </c>
      <c r="AD557" s="254" t="e">
        <f aca="false">'Basis Options'!W562</f>
        <v>#NAME?</v>
      </c>
      <c r="AE557" s="0" t="n">
        <v>0</v>
      </c>
      <c r="AF557" s="0" t="n">
        <v>0</v>
      </c>
      <c r="AG557" s="0" t="n">
        <v>0</v>
      </c>
      <c r="AH557" s="254" t="e">
        <f aca="false">'Basis Options'!CD562</f>
        <v>#NAME?</v>
      </c>
      <c r="AI557" s="0" t="n">
        <v>226</v>
      </c>
      <c r="AJ557" s="0" t="s">
        <v>630</v>
      </c>
      <c r="AK557" s="0" t="n">
        <v>0</v>
      </c>
      <c r="AL557" s="0" t="n">
        <v>0</v>
      </c>
      <c r="AM557" s="0" t="n">
        <v>0</v>
      </c>
    </row>
    <row r="558" customFormat="false" ht="12.75" hidden="false" customHeight="false" outlineLevel="0" collapsed="false">
      <c r="A558" s="0" t="s">
        <v>621</v>
      </c>
      <c r="B558" s="0" t="str">
        <f aca="false">'Basis Options'!C563</f>
        <v>NS3031.1</v>
      </c>
      <c r="C558" s="0" t="s">
        <v>622</v>
      </c>
      <c r="D558" s="0" t="s">
        <v>623</v>
      </c>
      <c r="E558" s="0" t="s">
        <v>131</v>
      </c>
      <c r="F558" s="0" t="str">
        <f aca="false">'Basis Options'!A563</f>
        <v>CMSMARSERTRA</v>
      </c>
      <c r="G558" s="0" t="s">
        <v>628</v>
      </c>
      <c r="H558" s="0" t="s">
        <v>625</v>
      </c>
      <c r="I558" s="0" t="s">
        <v>626</v>
      </c>
      <c r="J558" s="0" t="s">
        <v>627</v>
      </c>
      <c r="K558" s="475" t="n">
        <f aca="false">'Basis Options'!G563</f>
        <v>36800</v>
      </c>
      <c r="L558" s="254" t="e">
        <f aca="false">'Basis Options'!U563</f>
        <v>#NAME?</v>
      </c>
      <c r="M558" s="475" t="n">
        <f aca="false">'Basis Options'!Q563</f>
        <v>36797</v>
      </c>
      <c r="N558" s="0" t="str">
        <f aca="false">'Basis Options'!F563</f>
        <v>C</v>
      </c>
      <c r="O558" s="0" t="n">
        <f aca="false">'Basis Options'!I563</f>
        <v>0.85</v>
      </c>
      <c r="P558" s="0" t="n">
        <v>0</v>
      </c>
      <c r="Q558" s="0" t="n">
        <v>0</v>
      </c>
      <c r="R558" s="0" t="n">
        <v>0</v>
      </c>
      <c r="S558" s="0" t="n">
        <v>0</v>
      </c>
      <c r="T558" s="0" t="s">
        <v>624</v>
      </c>
      <c r="U558" s="0" t="str">
        <f aca="false">IF('Basis Options'!D563="NGI/CHI. GATE","""NGI/CHI. GATE""",TRIM('Basis Options'!D563))</f>
        <v>NGI-SOCAL</v>
      </c>
      <c r="V558" s="0" t="s">
        <v>624</v>
      </c>
      <c r="W558" s="0" t="s">
        <v>569</v>
      </c>
      <c r="X558" s="0" t="s">
        <v>624</v>
      </c>
      <c r="Y558" s="0" t="s">
        <v>627</v>
      </c>
      <c r="Z558" s="0" t="s">
        <v>629</v>
      </c>
      <c r="AA558" s="0" t="s">
        <v>624</v>
      </c>
      <c r="AB558" s="0" t="s">
        <v>132</v>
      </c>
      <c r="AC558" s="254" t="n">
        <f aca="false">'Basis Options'!H563</f>
        <v>620000</v>
      </c>
      <c r="AD558" s="254" t="e">
        <f aca="false">'Basis Options'!W563</f>
        <v>#NAME?</v>
      </c>
      <c r="AE558" s="0" t="n">
        <v>0</v>
      </c>
      <c r="AF558" s="0" t="n">
        <v>0</v>
      </c>
      <c r="AG558" s="0" t="n">
        <v>0</v>
      </c>
      <c r="AH558" s="254" t="e">
        <f aca="false">'Basis Options'!CD563</f>
        <v>#NAME?</v>
      </c>
      <c r="AI558" s="0" t="n">
        <v>226</v>
      </c>
      <c r="AJ558" s="0" t="s">
        <v>630</v>
      </c>
      <c r="AK558" s="0" t="n">
        <v>0</v>
      </c>
      <c r="AL558" s="0" t="n">
        <v>0</v>
      </c>
      <c r="AM558" s="0" t="n">
        <v>0</v>
      </c>
    </row>
    <row r="559" customFormat="false" ht="12.75" hidden="false" customHeight="false" outlineLevel="0" collapsed="false">
      <c r="A559" s="0" t="s">
        <v>621</v>
      </c>
      <c r="B559" s="0" t="str">
        <f aca="false">'Basis Options'!C564</f>
        <v>NS3031.1</v>
      </c>
      <c r="C559" s="0" t="s">
        <v>622</v>
      </c>
      <c r="D559" s="0" t="s">
        <v>623</v>
      </c>
      <c r="E559" s="0" t="s">
        <v>131</v>
      </c>
      <c r="F559" s="0" t="str">
        <f aca="false">'Basis Options'!A564</f>
        <v>CMSMARSERTRA</v>
      </c>
      <c r="G559" s="0" t="s">
        <v>628</v>
      </c>
      <c r="H559" s="0" t="s">
        <v>625</v>
      </c>
      <c r="I559" s="0" t="s">
        <v>626</v>
      </c>
      <c r="J559" s="0" t="s">
        <v>627</v>
      </c>
      <c r="K559" s="475" t="n">
        <f aca="false">'Basis Options'!G564</f>
        <v>36770</v>
      </c>
      <c r="L559" s="254" t="e">
        <f aca="false">'Basis Options'!U564</f>
        <v>#NAME?</v>
      </c>
      <c r="M559" s="475" t="n">
        <f aca="false">'Basis Options'!Q564</f>
        <v>36768</v>
      </c>
      <c r="N559" s="0" t="str">
        <f aca="false">'Basis Options'!F564</f>
        <v>C</v>
      </c>
      <c r="O559" s="0" t="n">
        <f aca="false">'Basis Options'!I564</f>
        <v>0.85</v>
      </c>
      <c r="P559" s="0" t="n">
        <v>0</v>
      </c>
      <c r="Q559" s="0" t="n">
        <v>0</v>
      </c>
      <c r="R559" s="0" t="n">
        <v>0</v>
      </c>
      <c r="S559" s="0" t="n">
        <v>0</v>
      </c>
      <c r="T559" s="0" t="s">
        <v>624</v>
      </c>
      <c r="U559" s="0" t="str">
        <f aca="false">IF('Basis Options'!D564="NGI/CHI. GATE","""NGI/CHI. GATE""",TRIM('Basis Options'!D564))</f>
        <v>NGI-SOCAL</v>
      </c>
      <c r="V559" s="0" t="s">
        <v>624</v>
      </c>
      <c r="W559" s="0" t="s">
        <v>569</v>
      </c>
      <c r="X559" s="0" t="s">
        <v>624</v>
      </c>
      <c r="Y559" s="0" t="s">
        <v>627</v>
      </c>
      <c r="Z559" s="0" t="s">
        <v>629</v>
      </c>
      <c r="AA559" s="0" t="s">
        <v>624</v>
      </c>
      <c r="AB559" s="0" t="s">
        <v>132</v>
      </c>
      <c r="AC559" s="254" t="n">
        <f aca="false">'Basis Options'!H564</f>
        <v>600000</v>
      </c>
      <c r="AD559" s="254" t="e">
        <f aca="false">'Basis Options'!W564</f>
        <v>#NAME?</v>
      </c>
      <c r="AE559" s="0" t="n">
        <v>0</v>
      </c>
      <c r="AF559" s="0" t="n">
        <v>0</v>
      </c>
      <c r="AG559" s="0" t="n">
        <v>0</v>
      </c>
      <c r="AH559" s="254" t="e">
        <f aca="false">'Basis Options'!CD564</f>
        <v>#NAME?</v>
      </c>
      <c r="AI559" s="0" t="n">
        <v>226</v>
      </c>
      <c r="AJ559" s="0" t="s">
        <v>630</v>
      </c>
      <c r="AK559" s="0" t="n">
        <v>0</v>
      </c>
      <c r="AL559" s="0" t="n">
        <v>0</v>
      </c>
      <c r="AM559" s="0" t="n">
        <v>0</v>
      </c>
    </row>
    <row r="560" customFormat="false" ht="12.75" hidden="false" customHeight="false" outlineLevel="0" collapsed="false">
      <c r="A560" s="0" t="s">
        <v>621</v>
      </c>
      <c r="B560" s="0" t="str">
        <f aca="false">'Basis Options'!C565</f>
        <v>NS3031.2</v>
      </c>
      <c r="C560" s="0" t="s">
        <v>622</v>
      </c>
      <c r="D560" s="0" t="s">
        <v>623</v>
      </c>
      <c r="E560" s="0" t="s">
        <v>131</v>
      </c>
      <c r="F560" s="0" t="str">
        <f aca="false">'Basis Options'!A565</f>
        <v>CMSMARSERTRA</v>
      </c>
      <c r="G560" s="0" t="s">
        <v>628</v>
      </c>
      <c r="H560" s="0" t="s">
        <v>625</v>
      </c>
      <c r="I560" s="0" t="s">
        <v>626</v>
      </c>
      <c r="J560" s="0" t="s">
        <v>627</v>
      </c>
      <c r="K560" s="475" t="n">
        <f aca="false">'Basis Options'!G565</f>
        <v>36800</v>
      </c>
      <c r="L560" s="254" t="e">
        <f aca="false">'Basis Options'!U565</f>
        <v>#NAME?</v>
      </c>
      <c r="M560" s="475" t="n">
        <f aca="false">'Basis Options'!Q565</f>
        <v>36797</v>
      </c>
      <c r="N560" s="0" t="str">
        <f aca="false">'Basis Options'!F565</f>
        <v>P</v>
      </c>
      <c r="O560" s="0" t="n">
        <f aca="false">'Basis Options'!I565</f>
        <v>0.5</v>
      </c>
      <c r="P560" s="0" t="n">
        <v>0</v>
      </c>
      <c r="Q560" s="0" t="n">
        <v>0</v>
      </c>
      <c r="R560" s="0" t="n">
        <v>0</v>
      </c>
      <c r="S560" s="0" t="n">
        <v>0</v>
      </c>
      <c r="T560" s="0" t="s">
        <v>624</v>
      </c>
      <c r="U560" s="0" t="str">
        <f aca="false">IF('Basis Options'!D565="NGI/CHI. GATE","""NGI/CHI. GATE""",TRIM('Basis Options'!D565))</f>
        <v>NGI-SOCAL</v>
      </c>
      <c r="V560" s="0" t="s">
        <v>624</v>
      </c>
      <c r="W560" s="0" t="s">
        <v>569</v>
      </c>
      <c r="X560" s="0" t="s">
        <v>624</v>
      </c>
      <c r="Y560" s="0" t="s">
        <v>627</v>
      </c>
      <c r="Z560" s="0" t="s">
        <v>629</v>
      </c>
      <c r="AA560" s="0" t="s">
        <v>624</v>
      </c>
      <c r="AB560" s="0" t="s">
        <v>132</v>
      </c>
      <c r="AC560" s="254" t="n">
        <f aca="false">'Basis Options'!H565</f>
        <v>-620000</v>
      </c>
      <c r="AD560" s="254" t="e">
        <f aca="false">'Basis Options'!W565</f>
        <v>#NAME?</v>
      </c>
      <c r="AE560" s="0" t="n">
        <v>0</v>
      </c>
      <c r="AF560" s="0" t="n">
        <v>0</v>
      </c>
      <c r="AG560" s="0" t="n">
        <v>0</v>
      </c>
      <c r="AH560" s="254" t="e">
        <f aca="false">'Basis Options'!CD565</f>
        <v>#NAME?</v>
      </c>
      <c r="AI560" s="0" t="n">
        <v>226</v>
      </c>
      <c r="AJ560" s="0" t="s">
        <v>630</v>
      </c>
      <c r="AK560" s="0" t="n">
        <v>0</v>
      </c>
      <c r="AL560" s="0" t="n">
        <v>0</v>
      </c>
      <c r="AM560" s="0" t="n">
        <v>0</v>
      </c>
    </row>
    <row r="561" customFormat="false" ht="12.75" hidden="false" customHeight="false" outlineLevel="0" collapsed="false">
      <c r="A561" s="0" t="s">
        <v>621</v>
      </c>
      <c r="B561" s="0" t="str">
        <f aca="false">'Basis Options'!C566</f>
        <v>NS3031.2</v>
      </c>
      <c r="C561" s="0" t="s">
        <v>622</v>
      </c>
      <c r="D561" s="0" t="s">
        <v>623</v>
      </c>
      <c r="E561" s="0" t="s">
        <v>131</v>
      </c>
      <c r="F561" s="0" t="str">
        <f aca="false">'Basis Options'!A566</f>
        <v>CMSMARSERTRA</v>
      </c>
      <c r="G561" s="0" t="s">
        <v>628</v>
      </c>
      <c r="H561" s="0" t="s">
        <v>625</v>
      </c>
      <c r="I561" s="0" t="s">
        <v>626</v>
      </c>
      <c r="J561" s="0" t="s">
        <v>627</v>
      </c>
      <c r="K561" s="475" t="n">
        <f aca="false">'Basis Options'!G566</f>
        <v>36770</v>
      </c>
      <c r="L561" s="254" t="e">
        <f aca="false">'Basis Options'!U566</f>
        <v>#NAME?</v>
      </c>
      <c r="M561" s="475" t="n">
        <f aca="false">'Basis Options'!Q566</f>
        <v>36768</v>
      </c>
      <c r="N561" s="0" t="str">
        <f aca="false">'Basis Options'!F566</f>
        <v>P</v>
      </c>
      <c r="O561" s="0" t="n">
        <f aca="false">'Basis Options'!I566</f>
        <v>0.5</v>
      </c>
      <c r="P561" s="0" t="n">
        <v>0</v>
      </c>
      <c r="Q561" s="0" t="n">
        <v>0</v>
      </c>
      <c r="R561" s="0" t="n">
        <v>0</v>
      </c>
      <c r="S561" s="0" t="n">
        <v>0</v>
      </c>
      <c r="T561" s="0" t="s">
        <v>624</v>
      </c>
      <c r="U561" s="0" t="str">
        <f aca="false">IF('Basis Options'!D566="NGI/CHI. GATE","""NGI/CHI. GATE""",TRIM('Basis Options'!D566))</f>
        <v>NGI-SOCAL</v>
      </c>
      <c r="V561" s="0" t="s">
        <v>624</v>
      </c>
      <c r="W561" s="0" t="s">
        <v>569</v>
      </c>
      <c r="X561" s="0" t="s">
        <v>624</v>
      </c>
      <c r="Y561" s="0" t="s">
        <v>627</v>
      </c>
      <c r="Z561" s="0" t="s">
        <v>629</v>
      </c>
      <c r="AA561" s="0" t="s">
        <v>624</v>
      </c>
      <c r="AB561" s="0" t="s">
        <v>132</v>
      </c>
      <c r="AC561" s="254" t="n">
        <f aca="false">'Basis Options'!H566</f>
        <v>-600000</v>
      </c>
      <c r="AD561" s="254" t="e">
        <f aca="false">'Basis Options'!W566</f>
        <v>#NAME?</v>
      </c>
      <c r="AE561" s="0" t="n">
        <v>0</v>
      </c>
      <c r="AF561" s="0" t="n">
        <v>0</v>
      </c>
      <c r="AG561" s="0" t="n">
        <v>0</v>
      </c>
      <c r="AH561" s="254" t="e">
        <f aca="false">'Basis Options'!CD566</f>
        <v>#NAME?</v>
      </c>
      <c r="AI561" s="0" t="n">
        <v>226</v>
      </c>
      <c r="AJ561" s="0" t="s">
        <v>630</v>
      </c>
      <c r="AK561" s="0" t="n">
        <v>0</v>
      </c>
      <c r="AL561" s="0" t="n">
        <v>0</v>
      </c>
      <c r="AM561" s="0" t="n">
        <v>0</v>
      </c>
    </row>
    <row r="562" customFormat="false" ht="12.75" hidden="false" customHeight="false" outlineLevel="0" collapsed="false">
      <c r="A562" s="0" t="s">
        <v>621</v>
      </c>
      <c r="B562" s="0" t="str">
        <f aca="false">'Basis Options'!C567</f>
        <v>NS5125</v>
      </c>
      <c r="C562" s="0" t="s">
        <v>622</v>
      </c>
      <c r="D562" s="0" t="s">
        <v>623</v>
      </c>
      <c r="E562" s="0" t="s">
        <v>131</v>
      </c>
      <c r="F562" s="0" t="str">
        <f aca="false">'Basis Options'!A567</f>
        <v>CMSMARSERTRA</v>
      </c>
      <c r="G562" s="0" t="s">
        <v>628</v>
      </c>
      <c r="H562" s="0" t="s">
        <v>625</v>
      </c>
      <c r="I562" s="0" t="s">
        <v>626</v>
      </c>
      <c r="J562" s="0" t="s">
        <v>627</v>
      </c>
      <c r="K562" s="475" t="n">
        <f aca="false">'Basis Options'!G567</f>
        <v>36800</v>
      </c>
      <c r="L562" s="254" t="e">
        <f aca="false">'Basis Options'!U567</f>
        <v>#NAME?</v>
      </c>
      <c r="M562" s="475" t="n">
        <f aca="false">'Basis Options'!Q567</f>
        <v>36797</v>
      </c>
      <c r="N562" s="0" t="str">
        <f aca="false">'Basis Options'!F567</f>
        <v>P</v>
      </c>
      <c r="O562" s="0" t="n">
        <f aca="false">'Basis Options'!I567</f>
        <v>0.5</v>
      </c>
      <c r="P562" s="0" t="n">
        <v>0</v>
      </c>
      <c r="Q562" s="0" t="n">
        <v>0</v>
      </c>
      <c r="R562" s="0" t="n">
        <v>0</v>
      </c>
      <c r="S562" s="0" t="n">
        <v>0</v>
      </c>
      <c r="T562" s="0" t="s">
        <v>624</v>
      </c>
      <c r="U562" s="0" t="str">
        <f aca="false">IF('Basis Options'!D567="NGI/CHI. GATE","""NGI/CHI. GATE""",TRIM('Basis Options'!D567))</f>
        <v>NGI-SOCAL</v>
      </c>
      <c r="V562" s="0" t="s">
        <v>624</v>
      </c>
      <c r="W562" s="0" t="s">
        <v>569</v>
      </c>
      <c r="X562" s="0" t="s">
        <v>624</v>
      </c>
      <c r="Y562" s="0" t="s">
        <v>627</v>
      </c>
      <c r="Z562" s="0" t="s">
        <v>629</v>
      </c>
      <c r="AA562" s="0" t="s">
        <v>624</v>
      </c>
      <c r="AB562" s="0" t="s">
        <v>132</v>
      </c>
      <c r="AC562" s="254" t="n">
        <f aca="false">'Basis Options'!H567</f>
        <v>-155000</v>
      </c>
      <c r="AD562" s="254" t="e">
        <f aca="false">'Basis Options'!W567</f>
        <v>#NAME?</v>
      </c>
      <c r="AE562" s="0" t="n">
        <v>0</v>
      </c>
      <c r="AF562" s="0" t="n">
        <v>0</v>
      </c>
      <c r="AG562" s="0" t="n">
        <v>0</v>
      </c>
      <c r="AH562" s="254" t="e">
        <f aca="false">'Basis Options'!CD567</f>
        <v>#NAME?</v>
      </c>
      <c r="AI562" s="0" t="n">
        <v>226</v>
      </c>
      <c r="AJ562" s="0" t="s">
        <v>630</v>
      </c>
      <c r="AK562" s="0" t="n">
        <v>0</v>
      </c>
      <c r="AL562" s="0" t="n">
        <v>0</v>
      </c>
      <c r="AM562" s="0" t="n">
        <v>0</v>
      </c>
    </row>
    <row r="563" customFormat="false" ht="12.75" hidden="false" customHeight="false" outlineLevel="0" collapsed="false">
      <c r="A563" s="0" t="s">
        <v>621</v>
      </c>
      <c r="B563" s="0" t="str">
        <f aca="false">'Basis Options'!C568</f>
        <v>NS5125</v>
      </c>
      <c r="C563" s="0" t="s">
        <v>622</v>
      </c>
      <c r="D563" s="0" t="s">
        <v>623</v>
      </c>
      <c r="E563" s="0" t="s">
        <v>131</v>
      </c>
      <c r="F563" s="0" t="str">
        <f aca="false">'Basis Options'!A568</f>
        <v>CMSMARSERTRA</v>
      </c>
      <c r="G563" s="0" t="s">
        <v>628</v>
      </c>
      <c r="H563" s="0" t="s">
        <v>625</v>
      </c>
      <c r="I563" s="0" t="s">
        <v>626</v>
      </c>
      <c r="J563" s="0" t="s">
        <v>627</v>
      </c>
      <c r="K563" s="475" t="n">
        <f aca="false">'Basis Options'!G568</f>
        <v>36770</v>
      </c>
      <c r="L563" s="254" t="e">
        <f aca="false">'Basis Options'!U568</f>
        <v>#NAME?</v>
      </c>
      <c r="M563" s="475" t="n">
        <f aca="false">'Basis Options'!Q568</f>
        <v>36768</v>
      </c>
      <c r="N563" s="0" t="str">
        <f aca="false">'Basis Options'!F568</f>
        <v>P</v>
      </c>
      <c r="O563" s="0" t="n">
        <f aca="false">'Basis Options'!I568</f>
        <v>0.5</v>
      </c>
      <c r="P563" s="0" t="n">
        <v>0</v>
      </c>
      <c r="Q563" s="0" t="n">
        <v>0</v>
      </c>
      <c r="R563" s="0" t="n">
        <v>0</v>
      </c>
      <c r="S563" s="0" t="n">
        <v>0</v>
      </c>
      <c r="T563" s="0" t="s">
        <v>624</v>
      </c>
      <c r="U563" s="0" t="str">
        <f aca="false">IF('Basis Options'!D568="NGI/CHI. GATE","""NGI/CHI. GATE""",TRIM('Basis Options'!D568))</f>
        <v>NGI-SOCAL</v>
      </c>
      <c r="V563" s="0" t="s">
        <v>624</v>
      </c>
      <c r="W563" s="0" t="s">
        <v>569</v>
      </c>
      <c r="X563" s="0" t="s">
        <v>624</v>
      </c>
      <c r="Y563" s="0" t="s">
        <v>627</v>
      </c>
      <c r="Z563" s="0" t="s">
        <v>629</v>
      </c>
      <c r="AA563" s="0" t="s">
        <v>624</v>
      </c>
      <c r="AB563" s="0" t="s">
        <v>132</v>
      </c>
      <c r="AC563" s="254" t="n">
        <f aca="false">'Basis Options'!H568</f>
        <v>-150000</v>
      </c>
      <c r="AD563" s="254" t="e">
        <f aca="false">'Basis Options'!W568</f>
        <v>#NAME?</v>
      </c>
      <c r="AE563" s="0" t="n">
        <v>0</v>
      </c>
      <c r="AF563" s="0" t="n">
        <v>0</v>
      </c>
      <c r="AG563" s="0" t="n">
        <v>0</v>
      </c>
      <c r="AH563" s="254" t="e">
        <f aca="false">'Basis Options'!CD568</f>
        <v>#NAME?</v>
      </c>
      <c r="AI563" s="0" t="n">
        <v>226</v>
      </c>
      <c r="AJ563" s="0" t="s">
        <v>630</v>
      </c>
      <c r="AK563" s="0" t="n">
        <v>0</v>
      </c>
      <c r="AL563" s="0" t="n">
        <v>0</v>
      </c>
      <c r="AM563" s="0" t="n">
        <v>0</v>
      </c>
    </row>
    <row r="564" customFormat="false" ht="12.75" hidden="false" customHeight="false" outlineLevel="0" collapsed="false">
      <c r="A564" s="0" t="s">
        <v>621</v>
      </c>
      <c r="B564" s="0" t="str">
        <f aca="false">'Basis Options'!C569</f>
        <v>NS5170</v>
      </c>
      <c r="C564" s="0" t="s">
        <v>622</v>
      </c>
      <c r="D564" s="0" t="s">
        <v>623</v>
      </c>
      <c r="E564" s="0" t="s">
        <v>131</v>
      </c>
      <c r="F564" s="0" t="str">
        <f aca="false">'Basis Options'!A569</f>
        <v>DYNEGYMARAND</v>
      </c>
      <c r="G564" s="0" t="s">
        <v>628</v>
      </c>
      <c r="H564" s="0" t="s">
        <v>625</v>
      </c>
      <c r="I564" s="0" t="s">
        <v>626</v>
      </c>
      <c r="J564" s="0" t="s">
        <v>627</v>
      </c>
      <c r="K564" s="475" t="n">
        <f aca="false">'Basis Options'!G569</f>
        <v>36800</v>
      </c>
      <c r="L564" s="254" t="e">
        <f aca="false">'Basis Options'!U569</f>
        <v>#NAME?</v>
      </c>
      <c r="M564" s="475" t="n">
        <f aca="false">'Basis Options'!Q569</f>
        <v>36797</v>
      </c>
      <c r="N564" s="0" t="str">
        <f aca="false">'Basis Options'!F569</f>
        <v>P</v>
      </c>
      <c r="O564" s="0" t="n">
        <f aca="false">'Basis Options'!I569</f>
        <v>0.5</v>
      </c>
      <c r="P564" s="0" t="n">
        <v>0</v>
      </c>
      <c r="Q564" s="0" t="n">
        <v>0</v>
      </c>
      <c r="R564" s="0" t="n">
        <v>0</v>
      </c>
      <c r="S564" s="0" t="n">
        <v>0</v>
      </c>
      <c r="T564" s="0" t="s">
        <v>624</v>
      </c>
      <c r="U564" s="0" t="str">
        <f aca="false">IF('Basis Options'!D569="NGI/CHI. GATE","""NGI/CHI. GATE""",TRIM('Basis Options'!D569))</f>
        <v>NGI-SOCAL</v>
      </c>
      <c r="V564" s="0" t="s">
        <v>624</v>
      </c>
      <c r="W564" s="0" t="s">
        <v>569</v>
      </c>
      <c r="X564" s="0" t="s">
        <v>624</v>
      </c>
      <c r="Y564" s="0" t="s">
        <v>627</v>
      </c>
      <c r="Z564" s="0" t="s">
        <v>629</v>
      </c>
      <c r="AA564" s="0" t="s">
        <v>624</v>
      </c>
      <c r="AB564" s="0" t="s">
        <v>132</v>
      </c>
      <c r="AC564" s="254" t="n">
        <f aca="false">'Basis Options'!H569</f>
        <v>155000</v>
      </c>
      <c r="AD564" s="254" t="e">
        <f aca="false">'Basis Options'!W569</f>
        <v>#NAME?</v>
      </c>
      <c r="AE564" s="0" t="n">
        <v>0</v>
      </c>
      <c r="AF564" s="0" t="n">
        <v>0</v>
      </c>
      <c r="AG564" s="0" t="n">
        <v>0</v>
      </c>
      <c r="AH564" s="254" t="e">
        <f aca="false">'Basis Options'!CD569</f>
        <v>#NAME?</v>
      </c>
      <c r="AI564" s="0" t="n">
        <v>226</v>
      </c>
      <c r="AJ564" s="0" t="s">
        <v>630</v>
      </c>
      <c r="AK564" s="0" t="n">
        <v>0</v>
      </c>
      <c r="AL564" s="0" t="n">
        <v>0</v>
      </c>
      <c r="AM564" s="0" t="n">
        <v>0</v>
      </c>
    </row>
    <row r="565" customFormat="false" ht="12.75" hidden="false" customHeight="false" outlineLevel="0" collapsed="false">
      <c r="A565" s="0" t="s">
        <v>621</v>
      </c>
      <c r="B565" s="0" t="str">
        <f aca="false">'Basis Options'!C570</f>
        <v>NS5170</v>
      </c>
      <c r="C565" s="0" t="s">
        <v>622</v>
      </c>
      <c r="D565" s="0" t="s">
        <v>623</v>
      </c>
      <c r="E565" s="0" t="s">
        <v>131</v>
      </c>
      <c r="F565" s="0" t="str">
        <f aca="false">'Basis Options'!A570</f>
        <v>DYNEGYMARAND</v>
      </c>
      <c r="G565" s="0" t="s">
        <v>628</v>
      </c>
      <c r="H565" s="0" t="s">
        <v>625</v>
      </c>
      <c r="I565" s="0" t="s">
        <v>626</v>
      </c>
      <c r="J565" s="0" t="s">
        <v>627</v>
      </c>
      <c r="K565" s="475" t="n">
        <f aca="false">'Basis Options'!G570</f>
        <v>36770</v>
      </c>
      <c r="L565" s="254" t="e">
        <f aca="false">'Basis Options'!U570</f>
        <v>#NAME?</v>
      </c>
      <c r="M565" s="475" t="n">
        <f aca="false">'Basis Options'!Q570</f>
        <v>36768</v>
      </c>
      <c r="N565" s="0" t="str">
        <f aca="false">'Basis Options'!F570</f>
        <v>P</v>
      </c>
      <c r="O565" s="0" t="n">
        <f aca="false">'Basis Options'!I570</f>
        <v>0.5</v>
      </c>
      <c r="P565" s="0" t="n">
        <v>0</v>
      </c>
      <c r="Q565" s="0" t="n">
        <v>0</v>
      </c>
      <c r="R565" s="0" t="n">
        <v>0</v>
      </c>
      <c r="S565" s="0" t="n">
        <v>0</v>
      </c>
      <c r="T565" s="0" t="s">
        <v>624</v>
      </c>
      <c r="U565" s="0" t="str">
        <f aca="false">IF('Basis Options'!D570="NGI/CHI. GATE","""NGI/CHI. GATE""",TRIM('Basis Options'!D570))</f>
        <v>NGI-SOCAL</v>
      </c>
      <c r="V565" s="0" t="s">
        <v>624</v>
      </c>
      <c r="W565" s="0" t="s">
        <v>569</v>
      </c>
      <c r="X565" s="0" t="s">
        <v>624</v>
      </c>
      <c r="Y565" s="0" t="s">
        <v>627</v>
      </c>
      <c r="Z565" s="0" t="s">
        <v>629</v>
      </c>
      <c r="AA565" s="0" t="s">
        <v>624</v>
      </c>
      <c r="AB565" s="0" t="s">
        <v>132</v>
      </c>
      <c r="AC565" s="254" t="n">
        <f aca="false">'Basis Options'!H570</f>
        <v>150000</v>
      </c>
      <c r="AD565" s="254" t="e">
        <f aca="false">'Basis Options'!W570</f>
        <v>#NAME?</v>
      </c>
      <c r="AE565" s="0" t="n">
        <v>0</v>
      </c>
      <c r="AF565" s="0" t="n">
        <v>0</v>
      </c>
      <c r="AG565" s="0" t="n">
        <v>0</v>
      </c>
      <c r="AH565" s="254" t="e">
        <f aca="false">'Basis Options'!CD570</f>
        <v>#NAME?</v>
      </c>
      <c r="AI565" s="0" t="n">
        <v>226</v>
      </c>
      <c r="AJ565" s="0" t="s">
        <v>630</v>
      </c>
      <c r="AK565" s="0" t="n">
        <v>0</v>
      </c>
      <c r="AL565" s="0" t="n">
        <v>0</v>
      </c>
      <c r="AM565" s="0" t="n">
        <v>0</v>
      </c>
    </row>
    <row r="566" customFormat="false" ht="12.75" hidden="false" customHeight="false" outlineLevel="0" collapsed="false">
      <c r="A566" s="0" t="s">
        <v>621</v>
      </c>
      <c r="B566" s="0" t="str">
        <f aca="false">'Basis Options'!C571</f>
        <v>NS5173</v>
      </c>
      <c r="C566" s="0" t="s">
        <v>622</v>
      </c>
      <c r="D566" s="0" t="s">
        <v>623</v>
      </c>
      <c r="E566" s="0" t="s">
        <v>131</v>
      </c>
      <c r="F566" s="0" t="str">
        <f aca="false">'Basis Options'!A571</f>
        <v>ELPASMER</v>
      </c>
      <c r="G566" s="0" t="s">
        <v>628</v>
      </c>
      <c r="H566" s="0" t="s">
        <v>625</v>
      </c>
      <c r="I566" s="0" t="s">
        <v>626</v>
      </c>
      <c r="J566" s="0" t="s">
        <v>627</v>
      </c>
      <c r="K566" s="475" t="n">
        <f aca="false">'Basis Options'!G571</f>
        <v>36951</v>
      </c>
      <c r="L566" s="254" t="e">
        <f aca="false">'Basis Options'!U571</f>
        <v>#NAME?</v>
      </c>
      <c r="M566" s="475" t="n">
        <f aca="false">'Basis Options'!Q571</f>
        <v>36949</v>
      </c>
      <c r="N566" s="0" t="str">
        <f aca="false">'Basis Options'!F571</f>
        <v>C</v>
      </c>
      <c r="O566" s="0" t="n">
        <f aca="false">'Basis Options'!I571</f>
        <v>0.3</v>
      </c>
      <c r="P566" s="0" t="n">
        <v>0</v>
      </c>
      <c r="Q566" s="0" t="n">
        <v>0</v>
      </c>
      <c r="R566" s="0" t="n">
        <v>0</v>
      </c>
      <c r="S566" s="0" t="n">
        <v>0</v>
      </c>
      <c r="T566" s="0" t="s">
        <v>624</v>
      </c>
      <c r="U566" s="0" t="str">
        <f aca="false">IF('Basis Options'!D571="NGI/CHI. GATE","""NGI/CHI. GATE""",TRIM('Basis Options'!D571))</f>
        <v>NGI-SOCAL</v>
      </c>
      <c r="V566" s="0" t="s">
        <v>624</v>
      </c>
      <c r="W566" s="0" t="s">
        <v>569</v>
      </c>
      <c r="X566" s="0" t="s">
        <v>624</v>
      </c>
      <c r="Y566" s="0" t="s">
        <v>627</v>
      </c>
      <c r="Z566" s="0" t="s">
        <v>629</v>
      </c>
      <c r="AA566" s="0" t="s">
        <v>624</v>
      </c>
      <c r="AB566" s="0" t="s">
        <v>132</v>
      </c>
      <c r="AC566" s="254" t="n">
        <f aca="false">'Basis Options'!H571</f>
        <v>155000</v>
      </c>
      <c r="AD566" s="254" t="e">
        <f aca="false">'Basis Options'!W571</f>
        <v>#NAME?</v>
      </c>
      <c r="AE566" s="0" t="n">
        <v>0</v>
      </c>
      <c r="AF566" s="0" t="n">
        <v>0</v>
      </c>
      <c r="AG566" s="0" t="n">
        <v>0</v>
      </c>
      <c r="AH566" s="254" t="e">
        <f aca="false">'Basis Options'!CD571</f>
        <v>#NAME?</v>
      </c>
      <c r="AI566" s="0" t="n">
        <v>226</v>
      </c>
      <c r="AJ566" s="0" t="s">
        <v>630</v>
      </c>
      <c r="AK566" s="0" t="n">
        <v>0</v>
      </c>
      <c r="AL566" s="0" t="n">
        <v>0</v>
      </c>
      <c r="AM566" s="0" t="n">
        <v>0</v>
      </c>
    </row>
    <row r="567" customFormat="false" ht="12.75" hidden="false" customHeight="false" outlineLevel="0" collapsed="false">
      <c r="A567" s="0" t="s">
        <v>621</v>
      </c>
      <c r="B567" s="0" t="str">
        <f aca="false">'Basis Options'!C572</f>
        <v>NS5173</v>
      </c>
      <c r="C567" s="0" t="s">
        <v>622</v>
      </c>
      <c r="D567" s="0" t="s">
        <v>623</v>
      </c>
      <c r="E567" s="0" t="s">
        <v>131</v>
      </c>
      <c r="F567" s="0" t="str">
        <f aca="false">'Basis Options'!A572</f>
        <v>ELPASMER</v>
      </c>
      <c r="G567" s="0" t="s">
        <v>628</v>
      </c>
      <c r="H567" s="0" t="s">
        <v>625</v>
      </c>
      <c r="I567" s="0" t="s">
        <v>626</v>
      </c>
      <c r="J567" s="0" t="s">
        <v>627</v>
      </c>
      <c r="K567" s="475" t="n">
        <f aca="false">'Basis Options'!G572</f>
        <v>36923</v>
      </c>
      <c r="L567" s="254" t="e">
        <f aca="false">'Basis Options'!U572</f>
        <v>#NAME?</v>
      </c>
      <c r="M567" s="475" t="n">
        <f aca="false">'Basis Options'!Q572</f>
        <v>36921</v>
      </c>
      <c r="N567" s="0" t="str">
        <f aca="false">'Basis Options'!F572</f>
        <v>C</v>
      </c>
      <c r="O567" s="0" t="n">
        <f aca="false">'Basis Options'!I572</f>
        <v>0.3</v>
      </c>
      <c r="P567" s="0" t="n">
        <v>0</v>
      </c>
      <c r="Q567" s="0" t="n">
        <v>0</v>
      </c>
      <c r="R567" s="0" t="n">
        <v>0</v>
      </c>
      <c r="S567" s="0" t="n">
        <v>0</v>
      </c>
      <c r="T567" s="0" t="s">
        <v>624</v>
      </c>
      <c r="U567" s="0" t="str">
        <f aca="false">IF('Basis Options'!D572="NGI/CHI. GATE","""NGI/CHI. GATE""",TRIM('Basis Options'!D572))</f>
        <v>NGI-SOCAL</v>
      </c>
      <c r="V567" s="0" t="s">
        <v>624</v>
      </c>
      <c r="W567" s="0" t="s">
        <v>569</v>
      </c>
      <c r="X567" s="0" t="s">
        <v>624</v>
      </c>
      <c r="Y567" s="0" t="s">
        <v>627</v>
      </c>
      <c r="Z567" s="0" t="s">
        <v>629</v>
      </c>
      <c r="AA567" s="0" t="s">
        <v>624</v>
      </c>
      <c r="AB567" s="0" t="s">
        <v>132</v>
      </c>
      <c r="AC567" s="254" t="n">
        <f aca="false">'Basis Options'!H572</f>
        <v>140000</v>
      </c>
      <c r="AD567" s="254" t="e">
        <f aca="false">'Basis Options'!W572</f>
        <v>#NAME?</v>
      </c>
      <c r="AE567" s="0" t="n">
        <v>0</v>
      </c>
      <c r="AF567" s="0" t="n">
        <v>0</v>
      </c>
      <c r="AG567" s="0" t="n">
        <v>0</v>
      </c>
      <c r="AH567" s="254" t="e">
        <f aca="false">'Basis Options'!CD572</f>
        <v>#NAME?</v>
      </c>
      <c r="AI567" s="0" t="n">
        <v>226</v>
      </c>
      <c r="AJ567" s="0" t="s">
        <v>630</v>
      </c>
      <c r="AK567" s="0" t="n">
        <v>0</v>
      </c>
      <c r="AL567" s="0" t="n">
        <v>0</v>
      </c>
      <c r="AM567" s="0" t="n">
        <v>0</v>
      </c>
    </row>
    <row r="568" customFormat="false" ht="12.75" hidden="false" customHeight="false" outlineLevel="0" collapsed="false">
      <c r="A568" s="0" t="s">
        <v>621</v>
      </c>
      <c r="B568" s="0" t="str">
        <f aca="false">'Basis Options'!C573</f>
        <v>NS5173</v>
      </c>
      <c r="C568" s="0" t="s">
        <v>622</v>
      </c>
      <c r="D568" s="0" t="s">
        <v>623</v>
      </c>
      <c r="E568" s="0" t="s">
        <v>131</v>
      </c>
      <c r="F568" s="0" t="str">
        <f aca="false">'Basis Options'!A573</f>
        <v>ELPASMER</v>
      </c>
      <c r="G568" s="0" t="s">
        <v>628</v>
      </c>
      <c r="H568" s="0" t="s">
        <v>625</v>
      </c>
      <c r="I568" s="0" t="s">
        <v>626</v>
      </c>
      <c r="J568" s="0" t="s">
        <v>627</v>
      </c>
      <c r="K568" s="475" t="n">
        <f aca="false">'Basis Options'!G573</f>
        <v>36892</v>
      </c>
      <c r="L568" s="254" t="e">
        <f aca="false">'Basis Options'!U573</f>
        <v>#NAME?</v>
      </c>
      <c r="M568" s="475" t="n">
        <f aca="false">'Basis Options'!Q573</f>
        <v>36888</v>
      </c>
      <c r="N568" s="0" t="str">
        <f aca="false">'Basis Options'!F573</f>
        <v>C</v>
      </c>
      <c r="O568" s="0" t="n">
        <f aca="false">'Basis Options'!I573</f>
        <v>0.3</v>
      </c>
      <c r="P568" s="0" t="n">
        <v>0</v>
      </c>
      <c r="Q568" s="0" t="n">
        <v>0</v>
      </c>
      <c r="R568" s="0" t="n">
        <v>0</v>
      </c>
      <c r="S568" s="0" t="n">
        <v>0</v>
      </c>
      <c r="T568" s="0" t="s">
        <v>624</v>
      </c>
      <c r="U568" s="0" t="str">
        <f aca="false">IF('Basis Options'!D573="NGI/CHI. GATE","""NGI/CHI. GATE""",TRIM('Basis Options'!D573))</f>
        <v>NGI-SOCAL</v>
      </c>
      <c r="V568" s="0" t="s">
        <v>624</v>
      </c>
      <c r="W568" s="0" t="s">
        <v>569</v>
      </c>
      <c r="X568" s="0" t="s">
        <v>624</v>
      </c>
      <c r="Y568" s="0" t="s">
        <v>627</v>
      </c>
      <c r="Z568" s="0" t="s">
        <v>629</v>
      </c>
      <c r="AA568" s="0" t="s">
        <v>624</v>
      </c>
      <c r="AB568" s="0" t="s">
        <v>132</v>
      </c>
      <c r="AC568" s="254" t="n">
        <f aca="false">'Basis Options'!H573</f>
        <v>155000</v>
      </c>
      <c r="AD568" s="254" t="e">
        <f aca="false">'Basis Options'!W573</f>
        <v>#NAME?</v>
      </c>
      <c r="AE568" s="0" t="n">
        <v>0</v>
      </c>
      <c r="AF568" s="0" t="n">
        <v>0</v>
      </c>
      <c r="AG568" s="0" t="n">
        <v>0</v>
      </c>
      <c r="AH568" s="254" t="e">
        <f aca="false">'Basis Options'!CD573</f>
        <v>#NAME?</v>
      </c>
      <c r="AI568" s="0" t="n">
        <v>226</v>
      </c>
      <c r="AJ568" s="0" t="s">
        <v>630</v>
      </c>
      <c r="AK568" s="0" t="n">
        <v>0</v>
      </c>
      <c r="AL568" s="0" t="n">
        <v>0</v>
      </c>
      <c r="AM568" s="0" t="n">
        <v>0</v>
      </c>
    </row>
    <row r="569" customFormat="false" ht="12.75" hidden="false" customHeight="false" outlineLevel="0" collapsed="false">
      <c r="A569" s="0" t="s">
        <v>621</v>
      </c>
      <c r="B569" s="0" t="str">
        <f aca="false">'Basis Options'!C574</f>
        <v>NS5173</v>
      </c>
      <c r="C569" s="0" t="s">
        <v>622</v>
      </c>
      <c r="D569" s="0" t="s">
        <v>623</v>
      </c>
      <c r="E569" s="0" t="s">
        <v>131</v>
      </c>
      <c r="F569" s="0" t="str">
        <f aca="false">'Basis Options'!A574</f>
        <v>ELPASMER</v>
      </c>
      <c r="G569" s="0" t="s">
        <v>628</v>
      </c>
      <c r="H569" s="0" t="s">
        <v>625</v>
      </c>
      <c r="I569" s="0" t="s">
        <v>626</v>
      </c>
      <c r="J569" s="0" t="s">
        <v>627</v>
      </c>
      <c r="K569" s="475" t="n">
        <f aca="false">'Basis Options'!G574</f>
        <v>36861</v>
      </c>
      <c r="L569" s="254" t="e">
        <f aca="false">'Basis Options'!U574</f>
        <v>#NAME?</v>
      </c>
      <c r="M569" s="475" t="n">
        <f aca="false">'Basis Options'!Q574</f>
        <v>36859</v>
      </c>
      <c r="N569" s="0" t="str">
        <f aca="false">'Basis Options'!F574</f>
        <v>C</v>
      </c>
      <c r="O569" s="0" t="n">
        <f aca="false">'Basis Options'!I574</f>
        <v>0.3</v>
      </c>
      <c r="P569" s="0" t="n">
        <v>0</v>
      </c>
      <c r="Q569" s="0" t="n">
        <v>0</v>
      </c>
      <c r="R569" s="0" t="n">
        <v>0</v>
      </c>
      <c r="S569" s="0" t="n">
        <v>0</v>
      </c>
      <c r="T569" s="0" t="s">
        <v>624</v>
      </c>
      <c r="U569" s="0" t="str">
        <f aca="false">IF('Basis Options'!D574="NGI/CHI. GATE","""NGI/CHI. GATE""",TRIM('Basis Options'!D574))</f>
        <v>NGI-SOCAL</v>
      </c>
      <c r="V569" s="0" t="s">
        <v>624</v>
      </c>
      <c r="W569" s="0" t="s">
        <v>569</v>
      </c>
      <c r="X569" s="0" t="s">
        <v>624</v>
      </c>
      <c r="Y569" s="0" t="s">
        <v>627</v>
      </c>
      <c r="Z569" s="0" t="s">
        <v>629</v>
      </c>
      <c r="AA569" s="0" t="s">
        <v>624</v>
      </c>
      <c r="AB569" s="0" t="s">
        <v>132</v>
      </c>
      <c r="AC569" s="254" t="n">
        <f aca="false">'Basis Options'!H574</f>
        <v>155000</v>
      </c>
      <c r="AD569" s="254" t="e">
        <f aca="false">'Basis Options'!W574</f>
        <v>#NAME?</v>
      </c>
      <c r="AE569" s="0" t="n">
        <v>0</v>
      </c>
      <c r="AF569" s="0" t="n">
        <v>0</v>
      </c>
      <c r="AG569" s="0" t="n">
        <v>0</v>
      </c>
      <c r="AH569" s="254" t="e">
        <f aca="false">'Basis Options'!CD574</f>
        <v>#NAME?</v>
      </c>
      <c r="AI569" s="0" t="n">
        <v>226</v>
      </c>
      <c r="AJ569" s="0" t="s">
        <v>630</v>
      </c>
      <c r="AK569" s="0" t="n">
        <v>0</v>
      </c>
      <c r="AL569" s="0" t="n">
        <v>0</v>
      </c>
      <c r="AM569" s="0" t="n">
        <v>0</v>
      </c>
    </row>
    <row r="570" customFormat="false" ht="12.75" hidden="false" customHeight="false" outlineLevel="0" collapsed="false">
      <c r="A570" s="0" t="s">
        <v>621</v>
      </c>
      <c r="B570" s="0" t="str">
        <f aca="false">'Basis Options'!C575</f>
        <v>NS5173</v>
      </c>
      <c r="C570" s="0" t="s">
        <v>622</v>
      </c>
      <c r="D570" s="0" t="s">
        <v>623</v>
      </c>
      <c r="E570" s="0" t="s">
        <v>131</v>
      </c>
      <c r="F570" s="0" t="str">
        <f aca="false">'Basis Options'!A575</f>
        <v>ELPASMER</v>
      </c>
      <c r="G570" s="0" t="s">
        <v>628</v>
      </c>
      <c r="H570" s="0" t="s">
        <v>625</v>
      </c>
      <c r="I570" s="0" t="s">
        <v>626</v>
      </c>
      <c r="J570" s="0" t="s">
        <v>627</v>
      </c>
      <c r="K570" s="475" t="n">
        <f aca="false">'Basis Options'!G575</f>
        <v>36831</v>
      </c>
      <c r="L570" s="254" t="e">
        <f aca="false">'Basis Options'!U575</f>
        <v>#NAME?</v>
      </c>
      <c r="M570" s="475" t="n">
        <f aca="false">'Basis Options'!Q575</f>
        <v>36829</v>
      </c>
      <c r="N570" s="0" t="str">
        <f aca="false">'Basis Options'!F575</f>
        <v>C</v>
      </c>
      <c r="O570" s="0" t="n">
        <f aca="false">'Basis Options'!I575</f>
        <v>0.3</v>
      </c>
      <c r="P570" s="0" t="n">
        <v>0</v>
      </c>
      <c r="Q570" s="0" t="n">
        <v>0</v>
      </c>
      <c r="R570" s="0" t="n">
        <v>0</v>
      </c>
      <c r="S570" s="0" t="n">
        <v>0</v>
      </c>
      <c r="T570" s="0" t="s">
        <v>624</v>
      </c>
      <c r="U570" s="0" t="str">
        <f aca="false">IF('Basis Options'!D575="NGI/CHI. GATE","""NGI/CHI. GATE""",TRIM('Basis Options'!D575))</f>
        <v>NGI-SOCAL</v>
      </c>
      <c r="V570" s="0" t="s">
        <v>624</v>
      </c>
      <c r="W570" s="0" t="s">
        <v>569</v>
      </c>
      <c r="X570" s="0" t="s">
        <v>624</v>
      </c>
      <c r="Y570" s="0" t="s">
        <v>627</v>
      </c>
      <c r="Z570" s="0" t="s">
        <v>629</v>
      </c>
      <c r="AA570" s="0" t="s">
        <v>624</v>
      </c>
      <c r="AB570" s="0" t="s">
        <v>132</v>
      </c>
      <c r="AC570" s="254" t="n">
        <f aca="false">'Basis Options'!H575</f>
        <v>150000</v>
      </c>
      <c r="AD570" s="254" t="e">
        <f aca="false">'Basis Options'!W575</f>
        <v>#NAME?</v>
      </c>
      <c r="AE570" s="0" t="n">
        <v>0</v>
      </c>
      <c r="AF570" s="0" t="n">
        <v>0</v>
      </c>
      <c r="AG570" s="0" t="n">
        <v>0</v>
      </c>
      <c r="AH570" s="254" t="e">
        <f aca="false">'Basis Options'!CD575</f>
        <v>#NAME?</v>
      </c>
      <c r="AI570" s="0" t="n">
        <v>226</v>
      </c>
      <c r="AJ570" s="0" t="s">
        <v>630</v>
      </c>
      <c r="AK570" s="0" t="n">
        <v>0</v>
      </c>
      <c r="AL570" s="0" t="n">
        <v>0</v>
      </c>
      <c r="AM570" s="0" t="n">
        <v>0</v>
      </c>
    </row>
    <row r="571" customFormat="false" ht="12.75" hidden="false" customHeight="false" outlineLevel="0" collapsed="false">
      <c r="A571" s="0" t="s">
        <v>621</v>
      </c>
      <c r="B571" s="0" t="e">
        <f aca="false">#REF!</f>
        <v>#REF!</v>
      </c>
      <c r="C571" s="0" t="s">
        <v>622</v>
      </c>
      <c r="D571" s="0" t="s">
        <v>623</v>
      </c>
      <c r="E571" s="0" t="s">
        <v>131</v>
      </c>
      <c r="F571" s="0" t="e">
        <f aca="false">#REF!</f>
        <v>#REF!</v>
      </c>
      <c r="G571" s="0" t="s">
        <v>628</v>
      </c>
      <c r="H571" s="0" t="s">
        <v>625</v>
      </c>
      <c r="I571" s="0" t="s">
        <v>626</v>
      </c>
      <c r="J571" s="0" t="s">
        <v>627</v>
      </c>
      <c r="K571" s="475" t="e">
        <f aca="false">#REF!</f>
        <v>#REF!</v>
      </c>
      <c r="L571" s="254" t="e">
        <f aca="false">#REF!</f>
        <v>#REF!</v>
      </c>
      <c r="M571" s="475" t="e">
        <f aca="false">#REF!</f>
        <v>#REF!</v>
      </c>
      <c r="N571" s="0" t="e">
        <f aca="false">#REF!</f>
        <v>#REF!</v>
      </c>
      <c r="O571" s="0" t="e">
        <f aca="false">#REF!</f>
        <v>#REF!</v>
      </c>
      <c r="P571" s="0" t="n">
        <v>0</v>
      </c>
      <c r="Q571" s="0" t="n">
        <v>0</v>
      </c>
      <c r="R571" s="0" t="n">
        <v>0</v>
      </c>
      <c r="S571" s="0" t="n">
        <v>0</v>
      </c>
      <c r="T571" s="0" t="s">
        <v>624</v>
      </c>
      <c r="U571" s="0" t="e">
        <f aca="false">IF(#REF!="NGI/CHI. GATE","""NGI/CHI. GATE""",TRIM(#REF!))</f>
        <v>#REF!</v>
      </c>
      <c r="V571" s="0" t="s">
        <v>624</v>
      </c>
      <c r="W571" s="0" t="s">
        <v>569</v>
      </c>
      <c r="X571" s="0" t="s">
        <v>624</v>
      </c>
      <c r="Y571" s="0" t="s">
        <v>627</v>
      </c>
      <c r="Z571" s="0" t="s">
        <v>629</v>
      </c>
      <c r="AA571" s="0" t="s">
        <v>624</v>
      </c>
      <c r="AB571" s="0" t="s">
        <v>132</v>
      </c>
      <c r="AC571" s="254" t="e">
        <f aca="false">#REF!</f>
        <v>#REF!</v>
      </c>
      <c r="AD571" s="254" t="e">
        <f aca="false">#REF!</f>
        <v>#REF!</v>
      </c>
      <c r="AE571" s="0" t="n">
        <v>0</v>
      </c>
      <c r="AF571" s="0" t="n">
        <v>0</v>
      </c>
      <c r="AG571" s="0" t="n">
        <v>0</v>
      </c>
      <c r="AH571" s="254" t="e">
        <f aca="false">'Basis Options'!CD576</f>
        <v>#REF!</v>
      </c>
      <c r="AI571" s="0" t="n">
        <v>226</v>
      </c>
      <c r="AJ571" s="0" t="s">
        <v>630</v>
      </c>
      <c r="AK571" s="0" t="n">
        <v>0</v>
      </c>
      <c r="AL571" s="0" t="n">
        <v>0</v>
      </c>
      <c r="AM571" s="0" t="n">
        <v>0</v>
      </c>
    </row>
    <row r="572" customFormat="false" ht="12.75" hidden="false" customHeight="false" outlineLevel="0" collapsed="false">
      <c r="A572" s="0" t="s">
        <v>621</v>
      </c>
      <c r="B572" s="0" t="str">
        <f aca="false">'Basis Options'!C576</f>
        <v>NS7549</v>
      </c>
      <c r="C572" s="0" t="s">
        <v>622</v>
      </c>
      <c r="D572" s="0" t="s">
        <v>623</v>
      </c>
      <c r="E572" s="0" t="s">
        <v>131</v>
      </c>
      <c r="F572" s="0" t="str">
        <f aca="false">'Basis Options'!A576</f>
        <v>ELPASMER</v>
      </c>
      <c r="G572" s="0" t="s">
        <v>628</v>
      </c>
      <c r="H572" s="0" t="s">
        <v>625</v>
      </c>
      <c r="I572" s="0" t="s">
        <v>626</v>
      </c>
      <c r="J572" s="0" t="s">
        <v>627</v>
      </c>
      <c r="K572" s="475" t="n">
        <f aca="false">'Basis Options'!G576</f>
        <v>36800</v>
      </c>
      <c r="L572" s="254" t="e">
        <f aca="false">'Basis Options'!U576</f>
        <v>#NAME?</v>
      </c>
      <c r="M572" s="475" t="n">
        <f aca="false">'Basis Options'!Q576</f>
        <v>36797</v>
      </c>
      <c r="N572" s="0" t="str">
        <f aca="false">'Basis Options'!F576</f>
        <v>C</v>
      </c>
      <c r="O572" s="0" t="n">
        <f aca="false">'Basis Options'!I576</f>
        <v>0.7</v>
      </c>
      <c r="P572" s="0" t="n">
        <v>0</v>
      </c>
      <c r="Q572" s="0" t="n">
        <v>0</v>
      </c>
      <c r="R572" s="0" t="n">
        <v>0</v>
      </c>
      <c r="S572" s="0" t="n">
        <v>0</v>
      </c>
      <c r="T572" s="0" t="s">
        <v>624</v>
      </c>
      <c r="U572" s="0" t="str">
        <f aca="false">IF('Basis Options'!D576="NGI/CHI. GATE","""NGI/CHI. GATE""",TRIM('Basis Options'!D576))</f>
        <v>NGI-SOCAL</v>
      </c>
      <c r="V572" s="0" t="s">
        <v>624</v>
      </c>
      <c r="W572" s="0" t="s">
        <v>569</v>
      </c>
      <c r="X572" s="0" t="s">
        <v>624</v>
      </c>
      <c r="Y572" s="0" t="s">
        <v>627</v>
      </c>
      <c r="Z572" s="0" t="s">
        <v>629</v>
      </c>
      <c r="AA572" s="0" t="s">
        <v>624</v>
      </c>
      <c r="AB572" s="0" t="s">
        <v>132</v>
      </c>
      <c r="AC572" s="254" t="n">
        <f aca="false">'Basis Options'!H576</f>
        <v>1000000</v>
      </c>
      <c r="AD572" s="254" t="e">
        <f aca="false">'Basis Options'!W576</f>
        <v>#NAME?</v>
      </c>
      <c r="AE572" s="0" t="n">
        <v>0</v>
      </c>
      <c r="AF572" s="0" t="n">
        <v>0</v>
      </c>
      <c r="AG572" s="0" t="n">
        <v>0</v>
      </c>
      <c r="AH572" s="254" t="e">
        <f aca="false">'Basis Options'!CD577</f>
        <v>#NAME?</v>
      </c>
      <c r="AI572" s="0" t="n">
        <v>226</v>
      </c>
      <c r="AJ572" s="0" t="s">
        <v>630</v>
      </c>
      <c r="AK572" s="0" t="n">
        <v>0</v>
      </c>
      <c r="AL572" s="0" t="n">
        <v>0</v>
      </c>
      <c r="AM572" s="0" t="n">
        <v>0</v>
      </c>
    </row>
    <row r="573" customFormat="false" ht="12.75" hidden="false" customHeight="false" outlineLevel="0" collapsed="false">
      <c r="A573" s="0" t="s">
        <v>621</v>
      </c>
      <c r="B573" s="0" t="str">
        <f aca="false">'Basis Options'!C577</f>
        <v>NS7549</v>
      </c>
      <c r="C573" s="0" t="s">
        <v>622</v>
      </c>
      <c r="D573" s="0" t="s">
        <v>623</v>
      </c>
      <c r="E573" s="0" t="s">
        <v>131</v>
      </c>
      <c r="F573" s="0" t="str">
        <f aca="false">'Basis Options'!A577</f>
        <v>ELPASMER</v>
      </c>
      <c r="G573" s="0" t="s">
        <v>628</v>
      </c>
      <c r="H573" s="0" t="s">
        <v>625</v>
      </c>
      <c r="I573" s="0" t="s">
        <v>626</v>
      </c>
      <c r="J573" s="0" t="s">
        <v>627</v>
      </c>
      <c r="K573" s="475" t="n">
        <f aca="false">'Basis Options'!G577</f>
        <v>36770</v>
      </c>
      <c r="L573" s="254" t="e">
        <f aca="false">'Basis Options'!U577</f>
        <v>#NAME?</v>
      </c>
      <c r="M573" s="475" t="n">
        <f aca="false">'Basis Options'!Q577</f>
        <v>36768</v>
      </c>
      <c r="N573" s="0" t="str">
        <f aca="false">'Basis Options'!F577</f>
        <v>C</v>
      </c>
      <c r="O573" s="0" t="n">
        <f aca="false">'Basis Options'!I577</f>
        <v>0.7</v>
      </c>
      <c r="P573" s="0" t="n">
        <v>0</v>
      </c>
      <c r="Q573" s="0" t="n">
        <v>0</v>
      </c>
      <c r="R573" s="0" t="n">
        <v>0</v>
      </c>
      <c r="S573" s="0" t="n">
        <v>0</v>
      </c>
      <c r="T573" s="0" t="s">
        <v>624</v>
      </c>
      <c r="U573" s="0" t="str">
        <f aca="false">IF('Basis Options'!D577="NGI/CHI. GATE","""NGI/CHI. GATE""",TRIM('Basis Options'!D577))</f>
        <v>NGI-SOCAL</v>
      </c>
      <c r="V573" s="0" t="s">
        <v>624</v>
      </c>
      <c r="W573" s="0" t="s">
        <v>569</v>
      </c>
      <c r="X573" s="0" t="s">
        <v>624</v>
      </c>
      <c r="Y573" s="0" t="s">
        <v>627</v>
      </c>
      <c r="Z573" s="0" t="s">
        <v>629</v>
      </c>
      <c r="AA573" s="0" t="s">
        <v>624</v>
      </c>
      <c r="AB573" s="0" t="s">
        <v>132</v>
      </c>
      <c r="AC573" s="254" t="n">
        <f aca="false">'Basis Options'!H577</f>
        <v>1000000</v>
      </c>
      <c r="AD573" s="254" t="e">
        <f aca="false">'Basis Options'!W577</f>
        <v>#NAME?</v>
      </c>
      <c r="AE573" s="0" t="n">
        <v>0</v>
      </c>
      <c r="AF573" s="0" t="n">
        <v>0</v>
      </c>
      <c r="AG573" s="0" t="n">
        <v>0</v>
      </c>
      <c r="AH573" s="254" t="e">
        <f aca="false">'Basis Options'!CD578</f>
        <v>#NAME?</v>
      </c>
      <c r="AI573" s="0" t="n">
        <v>226</v>
      </c>
      <c r="AJ573" s="0" t="s">
        <v>630</v>
      </c>
      <c r="AK573" s="0" t="n">
        <v>0</v>
      </c>
      <c r="AL573" s="0" t="n">
        <v>0</v>
      </c>
      <c r="AM573" s="0" t="n">
        <v>0</v>
      </c>
    </row>
    <row r="574" customFormat="false" ht="12.75" hidden="false" customHeight="false" outlineLevel="0" collapsed="false">
      <c r="A574" s="0" t="s">
        <v>621</v>
      </c>
      <c r="B574" s="0" t="str">
        <f aca="false">'Basis Options'!C578</f>
        <v>NS9621</v>
      </c>
      <c r="C574" s="0" t="s">
        <v>622</v>
      </c>
      <c r="D574" s="0" t="s">
        <v>623</v>
      </c>
      <c r="E574" s="0" t="s">
        <v>131</v>
      </c>
      <c r="F574" s="0" t="str">
        <f aca="false">'Basis Options'!A578</f>
        <v>DYNEGYMARAND</v>
      </c>
      <c r="G574" s="0" t="s">
        <v>628</v>
      </c>
      <c r="H574" s="0" t="s">
        <v>625</v>
      </c>
      <c r="I574" s="0" t="s">
        <v>626</v>
      </c>
      <c r="J574" s="0" t="s">
        <v>627</v>
      </c>
      <c r="K574" s="475" t="n">
        <f aca="false">'Basis Options'!G578</f>
        <v>36800</v>
      </c>
      <c r="L574" s="254" t="e">
        <f aca="false">'Basis Options'!U578</f>
        <v>#NAME?</v>
      </c>
      <c r="M574" s="475" t="n">
        <f aca="false">'Basis Options'!Q578</f>
        <v>36797</v>
      </c>
      <c r="N574" s="0" t="str">
        <f aca="false">'Basis Options'!F578</f>
        <v>P</v>
      </c>
      <c r="O574" s="0" t="n">
        <f aca="false">'Basis Options'!I578</f>
        <v>0.5</v>
      </c>
      <c r="P574" s="0" t="n">
        <v>0</v>
      </c>
      <c r="Q574" s="0" t="n">
        <v>0</v>
      </c>
      <c r="R574" s="0" t="n">
        <v>0</v>
      </c>
      <c r="S574" s="0" t="n">
        <v>0</v>
      </c>
      <c r="T574" s="0" t="s">
        <v>624</v>
      </c>
      <c r="U574" s="0" t="str">
        <f aca="false">IF('Basis Options'!D578="NGI/CHI. GATE","""NGI/CHI. GATE""",TRIM('Basis Options'!D578))</f>
        <v>NGI-SOCAL</v>
      </c>
      <c r="V574" s="0" t="s">
        <v>624</v>
      </c>
      <c r="W574" s="0" t="s">
        <v>569</v>
      </c>
      <c r="X574" s="0" t="s">
        <v>624</v>
      </c>
      <c r="Y574" s="0" t="s">
        <v>627</v>
      </c>
      <c r="Z574" s="0" t="s">
        <v>629</v>
      </c>
      <c r="AA574" s="0" t="s">
        <v>624</v>
      </c>
      <c r="AB574" s="0" t="s">
        <v>132</v>
      </c>
      <c r="AC574" s="254" t="n">
        <f aca="false">'Basis Options'!H578</f>
        <v>-155000</v>
      </c>
      <c r="AD574" s="254" t="e">
        <f aca="false">'Basis Options'!W578</f>
        <v>#NAME?</v>
      </c>
      <c r="AE574" s="0" t="n">
        <v>0</v>
      </c>
      <c r="AF574" s="0" t="n">
        <v>0</v>
      </c>
      <c r="AG574" s="0" t="n">
        <v>0</v>
      </c>
      <c r="AH574" s="254" t="e">
        <f aca="false">'Basis Options'!CD579</f>
        <v>#NAME?</v>
      </c>
      <c r="AI574" s="0" t="n">
        <v>226</v>
      </c>
      <c r="AJ574" s="0" t="s">
        <v>630</v>
      </c>
      <c r="AK574" s="0" t="n">
        <v>0</v>
      </c>
      <c r="AL574" s="0" t="n">
        <v>0</v>
      </c>
      <c r="AM574" s="0" t="n">
        <v>0</v>
      </c>
    </row>
    <row r="575" customFormat="false" ht="12.75" hidden="false" customHeight="false" outlineLevel="0" collapsed="false">
      <c r="A575" s="0" t="s">
        <v>621</v>
      </c>
      <c r="B575" s="0" t="str">
        <f aca="false">'Basis Options'!C579</f>
        <v>NS9621</v>
      </c>
      <c r="C575" s="0" t="s">
        <v>622</v>
      </c>
      <c r="D575" s="0" t="s">
        <v>623</v>
      </c>
      <c r="E575" s="0" t="s">
        <v>131</v>
      </c>
      <c r="F575" s="0" t="str">
        <f aca="false">'Basis Options'!A579</f>
        <v>DYNEGYMARAND</v>
      </c>
      <c r="G575" s="0" t="s">
        <v>628</v>
      </c>
      <c r="H575" s="0" t="s">
        <v>625</v>
      </c>
      <c r="I575" s="0" t="s">
        <v>626</v>
      </c>
      <c r="J575" s="0" t="s">
        <v>627</v>
      </c>
      <c r="K575" s="475" t="n">
        <f aca="false">'Basis Options'!G579</f>
        <v>36770</v>
      </c>
      <c r="L575" s="254" t="e">
        <f aca="false">'Basis Options'!U579</f>
        <v>#NAME?</v>
      </c>
      <c r="M575" s="475" t="n">
        <f aca="false">'Basis Options'!Q579</f>
        <v>36768</v>
      </c>
      <c r="N575" s="0" t="str">
        <f aca="false">'Basis Options'!F579</f>
        <v>P</v>
      </c>
      <c r="O575" s="0" t="n">
        <f aca="false">'Basis Options'!I579</f>
        <v>0.5</v>
      </c>
      <c r="P575" s="0" t="n">
        <v>0</v>
      </c>
      <c r="Q575" s="0" t="n">
        <v>0</v>
      </c>
      <c r="R575" s="0" t="n">
        <v>0</v>
      </c>
      <c r="S575" s="0" t="n">
        <v>0</v>
      </c>
      <c r="T575" s="0" t="s">
        <v>624</v>
      </c>
      <c r="U575" s="0" t="str">
        <f aca="false">IF('Basis Options'!D579="NGI/CHI. GATE","""NGI/CHI. GATE""",TRIM('Basis Options'!D579))</f>
        <v>NGI-SOCAL</v>
      </c>
      <c r="V575" s="0" t="s">
        <v>624</v>
      </c>
      <c r="W575" s="0" t="s">
        <v>569</v>
      </c>
      <c r="X575" s="0" t="s">
        <v>624</v>
      </c>
      <c r="Y575" s="0" t="s">
        <v>627</v>
      </c>
      <c r="Z575" s="0" t="s">
        <v>629</v>
      </c>
      <c r="AA575" s="0" t="s">
        <v>624</v>
      </c>
      <c r="AB575" s="0" t="s">
        <v>132</v>
      </c>
      <c r="AC575" s="254" t="n">
        <f aca="false">'Basis Options'!H579</f>
        <v>-150000</v>
      </c>
      <c r="AD575" s="254" t="e">
        <f aca="false">'Basis Options'!W579</f>
        <v>#NAME?</v>
      </c>
      <c r="AE575" s="0" t="n">
        <v>0</v>
      </c>
      <c r="AF575" s="0" t="n">
        <v>0</v>
      </c>
      <c r="AG575" s="0" t="n">
        <v>0</v>
      </c>
      <c r="AH575" s="254" t="e">
        <f aca="false">'Basis Options'!CD580</f>
        <v>#NAME?</v>
      </c>
      <c r="AI575" s="0" t="n">
        <v>226</v>
      </c>
      <c r="AJ575" s="0" t="s">
        <v>630</v>
      </c>
      <c r="AK575" s="0" t="n">
        <v>0</v>
      </c>
      <c r="AL575" s="0" t="n">
        <v>0</v>
      </c>
      <c r="AM575" s="0" t="n">
        <v>0</v>
      </c>
    </row>
    <row r="576" customFormat="false" ht="12.75" hidden="false" customHeight="false" outlineLevel="0" collapsed="false">
      <c r="A576" s="0" t="s">
        <v>621</v>
      </c>
      <c r="B576" s="0" t="str">
        <f aca="false">'Basis Options'!C580</f>
        <v>NT3509</v>
      </c>
      <c r="C576" s="0" t="s">
        <v>622</v>
      </c>
      <c r="D576" s="0" t="s">
        <v>623</v>
      </c>
      <c r="E576" s="0" t="s">
        <v>131</v>
      </c>
      <c r="F576" s="0" t="str">
        <f aca="false">'Basis Options'!A580</f>
        <v>UTILICORP</v>
      </c>
      <c r="G576" s="0" t="s">
        <v>628</v>
      </c>
      <c r="H576" s="0" t="s">
        <v>625</v>
      </c>
      <c r="I576" s="0" t="s">
        <v>626</v>
      </c>
      <c r="J576" s="0" t="s">
        <v>627</v>
      </c>
      <c r="K576" s="475" t="n">
        <f aca="false">'Basis Options'!G580</f>
        <v>36831</v>
      </c>
      <c r="L576" s="254" t="e">
        <f aca="false">'Basis Options'!U580</f>
        <v>#NAME?</v>
      </c>
      <c r="M576" s="475" t="n">
        <f aca="false">'Basis Options'!Q580</f>
        <v>36829</v>
      </c>
      <c r="N576" s="0" t="str">
        <f aca="false">'Basis Options'!F580</f>
        <v>C</v>
      </c>
      <c r="O576" s="0" t="n">
        <f aca="false">'Basis Options'!I580</f>
        <v>0.15</v>
      </c>
      <c r="P576" s="0" t="n">
        <v>0</v>
      </c>
      <c r="Q576" s="0" t="n">
        <v>0</v>
      </c>
      <c r="R576" s="0" t="n">
        <v>0</v>
      </c>
      <c r="S576" s="0" t="n">
        <v>0</v>
      </c>
      <c r="T576" s="0" t="s">
        <v>624</v>
      </c>
      <c r="U576" s="0" t="str">
        <f aca="false">IF('Basis Options'!D580="NGI/CHI. GATE","""NGI/CHI. GATE""",TRIM('Basis Options'!D580))</f>
        <v>"NGI/CHI. GATE"</v>
      </c>
      <c r="V576" s="0" t="s">
        <v>624</v>
      </c>
      <c r="W576" s="0" t="s">
        <v>569</v>
      </c>
      <c r="X576" s="0" t="s">
        <v>624</v>
      </c>
      <c r="Y576" s="0" t="s">
        <v>627</v>
      </c>
      <c r="Z576" s="0" t="s">
        <v>629</v>
      </c>
      <c r="AA576" s="0" t="s">
        <v>624</v>
      </c>
      <c r="AB576" s="0" t="s">
        <v>132</v>
      </c>
      <c r="AC576" s="254" t="n">
        <f aca="false">'Basis Options'!H580</f>
        <v>-150000</v>
      </c>
      <c r="AD576" s="254" t="e">
        <f aca="false">'Basis Options'!W580</f>
        <v>#NAME?</v>
      </c>
      <c r="AE576" s="0" t="n">
        <v>0</v>
      </c>
      <c r="AF576" s="0" t="n">
        <v>0</v>
      </c>
      <c r="AG576" s="0" t="n">
        <v>0</v>
      </c>
      <c r="AH576" s="254" t="e">
        <f aca="false">'Basis Options'!CD581</f>
        <v>#NAME?</v>
      </c>
      <c r="AI576" s="0" t="n">
        <v>226</v>
      </c>
      <c r="AJ576" s="0" t="s">
        <v>630</v>
      </c>
      <c r="AK576" s="0" t="n">
        <v>0</v>
      </c>
      <c r="AL576" s="0" t="n">
        <v>0</v>
      </c>
      <c r="AM576" s="0" t="n">
        <v>0</v>
      </c>
    </row>
    <row r="577" customFormat="false" ht="12.75" hidden="false" customHeight="false" outlineLevel="0" collapsed="false">
      <c r="A577" s="0" t="s">
        <v>621</v>
      </c>
      <c r="B577" s="0" t="str">
        <f aca="false">'Basis Options'!C581</f>
        <v>NT3509</v>
      </c>
      <c r="C577" s="0" t="s">
        <v>622</v>
      </c>
      <c r="D577" s="0" t="s">
        <v>623</v>
      </c>
      <c r="E577" s="0" t="s">
        <v>131</v>
      </c>
      <c r="F577" s="0" t="str">
        <f aca="false">'Basis Options'!A581</f>
        <v>UTILICORP</v>
      </c>
      <c r="G577" s="0" t="s">
        <v>628</v>
      </c>
      <c r="H577" s="0" t="s">
        <v>625</v>
      </c>
      <c r="I577" s="0" t="s">
        <v>626</v>
      </c>
      <c r="J577" s="0" t="s">
        <v>627</v>
      </c>
      <c r="K577" s="475" t="n">
        <f aca="false">'Basis Options'!G581</f>
        <v>36861</v>
      </c>
      <c r="L577" s="254" t="e">
        <f aca="false">'Basis Options'!U581</f>
        <v>#NAME?</v>
      </c>
      <c r="M577" s="475" t="n">
        <f aca="false">'Basis Options'!Q581</f>
        <v>36859</v>
      </c>
      <c r="N577" s="0" t="str">
        <f aca="false">'Basis Options'!F581</f>
        <v>C</v>
      </c>
      <c r="O577" s="0" t="n">
        <f aca="false">'Basis Options'!I581</f>
        <v>0.15</v>
      </c>
      <c r="P577" s="0" t="n">
        <v>0</v>
      </c>
      <c r="Q577" s="0" t="n">
        <v>0</v>
      </c>
      <c r="R577" s="0" t="n">
        <v>0</v>
      </c>
      <c r="S577" s="0" t="n">
        <v>0</v>
      </c>
      <c r="T577" s="0" t="s">
        <v>624</v>
      </c>
      <c r="U577" s="0" t="str">
        <f aca="false">IF('Basis Options'!D581="NGI/CHI. GATE","""NGI/CHI. GATE""",TRIM('Basis Options'!D581))</f>
        <v>"NGI/CHI. GATE"</v>
      </c>
      <c r="V577" s="0" t="s">
        <v>624</v>
      </c>
      <c r="W577" s="0" t="s">
        <v>569</v>
      </c>
      <c r="X577" s="0" t="s">
        <v>624</v>
      </c>
      <c r="Y577" s="0" t="s">
        <v>627</v>
      </c>
      <c r="Z577" s="0" t="s">
        <v>629</v>
      </c>
      <c r="AA577" s="0" t="s">
        <v>624</v>
      </c>
      <c r="AB577" s="0" t="s">
        <v>132</v>
      </c>
      <c r="AC577" s="254" t="n">
        <f aca="false">'Basis Options'!H581</f>
        <v>-155000</v>
      </c>
      <c r="AD577" s="254" t="e">
        <f aca="false">'Basis Options'!W581</f>
        <v>#NAME?</v>
      </c>
      <c r="AE577" s="0" t="n">
        <v>0</v>
      </c>
      <c r="AF577" s="0" t="n">
        <v>0</v>
      </c>
      <c r="AG577" s="0" t="n">
        <v>0</v>
      </c>
      <c r="AH577" s="254" t="e">
        <f aca="false">'Basis Options'!CD582</f>
        <v>#NAME?</v>
      </c>
      <c r="AI577" s="0" t="n">
        <v>226</v>
      </c>
      <c r="AJ577" s="0" t="s">
        <v>630</v>
      </c>
      <c r="AK577" s="0" t="n">
        <v>0</v>
      </c>
      <c r="AL577" s="0" t="n">
        <v>0</v>
      </c>
      <c r="AM577" s="0" t="n">
        <v>0</v>
      </c>
    </row>
    <row r="578" customFormat="false" ht="12.75" hidden="false" customHeight="false" outlineLevel="0" collapsed="false">
      <c r="A578" s="0" t="s">
        <v>621</v>
      </c>
      <c r="B578" s="0" t="str">
        <f aca="false">'Basis Options'!C582</f>
        <v>NT3509</v>
      </c>
      <c r="C578" s="0" t="s">
        <v>622</v>
      </c>
      <c r="D578" s="0" t="s">
        <v>623</v>
      </c>
      <c r="E578" s="0" t="s">
        <v>131</v>
      </c>
      <c r="F578" s="0" t="str">
        <f aca="false">'Basis Options'!A582</f>
        <v>UTILICORP</v>
      </c>
      <c r="G578" s="0" t="s">
        <v>628</v>
      </c>
      <c r="H578" s="0" t="s">
        <v>625</v>
      </c>
      <c r="I578" s="0" t="s">
        <v>626</v>
      </c>
      <c r="J578" s="0" t="s">
        <v>627</v>
      </c>
      <c r="K578" s="475" t="n">
        <f aca="false">'Basis Options'!G582</f>
        <v>36892</v>
      </c>
      <c r="L578" s="254" t="e">
        <f aca="false">'Basis Options'!U582</f>
        <v>#NAME?</v>
      </c>
      <c r="M578" s="475" t="n">
        <f aca="false">'Basis Options'!Q582</f>
        <v>36888</v>
      </c>
      <c r="N578" s="0" t="str">
        <f aca="false">'Basis Options'!F582</f>
        <v>C</v>
      </c>
      <c r="O578" s="0" t="n">
        <f aca="false">'Basis Options'!I582</f>
        <v>0.15</v>
      </c>
      <c r="P578" s="0" t="n">
        <v>0</v>
      </c>
      <c r="Q578" s="0" t="n">
        <v>0</v>
      </c>
      <c r="R578" s="0" t="n">
        <v>0</v>
      </c>
      <c r="S578" s="0" t="n">
        <v>0</v>
      </c>
      <c r="T578" s="0" t="s">
        <v>624</v>
      </c>
      <c r="U578" s="0" t="str">
        <f aca="false">IF('Basis Options'!D582="NGI/CHI. GATE","""NGI/CHI. GATE""",TRIM('Basis Options'!D582))</f>
        <v>"NGI/CHI. GATE"</v>
      </c>
      <c r="V578" s="0" t="s">
        <v>624</v>
      </c>
      <c r="W578" s="0" t="s">
        <v>569</v>
      </c>
      <c r="X578" s="0" t="s">
        <v>624</v>
      </c>
      <c r="Y578" s="0" t="s">
        <v>627</v>
      </c>
      <c r="Z578" s="0" t="s">
        <v>629</v>
      </c>
      <c r="AA578" s="0" t="s">
        <v>624</v>
      </c>
      <c r="AB578" s="0" t="s">
        <v>132</v>
      </c>
      <c r="AC578" s="254" t="n">
        <f aca="false">'Basis Options'!H582</f>
        <v>-155000</v>
      </c>
      <c r="AD578" s="254" t="e">
        <f aca="false">'Basis Options'!W582</f>
        <v>#NAME?</v>
      </c>
      <c r="AE578" s="0" t="n">
        <v>0</v>
      </c>
      <c r="AF578" s="0" t="n">
        <v>0</v>
      </c>
      <c r="AG578" s="0" t="n">
        <v>0</v>
      </c>
      <c r="AH578" s="254" t="e">
        <f aca="false">'Basis Options'!CD583</f>
        <v>#NAME?</v>
      </c>
      <c r="AI578" s="0" t="n">
        <v>226</v>
      </c>
      <c r="AJ578" s="0" t="s">
        <v>630</v>
      </c>
      <c r="AK578" s="0" t="n">
        <v>0</v>
      </c>
      <c r="AL578" s="0" t="n">
        <v>0</v>
      </c>
      <c r="AM578" s="0" t="n">
        <v>0</v>
      </c>
    </row>
    <row r="579" customFormat="false" ht="12.75" hidden="false" customHeight="false" outlineLevel="0" collapsed="false">
      <c r="A579" s="0" t="s">
        <v>621</v>
      </c>
      <c r="B579" s="0" t="str">
        <f aca="false">'Basis Options'!C583</f>
        <v>NT3509</v>
      </c>
      <c r="C579" s="0" t="s">
        <v>622</v>
      </c>
      <c r="D579" s="0" t="s">
        <v>623</v>
      </c>
      <c r="E579" s="0" t="s">
        <v>131</v>
      </c>
      <c r="F579" s="0" t="str">
        <f aca="false">'Basis Options'!A583</f>
        <v>UTILICORP</v>
      </c>
      <c r="G579" s="0" t="s">
        <v>628</v>
      </c>
      <c r="H579" s="0" t="s">
        <v>625</v>
      </c>
      <c r="I579" s="0" t="s">
        <v>626</v>
      </c>
      <c r="J579" s="0" t="s">
        <v>627</v>
      </c>
      <c r="K579" s="475" t="n">
        <f aca="false">'Basis Options'!G583</f>
        <v>36923</v>
      </c>
      <c r="L579" s="254" t="e">
        <f aca="false">'Basis Options'!U583</f>
        <v>#NAME?</v>
      </c>
      <c r="M579" s="475" t="n">
        <f aca="false">'Basis Options'!Q583</f>
        <v>36921</v>
      </c>
      <c r="N579" s="0" t="str">
        <f aca="false">'Basis Options'!F583</f>
        <v>C</v>
      </c>
      <c r="O579" s="0" t="n">
        <f aca="false">'Basis Options'!I583</f>
        <v>0.15</v>
      </c>
      <c r="P579" s="0" t="n">
        <v>0</v>
      </c>
      <c r="Q579" s="0" t="n">
        <v>0</v>
      </c>
      <c r="R579" s="0" t="n">
        <v>0</v>
      </c>
      <c r="S579" s="0" t="n">
        <v>0</v>
      </c>
      <c r="T579" s="0" t="s">
        <v>624</v>
      </c>
      <c r="U579" s="0" t="str">
        <f aca="false">IF('Basis Options'!D583="NGI/CHI. GATE","""NGI/CHI. GATE""",TRIM('Basis Options'!D583))</f>
        <v>"NGI/CHI. GATE"</v>
      </c>
      <c r="V579" s="0" t="s">
        <v>624</v>
      </c>
      <c r="W579" s="0" t="s">
        <v>569</v>
      </c>
      <c r="X579" s="0" t="s">
        <v>624</v>
      </c>
      <c r="Y579" s="0" t="s">
        <v>627</v>
      </c>
      <c r="Z579" s="0" t="s">
        <v>629</v>
      </c>
      <c r="AA579" s="0" t="s">
        <v>624</v>
      </c>
      <c r="AB579" s="0" t="s">
        <v>132</v>
      </c>
      <c r="AC579" s="254" t="n">
        <f aca="false">'Basis Options'!H583</f>
        <v>-140000</v>
      </c>
      <c r="AD579" s="254" t="e">
        <f aca="false">'Basis Options'!W583</f>
        <v>#NAME?</v>
      </c>
      <c r="AE579" s="0" t="n">
        <v>0</v>
      </c>
      <c r="AF579" s="0" t="n">
        <v>0</v>
      </c>
      <c r="AG579" s="0" t="n">
        <v>0</v>
      </c>
      <c r="AH579" s="254" t="e">
        <f aca="false">'Basis Options'!CD584</f>
        <v>#NAME?</v>
      </c>
      <c r="AI579" s="0" t="n">
        <v>226</v>
      </c>
      <c r="AJ579" s="0" t="s">
        <v>630</v>
      </c>
      <c r="AK579" s="0" t="n">
        <v>0</v>
      </c>
      <c r="AL579" s="0" t="n">
        <v>0</v>
      </c>
      <c r="AM579" s="0" t="n">
        <v>0</v>
      </c>
    </row>
    <row r="580" customFormat="false" ht="12.75" hidden="false" customHeight="false" outlineLevel="0" collapsed="false">
      <c r="A580" s="0" t="s">
        <v>621</v>
      </c>
      <c r="B580" s="0" t="str">
        <f aca="false">'Basis Options'!C584</f>
        <v>NT3509</v>
      </c>
      <c r="C580" s="0" t="s">
        <v>622</v>
      </c>
      <c r="D580" s="0" t="s">
        <v>623</v>
      </c>
      <c r="E580" s="0" t="s">
        <v>131</v>
      </c>
      <c r="F580" s="0" t="str">
        <f aca="false">'Basis Options'!A584</f>
        <v>UTILICORP</v>
      </c>
      <c r="G580" s="0" t="s">
        <v>628</v>
      </c>
      <c r="H580" s="0" t="s">
        <v>625</v>
      </c>
      <c r="I580" s="0" t="s">
        <v>626</v>
      </c>
      <c r="J580" s="0" t="s">
        <v>627</v>
      </c>
      <c r="K580" s="475" t="n">
        <f aca="false">'Basis Options'!G584</f>
        <v>36951</v>
      </c>
      <c r="L580" s="254" t="e">
        <f aca="false">'Basis Options'!U584</f>
        <v>#NAME?</v>
      </c>
      <c r="M580" s="475" t="n">
        <f aca="false">'Basis Options'!Q584</f>
        <v>36949</v>
      </c>
      <c r="N580" s="0" t="str">
        <f aca="false">'Basis Options'!F584</f>
        <v>C</v>
      </c>
      <c r="O580" s="0" t="n">
        <f aca="false">'Basis Options'!I584</f>
        <v>0.15</v>
      </c>
      <c r="P580" s="0" t="n">
        <v>0</v>
      </c>
      <c r="Q580" s="0" t="n">
        <v>0</v>
      </c>
      <c r="R580" s="0" t="n">
        <v>0</v>
      </c>
      <c r="S580" s="0" t="n">
        <v>0</v>
      </c>
      <c r="T580" s="0" t="s">
        <v>624</v>
      </c>
      <c r="U580" s="0" t="str">
        <f aca="false">IF('Basis Options'!D584="NGI/CHI. GATE","""NGI/CHI. GATE""",TRIM('Basis Options'!D584))</f>
        <v>"NGI/CHI. GATE"</v>
      </c>
      <c r="V580" s="0" t="s">
        <v>624</v>
      </c>
      <c r="W580" s="0" t="s">
        <v>569</v>
      </c>
      <c r="X580" s="0" t="s">
        <v>624</v>
      </c>
      <c r="Y580" s="0" t="s">
        <v>627</v>
      </c>
      <c r="Z580" s="0" t="s">
        <v>629</v>
      </c>
      <c r="AA580" s="0" t="s">
        <v>624</v>
      </c>
      <c r="AB580" s="0" t="s">
        <v>132</v>
      </c>
      <c r="AC580" s="254" t="n">
        <f aca="false">'Basis Options'!H584</f>
        <v>-155000</v>
      </c>
      <c r="AD580" s="254" t="e">
        <f aca="false">'Basis Options'!W584</f>
        <v>#NAME?</v>
      </c>
      <c r="AE580" s="0" t="n">
        <v>0</v>
      </c>
      <c r="AF580" s="0" t="n">
        <v>0</v>
      </c>
      <c r="AG580" s="0" t="n">
        <v>0</v>
      </c>
      <c r="AH580" s="254" t="e">
        <f aca="false">'Basis Options'!CD585</f>
        <v>#NAME?</v>
      </c>
      <c r="AI580" s="0" t="n">
        <v>226</v>
      </c>
      <c r="AJ580" s="0" t="s">
        <v>630</v>
      </c>
      <c r="AK580" s="0" t="n">
        <v>0</v>
      </c>
      <c r="AL580" s="0" t="n">
        <v>0</v>
      </c>
      <c r="AM580" s="0" t="n">
        <v>0</v>
      </c>
    </row>
    <row r="581" customFormat="false" ht="12.75" hidden="false" customHeight="false" outlineLevel="0" collapsed="false">
      <c r="A581" s="0" t="s">
        <v>621</v>
      </c>
      <c r="B581" s="0" t="str">
        <f aca="false">'Basis Options'!C585</f>
        <v>NT6024</v>
      </c>
      <c r="C581" s="0" t="s">
        <v>622</v>
      </c>
      <c r="D581" s="0" t="s">
        <v>623</v>
      </c>
      <c r="E581" s="0" t="s">
        <v>131</v>
      </c>
      <c r="F581" s="0" t="str">
        <f aca="false">'Basis Options'!A585</f>
        <v>RELIANTENESER</v>
      </c>
      <c r="G581" s="0" t="s">
        <v>628</v>
      </c>
      <c r="H581" s="0" t="s">
        <v>625</v>
      </c>
      <c r="I581" s="0" t="s">
        <v>626</v>
      </c>
      <c r="J581" s="0" t="s">
        <v>627</v>
      </c>
      <c r="K581" s="475" t="n">
        <f aca="false">'Basis Options'!G585</f>
        <v>36831</v>
      </c>
      <c r="L581" s="254" t="e">
        <f aca="false">'Basis Options'!U585</f>
        <v>#NAME?</v>
      </c>
      <c r="M581" s="475" t="n">
        <f aca="false">'Basis Options'!Q585</f>
        <v>36829</v>
      </c>
      <c r="N581" s="0" t="str">
        <f aca="false">'Basis Options'!F585</f>
        <v>C</v>
      </c>
      <c r="O581" s="0" t="n">
        <f aca="false">'Basis Options'!I585</f>
        <v>-0.15</v>
      </c>
      <c r="P581" s="0" t="n">
        <v>0</v>
      </c>
      <c r="Q581" s="0" t="n">
        <v>0</v>
      </c>
      <c r="R581" s="0" t="n">
        <v>0</v>
      </c>
      <c r="S581" s="0" t="n">
        <v>0</v>
      </c>
      <c r="T581" s="0" t="s">
        <v>624</v>
      </c>
      <c r="U581" s="0" t="str">
        <f aca="false">IF('Basis Options'!D585="NGI/CHI. GATE","""NGI/CHI. GATE""",TRIM('Basis Options'!D585))</f>
        <v>IF-PAN/TX/OK</v>
      </c>
      <c r="V581" s="0" t="s">
        <v>624</v>
      </c>
      <c r="W581" s="0" t="s">
        <v>569</v>
      </c>
      <c r="X581" s="0" t="s">
        <v>624</v>
      </c>
      <c r="Y581" s="0" t="s">
        <v>627</v>
      </c>
      <c r="Z581" s="0" t="s">
        <v>629</v>
      </c>
      <c r="AA581" s="0" t="s">
        <v>624</v>
      </c>
      <c r="AB581" s="0" t="s">
        <v>132</v>
      </c>
      <c r="AC581" s="254" t="n">
        <f aca="false">'Basis Options'!H585</f>
        <v>-300000</v>
      </c>
      <c r="AD581" s="254" t="e">
        <f aca="false">'Basis Options'!W585</f>
        <v>#NAME?</v>
      </c>
      <c r="AE581" s="0" t="n">
        <v>0</v>
      </c>
      <c r="AF581" s="0" t="n">
        <v>0</v>
      </c>
      <c r="AG581" s="0" t="n">
        <v>0</v>
      </c>
      <c r="AH581" s="254" t="e">
        <f aca="false">'Basis Options'!CD586</f>
        <v>#NAME?</v>
      </c>
      <c r="AI581" s="0" t="n">
        <v>226</v>
      </c>
      <c r="AJ581" s="0" t="s">
        <v>630</v>
      </c>
      <c r="AK581" s="0" t="n">
        <v>0</v>
      </c>
      <c r="AL581" s="0" t="n">
        <v>0</v>
      </c>
      <c r="AM581" s="0" t="n">
        <v>0</v>
      </c>
    </row>
    <row r="582" customFormat="false" ht="12.75" hidden="false" customHeight="false" outlineLevel="0" collapsed="false">
      <c r="A582" s="0" t="s">
        <v>621</v>
      </c>
      <c r="B582" s="0" t="str">
        <f aca="false">'Basis Options'!C586</f>
        <v>NT6024</v>
      </c>
      <c r="C582" s="0" t="s">
        <v>622</v>
      </c>
      <c r="D582" s="0" t="s">
        <v>623</v>
      </c>
      <c r="E582" s="0" t="s">
        <v>131</v>
      </c>
      <c r="F582" s="0" t="str">
        <f aca="false">'Basis Options'!A586</f>
        <v>RELIANTENESER</v>
      </c>
      <c r="G582" s="0" t="s">
        <v>628</v>
      </c>
      <c r="H582" s="0" t="s">
        <v>625</v>
      </c>
      <c r="I582" s="0" t="s">
        <v>626</v>
      </c>
      <c r="J582" s="0" t="s">
        <v>627</v>
      </c>
      <c r="K582" s="475" t="n">
        <f aca="false">'Basis Options'!G586</f>
        <v>36861</v>
      </c>
      <c r="L582" s="254" t="e">
        <f aca="false">'Basis Options'!U586</f>
        <v>#NAME?</v>
      </c>
      <c r="M582" s="475" t="n">
        <f aca="false">'Basis Options'!Q586</f>
        <v>36859</v>
      </c>
      <c r="N582" s="0" t="str">
        <f aca="false">'Basis Options'!F586</f>
        <v>C</v>
      </c>
      <c r="O582" s="0" t="n">
        <f aca="false">'Basis Options'!I586</f>
        <v>-0.15</v>
      </c>
      <c r="P582" s="0" t="n">
        <v>0</v>
      </c>
      <c r="Q582" s="0" t="n">
        <v>0</v>
      </c>
      <c r="R582" s="0" t="n">
        <v>0</v>
      </c>
      <c r="S582" s="0" t="n">
        <v>0</v>
      </c>
      <c r="T582" s="0" t="s">
        <v>624</v>
      </c>
      <c r="U582" s="0" t="str">
        <f aca="false">IF('Basis Options'!D586="NGI/CHI. GATE","""NGI/CHI. GATE""",TRIM('Basis Options'!D586))</f>
        <v>IF-PAN/TX/OK</v>
      </c>
      <c r="V582" s="0" t="s">
        <v>624</v>
      </c>
      <c r="W582" s="0" t="s">
        <v>569</v>
      </c>
      <c r="X582" s="0" t="s">
        <v>624</v>
      </c>
      <c r="Y582" s="0" t="s">
        <v>627</v>
      </c>
      <c r="Z582" s="0" t="s">
        <v>629</v>
      </c>
      <c r="AA582" s="0" t="s">
        <v>624</v>
      </c>
      <c r="AB582" s="0" t="s">
        <v>132</v>
      </c>
      <c r="AC582" s="254" t="n">
        <f aca="false">'Basis Options'!H586</f>
        <v>-310000</v>
      </c>
      <c r="AD582" s="254" t="e">
        <f aca="false">'Basis Options'!W586</f>
        <v>#NAME?</v>
      </c>
      <c r="AE582" s="0" t="n">
        <v>0</v>
      </c>
      <c r="AF582" s="0" t="n">
        <v>0</v>
      </c>
      <c r="AG582" s="0" t="n">
        <v>0</v>
      </c>
      <c r="AH582" s="254" t="e">
        <f aca="false">'Basis Options'!CD587</f>
        <v>#NAME?</v>
      </c>
      <c r="AI582" s="0" t="n">
        <v>226</v>
      </c>
      <c r="AJ582" s="0" t="s">
        <v>630</v>
      </c>
      <c r="AK582" s="0" t="n">
        <v>0</v>
      </c>
      <c r="AL582" s="0" t="n">
        <v>0</v>
      </c>
      <c r="AM582" s="0" t="n">
        <v>0</v>
      </c>
    </row>
    <row r="583" customFormat="false" ht="12.75" hidden="false" customHeight="false" outlineLevel="0" collapsed="false">
      <c r="A583" s="0" t="s">
        <v>621</v>
      </c>
      <c r="B583" s="0" t="str">
        <f aca="false">'Basis Options'!C587</f>
        <v>NT6024</v>
      </c>
      <c r="C583" s="0" t="s">
        <v>622</v>
      </c>
      <c r="D583" s="0" t="s">
        <v>623</v>
      </c>
      <c r="E583" s="0" t="s">
        <v>131</v>
      </c>
      <c r="F583" s="0" t="str">
        <f aca="false">'Basis Options'!A587</f>
        <v>RELIANTENESER</v>
      </c>
      <c r="G583" s="0" t="s">
        <v>628</v>
      </c>
      <c r="H583" s="0" t="s">
        <v>625</v>
      </c>
      <c r="I583" s="0" t="s">
        <v>626</v>
      </c>
      <c r="J583" s="0" t="s">
        <v>627</v>
      </c>
      <c r="K583" s="475" t="n">
        <f aca="false">'Basis Options'!G587</f>
        <v>36892</v>
      </c>
      <c r="L583" s="254" t="e">
        <f aca="false">'Basis Options'!U587</f>
        <v>#NAME?</v>
      </c>
      <c r="M583" s="475" t="n">
        <f aca="false">'Basis Options'!Q587</f>
        <v>36888</v>
      </c>
      <c r="N583" s="0" t="str">
        <f aca="false">'Basis Options'!F587</f>
        <v>C</v>
      </c>
      <c r="O583" s="0" t="n">
        <f aca="false">'Basis Options'!I587</f>
        <v>-0.15</v>
      </c>
      <c r="P583" s="0" t="n">
        <v>0</v>
      </c>
      <c r="Q583" s="0" t="n">
        <v>0</v>
      </c>
      <c r="R583" s="0" t="n">
        <v>0</v>
      </c>
      <c r="S583" s="0" t="n">
        <v>0</v>
      </c>
      <c r="T583" s="0" t="s">
        <v>624</v>
      </c>
      <c r="U583" s="0" t="str">
        <f aca="false">IF('Basis Options'!D587="NGI/CHI. GATE","""NGI/CHI. GATE""",TRIM('Basis Options'!D587))</f>
        <v>IF-PAN/TX/OK</v>
      </c>
      <c r="V583" s="0" t="s">
        <v>624</v>
      </c>
      <c r="W583" s="0" t="s">
        <v>569</v>
      </c>
      <c r="X583" s="0" t="s">
        <v>624</v>
      </c>
      <c r="Y583" s="0" t="s">
        <v>627</v>
      </c>
      <c r="Z583" s="0" t="s">
        <v>629</v>
      </c>
      <c r="AA583" s="0" t="s">
        <v>624</v>
      </c>
      <c r="AB583" s="0" t="s">
        <v>132</v>
      </c>
      <c r="AC583" s="254" t="n">
        <f aca="false">'Basis Options'!H587</f>
        <v>-310000</v>
      </c>
      <c r="AD583" s="254" t="e">
        <f aca="false">'Basis Options'!W587</f>
        <v>#NAME?</v>
      </c>
      <c r="AE583" s="0" t="n">
        <v>0</v>
      </c>
      <c r="AF583" s="0" t="n">
        <v>0</v>
      </c>
      <c r="AG583" s="0" t="n">
        <v>0</v>
      </c>
      <c r="AH583" s="254" t="e">
        <f aca="false">'Basis Options'!CD588</f>
        <v>#NAME?</v>
      </c>
      <c r="AI583" s="0" t="n">
        <v>226</v>
      </c>
      <c r="AJ583" s="0" t="s">
        <v>630</v>
      </c>
      <c r="AK583" s="0" t="n">
        <v>0</v>
      </c>
      <c r="AL583" s="0" t="n">
        <v>0</v>
      </c>
      <c r="AM583" s="0" t="n">
        <v>0</v>
      </c>
    </row>
    <row r="584" customFormat="false" ht="12.75" hidden="false" customHeight="false" outlineLevel="0" collapsed="false">
      <c r="A584" s="0" t="s">
        <v>621</v>
      </c>
      <c r="B584" s="0" t="str">
        <f aca="false">'Basis Options'!C588</f>
        <v>NT6024</v>
      </c>
      <c r="C584" s="0" t="s">
        <v>622</v>
      </c>
      <c r="D584" s="0" t="s">
        <v>623</v>
      </c>
      <c r="E584" s="0" t="s">
        <v>131</v>
      </c>
      <c r="F584" s="0" t="str">
        <f aca="false">'Basis Options'!A588</f>
        <v>RELIANTENESER</v>
      </c>
      <c r="G584" s="0" t="s">
        <v>628</v>
      </c>
      <c r="H584" s="0" t="s">
        <v>625</v>
      </c>
      <c r="I584" s="0" t="s">
        <v>626</v>
      </c>
      <c r="J584" s="0" t="s">
        <v>627</v>
      </c>
      <c r="K584" s="475" t="n">
        <f aca="false">'Basis Options'!G588</f>
        <v>36923</v>
      </c>
      <c r="L584" s="254" t="e">
        <f aca="false">'Basis Options'!U588</f>
        <v>#NAME?</v>
      </c>
      <c r="M584" s="475" t="n">
        <f aca="false">'Basis Options'!Q588</f>
        <v>36921</v>
      </c>
      <c r="N584" s="0" t="str">
        <f aca="false">'Basis Options'!F588</f>
        <v>C</v>
      </c>
      <c r="O584" s="0" t="n">
        <f aca="false">'Basis Options'!I588</f>
        <v>-0.15</v>
      </c>
      <c r="P584" s="0" t="n">
        <v>0</v>
      </c>
      <c r="Q584" s="0" t="n">
        <v>0</v>
      </c>
      <c r="R584" s="0" t="n">
        <v>0</v>
      </c>
      <c r="S584" s="0" t="n">
        <v>0</v>
      </c>
      <c r="T584" s="0" t="s">
        <v>624</v>
      </c>
      <c r="U584" s="0" t="str">
        <f aca="false">IF('Basis Options'!D588="NGI/CHI. GATE","""NGI/CHI. GATE""",TRIM('Basis Options'!D588))</f>
        <v>IF-PAN/TX/OK</v>
      </c>
      <c r="V584" s="0" t="s">
        <v>624</v>
      </c>
      <c r="W584" s="0" t="s">
        <v>569</v>
      </c>
      <c r="X584" s="0" t="s">
        <v>624</v>
      </c>
      <c r="Y584" s="0" t="s">
        <v>627</v>
      </c>
      <c r="Z584" s="0" t="s">
        <v>629</v>
      </c>
      <c r="AA584" s="0" t="s">
        <v>624</v>
      </c>
      <c r="AB584" s="0" t="s">
        <v>132</v>
      </c>
      <c r="AC584" s="254" t="n">
        <f aca="false">'Basis Options'!H588</f>
        <v>-280000</v>
      </c>
      <c r="AD584" s="254" t="e">
        <f aca="false">'Basis Options'!W588</f>
        <v>#NAME?</v>
      </c>
      <c r="AE584" s="0" t="n">
        <v>0</v>
      </c>
      <c r="AF584" s="0" t="n">
        <v>0</v>
      </c>
      <c r="AG584" s="0" t="n">
        <v>0</v>
      </c>
      <c r="AH584" s="254" t="e">
        <f aca="false">'Basis Options'!CD589</f>
        <v>#NAME?</v>
      </c>
      <c r="AI584" s="0" t="n">
        <v>226</v>
      </c>
      <c r="AJ584" s="0" t="s">
        <v>630</v>
      </c>
      <c r="AK584" s="0" t="n">
        <v>0</v>
      </c>
      <c r="AL584" s="0" t="n">
        <v>0</v>
      </c>
      <c r="AM584" s="0" t="n">
        <v>0</v>
      </c>
    </row>
    <row r="585" customFormat="false" ht="12.75" hidden="false" customHeight="false" outlineLevel="0" collapsed="false">
      <c r="A585" s="0" t="s">
        <v>621</v>
      </c>
      <c r="B585" s="0" t="str">
        <f aca="false">'Basis Options'!C589</f>
        <v>NT6024</v>
      </c>
      <c r="C585" s="0" t="s">
        <v>622</v>
      </c>
      <c r="D585" s="0" t="s">
        <v>623</v>
      </c>
      <c r="E585" s="0" t="s">
        <v>131</v>
      </c>
      <c r="F585" s="0" t="str">
        <f aca="false">'Basis Options'!A589</f>
        <v>RELIANTENESER</v>
      </c>
      <c r="G585" s="0" t="s">
        <v>628</v>
      </c>
      <c r="H585" s="0" t="s">
        <v>625</v>
      </c>
      <c r="I585" s="0" t="s">
        <v>626</v>
      </c>
      <c r="J585" s="0" t="s">
        <v>627</v>
      </c>
      <c r="K585" s="475" t="n">
        <f aca="false">'Basis Options'!G589</f>
        <v>36951</v>
      </c>
      <c r="L585" s="254" t="e">
        <f aca="false">'Basis Options'!U589</f>
        <v>#NAME?</v>
      </c>
      <c r="M585" s="475" t="n">
        <f aca="false">'Basis Options'!Q589</f>
        <v>36949</v>
      </c>
      <c r="N585" s="0" t="str">
        <f aca="false">'Basis Options'!F589</f>
        <v>C</v>
      </c>
      <c r="O585" s="0" t="n">
        <f aca="false">'Basis Options'!I589</f>
        <v>-0.15</v>
      </c>
      <c r="P585" s="0" t="n">
        <v>0</v>
      </c>
      <c r="Q585" s="0" t="n">
        <v>0</v>
      </c>
      <c r="R585" s="0" t="n">
        <v>0</v>
      </c>
      <c r="S585" s="0" t="n">
        <v>0</v>
      </c>
      <c r="T585" s="0" t="s">
        <v>624</v>
      </c>
      <c r="U585" s="0" t="str">
        <f aca="false">IF('Basis Options'!D589="NGI/CHI. GATE","""NGI/CHI. GATE""",TRIM('Basis Options'!D589))</f>
        <v>IF-PAN/TX/OK</v>
      </c>
      <c r="V585" s="0" t="s">
        <v>624</v>
      </c>
      <c r="W585" s="0" t="s">
        <v>569</v>
      </c>
      <c r="X585" s="0" t="s">
        <v>624</v>
      </c>
      <c r="Y585" s="0" t="s">
        <v>627</v>
      </c>
      <c r="Z585" s="0" t="s">
        <v>629</v>
      </c>
      <c r="AA585" s="0" t="s">
        <v>624</v>
      </c>
      <c r="AB585" s="0" t="s">
        <v>132</v>
      </c>
      <c r="AC585" s="254" t="n">
        <f aca="false">'Basis Options'!H589</f>
        <v>-310000</v>
      </c>
      <c r="AD585" s="254" t="e">
        <f aca="false">'Basis Options'!W589</f>
        <v>#NAME?</v>
      </c>
      <c r="AE585" s="0" t="n">
        <v>0</v>
      </c>
      <c r="AF585" s="0" t="n">
        <v>0</v>
      </c>
      <c r="AG585" s="0" t="n">
        <v>0</v>
      </c>
      <c r="AH585" s="254" t="e">
        <f aca="false">'Basis Options'!CD590</f>
        <v>#NAME?</v>
      </c>
      <c r="AI585" s="0" t="n">
        <v>226</v>
      </c>
      <c r="AJ585" s="0" t="s">
        <v>630</v>
      </c>
      <c r="AK585" s="0" t="n">
        <v>0</v>
      </c>
      <c r="AL585" s="0" t="n">
        <v>0</v>
      </c>
      <c r="AM585" s="0" t="n">
        <v>0</v>
      </c>
    </row>
    <row r="586" customFormat="false" ht="12.75" hidden="false" customHeight="false" outlineLevel="0" collapsed="false">
      <c r="A586" s="0" t="s">
        <v>621</v>
      </c>
      <c r="B586" s="0" t="str">
        <f aca="false">'Basis Options'!C590</f>
        <v>NT8124.1</v>
      </c>
      <c r="C586" s="0" t="s">
        <v>622</v>
      </c>
      <c r="D586" s="0" t="s">
        <v>623</v>
      </c>
      <c r="E586" s="0" t="s">
        <v>131</v>
      </c>
      <c r="F586" s="0" t="str">
        <f aca="false">'Basis Options'!A590</f>
        <v>ELPASMER</v>
      </c>
      <c r="G586" s="0" t="s">
        <v>628</v>
      </c>
      <c r="H586" s="0" t="s">
        <v>625</v>
      </c>
      <c r="I586" s="0" t="s">
        <v>626</v>
      </c>
      <c r="J586" s="0" t="s">
        <v>627</v>
      </c>
      <c r="K586" s="475" t="n">
        <f aca="false">'Basis Options'!G590</f>
        <v>36831</v>
      </c>
      <c r="L586" s="254" t="e">
        <f aca="false">'Basis Options'!U590</f>
        <v>#NAME?</v>
      </c>
      <c r="M586" s="475" t="n">
        <f aca="false">'Basis Options'!Q590</f>
        <v>36829</v>
      </c>
      <c r="N586" s="0" t="str">
        <f aca="false">'Basis Options'!F590</f>
        <v>P</v>
      </c>
      <c r="O586" s="0" t="n">
        <f aca="false">'Basis Options'!I590</f>
        <v>1</v>
      </c>
      <c r="P586" s="0" t="n">
        <v>0</v>
      </c>
      <c r="Q586" s="0" t="n">
        <v>0</v>
      </c>
      <c r="R586" s="0" t="n">
        <v>0</v>
      </c>
      <c r="S586" s="0" t="n">
        <v>0</v>
      </c>
      <c r="T586" s="0" t="s">
        <v>624</v>
      </c>
      <c r="U586" s="0" t="str">
        <f aca="false">IF('Basis Options'!D590="NGI/CHI. GATE","""NGI/CHI. GATE""",TRIM('Basis Options'!D590))</f>
        <v>IF-TRANSCO/Z6</v>
      </c>
      <c r="V586" s="0" t="s">
        <v>624</v>
      </c>
      <c r="W586" s="0" t="s">
        <v>569</v>
      </c>
      <c r="X586" s="0" t="s">
        <v>624</v>
      </c>
      <c r="Y586" s="0" t="s">
        <v>627</v>
      </c>
      <c r="Z586" s="0" t="s">
        <v>629</v>
      </c>
      <c r="AA586" s="0" t="s">
        <v>624</v>
      </c>
      <c r="AB586" s="0" t="s">
        <v>132</v>
      </c>
      <c r="AC586" s="254" t="n">
        <f aca="false">'Basis Options'!H590</f>
        <v>500000</v>
      </c>
      <c r="AD586" s="254" t="e">
        <f aca="false">'Basis Options'!W590</f>
        <v>#NAME?</v>
      </c>
      <c r="AE586" s="0" t="n">
        <v>0</v>
      </c>
      <c r="AF586" s="0" t="n">
        <v>0</v>
      </c>
      <c r="AG586" s="0" t="n">
        <v>0</v>
      </c>
      <c r="AH586" s="254" t="e">
        <f aca="false">'Basis Options'!CD591</f>
        <v>#NAME?</v>
      </c>
      <c r="AI586" s="0" t="n">
        <v>226</v>
      </c>
      <c r="AJ586" s="0" t="s">
        <v>630</v>
      </c>
      <c r="AK586" s="0" t="n">
        <v>0</v>
      </c>
      <c r="AL586" s="0" t="n">
        <v>0</v>
      </c>
      <c r="AM586" s="0" t="n">
        <v>0</v>
      </c>
    </row>
    <row r="587" customFormat="false" ht="12.75" hidden="false" customHeight="false" outlineLevel="0" collapsed="false">
      <c r="A587" s="0" t="s">
        <v>621</v>
      </c>
      <c r="B587" s="0" t="str">
        <f aca="false">'Basis Options'!C591</f>
        <v>NT8124.1</v>
      </c>
      <c r="C587" s="0" t="s">
        <v>622</v>
      </c>
      <c r="D587" s="0" t="s">
        <v>623</v>
      </c>
      <c r="E587" s="0" t="s">
        <v>131</v>
      </c>
      <c r="F587" s="0" t="str">
        <f aca="false">'Basis Options'!A591</f>
        <v>ELPASMER</v>
      </c>
      <c r="G587" s="0" t="s">
        <v>628</v>
      </c>
      <c r="H587" s="0" t="s">
        <v>625</v>
      </c>
      <c r="I587" s="0" t="s">
        <v>626</v>
      </c>
      <c r="J587" s="0" t="s">
        <v>627</v>
      </c>
      <c r="K587" s="475" t="n">
        <f aca="false">'Basis Options'!G591</f>
        <v>36861</v>
      </c>
      <c r="L587" s="254" t="e">
        <f aca="false">'Basis Options'!U591</f>
        <v>#NAME?</v>
      </c>
      <c r="M587" s="475" t="n">
        <f aca="false">'Basis Options'!Q591</f>
        <v>36859</v>
      </c>
      <c r="N587" s="0" t="str">
        <f aca="false">'Basis Options'!F591</f>
        <v>P</v>
      </c>
      <c r="O587" s="0" t="n">
        <f aca="false">'Basis Options'!I591</f>
        <v>1</v>
      </c>
      <c r="P587" s="0" t="n">
        <v>0</v>
      </c>
      <c r="Q587" s="0" t="n">
        <v>0</v>
      </c>
      <c r="R587" s="0" t="n">
        <v>0</v>
      </c>
      <c r="S587" s="0" t="n">
        <v>0</v>
      </c>
      <c r="T587" s="0" t="s">
        <v>624</v>
      </c>
      <c r="U587" s="0" t="str">
        <f aca="false">IF('Basis Options'!D591="NGI/CHI. GATE","""NGI/CHI. GATE""",TRIM('Basis Options'!D591))</f>
        <v>IF-TRANSCO/Z6</v>
      </c>
      <c r="V587" s="0" t="s">
        <v>624</v>
      </c>
      <c r="W587" s="0" t="s">
        <v>569</v>
      </c>
      <c r="X587" s="0" t="s">
        <v>624</v>
      </c>
      <c r="Y587" s="0" t="s">
        <v>627</v>
      </c>
      <c r="Z587" s="0" t="s">
        <v>629</v>
      </c>
      <c r="AA587" s="0" t="s">
        <v>624</v>
      </c>
      <c r="AB587" s="0" t="s">
        <v>132</v>
      </c>
      <c r="AC587" s="254" t="n">
        <f aca="false">'Basis Options'!H591</f>
        <v>500000</v>
      </c>
      <c r="AD587" s="254" t="e">
        <f aca="false">'Basis Options'!W591</f>
        <v>#NAME?</v>
      </c>
      <c r="AE587" s="0" t="n">
        <v>0</v>
      </c>
      <c r="AF587" s="0" t="n">
        <v>0</v>
      </c>
      <c r="AG587" s="0" t="n">
        <v>0</v>
      </c>
      <c r="AH587" s="254" t="e">
        <f aca="false">'Basis Options'!CD592</f>
        <v>#NAME?</v>
      </c>
      <c r="AI587" s="0" t="n">
        <v>226</v>
      </c>
      <c r="AJ587" s="0" t="s">
        <v>630</v>
      </c>
      <c r="AK587" s="0" t="n">
        <v>0</v>
      </c>
      <c r="AL587" s="0" t="n">
        <v>0</v>
      </c>
      <c r="AM587" s="0" t="n">
        <v>0</v>
      </c>
    </row>
    <row r="588" customFormat="false" ht="12.75" hidden="false" customHeight="false" outlineLevel="0" collapsed="false">
      <c r="A588" s="0" t="s">
        <v>621</v>
      </c>
      <c r="B588" s="0" t="str">
        <f aca="false">'Basis Options'!C592</f>
        <v>NT8124.1</v>
      </c>
      <c r="C588" s="0" t="s">
        <v>622</v>
      </c>
      <c r="D588" s="0" t="s">
        <v>623</v>
      </c>
      <c r="E588" s="0" t="s">
        <v>131</v>
      </c>
      <c r="F588" s="0" t="str">
        <f aca="false">'Basis Options'!A592</f>
        <v>ELPASMER</v>
      </c>
      <c r="G588" s="0" t="s">
        <v>628</v>
      </c>
      <c r="H588" s="0" t="s">
        <v>625</v>
      </c>
      <c r="I588" s="0" t="s">
        <v>626</v>
      </c>
      <c r="J588" s="0" t="s">
        <v>627</v>
      </c>
      <c r="K588" s="475" t="n">
        <f aca="false">'Basis Options'!G592</f>
        <v>36892</v>
      </c>
      <c r="L588" s="254" t="e">
        <f aca="false">'Basis Options'!U592</f>
        <v>#NAME?</v>
      </c>
      <c r="M588" s="475" t="n">
        <f aca="false">'Basis Options'!Q592</f>
        <v>36888</v>
      </c>
      <c r="N588" s="0" t="str">
        <f aca="false">'Basis Options'!F592</f>
        <v>P</v>
      </c>
      <c r="O588" s="0" t="n">
        <f aca="false">'Basis Options'!I592</f>
        <v>1</v>
      </c>
      <c r="P588" s="0" t="n">
        <v>0</v>
      </c>
      <c r="Q588" s="0" t="n">
        <v>0</v>
      </c>
      <c r="R588" s="0" t="n">
        <v>0</v>
      </c>
      <c r="S588" s="0" t="n">
        <v>0</v>
      </c>
      <c r="T588" s="0" t="s">
        <v>624</v>
      </c>
      <c r="U588" s="0" t="str">
        <f aca="false">IF('Basis Options'!D592="NGI/CHI. GATE","""NGI/CHI. GATE""",TRIM('Basis Options'!D592))</f>
        <v>IF-TRANSCO/Z6</v>
      </c>
      <c r="V588" s="0" t="s">
        <v>624</v>
      </c>
      <c r="W588" s="0" t="s">
        <v>569</v>
      </c>
      <c r="X588" s="0" t="s">
        <v>624</v>
      </c>
      <c r="Y588" s="0" t="s">
        <v>627</v>
      </c>
      <c r="Z588" s="0" t="s">
        <v>629</v>
      </c>
      <c r="AA588" s="0" t="s">
        <v>624</v>
      </c>
      <c r="AB588" s="0" t="s">
        <v>132</v>
      </c>
      <c r="AC588" s="254" t="n">
        <f aca="false">'Basis Options'!H592</f>
        <v>500000</v>
      </c>
      <c r="AD588" s="254" t="e">
        <f aca="false">'Basis Options'!W592</f>
        <v>#NAME?</v>
      </c>
      <c r="AE588" s="0" t="n">
        <v>0</v>
      </c>
      <c r="AF588" s="0" t="n">
        <v>0</v>
      </c>
      <c r="AG588" s="0" t="n">
        <v>0</v>
      </c>
      <c r="AH588" s="254" t="e">
        <f aca="false">'Basis Options'!CD593</f>
        <v>#NAME?</v>
      </c>
      <c r="AI588" s="0" t="n">
        <v>226</v>
      </c>
      <c r="AJ588" s="0" t="s">
        <v>630</v>
      </c>
      <c r="AK588" s="0" t="n">
        <v>0</v>
      </c>
      <c r="AL588" s="0" t="n">
        <v>0</v>
      </c>
      <c r="AM588" s="0" t="n">
        <v>0</v>
      </c>
    </row>
    <row r="589" customFormat="false" ht="12.75" hidden="false" customHeight="false" outlineLevel="0" collapsed="false">
      <c r="A589" s="0" t="s">
        <v>621</v>
      </c>
      <c r="B589" s="0" t="str">
        <f aca="false">'Basis Options'!C593</f>
        <v>NT8124.1</v>
      </c>
      <c r="C589" s="0" t="s">
        <v>622</v>
      </c>
      <c r="D589" s="0" t="s">
        <v>623</v>
      </c>
      <c r="E589" s="0" t="s">
        <v>131</v>
      </c>
      <c r="F589" s="0" t="str">
        <f aca="false">'Basis Options'!A593</f>
        <v>ELPASMER</v>
      </c>
      <c r="G589" s="0" t="s">
        <v>628</v>
      </c>
      <c r="H589" s="0" t="s">
        <v>625</v>
      </c>
      <c r="I589" s="0" t="s">
        <v>626</v>
      </c>
      <c r="J589" s="0" t="s">
        <v>627</v>
      </c>
      <c r="K589" s="475" t="n">
        <f aca="false">'Basis Options'!G593</f>
        <v>36923</v>
      </c>
      <c r="L589" s="254" t="e">
        <f aca="false">'Basis Options'!U593</f>
        <v>#NAME?</v>
      </c>
      <c r="M589" s="475" t="n">
        <f aca="false">'Basis Options'!Q593</f>
        <v>36921</v>
      </c>
      <c r="N589" s="0" t="str">
        <f aca="false">'Basis Options'!F593</f>
        <v>P</v>
      </c>
      <c r="O589" s="0" t="n">
        <f aca="false">'Basis Options'!I593</f>
        <v>1</v>
      </c>
      <c r="P589" s="0" t="n">
        <v>0</v>
      </c>
      <c r="Q589" s="0" t="n">
        <v>0</v>
      </c>
      <c r="R589" s="0" t="n">
        <v>0</v>
      </c>
      <c r="S589" s="0" t="n">
        <v>0</v>
      </c>
      <c r="T589" s="0" t="s">
        <v>624</v>
      </c>
      <c r="U589" s="0" t="str">
        <f aca="false">IF('Basis Options'!D593="NGI/CHI. GATE","""NGI/CHI. GATE""",TRIM('Basis Options'!D593))</f>
        <v>IF-TRANSCO/Z6</v>
      </c>
      <c r="V589" s="0" t="s">
        <v>624</v>
      </c>
      <c r="W589" s="0" t="s">
        <v>569</v>
      </c>
      <c r="X589" s="0" t="s">
        <v>624</v>
      </c>
      <c r="Y589" s="0" t="s">
        <v>627</v>
      </c>
      <c r="Z589" s="0" t="s">
        <v>629</v>
      </c>
      <c r="AA589" s="0" t="s">
        <v>624</v>
      </c>
      <c r="AB589" s="0" t="s">
        <v>132</v>
      </c>
      <c r="AC589" s="254" t="n">
        <f aca="false">'Basis Options'!H593</f>
        <v>500000</v>
      </c>
      <c r="AD589" s="254" t="e">
        <f aca="false">'Basis Options'!W593</f>
        <v>#NAME?</v>
      </c>
      <c r="AE589" s="0" t="n">
        <v>0</v>
      </c>
      <c r="AF589" s="0" t="n">
        <v>0</v>
      </c>
      <c r="AG589" s="0" t="n">
        <v>0</v>
      </c>
      <c r="AH589" s="254" t="e">
        <f aca="false">'Basis Options'!CD594</f>
        <v>#NAME?</v>
      </c>
      <c r="AI589" s="0" t="n">
        <v>226</v>
      </c>
      <c r="AJ589" s="0" t="s">
        <v>630</v>
      </c>
      <c r="AK589" s="0" t="n">
        <v>0</v>
      </c>
      <c r="AL589" s="0" t="n">
        <v>0</v>
      </c>
      <c r="AM589" s="0" t="n">
        <v>0</v>
      </c>
    </row>
    <row r="590" customFormat="false" ht="12.75" hidden="false" customHeight="false" outlineLevel="0" collapsed="false">
      <c r="A590" s="0" t="s">
        <v>621</v>
      </c>
      <c r="B590" s="0" t="str">
        <f aca="false">'Basis Options'!C594</f>
        <v>NT8124.1</v>
      </c>
      <c r="C590" s="0" t="s">
        <v>622</v>
      </c>
      <c r="D590" s="0" t="s">
        <v>623</v>
      </c>
      <c r="E590" s="0" t="s">
        <v>131</v>
      </c>
      <c r="F590" s="0" t="str">
        <f aca="false">'Basis Options'!A594</f>
        <v>ELPASMER</v>
      </c>
      <c r="G590" s="0" t="s">
        <v>628</v>
      </c>
      <c r="H590" s="0" t="s">
        <v>625</v>
      </c>
      <c r="I590" s="0" t="s">
        <v>626</v>
      </c>
      <c r="J590" s="0" t="s">
        <v>627</v>
      </c>
      <c r="K590" s="475" t="n">
        <f aca="false">'Basis Options'!G594</f>
        <v>36951</v>
      </c>
      <c r="L590" s="254" t="e">
        <f aca="false">'Basis Options'!U594</f>
        <v>#NAME?</v>
      </c>
      <c r="M590" s="475" t="n">
        <f aca="false">'Basis Options'!Q594</f>
        <v>36949</v>
      </c>
      <c r="N590" s="0" t="str">
        <f aca="false">'Basis Options'!F594</f>
        <v>P</v>
      </c>
      <c r="O590" s="0" t="n">
        <f aca="false">'Basis Options'!I594</f>
        <v>1</v>
      </c>
      <c r="P590" s="0" t="n">
        <v>0</v>
      </c>
      <c r="Q590" s="0" t="n">
        <v>0</v>
      </c>
      <c r="R590" s="0" t="n">
        <v>0</v>
      </c>
      <c r="S590" s="0" t="n">
        <v>0</v>
      </c>
      <c r="T590" s="0" t="s">
        <v>624</v>
      </c>
      <c r="U590" s="0" t="str">
        <f aca="false">IF('Basis Options'!D594="NGI/CHI. GATE","""NGI/CHI. GATE""",TRIM('Basis Options'!D594))</f>
        <v>IF-TRANSCO/Z6</v>
      </c>
      <c r="V590" s="0" t="s">
        <v>624</v>
      </c>
      <c r="W590" s="0" t="s">
        <v>569</v>
      </c>
      <c r="X590" s="0" t="s">
        <v>624</v>
      </c>
      <c r="Y590" s="0" t="s">
        <v>627</v>
      </c>
      <c r="Z590" s="0" t="s">
        <v>629</v>
      </c>
      <c r="AA590" s="0" t="s">
        <v>624</v>
      </c>
      <c r="AB590" s="0" t="s">
        <v>132</v>
      </c>
      <c r="AC590" s="254" t="n">
        <f aca="false">'Basis Options'!H594</f>
        <v>500000</v>
      </c>
      <c r="AD590" s="254" t="e">
        <f aca="false">'Basis Options'!W594</f>
        <v>#NAME?</v>
      </c>
      <c r="AE590" s="0" t="n">
        <v>0</v>
      </c>
      <c r="AF590" s="0" t="n">
        <v>0</v>
      </c>
      <c r="AG590" s="0" t="n">
        <v>0</v>
      </c>
      <c r="AH590" s="254" t="e">
        <f aca="false">'Basis Options'!CD595</f>
        <v>#NAME?</v>
      </c>
      <c r="AI590" s="0" t="n">
        <v>226</v>
      </c>
      <c r="AJ590" s="0" t="s">
        <v>630</v>
      </c>
      <c r="AK590" s="0" t="n">
        <v>0</v>
      </c>
      <c r="AL590" s="0" t="n">
        <v>0</v>
      </c>
      <c r="AM590" s="0" t="n">
        <v>0</v>
      </c>
    </row>
    <row r="591" customFormat="false" ht="12.75" hidden="false" customHeight="false" outlineLevel="0" collapsed="false">
      <c r="A591" s="0" t="s">
        <v>621</v>
      </c>
      <c r="B591" s="0" t="str">
        <f aca="false">'Basis Options'!C595</f>
        <v>NT8124.3</v>
      </c>
      <c r="C591" s="0" t="s">
        <v>622</v>
      </c>
      <c r="D591" s="0" t="s">
        <v>623</v>
      </c>
      <c r="E591" s="0" t="s">
        <v>131</v>
      </c>
      <c r="F591" s="0" t="str">
        <f aca="false">'Basis Options'!A595</f>
        <v>ELPASMER</v>
      </c>
      <c r="G591" s="0" t="s">
        <v>628</v>
      </c>
      <c r="H591" s="0" t="s">
        <v>625</v>
      </c>
      <c r="I591" s="0" t="s">
        <v>626</v>
      </c>
      <c r="J591" s="0" t="s">
        <v>627</v>
      </c>
      <c r="K591" s="475" t="n">
        <f aca="false">'Basis Options'!G595</f>
        <v>36831</v>
      </c>
      <c r="L591" s="254" t="e">
        <f aca="false">'Basis Options'!U595</f>
        <v>#NAME?</v>
      </c>
      <c r="M591" s="475" t="n">
        <f aca="false">'Basis Options'!Q595</f>
        <v>36829</v>
      </c>
      <c r="N591" s="0" t="str">
        <f aca="false">'Basis Options'!F595</f>
        <v>C</v>
      </c>
      <c r="O591" s="0" t="n">
        <f aca="false">'Basis Options'!I595</f>
        <v>2.5</v>
      </c>
      <c r="P591" s="0" t="n">
        <v>0</v>
      </c>
      <c r="Q591" s="0" t="n">
        <v>0</v>
      </c>
      <c r="R591" s="0" t="n">
        <v>0</v>
      </c>
      <c r="S591" s="0" t="n">
        <v>0</v>
      </c>
      <c r="T591" s="0" t="s">
        <v>624</v>
      </c>
      <c r="U591" s="0" t="str">
        <f aca="false">IF('Basis Options'!D595="NGI/CHI. GATE","""NGI/CHI. GATE""",TRIM('Basis Options'!D595))</f>
        <v>IF-TRANSCO/Z6</v>
      </c>
      <c r="V591" s="0" t="s">
        <v>624</v>
      </c>
      <c r="W591" s="0" t="s">
        <v>569</v>
      </c>
      <c r="X591" s="0" t="s">
        <v>624</v>
      </c>
      <c r="Y591" s="0" t="s">
        <v>627</v>
      </c>
      <c r="Z591" s="0" t="s">
        <v>629</v>
      </c>
      <c r="AA591" s="0" t="s">
        <v>624</v>
      </c>
      <c r="AB591" s="0" t="s">
        <v>132</v>
      </c>
      <c r="AC591" s="254" t="n">
        <f aca="false">'Basis Options'!H595</f>
        <v>-300000</v>
      </c>
      <c r="AD591" s="254" t="e">
        <f aca="false">'Basis Options'!W595</f>
        <v>#NAME?</v>
      </c>
      <c r="AE591" s="0" t="n">
        <v>0</v>
      </c>
      <c r="AF591" s="0" t="n">
        <v>0</v>
      </c>
      <c r="AG591" s="0" t="n">
        <v>0</v>
      </c>
      <c r="AH591" s="254" t="e">
        <f aca="false">'Basis Options'!CD596</f>
        <v>#NAME?</v>
      </c>
      <c r="AI591" s="0" t="n">
        <v>226</v>
      </c>
      <c r="AJ591" s="0" t="s">
        <v>630</v>
      </c>
      <c r="AK591" s="0" t="n">
        <v>0</v>
      </c>
      <c r="AL591" s="0" t="n">
        <v>0</v>
      </c>
      <c r="AM591" s="0" t="n">
        <v>0</v>
      </c>
    </row>
    <row r="592" customFormat="false" ht="12.75" hidden="false" customHeight="false" outlineLevel="0" collapsed="false">
      <c r="A592" s="0" t="s">
        <v>621</v>
      </c>
      <c r="B592" s="0" t="str">
        <f aca="false">'Basis Options'!C596</f>
        <v>NT8124.3</v>
      </c>
      <c r="C592" s="0" t="s">
        <v>622</v>
      </c>
      <c r="D592" s="0" t="s">
        <v>623</v>
      </c>
      <c r="E592" s="0" t="s">
        <v>131</v>
      </c>
      <c r="F592" s="0" t="str">
        <f aca="false">'Basis Options'!A596</f>
        <v>ELPASMER</v>
      </c>
      <c r="G592" s="0" t="s">
        <v>628</v>
      </c>
      <c r="H592" s="0" t="s">
        <v>625</v>
      </c>
      <c r="I592" s="0" t="s">
        <v>626</v>
      </c>
      <c r="J592" s="0" t="s">
        <v>627</v>
      </c>
      <c r="K592" s="475" t="n">
        <f aca="false">'Basis Options'!G596</f>
        <v>36861</v>
      </c>
      <c r="L592" s="254" t="e">
        <f aca="false">'Basis Options'!U596</f>
        <v>#NAME?</v>
      </c>
      <c r="M592" s="475" t="n">
        <f aca="false">'Basis Options'!Q596</f>
        <v>36859</v>
      </c>
      <c r="N592" s="0" t="str">
        <f aca="false">'Basis Options'!F596</f>
        <v>C</v>
      </c>
      <c r="O592" s="0" t="n">
        <f aca="false">'Basis Options'!I596</f>
        <v>2.5</v>
      </c>
      <c r="P592" s="0" t="n">
        <v>0</v>
      </c>
      <c r="Q592" s="0" t="n">
        <v>0</v>
      </c>
      <c r="R592" s="0" t="n">
        <v>0</v>
      </c>
      <c r="S592" s="0" t="n">
        <v>0</v>
      </c>
      <c r="T592" s="0" t="s">
        <v>624</v>
      </c>
      <c r="U592" s="0" t="str">
        <f aca="false">IF('Basis Options'!D596="NGI/CHI. GATE","""NGI/CHI. GATE""",TRIM('Basis Options'!D596))</f>
        <v>IF-TRANSCO/Z6</v>
      </c>
      <c r="V592" s="0" t="s">
        <v>624</v>
      </c>
      <c r="W592" s="0" t="s">
        <v>569</v>
      </c>
      <c r="X592" s="0" t="s">
        <v>624</v>
      </c>
      <c r="Y592" s="0" t="s">
        <v>627</v>
      </c>
      <c r="Z592" s="0" t="s">
        <v>629</v>
      </c>
      <c r="AA592" s="0" t="s">
        <v>624</v>
      </c>
      <c r="AB592" s="0" t="s">
        <v>132</v>
      </c>
      <c r="AC592" s="254" t="n">
        <f aca="false">'Basis Options'!H596</f>
        <v>-310000</v>
      </c>
      <c r="AD592" s="254" t="e">
        <f aca="false">'Basis Options'!W596</f>
        <v>#NAME?</v>
      </c>
      <c r="AE592" s="0" t="n">
        <v>0</v>
      </c>
      <c r="AF592" s="0" t="n">
        <v>0</v>
      </c>
      <c r="AG592" s="0" t="n">
        <v>0</v>
      </c>
      <c r="AH592" s="254" t="e">
        <f aca="false">'Basis Options'!CD597</f>
        <v>#NAME?</v>
      </c>
      <c r="AI592" s="0" t="n">
        <v>226</v>
      </c>
      <c r="AJ592" s="0" t="s">
        <v>630</v>
      </c>
      <c r="AK592" s="0" t="n">
        <v>0</v>
      </c>
      <c r="AL592" s="0" t="n">
        <v>0</v>
      </c>
      <c r="AM592" s="0" t="n">
        <v>0</v>
      </c>
    </row>
    <row r="593" customFormat="false" ht="12.75" hidden="false" customHeight="false" outlineLevel="0" collapsed="false">
      <c r="A593" s="0" t="s">
        <v>621</v>
      </c>
      <c r="B593" s="0" t="str">
        <f aca="false">'Basis Options'!C597</f>
        <v>NT8124.3</v>
      </c>
      <c r="C593" s="0" t="s">
        <v>622</v>
      </c>
      <c r="D593" s="0" t="s">
        <v>623</v>
      </c>
      <c r="E593" s="0" t="s">
        <v>131</v>
      </c>
      <c r="F593" s="0" t="str">
        <f aca="false">'Basis Options'!A597</f>
        <v>ELPASMER</v>
      </c>
      <c r="G593" s="0" t="s">
        <v>628</v>
      </c>
      <c r="H593" s="0" t="s">
        <v>625</v>
      </c>
      <c r="I593" s="0" t="s">
        <v>626</v>
      </c>
      <c r="J593" s="0" t="s">
        <v>627</v>
      </c>
      <c r="K593" s="475" t="n">
        <f aca="false">'Basis Options'!G597</f>
        <v>36892</v>
      </c>
      <c r="L593" s="254" t="e">
        <f aca="false">'Basis Options'!U597</f>
        <v>#NAME?</v>
      </c>
      <c r="M593" s="475" t="n">
        <f aca="false">'Basis Options'!Q597</f>
        <v>36888</v>
      </c>
      <c r="N593" s="0" t="str">
        <f aca="false">'Basis Options'!F597</f>
        <v>C</v>
      </c>
      <c r="O593" s="0" t="n">
        <f aca="false">'Basis Options'!I597</f>
        <v>2.5</v>
      </c>
      <c r="P593" s="0" t="n">
        <v>0</v>
      </c>
      <c r="Q593" s="0" t="n">
        <v>0</v>
      </c>
      <c r="R593" s="0" t="n">
        <v>0</v>
      </c>
      <c r="S593" s="0" t="n">
        <v>0</v>
      </c>
      <c r="T593" s="0" t="s">
        <v>624</v>
      </c>
      <c r="U593" s="0" t="str">
        <f aca="false">IF('Basis Options'!D597="NGI/CHI. GATE","""NGI/CHI. GATE""",TRIM('Basis Options'!D597))</f>
        <v>IF-TRANSCO/Z6</v>
      </c>
      <c r="V593" s="0" t="s">
        <v>624</v>
      </c>
      <c r="W593" s="0" t="s">
        <v>569</v>
      </c>
      <c r="X593" s="0" t="s">
        <v>624</v>
      </c>
      <c r="Y593" s="0" t="s">
        <v>627</v>
      </c>
      <c r="Z593" s="0" t="s">
        <v>629</v>
      </c>
      <c r="AA593" s="0" t="s">
        <v>624</v>
      </c>
      <c r="AB593" s="0" t="s">
        <v>132</v>
      </c>
      <c r="AC593" s="254" t="n">
        <f aca="false">'Basis Options'!H597</f>
        <v>-310000</v>
      </c>
      <c r="AD593" s="254" t="e">
        <f aca="false">'Basis Options'!W597</f>
        <v>#NAME?</v>
      </c>
      <c r="AE593" s="0" t="n">
        <v>0</v>
      </c>
      <c r="AF593" s="0" t="n">
        <v>0</v>
      </c>
      <c r="AG593" s="0" t="n">
        <v>0</v>
      </c>
      <c r="AH593" s="254" t="e">
        <f aca="false">'Basis Options'!CD598</f>
        <v>#NAME?</v>
      </c>
      <c r="AI593" s="0" t="n">
        <v>226</v>
      </c>
      <c r="AJ593" s="0" t="s">
        <v>630</v>
      </c>
      <c r="AK593" s="0" t="n">
        <v>0</v>
      </c>
      <c r="AL593" s="0" t="n">
        <v>0</v>
      </c>
      <c r="AM593" s="0" t="n">
        <v>0</v>
      </c>
    </row>
    <row r="594" customFormat="false" ht="12.75" hidden="false" customHeight="false" outlineLevel="0" collapsed="false">
      <c r="A594" s="0" t="s">
        <v>621</v>
      </c>
      <c r="B594" s="0" t="str">
        <f aca="false">'Basis Options'!C598</f>
        <v>NT8124.3</v>
      </c>
      <c r="C594" s="0" t="s">
        <v>622</v>
      </c>
      <c r="D594" s="0" t="s">
        <v>623</v>
      </c>
      <c r="E594" s="0" t="s">
        <v>131</v>
      </c>
      <c r="F594" s="0" t="str">
        <f aca="false">'Basis Options'!A598</f>
        <v>ELPASMER</v>
      </c>
      <c r="G594" s="0" t="s">
        <v>628</v>
      </c>
      <c r="H594" s="0" t="s">
        <v>625</v>
      </c>
      <c r="I594" s="0" t="s">
        <v>626</v>
      </c>
      <c r="J594" s="0" t="s">
        <v>627</v>
      </c>
      <c r="K594" s="475" t="n">
        <f aca="false">'Basis Options'!G598</f>
        <v>36923</v>
      </c>
      <c r="L594" s="254" t="e">
        <f aca="false">'Basis Options'!U598</f>
        <v>#NAME?</v>
      </c>
      <c r="M594" s="475" t="n">
        <f aca="false">'Basis Options'!Q598</f>
        <v>36921</v>
      </c>
      <c r="N594" s="0" t="str">
        <f aca="false">'Basis Options'!F598</f>
        <v>C</v>
      </c>
      <c r="O594" s="0" t="n">
        <f aca="false">'Basis Options'!I598</f>
        <v>2.5</v>
      </c>
      <c r="P594" s="0" t="n">
        <v>0</v>
      </c>
      <c r="Q594" s="0" t="n">
        <v>0</v>
      </c>
      <c r="R594" s="0" t="n">
        <v>0</v>
      </c>
      <c r="S594" s="0" t="n">
        <v>0</v>
      </c>
      <c r="T594" s="0" t="s">
        <v>624</v>
      </c>
      <c r="U594" s="0" t="str">
        <f aca="false">IF('Basis Options'!D598="NGI/CHI. GATE","""NGI/CHI. GATE""",TRIM('Basis Options'!D598))</f>
        <v>IF-TRANSCO/Z6</v>
      </c>
      <c r="V594" s="0" t="s">
        <v>624</v>
      </c>
      <c r="W594" s="0" t="s">
        <v>569</v>
      </c>
      <c r="X594" s="0" t="s">
        <v>624</v>
      </c>
      <c r="Y594" s="0" t="s">
        <v>627</v>
      </c>
      <c r="Z594" s="0" t="s">
        <v>629</v>
      </c>
      <c r="AA594" s="0" t="s">
        <v>624</v>
      </c>
      <c r="AB594" s="0" t="s">
        <v>132</v>
      </c>
      <c r="AC594" s="254" t="n">
        <f aca="false">'Basis Options'!H598</f>
        <v>-280000</v>
      </c>
      <c r="AD594" s="254" t="e">
        <f aca="false">'Basis Options'!W598</f>
        <v>#NAME?</v>
      </c>
      <c r="AE594" s="0" t="n">
        <v>0</v>
      </c>
      <c r="AF594" s="0" t="n">
        <v>0</v>
      </c>
      <c r="AG594" s="0" t="n">
        <v>0</v>
      </c>
      <c r="AH594" s="254" t="e">
        <f aca="false">'Basis Options'!CD599</f>
        <v>#NAME?</v>
      </c>
      <c r="AI594" s="0" t="n">
        <v>226</v>
      </c>
      <c r="AJ594" s="0" t="s">
        <v>630</v>
      </c>
      <c r="AK594" s="0" t="n">
        <v>0</v>
      </c>
      <c r="AL594" s="0" t="n">
        <v>0</v>
      </c>
      <c r="AM594" s="0" t="n">
        <v>0</v>
      </c>
    </row>
    <row r="595" customFormat="false" ht="12.75" hidden="false" customHeight="false" outlineLevel="0" collapsed="false">
      <c r="A595" s="0" t="s">
        <v>621</v>
      </c>
      <c r="B595" s="0" t="str">
        <f aca="false">'Basis Options'!C599</f>
        <v>NT8124.3</v>
      </c>
      <c r="C595" s="0" t="s">
        <v>622</v>
      </c>
      <c r="D595" s="0" t="s">
        <v>623</v>
      </c>
      <c r="E595" s="0" t="s">
        <v>131</v>
      </c>
      <c r="F595" s="0" t="str">
        <f aca="false">'Basis Options'!A599</f>
        <v>ELPASMER</v>
      </c>
      <c r="G595" s="0" t="s">
        <v>628</v>
      </c>
      <c r="H595" s="0" t="s">
        <v>625</v>
      </c>
      <c r="I595" s="0" t="s">
        <v>626</v>
      </c>
      <c r="J595" s="0" t="s">
        <v>627</v>
      </c>
      <c r="K595" s="475" t="n">
        <f aca="false">'Basis Options'!G599</f>
        <v>36951</v>
      </c>
      <c r="L595" s="254" t="e">
        <f aca="false">'Basis Options'!U599</f>
        <v>#NAME?</v>
      </c>
      <c r="M595" s="475" t="n">
        <f aca="false">'Basis Options'!Q599</f>
        <v>36949</v>
      </c>
      <c r="N595" s="0" t="str">
        <f aca="false">'Basis Options'!F599</f>
        <v>C</v>
      </c>
      <c r="O595" s="0" t="n">
        <f aca="false">'Basis Options'!I599</f>
        <v>2.5</v>
      </c>
      <c r="P595" s="0" t="n">
        <v>0</v>
      </c>
      <c r="Q595" s="0" t="n">
        <v>0</v>
      </c>
      <c r="R595" s="0" t="n">
        <v>0</v>
      </c>
      <c r="S595" s="0" t="n">
        <v>0</v>
      </c>
      <c r="T595" s="0" t="s">
        <v>624</v>
      </c>
      <c r="U595" s="0" t="str">
        <f aca="false">IF('Basis Options'!D599="NGI/CHI. GATE","""NGI/CHI. GATE""",TRIM('Basis Options'!D599))</f>
        <v>IF-TRANSCO/Z6</v>
      </c>
      <c r="V595" s="0" t="s">
        <v>624</v>
      </c>
      <c r="W595" s="0" t="s">
        <v>569</v>
      </c>
      <c r="X595" s="0" t="s">
        <v>624</v>
      </c>
      <c r="Y595" s="0" t="s">
        <v>627</v>
      </c>
      <c r="Z595" s="0" t="s">
        <v>629</v>
      </c>
      <c r="AA595" s="0" t="s">
        <v>624</v>
      </c>
      <c r="AB595" s="0" t="s">
        <v>132</v>
      </c>
      <c r="AC595" s="254" t="n">
        <f aca="false">'Basis Options'!H599</f>
        <v>-310000</v>
      </c>
      <c r="AD595" s="254" t="e">
        <f aca="false">'Basis Options'!W599</f>
        <v>#NAME?</v>
      </c>
      <c r="AE595" s="0" t="n">
        <v>0</v>
      </c>
      <c r="AF595" s="0" t="n">
        <v>0</v>
      </c>
      <c r="AG595" s="0" t="n">
        <v>0</v>
      </c>
      <c r="AH595" s="254" t="e">
        <f aca="false">'Basis Options'!CD600</f>
        <v>#NAME?</v>
      </c>
      <c r="AI595" s="0" t="n">
        <v>226</v>
      </c>
      <c r="AJ595" s="0" t="s">
        <v>630</v>
      </c>
      <c r="AK595" s="0" t="n">
        <v>0</v>
      </c>
      <c r="AL595" s="0" t="n">
        <v>0</v>
      </c>
      <c r="AM595" s="0" t="n">
        <v>0</v>
      </c>
    </row>
    <row r="596" customFormat="false" ht="12.75" hidden="false" customHeight="false" outlineLevel="0" collapsed="false">
      <c r="A596" s="0" t="s">
        <v>621</v>
      </c>
      <c r="B596" s="0" t="str">
        <f aca="false">'Basis Options'!C600</f>
        <v>NT8124.4</v>
      </c>
      <c r="C596" s="0" t="s">
        <v>622</v>
      </c>
      <c r="D596" s="0" t="s">
        <v>623</v>
      </c>
      <c r="E596" s="0" t="s">
        <v>131</v>
      </c>
      <c r="F596" s="0" t="str">
        <f aca="false">'Basis Options'!A600</f>
        <v>ELPASMER</v>
      </c>
      <c r="G596" s="0" t="s">
        <v>628</v>
      </c>
      <c r="H596" s="0" t="s">
        <v>625</v>
      </c>
      <c r="I596" s="0" t="s">
        <v>626</v>
      </c>
      <c r="J596" s="0" t="s">
        <v>627</v>
      </c>
      <c r="K596" s="475" t="n">
        <f aca="false">'Basis Options'!G600</f>
        <v>36831</v>
      </c>
      <c r="L596" s="254" t="e">
        <f aca="false">'Basis Options'!U600</f>
        <v>#NAME?</v>
      </c>
      <c r="M596" s="475" t="n">
        <f aca="false">'Basis Options'!Q600</f>
        <v>36829</v>
      </c>
      <c r="N596" s="0" t="str">
        <f aca="false">'Basis Options'!F600</f>
        <v>C</v>
      </c>
      <c r="O596" s="0" t="n">
        <f aca="false">'Basis Options'!I600</f>
        <v>1.52</v>
      </c>
      <c r="P596" s="0" t="n">
        <v>0</v>
      </c>
      <c r="Q596" s="0" t="n">
        <v>0</v>
      </c>
      <c r="R596" s="0" t="n">
        <v>0</v>
      </c>
      <c r="S596" s="0" t="n">
        <v>0</v>
      </c>
      <c r="T596" s="0" t="s">
        <v>624</v>
      </c>
      <c r="U596" s="0" t="str">
        <f aca="false">IF('Basis Options'!D600="NGI/CHI. GATE","""NGI/CHI. GATE""",TRIM('Basis Options'!D600))</f>
        <v>IF-TRANSCO/Z6</v>
      </c>
      <c r="V596" s="0" t="s">
        <v>624</v>
      </c>
      <c r="W596" s="0" t="s">
        <v>569</v>
      </c>
      <c r="X596" s="0" t="s">
        <v>624</v>
      </c>
      <c r="Y596" s="0" t="s">
        <v>627</v>
      </c>
      <c r="Z596" s="0" t="s">
        <v>629</v>
      </c>
      <c r="AA596" s="0" t="s">
        <v>624</v>
      </c>
      <c r="AB596" s="0" t="s">
        <v>132</v>
      </c>
      <c r="AC596" s="254" t="n">
        <f aca="false">'Basis Options'!H600</f>
        <v>-500000</v>
      </c>
      <c r="AD596" s="254" t="e">
        <f aca="false">'Basis Options'!W600</f>
        <v>#NAME?</v>
      </c>
      <c r="AE596" s="0" t="n">
        <v>0</v>
      </c>
      <c r="AF596" s="0" t="n">
        <v>0</v>
      </c>
      <c r="AG596" s="0" t="n">
        <v>0</v>
      </c>
      <c r="AH596" s="254" t="e">
        <f aca="false">'Basis Options'!CD601</f>
        <v>#NAME?</v>
      </c>
      <c r="AI596" s="0" t="n">
        <v>226</v>
      </c>
      <c r="AJ596" s="0" t="s">
        <v>630</v>
      </c>
      <c r="AK596" s="0" t="n">
        <v>0</v>
      </c>
      <c r="AL596" s="0" t="n">
        <v>0</v>
      </c>
      <c r="AM596" s="0" t="n">
        <v>0</v>
      </c>
    </row>
    <row r="597" customFormat="false" ht="12.75" hidden="false" customHeight="false" outlineLevel="0" collapsed="false">
      <c r="A597" s="0" t="s">
        <v>621</v>
      </c>
      <c r="B597" s="0" t="str">
        <f aca="false">'Basis Options'!C601</f>
        <v>NT8124.4</v>
      </c>
      <c r="C597" s="0" t="s">
        <v>622</v>
      </c>
      <c r="D597" s="0" t="s">
        <v>623</v>
      </c>
      <c r="E597" s="0" t="s">
        <v>131</v>
      </c>
      <c r="F597" s="0" t="str">
        <f aca="false">'Basis Options'!A601</f>
        <v>ELPASMER</v>
      </c>
      <c r="G597" s="0" t="s">
        <v>628</v>
      </c>
      <c r="H597" s="0" t="s">
        <v>625</v>
      </c>
      <c r="I597" s="0" t="s">
        <v>626</v>
      </c>
      <c r="J597" s="0" t="s">
        <v>627</v>
      </c>
      <c r="K597" s="475" t="n">
        <f aca="false">'Basis Options'!G601</f>
        <v>36861</v>
      </c>
      <c r="L597" s="254" t="e">
        <f aca="false">'Basis Options'!U601</f>
        <v>#NAME?</v>
      </c>
      <c r="M597" s="475" t="n">
        <f aca="false">'Basis Options'!Q601</f>
        <v>36859</v>
      </c>
      <c r="N597" s="0" t="str">
        <f aca="false">'Basis Options'!F601</f>
        <v>C</v>
      </c>
      <c r="O597" s="0" t="n">
        <f aca="false">'Basis Options'!I601</f>
        <v>1.52</v>
      </c>
      <c r="P597" s="0" t="n">
        <v>0</v>
      </c>
      <c r="Q597" s="0" t="n">
        <v>0</v>
      </c>
      <c r="R597" s="0" t="n">
        <v>0</v>
      </c>
      <c r="S597" s="0" t="n">
        <v>0</v>
      </c>
      <c r="T597" s="0" t="s">
        <v>624</v>
      </c>
      <c r="U597" s="0" t="str">
        <f aca="false">IF('Basis Options'!D601="NGI/CHI. GATE","""NGI/CHI. GATE""",TRIM('Basis Options'!D601))</f>
        <v>IF-TRANSCO/Z6</v>
      </c>
      <c r="V597" s="0" t="s">
        <v>624</v>
      </c>
      <c r="W597" s="0" t="s">
        <v>569</v>
      </c>
      <c r="X597" s="0" t="s">
        <v>624</v>
      </c>
      <c r="Y597" s="0" t="s">
        <v>627</v>
      </c>
      <c r="Z597" s="0" t="s">
        <v>629</v>
      </c>
      <c r="AA597" s="0" t="s">
        <v>624</v>
      </c>
      <c r="AB597" s="0" t="s">
        <v>132</v>
      </c>
      <c r="AC597" s="254" t="n">
        <f aca="false">'Basis Options'!H601</f>
        <v>-500000</v>
      </c>
      <c r="AD597" s="254" t="e">
        <f aca="false">'Basis Options'!W601</f>
        <v>#NAME?</v>
      </c>
      <c r="AE597" s="0" t="n">
        <v>0</v>
      </c>
      <c r="AF597" s="0" t="n">
        <v>0</v>
      </c>
      <c r="AG597" s="0" t="n">
        <v>0</v>
      </c>
      <c r="AH597" s="254" t="e">
        <f aca="false">'Basis Options'!CD602</f>
        <v>#NAME?</v>
      </c>
      <c r="AI597" s="0" t="n">
        <v>226</v>
      </c>
      <c r="AJ597" s="0" t="s">
        <v>630</v>
      </c>
      <c r="AK597" s="0" t="n">
        <v>0</v>
      </c>
      <c r="AL597" s="0" t="n">
        <v>0</v>
      </c>
      <c r="AM597" s="0" t="n">
        <v>0</v>
      </c>
    </row>
    <row r="598" customFormat="false" ht="12.75" hidden="false" customHeight="false" outlineLevel="0" collapsed="false">
      <c r="A598" s="0" t="s">
        <v>621</v>
      </c>
      <c r="B598" s="0" t="str">
        <f aca="false">'Basis Options'!C602</f>
        <v>NT8124.4</v>
      </c>
      <c r="C598" s="0" t="s">
        <v>622</v>
      </c>
      <c r="D598" s="0" t="s">
        <v>623</v>
      </c>
      <c r="E598" s="0" t="s">
        <v>131</v>
      </c>
      <c r="F598" s="0" t="str">
        <f aca="false">'Basis Options'!A602</f>
        <v>ELPASMER</v>
      </c>
      <c r="G598" s="0" t="s">
        <v>628</v>
      </c>
      <c r="H598" s="0" t="s">
        <v>625</v>
      </c>
      <c r="I598" s="0" t="s">
        <v>626</v>
      </c>
      <c r="J598" s="0" t="s">
        <v>627</v>
      </c>
      <c r="K598" s="475" t="n">
        <f aca="false">'Basis Options'!G602</f>
        <v>36892</v>
      </c>
      <c r="L598" s="254" t="e">
        <f aca="false">'Basis Options'!U602</f>
        <v>#NAME?</v>
      </c>
      <c r="M598" s="475" t="n">
        <f aca="false">'Basis Options'!Q602</f>
        <v>36888</v>
      </c>
      <c r="N598" s="0" t="str">
        <f aca="false">'Basis Options'!F602</f>
        <v>C</v>
      </c>
      <c r="O598" s="0" t="n">
        <f aca="false">'Basis Options'!I602</f>
        <v>1.52</v>
      </c>
      <c r="P598" s="0" t="n">
        <v>0</v>
      </c>
      <c r="Q598" s="0" t="n">
        <v>0</v>
      </c>
      <c r="R598" s="0" t="n">
        <v>0</v>
      </c>
      <c r="S598" s="0" t="n">
        <v>0</v>
      </c>
      <c r="T598" s="0" t="s">
        <v>624</v>
      </c>
      <c r="U598" s="0" t="str">
        <f aca="false">IF('Basis Options'!D602="NGI/CHI. GATE","""NGI/CHI. GATE""",TRIM('Basis Options'!D602))</f>
        <v>IF-TRANSCO/Z6</v>
      </c>
      <c r="V598" s="0" t="s">
        <v>624</v>
      </c>
      <c r="W598" s="0" t="s">
        <v>569</v>
      </c>
      <c r="X598" s="0" t="s">
        <v>624</v>
      </c>
      <c r="Y598" s="0" t="s">
        <v>627</v>
      </c>
      <c r="Z598" s="0" t="s">
        <v>629</v>
      </c>
      <c r="AA598" s="0" t="s">
        <v>624</v>
      </c>
      <c r="AB598" s="0" t="s">
        <v>132</v>
      </c>
      <c r="AC598" s="254" t="n">
        <f aca="false">'Basis Options'!H602</f>
        <v>-500000</v>
      </c>
      <c r="AD598" s="254" t="e">
        <f aca="false">'Basis Options'!W602</f>
        <v>#NAME?</v>
      </c>
      <c r="AE598" s="0" t="n">
        <v>0</v>
      </c>
      <c r="AF598" s="0" t="n">
        <v>0</v>
      </c>
      <c r="AG598" s="0" t="n">
        <v>0</v>
      </c>
      <c r="AH598" s="254" t="e">
        <f aca="false">'Basis Options'!CD603</f>
        <v>#NAME?</v>
      </c>
      <c r="AI598" s="0" t="n">
        <v>226</v>
      </c>
      <c r="AJ598" s="0" t="s">
        <v>630</v>
      </c>
      <c r="AK598" s="0" t="n">
        <v>0</v>
      </c>
      <c r="AL598" s="0" t="n">
        <v>0</v>
      </c>
      <c r="AM598" s="0" t="n">
        <v>0</v>
      </c>
    </row>
    <row r="599" customFormat="false" ht="12.75" hidden="false" customHeight="false" outlineLevel="0" collapsed="false">
      <c r="A599" s="0" t="s">
        <v>621</v>
      </c>
      <c r="B599" s="0" t="str">
        <f aca="false">'Basis Options'!C603</f>
        <v>NT8124.4</v>
      </c>
      <c r="C599" s="0" t="s">
        <v>622</v>
      </c>
      <c r="D599" s="0" t="s">
        <v>623</v>
      </c>
      <c r="E599" s="0" t="s">
        <v>131</v>
      </c>
      <c r="F599" s="0" t="str">
        <f aca="false">'Basis Options'!A603</f>
        <v>ELPASMER</v>
      </c>
      <c r="G599" s="0" t="s">
        <v>628</v>
      </c>
      <c r="H599" s="0" t="s">
        <v>625</v>
      </c>
      <c r="I599" s="0" t="s">
        <v>626</v>
      </c>
      <c r="J599" s="0" t="s">
        <v>627</v>
      </c>
      <c r="K599" s="475" t="n">
        <f aca="false">'Basis Options'!G603</f>
        <v>36923</v>
      </c>
      <c r="L599" s="254" t="e">
        <f aca="false">'Basis Options'!U603</f>
        <v>#NAME?</v>
      </c>
      <c r="M599" s="475" t="n">
        <f aca="false">'Basis Options'!Q603</f>
        <v>36921</v>
      </c>
      <c r="N599" s="0" t="str">
        <f aca="false">'Basis Options'!F603</f>
        <v>C</v>
      </c>
      <c r="O599" s="0" t="n">
        <f aca="false">'Basis Options'!I603</f>
        <v>1.52</v>
      </c>
      <c r="P599" s="0" t="n">
        <v>0</v>
      </c>
      <c r="Q599" s="0" t="n">
        <v>0</v>
      </c>
      <c r="R599" s="0" t="n">
        <v>0</v>
      </c>
      <c r="S599" s="0" t="n">
        <v>0</v>
      </c>
      <c r="T599" s="0" t="s">
        <v>624</v>
      </c>
      <c r="U599" s="0" t="str">
        <f aca="false">IF('Basis Options'!D603="NGI/CHI. GATE","""NGI/CHI. GATE""",TRIM('Basis Options'!D603))</f>
        <v>IF-TRANSCO/Z6</v>
      </c>
      <c r="V599" s="0" t="s">
        <v>624</v>
      </c>
      <c r="W599" s="0" t="s">
        <v>569</v>
      </c>
      <c r="X599" s="0" t="s">
        <v>624</v>
      </c>
      <c r="Y599" s="0" t="s">
        <v>627</v>
      </c>
      <c r="Z599" s="0" t="s">
        <v>629</v>
      </c>
      <c r="AA599" s="0" t="s">
        <v>624</v>
      </c>
      <c r="AB599" s="0" t="s">
        <v>132</v>
      </c>
      <c r="AC599" s="254" t="n">
        <f aca="false">'Basis Options'!H603</f>
        <v>-500000</v>
      </c>
      <c r="AD599" s="254" t="e">
        <f aca="false">'Basis Options'!W603</f>
        <v>#NAME?</v>
      </c>
      <c r="AE599" s="0" t="n">
        <v>0</v>
      </c>
      <c r="AF599" s="0" t="n">
        <v>0</v>
      </c>
      <c r="AG599" s="0" t="n">
        <v>0</v>
      </c>
      <c r="AH599" s="254" t="e">
        <f aca="false">'Basis Options'!CD604</f>
        <v>#NAME?</v>
      </c>
      <c r="AI599" s="0" t="n">
        <v>226</v>
      </c>
      <c r="AJ599" s="0" t="s">
        <v>630</v>
      </c>
      <c r="AK599" s="0" t="n">
        <v>0</v>
      </c>
      <c r="AL599" s="0" t="n">
        <v>0</v>
      </c>
      <c r="AM599" s="0" t="n">
        <v>0</v>
      </c>
    </row>
    <row r="600" customFormat="false" ht="12.75" hidden="false" customHeight="false" outlineLevel="0" collapsed="false">
      <c r="A600" s="0" t="s">
        <v>621</v>
      </c>
      <c r="B600" s="0" t="str">
        <f aca="false">'Basis Options'!C604</f>
        <v>NT8124.4</v>
      </c>
      <c r="C600" s="0" t="s">
        <v>622</v>
      </c>
      <c r="D600" s="0" t="s">
        <v>623</v>
      </c>
      <c r="E600" s="0" t="s">
        <v>131</v>
      </c>
      <c r="F600" s="0" t="str">
        <f aca="false">'Basis Options'!A604</f>
        <v>ELPASMER</v>
      </c>
      <c r="G600" s="0" t="s">
        <v>628</v>
      </c>
      <c r="H600" s="0" t="s">
        <v>625</v>
      </c>
      <c r="I600" s="0" t="s">
        <v>626</v>
      </c>
      <c r="J600" s="0" t="s">
        <v>627</v>
      </c>
      <c r="K600" s="475" t="n">
        <f aca="false">'Basis Options'!G604</f>
        <v>36951</v>
      </c>
      <c r="L600" s="254" t="e">
        <f aca="false">'Basis Options'!U604</f>
        <v>#NAME?</v>
      </c>
      <c r="M600" s="475" t="n">
        <f aca="false">'Basis Options'!Q604</f>
        <v>36949</v>
      </c>
      <c r="N600" s="0" t="str">
        <f aca="false">'Basis Options'!F604</f>
        <v>C</v>
      </c>
      <c r="O600" s="0" t="n">
        <f aca="false">'Basis Options'!I604</f>
        <v>1.52</v>
      </c>
      <c r="P600" s="0" t="n">
        <v>0</v>
      </c>
      <c r="Q600" s="0" t="n">
        <v>0</v>
      </c>
      <c r="R600" s="0" t="n">
        <v>0</v>
      </c>
      <c r="S600" s="0" t="n">
        <v>0</v>
      </c>
      <c r="T600" s="0" t="s">
        <v>624</v>
      </c>
      <c r="U600" s="0" t="str">
        <f aca="false">IF('Basis Options'!D604="NGI/CHI. GATE","""NGI/CHI. GATE""",TRIM('Basis Options'!D604))</f>
        <v>IF-TRANSCO/Z6</v>
      </c>
      <c r="V600" s="0" t="s">
        <v>624</v>
      </c>
      <c r="W600" s="0" t="s">
        <v>569</v>
      </c>
      <c r="X600" s="0" t="s">
        <v>624</v>
      </c>
      <c r="Y600" s="0" t="s">
        <v>627</v>
      </c>
      <c r="Z600" s="0" t="s">
        <v>629</v>
      </c>
      <c r="AA600" s="0" t="s">
        <v>624</v>
      </c>
      <c r="AB600" s="0" t="s">
        <v>132</v>
      </c>
      <c r="AC600" s="254" t="n">
        <f aca="false">'Basis Options'!H604</f>
        <v>-500000</v>
      </c>
      <c r="AD600" s="254" t="e">
        <f aca="false">'Basis Options'!W604</f>
        <v>#NAME?</v>
      </c>
      <c r="AE600" s="0" t="n">
        <v>0</v>
      </c>
      <c r="AF600" s="0" t="n">
        <v>0</v>
      </c>
      <c r="AG600" s="0" t="n">
        <v>0</v>
      </c>
      <c r="AH600" s="254" t="e">
        <f aca="false">'Basis Options'!CD605</f>
        <v>#NAME?</v>
      </c>
      <c r="AI600" s="0" t="n">
        <v>226</v>
      </c>
      <c r="AJ600" s="0" t="s">
        <v>630</v>
      </c>
      <c r="AK600" s="0" t="n">
        <v>0</v>
      </c>
      <c r="AL600" s="0" t="n">
        <v>0</v>
      </c>
      <c r="AM600" s="0" t="n">
        <v>0</v>
      </c>
    </row>
    <row r="601" customFormat="false" ht="12.75" hidden="false" customHeight="false" outlineLevel="0" collapsed="false">
      <c r="A601" s="0" t="s">
        <v>621</v>
      </c>
      <c r="B601" s="0" t="str">
        <f aca="false">'Basis Options'!C605</f>
        <v>NT8124.5</v>
      </c>
      <c r="C601" s="0" t="s">
        <v>622</v>
      </c>
      <c r="D601" s="0" t="s">
        <v>623</v>
      </c>
      <c r="E601" s="0" t="s">
        <v>131</v>
      </c>
      <c r="F601" s="0" t="str">
        <f aca="false">'Basis Options'!A605</f>
        <v>ELPASMER</v>
      </c>
      <c r="G601" s="0" t="s">
        <v>628</v>
      </c>
      <c r="H601" s="0" t="s">
        <v>625</v>
      </c>
      <c r="I601" s="0" t="s">
        <v>626</v>
      </c>
      <c r="J601" s="0" t="s">
        <v>627</v>
      </c>
      <c r="K601" s="475" t="n">
        <f aca="false">'Basis Options'!G605</f>
        <v>36831</v>
      </c>
      <c r="L601" s="254" t="e">
        <f aca="false">'Basis Options'!U605</f>
        <v>#NAME?</v>
      </c>
      <c r="M601" s="475" t="n">
        <f aca="false">'Basis Options'!Q605</f>
        <v>36829</v>
      </c>
      <c r="N601" s="0" t="str">
        <f aca="false">'Basis Options'!F605</f>
        <v>P</v>
      </c>
      <c r="O601" s="0" t="n">
        <f aca="false">'Basis Options'!I605</f>
        <v>1.52</v>
      </c>
      <c r="P601" s="0" t="n">
        <v>0</v>
      </c>
      <c r="Q601" s="0" t="n">
        <v>0</v>
      </c>
      <c r="R601" s="0" t="n">
        <v>0</v>
      </c>
      <c r="S601" s="0" t="n">
        <v>0</v>
      </c>
      <c r="T601" s="0" t="s">
        <v>624</v>
      </c>
      <c r="U601" s="0" t="str">
        <f aca="false">IF('Basis Options'!D605="NGI/CHI. GATE","""NGI/CHI. GATE""",TRIM('Basis Options'!D605))</f>
        <v>IF-TRANSCO/Z6</v>
      </c>
      <c r="V601" s="0" t="s">
        <v>624</v>
      </c>
      <c r="W601" s="0" t="s">
        <v>569</v>
      </c>
      <c r="X601" s="0" t="s">
        <v>624</v>
      </c>
      <c r="Y601" s="0" t="s">
        <v>627</v>
      </c>
      <c r="Z601" s="0" t="s">
        <v>629</v>
      </c>
      <c r="AA601" s="0" t="s">
        <v>624</v>
      </c>
      <c r="AB601" s="0" t="s">
        <v>132</v>
      </c>
      <c r="AC601" s="254" t="n">
        <f aca="false">'Basis Options'!H605</f>
        <v>-500000</v>
      </c>
      <c r="AD601" s="254" t="e">
        <f aca="false">'Basis Options'!W605</f>
        <v>#NAME?</v>
      </c>
      <c r="AE601" s="0" t="n">
        <v>0</v>
      </c>
      <c r="AF601" s="0" t="n">
        <v>0</v>
      </c>
      <c r="AG601" s="0" t="n">
        <v>0</v>
      </c>
      <c r="AH601" s="254" t="e">
        <f aca="false">'Basis Options'!CD606</f>
        <v>#NAME?</v>
      </c>
      <c r="AI601" s="0" t="n">
        <v>226</v>
      </c>
      <c r="AJ601" s="0" t="s">
        <v>630</v>
      </c>
      <c r="AK601" s="0" t="n">
        <v>0</v>
      </c>
      <c r="AL601" s="0" t="n">
        <v>0</v>
      </c>
      <c r="AM601" s="0" t="n">
        <v>0</v>
      </c>
    </row>
    <row r="602" customFormat="false" ht="12.75" hidden="false" customHeight="false" outlineLevel="0" collapsed="false">
      <c r="A602" s="0" t="s">
        <v>621</v>
      </c>
      <c r="B602" s="0" t="str">
        <f aca="false">'Basis Options'!C606</f>
        <v>NT8124.5</v>
      </c>
      <c r="C602" s="0" t="s">
        <v>622</v>
      </c>
      <c r="D602" s="0" t="s">
        <v>623</v>
      </c>
      <c r="E602" s="0" t="s">
        <v>131</v>
      </c>
      <c r="F602" s="0" t="str">
        <f aca="false">'Basis Options'!A606</f>
        <v>ELPASMER</v>
      </c>
      <c r="G602" s="0" t="s">
        <v>628</v>
      </c>
      <c r="H602" s="0" t="s">
        <v>625</v>
      </c>
      <c r="I602" s="0" t="s">
        <v>626</v>
      </c>
      <c r="J602" s="0" t="s">
        <v>627</v>
      </c>
      <c r="K602" s="475" t="n">
        <f aca="false">'Basis Options'!G606</f>
        <v>36861</v>
      </c>
      <c r="L602" s="254" t="e">
        <f aca="false">'Basis Options'!U606</f>
        <v>#NAME?</v>
      </c>
      <c r="M602" s="475" t="n">
        <f aca="false">'Basis Options'!Q606</f>
        <v>36859</v>
      </c>
      <c r="N602" s="0" t="str">
        <f aca="false">'Basis Options'!F606</f>
        <v>P</v>
      </c>
      <c r="O602" s="0" t="n">
        <f aca="false">'Basis Options'!I606</f>
        <v>1.52</v>
      </c>
      <c r="P602" s="0" t="n">
        <v>0</v>
      </c>
      <c r="Q602" s="0" t="n">
        <v>0</v>
      </c>
      <c r="R602" s="0" t="n">
        <v>0</v>
      </c>
      <c r="S602" s="0" t="n">
        <v>0</v>
      </c>
      <c r="T602" s="0" t="s">
        <v>624</v>
      </c>
      <c r="U602" s="0" t="str">
        <f aca="false">IF('Basis Options'!D606="NGI/CHI. GATE","""NGI/CHI. GATE""",TRIM('Basis Options'!D606))</f>
        <v>IF-TRANSCO/Z6</v>
      </c>
      <c r="V602" s="0" t="s">
        <v>624</v>
      </c>
      <c r="W602" s="0" t="s">
        <v>569</v>
      </c>
      <c r="X602" s="0" t="s">
        <v>624</v>
      </c>
      <c r="Y602" s="0" t="s">
        <v>627</v>
      </c>
      <c r="Z602" s="0" t="s">
        <v>629</v>
      </c>
      <c r="AA602" s="0" t="s">
        <v>624</v>
      </c>
      <c r="AB602" s="0" t="s">
        <v>132</v>
      </c>
      <c r="AC602" s="254" t="n">
        <f aca="false">'Basis Options'!H606</f>
        <v>-500000</v>
      </c>
      <c r="AD602" s="254" t="e">
        <f aca="false">'Basis Options'!W606</f>
        <v>#NAME?</v>
      </c>
      <c r="AE602" s="0" t="n">
        <v>0</v>
      </c>
      <c r="AF602" s="0" t="n">
        <v>0</v>
      </c>
      <c r="AG602" s="0" t="n">
        <v>0</v>
      </c>
      <c r="AH602" s="254" t="e">
        <f aca="false">'Basis Options'!CD607</f>
        <v>#NAME?</v>
      </c>
      <c r="AI602" s="0" t="n">
        <v>226</v>
      </c>
      <c r="AJ602" s="0" t="s">
        <v>630</v>
      </c>
      <c r="AK602" s="0" t="n">
        <v>0</v>
      </c>
      <c r="AL602" s="0" t="n">
        <v>0</v>
      </c>
      <c r="AM602" s="0" t="n">
        <v>0</v>
      </c>
    </row>
    <row r="603" customFormat="false" ht="12.75" hidden="false" customHeight="false" outlineLevel="0" collapsed="false">
      <c r="A603" s="0" t="s">
        <v>621</v>
      </c>
      <c r="B603" s="0" t="str">
        <f aca="false">'Basis Options'!C607</f>
        <v>NT8124.5</v>
      </c>
      <c r="C603" s="0" t="s">
        <v>622</v>
      </c>
      <c r="D603" s="0" t="s">
        <v>623</v>
      </c>
      <c r="E603" s="0" t="s">
        <v>131</v>
      </c>
      <c r="F603" s="0" t="str">
        <f aca="false">'Basis Options'!A607</f>
        <v>ELPASMER</v>
      </c>
      <c r="G603" s="0" t="s">
        <v>628</v>
      </c>
      <c r="H603" s="0" t="s">
        <v>625</v>
      </c>
      <c r="I603" s="0" t="s">
        <v>626</v>
      </c>
      <c r="J603" s="0" t="s">
        <v>627</v>
      </c>
      <c r="K603" s="475" t="n">
        <f aca="false">'Basis Options'!G607</f>
        <v>36892</v>
      </c>
      <c r="L603" s="254" t="e">
        <f aca="false">'Basis Options'!U607</f>
        <v>#NAME?</v>
      </c>
      <c r="M603" s="475" t="n">
        <f aca="false">'Basis Options'!Q607</f>
        <v>36888</v>
      </c>
      <c r="N603" s="0" t="str">
        <f aca="false">'Basis Options'!F607</f>
        <v>P</v>
      </c>
      <c r="O603" s="0" t="n">
        <f aca="false">'Basis Options'!I607</f>
        <v>1.52</v>
      </c>
      <c r="P603" s="0" t="n">
        <v>0</v>
      </c>
      <c r="Q603" s="0" t="n">
        <v>0</v>
      </c>
      <c r="R603" s="0" t="n">
        <v>0</v>
      </c>
      <c r="S603" s="0" t="n">
        <v>0</v>
      </c>
      <c r="T603" s="0" t="s">
        <v>624</v>
      </c>
      <c r="U603" s="0" t="str">
        <f aca="false">IF('Basis Options'!D607="NGI/CHI. GATE","""NGI/CHI. GATE""",TRIM('Basis Options'!D607))</f>
        <v>IF-TRANSCO/Z6</v>
      </c>
      <c r="V603" s="0" t="s">
        <v>624</v>
      </c>
      <c r="W603" s="0" t="s">
        <v>569</v>
      </c>
      <c r="X603" s="0" t="s">
        <v>624</v>
      </c>
      <c r="Y603" s="0" t="s">
        <v>627</v>
      </c>
      <c r="Z603" s="0" t="s">
        <v>629</v>
      </c>
      <c r="AA603" s="0" t="s">
        <v>624</v>
      </c>
      <c r="AB603" s="0" t="s">
        <v>132</v>
      </c>
      <c r="AC603" s="254" t="n">
        <f aca="false">'Basis Options'!H607</f>
        <v>-500000</v>
      </c>
      <c r="AD603" s="254" t="e">
        <f aca="false">'Basis Options'!W607</f>
        <v>#NAME?</v>
      </c>
      <c r="AE603" s="0" t="n">
        <v>0</v>
      </c>
      <c r="AF603" s="0" t="n">
        <v>0</v>
      </c>
      <c r="AG603" s="0" t="n">
        <v>0</v>
      </c>
      <c r="AH603" s="254" t="e">
        <f aca="false">'Basis Options'!CD608</f>
        <v>#NAME?</v>
      </c>
      <c r="AI603" s="0" t="n">
        <v>226</v>
      </c>
      <c r="AJ603" s="0" t="s">
        <v>630</v>
      </c>
      <c r="AK603" s="0" t="n">
        <v>0</v>
      </c>
      <c r="AL603" s="0" t="n">
        <v>0</v>
      </c>
      <c r="AM603" s="0" t="n">
        <v>0</v>
      </c>
    </row>
    <row r="604" customFormat="false" ht="12.75" hidden="false" customHeight="false" outlineLevel="0" collapsed="false">
      <c r="A604" s="0" t="s">
        <v>621</v>
      </c>
      <c r="B604" s="0" t="str">
        <f aca="false">'Basis Options'!C608</f>
        <v>NT8124.5</v>
      </c>
      <c r="C604" s="0" t="s">
        <v>622</v>
      </c>
      <c r="D604" s="0" t="s">
        <v>623</v>
      </c>
      <c r="E604" s="0" t="s">
        <v>131</v>
      </c>
      <c r="F604" s="0" t="str">
        <f aca="false">'Basis Options'!A608</f>
        <v>ELPASMER</v>
      </c>
      <c r="G604" s="0" t="s">
        <v>628</v>
      </c>
      <c r="H604" s="0" t="s">
        <v>625</v>
      </c>
      <c r="I604" s="0" t="s">
        <v>626</v>
      </c>
      <c r="J604" s="0" t="s">
        <v>627</v>
      </c>
      <c r="K604" s="475" t="n">
        <f aca="false">'Basis Options'!G608</f>
        <v>36923</v>
      </c>
      <c r="L604" s="254" t="e">
        <f aca="false">'Basis Options'!U608</f>
        <v>#NAME?</v>
      </c>
      <c r="M604" s="475" t="n">
        <f aca="false">'Basis Options'!Q608</f>
        <v>36921</v>
      </c>
      <c r="N604" s="0" t="str">
        <f aca="false">'Basis Options'!F608</f>
        <v>P</v>
      </c>
      <c r="O604" s="0" t="n">
        <f aca="false">'Basis Options'!I608</f>
        <v>1.52</v>
      </c>
      <c r="P604" s="0" t="n">
        <v>0</v>
      </c>
      <c r="Q604" s="0" t="n">
        <v>0</v>
      </c>
      <c r="R604" s="0" t="n">
        <v>0</v>
      </c>
      <c r="S604" s="0" t="n">
        <v>0</v>
      </c>
      <c r="T604" s="0" t="s">
        <v>624</v>
      </c>
      <c r="U604" s="0" t="str">
        <f aca="false">IF('Basis Options'!D608="NGI/CHI. GATE","""NGI/CHI. GATE""",TRIM('Basis Options'!D608))</f>
        <v>IF-TRANSCO/Z6</v>
      </c>
      <c r="V604" s="0" t="s">
        <v>624</v>
      </c>
      <c r="W604" s="0" t="s">
        <v>569</v>
      </c>
      <c r="X604" s="0" t="s">
        <v>624</v>
      </c>
      <c r="Y604" s="0" t="s">
        <v>627</v>
      </c>
      <c r="Z604" s="0" t="s">
        <v>629</v>
      </c>
      <c r="AA604" s="0" t="s">
        <v>624</v>
      </c>
      <c r="AB604" s="0" t="s">
        <v>132</v>
      </c>
      <c r="AC604" s="254" t="n">
        <f aca="false">'Basis Options'!H608</f>
        <v>-500000</v>
      </c>
      <c r="AD604" s="254" t="e">
        <f aca="false">'Basis Options'!W608</f>
        <v>#NAME?</v>
      </c>
      <c r="AE604" s="0" t="n">
        <v>0</v>
      </c>
      <c r="AF604" s="0" t="n">
        <v>0</v>
      </c>
      <c r="AG604" s="0" t="n">
        <v>0</v>
      </c>
      <c r="AH604" s="254" t="e">
        <f aca="false">'Basis Options'!CD609</f>
        <v>#NAME?</v>
      </c>
      <c r="AI604" s="0" t="n">
        <v>226</v>
      </c>
      <c r="AJ604" s="0" t="s">
        <v>630</v>
      </c>
      <c r="AK604" s="0" t="n">
        <v>0</v>
      </c>
      <c r="AL604" s="0" t="n">
        <v>0</v>
      </c>
      <c r="AM604" s="0" t="n">
        <v>0</v>
      </c>
    </row>
    <row r="605" customFormat="false" ht="12.75" hidden="false" customHeight="false" outlineLevel="0" collapsed="false">
      <c r="A605" s="0" t="s">
        <v>621</v>
      </c>
      <c r="B605" s="0" t="str">
        <f aca="false">'Basis Options'!C609</f>
        <v>NT8124.5</v>
      </c>
      <c r="C605" s="0" t="s">
        <v>622</v>
      </c>
      <c r="D605" s="0" t="s">
        <v>623</v>
      </c>
      <c r="E605" s="0" t="s">
        <v>131</v>
      </c>
      <c r="F605" s="0" t="str">
        <f aca="false">'Basis Options'!A609</f>
        <v>ELPASMER</v>
      </c>
      <c r="G605" s="0" t="s">
        <v>628</v>
      </c>
      <c r="H605" s="0" t="s">
        <v>625</v>
      </c>
      <c r="I605" s="0" t="s">
        <v>626</v>
      </c>
      <c r="J605" s="0" t="s">
        <v>627</v>
      </c>
      <c r="K605" s="475" t="n">
        <f aca="false">'Basis Options'!G609</f>
        <v>36951</v>
      </c>
      <c r="L605" s="254" t="e">
        <f aca="false">'Basis Options'!U609</f>
        <v>#NAME?</v>
      </c>
      <c r="M605" s="475" t="n">
        <f aca="false">'Basis Options'!Q609</f>
        <v>36949</v>
      </c>
      <c r="N605" s="0" t="str">
        <f aca="false">'Basis Options'!F609</f>
        <v>P</v>
      </c>
      <c r="O605" s="0" t="n">
        <f aca="false">'Basis Options'!I609</f>
        <v>1.52</v>
      </c>
      <c r="P605" s="0" t="n">
        <v>0</v>
      </c>
      <c r="Q605" s="0" t="n">
        <v>0</v>
      </c>
      <c r="R605" s="0" t="n">
        <v>0</v>
      </c>
      <c r="S605" s="0" t="n">
        <v>0</v>
      </c>
      <c r="T605" s="0" t="s">
        <v>624</v>
      </c>
      <c r="U605" s="0" t="str">
        <f aca="false">IF('Basis Options'!D609="NGI/CHI. GATE","""NGI/CHI. GATE""",TRIM('Basis Options'!D609))</f>
        <v>IF-TRANSCO/Z6</v>
      </c>
      <c r="V605" s="0" t="s">
        <v>624</v>
      </c>
      <c r="W605" s="0" t="s">
        <v>569</v>
      </c>
      <c r="X605" s="0" t="s">
        <v>624</v>
      </c>
      <c r="Y605" s="0" t="s">
        <v>627</v>
      </c>
      <c r="Z605" s="0" t="s">
        <v>629</v>
      </c>
      <c r="AA605" s="0" t="s">
        <v>624</v>
      </c>
      <c r="AB605" s="0" t="s">
        <v>132</v>
      </c>
      <c r="AC605" s="254" t="n">
        <f aca="false">'Basis Options'!H609</f>
        <v>-500000</v>
      </c>
      <c r="AD605" s="254" t="e">
        <f aca="false">'Basis Options'!W609</f>
        <v>#NAME?</v>
      </c>
      <c r="AE605" s="0" t="n">
        <v>0</v>
      </c>
      <c r="AF605" s="0" t="n">
        <v>0</v>
      </c>
      <c r="AG605" s="0" t="n">
        <v>0</v>
      </c>
      <c r="AH605" s="254" t="e">
        <f aca="false">'Basis Options'!CD610</f>
        <v>#NAME?</v>
      </c>
      <c r="AI605" s="0" t="n">
        <v>226</v>
      </c>
      <c r="AJ605" s="0" t="s">
        <v>630</v>
      </c>
      <c r="AK605" s="0" t="n">
        <v>0</v>
      </c>
      <c r="AL605" s="0" t="n">
        <v>0</v>
      </c>
      <c r="AM605" s="0" t="n">
        <v>0</v>
      </c>
    </row>
    <row r="606" customFormat="false" ht="12.75" hidden="false" customHeight="false" outlineLevel="0" collapsed="false">
      <c r="A606" s="0" t="s">
        <v>621</v>
      </c>
      <c r="B606" s="0" t="str">
        <f aca="false">'Basis Options'!C610</f>
        <v>NT9909.1</v>
      </c>
      <c r="C606" s="0" t="s">
        <v>622</v>
      </c>
      <c r="D606" s="0" t="s">
        <v>623</v>
      </c>
      <c r="E606" s="0" t="s">
        <v>131</v>
      </c>
      <c r="F606" s="0" t="str">
        <f aca="false">'Basis Options'!A610</f>
        <v>AEPENESER</v>
      </c>
      <c r="G606" s="0" t="s">
        <v>628</v>
      </c>
      <c r="H606" s="0" t="s">
        <v>625</v>
      </c>
      <c r="I606" s="0" t="s">
        <v>626</v>
      </c>
      <c r="J606" s="0" t="s">
        <v>627</v>
      </c>
      <c r="K606" s="475" t="n">
        <f aca="false">'Basis Options'!G610</f>
        <v>36831</v>
      </c>
      <c r="L606" s="254" t="e">
        <f aca="false">'Basis Options'!U610</f>
        <v>#NAME?</v>
      </c>
      <c r="M606" s="475" t="n">
        <f aca="false">'Basis Options'!Q610</f>
        <v>36829</v>
      </c>
      <c r="N606" s="0" t="str">
        <f aca="false">'Basis Options'!F610</f>
        <v>C</v>
      </c>
      <c r="O606" s="0" t="n">
        <f aca="false">'Basis Options'!I610</f>
        <v>1</v>
      </c>
      <c r="P606" s="0" t="n">
        <v>0</v>
      </c>
      <c r="Q606" s="0" t="n">
        <v>0</v>
      </c>
      <c r="R606" s="0" t="n">
        <v>0</v>
      </c>
      <c r="S606" s="0" t="n">
        <v>0</v>
      </c>
      <c r="T606" s="0" t="s">
        <v>624</v>
      </c>
      <c r="U606" s="0" t="str">
        <f aca="false">IF('Basis Options'!D610="NGI/CHI. GATE","""NGI/CHI. GATE""",TRIM('Basis Options'!D610))</f>
        <v>IF-TRANSCO/Z6</v>
      </c>
      <c r="V606" s="0" t="s">
        <v>624</v>
      </c>
      <c r="W606" s="0" t="s">
        <v>569</v>
      </c>
      <c r="X606" s="0" t="s">
        <v>624</v>
      </c>
      <c r="Y606" s="0" t="s">
        <v>627</v>
      </c>
      <c r="Z606" s="0" t="s">
        <v>629</v>
      </c>
      <c r="AA606" s="0" t="s">
        <v>624</v>
      </c>
      <c r="AB606" s="0" t="s">
        <v>132</v>
      </c>
      <c r="AC606" s="254" t="n">
        <f aca="false">'Basis Options'!H610</f>
        <v>500000</v>
      </c>
      <c r="AD606" s="254" t="e">
        <f aca="false">'Basis Options'!W610</f>
        <v>#NAME?</v>
      </c>
      <c r="AE606" s="0" t="n">
        <v>0</v>
      </c>
      <c r="AF606" s="0" t="n">
        <v>0</v>
      </c>
      <c r="AG606" s="0" t="n">
        <v>0</v>
      </c>
      <c r="AH606" s="254" t="e">
        <f aca="false">'Basis Options'!CD611</f>
        <v>#NAME?</v>
      </c>
      <c r="AI606" s="0" t="n">
        <v>226</v>
      </c>
      <c r="AJ606" s="0" t="s">
        <v>630</v>
      </c>
      <c r="AK606" s="0" t="n">
        <v>0</v>
      </c>
      <c r="AL606" s="0" t="n">
        <v>0</v>
      </c>
      <c r="AM606" s="0" t="n">
        <v>0</v>
      </c>
    </row>
    <row r="607" customFormat="false" ht="12.75" hidden="false" customHeight="false" outlineLevel="0" collapsed="false">
      <c r="A607" s="0" t="s">
        <v>621</v>
      </c>
      <c r="B607" s="0" t="str">
        <f aca="false">'Basis Options'!C611</f>
        <v>NT9909.2</v>
      </c>
      <c r="C607" s="0" t="s">
        <v>622</v>
      </c>
      <c r="D607" s="0" t="s">
        <v>623</v>
      </c>
      <c r="E607" s="0" t="s">
        <v>131</v>
      </c>
      <c r="F607" s="0" t="str">
        <f aca="false">'Basis Options'!A611</f>
        <v>AEPENESER</v>
      </c>
      <c r="G607" s="0" t="s">
        <v>628</v>
      </c>
      <c r="H607" s="0" t="s">
        <v>625</v>
      </c>
      <c r="I607" s="0" t="s">
        <v>626</v>
      </c>
      <c r="J607" s="0" t="s">
        <v>627</v>
      </c>
      <c r="K607" s="475" t="n">
        <f aca="false">'Basis Options'!G611</f>
        <v>36831</v>
      </c>
      <c r="L607" s="254" t="e">
        <f aca="false">'Basis Options'!U611</f>
        <v>#NAME?</v>
      </c>
      <c r="M607" s="475" t="n">
        <f aca="false">'Basis Options'!Q611</f>
        <v>36829</v>
      </c>
      <c r="N607" s="0" t="str">
        <f aca="false">'Basis Options'!F611</f>
        <v>C</v>
      </c>
      <c r="O607" s="0" t="n">
        <f aca="false">'Basis Options'!I611</f>
        <v>1.5</v>
      </c>
      <c r="P607" s="0" t="n">
        <v>0</v>
      </c>
      <c r="Q607" s="0" t="n">
        <v>0</v>
      </c>
      <c r="R607" s="0" t="n">
        <v>0</v>
      </c>
      <c r="S607" s="0" t="n">
        <v>0</v>
      </c>
      <c r="T607" s="0" t="s">
        <v>624</v>
      </c>
      <c r="U607" s="0" t="str">
        <f aca="false">IF('Basis Options'!D611="NGI/CHI. GATE","""NGI/CHI. GATE""",TRIM('Basis Options'!D611))</f>
        <v>IF-TRANSCO/Z6</v>
      </c>
      <c r="V607" s="0" t="s">
        <v>624</v>
      </c>
      <c r="W607" s="0" t="s">
        <v>569</v>
      </c>
      <c r="X607" s="0" t="s">
        <v>624</v>
      </c>
      <c r="Y607" s="0" t="s">
        <v>627</v>
      </c>
      <c r="Z607" s="0" t="s">
        <v>629</v>
      </c>
      <c r="AA607" s="0" t="s">
        <v>624</v>
      </c>
      <c r="AB607" s="0" t="s">
        <v>132</v>
      </c>
      <c r="AC607" s="254" t="n">
        <f aca="false">'Basis Options'!H611</f>
        <v>-500000</v>
      </c>
      <c r="AD607" s="254" t="e">
        <f aca="false">'Basis Options'!W611</f>
        <v>#NAME?</v>
      </c>
      <c r="AE607" s="0" t="n">
        <v>0</v>
      </c>
      <c r="AF607" s="0" t="n">
        <v>0</v>
      </c>
      <c r="AG607" s="0" t="n">
        <v>0</v>
      </c>
      <c r="AH607" s="254" t="e">
        <f aca="false">'Basis Options'!CD612</f>
        <v>#NAME?</v>
      </c>
      <c r="AI607" s="0" t="n">
        <v>226</v>
      </c>
      <c r="AJ607" s="0" t="s">
        <v>630</v>
      </c>
      <c r="AK607" s="0" t="n">
        <v>0</v>
      </c>
      <c r="AL607" s="0" t="n">
        <v>0</v>
      </c>
      <c r="AM607" s="0" t="n">
        <v>0</v>
      </c>
    </row>
    <row r="608" customFormat="false" ht="12.75" hidden="false" customHeight="false" outlineLevel="0" collapsed="false">
      <c r="A608" s="0" t="s">
        <v>621</v>
      </c>
      <c r="B608" s="0" t="str">
        <f aca="false">'Basis Options'!C612</f>
        <v>NT9931</v>
      </c>
      <c r="C608" s="0" t="s">
        <v>622</v>
      </c>
      <c r="D608" s="0" t="s">
        <v>623</v>
      </c>
      <c r="E608" s="0" t="s">
        <v>131</v>
      </c>
      <c r="F608" s="0" t="str">
        <f aca="false">'Basis Options'!A612</f>
        <v>CONAGRAENESER</v>
      </c>
      <c r="G608" s="0" t="s">
        <v>628</v>
      </c>
      <c r="H608" s="0" t="s">
        <v>625</v>
      </c>
      <c r="I608" s="0" t="s">
        <v>626</v>
      </c>
      <c r="J608" s="0" t="s">
        <v>627</v>
      </c>
      <c r="K608" s="475" t="n">
        <f aca="false">'Basis Options'!G612</f>
        <v>36831</v>
      </c>
      <c r="L608" s="254" t="e">
        <f aca="false">'Basis Options'!U612</f>
        <v>#NAME?</v>
      </c>
      <c r="M608" s="475" t="n">
        <f aca="false">'Basis Options'!Q612</f>
        <v>36829</v>
      </c>
      <c r="N608" s="0" t="str">
        <f aca="false">'Basis Options'!F612</f>
        <v>C</v>
      </c>
      <c r="O608" s="0" t="n">
        <f aca="false">'Basis Options'!I612</f>
        <v>1</v>
      </c>
      <c r="P608" s="0" t="n">
        <v>0</v>
      </c>
      <c r="Q608" s="0" t="n">
        <v>0</v>
      </c>
      <c r="R608" s="0" t="n">
        <v>0</v>
      </c>
      <c r="S608" s="0" t="n">
        <v>0</v>
      </c>
      <c r="T608" s="0" t="s">
        <v>624</v>
      </c>
      <c r="U608" s="0" t="str">
        <f aca="false">IF('Basis Options'!D612="NGI/CHI. GATE","""NGI/CHI. GATE""",TRIM('Basis Options'!D612))</f>
        <v>IF-TRANSCO/Z6</v>
      </c>
      <c r="V608" s="0" t="s">
        <v>624</v>
      </c>
      <c r="W608" s="0" t="s">
        <v>569</v>
      </c>
      <c r="X608" s="0" t="s">
        <v>624</v>
      </c>
      <c r="Y608" s="0" t="s">
        <v>627</v>
      </c>
      <c r="Z608" s="0" t="s">
        <v>629</v>
      </c>
      <c r="AA608" s="0" t="s">
        <v>624</v>
      </c>
      <c r="AB608" s="0" t="s">
        <v>132</v>
      </c>
      <c r="AC608" s="254" t="n">
        <f aca="false">'Basis Options'!H612</f>
        <v>1000000</v>
      </c>
      <c r="AD608" s="254" t="e">
        <f aca="false">'Basis Options'!W612</f>
        <v>#NAME?</v>
      </c>
      <c r="AE608" s="0" t="n">
        <v>0</v>
      </c>
      <c r="AF608" s="0" t="n">
        <v>0</v>
      </c>
      <c r="AG608" s="0" t="n">
        <v>0</v>
      </c>
      <c r="AH608" s="254" t="e">
        <f aca="false">'Basis Options'!CD613</f>
        <v>#NAME?</v>
      </c>
      <c r="AI608" s="0" t="n">
        <v>226</v>
      </c>
      <c r="AJ608" s="0" t="s">
        <v>630</v>
      </c>
      <c r="AK608" s="0" t="n">
        <v>0</v>
      </c>
      <c r="AL608" s="0" t="n">
        <v>0</v>
      </c>
      <c r="AM608" s="0" t="n">
        <v>0</v>
      </c>
    </row>
    <row r="609" customFormat="false" ht="12.75" hidden="false" customHeight="false" outlineLevel="0" collapsed="false">
      <c r="A609" s="0" t="s">
        <v>621</v>
      </c>
      <c r="B609" s="0" t="str">
        <f aca="false">'Basis Options'!C613</f>
        <v>NU0070.1</v>
      </c>
      <c r="C609" s="0" t="s">
        <v>622</v>
      </c>
      <c r="D609" s="0" t="s">
        <v>623</v>
      </c>
      <c r="E609" s="0" t="s">
        <v>131</v>
      </c>
      <c r="F609" s="0" t="str">
        <f aca="false">'Basis Options'!A613</f>
        <v>CMSMARSERTRA</v>
      </c>
      <c r="G609" s="0" t="s">
        <v>628</v>
      </c>
      <c r="H609" s="0" t="s">
        <v>625</v>
      </c>
      <c r="I609" s="0" t="s">
        <v>626</v>
      </c>
      <c r="J609" s="0" t="s">
        <v>627</v>
      </c>
      <c r="K609" s="475" t="n">
        <f aca="false">'Basis Options'!G613</f>
        <v>36831</v>
      </c>
      <c r="L609" s="254" t="e">
        <f aca="false">'Basis Options'!U613</f>
        <v>#NAME?</v>
      </c>
      <c r="M609" s="475" t="n">
        <f aca="false">'Basis Options'!Q613</f>
        <v>36829</v>
      </c>
      <c r="N609" s="0" t="str">
        <f aca="false">'Basis Options'!F613</f>
        <v>C</v>
      </c>
      <c r="O609" s="0" t="n">
        <f aca="false">'Basis Options'!I613</f>
        <v>3</v>
      </c>
      <c r="P609" s="0" t="n">
        <v>0</v>
      </c>
      <c r="Q609" s="0" t="n">
        <v>0</v>
      </c>
      <c r="R609" s="0" t="n">
        <v>0</v>
      </c>
      <c r="S609" s="0" t="n">
        <v>0</v>
      </c>
      <c r="T609" s="0" t="s">
        <v>624</v>
      </c>
      <c r="U609" s="0" t="str">
        <f aca="false">IF('Basis Options'!D613="NGI/CHI. GATE","""NGI/CHI. GATE""",TRIM('Basis Options'!D613))</f>
        <v>IF-TRANSCO/Z6</v>
      </c>
      <c r="V609" s="0" t="s">
        <v>624</v>
      </c>
      <c r="W609" s="0" t="s">
        <v>569</v>
      </c>
      <c r="X609" s="0" t="s">
        <v>624</v>
      </c>
      <c r="Y609" s="0" t="s">
        <v>627</v>
      </c>
      <c r="Z609" s="0" t="s">
        <v>629</v>
      </c>
      <c r="AA609" s="0" t="s">
        <v>624</v>
      </c>
      <c r="AB609" s="0" t="s">
        <v>132</v>
      </c>
      <c r="AC609" s="254" t="n">
        <f aca="false">'Basis Options'!H613</f>
        <v>600000</v>
      </c>
      <c r="AD609" s="254" t="e">
        <f aca="false">'Basis Options'!W613</f>
        <v>#NAME?</v>
      </c>
      <c r="AE609" s="0" t="n">
        <v>0</v>
      </c>
      <c r="AF609" s="0" t="n">
        <v>0</v>
      </c>
      <c r="AG609" s="0" t="n">
        <v>0</v>
      </c>
      <c r="AH609" s="254" t="e">
        <f aca="false">'Basis Options'!CD614</f>
        <v>#NAME?</v>
      </c>
      <c r="AI609" s="0" t="n">
        <v>226</v>
      </c>
      <c r="AJ609" s="0" t="s">
        <v>630</v>
      </c>
      <c r="AK609" s="0" t="n">
        <v>0</v>
      </c>
      <c r="AL609" s="0" t="n">
        <v>0</v>
      </c>
      <c r="AM609" s="0" t="n">
        <v>0</v>
      </c>
    </row>
    <row r="610" customFormat="false" ht="12.75" hidden="false" customHeight="false" outlineLevel="0" collapsed="false">
      <c r="A610" s="0" t="s">
        <v>621</v>
      </c>
      <c r="B610" s="0" t="str">
        <f aca="false">'Basis Options'!C614</f>
        <v>NU0070.1</v>
      </c>
      <c r="C610" s="0" t="s">
        <v>622</v>
      </c>
      <c r="D610" s="0" t="s">
        <v>623</v>
      </c>
      <c r="E610" s="0" t="s">
        <v>131</v>
      </c>
      <c r="F610" s="0" t="str">
        <f aca="false">'Basis Options'!A614</f>
        <v>CMSMARSERTRA</v>
      </c>
      <c r="G610" s="0" t="s">
        <v>628</v>
      </c>
      <c r="H610" s="0" t="s">
        <v>625</v>
      </c>
      <c r="I610" s="0" t="s">
        <v>626</v>
      </c>
      <c r="J610" s="0" t="s">
        <v>627</v>
      </c>
      <c r="K610" s="475" t="n">
        <f aca="false">'Basis Options'!G614</f>
        <v>36861</v>
      </c>
      <c r="L610" s="254" t="e">
        <f aca="false">'Basis Options'!U614</f>
        <v>#NAME?</v>
      </c>
      <c r="M610" s="475" t="n">
        <f aca="false">'Basis Options'!Q614</f>
        <v>36859</v>
      </c>
      <c r="N610" s="0" t="str">
        <f aca="false">'Basis Options'!F614</f>
        <v>C</v>
      </c>
      <c r="O610" s="0" t="n">
        <f aca="false">'Basis Options'!I614</f>
        <v>3</v>
      </c>
      <c r="P610" s="0" t="n">
        <v>0</v>
      </c>
      <c r="Q610" s="0" t="n">
        <v>0</v>
      </c>
      <c r="R610" s="0" t="n">
        <v>0</v>
      </c>
      <c r="S610" s="0" t="n">
        <v>0</v>
      </c>
      <c r="T610" s="0" t="s">
        <v>624</v>
      </c>
      <c r="U610" s="0" t="str">
        <f aca="false">IF('Basis Options'!D614="NGI/CHI. GATE","""NGI/CHI. GATE""",TRIM('Basis Options'!D614))</f>
        <v>IF-TRANSCO/Z6</v>
      </c>
      <c r="V610" s="0" t="s">
        <v>624</v>
      </c>
      <c r="W610" s="0" t="s">
        <v>569</v>
      </c>
      <c r="X610" s="0" t="s">
        <v>624</v>
      </c>
      <c r="Y610" s="0" t="s">
        <v>627</v>
      </c>
      <c r="Z610" s="0" t="s">
        <v>629</v>
      </c>
      <c r="AA610" s="0" t="s">
        <v>624</v>
      </c>
      <c r="AB610" s="0" t="s">
        <v>132</v>
      </c>
      <c r="AC610" s="254" t="n">
        <f aca="false">'Basis Options'!H614</f>
        <v>620000</v>
      </c>
      <c r="AD610" s="254" t="e">
        <f aca="false">'Basis Options'!W614</f>
        <v>#NAME?</v>
      </c>
      <c r="AE610" s="0" t="n">
        <v>0</v>
      </c>
      <c r="AF610" s="0" t="n">
        <v>0</v>
      </c>
      <c r="AG610" s="0" t="n">
        <v>0</v>
      </c>
      <c r="AH610" s="254" t="e">
        <f aca="false">'Basis Options'!CD615</f>
        <v>#NAME?</v>
      </c>
      <c r="AI610" s="0" t="n">
        <v>226</v>
      </c>
      <c r="AJ610" s="0" t="s">
        <v>630</v>
      </c>
      <c r="AK610" s="0" t="n">
        <v>0</v>
      </c>
      <c r="AL610" s="0" t="n">
        <v>0</v>
      </c>
      <c r="AM610" s="0" t="n">
        <v>0</v>
      </c>
    </row>
    <row r="611" customFormat="false" ht="12.75" hidden="false" customHeight="false" outlineLevel="0" collapsed="false">
      <c r="A611" s="0" t="s">
        <v>621</v>
      </c>
      <c r="B611" s="0" t="str">
        <f aca="false">'Basis Options'!C615</f>
        <v>NU0070.1</v>
      </c>
      <c r="C611" s="0" t="s">
        <v>622</v>
      </c>
      <c r="D611" s="0" t="s">
        <v>623</v>
      </c>
      <c r="E611" s="0" t="s">
        <v>131</v>
      </c>
      <c r="F611" s="0" t="str">
        <f aca="false">'Basis Options'!A615</f>
        <v>CMSMARSERTRA</v>
      </c>
      <c r="G611" s="0" t="s">
        <v>628</v>
      </c>
      <c r="H611" s="0" t="s">
        <v>625</v>
      </c>
      <c r="I611" s="0" t="s">
        <v>626</v>
      </c>
      <c r="J611" s="0" t="s">
        <v>627</v>
      </c>
      <c r="K611" s="475" t="n">
        <f aca="false">'Basis Options'!G615</f>
        <v>36892</v>
      </c>
      <c r="L611" s="254" t="e">
        <f aca="false">'Basis Options'!U615</f>
        <v>#NAME?</v>
      </c>
      <c r="M611" s="475" t="n">
        <f aca="false">'Basis Options'!Q615</f>
        <v>36888</v>
      </c>
      <c r="N611" s="0" t="str">
        <f aca="false">'Basis Options'!F615</f>
        <v>C</v>
      </c>
      <c r="O611" s="0" t="n">
        <f aca="false">'Basis Options'!I615</f>
        <v>3</v>
      </c>
      <c r="P611" s="0" t="n">
        <v>0</v>
      </c>
      <c r="Q611" s="0" t="n">
        <v>0</v>
      </c>
      <c r="R611" s="0" t="n">
        <v>0</v>
      </c>
      <c r="S611" s="0" t="n">
        <v>0</v>
      </c>
      <c r="T611" s="0" t="s">
        <v>624</v>
      </c>
      <c r="U611" s="0" t="str">
        <f aca="false">IF('Basis Options'!D615="NGI/CHI. GATE","""NGI/CHI. GATE""",TRIM('Basis Options'!D615))</f>
        <v>IF-TRANSCO/Z6</v>
      </c>
      <c r="V611" s="0" t="s">
        <v>624</v>
      </c>
      <c r="W611" s="0" t="s">
        <v>569</v>
      </c>
      <c r="X611" s="0" t="s">
        <v>624</v>
      </c>
      <c r="Y611" s="0" t="s">
        <v>627</v>
      </c>
      <c r="Z611" s="0" t="s">
        <v>629</v>
      </c>
      <c r="AA611" s="0" t="s">
        <v>624</v>
      </c>
      <c r="AB611" s="0" t="s">
        <v>132</v>
      </c>
      <c r="AC611" s="254" t="n">
        <f aca="false">'Basis Options'!H615</f>
        <v>620000</v>
      </c>
      <c r="AD611" s="254" t="e">
        <f aca="false">'Basis Options'!W615</f>
        <v>#NAME?</v>
      </c>
      <c r="AE611" s="0" t="n">
        <v>0</v>
      </c>
      <c r="AF611" s="0" t="n">
        <v>0</v>
      </c>
      <c r="AG611" s="0" t="n">
        <v>0</v>
      </c>
      <c r="AH611" s="254" t="e">
        <f aca="false">'Basis Options'!CD616</f>
        <v>#NAME?</v>
      </c>
      <c r="AI611" s="0" t="n">
        <v>226</v>
      </c>
      <c r="AJ611" s="0" t="s">
        <v>630</v>
      </c>
      <c r="AK611" s="0" t="n">
        <v>0</v>
      </c>
      <c r="AL611" s="0" t="n">
        <v>0</v>
      </c>
      <c r="AM611" s="0" t="n">
        <v>0</v>
      </c>
    </row>
    <row r="612" customFormat="false" ht="12.75" hidden="false" customHeight="false" outlineLevel="0" collapsed="false">
      <c r="A612" s="0" t="s">
        <v>621</v>
      </c>
      <c r="B612" s="0" t="str">
        <f aca="false">'Basis Options'!C616</f>
        <v>NU0070.1</v>
      </c>
      <c r="C612" s="0" t="s">
        <v>622</v>
      </c>
      <c r="D612" s="0" t="s">
        <v>623</v>
      </c>
      <c r="E612" s="0" t="s">
        <v>131</v>
      </c>
      <c r="F612" s="0" t="str">
        <f aca="false">'Basis Options'!A616</f>
        <v>CMSMARSERTRA</v>
      </c>
      <c r="G612" s="0" t="s">
        <v>628</v>
      </c>
      <c r="H612" s="0" t="s">
        <v>625</v>
      </c>
      <c r="I612" s="0" t="s">
        <v>626</v>
      </c>
      <c r="J612" s="0" t="s">
        <v>627</v>
      </c>
      <c r="K612" s="475" t="n">
        <f aca="false">'Basis Options'!G616</f>
        <v>36923</v>
      </c>
      <c r="L612" s="254" t="e">
        <f aca="false">'Basis Options'!U616</f>
        <v>#NAME?</v>
      </c>
      <c r="M612" s="475" t="n">
        <f aca="false">'Basis Options'!Q616</f>
        <v>36921</v>
      </c>
      <c r="N612" s="0" t="str">
        <f aca="false">'Basis Options'!F616</f>
        <v>C</v>
      </c>
      <c r="O612" s="0" t="n">
        <f aca="false">'Basis Options'!I616</f>
        <v>3</v>
      </c>
      <c r="P612" s="0" t="n">
        <v>0</v>
      </c>
      <c r="Q612" s="0" t="n">
        <v>0</v>
      </c>
      <c r="R612" s="0" t="n">
        <v>0</v>
      </c>
      <c r="S612" s="0" t="n">
        <v>0</v>
      </c>
      <c r="T612" s="0" t="s">
        <v>624</v>
      </c>
      <c r="U612" s="0" t="str">
        <f aca="false">IF('Basis Options'!D616="NGI/CHI. GATE","""NGI/CHI. GATE""",TRIM('Basis Options'!D616))</f>
        <v>IF-TRANSCO/Z6</v>
      </c>
      <c r="V612" s="0" t="s">
        <v>624</v>
      </c>
      <c r="W612" s="0" t="s">
        <v>569</v>
      </c>
      <c r="X612" s="0" t="s">
        <v>624</v>
      </c>
      <c r="Y612" s="0" t="s">
        <v>627</v>
      </c>
      <c r="Z612" s="0" t="s">
        <v>629</v>
      </c>
      <c r="AA612" s="0" t="s">
        <v>624</v>
      </c>
      <c r="AB612" s="0" t="s">
        <v>132</v>
      </c>
      <c r="AC612" s="254" t="n">
        <f aca="false">'Basis Options'!H616</f>
        <v>560000</v>
      </c>
      <c r="AD612" s="254" t="e">
        <f aca="false">'Basis Options'!W616</f>
        <v>#NAME?</v>
      </c>
      <c r="AE612" s="0" t="n">
        <v>0</v>
      </c>
      <c r="AF612" s="0" t="n">
        <v>0</v>
      </c>
      <c r="AG612" s="0" t="n">
        <v>0</v>
      </c>
      <c r="AH612" s="254" t="e">
        <f aca="false">'Basis Options'!CD617</f>
        <v>#NAME?</v>
      </c>
      <c r="AI612" s="0" t="n">
        <v>226</v>
      </c>
      <c r="AJ612" s="0" t="s">
        <v>630</v>
      </c>
      <c r="AK612" s="0" t="n">
        <v>0</v>
      </c>
      <c r="AL612" s="0" t="n">
        <v>0</v>
      </c>
      <c r="AM612" s="0" t="n">
        <v>0</v>
      </c>
    </row>
    <row r="613" customFormat="false" ht="12.75" hidden="false" customHeight="false" outlineLevel="0" collapsed="false">
      <c r="A613" s="0" t="s">
        <v>621</v>
      </c>
      <c r="B613" s="0" t="str">
        <f aca="false">'Basis Options'!C617</f>
        <v>NU0070.1</v>
      </c>
      <c r="C613" s="0" t="s">
        <v>622</v>
      </c>
      <c r="D613" s="0" t="s">
        <v>623</v>
      </c>
      <c r="E613" s="0" t="s">
        <v>131</v>
      </c>
      <c r="F613" s="0" t="str">
        <f aca="false">'Basis Options'!A617</f>
        <v>CMSMARSERTRA</v>
      </c>
      <c r="G613" s="0" t="s">
        <v>628</v>
      </c>
      <c r="H613" s="0" t="s">
        <v>625</v>
      </c>
      <c r="I613" s="0" t="s">
        <v>626</v>
      </c>
      <c r="J613" s="0" t="s">
        <v>627</v>
      </c>
      <c r="K613" s="475" t="n">
        <f aca="false">'Basis Options'!G617</f>
        <v>36951</v>
      </c>
      <c r="L613" s="254" t="e">
        <f aca="false">'Basis Options'!U617</f>
        <v>#NAME?</v>
      </c>
      <c r="M613" s="475" t="n">
        <f aca="false">'Basis Options'!Q617</f>
        <v>36949</v>
      </c>
      <c r="N613" s="0" t="str">
        <f aca="false">'Basis Options'!F617</f>
        <v>C</v>
      </c>
      <c r="O613" s="0" t="n">
        <f aca="false">'Basis Options'!I617</f>
        <v>3</v>
      </c>
      <c r="P613" s="0" t="n">
        <v>0</v>
      </c>
      <c r="Q613" s="0" t="n">
        <v>0</v>
      </c>
      <c r="R613" s="0" t="n">
        <v>0</v>
      </c>
      <c r="S613" s="0" t="n">
        <v>0</v>
      </c>
      <c r="T613" s="0" t="s">
        <v>624</v>
      </c>
      <c r="U613" s="0" t="str">
        <f aca="false">IF('Basis Options'!D617="NGI/CHI. GATE","""NGI/CHI. GATE""",TRIM('Basis Options'!D617))</f>
        <v>IF-TRANSCO/Z6</v>
      </c>
      <c r="V613" s="0" t="s">
        <v>624</v>
      </c>
      <c r="W613" s="0" t="s">
        <v>569</v>
      </c>
      <c r="X613" s="0" t="s">
        <v>624</v>
      </c>
      <c r="Y613" s="0" t="s">
        <v>627</v>
      </c>
      <c r="Z613" s="0" t="s">
        <v>629</v>
      </c>
      <c r="AA613" s="0" t="s">
        <v>624</v>
      </c>
      <c r="AB613" s="0" t="s">
        <v>132</v>
      </c>
      <c r="AC613" s="254" t="n">
        <f aca="false">'Basis Options'!H617</f>
        <v>620000</v>
      </c>
      <c r="AD613" s="254" t="e">
        <f aca="false">'Basis Options'!W617</f>
        <v>#NAME?</v>
      </c>
      <c r="AE613" s="0" t="n">
        <v>0</v>
      </c>
      <c r="AF613" s="0" t="n">
        <v>0</v>
      </c>
      <c r="AG613" s="0" t="n">
        <v>0</v>
      </c>
      <c r="AH613" s="254" t="e">
        <f aca="false">'Basis Options'!CD618</f>
        <v>#NAME?</v>
      </c>
      <c r="AI613" s="0" t="n">
        <v>226</v>
      </c>
      <c r="AJ613" s="0" t="s">
        <v>630</v>
      </c>
      <c r="AK613" s="0" t="n">
        <v>0</v>
      </c>
      <c r="AL613" s="0" t="n">
        <v>0</v>
      </c>
      <c r="AM613" s="0" t="n">
        <v>0</v>
      </c>
    </row>
    <row r="614" customFormat="false" ht="12.75" hidden="false" customHeight="false" outlineLevel="0" collapsed="false">
      <c r="A614" s="0" t="s">
        <v>621</v>
      </c>
      <c r="B614" s="0" t="str">
        <f aca="false">'Basis Options'!C618</f>
        <v>NU0070.2</v>
      </c>
      <c r="C614" s="0" t="s">
        <v>622</v>
      </c>
      <c r="D614" s="0" t="s">
        <v>623</v>
      </c>
      <c r="E614" s="0" t="s">
        <v>131</v>
      </c>
      <c r="F614" s="0" t="str">
        <f aca="false">'Basis Options'!A618</f>
        <v>CMSMARSERTRA</v>
      </c>
      <c r="G614" s="0" t="s">
        <v>628</v>
      </c>
      <c r="H614" s="0" t="s">
        <v>625</v>
      </c>
      <c r="I614" s="0" t="s">
        <v>626</v>
      </c>
      <c r="J614" s="0" t="s">
        <v>627</v>
      </c>
      <c r="K614" s="475" t="n">
        <f aca="false">'Basis Options'!G618</f>
        <v>36831</v>
      </c>
      <c r="L614" s="254" t="e">
        <f aca="false">'Basis Options'!U618</f>
        <v>#NAME?</v>
      </c>
      <c r="M614" s="475" t="n">
        <f aca="false">'Basis Options'!Q618</f>
        <v>36829</v>
      </c>
      <c r="N614" s="0" t="str">
        <f aca="false">'Basis Options'!F618</f>
        <v>C</v>
      </c>
      <c r="O614" s="0" t="n">
        <f aca="false">'Basis Options'!I618</f>
        <v>3.5</v>
      </c>
      <c r="P614" s="0" t="n">
        <v>0</v>
      </c>
      <c r="Q614" s="0" t="n">
        <v>0</v>
      </c>
      <c r="R614" s="0" t="n">
        <v>0</v>
      </c>
      <c r="S614" s="0" t="n">
        <v>0</v>
      </c>
      <c r="T614" s="0" t="s">
        <v>624</v>
      </c>
      <c r="U614" s="0" t="str">
        <f aca="false">IF('Basis Options'!D618="NGI/CHI. GATE","""NGI/CHI. GATE""",TRIM('Basis Options'!D618))</f>
        <v>IF-TRANSCO/Z6</v>
      </c>
      <c r="V614" s="0" t="s">
        <v>624</v>
      </c>
      <c r="W614" s="0" t="s">
        <v>569</v>
      </c>
      <c r="X614" s="0" t="s">
        <v>624</v>
      </c>
      <c r="Y614" s="0" t="s">
        <v>627</v>
      </c>
      <c r="Z614" s="0" t="s">
        <v>629</v>
      </c>
      <c r="AA614" s="0" t="s">
        <v>624</v>
      </c>
      <c r="AB614" s="0" t="s">
        <v>132</v>
      </c>
      <c r="AC614" s="254" t="n">
        <f aca="false">'Basis Options'!H618</f>
        <v>-600000</v>
      </c>
      <c r="AD614" s="254" t="e">
        <f aca="false">'Basis Options'!W618</f>
        <v>#NAME?</v>
      </c>
      <c r="AE614" s="0" t="n">
        <v>0</v>
      </c>
      <c r="AF614" s="0" t="n">
        <v>0</v>
      </c>
      <c r="AG614" s="0" t="n">
        <v>0</v>
      </c>
      <c r="AH614" s="254" t="e">
        <f aca="false">'Basis Options'!CD619</f>
        <v>#NAME?</v>
      </c>
      <c r="AI614" s="0" t="n">
        <v>226</v>
      </c>
      <c r="AJ614" s="0" t="s">
        <v>630</v>
      </c>
      <c r="AK614" s="0" t="n">
        <v>0</v>
      </c>
      <c r="AL614" s="0" t="n">
        <v>0</v>
      </c>
      <c r="AM614" s="0" t="n">
        <v>0</v>
      </c>
    </row>
    <row r="615" customFormat="false" ht="12.75" hidden="false" customHeight="false" outlineLevel="0" collapsed="false">
      <c r="A615" s="0" t="s">
        <v>621</v>
      </c>
      <c r="B615" s="0" t="str">
        <f aca="false">'Basis Options'!C619</f>
        <v>NU0070.2</v>
      </c>
      <c r="C615" s="0" t="s">
        <v>622</v>
      </c>
      <c r="D615" s="0" t="s">
        <v>623</v>
      </c>
      <c r="E615" s="0" t="s">
        <v>131</v>
      </c>
      <c r="F615" s="0" t="str">
        <f aca="false">'Basis Options'!A619</f>
        <v>CMSMARSERTRA</v>
      </c>
      <c r="G615" s="0" t="s">
        <v>628</v>
      </c>
      <c r="H615" s="0" t="s">
        <v>625</v>
      </c>
      <c r="I615" s="0" t="s">
        <v>626</v>
      </c>
      <c r="J615" s="0" t="s">
        <v>627</v>
      </c>
      <c r="K615" s="475" t="n">
        <f aca="false">'Basis Options'!G619</f>
        <v>36861</v>
      </c>
      <c r="L615" s="254" t="e">
        <f aca="false">'Basis Options'!U619</f>
        <v>#NAME?</v>
      </c>
      <c r="M615" s="475" t="n">
        <f aca="false">'Basis Options'!Q619</f>
        <v>36859</v>
      </c>
      <c r="N615" s="0" t="str">
        <f aca="false">'Basis Options'!F619</f>
        <v>C</v>
      </c>
      <c r="O615" s="0" t="n">
        <f aca="false">'Basis Options'!I619</f>
        <v>3.5</v>
      </c>
      <c r="P615" s="0" t="n">
        <v>0</v>
      </c>
      <c r="Q615" s="0" t="n">
        <v>0</v>
      </c>
      <c r="R615" s="0" t="n">
        <v>0</v>
      </c>
      <c r="S615" s="0" t="n">
        <v>0</v>
      </c>
      <c r="T615" s="0" t="s">
        <v>624</v>
      </c>
      <c r="U615" s="0" t="str">
        <f aca="false">IF('Basis Options'!D619="NGI/CHI. GATE","""NGI/CHI. GATE""",TRIM('Basis Options'!D619))</f>
        <v>IF-TRANSCO/Z6</v>
      </c>
      <c r="V615" s="0" t="s">
        <v>624</v>
      </c>
      <c r="W615" s="0" t="s">
        <v>569</v>
      </c>
      <c r="X615" s="0" t="s">
        <v>624</v>
      </c>
      <c r="Y615" s="0" t="s">
        <v>627</v>
      </c>
      <c r="Z615" s="0" t="s">
        <v>629</v>
      </c>
      <c r="AA615" s="0" t="s">
        <v>624</v>
      </c>
      <c r="AB615" s="0" t="s">
        <v>132</v>
      </c>
      <c r="AC615" s="254" t="n">
        <f aca="false">'Basis Options'!H619</f>
        <v>-620000</v>
      </c>
      <c r="AD615" s="254" t="e">
        <f aca="false">'Basis Options'!W619</f>
        <v>#NAME?</v>
      </c>
      <c r="AE615" s="0" t="n">
        <v>0</v>
      </c>
      <c r="AF615" s="0" t="n">
        <v>0</v>
      </c>
      <c r="AG615" s="0" t="n">
        <v>0</v>
      </c>
      <c r="AH615" s="254" t="e">
        <f aca="false">'Basis Options'!CD620</f>
        <v>#NAME?</v>
      </c>
      <c r="AI615" s="0" t="n">
        <v>226</v>
      </c>
      <c r="AJ615" s="0" t="s">
        <v>630</v>
      </c>
      <c r="AK615" s="0" t="n">
        <v>0</v>
      </c>
      <c r="AL615" s="0" t="n">
        <v>0</v>
      </c>
      <c r="AM615" s="0" t="n">
        <v>0</v>
      </c>
    </row>
    <row r="616" customFormat="false" ht="12.75" hidden="false" customHeight="false" outlineLevel="0" collapsed="false">
      <c r="A616" s="0" t="s">
        <v>621</v>
      </c>
      <c r="B616" s="0" t="str">
        <f aca="false">'Basis Options'!C620</f>
        <v>NU0070.2</v>
      </c>
      <c r="C616" s="0" t="s">
        <v>622</v>
      </c>
      <c r="D616" s="0" t="s">
        <v>623</v>
      </c>
      <c r="E616" s="0" t="s">
        <v>131</v>
      </c>
      <c r="F616" s="0" t="str">
        <f aca="false">'Basis Options'!A620</f>
        <v>CMSMARSERTRA</v>
      </c>
      <c r="G616" s="0" t="s">
        <v>628</v>
      </c>
      <c r="H616" s="0" t="s">
        <v>625</v>
      </c>
      <c r="I616" s="0" t="s">
        <v>626</v>
      </c>
      <c r="J616" s="0" t="s">
        <v>627</v>
      </c>
      <c r="K616" s="475" t="n">
        <f aca="false">'Basis Options'!G620</f>
        <v>36892</v>
      </c>
      <c r="L616" s="254" t="e">
        <f aca="false">'Basis Options'!U620</f>
        <v>#NAME?</v>
      </c>
      <c r="M616" s="475" t="n">
        <f aca="false">'Basis Options'!Q620</f>
        <v>36888</v>
      </c>
      <c r="N616" s="0" t="str">
        <f aca="false">'Basis Options'!F620</f>
        <v>C</v>
      </c>
      <c r="O616" s="0" t="n">
        <f aca="false">'Basis Options'!I620</f>
        <v>3.5</v>
      </c>
      <c r="P616" s="0" t="n">
        <v>0</v>
      </c>
      <c r="Q616" s="0" t="n">
        <v>0</v>
      </c>
      <c r="R616" s="0" t="n">
        <v>0</v>
      </c>
      <c r="S616" s="0" t="n">
        <v>0</v>
      </c>
      <c r="T616" s="0" t="s">
        <v>624</v>
      </c>
      <c r="U616" s="0" t="str">
        <f aca="false">IF('Basis Options'!D620="NGI/CHI. GATE","""NGI/CHI. GATE""",TRIM('Basis Options'!D620))</f>
        <v>IF-TRANSCO/Z6</v>
      </c>
      <c r="V616" s="0" t="s">
        <v>624</v>
      </c>
      <c r="W616" s="0" t="s">
        <v>569</v>
      </c>
      <c r="X616" s="0" t="s">
        <v>624</v>
      </c>
      <c r="Y616" s="0" t="s">
        <v>627</v>
      </c>
      <c r="Z616" s="0" t="s">
        <v>629</v>
      </c>
      <c r="AA616" s="0" t="s">
        <v>624</v>
      </c>
      <c r="AB616" s="0" t="s">
        <v>132</v>
      </c>
      <c r="AC616" s="254" t="n">
        <f aca="false">'Basis Options'!H620</f>
        <v>-620000</v>
      </c>
      <c r="AD616" s="254" t="e">
        <f aca="false">'Basis Options'!W620</f>
        <v>#NAME?</v>
      </c>
      <c r="AE616" s="0" t="n">
        <v>0</v>
      </c>
      <c r="AF616" s="0" t="n">
        <v>0</v>
      </c>
      <c r="AG616" s="0" t="n">
        <v>0</v>
      </c>
      <c r="AH616" s="254" t="e">
        <f aca="false">'Basis Options'!CD621</f>
        <v>#NAME?</v>
      </c>
      <c r="AI616" s="0" t="n">
        <v>226</v>
      </c>
      <c r="AJ616" s="0" t="s">
        <v>630</v>
      </c>
      <c r="AK616" s="0" t="n">
        <v>0</v>
      </c>
      <c r="AL616" s="0" t="n">
        <v>0</v>
      </c>
      <c r="AM616" s="0" t="n">
        <v>0</v>
      </c>
    </row>
    <row r="617" customFormat="false" ht="12.75" hidden="false" customHeight="false" outlineLevel="0" collapsed="false">
      <c r="A617" s="0" t="s">
        <v>621</v>
      </c>
      <c r="B617" s="0" t="str">
        <f aca="false">'Basis Options'!C621</f>
        <v>NU0070.2</v>
      </c>
      <c r="C617" s="0" t="s">
        <v>622</v>
      </c>
      <c r="D617" s="0" t="s">
        <v>623</v>
      </c>
      <c r="E617" s="0" t="s">
        <v>131</v>
      </c>
      <c r="F617" s="0" t="str">
        <f aca="false">'Basis Options'!A621</f>
        <v>CMSMARSERTRA</v>
      </c>
      <c r="G617" s="0" t="s">
        <v>628</v>
      </c>
      <c r="H617" s="0" t="s">
        <v>625</v>
      </c>
      <c r="I617" s="0" t="s">
        <v>626</v>
      </c>
      <c r="J617" s="0" t="s">
        <v>627</v>
      </c>
      <c r="K617" s="475" t="n">
        <f aca="false">'Basis Options'!G621</f>
        <v>36923</v>
      </c>
      <c r="L617" s="254" t="e">
        <f aca="false">'Basis Options'!U621</f>
        <v>#NAME?</v>
      </c>
      <c r="M617" s="475" t="n">
        <f aca="false">'Basis Options'!Q621</f>
        <v>36921</v>
      </c>
      <c r="N617" s="0" t="str">
        <f aca="false">'Basis Options'!F621</f>
        <v>C</v>
      </c>
      <c r="O617" s="0" t="n">
        <f aca="false">'Basis Options'!I621</f>
        <v>3.5</v>
      </c>
      <c r="P617" s="0" t="n">
        <v>0</v>
      </c>
      <c r="Q617" s="0" t="n">
        <v>0</v>
      </c>
      <c r="R617" s="0" t="n">
        <v>0</v>
      </c>
      <c r="S617" s="0" t="n">
        <v>0</v>
      </c>
      <c r="T617" s="0" t="s">
        <v>624</v>
      </c>
      <c r="U617" s="0" t="str">
        <f aca="false">IF('Basis Options'!D621="NGI/CHI. GATE","""NGI/CHI. GATE""",TRIM('Basis Options'!D621))</f>
        <v>IF-TRANSCO/Z6</v>
      </c>
      <c r="V617" s="0" t="s">
        <v>624</v>
      </c>
      <c r="W617" s="0" t="s">
        <v>569</v>
      </c>
      <c r="X617" s="0" t="s">
        <v>624</v>
      </c>
      <c r="Y617" s="0" t="s">
        <v>627</v>
      </c>
      <c r="Z617" s="0" t="s">
        <v>629</v>
      </c>
      <c r="AA617" s="0" t="s">
        <v>624</v>
      </c>
      <c r="AB617" s="0" t="s">
        <v>132</v>
      </c>
      <c r="AC617" s="254" t="n">
        <f aca="false">'Basis Options'!H621</f>
        <v>-560000</v>
      </c>
      <c r="AD617" s="254" t="e">
        <f aca="false">'Basis Options'!W621</f>
        <v>#NAME?</v>
      </c>
      <c r="AE617" s="0" t="n">
        <v>0</v>
      </c>
      <c r="AF617" s="0" t="n">
        <v>0</v>
      </c>
      <c r="AG617" s="0" t="n">
        <v>0</v>
      </c>
      <c r="AH617" s="254" t="e">
        <f aca="false">'Basis Options'!CD622</f>
        <v>#NAME?</v>
      </c>
      <c r="AI617" s="0" t="n">
        <v>226</v>
      </c>
      <c r="AJ617" s="0" t="s">
        <v>630</v>
      </c>
      <c r="AK617" s="0" t="n">
        <v>0</v>
      </c>
      <c r="AL617" s="0" t="n">
        <v>0</v>
      </c>
      <c r="AM617" s="0" t="n">
        <v>0</v>
      </c>
    </row>
    <row r="618" customFormat="false" ht="12.75" hidden="false" customHeight="false" outlineLevel="0" collapsed="false">
      <c r="A618" s="0" t="s">
        <v>621</v>
      </c>
      <c r="B618" s="0" t="str">
        <f aca="false">'Basis Options'!C622</f>
        <v>NU0070.2</v>
      </c>
      <c r="C618" s="0" t="s">
        <v>622</v>
      </c>
      <c r="D618" s="0" t="s">
        <v>623</v>
      </c>
      <c r="E618" s="0" t="s">
        <v>131</v>
      </c>
      <c r="F618" s="0" t="str">
        <f aca="false">'Basis Options'!A622</f>
        <v>CMSMARSERTRA</v>
      </c>
      <c r="G618" s="0" t="s">
        <v>628</v>
      </c>
      <c r="H618" s="0" t="s">
        <v>625</v>
      </c>
      <c r="I618" s="0" t="s">
        <v>626</v>
      </c>
      <c r="J618" s="0" t="s">
        <v>627</v>
      </c>
      <c r="K618" s="475" t="n">
        <f aca="false">'Basis Options'!G622</f>
        <v>36951</v>
      </c>
      <c r="L618" s="254" t="e">
        <f aca="false">'Basis Options'!U622</f>
        <v>#NAME?</v>
      </c>
      <c r="M618" s="475" t="n">
        <f aca="false">'Basis Options'!Q622</f>
        <v>36949</v>
      </c>
      <c r="N618" s="0" t="str">
        <f aca="false">'Basis Options'!F622</f>
        <v>C</v>
      </c>
      <c r="O618" s="0" t="n">
        <f aca="false">'Basis Options'!I622</f>
        <v>3.5</v>
      </c>
      <c r="P618" s="0" t="n">
        <v>0</v>
      </c>
      <c r="Q618" s="0" t="n">
        <v>0</v>
      </c>
      <c r="R618" s="0" t="n">
        <v>0</v>
      </c>
      <c r="S618" s="0" t="n">
        <v>0</v>
      </c>
      <c r="T618" s="0" t="s">
        <v>624</v>
      </c>
      <c r="U618" s="0" t="str">
        <f aca="false">IF('Basis Options'!D622="NGI/CHI. GATE","""NGI/CHI. GATE""",TRIM('Basis Options'!D622))</f>
        <v>IF-TRANSCO/Z6</v>
      </c>
      <c r="V618" s="0" t="s">
        <v>624</v>
      </c>
      <c r="W618" s="0" t="s">
        <v>569</v>
      </c>
      <c r="X618" s="0" t="s">
        <v>624</v>
      </c>
      <c r="Y618" s="0" t="s">
        <v>627</v>
      </c>
      <c r="Z618" s="0" t="s">
        <v>629</v>
      </c>
      <c r="AA618" s="0" t="s">
        <v>624</v>
      </c>
      <c r="AB618" s="0" t="s">
        <v>132</v>
      </c>
      <c r="AC618" s="254" t="n">
        <f aca="false">'Basis Options'!H622</f>
        <v>-620000</v>
      </c>
      <c r="AD618" s="254" t="e">
        <f aca="false">'Basis Options'!W622</f>
        <v>#NAME?</v>
      </c>
      <c r="AE618" s="0" t="n">
        <v>0</v>
      </c>
      <c r="AF618" s="0" t="n">
        <v>0</v>
      </c>
      <c r="AG618" s="0" t="n">
        <v>0</v>
      </c>
      <c r="AH618" s="254" t="e">
        <f aca="false">'Basis Options'!CD623</f>
        <v>#NAME?</v>
      </c>
      <c r="AI618" s="0" t="n">
        <v>226</v>
      </c>
      <c r="AJ618" s="0" t="s">
        <v>630</v>
      </c>
      <c r="AK618" s="0" t="n">
        <v>0</v>
      </c>
      <c r="AL618" s="0" t="n">
        <v>0</v>
      </c>
      <c r="AM618" s="0" t="n">
        <v>0</v>
      </c>
    </row>
    <row r="619" customFormat="false" ht="12.75" hidden="false" customHeight="false" outlineLevel="0" collapsed="false">
      <c r="A619" s="0" t="s">
        <v>621</v>
      </c>
      <c r="B619" s="0" t="str">
        <f aca="false">'Basis Options'!C623</f>
        <v>NU0073</v>
      </c>
      <c r="C619" s="0" t="s">
        <v>622</v>
      </c>
      <c r="D619" s="0" t="s">
        <v>623</v>
      </c>
      <c r="E619" s="0" t="s">
        <v>131</v>
      </c>
      <c r="F619" s="0" t="str">
        <f aca="false">'Basis Options'!A623</f>
        <v>ELPASMER</v>
      </c>
      <c r="G619" s="0" t="s">
        <v>628</v>
      </c>
      <c r="H619" s="0" t="s">
        <v>625</v>
      </c>
      <c r="I619" s="0" t="s">
        <v>626</v>
      </c>
      <c r="J619" s="0" t="s">
        <v>627</v>
      </c>
      <c r="K619" s="475" t="n">
        <f aca="false">'Basis Options'!G623</f>
        <v>36861</v>
      </c>
      <c r="L619" s="254" t="e">
        <f aca="false">'Basis Options'!U623</f>
        <v>#NAME?</v>
      </c>
      <c r="M619" s="475" t="n">
        <f aca="false">'Basis Options'!Q623</f>
        <v>36859</v>
      </c>
      <c r="N619" s="0" t="str">
        <f aca="false">'Basis Options'!F623</f>
        <v>C</v>
      </c>
      <c r="O619" s="0" t="n">
        <f aca="false">'Basis Options'!I623</f>
        <v>3</v>
      </c>
      <c r="P619" s="0" t="n">
        <v>0</v>
      </c>
      <c r="Q619" s="0" t="n">
        <v>0</v>
      </c>
      <c r="R619" s="0" t="n">
        <v>0</v>
      </c>
      <c r="S619" s="0" t="n">
        <v>0</v>
      </c>
      <c r="T619" s="0" t="s">
        <v>624</v>
      </c>
      <c r="U619" s="0" t="str">
        <f aca="false">IF('Basis Options'!D623="NGI/CHI. GATE","""NGI/CHI. GATE""",TRIM('Basis Options'!D623))</f>
        <v>IF-TRANSCO/Z6</v>
      </c>
      <c r="V619" s="0" t="s">
        <v>624</v>
      </c>
      <c r="W619" s="0" t="s">
        <v>569</v>
      </c>
      <c r="X619" s="0" t="s">
        <v>624</v>
      </c>
      <c r="Y619" s="0" t="s">
        <v>627</v>
      </c>
      <c r="Z619" s="0" t="s">
        <v>629</v>
      </c>
      <c r="AA619" s="0" t="s">
        <v>624</v>
      </c>
      <c r="AB619" s="0" t="s">
        <v>132</v>
      </c>
      <c r="AC619" s="254" t="n">
        <f aca="false">'Basis Options'!H623</f>
        <v>-500000</v>
      </c>
      <c r="AD619" s="254" t="e">
        <f aca="false">'Basis Options'!W623</f>
        <v>#NAME?</v>
      </c>
      <c r="AE619" s="0" t="n">
        <v>0</v>
      </c>
      <c r="AF619" s="0" t="n">
        <v>0</v>
      </c>
      <c r="AG619" s="0" t="n">
        <v>0</v>
      </c>
      <c r="AH619" s="254" t="e">
        <f aca="false">'Basis Options'!CD624</f>
        <v>#NAME?</v>
      </c>
      <c r="AI619" s="0" t="n">
        <v>226</v>
      </c>
      <c r="AJ619" s="0" t="s">
        <v>630</v>
      </c>
      <c r="AK619" s="0" t="n">
        <v>0</v>
      </c>
      <c r="AL619" s="0" t="n">
        <v>0</v>
      </c>
      <c r="AM619" s="0" t="n">
        <v>0</v>
      </c>
    </row>
    <row r="620" customFormat="false" ht="12.75" hidden="false" customHeight="false" outlineLevel="0" collapsed="false">
      <c r="A620" s="0" t="s">
        <v>621</v>
      </c>
      <c r="B620" s="0" t="str">
        <f aca="false">'Basis Options'!C624</f>
        <v>NU0073</v>
      </c>
      <c r="C620" s="0" t="s">
        <v>622</v>
      </c>
      <c r="D620" s="0" t="s">
        <v>623</v>
      </c>
      <c r="E620" s="0" t="s">
        <v>131</v>
      </c>
      <c r="F620" s="0" t="str">
        <f aca="false">'Basis Options'!A624</f>
        <v>ELPASMER</v>
      </c>
      <c r="G620" s="0" t="s">
        <v>628</v>
      </c>
      <c r="H620" s="0" t="s">
        <v>625</v>
      </c>
      <c r="I620" s="0" t="s">
        <v>626</v>
      </c>
      <c r="J620" s="0" t="s">
        <v>627</v>
      </c>
      <c r="K620" s="475" t="n">
        <f aca="false">'Basis Options'!G624</f>
        <v>36892</v>
      </c>
      <c r="L620" s="254" t="e">
        <f aca="false">'Basis Options'!U624</f>
        <v>#NAME?</v>
      </c>
      <c r="M620" s="475" t="n">
        <f aca="false">'Basis Options'!Q624</f>
        <v>36888</v>
      </c>
      <c r="N620" s="0" t="str">
        <f aca="false">'Basis Options'!F624</f>
        <v>C</v>
      </c>
      <c r="O620" s="0" t="n">
        <f aca="false">'Basis Options'!I624</f>
        <v>3</v>
      </c>
      <c r="P620" s="0" t="n">
        <v>0</v>
      </c>
      <c r="Q620" s="0" t="n">
        <v>0</v>
      </c>
      <c r="R620" s="0" t="n">
        <v>0</v>
      </c>
      <c r="S620" s="0" t="n">
        <v>0</v>
      </c>
      <c r="T620" s="0" t="s">
        <v>624</v>
      </c>
      <c r="U620" s="0" t="str">
        <f aca="false">IF('Basis Options'!D624="NGI/CHI. GATE","""NGI/CHI. GATE""",TRIM('Basis Options'!D624))</f>
        <v>IF-TRANSCO/Z6</v>
      </c>
      <c r="V620" s="0" t="s">
        <v>624</v>
      </c>
      <c r="W620" s="0" t="s">
        <v>569</v>
      </c>
      <c r="X620" s="0" t="s">
        <v>624</v>
      </c>
      <c r="Y620" s="0" t="s">
        <v>627</v>
      </c>
      <c r="Z620" s="0" t="s">
        <v>629</v>
      </c>
      <c r="AA620" s="0" t="s">
        <v>624</v>
      </c>
      <c r="AB620" s="0" t="s">
        <v>132</v>
      </c>
      <c r="AC620" s="254" t="n">
        <f aca="false">'Basis Options'!H624</f>
        <v>-500000</v>
      </c>
      <c r="AD620" s="254" t="e">
        <f aca="false">'Basis Options'!W624</f>
        <v>#NAME?</v>
      </c>
      <c r="AE620" s="0" t="n">
        <v>0</v>
      </c>
      <c r="AF620" s="0" t="n">
        <v>0</v>
      </c>
      <c r="AG620" s="0" t="n">
        <v>0</v>
      </c>
      <c r="AH620" s="254" t="e">
        <f aca="false">'Basis Options'!CD625</f>
        <v>#NAME?</v>
      </c>
      <c r="AI620" s="0" t="n">
        <v>226</v>
      </c>
      <c r="AJ620" s="0" t="s">
        <v>630</v>
      </c>
      <c r="AK620" s="0" t="n">
        <v>0</v>
      </c>
      <c r="AL620" s="0" t="n">
        <v>0</v>
      </c>
      <c r="AM620" s="0" t="n">
        <v>0</v>
      </c>
    </row>
    <row r="621" customFormat="false" ht="12.75" hidden="false" customHeight="false" outlineLevel="0" collapsed="false">
      <c r="A621" s="0" t="s">
        <v>621</v>
      </c>
      <c r="B621" s="0" t="str">
        <f aca="false">'Basis Options'!C625</f>
        <v>NU0073</v>
      </c>
      <c r="C621" s="0" t="s">
        <v>622</v>
      </c>
      <c r="D621" s="0" t="s">
        <v>623</v>
      </c>
      <c r="E621" s="0" t="s">
        <v>131</v>
      </c>
      <c r="F621" s="0" t="str">
        <f aca="false">'Basis Options'!A625</f>
        <v>ELPASMER</v>
      </c>
      <c r="G621" s="0" t="s">
        <v>628</v>
      </c>
      <c r="H621" s="0" t="s">
        <v>625</v>
      </c>
      <c r="I621" s="0" t="s">
        <v>626</v>
      </c>
      <c r="J621" s="0" t="s">
        <v>627</v>
      </c>
      <c r="K621" s="475" t="n">
        <f aca="false">'Basis Options'!G625</f>
        <v>36923</v>
      </c>
      <c r="L621" s="254" t="e">
        <f aca="false">'Basis Options'!U625</f>
        <v>#NAME?</v>
      </c>
      <c r="M621" s="475" t="n">
        <f aca="false">'Basis Options'!Q625</f>
        <v>36921</v>
      </c>
      <c r="N621" s="0" t="str">
        <f aca="false">'Basis Options'!F625</f>
        <v>C</v>
      </c>
      <c r="O621" s="0" t="n">
        <f aca="false">'Basis Options'!I625</f>
        <v>3</v>
      </c>
      <c r="P621" s="0" t="n">
        <v>0</v>
      </c>
      <c r="Q621" s="0" t="n">
        <v>0</v>
      </c>
      <c r="R621" s="0" t="n">
        <v>0</v>
      </c>
      <c r="S621" s="0" t="n">
        <v>0</v>
      </c>
      <c r="T621" s="0" t="s">
        <v>624</v>
      </c>
      <c r="U621" s="0" t="str">
        <f aca="false">IF('Basis Options'!D625="NGI/CHI. GATE","""NGI/CHI. GATE""",TRIM('Basis Options'!D625))</f>
        <v>IF-TRANSCO/Z6</v>
      </c>
      <c r="V621" s="0" t="s">
        <v>624</v>
      </c>
      <c r="W621" s="0" t="s">
        <v>569</v>
      </c>
      <c r="X621" s="0" t="s">
        <v>624</v>
      </c>
      <c r="Y621" s="0" t="s">
        <v>627</v>
      </c>
      <c r="Z621" s="0" t="s">
        <v>629</v>
      </c>
      <c r="AA621" s="0" t="s">
        <v>624</v>
      </c>
      <c r="AB621" s="0" t="s">
        <v>132</v>
      </c>
      <c r="AC621" s="254" t="n">
        <f aca="false">'Basis Options'!H625</f>
        <v>-500000</v>
      </c>
      <c r="AD621" s="254" t="e">
        <f aca="false">'Basis Options'!W625</f>
        <v>#NAME?</v>
      </c>
      <c r="AE621" s="0" t="n">
        <v>0</v>
      </c>
      <c r="AF621" s="0" t="n">
        <v>0</v>
      </c>
      <c r="AG621" s="0" t="n">
        <v>0</v>
      </c>
      <c r="AH621" s="254" t="e">
        <f aca="false">'Basis Options'!CD626</f>
        <v>#NAME?</v>
      </c>
      <c r="AI621" s="0" t="n">
        <v>226</v>
      </c>
      <c r="AJ621" s="0" t="s">
        <v>630</v>
      </c>
      <c r="AK621" s="0" t="n">
        <v>0</v>
      </c>
      <c r="AL621" s="0" t="n">
        <v>0</v>
      </c>
      <c r="AM621" s="0" t="n">
        <v>0</v>
      </c>
    </row>
    <row r="622" customFormat="false" ht="12.75" hidden="false" customHeight="false" outlineLevel="0" collapsed="false">
      <c r="A622" s="0" t="s">
        <v>621</v>
      </c>
      <c r="B622" s="0" t="str">
        <f aca="false">'Basis Options'!C626</f>
        <v>NU0077</v>
      </c>
      <c r="C622" s="0" t="s">
        <v>622</v>
      </c>
      <c r="D622" s="0" t="s">
        <v>623</v>
      </c>
      <c r="E622" s="0" t="s">
        <v>131</v>
      </c>
      <c r="F622" s="0" t="str">
        <f aca="false">'Basis Options'!A626</f>
        <v>UTILICORP</v>
      </c>
      <c r="G622" s="0" t="s">
        <v>628</v>
      </c>
      <c r="H622" s="0" t="s">
        <v>625</v>
      </c>
      <c r="I622" s="0" t="s">
        <v>626</v>
      </c>
      <c r="J622" s="0" t="s">
        <v>627</v>
      </c>
      <c r="K622" s="475" t="n">
        <f aca="false">'Basis Options'!G626</f>
        <v>36800</v>
      </c>
      <c r="L622" s="254" t="e">
        <f aca="false">'Basis Options'!U626</f>
        <v>#NAME?</v>
      </c>
      <c r="M622" s="475" t="n">
        <f aca="false">'Basis Options'!Q626</f>
        <v>36797</v>
      </c>
      <c r="N622" s="0" t="str">
        <f aca="false">'Basis Options'!F626</f>
        <v>P</v>
      </c>
      <c r="O622" s="0" t="n">
        <f aca="false">'Basis Options'!I626</f>
        <v>0.4</v>
      </c>
      <c r="P622" s="0" t="n">
        <v>0</v>
      </c>
      <c r="Q622" s="0" t="n">
        <v>0</v>
      </c>
      <c r="R622" s="0" t="n">
        <v>0</v>
      </c>
      <c r="S622" s="0" t="n">
        <v>0</v>
      </c>
      <c r="T622" s="0" t="s">
        <v>624</v>
      </c>
      <c r="U622" s="0" t="str">
        <f aca="false">IF('Basis Options'!D626="NGI/CHI. GATE","""NGI/CHI. GATE""",TRIM('Basis Options'!D626))</f>
        <v>IF-TRANSCO/Z6</v>
      </c>
      <c r="V622" s="0" t="s">
        <v>624</v>
      </c>
      <c r="W622" s="0" t="s">
        <v>569</v>
      </c>
      <c r="X622" s="0" t="s">
        <v>624</v>
      </c>
      <c r="Y622" s="0" t="s">
        <v>627</v>
      </c>
      <c r="Z622" s="0" t="s">
        <v>629</v>
      </c>
      <c r="AA622" s="0" t="s">
        <v>624</v>
      </c>
      <c r="AB622" s="0" t="s">
        <v>132</v>
      </c>
      <c r="AC622" s="254" t="n">
        <f aca="false">'Basis Options'!H626</f>
        <v>-1550000</v>
      </c>
      <c r="AD622" s="254" t="e">
        <f aca="false">'Basis Options'!W626</f>
        <v>#NAME?</v>
      </c>
      <c r="AE622" s="0" t="n">
        <v>0</v>
      </c>
      <c r="AF622" s="0" t="n">
        <v>0</v>
      </c>
      <c r="AG622" s="0" t="n">
        <v>0</v>
      </c>
      <c r="AH622" s="254" t="e">
        <f aca="false">'Basis Options'!CD627</f>
        <v>#NAME?</v>
      </c>
      <c r="AI622" s="0" t="n">
        <v>226</v>
      </c>
      <c r="AJ622" s="0" t="s">
        <v>630</v>
      </c>
      <c r="AK622" s="0" t="n">
        <v>0</v>
      </c>
      <c r="AL622" s="0" t="n">
        <v>0</v>
      </c>
      <c r="AM622" s="0" t="n">
        <v>0</v>
      </c>
    </row>
    <row r="623" customFormat="false" ht="12.75" hidden="false" customHeight="false" outlineLevel="0" collapsed="false">
      <c r="A623" s="0" t="s">
        <v>621</v>
      </c>
      <c r="B623" s="0" t="str">
        <f aca="false">'Basis Options'!C627</f>
        <v>NU3268</v>
      </c>
      <c r="C623" s="0" t="s">
        <v>622</v>
      </c>
      <c r="D623" s="0" t="s">
        <v>623</v>
      </c>
      <c r="E623" s="0" t="s">
        <v>131</v>
      </c>
      <c r="F623" s="0" t="str">
        <f aca="false">'Basis Options'!A627</f>
        <v>AEPENESER</v>
      </c>
      <c r="G623" s="0" t="s">
        <v>628</v>
      </c>
      <c r="H623" s="0" t="s">
        <v>625</v>
      </c>
      <c r="I623" s="0" t="s">
        <v>626</v>
      </c>
      <c r="J623" s="0" t="s">
        <v>627</v>
      </c>
      <c r="K623" s="475" t="n">
        <f aca="false">'Basis Options'!G627</f>
        <v>36770</v>
      </c>
      <c r="L623" s="254" t="e">
        <f aca="false">'Basis Options'!U627</f>
        <v>#NAME?</v>
      </c>
      <c r="M623" s="475" t="n">
        <f aca="false">'Basis Options'!Q627</f>
        <v>36768</v>
      </c>
      <c r="N623" s="0" t="str">
        <f aca="false">'Basis Options'!F627</f>
        <v>C</v>
      </c>
      <c r="O623" s="0" t="n">
        <f aca="false">'Basis Options'!I627</f>
        <v>0.5</v>
      </c>
      <c r="P623" s="0" t="n">
        <v>0</v>
      </c>
      <c r="Q623" s="0" t="n">
        <v>0</v>
      </c>
      <c r="R623" s="0" t="n">
        <v>0</v>
      </c>
      <c r="S623" s="0" t="n">
        <v>0</v>
      </c>
      <c r="T623" s="0" t="s">
        <v>624</v>
      </c>
      <c r="U623" s="0" t="str">
        <f aca="false">IF('Basis Options'!D627="NGI/CHI. GATE","""NGI/CHI. GATE""",TRIM('Basis Options'!D627))</f>
        <v>NGI-SOCAL</v>
      </c>
      <c r="V623" s="0" t="s">
        <v>624</v>
      </c>
      <c r="W623" s="0" t="s">
        <v>569</v>
      </c>
      <c r="X623" s="0" t="s">
        <v>624</v>
      </c>
      <c r="Y623" s="0" t="s">
        <v>627</v>
      </c>
      <c r="Z623" s="0" t="s">
        <v>629</v>
      </c>
      <c r="AA623" s="0" t="s">
        <v>624</v>
      </c>
      <c r="AB623" s="0" t="s">
        <v>132</v>
      </c>
      <c r="AC623" s="254" t="n">
        <f aca="false">'Basis Options'!H627</f>
        <v>300000</v>
      </c>
      <c r="AD623" s="254" t="e">
        <f aca="false">'Basis Options'!W627</f>
        <v>#NAME?</v>
      </c>
      <c r="AE623" s="0" t="n">
        <v>0</v>
      </c>
      <c r="AF623" s="0" t="n">
        <v>0</v>
      </c>
      <c r="AG623" s="0" t="n">
        <v>0</v>
      </c>
      <c r="AH623" s="254" t="e">
        <f aca="false">'Basis Options'!CD628</f>
        <v>#NAME?</v>
      </c>
      <c r="AI623" s="0" t="n">
        <v>226</v>
      </c>
      <c r="AJ623" s="0" t="s">
        <v>630</v>
      </c>
      <c r="AK623" s="0" t="n">
        <v>0</v>
      </c>
      <c r="AL623" s="0" t="n">
        <v>0</v>
      </c>
      <c r="AM623" s="0" t="n">
        <v>0</v>
      </c>
    </row>
    <row r="624" customFormat="false" ht="12.75" hidden="false" customHeight="false" outlineLevel="0" collapsed="false">
      <c r="A624" s="0" t="s">
        <v>621</v>
      </c>
      <c r="B624" s="0" t="str">
        <f aca="false">'Basis Options'!C628</f>
        <v>NU3291</v>
      </c>
      <c r="C624" s="0" t="s">
        <v>622</v>
      </c>
      <c r="D624" s="0" t="s">
        <v>623</v>
      </c>
      <c r="E624" s="0" t="s">
        <v>131</v>
      </c>
      <c r="F624" s="0" t="str">
        <f aca="false">'Basis Options'!A628</f>
        <v>KOCHENETRA</v>
      </c>
      <c r="G624" s="0" t="s">
        <v>628</v>
      </c>
      <c r="H624" s="0" t="s">
        <v>625</v>
      </c>
      <c r="I624" s="0" t="s">
        <v>626</v>
      </c>
      <c r="J624" s="0" t="s">
        <v>627</v>
      </c>
      <c r="K624" s="475" t="n">
        <f aca="false">'Basis Options'!G628</f>
        <v>36982</v>
      </c>
      <c r="L624" s="254" t="e">
        <f aca="false">'Basis Options'!U628</f>
        <v>#NAME?</v>
      </c>
      <c r="M624" s="475" t="n">
        <f aca="false">'Basis Options'!Q628</f>
        <v>36979</v>
      </c>
      <c r="N624" s="0" t="str">
        <f aca="false">'Basis Options'!F628</f>
        <v>C</v>
      </c>
      <c r="O624" s="0" t="n">
        <f aca="false">'Basis Options'!I628</f>
        <v>0.7</v>
      </c>
      <c r="P624" s="0" t="n">
        <v>0</v>
      </c>
      <c r="Q624" s="0" t="n">
        <v>0</v>
      </c>
      <c r="R624" s="0" t="n">
        <v>0</v>
      </c>
      <c r="S624" s="0" t="n">
        <v>0</v>
      </c>
      <c r="T624" s="0" t="s">
        <v>624</v>
      </c>
      <c r="U624" s="0" t="str">
        <f aca="false">IF('Basis Options'!D628="NGI/CHI. GATE","""NGI/CHI. GATE""",TRIM('Basis Options'!D628))</f>
        <v>IF-TRANSCO/Z6</v>
      </c>
      <c r="V624" s="0" t="s">
        <v>624</v>
      </c>
      <c r="W624" s="0" t="s">
        <v>569</v>
      </c>
      <c r="X624" s="0" t="s">
        <v>624</v>
      </c>
      <c r="Y624" s="0" t="s">
        <v>627</v>
      </c>
      <c r="Z624" s="0" t="s">
        <v>629</v>
      </c>
      <c r="AA624" s="0" t="s">
        <v>624</v>
      </c>
      <c r="AB624" s="0" t="s">
        <v>132</v>
      </c>
      <c r="AC624" s="254" t="n">
        <f aca="false">'Basis Options'!H628</f>
        <v>-1200000</v>
      </c>
      <c r="AD624" s="254" t="e">
        <f aca="false">'Basis Options'!W628</f>
        <v>#NAME?</v>
      </c>
      <c r="AE624" s="0" t="n">
        <v>0</v>
      </c>
      <c r="AF624" s="0" t="n">
        <v>0</v>
      </c>
      <c r="AG624" s="0" t="n">
        <v>0</v>
      </c>
      <c r="AH624" s="254" t="e">
        <f aca="false">'Basis Options'!CD629</f>
        <v>#NAME?</v>
      </c>
      <c r="AI624" s="0" t="n">
        <v>226</v>
      </c>
      <c r="AJ624" s="0" t="s">
        <v>630</v>
      </c>
      <c r="AK624" s="0" t="n">
        <v>0</v>
      </c>
      <c r="AL624" s="0" t="n">
        <v>0</v>
      </c>
      <c r="AM624" s="0" t="n">
        <v>0</v>
      </c>
    </row>
    <row r="625" customFormat="false" ht="12.75" hidden="false" customHeight="false" outlineLevel="0" collapsed="false">
      <c r="A625" s="0" t="s">
        <v>621</v>
      </c>
      <c r="B625" s="0" t="str">
        <f aca="false">'Basis Options'!C629</f>
        <v>NU5426</v>
      </c>
      <c r="C625" s="0" t="s">
        <v>622</v>
      </c>
      <c r="D625" s="0" t="s">
        <v>623</v>
      </c>
      <c r="E625" s="0" t="s">
        <v>131</v>
      </c>
      <c r="F625" s="0" t="str">
        <f aca="false">'Basis Options'!A629</f>
        <v>TXUENETRA</v>
      </c>
      <c r="G625" s="0" t="s">
        <v>628</v>
      </c>
      <c r="H625" s="0" t="s">
        <v>625</v>
      </c>
      <c r="I625" s="0" t="s">
        <v>626</v>
      </c>
      <c r="J625" s="0" t="s">
        <v>627</v>
      </c>
      <c r="K625" s="475" t="n">
        <f aca="false">'Basis Options'!G629</f>
        <v>36831</v>
      </c>
      <c r="L625" s="254" t="e">
        <f aca="false">'Basis Options'!U629</f>
        <v>#NAME?</v>
      </c>
      <c r="M625" s="475" t="n">
        <f aca="false">'Basis Options'!Q629</f>
        <v>36829</v>
      </c>
      <c r="N625" s="0" t="str">
        <f aca="false">'Basis Options'!F629</f>
        <v>P</v>
      </c>
      <c r="O625" s="0" t="n">
        <f aca="false">'Basis Options'!I629</f>
        <v>0.95</v>
      </c>
      <c r="P625" s="0" t="n">
        <v>0</v>
      </c>
      <c r="Q625" s="0" t="n">
        <v>0</v>
      </c>
      <c r="R625" s="0" t="n">
        <v>0</v>
      </c>
      <c r="S625" s="0" t="n">
        <v>0</v>
      </c>
      <c r="T625" s="0" t="s">
        <v>624</v>
      </c>
      <c r="U625" s="0" t="str">
        <f aca="false">IF('Basis Options'!D629="NGI/CHI. GATE","""NGI/CHI. GATE""",TRIM('Basis Options'!D629))</f>
        <v>IF-TRANSCO/Z6</v>
      </c>
      <c r="V625" s="0" t="s">
        <v>624</v>
      </c>
      <c r="W625" s="0" t="s">
        <v>569</v>
      </c>
      <c r="X625" s="0" t="s">
        <v>624</v>
      </c>
      <c r="Y625" s="0" t="s">
        <v>627</v>
      </c>
      <c r="Z625" s="0" t="s">
        <v>629</v>
      </c>
      <c r="AA625" s="0" t="s">
        <v>624</v>
      </c>
      <c r="AB625" s="0" t="s">
        <v>132</v>
      </c>
      <c r="AC625" s="254" t="n">
        <f aca="false">'Basis Options'!H629</f>
        <v>1000000</v>
      </c>
      <c r="AD625" s="254" t="e">
        <f aca="false">'Basis Options'!W629</f>
        <v>#NAME?</v>
      </c>
      <c r="AE625" s="0" t="n">
        <v>0</v>
      </c>
      <c r="AF625" s="0" t="n">
        <v>0</v>
      </c>
      <c r="AG625" s="0" t="n">
        <v>0</v>
      </c>
      <c r="AH625" s="254" t="e">
        <f aca="false">'Basis Options'!CD630</f>
        <v>#NAME?</v>
      </c>
      <c r="AI625" s="0" t="n">
        <v>226</v>
      </c>
      <c r="AJ625" s="0" t="s">
        <v>630</v>
      </c>
      <c r="AK625" s="0" t="n">
        <v>0</v>
      </c>
      <c r="AL625" s="0" t="n">
        <v>0</v>
      </c>
      <c r="AM625" s="0" t="n">
        <v>0</v>
      </c>
    </row>
    <row r="626" customFormat="false" ht="12.75" hidden="false" customHeight="false" outlineLevel="0" collapsed="false">
      <c r="A626" s="0" t="s">
        <v>621</v>
      </c>
      <c r="B626" s="0" t="str">
        <f aca="false">'Basis Options'!C630</f>
        <v>NU5426</v>
      </c>
      <c r="C626" s="0" t="s">
        <v>622</v>
      </c>
      <c r="D626" s="0" t="s">
        <v>623</v>
      </c>
      <c r="E626" s="0" t="s">
        <v>131</v>
      </c>
      <c r="F626" s="0" t="str">
        <f aca="false">'Basis Options'!A630</f>
        <v>TXUENETRA</v>
      </c>
      <c r="G626" s="0" t="s">
        <v>628</v>
      </c>
      <c r="H626" s="0" t="s">
        <v>625</v>
      </c>
      <c r="I626" s="0" t="s">
        <v>626</v>
      </c>
      <c r="J626" s="0" t="s">
        <v>627</v>
      </c>
      <c r="K626" s="475" t="n">
        <f aca="false">'Basis Options'!G630</f>
        <v>36861</v>
      </c>
      <c r="L626" s="254" t="e">
        <f aca="false">'Basis Options'!U630</f>
        <v>#NAME?</v>
      </c>
      <c r="M626" s="475" t="n">
        <f aca="false">'Basis Options'!Q630</f>
        <v>36859</v>
      </c>
      <c r="N626" s="0" t="str">
        <f aca="false">'Basis Options'!F630</f>
        <v>P</v>
      </c>
      <c r="O626" s="0" t="n">
        <f aca="false">'Basis Options'!I630</f>
        <v>0.95</v>
      </c>
      <c r="P626" s="0" t="n">
        <v>0</v>
      </c>
      <c r="Q626" s="0" t="n">
        <v>0</v>
      </c>
      <c r="R626" s="0" t="n">
        <v>0</v>
      </c>
      <c r="S626" s="0" t="n">
        <v>0</v>
      </c>
      <c r="T626" s="0" t="s">
        <v>624</v>
      </c>
      <c r="U626" s="0" t="str">
        <f aca="false">IF('Basis Options'!D630="NGI/CHI. GATE","""NGI/CHI. GATE""",TRIM('Basis Options'!D630))</f>
        <v>IF-TRANSCO/Z6</v>
      </c>
      <c r="V626" s="0" t="s">
        <v>624</v>
      </c>
      <c r="W626" s="0" t="s">
        <v>569</v>
      </c>
      <c r="X626" s="0" t="s">
        <v>624</v>
      </c>
      <c r="Y626" s="0" t="s">
        <v>627</v>
      </c>
      <c r="Z626" s="0" t="s">
        <v>629</v>
      </c>
      <c r="AA626" s="0" t="s">
        <v>624</v>
      </c>
      <c r="AB626" s="0" t="s">
        <v>132</v>
      </c>
      <c r="AC626" s="254" t="n">
        <f aca="false">'Basis Options'!H630</f>
        <v>1000000</v>
      </c>
      <c r="AD626" s="254" t="e">
        <f aca="false">'Basis Options'!W630</f>
        <v>#NAME?</v>
      </c>
      <c r="AE626" s="0" t="n">
        <v>0</v>
      </c>
      <c r="AF626" s="0" t="n">
        <v>0</v>
      </c>
      <c r="AG626" s="0" t="n">
        <v>0</v>
      </c>
      <c r="AH626" s="254" t="e">
        <f aca="false">'Basis Options'!CD631</f>
        <v>#NAME?</v>
      </c>
      <c r="AI626" s="0" t="n">
        <v>226</v>
      </c>
      <c r="AJ626" s="0" t="s">
        <v>630</v>
      </c>
      <c r="AK626" s="0" t="n">
        <v>0</v>
      </c>
      <c r="AL626" s="0" t="n">
        <v>0</v>
      </c>
      <c r="AM626" s="0" t="n">
        <v>0</v>
      </c>
    </row>
    <row r="627" customFormat="false" ht="12.75" hidden="false" customHeight="false" outlineLevel="0" collapsed="false">
      <c r="A627" s="0" t="s">
        <v>621</v>
      </c>
      <c r="B627" s="0" t="str">
        <f aca="false">'Basis Options'!C631</f>
        <v>NU5426</v>
      </c>
      <c r="C627" s="0" t="s">
        <v>622</v>
      </c>
      <c r="D627" s="0" t="s">
        <v>623</v>
      </c>
      <c r="E627" s="0" t="s">
        <v>131</v>
      </c>
      <c r="F627" s="0" t="str">
        <f aca="false">'Basis Options'!A631</f>
        <v>TXUENETRA</v>
      </c>
      <c r="G627" s="0" t="s">
        <v>628</v>
      </c>
      <c r="H627" s="0" t="s">
        <v>625</v>
      </c>
      <c r="I627" s="0" t="s">
        <v>626</v>
      </c>
      <c r="J627" s="0" t="s">
        <v>627</v>
      </c>
      <c r="K627" s="475" t="n">
        <f aca="false">'Basis Options'!G631</f>
        <v>36892</v>
      </c>
      <c r="L627" s="254" t="e">
        <f aca="false">'Basis Options'!U631</f>
        <v>#NAME?</v>
      </c>
      <c r="M627" s="475" t="n">
        <f aca="false">'Basis Options'!Q631</f>
        <v>36888</v>
      </c>
      <c r="N627" s="0" t="str">
        <f aca="false">'Basis Options'!F631</f>
        <v>P</v>
      </c>
      <c r="O627" s="0" t="n">
        <f aca="false">'Basis Options'!I631</f>
        <v>0.95</v>
      </c>
      <c r="P627" s="0" t="n">
        <v>0</v>
      </c>
      <c r="Q627" s="0" t="n">
        <v>0</v>
      </c>
      <c r="R627" s="0" t="n">
        <v>0</v>
      </c>
      <c r="S627" s="0" t="n">
        <v>0</v>
      </c>
      <c r="T627" s="0" t="s">
        <v>624</v>
      </c>
      <c r="U627" s="0" t="str">
        <f aca="false">IF('Basis Options'!D631="NGI/CHI. GATE","""NGI/CHI. GATE""",TRIM('Basis Options'!D631))</f>
        <v>IF-TRANSCO/Z6</v>
      </c>
      <c r="V627" s="0" t="s">
        <v>624</v>
      </c>
      <c r="W627" s="0" t="s">
        <v>569</v>
      </c>
      <c r="X627" s="0" t="s">
        <v>624</v>
      </c>
      <c r="Y627" s="0" t="s">
        <v>627</v>
      </c>
      <c r="Z627" s="0" t="s">
        <v>629</v>
      </c>
      <c r="AA627" s="0" t="s">
        <v>624</v>
      </c>
      <c r="AB627" s="0" t="s">
        <v>132</v>
      </c>
      <c r="AC627" s="254" t="n">
        <f aca="false">'Basis Options'!H631</f>
        <v>1000000</v>
      </c>
      <c r="AD627" s="254" t="e">
        <f aca="false">'Basis Options'!W631</f>
        <v>#NAME?</v>
      </c>
      <c r="AE627" s="0" t="n">
        <v>0</v>
      </c>
      <c r="AF627" s="0" t="n">
        <v>0</v>
      </c>
      <c r="AG627" s="0" t="n">
        <v>0</v>
      </c>
      <c r="AH627" s="254" t="e">
        <f aca="false">'Basis Options'!CD632</f>
        <v>#NAME?</v>
      </c>
      <c r="AI627" s="0" t="n">
        <v>226</v>
      </c>
      <c r="AJ627" s="0" t="s">
        <v>630</v>
      </c>
      <c r="AK627" s="0" t="n">
        <v>0</v>
      </c>
      <c r="AL627" s="0" t="n">
        <v>0</v>
      </c>
      <c r="AM627" s="0" t="n">
        <v>0</v>
      </c>
    </row>
    <row r="628" customFormat="false" ht="12.75" hidden="false" customHeight="false" outlineLevel="0" collapsed="false">
      <c r="A628" s="0" t="s">
        <v>621</v>
      </c>
      <c r="B628" s="0" t="str">
        <f aca="false">'Basis Options'!C632</f>
        <v>NU5426</v>
      </c>
      <c r="C628" s="0" t="s">
        <v>622</v>
      </c>
      <c r="D628" s="0" t="s">
        <v>623</v>
      </c>
      <c r="E628" s="0" t="s">
        <v>131</v>
      </c>
      <c r="F628" s="0" t="str">
        <f aca="false">'Basis Options'!A632</f>
        <v>TXUENETRA</v>
      </c>
      <c r="G628" s="0" t="s">
        <v>628</v>
      </c>
      <c r="H628" s="0" t="s">
        <v>625</v>
      </c>
      <c r="I628" s="0" t="s">
        <v>626</v>
      </c>
      <c r="J628" s="0" t="s">
        <v>627</v>
      </c>
      <c r="K628" s="475" t="n">
        <f aca="false">'Basis Options'!G632</f>
        <v>36923</v>
      </c>
      <c r="L628" s="254" t="e">
        <f aca="false">'Basis Options'!U632</f>
        <v>#NAME?</v>
      </c>
      <c r="M628" s="475" t="n">
        <f aca="false">'Basis Options'!Q632</f>
        <v>36921</v>
      </c>
      <c r="N628" s="0" t="str">
        <f aca="false">'Basis Options'!F632</f>
        <v>P</v>
      </c>
      <c r="O628" s="0" t="n">
        <f aca="false">'Basis Options'!I632</f>
        <v>0.95</v>
      </c>
      <c r="P628" s="0" t="n">
        <v>0</v>
      </c>
      <c r="Q628" s="0" t="n">
        <v>0</v>
      </c>
      <c r="R628" s="0" t="n">
        <v>0</v>
      </c>
      <c r="S628" s="0" t="n">
        <v>0</v>
      </c>
      <c r="T628" s="0" t="s">
        <v>624</v>
      </c>
      <c r="U628" s="0" t="str">
        <f aca="false">IF('Basis Options'!D632="NGI/CHI. GATE","""NGI/CHI. GATE""",TRIM('Basis Options'!D632))</f>
        <v>IF-TRANSCO/Z6</v>
      </c>
      <c r="V628" s="0" t="s">
        <v>624</v>
      </c>
      <c r="W628" s="0" t="s">
        <v>569</v>
      </c>
      <c r="X628" s="0" t="s">
        <v>624</v>
      </c>
      <c r="Y628" s="0" t="s">
        <v>627</v>
      </c>
      <c r="Z628" s="0" t="s">
        <v>629</v>
      </c>
      <c r="AA628" s="0" t="s">
        <v>624</v>
      </c>
      <c r="AB628" s="0" t="s">
        <v>132</v>
      </c>
      <c r="AC628" s="254" t="n">
        <f aca="false">'Basis Options'!H632</f>
        <v>1000000</v>
      </c>
      <c r="AD628" s="254" t="e">
        <f aca="false">'Basis Options'!W632</f>
        <v>#NAME?</v>
      </c>
      <c r="AE628" s="0" t="n">
        <v>0</v>
      </c>
      <c r="AF628" s="0" t="n">
        <v>0</v>
      </c>
      <c r="AG628" s="0" t="n">
        <v>0</v>
      </c>
      <c r="AH628" s="254" t="e">
        <f aca="false">'Basis Options'!CD633</f>
        <v>#NAME?</v>
      </c>
      <c r="AI628" s="0" t="n">
        <v>226</v>
      </c>
      <c r="AJ628" s="0" t="s">
        <v>630</v>
      </c>
      <c r="AK628" s="0" t="n">
        <v>0</v>
      </c>
      <c r="AL628" s="0" t="n">
        <v>0</v>
      </c>
      <c r="AM628" s="0" t="n">
        <v>0</v>
      </c>
    </row>
    <row r="629" customFormat="false" ht="12.75" hidden="false" customHeight="false" outlineLevel="0" collapsed="false">
      <c r="A629" s="0" t="s">
        <v>621</v>
      </c>
      <c r="B629" s="0" t="str">
        <f aca="false">'Basis Options'!C633</f>
        <v>NU5426</v>
      </c>
      <c r="C629" s="0" t="s">
        <v>622</v>
      </c>
      <c r="D629" s="0" t="s">
        <v>623</v>
      </c>
      <c r="E629" s="0" t="s">
        <v>131</v>
      </c>
      <c r="F629" s="0" t="str">
        <f aca="false">'Basis Options'!A633</f>
        <v>TXUENETRA</v>
      </c>
      <c r="G629" s="0" t="s">
        <v>628</v>
      </c>
      <c r="H629" s="0" t="s">
        <v>625</v>
      </c>
      <c r="I629" s="0" t="s">
        <v>626</v>
      </c>
      <c r="J629" s="0" t="s">
        <v>627</v>
      </c>
      <c r="K629" s="475" t="n">
        <f aca="false">'Basis Options'!G633</f>
        <v>36951</v>
      </c>
      <c r="L629" s="254" t="e">
        <f aca="false">'Basis Options'!U633</f>
        <v>#NAME?</v>
      </c>
      <c r="M629" s="475" t="n">
        <f aca="false">'Basis Options'!Q633</f>
        <v>36949</v>
      </c>
      <c r="N629" s="0" t="str">
        <f aca="false">'Basis Options'!F633</f>
        <v>P</v>
      </c>
      <c r="O629" s="0" t="n">
        <f aca="false">'Basis Options'!I633</f>
        <v>0.95</v>
      </c>
      <c r="P629" s="0" t="n">
        <v>0</v>
      </c>
      <c r="Q629" s="0" t="n">
        <v>0</v>
      </c>
      <c r="R629" s="0" t="n">
        <v>0</v>
      </c>
      <c r="S629" s="0" t="n">
        <v>0</v>
      </c>
      <c r="T629" s="0" t="s">
        <v>624</v>
      </c>
      <c r="U629" s="0" t="str">
        <f aca="false">IF('Basis Options'!D633="NGI/CHI. GATE","""NGI/CHI. GATE""",TRIM('Basis Options'!D633))</f>
        <v>IF-TRANSCO/Z6</v>
      </c>
      <c r="V629" s="0" t="s">
        <v>624</v>
      </c>
      <c r="W629" s="0" t="s">
        <v>569</v>
      </c>
      <c r="X629" s="0" t="s">
        <v>624</v>
      </c>
      <c r="Y629" s="0" t="s">
        <v>627</v>
      </c>
      <c r="Z629" s="0" t="s">
        <v>629</v>
      </c>
      <c r="AA629" s="0" t="s">
        <v>624</v>
      </c>
      <c r="AB629" s="0" t="s">
        <v>132</v>
      </c>
      <c r="AC629" s="254" t="n">
        <f aca="false">'Basis Options'!H633</f>
        <v>1000000</v>
      </c>
      <c r="AD629" s="254" t="e">
        <f aca="false">'Basis Options'!W633</f>
        <v>#NAME?</v>
      </c>
      <c r="AE629" s="0" t="n">
        <v>0</v>
      </c>
      <c r="AF629" s="0" t="n">
        <v>0</v>
      </c>
      <c r="AG629" s="0" t="n">
        <v>0</v>
      </c>
      <c r="AH629" s="254" t="e">
        <f aca="false">'Basis Options'!CD634</f>
        <v>#NAME?</v>
      </c>
      <c r="AI629" s="0" t="n">
        <v>226</v>
      </c>
      <c r="AJ629" s="0" t="s">
        <v>630</v>
      </c>
      <c r="AK629" s="0" t="n">
        <v>0</v>
      </c>
      <c r="AL629" s="0" t="n">
        <v>0</v>
      </c>
      <c r="AM629" s="0" t="n">
        <v>0</v>
      </c>
    </row>
    <row r="630" customFormat="false" ht="12.75" hidden="false" customHeight="false" outlineLevel="0" collapsed="false">
      <c r="A630" s="0" t="s">
        <v>621</v>
      </c>
      <c r="B630" s="0" t="str">
        <f aca="false">'Basis Options'!C634</f>
        <v>NU5429</v>
      </c>
      <c r="C630" s="0" t="s">
        <v>622</v>
      </c>
      <c r="D630" s="0" t="s">
        <v>623</v>
      </c>
      <c r="E630" s="0" t="s">
        <v>131</v>
      </c>
      <c r="F630" s="0" t="str">
        <f aca="false">'Basis Options'!A634</f>
        <v>AEPENESER</v>
      </c>
      <c r="G630" s="0" t="s">
        <v>628</v>
      </c>
      <c r="H630" s="0" t="s">
        <v>625</v>
      </c>
      <c r="I630" s="0" t="s">
        <v>626</v>
      </c>
      <c r="J630" s="0" t="s">
        <v>627</v>
      </c>
      <c r="K630" s="475" t="n">
        <f aca="false">'Basis Options'!G634</f>
        <v>36831</v>
      </c>
      <c r="L630" s="254" t="e">
        <f aca="false">'Basis Options'!U634</f>
        <v>#NAME?</v>
      </c>
      <c r="M630" s="475" t="n">
        <f aca="false">'Basis Options'!Q634</f>
        <v>36829</v>
      </c>
      <c r="N630" s="0" t="str">
        <f aca="false">'Basis Options'!F634</f>
        <v>C</v>
      </c>
      <c r="O630" s="0" t="n">
        <f aca="false">'Basis Options'!I634</f>
        <v>4</v>
      </c>
      <c r="P630" s="0" t="n">
        <v>0</v>
      </c>
      <c r="Q630" s="0" t="n">
        <v>0</v>
      </c>
      <c r="R630" s="0" t="n">
        <v>0</v>
      </c>
      <c r="S630" s="0" t="n">
        <v>0</v>
      </c>
      <c r="T630" s="0" t="s">
        <v>624</v>
      </c>
      <c r="U630" s="0" t="str">
        <f aca="false">IF('Basis Options'!D634="NGI/CHI. GATE","""NGI/CHI. GATE""",TRIM('Basis Options'!D634))</f>
        <v>IF-TRANSCO/Z6</v>
      </c>
      <c r="V630" s="0" t="s">
        <v>624</v>
      </c>
      <c r="W630" s="0" t="s">
        <v>569</v>
      </c>
      <c r="X630" s="0" t="s">
        <v>624</v>
      </c>
      <c r="Y630" s="0" t="s">
        <v>627</v>
      </c>
      <c r="Z630" s="0" t="s">
        <v>629</v>
      </c>
      <c r="AA630" s="0" t="s">
        <v>624</v>
      </c>
      <c r="AB630" s="0" t="s">
        <v>132</v>
      </c>
      <c r="AC630" s="254" t="n">
        <f aca="false">'Basis Options'!H634</f>
        <v>-300000</v>
      </c>
      <c r="AD630" s="254" t="e">
        <f aca="false">'Basis Options'!W634</f>
        <v>#NAME?</v>
      </c>
      <c r="AE630" s="0" t="n">
        <v>0</v>
      </c>
      <c r="AF630" s="0" t="n">
        <v>0</v>
      </c>
      <c r="AG630" s="0" t="n">
        <v>0</v>
      </c>
      <c r="AH630" s="254" t="e">
        <f aca="false">'Basis Options'!CD635</f>
        <v>#NAME?</v>
      </c>
      <c r="AI630" s="0" t="n">
        <v>226</v>
      </c>
      <c r="AJ630" s="0" t="s">
        <v>630</v>
      </c>
      <c r="AK630" s="0" t="n">
        <v>0</v>
      </c>
      <c r="AL630" s="0" t="n">
        <v>0</v>
      </c>
      <c r="AM630" s="0" t="n">
        <v>0</v>
      </c>
    </row>
    <row r="631" customFormat="false" ht="12.75" hidden="false" customHeight="false" outlineLevel="0" collapsed="false">
      <c r="A631" s="0" t="s">
        <v>621</v>
      </c>
      <c r="B631" s="0" t="str">
        <f aca="false">'Basis Options'!C635</f>
        <v>NU5429</v>
      </c>
      <c r="C631" s="0" t="s">
        <v>622</v>
      </c>
      <c r="D631" s="0" t="s">
        <v>623</v>
      </c>
      <c r="E631" s="0" t="s">
        <v>131</v>
      </c>
      <c r="F631" s="0" t="str">
        <f aca="false">'Basis Options'!A635</f>
        <v>AEPENESER</v>
      </c>
      <c r="G631" s="0" t="s">
        <v>628</v>
      </c>
      <c r="H631" s="0" t="s">
        <v>625</v>
      </c>
      <c r="I631" s="0" t="s">
        <v>626</v>
      </c>
      <c r="J631" s="0" t="s">
        <v>627</v>
      </c>
      <c r="K631" s="475" t="n">
        <f aca="false">'Basis Options'!G635</f>
        <v>36861</v>
      </c>
      <c r="L631" s="254" t="e">
        <f aca="false">'Basis Options'!U635</f>
        <v>#NAME?</v>
      </c>
      <c r="M631" s="475" t="n">
        <f aca="false">'Basis Options'!Q635</f>
        <v>36859</v>
      </c>
      <c r="N631" s="0" t="str">
        <f aca="false">'Basis Options'!F635</f>
        <v>C</v>
      </c>
      <c r="O631" s="0" t="n">
        <f aca="false">'Basis Options'!I635</f>
        <v>4</v>
      </c>
      <c r="P631" s="0" t="n">
        <v>0</v>
      </c>
      <c r="Q631" s="0" t="n">
        <v>0</v>
      </c>
      <c r="R631" s="0" t="n">
        <v>0</v>
      </c>
      <c r="S631" s="0" t="n">
        <v>0</v>
      </c>
      <c r="T631" s="0" t="s">
        <v>624</v>
      </c>
      <c r="U631" s="0" t="str">
        <f aca="false">IF('Basis Options'!D635="NGI/CHI. GATE","""NGI/CHI. GATE""",TRIM('Basis Options'!D635))</f>
        <v>IF-TRANSCO/Z6</v>
      </c>
      <c r="V631" s="0" t="s">
        <v>624</v>
      </c>
      <c r="W631" s="0" t="s">
        <v>569</v>
      </c>
      <c r="X631" s="0" t="s">
        <v>624</v>
      </c>
      <c r="Y631" s="0" t="s">
        <v>627</v>
      </c>
      <c r="Z631" s="0" t="s">
        <v>629</v>
      </c>
      <c r="AA631" s="0" t="s">
        <v>624</v>
      </c>
      <c r="AB631" s="0" t="s">
        <v>132</v>
      </c>
      <c r="AC631" s="254" t="n">
        <f aca="false">'Basis Options'!H635</f>
        <v>-310000</v>
      </c>
      <c r="AD631" s="254" t="e">
        <f aca="false">'Basis Options'!W635</f>
        <v>#NAME?</v>
      </c>
      <c r="AE631" s="0" t="n">
        <v>0</v>
      </c>
      <c r="AF631" s="0" t="n">
        <v>0</v>
      </c>
      <c r="AG631" s="0" t="n">
        <v>0</v>
      </c>
      <c r="AH631" s="254" t="e">
        <f aca="false">'Basis Options'!CD636</f>
        <v>#NAME?</v>
      </c>
      <c r="AI631" s="0" t="n">
        <v>226</v>
      </c>
      <c r="AJ631" s="0" t="s">
        <v>630</v>
      </c>
      <c r="AK631" s="0" t="n">
        <v>0</v>
      </c>
      <c r="AL631" s="0" t="n">
        <v>0</v>
      </c>
      <c r="AM631" s="0" t="n">
        <v>0</v>
      </c>
    </row>
    <row r="632" customFormat="false" ht="12.75" hidden="false" customHeight="false" outlineLevel="0" collapsed="false">
      <c r="A632" s="0" t="s">
        <v>621</v>
      </c>
      <c r="B632" s="0" t="str">
        <f aca="false">'Basis Options'!C636</f>
        <v>NU5429</v>
      </c>
      <c r="C632" s="0" t="s">
        <v>622</v>
      </c>
      <c r="D632" s="0" t="s">
        <v>623</v>
      </c>
      <c r="E632" s="0" t="s">
        <v>131</v>
      </c>
      <c r="F632" s="0" t="str">
        <f aca="false">'Basis Options'!A636</f>
        <v>AEPENESER</v>
      </c>
      <c r="G632" s="0" t="s">
        <v>628</v>
      </c>
      <c r="H632" s="0" t="s">
        <v>625</v>
      </c>
      <c r="I632" s="0" t="s">
        <v>626</v>
      </c>
      <c r="J632" s="0" t="s">
        <v>627</v>
      </c>
      <c r="K632" s="475" t="n">
        <f aca="false">'Basis Options'!G636</f>
        <v>36892</v>
      </c>
      <c r="L632" s="254" t="e">
        <f aca="false">'Basis Options'!U636</f>
        <v>#NAME?</v>
      </c>
      <c r="M632" s="475" t="n">
        <f aca="false">'Basis Options'!Q636</f>
        <v>36888</v>
      </c>
      <c r="N632" s="0" t="str">
        <f aca="false">'Basis Options'!F636</f>
        <v>C</v>
      </c>
      <c r="O632" s="0" t="n">
        <f aca="false">'Basis Options'!I636</f>
        <v>4</v>
      </c>
      <c r="P632" s="0" t="n">
        <v>0</v>
      </c>
      <c r="Q632" s="0" t="n">
        <v>0</v>
      </c>
      <c r="R632" s="0" t="n">
        <v>0</v>
      </c>
      <c r="S632" s="0" t="n">
        <v>0</v>
      </c>
      <c r="T632" s="0" t="s">
        <v>624</v>
      </c>
      <c r="U632" s="0" t="str">
        <f aca="false">IF('Basis Options'!D636="NGI/CHI. GATE","""NGI/CHI. GATE""",TRIM('Basis Options'!D636))</f>
        <v>IF-TRANSCO/Z6</v>
      </c>
      <c r="V632" s="0" t="s">
        <v>624</v>
      </c>
      <c r="W632" s="0" t="s">
        <v>569</v>
      </c>
      <c r="X632" s="0" t="s">
        <v>624</v>
      </c>
      <c r="Y632" s="0" t="s">
        <v>627</v>
      </c>
      <c r="Z632" s="0" t="s">
        <v>629</v>
      </c>
      <c r="AA632" s="0" t="s">
        <v>624</v>
      </c>
      <c r="AB632" s="0" t="s">
        <v>132</v>
      </c>
      <c r="AC632" s="254" t="n">
        <f aca="false">'Basis Options'!H636</f>
        <v>-310000</v>
      </c>
      <c r="AD632" s="254" t="e">
        <f aca="false">'Basis Options'!W636</f>
        <v>#NAME?</v>
      </c>
      <c r="AE632" s="0" t="n">
        <v>0</v>
      </c>
      <c r="AF632" s="0" t="n">
        <v>0</v>
      </c>
      <c r="AG632" s="0" t="n">
        <v>0</v>
      </c>
      <c r="AH632" s="254" t="e">
        <f aca="false">'Basis Options'!CD637</f>
        <v>#NAME?</v>
      </c>
      <c r="AI632" s="0" t="n">
        <v>226</v>
      </c>
      <c r="AJ632" s="0" t="s">
        <v>630</v>
      </c>
      <c r="AK632" s="0" t="n">
        <v>0</v>
      </c>
      <c r="AL632" s="0" t="n">
        <v>0</v>
      </c>
      <c r="AM632" s="0" t="n">
        <v>0</v>
      </c>
    </row>
    <row r="633" customFormat="false" ht="12.75" hidden="false" customHeight="false" outlineLevel="0" collapsed="false">
      <c r="A633" s="0" t="s">
        <v>621</v>
      </c>
      <c r="B633" s="0" t="str">
        <f aca="false">'Basis Options'!C637</f>
        <v>NU5429</v>
      </c>
      <c r="C633" s="0" t="s">
        <v>622</v>
      </c>
      <c r="D633" s="0" t="s">
        <v>623</v>
      </c>
      <c r="E633" s="0" t="s">
        <v>131</v>
      </c>
      <c r="F633" s="0" t="str">
        <f aca="false">'Basis Options'!A637</f>
        <v>AEPENESER</v>
      </c>
      <c r="G633" s="0" t="s">
        <v>628</v>
      </c>
      <c r="H633" s="0" t="s">
        <v>625</v>
      </c>
      <c r="I633" s="0" t="s">
        <v>626</v>
      </c>
      <c r="J633" s="0" t="s">
        <v>627</v>
      </c>
      <c r="K633" s="475" t="n">
        <f aca="false">'Basis Options'!G637</f>
        <v>36923</v>
      </c>
      <c r="L633" s="254" t="e">
        <f aca="false">'Basis Options'!U637</f>
        <v>#NAME?</v>
      </c>
      <c r="M633" s="475" t="n">
        <f aca="false">'Basis Options'!Q637</f>
        <v>36921</v>
      </c>
      <c r="N633" s="0" t="str">
        <f aca="false">'Basis Options'!F637</f>
        <v>C</v>
      </c>
      <c r="O633" s="0" t="n">
        <f aca="false">'Basis Options'!I637</f>
        <v>4</v>
      </c>
      <c r="P633" s="0" t="n">
        <v>0</v>
      </c>
      <c r="Q633" s="0" t="n">
        <v>0</v>
      </c>
      <c r="R633" s="0" t="n">
        <v>0</v>
      </c>
      <c r="S633" s="0" t="n">
        <v>0</v>
      </c>
      <c r="T633" s="0" t="s">
        <v>624</v>
      </c>
      <c r="U633" s="0" t="str">
        <f aca="false">IF('Basis Options'!D637="NGI/CHI. GATE","""NGI/CHI. GATE""",TRIM('Basis Options'!D637))</f>
        <v>IF-TRANSCO/Z6</v>
      </c>
      <c r="V633" s="0" t="s">
        <v>624</v>
      </c>
      <c r="W633" s="0" t="s">
        <v>569</v>
      </c>
      <c r="X633" s="0" t="s">
        <v>624</v>
      </c>
      <c r="Y633" s="0" t="s">
        <v>627</v>
      </c>
      <c r="Z633" s="0" t="s">
        <v>629</v>
      </c>
      <c r="AA633" s="0" t="s">
        <v>624</v>
      </c>
      <c r="AB633" s="0" t="s">
        <v>132</v>
      </c>
      <c r="AC633" s="254" t="n">
        <f aca="false">'Basis Options'!H637</f>
        <v>-280000</v>
      </c>
      <c r="AD633" s="254" t="e">
        <f aca="false">'Basis Options'!W637</f>
        <v>#NAME?</v>
      </c>
      <c r="AE633" s="0" t="n">
        <v>0</v>
      </c>
      <c r="AF633" s="0" t="n">
        <v>0</v>
      </c>
      <c r="AG633" s="0" t="n">
        <v>0</v>
      </c>
      <c r="AH633" s="254" t="e">
        <f aca="false">'Basis Options'!CD638</f>
        <v>#NAME?</v>
      </c>
      <c r="AI633" s="0" t="n">
        <v>226</v>
      </c>
      <c r="AJ633" s="0" t="s">
        <v>630</v>
      </c>
      <c r="AK633" s="0" t="n">
        <v>0</v>
      </c>
      <c r="AL633" s="0" t="n">
        <v>0</v>
      </c>
      <c r="AM633" s="0" t="n">
        <v>0</v>
      </c>
    </row>
    <row r="634" customFormat="false" ht="12.75" hidden="false" customHeight="false" outlineLevel="0" collapsed="false">
      <c r="A634" s="0" t="s">
        <v>621</v>
      </c>
      <c r="B634" s="0" t="str">
        <f aca="false">'Basis Options'!C638</f>
        <v>NU5429</v>
      </c>
      <c r="C634" s="0" t="s">
        <v>622</v>
      </c>
      <c r="D634" s="0" t="s">
        <v>623</v>
      </c>
      <c r="E634" s="0" t="s">
        <v>131</v>
      </c>
      <c r="F634" s="0" t="str">
        <f aca="false">'Basis Options'!A638</f>
        <v>AEPENESER</v>
      </c>
      <c r="G634" s="0" t="s">
        <v>628</v>
      </c>
      <c r="H634" s="0" t="s">
        <v>625</v>
      </c>
      <c r="I634" s="0" t="s">
        <v>626</v>
      </c>
      <c r="J634" s="0" t="s">
        <v>627</v>
      </c>
      <c r="K634" s="475" t="n">
        <f aca="false">'Basis Options'!G638</f>
        <v>36951</v>
      </c>
      <c r="L634" s="254" t="e">
        <f aca="false">'Basis Options'!U638</f>
        <v>#NAME?</v>
      </c>
      <c r="M634" s="475" t="n">
        <f aca="false">'Basis Options'!Q638</f>
        <v>36949</v>
      </c>
      <c r="N634" s="0" t="str">
        <f aca="false">'Basis Options'!F638</f>
        <v>C</v>
      </c>
      <c r="O634" s="0" t="n">
        <f aca="false">'Basis Options'!I638</f>
        <v>4</v>
      </c>
      <c r="P634" s="0" t="n">
        <v>0</v>
      </c>
      <c r="Q634" s="0" t="n">
        <v>0</v>
      </c>
      <c r="R634" s="0" t="n">
        <v>0</v>
      </c>
      <c r="S634" s="0" t="n">
        <v>0</v>
      </c>
      <c r="T634" s="0" t="s">
        <v>624</v>
      </c>
      <c r="U634" s="0" t="str">
        <f aca="false">IF('Basis Options'!D638="NGI/CHI. GATE","""NGI/CHI. GATE""",TRIM('Basis Options'!D638))</f>
        <v>IF-TRANSCO/Z6</v>
      </c>
      <c r="V634" s="0" t="s">
        <v>624</v>
      </c>
      <c r="W634" s="0" t="s">
        <v>569</v>
      </c>
      <c r="X634" s="0" t="s">
        <v>624</v>
      </c>
      <c r="Y634" s="0" t="s">
        <v>627</v>
      </c>
      <c r="Z634" s="0" t="s">
        <v>629</v>
      </c>
      <c r="AA634" s="0" t="s">
        <v>624</v>
      </c>
      <c r="AB634" s="0" t="s">
        <v>132</v>
      </c>
      <c r="AC634" s="254" t="n">
        <f aca="false">'Basis Options'!H638</f>
        <v>-310000</v>
      </c>
      <c r="AD634" s="254" t="e">
        <f aca="false">'Basis Options'!W638</f>
        <v>#NAME?</v>
      </c>
      <c r="AE634" s="0" t="n">
        <v>0</v>
      </c>
      <c r="AF634" s="0" t="n">
        <v>0</v>
      </c>
      <c r="AG634" s="0" t="n">
        <v>0</v>
      </c>
      <c r="AH634" s="254" t="e">
        <f aca="false">'Basis Options'!CD639</f>
        <v>#NAME?</v>
      </c>
      <c r="AI634" s="0" t="n">
        <v>226</v>
      </c>
      <c r="AJ634" s="0" t="s">
        <v>630</v>
      </c>
      <c r="AK634" s="0" t="n">
        <v>0</v>
      </c>
      <c r="AL634" s="0" t="n">
        <v>0</v>
      </c>
      <c r="AM634" s="0" t="n">
        <v>0</v>
      </c>
    </row>
    <row r="635" customFormat="false" ht="12.75" hidden="false" customHeight="false" outlineLevel="0" collapsed="false">
      <c r="A635" s="0" t="s">
        <v>621</v>
      </c>
      <c r="B635" s="0" t="str">
        <f aca="false">'Basis Options'!C639</f>
        <v>NU5433.1</v>
      </c>
      <c r="C635" s="0" t="s">
        <v>622</v>
      </c>
      <c r="D635" s="0" t="s">
        <v>623</v>
      </c>
      <c r="E635" s="0" t="s">
        <v>131</v>
      </c>
      <c r="F635" s="0" t="str">
        <f aca="false">'Basis Options'!A639</f>
        <v>ELPASMER</v>
      </c>
      <c r="G635" s="0" t="s">
        <v>628</v>
      </c>
      <c r="H635" s="0" t="s">
        <v>625</v>
      </c>
      <c r="I635" s="0" t="s">
        <v>626</v>
      </c>
      <c r="J635" s="0" t="s">
        <v>627</v>
      </c>
      <c r="K635" s="475" t="n">
        <f aca="false">'Basis Options'!G639</f>
        <v>36770</v>
      </c>
      <c r="L635" s="254" t="e">
        <f aca="false">'Basis Options'!U639</f>
        <v>#NAME?</v>
      </c>
      <c r="M635" s="475" t="n">
        <f aca="false">'Basis Options'!Q639</f>
        <v>36768</v>
      </c>
      <c r="N635" s="0" t="str">
        <f aca="false">'Basis Options'!F639</f>
        <v>C</v>
      </c>
      <c r="O635" s="0" t="n">
        <f aca="false">'Basis Options'!I639</f>
        <v>-0.6</v>
      </c>
      <c r="P635" s="0" t="n">
        <v>0</v>
      </c>
      <c r="Q635" s="0" t="n">
        <v>0</v>
      </c>
      <c r="R635" s="0" t="n">
        <v>0</v>
      </c>
      <c r="S635" s="0" t="n">
        <v>0</v>
      </c>
      <c r="T635" s="0" t="s">
        <v>624</v>
      </c>
      <c r="U635" s="0" t="str">
        <f aca="false">IF('Basis Options'!D639="NGI/CHI. GATE","""NGI/CHI. GATE""",TRIM('Basis Options'!D639))</f>
        <v>IF-NWPL_ROCKY_M</v>
      </c>
      <c r="V635" s="0" t="s">
        <v>624</v>
      </c>
      <c r="W635" s="0" t="s">
        <v>569</v>
      </c>
      <c r="X635" s="0" t="s">
        <v>624</v>
      </c>
      <c r="Y635" s="0" t="s">
        <v>627</v>
      </c>
      <c r="Z635" s="0" t="s">
        <v>629</v>
      </c>
      <c r="AA635" s="0" t="s">
        <v>624</v>
      </c>
      <c r="AB635" s="0" t="s">
        <v>132</v>
      </c>
      <c r="AC635" s="254" t="n">
        <f aca="false">'Basis Options'!H639</f>
        <v>300000</v>
      </c>
      <c r="AD635" s="254" t="e">
        <f aca="false">'Basis Options'!W639</f>
        <v>#NAME?</v>
      </c>
      <c r="AE635" s="0" t="n">
        <v>0</v>
      </c>
      <c r="AF635" s="0" t="n">
        <v>0</v>
      </c>
      <c r="AG635" s="0" t="n">
        <v>0</v>
      </c>
      <c r="AH635" s="254" t="e">
        <f aca="false">'Basis Options'!CD640</f>
        <v>#NAME?</v>
      </c>
      <c r="AI635" s="0" t="n">
        <v>226</v>
      </c>
      <c r="AJ635" s="0" t="s">
        <v>630</v>
      </c>
      <c r="AK635" s="0" t="n">
        <v>0</v>
      </c>
      <c r="AL635" s="0" t="n">
        <v>0</v>
      </c>
      <c r="AM635" s="0" t="n">
        <v>0</v>
      </c>
    </row>
    <row r="636" customFormat="false" ht="12.75" hidden="false" customHeight="false" outlineLevel="0" collapsed="false">
      <c r="A636" s="0" t="s">
        <v>621</v>
      </c>
      <c r="B636" s="0" t="str">
        <f aca="false">'Basis Options'!C640</f>
        <v>NU5433.1</v>
      </c>
      <c r="C636" s="0" t="s">
        <v>622</v>
      </c>
      <c r="D636" s="0" t="s">
        <v>623</v>
      </c>
      <c r="E636" s="0" t="s">
        <v>131</v>
      </c>
      <c r="F636" s="0" t="str">
        <f aca="false">'Basis Options'!A640</f>
        <v>ELPASMER</v>
      </c>
      <c r="G636" s="0" t="s">
        <v>628</v>
      </c>
      <c r="H636" s="0" t="s">
        <v>625</v>
      </c>
      <c r="I636" s="0" t="s">
        <v>626</v>
      </c>
      <c r="J636" s="0" t="s">
        <v>627</v>
      </c>
      <c r="K636" s="475" t="n">
        <f aca="false">'Basis Options'!G640</f>
        <v>36800</v>
      </c>
      <c r="L636" s="254" t="e">
        <f aca="false">'Basis Options'!U640</f>
        <v>#NAME?</v>
      </c>
      <c r="M636" s="475" t="n">
        <f aca="false">'Basis Options'!Q640</f>
        <v>36797</v>
      </c>
      <c r="N636" s="0" t="str">
        <f aca="false">'Basis Options'!F640</f>
        <v>C</v>
      </c>
      <c r="O636" s="0" t="n">
        <f aca="false">'Basis Options'!I640</f>
        <v>-0.6</v>
      </c>
      <c r="P636" s="0" t="n">
        <v>0</v>
      </c>
      <c r="Q636" s="0" t="n">
        <v>0</v>
      </c>
      <c r="R636" s="0" t="n">
        <v>0</v>
      </c>
      <c r="S636" s="0" t="n">
        <v>0</v>
      </c>
      <c r="T636" s="0" t="s">
        <v>624</v>
      </c>
      <c r="U636" s="0" t="str">
        <f aca="false">IF('Basis Options'!D640="NGI/CHI. GATE","""NGI/CHI. GATE""",TRIM('Basis Options'!D640))</f>
        <v>IF-NWPL_ROCKY_M</v>
      </c>
      <c r="V636" s="0" t="s">
        <v>624</v>
      </c>
      <c r="W636" s="0" t="s">
        <v>569</v>
      </c>
      <c r="X636" s="0" t="s">
        <v>624</v>
      </c>
      <c r="Y636" s="0" t="s">
        <v>627</v>
      </c>
      <c r="Z636" s="0" t="s">
        <v>629</v>
      </c>
      <c r="AA636" s="0" t="s">
        <v>624</v>
      </c>
      <c r="AB636" s="0" t="s">
        <v>132</v>
      </c>
      <c r="AC636" s="254" t="n">
        <f aca="false">'Basis Options'!H640</f>
        <v>310000</v>
      </c>
      <c r="AD636" s="254" t="e">
        <f aca="false">'Basis Options'!W640</f>
        <v>#NAME?</v>
      </c>
      <c r="AE636" s="0" t="n">
        <v>0</v>
      </c>
      <c r="AF636" s="0" t="n">
        <v>0</v>
      </c>
      <c r="AG636" s="0" t="n">
        <v>0</v>
      </c>
      <c r="AH636" s="254" t="e">
        <f aca="false">'Basis Options'!CD641</f>
        <v>#NAME?</v>
      </c>
      <c r="AI636" s="0" t="n">
        <v>226</v>
      </c>
      <c r="AJ636" s="0" t="s">
        <v>630</v>
      </c>
      <c r="AK636" s="0" t="n">
        <v>0</v>
      </c>
      <c r="AL636" s="0" t="n">
        <v>0</v>
      </c>
      <c r="AM636" s="0" t="n">
        <v>0</v>
      </c>
    </row>
    <row r="637" customFormat="false" ht="12.75" hidden="false" customHeight="false" outlineLevel="0" collapsed="false">
      <c r="A637" s="0" t="s">
        <v>621</v>
      </c>
      <c r="B637" s="0" t="str">
        <f aca="false">'Basis Options'!C641</f>
        <v>NU5433.2</v>
      </c>
      <c r="C637" s="0" t="s">
        <v>622</v>
      </c>
      <c r="D637" s="0" t="s">
        <v>623</v>
      </c>
      <c r="E637" s="0" t="s">
        <v>131</v>
      </c>
      <c r="F637" s="0" t="str">
        <f aca="false">'Basis Options'!A641</f>
        <v>ELPASMER</v>
      </c>
      <c r="G637" s="0" t="s">
        <v>628</v>
      </c>
      <c r="H637" s="0" t="s">
        <v>625</v>
      </c>
      <c r="I637" s="0" t="s">
        <v>626</v>
      </c>
      <c r="J637" s="0" t="s">
        <v>627</v>
      </c>
      <c r="K637" s="475" t="n">
        <f aca="false">'Basis Options'!G641</f>
        <v>36770</v>
      </c>
      <c r="L637" s="254" t="e">
        <f aca="false">'Basis Options'!U641</f>
        <v>#NAME?</v>
      </c>
      <c r="M637" s="475" t="n">
        <f aca="false">'Basis Options'!Q641</f>
        <v>36768</v>
      </c>
      <c r="N637" s="0" t="str">
        <f aca="false">'Basis Options'!F641</f>
        <v>C</v>
      </c>
      <c r="O637" s="0" t="n">
        <f aca="false">'Basis Options'!I641</f>
        <v>-0.7</v>
      </c>
      <c r="P637" s="0" t="n">
        <v>0</v>
      </c>
      <c r="Q637" s="0" t="n">
        <v>0</v>
      </c>
      <c r="R637" s="0" t="n">
        <v>0</v>
      </c>
      <c r="S637" s="0" t="n">
        <v>0</v>
      </c>
      <c r="T637" s="0" t="s">
        <v>624</v>
      </c>
      <c r="U637" s="0" t="str">
        <f aca="false">IF('Basis Options'!D641="NGI/CHI. GATE","""NGI/CHI. GATE""",TRIM('Basis Options'!D641))</f>
        <v>IF-NWPL_ROCKY_M</v>
      </c>
      <c r="V637" s="0" t="s">
        <v>624</v>
      </c>
      <c r="W637" s="0" t="s">
        <v>569</v>
      </c>
      <c r="X637" s="0" t="s">
        <v>624</v>
      </c>
      <c r="Y637" s="0" t="s">
        <v>627</v>
      </c>
      <c r="Z637" s="0" t="s">
        <v>629</v>
      </c>
      <c r="AA637" s="0" t="s">
        <v>624</v>
      </c>
      <c r="AB637" s="0" t="s">
        <v>132</v>
      </c>
      <c r="AC637" s="254" t="n">
        <f aca="false">'Basis Options'!H641</f>
        <v>-300000</v>
      </c>
      <c r="AD637" s="254" t="e">
        <f aca="false">'Basis Options'!W641</f>
        <v>#NAME?</v>
      </c>
      <c r="AE637" s="0" t="n">
        <v>0</v>
      </c>
      <c r="AF637" s="0" t="n">
        <v>0</v>
      </c>
      <c r="AG637" s="0" t="n">
        <v>0</v>
      </c>
      <c r="AH637" s="254" t="e">
        <f aca="false">'Basis Options'!CD642</f>
        <v>#NAME?</v>
      </c>
      <c r="AI637" s="0" t="n">
        <v>226</v>
      </c>
      <c r="AJ637" s="0" t="s">
        <v>630</v>
      </c>
      <c r="AK637" s="0" t="n">
        <v>0</v>
      </c>
      <c r="AL637" s="0" t="n">
        <v>0</v>
      </c>
      <c r="AM637" s="0" t="n">
        <v>0</v>
      </c>
    </row>
    <row r="638" customFormat="false" ht="12.75" hidden="false" customHeight="false" outlineLevel="0" collapsed="false">
      <c r="A638" s="0" t="s">
        <v>621</v>
      </c>
      <c r="B638" s="0" t="str">
        <f aca="false">'Basis Options'!C642</f>
        <v>NU5433.2</v>
      </c>
      <c r="C638" s="0" t="s">
        <v>622</v>
      </c>
      <c r="D638" s="0" t="s">
        <v>623</v>
      </c>
      <c r="E638" s="0" t="s">
        <v>131</v>
      </c>
      <c r="F638" s="0" t="str">
        <f aca="false">'Basis Options'!A642</f>
        <v>ELPASMER</v>
      </c>
      <c r="G638" s="0" t="s">
        <v>628</v>
      </c>
      <c r="H638" s="0" t="s">
        <v>625</v>
      </c>
      <c r="I638" s="0" t="s">
        <v>626</v>
      </c>
      <c r="J638" s="0" t="s">
        <v>627</v>
      </c>
      <c r="K638" s="475" t="n">
        <f aca="false">'Basis Options'!G642</f>
        <v>36800</v>
      </c>
      <c r="L638" s="254" t="e">
        <f aca="false">'Basis Options'!U642</f>
        <v>#NAME?</v>
      </c>
      <c r="M638" s="475" t="n">
        <f aca="false">'Basis Options'!Q642</f>
        <v>36797</v>
      </c>
      <c r="N638" s="0" t="str">
        <f aca="false">'Basis Options'!F642</f>
        <v>C</v>
      </c>
      <c r="O638" s="0" t="n">
        <f aca="false">'Basis Options'!I642</f>
        <v>-0.7</v>
      </c>
      <c r="P638" s="0" t="n">
        <v>0</v>
      </c>
      <c r="Q638" s="0" t="n">
        <v>0</v>
      </c>
      <c r="R638" s="0" t="n">
        <v>0</v>
      </c>
      <c r="S638" s="0" t="n">
        <v>0</v>
      </c>
      <c r="T638" s="0" t="s">
        <v>624</v>
      </c>
      <c r="U638" s="0" t="str">
        <f aca="false">IF('Basis Options'!D642="NGI/CHI. GATE","""NGI/CHI. GATE""",TRIM('Basis Options'!D642))</f>
        <v>IF-NWPL_ROCKY_M</v>
      </c>
      <c r="V638" s="0" t="s">
        <v>624</v>
      </c>
      <c r="W638" s="0" t="s">
        <v>569</v>
      </c>
      <c r="X638" s="0" t="s">
        <v>624</v>
      </c>
      <c r="Y638" s="0" t="s">
        <v>627</v>
      </c>
      <c r="Z638" s="0" t="s">
        <v>629</v>
      </c>
      <c r="AA638" s="0" t="s">
        <v>624</v>
      </c>
      <c r="AB638" s="0" t="s">
        <v>132</v>
      </c>
      <c r="AC638" s="254" t="n">
        <f aca="false">'Basis Options'!H642</f>
        <v>-310000</v>
      </c>
      <c r="AD638" s="254" t="e">
        <f aca="false">'Basis Options'!W642</f>
        <v>#NAME?</v>
      </c>
      <c r="AE638" s="0" t="n">
        <v>0</v>
      </c>
      <c r="AF638" s="0" t="n">
        <v>0</v>
      </c>
      <c r="AG638" s="0" t="n">
        <v>0</v>
      </c>
      <c r="AH638" s="254" t="e">
        <f aca="false">'Basis Options'!CD643</f>
        <v>#NAME?</v>
      </c>
      <c r="AI638" s="0" t="n">
        <v>226</v>
      </c>
      <c r="AJ638" s="0" t="s">
        <v>630</v>
      </c>
      <c r="AK638" s="0" t="n">
        <v>0</v>
      </c>
      <c r="AL638" s="0" t="n">
        <v>0</v>
      </c>
      <c r="AM638" s="0" t="n">
        <v>0</v>
      </c>
    </row>
    <row r="639" customFormat="false" ht="12.75" hidden="false" customHeight="false" outlineLevel="0" collapsed="false">
      <c r="A639" s="0" t="s">
        <v>621</v>
      </c>
      <c r="B639" s="0" t="str">
        <f aca="false">'Basis Options'!C643</f>
        <v>NU5442</v>
      </c>
      <c r="C639" s="0" t="s">
        <v>622</v>
      </c>
      <c r="D639" s="0" t="s">
        <v>623</v>
      </c>
      <c r="E639" s="0" t="s">
        <v>131</v>
      </c>
      <c r="F639" s="0" t="str">
        <f aca="false">'Basis Options'!A643</f>
        <v>ELPASMER</v>
      </c>
      <c r="G639" s="0" t="s">
        <v>628</v>
      </c>
      <c r="H639" s="0" t="s">
        <v>625</v>
      </c>
      <c r="I639" s="0" t="s">
        <v>626</v>
      </c>
      <c r="J639" s="0" t="s">
        <v>627</v>
      </c>
      <c r="K639" s="475" t="n">
        <f aca="false">'Basis Options'!G643</f>
        <v>36951</v>
      </c>
      <c r="L639" s="254" t="e">
        <f aca="false">'Basis Options'!U643</f>
        <v>#NAME?</v>
      </c>
      <c r="M639" s="475" t="n">
        <f aca="false">'Basis Options'!Q643</f>
        <v>36949</v>
      </c>
      <c r="N639" s="0" t="str">
        <f aca="false">'Basis Options'!F643</f>
        <v>C</v>
      </c>
      <c r="O639" s="0" t="n">
        <f aca="false">'Basis Options'!I643</f>
        <v>2</v>
      </c>
      <c r="P639" s="0" t="n">
        <v>0</v>
      </c>
      <c r="Q639" s="0" t="n">
        <v>0</v>
      </c>
      <c r="R639" s="0" t="n">
        <v>0</v>
      </c>
      <c r="S639" s="0" t="n">
        <v>0</v>
      </c>
      <c r="T639" s="0" t="s">
        <v>624</v>
      </c>
      <c r="U639" s="0" t="str">
        <f aca="false">IF('Basis Options'!D643="NGI/CHI. GATE","""NGI/CHI. GATE""",TRIM('Basis Options'!D643))</f>
        <v>IF-TRANSCO/Z6</v>
      </c>
      <c r="V639" s="0" t="s">
        <v>624</v>
      </c>
      <c r="W639" s="0" t="s">
        <v>569</v>
      </c>
      <c r="X639" s="0" t="s">
        <v>624</v>
      </c>
      <c r="Y639" s="0" t="s">
        <v>627</v>
      </c>
      <c r="Z639" s="0" t="s">
        <v>629</v>
      </c>
      <c r="AA639" s="0" t="s">
        <v>624</v>
      </c>
      <c r="AB639" s="0" t="s">
        <v>132</v>
      </c>
      <c r="AC639" s="254" t="n">
        <f aca="false">'Basis Options'!H643</f>
        <v>2000000</v>
      </c>
      <c r="AD639" s="254" t="e">
        <f aca="false">'Basis Options'!W643</f>
        <v>#NAME?</v>
      </c>
      <c r="AE639" s="0" t="n">
        <v>0</v>
      </c>
      <c r="AF639" s="0" t="n">
        <v>0</v>
      </c>
      <c r="AG639" s="0" t="n">
        <v>0</v>
      </c>
      <c r="AH639" s="254" t="e">
        <f aca="false">'Basis Options'!CD644</f>
        <v>#NAME?</v>
      </c>
      <c r="AI639" s="0" t="n">
        <v>226</v>
      </c>
      <c r="AJ639" s="0" t="s">
        <v>630</v>
      </c>
      <c r="AK639" s="0" t="n">
        <v>0</v>
      </c>
      <c r="AL639" s="0" t="n">
        <v>0</v>
      </c>
      <c r="AM639" s="0" t="n">
        <v>0</v>
      </c>
    </row>
    <row r="640" customFormat="false" ht="12.75" hidden="false" customHeight="false" outlineLevel="0" collapsed="false">
      <c r="A640" s="0" t="s">
        <v>621</v>
      </c>
      <c r="B640" s="0" t="str">
        <f aca="false">'Basis Options'!C644</f>
        <v>NU5447</v>
      </c>
      <c r="C640" s="0" t="s">
        <v>622</v>
      </c>
      <c r="D640" s="0" t="s">
        <v>623</v>
      </c>
      <c r="E640" s="0" t="s">
        <v>131</v>
      </c>
      <c r="F640" s="0" t="str">
        <f aca="false">'Basis Options'!A644</f>
        <v>CMSMARSERTRA</v>
      </c>
      <c r="G640" s="0" t="s">
        <v>628</v>
      </c>
      <c r="H640" s="0" t="s">
        <v>625</v>
      </c>
      <c r="I640" s="0" t="s">
        <v>626</v>
      </c>
      <c r="J640" s="0" t="s">
        <v>627</v>
      </c>
      <c r="K640" s="475" t="n">
        <f aca="false">'Basis Options'!G644</f>
        <v>36770</v>
      </c>
      <c r="L640" s="254" t="e">
        <f aca="false">'Basis Options'!U644</f>
        <v>#NAME?</v>
      </c>
      <c r="M640" s="475" t="n">
        <f aca="false">'Basis Options'!Q644</f>
        <v>36768</v>
      </c>
      <c r="N640" s="0" t="str">
        <f aca="false">'Basis Options'!F644</f>
        <v>C</v>
      </c>
      <c r="O640" s="0" t="n">
        <f aca="false">'Basis Options'!I644</f>
        <v>0.5</v>
      </c>
      <c r="P640" s="0" t="n">
        <v>0</v>
      </c>
      <c r="Q640" s="0" t="n">
        <v>0</v>
      </c>
      <c r="R640" s="0" t="n">
        <v>0</v>
      </c>
      <c r="S640" s="0" t="n">
        <v>0</v>
      </c>
      <c r="T640" s="0" t="s">
        <v>624</v>
      </c>
      <c r="U640" s="0" t="str">
        <f aca="false">IF('Basis Options'!D644="NGI/CHI. GATE","""NGI/CHI. GATE""",TRIM('Basis Options'!D644))</f>
        <v>NGI-SOCAL</v>
      </c>
      <c r="V640" s="0" t="s">
        <v>624</v>
      </c>
      <c r="W640" s="0" t="s">
        <v>569</v>
      </c>
      <c r="X640" s="0" t="s">
        <v>624</v>
      </c>
      <c r="Y640" s="0" t="s">
        <v>627</v>
      </c>
      <c r="Z640" s="0" t="s">
        <v>629</v>
      </c>
      <c r="AA640" s="0" t="s">
        <v>624</v>
      </c>
      <c r="AB640" s="0" t="s">
        <v>132</v>
      </c>
      <c r="AC640" s="254" t="n">
        <f aca="false">'Basis Options'!H644</f>
        <v>450000</v>
      </c>
      <c r="AD640" s="254" t="e">
        <f aca="false">'Basis Options'!W644</f>
        <v>#NAME?</v>
      </c>
      <c r="AE640" s="0" t="n">
        <v>0</v>
      </c>
      <c r="AF640" s="0" t="n">
        <v>0</v>
      </c>
      <c r="AG640" s="0" t="n">
        <v>0</v>
      </c>
      <c r="AH640" s="254" t="e">
        <f aca="false">'Basis Options'!CD645</f>
        <v>#NAME?</v>
      </c>
      <c r="AI640" s="0" t="n">
        <v>226</v>
      </c>
      <c r="AJ640" s="0" t="s">
        <v>630</v>
      </c>
      <c r="AK640" s="0" t="n">
        <v>0</v>
      </c>
      <c r="AL640" s="0" t="n">
        <v>0</v>
      </c>
      <c r="AM640" s="0" t="n">
        <v>0</v>
      </c>
    </row>
    <row r="641" customFormat="false" ht="12.75" hidden="false" customHeight="false" outlineLevel="0" collapsed="false">
      <c r="A641" s="0" t="s">
        <v>621</v>
      </c>
      <c r="B641" s="0" t="str">
        <f aca="false">'Basis Options'!C645</f>
        <v>NU5447</v>
      </c>
      <c r="C641" s="0" t="s">
        <v>622</v>
      </c>
      <c r="D641" s="0" t="s">
        <v>623</v>
      </c>
      <c r="E641" s="0" t="s">
        <v>131</v>
      </c>
      <c r="F641" s="0" t="str">
        <f aca="false">'Basis Options'!A645</f>
        <v>CMSMARSERTRA</v>
      </c>
      <c r="G641" s="0" t="s">
        <v>628</v>
      </c>
      <c r="H641" s="0" t="s">
        <v>625</v>
      </c>
      <c r="I641" s="0" t="s">
        <v>626</v>
      </c>
      <c r="J641" s="0" t="s">
        <v>627</v>
      </c>
      <c r="K641" s="475" t="n">
        <f aca="false">'Basis Options'!G645</f>
        <v>36800</v>
      </c>
      <c r="L641" s="254" t="e">
        <f aca="false">'Basis Options'!U645</f>
        <v>#NAME?</v>
      </c>
      <c r="M641" s="475" t="n">
        <f aca="false">'Basis Options'!Q645</f>
        <v>36797</v>
      </c>
      <c r="N641" s="0" t="str">
        <f aca="false">'Basis Options'!F645</f>
        <v>C</v>
      </c>
      <c r="O641" s="0" t="n">
        <f aca="false">'Basis Options'!I645</f>
        <v>0.5</v>
      </c>
      <c r="P641" s="0" t="n">
        <v>0</v>
      </c>
      <c r="Q641" s="0" t="n">
        <v>0</v>
      </c>
      <c r="R641" s="0" t="n">
        <v>0</v>
      </c>
      <c r="S641" s="0" t="n">
        <v>0</v>
      </c>
      <c r="T641" s="0" t="s">
        <v>624</v>
      </c>
      <c r="U641" s="0" t="str">
        <f aca="false">IF('Basis Options'!D645="NGI/CHI. GATE","""NGI/CHI. GATE""",TRIM('Basis Options'!D645))</f>
        <v>NGI-SOCAL</v>
      </c>
      <c r="V641" s="0" t="s">
        <v>624</v>
      </c>
      <c r="W641" s="0" t="s">
        <v>569</v>
      </c>
      <c r="X641" s="0" t="s">
        <v>624</v>
      </c>
      <c r="Y641" s="0" t="s">
        <v>627</v>
      </c>
      <c r="Z641" s="0" t="s">
        <v>629</v>
      </c>
      <c r="AA641" s="0" t="s">
        <v>624</v>
      </c>
      <c r="AB641" s="0" t="s">
        <v>132</v>
      </c>
      <c r="AC641" s="254" t="n">
        <f aca="false">'Basis Options'!H645</f>
        <v>465000</v>
      </c>
      <c r="AD641" s="254" t="e">
        <f aca="false">'Basis Options'!W645</f>
        <v>#NAME?</v>
      </c>
      <c r="AE641" s="0" t="n">
        <v>0</v>
      </c>
      <c r="AF641" s="0" t="n">
        <v>0</v>
      </c>
      <c r="AG641" s="0" t="n">
        <v>0</v>
      </c>
      <c r="AH641" s="254" t="e">
        <f aca="false">'Basis Options'!CD646</f>
        <v>#NAME?</v>
      </c>
      <c r="AI641" s="0" t="n">
        <v>226</v>
      </c>
      <c r="AJ641" s="0" t="s">
        <v>630</v>
      </c>
      <c r="AK641" s="0" t="n">
        <v>0</v>
      </c>
      <c r="AL641" s="0" t="n">
        <v>0</v>
      </c>
      <c r="AM641" s="0" t="n">
        <v>0</v>
      </c>
    </row>
    <row r="642" customFormat="false" ht="12.75" hidden="false" customHeight="false" outlineLevel="0" collapsed="false">
      <c r="A642" s="0" t="s">
        <v>621</v>
      </c>
      <c r="B642" s="0" t="str">
        <f aca="false">'Basis Options'!C646</f>
        <v>NU5454</v>
      </c>
      <c r="C642" s="0" t="s">
        <v>622</v>
      </c>
      <c r="D642" s="0" t="s">
        <v>623</v>
      </c>
      <c r="E642" s="0" t="s">
        <v>131</v>
      </c>
      <c r="F642" s="0" t="str">
        <f aca="false">'Basis Options'!A646</f>
        <v>DUKEENETRA</v>
      </c>
      <c r="G642" s="0" t="s">
        <v>628</v>
      </c>
      <c r="H642" s="0" t="s">
        <v>625</v>
      </c>
      <c r="I642" s="0" t="s">
        <v>626</v>
      </c>
      <c r="J642" s="0" t="s">
        <v>627</v>
      </c>
      <c r="K642" s="475" t="n">
        <f aca="false">'Basis Options'!G646</f>
        <v>36982</v>
      </c>
      <c r="L642" s="254" t="e">
        <f aca="false">'Basis Options'!U646</f>
        <v>#NAME?</v>
      </c>
      <c r="M642" s="475" t="n">
        <f aca="false">'Basis Options'!Q646</f>
        <v>36979</v>
      </c>
      <c r="N642" s="0" t="str">
        <f aca="false">'Basis Options'!F646</f>
        <v>P</v>
      </c>
      <c r="O642" s="0" t="n">
        <f aca="false">'Basis Options'!I646</f>
        <v>0.3</v>
      </c>
      <c r="P642" s="0" t="n">
        <v>0</v>
      </c>
      <c r="Q642" s="0" t="n">
        <v>0</v>
      </c>
      <c r="R642" s="0" t="n">
        <v>0</v>
      </c>
      <c r="S642" s="0" t="n">
        <v>0</v>
      </c>
      <c r="T642" s="0" t="s">
        <v>624</v>
      </c>
      <c r="U642" s="0" t="str">
        <f aca="false">IF('Basis Options'!D646="NGI/CHI. GATE","""NGI/CHI. GATE""",TRIM('Basis Options'!D646))</f>
        <v>IF-TRANSCO/Z6</v>
      </c>
      <c r="V642" s="0" t="s">
        <v>624</v>
      </c>
      <c r="W642" s="0" t="s">
        <v>569</v>
      </c>
      <c r="X642" s="0" t="s">
        <v>624</v>
      </c>
      <c r="Y642" s="0" t="s">
        <v>627</v>
      </c>
      <c r="Z642" s="0" t="s">
        <v>629</v>
      </c>
      <c r="AA642" s="0" t="s">
        <v>624</v>
      </c>
      <c r="AB642" s="0" t="s">
        <v>132</v>
      </c>
      <c r="AC642" s="254" t="n">
        <f aca="false">'Basis Options'!H646</f>
        <v>300000</v>
      </c>
      <c r="AD642" s="254" t="e">
        <f aca="false">'Basis Options'!W646</f>
        <v>#NAME?</v>
      </c>
      <c r="AE642" s="0" t="n">
        <v>0</v>
      </c>
      <c r="AF642" s="0" t="n">
        <v>0</v>
      </c>
      <c r="AG642" s="0" t="n">
        <v>0</v>
      </c>
      <c r="AH642" s="254" t="e">
        <f aca="false">'Basis Options'!CD647</f>
        <v>#NAME?</v>
      </c>
      <c r="AI642" s="0" t="n">
        <v>226</v>
      </c>
      <c r="AJ642" s="0" t="s">
        <v>630</v>
      </c>
      <c r="AK642" s="0" t="n">
        <v>0</v>
      </c>
      <c r="AL642" s="0" t="n">
        <v>0</v>
      </c>
      <c r="AM642" s="0" t="n">
        <v>0</v>
      </c>
    </row>
    <row r="643" customFormat="false" ht="12.75" hidden="false" customHeight="false" outlineLevel="0" collapsed="false">
      <c r="A643" s="0" t="s">
        <v>621</v>
      </c>
      <c r="B643" s="0" t="str">
        <f aca="false">'Basis Options'!C647</f>
        <v>NU5454</v>
      </c>
      <c r="C643" s="0" t="s">
        <v>622</v>
      </c>
      <c r="D643" s="0" t="s">
        <v>623</v>
      </c>
      <c r="E643" s="0" t="s">
        <v>131</v>
      </c>
      <c r="F643" s="0" t="str">
        <f aca="false">'Basis Options'!A647</f>
        <v>DUKEENETRA</v>
      </c>
      <c r="G643" s="0" t="s">
        <v>628</v>
      </c>
      <c r="H643" s="0" t="s">
        <v>625</v>
      </c>
      <c r="I643" s="0" t="s">
        <v>626</v>
      </c>
      <c r="J643" s="0" t="s">
        <v>627</v>
      </c>
      <c r="K643" s="475" t="n">
        <f aca="false">'Basis Options'!G647</f>
        <v>37012</v>
      </c>
      <c r="L643" s="254" t="e">
        <f aca="false">'Basis Options'!U647</f>
        <v>#NAME?</v>
      </c>
      <c r="M643" s="475" t="n">
        <f aca="false">'Basis Options'!Q647</f>
        <v>37008</v>
      </c>
      <c r="N643" s="0" t="str">
        <f aca="false">'Basis Options'!F647</f>
        <v>P</v>
      </c>
      <c r="O643" s="0" t="n">
        <f aca="false">'Basis Options'!I647</f>
        <v>0.3</v>
      </c>
      <c r="P643" s="0" t="n">
        <v>0</v>
      </c>
      <c r="Q643" s="0" t="n">
        <v>0</v>
      </c>
      <c r="R643" s="0" t="n">
        <v>0</v>
      </c>
      <c r="S643" s="0" t="n">
        <v>0</v>
      </c>
      <c r="T643" s="0" t="s">
        <v>624</v>
      </c>
      <c r="U643" s="0" t="str">
        <f aca="false">IF('Basis Options'!D647="NGI/CHI. GATE","""NGI/CHI. GATE""",TRIM('Basis Options'!D647))</f>
        <v>IF-TRANSCO/Z6</v>
      </c>
      <c r="V643" s="0" t="s">
        <v>624</v>
      </c>
      <c r="W643" s="0" t="s">
        <v>569</v>
      </c>
      <c r="X643" s="0" t="s">
        <v>624</v>
      </c>
      <c r="Y643" s="0" t="s">
        <v>627</v>
      </c>
      <c r="Z643" s="0" t="s">
        <v>629</v>
      </c>
      <c r="AA643" s="0" t="s">
        <v>624</v>
      </c>
      <c r="AB643" s="0" t="s">
        <v>132</v>
      </c>
      <c r="AC643" s="254" t="n">
        <f aca="false">'Basis Options'!H647</f>
        <v>310000</v>
      </c>
      <c r="AD643" s="254" t="e">
        <f aca="false">'Basis Options'!W647</f>
        <v>#NAME?</v>
      </c>
      <c r="AE643" s="0" t="n">
        <v>0</v>
      </c>
      <c r="AF643" s="0" t="n">
        <v>0</v>
      </c>
      <c r="AG643" s="0" t="n">
        <v>0</v>
      </c>
      <c r="AH643" s="254" t="e">
        <f aca="false">'Basis Options'!CD648</f>
        <v>#NAME?</v>
      </c>
      <c r="AI643" s="0" t="n">
        <v>226</v>
      </c>
      <c r="AJ643" s="0" t="s">
        <v>630</v>
      </c>
      <c r="AK643" s="0" t="n">
        <v>0</v>
      </c>
      <c r="AL643" s="0" t="n">
        <v>0</v>
      </c>
      <c r="AM643" s="0" t="n">
        <v>0</v>
      </c>
    </row>
    <row r="644" customFormat="false" ht="12.75" hidden="false" customHeight="false" outlineLevel="0" collapsed="false">
      <c r="A644" s="0" t="s">
        <v>621</v>
      </c>
      <c r="B644" s="0" t="str">
        <f aca="false">'Basis Options'!C648</f>
        <v>NU5454</v>
      </c>
      <c r="C644" s="0" t="s">
        <v>622</v>
      </c>
      <c r="D644" s="0" t="s">
        <v>623</v>
      </c>
      <c r="E644" s="0" t="s">
        <v>131</v>
      </c>
      <c r="F644" s="0" t="str">
        <f aca="false">'Basis Options'!A648</f>
        <v>DUKEENETRA</v>
      </c>
      <c r="G644" s="0" t="s">
        <v>628</v>
      </c>
      <c r="H644" s="0" t="s">
        <v>625</v>
      </c>
      <c r="I644" s="0" t="s">
        <v>626</v>
      </c>
      <c r="J644" s="0" t="s">
        <v>627</v>
      </c>
      <c r="K644" s="475" t="n">
        <f aca="false">'Basis Options'!G648</f>
        <v>37043</v>
      </c>
      <c r="L644" s="254" t="e">
        <f aca="false">'Basis Options'!U648</f>
        <v>#NAME?</v>
      </c>
      <c r="M644" s="475" t="n">
        <f aca="false">'Basis Options'!Q648</f>
        <v>37041</v>
      </c>
      <c r="N644" s="0" t="str">
        <f aca="false">'Basis Options'!F648</f>
        <v>P</v>
      </c>
      <c r="O644" s="0" t="n">
        <f aca="false">'Basis Options'!I648</f>
        <v>0.3</v>
      </c>
      <c r="P644" s="0" t="n">
        <v>0</v>
      </c>
      <c r="Q644" s="0" t="n">
        <v>0</v>
      </c>
      <c r="R644" s="0" t="n">
        <v>0</v>
      </c>
      <c r="S644" s="0" t="n">
        <v>0</v>
      </c>
      <c r="T644" s="0" t="s">
        <v>624</v>
      </c>
      <c r="U644" s="0" t="str">
        <f aca="false">IF('Basis Options'!D648="NGI/CHI. GATE","""NGI/CHI. GATE""",TRIM('Basis Options'!D648))</f>
        <v>IF-TRANSCO/Z6</v>
      </c>
      <c r="V644" s="0" t="s">
        <v>624</v>
      </c>
      <c r="W644" s="0" t="s">
        <v>569</v>
      </c>
      <c r="X644" s="0" t="s">
        <v>624</v>
      </c>
      <c r="Y644" s="0" t="s">
        <v>627</v>
      </c>
      <c r="Z644" s="0" t="s">
        <v>629</v>
      </c>
      <c r="AA644" s="0" t="s">
        <v>624</v>
      </c>
      <c r="AB644" s="0" t="s">
        <v>132</v>
      </c>
      <c r="AC644" s="254" t="n">
        <f aca="false">'Basis Options'!H648</f>
        <v>300000</v>
      </c>
      <c r="AD644" s="254" t="e">
        <f aca="false">'Basis Options'!W648</f>
        <v>#NAME?</v>
      </c>
      <c r="AE644" s="0" t="n">
        <v>0</v>
      </c>
      <c r="AF644" s="0" t="n">
        <v>0</v>
      </c>
      <c r="AG644" s="0" t="n">
        <v>0</v>
      </c>
      <c r="AH644" s="254" t="e">
        <f aca="false">'Basis Options'!CD649</f>
        <v>#NAME?</v>
      </c>
      <c r="AI644" s="0" t="n">
        <v>226</v>
      </c>
      <c r="AJ644" s="0" t="s">
        <v>630</v>
      </c>
      <c r="AK644" s="0" t="n">
        <v>0</v>
      </c>
      <c r="AL644" s="0" t="n">
        <v>0</v>
      </c>
      <c r="AM644" s="0" t="n">
        <v>0</v>
      </c>
    </row>
    <row r="645" customFormat="false" ht="12.75" hidden="false" customHeight="false" outlineLevel="0" collapsed="false">
      <c r="A645" s="0" t="s">
        <v>621</v>
      </c>
      <c r="B645" s="0" t="str">
        <f aca="false">'Basis Options'!C649</f>
        <v>NU5454</v>
      </c>
      <c r="C645" s="0" t="s">
        <v>622</v>
      </c>
      <c r="D645" s="0" t="s">
        <v>623</v>
      </c>
      <c r="E645" s="0" t="s">
        <v>131</v>
      </c>
      <c r="F645" s="0" t="str">
        <f aca="false">'Basis Options'!A649</f>
        <v>DUKEENETRA</v>
      </c>
      <c r="G645" s="0" t="s">
        <v>628</v>
      </c>
      <c r="H645" s="0" t="s">
        <v>625</v>
      </c>
      <c r="I645" s="0" t="s">
        <v>626</v>
      </c>
      <c r="J645" s="0" t="s">
        <v>627</v>
      </c>
      <c r="K645" s="475" t="n">
        <f aca="false">'Basis Options'!G649</f>
        <v>37073</v>
      </c>
      <c r="L645" s="254" t="e">
        <f aca="false">'Basis Options'!U649</f>
        <v>#NAME?</v>
      </c>
      <c r="M645" s="475" t="n">
        <f aca="false">'Basis Options'!Q649</f>
        <v>37070</v>
      </c>
      <c r="N645" s="0" t="str">
        <f aca="false">'Basis Options'!F649</f>
        <v>P</v>
      </c>
      <c r="O645" s="0" t="n">
        <f aca="false">'Basis Options'!I649</f>
        <v>0.3</v>
      </c>
      <c r="P645" s="0" t="n">
        <v>0</v>
      </c>
      <c r="Q645" s="0" t="n">
        <v>0</v>
      </c>
      <c r="R645" s="0" t="n">
        <v>0</v>
      </c>
      <c r="S645" s="0" t="n">
        <v>0</v>
      </c>
      <c r="T645" s="0" t="s">
        <v>624</v>
      </c>
      <c r="U645" s="0" t="str">
        <f aca="false">IF('Basis Options'!D649="NGI/CHI. GATE","""NGI/CHI. GATE""",TRIM('Basis Options'!D649))</f>
        <v>IF-TRANSCO/Z6</v>
      </c>
      <c r="V645" s="0" t="s">
        <v>624</v>
      </c>
      <c r="W645" s="0" t="s">
        <v>569</v>
      </c>
      <c r="X645" s="0" t="s">
        <v>624</v>
      </c>
      <c r="Y645" s="0" t="s">
        <v>627</v>
      </c>
      <c r="Z645" s="0" t="s">
        <v>629</v>
      </c>
      <c r="AA645" s="0" t="s">
        <v>624</v>
      </c>
      <c r="AB645" s="0" t="s">
        <v>132</v>
      </c>
      <c r="AC645" s="254" t="n">
        <f aca="false">'Basis Options'!H649</f>
        <v>310000</v>
      </c>
      <c r="AD645" s="254" t="e">
        <f aca="false">'Basis Options'!W649</f>
        <v>#NAME?</v>
      </c>
      <c r="AE645" s="0" t="n">
        <v>0</v>
      </c>
      <c r="AF645" s="0" t="n">
        <v>0</v>
      </c>
      <c r="AG645" s="0" t="n">
        <v>0</v>
      </c>
      <c r="AH645" s="254" t="e">
        <f aca="false">'Basis Options'!CD650</f>
        <v>#NAME?</v>
      </c>
      <c r="AI645" s="0" t="n">
        <v>226</v>
      </c>
      <c r="AJ645" s="0" t="s">
        <v>630</v>
      </c>
      <c r="AK645" s="0" t="n">
        <v>0</v>
      </c>
      <c r="AL645" s="0" t="n">
        <v>0</v>
      </c>
      <c r="AM645" s="0" t="n">
        <v>0</v>
      </c>
    </row>
    <row r="646" customFormat="false" ht="12.75" hidden="false" customHeight="false" outlineLevel="0" collapsed="false">
      <c r="A646" s="0" t="s">
        <v>621</v>
      </c>
      <c r="B646" s="0" t="str">
        <f aca="false">'Basis Options'!C650</f>
        <v>NU5454</v>
      </c>
      <c r="C646" s="0" t="s">
        <v>622</v>
      </c>
      <c r="D646" s="0" t="s">
        <v>623</v>
      </c>
      <c r="E646" s="0" t="s">
        <v>131</v>
      </c>
      <c r="F646" s="0" t="str">
        <f aca="false">'Basis Options'!A650</f>
        <v>DUKEENETRA</v>
      </c>
      <c r="G646" s="0" t="s">
        <v>628</v>
      </c>
      <c r="H646" s="0" t="s">
        <v>625</v>
      </c>
      <c r="I646" s="0" t="s">
        <v>626</v>
      </c>
      <c r="J646" s="0" t="s">
        <v>627</v>
      </c>
      <c r="K646" s="475" t="n">
        <f aca="false">'Basis Options'!G650</f>
        <v>37104</v>
      </c>
      <c r="L646" s="254" t="e">
        <f aca="false">'Basis Options'!U650</f>
        <v>#NAME?</v>
      </c>
      <c r="M646" s="475" t="n">
        <f aca="false">'Basis Options'!Q650</f>
        <v>37102</v>
      </c>
      <c r="N646" s="0" t="str">
        <f aca="false">'Basis Options'!F650</f>
        <v>P</v>
      </c>
      <c r="O646" s="0" t="n">
        <f aca="false">'Basis Options'!I650</f>
        <v>0.3</v>
      </c>
      <c r="P646" s="0" t="n">
        <v>0</v>
      </c>
      <c r="Q646" s="0" t="n">
        <v>0</v>
      </c>
      <c r="R646" s="0" t="n">
        <v>0</v>
      </c>
      <c r="S646" s="0" t="n">
        <v>0</v>
      </c>
      <c r="T646" s="0" t="s">
        <v>624</v>
      </c>
      <c r="U646" s="0" t="str">
        <f aca="false">IF('Basis Options'!D650="NGI/CHI. GATE","""NGI/CHI. GATE""",TRIM('Basis Options'!D650))</f>
        <v>IF-TRANSCO/Z6</v>
      </c>
      <c r="V646" s="0" t="s">
        <v>624</v>
      </c>
      <c r="W646" s="0" t="s">
        <v>569</v>
      </c>
      <c r="X646" s="0" t="s">
        <v>624</v>
      </c>
      <c r="Y646" s="0" t="s">
        <v>627</v>
      </c>
      <c r="Z646" s="0" t="s">
        <v>629</v>
      </c>
      <c r="AA646" s="0" t="s">
        <v>624</v>
      </c>
      <c r="AB646" s="0" t="s">
        <v>132</v>
      </c>
      <c r="AC646" s="254" t="n">
        <f aca="false">'Basis Options'!H650</f>
        <v>310000</v>
      </c>
      <c r="AD646" s="254" t="e">
        <f aca="false">'Basis Options'!W650</f>
        <v>#NAME?</v>
      </c>
      <c r="AE646" s="0" t="n">
        <v>0</v>
      </c>
      <c r="AF646" s="0" t="n">
        <v>0</v>
      </c>
      <c r="AG646" s="0" t="n">
        <v>0</v>
      </c>
      <c r="AH646" s="254" t="e">
        <f aca="false">'Basis Options'!CD651</f>
        <v>#NAME?</v>
      </c>
      <c r="AI646" s="0" t="n">
        <v>226</v>
      </c>
      <c r="AJ646" s="0" t="s">
        <v>630</v>
      </c>
      <c r="AK646" s="0" t="n">
        <v>0</v>
      </c>
      <c r="AL646" s="0" t="n">
        <v>0</v>
      </c>
      <c r="AM646" s="0" t="n">
        <v>0</v>
      </c>
    </row>
    <row r="647" customFormat="false" ht="12.75" hidden="false" customHeight="false" outlineLevel="0" collapsed="false">
      <c r="A647" s="0" t="s">
        <v>621</v>
      </c>
      <c r="B647" s="0" t="str">
        <f aca="false">'Basis Options'!C651</f>
        <v>NU5454</v>
      </c>
      <c r="C647" s="0" t="s">
        <v>622</v>
      </c>
      <c r="D647" s="0" t="s">
        <v>623</v>
      </c>
      <c r="E647" s="0" t="s">
        <v>131</v>
      </c>
      <c r="F647" s="0" t="str">
        <f aca="false">'Basis Options'!A651</f>
        <v>DUKEENETRA</v>
      </c>
      <c r="G647" s="0" t="s">
        <v>628</v>
      </c>
      <c r="H647" s="0" t="s">
        <v>625</v>
      </c>
      <c r="I647" s="0" t="s">
        <v>626</v>
      </c>
      <c r="J647" s="0" t="s">
        <v>627</v>
      </c>
      <c r="K647" s="475" t="n">
        <f aca="false">'Basis Options'!G651</f>
        <v>37135</v>
      </c>
      <c r="L647" s="254" t="e">
        <f aca="false">'Basis Options'!U651</f>
        <v>#NAME?</v>
      </c>
      <c r="M647" s="475" t="n">
        <f aca="false">'Basis Options'!Q651</f>
        <v>37133</v>
      </c>
      <c r="N647" s="0" t="str">
        <f aca="false">'Basis Options'!F651</f>
        <v>P</v>
      </c>
      <c r="O647" s="0" t="n">
        <f aca="false">'Basis Options'!I651</f>
        <v>0.3</v>
      </c>
      <c r="P647" s="0" t="n">
        <v>0</v>
      </c>
      <c r="Q647" s="0" t="n">
        <v>0</v>
      </c>
      <c r="R647" s="0" t="n">
        <v>0</v>
      </c>
      <c r="S647" s="0" t="n">
        <v>0</v>
      </c>
      <c r="T647" s="0" t="s">
        <v>624</v>
      </c>
      <c r="U647" s="0" t="str">
        <f aca="false">IF('Basis Options'!D651="NGI/CHI. GATE","""NGI/CHI. GATE""",TRIM('Basis Options'!D651))</f>
        <v>IF-TRANSCO/Z6</v>
      </c>
      <c r="V647" s="0" t="s">
        <v>624</v>
      </c>
      <c r="W647" s="0" t="s">
        <v>569</v>
      </c>
      <c r="X647" s="0" t="s">
        <v>624</v>
      </c>
      <c r="Y647" s="0" t="s">
        <v>627</v>
      </c>
      <c r="Z647" s="0" t="s">
        <v>629</v>
      </c>
      <c r="AA647" s="0" t="s">
        <v>624</v>
      </c>
      <c r="AB647" s="0" t="s">
        <v>132</v>
      </c>
      <c r="AC647" s="254" t="n">
        <f aca="false">'Basis Options'!H651</f>
        <v>300000</v>
      </c>
      <c r="AD647" s="254" t="e">
        <f aca="false">'Basis Options'!W651</f>
        <v>#NAME?</v>
      </c>
      <c r="AE647" s="0" t="n">
        <v>0</v>
      </c>
      <c r="AF647" s="0" t="n">
        <v>0</v>
      </c>
      <c r="AG647" s="0" t="n">
        <v>0</v>
      </c>
      <c r="AH647" s="254" t="e">
        <f aca="false">'Basis Options'!CD652</f>
        <v>#NAME?</v>
      </c>
      <c r="AI647" s="0" t="n">
        <v>226</v>
      </c>
      <c r="AJ647" s="0" t="s">
        <v>630</v>
      </c>
      <c r="AK647" s="0" t="n">
        <v>0</v>
      </c>
      <c r="AL647" s="0" t="n">
        <v>0</v>
      </c>
      <c r="AM647" s="0" t="n">
        <v>0</v>
      </c>
    </row>
    <row r="648" customFormat="false" ht="12.75" hidden="false" customHeight="false" outlineLevel="0" collapsed="false">
      <c r="A648" s="0" t="s">
        <v>621</v>
      </c>
      <c r="B648" s="0" t="str">
        <f aca="false">'Basis Options'!C652</f>
        <v>NU5454</v>
      </c>
      <c r="C648" s="0" t="s">
        <v>622</v>
      </c>
      <c r="D648" s="0" t="s">
        <v>623</v>
      </c>
      <c r="E648" s="0" t="s">
        <v>131</v>
      </c>
      <c r="F648" s="0" t="str">
        <f aca="false">'Basis Options'!A652</f>
        <v>DUKEENETRA</v>
      </c>
      <c r="G648" s="0" t="s">
        <v>628</v>
      </c>
      <c r="H648" s="0" t="s">
        <v>625</v>
      </c>
      <c r="I648" s="0" t="s">
        <v>626</v>
      </c>
      <c r="J648" s="0" t="s">
        <v>627</v>
      </c>
      <c r="K648" s="475" t="n">
        <f aca="false">'Basis Options'!G652</f>
        <v>37165</v>
      </c>
      <c r="L648" s="254" t="e">
        <f aca="false">'Basis Options'!U652</f>
        <v>#NAME?</v>
      </c>
      <c r="M648" s="475" t="n">
        <f aca="false">'Basis Options'!Q652</f>
        <v>37161</v>
      </c>
      <c r="N648" s="0" t="str">
        <f aca="false">'Basis Options'!F652</f>
        <v>P</v>
      </c>
      <c r="O648" s="0" t="n">
        <f aca="false">'Basis Options'!I652</f>
        <v>0.3</v>
      </c>
      <c r="P648" s="0" t="n">
        <v>0</v>
      </c>
      <c r="Q648" s="0" t="n">
        <v>0</v>
      </c>
      <c r="R648" s="0" t="n">
        <v>0</v>
      </c>
      <c r="S648" s="0" t="n">
        <v>0</v>
      </c>
      <c r="T648" s="0" t="s">
        <v>624</v>
      </c>
      <c r="U648" s="0" t="str">
        <f aca="false">IF('Basis Options'!D652="NGI/CHI. GATE","""NGI/CHI. GATE""",TRIM('Basis Options'!D652))</f>
        <v>IF-TRANSCO/Z6</v>
      </c>
      <c r="V648" s="0" t="s">
        <v>624</v>
      </c>
      <c r="W648" s="0" t="s">
        <v>569</v>
      </c>
      <c r="X648" s="0" t="s">
        <v>624</v>
      </c>
      <c r="Y648" s="0" t="s">
        <v>627</v>
      </c>
      <c r="Z648" s="0" t="s">
        <v>629</v>
      </c>
      <c r="AA648" s="0" t="s">
        <v>624</v>
      </c>
      <c r="AB648" s="0" t="s">
        <v>132</v>
      </c>
      <c r="AC648" s="254" t="n">
        <f aca="false">'Basis Options'!H652</f>
        <v>310000</v>
      </c>
      <c r="AD648" s="254" t="e">
        <f aca="false">'Basis Options'!W652</f>
        <v>#NAME?</v>
      </c>
      <c r="AE648" s="0" t="n">
        <v>0</v>
      </c>
      <c r="AF648" s="0" t="n">
        <v>0</v>
      </c>
      <c r="AG648" s="0" t="n">
        <v>0</v>
      </c>
      <c r="AH648" s="254" t="e">
        <f aca="false">'Basis Options'!CD653</f>
        <v>#NAME?</v>
      </c>
      <c r="AI648" s="0" t="n">
        <v>226</v>
      </c>
      <c r="AJ648" s="0" t="s">
        <v>630</v>
      </c>
      <c r="AK648" s="0" t="n">
        <v>0</v>
      </c>
      <c r="AL648" s="0" t="n">
        <v>0</v>
      </c>
      <c r="AM648" s="0" t="n">
        <v>0</v>
      </c>
    </row>
    <row r="649" customFormat="false" ht="12.75" hidden="false" customHeight="false" outlineLevel="0" collapsed="false">
      <c r="A649" s="0" t="s">
        <v>621</v>
      </c>
      <c r="B649" s="0" t="str">
        <f aca="false">'Basis Options'!C653</f>
        <v>NU5468</v>
      </c>
      <c r="C649" s="0" t="s">
        <v>622</v>
      </c>
      <c r="D649" s="0" t="s">
        <v>623</v>
      </c>
      <c r="E649" s="0" t="s">
        <v>131</v>
      </c>
      <c r="F649" s="0" t="str">
        <f aca="false">'Basis Options'!A653</f>
        <v>SOUTHERCOMENEMA</v>
      </c>
      <c r="G649" s="0" t="s">
        <v>628</v>
      </c>
      <c r="H649" s="0" t="s">
        <v>625</v>
      </c>
      <c r="I649" s="0" t="s">
        <v>626</v>
      </c>
      <c r="J649" s="0" t="s">
        <v>627</v>
      </c>
      <c r="K649" s="475" t="n">
        <f aca="false">'Basis Options'!G653</f>
        <v>36982</v>
      </c>
      <c r="L649" s="254" t="e">
        <f aca="false">'Basis Options'!U653</f>
        <v>#NAME?</v>
      </c>
      <c r="M649" s="475" t="n">
        <f aca="false">'Basis Options'!Q653</f>
        <v>36979</v>
      </c>
      <c r="N649" s="0" t="str">
        <f aca="false">'Basis Options'!F653</f>
        <v>C</v>
      </c>
      <c r="O649" s="0" t="n">
        <f aca="false">'Basis Options'!I653</f>
        <v>0.7</v>
      </c>
      <c r="P649" s="0" t="n">
        <v>0</v>
      </c>
      <c r="Q649" s="0" t="n">
        <v>0</v>
      </c>
      <c r="R649" s="0" t="n">
        <v>0</v>
      </c>
      <c r="S649" s="0" t="n">
        <v>0</v>
      </c>
      <c r="T649" s="0" t="s">
        <v>624</v>
      </c>
      <c r="U649" s="0" t="str">
        <f aca="false">IF('Basis Options'!D653="NGI/CHI. GATE","""NGI/CHI. GATE""",TRIM('Basis Options'!D653))</f>
        <v>IF-TRANSCO/Z6</v>
      </c>
      <c r="V649" s="0" t="s">
        <v>624</v>
      </c>
      <c r="W649" s="0" t="s">
        <v>569</v>
      </c>
      <c r="X649" s="0" t="s">
        <v>624</v>
      </c>
      <c r="Y649" s="0" t="s">
        <v>627</v>
      </c>
      <c r="Z649" s="0" t="s">
        <v>629</v>
      </c>
      <c r="AA649" s="0" t="s">
        <v>624</v>
      </c>
      <c r="AB649" s="0" t="s">
        <v>132</v>
      </c>
      <c r="AC649" s="254" t="n">
        <f aca="false">'Basis Options'!H653</f>
        <v>500000</v>
      </c>
      <c r="AD649" s="254" t="e">
        <f aca="false">'Basis Options'!W653</f>
        <v>#NAME?</v>
      </c>
      <c r="AE649" s="0" t="n">
        <v>0</v>
      </c>
      <c r="AF649" s="0" t="n">
        <v>0</v>
      </c>
      <c r="AG649" s="0" t="n">
        <v>0</v>
      </c>
      <c r="AH649" s="254" t="e">
        <f aca="false">'Basis Options'!CD654</f>
        <v>#NAME?</v>
      </c>
      <c r="AI649" s="0" t="n">
        <v>226</v>
      </c>
      <c r="AJ649" s="0" t="s">
        <v>630</v>
      </c>
      <c r="AK649" s="0" t="n">
        <v>0</v>
      </c>
      <c r="AL649" s="0" t="n">
        <v>0</v>
      </c>
      <c r="AM649" s="0" t="n">
        <v>0</v>
      </c>
    </row>
    <row r="650" customFormat="false" ht="12.75" hidden="false" customHeight="false" outlineLevel="0" collapsed="false">
      <c r="A650" s="0" t="s">
        <v>621</v>
      </c>
      <c r="B650" s="0" t="str">
        <f aca="false">'Basis Options'!C654</f>
        <v>NU7573</v>
      </c>
      <c r="C650" s="0" t="s">
        <v>622</v>
      </c>
      <c r="D650" s="0" t="s">
        <v>623</v>
      </c>
      <c r="E650" s="0" t="s">
        <v>131</v>
      </c>
      <c r="F650" s="0" t="str">
        <f aca="false">'Basis Options'!A654</f>
        <v>TRANSCANENEFIN</v>
      </c>
      <c r="G650" s="0" t="s">
        <v>628</v>
      </c>
      <c r="H650" s="0" t="s">
        <v>625</v>
      </c>
      <c r="I650" s="0" t="s">
        <v>626</v>
      </c>
      <c r="J650" s="0" t="s">
        <v>627</v>
      </c>
      <c r="K650" s="475" t="n">
        <f aca="false">'Basis Options'!G654</f>
        <v>36831</v>
      </c>
      <c r="L650" s="254" t="e">
        <f aca="false">'Basis Options'!U654</f>
        <v>#NAME?</v>
      </c>
      <c r="M650" s="475" t="n">
        <f aca="false">'Basis Options'!Q654</f>
        <v>36829</v>
      </c>
      <c r="N650" s="0" t="str">
        <f aca="false">'Basis Options'!F654</f>
        <v>C</v>
      </c>
      <c r="O650" s="0" t="n">
        <f aca="false">'Basis Options'!I654</f>
        <v>0.12</v>
      </c>
      <c r="P650" s="0" t="n">
        <v>0</v>
      </c>
      <c r="Q650" s="0" t="n">
        <v>0</v>
      </c>
      <c r="R650" s="0" t="n">
        <v>0</v>
      </c>
      <c r="S650" s="0" t="n">
        <v>0</v>
      </c>
      <c r="T650" s="0" t="s">
        <v>624</v>
      </c>
      <c r="U650" s="0" t="str">
        <f aca="false">IF('Basis Options'!D654="NGI/CHI. GATE","""NGI/CHI. GATE""",TRIM('Basis Options'!D654))</f>
        <v>"NGI/CHI. GATE"</v>
      </c>
      <c r="V650" s="0" t="s">
        <v>624</v>
      </c>
      <c r="W650" s="0" t="s">
        <v>569</v>
      </c>
      <c r="X650" s="0" t="s">
        <v>624</v>
      </c>
      <c r="Y650" s="0" t="s">
        <v>627</v>
      </c>
      <c r="Z650" s="0" t="s">
        <v>629</v>
      </c>
      <c r="AA650" s="0" t="s">
        <v>624</v>
      </c>
      <c r="AB650" s="0" t="s">
        <v>132</v>
      </c>
      <c r="AC650" s="254" t="n">
        <f aca="false">'Basis Options'!H654</f>
        <v>-1500000</v>
      </c>
      <c r="AD650" s="254" t="e">
        <f aca="false">'Basis Options'!W654</f>
        <v>#NAME?</v>
      </c>
      <c r="AE650" s="0" t="n">
        <v>0</v>
      </c>
      <c r="AF650" s="0" t="n">
        <v>0</v>
      </c>
      <c r="AG650" s="0" t="n">
        <v>0</v>
      </c>
      <c r="AH650" s="254" t="e">
        <f aca="false">'Basis Options'!CD655</f>
        <v>#NAME?</v>
      </c>
      <c r="AI650" s="0" t="n">
        <v>226</v>
      </c>
      <c r="AJ650" s="0" t="s">
        <v>630</v>
      </c>
      <c r="AK650" s="0" t="n">
        <v>0</v>
      </c>
      <c r="AL650" s="0" t="n">
        <v>0</v>
      </c>
      <c r="AM650" s="0" t="n">
        <v>0</v>
      </c>
    </row>
    <row r="651" customFormat="false" ht="12.75" hidden="false" customHeight="false" outlineLevel="0" collapsed="false">
      <c r="A651" s="0" t="s">
        <v>621</v>
      </c>
      <c r="B651" s="0" t="str">
        <f aca="false">'Basis Options'!C655</f>
        <v>NU7573</v>
      </c>
      <c r="C651" s="0" t="s">
        <v>622</v>
      </c>
      <c r="D651" s="0" t="s">
        <v>623</v>
      </c>
      <c r="E651" s="0" t="s">
        <v>131</v>
      </c>
      <c r="F651" s="0" t="str">
        <f aca="false">'Basis Options'!A655</f>
        <v>TRANSCANENEFIN</v>
      </c>
      <c r="G651" s="0" t="s">
        <v>628</v>
      </c>
      <c r="H651" s="0" t="s">
        <v>625</v>
      </c>
      <c r="I651" s="0" t="s">
        <v>626</v>
      </c>
      <c r="J651" s="0" t="s">
        <v>627</v>
      </c>
      <c r="K651" s="475" t="n">
        <f aca="false">'Basis Options'!G655</f>
        <v>36861</v>
      </c>
      <c r="L651" s="254" t="e">
        <f aca="false">'Basis Options'!U655</f>
        <v>#NAME?</v>
      </c>
      <c r="M651" s="475" t="n">
        <f aca="false">'Basis Options'!Q655</f>
        <v>36859</v>
      </c>
      <c r="N651" s="0" t="str">
        <f aca="false">'Basis Options'!F655</f>
        <v>C</v>
      </c>
      <c r="O651" s="0" t="n">
        <f aca="false">'Basis Options'!I655</f>
        <v>0.12</v>
      </c>
      <c r="P651" s="0" t="n">
        <v>0</v>
      </c>
      <c r="Q651" s="0" t="n">
        <v>0</v>
      </c>
      <c r="R651" s="0" t="n">
        <v>0</v>
      </c>
      <c r="S651" s="0" t="n">
        <v>0</v>
      </c>
      <c r="T651" s="0" t="s">
        <v>624</v>
      </c>
      <c r="U651" s="0" t="str">
        <f aca="false">IF('Basis Options'!D655="NGI/CHI. GATE","""NGI/CHI. GATE""",TRIM('Basis Options'!D655))</f>
        <v>"NGI/CHI. GATE"</v>
      </c>
      <c r="V651" s="0" t="s">
        <v>624</v>
      </c>
      <c r="W651" s="0" t="s">
        <v>569</v>
      </c>
      <c r="X651" s="0" t="s">
        <v>624</v>
      </c>
      <c r="Y651" s="0" t="s">
        <v>627</v>
      </c>
      <c r="Z651" s="0" t="s">
        <v>629</v>
      </c>
      <c r="AA651" s="0" t="s">
        <v>624</v>
      </c>
      <c r="AB651" s="0" t="s">
        <v>132</v>
      </c>
      <c r="AC651" s="254" t="n">
        <f aca="false">'Basis Options'!H655</f>
        <v>-1550000</v>
      </c>
      <c r="AD651" s="254" t="e">
        <f aca="false">'Basis Options'!W655</f>
        <v>#NAME?</v>
      </c>
      <c r="AE651" s="0" t="n">
        <v>0</v>
      </c>
      <c r="AF651" s="0" t="n">
        <v>0</v>
      </c>
      <c r="AG651" s="0" t="n">
        <v>0</v>
      </c>
      <c r="AH651" s="254" t="e">
        <f aca="false">'Basis Options'!CD656</f>
        <v>#NAME?</v>
      </c>
      <c r="AI651" s="0" t="n">
        <v>226</v>
      </c>
      <c r="AJ651" s="0" t="s">
        <v>630</v>
      </c>
      <c r="AK651" s="0" t="n">
        <v>0</v>
      </c>
      <c r="AL651" s="0" t="n">
        <v>0</v>
      </c>
      <c r="AM651" s="0" t="n">
        <v>0</v>
      </c>
    </row>
    <row r="652" customFormat="false" ht="12.75" hidden="false" customHeight="false" outlineLevel="0" collapsed="false">
      <c r="A652" s="0" t="s">
        <v>621</v>
      </c>
      <c r="B652" s="0" t="str">
        <f aca="false">'Basis Options'!C656</f>
        <v>NU7573</v>
      </c>
      <c r="C652" s="0" t="s">
        <v>622</v>
      </c>
      <c r="D652" s="0" t="s">
        <v>623</v>
      </c>
      <c r="E652" s="0" t="s">
        <v>131</v>
      </c>
      <c r="F652" s="0" t="str">
        <f aca="false">'Basis Options'!A656</f>
        <v>TRANSCANENEFIN</v>
      </c>
      <c r="G652" s="0" t="s">
        <v>628</v>
      </c>
      <c r="H652" s="0" t="s">
        <v>625</v>
      </c>
      <c r="I652" s="0" t="s">
        <v>626</v>
      </c>
      <c r="J652" s="0" t="s">
        <v>627</v>
      </c>
      <c r="K652" s="475" t="n">
        <f aca="false">'Basis Options'!G656</f>
        <v>36892</v>
      </c>
      <c r="L652" s="254" t="e">
        <f aca="false">'Basis Options'!U656</f>
        <v>#NAME?</v>
      </c>
      <c r="M652" s="475" t="n">
        <f aca="false">'Basis Options'!Q656</f>
        <v>36888</v>
      </c>
      <c r="N652" s="0" t="str">
        <f aca="false">'Basis Options'!F656</f>
        <v>C</v>
      </c>
      <c r="O652" s="0" t="n">
        <f aca="false">'Basis Options'!I656</f>
        <v>0.12</v>
      </c>
      <c r="P652" s="0" t="n">
        <v>0</v>
      </c>
      <c r="Q652" s="0" t="n">
        <v>0</v>
      </c>
      <c r="R652" s="0" t="n">
        <v>0</v>
      </c>
      <c r="S652" s="0" t="n">
        <v>0</v>
      </c>
      <c r="T652" s="0" t="s">
        <v>624</v>
      </c>
      <c r="U652" s="0" t="str">
        <f aca="false">IF('Basis Options'!D656="NGI/CHI. GATE","""NGI/CHI. GATE""",TRIM('Basis Options'!D656))</f>
        <v>"NGI/CHI. GATE"</v>
      </c>
      <c r="V652" s="0" t="s">
        <v>624</v>
      </c>
      <c r="W652" s="0" t="s">
        <v>569</v>
      </c>
      <c r="X652" s="0" t="s">
        <v>624</v>
      </c>
      <c r="Y652" s="0" t="s">
        <v>627</v>
      </c>
      <c r="Z652" s="0" t="s">
        <v>629</v>
      </c>
      <c r="AA652" s="0" t="s">
        <v>624</v>
      </c>
      <c r="AB652" s="0" t="s">
        <v>132</v>
      </c>
      <c r="AC652" s="254" t="n">
        <f aca="false">'Basis Options'!H656</f>
        <v>-1550000</v>
      </c>
      <c r="AD652" s="254" t="e">
        <f aca="false">'Basis Options'!W656</f>
        <v>#NAME?</v>
      </c>
      <c r="AE652" s="0" t="n">
        <v>0</v>
      </c>
      <c r="AF652" s="0" t="n">
        <v>0</v>
      </c>
      <c r="AG652" s="0" t="n">
        <v>0</v>
      </c>
      <c r="AH652" s="254" t="e">
        <f aca="false">'Basis Options'!CD657</f>
        <v>#NAME?</v>
      </c>
      <c r="AI652" s="0" t="n">
        <v>226</v>
      </c>
      <c r="AJ652" s="0" t="s">
        <v>630</v>
      </c>
      <c r="AK652" s="0" t="n">
        <v>0</v>
      </c>
      <c r="AL652" s="0" t="n">
        <v>0</v>
      </c>
      <c r="AM652" s="0" t="n">
        <v>0</v>
      </c>
    </row>
    <row r="653" customFormat="false" ht="12.75" hidden="false" customHeight="false" outlineLevel="0" collapsed="false">
      <c r="A653" s="0" t="s">
        <v>621</v>
      </c>
      <c r="B653" s="0" t="str">
        <f aca="false">'Basis Options'!C657</f>
        <v>NU7573</v>
      </c>
      <c r="C653" s="0" t="s">
        <v>622</v>
      </c>
      <c r="D653" s="0" t="s">
        <v>623</v>
      </c>
      <c r="E653" s="0" t="s">
        <v>131</v>
      </c>
      <c r="F653" s="0" t="str">
        <f aca="false">'Basis Options'!A657</f>
        <v>TRANSCANENEFIN</v>
      </c>
      <c r="G653" s="0" t="s">
        <v>628</v>
      </c>
      <c r="H653" s="0" t="s">
        <v>625</v>
      </c>
      <c r="I653" s="0" t="s">
        <v>626</v>
      </c>
      <c r="J653" s="0" t="s">
        <v>627</v>
      </c>
      <c r="K653" s="475" t="n">
        <f aca="false">'Basis Options'!G657</f>
        <v>36923</v>
      </c>
      <c r="L653" s="254" t="e">
        <f aca="false">'Basis Options'!U657</f>
        <v>#NAME?</v>
      </c>
      <c r="M653" s="475" t="n">
        <f aca="false">'Basis Options'!Q657</f>
        <v>36921</v>
      </c>
      <c r="N653" s="0" t="str">
        <f aca="false">'Basis Options'!F657</f>
        <v>C</v>
      </c>
      <c r="O653" s="0" t="n">
        <f aca="false">'Basis Options'!I657</f>
        <v>0.12</v>
      </c>
      <c r="P653" s="0" t="n">
        <v>0</v>
      </c>
      <c r="Q653" s="0" t="n">
        <v>0</v>
      </c>
      <c r="R653" s="0" t="n">
        <v>0</v>
      </c>
      <c r="S653" s="0" t="n">
        <v>0</v>
      </c>
      <c r="T653" s="0" t="s">
        <v>624</v>
      </c>
      <c r="U653" s="0" t="str">
        <f aca="false">IF('Basis Options'!D657="NGI/CHI. GATE","""NGI/CHI. GATE""",TRIM('Basis Options'!D657))</f>
        <v>"NGI/CHI. GATE"</v>
      </c>
      <c r="V653" s="0" t="s">
        <v>624</v>
      </c>
      <c r="W653" s="0" t="s">
        <v>569</v>
      </c>
      <c r="X653" s="0" t="s">
        <v>624</v>
      </c>
      <c r="Y653" s="0" t="s">
        <v>627</v>
      </c>
      <c r="Z653" s="0" t="s">
        <v>629</v>
      </c>
      <c r="AA653" s="0" t="s">
        <v>624</v>
      </c>
      <c r="AB653" s="0" t="s">
        <v>132</v>
      </c>
      <c r="AC653" s="254" t="n">
        <f aca="false">'Basis Options'!H657</f>
        <v>-1400000</v>
      </c>
      <c r="AD653" s="254" t="e">
        <f aca="false">'Basis Options'!W657</f>
        <v>#NAME?</v>
      </c>
      <c r="AE653" s="0" t="n">
        <v>0</v>
      </c>
      <c r="AF653" s="0" t="n">
        <v>0</v>
      </c>
      <c r="AG653" s="0" t="n">
        <v>0</v>
      </c>
      <c r="AH653" s="254" t="e">
        <f aca="false">'Basis Options'!CD658</f>
        <v>#NAME?</v>
      </c>
      <c r="AI653" s="0" t="n">
        <v>226</v>
      </c>
      <c r="AJ653" s="0" t="s">
        <v>630</v>
      </c>
      <c r="AK653" s="0" t="n">
        <v>0</v>
      </c>
      <c r="AL653" s="0" t="n">
        <v>0</v>
      </c>
      <c r="AM653" s="0" t="n">
        <v>0</v>
      </c>
    </row>
    <row r="654" customFormat="false" ht="12.75" hidden="false" customHeight="false" outlineLevel="0" collapsed="false">
      <c r="A654" s="0" t="s">
        <v>621</v>
      </c>
      <c r="B654" s="0" t="str">
        <f aca="false">'Basis Options'!C658</f>
        <v>NU7573</v>
      </c>
      <c r="C654" s="0" t="s">
        <v>622</v>
      </c>
      <c r="D654" s="0" t="s">
        <v>623</v>
      </c>
      <c r="E654" s="0" t="s">
        <v>131</v>
      </c>
      <c r="F654" s="0" t="str">
        <f aca="false">'Basis Options'!A658</f>
        <v>TRANSCANENEFIN</v>
      </c>
      <c r="G654" s="0" t="s">
        <v>628</v>
      </c>
      <c r="H654" s="0" t="s">
        <v>625</v>
      </c>
      <c r="I654" s="0" t="s">
        <v>626</v>
      </c>
      <c r="J654" s="0" t="s">
        <v>627</v>
      </c>
      <c r="K654" s="475" t="n">
        <f aca="false">'Basis Options'!G658</f>
        <v>36951</v>
      </c>
      <c r="L654" s="254" t="e">
        <f aca="false">'Basis Options'!U658</f>
        <v>#NAME?</v>
      </c>
      <c r="M654" s="475" t="n">
        <f aca="false">'Basis Options'!Q658</f>
        <v>36949</v>
      </c>
      <c r="N654" s="0" t="str">
        <f aca="false">'Basis Options'!F658</f>
        <v>C</v>
      </c>
      <c r="O654" s="0" t="n">
        <f aca="false">'Basis Options'!I658</f>
        <v>0.12</v>
      </c>
      <c r="P654" s="0" t="n">
        <v>0</v>
      </c>
      <c r="Q654" s="0" t="n">
        <v>0</v>
      </c>
      <c r="R654" s="0" t="n">
        <v>0</v>
      </c>
      <c r="S654" s="0" t="n">
        <v>0</v>
      </c>
      <c r="T654" s="0" t="s">
        <v>624</v>
      </c>
      <c r="U654" s="0" t="str">
        <f aca="false">IF('Basis Options'!D658="NGI/CHI. GATE","""NGI/CHI. GATE""",TRIM('Basis Options'!D658))</f>
        <v>"NGI/CHI. GATE"</v>
      </c>
      <c r="V654" s="0" t="s">
        <v>624</v>
      </c>
      <c r="W654" s="0" t="s">
        <v>569</v>
      </c>
      <c r="X654" s="0" t="s">
        <v>624</v>
      </c>
      <c r="Y654" s="0" t="s">
        <v>627</v>
      </c>
      <c r="Z654" s="0" t="s">
        <v>629</v>
      </c>
      <c r="AA654" s="0" t="s">
        <v>624</v>
      </c>
      <c r="AB654" s="0" t="s">
        <v>132</v>
      </c>
      <c r="AC654" s="254" t="n">
        <f aca="false">'Basis Options'!H658</f>
        <v>-1550000</v>
      </c>
      <c r="AD654" s="254" t="e">
        <f aca="false">'Basis Options'!W658</f>
        <v>#NAME?</v>
      </c>
      <c r="AE654" s="0" t="n">
        <v>0</v>
      </c>
      <c r="AF654" s="0" t="n">
        <v>0</v>
      </c>
      <c r="AG654" s="0" t="n">
        <v>0</v>
      </c>
      <c r="AH654" s="254" t="e">
        <f aca="false">'Basis Options'!CD659</f>
        <v>#NAME?</v>
      </c>
      <c r="AI654" s="0" t="n">
        <v>226</v>
      </c>
      <c r="AJ654" s="0" t="s">
        <v>630</v>
      </c>
      <c r="AK654" s="0" t="n">
        <v>0</v>
      </c>
      <c r="AL654" s="0" t="n">
        <v>0</v>
      </c>
      <c r="AM654" s="0" t="n">
        <v>0</v>
      </c>
    </row>
    <row r="655" customFormat="false" ht="12.75" hidden="false" customHeight="false" outlineLevel="0" collapsed="false">
      <c r="A655" s="0" t="s">
        <v>621</v>
      </c>
      <c r="B655" s="0" t="str">
        <f aca="false">'Basis Options'!C659</f>
        <v>NU9007</v>
      </c>
      <c r="C655" s="0" t="s">
        <v>622</v>
      </c>
      <c r="D655" s="0" t="s">
        <v>623</v>
      </c>
      <c r="E655" s="0" t="s">
        <v>131</v>
      </c>
      <c r="F655" s="0" t="str">
        <f aca="false">'Basis Options'!A659</f>
        <v>OCCIDENTENEMAR</v>
      </c>
      <c r="G655" s="0" t="s">
        <v>628</v>
      </c>
      <c r="H655" s="0" t="s">
        <v>625</v>
      </c>
      <c r="I655" s="0" t="s">
        <v>626</v>
      </c>
      <c r="J655" s="0" t="s">
        <v>627</v>
      </c>
      <c r="K655" s="475" t="n">
        <f aca="false">'Basis Options'!G659</f>
        <v>36831</v>
      </c>
      <c r="L655" s="254" t="e">
        <f aca="false">'Basis Options'!U659</f>
        <v>#NAME?</v>
      </c>
      <c r="M655" s="475" t="n">
        <f aca="false">'Basis Options'!Q659</f>
        <v>36829</v>
      </c>
      <c r="N655" s="0" t="str">
        <f aca="false">'Basis Options'!F659</f>
        <v>C</v>
      </c>
      <c r="O655" s="0" t="n">
        <f aca="false">'Basis Options'!I659</f>
        <v>0.12</v>
      </c>
      <c r="P655" s="0" t="n">
        <v>0</v>
      </c>
      <c r="Q655" s="0" t="n">
        <v>0</v>
      </c>
      <c r="R655" s="0" t="n">
        <v>0</v>
      </c>
      <c r="S655" s="0" t="n">
        <v>0</v>
      </c>
      <c r="T655" s="0" t="s">
        <v>624</v>
      </c>
      <c r="U655" s="0" t="str">
        <f aca="false">IF('Basis Options'!D659="NGI/CHI. GATE","""NGI/CHI. GATE""",TRIM('Basis Options'!D659))</f>
        <v>"NGI/CHI. GATE"</v>
      </c>
      <c r="V655" s="0" t="s">
        <v>624</v>
      </c>
      <c r="W655" s="0" t="s">
        <v>569</v>
      </c>
      <c r="X655" s="0" t="s">
        <v>624</v>
      </c>
      <c r="Y655" s="0" t="s">
        <v>627</v>
      </c>
      <c r="Z655" s="0" t="s">
        <v>629</v>
      </c>
      <c r="AA655" s="0" t="s">
        <v>624</v>
      </c>
      <c r="AB655" s="0" t="s">
        <v>132</v>
      </c>
      <c r="AC655" s="254" t="n">
        <f aca="false">'Basis Options'!H659</f>
        <v>-300000</v>
      </c>
      <c r="AD655" s="254" t="e">
        <f aca="false">'Basis Options'!W659</f>
        <v>#NAME?</v>
      </c>
      <c r="AE655" s="0" t="n">
        <v>0</v>
      </c>
      <c r="AF655" s="0" t="n">
        <v>0</v>
      </c>
      <c r="AG655" s="0" t="n">
        <v>0</v>
      </c>
      <c r="AH655" s="254" t="e">
        <f aca="false">'Basis Options'!CD660</f>
        <v>#NAME?</v>
      </c>
      <c r="AI655" s="0" t="n">
        <v>226</v>
      </c>
      <c r="AJ655" s="0" t="s">
        <v>630</v>
      </c>
      <c r="AK655" s="0" t="n">
        <v>0</v>
      </c>
      <c r="AL655" s="0" t="n">
        <v>0</v>
      </c>
      <c r="AM655" s="0" t="n">
        <v>0</v>
      </c>
    </row>
    <row r="656" customFormat="false" ht="12.75" hidden="false" customHeight="false" outlineLevel="0" collapsed="false">
      <c r="A656" s="0" t="s">
        <v>621</v>
      </c>
      <c r="B656" s="0" t="str">
        <f aca="false">'Basis Options'!C660</f>
        <v>NU9007</v>
      </c>
      <c r="C656" s="0" t="s">
        <v>622</v>
      </c>
      <c r="D656" s="0" t="s">
        <v>623</v>
      </c>
      <c r="E656" s="0" t="s">
        <v>131</v>
      </c>
      <c r="F656" s="0" t="str">
        <f aca="false">'Basis Options'!A660</f>
        <v>OCCIDENTENEMAR</v>
      </c>
      <c r="G656" s="0" t="s">
        <v>628</v>
      </c>
      <c r="H656" s="0" t="s">
        <v>625</v>
      </c>
      <c r="I656" s="0" t="s">
        <v>626</v>
      </c>
      <c r="J656" s="0" t="s">
        <v>627</v>
      </c>
      <c r="K656" s="475" t="n">
        <f aca="false">'Basis Options'!G660</f>
        <v>36861</v>
      </c>
      <c r="L656" s="254" t="e">
        <f aca="false">'Basis Options'!U660</f>
        <v>#NAME?</v>
      </c>
      <c r="M656" s="475" t="n">
        <f aca="false">'Basis Options'!Q660</f>
        <v>36859</v>
      </c>
      <c r="N656" s="0" t="str">
        <f aca="false">'Basis Options'!F660</f>
        <v>C</v>
      </c>
      <c r="O656" s="0" t="n">
        <f aca="false">'Basis Options'!I660</f>
        <v>0.12</v>
      </c>
      <c r="P656" s="0" t="n">
        <v>0</v>
      </c>
      <c r="Q656" s="0" t="n">
        <v>0</v>
      </c>
      <c r="R656" s="0" t="n">
        <v>0</v>
      </c>
      <c r="S656" s="0" t="n">
        <v>0</v>
      </c>
      <c r="T656" s="0" t="s">
        <v>624</v>
      </c>
      <c r="U656" s="0" t="str">
        <f aca="false">IF('Basis Options'!D660="NGI/CHI. GATE","""NGI/CHI. GATE""",TRIM('Basis Options'!D660))</f>
        <v>"NGI/CHI. GATE"</v>
      </c>
      <c r="V656" s="0" t="s">
        <v>624</v>
      </c>
      <c r="W656" s="0" t="s">
        <v>569</v>
      </c>
      <c r="X656" s="0" t="s">
        <v>624</v>
      </c>
      <c r="Y656" s="0" t="s">
        <v>627</v>
      </c>
      <c r="Z656" s="0" t="s">
        <v>629</v>
      </c>
      <c r="AA656" s="0" t="s">
        <v>624</v>
      </c>
      <c r="AB656" s="0" t="s">
        <v>132</v>
      </c>
      <c r="AC656" s="254" t="n">
        <f aca="false">'Basis Options'!H660</f>
        <v>-310000</v>
      </c>
      <c r="AD656" s="254" t="e">
        <f aca="false">'Basis Options'!W660</f>
        <v>#NAME?</v>
      </c>
      <c r="AE656" s="0" t="n">
        <v>0</v>
      </c>
      <c r="AF656" s="0" t="n">
        <v>0</v>
      </c>
      <c r="AG656" s="0" t="n">
        <v>0</v>
      </c>
      <c r="AH656" s="254" t="e">
        <f aca="false">'Basis Options'!CD661</f>
        <v>#NAME?</v>
      </c>
      <c r="AI656" s="0" t="n">
        <v>226</v>
      </c>
      <c r="AJ656" s="0" t="s">
        <v>630</v>
      </c>
      <c r="AK656" s="0" t="n">
        <v>0</v>
      </c>
      <c r="AL656" s="0" t="n">
        <v>0</v>
      </c>
      <c r="AM656" s="0" t="n">
        <v>0</v>
      </c>
    </row>
    <row r="657" customFormat="false" ht="12.75" hidden="false" customHeight="false" outlineLevel="0" collapsed="false">
      <c r="A657" s="0" t="s">
        <v>621</v>
      </c>
      <c r="B657" s="0" t="str">
        <f aca="false">'Basis Options'!C661</f>
        <v>NU9007</v>
      </c>
      <c r="C657" s="0" t="s">
        <v>622</v>
      </c>
      <c r="D657" s="0" t="s">
        <v>623</v>
      </c>
      <c r="E657" s="0" t="s">
        <v>131</v>
      </c>
      <c r="F657" s="0" t="str">
        <f aca="false">'Basis Options'!A661</f>
        <v>OCCIDENTENEMAR</v>
      </c>
      <c r="G657" s="0" t="s">
        <v>628</v>
      </c>
      <c r="H657" s="0" t="s">
        <v>625</v>
      </c>
      <c r="I657" s="0" t="s">
        <v>626</v>
      </c>
      <c r="J657" s="0" t="s">
        <v>627</v>
      </c>
      <c r="K657" s="475" t="n">
        <f aca="false">'Basis Options'!G661</f>
        <v>36892</v>
      </c>
      <c r="L657" s="254" t="e">
        <f aca="false">'Basis Options'!U661</f>
        <v>#NAME?</v>
      </c>
      <c r="M657" s="475" t="n">
        <f aca="false">'Basis Options'!Q661</f>
        <v>36888</v>
      </c>
      <c r="N657" s="0" t="str">
        <f aca="false">'Basis Options'!F661</f>
        <v>C</v>
      </c>
      <c r="O657" s="0" t="n">
        <f aca="false">'Basis Options'!I661</f>
        <v>0.12</v>
      </c>
      <c r="P657" s="0" t="n">
        <v>0</v>
      </c>
      <c r="Q657" s="0" t="n">
        <v>0</v>
      </c>
      <c r="R657" s="0" t="n">
        <v>0</v>
      </c>
      <c r="S657" s="0" t="n">
        <v>0</v>
      </c>
      <c r="T657" s="0" t="s">
        <v>624</v>
      </c>
      <c r="U657" s="0" t="str">
        <f aca="false">IF('Basis Options'!D661="NGI/CHI. GATE","""NGI/CHI. GATE""",TRIM('Basis Options'!D661))</f>
        <v>"NGI/CHI. GATE"</v>
      </c>
      <c r="V657" s="0" t="s">
        <v>624</v>
      </c>
      <c r="W657" s="0" t="s">
        <v>569</v>
      </c>
      <c r="X657" s="0" t="s">
        <v>624</v>
      </c>
      <c r="Y657" s="0" t="s">
        <v>627</v>
      </c>
      <c r="Z657" s="0" t="s">
        <v>629</v>
      </c>
      <c r="AA657" s="0" t="s">
        <v>624</v>
      </c>
      <c r="AB657" s="0" t="s">
        <v>132</v>
      </c>
      <c r="AC657" s="254" t="n">
        <f aca="false">'Basis Options'!H661</f>
        <v>-310000</v>
      </c>
      <c r="AD657" s="254" t="e">
        <f aca="false">'Basis Options'!W661</f>
        <v>#NAME?</v>
      </c>
      <c r="AE657" s="0" t="n">
        <v>0</v>
      </c>
      <c r="AF657" s="0" t="n">
        <v>0</v>
      </c>
      <c r="AG657" s="0" t="n">
        <v>0</v>
      </c>
      <c r="AH657" s="254" t="e">
        <f aca="false">'Basis Options'!CD662</f>
        <v>#NAME?</v>
      </c>
      <c r="AI657" s="0" t="n">
        <v>226</v>
      </c>
      <c r="AJ657" s="0" t="s">
        <v>630</v>
      </c>
      <c r="AK657" s="0" t="n">
        <v>0</v>
      </c>
      <c r="AL657" s="0" t="n">
        <v>0</v>
      </c>
      <c r="AM657" s="0" t="n">
        <v>0</v>
      </c>
    </row>
    <row r="658" customFormat="false" ht="12.75" hidden="false" customHeight="false" outlineLevel="0" collapsed="false">
      <c r="A658" s="0" t="s">
        <v>621</v>
      </c>
      <c r="B658" s="0" t="str">
        <f aca="false">'Basis Options'!C662</f>
        <v>NU9007</v>
      </c>
      <c r="C658" s="0" t="s">
        <v>622</v>
      </c>
      <c r="D658" s="0" t="s">
        <v>623</v>
      </c>
      <c r="E658" s="0" t="s">
        <v>131</v>
      </c>
      <c r="F658" s="0" t="str">
        <f aca="false">'Basis Options'!A662</f>
        <v>OCCIDENTENEMAR</v>
      </c>
      <c r="G658" s="0" t="s">
        <v>628</v>
      </c>
      <c r="H658" s="0" t="s">
        <v>625</v>
      </c>
      <c r="I658" s="0" t="s">
        <v>626</v>
      </c>
      <c r="J658" s="0" t="s">
        <v>627</v>
      </c>
      <c r="K658" s="475" t="n">
        <f aca="false">'Basis Options'!G662</f>
        <v>36923</v>
      </c>
      <c r="L658" s="254" t="e">
        <f aca="false">'Basis Options'!U662</f>
        <v>#NAME?</v>
      </c>
      <c r="M658" s="475" t="n">
        <f aca="false">'Basis Options'!Q662</f>
        <v>36921</v>
      </c>
      <c r="N658" s="0" t="str">
        <f aca="false">'Basis Options'!F662</f>
        <v>C</v>
      </c>
      <c r="O658" s="0" t="n">
        <f aca="false">'Basis Options'!I662</f>
        <v>0.12</v>
      </c>
      <c r="P658" s="0" t="n">
        <v>0</v>
      </c>
      <c r="Q658" s="0" t="n">
        <v>0</v>
      </c>
      <c r="R658" s="0" t="n">
        <v>0</v>
      </c>
      <c r="S658" s="0" t="n">
        <v>0</v>
      </c>
      <c r="T658" s="0" t="s">
        <v>624</v>
      </c>
      <c r="U658" s="0" t="str">
        <f aca="false">IF('Basis Options'!D662="NGI/CHI. GATE","""NGI/CHI. GATE""",TRIM('Basis Options'!D662))</f>
        <v>"NGI/CHI. GATE"</v>
      </c>
      <c r="V658" s="0" t="s">
        <v>624</v>
      </c>
      <c r="W658" s="0" t="s">
        <v>569</v>
      </c>
      <c r="X658" s="0" t="s">
        <v>624</v>
      </c>
      <c r="Y658" s="0" t="s">
        <v>627</v>
      </c>
      <c r="Z658" s="0" t="s">
        <v>629</v>
      </c>
      <c r="AA658" s="0" t="s">
        <v>624</v>
      </c>
      <c r="AB658" s="0" t="s">
        <v>132</v>
      </c>
      <c r="AC658" s="254" t="n">
        <f aca="false">'Basis Options'!H662</f>
        <v>-280000</v>
      </c>
      <c r="AD658" s="254" t="e">
        <f aca="false">'Basis Options'!W662</f>
        <v>#NAME?</v>
      </c>
      <c r="AE658" s="0" t="n">
        <v>0</v>
      </c>
      <c r="AF658" s="0" t="n">
        <v>0</v>
      </c>
      <c r="AG658" s="0" t="n">
        <v>0</v>
      </c>
      <c r="AH658" s="254" t="e">
        <f aca="false">'Basis Options'!CD663</f>
        <v>#NAME?</v>
      </c>
      <c r="AI658" s="0" t="n">
        <v>226</v>
      </c>
      <c r="AJ658" s="0" t="s">
        <v>630</v>
      </c>
      <c r="AK658" s="0" t="n">
        <v>0</v>
      </c>
      <c r="AL658" s="0" t="n">
        <v>0</v>
      </c>
      <c r="AM658" s="0" t="n">
        <v>0</v>
      </c>
    </row>
    <row r="659" customFormat="false" ht="12.75" hidden="false" customHeight="false" outlineLevel="0" collapsed="false">
      <c r="A659" s="0" t="s">
        <v>621</v>
      </c>
      <c r="B659" s="0" t="str">
        <f aca="false">'Basis Options'!C663</f>
        <v>NU9007</v>
      </c>
      <c r="C659" s="0" t="s">
        <v>622</v>
      </c>
      <c r="D659" s="0" t="s">
        <v>623</v>
      </c>
      <c r="E659" s="0" t="s">
        <v>131</v>
      </c>
      <c r="F659" s="0" t="str">
        <f aca="false">'Basis Options'!A663</f>
        <v>OCCIDENTENEMAR</v>
      </c>
      <c r="G659" s="0" t="s">
        <v>628</v>
      </c>
      <c r="H659" s="0" t="s">
        <v>625</v>
      </c>
      <c r="I659" s="0" t="s">
        <v>626</v>
      </c>
      <c r="J659" s="0" t="s">
        <v>627</v>
      </c>
      <c r="K659" s="475" t="n">
        <f aca="false">'Basis Options'!G663</f>
        <v>36951</v>
      </c>
      <c r="L659" s="254" t="e">
        <f aca="false">'Basis Options'!U663</f>
        <v>#NAME?</v>
      </c>
      <c r="M659" s="475" t="n">
        <f aca="false">'Basis Options'!Q663</f>
        <v>36949</v>
      </c>
      <c r="N659" s="0" t="str">
        <f aca="false">'Basis Options'!F663</f>
        <v>C</v>
      </c>
      <c r="O659" s="0" t="n">
        <f aca="false">'Basis Options'!I663</f>
        <v>0.12</v>
      </c>
      <c r="P659" s="0" t="n">
        <v>0</v>
      </c>
      <c r="Q659" s="0" t="n">
        <v>0</v>
      </c>
      <c r="R659" s="0" t="n">
        <v>0</v>
      </c>
      <c r="S659" s="0" t="n">
        <v>0</v>
      </c>
      <c r="T659" s="0" t="s">
        <v>624</v>
      </c>
      <c r="U659" s="0" t="str">
        <f aca="false">IF('Basis Options'!D663="NGI/CHI. GATE","""NGI/CHI. GATE""",TRIM('Basis Options'!D663))</f>
        <v>"NGI/CHI. GATE"</v>
      </c>
      <c r="V659" s="0" t="s">
        <v>624</v>
      </c>
      <c r="W659" s="0" t="s">
        <v>569</v>
      </c>
      <c r="X659" s="0" t="s">
        <v>624</v>
      </c>
      <c r="Y659" s="0" t="s">
        <v>627</v>
      </c>
      <c r="Z659" s="0" t="s">
        <v>629</v>
      </c>
      <c r="AA659" s="0" t="s">
        <v>624</v>
      </c>
      <c r="AB659" s="0" t="s">
        <v>132</v>
      </c>
      <c r="AC659" s="254" t="n">
        <f aca="false">'Basis Options'!H663</f>
        <v>-310000</v>
      </c>
      <c r="AD659" s="254" t="e">
        <f aca="false">'Basis Options'!W663</f>
        <v>#NAME?</v>
      </c>
      <c r="AE659" s="0" t="n">
        <v>0</v>
      </c>
      <c r="AF659" s="0" t="n">
        <v>0</v>
      </c>
      <c r="AG659" s="0" t="n">
        <v>0</v>
      </c>
      <c r="AH659" s="254" t="e">
        <f aca="false">'Basis Options'!CD664</f>
        <v>#NAME?</v>
      </c>
      <c r="AI659" s="0" t="n">
        <v>226</v>
      </c>
      <c r="AJ659" s="0" t="s">
        <v>630</v>
      </c>
      <c r="AK659" s="0" t="n">
        <v>0</v>
      </c>
      <c r="AL659" s="0" t="n">
        <v>0</v>
      </c>
      <c r="AM659" s="0" t="n">
        <v>0</v>
      </c>
    </row>
    <row r="660" customFormat="false" ht="12.75" hidden="false" customHeight="false" outlineLevel="0" collapsed="false">
      <c r="A660" s="0" t="s">
        <v>621</v>
      </c>
      <c r="B660" s="0" t="str">
        <f aca="false">'Basis Options'!C664</f>
        <v>NU9019</v>
      </c>
      <c r="C660" s="0" t="s">
        <v>622</v>
      </c>
      <c r="D660" s="0" t="s">
        <v>623</v>
      </c>
      <c r="E660" s="0" t="s">
        <v>131</v>
      </c>
      <c r="F660" s="0" t="str">
        <f aca="false">'Basis Options'!A664</f>
        <v>CONAGRAENESER</v>
      </c>
      <c r="G660" s="0" t="s">
        <v>628</v>
      </c>
      <c r="H660" s="0" t="s">
        <v>625</v>
      </c>
      <c r="I660" s="0" t="s">
        <v>626</v>
      </c>
      <c r="J660" s="0" t="s">
        <v>627</v>
      </c>
      <c r="K660" s="475" t="n">
        <f aca="false">'Basis Options'!G664</f>
        <v>36800</v>
      </c>
      <c r="L660" s="254" t="e">
        <f aca="false">'Basis Options'!U664</f>
        <v>#NAME?</v>
      </c>
      <c r="M660" s="475" t="n">
        <f aca="false">'Basis Options'!Q664</f>
        <v>36797</v>
      </c>
      <c r="N660" s="0" t="str">
        <f aca="false">'Basis Options'!F664</f>
        <v>C</v>
      </c>
      <c r="O660" s="0" t="n">
        <f aca="false">'Basis Options'!I664</f>
        <v>0.5</v>
      </c>
      <c r="P660" s="0" t="n">
        <v>0</v>
      </c>
      <c r="Q660" s="0" t="n">
        <v>0</v>
      </c>
      <c r="R660" s="0" t="n">
        <v>0</v>
      </c>
      <c r="S660" s="0" t="n">
        <v>0</v>
      </c>
      <c r="T660" s="0" t="s">
        <v>624</v>
      </c>
      <c r="U660" s="0" t="str">
        <f aca="false">IF('Basis Options'!D664="NGI/CHI. GATE","""NGI/CHI. GATE""",TRIM('Basis Options'!D664))</f>
        <v>IF-TRANSCO/Z6</v>
      </c>
      <c r="V660" s="0" t="s">
        <v>624</v>
      </c>
      <c r="W660" s="0" t="s">
        <v>569</v>
      </c>
      <c r="X660" s="0" t="s">
        <v>624</v>
      </c>
      <c r="Y660" s="0" t="s">
        <v>627</v>
      </c>
      <c r="Z660" s="0" t="s">
        <v>629</v>
      </c>
      <c r="AA660" s="0" t="s">
        <v>624</v>
      </c>
      <c r="AB660" s="0" t="s">
        <v>132</v>
      </c>
      <c r="AC660" s="254" t="n">
        <f aca="false">'Basis Options'!H664</f>
        <v>1550000</v>
      </c>
      <c r="AD660" s="254" t="e">
        <f aca="false">'Basis Options'!W664</f>
        <v>#NAME?</v>
      </c>
      <c r="AE660" s="0" t="n">
        <v>0</v>
      </c>
      <c r="AF660" s="0" t="n">
        <v>0</v>
      </c>
      <c r="AG660" s="0" t="n">
        <v>0</v>
      </c>
      <c r="AH660" s="254" t="e">
        <f aca="false">'Basis Options'!CD665</f>
        <v>#NAME?</v>
      </c>
      <c r="AI660" s="0" t="n">
        <v>226</v>
      </c>
      <c r="AJ660" s="0" t="s">
        <v>630</v>
      </c>
      <c r="AK660" s="0" t="n">
        <v>0</v>
      </c>
      <c r="AL660" s="0" t="n">
        <v>0</v>
      </c>
      <c r="AM660" s="0" t="n">
        <v>0</v>
      </c>
    </row>
    <row r="661" customFormat="false" ht="12.75" hidden="false" customHeight="false" outlineLevel="0" collapsed="false">
      <c r="A661" s="0" t="s">
        <v>621</v>
      </c>
      <c r="B661" s="0" t="str">
        <f aca="false">'Basis Options'!C665</f>
        <v>NU9027</v>
      </c>
      <c r="C661" s="0" t="s">
        <v>622</v>
      </c>
      <c r="D661" s="0" t="s">
        <v>623</v>
      </c>
      <c r="E661" s="0" t="s">
        <v>131</v>
      </c>
      <c r="F661" s="0" t="str">
        <f aca="false">'Basis Options'!A665</f>
        <v>RELIANTENESER</v>
      </c>
      <c r="G661" s="0" t="s">
        <v>628</v>
      </c>
      <c r="H661" s="0" t="s">
        <v>625</v>
      </c>
      <c r="I661" s="0" t="s">
        <v>626</v>
      </c>
      <c r="J661" s="0" t="s">
        <v>627</v>
      </c>
      <c r="K661" s="475" t="n">
        <f aca="false">'Basis Options'!G665</f>
        <v>36831</v>
      </c>
      <c r="L661" s="254" t="e">
        <f aca="false">'Basis Options'!U665</f>
        <v>#NAME?</v>
      </c>
      <c r="M661" s="475" t="n">
        <f aca="false">'Basis Options'!Q665</f>
        <v>36829</v>
      </c>
      <c r="N661" s="0" t="str">
        <f aca="false">'Basis Options'!F665</f>
        <v>C</v>
      </c>
      <c r="O661" s="0" t="n">
        <f aca="false">'Basis Options'!I665</f>
        <v>2.5</v>
      </c>
      <c r="P661" s="0" t="n">
        <v>0</v>
      </c>
      <c r="Q661" s="0" t="n">
        <v>0</v>
      </c>
      <c r="R661" s="0" t="n">
        <v>0</v>
      </c>
      <c r="S661" s="0" t="n">
        <v>0</v>
      </c>
      <c r="T661" s="0" t="s">
        <v>624</v>
      </c>
      <c r="U661" s="0" t="str">
        <f aca="false">IF('Basis Options'!D665="NGI/CHI. GATE","""NGI/CHI. GATE""",TRIM('Basis Options'!D665))</f>
        <v>IF-TRANSCO/Z6</v>
      </c>
      <c r="V661" s="0" t="s">
        <v>624</v>
      </c>
      <c r="W661" s="0" t="s">
        <v>569</v>
      </c>
      <c r="X661" s="0" t="s">
        <v>624</v>
      </c>
      <c r="Y661" s="0" t="s">
        <v>627</v>
      </c>
      <c r="Z661" s="0" t="s">
        <v>629</v>
      </c>
      <c r="AA661" s="0" t="s">
        <v>624</v>
      </c>
      <c r="AB661" s="0" t="s">
        <v>132</v>
      </c>
      <c r="AC661" s="254" t="n">
        <f aca="false">'Basis Options'!H665</f>
        <v>300000</v>
      </c>
      <c r="AD661" s="254" t="e">
        <f aca="false">'Basis Options'!W665</f>
        <v>#NAME?</v>
      </c>
      <c r="AE661" s="0" t="n">
        <v>0</v>
      </c>
      <c r="AF661" s="0" t="n">
        <v>0</v>
      </c>
      <c r="AG661" s="0" t="n">
        <v>0</v>
      </c>
      <c r="AH661" s="254" t="e">
        <f aca="false">'Basis Options'!CD666</f>
        <v>#NAME?</v>
      </c>
      <c r="AI661" s="0" t="n">
        <v>226</v>
      </c>
      <c r="AJ661" s="0" t="s">
        <v>630</v>
      </c>
      <c r="AK661" s="0" t="n">
        <v>0</v>
      </c>
      <c r="AL661" s="0" t="n">
        <v>0</v>
      </c>
      <c r="AM661" s="0" t="n">
        <v>0</v>
      </c>
    </row>
    <row r="662" customFormat="false" ht="12.75" hidden="false" customHeight="false" outlineLevel="0" collapsed="false">
      <c r="A662" s="0" t="s">
        <v>621</v>
      </c>
      <c r="B662" s="0" t="str">
        <f aca="false">'Basis Options'!C666</f>
        <v>NU9027</v>
      </c>
      <c r="C662" s="0" t="s">
        <v>622</v>
      </c>
      <c r="D662" s="0" t="s">
        <v>623</v>
      </c>
      <c r="E662" s="0" t="s">
        <v>131</v>
      </c>
      <c r="F662" s="0" t="str">
        <f aca="false">'Basis Options'!A666</f>
        <v>RELIANTENESER</v>
      </c>
      <c r="G662" s="0" t="s">
        <v>628</v>
      </c>
      <c r="H662" s="0" t="s">
        <v>625</v>
      </c>
      <c r="I662" s="0" t="s">
        <v>626</v>
      </c>
      <c r="J662" s="0" t="s">
        <v>627</v>
      </c>
      <c r="K662" s="475" t="n">
        <f aca="false">'Basis Options'!G666</f>
        <v>36861</v>
      </c>
      <c r="L662" s="254" t="e">
        <f aca="false">'Basis Options'!U666</f>
        <v>#NAME?</v>
      </c>
      <c r="M662" s="475" t="n">
        <f aca="false">'Basis Options'!Q666</f>
        <v>36859</v>
      </c>
      <c r="N662" s="0" t="str">
        <f aca="false">'Basis Options'!F666</f>
        <v>C</v>
      </c>
      <c r="O662" s="0" t="n">
        <f aca="false">'Basis Options'!I666</f>
        <v>2.5</v>
      </c>
      <c r="P662" s="0" t="n">
        <v>0</v>
      </c>
      <c r="Q662" s="0" t="n">
        <v>0</v>
      </c>
      <c r="R662" s="0" t="n">
        <v>0</v>
      </c>
      <c r="S662" s="0" t="n">
        <v>0</v>
      </c>
      <c r="T662" s="0" t="s">
        <v>624</v>
      </c>
      <c r="U662" s="0" t="str">
        <f aca="false">IF('Basis Options'!D666="NGI/CHI. GATE","""NGI/CHI. GATE""",TRIM('Basis Options'!D666))</f>
        <v>IF-TRANSCO/Z6</v>
      </c>
      <c r="V662" s="0" t="s">
        <v>624</v>
      </c>
      <c r="W662" s="0" t="s">
        <v>569</v>
      </c>
      <c r="X662" s="0" t="s">
        <v>624</v>
      </c>
      <c r="Y662" s="0" t="s">
        <v>627</v>
      </c>
      <c r="Z662" s="0" t="s">
        <v>629</v>
      </c>
      <c r="AA662" s="0" t="s">
        <v>624</v>
      </c>
      <c r="AB662" s="0" t="s">
        <v>132</v>
      </c>
      <c r="AC662" s="254" t="n">
        <f aca="false">'Basis Options'!H666</f>
        <v>310000</v>
      </c>
      <c r="AD662" s="254" t="e">
        <f aca="false">'Basis Options'!W666</f>
        <v>#NAME?</v>
      </c>
      <c r="AE662" s="0" t="n">
        <v>0</v>
      </c>
      <c r="AF662" s="0" t="n">
        <v>0</v>
      </c>
      <c r="AG662" s="0" t="n">
        <v>0</v>
      </c>
      <c r="AH662" s="254" t="e">
        <f aca="false">'Basis Options'!CD667</f>
        <v>#NAME?</v>
      </c>
      <c r="AI662" s="0" t="n">
        <v>226</v>
      </c>
      <c r="AJ662" s="0" t="s">
        <v>630</v>
      </c>
      <c r="AK662" s="0" t="n">
        <v>0</v>
      </c>
      <c r="AL662" s="0" t="n">
        <v>0</v>
      </c>
      <c r="AM662" s="0" t="n">
        <v>0</v>
      </c>
    </row>
    <row r="663" customFormat="false" ht="12.75" hidden="false" customHeight="false" outlineLevel="0" collapsed="false">
      <c r="A663" s="0" t="s">
        <v>621</v>
      </c>
      <c r="B663" s="0" t="str">
        <f aca="false">'Basis Options'!C667</f>
        <v>NU9027</v>
      </c>
      <c r="C663" s="0" t="s">
        <v>622</v>
      </c>
      <c r="D663" s="0" t="s">
        <v>623</v>
      </c>
      <c r="E663" s="0" t="s">
        <v>131</v>
      </c>
      <c r="F663" s="0" t="str">
        <f aca="false">'Basis Options'!A667</f>
        <v>RELIANTENESER</v>
      </c>
      <c r="G663" s="0" t="s">
        <v>628</v>
      </c>
      <c r="H663" s="0" t="s">
        <v>625</v>
      </c>
      <c r="I663" s="0" t="s">
        <v>626</v>
      </c>
      <c r="J663" s="0" t="s">
        <v>627</v>
      </c>
      <c r="K663" s="475" t="n">
        <f aca="false">'Basis Options'!G667</f>
        <v>36892</v>
      </c>
      <c r="L663" s="254" t="e">
        <f aca="false">'Basis Options'!U667</f>
        <v>#NAME?</v>
      </c>
      <c r="M663" s="475" t="n">
        <f aca="false">'Basis Options'!Q667</f>
        <v>36888</v>
      </c>
      <c r="N663" s="0" t="str">
        <f aca="false">'Basis Options'!F667</f>
        <v>C</v>
      </c>
      <c r="O663" s="0" t="n">
        <f aca="false">'Basis Options'!I667</f>
        <v>2.5</v>
      </c>
      <c r="P663" s="0" t="n">
        <v>0</v>
      </c>
      <c r="Q663" s="0" t="n">
        <v>0</v>
      </c>
      <c r="R663" s="0" t="n">
        <v>0</v>
      </c>
      <c r="S663" s="0" t="n">
        <v>0</v>
      </c>
      <c r="T663" s="0" t="s">
        <v>624</v>
      </c>
      <c r="U663" s="0" t="str">
        <f aca="false">IF('Basis Options'!D667="NGI/CHI. GATE","""NGI/CHI. GATE""",TRIM('Basis Options'!D667))</f>
        <v>IF-TRANSCO/Z6</v>
      </c>
      <c r="V663" s="0" t="s">
        <v>624</v>
      </c>
      <c r="W663" s="0" t="s">
        <v>569</v>
      </c>
      <c r="X663" s="0" t="s">
        <v>624</v>
      </c>
      <c r="Y663" s="0" t="s">
        <v>627</v>
      </c>
      <c r="Z663" s="0" t="s">
        <v>629</v>
      </c>
      <c r="AA663" s="0" t="s">
        <v>624</v>
      </c>
      <c r="AB663" s="0" t="s">
        <v>132</v>
      </c>
      <c r="AC663" s="254" t="n">
        <f aca="false">'Basis Options'!H667</f>
        <v>310000</v>
      </c>
      <c r="AD663" s="254" t="e">
        <f aca="false">'Basis Options'!W667</f>
        <v>#NAME?</v>
      </c>
      <c r="AE663" s="0" t="n">
        <v>0</v>
      </c>
      <c r="AF663" s="0" t="n">
        <v>0</v>
      </c>
      <c r="AG663" s="0" t="n">
        <v>0</v>
      </c>
      <c r="AH663" s="254" t="e">
        <f aca="false">'Basis Options'!CD668</f>
        <v>#NAME?</v>
      </c>
      <c r="AI663" s="0" t="n">
        <v>226</v>
      </c>
      <c r="AJ663" s="0" t="s">
        <v>630</v>
      </c>
      <c r="AK663" s="0" t="n">
        <v>0</v>
      </c>
      <c r="AL663" s="0" t="n">
        <v>0</v>
      </c>
      <c r="AM663" s="0" t="n">
        <v>0</v>
      </c>
    </row>
    <row r="664" customFormat="false" ht="12.75" hidden="false" customHeight="false" outlineLevel="0" collapsed="false">
      <c r="A664" s="0" t="s">
        <v>621</v>
      </c>
      <c r="B664" s="0" t="str">
        <f aca="false">'Basis Options'!C668</f>
        <v>NU9027</v>
      </c>
      <c r="C664" s="0" t="s">
        <v>622</v>
      </c>
      <c r="D664" s="0" t="s">
        <v>623</v>
      </c>
      <c r="E664" s="0" t="s">
        <v>131</v>
      </c>
      <c r="F664" s="0" t="str">
        <f aca="false">'Basis Options'!A668</f>
        <v>RELIANTENESER</v>
      </c>
      <c r="G664" s="0" t="s">
        <v>628</v>
      </c>
      <c r="H664" s="0" t="s">
        <v>625</v>
      </c>
      <c r="I664" s="0" t="s">
        <v>626</v>
      </c>
      <c r="J664" s="0" t="s">
        <v>627</v>
      </c>
      <c r="K664" s="475" t="n">
        <f aca="false">'Basis Options'!G668</f>
        <v>36923</v>
      </c>
      <c r="L664" s="254" t="e">
        <f aca="false">'Basis Options'!U668</f>
        <v>#NAME?</v>
      </c>
      <c r="M664" s="475" t="n">
        <f aca="false">'Basis Options'!Q668</f>
        <v>36921</v>
      </c>
      <c r="N664" s="0" t="str">
        <f aca="false">'Basis Options'!F668</f>
        <v>C</v>
      </c>
      <c r="O664" s="0" t="n">
        <f aca="false">'Basis Options'!I668</f>
        <v>2.5</v>
      </c>
      <c r="P664" s="0" t="n">
        <v>0</v>
      </c>
      <c r="Q664" s="0" t="n">
        <v>0</v>
      </c>
      <c r="R664" s="0" t="n">
        <v>0</v>
      </c>
      <c r="S664" s="0" t="n">
        <v>0</v>
      </c>
      <c r="T664" s="0" t="s">
        <v>624</v>
      </c>
      <c r="U664" s="0" t="str">
        <f aca="false">IF('Basis Options'!D668="NGI/CHI. GATE","""NGI/CHI. GATE""",TRIM('Basis Options'!D668))</f>
        <v>IF-TRANSCO/Z6</v>
      </c>
      <c r="V664" s="0" t="s">
        <v>624</v>
      </c>
      <c r="W664" s="0" t="s">
        <v>569</v>
      </c>
      <c r="X664" s="0" t="s">
        <v>624</v>
      </c>
      <c r="Y664" s="0" t="s">
        <v>627</v>
      </c>
      <c r="Z664" s="0" t="s">
        <v>629</v>
      </c>
      <c r="AA664" s="0" t="s">
        <v>624</v>
      </c>
      <c r="AB664" s="0" t="s">
        <v>132</v>
      </c>
      <c r="AC664" s="254" t="n">
        <f aca="false">'Basis Options'!H668</f>
        <v>280000</v>
      </c>
      <c r="AD664" s="254" t="e">
        <f aca="false">'Basis Options'!W668</f>
        <v>#NAME?</v>
      </c>
      <c r="AE664" s="0" t="n">
        <v>0</v>
      </c>
      <c r="AF664" s="0" t="n">
        <v>0</v>
      </c>
      <c r="AG664" s="0" t="n">
        <v>0</v>
      </c>
      <c r="AH664" s="254" t="e">
        <f aca="false">'Basis Options'!CD669</f>
        <v>#NAME?</v>
      </c>
      <c r="AI664" s="0" t="n">
        <v>226</v>
      </c>
      <c r="AJ664" s="0" t="s">
        <v>630</v>
      </c>
      <c r="AK664" s="0" t="n">
        <v>0</v>
      </c>
      <c r="AL664" s="0" t="n">
        <v>0</v>
      </c>
      <c r="AM664" s="0" t="n">
        <v>0</v>
      </c>
    </row>
    <row r="665" customFormat="false" ht="12.75" hidden="false" customHeight="false" outlineLevel="0" collapsed="false">
      <c r="A665" s="0" t="s">
        <v>621</v>
      </c>
      <c r="B665" s="0" t="str">
        <f aca="false">'Basis Options'!C669</f>
        <v>NU9027</v>
      </c>
      <c r="C665" s="0" t="s">
        <v>622</v>
      </c>
      <c r="D665" s="0" t="s">
        <v>623</v>
      </c>
      <c r="E665" s="0" t="s">
        <v>131</v>
      </c>
      <c r="F665" s="0" t="str">
        <f aca="false">'Basis Options'!A669</f>
        <v>RELIANTENESER</v>
      </c>
      <c r="G665" s="0" t="s">
        <v>628</v>
      </c>
      <c r="H665" s="0" t="s">
        <v>625</v>
      </c>
      <c r="I665" s="0" t="s">
        <v>626</v>
      </c>
      <c r="J665" s="0" t="s">
        <v>627</v>
      </c>
      <c r="K665" s="475" t="n">
        <f aca="false">'Basis Options'!G669</f>
        <v>36951</v>
      </c>
      <c r="L665" s="254" t="e">
        <f aca="false">'Basis Options'!U669</f>
        <v>#NAME?</v>
      </c>
      <c r="M665" s="475" t="n">
        <f aca="false">'Basis Options'!Q669</f>
        <v>36949</v>
      </c>
      <c r="N665" s="0" t="str">
        <f aca="false">'Basis Options'!F669</f>
        <v>C</v>
      </c>
      <c r="O665" s="0" t="n">
        <f aca="false">'Basis Options'!I669</f>
        <v>2.5</v>
      </c>
      <c r="P665" s="0" t="n">
        <v>0</v>
      </c>
      <c r="Q665" s="0" t="n">
        <v>0</v>
      </c>
      <c r="R665" s="0" t="n">
        <v>0</v>
      </c>
      <c r="S665" s="0" t="n">
        <v>0</v>
      </c>
      <c r="T665" s="0" t="s">
        <v>624</v>
      </c>
      <c r="U665" s="0" t="str">
        <f aca="false">IF('Basis Options'!D669="NGI/CHI. GATE","""NGI/CHI. GATE""",TRIM('Basis Options'!D669))</f>
        <v>IF-TRANSCO/Z6</v>
      </c>
      <c r="V665" s="0" t="s">
        <v>624</v>
      </c>
      <c r="W665" s="0" t="s">
        <v>569</v>
      </c>
      <c r="X665" s="0" t="s">
        <v>624</v>
      </c>
      <c r="Y665" s="0" t="s">
        <v>627</v>
      </c>
      <c r="Z665" s="0" t="s">
        <v>629</v>
      </c>
      <c r="AA665" s="0" t="s">
        <v>624</v>
      </c>
      <c r="AB665" s="0" t="s">
        <v>132</v>
      </c>
      <c r="AC665" s="254" t="n">
        <f aca="false">'Basis Options'!H669</f>
        <v>310000</v>
      </c>
      <c r="AD665" s="254" t="e">
        <f aca="false">'Basis Options'!W669</f>
        <v>#NAME?</v>
      </c>
      <c r="AE665" s="0" t="n">
        <v>0</v>
      </c>
      <c r="AF665" s="0" t="n">
        <v>0</v>
      </c>
      <c r="AG665" s="0" t="n">
        <v>0</v>
      </c>
      <c r="AH665" s="254" t="e">
        <f aca="false">'Basis Options'!CD670</f>
        <v>#NAME?</v>
      </c>
      <c r="AI665" s="0" t="n">
        <v>226</v>
      </c>
      <c r="AJ665" s="0" t="s">
        <v>630</v>
      </c>
      <c r="AK665" s="0" t="n">
        <v>0</v>
      </c>
      <c r="AL665" s="0" t="n">
        <v>0</v>
      </c>
      <c r="AM665" s="0" t="n">
        <v>0</v>
      </c>
    </row>
    <row r="666" customFormat="false" ht="12.75" hidden="false" customHeight="false" outlineLevel="0" collapsed="false">
      <c r="A666" s="0" t="s">
        <v>621</v>
      </c>
      <c r="B666" s="0" t="str">
        <f aca="false">'Basis Options'!C670</f>
        <v>NV0431</v>
      </c>
      <c r="C666" s="0" t="s">
        <v>622</v>
      </c>
      <c r="D666" s="0" t="s">
        <v>623</v>
      </c>
      <c r="E666" s="0" t="s">
        <v>131</v>
      </c>
      <c r="F666" s="0" t="str">
        <f aca="false">'Basis Options'!A670</f>
        <v>DYNEGYMARAND</v>
      </c>
      <c r="G666" s="0" t="s">
        <v>628</v>
      </c>
      <c r="H666" s="0" t="s">
        <v>625</v>
      </c>
      <c r="I666" s="0" t="s">
        <v>626</v>
      </c>
      <c r="J666" s="0" t="s">
        <v>627</v>
      </c>
      <c r="K666" s="475" t="n">
        <f aca="false">'Basis Options'!G670</f>
        <v>36982</v>
      </c>
      <c r="L666" s="254" t="e">
        <f aca="false">'Basis Options'!U670</f>
        <v>#NAME?</v>
      </c>
      <c r="M666" s="475" t="n">
        <f aca="false">'Basis Options'!Q670</f>
        <v>36979</v>
      </c>
      <c r="N666" s="0" t="str">
        <f aca="false">'Basis Options'!F670</f>
        <v>C</v>
      </c>
      <c r="O666" s="0" t="n">
        <f aca="false">'Basis Options'!I670</f>
        <v>0.5</v>
      </c>
      <c r="P666" s="0" t="n">
        <v>0</v>
      </c>
      <c r="Q666" s="0" t="n">
        <v>0</v>
      </c>
      <c r="R666" s="0" t="n">
        <v>0</v>
      </c>
      <c r="S666" s="0" t="n">
        <v>0</v>
      </c>
      <c r="T666" s="0" t="s">
        <v>624</v>
      </c>
      <c r="U666" s="0" t="str">
        <f aca="false">IF('Basis Options'!D670="NGI/CHI. GATE","""NGI/CHI. GATE""",TRIM('Basis Options'!D670))</f>
        <v>IF-TRANSCO/Z6</v>
      </c>
      <c r="V666" s="0" t="s">
        <v>624</v>
      </c>
      <c r="W666" s="0" t="s">
        <v>569</v>
      </c>
      <c r="X666" s="0" t="s">
        <v>624</v>
      </c>
      <c r="Y666" s="0" t="s">
        <v>627</v>
      </c>
      <c r="Z666" s="0" t="s">
        <v>629</v>
      </c>
      <c r="AA666" s="0" t="s">
        <v>624</v>
      </c>
      <c r="AB666" s="0" t="s">
        <v>132</v>
      </c>
      <c r="AC666" s="254" t="n">
        <f aca="false">'Basis Options'!H670</f>
        <v>500000</v>
      </c>
      <c r="AD666" s="254" t="e">
        <f aca="false">'Basis Options'!W670</f>
        <v>#NAME?</v>
      </c>
      <c r="AE666" s="0" t="n">
        <v>0</v>
      </c>
      <c r="AF666" s="0" t="n">
        <v>0</v>
      </c>
      <c r="AG666" s="0" t="n">
        <v>0</v>
      </c>
      <c r="AH666" s="254" t="e">
        <f aca="false">'Basis Options'!CD671</f>
        <v>#NAME?</v>
      </c>
      <c r="AI666" s="0" t="n">
        <v>226</v>
      </c>
      <c r="AJ666" s="0" t="s">
        <v>630</v>
      </c>
      <c r="AK666" s="0" t="n">
        <v>0</v>
      </c>
      <c r="AL666" s="0" t="n">
        <v>0</v>
      </c>
      <c r="AM666" s="0" t="n">
        <v>0</v>
      </c>
    </row>
    <row r="667" customFormat="false" ht="12.75" hidden="false" customHeight="false" outlineLevel="0" collapsed="false">
      <c r="A667" s="0" t="s">
        <v>621</v>
      </c>
      <c r="B667" s="0" t="str">
        <f aca="false">'Basis Options'!C671</f>
        <v>NV0431</v>
      </c>
      <c r="C667" s="0" t="s">
        <v>622</v>
      </c>
      <c r="D667" s="0" t="s">
        <v>623</v>
      </c>
      <c r="E667" s="0" t="s">
        <v>131</v>
      </c>
      <c r="F667" s="0" t="str">
        <f aca="false">'Basis Options'!A671</f>
        <v>DYNEGYMARAND</v>
      </c>
      <c r="G667" s="0" t="s">
        <v>628</v>
      </c>
      <c r="H667" s="0" t="s">
        <v>625</v>
      </c>
      <c r="I667" s="0" t="s">
        <v>626</v>
      </c>
      <c r="J667" s="0" t="s">
        <v>627</v>
      </c>
      <c r="K667" s="475" t="n">
        <f aca="false">'Basis Options'!G671</f>
        <v>37012</v>
      </c>
      <c r="L667" s="254" t="e">
        <f aca="false">'Basis Options'!U671</f>
        <v>#NAME?</v>
      </c>
      <c r="M667" s="475" t="n">
        <f aca="false">'Basis Options'!Q671</f>
        <v>37008</v>
      </c>
      <c r="N667" s="0" t="str">
        <f aca="false">'Basis Options'!F671</f>
        <v>C</v>
      </c>
      <c r="O667" s="0" t="n">
        <f aca="false">'Basis Options'!I671</f>
        <v>0.5</v>
      </c>
      <c r="P667" s="0" t="n">
        <v>0</v>
      </c>
      <c r="Q667" s="0" t="n">
        <v>0</v>
      </c>
      <c r="R667" s="0" t="n">
        <v>0</v>
      </c>
      <c r="S667" s="0" t="n">
        <v>0</v>
      </c>
      <c r="T667" s="0" t="s">
        <v>624</v>
      </c>
      <c r="U667" s="0" t="str">
        <f aca="false">IF('Basis Options'!D671="NGI/CHI. GATE","""NGI/CHI. GATE""",TRIM('Basis Options'!D671))</f>
        <v>IF-TRANSCO/Z6</v>
      </c>
      <c r="V667" s="0" t="s">
        <v>624</v>
      </c>
      <c r="W667" s="0" t="s">
        <v>569</v>
      </c>
      <c r="X667" s="0" t="s">
        <v>624</v>
      </c>
      <c r="Y667" s="0" t="s">
        <v>627</v>
      </c>
      <c r="Z667" s="0" t="s">
        <v>629</v>
      </c>
      <c r="AA667" s="0" t="s">
        <v>624</v>
      </c>
      <c r="AB667" s="0" t="s">
        <v>132</v>
      </c>
      <c r="AC667" s="254" t="n">
        <f aca="false">'Basis Options'!H671</f>
        <v>500000</v>
      </c>
      <c r="AD667" s="254" t="e">
        <f aca="false">'Basis Options'!W671</f>
        <v>#NAME?</v>
      </c>
      <c r="AE667" s="0" t="n">
        <v>0</v>
      </c>
      <c r="AF667" s="0" t="n">
        <v>0</v>
      </c>
      <c r="AG667" s="0" t="n">
        <v>0</v>
      </c>
      <c r="AH667" s="254" t="e">
        <f aca="false">'Basis Options'!CD672</f>
        <v>#NAME?</v>
      </c>
      <c r="AI667" s="0" t="n">
        <v>226</v>
      </c>
      <c r="AJ667" s="0" t="s">
        <v>630</v>
      </c>
      <c r="AK667" s="0" t="n">
        <v>0</v>
      </c>
      <c r="AL667" s="0" t="n">
        <v>0</v>
      </c>
      <c r="AM667" s="0" t="n">
        <v>0</v>
      </c>
    </row>
    <row r="668" customFormat="false" ht="12.75" hidden="false" customHeight="false" outlineLevel="0" collapsed="false">
      <c r="A668" s="0" t="s">
        <v>621</v>
      </c>
      <c r="B668" s="0" t="str">
        <f aca="false">'Basis Options'!C672</f>
        <v>NV0431</v>
      </c>
      <c r="C668" s="0" t="s">
        <v>622</v>
      </c>
      <c r="D668" s="0" t="s">
        <v>623</v>
      </c>
      <c r="E668" s="0" t="s">
        <v>131</v>
      </c>
      <c r="F668" s="0" t="str">
        <f aca="false">'Basis Options'!A672</f>
        <v>DYNEGYMARAND</v>
      </c>
      <c r="G668" s="0" t="s">
        <v>628</v>
      </c>
      <c r="H668" s="0" t="s">
        <v>625</v>
      </c>
      <c r="I668" s="0" t="s">
        <v>626</v>
      </c>
      <c r="J668" s="0" t="s">
        <v>627</v>
      </c>
      <c r="K668" s="475" t="n">
        <f aca="false">'Basis Options'!G672</f>
        <v>37043</v>
      </c>
      <c r="L668" s="254" t="e">
        <f aca="false">'Basis Options'!U672</f>
        <v>#NAME?</v>
      </c>
      <c r="M668" s="475" t="n">
        <f aca="false">'Basis Options'!Q672</f>
        <v>37041</v>
      </c>
      <c r="N668" s="0" t="str">
        <f aca="false">'Basis Options'!F672</f>
        <v>C</v>
      </c>
      <c r="O668" s="0" t="n">
        <f aca="false">'Basis Options'!I672</f>
        <v>0.5</v>
      </c>
      <c r="P668" s="0" t="n">
        <v>0</v>
      </c>
      <c r="Q668" s="0" t="n">
        <v>0</v>
      </c>
      <c r="R668" s="0" t="n">
        <v>0</v>
      </c>
      <c r="S668" s="0" t="n">
        <v>0</v>
      </c>
      <c r="T668" s="0" t="s">
        <v>624</v>
      </c>
      <c r="U668" s="0" t="str">
        <f aca="false">IF('Basis Options'!D672="NGI/CHI. GATE","""NGI/CHI. GATE""",TRIM('Basis Options'!D672))</f>
        <v>IF-TRANSCO/Z6</v>
      </c>
      <c r="V668" s="0" t="s">
        <v>624</v>
      </c>
      <c r="W668" s="0" t="s">
        <v>569</v>
      </c>
      <c r="X668" s="0" t="s">
        <v>624</v>
      </c>
      <c r="Y668" s="0" t="s">
        <v>627</v>
      </c>
      <c r="Z668" s="0" t="s">
        <v>629</v>
      </c>
      <c r="AA668" s="0" t="s">
        <v>624</v>
      </c>
      <c r="AB668" s="0" t="s">
        <v>132</v>
      </c>
      <c r="AC668" s="254" t="n">
        <f aca="false">'Basis Options'!H672</f>
        <v>500000</v>
      </c>
      <c r="AD668" s="254" t="e">
        <f aca="false">'Basis Options'!W672</f>
        <v>#NAME?</v>
      </c>
      <c r="AE668" s="0" t="n">
        <v>0</v>
      </c>
      <c r="AF668" s="0" t="n">
        <v>0</v>
      </c>
      <c r="AG668" s="0" t="n">
        <v>0</v>
      </c>
      <c r="AH668" s="254" t="e">
        <f aca="false">'Basis Options'!CD673</f>
        <v>#NAME?</v>
      </c>
      <c r="AI668" s="0" t="n">
        <v>226</v>
      </c>
      <c r="AJ668" s="0" t="s">
        <v>630</v>
      </c>
      <c r="AK668" s="0" t="n">
        <v>0</v>
      </c>
      <c r="AL668" s="0" t="n">
        <v>0</v>
      </c>
      <c r="AM668" s="0" t="n">
        <v>0</v>
      </c>
    </row>
    <row r="669" customFormat="false" ht="12.75" hidden="false" customHeight="false" outlineLevel="0" collapsed="false">
      <c r="A669" s="0" t="s">
        <v>621</v>
      </c>
      <c r="B669" s="0" t="str">
        <f aca="false">'Basis Options'!C673</f>
        <v>NV0431</v>
      </c>
      <c r="C669" s="0" t="s">
        <v>622</v>
      </c>
      <c r="D669" s="0" t="s">
        <v>623</v>
      </c>
      <c r="E669" s="0" t="s">
        <v>131</v>
      </c>
      <c r="F669" s="0" t="str">
        <f aca="false">'Basis Options'!A673</f>
        <v>DYNEGYMARAND</v>
      </c>
      <c r="G669" s="0" t="s">
        <v>628</v>
      </c>
      <c r="H669" s="0" t="s">
        <v>625</v>
      </c>
      <c r="I669" s="0" t="s">
        <v>626</v>
      </c>
      <c r="J669" s="0" t="s">
        <v>627</v>
      </c>
      <c r="K669" s="475" t="n">
        <f aca="false">'Basis Options'!G673</f>
        <v>37073</v>
      </c>
      <c r="L669" s="254" t="e">
        <f aca="false">'Basis Options'!U673</f>
        <v>#NAME?</v>
      </c>
      <c r="M669" s="475" t="n">
        <f aca="false">'Basis Options'!Q673</f>
        <v>37070</v>
      </c>
      <c r="N669" s="0" t="str">
        <f aca="false">'Basis Options'!F673</f>
        <v>C</v>
      </c>
      <c r="O669" s="0" t="n">
        <f aca="false">'Basis Options'!I673</f>
        <v>0.5</v>
      </c>
      <c r="P669" s="0" t="n">
        <v>0</v>
      </c>
      <c r="Q669" s="0" t="n">
        <v>0</v>
      </c>
      <c r="R669" s="0" t="n">
        <v>0</v>
      </c>
      <c r="S669" s="0" t="n">
        <v>0</v>
      </c>
      <c r="T669" s="0" t="s">
        <v>624</v>
      </c>
      <c r="U669" s="0" t="str">
        <f aca="false">IF('Basis Options'!D673="NGI/CHI. GATE","""NGI/CHI. GATE""",TRIM('Basis Options'!D673))</f>
        <v>IF-TRANSCO/Z6</v>
      </c>
      <c r="V669" s="0" t="s">
        <v>624</v>
      </c>
      <c r="W669" s="0" t="s">
        <v>569</v>
      </c>
      <c r="X669" s="0" t="s">
        <v>624</v>
      </c>
      <c r="Y669" s="0" t="s">
        <v>627</v>
      </c>
      <c r="Z669" s="0" t="s">
        <v>629</v>
      </c>
      <c r="AA669" s="0" t="s">
        <v>624</v>
      </c>
      <c r="AB669" s="0" t="s">
        <v>132</v>
      </c>
      <c r="AC669" s="254" t="n">
        <f aca="false">'Basis Options'!H673</f>
        <v>500000</v>
      </c>
      <c r="AD669" s="254" t="e">
        <f aca="false">'Basis Options'!W673</f>
        <v>#NAME?</v>
      </c>
      <c r="AE669" s="0" t="n">
        <v>0</v>
      </c>
      <c r="AF669" s="0" t="n">
        <v>0</v>
      </c>
      <c r="AG669" s="0" t="n">
        <v>0</v>
      </c>
      <c r="AH669" s="254" t="e">
        <f aca="false">'Basis Options'!CD674</f>
        <v>#NAME?</v>
      </c>
      <c r="AI669" s="0" t="n">
        <v>226</v>
      </c>
      <c r="AJ669" s="0" t="s">
        <v>630</v>
      </c>
      <c r="AK669" s="0" t="n">
        <v>0</v>
      </c>
      <c r="AL669" s="0" t="n">
        <v>0</v>
      </c>
      <c r="AM669" s="0" t="n">
        <v>0</v>
      </c>
    </row>
    <row r="670" customFormat="false" ht="12.75" hidden="false" customHeight="false" outlineLevel="0" collapsed="false">
      <c r="A670" s="0" t="s">
        <v>621</v>
      </c>
      <c r="B670" s="0" t="str">
        <f aca="false">'Basis Options'!C674</f>
        <v>NV0431</v>
      </c>
      <c r="C670" s="0" t="s">
        <v>622</v>
      </c>
      <c r="D670" s="0" t="s">
        <v>623</v>
      </c>
      <c r="E670" s="0" t="s">
        <v>131</v>
      </c>
      <c r="F670" s="0" t="str">
        <f aca="false">'Basis Options'!A674</f>
        <v>DYNEGYMARAND</v>
      </c>
      <c r="G670" s="0" t="s">
        <v>628</v>
      </c>
      <c r="H670" s="0" t="s">
        <v>625</v>
      </c>
      <c r="I670" s="0" t="s">
        <v>626</v>
      </c>
      <c r="J670" s="0" t="s">
        <v>627</v>
      </c>
      <c r="K670" s="475" t="n">
        <f aca="false">'Basis Options'!G674</f>
        <v>37104</v>
      </c>
      <c r="L670" s="254" t="e">
        <f aca="false">'Basis Options'!U674</f>
        <v>#NAME?</v>
      </c>
      <c r="M670" s="475" t="n">
        <f aca="false">'Basis Options'!Q674</f>
        <v>37102</v>
      </c>
      <c r="N670" s="0" t="str">
        <f aca="false">'Basis Options'!F674</f>
        <v>C</v>
      </c>
      <c r="O670" s="0" t="n">
        <f aca="false">'Basis Options'!I674</f>
        <v>0.5</v>
      </c>
      <c r="P670" s="0" t="n">
        <v>0</v>
      </c>
      <c r="Q670" s="0" t="n">
        <v>0</v>
      </c>
      <c r="R670" s="0" t="n">
        <v>0</v>
      </c>
      <c r="S670" s="0" t="n">
        <v>0</v>
      </c>
      <c r="T670" s="0" t="s">
        <v>624</v>
      </c>
      <c r="U670" s="0" t="str">
        <f aca="false">IF('Basis Options'!D674="NGI/CHI. GATE","""NGI/CHI. GATE""",TRIM('Basis Options'!D674))</f>
        <v>IF-TRANSCO/Z6</v>
      </c>
      <c r="V670" s="0" t="s">
        <v>624</v>
      </c>
      <c r="W670" s="0" t="s">
        <v>569</v>
      </c>
      <c r="X670" s="0" t="s">
        <v>624</v>
      </c>
      <c r="Y670" s="0" t="s">
        <v>627</v>
      </c>
      <c r="Z670" s="0" t="s">
        <v>629</v>
      </c>
      <c r="AA670" s="0" t="s">
        <v>624</v>
      </c>
      <c r="AB670" s="0" t="s">
        <v>132</v>
      </c>
      <c r="AC670" s="254" t="n">
        <f aca="false">'Basis Options'!H674</f>
        <v>500000</v>
      </c>
      <c r="AD670" s="254" t="e">
        <f aca="false">'Basis Options'!W674</f>
        <v>#NAME?</v>
      </c>
      <c r="AE670" s="0" t="n">
        <v>0</v>
      </c>
      <c r="AF670" s="0" t="n">
        <v>0</v>
      </c>
      <c r="AG670" s="0" t="n">
        <v>0</v>
      </c>
      <c r="AH670" s="254" t="e">
        <f aca="false">'Basis Options'!CD675</f>
        <v>#NAME?</v>
      </c>
      <c r="AI670" s="0" t="n">
        <v>226</v>
      </c>
      <c r="AJ670" s="0" t="s">
        <v>630</v>
      </c>
      <c r="AK670" s="0" t="n">
        <v>0</v>
      </c>
      <c r="AL670" s="0" t="n">
        <v>0</v>
      </c>
      <c r="AM670" s="0" t="n">
        <v>0</v>
      </c>
    </row>
    <row r="671" customFormat="false" ht="12.75" hidden="false" customHeight="false" outlineLevel="0" collapsed="false">
      <c r="A671" s="0" t="s">
        <v>621</v>
      </c>
      <c r="B671" s="0" t="str">
        <f aca="false">'Basis Options'!C675</f>
        <v>NV0431</v>
      </c>
      <c r="C671" s="0" t="s">
        <v>622</v>
      </c>
      <c r="D671" s="0" t="s">
        <v>623</v>
      </c>
      <c r="E671" s="0" t="s">
        <v>131</v>
      </c>
      <c r="F671" s="0" t="str">
        <f aca="false">'Basis Options'!A675</f>
        <v>DYNEGYMARAND</v>
      </c>
      <c r="G671" s="0" t="s">
        <v>628</v>
      </c>
      <c r="H671" s="0" t="s">
        <v>625</v>
      </c>
      <c r="I671" s="0" t="s">
        <v>626</v>
      </c>
      <c r="J671" s="0" t="s">
        <v>627</v>
      </c>
      <c r="K671" s="475" t="n">
        <f aca="false">'Basis Options'!G675</f>
        <v>37135</v>
      </c>
      <c r="L671" s="254" t="e">
        <f aca="false">'Basis Options'!U675</f>
        <v>#NAME?</v>
      </c>
      <c r="M671" s="475" t="n">
        <f aca="false">'Basis Options'!Q675</f>
        <v>37133</v>
      </c>
      <c r="N671" s="0" t="str">
        <f aca="false">'Basis Options'!F675</f>
        <v>C</v>
      </c>
      <c r="O671" s="0" t="n">
        <f aca="false">'Basis Options'!I675</f>
        <v>0.5</v>
      </c>
      <c r="P671" s="0" t="n">
        <v>0</v>
      </c>
      <c r="Q671" s="0" t="n">
        <v>0</v>
      </c>
      <c r="R671" s="0" t="n">
        <v>0</v>
      </c>
      <c r="S671" s="0" t="n">
        <v>0</v>
      </c>
      <c r="T671" s="0" t="s">
        <v>624</v>
      </c>
      <c r="U671" s="0" t="str">
        <f aca="false">IF('Basis Options'!D675="NGI/CHI. GATE","""NGI/CHI. GATE""",TRIM('Basis Options'!D675))</f>
        <v>IF-TRANSCO/Z6</v>
      </c>
      <c r="V671" s="0" t="s">
        <v>624</v>
      </c>
      <c r="W671" s="0" t="s">
        <v>569</v>
      </c>
      <c r="X671" s="0" t="s">
        <v>624</v>
      </c>
      <c r="Y671" s="0" t="s">
        <v>627</v>
      </c>
      <c r="Z671" s="0" t="s">
        <v>629</v>
      </c>
      <c r="AA671" s="0" t="s">
        <v>624</v>
      </c>
      <c r="AB671" s="0" t="s">
        <v>132</v>
      </c>
      <c r="AC671" s="254" t="n">
        <f aca="false">'Basis Options'!H675</f>
        <v>500000</v>
      </c>
      <c r="AD671" s="254" t="e">
        <f aca="false">'Basis Options'!W675</f>
        <v>#NAME?</v>
      </c>
      <c r="AE671" s="0" t="n">
        <v>0</v>
      </c>
      <c r="AF671" s="0" t="n">
        <v>0</v>
      </c>
      <c r="AG671" s="0" t="n">
        <v>0</v>
      </c>
      <c r="AH671" s="254" t="e">
        <f aca="false">'Basis Options'!CD676</f>
        <v>#NAME?</v>
      </c>
      <c r="AI671" s="0" t="n">
        <v>226</v>
      </c>
      <c r="AJ671" s="0" t="s">
        <v>630</v>
      </c>
      <c r="AK671" s="0" t="n">
        <v>0</v>
      </c>
      <c r="AL671" s="0" t="n">
        <v>0</v>
      </c>
      <c r="AM671" s="0" t="n">
        <v>0</v>
      </c>
    </row>
    <row r="672" customFormat="false" ht="12.75" hidden="false" customHeight="false" outlineLevel="0" collapsed="false">
      <c r="A672" s="0" t="s">
        <v>621</v>
      </c>
      <c r="B672" s="0" t="str">
        <f aca="false">'Basis Options'!C676</f>
        <v>NV0431</v>
      </c>
      <c r="C672" s="0" t="s">
        <v>622</v>
      </c>
      <c r="D672" s="0" t="s">
        <v>623</v>
      </c>
      <c r="E672" s="0" t="s">
        <v>131</v>
      </c>
      <c r="F672" s="0" t="str">
        <f aca="false">'Basis Options'!A676</f>
        <v>DYNEGYMARAND</v>
      </c>
      <c r="G672" s="0" t="s">
        <v>628</v>
      </c>
      <c r="H672" s="0" t="s">
        <v>625</v>
      </c>
      <c r="I672" s="0" t="s">
        <v>626</v>
      </c>
      <c r="J672" s="0" t="s">
        <v>627</v>
      </c>
      <c r="K672" s="475" t="n">
        <f aca="false">'Basis Options'!G676</f>
        <v>37165</v>
      </c>
      <c r="L672" s="254" t="e">
        <f aca="false">'Basis Options'!U676</f>
        <v>#NAME?</v>
      </c>
      <c r="M672" s="475" t="n">
        <f aca="false">'Basis Options'!Q676</f>
        <v>37161</v>
      </c>
      <c r="N672" s="0" t="str">
        <f aca="false">'Basis Options'!F676</f>
        <v>C</v>
      </c>
      <c r="O672" s="0" t="n">
        <f aca="false">'Basis Options'!I676</f>
        <v>0.5</v>
      </c>
      <c r="P672" s="0" t="n">
        <v>0</v>
      </c>
      <c r="Q672" s="0" t="n">
        <v>0</v>
      </c>
      <c r="R672" s="0" t="n">
        <v>0</v>
      </c>
      <c r="S672" s="0" t="n">
        <v>0</v>
      </c>
      <c r="T672" s="0" t="s">
        <v>624</v>
      </c>
      <c r="U672" s="0" t="str">
        <f aca="false">IF('Basis Options'!D676="NGI/CHI. GATE","""NGI/CHI. GATE""",TRIM('Basis Options'!D676))</f>
        <v>IF-TRANSCO/Z6</v>
      </c>
      <c r="V672" s="0" t="s">
        <v>624</v>
      </c>
      <c r="W672" s="0" t="s">
        <v>569</v>
      </c>
      <c r="X672" s="0" t="s">
        <v>624</v>
      </c>
      <c r="Y672" s="0" t="s">
        <v>627</v>
      </c>
      <c r="Z672" s="0" t="s">
        <v>629</v>
      </c>
      <c r="AA672" s="0" t="s">
        <v>624</v>
      </c>
      <c r="AB672" s="0" t="s">
        <v>132</v>
      </c>
      <c r="AC672" s="254" t="n">
        <f aca="false">'Basis Options'!H676</f>
        <v>500000</v>
      </c>
      <c r="AD672" s="254" t="e">
        <f aca="false">'Basis Options'!W676</f>
        <v>#NAME?</v>
      </c>
      <c r="AE672" s="0" t="n">
        <v>0</v>
      </c>
      <c r="AF672" s="0" t="n">
        <v>0</v>
      </c>
      <c r="AG672" s="0" t="n">
        <v>0</v>
      </c>
      <c r="AH672" s="254" t="e">
        <f aca="false">'Basis Options'!CD677</f>
        <v>#NAME?</v>
      </c>
      <c r="AI672" s="0" t="n">
        <v>226</v>
      </c>
      <c r="AJ672" s="0" t="s">
        <v>630</v>
      </c>
      <c r="AK672" s="0" t="n">
        <v>0</v>
      </c>
      <c r="AL672" s="0" t="n">
        <v>0</v>
      </c>
      <c r="AM672" s="0" t="n">
        <v>0</v>
      </c>
    </row>
    <row r="673" customFormat="false" ht="12.75" hidden="false" customHeight="false" outlineLevel="0" collapsed="false">
      <c r="A673" s="0" t="s">
        <v>621</v>
      </c>
      <c r="B673" s="0" t="str">
        <f aca="false">'Basis Options'!C677</f>
        <v>NV0442</v>
      </c>
      <c r="C673" s="0" t="s">
        <v>622</v>
      </c>
      <c r="D673" s="0" t="s">
        <v>623</v>
      </c>
      <c r="E673" s="0" t="s">
        <v>131</v>
      </c>
      <c r="F673" s="0" t="str">
        <f aca="false">'Basis Options'!A677</f>
        <v>DYNEGYMARAND</v>
      </c>
      <c r="G673" s="0" t="s">
        <v>628</v>
      </c>
      <c r="H673" s="0" t="s">
        <v>625</v>
      </c>
      <c r="I673" s="0" t="s">
        <v>626</v>
      </c>
      <c r="J673" s="0" t="s">
        <v>627</v>
      </c>
      <c r="K673" s="475" t="n">
        <f aca="false">'Basis Options'!G677</f>
        <v>36982</v>
      </c>
      <c r="L673" s="254" t="e">
        <f aca="false">'Basis Options'!U677</f>
        <v>#NAME?</v>
      </c>
      <c r="M673" s="475" t="n">
        <f aca="false">'Basis Options'!Q677</f>
        <v>36979</v>
      </c>
      <c r="N673" s="0" t="str">
        <f aca="false">'Basis Options'!F677</f>
        <v>P</v>
      </c>
      <c r="O673" s="0" t="n">
        <f aca="false">'Basis Options'!I677</f>
        <v>0.3</v>
      </c>
      <c r="P673" s="0" t="n">
        <v>0</v>
      </c>
      <c r="Q673" s="0" t="n">
        <v>0</v>
      </c>
      <c r="R673" s="0" t="n">
        <v>0</v>
      </c>
      <c r="S673" s="0" t="n">
        <v>0</v>
      </c>
      <c r="T673" s="0" t="s">
        <v>624</v>
      </c>
      <c r="U673" s="0" t="str">
        <f aca="false">IF('Basis Options'!D677="NGI/CHI. GATE","""NGI/CHI. GATE""",TRIM('Basis Options'!D677))</f>
        <v>IF-TRANSCO/Z6</v>
      </c>
      <c r="V673" s="0" t="s">
        <v>624</v>
      </c>
      <c r="W673" s="0" t="s">
        <v>569</v>
      </c>
      <c r="X673" s="0" t="s">
        <v>624</v>
      </c>
      <c r="Y673" s="0" t="s">
        <v>627</v>
      </c>
      <c r="Z673" s="0" t="s">
        <v>629</v>
      </c>
      <c r="AA673" s="0" t="s">
        <v>624</v>
      </c>
      <c r="AB673" s="0" t="s">
        <v>132</v>
      </c>
      <c r="AC673" s="254" t="n">
        <f aca="false">'Basis Options'!H677</f>
        <v>1000000</v>
      </c>
      <c r="AD673" s="254" t="e">
        <f aca="false">'Basis Options'!W677</f>
        <v>#NAME?</v>
      </c>
      <c r="AE673" s="0" t="n">
        <v>0</v>
      </c>
      <c r="AF673" s="0" t="n">
        <v>0</v>
      </c>
      <c r="AG673" s="0" t="n">
        <v>0</v>
      </c>
      <c r="AH673" s="254" t="e">
        <f aca="false">'Basis Options'!CD678</f>
        <v>#NAME?</v>
      </c>
      <c r="AI673" s="0" t="n">
        <v>226</v>
      </c>
      <c r="AJ673" s="0" t="s">
        <v>630</v>
      </c>
      <c r="AK673" s="0" t="n">
        <v>0</v>
      </c>
      <c r="AL673" s="0" t="n">
        <v>0</v>
      </c>
      <c r="AM673" s="0" t="n">
        <v>0</v>
      </c>
    </row>
    <row r="674" customFormat="false" ht="12.75" hidden="false" customHeight="false" outlineLevel="0" collapsed="false">
      <c r="A674" s="0" t="s">
        <v>621</v>
      </c>
      <c r="B674" s="0" t="str">
        <f aca="false">'Basis Options'!C678</f>
        <v>NV0442</v>
      </c>
      <c r="C674" s="0" t="s">
        <v>622</v>
      </c>
      <c r="D674" s="0" t="s">
        <v>623</v>
      </c>
      <c r="E674" s="0" t="s">
        <v>131</v>
      </c>
      <c r="F674" s="0" t="str">
        <f aca="false">'Basis Options'!A678</f>
        <v>DYNEGYMARAND</v>
      </c>
      <c r="G674" s="0" t="s">
        <v>628</v>
      </c>
      <c r="H674" s="0" t="s">
        <v>625</v>
      </c>
      <c r="I674" s="0" t="s">
        <v>626</v>
      </c>
      <c r="J674" s="0" t="s">
        <v>627</v>
      </c>
      <c r="K674" s="475" t="n">
        <f aca="false">'Basis Options'!G678</f>
        <v>37012</v>
      </c>
      <c r="L674" s="254" t="e">
        <f aca="false">'Basis Options'!U678</f>
        <v>#NAME?</v>
      </c>
      <c r="M674" s="475" t="n">
        <f aca="false">'Basis Options'!Q678</f>
        <v>37008</v>
      </c>
      <c r="N674" s="0" t="str">
        <f aca="false">'Basis Options'!F678</f>
        <v>P</v>
      </c>
      <c r="O674" s="0" t="n">
        <f aca="false">'Basis Options'!I678</f>
        <v>0.3</v>
      </c>
      <c r="P674" s="0" t="n">
        <v>0</v>
      </c>
      <c r="Q674" s="0" t="n">
        <v>0</v>
      </c>
      <c r="R674" s="0" t="n">
        <v>0</v>
      </c>
      <c r="S674" s="0" t="n">
        <v>0</v>
      </c>
      <c r="T674" s="0" t="s">
        <v>624</v>
      </c>
      <c r="U674" s="0" t="str">
        <f aca="false">IF('Basis Options'!D678="NGI/CHI. GATE","""NGI/CHI. GATE""",TRIM('Basis Options'!D678))</f>
        <v>IF-TRANSCO/Z6</v>
      </c>
      <c r="V674" s="0" t="s">
        <v>624</v>
      </c>
      <c r="W674" s="0" t="s">
        <v>569</v>
      </c>
      <c r="X674" s="0" t="s">
        <v>624</v>
      </c>
      <c r="Y674" s="0" t="s">
        <v>627</v>
      </c>
      <c r="Z674" s="0" t="s">
        <v>629</v>
      </c>
      <c r="AA674" s="0" t="s">
        <v>624</v>
      </c>
      <c r="AB674" s="0" t="s">
        <v>132</v>
      </c>
      <c r="AC674" s="254" t="n">
        <f aca="false">'Basis Options'!H678</f>
        <v>1000000</v>
      </c>
      <c r="AD674" s="254" t="e">
        <f aca="false">'Basis Options'!W678</f>
        <v>#NAME?</v>
      </c>
      <c r="AE674" s="0" t="n">
        <v>0</v>
      </c>
      <c r="AF674" s="0" t="n">
        <v>0</v>
      </c>
      <c r="AG674" s="0" t="n">
        <v>0</v>
      </c>
      <c r="AH674" s="254" t="e">
        <f aca="false">'Basis Options'!CD679</f>
        <v>#NAME?</v>
      </c>
      <c r="AI674" s="0" t="n">
        <v>226</v>
      </c>
      <c r="AJ674" s="0" t="s">
        <v>630</v>
      </c>
      <c r="AK674" s="0" t="n">
        <v>0</v>
      </c>
      <c r="AL674" s="0" t="n">
        <v>0</v>
      </c>
      <c r="AM674" s="0" t="n">
        <v>0</v>
      </c>
    </row>
    <row r="675" customFormat="false" ht="12.75" hidden="false" customHeight="false" outlineLevel="0" collapsed="false">
      <c r="A675" s="0" t="s">
        <v>621</v>
      </c>
      <c r="B675" s="0" t="str">
        <f aca="false">'Basis Options'!C679</f>
        <v>NV0442</v>
      </c>
      <c r="C675" s="0" t="s">
        <v>622</v>
      </c>
      <c r="D675" s="0" t="s">
        <v>623</v>
      </c>
      <c r="E675" s="0" t="s">
        <v>131</v>
      </c>
      <c r="F675" s="0" t="str">
        <f aca="false">'Basis Options'!A679</f>
        <v>DYNEGYMARAND</v>
      </c>
      <c r="G675" s="0" t="s">
        <v>628</v>
      </c>
      <c r="H675" s="0" t="s">
        <v>625</v>
      </c>
      <c r="I675" s="0" t="s">
        <v>626</v>
      </c>
      <c r="J675" s="0" t="s">
        <v>627</v>
      </c>
      <c r="K675" s="475" t="n">
        <f aca="false">'Basis Options'!G679</f>
        <v>37043</v>
      </c>
      <c r="L675" s="254" t="e">
        <f aca="false">'Basis Options'!U679</f>
        <v>#NAME?</v>
      </c>
      <c r="M675" s="475" t="n">
        <f aca="false">'Basis Options'!Q679</f>
        <v>37041</v>
      </c>
      <c r="N675" s="0" t="str">
        <f aca="false">'Basis Options'!F679</f>
        <v>P</v>
      </c>
      <c r="O675" s="0" t="n">
        <f aca="false">'Basis Options'!I679</f>
        <v>0.3</v>
      </c>
      <c r="P675" s="0" t="n">
        <v>0</v>
      </c>
      <c r="Q675" s="0" t="n">
        <v>0</v>
      </c>
      <c r="R675" s="0" t="n">
        <v>0</v>
      </c>
      <c r="S675" s="0" t="n">
        <v>0</v>
      </c>
      <c r="T675" s="0" t="s">
        <v>624</v>
      </c>
      <c r="U675" s="0" t="str">
        <f aca="false">IF('Basis Options'!D679="NGI/CHI. GATE","""NGI/CHI. GATE""",TRIM('Basis Options'!D679))</f>
        <v>IF-TRANSCO/Z6</v>
      </c>
      <c r="V675" s="0" t="s">
        <v>624</v>
      </c>
      <c r="W675" s="0" t="s">
        <v>569</v>
      </c>
      <c r="X675" s="0" t="s">
        <v>624</v>
      </c>
      <c r="Y675" s="0" t="s">
        <v>627</v>
      </c>
      <c r="Z675" s="0" t="s">
        <v>629</v>
      </c>
      <c r="AA675" s="0" t="s">
        <v>624</v>
      </c>
      <c r="AB675" s="0" t="s">
        <v>132</v>
      </c>
      <c r="AC675" s="254" t="n">
        <f aca="false">'Basis Options'!H679</f>
        <v>1000000</v>
      </c>
      <c r="AD675" s="254" t="e">
        <f aca="false">'Basis Options'!W679</f>
        <v>#NAME?</v>
      </c>
      <c r="AE675" s="0" t="n">
        <v>0</v>
      </c>
      <c r="AF675" s="0" t="n">
        <v>0</v>
      </c>
      <c r="AG675" s="0" t="n">
        <v>0</v>
      </c>
      <c r="AH675" s="254" t="e">
        <f aca="false">'Basis Options'!CD680</f>
        <v>#NAME?</v>
      </c>
      <c r="AI675" s="0" t="n">
        <v>226</v>
      </c>
      <c r="AJ675" s="0" t="s">
        <v>630</v>
      </c>
      <c r="AK675" s="0" t="n">
        <v>0</v>
      </c>
      <c r="AL675" s="0" t="n">
        <v>0</v>
      </c>
      <c r="AM675" s="0" t="n">
        <v>0</v>
      </c>
    </row>
    <row r="676" customFormat="false" ht="12.75" hidden="false" customHeight="false" outlineLevel="0" collapsed="false">
      <c r="A676" s="0" t="s">
        <v>621</v>
      </c>
      <c r="B676" s="0" t="str">
        <f aca="false">'Basis Options'!C680</f>
        <v>NV0442</v>
      </c>
      <c r="C676" s="0" t="s">
        <v>622</v>
      </c>
      <c r="D676" s="0" t="s">
        <v>623</v>
      </c>
      <c r="E676" s="0" t="s">
        <v>131</v>
      </c>
      <c r="F676" s="0" t="str">
        <f aca="false">'Basis Options'!A680</f>
        <v>DYNEGYMARAND</v>
      </c>
      <c r="G676" s="0" t="s">
        <v>628</v>
      </c>
      <c r="H676" s="0" t="s">
        <v>625</v>
      </c>
      <c r="I676" s="0" t="s">
        <v>626</v>
      </c>
      <c r="J676" s="0" t="s">
        <v>627</v>
      </c>
      <c r="K676" s="475" t="n">
        <f aca="false">'Basis Options'!G680</f>
        <v>37073</v>
      </c>
      <c r="L676" s="254" t="e">
        <f aca="false">'Basis Options'!U680</f>
        <v>#NAME?</v>
      </c>
      <c r="M676" s="475" t="n">
        <f aca="false">'Basis Options'!Q680</f>
        <v>37070</v>
      </c>
      <c r="N676" s="0" t="str">
        <f aca="false">'Basis Options'!F680</f>
        <v>P</v>
      </c>
      <c r="O676" s="0" t="n">
        <f aca="false">'Basis Options'!I680</f>
        <v>0.3</v>
      </c>
      <c r="P676" s="0" t="n">
        <v>0</v>
      </c>
      <c r="Q676" s="0" t="n">
        <v>0</v>
      </c>
      <c r="R676" s="0" t="n">
        <v>0</v>
      </c>
      <c r="S676" s="0" t="n">
        <v>0</v>
      </c>
      <c r="T676" s="0" t="s">
        <v>624</v>
      </c>
      <c r="U676" s="0" t="str">
        <f aca="false">IF('Basis Options'!D680="NGI/CHI. GATE","""NGI/CHI. GATE""",TRIM('Basis Options'!D680))</f>
        <v>IF-TRANSCO/Z6</v>
      </c>
      <c r="V676" s="0" t="s">
        <v>624</v>
      </c>
      <c r="W676" s="0" t="s">
        <v>569</v>
      </c>
      <c r="X676" s="0" t="s">
        <v>624</v>
      </c>
      <c r="Y676" s="0" t="s">
        <v>627</v>
      </c>
      <c r="Z676" s="0" t="s">
        <v>629</v>
      </c>
      <c r="AA676" s="0" t="s">
        <v>624</v>
      </c>
      <c r="AB676" s="0" t="s">
        <v>132</v>
      </c>
      <c r="AC676" s="254" t="n">
        <f aca="false">'Basis Options'!H680</f>
        <v>1000000</v>
      </c>
      <c r="AD676" s="254" t="e">
        <f aca="false">'Basis Options'!W680</f>
        <v>#NAME?</v>
      </c>
      <c r="AE676" s="0" t="n">
        <v>0</v>
      </c>
      <c r="AF676" s="0" t="n">
        <v>0</v>
      </c>
      <c r="AG676" s="0" t="n">
        <v>0</v>
      </c>
      <c r="AH676" s="254" t="e">
        <f aca="false">'Basis Options'!CD681</f>
        <v>#NAME?</v>
      </c>
      <c r="AI676" s="0" t="n">
        <v>226</v>
      </c>
      <c r="AJ676" s="0" t="s">
        <v>630</v>
      </c>
      <c r="AK676" s="0" t="n">
        <v>0</v>
      </c>
      <c r="AL676" s="0" t="n">
        <v>0</v>
      </c>
      <c r="AM676" s="0" t="n">
        <v>0</v>
      </c>
    </row>
    <row r="677" customFormat="false" ht="12.75" hidden="false" customHeight="false" outlineLevel="0" collapsed="false">
      <c r="A677" s="0" t="s">
        <v>621</v>
      </c>
      <c r="B677" s="0" t="str">
        <f aca="false">'Basis Options'!C681</f>
        <v>NV0442</v>
      </c>
      <c r="C677" s="0" t="s">
        <v>622</v>
      </c>
      <c r="D677" s="0" t="s">
        <v>623</v>
      </c>
      <c r="E677" s="0" t="s">
        <v>131</v>
      </c>
      <c r="F677" s="0" t="str">
        <f aca="false">'Basis Options'!A681</f>
        <v>DYNEGYMARAND</v>
      </c>
      <c r="G677" s="0" t="s">
        <v>628</v>
      </c>
      <c r="H677" s="0" t="s">
        <v>625</v>
      </c>
      <c r="I677" s="0" t="s">
        <v>626</v>
      </c>
      <c r="J677" s="0" t="s">
        <v>627</v>
      </c>
      <c r="K677" s="475" t="n">
        <f aca="false">'Basis Options'!G681</f>
        <v>37104</v>
      </c>
      <c r="L677" s="254" t="e">
        <f aca="false">'Basis Options'!U681</f>
        <v>#NAME?</v>
      </c>
      <c r="M677" s="475" t="n">
        <f aca="false">'Basis Options'!Q681</f>
        <v>37102</v>
      </c>
      <c r="N677" s="0" t="str">
        <f aca="false">'Basis Options'!F681</f>
        <v>P</v>
      </c>
      <c r="O677" s="0" t="n">
        <f aca="false">'Basis Options'!I681</f>
        <v>0.3</v>
      </c>
      <c r="P677" s="0" t="n">
        <v>0</v>
      </c>
      <c r="Q677" s="0" t="n">
        <v>0</v>
      </c>
      <c r="R677" s="0" t="n">
        <v>0</v>
      </c>
      <c r="S677" s="0" t="n">
        <v>0</v>
      </c>
      <c r="T677" s="0" t="s">
        <v>624</v>
      </c>
      <c r="U677" s="0" t="str">
        <f aca="false">IF('Basis Options'!D681="NGI/CHI. GATE","""NGI/CHI. GATE""",TRIM('Basis Options'!D681))</f>
        <v>IF-TRANSCO/Z6</v>
      </c>
      <c r="V677" s="0" t="s">
        <v>624</v>
      </c>
      <c r="W677" s="0" t="s">
        <v>569</v>
      </c>
      <c r="X677" s="0" t="s">
        <v>624</v>
      </c>
      <c r="Y677" s="0" t="s">
        <v>627</v>
      </c>
      <c r="Z677" s="0" t="s">
        <v>629</v>
      </c>
      <c r="AA677" s="0" t="s">
        <v>624</v>
      </c>
      <c r="AB677" s="0" t="s">
        <v>132</v>
      </c>
      <c r="AC677" s="254" t="n">
        <f aca="false">'Basis Options'!H681</f>
        <v>1000000</v>
      </c>
      <c r="AD677" s="254" t="e">
        <f aca="false">'Basis Options'!W681</f>
        <v>#NAME?</v>
      </c>
      <c r="AE677" s="0" t="n">
        <v>0</v>
      </c>
      <c r="AF677" s="0" t="n">
        <v>0</v>
      </c>
      <c r="AG677" s="0" t="n">
        <v>0</v>
      </c>
      <c r="AH677" s="254" t="e">
        <f aca="false">'Basis Options'!CD682</f>
        <v>#NAME?</v>
      </c>
      <c r="AI677" s="0" t="n">
        <v>226</v>
      </c>
      <c r="AJ677" s="0" t="s">
        <v>630</v>
      </c>
      <c r="AK677" s="0" t="n">
        <v>0</v>
      </c>
      <c r="AL677" s="0" t="n">
        <v>0</v>
      </c>
      <c r="AM677" s="0" t="n">
        <v>0</v>
      </c>
    </row>
    <row r="678" customFormat="false" ht="12.75" hidden="false" customHeight="false" outlineLevel="0" collapsed="false">
      <c r="A678" s="0" t="s">
        <v>621</v>
      </c>
      <c r="B678" s="0" t="str">
        <f aca="false">'Basis Options'!C682</f>
        <v>NV0442</v>
      </c>
      <c r="C678" s="0" t="s">
        <v>622</v>
      </c>
      <c r="D678" s="0" t="s">
        <v>623</v>
      </c>
      <c r="E678" s="0" t="s">
        <v>131</v>
      </c>
      <c r="F678" s="0" t="str">
        <f aca="false">'Basis Options'!A682</f>
        <v>DYNEGYMARAND</v>
      </c>
      <c r="G678" s="0" t="s">
        <v>628</v>
      </c>
      <c r="H678" s="0" t="s">
        <v>625</v>
      </c>
      <c r="I678" s="0" t="s">
        <v>626</v>
      </c>
      <c r="J678" s="0" t="s">
        <v>627</v>
      </c>
      <c r="K678" s="475" t="n">
        <f aca="false">'Basis Options'!G682</f>
        <v>37135</v>
      </c>
      <c r="L678" s="254" t="e">
        <f aca="false">'Basis Options'!U682</f>
        <v>#NAME?</v>
      </c>
      <c r="M678" s="475" t="n">
        <f aca="false">'Basis Options'!Q682</f>
        <v>37133</v>
      </c>
      <c r="N678" s="0" t="str">
        <f aca="false">'Basis Options'!F682</f>
        <v>P</v>
      </c>
      <c r="O678" s="0" t="n">
        <f aca="false">'Basis Options'!I682</f>
        <v>0.3</v>
      </c>
      <c r="P678" s="0" t="n">
        <v>0</v>
      </c>
      <c r="Q678" s="0" t="n">
        <v>0</v>
      </c>
      <c r="R678" s="0" t="n">
        <v>0</v>
      </c>
      <c r="S678" s="0" t="n">
        <v>0</v>
      </c>
      <c r="T678" s="0" t="s">
        <v>624</v>
      </c>
      <c r="U678" s="0" t="str">
        <f aca="false">IF('Basis Options'!D682="NGI/CHI. GATE","""NGI/CHI. GATE""",TRIM('Basis Options'!D682))</f>
        <v>IF-TRANSCO/Z6</v>
      </c>
      <c r="V678" s="0" t="s">
        <v>624</v>
      </c>
      <c r="W678" s="0" t="s">
        <v>569</v>
      </c>
      <c r="X678" s="0" t="s">
        <v>624</v>
      </c>
      <c r="Y678" s="0" t="s">
        <v>627</v>
      </c>
      <c r="Z678" s="0" t="s">
        <v>629</v>
      </c>
      <c r="AA678" s="0" t="s">
        <v>624</v>
      </c>
      <c r="AB678" s="0" t="s">
        <v>132</v>
      </c>
      <c r="AC678" s="254" t="n">
        <f aca="false">'Basis Options'!H682</f>
        <v>1000000</v>
      </c>
      <c r="AD678" s="254" t="e">
        <f aca="false">'Basis Options'!W682</f>
        <v>#NAME?</v>
      </c>
      <c r="AE678" s="0" t="n">
        <v>0</v>
      </c>
      <c r="AF678" s="0" t="n">
        <v>0</v>
      </c>
      <c r="AG678" s="0" t="n">
        <v>0</v>
      </c>
      <c r="AH678" s="254" t="e">
        <f aca="false">'Basis Options'!CD683</f>
        <v>#NAME?</v>
      </c>
      <c r="AI678" s="0" t="n">
        <v>226</v>
      </c>
      <c r="AJ678" s="0" t="s">
        <v>630</v>
      </c>
      <c r="AK678" s="0" t="n">
        <v>0</v>
      </c>
      <c r="AL678" s="0" t="n">
        <v>0</v>
      </c>
      <c r="AM678" s="0" t="n">
        <v>0</v>
      </c>
    </row>
    <row r="679" customFormat="false" ht="12.75" hidden="false" customHeight="false" outlineLevel="0" collapsed="false">
      <c r="A679" s="0" t="s">
        <v>621</v>
      </c>
      <c r="B679" s="0" t="str">
        <f aca="false">'Basis Options'!C683</f>
        <v>NV0442</v>
      </c>
      <c r="C679" s="0" t="s">
        <v>622</v>
      </c>
      <c r="D679" s="0" t="s">
        <v>623</v>
      </c>
      <c r="E679" s="0" t="s">
        <v>131</v>
      </c>
      <c r="F679" s="0" t="str">
        <f aca="false">'Basis Options'!A683</f>
        <v>DYNEGYMARAND</v>
      </c>
      <c r="G679" s="0" t="s">
        <v>628</v>
      </c>
      <c r="H679" s="0" t="s">
        <v>625</v>
      </c>
      <c r="I679" s="0" t="s">
        <v>626</v>
      </c>
      <c r="J679" s="0" t="s">
        <v>627</v>
      </c>
      <c r="K679" s="475" t="n">
        <f aca="false">'Basis Options'!G683</f>
        <v>37165</v>
      </c>
      <c r="L679" s="254" t="e">
        <f aca="false">'Basis Options'!U683</f>
        <v>#NAME?</v>
      </c>
      <c r="M679" s="475" t="n">
        <f aca="false">'Basis Options'!Q683</f>
        <v>37161</v>
      </c>
      <c r="N679" s="0" t="str">
        <f aca="false">'Basis Options'!F683</f>
        <v>P</v>
      </c>
      <c r="O679" s="0" t="n">
        <f aca="false">'Basis Options'!I683</f>
        <v>0.3</v>
      </c>
      <c r="P679" s="0" t="n">
        <v>0</v>
      </c>
      <c r="Q679" s="0" t="n">
        <v>0</v>
      </c>
      <c r="R679" s="0" t="n">
        <v>0</v>
      </c>
      <c r="S679" s="0" t="n">
        <v>0</v>
      </c>
      <c r="T679" s="0" t="s">
        <v>624</v>
      </c>
      <c r="U679" s="0" t="str">
        <f aca="false">IF('Basis Options'!D683="NGI/CHI. GATE","""NGI/CHI. GATE""",TRIM('Basis Options'!D683))</f>
        <v>IF-TRANSCO/Z6</v>
      </c>
      <c r="V679" s="0" t="s">
        <v>624</v>
      </c>
      <c r="W679" s="0" t="s">
        <v>569</v>
      </c>
      <c r="X679" s="0" t="s">
        <v>624</v>
      </c>
      <c r="Y679" s="0" t="s">
        <v>627</v>
      </c>
      <c r="Z679" s="0" t="s">
        <v>629</v>
      </c>
      <c r="AA679" s="0" t="s">
        <v>624</v>
      </c>
      <c r="AB679" s="0" t="s">
        <v>132</v>
      </c>
      <c r="AC679" s="254" t="n">
        <f aca="false">'Basis Options'!H683</f>
        <v>1000000</v>
      </c>
      <c r="AD679" s="254" t="e">
        <f aca="false">'Basis Options'!W683</f>
        <v>#NAME?</v>
      </c>
      <c r="AE679" s="0" t="n">
        <v>0</v>
      </c>
      <c r="AF679" s="0" t="n">
        <v>0</v>
      </c>
      <c r="AG679" s="0" t="n">
        <v>0</v>
      </c>
      <c r="AH679" s="254" t="e">
        <f aca="false">'Basis Options'!CD684</f>
        <v>#NAME?</v>
      </c>
      <c r="AI679" s="0" t="n">
        <v>226</v>
      </c>
      <c r="AJ679" s="0" t="s">
        <v>630</v>
      </c>
      <c r="AK679" s="0" t="n">
        <v>0</v>
      </c>
      <c r="AL679" s="0" t="n">
        <v>0</v>
      </c>
      <c r="AM679" s="0" t="n">
        <v>0</v>
      </c>
    </row>
    <row r="680" customFormat="false" ht="12.75" hidden="false" customHeight="false" outlineLevel="0" collapsed="false">
      <c r="A680" s="0" t="s">
        <v>621</v>
      </c>
      <c r="B680" s="0" t="str">
        <f aca="false">'Basis Options'!C684</f>
        <v>NV0444.1</v>
      </c>
      <c r="C680" s="0" t="s">
        <v>622</v>
      </c>
      <c r="D680" s="0" t="s">
        <v>623</v>
      </c>
      <c r="E680" s="0" t="s">
        <v>131</v>
      </c>
      <c r="F680" s="0" t="str">
        <f aca="false">'Basis Options'!A684</f>
        <v>ELPASMER</v>
      </c>
      <c r="G680" s="0" t="s">
        <v>628</v>
      </c>
      <c r="H680" s="0" t="s">
        <v>625</v>
      </c>
      <c r="I680" s="0" t="s">
        <v>626</v>
      </c>
      <c r="J680" s="0" t="s">
        <v>627</v>
      </c>
      <c r="K680" s="475" t="n">
        <f aca="false">'Basis Options'!G684</f>
        <v>36770</v>
      </c>
      <c r="L680" s="254" t="e">
        <f aca="false">'Basis Options'!U684</f>
        <v>#NAME?</v>
      </c>
      <c r="M680" s="475" t="n">
        <f aca="false">'Basis Options'!Q684</f>
        <v>36768</v>
      </c>
      <c r="N680" s="0" t="str">
        <f aca="false">'Basis Options'!F684</f>
        <v>C</v>
      </c>
      <c r="O680" s="0" t="n">
        <f aca="false">'Basis Options'!I684</f>
        <v>-1.17</v>
      </c>
      <c r="P680" s="0" t="n">
        <v>0</v>
      </c>
      <c r="Q680" s="0" t="n">
        <v>0</v>
      </c>
      <c r="R680" s="0" t="n">
        <v>0</v>
      </c>
      <c r="S680" s="0" t="n">
        <v>0</v>
      </c>
      <c r="T680" s="0" t="s">
        <v>624</v>
      </c>
      <c r="U680" s="0" t="str">
        <f aca="false">IF('Basis Options'!D684="NGI/CHI. GATE","""NGI/CHI. GATE""",TRIM('Basis Options'!D684))</f>
        <v>IF-NWPL_ROCKY_M</v>
      </c>
      <c r="V680" s="0" t="s">
        <v>624</v>
      </c>
      <c r="W680" s="0" t="s">
        <v>569</v>
      </c>
      <c r="X680" s="0" t="s">
        <v>624</v>
      </c>
      <c r="Y680" s="0" t="s">
        <v>627</v>
      </c>
      <c r="Z680" s="0" t="s">
        <v>629</v>
      </c>
      <c r="AA680" s="0" t="s">
        <v>624</v>
      </c>
      <c r="AB680" s="0" t="s">
        <v>132</v>
      </c>
      <c r="AC680" s="254" t="n">
        <f aca="false">'Basis Options'!H684</f>
        <v>-1000000</v>
      </c>
      <c r="AD680" s="254" t="e">
        <f aca="false">'Basis Options'!W684</f>
        <v>#NAME?</v>
      </c>
      <c r="AE680" s="0" t="n">
        <v>0</v>
      </c>
      <c r="AF680" s="0" t="n">
        <v>0</v>
      </c>
      <c r="AG680" s="0" t="n">
        <v>0</v>
      </c>
      <c r="AH680" s="254" t="e">
        <f aca="false">'Basis Options'!CD685</f>
        <v>#NAME?</v>
      </c>
      <c r="AI680" s="0" t="n">
        <v>226</v>
      </c>
      <c r="AJ680" s="0" t="s">
        <v>630</v>
      </c>
      <c r="AK680" s="0" t="n">
        <v>0</v>
      </c>
      <c r="AL680" s="0" t="n">
        <v>0</v>
      </c>
      <c r="AM680" s="0" t="n">
        <v>0</v>
      </c>
    </row>
    <row r="681" customFormat="false" ht="12.75" hidden="false" customHeight="false" outlineLevel="0" collapsed="false">
      <c r="A681" s="0" t="s">
        <v>621</v>
      </c>
      <c r="B681" s="0" t="str">
        <f aca="false">'Basis Options'!C685</f>
        <v>NV0444.2</v>
      </c>
      <c r="C681" s="0" t="s">
        <v>622</v>
      </c>
      <c r="D681" s="0" t="s">
        <v>623</v>
      </c>
      <c r="E681" s="0" t="s">
        <v>131</v>
      </c>
      <c r="F681" s="0" t="str">
        <f aca="false">'Basis Options'!A685</f>
        <v>ELPASMER</v>
      </c>
      <c r="G681" s="0" t="s">
        <v>628</v>
      </c>
      <c r="H681" s="0" t="s">
        <v>625</v>
      </c>
      <c r="I681" s="0" t="s">
        <v>626</v>
      </c>
      <c r="J681" s="0" t="s">
        <v>627</v>
      </c>
      <c r="K681" s="475" t="n">
        <f aca="false">'Basis Options'!G685</f>
        <v>36770</v>
      </c>
      <c r="L681" s="254" t="e">
        <f aca="false">'Basis Options'!U685</f>
        <v>#NAME?</v>
      </c>
      <c r="M681" s="475" t="n">
        <f aca="false">'Basis Options'!Q685</f>
        <v>36768</v>
      </c>
      <c r="N681" s="0" t="str">
        <f aca="false">'Basis Options'!F685</f>
        <v>P</v>
      </c>
      <c r="O681" s="0" t="n">
        <f aca="false">'Basis Options'!I685</f>
        <v>-1.17</v>
      </c>
      <c r="P681" s="0" t="n">
        <v>0</v>
      </c>
      <c r="Q681" s="0" t="n">
        <v>0</v>
      </c>
      <c r="R681" s="0" t="n">
        <v>0</v>
      </c>
      <c r="S681" s="0" t="n">
        <v>0</v>
      </c>
      <c r="T681" s="0" t="s">
        <v>624</v>
      </c>
      <c r="U681" s="0" t="str">
        <f aca="false">IF('Basis Options'!D685="NGI/CHI. GATE","""NGI/CHI. GATE""",TRIM('Basis Options'!D685))</f>
        <v>IF-NWPL_ROCKY_M</v>
      </c>
      <c r="V681" s="0" t="s">
        <v>624</v>
      </c>
      <c r="W681" s="0" t="s">
        <v>569</v>
      </c>
      <c r="X681" s="0" t="s">
        <v>624</v>
      </c>
      <c r="Y681" s="0" t="s">
        <v>627</v>
      </c>
      <c r="Z681" s="0" t="s">
        <v>629</v>
      </c>
      <c r="AA681" s="0" t="s">
        <v>624</v>
      </c>
      <c r="AB681" s="0" t="s">
        <v>132</v>
      </c>
      <c r="AC681" s="254" t="n">
        <f aca="false">'Basis Options'!H685</f>
        <v>-1000000</v>
      </c>
      <c r="AD681" s="254" t="e">
        <f aca="false">'Basis Options'!W685</f>
        <v>#NAME?</v>
      </c>
      <c r="AE681" s="0" t="n">
        <v>0</v>
      </c>
      <c r="AF681" s="0" t="n">
        <v>0</v>
      </c>
      <c r="AG681" s="0" t="n">
        <v>0</v>
      </c>
      <c r="AH681" s="254" t="e">
        <f aca="false">'Basis Options'!CD686</f>
        <v>#NAME?</v>
      </c>
      <c r="AI681" s="0" t="n">
        <v>226</v>
      </c>
      <c r="AJ681" s="0" t="s">
        <v>630</v>
      </c>
      <c r="AK681" s="0" t="n">
        <v>0</v>
      </c>
      <c r="AL681" s="0" t="n">
        <v>0</v>
      </c>
      <c r="AM681" s="0" t="n">
        <v>0</v>
      </c>
    </row>
    <row r="682" customFormat="false" ht="12.75" hidden="false" customHeight="false" outlineLevel="0" collapsed="false">
      <c r="A682" s="0" t="s">
        <v>621</v>
      </c>
      <c r="B682" s="0" t="str">
        <f aca="false">'Basis Options'!C686</f>
        <v>NV0444.3</v>
      </c>
      <c r="C682" s="0" t="s">
        <v>622</v>
      </c>
      <c r="D682" s="0" t="s">
        <v>623</v>
      </c>
      <c r="E682" s="0" t="s">
        <v>131</v>
      </c>
      <c r="F682" s="0" t="str">
        <f aca="false">'Basis Options'!A686</f>
        <v>ELPASMER</v>
      </c>
      <c r="G682" s="0" t="s">
        <v>628</v>
      </c>
      <c r="H682" s="0" t="s">
        <v>625</v>
      </c>
      <c r="I682" s="0" t="s">
        <v>626</v>
      </c>
      <c r="J682" s="0" t="s">
        <v>627</v>
      </c>
      <c r="K682" s="475" t="n">
        <f aca="false">'Basis Options'!G686</f>
        <v>36770</v>
      </c>
      <c r="L682" s="254" t="e">
        <f aca="false">'Basis Options'!U686</f>
        <v>#NAME?</v>
      </c>
      <c r="M682" s="475" t="n">
        <f aca="false">'Basis Options'!Q686</f>
        <v>36768</v>
      </c>
      <c r="N682" s="0" t="str">
        <f aca="false">'Basis Options'!F686</f>
        <v>C</v>
      </c>
      <c r="O682" s="0" t="n">
        <f aca="false">'Basis Options'!I686</f>
        <v>-1.17</v>
      </c>
      <c r="P682" s="0" t="n">
        <v>0</v>
      </c>
      <c r="Q682" s="0" t="n">
        <v>0</v>
      </c>
      <c r="R682" s="0" t="n">
        <v>0</v>
      </c>
      <c r="S682" s="0" t="n">
        <v>0</v>
      </c>
      <c r="T682" s="0" t="s">
        <v>624</v>
      </c>
      <c r="U682" s="0" t="str">
        <f aca="false">IF('Basis Options'!D686="NGI/CHI. GATE","""NGI/CHI. GATE""",TRIM('Basis Options'!D686))</f>
        <v>IF-NWPL_ROCKY_M</v>
      </c>
      <c r="V682" s="0" t="s">
        <v>624</v>
      </c>
      <c r="W682" s="0" t="s">
        <v>569</v>
      </c>
      <c r="X682" s="0" t="s">
        <v>624</v>
      </c>
      <c r="Y682" s="0" t="s">
        <v>627</v>
      </c>
      <c r="Z682" s="0" t="s">
        <v>629</v>
      </c>
      <c r="AA682" s="0" t="s">
        <v>624</v>
      </c>
      <c r="AB682" s="0" t="s">
        <v>132</v>
      </c>
      <c r="AC682" s="254" t="n">
        <f aca="false">'Basis Options'!H686</f>
        <v>-500000</v>
      </c>
      <c r="AD682" s="254" t="e">
        <f aca="false">'Basis Options'!W686</f>
        <v>#NAME?</v>
      </c>
      <c r="AE682" s="0" t="n">
        <v>0</v>
      </c>
      <c r="AF682" s="0" t="n">
        <v>0</v>
      </c>
      <c r="AG682" s="0" t="n">
        <v>0</v>
      </c>
      <c r="AH682" s="254" t="e">
        <f aca="false">'Basis Options'!CD687</f>
        <v>#NAME?</v>
      </c>
      <c r="AI682" s="0" t="n">
        <v>226</v>
      </c>
      <c r="AJ682" s="0" t="s">
        <v>630</v>
      </c>
      <c r="AK682" s="0" t="n">
        <v>0</v>
      </c>
      <c r="AL682" s="0" t="n">
        <v>0</v>
      </c>
      <c r="AM682" s="0" t="n">
        <v>0</v>
      </c>
    </row>
    <row r="683" customFormat="false" ht="12.75" hidden="false" customHeight="false" outlineLevel="0" collapsed="false">
      <c r="A683" s="0" t="s">
        <v>621</v>
      </c>
      <c r="B683" s="0" t="str">
        <f aca="false">'Basis Options'!C687</f>
        <v>NV0444.4</v>
      </c>
      <c r="C683" s="0" t="s">
        <v>622</v>
      </c>
      <c r="D683" s="0" t="s">
        <v>623</v>
      </c>
      <c r="E683" s="0" t="s">
        <v>131</v>
      </c>
      <c r="F683" s="0" t="str">
        <f aca="false">'Basis Options'!A687</f>
        <v>ELPASMER</v>
      </c>
      <c r="G683" s="0" t="s">
        <v>628</v>
      </c>
      <c r="H683" s="0" t="s">
        <v>625</v>
      </c>
      <c r="I683" s="0" t="s">
        <v>626</v>
      </c>
      <c r="J683" s="0" t="s">
        <v>627</v>
      </c>
      <c r="K683" s="475" t="n">
        <f aca="false">'Basis Options'!G687</f>
        <v>36770</v>
      </c>
      <c r="L683" s="254" t="e">
        <f aca="false">'Basis Options'!U687</f>
        <v>#NAME?</v>
      </c>
      <c r="M683" s="475" t="n">
        <f aca="false">'Basis Options'!Q687</f>
        <v>36768</v>
      </c>
      <c r="N683" s="0" t="str">
        <f aca="false">'Basis Options'!F687</f>
        <v>P</v>
      </c>
      <c r="O683" s="0" t="n">
        <f aca="false">'Basis Options'!I687</f>
        <v>-1.17</v>
      </c>
      <c r="P683" s="0" t="n">
        <v>0</v>
      </c>
      <c r="Q683" s="0" t="n">
        <v>0</v>
      </c>
      <c r="R683" s="0" t="n">
        <v>0</v>
      </c>
      <c r="S683" s="0" t="n">
        <v>0</v>
      </c>
      <c r="T683" s="0" t="s">
        <v>624</v>
      </c>
      <c r="U683" s="0" t="str">
        <f aca="false">IF('Basis Options'!D687="NGI/CHI. GATE","""NGI/CHI. GATE""",TRIM('Basis Options'!D687))</f>
        <v>IF-NWPL_ROCKY_M</v>
      </c>
      <c r="V683" s="0" t="s">
        <v>624</v>
      </c>
      <c r="W683" s="0" t="s">
        <v>569</v>
      </c>
      <c r="X683" s="0" t="s">
        <v>624</v>
      </c>
      <c r="Y683" s="0" t="s">
        <v>627</v>
      </c>
      <c r="Z683" s="0" t="s">
        <v>629</v>
      </c>
      <c r="AA683" s="0" t="s">
        <v>624</v>
      </c>
      <c r="AB683" s="0" t="s">
        <v>132</v>
      </c>
      <c r="AC683" s="254" t="n">
        <f aca="false">'Basis Options'!H687</f>
        <v>-500000</v>
      </c>
      <c r="AD683" s="254" t="e">
        <f aca="false">'Basis Options'!W687</f>
        <v>#NAME?</v>
      </c>
      <c r="AE683" s="0" t="n">
        <v>0</v>
      </c>
      <c r="AF683" s="0" t="n">
        <v>0</v>
      </c>
      <c r="AG683" s="0" t="n">
        <v>0</v>
      </c>
      <c r="AH683" s="254" t="e">
        <f aca="false">'Basis Options'!CD688</f>
        <v>#NAME?</v>
      </c>
      <c r="AI683" s="0" t="n">
        <v>226</v>
      </c>
      <c r="AJ683" s="0" t="s">
        <v>630</v>
      </c>
      <c r="AK683" s="0" t="n">
        <v>0</v>
      </c>
      <c r="AL683" s="0" t="n">
        <v>0</v>
      </c>
      <c r="AM683" s="0" t="n">
        <v>0</v>
      </c>
    </row>
    <row r="684" customFormat="false" ht="12.75" hidden="false" customHeight="false" outlineLevel="0" collapsed="false">
      <c r="A684" s="0" t="s">
        <v>621</v>
      </c>
      <c r="B684" s="0" t="e">
        <f aca="false">#REF!</f>
        <v>#REF!</v>
      </c>
      <c r="C684" s="0" t="s">
        <v>622</v>
      </c>
      <c r="D684" s="0" t="s">
        <v>623</v>
      </c>
      <c r="E684" s="0" t="s">
        <v>131</v>
      </c>
      <c r="F684" s="0" t="e">
        <f aca="false">#REF!</f>
        <v>#REF!</v>
      </c>
      <c r="G684" s="0" t="s">
        <v>628</v>
      </c>
      <c r="H684" s="0" t="s">
        <v>625</v>
      </c>
      <c r="I684" s="0" t="s">
        <v>626</v>
      </c>
      <c r="J684" s="0" t="s">
        <v>627</v>
      </c>
      <c r="K684" s="475" t="e">
        <f aca="false">#REF!</f>
        <v>#REF!</v>
      </c>
      <c r="L684" s="254" t="e">
        <f aca="false">#REF!</f>
        <v>#REF!</v>
      </c>
      <c r="M684" s="475" t="e">
        <f aca="false">#REF!</f>
        <v>#REF!</v>
      </c>
      <c r="N684" s="0" t="e">
        <f aca="false">#REF!</f>
        <v>#REF!</v>
      </c>
      <c r="O684" s="0" t="e">
        <f aca="false">#REF!</f>
        <v>#REF!</v>
      </c>
      <c r="P684" s="0" t="n">
        <v>0</v>
      </c>
      <c r="Q684" s="0" t="n">
        <v>0</v>
      </c>
      <c r="R684" s="0" t="n">
        <v>0</v>
      </c>
      <c r="S684" s="0" t="n">
        <v>0</v>
      </c>
      <c r="T684" s="0" t="s">
        <v>624</v>
      </c>
      <c r="U684" s="0" t="e">
        <f aca="false">IF(#REF!="NGI/CHI. GATE","""NGI/CHI. GATE""",TRIM(#REF!))</f>
        <v>#REF!</v>
      </c>
      <c r="V684" s="0" t="s">
        <v>624</v>
      </c>
      <c r="W684" s="0" t="s">
        <v>569</v>
      </c>
      <c r="X684" s="0" t="s">
        <v>624</v>
      </c>
      <c r="Y684" s="0" t="s">
        <v>627</v>
      </c>
      <c r="Z684" s="0" t="s">
        <v>629</v>
      </c>
      <c r="AA684" s="0" t="s">
        <v>624</v>
      </c>
      <c r="AB684" s="0" t="s">
        <v>132</v>
      </c>
      <c r="AC684" s="254" t="e">
        <f aca="false">#REF!</f>
        <v>#REF!</v>
      </c>
      <c r="AD684" s="254" t="e">
        <f aca="false">#REF!</f>
        <v>#REF!</v>
      </c>
      <c r="AE684" s="0" t="n">
        <v>0</v>
      </c>
      <c r="AF684" s="0" t="n">
        <v>0</v>
      </c>
      <c r="AG684" s="0" t="n">
        <v>0</v>
      </c>
      <c r="AH684" s="254" t="e">
        <f aca="false">'Basis Options'!CD689</f>
        <v>#REF!</v>
      </c>
      <c r="AI684" s="0" t="n">
        <v>226</v>
      </c>
      <c r="AJ684" s="0" t="s">
        <v>630</v>
      </c>
      <c r="AK684" s="0" t="n">
        <v>0</v>
      </c>
      <c r="AL684" s="0" t="n">
        <v>0</v>
      </c>
      <c r="AM684" s="0" t="n">
        <v>0</v>
      </c>
    </row>
    <row r="685" customFormat="false" ht="12.75" hidden="false" customHeight="false" outlineLevel="0" collapsed="false">
      <c r="A685" s="0" t="s">
        <v>621</v>
      </c>
      <c r="B685" s="0" t="str">
        <f aca="false">'Basis Options'!C688</f>
        <v>NV0535</v>
      </c>
      <c r="C685" s="0" t="s">
        <v>622</v>
      </c>
      <c r="D685" s="0" t="s">
        <v>623</v>
      </c>
      <c r="E685" s="0" t="s">
        <v>131</v>
      </c>
      <c r="F685" s="0" t="str">
        <f aca="false">'Basis Options'!A688</f>
        <v>DUKEENETRA</v>
      </c>
      <c r="G685" s="0" t="s">
        <v>628</v>
      </c>
      <c r="H685" s="0" t="s">
        <v>625</v>
      </c>
      <c r="I685" s="0" t="s">
        <v>626</v>
      </c>
      <c r="J685" s="0" t="s">
        <v>627</v>
      </c>
      <c r="K685" s="475" t="n">
        <f aca="false">'Basis Options'!G688</f>
        <v>36831</v>
      </c>
      <c r="L685" s="254" t="e">
        <f aca="false">'Basis Options'!U688</f>
        <v>#NAME?</v>
      </c>
      <c r="M685" s="475" t="n">
        <f aca="false">'Basis Options'!Q688</f>
        <v>36829</v>
      </c>
      <c r="N685" s="0" t="str">
        <f aca="false">'Basis Options'!F688</f>
        <v>C</v>
      </c>
      <c r="O685" s="0" t="n">
        <f aca="false">'Basis Options'!I688</f>
        <v>-0.15</v>
      </c>
      <c r="P685" s="0" t="n">
        <v>0</v>
      </c>
      <c r="Q685" s="0" t="n">
        <v>0</v>
      </c>
      <c r="R685" s="0" t="n">
        <v>0</v>
      </c>
      <c r="S685" s="0" t="n">
        <v>0</v>
      </c>
      <c r="T685" s="0" t="s">
        <v>624</v>
      </c>
      <c r="U685" s="0" t="str">
        <f aca="false">IF('Basis Options'!D688="NGI/CHI. GATE","""NGI/CHI. GATE""",TRIM('Basis Options'!D688))</f>
        <v>IF-PAN/TX/OK</v>
      </c>
      <c r="V685" s="0" t="s">
        <v>624</v>
      </c>
      <c r="W685" s="0" t="s">
        <v>569</v>
      </c>
      <c r="X685" s="0" t="s">
        <v>624</v>
      </c>
      <c r="Y685" s="0" t="s">
        <v>627</v>
      </c>
      <c r="Z685" s="0" t="s">
        <v>629</v>
      </c>
      <c r="AA685" s="0" t="s">
        <v>624</v>
      </c>
      <c r="AB685" s="0" t="s">
        <v>132</v>
      </c>
      <c r="AC685" s="254" t="n">
        <f aca="false">'Basis Options'!H688</f>
        <v>300000</v>
      </c>
      <c r="AD685" s="254" t="e">
        <f aca="false">'Basis Options'!W688</f>
        <v>#NAME?</v>
      </c>
      <c r="AE685" s="0" t="n">
        <v>0</v>
      </c>
      <c r="AF685" s="0" t="n">
        <v>0</v>
      </c>
      <c r="AG685" s="0" t="n">
        <v>0</v>
      </c>
      <c r="AH685" s="254" t="e">
        <f aca="false">'Basis Options'!CD690</f>
        <v>#NAME?</v>
      </c>
      <c r="AI685" s="0" t="n">
        <v>226</v>
      </c>
      <c r="AJ685" s="0" t="s">
        <v>630</v>
      </c>
      <c r="AK685" s="0" t="n">
        <v>0</v>
      </c>
      <c r="AL685" s="0" t="n">
        <v>0</v>
      </c>
      <c r="AM685" s="0" t="n">
        <v>0</v>
      </c>
    </row>
    <row r="686" customFormat="false" ht="12.75" hidden="false" customHeight="false" outlineLevel="0" collapsed="false">
      <c r="A686" s="0" t="s">
        <v>621</v>
      </c>
      <c r="B686" s="0" t="str">
        <f aca="false">'Basis Options'!C689</f>
        <v>NV0535</v>
      </c>
      <c r="C686" s="0" t="s">
        <v>622</v>
      </c>
      <c r="D686" s="0" t="s">
        <v>623</v>
      </c>
      <c r="E686" s="0" t="s">
        <v>131</v>
      </c>
      <c r="F686" s="0" t="str">
        <f aca="false">'Basis Options'!A689</f>
        <v>DUKEENETRA</v>
      </c>
      <c r="G686" s="0" t="s">
        <v>628</v>
      </c>
      <c r="H686" s="0" t="s">
        <v>625</v>
      </c>
      <c r="I686" s="0" t="s">
        <v>626</v>
      </c>
      <c r="J686" s="0" t="s">
        <v>627</v>
      </c>
      <c r="K686" s="475" t="n">
        <f aca="false">'Basis Options'!G689</f>
        <v>36861</v>
      </c>
      <c r="L686" s="254" t="e">
        <f aca="false">'Basis Options'!U689</f>
        <v>#NAME?</v>
      </c>
      <c r="M686" s="475" t="n">
        <f aca="false">'Basis Options'!Q689</f>
        <v>36859</v>
      </c>
      <c r="N686" s="0" t="str">
        <f aca="false">'Basis Options'!F689</f>
        <v>C</v>
      </c>
      <c r="O686" s="0" t="n">
        <f aca="false">'Basis Options'!I689</f>
        <v>-0.15</v>
      </c>
      <c r="P686" s="0" t="n">
        <v>0</v>
      </c>
      <c r="Q686" s="0" t="n">
        <v>0</v>
      </c>
      <c r="R686" s="0" t="n">
        <v>0</v>
      </c>
      <c r="S686" s="0" t="n">
        <v>0</v>
      </c>
      <c r="T686" s="0" t="s">
        <v>624</v>
      </c>
      <c r="U686" s="0" t="str">
        <f aca="false">IF('Basis Options'!D689="NGI/CHI. GATE","""NGI/CHI. GATE""",TRIM('Basis Options'!D689))</f>
        <v>IF-PAN/TX/OK</v>
      </c>
      <c r="V686" s="0" t="s">
        <v>624</v>
      </c>
      <c r="W686" s="0" t="s">
        <v>569</v>
      </c>
      <c r="X686" s="0" t="s">
        <v>624</v>
      </c>
      <c r="Y686" s="0" t="s">
        <v>627</v>
      </c>
      <c r="Z686" s="0" t="s">
        <v>629</v>
      </c>
      <c r="AA686" s="0" t="s">
        <v>624</v>
      </c>
      <c r="AB686" s="0" t="s">
        <v>132</v>
      </c>
      <c r="AC686" s="254" t="n">
        <f aca="false">'Basis Options'!H689</f>
        <v>310000</v>
      </c>
      <c r="AD686" s="254" t="e">
        <f aca="false">'Basis Options'!W689</f>
        <v>#NAME?</v>
      </c>
      <c r="AE686" s="0" t="n">
        <v>0</v>
      </c>
      <c r="AF686" s="0" t="n">
        <v>0</v>
      </c>
      <c r="AG686" s="0" t="n">
        <v>0</v>
      </c>
      <c r="AH686" s="254" t="e">
        <f aca="false">'Basis Options'!CD691</f>
        <v>#NAME?</v>
      </c>
      <c r="AI686" s="0" t="n">
        <v>226</v>
      </c>
      <c r="AJ686" s="0" t="s">
        <v>630</v>
      </c>
      <c r="AK686" s="0" t="n">
        <v>0</v>
      </c>
      <c r="AL686" s="0" t="n">
        <v>0</v>
      </c>
      <c r="AM686" s="0" t="n">
        <v>0</v>
      </c>
    </row>
    <row r="687" customFormat="false" ht="12.75" hidden="false" customHeight="false" outlineLevel="0" collapsed="false">
      <c r="A687" s="0" t="s">
        <v>621</v>
      </c>
      <c r="B687" s="0" t="str">
        <f aca="false">'Basis Options'!C690</f>
        <v>NV0535</v>
      </c>
      <c r="C687" s="0" t="s">
        <v>622</v>
      </c>
      <c r="D687" s="0" t="s">
        <v>623</v>
      </c>
      <c r="E687" s="0" t="s">
        <v>131</v>
      </c>
      <c r="F687" s="0" t="str">
        <f aca="false">'Basis Options'!A690</f>
        <v>DUKEENETRA</v>
      </c>
      <c r="G687" s="0" t="s">
        <v>628</v>
      </c>
      <c r="H687" s="0" t="s">
        <v>625</v>
      </c>
      <c r="I687" s="0" t="s">
        <v>626</v>
      </c>
      <c r="J687" s="0" t="s">
        <v>627</v>
      </c>
      <c r="K687" s="475" t="n">
        <f aca="false">'Basis Options'!G690</f>
        <v>36892</v>
      </c>
      <c r="L687" s="254" t="e">
        <f aca="false">'Basis Options'!U690</f>
        <v>#NAME?</v>
      </c>
      <c r="M687" s="475" t="n">
        <f aca="false">'Basis Options'!Q690</f>
        <v>36888</v>
      </c>
      <c r="N687" s="0" t="str">
        <f aca="false">'Basis Options'!F690</f>
        <v>C</v>
      </c>
      <c r="O687" s="0" t="n">
        <f aca="false">'Basis Options'!I690</f>
        <v>-0.15</v>
      </c>
      <c r="P687" s="0" t="n">
        <v>0</v>
      </c>
      <c r="Q687" s="0" t="n">
        <v>0</v>
      </c>
      <c r="R687" s="0" t="n">
        <v>0</v>
      </c>
      <c r="S687" s="0" t="n">
        <v>0</v>
      </c>
      <c r="T687" s="0" t="s">
        <v>624</v>
      </c>
      <c r="U687" s="0" t="str">
        <f aca="false">IF('Basis Options'!D690="NGI/CHI. GATE","""NGI/CHI. GATE""",TRIM('Basis Options'!D690))</f>
        <v>IF-PAN/TX/OK</v>
      </c>
      <c r="V687" s="0" t="s">
        <v>624</v>
      </c>
      <c r="W687" s="0" t="s">
        <v>569</v>
      </c>
      <c r="X687" s="0" t="s">
        <v>624</v>
      </c>
      <c r="Y687" s="0" t="s">
        <v>627</v>
      </c>
      <c r="Z687" s="0" t="s">
        <v>629</v>
      </c>
      <c r="AA687" s="0" t="s">
        <v>624</v>
      </c>
      <c r="AB687" s="0" t="s">
        <v>132</v>
      </c>
      <c r="AC687" s="254" t="n">
        <f aca="false">'Basis Options'!H690</f>
        <v>310000</v>
      </c>
      <c r="AD687" s="254" t="e">
        <f aca="false">'Basis Options'!W690</f>
        <v>#NAME?</v>
      </c>
      <c r="AE687" s="0" t="n">
        <v>0</v>
      </c>
      <c r="AF687" s="0" t="n">
        <v>0</v>
      </c>
      <c r="AG687" s="0" t="n">
        <v>0</v>
      </c>
      <c r="AH687" s="254" t="e">
        <f aca="false">'Basis Options'!CD692</f>
        <v>#NAME?</v>
      </c>
      <c r="AI687" s="0" t="n">
        <v>226</v>
      </c>
      <c r="AJ687" s="0" t="s">
        <v>630</v>
      </c>
      <c r="AK687" s="0" t="n">
        <v>0</v>
      </c>
      <c r="AL687" s="0" t="n">
        <v>0</v>
      </c>
      <c r="AM687" s="0" t="n">
        <v>0</v>
      </c>
    </row>
    <row r="688" customFormat="false" ht="12.75" hidden="false" customHeight="false" outlineLevel="0" collapsed="false">
      <c r="A688" s="0" t="s">
        <v>621</v>
      </c>
      <c r="B688" s="0" t="str">
        <f aca="false">'Basis Options'!C691</f>
        <v>NV0535</v>
      </c>
      <c r="C688" s="0" t="s">
        <v>622</v>
      </c>
      <c r="D688" s="0" t="s">
        <v>623</v>
      </c>
      <c r="E688" s="0" t="s">
        <v>131</v>
      </c>
      <c r="F688" s="0" t="str">
        <f aca="false">'Basis Options'!A691</f>
        <v>DUKEENETRA</v>
      </c>
      <c r="G688" s="0" t="s">
        <v>628</v>
      </c>
      <c r="H688" s="0" t="s">
        <v>625</v>
      </c>
      <c r="I688" s="0" t="s">
        <v>626</v>
      </c>
      <c r="J688" s="0" t="s">
        <v>627</v>
      </c>
      <c r="K688" s="475" t="n">
        <f aca="false">'Basis Options'!G691</f>
        <v>36923</v>
      </c>
      <c r="L688" s="254" t="e">
        <f aca="false">'Basis Options'!U691</f>
        <v>#NAME?</v>
      </c>
      <c r="M688" s="475" t="n">
        <f aca="false">'Basis Options'!Q691</f>
        <v>36921</v>
      </c>
      <c r="N688" s="0" t="str">
        <f aca="false">'Basis Options'!F691</f>
        <v>C</v>
      </c>
      <c r="O688" s="0" t="n">
        <f aca="false">'Basis Options'!I691</f>
        <v>-0.15</v>
      </c>
      <c r="P688" s="0" t="n">
        <v>0</v>
      </c>
      <c r="Q688" s="0" t="n">
        <v>0</v>
      </c>
      <c r="R688" s="0" t="n">
        <v>0</v>
      </c>
      <c r="S688" s="0" t="n">
        <v>0</v>
      </c>
      <c r="T688" s="0" t="s">
        <v>624</v>
      </c>
      <c r="U688" s="0" t="str">
        <f aca="false">IF('Basis Options'!D691="NGI/CHI. GATE","""NGI/CHI. GATE""",TRIM('Basis Options'!D691))</f>
        <v>IF-PAN/TX/OK</v>
      </c>
      <c r="V688" s="0" t="s">
        <v>624</v>
      </c>
      <c r="W688" s="0" t="s">
        <v>569</v>
      </c>
      <c r="X688" s="0" t="s">
        <v>624</v>
      </c>
      <c r="Y688" s="0" t="s">
        <v>627</v>
      </c>
      <c r="Z688" s="0" t="s">
        <v>629</v>
      </c>
      <c r="AA688" s="0" t="s">
        <v>624</v>
      </c>
      <c r="AB688" s="0" t="s">
        <v>132</v>
      </c>
      <c r="AC688" s="254" t="n">
        <f aca="false">'Basis Options'!H691</f>
        <v>280000</v>
      </c>
      <c r="AD688" s="254" t="e">
        <f aca="false">'Basis Options'!W691</f>
        <v>#NAME?</v>
      </c>
      <c r="AE688" s="0" t="n">
        <v>0</v>
      </c>
      <c r="AF688" s="0" t="n">
        <v>0</v>
      </c>
      <c r="AG688" s="0" t="n">
        <v>0</v>
      </c>
      <c r="AH688" s="254" t="e">
        <f aca="false">'Basis Options'!CD693</f>
        <v>#NAME?</v>
      </c>
      <c r="AI688" s="0" t="n">
        <v>226</v>
      </c>
      <c r="AJ688" s="0" t="s">
        <v>630</v>
      </c>
      <c r="AK688" s="0" t="n">
        <v>0</v>
      </c>
      <c r="AL688" s="0" t="n">
        <v>0</v>
      </c>
      <c r="AM688" s="0" t="n">
        <v>0</v>
      </c>
    </row>
    <row r="689" customFormat="false" ht="12.75" hidden="false" customHeight="false" outlineLevel="0" collapsed="false">
      <c r="A689" s="0" t="s">
        <v>621</v>
      </c>
      <c r="B689" s="0" t="str">
        <f aca="false">'Basis Options'!C692</f>
        <v>NV0535</v>
      </c>
      <c r="C689" s="0" t="s">
        <v>622</v>
      </c>
      <c r="D689" s="0" t="s">
        <v>623</v>
      </c>
      <c r="E689" s="0" t="s">
        <v>131</v>
      </c>
      <c r="F689" s="0" t="str">
        <f aca="false">'Basis Options'!A692</f>
        <v>DUKEENETRA</v>
      </c>
      <c r="G689" s="0" t="s">
        <v>628</v>
      </c>
      <c r="H689" s="0" t="s">
        <v>625</v>
      </c>
      <c r="I689" s="0" t="s">
        <v>626</v>
      </c>
      <c r="J689" s="0" t="s">
        <v>627</v>
      </c>
      <c r="K689" s="475" t="n">
        <f aca="false">'Basis Options'!G692</f>
        <v>36951</v>
      </c>
      <c r="L689" s="254" t="e">
        <f aca="false">'Basis Options'!U692</f>
        <v>#NAME?</v>
      </c>
      <c r="M689" s="475" t="n">
        <f aca="false">'Basis Options'!Q692</f>
        <v>36949</v>
      </c>
      <c r="N689" s="0" t="str">
        <f aca="false">'Basis Options'!F692</f>
        <v>C</v>
      </c>
      <c r="O689" s="0" t="n">
        <f aca="false">'Basis Options'!I692</f>
        <v>-0.15</v>
      </c>
      <c r="P689" s="0" t="n">
        <v>0</v>
      </c>
      <c r="Q689" s="0" t="n">
        <v>0</v>
      </c>
      <c r="R689" s="0" t="n">
        <v>0</v>
      </c>
      <c r="S689" s="0" t="n">
        <v>0</v>
      </c>
      <c r="T689" s="0" t="s">
        <v>624</v>
      </c>
      <c r="U689" s="0" t="str">
        <f aca="false">IF('Basis Options'!D692="NGI/CHI. GATE","""NGI/CHI. GATE""",TRIM('Basis Options'!D692))</f>
        <v>IF-PAN/TX/OK</v>
      </c>
      <c r="V689" s="0" t="s">
        <v>624</v>
      </c>
      <c r="W689" s="0" t="s">
        <v>569</v>
      </c>
      <c r="X689" s="0" t="s">
        <v>624</v>
      </c>
      <c r="Y689" s="0" t="s">
        <v>627</v>
      </c>
      <c r="Z689" s="0" t="s">
        <v>629</v>
      </c>
      <c r="AA689" s="0" t="s">
        <v>624</v>
      </c>
      <c r="AB689" s="0" t="s">
        <v>132</v>
      </c>
      <c r="AC689" s="254" t="n">
        <f aca="false">'Basis Options'!H692</f>
        <v>310000</v>
      </c>
      <c r="AD689" s="254" t="e">
        <f aca="false">'Basis Options'!W692</f>
        <v>#NAME?</v>
      </c>
      <c r="AE689" s="0" t="n">
        <v>0</v>
      </c>
      <c r="AF689" s="0" t="n">
        <v>0</v>
      </c>
      <c r="AG689" s="0" t="n">
        <v>0</v>
      </c>
      <c r="AH689" s="254" t="e">
        <f aca="false">'Basis Options'!CD694</f>
        <v>#NAME?</v>
      </c>
      <c r="AI689" s="0" t="n">
        <v>226</v>
      </c>
      <c r="AJ689" s="0" t="s">
        <v>630</v>
      </c>
      <c r="AK689" s="0" t="n">
        <v>0</v>
      </c>
      <c r="AL689" s="0" t="n">
        <v>0</v>
      </c>
      <c r="AM689" s="0" t="n">
        <v>0</v>
      </c>
    </row>
    <row r="690" customFormat="false" ht="12.75" hidden="false" customHeight="false" outlineLevel="0" collapsed="false">
      <c r="A690" s="0" t="s">
        <v>621</v>
      </c>
      <c r="B690" s="0" t="str">
        <f aca="false">'Basis Options'!C693</f>
        <v>NV2737.1</v>
      </c>
      <c r="C690" s="0" t="s">
        <v>622</v>
      </c>
      <c r="D690" s="0" t="s">
        <v>623</v>
      </c>
      <c r="E690" s="0" t="s">
        <v>131</v>
      </c>
      <c r="F690" s="0" t="str">
        <f aca="false">'Basis Options'!A693</f>
        <v>AEPENESER</v>
      </c>
      <c r="G690" s="0" t="s">
        <v>628</v>
      </c>
      <c r="H690" s="0" t="s">
        <v>625</v>
      </c>
      <c r="I690" s="0" t="s">
        <v>626</v>
      </c>
      <c r="J690" s="0" t="s">
        <v>627</v>
      </c>
      <c r="K690" s="475" t="n">
        <f aca="false">'Basis Options'!G693</f>
        <v>36831</v>
      </c>
      <c r="L690" s="254" t="e">
        <f aca="false">'Basis Options'!U693</f>
        <v>#NAME?</v>
      </c>
      <c r="M690" s="475" t="n">
        <f aca="false">'Basis Options'!Q693</f>
        <v>36829</v>
      </c>
      <c r="N690" s="0" t="str">
        <f aca="false">'Basis Options'!F693</f>
        <v>C</v>
      </c>
      <c r="O690" s="0" t="n">
        <f aca="false">'Basis Options'!I693</f>
        <v>1.45</v>
      </c>
      <c r="P690" s="0" t="n">
        <v>0</v>
      </c>
      <c r="Q690" s="0" t="n">
        <v>0</v>
      </c>
      <c r="R690" s="0" t="n">
        <v>0</v>
      </c>
      <c r="S690" s="0" t="n">
        <v>0</v>
      </c>
      <c r="T690" s="0" t="s">
        <v>624</v>
      </c>
      <c r="U690" s="0" t="str">
        <f aca="false">IF('Basis Options'!D693="NGI/CHI. GATE","""NGI/CHI. GATE""",TRIM('Basis Options'!D693))</f>
        <v>IF-TRANSCO/Z6</v>
      </c>
      <c r="V690" s="0" t="s">
        <v>624</v>
      </c>
      <c r="W690" s="0" t="s">
        <v>569</v>
      </c>
      <c r="X690" s="0" t="s">
        <v>624</v>
      </c>
      <c r="Y690" s="0" t="s">
        <v>627</v>
      </c>
      <c r="Z690" s="0" t="s">
        <v>629</v>
      </c>
      <c r="AA690" s="0" t="s">
        <v>624</v>
      </c>
      <c r="AB690" s="0" t="s">
        <v>132</v>
      </c>
      <c r="AC690" s="254" t="n">
        <f aca="false">'Basis Options'!H693</f>
        <v>-500000</v>
      </c>
      <c r="AD690" s="254" t="e">
        <f aca="false">'Basis Options'!W693</f>
        <v>#NAME?</v>
      </c>
      <c r="AE690" s="0" t="n">
        <v>0</v>
      </c>
      <c r="AF690" s="0" t="n">
        <v>0</v>
      </c>
      <c r="AG690" s="0" t="n">
        <v>0</v>
      </c>
      <c r="AH690" s="254" t="e">
        <f aca="false">'Basis Options'!CD695</f>
        <v>#NAME?</v>
      </c>
      <c r="AI690" s="0" t="n">
        <v>226</v>
      </c>
      <c r="AJ690" s="0" t="s">
        <v>630</v>
      </c>
      <c r="AK690" s="0" t="n">
        <v>0</v>
      </c>
      <c r="AL690" s="0" t="n">
        <v>0</v>
      </c>
      <c r="AM690" s="0" t="n">
        <v>0</v>
      </c>
    </row>
    <row r="691" customFormat="false" ht="12.75" hidden="false" customHeight="false" outlineLevel="0" collapsed="false">
      <c r="A691" s="0" t="s">
        <v>621</v>
      </c>
      <c r="B691" s="0" t="str">
        <f aca="false">'Basis Options'!C694</f>
        <v>NV2737.1</v>
      </c>
      <c r="C691" s="0" t="s">
        <v>622</v>
      </c>
      <c r="D691" s="0" t="s">
        <v>623</v>
      </c>
      <c r="E691" s="0" t="s">
        <v>131</v>
      </c>
      <c r="F691" s="0" t="str">
        <f aca="false">'Basis Options'!A694</f>
        <v>AEPENESER</v>
      </c>
      <c r="G691" s="0" t="s">
        <v>628</v>
      </c>
      <c r="H691" s="0" t="s">
        <v>625</v>
      </c>
      <c r="I691" s="0" t="s">
        <v>626</v>
      </c>
      <c r="J691" s="0" t="s">
        <v>627</v>
      </c>
      <c r="K691" s="475" t="n">
        <f aca="false">'Basis Options'!G694</f>
        <v>36861</v>
      </c>
      <c r="L691" s="254" t="e">
        <f aca="false">'Basis Options'!U694</f>
        <v>#NAME?</v>
      </c>
      <c r="M691" s="475" t="n">
        <f aca="false">'Basis Options'!Q694</f>
        <v>36859</v>
      </c>
      <c r="N691" s="0" t="str">
        <f aca="false">'Basis Options'!F694</f>
        <v>C</v>
      </c>
      <c r="O691" s="0" t="n">
        <f aca="false">'Basis Options'!I694</f>
        <v>1.45</v>
      </c>
      <c r="P691" s="0" t="n">
        <v>0</v>
      </c>
      <c r="Q691" s="0" t="n">
        <v>0</v>
      </c>
      <c r="R691" s="0" t="n">
        <v>0</v>
      </c>
      <c r="S691" s="0" t="n">
        <v>0</v>
      </c>
      <c r="T691" s="0" t="s">
        <v>624</v>
      </c>
      <c r="U691" s="0" t="str">
        <f aca="false">IF('Basis Options'!D694="NGI/CHI. GATE","""NGI/CHI. GATE""",TRIM('Basis Options'!D694))</f>
        <v>IF-TRANSCO/Z6</v>
      </c>
      <c r="V691" s="0" t="s">
        <v>624</v>
      </c>
      <c r="W691" s="0" t="s">
        <v>569</v>
      </c>
      <c r="X691" s="0" t="s">
        <v>624</v>
      </c>
      <c r="Y691" s="0" t="s">
        <v>627</v>
      </c>
      <c r="Z691" s="0" t="s">
        <v>629</v>
      </c>
      <c r="AA691" s="0" t="s">
        <v>624</v>
      </c>
      <c r="AB691" s="0" t="s">
        <v>132</v>
      </c>
      <c r="AC691" s="254" t="n">
        <f aca="false">'Basis Options'!H694</f>
        <v>-500000</v>
      </c>
      <c r="AD691" s="254" t="e">
        <f aca="false">'Basis Options'!W694</f>
        <v>#NAME?</v>
      </c>
      <c r="AE691" s="0" t="n">
        <v>0</v>
      </c>
      <c r="AF691" s="0" t="n">
        <v>0</v>
      </c>
      <c r="AG691" s="0" t="n">
        <v>0</v>
      </c>
      <c r="AH691" s="254" t="e">
        <f aca="false">'Basis Options'!CD696</f>
        <v>#NAME?</v>
      </c>
      <c r="AI691" s="0" t="n">
        <v>226</v>
      </c>
      <c r="AJ691" s="0" t="s">
        <v>630</v>
      </c>
      <c r="AK691" s="0" t="n">
        <v>0</v>
      </c>
      <c r="AL691" s="0" t="n">
        <v>0</v>
      </c>
      <c r="AM691" s="0" t="n">
        <v>0</v>
      </c>
    </row>
    <row r="692" customFormat="false" ht="12.75" hidden="false" customHeight="false" outlineLevel="0" collapsed="false">
      <c r="A692" s="0" t="s">
        <v>621</v>
      </c>
      <c r="B692" s="0" t="str">
        <f aca="false">'Basis Options'!C695</f>
        <v>NV2737.1</v>
      </c>
      <c r="C692" s="0" t="s">
        <v>622</v>
      </c>
      <c r="D692" s="0" t="s">
        <v>623</v>
      </c>
      <c r="E692" s="0" t="s">
        <v>131</v>
      </c>
      <c r="F692" s="0" t="str">
        <f aca="false">'Basis Options'!A695</f>
        <v>AEPENESER</v>
      </c>
      <c r="G692" s="0" t="s">
        <v>628</v>
      </c>
      <c r="H692" s="0" t="s">
        <v>625</v>
      </c>
      <c r="I692" s="0" t="s">
        <v>626</v>
      </c>
      <c r="J692" s="0" t="s">
        <v>627</v>
      </c>
      <c r="K692" s="475" t="n">
        <f aca="false">'Basis Options'!G695</f>
        <v>36892</v>
      </c>
      <c r="L692" s="254" t="e">
        <f aca="false">'Basis Options'!U695</f>
        <v>#NAME?</v>
      </c>
      <c r="M692" s="475" t="n">
        <f aca="false">'Basis Options'!Q695</f>
        <v>36888</v>
      </c>
      <c r="N692" s="0" t="str">
        <f aca="false">'Basis Options'!F695</f>
        <v>C</v>
      </c>
      <c r="O692" s="0" t="n">
        <f aca="false">'Basis Options'!I695</f>
        <v>1.45</v>
      </c>
      <c r="P692" s="0" t="n">
        <v>0</v>
      </c>
      <c r="Q692" s="0" t="n">
        <v>0</v>
      </c>
      <c r="R692" s="0" t="n">
        <v>0</v>
      </c>
      <c r="S692" s="0" t="n">
        <v>0</v>
      </c>
      <c r="T692" s="0" t="s">
        <v>624</v>
      </c>
      <c r="U692" s="0" t="str">
        <f aca="false">IF('Basis Options'!D695="NGI/CHI. GATE","""NGI/CHI. GATE""",TRIM('Basis Options'!D695))</f>
        <v>IF-TRANSCO/Z6</v>
      </c>
      <c r="V692" s="0" t="s">
        <v>624</v>
      </c>
      <c r="W692" s="0" t="s">
        <v>569</v>
      </c>
      <c r="X692" s="0" t="s">
        <v>624</v>
      </c>
      <c r="Y692" s="0" t="s">
        <v>627</v>
      </c>
      <c r="Z692" s="0" t="s">
        <v>629</v>
      </c>
      <c r="AA692" s="0" t="s">
        <v>624</v>
      </c>
      <c r="AB692" s="0" t="s">
        <v>132</v>
      </c>
      <c r="AC692" s="254" t="n">
        <f aca="false">'Basis Options'!H695</f>
        <v>-500000</v>
      </c>
      <c r="AD692" s="254" t="e">
        <f aca="false">'Basis Options'!W695</f>
        <v>#NAME?</v>
      </c>
      <c r="AE692" s="0" t="n">
        <v>0</v>
      </c>
      <c r="AF692" s="0" t="n">
        <v>0</v>
      </c>
      <c r="AG692" s="0" t="n">
        <v>0</v>
      </c>
      <c r="AH692" s="254" t="e">
        <f aca="false">'Basis Options'!CD697</f>
        <v>#NAME?</v>
      </c>
      <c r="AI692" s="0" t="n">
        <v>226</v>
      </c>
      <c r="AJ692" s="0" t="s">
        <v>630</v>
      </c>
      <c r="AK692" s="0" t="n">
        <v>0</v>
      </c>
      <c r="AL692" s="0" t="n">
        <v>0</v>
      </c>
      <c r="AM692" s="0" t="n">
        <v>0</v>
      </c>
    </row>
    <row r="693" customFormat="false" ht="12.75" hidden="false" customHeight="false" outlineLevel="0" collapsed="false">
      <c r="A693" s="0" t="s">
        <v>621</v>
      </c>
      <c r="B693" s="0" t="str">
        <f aca="false">'Basis Options'!C696</f>
        <v>NV2737.1</v>
      </c>
      <c r="C693" s="0" t="s">
        <v>622</v>
      </c>
      <c r="D693" s="0" t="s">
        <v>623</v>
      </c>
      <c r="E693" s="0" t="s">
        <v>131</v>
      </c>
      <c r="F693" s="0" t="str">
        <f aca="false">'Basis Options'!A696</f>
        <v>AEPENESER</v>
      </c>
      <c r="G693" s="0" t="s">
        <v>628</v>
      </c>
      <c r="H693" s="0" t="s">
        <v>625</v>
      </c>
      <c r="I693" s="0" t="s">
        <v>626</v>
      </c>
      <c r="J693" s="0" t="s">
        <v>627</v>
      </c>
      <c r="K693" s="475" t="n">
        <f aca="false">'Basis Options'!G696</f>
        <v>36923</v>
      </c>
      <c r="L693" s="254" t="e">
        <f aca="false">'Basis Options'!U696</f>
        <v>#NAME?</v>
      </c>
      <c r="M693" s="475" t="n">
        <f aca="false">'Basis Options'!Q696</f>
        <v>36921</v>
      </c>
      <c r="N693" s="0" t="str">
        <f aca="false">'Basis Options'!F696</f>
        <v>C</v>
      </c>
      <c r="O693" s="0" t="n">
        <f aca="false">'Basis Options'!I696</f>
        <v>1.45</v>
      </c>
      <c r="P693" s="0" t="n">
        <v>0</v>
      </c>
      <c r="Q693" s="0" t="n">
        <v>0</v>
      </c>
      <c r="R693" s="0" t="n">
        <v>0</v>
      </c>
      <c r="S693" s="0" t="n">
        <v>0</v>
      </c>
      <c r="T693" s="0" t="s">
        <v>624</v>
      </c>
      <c r="U693" s="0" t="str">
        <f aca="false">IF('Basis Options'!D696="NGI/CHI. GATE","""NGI/CHI. GATE""",TRIM('Basis Options'!D696))</f>
        <v>IF-TRANSCO/Z6</v>
      </c>
      <c r="V693" s="0" t="s">
        <v>624</v>
      </c>
      <c r="W693" s="0" t="s">
        <v>569</v>
      </c>
      <c r="X693" s="0" t="s">
        <v>624</v>
      </c>
      <c r="Y693" s="0" t="s">
        <v>627</v>
      </c>
      <c r="Z693" s="0" t="s">
        <v>629</v>
      </c>
      <c r="AA693" s="0" t="s">
        <v>624</v>
      </c>
      <c r="AB693" s="0" t="s">
        <v>132</v>
      </c>
      <c r="AC693" s="254" t="n">
        <f aca="false">'Basis Options'!H696</f>
        <v>-500000</v>
      </c>
      <c r="AD693" s="254" t="e">
        <f aca="false">'Basis Options'!W696</f>
        <v>#NAME?</v>
      </c>
      <c r="AE693" s="0" t="n">
        <v>0</v>
      </c>
      <c r="AF693" s="0" t="n">
        <v>0</v>
      </c>
      <c r="AG693" s="0" t="n">
        <v>0</v>
      </c>
      <c r="AH693" s="254" t="e">
        <f aca="false">'Basis Options'!CD698</f>
        <v>#NAME?</v>
      </c>
      <c r="AI693" s="0" t="n">
        <v>226</v>
      </c>
      <c r="AJ693" s="0" t="s">
        <v>630</v>
      </c>
      <c r="AK693" s="0" t="n">
        <v>0</v>
      </c>
      <c r="AL693" s="0" t="n">
        <v>0</v>
      </c>
      <c r="AM693" s="0" t="n">
        <v>0</v>
      </c>
    </row>
    <row r="694" customFormat="false" ht="12.75" hidden="false" customHeight="false" outlineLevel="0" collapsed="false">
      <c r="A694" s="0" t="s">
        <v>621</v>
      </c>
      <c r="B694" s="0" t="str">
        <f aca="false">'Basis Options'!C697</f>
        <v>NV2737.1</v>
      </c>
      <c r="C694" s="0" t="s">
        <v>622</v>
      </c>
      <c r="D694" s="0" t="s">
        <v>623</v>
      </c>
      <c r="E694" s="0" t="s">
        <v>131</v>
      </c>
      <c r="F694" s="0" t="str">
        <f aca="false">'Basis Options'!A697</f>
        <v>AEPENESER</v>
      </c>
      <c r="G694" s="0" t="s">
        <v>628</v>
      </c>
      <c r="H694" s="0" t="s">
        <v>625</v>
      </c>
      <c r="I694" s="0" t="s">
        <v>626</v>
      </c>
      <c r="J694" s="0" t="s">
        <v>627</v>
      </c>
      <c r="K694" s="475" t="n">
        <f aca="false">'Basis Options'!G697</f>
        <v>36951</v>
      </c>
      <c r="L694" s="254" t="e">
        <f aca="false">'Basis Options'!U697</f>
        <v>#NAME?</v>
      </c>
      <c r="M694" s="475" t="n">
        <f aca="false">'Basis Options'!Q697</f>
        <v>36949</v>
      </c>
      <c r="N694" s="0" t="str">
        <f aca="false">'Basis Options'!F697</f>
        <v>C</v>
      </c>
      <c r="O694" s="0" t="n">
        <f aca="false">'Basis Options'!I697</f>
        <v>1.45</v>
      </c>
      <c r="P694" s="0" t="n">
        <v>0</v>
      </c>
      <c r="Q694" s="0" t="n">
        <v>0</v>
      </c>
      <c r="R694" s="0" t="n">
        <v>0</v>
      </c>
      <c r="S694" s="0" t="n">
        <v>0</v>
      </c>
      <c r="T694" s="0" t="s">
        <v>624</v>
      </c>
      <c r="U694" s="0" t="str">
        <f aca="false">IF('Basis Options'!D697="NGI/CHI. GATE","""NGI/CHI. GATE""",TRIM('Basis Options'!D697))</f>
        <v>IF-TRANSCO/Z6</v>
      </c>
      <c r="V694" s="0" t="s">
        <v>624</v>
      </c>
      <c r="W694" s="0" t="s">
        <v>569</v>
      </c>
      <c r="X694" s="0" t="s">
        <v>624</v>
      </c>
      <c r="Y694" s="0" t="s">
        <v>627</v>
      </c>
      <c r="Z694" s="0" t="s">
        <v>629</v>
      </c>
      <c r="AA694" s="0" t="s">
        <v>624</v>
      </c>
      <c r="AB694" s="0" t="s">
        <v>132</v>
      </c>
      <c r="AC694" s="254" t="n">
        <f aca="false">'Basis Options'!H697</f>
        <v>-500000</v>
      </c>
      <c r="AD694" s="254" t="e">
        <f aca="false">'Basis Options'!W697</f>
        <v>#NAME?</v>
      </c>
      <c r="AE694" s="0" t="n">
        <v>0</v>
      </c>
      <c r="AF694" s="0" t="n">
        <v>0</v>
      </c>
      <c r="AG694" s="0" t="n">
        <v>0</v>
      </c>
      <c r="AH694" s="254" t="e">
        <f aca="false">'Basis Options'!CD699</f>
        <v>#NAME?</v>
      </c>
      <c r="AI694" s="0" t="n">
        <v>226</v>
      </c>
      <c r="AJ694" s="0" t="s">
        <v>630</v>
      </c>
      <c r="AK694" s="0" t="n">
        <v>0</v>
      </c>
      <c r="AL694" s="0" t="n">
        <v>0</v>
      </c>
      <c r="AM694" s="0" t="n">
        <v>0</v>
      </c>
    </row>
    <row r="695" customFormat="false" ht="12.75" hidden="false" customHeight="false" outlineLevel="0" collapsed="false">
      <c r="A695" s="0" t="s">
        <v>621</v>
      </c>
      <c r="B695" s="0" t="str">
        <f aca="false">'Basis Options'!C698</f>
        <v>NV2737.2</v>
      </c>
      <c r="C695" s="0" t="s">
        <v>622</v>
      </c>
      <c r="D695" s="0" t="s">
        <v>623</v>
      </c>
      <c r="E695" s="0" t="s">
        <v>131</v>
      </c>
      <c r="F695" s="0" t="str">
        <f aca="false">'Basis Options'!A698</f>
        <v>AEPENESER</v>
      </c>
      <c r="G695" s="0" t="s">
        <v>628</v>
      </c>
      <c r="H695" s="0" t="s">
        <v>625</v>
      </c>
      <c r="I695" s="0" t="s">
        <v>626</v>
      </c>
      <c r="J695" s="0" t="s">
        <v>627</v>
      </c>
      <c r="K695" s="475" t="n">
        <f aca="false">'Basis Options'!G698</f>
        <v>36831</v>
      </c>
      <c r="L695" s="254" t="e">
        <f aca="false">'Basis Options'!U698</f>
        <v>#NAME?</v>
      </c>
      <c r="M695" s="475" t="n">
        <f aca="false">'Basis Options'!Q698</f>
        <v>36829</v>
      </c>
      <c r="N695" s="0" t="str">
        <f aca="false">'Basis Options'!F698</f>
        <v>P</v>
      </c>
      <c r="O695" s="0" t="n">
        <f aca="false">'Basis Options'!I698</f>
        <v>1.45</v>
      </c>
      <c r="P695" s="0" t="n">
        <v>0</v>
      </c>
      <c r="Q695" s="0" t="n">
        <v>0</v>
      </c>
      <c r="R695" s="0" t="n">
        <v>0</v>
      </c>
      <c r="S695" s="0" t="n">
        <v>0</v>
      </c>
      <c r="T695" s="0" t="s">
        <v>624</v>
      </c>
      <c r="U695" s="0" t="str">
        <f aca="false">IF('Basis Options'!D698="NGI/CHI. GATE","""NGI/CHI. GATE""",TRIM('Basis Options'!D698))</f>
        <v>IF-TRANSCO/Z6</v>
      </c>
      <c r="V695" s="0" t="s">
        <v>624</v>
      </c>
      <c r="W695" s="0" t="s">
        <v>569</v>
      </c>
      <c r="X695" s="0" t="s">
        <v>624</v>
      </c>
      <c r="Y695" s="0" t="s">
        <v>627</v>
      </c>
      <c r="Z695" s="0" t="s">
        <v>629</v>
      </c>
      <c r="AA695" s="0" t="s">
        <v>624</v>
      </c>
      <c r="AB695" s="0" t="s">
        <v>132</v>
      </c>
      <c r="AC695" s="254" t="n">
        <f aca="false">'Basis Options'!H698</f>
        <v>-500000</v>
      </c>
      <c r="AD695" s="254" t="e">
        <f aca="false">'Basis Options'!W698</f>
        <v>#NAME?</v>
      </c>
      <c r="AE695" s="0" t="n">
        <v>0</v>
      </c>
      <c r="AF695" s="0" t="n">
        <v>0</v>
      </c>
      <c r="AG695" s="0" t="n">
        <v>0</v>
      </c>
      <c r="AH695" s="254" t="e">
        <f aca="false">'Basis Options'!CD700</f>
        <v>#NAME?</v>
      </c>
      <c r="AI695" s="0" t="n">
        <v>226</v>
      </c>
      <c r="AJ695" s="0" t="s">
        <v>630</v>
      </c>
      <c r="AK695" s="0" t="n">
        <v>0</v>
      </c>
      <c r="AL695" s="0" t="n">
        <v>0</v>
      </c>
      <c r="AM695" s="0" t="n">
        <v>0</v>
      </c>
    </row>
    <row r="696" customFormat="false" ht="12.75" hidden="false" customHeight="false" outlineLevel="0" collapsed="false">
      <c r="A696" s="0" t="s">
        <v>621</v>
      </c>
      <c r="B696" s="0" t="str">
        <f aca="false">'Basis Options'!C699</f>
        <v>NV2737.2</v>
      </c>
      <c r="C696" s="0" t="s">
        <v>622</v>
      </c>
      <c r="D696" s="0" t="s">
        <v>623</v>
      </c>
      <c r="E696" s="0" t="s">
        <v>131</v>
      </c>
      <c r="F696" s="0" t="str">
        <f aca="false">'Basis Options'!A699</f>
        <v>AEPENESER</v>
      </c>
      <c r="G696" s="0" t="s">
        <v>628</v>
      </c>
      <c r="H696" s="0" t="s">
        <v>625</v>
      </c>
      <c r="I696" s="0" t="s">
        <v>626</v>
      </c>
      <c r="J696" s="0" t="s">
        <v>627</v>
      </c>
      <c r="K696" s="475" t="n">
        <f aca="false">'Basis Options'!G699</f>
        <v>36861</v>
      </c>
      <c r="L696" s="254" t="e">
        <f aca="false">'Basis Options'!U699</f>
        <v>#NAME?</v>
      </c>
      <c r="M696" s="475" t="n">
        <f aca="false">'Basis Options'!Q699</f>
        <v>36859</v>
      </c>
      <c r="N696" s="0" t="str">
        <f aca="false">'Basis Options'!F699</f>
        <v>P</v>
      </c>
      <c r="O696" s="0" t="n">
        <f aca="false">'Basis Options'!I699</f>
        <v>1.45</v>
      </c>
      <c r="P696" s="0" t="n">
        <v>0</v>
      </c>
      <c r="Q696" s="0" t="n">
        <v>0</v>
      </c>
      <c r="R696" s="0" t="n">
        <v>0</v>
      </c>
      <c r="S696" s="0" t="n">
        <v>0</v>
      </c>
      <c r="T696" s="0" t="s">
        <v>624</v>
      </c>
      <c r="U696" s="0" t="str">
        <f aca="false">IF('Basis Options'!D699="NGI/CHI. GATE","""NGI/CHI. GATE""",TRIM('Basis Options'!D699))</f>
        <v>IF-TRANSCO/Z6</v>
      </c>
      <c r="V696" s="0" t="s">
        <v>624</v>
      </c>
      <c r="W696" s="0" t="s">
        <v>569</v>
      </c>
      <c r="X696" s="0" t="s">
        <v>624</v>
      </c>
      <c r="Y696" s="0" t="s">
        <v>627</v>
      </c>
      <c r="Z696" s="0" t="s">
        <v>629</v>
      </c>
      <c r="AA696" s="0" t="s">
        <v>624</v>
      </c>
      <c r="AB696" s="0" t="s">
        <v>132</v>
      </c>
      <c r="AC696" s="254" t="n">
        <f aca="false">'Basis Options'!H699</f>
        <v>-500000</v>
      </c>
      <c r="AD696" s="254" t="e">
        <f aca="false">'Basis Options'!W699</f>
        <v>#NAME?</v>
      </c>
      <c r="AE696" s="0" t="n">
        <v>0</v>
      </c>
      <c r="AF696" s="0" t="n">
        <v>0</v>
      </c>
      <c r="AG696" s="0" t="n">
        <v>0</v>
      </c>
      <c r="AH696" s="254" t="e">
        <f aca="false">'Basis Options'!CD701</f>
        <v>#NAME?</v>
      </c>
      <c r="AI696" s="0" t="n">
        <v>226</v>
      </c>
      <c r="AJ696" s="0" t="s">
        <v>630</v>
      </c>
      <c r="AK696" s="0" t="n">
        <v>0</v>
      </c>
      <c r="AL696" s="0" t="n">
        <v>0</v>
      </c>
      <c r="AM696" s="0" t="n">
        <v>0</v>
      </c>
    </row>
    <row r="697" customFormat="false" ht="12.75" hidden="false" customHeight="false" outlineLevel="0" collapsed="false">
      <c r="A697" s="0" t="s">
        <v>621</v>
      </c>
      <c r="B697" s="0" t="str">
        <f aca="false">'Basis Options'!C700</f>
        <v>NV2737.2</v>
      </c>
      <c r="C697" s="0" t="s">
        <v>622</v>
      </c>
      <c r="D697" s="0" t="s">
        <v>623</v>
      </c>
      <c r="E697" s="0" t="s">
        <v>131</v>
      </c>
      <c r="F697" s="0" t="str">
        <f aca="false">'Basis Options'!A700</f>
        <v>AEPENESER</v>
      </c>
      <c r="G697" s="0" t="s">
        <v>628</v>
      </c>
      <c r="H697" s="0" t="s">
        <v>625</v>
      </c>
      <c r="I697" s="0" t="s">
        <v>626</v>
      </c>
      <c r="J697" s="0" t="s">
        <v>627</v>
      </c>
      <c r="K697" s="475" t="n">
        <f aca="false">'Basis Options'!G700</f>
        <v>36892</v>
      </c>
      <c r="L697" s="254" t="e">
        <f aca="false">'Basis Options'!U700</f>
        <v>#NAME?</v>
      </c>
      <c r="M697" s="475" t="n">
        <f aca="false">'Basis Options'!Q700</f>
        <v>36888</v>
      </c>
      <c r="N697" s="0" t="str">
        <f aca="false">'Basis Options'!F700</f>
        <v>P</v>
      </c>
      <c r="O697" s="0" t="n">
        <f aca="false">'Basis Options'!I700</f>
        <v>1.45</v>
      </c>
      <c r="P697" s="0" t="n">
        <v>0</v>
      </c>
      <c r="Q697" s="0" t="n">
        <v>0</v>
      </c>
      <c r="R697" s="0" t="n">
        <v>0</v>
      </c>
      <c r="S697" s="0" t="n">
        <v>0</v>
      </c>
      <c r="T697" s="0" t="s">
        <v>624</v>
      </c>
      <c r="U697" s="0" t="str">
        <f aca="false">IF('Basis Options'!D700="NGI/CHI. GATE","""NGI/CHI. GATE""",TRIM('Basis Options'!D700))</f>
        <v>IF-TRANSCO/Z6</v>
      </c>
      <c r="V697" s="0" t="s">
        <v>624</v>
      </c>
      <c r="W697" s="0" t="s">
        <v>569</v>
      </c>
      <c r="X697" s="0" t="s">
        <v>624</v>
      </c>
      <c r="Y697" s="0" t="s">
        <v>627</v>
      </c>
      <c r="Z697" s="0" t="s">
        <v>629</v>
      </c>
      <c r="AA697" s="0" t="s">
        <v>624</v>
      </c>
      <c r="AB697" s="0" t="s">
        <v>132</v>
      </c>
      <c r="AC697" s="254" t="n">
        <f aca="false">'Basis Options'!H700</f>
        <v>-500000</v>
      </c>
      <c r="AD697" s="254" t="e">
        <f aca="false">'Basis Options'!W700</f>
        <v>#NAME?</v>
      </c>
      <c r="AE697" s="0" t="n">
        <v>0</v>
      </c>
      <c r="AF697" s="0" t="n">
        <v>0</v>
      </c>
      <c r="AG697" s="0" t="n">
        <v>0</v>
      </c>
      <c r="AH697" s="254" t="e">
        <f aca="false">'Basis Options'!CD702</f>
        <v>#NAME?</v>
      </c>
      <c r="AI697" s="0" t="n">
        <v>226</v>
      </c>
      <c r="AJ697" s="0" t="s">
        <v>630</v>
      </c>
      <c r="AK697" s="0" t="n">
        <v>0</v>
      </c>
      <c r="AL697" s="0" t="n">
        <v>0</v>
      </c>
      <c r="AM697" s="0" t="n">
        <v>0</v>
      </c>
    </row>
    <row r="698" customFormat="false" ht="12.75" hidden="false" customHeight="false" outlineLevel="0" collapsed="false">
      <c r="A698" s="0" t="s">
        <v>621</v>
      </c>
      <c r="B698" s="0" t="str">
        <f aca="false">'Basis Options'!C701</f>
        <v>NV2737.2</v>
      </c>
      <c r="C698" s="0" t="s">
        <v>622</v>
      </c>
      <c r="D698" s="0" t="s">
        <v>623</v>
      </c>
      <c r="E698" s="0" t="s">
        <v>131</v>
      </c>
      <c r="F698" s="0" t="str">
        <f aca="false">'Basis Options'!A701</f>
        <v>AEPENESER</v>
      </c>
      <c r="G698" s="0" t="s">
        <v>628</v>
      </c>
      <c r="H698" s="0" t="s">
        <v>625</v>
      </c>
      <c r="I698" s="0" t="s">
        <v>626</v>
      </c>
      <c r="J698" s="0" t="s">
        <v>627</v>
      </c>
      <c r="K698" s="475" t="n">
        <f aca="false">'Basis Options'!G701</f>
        <v>36923</v>
      </c>
      <c r="L698" s="254" t="e">
        <f aca="false">'Basis Options'!U701</f>
        <v>#NAME?</v>
      </c>
      <c r="M698" s="475" t="n">
        <f aca="false">'Basis Options'!Q701</f>
        <v>36921</v>
      </c>
      <c r="N698" s="0" t="str">
        <f aca="false">'Basis Options'!F701</f>
        <v>P</v>
      </c>
      <c r="O698" s="0" t="n">
        <f aca="false">'Basis Options'!I701</f>
        <v>1.45</v>
      </c>
      <c r="P698" s="0" t="n">
        <v>0</v>
      </c>
      <c r="Q698" s="0" t="n">
        <v>0</v>
      </c>
      <c r="R698" s="0" t="n">
        <v>0</v>
      </c>
      <c r="S698" s="0" t="n">
        <v>0</v>
      </c>
      <c r="T698" s="0" t="s">
        <v>624</v>
      </c>
      <c r="U698" s="0" t="str">
        <f aca="false">IF('Basis Options'!D701="NGI/CHI. GATE","""NGI/CHI. GATE""",TRIM('Basis Options'!D701))</f>
        <v>IF-TRANSCO/Z6</v>
      </c>
      <c r="V698" s="0" t="s">
        <v>624</v>
      </c>
      <c r="W698" s="0" t="s">
        <v>569</v>
      </c>
      <c r="X698" s="0" t="s">
        <v>624</v>
      </c>
      <c r="Y698" s="0" t="s">
        <v>627</v>
      </c>
      <c r="Z698" s="0" t="s">
        <v>629</v>
      </c>
      <c r="AA698" s="0" t="s">
        <v>624</v>
      </c>
      <c r="AB698" s="0" t="s">
        <v>132</v>
      </c>
      <c r="AC698" s="254" t="n">
        <f aca="false">'Basis Options'!H701</f>
        <v>-500000</v>
      </c>
      <c r="AD698" s="254" t="e">
        <f aca="false">'Basis Options'!W701</f>
        <v>#NAME?</v>
      </c>
      <c r="AE698" s="0" t="n">
        <v>0</v>
      </c>
      <c r="AF698" s="0" t="n">
        <v>0</v>
      </c>
      <c r="AG698" s="0" t="n">
        <v>0</v>
      </c>
      <c r="AH698" s="254" t="e">
        <f aca="false">'Basis Options'!CD703</f>
        <v>#NAME?</v>
      </c>
      <c r="AI698" s="0" t="n">
        <v>226</v>
      </c>
      <c r="AJ698" s="0" t="s">
        <v>630</v>
      </c>
      <c r="AK698" s="0" t="n">
        <v>0</v>
      </c>
      <c r="AL698" s="0" t="n">
        <v>0</v>
      </c>
      <c r="AM698" s="0" t="n">
        <v>0</v>
      </c>
    </row>
    <row r="699" customFormat="false" ht="12.75" hidden="false" customHeight="false" outlineLevel="0" collapsed="false">
      <c r="A699" s="0" t="s">
        <v>621</v>
      </c>
      <c r="B699" s="0" t="str">
        <f aca="false">'Basis Options'!C702</f>
        <v>NV2737.2</v>
      </c>
      <c r="C699" s="0" t="s">
        <v>622</v>
      </c>
      <c r="D699" s="0" t="s">
        <v>623</v>
      </c>
      <c r="E699" s="0" t="s">
        <v>131</v>
      </c>
      <c r="F699" s="0" t="str">
        <f aca="false">'Basis Options'!A702</f>
        <v>AEPENESER</v>
      </c>
      <c r="G699" s="0" t="s">
        <v>628</v>
      </c>
      <c r="H699" s="0" t="s">
        <v>625</v>
      </c>
      <c r="I699" s="0" t="s">
        <v>626</v>
      </c>
      <c r="J699" s="0" t="s">
        <v>627</v>
      </c>
      <c r="K699" s="475" t="n">
        <f aca="false">'Basis Options'!G702</f>
        <v>36951</v>
      </c>
      <c r="L699" s="254" t="e">
        <f aca="false">'Basis Options'!U702</f>
        <v>#NAME?</v>
      </c>
      <c r="M699" s="475" t="n">
        <f aca="false">'Basis Options'!Q702</f>
        <v>36949</v>
      </c>
      <c r="N699" s="0" t="str">
        <f aca="false">'Basis Options'!F702</f>
        <v>P</v>
      </c>
      <c r="O699" s="0" t="n">
        <f aca="false">'Basis Options'!I702</f>
        <v>1.45</v>
      </c>
      <c r="P699" s="0" t="n">
        <v>0</v>
      </c>
      <c r="Q699" s="0" t="n">
        <v>0</v>
      </c>
      <c r="R699" s="0" t="n">
        <v>0</v>
      </c>
      <c r="S699" s="0" t="n">
        <v>0</v>
      </c>
      <c r="T699" s="0" t="s">
        <v>624</v>
      </c>
      <c r="U699" s="0" t="str">
        <f aca="false">IF('Basis Options'!D702="NGI/CHI. GATE","""NGI/CHI. GATE""",TRIM('Basis Options'!D702))</f>
        <v>IF-TRANSCO/Z6</v>
      </c>
      <c r="V699" s="0" t="s">
        <v>624</v>
      </c>
      <c r="W699" s="0" t="s">
        <v>569</v>
      </c>
      <c r="X699" s="0" t="s">
        <v>624</v>
      </c>
      <c r="Y699" s="0" t="s">
        <v>627</v>
      </c>
      <c r="Z699" s="0" t="s">
        <v>629</v>
      </c>
      <c r="AA699" s="0" t="s">
        <v>624</v>
      </c>
      <c r="AB699" s="0" t="s">
        <v>132</v>
      </c>
      <c r="AC699" s="254" t="n">
        <f aca="false">'Basis Options'!H702</f>
        <v>-500000</v>
      </c>
      <c r="AD699" s="254" t="e">
        <f aca="false">'Basis Options'!W702</f>
        <v>#NAME?</v>
      </c>
      <c r="AE699" s="0" t="n">
        <v>0</v>
      </c>
      <c r="AF699" s="0" t="n">
        <v>0</v>
      </c>
      <c r="AG699" s="0" t="n">
        <v>0</v>
      </c>
      <c r="AH699" s="254" t="e">
        <f aca="false">'Basis Options'!CD704</f>
        <v>#NAME?</v>
      </c>
      <c r="AI699" s="0" t="n">
        <v>226</v>
      </c>
      <c r="AJ699" s="0" t="s">
        <v>630</v>
      </c>
      <c r="AK699" s="0" t="n">
        <v>0</v>
      </c>
      <c r="AL699" s="0" t="n">
        <v>0</v>
      </c>
      <c r="AM699" s="0" t="n">
        <v>0</v>
      </c>
    </row>
    <row r="700" customFormat="false" ht="12.75" hidden="false" customHeight="false" outlineLevel="0" collapsed="false">
      <c r="A700" s="0" t="s">
        <v>621</v>
      </c>
      <c r="B700" s="0" t="str">
        <f aca="false">'Basis Options'!C703</f>
        <v>NV2771</v>
      </c>
      <c r="C700" s="0" t="s">
        <v>622</v>
      </c>
      <c r="D700" s="0" t="s">
        <v>623</v>
      </c>
      <c r="E700" s="0" t="s">
        <v>131</v>
      </c>
      <c r="F700" s="0" t="str">
        <f aca="false">'Basis Options'!A703</f>
        <v>AEPENESER</v>
      </c>
      <c r="G700" s="0" t="s">
        <v>628</v>
      </c>
      <c r="H700" s="0" t="s">
        <v>625</v>
      </c>
      <c r="I700" s="0" t="s">
        <v>626</v>
      </c>
      <c r="J700" s="0" t="s">
        <v>627</v>
      </c>
      <c r="K700" s="475" t="n">
        <f aca="false">'Basis Options'!G703</f>
        <v>36831</v>
      </c>
      <c r="L700" s="254" t="e">
        <f aca="false">'Basis Options'!U703</f>
        <v>#NAME?</v>
      </c>
      <c r="M700" s="475" t="n">
        <f aca="false">'Basis Options'!Q703</f>
        <v>36829</v>
      </c>
      <c r="N700" s="0" t="str">
        <f aca="false">'Basis Options'!F703</f>
        <v>P</v>
      </c>
      <c r="O700" s="0" t="n">
        <f aca="false">'Basis Options'!I703</f>
        <v>0.95</v>
      </c>
      <c r="P700" s="0" t="n">
        <v>0</v>
      </c>
      <c r="Q700" s="0" t="n">
        <v>0</v>
      </c>
      <c r="R700" s="0" t="n">
        <v>0</v>
      </c>
      <c r="S700" s="0" t="n">
        <v>0</v>
      </c>
      <c r="T700" s="0" t="s">
        <v>624</v>
      </c>
      <c r="U700" s="0" t="str">
        <f aca="false">IF('Basis Options'!D703="NGI/CHI. GATE","""NGI/CHI. GATE""",TRIM('Basis Options'!D703))</f>
        <v>IF-TRANSCO/Z6</v>
      </c>
      <c r="V700" s="0" t="s">
        <v>624</v>
      </c>
      <c r="W700" s="0" t="s">
        <v>569</v>
      </c>
      <c r="X700" s="0" t="s">
        <v>624</v>
      </c>
      <c r="Y700" s="0" t="s">
        <v>627</v>
      </c>
      <c r="Z700" s="0" t="s">
        <v>629</v>
      </c>
      <c r="AA700" s="0" t="s">
        <v>624</v>
      </c>
      <c r="AB700" s="0" t="s">
        <v>132</v>
      </c>
      <c r="AC700" s="254" t="n">
        <f aca="false">'Basis Options'!H703</f>
        <v>1000000</v>
      </c>
      <c r="AD700" s="254" t="e">
        <f aca="false">'Basis Options'!W703</f>
        <v>#NAME?</v>
      </c>
      <c r="AE700" s="0" t="n">
        <v>0</v>
      </c>
      <c r="AF700" s="0" t="n">
        <v>0</v>
      </c>
      <c r="AG700" s="0" t="n">
        <v>0</v>
      </c>
      <c r="AH700" s="254" t="e">
        <f aca="false">'Basis Options'!CD705</f>
        <v>#NAME?</v>
      </c>
      <c r="AI700" s="0" t="n">
        <v>226</v>
      </c>
      <c r="AJ700" s="0" t="s">
        <v>630</v>
      </c>
      <c r="AK700" s="0" t="n">
        <v>0</v>
      </c>
      <c r="AL700" s="0" t="n">
        <v>0</v>
      </c>
      <c r="AM700" s="0" t="n">
        <v>0</v>
      </c>
    </row>
    <row r="701" customFormat="false" ht="12.75" hidden="false" customHeight="false" outlineLevel="0" collapsed="false">
      <c r="A701" s="0" t="s">
        <v>621</v>
      </c>
      <c r="B701" s="0" t="str">
        <f aca="false">'Basis Options'!C704</f>
        <v>NV2771</v>
      </c>
      <c r="C701" s="0" t="s">
        <v>622</v>
      </c>
      <c r="D701" s="0" t="s">
        <v>623</v>
      </c>
      <c r="E701" s="0" t="s">
        <v>131</v>
      </c>
      <c r="F701" s="0" t="str">
        <f aca="false">'Basis Options'!A704</f>
        <v>AEPENESER</v>
      </c>
      <c r="G701" s="0" t="s">
        <v>628</v>
      </c>
      <c r="H701" s="0" t="s">
        <v>625</v>
      </c>
      <c r="I701" s="0" t="s">
        <v>626</v>
      </c>
      <c r="J701" s="0" t="s">
        <v>627</v>
      </c>
      <c r="K701" s="475" t="n">
        <f aca="false">'Basis Options'!G704</f>
        <v>36861</v>
      </c>
      <c r="L701" s="254" t="e">
        <f aca="false">'Basis Options'!U704</f>
        <v>#NAME?</v>
      </c>
      <c r="M701" s="475" t="n">
        <f aca="false">'Basis Options'!Q704</f>
        <v>36859</v>
      </c>
      <c r="N701" s="0" t="str">
        <f aca="false">'Basis Options'!F704</f>
        <v>P</v>
      </c>
      <c r="O701" s="0" t="n">
        <f aca="false">'Basis Options'!I704</f>
        <v>0.95</v>
      </c>
      <c r="P701" s="0" t="n">
        <v>0</v>
      </c>
      <c r="Q701" s="0" t="n">
        <v>0</v>
      </c>
      <c r="R701" s="0" t="n">
        <v>0</v>
      </c>
      <c r="S701" s="0" t="n">
        <v>0</v>
      </c>
      <c r="T701" s="0" t="s">
        <v>624</v>
      </c>
      <c r="U701" s="0" t="str">
        <f aca="false">IF('Basis Options'!D704="NGI/CHI. GATE","""NGI/CHI. GATE""",TRIM('Basis Options'!D704))</f>
        <v>IF-TRANSCO/Z6</v>
      </c>
      <c r="V701" s="0" t="s">
        <v>624</v>
      </c>
      <c r="W701" s="0" t="s">
        <v>569</v>
      </c>
      <c r="X701" s="0" t="s">
        <v>624</v>
      </c>
      <c r="Y701" s="0" t="s">
        <v>627</v>
      </c>
      <c r="Z701" s="0" t="s">
        <v>629</v>
      </c>
      <c r="AA701" s="0" t="s">
        <v>624</v>
      </c>
      <c r="AB701" s="0" t="s">
        <v>132</v>
      </c>
      <c r="AC701" s="254" t="n">
        <f aca="false">'Basis Options'!H704</f>
        <v>1000000</v>
      </c>
      <c r="AD701" s="254" t="e">
        <f aca="false">'Basis Options'!W704</f>
        <v>#NAME?</v>
      </c>
      <c r="AE701" s="0" t="n">
        <v>0</v>
      </c>
      <c r="AF701" s="0" t="n">
        <v>0</v>
      </c>
      <c r="AG701" s="0" t="n">
        <v>0</v>
      </c>
      <c r="AH701" s="254" t="e">
        <f aca="false">'Basis Options'!CD706</f>
        <v>#NAME?</v>
      </c>
      <c r="AI701" s="0" t="n">
        <v>226</v>
      </c>
      <c r="AJ701" s="0" t="s">
        <v>630</v>
      </c>
      <c r="AK701" s="0" t="n">
        <v>0</v>
      </c>
      <c r="AL701" s="0" t="n">
        <v>0</v>
      </c>
      <c r="AM701" s="0" t="n">
        <v>0</v>
      </c>
    </row>
    <row r="702" customFormat="false" ht="12.75" hidden="false" customHeight="false" outlineLevel="0" collapsed="false">
      <c r="A702" s="0" t="s">
        <v>621</v>
      </c>
      <c r="B702" s="0" t="str">
        <f aca="false">'Basis Options'!C705</f>
        <v>NV2771</v>
      </c>
      <c r="C702" s="0" t="s">
        <v>622</v>
      </c>
      <c r="D702" s="0" t="s">
        <v>623</v>
      </c>
      <c r="E702" s="0" t="s">
        <v>131</v>
      </c>
      <c r="F702" s="0" t="str">
        <f aca="false">'Basis Options'!A705</f>
        <v>AEPENESER</v>
      </c>
      <c r="G702" s="0" t="s">
        <v>628</v>
      </c>
      <c r="H702" s="0" t="s">
        <v>625</v>
      </c>
      <c r="I702" s="0" t="s">
        <v>626</v>
      </c>
      <c r="J702" s="0" t="s">
        <v>627</v>
      </c>
      <c r="K702" s="475" t="n">
        <f aca="false">'Basis Options'!G705</f>
        <v>36892</v>
      </c>
      <c r="L702" s="254" t="e">
        <f aca="false">'Basis Options'!U705</f>
        <v>#NAME?</v>
      </c>
      <c r="M702" s="475" t="n">
        <f aca="false">'Basis Options'!Q705</f>
        <v>36888</v>
      </c>
      <c r="N702" s="0" t="str">
        <f aca="false">'Basis Options'!F705</f>
        <v>P</v>
      </c>
      <c r="O702" s="0" t="n">
        <f aca="false">'Basis Options'!I705</f>
        <v>0.95</v>
      </c>
      <c r="P702" s="0" t="n">
        <v>0</v>
      </c>
      <c r="Q702" s="0" t="n">
        <v>0</v>
      </c>
      <c r="R702" s="0" t="n">
        <v>0</v>
      </c>
      <c r="S702" s="0" t="n">
        <v>0</v>
      </c>
      <c r="T702" s="0" t="s">
        <v>624</v>
      </c>
      <c r="U702" s="0" t="str">
        <f aca="false">IF('Basis Options'!D705="NGI/CHI. GATE","""NGI/CHI. GATE""",TRIM('Basis Options'!D705))</f>
        <v>IF-TRANSCO/Z6</v>
      </c>
      <c r="V702" s="0" t="s">
        <v>624</v>
      </c>
      <c r="W702" s="0" t="s">
        <v>569</v>
      </c>
      <c r="X702" s="0" t="s">
        <v>624</v>
      </c>
      <c r="Y702" s="0" t="s">
        <v>627</v>
      </c>
      <c r="Z702" s="0" t="s">
        <v>629</v>
      </c>
      <c r="AA702" s="0" t="s">
        <v>624</v>
      </c>
      <c r="AB702" s="0" t="s">
        <v>132</v>
      </c>
      <c r="AC702" s="254" t="n">
        <f aca="false">'Basis Options'!H705</f>
        <v>1000000</v>
      </c>
      <c r="AD702" s="254" t="e">
        <f aca="false">'Basis Options'!W705</f>
        <v>#NAME?</v>
      </c>
      <c r="AE702" s="0" t="n">
        <v>0</v>
      </c>
      <c r="AF702" s="0" t="n">
        <v>0</v>
      </c>
      <c r="AG702" s="0" t="n">
        <v>0</v>
      </c>
      <c r="AH702" s="254" t="e">
        <f aca="false">'Basis Options'!CD707</f>
        <v>#NAME?</v>
      </c>
      <c r="AI702" s="0" t="n">
        <v>226</v>
      </c>
      <c r="AJ702" s="0" t="s">
        <v>630</v>
      </c>
      <c r="AK702" s="0" t="n">
        <v>0</v>
      </c>
      <c r="AL702" s="0" t="n">
        <v>0</v>
      </c>
      <c r="AM702" s="0" t="n">
        <v>0</v>
      </c>
    </row>
    <row r="703" customFormat="false" ht="12.75" hidden="false" customHeight="false" outlineLevel="0" collapsed="false">
      <c r="A703" s="0" t="s">
        <v>621</v>
      </c>
      <c r="B703" s="0" t="str">
        <f aca="false">'Basis Options'!C706</f>
        <v>NV2771</v>
      </c>
      <c r="C703" s="0" t="s">
        <v>622</v>
      </c>
      <c r="D703" s="0" t="s">
        <v>623</v>
      </c>
      <c r="E703" s="0" t="s">
        <v>131</v>
      </c>
      <c r="F703" s="0" t="str">
        <f aca="false">'Basis Options'!A706</f>
        <v>AEPENESER</v>
      </c>
      <c r="G703" s="0" t="s">
        <v>628</v>
      </c>
      <c r="H703" s="0" t="s">
        <v>625</v>
      </c>
      <c r="I703" s="0" t="s">
        <v>626</v>
      </c>
      <c r="J703" s="0" t="s">
        <v>627</v>
      </c>
      <c r="K703" s="475" t="n">
        <f aca="false">'Basis Options'!G706</f>
        <v>36923</v>
      </c>
      <c r="L703" s="254" t="e">
        <f aca="false">'Basis Options'!U706</f>
        <v>#NAME?</v>
      </c>
      <c r="M703" s="475" t="n">
        <f aca="false">'Basis Options'!Q706</f>
        <v>36921</v>
      </c>
      <c r="N703" s="0" t="str">
        <f aca="false">'Basis Options'!F706</f>
        <v>P</v>
      </c>
      <c r="O703" s="0" t="n">
        <f aca="false">'Basis Options'!I706</f>
        <v>0.95</v>
      </c>
      <c r="P703" s="0" t="n">
        <v>0</v>
      </c>
      <c r="Q703" s="0" t="n">
        <v>0</v>
      </c>
      <c r="R703" s="0" t="n">
        <v>0</v>
      </c>
      <c r="S703" s="0" t="n">
        <v>0</v>
      </c>
      <c r="T703" s="0" t="s">
        <v>624</v>
      </c>
      <c r="U703" s="0" t="str">
        <f aca="false">IF('Basis Options'!D706="NGI/CHI. GATE","""NGI/CHI. GATE""",TRIM('Basis Options'!D706))</f>
        <v>IF-TRANSCO/Z6</v>
      </c>
      <c r="V703" s="0" t="s">
        <v>624</v>
      </c>
      <c r="W703" s="0" t="s">
        <v>569</v>
      </c>
      <c r="X703" s="0" t="s">
        <v>624</v>
      </c>
      <c r="Y703" s="0" t="s">
        <v>627</v>
      </c>
      <c r="Z703" s="0" t="s">
        <v>629</v>
      </c>
      <c r="AA703" s="0" t="s">
        <v>624</v>
      </c>
      <c r="AB703" s="0" t="s">
        <v>132</v>
      </c>
      <c r="AC703" s="254" t="n">
        <f aca="false">'Basis Options'!H706</f>
        <v>1000000</v>
      </c>
      <c r="AD703" s="254" t="e">
        <f aca="false">'Basis Options'!W706</f>
        <v>#NAME?</v>
      </c>
      <c r="AE703" s="0" t="n">
        <v>0</v>
      </c>
      <c r="AF703" s="0" t="n">
        <v>0</v>
      </c>
      <c r="AG703" s="0" t="n">
        <v>0</v>
      </c>
      <c r="AH703" s="254" t="e">
        <f aca="false">'Basis Options'!CD708</f>
        <v>#NAME?</v>
      </c>
      <c r="AI703" s="0" t="n">
        <v>226</v>
      </c>
      <c r="AJ703" s="0" t="s">
        <v>630</v>
      </c>
      <c r="AK703" s="0" t="n">
        <v>0</v>
      </c>
      <c r="AL703" s="0" t="n">
        <v>0</v>
      </c>
      <c r="AM703" s="0" t="n">
        <v>0</v>
      </c>
    </row>
    <row r="704" customFormat="false" ht="12.75" hidden="false" customHeight="false" outlineLevel="0" collapsed="false">
      <c r="A704" s="0" t="s">
        <v>621</v>
      </c>
      <c r="B704" s="0" t="str">
        <f aca="false">'Basis Options'!C707</f>
        <v>NV2771</v>
      </c>
      <c r="C704" s="0" t="s">
        <v>622</v>
      </c>
      <c r="D704" s="0" t="s">
        <v>623</v>
      </c>
      <c r="E704" s="0" t="s">
        <v>131</v>
      </c>
      <c r="F704" s="0" t="str">
        <f aca="false">'Basis Options'!A707</f>
        <v>AEPENESER</v>
      </c>
      <c r="G704" s="0" t="s">
        <v>628</v>
      </c>
      <c r="H704" s="0" t="s">
        <v>625</v>
      </c>
      <c r="I704" s="0" t="s">
        <v>626</v>
      </c>
      <c r="J704" s="0" t="s">
        <v>627</v>
      </c>
      <c r="K704" s="475" t="n">
        <f aca="false">'Basis Options'!G707</f>
        <v>36951</v>
      </c>
      <c r="L704" s="254" t="e">
        <f aca="false">'Basis Options'!U707</f>
        <v>#NAME?</v>
      </c>
      <c r="M704" s="475" t="n">
        <f aca="false">'Basis Options'!Q707</f>
        <v>36949</v>
      </c>
      <c r="N704" s="0" t="str">
        <f aca="false">'Basis Options'!F707</f>
        <v>P</v>
      </c>
      <c r="O704" s="0" t="n">
        <f aca="false">'Basis Options'!I707</f>
        <v>0.95</v>
      </c>
      <c r="P704" s="0" t="n">
        <v>0</v>
      </c>
      <c r="Q704" s="0" t="n">
        <v>0</v>
      </c>
      <c r="R704" s="0" t="n">
        <v>0</v>
      </c>
      <c r="S704" s="0" t="n">
        <v>0</v>
      </c>
      <c r="T704" s="0" t="s">
        <v>624</v>
      </c>
      <c r="U704" s="0" t="str">
        <f aca="false">IF('Basis Options'!D707="NGI/CHI. GATE","""NGI/CHI. GATE""",TRIM('Basis Options'!D707))</f>
        <v>IF-TRANSCO/Z6</v>
      </c>
      <c r="V704" s="0" t="s">
        <v>624</v>
      </c>
      <c r="W704" s="0" t="s">
        <v>569</v>
      </c>
      <c r="X704" s="0" t="s">
        <v>624</v>
      </c>
      <c r="Y704" s="0" t="s">
        <v>627</v>
      </c>
      <c r="Z704" s="0" t="s">
        <v>629</v>
      </c>
      <c r="AA704" s="0" t="s">
        <v>624</v>
      </c>
      <c r="AB704" s="0" t="s">
        <v>132</v>
      </c>
      <c r="AC704" s="254" t="n">
        <f aca="false">'Basis Options'!H707</f>
        <v>1000000</v>
      </c>
      <c r="AD704" s="254" t="e">
        <f aca="false">'Basis Options'!W707</f>
        <v>#NAME?</v>
      </c>
      <c r="AE704" s="0" t="n">
        <v>0</v>
      </c>
      <c r="AF704" s="0" t="n">
        <v>0</v>
      </c>
      <c r="AG704" s="0" t="n">
        <v>0</v>
      </c>
      <c r="AH704" s="254" t="e">
        <f aca="false">'Basis Options'!CD709</f>
        <v>#NAME?</v>
      </c>
      <c r="AI704" s="0" t="n">
        <v>226</v>
      </c>
      <c r="AJ704" s="0" t="s">
        <v>630</v>
      </c>
      <c r="AK704" s="0" t="n">
        <v>0</v>
      </c>
      <c r="AL704" s="0" t="n">
        <v>0</v>
      </c>
      <c r="AM704" s="0" t="n">
        <v>0</v>
      </c>
    </row>
    <row r="705" customFormat="false" ht="12.75" hidden="false" customHeight="false" outlineLevel="0" collapsed="false">
      <c r="A705" s="0" t="s">
        <v>621</v>
      </c>
      <c r="B705" s="0" t="str">
        <f aca="false">'Basis Options'!C708</f>
        <v>NV5364.1</v>
      </c>
      <c r="C705" s="0" t="s">
        <v>622</v>
      </c>
      <c r="D705" s="0" t="s">
        <v>623</v>
      </c>
      <c r="E705" s="0" t="s">
        <v>131</v>
      </c>
      <c r="F705" s="0" t="str">
        <f aca="false">'Basis Options'!A708</f>
        <v>ELPASMER</v>
      </c>
      <c r="G705" s="0" t="s">
        <v>628</v>
      </c>
      <c r="H705" s="0" t="s">
        <v>625</v>
      </c>
      <c r="I705" s="0" t="s">
        <v>626</v>
      </c>
      <c r="J705" s="0" t="s">
        <v>627</v>
      </c>
      <c r="K705" s="475" t="n">
        <f aca="false">'Basis Options'!G708</f>
        <v>36800</v>
      </c>
      <c r="L705" s="254" t="e">
        <f aca="false">'Basis Options'!U708</f>
        <v>#NAME?</v>
      </c>
      <c r="M705" s="475" t="n">
        <f aca="false">'Basis Options'!Q708</f>
        <v>36797</v>
      </c>
      <c r="N705" s="0" t="str">
        <f aca="false">'Basis Options'!F708</f>
        <v>P</v>
      </c>
      <c r="O705" s="0" t="n">
        <f aca="false">'Basis Options'!I708</f>
        <v>-0.65</v>
      </c>
      <c r="P705" s="0" t="n">
        <v>0</v>
      </c>
      <c r="Q705" s="0" t="n">
        <v>0</v>
      </c>
      <c r="R705" s="0" t="n">
        <v>0</v>
      </c>
      <c r="S705" s="0" t="n">
        <v>0</v>
      </c>
      <c r="T705" s="0" t="s">
        <v>624</v>
      </c>
      <c r="U705" s="0" t="str">
        <f aca="false">IF('Basis Options'!D708="NGI/CHI. GATE","""NGI/CHI. GATE""",TRIM('Basis Options'!D708))</f>
        <v>IF-NWPL_ROCKY_M</v>
      </c>
      <c r="V705" s="0" t="s">
        <v>624</v>
      </c>
      <c r="W705" s="0" t="s">
        <v>569</v>
      </c>
      <c r="X705" s="0" t="s">
        <v>624</v>
      </c>
      <c r="Y705" s="0" t="s">
        <v>627</v>
      </c>
      <c r="Z705" s="0" t="s">
        <v>629</v>
      </c>
      <c r="AA705" s="0" t="s">
        <v>624</v>
      </c>
      <c r="AB705" s="0" t="s">
        <v>132</v>
      </c>
      <c r="AC705" s="254" t="n">
        <f aca="false">'Basis Options'!H708</f>
        <v>2000000</v>
      </c>
      <c r="AD705" s="254" t="e">
        <f aca="false">'Basis Options'!W708</f>
        <v>#NAME?</v>
      </c>
      <c r="AE705" s="0" t="n">
        <v>0</v>
      </c>
      <c r="AF705" s="0" t="n">
        <v>0</v>
      </c>
      <c r="AG705" s="0" t="n">
        <v>0</v>
      </c>
      <c r="AH705" s="254" t="e">
        <f aca="false">'Basis Options'!CD710</f>
        <v>#NAME?</v>
      </c>
      <c r="AI705" s="0" t="n">
        <v>226</v>
      </c>
      <c r="AJ705" s="0" t="s">
        <v>630</v>
      </c>
      <c r="AK705" s="0" t="n">
        <v>0</v>
      </c>
      <c r="AL705" s="0" t="n">
        <v>0</v>
      </c>
      <c r="AM705" s="0" t="n">
        <v>0</v>
      </c>
    </row>
    <row r="706" customFormat="false" ht="12.75" hidden="false" customHeight="false" outlineLevel="0" collapsed="false">
      <c r="A706" s="0" t="s">
        <v>621</v>
      </c>
      <c r="B706" s="0" t="str">
        <f aca="false">'Basis Options'!C709</f>
        <v>NV5364.2</v>
      </c>
      <c r="C706" s="0" t="s">
        <v>622</v>
      </c>
      <c r="D706" s="0" t="s">
        <v>623</v>
      </c>
      <c r="E706" s="0" t="s">
        <v>131</v>
      </c>
      <c r="F706" s="0" t="str">
        <f aca="false">'Basis Options'!A709</f>
        <v>ELPASMER</v>
      </c>
      <c r="G706" s="0" t="s">
        <v>628</v>
      </c>
      <c r="H706" s="0" t="s">
        <v>625</v>
      </c>
      <c r="I706" s="0" t="s">
        <v>626</v>
      </c>
      <c r="J706" s="0" t="s">
        <v>627</v>
      </c>
      <c r="K706" s="475" t="n">
        <f aca="false">'Basis Options'!G709</f>
        <v>36800</v>
      </c>
      <c r="L706" s="254" t="e">
        <f aca="false">'Basis Options'!U709</f>
        <v>#NAME?</v>
      </c>
      <c r="M706" s="475" t="n">
        <f aca="false">'Basis Options'!Q709</f>
        <v>36797</v>
      </c>
      <c r="N706" s="0" t="str">
        <f aca="false">'Basis Options'!F709</f>
        <v>P</v>
      </c>
      <c r="O706" s="0" t="n">
        <f aca="false">'Basis Options'!I709</f>
        <v>-0.65</v>
      </c>
      <c r="P706" s="0" t="n">
        <v>0</v>
      </c>
      <c r="Q706" s="0" t="n">
        <v>0</v>
      </c>
      <c r="R706" s="0" t="n">
        <v>0</v>
      </c>
      <c r="S706" s="0" t="n">
        <v>0</v>
      </c>
      <c r="T706" s="0" t="s">
        <v>624</v>
      </c>
      <c r="U706" s="0" t="str">
        <f aca="false">IF('Basis Options'!D709="NGI/CHI. GATE","""NGI/CHI. GATE""",TRIM('Basis Options'!D709))</f>
        <v>IF-NWPL_ROCKY_M</v>
      </c>
      <c r="V706" s="0" t="s">
        <v>624</v>
      </c>
      <c r="W706" s="0" t="s">
        <v>569</v>
      </c>
      <c r="X706" s="0" t="s">
        <v>624</v>
      </c>
      <c r="Y706" s="0" t="s">
        <v>627</v>
      </c>
      <c r="Z706" s="0" t="s">
        <v>629</v>
      </c>
      <c r="AA706" s="0" t="s">
        <v>624</v>
      </c>
      <c r="AB706" s="0" t="s">
        <v>132</v>
      </c>
      <c r="AC706" s="254" t="n">
        <f aca="false">'Basis Options'!H709</f>
        <v>2000000</v>
      </c>
      <c r="AD706" s="254" t="e">
        <f aca="false">'Basis Options'!W709</f>
        <v>#NAME?</v>
      </c>
      <c r="AE706" s="0" t="n">
        <v>0</v>
      </c>
      <c r="AF706" s="0" t="n">
        <v>0</v>
      </c>
      <c r="AG706" s="0" t="n">
        <v>0</v>
      </c>
      <c r="AH706" s="254" t="e">
        <f aca="false">'Basis Options'!CD711</f>
        <v>#NAME?</v>
      </c>
      <c r="AI706" s="0" t="n">
        <v>226</v>
      </c>
      <c r="AJ706" s="0" t="s">
        <v>630</v>
      </c>
      <c r="AK706" s="0" t="n">
        <v>0</v>
      </c>
      <c r="AL706" s="0" t="n">
        <v>0</v>
      </c>
      <c r="AM706" s="0" t="n">
        <v>0</v>
      </c>
    </row>
    <row r="707" customFormat="false" ht="12.75" hidden="false" customHeight="false" outlineLevel="0" collapsed="false">
      <c r="A707" s="0" t="s">
        <v>621</v>
      </c>
      <c r="B707" s="0" t="str">
        <f aca="false">'Basis Options'!C710</f>
        <v>NV5380.1</v>
      </c>
      <c r="C707" s="0" t="s">
        <v>622</v>
      </c>
      <c r="D707" s="0" t="s">
        <v>623</v>
      </c>
      <c r="E707" s="0" t="s">
        <v>131</v>
      </c>
      <c r="F707" s="0" t="str">
        <f aca="false">'Basis Options'!A710</f>
        <v>SOUTHERCOMENEMA</v>
      </c>
      <c r="G707" s="0" t="s">
        <v>628</v>
      </c>
      <c r="H707" s="0" t="s">
        <v>625</v>
      </c>
      <c r="I707" s="0" t="s">
        <v>626</v>
      </c>
      <c r="J707" s="0" t="s">
        <v>627</v>
      </c>
      <c r="K707" s="475" t="n">
        <f aca="false">'Basis Options'!G710</f>
        <v>36982</v>
      </c>
      <c r="L707" s="254" t="e">
        <f aca="false">'Basis Options'!U710</f>
        <v>#NAME?</v>
      </c>
      <c r="M707" s="475" t="n">
        <f aca="false">'Basis Options'!Q710</f>
        <v>36979</v>
      </c>
      <c r="N707" s="0" t="str">
        <f aca="false">'Basis Options'!F710</f>
        <v>C</v>
      </c>
      <c r="O707" s="0" t="n">
        <f aca="false">'Basis Options'!I710</f>
        <v>0.42</v>
      </c>
      <c r="P707" s="0" t="n">
        <v>0</v>
      </c>
      <c r="Q707" s="0" t="n">
        <v>0</v>
      </c>
      <c r="R707" s="0" t="n">
        <v>0</v>
      </c>
      <c r="S707" s="0" t="n">
        <v>0</v>
      </c>
      <c r="T707" s="0" t="s">
        <v>624</v>
      </c>
      <c r="U707" s="0" t="str">
        <f aca="false">IF('Basis Options'!D710="NGI/CHI. GATE","""NGI/CHI. GATE""",TRIM('Basis Options'!D710))</f>
        <v>IF-TRANSCO/Z6</v>
      </c>
      <c r="V707" s="0" t="s">
        <v>624</v>
      </c>
      <c r="W707" s="0" t="s">
        <v>569</v>
      </c>
      <c r="X707" s="0" t="s">
        <v>624</v>
      </c>
      <c r="Y707" s="0" t="s">
        <v>627</v>
      </c>
      <c r="Z707" s="0" t="s">
        <v>629</v>
      </c>
      <c r="AA707" s="0" t="s">
        <v>624</v>
      </c>
      <c r="AB707" s="0" t="s">
        <v>132</v>
      </c>
      <c r="AC707" s="254" t="n">
        <f aca="false">'Basis Options'!H710</f>
        <v>500000</v>
      </c>
      <c r="AD707" s="254" t="e">
        <f aca="false">'Basis Options'!W710</f>
        <v>#NAME?</v>
      </c>
      <c r="AE707" s="0" t="n">
        <v>0</v>
      </c>
      <c r="AF707" s="0" t="n">
        <v>0</v>
      </c>
      <c r="AG707" s="0" t="n">
        <v>0</v>
      </c>
      <c r="AH707" s="254" t="e">
        <f aca="false">'Basis Options'!CD712</f>
        <v>#NAME?</v>
      </c>
      <c r="AI707" s="0" t="n">
        <v>226</v>
      </c>
      <c r="AJ707" s="0" t="s">
        <v>630</v>
      </c>
      <c r="AK707" s="0" t="n">
        <v>0</v>
      </c>
      <c r="AL707" s="0" t="n">
        <v>0</v>
      </c>
      <c r="AM707" s="0" t="n">
        <v>0</v>
      </c>
    </row>
    <row r="708" customFormat="false" ht="12.75" hidden="false" customHeight="false" outlineLevel="0" collapsed="false">
      <c r="A708" s="0" t="s">
        <v>621</v>
      </c>
      <c r="B708" s="0" t="str">
        <f aca="false">'Basis Options'!C711</f>
        <v>NV5380.1</v>
      </c>
      <c r="C708" s="0" t="s">
        <v>622</v>
      </c>
      <c r="D708" s="0" t="s">
        <v>623</v>
      </c>
      <c r="E708" s="0" t="s">
        <v>131</v>
      </c>
      <c r="F708" s="0" t="str">
        <f aca="false">'Basis Options'!A711</f>
        <v>SOUTHERCOMENEMA</v>
      </c>
      <c r="G708" s="0" t="s">
        <v>628</v>
      </c>
      <c r="H708" s="0" t="s">
        <v>625</v>
      </c>
      <c r="I708" s="0" t="s">
        <v>626</v>
      </c>
      <c r="J708" s="0" t="s">
        <v>627</v>
      </c>
      <c r="K708" s="475" t="n">
        <f aca="false">'Basis Options'!G711</f>
        <v>37012</v>
      </c>
      <c r="L708" s="254" t="e">
        <f aca="false">'Basis Options'!U711</f>
        <v>#NAME?</v>
      </c>
      <c r="M708" s="475" t="n">
        <f aca="false">'Basis Options'!Q711</f>
        <v>37008</v>
      </c>
      <c r="N708" s="0" t="str">
        <f aca="false">'Basis Options'!F711</f>
        <v>C</v>
      </c>
      <c r="O708" s="0" t="n">
        <f aca="false">'Basis Options'!I711</f>
        <v>0.42</v>
      </c>
      <c r="P708" s="0" t="n">
        <v>0</v>
      </c>
      <c r="Q708" s="0" t="n">
        <v>0</v>
      </c>
      <c r="R708" s="0" t="n">
        <v>0</v>
      </c>
      <c r="S708" s="0" t="n">
        <v>0</v>
      </c>
      <c r="T708" s="0" t="s">
        <v>624</v>
      </c>
      <c r="U708" s="0" t="str">
        <f aca="false">IF('Basis Options'!D711="NGI/CHI. GATE","""NGI/CHI. GATE""",TRIM('Basis Options'!D711))</f>
        <v>IF-TRANSCO/Z6</v>
      </c>
      <c r="V708" s="0" t="s">
        <v>624</v>
      </c>
      <c r="W708" s="0" t="s">
        <v>569</v>
      </c>
      <c r="X708" s="0" t="s">
        <v>624</v>
      </c>
      <c r="Y708" s="0" t="s">
        <v>627</v>
      </c>
      <c r="Z708" s="0" t="s">
        <v>629</v>
      </c>
      <c r="AA708" s="0" t="s">
        <v>624</v>
      </c>
      <c r="AB708" s="0" t="s">
        <v>132</v>
      </c>
      <c r="AC708" s="254" t="n">
        <f aca="false">'Basis Options'!H711</f>
        <v>500000</v>
      </c>
      <c r="AD708" s="254" t="e">
        <f aca="false">'Basis Options'!W711</f>
        <v>#NAME?</v>
      </c>
      <c r="AE708" s="0" t="n">
        <v>0</v>
      </c>
      <c r="AF708" s="0" t="n">
        <v>0</v>
      </c>
      <c r="AG708" s="0" t="n">
        <v>0</v>
      </c>
      <c r="AH708" s="254" t="e">
        <f aca="false">'Basis Options'!CD713</f>
        <v>#NAME?</v>
      </c>
      <c r="AI708" s="0" t="n">
        <v>226</v>
      </c>
      <c r="AJ708" s="0" t="s">
        <v>630</v>
      </c>
      <c r="AK708" s="0" t="n">
        <v>0</v>
      </c>
      <c r="AL708" s="0" t="n">
        <v>0</v>
      </c>
      <c r="AM708" s="0" t="n">
        <v>0</v>
      </c>
    </row>
    <row r="709" customFormat="false" ht="12.75" hidden="false" customHeight="false" outlineLevel="0" collapsed="false">
      <c r="A709" s="0" t="s">
        <v>621</v>
      </c>
      <c r="B709" s="0" t="str">
        <f aca="false">'Basis Options'!C712</f>
        <v>NV5380.1</v>
      </c>
      <c r="C709" s="0" t="s">
        <v>622</v>
      </c>
      <c r="D709" s="0" t="s">
        <v>623</v>
      </c>
      <c r="E709" s="0" t="s">
        <v>131</v>
      </c>
      <c r="F709" s="0" t="str">
        <f aca="false">'Basis Options'!A712</f>
        <v>SOUTHERCOMENEMA</v>
      </c>
      <c r="G709" s="0" t="s">
        <v>628</v>
      </c>
      <c r="H709" s="0" t="s">
        <v>625</v>
      </c>
      <c r="I709" s="0" t="s">
        <v>626</v>
      </c>
      <c r="J709" s="0" t="s">
        <v>627</v>
      </c>
      <c r="K709" s="475" t="n">
        <f aca="false">'Basis Options'!G712</f>
        <v>37043</v>
      </c>
      <c r="L709" s="254" t="e">
        <f aca="false">'Basis Options'!U712</f>
        <v>#NAME?</v>
      </c>
      <c r="M709" s="475" t="n">
        <f aca="false">'Basis Options'!Q712</f>
        <v>37041</v>
      </c>
      <c r="N709" s="0" t="str">
        <f aca="false">'Basis Options'!F712</f>
        <v>C</v>
      </c>
      <c r="O709" s="0" t="n">
        <f aca="false">'Basis Options'!I712</f>
        <v>0.42</v>
      </c>
      <c r="P709" s="0" t="n">
        <v>0</v>
      </c>
      <c r="Q709" s="0" t="n">
        <v>0</v>
      </c>
      <c r="R709" s="0" t="n">
        <v>0</v>
      </c>
      <c r="S709" s="0" t="n">
        <v>0</v>
      </c>
      <c r="T709" s="0" t="s">
        <v>624</v>
      </c>
      <c r="U709" s="0" t="str">
        <f aca="false">IF('Basis Options'!D712="NGI/CHI. GATE","""NGI/CHI. GATE""",TRIM('Basis Options'!D712))</f>
        <v>IF-TRANSCO/Z6</v>
      </c>
      <c r="V709" s="0" t="s">
        <v>624</v>
      </c>
      <c r="W709" s="0" t="s">
        <v>569</v>
      </c>
      <c r="X709" s="0" t="s">
        <v>624</v>
      </c>
      <c r="Y709" s="0" t="s">
        <v>627</v>
      </c>
      <c r="Z709" s="0" t="s">
        <v>629</v>
      </c>
      <c r="AA709" s="0" t="s">
        <v>624</v>
      </c>
      <c r="AB709" s="0" t="s">
        <v>132</v>
      </c>
      <c r="AC709" s="254" t="n">
        <f aca="false">'Basis Options'!H712</f>
        <v>500000</v>
      </c>
      <c r="AD709" s="254" t="e">
        <f aca="false">'Basis Options'!W712</f>
        <v>#NAME?</v>
      </c>
      <c r="AE709" s="0" t="n">
        <v>0</v>
      </c>
      <c r="AF709" s="0" t="n">
        <v>0</v>
      </c>
      <c r="AG709" s="0" t="n">
        <v>0</v>
      </c>
      <c r="AH709" s="254" t="e">
        <f aca="false">'Basis Options'!CD714</f>
        <v>#NAME?</v>
      </c>
      <c r="AI709" s="0" t="n">
        <v>226</v>
      </c>
      <c r="AJ709" s="0" t="s">
        <v>630</v>
      </c>
      <c r="AK709" s="0" t="n">
        <v>0</v>
      </c>
      <c r="AL709" s="0" t="n">
        <v>0</v>
      </c>
      <c r="AM709" s="0" t="n">
        <v>0</v>
      </c>
    </row>
    <row r="710" customFormat="false" ht="12.75" hidden="false" customHeight="false" outlineLevel="0" collapsed="false">
      <c r="A710" s="0" t="s">
        <v>621</v>
      </c>
      <c r="B710" s="0" t="str">
        <f aca="false">'Basis Options'!C713</f>
        <v>NV5380.1</v>
      </c>
      <c r="C710" s="0" t="s">
        <v>622</v>
      </c>
      <c r="D710" s="0" t="s">
        <v>623</v>
      </c>
      <c r="E710" s="0" t="s">
        <v>131</v>
      </c>
      <c r="F710" s="0" t="str">
        <f aca="false">'Basis Options'!A713</f>
        <v>SOUTHERCOMENEMA</v>
      </c>
      <c r="G710" s="0" t="s">
        <v>628</v>
      </c>
      <c r="H710" s="0" t="s">
        <v>625</v>
      </c>
      <c r="I710" s="0" t="s">
        <v>626</v>
      </c>
      <c r="J710" s="0" t="s">
        <v>627</v>
      </c>
      <c r="K710" s="475" t="n">
        <f aca="false">'Basis Options'!G713</f>
        <v>37073</v>
      </c>
      <c r="L710" s="254" t="e">
        <f aca="false">'Basis Options'!U713</f>
        <v>#NAME?</v>
      </c>
      <c r="M710" s="475" t="n">
        <f aca="false">'Basis Options'!Q713</f>
        <v>37070</v>
      </c>
      <c r="N710" s="0" t="str">
        <f aca="false">'Basis Options'!F713</f>
        <v>C</v>
      </c>
      <c r="O710" s="0" t="n">
        <f aca="false">'Basis Options'!I713</f>
        <v>0.42</v>
      </c>
      <c r="P710" s="0" t="n">
        <v>0</v>
      </c>
      <c r="Q710" s="0" t="n">
        <v>0</v>
      </c>
      <c r="R710" s="0" t="n">
        <v>0</v>
      </c>
      <c r="S710" s="0" t="n">
        <v>0</v>
      </c>
      <c r="T710" s="0" t="s">
        <v>624</v>
      </c>
      <c r="U710" s="0" t="str">
        <f aca="false">IF('Basis Options'!D713="NGI/CHI. GATE","""NGI/CHI. GATE""",TRIM('Basis Options'!D713))</f>
        <v>IF-TRANSCO/Z6</v>
      </c>
      <c r="V710" s="0" t="s">
        <v>624</v>
      </c>
      <c r="W710" s="0" t="s">
        <v>569</v>
      </c>
      <c r="X710" s="0" t="s">
        <v>624</v>
      </c>
      <c r="Y710" s="0" t="s">
        <v>627</v>
      </c>
      <c r="Z710" s="0" t="s">
        <v>629</v>
      </c>
      <c r="AA710" s="0" t="s">
        <v>624</v>
      </c>
      <c r="AB710" s="0" t="s">
        <v>132</v>
      </c>
      <c r="AC710" s="254" t="n">
        <f aca="false">'Basis Options'!H713</f>
        <v>500000</v>
      </c>
      <c r="AD710" s="254" t="e">
        <f aca="false">'Basis Options'!W713</f>
        <v>#NAME?</v>
      </c>
      <c r="AE710" s="0" t="n">
        <v>0</v>
      </c>
      <c r="AF710" s="0" t="n">
        <v>0</v>
      </c>
      <c r="AG710" s="0" t="n">
        <v>0</v>
      </c>
      <c r="AH710" s="254" t="e">
        <f aca="false">'Basis Options'!CD715</f>
        <v>#NAME?</v>
      </c>
      <c r="AI710" s="0" t="n">
        <v>226</v>
      </c>
      <c r="AJ710" s="0" t="s">
        <v>630</v>
      </c>
      <c r="AK710" s="0" t="n">
        <v>0</v>
      </c>
      <c r="AL710" s="0" t="n">
        <v>0</v>
      </c>
      <c r="AM710" s="0" t="n">
        <v>0</v>
      </c>
    </row>
    <row r="711" customFormat="false" ht="12.75" hidden="false" customHeight="false" outlineLevel="0" collapsed="false">
      <c r="A711" s="0" t="s">
        <v>621</v>
      </c>
      <c r="B711" s="0" t="str">
        <f aca="false">'Basis Options'!C714</f>
        <v>NV5380.1</v>
      </c>
      <c r="C711" s="0" t="s">
        <v>622</v>
      </c>
      <c r="D711" s="0" t="s">
        <v>623</v>
      </c>
      <c r="E711" s="0" t="s">
        <v>131</v>
      </c>
      <c r="F711" s="0" t="str">
        <f aca="false">'Basis Options'!A714</f>
        <v>SOUTHERCOMENEMA</v>
      </c>
      <c r="G711" s="0" t="s">
        <v>628</v>
      </c>
      <c r="H711" s="0" t="s">
        <v>625</v>
      </c>
      <c r="I711" s="0" t="s">
        <v>626</v>
      </c>
      <c r="J711" s="0" t="s">
        <v>627</v>
      </c>
      <c r="K711" s="475" t="n">
        <f aca="false">'Basis Options'!G714</f>
        <v>37104</v>
      </c>
      <c r="L711" s="254" t="e">
        <f aca="false">'Basis Options'!U714</f>
        <v>#NAME?</v>
      </c>
      <c r="M711" s="475" t="n">
        <f aca="false">'Basis Options'!Q714</f>
        <v>37102</v>
      </c>
      <c r="N711" s="0" t="str">
        <f aca="false">'Basis Options'!F714</f>
        <v>C</v>
      </c>
      <c r="O711" s="0" t="n">
        <f aca="false">'Basis Options'!I714</f>
        <v>0.42</v>
      </c>
      <c r="P711" s="0" t="n">
        <v>0</v>
      </c>
      <c r="Q711" s="0" t="n">
        <v>0</v>
      </c>
      <c r="R711" s="0" t="n">
        <v>0</v>
      </c>
      <c r="S711" s="0" t="n">
        <v>0</v>
      </c>
      <c r="T711" s="0" t="s">
        <v>624</v>
      </c>
      <c r="U711" s="0" t="str">
        <f aca="false">IF('Basis Options'!D714="NGI/CHI. GATE","""NGI/CHI. GATE""",TRIM('Basis Options'!D714))</f>
        <v>IF-TRANSCO/Z6</v>
      </c>
      <c r="V711" s="0" t="s">
        <v>624</v>
      </c>
      <c r="W711" s="0" t="s">
        <v>569</v>
      </c>
      <c r="X711" s="0" t="s">
        <v>624</v>
      </c>
      <c r="Y711" s="0" t="s">
        <v>627</v>
      </c>
      <c r="Z711" s="0" t="s">
        <v>629</v>
      </c>
      <c r="AA711" s="0" t="s">
        <v>624</v>
      </c>
      <c r="AB711" s="0" t="s">
        <v>132</v>
      </c>
      <c r="AC711" s="254" t="n">
        <f aca="false">'Basis Options'!H714</f>
        <v>500000</v>
      </c>
      <c r="AD711" s="254" t="e">
        <f aca="false">'Basis Options'!W714</f>
        <v>#NAME?</v>
      </c>
      <c r="AE711" s="0" t="n">
        <v>0</v>
      </c>
      <c r="AF711" s="0" t="n">
        <v>0</v>
      </c>
      <c r="AG711" s="0" t="n">
        <v>0</v>
      </c>
      <c r="AH711" s="254" t="e">
        <f aca="false">'Basis Options'!CD716</f>
        <v>#NAME?</v>
      </c>
      <c r="AI711" s="0" t="n">
        <v>226</v>
      </c>
      <c r="AJ711" s="0" t="s">
        <v>630</v>
      </c>
      <c r="AK711" s="0" t="n">
        <v>0</v>
      </c>
      <c r="AL711" s="0" t="n">
        <v>0</v>
      </c>
      <c r="AM711" s="0" t="n">
        <v>0</v>
      </c>
    </row>
    <row r="712" customFormat="false" ht="12.75" hidden="false" customHeight="false" outlineLevel="0" collapsed="false">
      <c r="A712" s="0" t="s">
        <v>621</v>
      </c>
      <c r="B712" s="0" t="str">
        <f aca="false">'Basis Options'!C715</f>
        <v>NV5380.1</v>
      </c>
      <c r="C712" s="0" t="s">
        <v>622</v>
      </c>
      <c r="D712" s="0" t="s">
        <v>623</v>
      </c>
      <c r="E712" s="0" t="s">
        <v>131</v>
      </c>
      <c r="F712" s="0" t="str">
        <f aca="false">'Basis Options'!A715</f>
        <v>SOUTHERCOMENEMA</v>
      </c>
      <c r="G712" s="0" t="s">
        <v>628</v>
      </c>
      <c r="H712" s="0" t="s">
        <v>625</v>
      </c>
      <c r="I712" s="0" t="s">
        <v>626</v>
      </c>
      <c r="J712" s="0" t="s">
        <v>627</v>
      </c>
      <c r="K712" s="475" t="n">
        <f aca="false">'Basis Options'!G715</f>
        <v>37135</v>
      </c>
      <c r="L712" s="254" t="e">
        <f aca="false">'Basis Options'!U715</f>
        <v>#NAME?</v>
      </c>
      <c r="M712" s="475" t="n">
        <f aca="false">'Basis Options'!Q715</f>
        <v>37133</v>
      </c>
      <c r="N712" s="0" t="str">
        <f aca="false">'Basis Options'!F715</f>
        <v>C</v>
      </c>
      <c r="O712" s="0" t="n">
        <f aca="false">'Basis Options'!I715</f>
        <v>0.42</v>
      </c>
      <c r="P712" s="0" t="n">
        <v>0</v>
      </c>
      <c r="Q712" s="0" t="n">
        <v>0</v>
      </c>
      <c r="R712" s="0" t="n">
        <v>0</v>
      </c>
      <c r="S712" s="0" t="n">
        <v>0</v>
      </c>
      <c r="T712" s="0" t="s">
        <v>624</v>
      </c>
      <c r="U712" s="0" t="str">
        <f aca="false">IF('Basis Options'!D715="NGI/CHI. GATE","""NGI/CHI. GATE""",TRIM('Basis Options'!D715))</f>
        <v>IF-TRANSCO/Z6</v>
      </c>
      <c r="V712" s="0" t="s">
        <v>624</v>
      </c>
      <c r="W712" s="0" t="s">
        <v>569</v>
      </c>
      <c r="X712" s="0" t="s">
        <v>624</v>
      </c>
      <c r="Y712" s="0" t="s">
        <v>627</v>
      </c>
      <c r="Z712" s="0" t="s">
        <v>629</v>
      </c>
      <c r="AA712" s="0" t="s">
        <v>624</v>
      </c>
      <c r="AB712" s="0" t="s">
        <v>132</v>
      </c>
      <c r="AC712" s="254" t="n">
        <f aca="false">'Basis Options'!H715</f>
        <v>500000</v>
      </c>
      <c r="AD712" s="254" t="e">
        <f aca="false">'Basis Options'!W715</f>
        <v>#NAME?</v>
      </c>
      <c r="AE712" s="0" t="n">
        <v>0</v>
      </c>
      <c r="AF712" s="0" t="n">
        <v>0</v>
      </c>
      <c r="AG712" s="0" t="n">
        <v>0</v>
      </c>
      <c r="AH712" s="254" t="e">
        <f aca="false">'Basis Options'!CD717</f>
        <v>#NAME?</v>
      </c>
      <c r="AI712" s="0" t="n">
        <v>226</v>
      </c>
      <c r="AJ712" s="0" t="s">
        <v>630</v>
      </c>
      <c r="AK712" s="0" t="n">
        <v>0</v>
      </c>
      <c r="AL712" s="0" t="n">
        <v>0</v>
      </c>
      <c r="AM712" s="0" t="n">
        <v>0</v>
      </c>
    </row>
    <row r="713" customFormat="false" ht="12.75" hidden="false" customHeight="false" outlineLevel="0" collapsed="false">
      <c r="A713" s="0" t="s">
        <v>621</v>
      </c>
      <c r="B713" s="0" t="str">
        <f aca="false">'Basis Options'!C716</f>
        <v>NV5380.1</v>
      </c>
      <c r="C713" s="0" t="s">
        <v>622</v>
      </c>
      <c r="D713" s="0" t="s">
        <v>623</v>
      </c>
      <c r="E713" s="0" t="s">
        <v>131</v>
      </c>
      <c r="F713" s="0" t="str">
        <f aca="false">'Basis Options'!A716</f>
        <v>SOUTHERCOMENEMA</v>
      </c>
      <c r="G713" s="0" t="s">
        <v>628</v>
      </c>
      <c r="H713" s="0" t="s">
        <v>625</v>
      </c>
      <c r="I713" s="0" t="s">
        <v>626</v>
      </c>
      <c r="J713" s="0" t="s">
        <v>627</v>
      </c>
      <c r="K713" s="475" t="n">
        <f aca="false">'Basis Options'!G716</f>
        <v>37165</v>
      </c>
      <c r="L713" s="254" t="e">
        <f aca="false">'Basis Options'!U716</f>
        <v>#NAME?</v>
      </c>
      <c r="M713" s="475" t="n">
        <f aca="false">'Basis Options'!Q716</f>
        <v>37161</v>
      </c>
      <c r="N713" s="0" t="str">
        <f aca="false">'Basis Options'!F716</f>
        <v>C</v>
      </c>
      <c r="O713" s="0" t="n">
        <f aca="false">'Basis Options'!I716</f>
        <v>0.42</v>
      </c>
      <c r="P713" s="0" t="n">
        <v>0</v>
      </c>
      <c r="Q713" s="0" t="n">
        <v>0</v>
      </c>
      <c r="R713" s="0" t="n">
        <v>0</v>
      </c>
      <c r="S713" s="0" t="n">
        <v>0</v>
      </c>
      <c r="T713" s="0" t="s">
        <v>624</v>
      </c>
      <c r="U713" s="0" t="str">
        <f aca="false">IF('Basis Options'!D716="NGI/CHI. GATE","""NGI/CHI. GATE""",TRIM('Basis Options'!D716))</f>
        <v>IF-TRANSCO/Z6</v>
      </c>
      <c r="V713" s="0" t="s">
        <v>624</v>
      </c>
      <c r="W713" s="0" t="s">
        <v>569</v>
      </c>
      <c r="X713" s="0" t="s">
        <v>624</v>
      </c>
      <c r="Y713" s="0" t="s">
        <v>627</v>
      </c>
      <c r="Z713" s="0" t="s">
        <v>629</v>
      </c>
      <c r="AA713" s="0" t="s">
        <v>624</v>
      </c>
      <c r="AB713" s="0" t="s">
        <v>132</v>
      </c>
      <c r="AC713" s="254" t="n">
        <f aca="false">'Basis Options'!H716</f>
        <v>500000</v>
      </c>
      <c r="AD713" s="254" t="e">
        <f aca="false">'Basis Options'!W716</f>
        <v>#NAME?</v>
      </c>
      <c r="AE713" s="0" t="n">
        <v>0</v>
      </c>
      <c r="AF713" s="0" t="n">
        <v>0</v>
      </c>
      <c r="AG713" s="0" t="n">
        <v>0</v>
      </c>
      <c r="AH713" s="254" t="e">
        <f aca="false">'Basis Options'!CD718</f>
        <v>#NAME?</v>
      </c>
      <c r="AI713" s="0" t="n">
        <v>226</v>
      </c>
      <c r="AJ713" s="0" t="s">
        <v>630</v>
      </c>
      <c r="AK713" s="0" t="n">
        <v>0</v>
      </c>
      <c r="AL713" s="0" t="n">
        <v>0</v>
      </c>
      <c r="AM713" s="0" t="n">
        <v>0</v>
      </c>
    </row>
    <row r="714" customFormat="false" ht="12.75" hidden="false" customHeight="false" outlineLevel="0" collapsed="false">
      <c r="A714" s="0" t="s">
        <v>621</v>
      </c>
      <c r="B714" s="0" t="str">
        <f aca="false">'Basis Options'!C717</f>
        <v>NV5380.2</v>
      </c>
      <c r="C714" s="0" t="s">
        <v>622</v>
      </c>
      <c r="D714" s="0" t="s">
        <v>623</v>
      </c>
      <c r="E714" s="0" t="s">
        <v>131</v>
      </c>
      <c r="F714" s="0" t="str">
        <f aca="false">'Basis Options'!A717</f>
        <v>SOUTHERCOMENEMA</v>
      </c>
      <c r="G714" s="0" t="s">
        <v>628</v>
      </c>
      <c r="H714" s="0" t="s">
        <v>625</v>
      </c>
      <c r="I714" s="0" t="s">
        <v>626</v>
      </c>
      <c r="J714" s="0" t="s">
        <v>627</v>
      </c>
      <c r="K714" s="475" t="n">
        <f aca="false">'Basis Options'!G717</f>
        <v>36982</v>
      </c>
      <c r="L714" s="254" t="e">
        <f aca="false">'Basis Options'!U717</f>
        <v>#NAME?</v>
      </c>
      <c r="M714" s="475" t="n">
        <f aca="false">'Basis Options'!Q717</f>
        <v>36979</v>
      </c>
      <c r="N714" s="0" t="str">
        <f aca="false">'Basis Options'!F717</f>
        <v>P</v>
      </c>
      <c r="O714" s="0" t="n">
        <f aca="false">'Basis Options'!I717</f>
        <v>0.42</v>
      </c>
      <c r="P714" s="0" t="n">
        <v>0</v>
      </c>
      <c r="Q714" s="0" t="n">
        <v>0</v>
      </c>
      <c r="R714" s="0" t="n">
        <v>0</v>
      </c>
      <c r="S714" s="0" t="n">
        <v>0</v>
      </c>
      <c r="T714" s="0" t="s">
        <v>624</v>
      </c>
      <c r="U714" s="0" t="str">
        <f aca="false">IF('Basis Options'!D717="NGI/CHI. GATE","""NGI/CHI. GATE""",TRIM('Basis Options'!D717))</f>
        <v>IF-TRANSCO/Z6</v>
      </c>
      <c r="V714" s="0" t="s">
        <v>624</v>
      </c>
      <c r="W714" s="0" t="s">
        <v>569</v>
      </c>
      <c r="X714" s="0" t="s">
        <v>624</v>
      </c>
      <c r="Y714" s="0" t="s">
        <v>627</v>
      </c>
      <c r="Z714" s="0" t="s">
        <v>629</v>
      </c>
      <c r="AA714" s="0" t="s">
        <v>624</v>
      </c>
      <c r="AB714" s="0" t="s">
        <v>132</v>
      </c>
      <c r="AC714" s="254" t="n">
        <f aca="false">'Basis Options'!H717</f>
        <v>500000</v>
      </c>
      <c r="AD714" s="254" t="e">
        <f aca="false">'Basis Options'!W717</f>
        <v>#NAME?</v>
      </c>
      <c r="AE714" s="0" t="n">
        <v>0</v>
      </c>
      <c r="AF714" s="0" t="n">
        <v>0</v>
      </c>
      <c r="AG714" s="0" t="n">
        <v>0</v>
      </c>
      <c r="AH714" s="254" t="e">
        <f aca="false">'Basis Options'!CD719</f>
        <v>#NAME?</v>
      </c>
      <c r="AI714" s="0" t="n">
        <v>226</v>
      </c>
      <c r="AJ714" s="0" t="s">
        <v>630</v>
      </c>
      <c r="AK714" s="0" t="n">
        <v>0</v>
      </c>
      <c r="AL714" s="0" t="n">
        <v>0</v>
      </c>
      <c r="AM714" s="0" t="n">
        <v>0</v>
      </c>
    </row>
    <row r="715" customFormat="false" ht="12.75" hidden="false" customHeight="false" outlineLevel="0" collapsed="false">
      <c r="A715" s="0" t="s">
        <v>621</v>
      </c>
      <c r="B715" s="0" t="str">
        <f aca="false">'Basis Options'!C718</f>
        <v>NV5380.2</v>
      </c>
      <c r="C715" s="0" t="s">
        <v>622</v>
      </c>
      <c r="D715" s="0" t="s">
        <v>623</v>
      </c>
      <c r="E715" s="0" t="s">
        <v>131</v>
      </c>
      <c r="F715" s="0" t="str">
        <f aca="false">'Basis Options'!A718</f>
        <v>SOUTHERCOMENEMA</v>
      </c>
      <c r="G715" s="0" t="s">
        <v>628</v>
      </c>
      <c r="H715" s="0" t="s">
        <v>625</v>
      </c>
      <c r="I715" s="0" t="s">
        <v>626</v>
      </c>
      <c r="J715" s="0" t="s">
        <v>627</v>
      </c>
      <c r="K715" s="475" t="n">
        <f aca="false">'Basis Options'!G718</f>
        <v>37012</v>
      </c>
      <c r="L715" s="254" t="e">
        <f aca="false">'Basis Options'!U718</f>
        <v>#NAME?</v>
      </c>
      <c r="M715" s="475" t="n">
        <f aca="false">'Basis Options'!Q718</f>
        <v>37008</v>
      </c>
      <c r="N715" s="0" t="str">
        <f aca="false">'Basis Options'!F718</f>
        <v>P</v>
      </c>
      <c r="O715" s="0" t="n">
        <f aca="false">'Basis Options'!I718</f>
        <v>0.42</v>
      </c>
      <c r="P715" s="0" t="n">
        <v>0</v>
      </c>
      <c r="Q715" s="0" t="n">
        <v>0</v>
      </c>
      <c r="R715" s="0" t="n">
        <v>0</v>
      </c>
      <c r="S715" s="0" t="n">
        <v>0</v>
      </c>
      <c r="T715" s="0" t="s">
        <v>624</v>
      </c>
      <c r="U715" s="0" t="str">
        <f aca="false">IF('Basis Options'!D718="NGI/CHI. GATE","""NGI/CHI. GATE""",TRIM('Basis Options'!D718))</f>
        <v>IF-TRANSCO/Z6</v>
      </c>
      <c r="V715" s="0" t="s">
        <v>624</v>
      </c>
      <c r="W715" s="0" t="s">
        <v>569</v>
      </c>
      <c r="X715" s="0" t="s">
        <v>624</v>
      </c>
      <c r="Y715" s="0" t="s">
        <v>627</v>
      </c>
      <c r="Z715" s="0" t="s">
        <v>629</v>
      </c>
      <c r="AA715" s="0" t="s">
        <v>624</v>
      </c>
      <c r="AB715" s="0" t="s">
        <v>132</v>
      </c>
      <c r="AC715" s="254" t="n">
        <f aca="false">'Basis Options'!H718</f>
        <v>500000</v>
      </c>
      <c r="AD715" s="254" t="e">
        <f aca="false">'Basis Options'!W718</f>
        <v>#NAME?</v>
      </c>
      <c r="AE715" s="0" t="n">
        <v>0</v>
      </c>
      <c r="AF715" s="0" t="n">
        <v>0</v>
      </c>
      <c r="AG715" s="0" t="n">
        <v>0</v>
      </c>
      <c r="AH715" s="254" t="e">
        <f aca="false">'Basis Options'!CD720</f>
        <v>#NAME?</v>
      </c>
      <c r="AI715" s="0" t="n">
        <v>226</v>
      </c>
      <c r="AJ715" s="0" t="s">
        <v>630</v>
      </c>
      <c r="AK715" s="0" t="n">
        <v>0</v>
      </c>
      <c r="AL715" s="0" t="n">
        <v>0</v>
      </c>
      <c r="AM715" s="0" t="n">
        <v>0</v>
      </c>
    </row>
    <row r="716" customFormat="false" ht="12.75" hidden="false" customHeight="false" outlineLevel="0" collapsed="false">
      <c r="A716" s="0" t="s">
        <v>621</v>
      </c>
      <c r="B716" s="0" t="str">
        <f aca="false">'Basis Options'!C719</f>
        <v>NV5380.2</v>
      </c>
      <c r="C716" s="0" t="s">
        <v>622</v>
      </c>
      <c r="D716" s="0" t="s">
        <v>623</v>
      </c>
      <c r="E716" s="0" t="s">
        <v>131</v>
      </c>
      <c r="F716" s="0" t="str">
        <f aca="false">'Basis Options'!A719</f>
        <v>SOUTHERCOMENEMA</v>
      </c>
      <c r="G716" s="0" t="s">
        <v>628</v>
      </c>
      <c r="H716" s="0" t="s">
        <v>625</v>
      </c>
      <c r="I716" s="0" t="s">
        <v>626</v>
      </c>
      <c r="J716" s="0" t="s">
        <v>627</v>
      </c>
      <c r="K716" s="475" t="n">
        <f aca="false">'Basis Options'!G719</f>
        <v>37043</v>
      </c>
      <c r="L716" s="254" t="e">
        <f aca="false">'Basis Options'!U719</f>
        <v>#NAME?</v>
      </c>
      <c r="M716" s="475" t="n">
        <f aca="false">'Basis Options'!Q719</f>
        <v>37041</v>
      </c>
      <c r="N716" s="0" t="str">
        <f aca="false">'Basis Options'!F719</f>
        <v>P</v>
      </c>
      <c r="O716" s="0" t="n">
        <f aca="false">'Basis Options'!I719</f>
        <v>0.42</v>
      </c>
      <c r="P716" s="0" t="n">
        <v>0</v>
      </c>
      <c r="Q716" s="0" t="n">
        <v>0</v>
      </c>
      <c r="R716" s="0" t="n">
        <v>0</v>
      </c>
      <c r="S716" s="0" t="n">
        <v>0</v>
      </c>
      <c r="T716" s="0" t="s">
        <v>624</v>
      </c>
      <c r="U716" s="0" t="str">
        <f aca="false">IF('Basis Options'!D719="NGI/CHI. GATE","""NGI/CHI. GATE""",TRIM('Basis Options'!D719))</f>
        <v>IF-TRANSCO/Z6</v>
      </c>
      <c r="V716" s="0" t="s">
        <v>624</v>
      </c>
      <c r="W716" s="0" t="s">
        <v>569</v>
      </c>
      <c r="X716" s="0" t="s">
        <v>624</v>
      </c>
      <c r="Y716" s="0" t="s">
        <v>627</v>
      </c>
      <c r="Z716" s="0" t="s">
        <v>629</v>
      </c>
      <c r="AA716" s="0" t="s">
        <v>624</v>
      </c>
      <c r="AB716" s="0" t="s">
        <v>132</v>
      </c>
      <c r="AC716" s="254" t="n">
        <f aca="false">'Basis Options'!H719</f>
        <v>500000</v>
      </c>
      <c r="AD716" s="254" t="e">
        <f aca="false">'Basis Options'!W719</f>
        <v>#NAME?</v>
      </c>
      <c r="AE716" s="0" t="n">
        <v>0</v>
      </c>
      <c r="AF716" s="0" t="n">
        <v>0</v>
      </c>
      <c r="AG716" s="0" t="n">
        <v>0</v>
      </c>
      <c r="AH716" s="254" t="e">
        <f aca="false">'Basis Options'!CD721</f>
        <v>#NAME?</v>
      </c>
      <c r="AI716" s="0" t="n">
        <v>226</v>
      </c>
      <c r="AJ716" s="0" t="s">
        <v>630</v>
      </c>
      <c r="AK716" s="0" t="n">
        <v>0</v>
      </c>
      <c r="AL716" s="0" t="n">
        <v>0</v>
      </c>
      <c r="AM716" s="0" t="n">
        <v>0</v>
      </c>
    </row>
    <row r="717" customFormat="false" ht="12.75" hidden="false" customHeight="false" outlineLevel="0" collapsed="false">
      <c r="A717" s="0" t="s">
        <v>621</v>
      </c>
      <c r="B717" s="0" t="str">
        <f aca="false">'Basis Options'!C720</f>
        <v>NV5380.2</v>
      </c>
      <c r="C717" s="0" t="s">
        <v>622</v>
      </c>
      <c r="D717" s="0" t="s">
        <v>623</v>
      </c>
      <c r="E717" s="0" t="s">
        <v>131</v>
      </c>
      <c r="F717" s="0" t="str">
        <f aca="false">'Basis Options'!A720</f>
        <v>SOUTHERCOMENEMA</v>
      </c>
      <c r="G717" s="0" t="s">
        <v>628</v>
      </c>
      <c r="H717" s="0" t="s">
        <v>625</v>
      </c>
      <c r="I717" s="0" t="s">
        <v>626</v>
      </c>
      <c r="J717" s="0" t="s">
        <v>627</v>
      </c>
      <c r="K717" s="475" t="n">
        <f aca="false">'Basis Options'!G720</f>
        <v>37073</v>
      </c>
      <c r="L717" s="254" t="e">
        <f aca="false">'Basis Options'!U720</f>
        <v>#NAME?</v>
      </c>
      <c r="M717" s="475" t="n">
        <f aca="false">'Basis Options'!Q720</f>
        <v>37070</v>
      </c>
      <c r="N717" s="0" t="str">
        <f aca="false">'Basis Options'!F720</f>
        <v>P</v>
      </c>
      <c r="O717" s="0" t="n">
        <f aca="false">'Basis Options'!I720</f>
        <v>0.42</v>
      </c>
      <c r="P717" s="0" t="n">
        <v>0</v>
      </c>
      <c r="Q717" s="0" t="n">
        <v>0</v>
      </c>
      <c r="R717" s="0" t="n">
        <v>0</v>
      </c>
      <c r="S717" s="0" t="n">
        <v>0</v>
      </c>
      <c r="T717" s="0" t="s">
        <v>624</v>
      </c>
      <c r="U717" s="0" t="str">
        <f aca="false">IF('Basis Options'!D720="NGI/CHI. GATE","""NGI/CHI. GATE""",TRIM('Basis Options'!D720))</f>
        <v>IF-TRANSCO/Z6</v>
      </c>
      <c r="V717" s="0" t="s">
        <v>624</v>
      </c>
      <c r="W717" s="0" t="s">
        <v>569</v>
      </c>
      <c r="X717" s="0" t="s">
        <v>624</v>
      </c>
      <c r="Y717" s="0" t="s">
        <v>627</v>
      </c>
      <c r="Z717" s="0" t="s">
        <v>629</v>
      </c>
      <c r="AA717" s="0" t="s">
        <v>624</v>
      </c>
      <c r="AB717" s="0" t="s">
        <v>132</v>
      </c>
      <c r="AC717" s="254" t="n">
        <f aca="false">'Basis Options'!H720</f>
        <v>500000</v>
      </c>
      <c r="AD717" s="254" t="e">
        <f aca="false">'Basis Options'!W720</f>
        <v>#NAME?</v>
      </c>
      <c r="AE717" s="0" t="n">
        <v>0</v>
      </c>
      <c r="AF717" s="0" t="n">
        <v>0</v>
      </c>
      <c r="AG717" s="0" t="n">
        <v>0</v>
      </c>
      <c r="AH717" s="254" t="e">
        <f aca="false">'Basis Options'!CD722</f>
        <v>#NAME?</v>
      </c>
      <c r="AI717" s="0" t="n">
        <v>226</v>
      </c>
      <c r="AJ717" s="0" t="s">
        <v>630</v>
      </c>
      <c r="AK717" s="0" t="n">
        <v>0</v>
      </c>
      <c r="AL717" s="0" t="n">
        <v>0</v>
      </c>
      <c r="AM717" s="0" t="n">
        <v>0</v>
      </c>
    </row>
    <row r="718" customFormat="false" ht="12.75" hidden="false" customHeight="false" outlineLevel="0" collapsed="false">
      <c r="A718" s="0" t="s">
        <v>621</v>
      </c>
      <c r="B718" s="0" t="str">
        <f aca="false">'Basis Options'!C721</f>
        <v>NV5380.2</v>
      </c>
      <c r="C718" s="0" t="s">
        <v>622</v>
      </c>
      <c r="D718" s="0" t="s">
        <v>623</v>
      </c>
      <c r="E718" s="0" t="s">
        <v>131</v>
      </c>
      <c r="F718" s="0" t="str">
        <f aca="false">'Basis Options'!A721</f>
        <v>SOUTHERCOMENEMA</v>
      </c>
      <c r="G718" s="0" t="s">
        <v>628</v>
      </c>
      <c r="H718" s="0" t="s">
        <v>625</v>
      </c>
      <c r="I718" s="0" t="s">
        <v>626</v>
      </c>
      <c r="J718" s="0" t="s">
        <v>627</v>
      </c>
      <c r="K718" s="475" t="n">
        <f aca="false">'Basis Options'!G721</f>
        <v>37104</v>
      </c>
      <c r="L718" s="254" t="e">
        <f aca="false">'Basis Options'!U721</f>
        <v>#NAME?</v>
      </c>
      <c r="M718" s="475" t="n">
        <f aca="false">'Basis Options'!Q721</f>
        <v>37102</v>
      </c>
      <c r="N718" s="0" t="str">
        <f aca="false">'Basis Options'!F721</f>
        <v>P</v>
      </c>
      <c r="O718" s="0" t="n">
        <f aca="false">'Basis Options'!I721</f>
        <v>0.42</v>
      </c>
      <c r="P718" s="0" t="n">
        <v>0</v>
      </c>
      <c r="Q718" s="0" t="n">
        <v>0</v>
      </c>
      <c r="R718" s="0" t="n">
        <v>0</v>
      </c>
      <c r="S718" s="0" t="n">
        <v>0</v>
      </c>
      <c r="T718" s="0" t="s">
        <v>624</v>
      </c>
      <c r="U718" s="0" t="str">
        <f aca="false">IF('Basis Options'!D721="NGI/CHI. GATE","""NGI/CHI. GATE""",TRIM('Basis Options'!D721))</f>
        <v>IF-TRANSCO/Z6</v>
      </c>
      <c r="V718" s="0" t="s">
        <v>624</v>
      </c>
      <c r="W718" s="0" t="s">
        <v>569</v>
      </c>
      <c r="X718" s="0" t="s">
        <v>624</v>
      </c>
      <c r="Y718" s="0" t="s">
        <v>627</v>
      </c>
      <c r="Z718" s="0" t="s">
        <v>629</v>
      </c>
      <c r="AA718" s="0" t="s">
        <v>624</v>
      </c>
      <c r="AB718" s="0" t="s">
        <v>132</v>
      </c>
      <c r="AC718" s="254" t="n">
        <f aca="false">'Basis Options'!H721</f>
        <v>500000</v>
      </c>
      <c r="AD718" s="254" t="e">
        <f aca="false">'Basis Options'!W721</f>
        <v>#NAME?</v>
      </c>
      <c r="AE718" s="0" t="n">
        <v>0</v>
      </c>
      <c r="AF718" s="0" t="n">
        <v>0</v>
      </c>
      <c r="AG718" s="0" t="n">
        <v>0</v>
      </c>
      <c r="AH718" s="254" t="e">
        <f aca="false">'Basis Options'!CD723</f>
        <v>#NAME?</v>
      </c>
      <c r="AI718" s="0" t="n">
        <v>226</v>
      </c>
      <c r="AJ718" s="0" t="s">
        <v>630</v>
      </c>
      <c r="AK718" s="0" t="n">
        <v>0</v>
      </c>
      <c r="AL718" s="0" t="n">
        <v>0</v>
      </c>
      <c r="AM718" s="0" t="n">
        <v>0</v>
      </c>
    </row>
    <row r="719" customFormat="false" ht="12.75" hidden="false" customHeight="false" outlineLevel="0" collapsed="false">
      <c r="A719" s="0" t="s">
        <v>621</v>
      </c>
      <c r="B719" s="0" t="str">
        <f aca="false">'Basis Options'!C722</f>
        <v>NV5380.2</v>
      </c>
      <c r="C719" s="0" t="s">
        <v>622</v>
      </c>
      <c r="D719" s="0" t="s">
        <v>623</v>
      </c>
      <c r="E719" s="0" t="s">
        <v>131</v>
      </c>
      <c r="F719" s="0" t="str">
        <f aca="false">'Basis Options'!A722</f>
        <v>SOUTHERCOMENEMA</v>
      </c>
      <c r="G719" s="0" t="s">
        <v>628</v>
      </c>
      <c r="H719" s="0" t="s">
        <v>625</v>
      </c>
      <c r="I719" s="0" t="s">
        <v>626</v>
      </c>
      <c r="J719" s="0" t="s">
        <v>627</v>
      </c>
      <c r="K719" s="475" t="n">
        <f aca="false">'Basis Options'!G722</f>
        <v>37135</v>
      </c>
      <c r="L719" s="254" t="e">
        <f aca="false">'Basis Options'!U722</f>
        <v>#NAME?</v>
      </c>
      <c r="M719" s="475" t="n">
        <f aca="false">'Basis Options'!Q722</f>
        <v>37133</v>
      </c>
      <c r="N719" s="0" t="str">
        <f aca="false">'Basis Options'!F722</f>
        <v>P</v>
      </c>
      <c r="O719" s="0" t="n">
        <f aca="false">'Basis Options'!I722</f>
        <v>0.42</v>
      </c>
      <c r="P719" s="0" t="n">
        <v>0</v>
      </c>
      <c r="Q719" s="0" t="n">
        <v>0</v>
      </c>
      <c r="R719" s="0" t="n">
        <v>0</v>
      </c>
      <c r="S719" s="0" t="n">
        <v>0</v>
      </c>
      <c r="T719" s="0" t="s">
        <v>624</v>
      </c>
      <c r="U719" s="0" t="str">
        <f aca="false">IF('Basis Options'!D722="NGI/CHI. GATE","""NGI/CHI. GATE""",TRIM('Basis Options'!D722))</f>
        <v>IF-TRANSCO/Z6</v>
      </c>
      <c r="V719" s="0" t="s">
        <v>624</v>
      </c>
      <c r="W719" s="0" t="s">
        <v>569</v>
      </c>
      <c r="X719" s="0" t="s">
        <v>624</v>
      </c>
      <c r="Y719" s="0" t="s">
        <v>627</v>
      </c>
      <c r="Z719" s="0" t="s">
        <v>629</v>
      </c>
      <c r="AA719" s="0" t="s">
        <v>624</v>
      </c>
      <c r="AB719" s="0" t="s">
        <v>132</v>
      </c>
      <c r="AC719" s="254" t="n">
        <f aca="false">'Basis Options'!H722</f>
        <v>500000</v>
      </c>
      <c r="AD719" s="254" t="e">
        <f aca="false">'Basis Options'!W722</f>
        <v>#NAME?</v>
      </c>
      <c r="AE719" s="0" t="n">
        <v>0</v>
      </c>
      <c r="AF719" s="0" t="n">
        <v>0</v>
      </c>
      <c r="AG719" s="0" t="n">
        <v>0</v>
      </c>
      <c r="AH719" s="254" t="e">
        <f aca="false">'Basis Options'!CD724</f>
        <v>#NAME?</v>
      </c>
      <c r="AI719" s="0" t="n">
        <v>226</v>
      </c>
      <c r="AJ719" s="0" t="s">
        <v>630</v>
      </c>
      <c r="AK719" s="0" t="n">
        <v>0</v>
      </c>
      <c r="AL719" s="0" t="n">
        <v>0</v>
      </c>
      <c r="AM719" s="0" t="n">
        <v>0</v>
      </c>
    </row>
    <row r="720" customFormat="false" ht="12.75" hidden="false" customHeight="false" outlineLevel="0" collapsed="false">
      <c r="A720" s="0" t="s">
        <v>621</v>
      </c>
      <c r="B720" s="0" t="str">
        <f aca="false">'Basis Options'!C723</f>
        <v>NV5380.2</v>
      </c>
      <c r="C720" s="0" t="s">
        <v>622</v>
      </c>
      <c r="D720" s="0" t="s">
        <v>623</v>
      </c>
      <c r="E720" s="0" t="s">
        <v>131</v>
      </c>
      <c r="F720" s="0" t="str">
        <f aca="false">'Basis Options'!A723</f>
        <v>SOUTHERCOMENEMA</v>
      </c>
      <c r="G720" s="0" t="s">
        <v>628</v>
      </c>
      <c r="H720" s="0" t="s">
        <v>625</v>
      </c>
      <c r="I720" s="0" t="s">
        <v>626</v>
      </c>
      <c r="J720" s="0" t="s">
        <v>627</v>
      </c>
      <c r="K720" s="475" t="n">
        <f aca="false">'Basis Options'!G723</f>
        <v>37165</v>
      </c>
      <c r="L720" s="254" t="e">
        <f aca="false">'Basis Options'!U723</f>
        <v>#NAME?</v>
      </c>
      <c r="M720" s="475" t="n">
        <f aca="false">'Basis Options'!Q723</f>
        <v>37161</v>
      </c>
      <c r="N720" s="0" t="str">
        <f aca="false">'Basis Options'!F723</f>
        <v>P</v>
      </c>
      <c r="O720" s="0" t="n">
        <f aca="false">'Basis Options'!I723</f>
        <v>0.42</v>
      </c>
      <c r="P720" s="0" t="n">
        <v>0</v>
      </c>
      <c r="Q720" s="0" t="n">
        <v>0</v>
      </c>
      <c r="R720" s="0" t="n">
        <v>0</v>
      </c>
      <c r="S720" s="0" t="n">
        <v>0</v>
      </c>
      <c r="T720" s="0" t="s">
        <v>624</v>
      </c>
      <c r="U720" s="0" t="str">
        <f aca="false">IF('Basis Options'!D723="NGI/CHI. GATE","""NGI/CHI. GATE""",TRIM('Basis Options'!D723))</f>
        <v>IF-TRANSCO/Z6</v>
      </c>
      <c r="V720" s="0" t="s">
        <v>624</v>
      </c>
      <c r="W720" s="0" t="s">
        <v>569</v>
      </c>
      <c r="X720" s="0" t="s">
        <v>624</v>
      </c>
      <c r="Y720" s="0" t="s">
        <v>627</v>
      </c>
      <c r="Z720" s="0" t="s">
        <v>629</v>
      </c>
      <c r="AA720" s="0" t="s">
        <v>624</v>
      </c>
      <c r="AB720" s="0" t="s">
        <v>132</v>
      </c>
      <c r="AC720" s="254" t="n">
        <f aca="false">'Basis Options'!H723</f>
        <v>500000</v>
      </c>
      <c r="AD720" s="254" t="e">
        <f aca="false">'Basis Options'!W723</f>
        <v>#NAME?</v>
      </c>
      <c r="AE720" s="0" t="n">
        <v>0</v>
      </c>
      <c r="AF720" s="0" t="n">
        <v>0</v>
      </c>
      <c r="AG720" s="0" t="n">
        <v>0</v>
      </c>
      <c r="AH720" s="254" t="e">
        <f aca="false">'Basis Options'!CD725</f>
        <v>#NAME?</v>
      </c>
      <c r="AI720" s="0" t="n">
        <v>226</v>
      </c>
      <c r="AJ720" s="0" t="s">
        <v>630</v>
      </c>
      <c r="AK720" s="0" t="n">
        <v>0</v>
      </c>
      <c r="AL720" s="0" t="n">
        <v>0</v>
      </c>
      <c r="AM720" s="0" t="n">
        <v>0</v>
      </c>
    </row>
    <row r="721" customFormat="false" ht="12.75" hidden="false" customHeight="false" outlineLevel="0" collapsed="false">
      <c r="A721" s="0" t="s">
        <v>621</v>
      </c>
      <c r="B721" s="0" t="str">
        <f aca="false">'Basis Options'!C724</f>
        <v>NV5394.1</v>
      </c>
      <c r="C721" s="0" t="s">
        <v>622</v>
      </c>
      <c r="D721" s="0" t="s">
        <v>623</v>
      </c>
      <c r="E721" s="0" t="s">
        <v>131</v>
      </c>
      <c r="F721" s="0" t="str">
        <f aca="false">'Basis Options'!A724</f>
        <v>AEPENESER</v>
      </c>
      <c r="G721" s="0" t="s">
        <v>628</v>
      </c>
      <c r="H721" s="0" t="s">
        <v>625</v>
      </c>
      <c r="I721" s="0" t="s">
        <v>626</v>
      </c>
      <c r="J721" s="0" t="s">
        <v>627</v>
      </c>
      <c r="K721" s="475" t="n">
        <f aca="false">'Basis Options'!G724</f>
        <v>36800</v>
      </c>
      <c r="L721" s="254" t="e">
        <f aca="false">'Basis Options'!U724</f>
        <v>#NAME?</v>
      </c>
      <c r="M721" s="475" t="n">
        <f aca="false">'Basis Options'!Q724</f>
        <v>36797</v>
      </c>
      <c r="N721" s="0" t="str">
        <f aca="false">'Basis Options'!F724</f>
        <v>C</v>
      </c>
      <c r="O721" s="0" t="n">
        <f aca="false">'Basis Options'!I724</f>
        <v>0.75</v>
      </c>
      <c r="P721" s="0" t="n">
        <v>0</v>
      </c>
      <c r="Q721" s="0" t="n">
        <v>0</v>
      </c>
      <c r="R721" s="0" t="n">
        <v>0</v>
      </c>
      <c r="S721" s="0" t="n">
        <v>0</v>
      </c>
      <c r="T721" s="0" t="s">
        <v>624</v>
      </c>
      <c r="U721" s="0" t="str">
        <f aca="false">IF('Basis Options'!D724="NGI/CHI. GATE","""NGI/CHI. GATE""",TRIM('Basis Options'!D724))</f>
        <v>NGI-SOCAL</v>
      </c>
      <c r="V721" s="0" t="s">
        <v>624</v>
      </c>
      <c r="W721" s="0" t="s">
        <v>569</v>
      </c>
      <c r="X721" s="0" t="s">
        <v>624</v>
      </c>
      <c r="Y721" s="0" t="s">
        <v>627</v>
      </c>
      <c r="Z721" s="0" t="s">
        <v>629</v>
      </c>
      <c r="AA721" s="0" t="s">
        <v>624</v>
      </c>
      <c r="AB721" s="0" t="s">
        <v>132</v>
      </c>
      <c r="AC721" s="254" t="n">
        <f aca="false">'Basis Options'!H724</f>
        <v>620000</v>
      </c>
      <c r="AD721" s="254" t="e">
        <f aca="false">'Basis Options'!W724</f>
        <v>#NAME?</v>
      </c>
      <c r="AE721" s="0" t="n">
        <v>0</v>
      </c>
      <c r="AF721" s="0" t="n">
        <v>0</v>
      </c>
      <c r="AG721" s="0" t="n">
        <v>0</v>
      </c>
      <c r="AH721" s="254" t="e">
        <f aca="false">'Basis Options'!CD726</f>
        <v>#NAME?</v>
      </c>
      <c r="AI721" s="0" t="n">
        <v>226</v>
      </c>
      <c r="AJ721" s="0" t="s">
        <v>630</v>
      </c>
      <c r="AK721" s="0" t="n">
        <v>0</v>
      </c>
      <c r="AL721" s="0" t="n">
        <v>0</v>
      </c>
      <c r="AM721" s="0" t="n">
        <v>0</v>
      </c>
    </row>
    <row r="722" customFormat="false" ht="12.75" hidden="false" customHeight="false" outlineLevel="0" collapsed="false">
      <c r="A722" s="0" t="s">
        <v>621</v>
      </c>
      <c r="B722" s="0" t="str">
        <f aca="false">'Basis Options'!C725</f>
        <v>NV5394.2</v>
      </c>
      <c r="C722" s="0" t="s">
        <v>622</v>
      </c>
      <c r="D722" s="0" t="s">
        <v>623</v>
      </c>
      <c r="E722" s="0" t="s">
        <v>131</v>
      </c>
      <c r="F722" s="0" t="str">
        <f aca="false">'Basis Options'!A725</f>
        <v>AEPENESER</v>
      </c>
      <c r="G722" s="0" t="s">
        <v>628</v>
      </c>
      <c r="H722" s="0" t="s">
        <v>625</v>
      </c>
      <c r="I722" s="0" t="s">
        <v>626</v>
      </c>
      <c r="J722" s="0" t="s">
        <v>627</v>
      </c>
      <c r="K722" s="475" t="n">
        <f aca="false">'Basis Options'!G725</f>
        <v>36800</v>
      </c>
      <c r="L722" s="254" t="e">
        <f aca="false">'Basis Options'!U725</f>
        <v>#NAME?</v>
      </c>
      <c r="M722" s="475" t="n">
        <f aca="false">'Basis Options'!Q725</f>
        <v>36797</v>
      </c>
      <c r="N722" s="0" t="str">
        <f aca="false">'Basis Options'!F725</f>
        <v>P</v>
      </c>
      <c r="O722" s="0" t="n">
        <f aca="false">'Basis Options'!I725</f>
        <v>0.4</v>
      </c>
      <c r="P722" s="0" t="n">
        <v>0</v>
      </c>
      <c r="Q722" s="0" t="n">
        <v>0</v>
      </c>
      <c r="R722" s="0" t="n">
        <v>0</v>
      </c>
      <c r="S722" s="0" t="n">
        <v>0</v>
      </c>
      <c r="T722" s="0" t="s">
        <v>624</v>
      </c>
      <c r="U722" s="0" t="str">
        <f aca="false">IF('Basis Options'!D725="NGI/CHI. GATE","""NGI/CHI. GATE""",TRIM('Basis Options'!D725))</f>
        <v>NGI-SOCAL</v>
      </c>
      <c r="V722" s="0" t="s">
        <v>624</v>
      </c>
      <c r="W722" s="0" t="s">
        <v>569</v>
      </c>
      <c r="X722" s="0" t="s">
        <v>624</v>
      </c>
      <c r="Y722" s="0" t="s">
        <v>627</v>
      </c>
      <c r="Z722" s="0" t="s">
        <v>629</v>
      </c>
      <c r="AA722" s="0" t="s">
        <v>624</v>
      </c>
      <c r="AB722" s="0" t="s">
        <v>132</v>
      </c>
      <c r="AC722" s="254" t="n">
        <f aca="false">'Basis Options'!H725</f>
        <v>-620000</v>
      </c>
      <c r="AD722" s="254" t="e">
        <f aca="false">'Basis Options'!W725</f>
        <v>#NAME?</v>
      </c>
      <c r="AE722" s="0" t="n">
        <v>0</v>
      </c>
      <c r="AF722" s="0" t="n">
        <v>0</v>
      </c>
      <c r="AG722" s="0" t="n">
        <v>0</v>
      </c>
      <c r="AH722" s="254" t="e">
        <f aca="false">'Basis Options'!CD727</f>
        <v>#NAME?</v>
      </c>
      <c r="AI722" s="0" t="n">
        <v>226</v>
      </c>
      <c r="AJ722" s="0" t="s">
        <v>630</v>
      </c>
      <c r="AK722" s="0" t="n">
        <v>0</v>
      </c>
      <c r="AL722" s="0" t="n">
        <v>0</v>
      </c>
      <c r="AM722" s="0" t="n">
        <v>0</v>
      </c>
    </row>
    <row r="723" customFormat="false" ht="12.75" hidden="false" customHeight="false" outlineLevel="0" collapsed="false">
      <c r="A723" s="0" t="s">
        <v>621</v>
      </c>
      <c r="B723" s="0" t="str">
        <f aca="false">'Basis Options'!C726</f>
        <v>NV5416.1</v>
      </c>
      <c r="C723" s="0" t="s">
        <v>622</v>
      </c>
      <c r="D723" s="0" t="s">
        <v>623</v>
      </c>
      <c r="E723" s="0" t="s">
        <v>131</v>
      </c>
      <c r="F723" s="0" t="str">
        <f aca="false">'Basis Options'!A726</f>
        <v>CMSMARSERTRA</v>
      </c>
      <c r="G723" s="0" t="s">
        <v>628</v>
      </c>
      <c r="H723" s="0" t="s">
        <v>625</v>
      </c>
      <c r="I723" s="0" t="s">
        <v>626</v>
      </c>
      <c r="J723" s="0" t="s">
        <v>627</v>
      </c>
      <c r="K723" s="475" t="n">
        <f aca="false">'Basis Options'!G726</f>
        <v>36800</v>
      </c>
      <c r="L723" s="254" t="e">
        <f aca="false">'Basis Options'!U726</f>
        <v>#NAME?</v>
      </c>
      <c r="M723" s="475" t="n">
        <f aca="false">'Basis Options'!Q726</f>
        <v>36797</v>
      </c>
      <c r="N723" s="0" t="str">
        <f aca="false">'Basis Options'!F726</f>
        <v>C</v>
      </c>
      <c r="O723" s="0" t="n">
        <f aca="false">'Basis Options'!I726</f>
        <v>0.75</v>
      </c>
      <c r="P723" s="0" t="n">
        <v>0</v>
      </c>
      <c r="Q723" s="0" t="n">
        <v>0</v>
      </c>
      <c r="R723" s="0" t="n">
        <v>0</v>
      </c>
      <c r="S723" s="0" t="n">
        <v>0</v>
      </c>
      <c r="T723" s="0" t="s">
        <v>624</v>
      </c>
      <c r="U723" s="0" t="str">
        <f aca="false">IF('Basis Options'!D726="NGI/CHI. GATE","""NGI/CHI. GATE""",TRIM('Basis Options'!D726))</f>
        <v>NGI-SOCAL</v>
      </c>
      <c r="V723" s="0" t="s">
        <v>624</v>
      </c>
      <c r="W723" s="0" t="s">
        <v>569</v>
      </c>
      <c r="X723" s="0" t="s">
        <v>624</v>
      </c>
      <c r="Y723" s="0" t="s">
        <v>627</v>
      </c>
      <c r="Z723" s="0" t="s">
        <v>629</v>
      </c>
      <c r="AA723" s="0" t="s">
        <v>624</v>
      </c>
      <c r="AB723" s="0" t="s">
        <v>132</v>
      </c>
      <c r="AC723" s="254" t="n">
        <f aca="false">'Basis Options'!H726</f>
        <v>620000</v>
      </c>
      <c r="AD723" s="254" t="e">
        <f aca="false">'Basis Options'!W726</f>
        <v>#NAME?</v>
      </c>
      <c r="AE723" s="0" t="n">
        <v>0</v>
      </c>
      <c r="AF723" s="0" t="n">
        <v>0</v>
      </c>
      <c r="AG723" s="0" t="n">
        <v>0</v>
      </c>
      <c r="AH723" s="254" t="e">
        <f aca="false">'Basis Options'!CD728</f>
        <v>#NAME?</v>
      </c>
      <c r="AI723" s="0" t="n">
        <v>226</v>
      </c>
      <c r="AJ723" s="0" t="s">
        <v>630</v>
      </c>
      <c r="AK723" s="0" t="n">
        <v>0</v>
      </c>
      <c r="AL723" s="0" t="n">
        <v>0</v>
      </c>
      <c r="AM723" s="0" t="n">
        <v>0</v>
      </c>
    </row>
    <row r="724" customFormat="false" ht="12.75" hidden="false" customHeight="false" outlineLevel="0" collapsed="false">
      <c r="A724" s="0" t="s">
        <v>621</v>
      </c>
      <c r="B724" s="0" t="str">
        <f aca="false">'Basis Options'!C727</f>
        <v>NV5416.2</v>
      </c>
      <c r="C724" s="0" t="s">
        <v>622</v>
      </c>
      <c r="D724" s="0" t="s">
        <v>623</v>
      </c>
      <c r="E724" s="0" t="s">
        <v>131</v>
      </c>
      <c r="F724" s="0" t="str">
        <f aca="false">'Basis Options'!A727</f>
        <v>CMSMARSERTRA</v>
      </c>
      <c r="G724" s="0" t="s">
        <v>628</v>
      </c>
      <c r="H724" s="0" t="s">
        <v>625</v>
      </c>
      <c r="I724" s="0" t="s">
        <v>626</v>
      </c>
      <c r="J724" s="0" t="s">
        <v>627</v>
      </c>
      <c r="K724" s="475" t="n">
        <f aca="false">'Basis Options'!G727</f>
        <v>36800</v>
      </c>
      <c r="L724" s="254" t="e">
        <f aca="false">'Basis Options'!U727</f>
        <v>#NAME?</v>
      </c>
      <c r="M724" s="475" t="n">
        <f aca="false">'Basis Options'!Q727</f>
        <v>36797</v>
      </c>
      <c r="N724" s="0" t="str">
        <f aca="false">'Basis Options'!F727</f>
        <v>P</v>
      </c>
      <c r="O724" s="0" t="n">
        <f aca="false">'Basis Options'!I727</f>
        <v>0.4</v>
      </c>
      <c r="P724" s="0" t="n">
        <v>0</v>
      </c>
      <c r="Q724" s="0" t="n">
        <v>0</v>
      </c>
      <c r="R724" s="0" t="n">
        <v>0</v>
      </c>
      <c r="S724" s="0" t="n">
        <v>0</v>
      </c>
      <c r="T724" s="0" t="s">
        <v>624</v>
      </c>
      <c r="U724" s="0" t="str">
        <f aca="false">IF('Basis Options'!D727="NGI/CHI. GATE","""NGI/CHI. GATE""",TRIM('Basis Options'!D727))</f>
        <v>NGI-SOCAL</v>
      </c>
      <c r="V724" s="0" t="s">
        <v>624</v>
      </c>
      <c r="W724" s="0" t="s">
        <v>569</v>
      </c>
      <c r="X724" s="0" t="s">
        <v>624</v>
      </c>
      <c r="Y724" s="0" t="s">
        <v>627</v>
      </c>
      <c r="Z724" s="0" t="s">
        <v>629</v>
      </c>
      <c r="AA724" s="0" t="s">
        <v>624</v>
      </c>
      <c r="AB724" s="0" t="s">
        <v>132</v>
      </c>
      <c r="AC724" s="254" t="n">
        <f aca="false">'Basis Options'!H727</f>
        <v>-620000</v>
      </c>
      <c r="AD724" s="254" t="e">
        <f aca="false">'Basis Options'!W727</f>
        <v>#NAME?</v>
      </c>
      <c r="AE724" s="0" t="n">
        <v>0</v>
      </c>
      <c r="AF724" s="0" t="n">
        <v>0</v>
      </c>
      <c r="AG724" s="0" t="n">
        <v>0</v>
      </c>
      <c r="AH724" s="254" t="e">
        <f aca="false">'Basis Options'!CD729</f>
        <v>#NAME?</v>
      </c>
      <c r="AI724" s="0" t="n">
        <v>226</v>
      </c>
      <c r="AJ724" s="0" t="s">
        <v>630</v>
      </c>
      <c r="AK724" s="0" t="n">
        <v>0</v>
      </c>
      <c r="AL724" s="0" t="n">
        <v>0</v>
      </c>
      <c r="AM724" s="0" t="n">
        <v>0</v>
      </c>
    </row>
    <row r="725" customFormat="false" ht="12.75" hidden="false" customHeight="false" outlineLevel="0" collapsed="false">
      <c r="A725" s="0" t="s">
        <v>621</v>
      </c>
      <c r="B725" s="0" t="str">
        <f aca="false">'Basis Options'!C728</f>
        <v>NV6667.1</v>
      </c>
      <c r="C725" s="0" t="s">
        <v>622</v>
      </c>
      <c r="D725" s="0" t="s">
        <v>623</v>
      </c>
      <c r="E725" s="0" t="s">
        <v>131</v>
      </c>
      <c r="F725" s="0" t="str">
        <f aca="false">'Basis Options'!A728</f>
        <v>CMSMARSERTRA</v>
      </c>
      <c r="G725" s="0" t="s">
        <v>628</v>
      </c>
      <c r="H725" s="0" t="s">
        <v>625</v>
      </c>
      <c r="I725" s="0" t="s">
        <v>626</v>
      </c>
      <c r="J725" s="0" t="s">
        <v>627</v>
      </c>
      <c r="K725" s="475" t="n">
        <f aca="false">'Basis Options'!G728</f>
        <v>36831</v>
      </c>
      <c r="L725" s="254" t="e">
        <f aca="false">'Basis Options'!U728</f>
        <v>#NAME?</v>
      </c>
      <c r="M725" s="475" t="n">
        <f aca="false">'Basis Options'!Q728</f>
        <v>36829</v>
      </c>
      <c r="N725" s="0" t="str">
        <f aca="false">'Basis Options'!F728</f>
        <v>C</v>
      </c>
      <c r="O725" s="0" t="n">
        <f aca="false">'Basis Options'!I728</f>
        <v>-0.375</v>
      </c>
      <c r="P725" s="0" t="n">
        <v>0</v>
      </c>
      <c r="Q725" s="0" t="n">
        <v>0</v>
      </c>
      <c r="R725" s="0" t="n">
        <v>0</v>
      </c>
      <c r="S725" s="0" t="n">
        <v>0</v>
      </c>
      <c r="T725" s="0" t="s">
        <v>624</v>
      </c>
      <c r="U725" s="0" t="str">
        <f aca="false">IF('Basis Options'!D728="NGI/CHI. GATE","""NGI/CHI. GATE""",TRIM('Basis Options'!D728))</f>
        <v>IF-NWPL_ROCKY_M</v>
      </c>
      <c r="V725" s="0" t="s">
        <v>624</v>
      </c>
      <c r="W725" s="0" t="s">
        <v>569</v>
      </c>
      <c r="X725" s="0" t="s">
        <v>624</v>
      </c>
      <c r="Y725" s="0" t="s">
        <v>627</v>
      </c>
      <c r="Z725" s="0" t="s">
        <v>629</v>
      </c>
      <c r="AA725" s="0" t="s">
        <v>624</v>
      </c>
      <c r="AB725" s="0" t="s">
        <v>132</v>
      </c>
      <c r="AC725" s="254" t="n">
        <f aca="false">'Basis Options'!H728</f>
        <v>600000</v>
      </c>
      <c r="AD725" s="254" t="e">
        <f aca="false">'Basis Options'!W728</f>
        <v>#NAME?</v>
      </c>
      <c r="AE725" s="0" t="n">
        <v>0</v>
      </c>
      <c r="AF725" s="0" t="n">
        <v>0</v>
      </c>
      <c r="AG725" s="0" t="n">
        <v>0</v>
      </c>
      <c r="AH725" s="254" t="e">
        <f aca="false">'Basis Options'!CD730</f>
        <v>#NAME?</v>
      </c>
      <c r="AI725" s="0" t="n">
        <v>226</v>
      </c>
      <c r="AJ725" s="0" t="s">
        <v>630</v>
      </c>
      <c r="AK725" s="0" t="n">
        <v>0</v>
      </c>
      <c r="AL725" s="0" t="n">
        <v>0</v>
      </c>
      <c r="AM725" s="0" t="n">
        <v>0</v>
      </c>
    </row>
    <row r="726" customFormat="false" ht="12.75" hidden="false" customHeight="false" outlineLevel="0" collapsed="false">
      <c r="A726" s="0" t="s">
        <v>621</v>
      </c>
      <c r="B726" s="0" t="str">
        <f aca="false">'Basis Options'!C729</f>
        <v>NV6667.1</v>
      </c>
      <c r="C726" s="0" t="s">
        <v>622</v>
      </c>
      <c r="D726" s="0" t="s">
        <v>623</v>
      </c>
      <c r="E726" s="0" t="s">
        <v>131</v>
      </c>
      <c r="F726" s="0" t="str">
        <f aca="false">'Basis Options'!A729</f>
        <v>CMSMARSERTRA</v>
      </c>
      <c r="G726" s="0" t="s">
        <v>628</v>
      </c>
      <c r="H726" s="0" t="s">
        <v>625</v>
      </c>
      <c r="I726" s="0" t="s">
        <v>626</v>
      </c>
      <c r="J726" s="0" t="s">
        <v>627</v>
      </c>
      <c r="K726" s="475" t="n">
        <f aca="false">'Basis Options'!G729</f>
        <v>36861</v>
      </c>
      <c r="L726" s="254" t="e">
        <f aca="false">'Basis Options'!U729</f>
        <v>#NAME?</v>
      </c>
      <c r="M726" s="475" t="n">
        <f aca="false">'Basis Options'!Q729</f>
        <v>36859</v>
      </c>
      <c r="N726" s="0" t="str">
        <f aca="false">'Basis Options'!F729</f>
        <v>C</v>
      </c>
      <c r="O726" s="0" t="n">
        <f aca="false">'Basis Options'!I729</f>
        <v>-0.375</v>
      </c>
      <c r="P726" s="0" t="n">
        <v>0</v>
      </c>
      <c r="Q726" s="0" t="n">
        <v>0</v>
      </c>
      <c r="R726" s="0" t="n">
        <v>0</v>
      </c>
      <c r="S726" s="0" t="n">
        <v>0</v>
      </c>
      <c r="T726" s="0" t="s">
        <v>624</v>
      </c>
      <c r="U726" s="0" t="str">
        <f aca="false">IF('Basis Options'!D729="NGI/CHI. GATE","""NGI/CHI. GATE""",TRIM('Basis Options'!D729))</f>
        <v>IF-NWPL_ROCKY_M</v>
      </c>
      <c r="V726" s="0" t="s">
        <v>624</v>
      </c>
      <c r="W726" s="0" t="s">
        <v>569</v>
      </c>
      <c r="X726" s="0" t="s">
        <v>624</v>
      </c>
      <c r="Y726" s="0" t="s">
        <v>627</v>
      </c>
      <c r="Z726" s="0" t="s">
        <v>629</v>
      </c>
      <c r="AA726" s="0" t="s">
        <v>624</v>
      </c>
      <c r="AB726" s="0" t="s">
        <v>132</v>
      </c>
      <c r="AC726" s="254" t="n">
        <f aca="false">'Basis Options'!H729</f>
        <v>620000</v>
      </c>
      <c r="AD726" s="254" t="e">
        <f aca="false">'Basis Options'!W729</f>
        <v>#NAME?</v>
      </c>
      <c r="AE726" s="0" t="n">
        <v>0</v>
      </c>
      <c r="AF726" s="0" t="n">
        <v>0</v>
      </c>
      <c r="AG726" s="0" t="n">
        <v>0</v>
      </c>
      <c r="AH726" s="254" t="e">
        <f aca="false">'Basis Options'!CD731</f>
        <v>#NAME?</v>
      </c>
      <c r="AI726" s="0" t="n">
        <v>226</v>
      </c>
      <c r="AJ726" s="0" t="s">
        <v>630</v>
      </c>
      <c r="AK726" s="0" t="n">
        <v>0</v>
      </c>
      <c r="AL726" s="0" t="n">
        <v>0</v>
      </c>
      <c r="AM726" s="0" t="n">
        <v>0</v>
      </c>
    </row>
    <row r="727" customFormat="false" ht="12.75" hidden="false" customHeight="false" outlineLevel="0" collapsed="false">
      <c r="A727" s="0" t="s">
        <v>621</v>
      </c>
      <c r="B727" s="0" t="str">
        <f aca="false">'Basis Options'!C730</f>
        <v>NV6667.1</v>
      </c>
      <c r="C727" s="0" t="s">
        <v>622</v>
      </c>
      <c r="D727" s="0" t="s">
        <v>623</v>
      </c>
      <c r="E727" s="0" t="s">
        <v>131</v>
      </c>
      <c r="F727" s="0" t="str">
        <f aca="false">'Basis Options'!A730</f>
        <v>CMSMARSERTRA</v>
      </c>
      <c r="G727" s="0" t="s">
        <v>628</v>
      </c>
      <c r="H727" s="0" t="s">
        <v>625</v>
      </c>
      <c r="I727" s="0" t="s">
        <v>626</v>
      </c>
      <c r="J727" s="0" t="s">
        <v>627</v>
      </c>
      <c r="K727" s="475" t="n">
        <f aca="false">'Basis Options'!G730</f>
        <v>36892</v>
      </c>
      <c r="L727" s="254" t="e">
        <f aca="false">'Basis Options'!U730</f>
        <v>#NAME?</v>
      </c>
      <c r="M727" s="475" t="n">
        <f aca="false">'Basis Options'!Q730</f>
        <v>36888</v>
      </c>
      <c r="N727" s="0" t="str">
        <f aca="false">'Basis Options'!F730</f>
        <v>C</v>
      </c>
      <c r="O727" s="0" t="n">
        <f aca="false">'Basis Options'!I730</f>
        <v>-0.375</v>
      </c>
      <c r="P727" s="0" t="n">
        <v>0</v>
      </c>
      <c r="Q727" s="0" t="n">
        <v>0</v>
      </c>
      <c r="R727" s="0" t="n">
        <v>0</v>
      </c>
      <c r="S727" s="0" t="n">
        <v>0</v>
      </c>
      <c r="T727" s="0" t="s">
        <v>624</v>
      </c>
      <c r="U727" s="0" t="str">
        <f aca="false">IF('Basis Options'!D730="NGI/CHI. GATE","""NGI/CHI. GATE""",TRIM('Basis Options'!D730))</f>
        <v>IF-NWPL_ROCKY_M</v>
      </c>
      <c r="V727" s="0" t="s">
        <v>624</v>
      </c>
      <c r="W727" s="0" t="s">
        <v>569</v>
      </c>
      <c r="X727" s="0" t="s">
        <v>624</v>
      </c>
      <c r="Y727" s="0" t="s">
        <v>627</v>
      </c>
      <c r="Z727" s="0" t="s">
        <v>629</v>
      </c>
      <c r="AA727" s="0" t="s">
        <v>624</v>
      </c>
      <c r="AB727" s="0" t="s">
        <v>132</v>
      </c>
      <c r="AC727" s="254" t="n">
        <f aca="false">'Basis Options'!H730</f>
        <v>620000</v>
      </c>
      <c r="AD727" s="254" t="e">
        <f aca="false">'Basis Options'!W730</f>
        <v>#NAME?</v>
      </c>
      <c r="AE727" s="0" t="n">
        <v>0</v>
      </c>
      <c r="AF727" s="0" t="n">
        <v>0</v>
      </c>
      <c r="AG727" s="0" t="n">
        <v>0</v>
      </c>
      <c r="AH727" s="254" t="e">
        <f aca="false">'Basis Options'!CD732</f>
        <v>#NAME?</v>
      </c>
      <c r="AI727" s="0" t="n">
        <v>226</v>
      </c>
      <c r="AJ727" s="0" t="s">
        <v>630</v>
      </c>
      <c r="AK727" s="0" t="n">
        <v>0</v>
      </c>
      <c r="AL727" s="0" t="n">
        <v>0</v>
      </c>
      <c r="AM727" s="0" t="n">
        <v>0</v>
      </c>
    </row>
    <row r="728" customFormat="false" ht="12.75" hidden="false" customHeight="false" outlineLevel="0" collapsed="false">
      <c r="A728" s="0" t="s">
        <v>621</v>
      </c>
      <c r="B728" s="0" t="str">
        <f aca="false">'Basis Options'!C731</f>
        <v>NV6667.1</v>
      </c>
      <c r="C728" s="0" t="s">
        <v>622</v>
      </c>
      <c r="D728" s="0" t="s">
        <v>623</v>
      </c>
      <c r="E728" s="0" t="s">
        <v>131</v>
      </c>
      <c r="F728" s="0" t="str">
        <f aca="false">'Basis Options'!A731</f>
        <v>CMSMARSERTRA</v>
      </c>
      <c r="G728" s="0" t="s">
        <v>628</v>
      </c>
      <c r="H728" s="0" t="s">
        <v>625</v>
      </c>
      <c r="I728" s="0" t="s">
        <v>626</v>
      </c>
      <c r="J728" s="0" t="s">
        <v>627</v>
      </c>
      <c r="K728" s="475" t="n">
        <f aca="false">'Basis Options'!G731</f>
        <v>36923</v>
      </c>
      <c r="L728" s="254" t="e">
        <f aca="false">'Basis Options'!U731</f>
        <v>#NAME?</v>
      </c>
      <c r="M728" s="475" t="n">
        <f aca="false">'Basis Options'!Q731</f>
        <v>36921</v>
      </c>
      <c r="N728" s="0" t="str">
        <f aca="false">'Basis Options'!F731</f>
        <v>C</v>
      </c>
      <c r="O728" s="0" t="n">
        <f aca="false">'Basis Options'!I731</f>
        <v>-0.375</v>
      </c>
      <c r="P728" s="0" t="n">
        <v>0</v>
      </c>
      <c r="Q728" s="0" t="n">
        <v>0</v>
      </c>
      <c r="R728" s="0" t="n">
        <v>0</v>
      </c>
      <c r="S728" s="0" t="n">
        <v>0</v>
      </c>
      <c r="T728" s="0" t="s">
        <v>624</v>
      </c>
      <c r="U728" s="0" t="str">
        <f aca="false">IF('Basis Options'!D731="NGI/CHI. GATE","""NGI/CHI. GATE""",TRIM('Basis Options'!D731))</f>
        <v>IF-NWPL_ROCKY_M</v>
      </c>
      <c r="V728" s="0" t="s">
        <v>624</v>
      </c>
      <c r="W728" s="0" t="s">
        <v>569</v>
      </c>
      <c r="X728" s="0" t="s">
        <v>624</v>
      </c>
      <c r="Y728" s="0" t="s">
        <v>627</v>
      </c>
      <c r="Z728" s="0" t="s">
        <v>629</v>
      </c>
      <c r="AA728" s="0" t="s">
        <v>624</v>
      </c>
      <c r="AB728" s="0" t="s">
        <v>132</v>
      </c>
      <c r="AC728" s="254" t="n">
        <f aca="false">'Basis Options'!H731</f>
        <v>560000</v>
      </c>
      <c r="AD728" s="254" t="e">
        <f aca="false">'Basis Options'!W731</f>
        <v>#NAME?</v>
      </c>
      <c r="AE728" s="0" t="n">
        <v>0</v>
      </c>
      <c r="AF728" s="0" t="n">
        <v>0</v>
      </c>
      <c r="AG728" s="0" t="n">
        <v>0</v>
      </c>
      <c r="AH728" s="254" t="e">
        <f aca="false">'Basis Options'!CD733</f>
        <v>#NAME?</v>
      </c>
      <c r="AI728" s="0" t="n">
        <v>226</v>
      </c>
      <c r="AJ728" s="0" t="s">
        <v>630</v>
      </c>
      <c r="AK728" s="0" t="n">
        <v>0</v>
      </c>
      <c r="AL728" s="0" t="n">
        <v>0</v>
      </c>
      <c r="AM728" s="0" t="n">
        <v>0</v>
      </c>
    </row>
    <row r="729" customFormat="false" ht="12.75" hidden="false" customHeight="false" outlineLevel="0" collapsed="false">
      <c r="A729" s="0" t="s">
        <v>621</v>
      </c>
      <c r="B729" s="0" t="str">
        <f aca="false">'Basis Options'!C732</f>
        <v>NV6667.1</v>
      </c>
      <c r="C729" s="0" t="s">
        <v>622</v>
      </c>
      <c r="D729" s="0" t="s">
        <v>623</v>
      </c>
      <c r="E729" s="0" t="s">
        <v>131</v>
      </c>
      <c r="F729" s="0" t="str">
        <f aca="false">'Basis Options'!A732</f>
        <v>CMSMARSERTRA</v>
      </c>
      <c r="G729" s="0" t="s">
        <v>628</v>
      </c>
      <c r="H729" s="0" t="s">
        <v>625</v>
      </c>
      <c r="I729" s="0" t="s">
        <v>626</v>
      </c>
      <c r="J729" s="0" t="s">
        <v>627</v>
      </c>
      <c r="K729" s="475" t="n">
        <f aca="false">'Basis Options'!G732</f>
        <v>36951</v>
      </c>
      <c r="L729" s="254" t="e">
        <f aca="false">'Basis Options'!U732</f>
        <v>#NAME?</v>
      </c>
      <c r="M729" s="475" t="n">
        <f aca="false">'Basis Options'!Q732</f>
        <v>36949</v>
      </c>
      <c r="N729" s="0" t="str">
        <f aca="false">'Basis Options'!F732</f>
        <v>C</v>
      </c>
      <c r="O729" s="0" t="n">
        <f aca="false">'Basis Options'!I732</f>
        <v>-0.375</v>
      </c>
      <c r="P729" s="0" t="n">
        <v>0</v>
      </c>
      <c r="Q729" s="0" t="n">
        <v>0</v>
      </c>
      <c r="R729" s="0" t="n">
        <v>0</v>
      </c>
      <c r="S729" s="0" t="n">
        <v>0</v>
      </c>
      <c r="T729" s="0" t="s">
        <v>624</v>
      </c>
      <c r="U729" s="0" t="str">
        <f aca="false">IF('Basis Options'!D732="NGI/CHI. GATE","""NGI/CHI. GATE""",TRIM('Basis Options'!D732))</f>
        <v>IF-NWPL_ROCKY_M</v>
      </c>
      <c r="V729" s="0" t="s">
        <v>624</v>
      </c>
      <c r="W729" s="0" t="s">
        <v>569</v>
      </c>
      <c r="X729" s="0" t="s">
        <v>624</v>
      </c>
      <c r="Y729" s="0" t="s">
        <v>627</v>
      </c>
      <c r="Z729" s="0" t="s">
        <v>629</v>
      </c>
      <c r="AA729" s="0" t="s">
        <v>624</v>
      </c>
      <c r="AB729" s="0" t="s">
        <v>132</v>
      </c>
      <c r="AC729" s="254" t="n">
        <f aca="false">'Basis Options'!H732</f>
        <v>620000</v>
      </c>
      <c r="AD729" s="254" t="e">
        <f aca="false">'Basis Options'!W732</f>
        <v>#NAME?</v>
      </c>
      <c r="AE729" s="0" t="n">
        <v>0</v>
      </c>
      <c r="AF729" s="0" t="n">
        <v>0</v>
      </c>
      <c r="AG729" s="0" t="n">
        <v>0</v>
      </c>
      <c r="AH729" s="254" t="e">
        <f aca="false">'Basis Options'!CD734</f>
        <v>#NAME?</v>
      </c>
      <c r="AI729" s="0" t="n">
        <v>226</v>
      </c>
      <c r="AJ729" s="0" t="s">
        <v>630</v>
      </c>
      <c r="AK729" s="0" t="n">
        <v>0</v>
      </c>
      <c r="AL729" s="0" t="n">
        <v>0</v>
      </c>
      <c r="AM729" s="0" t="n">
        <v>0</v>
      </c>
    </row>
    <row r="730" customFormat="false" ht="12.75" hidden="false" customHeight="false" outlineLevel="0" collapsed="false">
      <c r="A730" s="0" t="s">
        <v>621</v>
      </c>
      <c r="B730" s="0" t="str">
        <f aca="false">'Basis Options'!C733</f>
        <v>NV6667.2</v>
      </c>
      <c r="C730" s="0" t="s">
        <v>622</v>
      </c>
      <c r="D730" s="0" t="s">
        <v>623</v>
      </c>
      <c r="E730" s="0" t="s">
        <v>131</v>
      </c>
      <c r="F730" s="0" t="str">
        <f aca="false">'Basis Options'!A733</f>
        <v>CMSMARSERTRA</v>
      </c>
      <c r="G730" s="0" t="s">
        <v>628</v>
      </c>
      <c r="H730" s="0" t="s">
        <v>625</v>
      </c>
      <c r="I730" s="0" t="s">
        <v>626</v>
      </c>
      <c r="J730" s="0" t="s">
        <v>627</v>
      </c>
      <c r="K730" s="475" t="n">
        <f aca="false">'Basis Options'!G733</f>
        <v>36831</v>
      </c>
      <c r="L730" s="254" t="e">
        <f aca="false">'Basis Options'!U733</f>
        <v>#NAME?</v>
      </c>
      <c r="M730" s="475" t="n">
        <f aca="false">'Basis Options'!Q733</f>
        <v>36829</v>
      </c>
      <c r="N730" s="0" t="str">
        <f aca="false">'Basis Options'!F733</f>
        <v>P</v>
      </c>
      <c r="O730" s="0" t="n">
        <f aca="false">'Basis Options'!I733</f>
        <v>-0.375</v>
      </c>
      <c r="P730" s="0" t="n">
        <v>0</v>
      </c>
      <c r="Q730" s="0" t="n">
        <v>0</v>
      </c>
      <c r="R730" s="0" t="n">
        <v>0</v>
      </c>
      <c r="S730" s="0" t="n">
        <v>0</v>
      </c>
      <c r="T730" s="0" t="s">
        <v>624</v>
      </c>
      <c r="U730" s="0" t="str">
        <f aca="false">IF('Basis Options'!D733="NGI/CHI. GATE","""NGI/CHI. GATE""",TRIM('Basis Options'!D733))</f>
        <v>IF-NWPL_ROCKY_M</v>
      </c>
      <c r="V730" s="0" t="s">
        <v>624</v>
      </c>
      <c r="W730" s="0" t="s">
        <v>569</v>
      </c>
      <c r="X730" s="0" t="s">
        <v>624</v>
      </c>
      <c r="Y730" s="0" t="s">
        <v>627</v>
      </c>
      <c r="Z730" s="0" t="s">
        <v>629</v>
      </c>
      <c r="AA730" s="0" t="s">
        <v>624</v>
      </c>
      <c r="AB730" s="0" t="s">
        <v>132</v>
      </c>
      <c r="AC730" s="254" t="n">
        <f aca="false">'Basis Options'!H733</f>
        <v>600000</v>
      </c>
      <c r="AD730" s="254" t="e">
        <f aca="false">'Basis Options'!W733</f>
        <v>#NAME?</v>
      </c>
      <c r="AE730" s="0" t="n">
        <v>0</v>
      </c>
      <c r="AF730" s="0" t="n">
        <v>0</v>
      </c>
      <c r="AG730" s="0" t="n">
        <v>0</v>
      </c>
      <c r="AH730" s="254" t="e">
        <f aca="false">'Basis Options'!CD735</f>
        <v>#NAME?</v>
      </c>
      <c r="AI730" s="0" t="n">
        <v>226</v>
      </c>
      <c r="AJ730" s="0" t="s">
        <v>630</v>
      </c>
      <c r="AK730" s="0" t="n">
        <v>0</v>
      </c>
      <c r="AL730" s="0" t="n">
        <v>0</v>
      </c>
      <c r="AM730" s="0" t="n">
        <v>0</v>
      </c>
    </row>
    <row r="731" customFormat="false" ht="12.75" hidden="false" customHeight="false" outlineLevel="0" collapsed="false">
      <c r="A731" s="0" t="s">
        <v>621</v>
      </c>
      <c r="B731" s="0" t="str">
        <f aca="false">'Basis Options'!C734</f>
        <v>NV6667.2</v>
      </c>
      <c r="C731" s="0" t="s">
        <v>622</v>
      </c>
      <c r="D731" s="0" t="s">
        <v>623</v>
      </c>
      <c r="E731" s="0" t="s">
        <v>131</v>
      </c>
      <c r="F731" s="0" t="str">
        <f aca="false">'Basis Options'!A734</f>
        <v>CMSMARSERTRA</v>
      </c>
      <c r="G731" s="0" t="s">
        <v>628</v>
      </c>
      <c r="H731" s="0" t="s">
        <v>625</v>
      </c>
      <c r="I731" s="0" t="s">
        <v>626</v>
      </c>
      <c r="J731" s="0" t="s">
        <v>627</v>
      </c>
      <c r="K731" s="475" t="n">
        <f aca="false">'Basis Options'!G734</f>
        <v>36861</v>
      </c>
      <c r="L731" s="254" t="e">
        <f aca="false">'Basis Options'!U734</f>
        <v>#NAME?</v>
      </c>
      <c r="M731" s="475" t="n">
        <f aca="false">'Basis Options'!Q734</f>
        <v>36859</v>
      </c>
      <c r="N731" s="0" t="str">
        <f aca="false">'Basis Options'!F734</f>
        <v>P</v>
      </c>
      <c r="O731" s="0" t="n">
        <f aca="false">'Basis Options'!I734</f>
        <v>-0.375</v>
      </c>
      <c r="P731" s="0" t="n">
        <v>0</v>
      </c>
      <c r="Q731" s="0" t="n">
        <v>0</v>
      </c>
      <c r="R731" s="0" t="n">
        <v>0</v>
      </c>
      <c r="S731" s="0" t="n">
        <v>0</v>
      </c>
      <c r="T731" s="0" t="s">
        <v>624</v>
      </c>
      <c r="U731" s="0" t="str">
        <f aca="false">IF('Basis Options'!D734="NGI/CHI. GATE","""NGI/CHI. GATE""",TRIM('Basis Options'!D734))</f>
        <v>IF-NWPL_ROCKY_M</v>
      </c>
      <c r="V731" s="0" t="s">
        <v>624</v>
      </c>
      <c r="W731" s="0" t="s">
        <v>569</v>
      </c>
      <c r="X731" s="0" t="s">
        <v>624</v>
      </c>
      <c r="Y731" s="0" t="s">
        <v>627</v>
      </c>
      <c r="Z731" s="0" t="s">
        <v>629</v>
      </c>
      <c r="AA731" s="0" t="s">
        <v>624</v>
      </c>
      <c r="AB731" s="0" t="s">
        <v>132</v>
      </c>
      <c r="AC731" s="254" t="n">
        <f aca="false">'Basis Options'!H734</f>
        <v>620000</v>
      </c>
      <c r="AD731" s="254" t="e">
        <f aca="false">'Basis Options'!W734</f>
        <v>#NAME?</v>
      </c>
      <c r="AE731" s="0" t="n">
        <v>0</v>
      </c>
      <c r="AF731" s="0" t="n">
        <v>0</v>
      </c>
      <c r="AG731" s="0" t="n">
        <v>0</v>
      </c>
      <c r="AH731" s="254" t="e">
        <f aca="false">'Basis Options'!CD736</f>
        <v>#NAME?</v>
      </c>
      <c r="AI731" s="0" t="n">
        <v>226</v>
      </c>
      <c r="AJ731" s="0" t="s">
        <v>630</v>
      </c>
      <c r="AK731" s="0" t="n">
        <v>0</v>
      </c>
      <c r="AL731" s="0" t="n">
        <v>0</v>
      </c>
      <c r="AM731" s="0" t="n">
        <v>0</v>
      </c>
    </row>
    <row r="732" customFormat="false" ht="12.75" hidden="false" customHeight="false" outlineLevel="0" collapsed="false">
      <c r="A732" s="0" t="s">
        <v>621</v>
      </c>
      <c r="B732" s="0" t="str">
        <f aca="false">'Basis Options'!C735</f>
        <v>NV6667.2</v>
      </c>
      <c r="C732" s="0" t="s">
        <v>622</v>
      </c>
      <c r="D732" s="0" t="s">
        <v>623</v>
      </c>
      <c r="E732" s="0" t="s">
        <v>131</v>
      </c>
      <c r="F732" s="0" t="str">
        <f aca="false">'Basis Options'!A735</f>
        <v>CMSMARSERTRA</v>
      </c>
      <c r="G732" s="0" t="s">
        <v>628</v>
      </c>
      <c r="H732" s="0" t="s">
        <v>625</v>
      </c>
      <c r="I732" s="0" t="s">
        <v>626</v>
      </c>
      <c r="J732" s="0" t="s">
        <v>627</v>
      </c>
      <c r="K732" s="475" t="n">
        <f aca="false">'Basis Options'!G735</f>
        <v>36892</v>
      </c>
      <c r="L732" s="254" t="e">
        <f aca="false">'Basis Options'!U735</f>
        <v>#NAME?</v>
      </c>
      <c r="M732" s="475" t="n">
        <f aca="false">'Basis Options'!Q735</f>
        <v>36888</v>
      </c>
      <c r="N732" s="0" t="str">
        <f aca="false">'Basis Options'!F735</f>
        <v>P</v>
      </c>
      <c r="O732" s="0" t="n">
        <f aca="false">'Basis Options'!I735</f>
        <v>-0.375</v>
      </c>
      <c r="P732" s="0" t="n">
        <v>0</v>
      </c>
      <c r="Q732" s="0" t="n">
        <v>0</v>
      </c>
      <c r="R732" s="0" t="n">
        <v>0</v>
      </c>
      <c r="S732" s="0" t="n">
        <v>0</v>
      </c>
      <c r="T732" s="0" t="s">
        <v>624</v>
      </c>
      <c r="U732" s="0" t="str">
        <f aca="false">IF('Basis Options'!D735="NGI/CHI. GATE","""NGI/CHI. GATE""",TRIM('Basis Options'!D735))</f>
        <v>IF-NWPL_ROCKY_M</v>
      </c>
      <c r="V732" s="0" t="s">
        <v>624</v>
      </c>
      <c r="W732" s="0" t="s">
        <v>569</v>
      </c>
      <c r="X732" s="0" t="s">
        <v>624</v>
      </c>
      <c r="Y732" s="0" t="s">
        <v>627</v>
      </c>
      <c r="Z732" s="0" t="s">
        <v>629</v>
      </c>
      <c r="AA732" s="0" t="s">
        <v>624</v>
      </c>
      <c r="AB732" s="0" t="s">
        <v>132</v>
      </c>
      <c r="AC732" s="254" t="n">
        <f aca="false">'Basis Options'!H735</f>
        <v>620000</v>
      </c>
      <c r="AD732" s="254" t="e">
        <f aca="false">'Basis Options'!W735</f>
        <v>#NAME?</v>
      </c>
      <c r="AE732" s="0" t="n">
        <v>0</v>
      </c>
      <c r="AF732" s="0" t="n">
        <v>0</v>
      </c>
      <c r="AG732" s="0" t="n">
        <v>0</v>
      </c>
      <c r="AH732" s="254" t="e">
        <f aca="false">'Basis Options'!CD737</f>
        <v>#NAME?</v>
      </c>
      <c r="AI732" s="0" t="n">
        <v>226</v>
      </c>
      <c r="AJ732" s="0" t="s">
        <v>630</v>
      </c>
      <c r="AK732" s="0" t="n">
        <v>0</v>
      </c>
      <c r="AL732" s="0" t="n">
        <v>0</v>
      </c>
      <c r="AM732" s="0" t="n">
        <v>0</v>
      </c>
    </row>
    <row r="733" customFormat="false" ht="12.75" hidden="false" customHeight="false" outlineLevel="0" collapsed="false">
      <c r="A733" s="0" t="s">
        <v>621</v>
      </c>
      <c r="B733" s="0" t="str">
        <f aca="false">'Basis Options'!C736</f>
        <v>NV6667.2</v>
      </c>
      <c r="C733" s="0" t="s">
        <v>622</v>
      </c>
      <c r="D733" s="0" t="s">
        <v>623</v>
      </c>
      <c r="E733" s="0" t="s">
        <v>131</v>
      </c>
      <c r="F733" s="0" t="str">
        <f aca="false">'Basis Options'!A736</f>
        <v>CMSMARSERTRA</v>
      </c>
      <c r="G733" s="0" t="s">
        <v>628</v>
      </c>
      <c r="H733" s="0" t="s">
        <v>625</v>
      </c>
      <c r="I733" s="0" t="s">
        <v>626</v>
      </c>
      <c r="J733" s="0" t="s">
        <v>627</v>
      </c>
      <c r="K733" s="475" t="n">
        <f aca="false">'Basis Options'!G736</f>
        <v>36923</v>
      </c>
      <c r="L733" s="254" t="e">
        <f aca="false">'Basis Options'!U736</f>
        <v>#NAME?</v>
      </c>
      <c r="M733" s="475" t="n">
        <f aca="false">'Basis Options'!Q736</f>
        <v>36921</v>
      </c>
      <c r="N733" s="0" t="str">
        <f aca="false">'Basis Options'!F736</f>
        <v>P</v>
      </c>
      <c r="O733" s="0" t="n">
        <f aca="false">'Basis Options'!I736</f>
        <v>-0.375</v>
      </c>
      <c r="P733" s="0" t="n">
        <v>0</v>
      </c>
      <c r="Q733" s="0" t="n">
        <v>0</v>
      </c>
      <c r="R733" s="0" t="n">
        <v>0</v>
      </c>
      <c r="S733" s="0" t="n">
        <v>0</v>
      </c>
      <c r="T733" s="0" t="s">
        <v>624</v>
      </c>
      <c r="U733" s="0" t="str">
        <f aca="false">IF('Basis Options'!D736="NGI/CHI. GATE","""NGI/CHI. GATE""",TRIM('Basis Options'!D736))</f>
        <v>IF-NWPL_ROCKY_M</v>
      </c>
      <c r="V733" s="0" t="s">
        <v>624</v>
      </c>
      <c r="W733" s="0" t="s">
        <v>569</v>
      </c>
      <c r="X733" s="0" t="s">
        <v>624</v>
      </c>
      <c r="Y733" s="0" t="s">
        <v>627</v>
      </c>
      <c r="Z733" s="0" t="s">
        <v>629</v>
      </c>
      <c r="AA733" s="0" t="s">
        <v>624</v>
      </c>
      <c r="AB733" s="0" t="s">
        <v>132</v>
      </c>
      <c r="AC733" s="254" t="n">
        <f aca="false">'Basis Options'!H736</f>
        <v>560000</v>
      </c>
      <c r="AD733" s="254" t="e">
        <f aca="false">'Basis Options'!W736</f>
        <v>#NAME?</v>
      </c>
      <c r="AE733" s="0" t="n">
        <v>0</v>
      </c>
      <c r="AF733" s="0" t="n">
        <v>0</v>
      </c>
      <c r="AG733" s="0" t="n">
        <v>0</v>
      </c>
      <c r="AH733" s="254" t="e">
        <f aca="false">'Basis Options'!CD738</f>
        <v>#NAME?</v>
      </c>
      <c r="AI733" s="0" t="n">
        <v>226</v>
      </c>
      <c r="AJ733" s="0" t="s">
        <v>630</v>
      </c>
      <c r="AK733" s="0" t="n">
        <v>0</v>
      </c>
      <c r="AL733" s="0" t="n">
        <v>0</v>
      </c>
      <c r="AM733" s="0" t="n">
        <v>0</v>
      </c>
    </row>
    <row r="734" customFormat="false" ht="12.75" hidden="false" customHeight="false" outlineLevel="0" collapsed="false">
      <c r="A734" s="0" t="s">
        <v>621</v>
      </c>
      <c r="B734" s="0" t="str">
        <f aca="false">'Basis Options'!C737</f>
        <v>NV6667.2</v>
      </c>
      <c r="C734" s="0" t="s">
        <v>622</v>
      </c>
      <c r="D734" s="0" t="s">
        <v>623</v>
      </c>
      <c r="E734" s="0" t="s">
        <v>131</v>
      </c>
      <c r="F734" s="0" t="str">
        <f aca="false">'Basis Options'!A737</f>
        <v>CMSMARSERTRA</v>
      </c>
      <c r="G734" s="0" t="s">
        <v>628</v>
      </c>
      <c r="H734" s="0" t="s">
        <v>625</v>
      </c>
      <c r="I734" s="0" t="s">
        <v>626</v>
      </c>
      <c r="J734" s="0" t="s">
        <v>627</v>
      </c>
      <c r="K734" s="475" t="n">
        <f aca="false">'Basis Options'!G737</f>
        <v>36951</v>
      </c>
      <c r="L734" s="254" t="e">
        <f aca="false">'Basis Options'!U737</f>
        <v>#NAME?</v>
      </c>
      <c r="M734" s="475" t="n">
        <f aca="false">'Basis Options'!Q737</f>
        <v>36949</v>
      </c>
      <c r="N734" s="0" t="str">
        <f aca="false">'Basis Options'!F737</f>
        <v>P</v>
      </c>
      <c r="O734" s="0" t="n">
        <f aca="false">'Basis Options'!I737</f>
        <v>-0.375</v>
      </c>
      <c r="P734" s="0" t="n">
        <v>0</v>
      </c>
      <c r="Q734" s="0" t="n">
        <v>0</v>
      </c>
      <c r="R734" s="0" t="n">
        <v>0</v>
      </c>
      <c r="S734" s="0" t="n">
        <v>0</v>
      </c>
      <c r="T734" s="0" t="s">
        <v>624</v>
      </c>
      <c r="U734" s="0" t="str">
        <f aca="false">IF('Basis Options'!D737="NGI/CHI. GATE","""NGI/CHI. GATE""",TRIM('Basis Options'!D737))</f>
        <v>IF-NWPL_ROCKY_M</v>
      </c>
      <c r="V734" s="0" t="s">
        <v>624</v>
      </c>
      <c r="W734" s="0" t="s">
        <v>569</v>
      </c>
      <c r="X734" s="0" t="s">
        <v>624</v>
      </c>
      <c r="Y734" s="0" t="s">
        <v>627</v>
      </c>
      <c r="Z734" s="0" t="s">
        <v>629</v>
      </c>
      <c r="AA734" s="0" t="s">
        <v>624</v>
      </c>
      <c r="AB734" s="0" t="s">
        <v>132</v>
      </c>
      <c r="AC734" s="254" t="n">
        <f aca="false">'Basis Options'!H737</f>
        <v>620000</v>
      </c>
      <c r="AD734" s="254" t="e">
        <f aca="false">'Basis Options'!W737</f>
        <v>#NAME?</v>
      </c>
      <c r="AE734" s="0" t="n">
        <v>0</v>
      </c>
      <c r="AF734" s="0" t="n">
        <v>0</v>
      </c>
      <c r="AG734" s="0" t="n">
        <v>0</v>
      </c>
      <c r="AH734" s="254" t="e">
        <f aca="false">'Basis Options'!CD739</f>
        <v>#NAME?</v>
      </c>
      <c r="AI734" s="0" t="n">
        <v>226</v>
      </c>
      <c r="AJ734" s="0" t="s">
        <v>630</v>
      </c>
      <c r="AK734" s="0" t="n">
        <v>0</v>
      </c>
      <c r="AL734" s="0" t="n">
        <v>0</v>
      </c>
      <c r="AM734" s="0" t="n">
        <v>0</v>
      </c>
    </row>
    <row r="735" customFormat="false" ht="12.75" hidden="false" customHeight="false" outlineLevel="0" collapsed="false">
      <c r="A735" s="0" t="s">
        <v>621</v>
      </c>
      <c r="B735" s="0" t="str">
        <f aca="false">'Basis Options'!C738</f>
        <v>NV6677</v>
      </c>
      <c r="C735" s="0" t="s">
        <v>622</v>
      </c>
      <c r="D735" s="0" t="s">
        <v>623</v>
      </c>
      <c r="E735" s="0" t="s">
        <v>131</v>
      </c>
      <c r="F735" s="0" t="str">
        <f aca="false">'Basis Options'!A738</f>
        <v>WILLIAMSENEMAR</v>
      </c>
      <c r="G735" s="0" t="s">
        <v>628</v>
      </c>
      <c r="H735" s="0" t="s">
        <v>625</v>
      </c>
      <c r="I735" s="0" t="s">
        <v>626</v>
      </c>
      <c r="J735" s="0" t="s">
        <v>627</v>
      </c>
      <c r="K735" s="475" t="n">
        <f aca="false">'Basis Options'!G738</f>
        <v>36892</v>
      </c>
      <c r="L735" s="254" t="e">
        <f aca="false">'Basis Options'!U738</f>
        <v>#NAME?</v>
      </c>
      <c r="M735" s="475" t="n">
        <f aca="false">'Basis Options'!Q738</f>
        <v>36888</v>
      </c>
      <c r="N735" s="0" t="str">
        <f aca="false">'Basis Options'!F738</f>
        <v>C</v>
      </c>
      <c r="O735" s="0" t="n">
        <f aca="false">'Basis Options'!I738</f>
        <v>0.2</v>
      </c>
      <c r="P735" s="0" t="n">
        <v>0</v>
      </c>
      <c r="Q735" s="0" t="n">
        <v>0</v>
      </c>
      <c r="R735" s="0" t="n">
        <v>0</v>
      </c>
      <c r="S735" s="0" t="n">
        <v>0</v>
      </c>
      <c r="T735" s="0" t="s">
        <v>624</v>
      </c>
      <c r="U735" s="0" t="str">
        <f aca="false">IF('Basis Options'!D738="NGI/CHI. GATE","""NGI/CHI. GATE""",TRIM('Basis Options'!D738))</f>
        <v>"NGI/CHI. GATE"</v>
      </c>
      <c r="V735" s="0" t="s">
        <v>624</v>
      </c>
      <c r="W735" s="0" t="s">
        <v>569</v>
      </c>
      <c r="X735" s="0" t="s">
        <v>624</v>
      </c>
      <c r="Y735" s="0" t="s">
        <v>627</v>
      </c>
      <c r="Z735" s="0" t="s">
        <v>629</v>
      </c>
      <c r="AA735" s="0" t="s">
        <v>624</v>
      </c>
      <c r="AB735" s="0" t="s">
        <v>132</v>
      </c>
      <c r="AC735" s="254" t="n">
        <f aca="false">'Basis Options'!H738</f>
        <v>-1000000</v>
      </c>
      <c r="AD735" s="254" t="e">
        <f aca="false">'Basis Options'!W738</f>
        <v>#NAME?</v>
      </c>
      <c r="AE735" s="0" t="n">
        <v>0</v>
      </c>
      <c r="AF735" s="0" t="n">
        <v>0</v>
      </c>
      <c r="AG735" s="0" t="n">
        <v>0</v>
      </c>
      <c r="AH735" s="254" t="e">
        <f aca="false">'Basis Options'!CD740</f>
        <v>#NAME?</v>
      </c>
      <c r="AI735" s="0" t="n">
        <v>226</v>
      </c>
      <c r="AJ735" s="0" t="s">
        <v>630</v>
      </c>
      <c r="AK735" s="0" t="n">
        <v>0</v>
      </c>
      <c r="AL735" s="0" t="n">
        <v>0</v>
      </c>
      <c r="AM735" s="0" t="n">
        <v>0</v>
      </c>
    </row>
    <row r="736" customFormat="false" ht="12.75" hidden="false" customHeight="false" outlineLevel="0" collapsed="false">
      <c r="A736" s="0" t="s">
        <v>621</v>
      </c>
      <c r="B736" s="0" t="str">
        <f aca="false">'Basis Options'!C739</f>
        <v>NV6677</v>
      </c>
      <c r="C736" s="0" t="s">
        <v>622</v>
      </c>
      <c r="D736" s="0" t="s">
        <v>623</v>
      </c>
      <c r="E736" s="0" t="s">
        <v>131</v>
      </c>
      <c r="F736" s="0" t="str">
        <f aca="false">'Basis Options'!A739</f>
        <v>WILLIAMSENEMAR</v>
      </c>
      <c r="G736" s="0" t="s">
        <v>628</v>
      </c>
      <c r="H736" s="0" t="s">
        <v>625</v>
      </c>
      <c r="I736" s="0" t="s">
        <v>626</v>
      </c>
      <c r="J736" s="0" t="s">
        <v>627</v>
      </c>
      <c r="K736" s="475" t="n">
        <f aca="false">'Basis Options'!G739</f>
        <v>36923</v>
      </c>
      <c r="L736" s="254" t="e">
        <f aca="false">'Basis Options'!U739</f>
        <v>#NAME?</v>
      </c>
      <c r="M736" s="475" t="n">
        <f aca="false">'Basis Options'!Q739</f>
        <v>36921</v>
      </c>
      <c r="N736" s="0" t="str">
        <f aca="false">'Basis Options'!F739</f>
        <v>C</v>
      </c>
      <c r="O736" s="0" t="n">
        <f aca="false">'Basis Options'!I739</f>
        <v>0.2</v>
      </c>
      <c r="P736" s="0" t="n">
        <v>0</v>
      </c>
      <c r="Q736" s="0" t="n">
        <v>0</v>
      </c>
      <c r="R736" s="0" t="n">
        <v>0</v>
      </c>
      <c r="S736" s="0" t="n">
        <v>0</v>
      </c>
      <c r="T736" s="0" t="s">
        <v>624</v>
      </c>
      <c r="U736" s="0" t="str">
        <f aca="false">IF('Basis Options'!D739="NGI/CHI. GATE","""NGI/CHI. GATE""",TRIM('Basis Options'!D739))</f>
        <v>"NGI/CHI. GATE"</v>
      </c>
      <c r="V736" s="0" t="s">
        <v>624</v>
      </c>
      <c r="W736" s="0" t="s">
        <v>569</v>
      </c>
      <c r="X736" s="0" t="s">
        <v>624</v>
      </c>
      <c r="Y736" s="0" t="s">
        <v>627</v>
      </c>
      <c r="Z736" s="0" t="s">
        <v>629</v>
      </c>
      <c r="AA736" s="0" t="s">
        <v>624</v>
      </c>
      <c r="AB736" s="0" t="s">
        <v>132</v>
      </c>
      <c r="AC736" s="254" t="n">
        <f aca="false">'Basis Options'!H739</f>
        <v>-1000000</v>
      </c>
      <c r="AD736" s="254" t="e">
        <f aca="false">'Basis Options'!W739</f>
        <v>#NAME?</v>
      </c>
      <c r="AE736" s="0" t="n">
        <v>0</v>
      </c>
      <c r="AF736" s="0" t="n">
        <v>0</v>
      </c>
      <c r="AG736" s="0" t="n">
        <v>0</v>
      </c>
      <c r="AH736" s="254" t="e">
        <f aca="false">'Basis Options'!CD741</f>
        <v>#NAME?</v>
      </c>
      <c r="AI736" s="0" t="n">
        <v>226</v>
      </c>
      <c r="AJ736" s="0" t="s">
        <v>630</v>
      </c>
      <c r="AK736" s="0" t="n">
        <v>0</v>
      </c>
      <c r="AL736" s="0" t="n">
        <v>0</v>
      </c>
      <c r="AM736" s="0" t="n">
        <v>0</v>
      </c>
    </row>
    <row r="737" customFormat="false" ht="12.75" hidden="false" customHeight="false" outlineLevel="0" collapsed="false">
      <c r="A737" s="0" t="s">
        <v>621</v>
      </c>
      <c r="B737" s="0" t="str">
        <f aca="false">'Basis Options'!C740</f>
        <v>NV6677</v>
      </c>
      <c r="C737" s="0" t="s">
        <v>622</v>
      </c>
      <c r="D737" s="0" t="s">
        <v>623</v>
      </c>
      <c r="E737" s="0" t="s">
        <v>131</v>
      </c>
      <c r="F737" s="0" t="str">
        <f aca="false">'Basis Options'!A740</f>
        <v>WILLIAMSENEMAR</v>
      </c>
      <c r="G737" s="0" t="s">
        <v>628</v>
      </c>
      <c r="H737" s="0" t="s">
        <v>625</v>
      </c>
      <c r="I737" s="0" t="s">
        <v>626</v>
      </c>
      <c r="J737" s="0" t="s">
        <v>627</v>
      </c>
      <c r="K737" s="475" t="n">
        <f aca="false">'Basis Options'!G740</f>
        <v>36951</v>
      </c>
      <c r="L737" s="254" t="e">
        <f aca="false">'Basis Options'!U740</f>
        <v>#NAME?</v>
      </c>
      <c r="M737" s="475" t="n">
        <f aca="false">'Basis Options'!Q740</f>
        <v>36949</v>
      </c>
      <c r="N737" s="0" t="str">
        <f aca="false">'Basis Options'!F740</f>
        <v>C</v>
      </c>
      <c r="O737" s="0" t="n">
        <f aca="false">'Basis Options'!I740</f>
        <v>0.2</v>
      </c>
      <c r="P737" s="0" t="n">
        <v>0</v>
      </c>
      <c r="Q737" s="0" t="n">
        <v>0</v>
      </c>
      <c r="R737" s="0" t="n">
        <v>0</v>
      </c>
      <c r="S737" s="0" t="n">
        <v>0</v>
      </c>
      <c r="T737" s="0" t="s">
        <v>624</v>
      </c>
      <c r="U737" s="0" t="str">
        <f aca="false">IF('Basis Options'!D740="NGI/CHI. GATE","""NGI/CHI. GATE""",TRIM('Basis Options'!D740))</f>
        <v>"NGI/CHI. GATE"</v>
      </c>
      <c r="V737" s="0" t="s">
        <v>624</v>
      </c>
      <c r="W737" s="0" t="s">
        <v>569</v>
      </c>
      <c r="X737" s="0" t="s">
        <v>624</v>
      </c>
      <c r="Y737" s="0" t="s">
        <v>627</v>
      </c>
      <c r="Z737" s="0" t="s">
        <v>629</v>
      </c>
      <c r="AA737" s="0" t="s">
        <v>624</v>
      </c>
      <c r="AB737" s="0" t="s">
        <v>132</v>
      </c>
      <c r="AC737" s="254" t="n">
        <f aca="false">'Basis Options'!H740</f>
        <v>-1000000</v>
      </c>
      <c r="AD737" s="254" t="e">
        <f aca="false">'Basis Options'!W740</f>
        <v>#NAME?</v>
      </c>
      <c r="AE737" s="0" t="n">
        <v>0</v>
      </c>
      <c r="AF737" s="0" t="n">
        <v>0</v>
      </c>
      <c r="AG737" s="0" t="n">
        <v>0</v>
      </c>
      <c r="AH737" s="254" t="e">
        <f aca="false">'Basis Options'!CD742</f>
        <v>#NAME?</v>
      </c>
      <c r="AI737" s="0" t="n">
        <v>226</v>
      </c>
      <c r="AJ737" s="0" t="s">
        <v>630</v>
      </c>
      <c r="AK737" s="0" t="n">
        <v>0</v>
      </c>
      <c r="AL737" s="0" t="n">
        <v>0</v>
      </c>
      <c r="AM737" s="0" t="n">
        <v>0</v>
      </c>
    </row>
    <row r="738" customFormat="false" ht="12.75" hidden="false" customHeight="false" outlineLevel="0" collapsed="false">
      <c r="A738" s="0" t="s">
        <v>621</v>
      </c>
      <c r="B738" s="0" t="str">
        <f aca="false">'Basis Options'!C741</f>
        <v>NV6691</v>
      </c>
      <c r="C738" s="0" t="s">
        <v>622</v>
      </c>
      <c r="D738" s="0" t="s">
        <v>623</v>
      </c>
      <c r="E738" s="0" t="s">
        <v>131</v>
      </c>
      <c r="F738" s="0" t="str">
        <f aca="false">'Basis Options'!A741</f>
        <v>DUKEENETRA</v>
      </c>
      <c r="G738" s="0" t="s">
        <v>628</v>
      </c>
      <c r="H738" s="0" t="s">
        <v>625</v>
      </c>
      <c r="I738" s="0" t="s">
        <v>626</v>
      </c>
      <c r="J738" s="0" t="s">
        <v>627</v>
      </c>
      <c r="K738" s="475" t="n">
        <f aca="false">'Basis Options'!G741</f>
        <v>36982</v>
      </c>
      <c r="L738" s="254" t="e">
        <f aca="false">'Basis Options'!U741</f>
        <v>#NAME?</v>
      </c>
      <c r="M738" s="475" t="n">
        <f aca="false">'Basis Options'!Q741</f>
        <v>36979</v>
      </c>
      <c r="N738" s="0" t="str">
        <f aca="false">'Basis Options'!F741</f>
        <v>P</v>
      </c>
      <c r="O738" s="0" t="n">
        <f aca="false">'Basis Options'!I741</f>
        <v>0.28</v>
      </c>
      <c r="P738" s="0" t="n">
        <v>0</v>
      </c>
      <c r="Q738" s="0" t="n">
        <v>0</v>
      </c>
      <c r="R738" s="0" t="n">
        <v>0</v>
      </c>
      <c r="S738" s="0" t="n">
        <v>0</v>
      </c>
      <c r="T738" s="0" t="s">
        <v>624</v>
      </c>
      <c r="U738" s="0" t="str">
        <f aca="false">IF('Basis Options'!D741="NGI/CHI. GATE","""NGI/CHI. GATE""",TRIM('Basis Options'!D741))</f>
        <v>IF-TETCO/M3</v>
      </c>
      <c r="V738" s="0" t="s">
        <v>624</v>
      </c>
      <c r="W738" s="0" t="s">
        <v>569</v>
      </c>
      <c r="X738" s="0" t="s">
        <v>624</v>
      </c>
      <c r="Y738" s="0" t="s">
        <v>627</v>
      </c>
      <c r="Z738" s="0" t="s">
        <v>629</v>
      </c>
      <c r="AA738" s="0" t="s">
        <v>624</v>
      </c>
      <c r="AB738" s="0" t="s">
        <v>132</v>
      </c>
      <c r="AC738" s="254" t="n">
        <f aca="false">'Basis Options'!H741</f>
        <v>1000000</v>
      </c>
      <c r="AD738" s="254" t="e">
        <f aca="false">'Basis Options'!W741</f>
        <v>#NAME?</v>
      </c>
      <c r="AE738" s="0" t="n">
        <v>0</v>
      </c>
      <c r="AF738" s="0" t="n">
        <v>0</v>
      </c>
      <c r="AG738" s="0" t="n">
        <v>0</v>
      </c>
      <c r="AH738" s="254" t="e">
        <f aca="false">'Basis Options'!CD743</f>
        <v>#NAME?</v>
      </c>
      <c r="AI738" s="0" t="n">
        <v>226</v>
      </c>
      <c r="AJ738" s="0" t="s">
        <v>630</v>
      </c>
      <c r="AK738" s="0" t="n">
        <v>0</v>
      </c>
      <c r="AL738" s="0" t="n">
        <v>0</v>
      </c>
      <c r="AM738" s="0" t="n">
        <v>0</v>
      </c>
    </row>
    <row r="739" customFormat="false" ht="12.75" hidden="false" customHeight="false" outlineLevel="0" collapsed="false">
      <c r="A739" s="0" t="s">
        <v>621</v>
      </c>
      <c r="B739" s="0" t="str">
        <f aca="false">'Basis Options'!C742</f>
        <v>NV6691</v>
      </c>
      <c r="C739" s="0" t="s">
        <v>622</v>
      </c>
      <c r="D739" s="0" t="s">
        <v>623</v>
      </c>
      <c r="E739" s="0" t="s">
        <v>131</v>
      </c>
      <c r="F739" s="0" t="str">
        <f aca="false">'Basis Options'!A742</f>
        <v>DUKEENETRA</v>
      </c>
      <c r="G739" s="0" t="s">
        <v>628</v>
      </c>
      <c r="H739" s="0" t="s">
        <v>625</v>
      </c>
      <c r="I739" s="0" t="s">
        <v>626</v>
      </c>
      <c r="J739" s="0" t="s">
        <v>627</v>
      </c>
      <c r="K739" s="475" t="n">
        <f aca="false">'Basis Options'!G742</f>
        <v>37012</v>
      </c>
      <c r="L739" s="254" t="e">
        <f aca="false">'Basis Options'!U742</f>
        <v>#NAME?</v>
      </c>
      <c r="M739" s="475" t="n">
        <f aca="false">'Basis Options'!Q742</f>
        <v>37008</v>
      </c>
      <c r="N739" s="0" t="str">
        <f aca="false">'Basis Options'!F742</f>
        <v>P</v>
      </c>
      <c r="O739" s="0" t="n">
        <f aca="false">'Basis Options'!I742</f>
        <v>0.28</v>
      </c>
      <c r="P739" s="0" t="n">
        <v>0</v>
      </c>
      <c r="Q739" s="0" t="n">
        <v>0</v>
      </c>
      <c r="R739" s="0" t="n">
        <v>0</v>
      </c>
      <c r="S739" s="0" t="n">
        <v>0</v>
      </c>
      <c r="T739" s="0" t="s">
        <v>624</v>
      </c>
      <c r="U739" s="0" t="str">
        <f aca="false">IF('Basis Options'!D742="NGI/CHI. GATE","""NGI/CHI. GATE""",TRIM('Basis Options'!D742))</f>
        <v>IF-TETCO/M3</v>
      </c>
      <c r="V739" s="0" t="s">
        <v>624</v>
      </c>
      <c r="W739" s="0" t="s">
        <v>569</v>
      </c>
      <c r="X739" s="0" t="s">
        <v>624</v>
      </c>
      <c r="Y739" s="0" t="s">
        <v>627</v>
      </c>
      <c r="Z739" s="0" t="s">
        <v>629</v>
      </c>
      <c r="AA739" s="0" t="s">
        <v>624</v>
      </c>
      <c r="AB739" s="0" t="s">
        <v>132</v>
      </c>
      <c r="AC739" s="254" t="n">
        <f aca="false">'Basis Options'!H742</f>
        <v>1000000</v>
      </c>
      <c r="AD739" s="254" t="e">
        <f aca="false">'Basis Options'!W742</f>
        <v>#NAME?</v>
      </c>
      <c r="AE739" s="0" t="n">
        <v>0</v>
      </c>
      <c r="AF739" s="0" t="n">
        <v>0</v>
      </c>
      <c r="AG739" s="0" t="n">
        <v>0</v>
      </c>
      <c r="AH739" s="254" t="e">
        <f aca="false">'Basis Options'!CD744</f>
        <v>#NAME?</v>
      </c>
      <c r="AI739" s="0" t="n">
        <v>226</v>
      </c>
      <c r="AJ739" s="0" t="s">
        <v>630</v>
      </c>
      <c r="AK739" s="0" t="n">
        <v>0</v>
      </c>
      <c r="AL739" s="0" t="n">
        <v>0</v>
      </c>
      <c r="AM739" s="0" t="n">
        <v>0</v>
      </c>
    </row>
    <row r="740" customFormat="false" ht="12.75" hidden="false" customHeight="false" outlineLevel="0" collapsed="false">
      <c r="A740" s="0" t="s">
        <v>621</v>
      </c>
      <c r="B740" s="0" t="str">
        <f aca="false">'Basis Options'!C743</f>
        <v>NV6691</v>
      </c>
      <c r="C740" s="0" t="s">
        <v>622</v>
      </c>
      <c r="D740" s="0" t="s">
        <v>623</v>
      </c>
      <c r="E740" s="0" t="s">
        <v>131</v>
      </c>
      <c r="F740" s="0" t="str">
        <f aca="false">'Basis Options'!A743</f>
        <v>DUKEENETRA</v>
      </c>
      <c r="G740" s="0" t="s">
        <v>628</v>
      </c>
      <c r="H740" s="0" t="s">
        <v>625</v>
      </c>
      <c r="I740" s="0" t="s">
        <v>626</v>
      </c>
      <c r="J740" s="0" t="s">
        <v>627</v>
      </c>
      <c r="K740" s="475" t="n">
        <f aca="false">'Basis Options'!G743</f>
        <v>37043</v>
      </c>
      <c r="L740" s="254" t="e">
        <f aca="false">'Basis Options'!U743</f>
        <v>#NAME?</v>
      </c>
      <c r="M740" s="475" t="n">
        <f aca="false">'Basis Options'!Q743</f>
        <v>37041</v>
      </c>
      <c r="N740" s="0" t="str">
        <f aca="false">'Basis Options'!F743</f>
        <v>P</v>
      </c>
      <c r="O740" s="0" t="n">
        <f aca="false">'Basis Options'!I743</f>
        <v>0.28</v>
      </c>
      <c r="P740" s="0" t="n">
        <v>0</v>
      </c>
      <c r="Q740" s="0" t="n">
        <v>0</v>
      </c>
      <c r="R740" s="0" t="n">
        <v>0</v>
      </c>
      <c r="S740" s="0" t="n">
        <v>0</v>
      </c>
      <c r="T740" s="0" t="s">
        <v>624</v>
      </c>
      <c r="U740" s="0" t="str">
        <f aca="false">IF('Basis Options'!D743="NGI/CHI. GATE","""NGI/CHI. GATE""",TRIM('Basis Options'!D743))</f>
        <v>IF-TETCO/M3</v>
      </c>
      <c r="V740" s="0" t="s">
        <v>624</v>
      </c>
      <c r="W740" s="0" t="s">
        <v>569</v>
      </c>
      <c r="X740" s="0" t="s">
        <v>624</v>
      </c>
      <c r="Y740" s="0" t="s">
        <v>627</v>
      </c>
      <c r="Z740" s="0" t="s">
        <v>629</v>
      </c>
      <c r="AA740" s="0" t="s">
        <v>624</v>
      </c>
      <c r="AB740" s="0" t="s">
        <v>132</v>
      </c>
      <c r="AC740" s="254" t="n">
        <f aca="false">'Basis Options'!H743</f>
        <v>1000000</v>
      </c>
      <c r="AD740" s="254" t="e">
        <f aca="false">'Basis Options'!W743</f>
        <v>#NAME?</v>
      </c>
      <c r="AE740" s="0" t="n">
        <v>0</v>
      </c>
      <c r="AF740" s="0" t="n">
        <v>0</v>
      </c>
      <c r="AG740" s="0" t="n">
        <v>0</v>
      </c>
      <c r="AH740" s="254" t="e">
        <f aca="false">'Basis Options'!CD745</f>
        <v>#NAME?</v>
      </c>
      <c r="AI740" s="0" t="n">
        <v>226</v>
      </c>
      <c r="AJ740" s="0" t="s">
        <v>630</v>
      </c>
      <c r="AK740" s="0" t="n">
        <v>0</v>
      </c>
      <c r="AL740" s="0" t="n">
        <v>0</v>
      </c>
      <c r="AM740" s="0" t="n">
        <v>0</v>
      </c>
    </row>
    <row r="741" customFormat="false" ht="12.75" hidden="false" customHeight="false" outlineLevel="0" collapsed="false">
      <c r="A741" s="0" t="s">
        <v>621</v>
      </c>
      <c r="B741" s="0" t="str">
        <f aca="false">'Basis Options'!C744</f>
        <v>NV6691</v>
      </c>
      <c r="C741" s="0" t="s">
        <v>622</v>
      </c>
      <c r="D741" s="0" t="s">
        <v>623</v>
      </c>
      <c r="E741" s="0" t="s">
        <v>131</v>
      </c>
      <c r="F741" s="0" t="str">
        <f aca="false">'Basis Options'!A744</f>
        <v>DUKEENETRA</v>
      </c>
      <c r="G741" s="0" t="s">
        <v>628</v>
      </c>
      <c r="H741" s="0" t="s">
        <v>625</v>
      </c>
      <c r="I741" s="0" t="s">
        <v>626</v>
      </c>
      <c r="J741" s="0" t="s">
        <v>627</v>
      </c>
      <c r="K741" s="475" t="n">
        <f aca="false">'Basis Options'!G744</f>
        <v>37073</v>
      </c>
      <c r="L741" s="254" t="e">
        <f aca="false">'Basis Options'!U744</f>
        <v>#NAME?</v>
      </c>
      <c r="M741" s="475" t="n">
        <f aca="false">'Basis Options'!Q744</f>
        <v>37070</v>
      </c>
      <c r="N741" s="0" t="str">
        <f aca="false">'Basis Options'!F744</f>
        <v>P</v>
      </c>
      <c r="O741" s="0" t="n">
        <f aca="false">'Basis Options'!I744</f>
        <v>0.28</v>
      </c>
      <c r="P741" s="0" t="n">
        <v>0</v>
      </c>
      <c r="Q741" s="0" t="n">
        <v>0</v>
      </c>
      <c r="R741" s="0" t="n">
        <v>0</v>
      </c>
      <c r="S741" s="0" t="n">
        <v>0</v>
      </c>
      <c r="T741" s="0" t="s">
        <v>624</v>
      </c>
      <c r="U741" s="0" t="str">
        <f aca="false">IF('Basis Options'!D744="NGI/CHI. GATE","""NGI/CHI. GATE""",TRIM('Basis Options'!D744))</f>
        <v>IF-TETCO/M3</v>
      </c>
      <c r="V741" s="0" t="s">
        <v>624</v>
      </c>
      <c r="W741" s="0" t="s">
        <v>569</v>
      </c>
      <c r="X741" s="0" t="s">
        <v>624</v>
      </c>
      <c r="Y741" s="0" t="s">
        <v>627</v>
      </c>
      <c r="Z741" s="0" t="s">
        <v>629</v>
      </c>
      <c r="AA741" s="0" t="s">
        <v>624</v>
      </c>
      <c r="AB741" s="0" t="s">
        <v>132</v>
      </c>
      <c r="AC741" s="254" t="n">
        <f aca="false">'Basis Options'!H744</f>
        <v>1000000</v>
      </c>
      <c r="AD741" s="254" t="e">
        <f aca="false">'Basis Options'!W744</f>
        <v>#NAME?</v>
      </c>
      <c r="AE741" s="0" t="n">
        <v>0</v>
      </c>
      <c r="AF741" s="0" t="n">
        <v>0</v>
      </c>
      <c r="AG741" s="0" t="n">
        <v>0</v>
      </c>
      <c r="AH741" s="254" t="e">
        <f aca="false">'Basis Options'!CD746</f>
        <v>#NAME?</v>
      </c>
      <c r="AI741" s="0" t="n">
        <v>226</v>
      </c>
      <c r="AJ741" s="0" t="s">
        <v>630</v>
      </c>
      <c r="AK741" s="0" t="n">
        <v>0</v>
      </c>
      <c r="AL741" s="0" t="n">
        <v>0</v>
      </c>
      <c r="AM741" s="0" t="n">
        <v>0</v>
      </c>
    </row>
    <row r="742" customFormat="false" ht="12.75" hidden="false" customHeight="false" outlineLevel="0" collapsed="false">
      <c r="A742" s="0" t="s">
        <v>621</v>
      </c>
      <c r="B742" s="0" t="str">
        <f aca="false">'Basis Options'!C745</f>
        <v>NV6691</v>
      </c>
      <c r="C742" s="0" t="s">
        <v>622</v>
      </c>
      <c r="D742" s="0" t="s">
        <v>623</v>
      </c>
      <c r="E742" s="0" t="s">
        <v>131</v>
      </c>
      <c r="F742" s="0" t="str">
        <f aca="false">'Basis Options'!A745</f>
        <v>DUKEENETRA</v>
      </c>
      <c r="G742" s="0" t="s">
        <v>628</v>
      </c>
      <c r="H742" s="0" t="s">
        <v>625</v>
      </c>
      <c r="I742" s="0" t="s">
        <v>626</v>
      </c>
      <c r="J742" s="0" t="s">
        <v>627</v>
      </c>
      <c r="K742" s="475" t="n">
        <f aca="false">'Basis Options'!G745</f>
        <v>37104</v>
      </c>
      <c r="L742" s="254" t="e">
        <f aca="false">'Basis Options'!U745</f>
        <v>#NAME?</v>
      </c>
      <c r="M742" s="475" t="n">
        <f aca="false">'Basis Options'!Q745</f>
        <v>37102</v>
      </c>
      <c r="N742" s="0" t="str">
        <f aca="false">'Basis Options'!F745</f>
        <v>P</v>
      </c>
      <c r="O742" s="0" t="n">
        <f aca="false">'Basis Options'!I745</f>
        <v>0.28</v>
      </c>
      <c r="P742" s="0" t="n">
        <v>0</v>
      </c>
      <c r="Q742" s="0" t="n">
        <v>0</v>
      </c>
      <c r="R742" s="0" t="n">
        <v>0</v>
      </c>
      <c r="S742" s="0" t="n">
        <v>0</v>
      </c>
      <c r="T742" s="0" t="s">
        <v>624</v>
      </c>
      <c r="U742" s="0" t="str">
        <f aca="false">IF('Basis Options'!D745="NGI/CHI. GATE","""NGI/CHI. GATE""",TRIM('Basis Options'!D745))</f>
        <v>IF-TETCO/M3</v>
      </c>
      <c r="V742" s="0" t="s">
        <v>624</v>
      </c>
      <c r="W742" s="0" t="s">
        <v>569</v>
      </c>
      <c r="X742" s="0" t="s">
        <v>624</v>
      </c>
      <c r="Y742" s="0" t="s">
        <v>627</v>
      </c>
      <c r="Z742" s="0" t="s">
        <v>629</v>
      </c>
      <c r="AA742" s="0" t="s">
        <v>624</v>
      </c>
      <c r="AB742" s="0" t="s">
        <v>132</v>
      </c>
      <c r="AC742" s="254" t="n">
        <f aca="false">'Basis Options'!H745</f>
        <v>1000000</v>
      </c>
      <c r="AD742" s="254" t="e">
        <f aca="false">'Basis Options'!W745</f>
        <v>#NAME?</v>
      </c>
      <c r="AE742" s="0" t="n">
        <v>0</v>
      </c>
      <c r="AF742" s="0" t="n">
        <v>0</v>
      </c>
      <c r="AG742" s="0" t="n">
        <v>0</v>
      </c>
      <c r="AH742" s="254" t="e">
        <f aca="false">'Basis Options'!CD747</f>
        <v>#NAME?</v>
      </c>
      <c r="AI742" s="0" t="n">
        <v>226</v>
      </c>
      <c r="AJ742" s="0" t="s">
        <v>630</v>
      </c>
      <c r="AK742" s="0" t="n">
        <v>0</v>
      </c>
      <c r="AL742" s="0" t="n">
        <v>0</v>
      </c>
      <c r="AM742" s="0" t="n">
        <v>0</v>
      </c>
    </row>
    <row r="743" customFormat="false" ht="12.75" hidden="false" customHeight="false" outlineLevel="0" collapsed="false">
      <c r="A743" s="0" t="s">
        <v>621</v>
      </c>
      <c r="B743" s="0" t="str">
        <f aca="false">'Basis Options'!C746</f>
        <v>NV6691</v>
      </c>
      <c r="C743" s="0" t="s">
        <v>622</v>
      </c>
      <c r="D743" s="0" t="s">
        <v>623</v>
      </c>
      <c r="E743" s="0" t="s">
        <v>131</v>
      </c>
      <c r="F743" s="0" t="str">
        <f aca="false">'Basis Options'!A746</f>
        <v>DUKEENETRA</v>
      </c>
      <c r="G743" s="0" t="s">
        <v>628</v>
      </c>
      <c r="H743" s="0" t="s">
        <v>625</v>
      </c>
      <c r="I743" s="0" t="s">
        <v>626</v>
      </c>
      <c r="J743" s="0" t="s">
        <v>627</v>
      </c>
      <c r="K743" s="475" t="n">
        <f aca="false">'Basis Options'!G746</f>
        <v>37135</v>
      </c>
      <c r="L743" s="254" t="e">
        <f aca="false">'Basis Options'!U746</f>
        <v>#NAME?</v>
      </c>
      <c r="M743" s="475" t="n">
        <f aca="false">'Basis Options'!Q746</f>
        <v>37133</v>
      </c>
      <c r="N743" s="0" t="str">
        <f aca="false">'Basis Options'!F746</f>
        <v>P</v>
      </c>
      <c r="O743" s="0" t="n">
        <f aca="false">'Basis Options'!I746</f>
        <v>0.28</v>
      </c>
      <c r="P743" s="0" t="n">
        <v>0</v>
      </c>
      <c r="Q743" s="0" t="n">
        <v>0</v>
      </c>
      <c r="R743" s="0" t="n">
        <v>0</v>
      </c>
      <c r="S743" s="0" t="n">
        <v>0</v>
      </c>
      <c r="T743" s="0" t="s">
        <v>624</v>
      </c>
      <c r="U743" s="0" t="str">
        <f aca="false">IF('Basis Options'!D746="NGI/CHI. GATE","""NGI/CHI. GATE""",TRIM('Basis Options'!D746))</f>
        <v>IF-TETCO/M3</v>
      </c>
      <c r="V743" s="0" t="s">
        <v>624</v>
      </c>
      <c r="W743" s="0" t="s">
        <v>569</v>
      </c>
      <c r="X743" s="0" t="s">
        <v>624</v>
      </c>
      <c r="Y743" s="0" t="s">
        <v>627</v>
      </c>
      <c r="Z743" s="0" t="s">
        <v>629</v>
      </c>
      <c r="AA743" s="0" t="s">
        <v>624</v>
      </c>
      <c r="AB743" s="0" t="s">
        <v>132</v>
      </c>
      <c r="AC743" s="254" t="n">
        <f aca="false">'Basis Options'!H746</f>
        <v>1000000</v>
      </c>
      <c r="AD743" s="254" t="e">
        <f aca="false">'Basis Options'!W746</f>
        <v>#NAME?</v>
      </c>
      <c r="AE743" s="0" t="n">
        <v>0</v>
      </c>
      <c r="AF743" s="0" t="n">
        <v>0</v>
      </c>
      <c r="AG743" s="0" t="n">
        <v>0</v>
      </c>
      <c r="AH743" s="254" t="e">
        <f aca="false">'Basis Options'!CD748</f>
        <v>#NAME?</v>
      </c>
      <c r="AI743" s="0" t="n">
        <v>226</v>
      </c>
      <c r="AJ743" s="0" t="s">
        <v>630</v>
      </c>
      <c r="AK743" s="0" t="n">
        <v>0</v>
      </c>
      <c r="AL743" s="0" t="n">
        <v>0</v>
      </c>
      <c r="AM743" s="0" t="n">
        <v>0</v>
      </c>
    </row>
    <row r="744" customFormat="false" ht="12.75" hidden="false" customHeight="false" outlineLevel="0" collapsed="false">
      <c r="A744" s="0" t="s">
        <v>621</v>
      </c>
      <c r="B744" s="0" t="str">
        <f aca="false">'Basis Options'!C747</f>
        <v>NV6691</v>
      </c>
      <c r="C744" s="0" t="s">
        <v>622</v>
      </c>
      <c r="D744" s="0" t="s">
        <v>623</v>
      </c>
      <c r="E744" s="0" t="s">
        <v>131</v>
      </c>
      <c r="F744" s="0" t="str">
        <f aca="false">'Basis Options'!A747</f>
        <v>DUKEENETRA</v>
      </c>
      <c r="G744" s="0" t="s">
        <v>628</v>
      </c>
      <c r="H744" s="0" t="s">
        <v>625</v>
      </c>
      <c r="I744" s="0" t="s">
        <v>626</v>
      </c>
      <c r="J744" s="0" t="s">
        <v>627</v>
      </c>
      <c r="K744" s="475" t="n">
        <f aca="false">'Basis Options'!G747</f>
        <v>37165</v>
      </c>
      <c r="L744" s="254" t="e">
        <f aca="false">'Basis Options'!U747</f>
        <v>#NAME?</v>
      </c>
      <c r="M744" s="475" t="n">
        <f aca="false">'Basis Options'!Q747</f>
        <v>37161</v>
      </c>
      <c r="N744" s="0" t="str">
        <f aca="false">'Basis Options'!F747</f>
        <v>P</v>
      </c>
      <c r="O744" s="0" t="n">
        <f aca="false">'Basis Options'!I747</f>
        <v>0.28</v>
      </c>
      <c r="P744" s="0" t="n">
        <v>0</v>
      </c>
      <c r="Q744" s="0" t="n">
        <v>0</v>
      </c>
      <c r="R744" s="0" t="n">
        <v>0</v>
      </c>
      <c r="S744" s="0" t="n">
        <v>0</v>
      </c>
      <c r="T744" s="0" t="s">
        <v>624</v>
      </c>
      <c r="U744" s="0" t="str">
        <f aca="false">IF('Basis Options'!D747="NGI/CHI. GATE","""NGI/CHI. GATE""",TRIM('Basis Options'!D747))</f>
        <v>IF-TETCO/M3</v>
      </c>
      <c r="V744" s="0" t="s">
        <v>624</v>
      </c>
      <c r="W744" s="0" t="s">
        <v>569</v>
      </c>
      <c r="X744" s="0" t="s">
        <v>624</v>
      </c>
      <c r="Y744" s="0" t="s">
        <v>627</v>
      </c>
      <c r="Z744" s="0" t="s">
        <v>629</v>
      </c>
      <c r="AA744" s="0" t="s">
        <v>624</v>
      </c>
      <c r="AB744" s="0" t="s">
        <v>132</v>
      </c>
      <c r="AC744" s="254" t="n">
        <f aca="false">'Basis Options'!H747</f>
        <v>1000000</v>
      </c>
      <c r="AD744" s="254" t="e">
        <f aca="false">'Basis Options'!W747</f>
        <v>#NAME?</v>
      </c>
      <c r="AE744" s="0" t="n">
        <v>0</v>
      </c>
      <c r="AF744" s="0" t="n">
        <v>0</v>
      </c>
      <c r="AG744" s="0" t="n">
        <v>0</v>
      </c>
      <c r="AH744" s="254" t="e">
        <f aca="false">'Basis Options'!CD749</f>
        <v>#NAME?</v>
      </c>
      <c r="AI744" s="0" t="n">
        <v>226</v>
      </c>
      <c r="AJ744" s="0" t="s">
        <v>630</v>
      </c>
      <c r="AK744" s="0" t="n">
        <v>0</v>
      </c>
      <c r="AL744" s="0" t="n">
        <v>0</v>
      </c>
      <c r="AM744" s="0" t="n">
        <v>0</v>
      </c>
    </row>
    <row r="745" customFormat="false" ht="12.75" hidden="false" customHeight="false" outlineLevel="0" collapsed="false">
      <c r="A745" s="0" t="s">
        <v>621</v>
      </c>
      <c r="B745" s="0" t="str">
        <f aca="false">'Basis Options'!C748</f>
        <v>NV7017</v>
      </c>
      <c r="C745" s="0" t="s">
        <v>622</v>
      </c>
      <c r="D745" s="0" t="s">
        <v>623</v>
      </c>
      <c r="E745" s="0" t="s">
        <v>131</v>
      </c>
      <c r="F745" s="0" t="str">
        <f aca="false">'Basis Options'!A748</f>
        <v>KOCHENETRA</v>
      </c>
      <c r="G745" s="0" t="s">
        <v>628</v>
      </c>
      <c r="H745" s="0" t="s">
        <v>625</v>
      </c>
      <c r="I745" s="0" t="s">
        <v>626</v>
      </c>
      <c r="J745" s="0" t="s">
        <v>627</v>
      </c>
      <c r="K745" s="475" t="n">
        <f aca="false">'Basis Options'!G748</f>
        <v>36923</v>
      </c>
      <c r="L745" s="254" t="e">
        <f aca="false">'Basis Options'!U748</f>
        <v>#NAME?</v>
      </c>
      <c r="M745" s="475" t="n">
        <f aca="false">'Basis Options'!Q748</f>
        <v>36921</v>
      </c>
      <c r="N745" s="0" t="str">
        <f aca="false">'Basis Options'!F748</f>
        <v>C</v>
      </c>
      <c r="O745" s="0" t="n">
        <f aca="false">'Basis Options'!I748</f>
        <v>0.4</v>
      </c>
      <c r="P745" s="0" t="n">
        <v>0</v>
      </c>
      <c r="Q745" s="0" t="n">
        <v>0</v>
      </c>
      <c r="R745" s="0" t="n">
        <v>0</v>
      </c>
      <c r="S745" s="0" t="n">
        <v>0</v>
      </c>
      <c r="T745" s="0" t="s">
        <v>624</v>
      </c>
      <c r="U745" s="0" t="str">
        <f aca="false">IF('Basis Options'!D748="NGI/CHI. GATE","""NGI/CHI. GATE""",TRIM('Basis Options'!D748))</f>
        <v>IF-CGT/APPALAC</v>
      </c>
      <c r="V745" s="0" t="s">
        <v>624</v>
      </c>
      <c r="W745" s="0" t="s">
        <v>569</v>
      </c>
      <c r="X745" s="0" t="s">
        <v>624</v>
      </c>
      <c r="Y745" s="0" t="s">
        <v>627</v>
      </c>
      <c r="Z745" s="0" t="s">
        <v>629</v>
      </c>
      <c r="AA745" s="0" t="s">
        <v>624</v>
      </c>
      <c r="AB745" s="0" t="s">
        <v>132</v>
      </c>
      <c r="AC745" s="254" t="n">
        <f aca="false">'Basis Options'!H748</f>
        <v>-1120000</v>
      </c>
      <c r="AD745" s="254" t="e">
        <f aca="false">'Basis Options'!W748</f>
        <v>#NAME?</v>
      </c>
      <c r="AE745" s="0" t="n">
        <v>0</v>
      </c>
      <c r="AF745" s="0" t="n">
        <v>0</v>
      </c>
      <c r="AG745" s="0" t="n">
        <v>0</v>
      </c>
      <c r="AH745" s="254" t="e">
        <f aca="false">'Basis Options'!CD750</f>
        <v>#NAME?</v>
      </c>
      <c r="AI745" s="0" t="n">
        <v>226</v>
      </c>
      <c r="AJ745" s="0" t="s">
        <v>630</v>
      </c>
      <c r="AK745" s="0" t="n">
        <v>0</v>
      </c>
      <c r="AL745" s="0" t="n">
        <v>0</v>
      </c>
      <c r="AM745" s="0" t="n">
        <v>0</v>
      </c>
    </row>
    <row r="746" customFormat="false" ht="12.75" hidden="false" customHeight="false" outlineLevel="0" collapsed="false">
      <c r="A746" s="0" t="s">
        <v>621</v>
      </c>
      <c r="B746" s="0" t="str">
        <f aca="false">'Basis Options'!C749</f>
        <v>NV8440</v>
      </c>
      <c r="C746" s="0" t="s">
        <v>622</v>
      </c>
      <c r="D746" s="0" t="s">
        <v>623</v>
      </c>
      <c r="E746" s="0" t="s">
        <v>131</v>
      </c>
      <c r="F746" s="0" t="str">
        <f aca="false">'Basis Options'!A749</f>
        <v>DYNEGYMARAND</v>
      </c>
      <c r="G746" s="0" t="s">
        <v>628</v>
      </c>
      <c r="H746" s="0" t="s">
        <v>625</v>
      </c>
      <c r="I746" s="0" t="s">
        <v>626</v>
      </c>
      <c r="J746" s="0" t="s">
        <v>627</v>
      </c>
      <c r="K746" s="475" t="n">
        <f aca="false">'Basis Options'!G749</f>
        <v>36831</v>
      </c>
      <c r="L746" s="254" t="e">
        <f aca="false">'Basis Options'!U749</f>
        <v>#NAME?</v>
      </c>
      <c r="M746" s="475" t="n">
        <f aca="false">'Basis Options'!Q749</f>
        <v>36829</v>
      </c>
      <c r="N746" s="0" t="str">
        <f aca="false">'Basis Options'!F749</f>
        <v>P</v>
      </c>
      <c r="O746" s="0" t="n">
        <f aca="false">'Basis Options'!I749</f>
        <v>0.5</v>
      </c>
      <c r="P746" s="0" t="n">
        <v>0</v>
      </c>
      <c r="Q746" s="0" t="n">
        <v>0</v>
      </c>
      <c r="R746" s="0" t="n">
        <v>0</v>
      </c>
      <c r="S746" s="0" t="n">
        <v>0</v>
      </c>
      <c r="T746" s="0" t="s">
        <v>624</v>
      </c>
      <c r="U746" s="0" t="str">
        <f aca="false">IF('Basis Options'!D749="NGI/CHI. GATE","""NGI/CHI. GATE""",TRIM('Basis Options'!D749))</f>
        <v>IF-TRANSCO/Z6</v>
      </c>
      <c r="V746" s="0" t="s">
        <v>624</v>
      </c>
      <c r="W746" s="0" t="s">
        <v>569</v>
      </c>
      <c r="X746" s="0" t="s">
        <v>624</v>
      </c>
      <c r="Y746" s="0" t="s">
        <v>627</v>
      </c>
      <c r="Z746" s="0" t="s">
        <v>629</v>
      </c>
      <c r="AA746" s="0" t="s">
        <v>624</v>
      </c>
      <c r="AB746" s="0" t="s">
        <v>132</v>
      </c>
      <c r="AC746" s="254" t="n">
        <f aca="false">'Basis Options'!H749</f>
        <v>2000000</v>
      </c>
      <c r="AD746" s="254" t="e">
        <f aca="false">'Basis Options'!W749</f>
        <v>#NAME?</v>
      </c>
      <c r="AE746" s="0" t="n">
        <v>0</v>
      </c>
      <c r="AF746" s="0" t="n">
        <v>0</v>
      </c>
      <c r="AG746" s="0" t="n">
        <v>0</v>
      </c>
      <c r="AH746" s="254" t="e">
        <f aca="false">'Basis Options'!CD751</f>
        <v>#NAME?</v>
      </c>
      <c r="AI746" s="0" t="n">
        <v>226</v>
      </c>
      <c r="AJ746" s="0" t="s">
        <v>630</v>
      </c>
      <c r="AK746" s="0" t="n">
        <v>0</v>
      </c>
      <c r="AL746" s="0" t="n">
        <v>0</v>
      </c>
      <c r="AM746" s="0" t="n">
        <v>0</v>
      </c>
    </row>
    <row r="747" customFormat="false" ht="12.75" hidden="false" customHeight="false" outlineLevel="0" collapsed="false">
      <c r="A747" s="0" t="s">
        <v>621</v>
      </c>
      <c r="B747" s="0" t="str">
        <f aca="false">'Basis Options'!C750</f>
        <v>NW0631</v>
      </c>
      <c r="C747" s="0" t="s">
        <v>622</v>
      </c>
      <c r="D747" s="0" t="s">
        <v>623</v>
      </c>
      <c r="E747" s="0" t="s">
        <v>131</v>
      </c>
      <c r="F747" s="0" t="str">
        <f aca="false">'Basis Options'!A750</f>
        <v>UTILICORP</v>
      </c>
      <c r="G747" s="0" t="s">
        <v>628</v>
      </c>
      <c r="H747" s="0" t="s">
        <v>625</v>
      </c>
      <c r="I747" s="0" t="s">
        <v>626</v>
      </c>
      <c r="J747" s="0" t="s">
        <v>627</v>
      </c>
      <c r="K747" s="475" t="n">
        <f aca="false">'Basis Options'!G750</f>
        <v>36892</v>
      </c>
      <c r="L747" s="254" t="e">
        <f aca="false">'Basis Options'!U750</f>
        <v>#NAME?</v>
      </c>
      <c r="M747" s="475" t="n">
        <f aca="false">'Basis Options'!Q750</f>
        <v>36888</v>
      </c>
      <c r="N747" s="0" t="str">
        <f aca="false">'Basis Options'!F750</f>
        <v>C</v>
      </c>
      <c r="O747" s="0" t="n">
        <f aca="false">'Basis Options'!I750</f>
        <v>0.2</v>
      </c>
      <c r="P747" s="0" t="n">
        <v>0</v>
      </c>
      <c r="Q747" s="0" t="n">
        <v>0</v>
      </c>
      <c r="R747" s="0" t="n">
        <v>0</v>
      </c>
      <c r="S747" s="0" t="n">
        <v>0</v>
      </c>
      <c r="T747" s="0" t="s">
        <v>624</v>
      </c>
      <c r="U747" s="0" t="str">
        <f aca="false">IF('Basis Options'!D750="NGI/CHI. GATE","""NGI/CHI. GATE""",TRIM('Basis Options'!D750))</f>
        <v>"NGI/CHI. GATE"</v>
      </c>
      <c r="V747" s="0" t="s">
        <v>624</v>
      </c>
      <c r="W747" s="0" t="s">
        <v>569</v>
      </c>
      <c r="X747" s="0" t="s">
        <v>624</v>
      </c>
      <c r="Y747" s="0" t="s">
        <v>627</v>
      </c>
      <c r="Z747" s="0" t="s">
        <v>629</v>
      </c>
      <c r="AA747" s="0" t="s">
        <v>624</v>
      </c>
      <c r="AB747" s="0" t="s">
        <v>132</v>
      </c>
      <c r="AC747" s="254" t="n">
        <f aca="false">'Basis Options'!H750</f>
        <v>-1000000</v>
      </c>
      <c r="AD747" s="254" t="e">
        <f aca="false">'Basis Options'!W750</f>
        <v>#NAME?</v>
      </c>
      <c r="AE747" s="0" t="n">
        <v>0</v>
      </c>
      <c r="AF747" s="0" t="n">
        <v>0</v>
      </c>
      <c r="AG747" s="0" t="n">
        <v>0</v>
      </c>
      <c r="AH747" s="254" t="e">
        <f aca="false">'Basis Options'!CD752</f>
        <v>#NAME?</v>
      </c>
      <c r="AI747" s="0" t="n">
        <v>226</v>
      </c>
      <c r="AJ747" s="0" t="s">
        <v>630</v>
      </c>
      <c r="AK747" s="0" t="n">
        <v>0</v>
      </c>
      <c r="AL747" s="0" t="n">
        <v>0</v>
      </c>
      <c r="AM747" s="0" t="n">
        <v>0</v>
      </c>
    </row>
    <row r="748" customFormat="false" ht="12.75" hidden="false" customHeight="false" outlineLevel="0" collapsed="false">
      <c r="A748" s="0" t="s">
        <v>621</v>
      </c>
      <c r="B748" s="0" t="str">
        <f aca="false">'Basis Options'!C751</f>
        <v>NW0631</v>
      </c>
      <c r="C748" s="0" t="s">
        <v>622</v>
      </c>
      <c r="D748" s="0" t="s">
        <v>623</v>
      </c>
      <c r="E748" s="0" t="s">
        <v>131</v>
      </c>
      <c r="F748" s="0" t="str">
        <f aca="false">'Basis Options'!A751</f>
        <v>UTILICORP</v>
      </c>
      <c r="G748" s="0" t="s">
        <v>628</v>
      </c>
      <c r="H748" s="0" t="s">
        <v>625</v>
      </c>
      <c r="I748" s="0" t="s">
        <v>626</v>
      </c>
      <c r="J748" s="0" t="s">
        <v>627</v>
      </c>
      <c r="K748" s="475" t="n">
        <f aca="false">'Basis Options'!G751</f>
        <v>36923</v>
      </c>
      <c r="L748" s="254" t="e">
        <f aca="false">'Basis Options'!U751</f>
        <v>#NAME?</v>
      </c>
      <c r="M748" s="475" t="n">
        <f aca="false">'Basis Options'!Q751</f>
        <v>36921</v>
      </c>
      <c r="N748" s="0" t="str">
        <f aca="false">'Basis Options'!F751</f>
        <v>C</v>
      </c>
      <c r="O748" s="0" t="n">
        <f aca="false">'Basis Options'!I751</f>
        <v>0.2</v>
      </c>
      <c r="P748" s="0" t="n">
        <v>0</v>
      </c>
      <c r="Q748" s="0" t="n">
        <v>0</v>
      </c>
      <c r="R748" s="0" t="n">
        <v>0</v>
      </c>
      <c r="S748" s="0" t="n">
        <v>0</v>
      </c>
      <c r="T748" s="0" t="s">
        <v>624</v>
      </c>
      <c r="U748" s="0" t="str">
        <f aca="false">IF('Basis Options'!D751="NGI/CHI. GATE","""NGI/CHI. GATE""",TRIM('Basis Options'!D751))</f>
        <v>"NGI/CHI. GATE"</v>
      </c>
      <c r="V748" s="0" t="s">
        <v>624</v>
      </c>
      <c r="W748" s="0" t="s">
        <v>569</v>
      </c>
      <c r="X748" s="0" t="s">
        <v>624</v>
      </c>
      <c r="Y748" s="0" t="s">
        <v>627</v>
      </c>
      <c r="Z748" s="0" t="s">
        <v>629</v>
      </c>
      <c r="AA748" s="0" t="s">
        <v>624</v>
      </c>
      <c r="AB748" s="0" t="s">
        <v>132</v>
      </c>
      <c r="AC748" s="254" t="n">
        <f aca="false">'Basis Options'!H751</f>
        <v>-1000000</v>
      </c>
      <c r="AD748" s="254" t="e">
        <f aca="false">'Basis Options'!W751</f>
        <v>#NAME?</v>
      </c>
      <c r="AE748" s="0" t="n">
        <v>0</v>
      </c>
      <c r="AF748" s="0" t="n">
        <v>0</v>
      </c>
      <c r="AG748" s="0" t="n">
        <v>0</v>
      </c>
      <c r="AH748" s="254" t="e">
        <f aca="false">'Basis Options'!CD753</f>
        <v>#NAME?</v>
      </c>
      <c r="AI748" s="0" t="n">
        <v>226</v>
      </c>
      <c r="AJ748" s="0" t="s">
        <v>630</v>
      </c>
      <c r="AK748" s="0" t="n">
        <v>0</v>
      </c>
      <c r="AL748" s="0" t="n">
        <v>0</v>
      </c>
      <c r="AM748" s="0" t="n">
        <v>0</v>
      </c>
    </row>
    <row r="749" customFormat="false" ht="12.75" hidden="false" customHeight="false" outlineLevel="0" collapsed="false">
      <c r="A749" s="0" t="s">
        <v>621</v>
      </c>
      <c r="B749" s="0" t="str">
        <f aca="false">'Basis Options'!C752</f>
        <v>NW0631</v>
      </c>
      <c r="C749" s="0" t="s">
        <v>622</v>
      </c>
      <c r="D749" s="0" t="s">
        <v>623</v>
      </c>
      <c r="E749" s="0" t="s">
        <v>131</v>
      </c>
      <c r="F749" s="0" t="str">
        <f aca="false">'Basis Options'!A752</f>
        <v>UTILICORP</v>
      </c>
      <c r="G749" s="0" t="s">
        <v>628</v>
      </c>
      <c r="H749" s="0" t="s">
        <v>625</v>
      </c>
      <c r="I749" s="0" t="s">
        <v>626</v>
      </c>
      <c r="J749" s="0" t="s">
        <v>627</v>
      </c>
      <c r="K749" s="475" t="n">
        <f aca="false">'Basis Options'!G752</f>
        <v>36951</v>
      </c>
      <c r="L749" s="254" t="e">
        <f aca="false">'Basis Options'!U752</f>
        <v>#NAME?</v>
      </c>
      <c r="M749" s="475" t="n">
        <f aca="false">'Basis Options'!Q752</f>
        <v>36949</v>
      </c>
      <c r="N749" s="0" t="str">
        <f aca="false">'Basis Options'!F752</f>
        <v>C</v>
      </c>
      <c r="O749" s="0" t="n">
        <f aca="false">'Basis Options'!I752</f>
        <v>0.2</v>
      </c>
      <c r="P749" s="0" t="n">
        <v>0</v>
      </c>
      <c r="Q749" s="0" t="n">
        <v>0</v>
      </c>
      <c r="R749" s="0" t="n">
        <v>0</v>
      </c>
      <c r="S749" s="0" t="n">
        <v>0</v>
      </c>
      <c r="T749" s="0" t="s">
        <v>624</v>
      </c>
      <c r="U749" s="0" t="str">
        <f aca="false">IF('Basis Options'!D752="NGI/CHI. GATE","""NGI/CHI. GATE""",TRIM('Basis Options'!D752))</f>
        <v>"NGI/CHI. GATE"</v>
      </c>
      <c r="V749" s="0" t="s">
        <v>624</v>
      </c>
      <c r="W749" s="0" t="s">
        <v>569</v>
      </c>
      <c r="X749" s="0" t="s">
        <v>624</v>
      </c>
      <c r="Y749" s="0" t="s">
        <v>627</v>
      </c>
      <c r="Z749" s="0" t="s">
        <v>629</v>
      </c>
      <c r="AA749" s="0" t="s">
        <v>624</v>
      </c>
      <c r="AB749" s="0" t="s">
        <v>132</v>
      </c>
      <c r="AC749" s="254" t="n">
        <f aca="false">'Basis Options'!H752</f>
        <v>-1000000</v>
      </c>
      <c r="AD749" s="254" t="e">
        <f aca="false">'Basis Options'!W752</f>
        <v>#NAME?</v>
      </c>
      <c r="AE749" s="0" t="n">
        <v>0</v>
      </c>
      <c r="AF749" s="0" t="n">
        <v>0</v>
      </c>
      <c r="AG749" s="0" t="n">
        <v>0</v>
      </c>
      <c r="AH749" s="254" t="e">
        <f aca="false">'Basis Options'!CD754</f>
        <v>#NAME?</v>
      </c>
      <c r="AI749" s="0" t="n">
        <v>226</v>
      </c>
      <c r="AJ749" s="0" t="s">
        <v>630</v>
      </c>
      <c r="AK749" s="0" t="n">
        <v>0</v>
      </c>
      <c r="AL749" s="0" t="n">
        <v>0</v>
      </c>
      <c r="AM749" s="0" t="n">
        <v>0</v>
      </c>
    </row>
    <row r="750" customFormat="false" ht="12.75" hidden="false" customHeight="false" outlineLevel="0" collapsed="false">
      <c r="A750" s="0" t="s">
        <v>621</v>
      </c>
      <c r="B750" s="0" t="str">
        <f aca="false">'Basis Options'!C753</f>
        <v>NW0635</v>
      </c>
      <c r="C750" s="0" t="s">
        <v>622</v>
      </c>
      <c r="D750" s="0" t="s">
        <v>623</v>
      </c>
      <c r="E750" s="0" t="s">
        <v>131</v>
      </c>
      <c r="F750" s="0" t="str">
        <f aca="false">'Basis Options'!A753</f>
        <v>ELPASMER</v>
      </c>
      <c r="G750" s="0" t="s">
        <v>628</v>
      </c>
      <c r="H750" s="0" t="s">
        <v>625</v>
      </c>
      <c r="I750" s="0" t="s">
        <v>626</v>
      </c>
      <c r="J750" s="0" t="s">
        <v>627</v>
      </c>
      <c r="K750" s="475" t="n">
        <f aca="false">'Basis Options'!G753</f>
        <v>36831</v>
      </c>
      <c r="L750" s="254" t="e">
        <f aca="false">'Basis Options'!U753</f>
        <v>#NAME?</v>
      </c>
      <c r="M750" s="475" t="n">
        <f aca="false">'Basis Options'!Q753</f>
        <v>36829</v>
      </c>
      <c r="N750" s="0" t="str">
        <f aca="false">'Basis Options'!F753</f>
        <v>C</v>
      </c>
      <c r="O750" s="0" t="n">
        <f aca="false">'Basis Options'!I753</f>
        <v>0.4</v>
      </c>
      <c r="P750" s="0" t="n">
        <v>0</v>
      </c>
      <c r="Q750" s="0" t="n">
        <v>0</v>
      </c>
      <c r="R750" s="0" t="n">
        <v>0</v>
      </c>
      <c r="S750" s="0" t="n">
        <v>0</v>
      </c>
      <c r="T750" s="0" t="s">
        <v>624</v>
      </c>
      <c r="U750" s="0" t="str">
        <f aca="false">IF('Basis Options'!D753="NGI/CHI. GATE","""NGI/CHI. GATE""",TRIM('Basis Options'!D753))</f>
        <v>NGI-SOCAL</v>
      </c>
      <c r="V750" s="0" t="s">
        <v>624</v>
      </c>
      <c r="W750" s="0" t="s">
        <v>569</v>
      </c>
      <c r="X750" s="0" t="s">
        <v>624</v>
      </c>
      <c r="Y750" s="0" t="s">
        <v>627</v>
      </c>
      <c r="Z750" s="0" t="s">
        <v>629</v>
      </c>
      <c r="AA750" s="0" t="s">
        <v>624</v>
      </c>
      <c r="AB750" s="0" t="s">
        <v>132</v>
      </c>
      <c r="AC750" s="254" t="n">
        <f aca="false">'Basis Options'!H753</f>
        <v>-300000</v>
      </c>
      <c r="AD750" s="254" t="e">
        <f aca="false">'Basis Options'!W753</f>
        <v>#NAME?</v>
      </c>
      <c r="AE750" s="0" t="n">
        <v>0</v>
      </c>
      <c r="AF750" s="0" t="n">
        <v>0</v>
      </c>
      <c r="AG750" s="0" t="n">
        <v>0</v>
      </c>
      <c r="AH750" s="254" t="e">
        <f aca="false">'Basis Options'!CD755</f>
        <v>#NAME?</v>
      </c>
      <c r="AI750" s="0" t="n">
        <v>226</v>
      </c>
      <c r="AJ750" s="0" t="s">
        <v>630</v>
      </c>
      <c r="AK750" s="0" t="n">
        <v>0</v>
      </c>
      <c r="AL750" s="0" t="n">
        <v>0</v>
      </c>
      <c r="AM750" s="0" t="n">
        <v>0</v>
      </c>
    </row>
    <row r="751" customFormat="false" ht="12.75" hidden="false" customHeight="false" outlineLevel="0" collapsed="false">
      <c r="A751" s="0" t="s">
        <v>621</v>
      </c>
      <c r="B751" s="0" t="str">
        <f aca="false">'Basis Options'!C754</f>
        <v>NW0635</v>
      </c>
      <c r="C751" s="0" t="s">
        <v>622</v>
      </c>
      <c r="D751" s="0" t="s">
        <v>623</v>
      </c>
      <c r="E751" s="0" t="s">
        <v>131</v>
      </c>
      <c r="F751" s="0" t="str">
        <f aca="false">'Basis Options'!A754</f>
        <v>ELPASMER</v>
      </c>
      <c r="G751" s="0" t="s">
        <v>628</v>
      </c>
      <c r="H751" s="0" t="s">
        <v>625</v>
      </c>
      <c r="I751" s="0" t="s">
        <v>626</v>
      </c>
      <c r="J751" s="0" t="s">
        <v>627</v>
      </c>
      <c r="K751" s="475" t="n">
        <f aca="false">'Basis Options'!G754</f>
        <v>36861</v>
      </c>
      <c r="L751" s="254" t="e">
        <f aca="false">'Basis Options'!U754</f>
        <v>#NAME?</v>
      </c>
      <c r="M751" s="475" t="n">
        <f aca="false">'Basis Options'!Q754</f>
        <v>36859</v>
      </c>
      <c r="N751" s="0" t="str">
        <f aca="false">'Basis Options'!F754</f>
        <v>C</v>
      </c>
      <c r="O751" s="0" t="n">
        <f aca="false">'Basis Options'!I754</f>
        <v>0.4</v>
      </c>
      <c r="P751" s="0" t="n">
        <v>0</v>
      </c>
      <c r="Q751" s="0" t="n">
        <v>0</v>
      </c>
      <c r="R751" s="0" t="n">
        <v>0</v>
      </c>
      <c r="S751" s="0" t="n">
        <v>0</v>
      </c>
      <c r="T751" s="0" t="s">
        <v>624</v>
      </c>
      <c r="U751" s="0" t="str">
        <f aca="false">IF('Basis Options'!D754="NGI/CHI. GATE","""NGI/CHI. GATE""",TRIM('Basis Options'!D754))</f>
        <v>NGI-SOCAL</v>
      </c>
      <c r="V751" s="0" t="s">
        <v>624</v>
      </c>
      <c r="W751" s="0" t="s">
        <v>569</v>
      </c>
      <c r="X751" s="0" t="s">
        <v>624</v>
      </c>
      <c r="Y751" s="0" t="s">
        <v>627</v>
      </c>
      <c r="Z751" s="0" t="s">
        <v>629</v>
      </c>
      <c r="AA751" s="0" t="s">
        <v>624</v>
      </c>
      <c r="AB751" s="0" t="s">
        <v>132</v>
      </c>
      <c r="AC751" s="254" t="n">
        <f aca="false">'Basis Options'!H754</f>
        <v>-310000</v>
      </c>
      <c r="AD751" s="254" t="e">
        <f aca="false">'Basis Options'!W754</f>
        <v>#NAME?</v>
      </c>
      <c r="AE751" s="0" t="n">
        <v>0</v>
      </c>
      <c r="AF751" s="0" t="n">
        <v>0</v>
      </c>
      <c r="AG751" s="0" t="n">
        <v>0</v>
      </c>
      <c r="AH751" s="254" t="e">
        <f aca="false">'Basis Options'!CD756</f>
        <v>#NAME?</v>
      </c>
      <c r="AI751" s="0" t="n">
        <v>226</v>
      </c>
      <c r="AJ751" s="0" t="s">
        <v>630</v>
      </c>
      <c r="AK751" s="0" t="n">
        <v>0</v>
      </c>
      <c r="AL751" s="0" t="n">
        <v>0</v>
      </c>
      <c r="AM751" s="0" t="n">
        <v>0</v>
      </c>
    </row>
    <row r="752" customFormat="false" ht="12.75" hidden="false" customHeight="false" outlineLevel="0" collapsed="false">
      <c r="A752" s="0" t="s">
        <v>621</v>
      </c>
      <c r="B752" s="0" t="str">
        <f aca="false">'Basis Options'!C755</f>
        <v>NW0635</v>
      </c>
      <c r="C752" s="0" t="s">
        <v>622</v>
      </c>
      <c r="D752" s="0" t="s">
        <v>623</v>
      </c>
      <c r="E752" s="0" t="s">
        <v>131</v>
      </c>
      <c r="F752" s="0" t="str">
        <f aca="false">'Basis Options'!A755</f>
        <v>ELPASMER</v>
      </c>
      <c r="G752" s="0" t="s">
        <v>628</v>
      </c>
      <c r="H752" s="0" t="s">
        <v>625</v>
      </c>
      <c r="I752" s="0" t="s">
        <v>626</v>
      </c>
      <c r="J752" s="0" t="s">
        <v>627</v>
      </c>
      <c r="K752" s="475" t="n">
        <f aca="false">'Basis Options'!G755</f>
        <v>36892</v>
      </c>
      <c r="L752" s="254" t="e">
        <f aca="false">'Basis Options'!U755</f>
        <v>#NAME?</v>
      </c>
      <c r="M752" s="475" t="n">
        <f aca="false">'Basis Options'!Q755</f>
        <v>36888</v>
      </c>
      <c r="N752" s="0" t="str">
        <f aca="false">'Basis Options'!F755</f>
        <v>C</v>
      </c>
      <c r="O752" s="0" t="n">
        <f aca="false">'Basis Options'!I755</f>
        <v>0.4</v>
      </c>
      <c r="P752" s="0" t="n">
        <v>0</v>
      </c>
      <c r="Q752" s="0" t="n">
        <v>0</v>
      </c>
      <c r="R752" s="0" t="n">
        <v>0</v>
      </c>
      <c r="S752" s="0" t="n">
        <v>0</v>
      </c>
      <c r="T752" s="0" t="s">
        <v>624</v>
      </c>
      <c r="U752" s="0" t="str">
        <f aca="false">IF('Basis Options'!D755="NGI/CHI. GATE","""NGI/CHI. GATE""",TRIM('Basis Options'!D755))</f>
        <v>NGI-SOCAL</v>
      </c>
      <c r="V752" s="0" t="s">
        <v>624</v>
      </c>
      <c r="W752" s="0" t="s">
        <v>569</v>
      </c>
      <c r="X752" s="0" t="s">
        <v>624</v>
      </c>
      <c r="Y752" s="0" t="s">
        <v>627</v>
      </c>
      <c r="Z752" s="0" t="s">
        <v>629</v>
      </c>
      <c r="AA752" s="0" t="s">
        <v>624</v>
      </c>
      <c r="AB752" s="0" t="s">
        <v>132</v>
      </c>
      <c r="AC752" s="254" t="n">
        <f aca="false">'Basis Options'!H755</f>
        <v>-310000</v>
      </c>
      <c r="AD752" s="254" t="e">
        <f aca="false">'Basis Options'!W755</f>
        <v>#NAME?</v>
      </c>
      <c r="AE752" s="0" t="n">
        <v>0</v>
      </c>
      <c r="AF752" s="0" t="n">
        <v>0</v>
      </c>
      <c r="AG752" s="0" t="n">
        <v>0</v>
      </c>
      <c r="AH752" s="254" t="e">
        <f aca="false">'Basis Options'!CD757</f>
        <v>#NAME?</v>
      </c>
      <c r="AI752" s="0" t="n">
        <v>226</v>
      </c>
      <c r="AJ752" s="0" t="s">
        <v>630</v>
      </c>
      <c r="AK752" s="0" t="n">
        <v>0</v>
      </c>
      <c r="AL752" s="0" t="n">
        <v>0</v>
      </c>
      <c r="AM752" s="0" t="n">
        <v>0</v>
      </c>
    </row>
    <row r="753" customFormat="false" ht="12.75" hidden="false" customHeight="false" outlineLevel="0" collapsed="false">
      <c r="A753" s="0" t="s">
        <v>621</v>
      </c>
      <c r="B753" s="0" t="str">
        <f aca="false">'Basis Options'!C756</f>
        <v>NW0635</v>
      </c>
      <c r="C753" s="0" t="s">
        <v>622</v>
      </c>
      <c r="D753" s="0" t="s">
        <v>623</v>
      </c>
      <c r="E753" s="0" t="s">
        <v>131</v>
      </c>
      <c r="F753" s="0" t="str">
        <f aca="false">'Basis Options'!A756</f>
        <v>ELPASMER</v>
      </c>
      <c r="G753" s="0" t="s">
        <v>628</v>
      </c>
      <c r="H753" s="0" t="s">
        <v>625</v>
      </c>
      <c r="I753" s="0" t="s">
        <v>626</v>
      </c>
      <c r="J753" s="0" t="s">
        <v>627</v>
      </c>
      <c r="K753" s="475" t="n">
        <f aca="false">'Basis Options'!G756</f>
        <v>36923</v>
      </c>
      <c r="L753" s="254" t="e">
        <f aca="false">'Basis Options'!U756</f>
        <v>#NAME?</v>
      </c>
      <c r="M753" s="475" t="n">
        <f aca="false">'Basis Options'!Q756</f>
        <v>36921</v>
      </c>
      <c r="N753" s="0" t="str">
        <f aca="false">'Basis Options'!F756</f>
        <v>C</v>
      </c>
      <c r="O753" s="0" t="n">
        <f aca="false">'Basis Options'!I756</f>
        <v>0.4</v>
      </c>
      <c r="P753" s="0" t="n">
        <v>0</v>
      </c>
      <c r="Q753" s="0" t="n">
        <v>0</v>
      </c>
      <c r="R753" s="0" t="n">
        <v>0</v>
      </c>
      <c r="S753" s="0" t="n">
        <v>0</v>
      </c>
      <c r="T753" s="0" t="s">
        <v>624</v>
      </c>
      <c r="U753" s="0" t="str">
        <f aca="false">IF('Basis Options'!D756="NGI/CHI. GATE","""NGI/CHI. GATE""",TRIM('Basis Options'!D756))</f>
        <v>NGI-SOCAL</v>
      </c>
      <c r="V753" s="0" t="s">
        <v>624</v>
      </c>
      <c r="W753" s="0" t="s">
        <v>569</v>
      </c>
      <c r="X753" s="0" t="s">
        <v>624</v>
      </c>
      <c r="Y753" s="0" t="s">
        <v>627</v>
      </c>
      <c r="Z753" s="0" t="s">
        <v>629</v>
      </c>
      <c r="AA753" s="0" t="s">
        <v>624</v>
      </c>
      <c r="AB753" s="0" t="s">
        <v>132</v>
      </c>
      <c r="AC753" s="254" t="n">
        <f aca="false">'Basis Options'!H756</f>
        <v>-280000</v>
      </c>
      <c r="AD753" s="254" t="e">
        <f aca="false">'Basis Options'!W756</f>
        <v>#NAME?</v>
      </c>
      <c r="AE753" s="0" t="n">
        <v>0</v>
      </c>
      <c r="AF753" s="0" t="n">
        <v>0</v>
      </c>
      <c r="AG753" s="0" t="n">
        <v>0</v>
      </c>
      <c r="AH753" s="254" t="e">
        <f aca="false">'Basis Options'!CD758</f>
        <v>#NAME?</v>
      </c>
      <c r="AI753" s="0" t="n">
        <v>226</v>
      </c>
      <c r="AJ753" s="0" t="s">
        <v>630</v>
      </c>
      <c r="AK753" s="0" t="n">
        <v>0</v>
      </c>
      <c r="AL753" s="0" t="n">
        <v>0</v>
      </c>
      <c r="AM753" s="0" t="n">
        <v>0</v>
      </c>
    </row>
    <row r="754" customFormat="false" ht="12.75" hidden="false" customHeight="false" outlineLevel="0" collapsed="false">
      <c r="A754" s="0" t="s">
        <v>621</v>
      </c>
      <c r="B754" s="0" t="str">
        <f aca="false">'Basis Options'!C757</f>
        <v>NW0635</v>
      </c>
      <c r="C754" s="0" t="s">
        <v>622</v>
      </c>
      <c r="D754" s="0" t="s">
        <v>623</v>
      </c>
      <c r="E754" s="0" t="s">
        <v>131</v>
      </c>
      <c r="F754" s="0" t="str">
        <f aca="false">'Basis Options'!A757</f>
        <v>ELPASMER</v>
      </c>
      <c r="G754" s="0" t="s">
        <v>628</v>
      </c>
      <c r="H754" s="0" t="s">
        <v>625</v>
      </c>
      <c r="I754" s="0" t="s">
        <v>626</v>
      </c>
      <c r="J754" s="0" t="s">
        <v>627</v>
      </c>
      <c r="K754" s="475" t="n">
        <f aca="false">'Basis Options'!G757</f>
        <v>36951</v>
      </c>
      <c r="L754" s="254" t="e">
        <f aca="false">'Basis Options'!U757</f>
        <v>#NAME?</v>
      </c>
      <c r="M754" s="475" t="n">
        <f aca="false">'Basis Options'!Q757</f>
        <v>36949</v>
      </c>
      <c r="N754" s="0" t="str">
        <f aca="false">'Basis Options'!F757</f>
        <v>C</v>
      </c>
      <c r="O754" s="0" t="n">
        <f aca="false">'Basis Options'!I757</f>
        <v>0.4</v>
      </c>
      <c r="P754" s="0" t="n">
        <v>0</v>
      </c>
      <c r="Q754" s="0" t="n">
        <v>0</v>
      </c>
      <c r="R754" s="0" t="n">
        <v>0</v>
      </c>
      <c r="S754" s="0" t="n">
        <v>0</v>
      </c>
      <c r="T754" s="0" t="s">
        <v>624</v>
      </c>
      <c r="U754" s="0" t="str">
        <f aca="false">IF('Basis Options'!D757="NGI/CHI. GATE","""NGI/CHI. GATE""",TRIM('Basis Options'!D757))</f>
        <v>NGI-SOCAL</v>
      </c>
      <c r="V754" s="0" t="s">
        <v>624</v>
      </c>
      <c r="W754" s="0" t="s">
        <v>569</v>
      </c>
      <c r="X754" s="0" t="s">
        <v>624</v>
      </c>
      <c r="Y754" s="0" t="s">
        <v>627</v>
      </c>
      <c r="Z754" s="0" t="s">
        <v>629</v>
      </c>
      <c r="AA754" s="0" t="s">
        <v>624</v>
      </c>
      <c r="AB754" s="0" t="s">
        <v>132</v>
      </c>
      <c r="AC754" s="254" t="n">
        <f aca="false">'Basis Options'!H757</f>
        <v>-310000</v>
      </c>
      <c r="AD754" s="254" t="e">
        <f aca="false">'Basis Options'!W757</f>
        <v>#NAME?</v>
      </c>
      <c r="AE754" s="0" t="n">
        <v>0</v>
      </c>
      <c r="AF754" s="0" t="n">
        <v>0</v>
      </c>
      <c r="AG754" s="0" t="n">
        <v>0</v>
      </c>
      <c r="AH754" s="254" t="e">
        <f aca="false">'Basis Options'!CD759</f>
        <v>#NAME?</v>
      </c>
      <c r="AI754" s="0" t="n">
        <v>226</v>
      </c>
      <c r="AJ754" s="0" t="s">
        <v>630</v>
      </c>
      <c r="AK754" s="0" t="n">
        <v>0</v>
      </c>
      <c r="AL754" s="0" t="n">
        <v>0</v>
      </c>
      <c r="AM754" s="0" t="n">
        <v>0</v>
      </c>
    </row>
    <row r="755" customFormat="false" ht="12.75" hidden="false" customHeight="false" outlineLevel="0" collapsed="false">
      <c r="A755" s="0" t="s">
        <v>621</v>
      </c>
      <c r="B755" s="0" t="str">
        <f aca="false">'Basis Options'!C758</f>
        <v>NW0645</v>
      </c>
      <c r="C755" s="0" t="s">
        <v>622</v>
      </c>
      <c r="D755" s="0" t="s">
        <v>623</v>
      </c>
      <c r="E755" s="0" t="s">
        <v>131</v>
      </c>
      <c r="F755" s="0" t="str">
        <f aca="false">'Basis Options'!A758</f>
        <v>ELPASMER</v>
      </c>
      <c r="G755" s="0" t="s">
        <v>628</v>
      </c>
      <c r="H755" s="0" t="s">
        <v>625</v>
      </c>
      <c r="I755" s="0" t="s">
        <v>626</v>
      </c>
      <c r="J755" s="0" t="s">
        <v>627</v>
      </c>
      <c r="K755" s="475" t="n">
        <f aca="false">'Basis Options'!G758</f>
        <v>36770</v>
      </c>
      <c r="L755" s="254" t="e">
        <f aca="false">'Basis Options'!U758</f>
        <v>#NAME?</v>
      </c>
      <c r="M755" s="475" t="n">
        <f aca="false">'Basis Options'!Q758</f>
        <v>36768</v>
      </c>
      <c r="N755" s="0" t="str">
        <f aca="false">'Basis Options'!F758</f>
        <v>C</v>
      </c>
      <c r="O755" s="0" t="n">
        <f aca="false">'Basis Options'!I758</f>
        <v>0.9</v>
      </c>
      <c r="P755" s="0" t="n">
        <v>0</v>
      </c>
      <c r="Q755" s="0" t="n">
        <v>0</v>
      </c>
      <c r="R755" s="0" t="n">
        <v>0</v>
      </c>
      <c r="S755" s="0" t="n">
        <v>0</v>
      </c>
      <c r="T755" s="0" t="s">
        <v>624</v>
      </c>
      <c r="U755" s="0" t="str">
        <f aca="false">IF('Basis Options'!D758="NGI/CHI. GATE","""NGI/CHI. GATE""",TRIM('Basis Options'!D758))</f>
        <v>NGI-SOCAL</v>
      </c>
      <c r="V755" s="0" t="s">
        <v>624</v>
      </c>
      <c r="W755" s="0" t="s">
        <v>569</v>
      </c>
      <c r="X755" s="0" t="s">
        <v>624</v>
      </c>
      <c r="Y755" s="0" t="s">
        <v>627</v>
      </c>
      <c r="Z755" s="0" t="s">
        <v>629</v>
      </c>
      <c r="AA755" s="0" t="s">
        <v>624</v>
      </c>
      <c r="AB755" s="0" t="s">
        <v>132</v>
      </c>
      <c r="AC755" s="254" t="n">
        <f aca="false">'Basis Options'!H758</f>
        <v>-600000</v>
      </c>
      <c r="AD755" s="254" t="e">
        <f aca="false">'Basis Options'!W758</f>
        <v>#NAME?</v>
      </c>
      <c r="AE755" s="0" t="n">
        <v>0</v>
      </c>
      <c r="AF755" s="0" t="n">
        <v>0</v>
      </c>
      <c r="AG755" s="0" t="n">
        <v>0</v>
      </c>
      <c r="AH755" s="254" t="e">
        <f aca="false">'Basis Options'!CD760</f>
        <v>#NAME?</v>
      </c>
      <c r="AI755" s="0" t="n">
        <v>226</v>
      </c>
      <c r="AJ755" s="0" t="s">
        <v>630</v>
      </c>
      <c r="AK755" s="0" t="n">
        <v>0</v>
      </c>
      <c r="AL755" s="0" t="n">
        <v>0</v>
      </c>
      <c r="AM755" s="0" t="n">
        <v>0</v>
      </c>
    </row>
    <row r="756" customFormat="false" ht="12.75" hidden="false" customHeight="false" outlineLevel="0" collapsed="false">
      <c r="A756" s="0" t="s">
        <v>621</v>
      </c>
      <c r="B756" s="0" t="str">
        <f aca="false">'Basis Options'!C759</f>
        <v>NW0648</v>
      </c>
      <c r="C756" s="0" t="s">
        <v>622</v>
      </c>
      <c r="D756" s="0" t="s">
        <v>623</v>
      </c>
      <c r="E756" s="0" t="s">
        <v>131</v>
      </c>
      <c r="F756" s="0" t="str">
        <f aca="false">'Basis Options'!A759</f>
        <v>OCCIDENTENEMAR</v>
      </c>
      <c r="G756" s="0" t="s">
        <v>628</v>
      </c>
      <c r="H756" s="0" t="s">
        <v>625</v>
      </c>
      <c r="I756" s="0" t="s">
        <v>626</v>
      </c>
      <c r="J756" s="0" t="s">
        <v>627</v>
      </c>
      <c r="K756" s="475" t="n">
        <f aca="false">'Basis Options'!G759</f>
        <v>36800</v>
      </c>
      <c r="L756" s="254" t="e">
        <f aca="false">'Basis Options'!U759</f>
        <v>#NAME?</v>
      </c>
      <c r="M756" s="475" t="n">
        <f aca="false">'Basis Options'!Q759</f>
        <v>36797</v>
      </c>
      <c r="N756" s="0" t="str">
        <f aca="false">'Basis Options'!F759</f>
        <v>C</v>
      </c>
      <c r="O756" s="0" t="n">
        <f aca="false">'Basis Options'!I759</f>
        <v>0.8</v>
      </c>
      <c r="P756" s="0" t="n">
        <v>0</v>
      </c>
      <c r="Q756" s="0" t="n">
        <v>0</v>
      </c>
      <c r="R756" s="0" t="n">
        <v>0</v>
      </c>
      <c r="S756" s="0" t="n">
        <v>0</v>
      </c>
      <c r="T756" s="0" t="s">
        <v>624</v>
      </c>
      <c r="U756" s="0" t="str">
        <f aca="false">IF('Basis Options'!D759="NGI/CHI. GATE","""NGI/CHI. GATE""",TRIM('Basis Options'!D759))</f>
        <v>NGI-SOCAL</v>
      </c>
      <c r="V756" s="0" t="s">
        <v>624</v>
      </c>
      <c r="W756" s="0" t="s">
        <v>569</v>
      </c>
      <c r="X756" s="0" t="s">
        <v>624</v>
      </c>
      <c r="Y756" s="0" t="s">
        <v>627</v>
      </c>
      <c r="Z756" s="0" t="s">
        <v>629</v>
      </c>
      <c r="AA756" s="0" t="s">
        <v>624</v>
      </c>
      <c r="AB756" s="0" t="s">
        <v>132</v>
      </c>
      <c r="AC756" s="254" t="n">
        <f aca="false">'Basis Options'!H759</f>
        <v>310000</v>
      </c>
      <c r="AD756" s="254" t="e">
        <f aca="false">'Basis Options'!W759</f>
        <v>#NAME?</v>
      </c>
      <c r="AE756" s="0" t="n">
        <v>0</v>
      </c>
      <c r="AF756" s="0" t="n">
        <v>0</v>
      </c>
      <c r="AG756" s="0" t="n">
        <v>0</v>
      </c>
      <c r="AH756" s="254" t="e">
        <f aca="false">'Basis Options'!CD761</f>
        <v>#NAME?</v>
      </c>
      <c r="AI756" s="0" t="n">
        <v>226</v>
      </c>
      <c r="AJ756" s="0" t="s">
        <v>630</v>
      </c>
      <c r="AK756" s="0" t="n">
        <v>0</v>
      </c>
      <c r="AL756" s="0" t="n">
        <v>0</v>
      </c>
      <c r="AM756" s="0" t="n">
        <v>0</v>
      </c>
    </row>
    <row r="757" customFormat="false" ht="12.75" hidden="false" customHeight="false" outlineLevel="0" collapsed="false">
      <c r="A757" s="0" t="s">
        <v>621</v>
      </c>
      <c r="B757" s="0" t="str">
        <f aca="false">'Basis Options'!C760</f>
        <v>NW3286.1</v>
      </c>
      <c r="C757" s="0" t="s">
        <v>622</v>
      </c>
      <c r="D757" s="0" t="s">
        <v>623</v>
      </c>
      <c r="E757" s="0" t="s">
        <v>131</v>
      </c>
      <c r="F757" s="0" t="str">
        <f aca="false">'Basis Options'!A760</f>
        <v>ELPASMER</v>
      </c>
      <c r="G757" s="0" t="s">
        <v>628</v>
      </c>
      <c r="H757" s="0" t="s">
        <v>625</v>
      </c>
      <c r="I757" s="0" t="s">
        <v>626</v>
      </c>
      <c r="J757" s="0" t="s">
        <v>627</v>
      </c>
      <c r="K757" s="475" t="n">
        <f aca="false">'Basis Options'!G760</f>
        <v>36831</v>
      </c>
      <c r="L757" s="254" t="e">
        <f aca="false">'Basis Options'!U760</f>
        <v>#NAME?</v>
      </c>
      <c r="M757" s="475" t="n">
        <f aca="false">'Basis Options'!Q760</f>
        <v>36829</v>
      </c>
      <c r="N757" s="0" t="str">
        <f aca="false">'Basis Options'!F760</f>
        <v>P</v>
      </c>
      <c r="O757" s="0" t="n">
        <f aca="false">'Basis Options'!I760</f>
        <v>0.3</v>
      </c>
      <c r="P757" s="0" t="n">
        <v>0</v>
      </c>
      <c r="Q757" s="0" t="n">
        <v>0</v>
      </c>
      <c r="R757" s="0" t="n">
        <v>0</v>
      </c>
      <c r="S757" s="0" t="n">
        <v>0</v>
      </c>
      <c r="T757" s="0" t="s">
        <v>624</v>
      </c>
      <c r="U757" s="0" t="str">
        <f aca="false">IF('Basis Options'!D760="NGI/CHI. GATE","""NGI/CHI. GATE""",TRIM('Basis Options'!D760))</f>
        <v>NGI-SOCAL</v>
      </c>
      <c r="V757" s="0" t="s">
        <v>624</v>
      </c>
      <c r="W757" s="0" t="s">
        <v>569</v>
      </c>
      <c r="X757" s="0" t="s">
        <v>624</v>
      </c>
      <c r="Y757" s="0" t="s">
        <v>627</v>
      </c>
      <c r="Z757" s="0" t="s">
        <v>629</v>
      </c>
      <c r="AA757" s="0" t="s">
        <v>624</v>
      </c>
      <c r="AB757" s="0" t="s">
        <v>132</v>
      </c>
      <c r="AC757" s="254" t="n">
        <f aca="false">'Basis Options'!H760</f>
        <v>300000</v>
      </c>
      <c r="AD757" s="254" t="e">
        <f aca="false">'Basis Options'!W760</f>
        <v>#NAME?</v>
      </c>
      <c r="AE757" s="0" t="n">
        <v>0</v>
      </c>
      <c r="AF757" s="0" t="n">
        <v>0</v>
      </c>
      <c r="AG757" s="0" t="n">
        <v>0</v>
      </c>
      <c r="AH757" s="254" t="e">
        <f aca="false">'Basis Options'!CD762</f>
        <v>#NAME?</v>
      </c>
      <c r="AI757" s="0" t="n">
        <v>226</v>
      </c>
      <c r="AJ757" s="0" t="s">
        <v>630</v>
      </c>
      <c r="AK757" s="0" t="n">
        <v>0</v>
      </c>
      <c r="AL757" s="0" t="n">
        <v>0</v>
      </c>
      <c r="AM757" s="0" t="n">
        <v>0</v>
      </c>
    </row>
    <row r="758" customFormat="false" ht="12.75" hidden="false" customHeight="false" outlineLevel="0" collapsed="false">
      <c r="A758" s="0" t="s">
        <v>621</v>
      </c>
      <c r="B758" s="0" t="str">
        <f aca="false">'Basis Options'!C761</f>
        <v>NW3286.1</v>
      </c>
      <c r="C758" s="0" t="s">
        <v>622</v>
      </c>
      <c r="D758" s="0" t="s">
        <v>623</v>
      </c>
      <c r="E758" s="0" t="s">
        <v>131</v>
      </c>
      <c r="F758" s="0" t="str">
        <f aca="false">'Basis Options'!A761</f>
        <v>ELPASMER</v>
      </c>
      <c r="G758" s="0" t="s">
        <v>628</v>
      </c>
      <c r="H758" s="0" t="s">
        <v>625</v>
      </c>
      <c r="I758" s="0" t="s">
        <v>626</v>
      </c>
      <c r="J758" s="0" t="s">
        <v>627</v>
      </c>
      <c r="K758" s="475" t="n">
        <f aca="false">'Basis Options'!G761</f>
        <v>36861</v>
      </c>
      <c r="L758" s="254" t="e">
        <f aca="false">'Basis Options'!U761</f>
        <v>#NAME?</v>
      </c>
      <c r="M758" s="475" t="n">
        <f aca="false">'Basis Options'!Q761</f>
        <v>36859</v>
      </c>
      <c r="N758" s="0" t="str">
        <f aca="false">'Basis Options'!F761</f>
        <v>P</v>
      </c>
      <c r="O758" s="0" t="n">
        <f aca="false">'Basis Options'!I761</f>
        <v>0.3</v>
      </c>
      <c r="P758" s="0" t="n">
        <v>0</v>
      </c>
      <c r="Q758" s="0" t="n">
        <v>0</v>
      </c>
      <c r="R758" s="0" t="n">
        <v>0</v>
      </c>
      <c r="S758" s="0" t="n">
        <v>0</v>
      </c>
      <c r="T758" s="0" t="s">
        <v>624</v>
      </c>
      <c r="U758" s="0" t="str">
        <f aca="false">IF('Basis Options'!D761="NGI/CHI. GATE","""NGI/CHI. GATE""",TRIM('Basis Options'!D761))</f>
        <v>NGI-SOCAL</v>
      </c>
      <c r="V758" s="0" t="s">
        <v>624</v>
      </c>
      <c r="W758" s="0" t="s">
        <v>569</v>
      </c>
      <c r="X758" s="0" t="s">
        <v>624</v>
      </c>
      <c r="Y758" s="0" t="s">
        <v>627</v>
      </c>
      <c r="Z758" s="0" t="s">
        <v>629</v>
      </c>
      <c r="AA758" s="0" t="s">
        <v>624</v>
      </c>
      <c r="AB758" s="0" t="s">
        <v>132</v>
      </c>
      <c r="AC758" s="254" t="n">
        <f aca="false">'Basis Options'!H761</f>
        <v>310000</v>
      </c>
      <c r="AD758" s="254" t="e">
        <f aca="false">'Basis Options'!W761</f>
        <v>#NAME?</v>
      </c>
      <c r="AE758" s="0" t="n">
        <v>0</v>
      </c>
      <c r="AF758" s="0" t="n">
        <v>0</v>
      </c>
      <c r="AG758" s="0" t="n">
        <v>0</v>
      </c>
      <c r="AH758" s="254" t="e">
        <f aca="false">'Basis Options'!CD763</f>
        <v>#NAME?</v>
      </c>
      <c r="AI758" s="0" t="n">
        <v>226</v>
      </c>
      <c r="AJ758" s="0" t="s">
        <v>630</v>
      </c>
      <c r="AK758" s="0" t="n">
        <v>0</v>
      </c>
      <c r="AL758" s="0" t="n">
        <v>0</v>
      </c>
      <c r="AM758" s="0" t="n">
        <v>0</v>
      </c>
    </row>
    <row r="759" customFormat="false" ht="12.75" hidden="false" customHeight="false" outlineLevel="0" collapsed="false">
      <c r="A759" s="0" t="s">
        <v>621</v>
      </c>
      <c r="B759" s="0" t="str">
        <f aca="false">'Basis Options'!C762</f>
        <v>NW3286.1</v>
      </c>
      <c r="C759" s="0" t="s">
        <v>622</v>
      </c>
      <c r="D759" s="0" t="s">
        <v>623</v>
      </c>
      <c r="E759" s="0" t="s">
        <v>131</v>
      </c>
      <c r="F759" s="0" t="str">
        <f aca="false">'Basis Options'!A762</f>
        <v>ELPASMER</v>
      </c>
      <c r="G759" s="0" t="s">
        <v>628</v>
      </c>
      <c r="H759" s="0" t="s">
        <v>625</v>
      </c>
      <c r="I759" s="0" t="s">
        <v>626</v>
      </c>
      <c r="J759" s="0" t="s">
        <v>627</v>
      </c>
      <c r="K759" s="475" t="n">
        <f aca="false">'Basis Options'!G762</f>
        <v>36892</v>
      </c>
      <c r="L759" s="254" t="e">
        <f aca="false">'Basis Options'!U762</f>
        <v>#NAME?</v>
      </c>
      <c r="M759" s="475" t="n">
        <f aca="false">'Basis Options'!Q762</f>
        <v>36888</v>
      </c>
      <c r="N759" s="0" t="str">
        <f aca="false">'Basis Options'!F762</f>
        <v>P</v>
      </c>
      <c r="O759" s="0" t="n">
        <f aca="false">'Basis Options'!I762</f>
        <v>0.3</v>
      </c>
      <c r="P759" s="0" t="n">
        <v>0</v>
      </c>
      <c r="Q759" s="0" t="n">
        <v>0</v>
      </c>
      <c r="R759" s="0" t="n">
        <v>0</v>
      </c>
      <c r="S759" s="0" t="n">
        <v>0</v>
      </c>
      <c r="T759" s="0" t="s">
        <v>624</v>
      </c>
      <c r="U759" s="0" t="str">
        <f aca="false">IF('Basis Options'!D762="NGI/CHI. GATE","""NGI/CHI. GATE""",TRIM('Basis Options'!D762))</f>
        <v>NGI-SOCAL</v>
      </c>
      <c r="V759" s="0" t="s">
        <v>624</v>
      </c>
      <c r="W759" s="0" t="s">
        <v>569</v>
      </c>
      <c r="X759" s="0" t="s">
        <v>624</v>
      </c>
      <c r="Y759" s="0" t="s">
        <v>627</v>
      </c>
      <c r="Z759" s="0" t="s">
        <v>629</v>
      </c>
      <c r="AA759" s="0" t="s">
        <v>624</v>
      </c>
      <c r="AB759" s="0" t="s">
        <v>132</v>
      </c>
      <c r="AC759" s="254" t="n">
        <f aca="false">'Basis Options'!H762</f>
        <v>310000</v>
      </c>
      <c r="AD759" s="254" t="e">
        <f aca="false">'Basis Options'!W762</f>
        <v>#NAME?</v>
      </c>
      <c r="AE759" s="0" t="n">
        <v>0</v>
      </c>
      <c r="AF759" s="0" t="n">
        <v>0</v>
      </c>
      <c r="AG759" s="0" t="n">
        <v>0</v>
      </c>
      <c r="AH759" s="254" t="e">
        <f aca="false">'Basis Options'!CD764</f>
        <v>#NAME?</v>
      </c>
      <c r="AI759" s="0" t="n">
        <v>226</v>
      </c>
      <c r="AJ759" s="0" t="s">
        <v>630</v>
      </c>
      <c r="AK759" s="0" t="n">
        <v>0</v>
      </c>
      <c r="AL759" s="0" t="n">
        <v>0</v>
      </c>
      <c r="AM759" s="0" t="n">
        <v>0</v>
      </c>
    </row>
    <row r="760" customFormat="false" ht="12.75" hidden="false" customHeight="false" outlineLevel="0" collapsed="false">
      <c r="A760" s="0" t="s">
        <v>621</v>
      </c>
      <c r="B760" s="0" t="str">
        <f aca="false">'Basis Options'!C763</f>
        <v>NW3286.1</v>
      </c>
      <c r="C760" s="0" t="s">
        <v>622</v>
      </c>
      <c r="D760" s="0" t="s">
        <v>623</v>
      </c>
      <c r="E760" s="0" t="s">
        <v>131</v>
      </c>
      <c r="F760" s="0" t="str">
        <f aca="false">'Basis Options'!A763</f>
        <v>ELPASMER</v>
      </c>
      <c r="G760" s="0" t="s">
        <v>628</v>
      </c>
      <c r="H760" s="0" t="s">
        <v>625</v>
      </c>
      <c r="I760" s="0" t="s">
        <v>626</v>
      </c>
      <c r="J760" s="0" t="s">
        <v>627</v>
      </c>
      <c r="K760" s="475" t="n">
        <f aca="false">'Basis Options'!G763</f>
        <v>36923</v>
      </c>
      <c r="L760" s="254" t="e">
        <f aca="false">'Basis Options'!U763</f>
        <v>#NAME?</v>
      </c>
      <c r="M760" s="475" t="n">
        <f aca="false">'Basis Options'!Q763</f>
        <v>36921</v>
      </c>
      <c r="N760" s="0" t="str">
        <f aca="false">'Basis Options'!F763</f>
        <v>P</v>
      </c>
      <c r="O760" s="0" t="n">
        <f aca="false">'Basis Options'!I763</f>
        <v>0.3</v>
      </c>
      <c r="P760" s="0" t="n">
        <v>0</v>
      </c>
      <c r="Q760" s="0" t="n">
        <v>0</v>
      </c>
      <c r="R760" s="0" t="n">
        <v>0</v>
      </c>
      <c r="S760" s="0" t="n">
        <v>0</v>
      </c>
      <c r="T760" s="0" t="s">
        <v>624</v>
      </c>
      <c r="U760" s="0" t="str">
        <f aca="false">IF('Basis Options'!D763="NGI/CHI. GATE","""NGI/CHI. GATE""",TRIM('Basis Options'!D763))</f>
        <v>NGI-SOCAL</v>
      </c>
      <c r="V760" s="0" t="s">
        <v>624</v>
      </c>
      <c r="W760" s="0" t="s">
        <v>569</v>
      </c>
      <c r="X760" s="0" t="s">
        <v>624</v>
      </c>
      <c r="Y760" s="0" t="s">
        <v>627</v>
      </c>
      <c r="Z760" s="0" t="s">
        <v>629</v>
      </c>
      <c r="AA760" s="0" t="s">
        <v>624</v>
      </c>
      <c r="AB760" s="0" t="s">
        <v>132</v>
      </c>
      <c r="AC760" s="254" t="n">
        <f aca="false">'Basis Options'!H763</f>
        <v>280000</v>
      </c>
      <c r="AD760" s="254" t="e">
        <f aca="false">'Basis Options'!W763</f>
        <v>#NAME?</v>
      </c>
      <c r="AE760" s="0" t="n">
        <v>0</v>
      </c>
      <c r="AF760" s="0" t="n">
        <v>0</v>
      </c>
      <c r="AG760" s="0" t="n">
        <v>0</v>
      </c>
      <c r="AH760" s="254" t="e">
        <f aca="false">'Basis Options'!CD765</f>
        <v>#NAME?</v>
      </c>
      <c r="AI760" s="0" t="n">
        <v>226</v>
      </c>
      <c r="AJ760" s="0" t="s">
        <v>630</v>
      </c>
      <c r="AK760" s="0" t="n">
        <v>0</v>
      </c>
      <c r="AL760" s="0" t="n">
        <v>0</v>
      </c>
      <c r="AM760" s="0" t="n">
        <v>0</v>
      </c>
    </row>
    <row r="761" customFormat="false" ht="12.75" hidden="false" customHeight="false" outlineLevel="0" collapsed="false">
      <c r="A761" s="0" t="s">
        <v>621</v>
      </c>
      <c r="B761" s="0" t="str">
        <f aca="false">'Basis Options'!C764</f>
        <v>NW3286.1</v>
      </c>
      <c r="C761" s="0" t="s">
        <v>622</v>
      </c>
      <c r="D761" s="0" t="s">
        <v>623</v>
      </c>
      <c r="E761" s="0" t="s">
        <v>131</v>
      </c>
      <c r="F761" s="0" t="str">
        <f aca="false">'Basis Options'!A764</f>
        <v>ELPASMER</v>
      </c>
      <c r="G761" s="0" t="s">
        <v>628</v>
      </c>
      <c r="H761" s="0" t="s">
        <v>625</v>
      </c>
      <c r="I761" s="0" t="s">
        <v>626</v>
      </c>
      <c r="J761" s="0" t="s">
        <v>627</v>
      </c>
      <c r="K761" s="475" t="n">
        <f aca="false">'Basis Options'!G764</f>
        <v>36951</v>
      </c>
      <c r="L761" s="254" t="e">
        <f aca="false">'Basis Options'!U764</f>
        <v>#NAME?</v>
      </c>
      <c r="M761" s="475" t="n">
        <f aca="false">'Basis Options'!Q764</f>
        <v>36949</v>
      </c>
      <c r="N761" s="0" t="str">
        <f aca="false">'Basis Options'!F764</f>
        <v>P</v>
      </c>
      <c r="O761" s="0" t="n">
        <f aca="false">'Basis Options'!I764</f>
        <v>0.3</v>
      </c>
      <c r="P761" s="0" t="n">
        <v>0</v>
      </c>
      <c r="Q761" s="0" t="n">
        <v>0</v>
      </c>
      <c r="R761" s="0" t="n">
        <v>0</v>
      </c>
      <c r="S761" s="0" t="n">
        <v>0</v>
      </c>
      <c r="T761" s="0" t="s">
        <v>624</v>
      </c>
      <c r="U761" s="0" t="str">
        <f aca="false">IF('Basis Options'!D764="NGI/CHI. GATE","""NGI/CHI. GATE""",TRIM('Basis Options'!D764))</f>
        <v>NGI-SOCAL</v>
      </c>
      <c r="V761" s="0" t="s">
        <v>624</v>
      </c>
      <c r="W761" s="0" t="s">
        <v>569</v>
      </c>
      <c r="X761" s="0" t="s">
        <v>624</v>
      </c>
      <c r="Y761" s="0" t="s">
        <v>627</v>
      </c>
      <c r="Z761" s="0" t="s">
        <v>629</v>
      </c>
      <c r="AA761" s="0" t="s">
        <v>624</v>
      </c>
      <c r="AB761" s="0" t="s">
        <v>132</v>
      </c>
      <c r="AC761" s="254" t="n">
        <f aca="false">'Basis Options'!H764</f>
        <v>310000</v>
      </c>
      <c r="AD761" s="254" t="e">
        <f aca="false">'Basis Options'!W764</f>
        <v>#NAME?</v>
      </c>
      <c r="AE761" s="0" t="n">
        <v>0</v>
      </c>
      <c r="AF761" s="0" t="n">
        <v>0</v>
      </c>
      <c r="AG761" s="0" t="n">
        <v>0</v>
      </c>
      <c r="AH761" s="254" t="e">
        <f aca="false">'Basis Options'!CD766</f>
        <v>#NAME?</v>
      </c>
      <c r="AI761" s="0" t="n">
        <v>226</v>
      </c>
      <c r="AJ761" s="0" t="s">
        <v>630</v>
      </c>
      <c r="AK761" s="0" t="n">
        <v>0</v>
      </c>
      <c r="AL761" s="0" t="n">
        <v>0</v>
      </c>
      <c r="AM761" s="0" t="n">
        <v>0</v>
      </c>
    </row>
    <row r="762" customFormat="false" ht="12.75" hidden="false" customHeight="false" outlineLevel="0" collapsed="false">
      <c r="A762" s="0" t="s">
        <v>621</v>
      </c>
      <c r="B762" s="0" t="str">
        <f aca="false">'Basis Options'!C765</f>
        <v>NW3286.2</v>
      </c>
      <c r="C762" s="0" t="s">
        <v>622</v>
      </c>
      <c r="D762" s="0" t="s">
        <v>623</v>
      </c>
      <c r="E762" s="0" t="s">
        <v>131</v>
      </c>
      <c r="F762" s="0" t="str">
        <f aca="false">'Basis Options'!A765</f>
        <v>ELPASMER</v>
      </c>
      <c r="G762" s="0" t="s">
        <v>628</v>
      </c>
      <c r="H762" s="0" t="s">
        <v>625</v>
      </c>
      <c r="I762" s="0" t="s">
        <v>626</v>
      </c>
      <c r="J762" s="0" t="s">
        <v>627</v>
      </c>
      <c r="K762" s="475" t="n">
        <f aca="false">'Basis Options'!G765</f>
        <v>36831</v>
      </c>
      <c r="L762" s="254" t="e">
        <f aca="false">'Basis Options'!U765</f>
        <v>#NAME?</v>
      </c>
      <c r="M762" s="475" t="n">
        <f aca="false">'Basis Options'!Q765</f>
        <v>36829</v>
      </c>
      <c r="N762" s="0" t="str">
        <f aca="false">'Basis Options'!F765</f>
        <v>C</v>
      </c>
      <c r="O762" s="0" t="n">
        <f aca="false">'Basis Options'!I765</f>
        <v>0.6</v>
      </c>
      <c r="P762" s="0" t="n">
        <v>0</v>
      </c>
      <c r="Q762" s="0" t="n">
        <v>0</v>
      </c>
      <c r="R762" s="0" t="n">
        <v>0</v>
      </c>
      <c r="S762" s="0" t="n">
        <v>0</v>
      </c>
      <c r="T762" s="0" t="s">
        <v>624</v>
      </c>
      <c r="U762" s="0" t="str">
        <f aca="false">IF('Basis Options'!D765="NGI/CHI. GATE","""NGI/CHI. GATE""",TRIM('Basis Options'!D765))</f>
        <v>NGI-SOCAL</v>
      </c>
      <c r="V762" s="0" t="s">
        <v>624</v>
      </c>
      <c r="W762" s="0" t="s">
        <v>569</v>
      </c>
      <c r="X762" s="0" t="s">
        <v>624</v>
      </c>
      <c r="Y762" s="0" t="s">
        <v>627</v>
      </c>
      <c r="Z762" s="0" t="s">
        <v>629</v>
      </c>
      <c r="AA762" s="0" t="s">
        <v>624</v>
      </c>
      <c r="AB762" s="0" t="s">
        <v>132</v>
      </c>
      <c r="AC762" s="254" t="n">
        <f aca="false">'Basis Options'!H765</f>
        <v>300000</v>
      </c>
      <c r="AD762" s="254" t="e">
        <f aca="false">'Basis Options'!W765</f>
        <v>#NAME?</v>
      </c>
      <c r="AE762" s="0" t="n">
        <v>0</v>
      </c>
      <c r="AF762" s="0" t="n">
        <v>0</v>
      </c>
      <c r="AG762" s="0" t="n">
        <v>0</v>
      </c>
      <c r="AH762" s="254" t="e">
        <f aca="false">'Basis Options'!CD767</f>
        <v>#NAME?</v>
      </c>
      <c r="AI762" s="0" t="n">
        <v>226</v>
      </c>
      <c r="AJ762" s="0" t="s">
        <v>630</v>
      </c>
      <c r="AK762" s="0" t="n">
        <v>0</v>
      </c>
      <c r="AL762" s="0" t="n">
        <v>0</v>
      </c>
      <c r="AM762" s="0" t="n">
        <v>0</v>
      </c>
    </row>
    <row r="763" customFormat="false" ht="12.75" hidden="false" customHeight="false" outlineLevel="0" collapsed="false">
      <c r="A763" s="0" t="s">
        <v>621</v>
      </c>
      <c r="B763" s="0" t="str">
        <f aca="false">'Basis Options'!C766</f>
        <v>NW3286.2</v>
      </c>
      <c r="C763" s="0" t="s">
        <v>622</v>
      </c>
      <c r="D763" s="0" t="s">
        <v>623</v>
      </c>
      <c r="E763" s="0" t="s">
        <v>131</v>
      </c>
      <c r="F763" s="0" t="str">
        <f aca="false">'Basis Options'!A766</f>
        <v>ELPASMER</v>
      </c>
      <c r="G763" s="0" t="s">
        <v>628</v>
      </c>
      <c r="H763" s="0" t="s">
        <v>625</v>
      </c>
      <c r="I763" s="0" t="s">
        <v>626</v>
      </c>
      <c r="J763" s="0" t="s">
        <v>627</v>
      </c>
      <c r="K763" s="475" t="n">
        <f aca="false">'Basis Options'!G766</f>
        <v>36861</v>
      </c>
      <c r="L763" s="254" t="e">
        <f aca="false">'Basis Options'!U766</f>
        <v>#NAME?</v>
      </c>
      <c r="M763" s="475" t="n">
        <f aca="false">'Basis Options'!Q766</f>
        <v>36859</v>
      </c>
      <c r="N763" s="0" t="str">
        <f aca="false">'Basis Options'!F766</f>
        <v>C</v>
      </c>
      <c r="O763" s="0" t="n">
        <f aca="false">'Basis Options'!I766</f>
        <v>0.6</v>
      </c>
      <c r="P763" s="0" t="n">
        <v>0</v>
      </c>
      <c r="Q763" s="0" t="n">
        <v>0</v>
      </c>
      <c r="R763" s="0" t="n">
        <v>0</v>
      </c>
      <c r="S763" s="0" t="n">
        <v>0</v>
      </c>
      <c r="T763" s="0" t="s">
        <v>624</v>
      </c>
      <c r="U763" s="0" t="str">
        <f aca="false">IF('Basis Options'!D766="NGI/CHI. GATE","""NGI/CHI. GATE""",TRIM('Basis Options'!D766))</f>
        <v>NGI-SOCAL</v>
      </c>
      <c r="V763" s="0" t="s">
        <v>624</v>
      </c>
      <c r="W763" s="0" t="s">
        <v>569</v>
      </c>
      <c r="X763" s="0" t="s">
        <v>624</v>
      </c>
      <c r="Y763" s="0" t="s">
        <v>627</v>
      </c>
      <c r="Z763" s="0" t="s">
        <v>629</v>
      </c>
      <c r="AA763" s="0" t="s">
        <v>624</v>
      </c>
      <c r="AB763" s="0" t="s">
        <v>132</v>
      </c>
      <c r="AC763" s="254" t="n">
        <f aca="false">'Basis Options'!H766</f>
        <v>310000</v>
      </c>
      <c r="AD763" s="254" t="e">
        <f aca="false">'Basis Options'!W766</f>
        <v>#NAME?</v>
      </c>
      <c r="AE763" s="0" t="n">
        <v>0</v>
      </c>
      <c r="AF763" s="0" t="n">
        <v>0</v>
      </c>
      <c r="AG763" s="0" t="n">
        <v>0</v>
      </c>
      <c r="AH763" s="254" t="e">
        <f aca="false">'Basis Options'!CD768</f>
        <v>#NAME?</v>
      </c>
      <c r="AI763" s="0" t="n">
        <v>226</v>
      </c>
      <c r="AJ763" s="0" t="s">
        <v>630</v>
      </c>
      <c r="AK763" s="0" t="n">
        <v>0</v>
      </c>
      <c r="AL763" s="0" t="n">
        <v>0</v>
      </c>
      <c r="AM763" s="0" t="n">
        <v>0</v>
      </c>
    </row>
    <row r="764" customFormat="false" ht="12.75" hidden="false" customHeight="false" outlineLevel="0" collapsed="false">
      <c r="A764" s="0" t="s">
        <v>621</v>
      </c>
      <c r="B764" s="0" t="str">
        <f aca="false">'Basis Options'!C767</f>
        <v>NW3286.2</v>
      </c>
      <c r="C764" s="0" t="s">
        <v>622</v>
      </c>
      <c r="D764" s="0" t="s">
        <v>623</v>
      </c>
      <c r="E764" s="0" t="s">
        <v>131</v>
      </c>
      <c r="F764" s="0" t="str">
        <f aca="false">'Basis Options'!A767</f>
        <v>ELPASMER</v>
      </c>
      <c r="G764" s="0" t="s">
        <v>628</v>
      </c>
      <c r="H764" s="0" t="s">
        <v>625</v>
      </c>
      <c r="I764" s="0" t="s">
        <v>626</v>
      </c>
      <c r="J764" s="0" t="s">
        <v>627</v>
      </c>
      <c r="K764" s="475" t="n">
        <f aca="false">'Basis Options'!G767</f>
        <v>36892</v>
      </c>
      <c r="L764" s="254" t="e">
        <f aca="false">'Basis Options'!U767</f>
        <v>#NAME?</v>
      </c>
      <c r="M764" s="475" t="n">
        <f aca="false">'Basis Options'!Q767</f>
        <v>36888</v>
      </c>
      <c r="N764" s="0" t="str">
        <f aca="false">'Basis Options'!F767</f>
        <v>C</v>
      </c>
      <c r="O764" s="0" t="n">
        <f aca="false">'Basis Options'!I767</f>
        <v>0.6</v>
      </c>
      <c r="P764" s="0" t="n">
        <v>0</v>
      </c>
      <c r="Q764" s="0" t="n">
        <v>0</v>
      </c>
      <c r="R764" s="0" t="n">
        <v>0</v>
      </c>
      <c r="S764" s="0" t="n">
        <v>0</v>
      </c>
      <c r="T764" s="0" t="s">
        <v>624</v>
      </c>
      <c r="U764" s="0" t="str">
        <f aca="false">IF('Basis Options'!D767="NGI/CHI. GATE","""NGI/CHI. GATE""",TRIM('Basis Options'!D767))</f>
        <v>NGI-SOCAL</v>
      </c>
      <c r="V764" s="0" t="s">
        <v>624</v>
      </c>
      <c r="W764" s="0" t="s">
        <v>569</v>
      </c>
      <c r="X764" s="0" t="s">
        <v>624</v>
      </c>
      <c r="Y764" s="0" t="s">
        <v>627</v>
      </c>
      <c r="Z764" s="0" t="s">
        <v>629</v>
      </c>
      <c r="AA764" s="0" t="s">
        <v>624</v>
      </c>
      <c r="AB764" s="0" t="s">
        <v>132</v>
      </c>
      <c r="AC764" s="254" t="n">
        <f aca="false">'Basis Options'!H767</f>
        <v>310000</v>
      </c>
      <c r="AD764" s="254" t="e">
        <f aca="false">'Basis Options'!W767</f>
        <v>#NAME?</v>
      </c>
      <c r="AE764" s="0" t="n">
        <v>0</v>
      </c>
      <c r="AF764" s="0" t="n">
        <v>0</v>
      </c>
      <c r="AG764" s="0" t="n">
        <v>0</v>
      </c>
      <c r="AH764" s="254" t="e">
        <f aca="false">'Basis Options'!CD769</f>
        <v>#NAME?</v>
      </c>
      <c r="AI764" s="0" t="n">
        <v>226</v>
      </c>
      <c r="AJ764" s="0" t="s">
        <v>630</v>
      </c>
      <c r="AK764" s="0" t="n">
        <v>0</v>
      </c>
      <c r="AL764" s="0" t="n">
        <v>0</v>
      </c>
      <c r="AM764" s="0" t="n">
        <v>0</v>
      </c>
    </row>
    <row r="765" customFormat="false" ht="12.75" hidden="false" customHeight="false" outlineLevel="0" collapsed="false">
      <c r="A765" s="0" t="s">
        <v>621</v>
      </c>
      <c r="B765" s="0" t="str">
        <f aca="false">'Basis Options'!C768</f>
        <v>NW3286.2</v>
      </c>
      <c r="C765" s="0" t="s">
        <v>622</v>
      </c>
      <c r="D765" s="0" t="s">
        <v>623</v>
      </c>
      <c r="E765" s="0" t="s">
        <v>131</v>
      </c>
      <c r="F765" s="0" t="str">
        <f aca="false">'Basis Options'!A768</f>
        <v>ELPASMER</v>
      </c>
      <c r="G765" s="0" t="s">
        <v>628</v>
      </c>
      <c r="H765" s="0" t="s">
        <v>625</v>
      </c>
      <c r="I765" s="0" t="s">
        <v>626</v>
      </c>
      <c r="J765" s="0" t="s">
        <v>627</v>
      </c>
      <c r="K765" s="475" t="n">
        <f aca="false">'Basis Options'!G768</f>
        <v>36923</v>
      </c>
      <c r="L765" s="254" t="e">
        <f aca="false">'Basis Options'!U768</f>
        <v>#NAME?</v>
      </c>
      <c r="M765" s="475" t="n">
        <f aca="false">'Basis Options'!Q768</f>
        <v>36921</v>
      </c>
      <c r="N765" s="0" t="str">
        <f aca="false">'Basis Options'!F768</f>
        <v>C</v>
      </c>
      <c r="O765" s="0" t="n">
        <f aca="false">'Basis Options'!I768</f>
        <v>0.6</v>
      </c>
      <c r="P765" s="0" t="n">
        <v>0</v>
      </c>
      <c r="Q765" s="0" t="n">
        <v>0</v>
      </c>
      <c r="R765" s="0" t="n">
        <v>0</v>
      </c>
      <c r="S765" s="0" t="n">
        <v>0</v>
      </c>
      <c r="T765" s="0" t="s">
        <v>624</v>
      </c>
      <c r="U765" s="0" t="str">
        <f aca="false">IF('Basis Options'!D768="NGI/CHI. GATE","""NGI/CHI. GATE""",TRIM('Basis Options'!D768))</f>
        <v>NGI-SOCAL</v>
      </c>
      <c r="V765" s="0" t="s">
        <v>624</v>
      </c>
      <c r="W765" s="0" t="s">
        <v>569</v>
      </c>
      <c r="X765" s="0" t="s">
        <v>624</v>
      </c>
      <c r="Y765" s="0" t="s">
        <v>627</v>
      </c>
      <c r="Z765" s="0" t="s">
        <v>629</v>
      </c>
      <c r="AA765" s="0" t="s">
        <v>624</v>
      </c>
      <c r="AB765" s="0" t="s">
        <v>132</v>
      </c>
      <c r="AC765" s="254" t="n">
        <f aca="false">'Basis Options'!H768</f>
        <v>280000</v>
      </c>
      <c r="AD765" s="254" t="e">
        <f aca="false">'Basis Options'!W768</f>
        <v>#NAME?</v>
      </c>
      <c r="AE765" s="0" t="n">
        <v>0</v>
      </c>
      <c r="AF765" s="0" t="n">
        <v>0</v>
      </c>
      <c r="AG765" s="0" t="n">
        <v>0</v>
      </c>
      <c r="AH765" s="254" t="e">
        <f aca="false">'Basis Options'!CD770</f>
        <v>#NAME?</v>
      </c>
      <c r="AI765" s="0" t="n">
        <v>226</v>
      </c>
      <c r="AJ765" s="0" t="s">
        <v>630</v>
      </c>
      <c r="AK765" s="0" t="n">
        <v>0</v>
      </c>
      <c r="AL765" s="0" t="n">
        <v>0</v>
      </c>
      <c r="AM765" s="0" t="n">
        <v>0</v>
      </c>
    </row>
    <row r="766" customFormat="false" ht="12.75" hidden="false" customHeight="false" outlineLevel="0" collapsed="false">
      <c r="A766" s="0" t="s">
        <v>621</v>
      </c>
      <c r="B766" s="0" t="str">
        <f aca="false">'Basis Options'!C769</f>
        <v>NW3286.2</v>
      </c>
      <c r="C766" s="0" t="s">
        <v>622</v>
      </c>
      <c r="D766" s="0" t="s">
        <v>623</v>
      </c>
      <c r="E766" s="0" t="s">
        <v>131</v>
      </c>
      <c r="F766" s="0" t="str">
        <f aca="false">'Basis Options'!A769</f>
        <v>ELPASMER</v>
      </c>
      <c r="G766" s="0" t="s">
        <v>628</v>
      </c>
      <c r="H766" s="0" t="s">
        <v>625</v>
      </c>
      <c r="I766" s="0" t="s">
        <v>626</v>
      </c>
      <c r="J766" s="0" t="s">
        <v>627</v>
      </c>
      <c r="K766" s="475" t="n">
        <f aca="false">'Basis Options'!G769</f>
        <v>36951</v>
      </c>
      <c r="L766" s="254" t="e">
        <f aca="false">'Basis Options'!U769</f>
        <v>#NAME?</v>
      </c>
      <c r="M766" s="475" t="n">
        <f aca="false">'Basis Options'!Q769</f>
        <v>36949</v>
      </c>
      <c r="N766" s="0" t="str">
        <f aca="false">'Basis Options'!F769</f>
        <v>C</v>
      </c>
      <c r="O766" s="0" t="n">
        <f aca="false">'Basis Options'!I769</f>
        <v>0.6</v>
      </c>
      <c r="P766" s="0" t="n">
        <v>0</v>
      </c>
      <c r="Q766" s="0" t="n">
        <v>0</v>
      </c>
      <c r="R766" s="0" t="n">
        <v>0</v>
      </c>
      <c r="S766" s="0" t="n">
        <v>0</v>
      </c>
      <c r="T766" s="0" t="s">
        <v>624</v>
      </c>
      <c r="U766" s="0" t="str">
        <f aca="false">IF('Basis Options'!D769="NGI/CHI. GATE","""NGI/CHI. GATE""",TRIM('Basis Options'!D769))</f>
        <v>NGI-SOCAL</v>
      </c>
      <c r="V766" s="0" t="s">
        <v>624</v>
      </c>
      <c r="W766" s="0" t="s">
        <v>569</v>
      </c>
      <c r="X766" s="0" t="s">
        <v>624</v>
      </c>
      <c r="Y766" s="0" t="s">
        <v>627</v>
      </c>
      <c r="Z766" s="0" t="s">
        <v>629</v>
      </c>
      <c r="AA766" s="0" t="s">
        <v>624</v>
      </c>
      <c r="AB766" s="0" t="s">
        <v>132</v>
      </c>
      <c r="AC766" s="254" t="n">
        <f aca="false">'Basis Options'!H769</f>
        <v>310000</v>
      </c>
      <c r="AD766" s="254" t="e">
        <f aca="false">'Basis Options'!W769</f>
        <v>#NAME?</v>
      </c>
      <c r="AE766" s="0" t="n">
        <v>0</v>
      </c>
      <c r="AF766" s="0" t="n">
        <v>0</v>
      </c>
      <c r="AG766" s="0" t="n">
        <v>0</v>
      </c>
      <c r="AH766" s="254" t="e">
        <f aca="false">'Basis Options'!CD771</f>
        <v>#NAME?</v>
      </c>
      <c r="AI766" s="0" t="n">
        <v>226</v>
      </c>
      <c r="AJ766" s="0" t="s">
        <v>630</v>
      </c>
      <c r="AK766" s="0" t="n">
        <v>0</v>
      </c>
      <c r="AL766" s="0" t="n">
        <v>0</v>
      </c>
      <c r="AM766" s="0" t="n">
        <v>0</v>
      </c>
    </row>
    <row r="767" customFormat="false" ht="12.75" hidden="false" customHeight="false" outlineLevel="0" collapsed="false">
      <c r="A767" s="0" t="s">
        <v>621</v>
      </c>
      <c r="B767" s="0" t="str">
        <f aca="false">'Basis Options'!C770</f>
        <v>NW3289</v>
      </c>
      <c r="C767" s="0" t="s">
        <v>622</v>
      </c>
      <c r="D767" s="0" t="s">
        <v>623</v>
      </c>
      <c r="E767" s="0" t="s">
        <v>131</v>
      </c>
      <c r="F767" s="0" t="str">
        <f aca="false">'Basis Options'!A770</f>
        <v>CMSMARSERTRA</v>
      </c>
      <c r="G767" s="0" t="s">
        <v>628</v>
      </c>
      <c r="H767" s="0" t="s">
        <v>625</v>
      </c>
      <c r="I767" s="0" t="s">
        <v>626</v>
      </c>
      <c r="J767" s="0" t="s">
        <v>627</v>
      </c>
      <c r="K767" s="475" t="n">
        <f aca="false">'Basis Options'!G770</f>
        <v>36831</v>
      </c>
      <c r="L767" s="254" t="e">
        <f aca="false">'Basis Options'!U770</f>
        <v>#NAME?</v>
      </c>
      <c r="M767" s="475" t="n">
        <f aca="false">'Basis Options'!Q770</f>
        <v>36829</v>
      </c>
      <c r="N767" s="0" t="str">
        <f aca="false">'Basis Options'!F770</f>
        <v>C</v>
      </c>
      <c r="O767" s="0" t="n">
        <f aca="false">'Basis Options'!I770</f>
        <v>0.15</v>
      </c>
      <c r="P767" s="0" t="n">
        <v>0</v>
      </c>
      <c r="Q767" s="0" t="n">
        <v>0</v>
      </c>
      <c r="R767" s="0" t="n">
        <v>0</v>
      </c>
      <c r="S767" s="0" t="n">
        <v>0</v>
      </c>
      <c r="T767" s="0" t="s">
        <v>624</v>
      </c>
      <c r="U767" s="0" t="str">
        <f aca="false">IF('Basis Options'!D770="NGI/CHI. GATE","""NGI/CHI. GATE""",TRIM('Basis Options'!D770))</f>
        <v>"NGI/CHI. GATE"</v>
      </c>
      <c r="V767" s="0" t="s">
        <v>624</v>
      </c>
      <c r="W767" s="0" t="s">
        <v>569</v>
      </c>
      <c r="X767" s="0" t="s">
        <v>624</v>
      </c>
      <c r="Y767" s="0" t="s">
        <v>627</v>
      </c>
      <c r="Z767" s="0" t="s">
        <v>629</v>
      </c>
      <c r="AA767" s="0" t="s">
        <v>624</v>
      </c>
      <c r="AB767" s="0" t="s">
        <v>132</v>
      </c>
      <c r="AC767" s="254" t="n">
        <f aca="false">'Basis Options'!H770</f>
        <v>-300000</v>
      </c>
      <c r="AD767" s="254" t="e">
        <f aca="false">'Basis Options'!W770</f>
        <v>#NAME?</v>
      </c>
      <c r="AE767" s="0" t="n">
        <v>0</v>
      </c>
      <c r="AF767" s="0" t="n">
        <v>0</v>
      </c>
      <c r="AG767" s="0" t="n">
        <v>0</v>
      </c>
      <c r="AH767" s="254" t="e">
        <f aca="false">'Basis Options'!CD772</f>
        <v>#NAME?</v>
      </c>
      <c r="AI767" s="0" t="n">
        <v>226</v>
      </c>
      <c r="AJ767" s="0" t="s">
        <v>630</v>
      </c>
      <c r="AK767" s="0" t="n">
        <v>0</v>
      </c>
      <c r="AL767" s="0" t="n">
        <v>0</v>
      </c>
      <c r="AM767" s="0" t="n">
        <v>0</v>
      </c>
    </row>
    <row r="768" customFormat="false" ht="12.75" hidden="false" customHeight="false" outlineLevel="0" collapsed="false">
      <c r="A768" s="0" t="s">
        <v>621</v>
      </c>
      <c r="B768" s="0" t="str">
        <f aca="false">'Basis Options'!C771</f>
        <v>NW3289</v>
      </c>
      <c r="C768" s="0" t="s">
        <v>622</v>
      </c>
      <c r="D768" s="0" t="s">
        <v>623</v>
      </c>
      <c r="E768" s="0" t="s">
        <v>131</v>
      </c>
      <c r="F768" s="0" t="str">
        <f aca="false">'Basis Options'!A771</f>
        <v>CMSMARSERTRA</v>
      </c>
      <c r="G768" s="0" t="s">
        <v>628</v>
      </c>
      <c r="H768" s="0" t="s">
        <v>625</v>
      </c>
      <c r="I768" s="0" t="s">
        <v>626</v>
      </c>
      <c r="J768" s="0" t="s">
        <v>627</v>
      </c>
      <c r="K768" s="475" t="n">
        <f aca="false">'Basis Options'!G771</f>
        <v>36861</v>
      </c>
      <c r="L768" s="254" t="e">
        <f aca="false">'Basis Options'!U771</f>
        <v>#NAME?</v>
      </c>
      <c r="M768" s="475" t="n">
        <f aca="false">'Basis Options'!Q771</f>
        <v>36859</v>
      </c>
      <c r="N768" s="0" t="str">
        <f aca="false">'Basis Options'!F771</f>
        <v>C</v>
      </c>
      <c r="O768" s="0" t="n">
        <f aca="false">'Basis Options'!I771</f>
        <v>0.15</v>
      </c>
      <c r="P768" s="0" t="n">
        <v>0</v>
      </c>
      <c r="Q768" s="0" t="n">
        <v>0</v>
      </c>
      <c r="R768" s="0" t="n">
        <v>0</v>
      </c>
      <c r="S768" s="0" t="n">
        <v>0</v>
      </c>
      <c r="T768" s="0" t="s">
        <v>624</v>
      </c>
      <c r="U768" s="0" t="str">
        <f aca="false">IF('Basis Options'!D771="NGI/CHI. GATE","""NGI/CHI. GATE""",TRIM('Basis Options'!D771))</f>
        <v>"NGI/CHI. GATE"</v>
      </c>
      <c r="V768" s="0" t="s">
        <v>624</v>
      </c>
      <c r="W768" s="0" t="s">
        <v>569</v>
      </c>
      <c r="X768" s="0" t="s">
        <v>624</v>
      </c>
      <c r="Y768" s="0" t="s">
        <v>627</v>
      </c>
      <c r="Z768" s="0" t="s">
        <v>629</v>
      </c>
      <c r="AA768" s="0" t="s">
        <v>624</v>
      </c>
      <c r="AB768" s="0" t="s">
        <v>132</v>
      </c>
      <c r="AC768" s="254" t="n">
        <f aca="false">'Basis Options'!H771</f>
        <v>-310000</v>
      </c>
      <c r="AD768" s="254" t="e">
        <f aca="false">'Basis Options'!W771</f>
        <v>#NAME?</v>
      </c>
      <c r="AE768" s="0" t="n">
        <v>0</v>
      </c>
      <c r="AF768" s="0" t="n">
        <v>0</v>
      </c>
      <c r="AG768" s="0" t="n">
        <v>0</v>
      </c>
      <c r="AH768" s="254" t="e">
        <f aca="false">'Basis Options'!CD773</f>
        <v>#NAME?</v>
      </c>
      <c r="AI768" s="0" t="n">
        <v>226</v>
      </c>
      <c r="AJ768" s="0" t="s">
        <v>630</v>
      </c>
      <c r="AK768" s="0" t="n">
        <v>0</v>
      </c>
      <c r="AL768" s="0" t="n">
        <v>0</v>
      </c>
      <c r="AM768" s="0" t="n">
        <v>0</v>
      </c>
    </row>
    <row r="769" customFormat="false" ht="12.75" hidden="false" customHeight="false" outlineLevel="0" collapsed="false">
      <c r="A769" s="0" t="s">
        <v>621</v>
      </c>
      <c r="B769" s="0" t="str">
        <f aca="false">'Basis Options'!C772</f>
        <v>NW3289</v>
      </c>
      <c r="C769" s="0" t="s">
        <v>622</v>
      </c>
      <c r="D769" s="0" t="s">
        <v>623</v>
      </c>
      <c r="E769" s="0" t="s">
        <v>131</v>
      </c>
      <c r="F769" s="0" t="str">
        <f aca="false">'Basis Options'!A772</f>
        <v>CMSMARSERTRA</v>
      </c>
      <c r="G769" s="0" t="s">
        <v>628</v>
      </c>
      <c r="H769" s="0" t="s">
        <v>625</v>
      </c>
      <c r="I769" s="0" t="s">
        <v>626</v>
      </c>
      <c r="J769" s="0" t="s">
        <v>627</v>
      </c>
      <c r="K769" s="475" t="n">
        <f aca="false">'Basis Options'!G772</f>
        <v>36892</v>
      </c>
      <c r="L769" s="254" t="e">
        <f aca="false">'Basis Options'!U772</f>
        <v>#NAME?</v>
      </c>
      <c r="M769" s="475" t="n">
        <f aca="false">'Basis Options'!Q772</f>
        <v>36888</v>
      </c>
      <c r="N769" s="0" t="str">
        <f aca="false">'Basis Options'!F772</f>
        <v>C</v>
      </c>
      <c r="O769" s="0" t="n">
        <f aca="false">'Basis Options'!I772</f>
        <v>0.15</v>
      </c>
      <c r="P769" s="0" t="n">
        <v>0</v>
      </c>
      <c r="Q769" s="0" t="n">
        <v>0</v>
      </c>
      <c r="R769" s="0" t="n">
        <v>0</v>
      </c>
      <c r="S769" s="0" t="n">
        <v>0</v>
      </c>
      <c r="T769" s="0" t="s">
        <v>624</v>
      </c>
      <c r="U769" s="0" t="str">
        <f aca="false">IF('Basis Options'!D772="NGI/CHI. GATE","""NGI/CHI. GATE""",TRIM('Basis Options'!D772))</f>
        <v>"NGI/CHI. GATE"</v>
      </c>
      <c r="V769" s="0" t="s">
        <v>624</v>
      </c>
      <c r="W769" s="0" t="s">
        <v>569</v>
      </c>
      <c r="X769" s="0" t="s">
        <v>624</v>
      </c>
      <c r="Y769" s="0" t="s">
        <v>627</v>
      </c>
      <c r="Z769" s="0" t="s">
        <v>629</v>
      </c>
      <c r="AA769" s="0" t="s">
        <v>624</v>
      </c>
      <c r="AB769" s="0" t="s">
        <v>132</v>
      </c>
      <c r="AC769" s="254" t="n">
        <f aca="false">'Basis Options'!H772</f>
        <v>-310000</v>
      </c>
      <c r="AD769" s="254" t="e">
        <f aca="false">'Basis Options'!W772</f>
        <v>#NAME?</v>
      </c>
      <c r="AE769" s="0" t="n">
        <v>0</v>
      </c>
      <c r="AF769" s="0" t="n">
        <v>0</v>
      </c>
      <c r="AG769" s="0" t="n">
        <v>0</v>
      </c>
      <c r="AH769" s="254" t="e">
        <f aca="false">'Basis Options'!CD774</f>
        <v>#NAME?</v>
      </c>
      <c r="AI769" s="0" t="n">
        <v>226</v>
      </c>
      <c r="AJ769" s="0" t="s">
        <v>630</v>
      </c>
      <c r="AK769" s="0" t="n">
        <v>0</v>
      </c>
      <c r="AL769" s="0" t="n">
        <v>0</v>
      </c>
      <c r="AM769" s="0" t="n">
        <v>0</v>
      </c>
    </row>
    <row r="770" customFormat="false" ht="12.75" hidden="false" customHeight="false" outlineLevel="0" collapsed="false">
      <c r="A770" s="0" t="s">
        <v>621</v>
      </c>
      <c r="B770" s="0" t="str">
        <f aca="false">'Basis Options'!C773</f>
        <v>NW3289</v>
      </c>
      <c r="C770" s="0" t="s">
        <v>622</v>
      </c>
      <c r="D770" s="0" t="s">
        <v>623</v>
      </c>
      <c r="E770" s="0" t="s">
        <v>131</v>
      </c>
      <c r="F770" s="0" t="str">
        <f aca="false">'Basis Options'!A773</f>
        <v>CMSMARSERTRA</v>
      </c>
      <c r="G770" s="0" t="s">
        <v>628</v>
      </c>
      <c r="H770" s="0" t="s">
        <v>625</v>
      </c>
      <c r="I770" s="0" t="s">
        <v>626</v>
      </c>
      <c r="J770" s="0" t="s">
        <v>627</v>
      </c>
      <c r="K770" s="475" t="n">
        <f aca="false">'Basis Options'!G773</f>
        <v>36923</v>
      </c>
      <c r="L770" s="254" t="e">
        <f aca="false">'Basis Options'!U773</f>
        <v>#NAME?</v>
      </c>
      <c r="M770" s="475" t="n">
        <f aca="false">'Basis Options'!Q773</f>
        <v>36921</v>
      </c>
      <c r="N770" s="0" t="str">
        <f aca="false">'Basis Options'!F773</f>
        <v>C</v>
      </c>
      <c r="O770" s="0" t="n">
        <f aca="false">'Basis Options'!I773</f>
        <v>0.15</v>
      </c>
      <c r="P770" s="0" t="n">
        <v>0</v>
      </c>
      <c r="Q770" s="0" t="n">
        <v>0</v>
      </c>
      <c r="R770" s="0" t="n">
        <v>0</v>
      </c>
      <c r="S770" s="0" t="n">
        <v>0</v>
      </c>
      <c r="T770" s="0" t="s">
        <v>624</v>
      </c>
      <c r="U770" s="0" t="str">
        <f aca="false">IF('Basis Options'!D773="NGI/CHI. GATE","""NGI/CHI. GATE""",TRIM('Basis Options'!D773))</f>
        <v>"NGI/CHI. GATE"</v>
      </c>
      <c r="V770" s="0" t="s">
        <v>624</v>
      </c>
      <c r="W770" s="0" t="s">
        <v>569</v>
      </c>
      <c r="X770" s="0" t="s">
        <v>624</v>
      </c>
      <c r="Y770" s="0" t="s">
        <v>627</v>
      </c>
      <c r="Z770" s="0" t="s">
        <v>629</v>
      </c>
      <c r="AA770" s="0" t="s">
        <v>624</v>
      </c>
      <c r="AB770" s="0" t="s">
        <v>132</v>
      </c>
      <c r="AC770" s="254" t="n">
        <f aca="false">'Basis Options'!H773</f>
        <v>-280000</v>
      </c>
      <c r="AD770" s="254" t="e">
        <f aca="false">'Basis Options'!W773</f>
        <v>#NAME?</v>
      </c>
      <c r="AE770" s="0" t="n">
        <v>0</v>
      </c>
      <c r="AF770" s="0" t="n">
        <v>0</v>
      </c>
      <c r="AG770" s="0" t="n">
        <v>0</v>
      </c>
      <c r="AH770" s="254" t="e">
        <f aca="false">'Basis Options'!CD775</f>
        <v>#NAME?</v>
      </c>
      <c r="AI770" s="0" t="n">
        <v>226</v>
      </c>
      <c r="AJ770" s="0" t="s">
        <v>630</v>
      </c>
      <c r="AK770" s="0" t="n">
        <v>0</v>
      </c>
      <c r="AL770" s="0" t="n">
        <v>0</v>
      </c>
      <c r="AM770" s="0" t="n">
        <v>0</v>
      </c>
    </row>
    <row r="771" customFormat="false" ht="12.75" hidden="false" customHeight="false" outlineLevel="0" collapsed="false">
      <c r="A771" s="0" t="s">
        <v>621</v>
      </c>
      <c r="B771" s="0" t="str">
        <f aca="false">'Basis Options'!C774</f>
        <v>NW3289</v>
      </c>
      <c r="C771" s="0" t="s">
        <v>622</v>
      </c>
      <c r="D771" s="0" t="s">
        <v>623</v>
      </c>
      <c r="E771" s="0" t="s">
        <v>131</v>
      </c>
      <c r="F771" s="0" t="str">
        <f aca="false">'Basis Options'!A774</f>
        <v>CMSMARSERTRA</v>
      </c>
      <c r="G771" s="0" t="s">
        <v>628</v>
      </c>
      <c r="H771" s="0" t="s">
        <v>625</v>
      </c>
      <c r="I771" s="0" t="s">
        <v>626</v>
      </c>
      <c r="J771" s="0" t="s">
        <v>627</v>
      </c>
      <c r="K771" s="475" t="n">
        <f aca="false">'Basis Options'!G774</f>
        <v>36951</v>
      </c>
      <c r="L771" s="254" t="e">
        <f aca="false">'Basis Options'!U774</f>
        <v>#NAME?</v>
      </c>
      <c r="M771" s="475" t="n">
        <f aca="false">'Basis Options'!Q774</f>
        <v>36949</v>
      </c>
      <c r="N771" s="0" t="str">
        <f aca="false">'Basis Options'!F774</f>
        <v>C</v>
      </c>
      <c r="O771" s="0" t="n">
        <f aca="false">'Basis Options'!I774</f>
        <v>0.15</v>
      </c>
      <c r="P771" s="0" t="n">
        <v>0</v>
      </c>
      <c r="Q771" s="0" t="n">
        <v>0</v>
      </c>
      <c r="R771" s="0" t="n">
        <v>0</v>
      </c>
      <c r="S771" s="0" t="n">
        <v>0</v>
      </c>
      <c r="T771" s="0" t="s">
        <v>624</v>
      </c>
      <c r="U771" s="0" t="str">
        <f aca="false">IF('Basis Options'!D774="NGI/CHI. GATE","""NGI/CHI. GATE""",TRIM('Basis Options'!D774))</f>
        <v>"NGI/CHI. GATE"</v>
      </c>
      <c r="V771" s="0" t="s">
        <v>624</v>
      </c>
      <c r="W771" s="0" t="s">
        <v>569</v>
      </c>
      <c r="X771" s="0" t="s">
        <v>624</v>
      </c>
      <c r="Y771" s="0" t="s">
        <v>627</v>
      </c>
      <c r="Z771" s="0" t="s">
        <v>629</v>
      </c>
      <c r="AA771" s="0" t="s">
        <v>624</v>
      </c>
      <c r="AB771" s="0" t="s">
        <v>132</v>
      </c>
      <c r="AC771" s="254" t="n">
        <f aca="false">'Basis Options'!H774</f>
        <v>-310000</v>
      </c>
      <c r="AD771" s="254" t="e">
        <f aca="false">'Basis Options'!W774</f>
        <v>#NAME?</v>
      </c>
      <c r="AE771" s="0" t="n">
        <v>0</v>
      </c>
      <c r="AF771" s="0" t="n">
        <v>0</v>
      </c>
      <c r="AG771" s="0" t="n">
        <v>0</v>
      </c>
      <c r="AH771" s="254" t="e">
        <f aca="false">'Basis Options'!CD776</f>
        <v>#NAME?</v>
      </c>
      <c r="AI771" s="0" t="n">
        <v>226</v>
      </c>
      <c r="AJ771" s="0" t="s">
        <v>630</v>
      </c>
      <c r="AK771" s="0" t="n">
        <v>0</v>
      </c>
      <c r="AL771" s="0" t="n">
        <v>0</v>
      </c>
      <c r="AM771" s="0" t="n">
        <v>0</v>
      </c>
    </row>
    <row r="772" customFormat="false" ht="12.75" hidden="false" customHeight="false" outlineLevel="0" collapsed="false">
      <c r="A772" s="0" t="s">
        <v>621</v>
      </c>
      <c r="B772" s="0" t="str">
        <f aca="false">'Basis Options'!C775</f>
        <v>NW5608</v>
      </c>
      <c r="C772" s="0" t="s">
        <v>622</v>
      </c>
      <c r="D772" s="0" t="s">
        <v>623</v>
      </c>
      <c r="E772" s="0" t="s">
        <v>131</v>
      </c>
      <c r="F772" s="0" t="str">
        <f aca="false">'Basis Options'!A775</f>
        <v>WILLIAMSENEMAR</v>
      </c>
      <c r="G772" s="0" t="s">
        <v>628</v>
      </c>
      <c r="H772" s="0" t="s">
        <v>625</v>
      </c>
      <c r="I772" s="0" t="s">
        <v>626</v>
      </c>
      <c r="J772" s="0" t="s">
        <v>627</v>
      </c>
      <c r="K772" s="475" t="n">
        <f aca="false">'Basis Options'!G775</f>
        <v>36831</v>
      </c>
      <c r="L772" s="254" t="e">
        <f aca="false">'Basis Options'!U775</f>
        <v>#NAME?</v>
      </c>
      <c r="M772" s="475" t="n">
        <f aca="false">'Basis Options'!Q775</f>
        <v>36829</v>
      </c>
      <c r="N772" s="0" t="str">
        <f aca="false">'Basis Options'!F775</f>
        <v>C</v>
      </c>
      <c r="O772" s="0" t="n">
        <f aca="false">'Basis Options'!I775</f>
        <v>0.15</v>
      </c>
      <c r="P772" s="0" t="n">
        <v>0</v>
      </c>
      <c r="Q772" s="0" t="n">
        <v>0</v>
      </c>
      <c r="R772" s="0" t="n">
        <v>0</v>
      </c>
      <c r="S772" s="0" t="n">
        <v>0</v>
      </c>
      <c r="T772" s="0" t="s">
        <v>624</v>
      </c>
      <c r="U772" s="0" t="str">
        <f aca="false">IF('Basis Options'!D775="NGI/CHI. GATE","""NGI/CHI. GATE""",TRIM('Basis Options'!D775))</f>
        <v>"NGI/CHI. GATE"</v>
      </c>
      <c r="V772" s="0" t="s">
        <v>624</v>
      </c>
      <c r="W772" s="0" t="s">
        <v>569</v>
      </c>
      <c r="X772" s="0" t="s">
        <v>624</v>
      </c>
      <c r="Y772" s="0" t="s">
        <v>627</v>
      </c>
      <c r="Z772" s="0" t="s">
        <v>629</v>
      </c>
      <c r="AA772" s="0" t="s">
        <v>624</v>
      </c>
      <c r="AB772" s="0" t="s">
        <v>132</v>
      </c>
      <c r="AC772" s="254" t="n">
        <f aca="false">'Basis Options'!H775</f>
        <v>-300000</v>
      </c>
      <c r="AD772" s="254" t="e">
        <f aca="false">'Basis Options'!W775</f>
        <v>#NAME?</v>
      </c>
      <c r="AE772" s="0" t="n">
        <v>0</v>
      </c>
      <c r="AF772" s="0" t="n">
        <v>0</v>
      </c>
      <c r="AG772" s="0" t="n">
        <v>0</v>
      </c>
      <c r="AH772" s="254" t="e">
        <f aca="false">'Basis Options'!CD777</f>
        <v>#NAME?</v>
      </c>
      <c r="AI772" s="0" t="n">
        <v>226</v>
      </c>
      <c r="AJ772" s="0" t="s">
        <v>630</v>
      </c>
      <c r="AK772" s="0" t="n">
        <v>0</v>
      </c>
      <c r="AL772" s="0" t="n">
        <v>0</v>
      </c>
      <c r="AM772" s="0" t="n">
        <v>0</v>
      </c>
    </row>
    <row r="773" customFormat="false" ht="12.75" hidden="false" customHeight="false" outlineLevel="0" collapsed="false">
      <c r="A773" s="0" t="s">
        <v>621</v>
      </c>
      <c r="B773" s="0" t="str">
        <f aca="false">'Basis Options'!C776</f>
        <v>NW5608</v>
      </c>
      <c r="C773" s="0" t="s">
        <v>622</v>
      </c>
      <c r="D773" s="0" t="s">
        <v>623</v>
      </c>
      <c r="E773" s="0" t="s">
        <v>131</v>
      </c>
      <c r="F773" s="0" t="str">
        <f aca="false">'Basis Options'!A776</f>
        <v>WILLIAMSENEMAR</v>
      </c>
      <c r="G773" s="0" t="s">
        <v>628</v>
      </c>
      <c r="H773" s="0" t="s">
        <v>625</v>
      </c>
      <c r="I773" s="0" t="s">
        <v>626</v>
      </c>
      <c r="J773" s="0" t="s">
        <v>627</v>
      </c>
      <c r="K773" s="475" t="n">
        <f aca="false">'Basis Options'!G776</f>
        <v>36861</v>
      </c>
      <c r="L773" s="254" t="e">
        <f aca="false">'Basis Options'!U776</f>
        <v>#NAME?</v>
      </c>
      <c r="M773" s="475" t="n">
        <f aca="false">'Basis Options'!Q776</f>
        <v>36859</v>
      </c>
      <c r="N773" s="0" t="str">
        <f aca="false">'Basis Options'!F776</f>
        <v>C</v>
      </c>
      <c r="O773" s="0" t="n">
        <f aca="false">'Basis Options'!I776</f>
        <v>0.15</v>
      </c>
      <c r="P773" s="0" t="n">
        <v>0</v>
      </c>
      <c r="Q773" s="0" t="n">
        <v>0</v>
      </c>
      <c r="R773" s="0" t="n">
        <v>0</v>
      </c>
      <c r="S773" s="0" t="n">
        <v>0</v>
      </c>
      <c r="T773" s="0" t="s">
        <v>624</v>
      </c>
      <c r="U773" s="0" t="str">
        <f aca="false">IF('Basis Options'!D776="NGI/CHI. GATE","""NGI/CHI. GATE""",TRIM('Basis Options'!D776))</f>
        <v>"NGI/CHI. GATE"</v>
      </c>
      <c r="V773" s="0" t="s">
        <v>624</v>
      </c>
      <c r="W773" s="0" t="s">
        <v>569</v>
      </c>
      <c r="X773" s="0" t="s">
        <v>624</v>
      </c>
      <c r="Y773" s="0" t="s">
        <v>627</v>
      </c>
      <c r="Z773" s="0" t="s">
        <v>629</v>
      </c>
      <c r="AA773" s="0" t="s">
        <v>624</v>
      </c>
      <c r="AB773" s="0" t="s">
        <v>132</v>
      </c>
      <c r="AC773" s="254" t="n">
        <f aca="false">'Basis Options'!H776</f>
        <v>-310000</v>
      </c>
      <c r="AD773" s="254" t="e">
        <f aca="false">'Basis Options'!W776</f>
        <v>#NAME?</v>
      </c>
      <c r="AE773" s="0" t="n">
        <v>0</v>
      </c>
      <c r="AF773" s="0" t="n">
        <v>0</v>
      </c>
      <c r="AG773" s="0" t="n">
        <v>0</v>
      </c>
      <c r="AH773" s="254" t="e">
        <f aca="false">'Basis Options'!CD778</f>
        <v>#NAME?</v>
      </c>
      <c r="AI773" s="0" t="n">
        <v>226</v>
      </c>
      <c r="AJ773" s="0" t="s">
        <v>630</v>
      </c>
      <c r="AK773" s="0" t="n">
        <v>0</v>
      </c>
      <c r="AL773" s="0" t="n">
        <v>0</v>
      </c>
      <c r="AM773" s="0" t="n">
        <v>0</v>
      </c>
    </row>
    <row r="774" customFormat="false" ht="12.75" hidden="false" customHeight="false" outlineLevel="0" collapsed="false">
      <c r="A774" s="0" t="s">
        <v>621</v>
      </c>
      <c r="B774" s="0" t="str">
        <f aca="false">'Basis Options'!C777</f>
        <v>NW5608</v>
      </c>
      <c r="C774" s="0" t="s">
        <v>622</v>
      </c>
      <c r="D774" s="0" t="s">
        <v>623</v>
      </c>
      <c r="E774" s="0" t="s">
        <v>131</v>
      </c>
      <c r="F774" s="0" t="str">
        <f aca="false">'Basis Options'!A777</f>
        <v>WILLIAMSENEMAR</v>
      </c>
      <c r="G774" s="0" t="s">
        <v>628</v>
      </c>
      <c r="H774" s="0" t="s">
        <v>625</v>
      </c>
      <c r="I774" s="0" t="s">
        <v>626</v>
      </c>
      <c r="J774" s="0" t="s">
        <v>627</v>
      </c>
      <c r="K774" s="475" t="n">
        <f aca="false">'Basis Options'!G777</f>
        <v>36892</v>
      </c>
      <c r="L774" s="254" t="e">
        <f aca="false">'Basis Options'!U777</f>
        <v>#NAME?</v>
      </c>
      <c r="M774" s="475" t="n">
        <f aca="false">'Basis Options'!Q777</f>
        <v>36888</v>
      </c>
      <c r="N774" s="0" t="str">
        <f aca="false">'Basis Options'!F777</f>
        <v>C</v>
      </c>
      <c r="O774" s="0" t="n">
        <f aca="false">'Basis Options'!I777</f>
        <v>0.15</v>
      </c>
      <c r="P774" s="0" t="n">
        <v>0</v>
      </c>
      <c r="Q774" s="0" t="n">
        <v>0</v>
      </c>
      <c r="R774" s="0" t="n">
        <v>0</v>
      </c>
      <c r="S774" s="0" t="n">
        <v>0</v>
      </c>
      <c r="T774" s="0" t="s">
        <v>624</v>
      </c>
      <c r="U774" s="0" t="str">
        <f aca="false">IF('Basis Options'!D777="NGI/CHI. GATE","""NGI/CHI. GATE""",TRIM('Basis Options'!D777))</f>
        <v>"NGI/CHI. GATE"</v>
      </c>
      <c r="V774" s="0" t="s">
        <v>624</v>
      </c>
      <c r="W774" s="0" t="s">
        <v>569</v>
      </c>
      <c r="X774" s="0" t="s">
        <v>624</v>
      </c>
      <c r="Y774" s="0" t="s">
        <v>627</v>
      </c>
      <c r="Z774" s="0" t="s">
        <v>629</v>
      </c>
      <c r="AA774" s="0" t="s">
        <v>624</v>
      </c>
      <c r="AB774" s="0" t="s">
        <v>132</v>
      </c>
      <c r="AC774" s="254" t="n">
        <f aca="false">'Basis Options'!H777</f>
        <v>-310000</v>
      </c>
      <c r="AD774" s="254" t="e">
        <f aca="false">'Basis Options'!W777</f>
        <v>#NAME?</v>
      </c>
      <c r="AE774" s="0" t="n">
        <v>0</v>
      </c>
      <c r="AF774" s="0" t="n">
        <v>0</v>
      </c>
      <c r="AG774" s="0" t="n">
        <v>0</v>
      </c>
      <c r="AH774" s="254" t="e">
        <f aca="false">'Basis Options'!CD779</f>
        <v>#NAME?</v>
      </c>
      <c r="AI774" s="0" t="n">
        <v>226</v>
      </c>
      <c r="AJ774" s="0" t="s">
        <v>630</v>
      </c>
      <c r="AK774" s="0" t="n">
        <v>0</v>
      </c>
      <c r="AL774" s="0" t="n">
        <v>0</v>
      </c>
      <c r="AM774" s="0" t="n">
        <v>0</v>
      </c>
    </row>
    <row r="775" customFormat="false" ht="12.75" hidden="false" customHeight="false" outlineLevel="0" collapsed="false">
      <c r="A775" s="0" t="s">
        <v>621</v>
      </c>
      <c r="B775" s="0" t="str">
        <f aca="false">'Basis Options'!C778</f>
        <v>NW5608</v>
      </c>
      <c r="C775" s="0" t="s">
        <v>622</v>
      </c>
      <c r="D775" s="0" t="s">
        <v>623</v>
      </c>
      <c r="E775" s="0" t="s">
        <v>131</v>
      </c>
      <c r="F775" s="0" t="str">
        <f aca="false">'Basis Options'!A778</f>
        <v>WILLIAMSENEMAR</v>
      </c>
      <c r="G775" s="0" t="s">
        <v>628</v>
      </c>
      <c r="H775" s="0" t="s">
        <v>625</v>
      </c>
      <c r="I775" s="0" t="s">
        <v>626</v>
      </c>
      <c r="J775" s="0" t="s">
        <v>627</v>
      </c>
      <c r="K775" s="475" t="n">
        <f aca="false">'Basis Options'!G778</f>
        <v>36923</v>
      </c>
      <c r="L775" s="254" t="e">
        <f aca="false">'Basis Options'!U778</f>
        <v>#NAME?</v>
      </c>
      <c r="M775" s="475" t="n">
        <f aca="false">'Basis Options'!Q778</f>
        <v>36921</v>
      </c>
      <c r="N775" s="0" t="str">
        <f aca="false">'Basis Options'!F778</f>
        <v>C</v>
      </c>
      <c r="O775" s="0" t="n">
        <f aca="false">'Basis Options'!I778</f>
        <v>0.15</v>
      </c>
      <c r="P775" s="0" t="n">
        <v>0</v>
      </c>
      <c r="Q775" s="0" t="n">
        <v>0</v>
      </c>
      <c r="R775" s="0" t="n">
        <v>0</v>
      </c>
      <c r="S775" s="0" t="n">
        <v>0</v>
      </c>
      <c r="T775" s="0" t="s">
        <v>624</v>
      </c>
      <c r="U775" s="0" t="str">
        <f aca="false">IF('Basis Options'!D778="NGI/CHI. GATE","""NGI/CHI. GATE""",TRIM('Basis Options'!D778))</f>
        <v>"NGI/CHI. GATE"</v>
      </c>
      <c r="V775" s="0" t="s">
        <v>624</v>
      </c>
      <c r="W775" s="0" t="s">
        <v>569</v>
      </c>
      <c r="X775" s="0" t="s">
        <v>624</v>
      </c>
      <c r="Y775" s="0" t="s">
        <v>627</v>
      </c>
      <c r="Z775" s="0" t="s">
        <v>629</v>
      </c>
      <c r="AA775" s="0" t="s">
        <v>624</v>
      </c>
      <c r="AB775" s="0" t="s">
        <v>132</v>
      </c>
      <c r="AC775" s="254" t="n">
        <f aca="false">'Basis Options'!H778</f>
        <v>-280000</v>
      </c>
      <c r="AD775" s="254" t="e">
        <f aca="false">'Basis Options'!W778</f>
        <v>#NAME?</v>
      </c>
      <c r="AE775" s="0" t="n">
        <v>0</v>
      </c>
      <c r="AF775" s="0" t="n">
        <v>0</v>
      </c>
      <c r="AG775" s="0" t="n">
        <v>0</v>
      </c>
      <c r="AH775" s="254" t="e">
        <f aca="false">'Basis Options'!CD780</f>
        <v>#NAME?</v>
      </c>
      <c r="AI775" s="0" t="n">
        <v>226</v>
      </c>
      <c r="AJ775" s="0" t="s">
        <v>630</v>
      </c>
      <c r="AK775" s="0" t="n">
        <v>0</v>
      </c>
      <c r="AL775" s="0" t="n">
        <v>0</v>
      </c>
      <c r="AM775" s="0" t="n">
        <v>0</v>
      </c>
    </row>
    <row r="776" customFormat="false" ht="12.75" hidden="false" customHeight="false" outlineLevel="0" collapsed="false">
      <c r="A776" s="0" t="s">
        <v>621</v>
      </c>
      <c r="B776" s="0" t="str">
        <f aca="false">'Basis Options'!C779</f>
        <v>NW5608</v>
      </c>
      <c r="C776" s="0" t="s">
        <v>622</v>
      </c>
      <c r="D776" s="0" t="s">
        <v>623</v>
      </c>
      <c r="E776" s="0" t="s">
        <v>131</v>
      </c>
      <c r="F776" s="0" t="str">
        <f aca="false">'Basis Options'!A779</f>
        <v>WILLIAMSENEMAR</v>
      </c>
      <c r="G776" s="0" t="s">
        <v>628</v>
      </c>
      <c r="H776" s="0" t="s">
        <v>625</v>
      </c>
      <c r="I776" s="0" t="s">
        <v>626</v>
      </c>
      <c r="J776" s="0" t="s">
        <v>627</v>
      </c>
      <c r="K776" s="475" t="n">
        <f aca="false">'Basis Options'!G779</f>
        <v>36951</v>
      </c>
      <c r="L776" s="254" t="e">
        <f aca="false">'Basis Options'!U779</f>
        <v>#NAME?</v>
      </c>
      <c r="M776" s="475" t="n">
        <f aca="false">'Basis Options'!Q779</f>
        <v>36949</v>
      </c>
      <c r="N776" s="0" t="str">
        <f aca="false">'Basis Options'!F779</f>
        <v>C</v>
      </c>
      <c r="O776" s="0" t="n">
        <f aca="false">'Basis Options'!I779</f>
        <v>0.15</v>
      </c>
      <c r="P776" s="0" t="n">
        <v>0</v>
      </c>
      <c r="Q776" s="0" t="n">
        <v>0</v>
      </c>
      <c r="R776" s="0" t="n">
        <v>0</v>
      </c>
      <c r="S776" s="0" t="n">
        <v>0</v>
      </c>
      <c r="T776" s="0" t="s">
        <v>624</v>
      </c>
      <c r="U776" s="0" t="str">
        <f aca="false">IF('Basis Options'!D779="NGI/CHI. GATE","""NGI/CHI. GATE""",TRIM('Basis Options'!D779))</f>
        <v>"NGI/CHI. GATE"</v>
      </c>
      <c r="V776" s="0" t="s">
        <v>624</v>
      </c>
      <c r="W776" s="0" t="s">
        <v>569</v>
      </c>
      <c r="X776" s="0" t="s">
        <v>624</v>
      </c>
      <c r="Y776" s="0" t="s">
        <v>627</v>
      </c>
      <c r="Z776" s="0" t="s">
        <v>629</v>
      </c>
      <c r="AA776" s="0" t="s">
        <v>624</v>
      </c>
      <c r="AB776" s="0" t="s">
        <v>132</v>
      </c>
      <c r="AC776" s="254" t="n">
        <f aca="false">'Basis Options'!H779</f>
        <v>-310000</v>
      </c>
      <c r="AD776" s="254" t="e">
        <f aca="false">'Basis Options'!W779</f>
        <v>#NAME?</v>
      </c>
      <c r="AE776" s="0" t="n">
        <v>0</v>
      </c>
      <c r="AF776" s="0" t="n">
        <v>0</v>
      </c>
      <c r="AG776" s="0" t="n">
        <v>0</v>
      </c>
      <c r="AH776" s="254" t="e">
        <f aca="false">'Basis Options'!CD781</f>
        <v>#NAME?</v>
      </c>
      <c r="AI776" s="0" t="n">
        <v>226</v>
      </c>
      <c r="AJ776" s="0" t="s">
        <v>630</v>
      </c>
      <c r="AK776" s="0" t="n">
        <v>0</v>
      </c>
      <c r="AL776" s="0" t="n">
        <v>0</v>
      </c>
      <c r="AM776" s="0" t="n">
        <v>0</v>
      </c>
    </row>
    <row r="777" customFormat="false" ht="12.75" hidden="false" customHeight="false" outlineLevel="0" collapsed="false">
      <c r="A777" s="0" t="s">
        <v>621</v>
      </c>
      <c r="B777" s="0" t="str">
        <f aca="false">'Basis Options'!C780</f>
        <v>NW5620</v>
      </c>
      <c r="C777" s="0" t="s">
        <v>622</v>
      </c>
      <c r="D777" s="0" t="s">
        <v>623</v>
      </c>
      <c r="E777" s="0" t="s">
        <v>131</v>
      </c>
      <c r="F777" s="0" t="str">
        <f aca="false">'Basis Options'!A780</f>
        <v>KOCHENETRA</v>
      </c>
      <c r="G777" s="0" t="s">
        <v>628</v>
      </c>
      <c r="H777" s="0" t="s">
        <v>625</v>
      </c>
      <c r="I777" s="0" t="s">
        <v>626</v>
      </c>
      <c r="J777" s="0" t="s">
        <v>627</v>
      </c>
      <c r="K777" s="475" t="n">
        <f aca="false">'Basis Options'!G780</f>
        <v>36831</v>
      </c>
      <c r="L777" s="254" t="e">
        <f aca="false">'Basis Options'!U780</f>
        <v>#NAME?</v>
      </c>
      <c r="M777" s="475" t="n">
        <f aca="false">'Basis Options'!Q780</f>
        <v>36829</v>
      </c>
      <c r="N777" s="0" t="str">
        <f aca="false">'Basis Options'!F780</f>
        <v>C</v>
      </c>
      <c r="O777" s="0" t="n">
        <f aca="false">'Basis Options'!I780</f>
        <v>0.15</v>
      </c>
      <c r="P777" s="0" t="n">
        <v>0</v>
      </c>
      <c r="Q777" s="0" t="n">
        <v>0</v>
      </c>
      <c r="R777" s="0" t="n">
        <v>0</v>
      </c>
      <c r="S777" s="0" t="n">
        <v>0</v>
      </c>
      <c r="T777" s="0" t="s">
        <v>624</v>
      </c>
      <c r="U777" s="0" t="str">
        <f aca="false">IF('Basis Options'!D780="NGI/CHI. GATE","""NGI/CHI. GATE""",TRIM('Basis Options'!D780))</f>
        <v>"NGI/CHI. GATE"</v>
      </c>
      <c r="V777" s="0" t="s">
        <v>624</v>
      </c>
      <c r="W777" s="0" t="s">
        <v>569</v>
      </c>
      <c r="X777" s="0" t="s">
        <v>624</v>
      </c>
      <c r="Y777" s="0" t="s">
        <v>627</v>
      </c>
      <c r="Z777" s="0" t="s">
        <v>629</v>
      </c>
      <c r="AA777" s="0" t="s">
        <v>624</v>
      </c>
      <c r="AB777" s="0" t="s">
        <v>132</v>
      </c>
      <c r="AC777" s="254" t="n">
        <f aca="false">'Basis Options'!H780</f>
        <v>-300000</v>
      </c>
      <c r="AD777" s="254" t="e">
        <f aca="false">'Basis Options'!W780</f>
        <v>#NAME?</v>
      </c>
      <c r="AE777" s="0" t="n">
        <v>0</v>
      </c>
      <c r="AF777" s="0" t="n">
        <v>0</v>
      </c>
      <c r="AG777" s="0" t="n">
        <v>0</v>
      </c>
      <c r="AH777" s="254" t="e">
        <f aca="false">'Basis Options'!CD782</f>
        <v>#NAME?</v>
      </c>
      <c r="AI777" s="0" t="n">
        <v>226</v>
      </c>
      <c r="AJ777" s="0" t="s">
        <v>630</v>
      </c>
      <c r="AK777" s="0" t="n">
        <v>0</v>
      </c>
      <c r="AL777" s="0" t="n">
        <v>0</v>
      </c>
      <c r="AM777" s="0" t="n">
        <v>0</v>
      </c>
    </row>
    <row r="778" customFormat="false" ht="12.75" hidden="false" customHeight="false" outlineLevel="0" collapsed="false">
      <c r="A778" s="0" t="s">
        <v>621</v>
      </c>
      <c r="B778" s="0" t="str">
        <f aca="false">'Basis Options'!C781</f>
        <v>NW5620</v>
      </c>
      <c r="C778" s="0" t="s">
        <v>622</v>
      </c>
      <c r="D778" s="0" t="s">
        <v>623</v>
      </c>
      <c r="E778" s="0" t="s">
        <v>131</v>
      </c>
      <c r="F778" s="0" t="str">
        <f aca="false">'Basis Options'!A781</f>
        <v>KOCHENETRA</v>
      </c>
      <c r="G778" s="0" t="s">
        <v>628</v>
      </c>
      <c r="H778" s="0" t="s">
        <v>625</v>
      </c>
      <c r="I778" s="0" t="s">
        <v>626</v>
      </c>
      <c r="J778" s="0" t="s">
        <v>627</v>
      </c>
      <c r="K778" s="475" t="n">
        <f aca="false">'Basis Options'!G781</f>
        <v>36861</v>
      </c>
      <c r="L778" s="254" t="e">
        <f aca="false">'Basis Options'!U781</f>
        <v>#NAME?</v>
      </c>
      <c r="M778" s="475" t="n">
        <f aca="false">'Basis Options'!Q781</f>
        <v>36859</v>
      </c>
      <c r="N778" s="0" t="str">
        <f aca="false">'Basis Options'!F781</f>
        <v>C</v>
      </c>
      <c r="O778" s="0" t="n">
        <f aca="false">'Basis Options'!I781</f>
        <v>0.15</v>
      </c>
      <c r="P778" s="0" t="n">
        <v>0</v>
      </c>
      <c r="Q778" s="0" t="n">
        <v>0</v>
      </c>
      <c r="R778" s="0" t="n">
        <v>0</v>
      </c>
      <c r="S778" s="0" t="n">
        <v>0</v>
      </c>
      <c r="T778" s="0" t="s">
        <v>624</v>
      </c>
      <c r="U778" s="0" t="str">
        <f aca="false">IF('Basis Options'!D781="NGI/CHI. GATE","""NGI/CHI. GATE""",TRIM('Basis Options'!D781))</f>
        <v>"NGI/CHI. GATE"</v>
      </c>
      <c r="V778" s="0" t="s">
        <v>624</v>
      </c>
      <c r="W778" s="0" t="s">
        <v>569</v>
      </c>
      <c r="X778" s="0" t="s">
        <v>624</v>
      </c>
      <c r="Y778" s="0" t="s">
        <v>627</v>
      </c>
      <c r="Z778" s="0" t="s">
        <v>629</v>
      </c>
      <c r="AA778" s="0" t="s">
        <v>624</v>
      </c>
      <c r="AB778" s="0" t="s">
        <v>132</v>
      </c>
      <c r="AC778" s="254" t="n">
        <f aca="false">'Basis Options'!H781</f>
        <v>-310000</v>
      </c>
      <c r="AD778" s="254" t="e">
        <f aca="false">'Basis Options'!W781</f>
        <v>#NAME?</v>
      </c>
      <c r="AE778" s="0" t="n">
        <v>0</v>
      </c>
      <c r="AF778" s="0" t="n">
        <v>0</v>
      </c>
      <c r="AG778" s="0" t="n">
        <v>0</v>
      </c>
      <c r="AH778" s="254" t="e">
        <f aca="false">'Basis Options'!CD783</f>
        <v>#NAME?</v>
      </c>
      <c r="AI778" s="0" t="n">
        <v>226</v>
      </c>
      <c r="AJ778" s="0" t="s">
        <v>630</v>
      </c>
      <c r="AK778" s="0" t="n">
        <v>0</v>
      </c>
      <c r="AL778" s="0" t="n">
        <v>0</v>
      </c>
      <c r="AM778" s="0" t="n">
        <v>0</v>
      </c>
    </row>
    <row r="779" customFormat="false" ht="12.75" hidden="false" customHeight="false" outlineLevel="0" collapsed="false">
      <c r="A779" s="0" t="s">
        <v>621</v>
      </c>
      <c r="B779" s="0" t="str">
        <f aca="false">'Basis Options'!C782</f>
        <v>NW5620</v>
      </c>
      <c r="C779" s="0" t="s">
        <v>622</v>
      </c>
      <c r="D779" s="0" t="s">
        <v>623</v>
      </c>
      <c r="E779" s="0" t="s">
        <v>131</v>
      </c>
      <c r="F779" s="0" t="str">
        <f aca="false">'Basis Options'!A782</f>
        <v>KOCHENETRA</v>
      </c>
      <c r="G779" s="0" t="s">
        <v>628</v>
      </c>
      <c r="H779" s="0" t="s">
        <v>625</v>
      </c>
      <c r="I779" s="0" t="s">
        <v>626</v>
      </c>
      <c r="J779" s="0" t="s">
        <v>627</v>
      </c>
      <c r="K779" s="475" t="n">
        <f aca="false">'Basis Options'!G782</f>
        <v>36892</v>
      </c>
      <c r="L779" s="254" t="e">
        <f aca="false">'Basis Options'!U782</f>
        <v>#NAME?</v>
      </c>
      <c r="M779" s="475" t="n">
        <f aca="false">'Basis Options'!Q782</f>
        <v>36888</v>
      </c>
      <c r="N779" s="0" t="str">
        <f aca="false">'Basis Options'!F782</f>
        <v>C</v>
      </c>
      <c r="O779" s="0" t="n">
        <f aca="false">'Basis Options'!I782</f>
        <v>0.15</v>
      </c>
      <c r="P779" s="0" t="n">
        <v>0</v>
      </c>
      <c r="Q779" s="0" t="n">
        <v>0</v>
      </c>
      <c r="R779" s="0" t="n">
        <v>0</v>
      </c>
      <c r="S779" s="0" t="n">
        <v>0</v>
      </c>
      <c r="T779" s="0" t="s">
        <v>624</v>
      </c>
      <c r="U779" s="0" t="str">
        <f aca="false">IF('Basis Options'!D782="NGI/CHI. GATE","""NGI/CHI. GATE""",TRIM('Basis Options'!D782))</f>
        <v>"NGI/CHI. GATE"</v>
      </c>
      <c r="V779" s="0" t="s">
        <v>624</v>
      </c>
      <c r="W779" s="0" t="s">
        <v>569</v>
      </c>
      <c r="X779" s="0" t="s">
        <v>624</v>
      </c>
      <c r="Y779" s="0" t="s">
        <v>627</v>
      </c>
      <c r="Z779" s="0" t="s">
        <v>629</v>
      </c>
      <c r="AA779" s="0" t="s">
        <v>624</v>
      </c>
      <c r="AB779" s="0" t="s">
        <v>132</v>
      </c>
      <c r="AC779" s="254" t="n">
        <f aca="false">'Basis Options'!H782</f>
        <v>-310000</v>
      </c>
      <c r="AD779" s="254" t="e">
        <f aca="false">'Basis Options'!W782</f>
        <v>#NAME?</v>
      </c>
      <c r="AE779" s="0" t="n">
        <v>0</v>
      </c>
      <c r="AF779" s="0" t="n">
        <v>0</v>
      </c>
      <c r="AG779" s="0" t="n">
        <v>0</v>
      </c>
      <c r="AH779" s="254" t="e">
        <f aca="false">'Basis Options'!CD784</f>
        <v>#NAME?</v>
      </c>
      <c r="AI779" s="0" t="n">
        <v>226</v>
      </c>
      <c r="AJ779" s="0" t="s">
        <v>630</v>
      </c>
      <c r="AK779" s="0" t="n">
        <v>0</v>
      </c>
      <c r="AL779" s="0" t="n">
        <v>0</v>
      </c>
      <c r="AM779" s="0" t="n">
        <v>0</v>
      </c>
    </row>
    <row r="780" customFormat="false" ht="12.75" hidden="false" customHeight="false" outlineLevel="0" collapsed="false">
      <c r="A780" s="0" t="s">
        <v>621</v>
      </c>
      <c r="B780" s="0" t="str">
        <f aca="false">'Basis Options'!C783</f>
        <v>NW5620</v>
      </c>
      <c r="C780" s="0" t="s">
        <v>622</v>
      </c>
      <c r="D780" s="0" t="s">
        <v>623</v>
      </c>
      <c r="E780" s="0" t="s">
        <v>131</v>
      </c>
      <c r="F780" s="0" t="str">
        <f aca="false">'Basis Options'!A783</f>
        <v>KOCHENETRA</v>
      </c>
      <c r="G780" s="0" t="s">
        <v>628</v>
      </c>
      <c r="H780" s="0" t="s">
        <v>625</v>
      </c>
      <c r="I780" s="0" t="s">
        <v>626</v>
      </c>
      <c r="J780" s="0" t="s">
        <v>627</v>
      </c>
      <c r="K780" s="475" t="n">
        <f aca="false">'Basis Options'!G783</f>
        <v>36923</v>
      </c>
      <c r="L780" s="254" t="e">
        <f aca="false">'Basis Options'!U783</f>
        <v>#NAME?</v>
      </c>
      <c r="M780" s="475" t="n">
        <f aca="false">'Basis Options'!Q783</f>
        <v>36921</v>
      </c>
      <c r="N780" s="0" t="str">
        <f aca="false">'Basis Options'!F783</f>
        <v>C</v>
      </c>
      <c r="O780" s="0" t="n">
        <f aca="false">'Basis Options'!I783</f>
        <v>0.15</v>
      </c>
      <c r="P780" s="0" t="n">
        <v>0</v>
      </c>
      <c r="Q780" s="0" t="n">
        <v>0</v>
      </c>
      <c r="R780" s="0" t="n">
        <v>0</v>
      </c>
      <c r="S780" s="0" t="n">
        <v>0</v>
      </c>
      <c r="T780" s="0" t="s">
        <v>624</v>
      </c>
      <c r="U780" s="0" t="str">
        <f aca="false">IF('Basis Options'!D783="NGI/CHI. GATE","""NGI/CHI. GATE""",TRIM('Basis Options'!D783))</f>
        <v>"NGI/CHI. GATE"</v>
      </c>
      <c r="V780" s="0" t="s">
        <v>624</v>
      </c>
      <c r="W780" s="0" t="s">
        <v>569</v>
      </c>
      <c r="X780" s="0" t="s">
        <v>624</v>
      </c>
      <c r="Y780" s="0" t="s">
        <v>627</v>
      </c>
      <c r="Z780" s="0" t="s">
        <v>629</v>
      </c>
      <c r="AA780" s="0" t="s">
        <v>624</v>
      </c>
      <c r="AB780" s="0" t="s">
        <v>132</v>
      </c>
      <c r="AC780" s="254" t="n">
        <f aca="false">'Basis Options'!H783</f>
        <v>-280000</v>
      </c>
      <c r="AD780" s="254" t="e">
        <f aca="false">'Basis Options'!W783</f>
        <v>#NAME?</v>
      </c>
      <c r="AE780" s="0" t="n">
        <v>0</v>
      </c>
      <c r="AF780" s="0" t="n">
        <v>0</v>
      </c>
      <c r="AG780" s="0" t="n">
        <v>0</v>
      </c>
      <c r="AH780" s="254" t="e">
        <f aca="false">'Basis Options'!CD785</f>
        <v>#NAME?</v>
      </c>
      <c r="AI780" s="0" t="n">
        <v>226</v>
      </c>
      <c r="AJ780" s="0" t="s">
        <v>630</v>
      </c>
      <c r="AK780" s="0" t="n">
        <v>0</v>
      </c>
      <c r="AL780" s="0" t="n">
        <v>0</v>
      </c>
      <c r="AM780" s="0" t="n">
        <v>0</v>
      </c>
    </row>
    <row r="781" customFormat="false" ht="12.75" hidden="false" customHeight="false" outlineLevel="0" collapsed="false">
      <c r="A781" s="0" t="s">
        <v>621</v>
      </c>
      <c r="B781" s="0" t="str">
        <f aca="false">'Basis Options'!C784</f>
        <v>NW5620</v>
      </c>
      <c r="C781" s="0" t="s">
        <v>622</v>
      </c>
      <c r="D781" s="0" t="s">
        <v>623</v>
      </c>
      <c r="E781" s="0" t="s">
        <v>131</v>
      </c>
      <c r="F781" s="0" t="str">
        <f aca="false">'Basis Options'!A784</f>
        <v>KOCHENETRA</v>
      </c>
      <c r="G781" s="0" t="s">
        <v>628</v>
      </c>
      <c r="H781" s="0" t="s">
        <v>625</v>
      </c>
      <c r="I781" s="0" t="s">
        <v>626</v>
      </c>
      <c r="J781" s="0" t="s">
        <v>627</v>
      </c>
      <c r="K781" s="475" t="n">
        <f aca="false">'Basis Options'!G784</f>
        <v>36951</v>
      </c>
      <c r="L781" s="254" t="e">
        <f aca="false">'Basis Options'!U784</f>
        <v>#NAME?</v>
      </c>
      <c r="M781" s="475" t="n">
        <f aca="false">'Basis Options'!Q784</f>
        <v>36949</v>
      </c>
      <c r="N781" s="0" t="str">
        <f aca="false">'Basis Options'!F784</f>
        <v>C</v>
      </c>
      <c r="O781" s="0" t="n">
        <f aca="false">'Basis Options'!I784</f>
        <v>0.15</v>
      </c>
      <c r="P781" s="0" t="n">
        <v>0</v>
      </c>
      <c r="Q781" s="0" t="n">
        <v>0</v>
      </c>
      <c r="R781" s="0" t="n">
        <v>0</v>
      </c>
      <c r="S781" s="0" t="n">
        <v>0</v>
      </c>
      <c r="T781" s="0" t="s">
        <v>624</v>
      </c>
      <c r="U781" s="0" t="str">
        <f aca="false">IF('Basis Options'!D784="NGI/CHI. GATE","""NGI/CHI. GATE""",TRIM('Basis Options'!D784))</f>
        <v>"NGI/CHI. GATE"</v>
      </c>
      <c r="V781" s="0" t="s">
        <v>624</v>
      </c>
      <c r="W781" s="0" t="s">
        <v>569</v>
      </c>
      <c r="X781" s="0" t="s">
        <v>624</v>
      </c>
      <c r="Y781" s="0" t="s">
        <v>627</v>
      </c>
      <c r="Z781" s="0" t="s">
        <v>629</v>
      </c>
      <c r="AA781" s="0" t="s">
        <v>624</v>
      </c>
      <c r="AB781" s="0" t="s">
        <v>132</v>
      </c>
      <c r="AC781" s="254" t="n">
        <f aca="false">'Basis Options'!H784</f>
        <v>-310000</v>
      </c>
      <c r="AD781" s="254" t="e">
        <f aca="false">'Basis Options'!W784</f>
        <v>#NAME?</v>
      </c>
      <c r="AE781" s="0" t="n">
        <v>0</v>
      </c>
      <c r="AF781" s="0" t="n">
        <v>0</v>
      </c>
      <c r="AG781" s="0" t="n">
        <v>0</v>
      </c>
      <c r="AH781" s="254" t="e">
        <f aca="false">'Basis Options'!CD786</f>
        <v>#NAME?</v>
      </c>
      <c r="AI781" s="0" t="n">
        <v>226</v>
      </c>
      <c r="AJ781" s="0" t="s">
        <v>630</v>
      </c>
      <c r="AK781" s="0" t="n">
        <v>0</v>
      </c>
      <c r="AL781" s="0" t="n">
        <v>0</v>
      </c>
      <c r="AM781" s="0" t="n">
        <v>0</v>
      </c>
    </row>
    <row r="782" customFormat="false" ht="12.75" hidden="false" customHeight="false" outlineLevel="0" collapsed="false">
      <c r="A782" s="0" t="s">
        <v>621</v>
      </c>
      <c r="B782" s="0" t="str">
        <f aca="false">'Basis Options'!C785</f>
        <v>NW5627.1</v>
      </c>
      <c r="C782" s="0" t="s">
        <v>622</v>
      </c>
      <c r="D782" s="0" t="s">
        <v>623</v>
      </c>
      <c r="E782" s="0" t="s">
        <v>131</v>
      </c>
      <c r="F782" s="0" t="str">
        <f aca="false">'Basis Options'!A785</f>
        <v>ELPASMER</v>
      </c>
      <c r="G782" s="0" t="s">
        <v>628</v>
      </c>
      <c r="H782" s="0" t="s">
        <v>625</v>
      </c>
      <c r="I782" s="0" t="s">
        <v>626</v>
      </c>
      <c r="J782" s="0" t="s">
        <v>627</v>
      </c>
      <c r="K782" s="475" t="n">
        <f aca="false">'Basis Options'!G785</f>
        <v>36831</v>
      </c>
      <c r="L782" s="254" t="e">
        <f aca="false">'Basis Options'!U785</f>
        <v>#NAME?</v>
      </c>
      <c r="M782" s="475" t="n">
        <f aca="false">'Basis Options'!Q785</f>
        <v>36829</v>
      </c>
      <c r="N782" s="0" t="str">
        <f aca="false">'Basis Options'!F785</f>
        <v>C</v>
      </c>
      <c r="O782" s="0" t="n">
        <f aca="false">'Basis Options'!I785</f>
        <v>1</v>
      </c>
      <c r="P782" s="0" t="n">
        <v>0</v>
      </c>
      <c r="Q782" s="0" t="n">
        <v>0</v>
      </c>
      <c r="R782" s="0" t="n">
        <v>0</v>
      </c>
      <c r="S782" s="0" t="n">
        <v>0</v>
      </c>
      <c r="T782" s="0" t="s">
        <v>624</v>
      </c>
      <c r="U782" s="0" t="str">
        <f aca="false">IF('Basis Options'!D785="NGI/CHI. GATE","""NGI/CHI. GATE""",TRIM('Basis Options'!D785))</f>
        <v>NGI-SOCAL</v>
      </c>
      <c r="V782" s="0" t="s">
        <v>624</v>
      </c>
      <c r="W782" s="0" t="s">
        <v>569</v>
      </c>
      <c r="X782" s="0" t="s">
        <v>624</v>
      </c>
      <c r="Y782" s="0" t="s">
        <v>627</v>
      </c>
      <c r="Z782" s="0" t="s">
        <v>629</v>
      </c>
      <c r="AA782" s="0" t="s">
        <v>624</v>
      </c>
      <c r="AB782" s="0" t="s">
        <v>132</v>
      </c>
      <c r="AC782" s="254" t="n">
        <f aca="false">'Basis Options'!H785</f>
        <v>-1000000</v>
      </c>
      <c r="AD782" s="254" t="e">
        <f aca="false">'Basis Options'!W785</f>
        <v>#NAME?</v>
      </c>
      <c r="AE782" s="0" t="n">
        <v>0</v>
      </c>
      <c r="AF782" s="0" t="n">
        <v>0</v>
      </c>
      <c r="AG782" s="0" t="n">
        <v>0</v>
      </c>
      <c r="AH782" s="254" t="e">
        <f aca="false">'Basis Options'!CD787</f>
        <v>#NAME?</v>
      </c>
      <c r="AI782" s="0" t="n">
        <v>226</v>
      </c>
      <c r="AJ782" s="0" t="s">
        <v>630</v>
      </c>
      <c r="AK782" s="0" t="n">
        <v>0</v>
      </c>
      <c r="AL782" s="0" t="n">
        <v>0</v>
      </c>
      <c r="AM782" s="0" t="n">
        <v>0</v>
      </c>
    </row>
    <row r="783" customFormat="false" ht="12.75" hidden="false" customHeight="false" outlineLevel="0" collapsed="false">
      <c r="A783" s="0" t="s">
        <v>621</v>
      </c>
      <c r="B783" s="0" t="str">
        <f aca="false">'Basis Options'!C786</f>
        <v>NW5627.1</v>
      </c>
      <c r="C783" s="0" t="s">
        <v>622</v>
      </c>
      <c r="D783" s="0" t="s">
        <v>623</v>
      </c>
      <c r="E783" s="0" t="s">
        <v>131</v>
      </c>
      <c r="F783" s="0" t="str">
        <f aca="false">'Basis Options'!A786</f>
        <v>ELPASMER</v>
      </c>
      <c r="G783" s="0" t="s">
        <v>628</v>
      </c>
      <c r="H783" s="0" t="s">
        <v>625</v>
      </c>
      <c r="I783" s="0" t="s">
        <v>626</v>
      </c>
      <c r="J783" s="0" t="s">
        <v>627</v>
      </c>
      <c r="K783" s="475" t="n">
        <f aca="false">'Basis Options'!G786</f>
        <v>36861</v>
      </c>
      <c r="L783" s="254" t="e">
        <f aca="false">'Basis Options'!U786</f>
        <v>#NAME?</v>
      </c>
      <c r="M783" s="475" t="n">
        <f aca="false">'Basis Options'!Q786</f>
        <v>36859</v>
      </c>
      <c r="N783" s="0" t="str">
        <f aca="false">'Basis Options'!F786</f>
        <v>C</v>
      </c>
      <c r="O783" s="0" t="n">
        <f aca="false">'Basis Options'!I786</f>
        <v>1</v>
      </c>
      <c r="P783" s="0" t="n">
        <v>0</v>
      </c>
      <c r="Q783" s="0" t="n">
        <v>0</v>
      </c>
      <c r="R783" s="0" t="n">
        <v>0</v>
      </c>
      <c r="S783" s="0" t="n">
        <v>0</v>
      </c>
      <c r="T783" s="0" t="s">
        <v>624</v>
      </c>
      <c r="U783" s="0" t="str">
        <f aca="false">IF('Basis Options'!D786="NGI/CHI. GATE","""NGI/CHI. GATE""",TRIM('Basis Options'!D786))</f>
        <v>NGI-SOCAL</v>
      </c>
      <c r="V783" s="0" t="s">
        <v>624</v>
      </c>
      <c r="W783" s="0" t="s">
        <v>569</v>
      </c>
      <c r="X783" s="0" t="s">
        <v>624</v>
      </c>
      <c r="Y783" s="0" t="s">
        <v>627</v>
      </c>
      <c r="Z783" s="0" t="s">
        <v>629</v>
      </c>
      <c r="AA783" s="0" t="s">
        <v>624</v>
      </c>
      <c r="AB783" s="0" t="s">
        <v>132</v>
      </c>
      <c r="AC783" s="254" t="n">
        <f aca="false">'Basis Options'!H786</f>
        <v>-1000000</v>
      </c>
      <c r="AD783" s="254" t="e">
        <f aca="false">'Basis Options'!W786</f>
        <v>#NAME?</v>
      </c>
      <c r="AE783" s="0" t="n">
        <v>0</v>
      </c>
      <c r="AF783" s="0" t="n">
        <v>0</v>
      </c>
      <c r="AG783" s="0" t="n">
        <v>0</v>
      </c>
      <c r="AH783" s="254" t="e">
        <f aca="false">'Basis Options'!CD788</f>
        <v>#NAME?</v>
      </c>
      <c r="AI783" s="0" t="n">
        <v>226</v>
      </c>
      <c r="AJ783" s="0" t="s">
        <v>630</v>
      </c>
      <c r="AK783" s="0" t="n">
        <v>0</v>
      </c>
      <c r="AL783" s="0" t="n">
        <v>0</v>
      </c>
      <c r="AM783" s="0" t="n">
        <v>0</v>
      </c>
    </row>
    <row r="784" customFormat="false" ht="12.75" hidden="false" customHeight="false" outlineLevel="0" collapsed="false">
      <c r="A784" s="0" t="s">
        <v>621</v>
      </c>
      <c r="B784" s="0" t="str">
        <f aca="false">'Basis Options'!C787</f>
        <v>NW5627.1</v>
      </c>
      <c r="C784" s="0" t="s">
        <v>622</v>
      </c>
      <c r="D784" s="0" t="s">
        <v>623</v>
      </c>
      <c r="E784" s="0" t="s">
        <v>131</v>
      </c>
      <c r="F784" s="0" t="str">
        <f aca="false">'Basis Options'!A787</f>
        <v>ELPASMER</v>
      </c>
      <c r="G784" s="0" t="s">
        <v>628</v>
      </c>
      <c r="H784" s="0" t="s">
        <v>625</v>
      </c>
      <c r="I784" s="0" t="s">
        <v>626</v>
      </c>
      <c r="J784" s="0" t="s">
        <v>627</v>
      </c>
      <c r="K784" s="475" t="n">
        <f aca="false">'Basis Options'!G787</f>
        <v>36892</v>
      </c>
      <c r="L784" s="254" t="e">
        <f aca="false">'Basis Options'!U787</f>
        <v>#NAME?</v>
      </c>
      <c r="M784" s="475" t="n">
        <f aca="false">'Basis Options'!Q787</f>
        <v>36888</v>
      </c>
      <c r="N784" s="0" t="str">
        <f aca="false">'Basis Options'!F787</f>
        <v>C</v>
      </c>
      <c r="O784" s="0" t="n">
        <f aca="false">'Basis Options'!I787</f>
        <v>1</v>
      </c>
      <c r="P784" s="0" t="n">
        <v>0</v>
      </c>
      <c r="Q784" s="0" t="n">
        <v>0</v>
      </c>
      <c r="R784" s="0" t="n">
        <v>0</v>
      </c>
      <c r="S784" s="0" t="n">
        <v>0</v>
      </c>
      <c r="T784" s="0" t="s">
        <v>624</v>
      </c>
      <c r="U784" s="0" t="str">
        <f aca="false">IF('Basis Options'!D787="NGI/CHI. GATE","""NGI/CHI. GATE""",TRIM('Basis Options'!D787))</f>
        <v>NGI-SOCAL</v>
      </c>
      <c r="V784" s="0" t="s">
        <v>624</v>
      </c>
      <c r="W784" s="0" t="s">
        <v>569</v>
      </c>
      <c r="X784" s="0" t="s">
        <v>624</v>
      </c>
      <c r="Y784" s="0" t="s">
        <v>627</v>
      </c>
      <c r="Z784" s="0" t="s">
        <v>629</v>
      </c>
      <c r="AA784" s="0" t="s">
        <v>624</v>
      </c>
      <c r="AB784" s="0" t="s">
        <v>132</v>
      </c>
      <c r="AC784" s="254" t="n">
        <f aca="false">'Basis Options'!H787</f>
        <v>-1000000</v>
      </c>
      <c r="AD784" s="254" t="e">
        <f aca="false">'Basis Options'!W787</f>
        <v>#NAME?</v>
      </c>
      <c r="AE784" s="0" t="n">
        <v>0</v>
      </c>
      <c r="AF784" s="0" t="n">
        <v>0</v>
      </c>
      <c r="AG784" s="0" t="n">
        <v>0</v>
      </c>
      <c r="AH784" s="254" t="e">
        <f aca="false">'Basis Options'!CD789</f>
        <v>#NAME?</v>
      </c>
      <c r="AI784" s="0" t="n">
        <v>226</v>
      </c>
      <c r="AJ784" s="0" t="s">
        <v>630</v>
      </c>
      <c r="AK784" s="0" t="n">
        <v>0</v>
      </c>
      <c r="AL784" s="0" t="n">
        <v>0</v>
      </c>
      <c r="AM784" s="0" t="n">
        <v>0</v>
      </c>
    </row>
    <row r="785" customFormat="false" ht="12.75" hidden="false" customHeight="false" outlineLevel="0" collapsed="false">
      <c r="A785" s="0" t="s">
        <v>621</v>
      </c>
      <c r="B785" s="0" t="str">
        <f aca="false">'Basis Options'!C788</f>
        <v>NW5627.1</v>
      </c>
      <c r="C785" s="0" t="s">
        <v>622</v>
      </c>
      <c r="D785" s="0" t="s">
        <v>623</v>
      </c>
      <c r="E785" s="0" t="s">
        <v>131</v>
      </c>
      <c r="F785" s="0" t="str">
        <f aca="false">'Basis Options'!A788</f>
        <v>ELPASMER</v>
      </c>
      <c r="G785" s="0" t="s">
        <v>628</v>
      </c>
      <c r="H785" s="0" t="s">
        <v>625</v>
      </c>
      <c r="I785" s="0" t="s">
        <v>626</v>
      </c>
      <c r="J785" s="0" t="s">
        <v>627</v>
      </c>
      <c r="K785" s="475" t="n">
        <f aca="false">'Basis Options'!G788</f>
        <v>36923</v>
      </c>
      <c r="L785" s="254" t="e">
        <f aca="false">'Basis Options'!U788</f>
        <v>#NAME?</v>
      </c>
      <c r="M785" s="475" t="n">
        <f aca="false">'Basis Options'!Q788</f>
        <v>36921</v>
      </c>
      <c r="N785" s="0" t="str">
        <f aca="false">'Basis Options'!F788</f>
        <v>C</v>
      </c>
      <c r="O785" s="0" t="n">
        <f aca="false">'Basis Options'!I788</f>
        <v>1</v>
      </c>
      <c r="P785" s="0" t="n">
        <v>0</v>
      </c>
      <c r="Q785" s="0" t="n">
        <v>0</v>
      </c>
      <c r="R785" s="0" t="n">
        <v>0</v>
      </c>
      <c r="S785" s="0" t="n">
        <v>0</v>
      </c>
      <c r="T785" s="0" t="s">
        <v>624</v>
      </c>
      <c r="U785" s="0" t="str">
        <f aca="false">IF('Basis Options'!D788="NGI/CHI. GATE","""NGI/CHI. GATE""",TRIM('Basis Options'!D788))</f>
        <v>NGI-SOCAL</v>
      </c>
      <c r="V785" s="0" t="s">
        <v>624</v>
      </c>
      <c r="W785" s="0" t="s">
        <v>569</v>
      </c>
      <c r="X785" s="0" t="s">
        <v>624</v>
      </c>
      <c r="Y785" s="0" t="s">
        <v>627</v>
      </c>
      <c r="Z785" s="0" t="s">
        <v>629</v>
      </c>
      <c r="AA785" s="0" t="s">
        <v>624</v>
      </c>
      <c r="AB785" s="0" t="s">
        <v>132</v>
      </c>
      <c r="AC785" s="254" t="n">
        <f aca="false">'Basis Options'!H788</f>
        <v>-1000000</v>
      </c>
      <c r="AD785" s="254" t="e">
        <f aca="false">'Basis Options'!W788</f>
        <v>#NAME?</v>
      </c>
      <c r="AE785" s="0" t="n">
        <v>0</v>
      </c>
      <c r="AF785" s="0" t="n">
        <v>0</v>
      </c>
      <c r="AG785" s="0" t="n">
        <v>0</v>
      </c>
      <c r="AH785" s="254" t="e">
        <f aca="false">'Basis Options'!CD790</f>
        <v>#NAME?</v>
      </c>
      <c r="AI785" s="0" t="n">
        <v>226</v>
      </c>
      <c r="AJ785" s="0" t="s">
        <v>630</v>
      </c>
      <c r="AK785" s="0" t="n">
        <v>0</v>
      </c>
      <c r="AL785" s="0" t="n">
        <v>0</v>
      </c>
      <c r="AM785" s="0" t="n">
        <v>0</v>
      </c>
    </row>
    <row r="786" customFormat="false" ht="12.75" hidden="false" customHeight="false" outlineLevel="0" collapsed="false">
      <c r="A786" s="0" t="s">
        <v>621</v>
      </c>
      <c r="B786" s="0" t="str">
        <f aca="false">'Basis Options'!C789</f>
        <v>NW5627.1</v>
      </c>
      <c r="C786" s="0" t="s">
        <v>622</v>
      </c>
      <c r="D786" s="0" t="s">
        <v>623</v>
      </c>
      <c r="E786" s="0" t="s">
        <v>131</v>
      </c>
      <c r="F786" s="0" t="str">
        <f aca="false">'Basis Options'!A789</f>
        <v>ELPASMER</v>
      </c>
      <c r="G786" s="0" t="s">
        <v>628</v>
      </c>
      <c r="H786" s="0" t="s">
        <v>625</v>
      </c>
      <c r="I786" s="0" t="s">
        <v>626</v>
      </c>
      <c r="J786" s="0" t="s">
        <v>627</v>
      </c>
      <c r="K786" s="475" t="n">
        <f aca="false">'Basis Options'!G789</f>
        <v>36951</v>
      </c>
      <c r="L786" s="254" t="e">
        <f aca="false">'Basis Options'!U789</f>
        <v>#NAME?</v>
      </c>
      <c r="M786" s="475" t="n">
        <f aca="false">'Basis Options'!Q789</f>
        <v>36949</v>
      </c>
      <c r="N786" s="0" t="str">
        <f aca="false">'Basis Options'!F789</f>
        <v>C</v>
      </c>
      <c r="O786" s="0" t="n">
        <f aca="false">'Basis Options'!I789</f>
        <v>1</v>
      </c>
      <c r="P786" s="0" t="n">
        <v>0</v>
      </c>
      <c r="Q786" s="0" t="n">
        <v>0</v>
      </c>
      <c r="R786" s="0" t="n">
        <v>0</v>
      </c>
      <c r="S786" s="0" t="n">
        <v>0</v>
      </c>
      <c r="T786" s="0" t="s">
        <v>624</v>
      </c>
      <c r="U786" s="0" t="str">
        <f aca="false">IF('Basis Options'!D789="NGI/CHI. GATE","""NGI/CHI. GATE""",TRIM('Basis Options'!D789))</f>
        <v>NGI-SOCAL</v>
      </c>
      <c r="V786" s="0" t="s">
        <v>624</v>
      </c>
      <c r="W786" s="0" t="s">
        <v>569</v>
      </c>
      <c r="X786" s="0" t="s">
        <v>624</v>
      </c>
      <c r="Y786" s="0" t="s">
        <v>627</v>
      </c>
      <c r="Z786" s="0" t="s">
        <v>629</v>
      </c>
      <c r="AA786" s="0" t="s">
        <v>624</v>
      </c>
      <c r="AB786" s="0" t="s">
        <v>132</v>
      </c>
      <c r="AC786" s="254" t="n">
        <f aca="false">'Basis Options'!H789</f>
        <v>-1000000</v>
      </c>
      <c r="AD786" s="254" t="e">
        <f aca="false">'Basis Options'!W789</f>
        <v>#NAME?</v>
      </c>
      <c r="AE786" s="0" t="n">
        <v>0</v>
      </c>
      <c r="AF786" s="0" t="n">
        <v>0</v>
      </c>
      <c r="AG786" s="0" t="n">
        <v>0</v>
      </c>
      <c r="AH786" s="254" t="e">
        <f aca="false">'Basis Options'!CD791</f>
        <v>#NAME?</v>
      </c>
      <c r="AI786" s="0" t="n">
        <v>226</v>
      </c>
      <c r="AJ786" s="0" t="s">
        <v>630</v>
      </c>
      <c r="AK786" s="0" t="n">
        <v>0</v>
      </c>
      <c r="AL786" s="0" t="n">
        <v>0</v>
      </c>
      <c r="AM786" s="0" t="n">
        <v>0</v>
      </c>
    </row>
    <row r="787" customFormat="false" ht="12.75" hidden="false" customHeight="false" outlineLevel="0" collapsed="false">
      <c r="A787" s="0" t="s">
        <v>621</v>
      </c>
      <c r="B787" s="0" t="str">
        <f aca="false">'Basis Options'!C790</f>
        <v>NW5630.1</v>
      </c>
      <c r="C787" s="0" t="s">
        <v>622</v>
      </c>
      <c r="D787" s="0" t="s">
        <v>623</v>
      </c>
      <c r="E787" s="0" t="s">
        <v>131</v>
      </c>
      <c r="F787" s="0" t="str">
        <f aca="false">'Basis Options'!A790</f>
        <v>CMSMARSERTRA</v>
      </c>
      <c r="G787" s="0" t="s">
        <v>628</v>
      </c>
      <c r="H787" s="0" t="s">
        <v>625</v>
      </c>
      <c r="I787" s="0" t="s">
        <v>626</v>
      </c>
      <c r="J787" s="0" t="s">
        <v>627</v>
      </c>
      <c r="K787" s="475" t="n">
        <f aca="false">'Basis Options'!G790</f>
        <v>36831</v>
      </c>
      <c r="L787" s="254" t="e">
        <f aca="false">'Basis Options'!U790</f>
        <v>#NAME?</v>
      </c>
      <c r="M787" s="475" t="n">
        <f aca="false">'Basis Options'!Q790</f>
        <v>36829</v>
      </c>
      <c r="N787" s="0" t="str">
        <f aca="false">'Basis Options'!F790</f>
        <v>C</v>
      </c>
      <c r="O787" s="0" t="n">
        <f aca="false">'Basis Options'!I790</f>
        <v>-0.2</v>
      </c>
      <c r="P787" s="0" t="n">
        <v>0</v>
      </c>
      <c r="Q787" s="0" t="n">
        <v>0</v>
      </c>
      <c r="R787" s="0" t="n">
        <v>0</v>
      </c>
      <c r="S787" s="0" t="n">
        <v>0</v>
      </c>
      <c r="T787" s="0" t="s">
        <v>624</v>
      </c>
      <c r="U787" s="0" t="str">
        <f aca="false">IF('Basis Options'!D790="NGI/CHI. GATE","""NGI/CHI. GATE""",TRIM('Basis Options'!D790))</f>
        <v>IF-NWPL_ROCKY_M</v>
      </c>
      <c r="V787" s="0" t="s">
        <v>624</v>
      </c>
      <c r="W787" s="0" t="s">
        <v>569</v>
      </c>
      <c r="X787" s="0" t="s">
        <v>624</v>
      </c>
      <c r="Y787" s="0" t="s">
        <v>627</v>
      </c>
      <c r="Z787" s="0" t="s">
        <v>629</v>
      </c>
      <c r="AA787" s="0" t="s">
        <v>624</v>
      </c>
      <c r="AB787" s="0" t="s">
        <v>132</v>
      </c>
      <c r="AC787" s="254" t="n">
        <f aca="false">'Basis Options'!H790</f>
        <v>-600000</v>
      </c>
      <c r="AD787" s="254" t="e">
        <f aca="false">'Basis Options'!W790</f>
        <v>#NAME?</v>
      </c>
      <c r="AE787" s="0" t="n">
        <v>0</v>
      </c>
      <c r="AF787" s="0" t="n">
        <v>0</v>
      </c>
      <c r="AG787" s="0" t="n">
        <v>0</v>
      </c>
      <c r="AH787" s="254" t="e">
        <f aca="false">'Basis Options'!CD792</f>
        <v>#NAME?</v>
      </c>
      <c r="AI787" s="0" t="n">
        <v>226</v>
      </c>
      <c r="AJ787" s="0" t="s">
        <v>630</v>
      </c>
      <c r="AK787" s="0" t="n">
        <v>0</v>
      </c>
      <c r="AL787" s="0" t="n">
        <v>0</v>
      </c>
      <c r="AM787" s="0" t="n">
        <v>0</v>
      </c>
    </row>
    <row r="788" customFormat="false" ht="12.75" hidden="false" customHeight="false" outlineLevel="0" collapsed="false">
      <c r="A788" s="0" t="s">
        <v>621</v>
      </c>
      <c r="B788" s="0" t="str">
        <f aca="false">'Basis Options'!C791</f>
        <v>NW5630.1</v>
      </c>
      <c r="C788" s="0" t="s">
        <v>622</v>
      </c>
      <c r="D788" s="0" t="s">
        <v>623</v>
      </c>
      <c r="E788" s="0" t="s">
        <v>131</v>
      </c>
      <c r="F788" s="0" t="str">
        <f aca="false">'Basis Options'!A791</f>
        <v>CMSMARSERTRA</v>
      </c>
      <c r="G788" s="0" t="s">
        <v>628</v>
      </c>
      <c r="H788" s="0" t="s">
        <v>625</v>
      </c>
      <c r="I788" s="0" t="s">
        <v>626</v>
      </c>
      <c r="J788" s="0" t="s">
        <v>627</v>
      </c>
      <c r="K788" s="475" t="n">
        <f aca="false">'Basis Options'!G791</f>
        <v>36861</v>
      </c>
      <c r="L788" s="254" t="e">
        <f aca="false">'Basis Options'!U791</f>
        <v>#NAME?</v>
      </c>
      <c r="M788" s="475" t="n">
        <f aca="false">'Basis Options'!Q791</f>
        <v>36859</v>
      </c>
      <c r="N788" s="0" t="str">
        <f aca="false">'Basis Options'!F791</f>
        <v>C</v>
      </c>
      <c r="O788" s="0" t="n">
        <f aca="false">'Basis Options'!I791</f>
        <v>-0.2</v>
      </c>
      <c r="P788" s="0" t="n">
        <v>0</v>
      </c>
      <c r="Q788" s="0" t="n">
        <v>0</v>
      </c>
      <c r="R788" s="0" t="n">
        <v>0</v>
      </c>
      <c r="S788" s="0" t="n">
        <v>0</v>
      </c>
      <c r="T788" s="0" t="s">
        <v>624</v>
      </c>
      <c r="U788" s="0" t="str">
        <f aca="false">IF('Basis Options'!D791="NGI/CHI. GATE","""NGI/CHI. GATE""",TRIM('Basis Options'!D791))</f>
        <v>IF-NWPL_ROCKY_M</v>
      </c>
      <c r="V788" s="0" t="s">
        <v>624</v>
      </c>
      <c r="W788" s="0" t="s">
        <v>569</v>
      </c>
      <c r="X788" s="0" t="s">
        <v>624</v>
      </c>
      <c r="Y788" s="0" t="s">
        <v>627</v>
      </c>
      <c r="Z788" s="0" t="s">
        <v>629</v>
      </c>
      <c r="AA788" s="0" t="s">
        <v>624</v>
      </c>
      <c r="AB788" s="0" t="s">
        <v>132</v>
      </c>
      <c r="AC788" s="254" t="n">
        <f aca="false">'Basis Options'!H791</f>
        <v>-620000</v>
      </c>
      <c r="AD788" s="254" t="e">
        <f aca="false">'Basis Options'!W791</f>
        <v>#NAME?</v>
      </c>
      <c r="AE788" s="0" t="n">
        <v>0</v>
      </c>
      <c r="AF788" s="0" t="n">
        <v>0</v>
      </c>
      <c r="AG788" s="0" t="n">
        <v>0</v>
      </c>
      <c r="AH788" s="254" t="e">
        <f aca="false">'Basis Options'!CD793</f>
        <v>#NAME?</v>
      </c>
      <c r="AI788" s="0" t="n">
        <v>226</v>
      </c>
      <c r="AJ788" s="0" t="s">
        <v>630</v>
      </c>
      <c r="AK788" s="0" t="n">
        <v>0</v>
      </c>
      <c r="AL788" s="0" t="n">
        <v>0</v>
      </c>
      <c r="AM788" s="0" t="n">
        <v>0</v>
      </c>
    </row>
    <row r="789" customFormat="false" ht="12.75" hidden="false" customHeight="false" outlineLevel="0" collapsed="false">
      <c r="A789" s="0" t="s">
        <v>621</v>
      </c>
      <c r="B789" s="0" t="str">
        <f aca="false">'Basis Options'!C792</f>
        <v>NW5630.1</v>
      </c>
      <c r="C789" s="0" t="s">
        <v>622</v>
      </c>
      <c r="D789" s="0" t="s">
        <v>623</v>
      </c>
      <c r="E789" s="0" t="s">
        <v>131</v>
      </c>
      <c r="F789" s="0" t="str">
        <f aca="false">'Basis Options'!A792</f>
        <v>CMSMARSERTRA</v>
      </c>
      <c r="G789" s="0" t="s">
        <v>628</v>
      </c>
      <c r="H789" s="0" t="s">
        <v>625</v>
      </c>
      <c r="I789" s="0" t="s">
        <v>626</v>
      </c>
      <c r="J789" s="0" t="s">
        <v>627</v>
      </c>
      <c r="K789" s="475" t="n">
        <f aca="false">'Basis Options'!G792</f>
        <v>36892</v>
      </c>
      <c r="L789" s="254" t="e">
        <f aca="false">'Basis Options'!U792</f>
        <v>#NAME?</v>
      </c>
      <c r="M789" s="475" t="n">
        <f aca="false">'Basis Options'!Q792</f>
        <v>36888</v>
      </c>
      <c r="N789" s="0" t="str">
        <f aca="false">'Basis Options'!F792</f>
        <v>C</v>
      </c>
      <c r="O789" s="0" t="n">
        <f aca="false">'Basis Options'!I792</f>
        <v>-0.2</v>
      </c>
      <c r="P789" s="0" t="n">
        <v>0</v>
      </c>
      <c r="Q789" s="0" t="n">
        <v>0</v>
      </c>
      <c r="R789" s="0" t="n">
        <v>0</v>
      </c>
      <c r="S789" s="0" t="n">
        <v>0</v>
      </c>
      <c r="T789" s="0" t="s">
        <v>624</v>
      </c>
      <c r="U789" s="0" t="str">
        <f aca="false">IF('Basis Options'!D792="NGI/CHI. GATE","""NGI/CHI. GATE""",TRIM('Basis Options'!D792))</f>
        <v>IF-NWPL_ROCKY_M</v>
      </c>
      <c r="V789" s="0" t="s">
        <v>624</v>
      </c>
      <c r="W789" s="0" t="s">
        <v>569</v>
      </c>
      <c r="X789" s="0" t="s">
        <v>624</v>
      </c>
      <c r="Y789" s="0" t="s">
        <v>627</v>
      </c>
      <c r="Z789" s="0" t="s">
        <v>629</v>
      </c>
      <c r="AA789" s="0" t="s">
        <v>624</v>
      </c>
      <c r="AB789" s="0" t="s">
        <v>132</v>
      </c>
      <c r="AC789" s="254" t="n">
        <f aca="false">'Basis Options'!H792</f>
        <v>-620000</v>
      </c>
      <c r="AD789" s="254" t="e">
        <f aca="false">'Basis Options'!W792</f>
        <v>#NAME?</v>
      </c>
      <c r="AE789" s="0" t="n">
        <v>0</v>
      </c>
      <c r="AF789" s="0" t="n">
        <v>0</v>
      </c>
      <c r="AG789" s="0" t="n">
        <v>0</v>
      </c>
      <c r="AH789" s="254" t="e">
        <f aca="false">'Basis Options'!CD794</f>
        <v>#NAME?</v>
      </c>
      <c r="AI789" s="0" t="n">
        <v>226</v>
      </c>
      <c r="AJ789" s="0" t="s">
        <v>630</v>
      </c>
      <c r="AK789" s="0" t="n">
        <v>0</v>
      </c>
      <c r="AL789" s="0" t="n">
        <v>0</v>
      </c>
      <c r="AM789" s="0" t="n">
        <v>0</v>
      </c>
    </row>
    <row r="790" customFormat="false" ht="12.75" hidden="false" customHeight="false" outlineLevel="0" collapsed="false">
      <c r="A790" s="0" t="s">
        <v>621</v>
      </c>
      <c r="B790" s="0" t="str">
        <f aca="false">'Basis Options'!C793</f>
        <v>NW5630.1</v>
      </c>
      <c r="C790" s="0" t="s">
        <v>622</v>
      </c>
      <c r="D790" s="0" t="s">
        <v>623</v>
      </c>
      <c r="E790" s="0" t="s">
        <v>131</v>
      </c>
      <c r="F790" s="0" t="str">
        <f aca="false">'Basis Options'!A793</f>
        <v>CMSMARSERTRA</v>
      </c>
      <c r="G790" s="0" t="s">
        <v>628</v>
      </c>
      <c r="H790" s="0" t="s">
        <v>625</v>
      </c>
      <c r="I790" s="0" t="s">
        <v>626</v>
      </c>
      <c r="J790" s="0" t="s">
        <v>627</v>
      </c>
      <c r="K790" s="475" t="n">
        <f aca="false">'Basis Options'!G793</f>
        <v>36923</v>
      </c>
      <c r="L790" s="254" t="e">
        <f aca="false">'Basis Options'!U793</f>
        <v>#NAME?</v>
      </c>
      <c r="M790" s="475" t="n">
        <f aca="false">'Basis Options'!Q793</f>
        <v>36921</v>
      </c>
      <c r="N790" s="0" t="str">
        <f aca="false">'Basis Options'!F793</f>
        <v>C</v>
      </c>
      <c r="O790" s="0" t="n">
        <f aca="false">'Basis Options'!I793</f>
        <v>-0.2</v>
      </c>
      <c r="P790" s="0" t="n">
        <v>0</v>
      </c>
      <c r="Q790" s="0" t="n">
        <v>0</v>
      </c>
      <c r="R790" s="0" t="n">
        <v>0</v>
      </c>
      <c r="S790" s="0" t="n">
        <v>0</v>
      </c>
      <c r="T790" s="0" t="s">
        <v>624</v>
      </c>
      <c r="U790" s="0" t="str">
        <f aca="false">IF('Basis Options'!D793="NGI/CHI. GATE","""NGI/CHI. GATE""",TRIM('Basis Options'!D793))</f>
        <v>IF-NWPL_ROCKY_M</v>
      </c>
      <c r="V790" s="0" t="s">
        <v>624</v>
      </c>
      <c r="W790" s="0" t="s">
        <v>569</v>
      </c>
      <c r="X790" s="0" t="s">
        <v>624</v>
      </c>
      <c r="Y790" s="0" t="s">
        <v>627</v>
      </c>
      <c r="Z790" s="0" t="s">
        <v>629</v>
      </c>
      <c r="AA790" s="0" t="s">
        <v>624</v>
      </c>
      <c r="AB790" s="0" t="s">
        <v>132</v>
      </c>
      <c r="AC790" s="254" t="n">
        <f aca="false">'Basis Options'!H793</f>
        <v>-560000</v>
      </c>
      <c r="AD790" s="254" t="e">
        <f aca="false">'Basis Options'!W793</f>
        <v>#NAME?</v>
      </c>
      <c r="AE790" s="0" t="n">
        <v>0</v>
      </c>
      <c r="AF790" s="0" t="n">
        <v>0</v>
      </c>
      <c r="AG790" s="0" t="n">
        <v>0</v>
      </c>
      <c r="AH790" s="254" t="e">
        <f aca="false">'Basis Options'!CD795</f>
        <v>#NAME?</v>
      </c>
      <c r="AI790" s="0" t="n">
        <v>226</v>
      </c>
      <c r="AJ790" s="0" t="s">
        <v>630</v>
      </c>
      <c r="AK790" s="0" t="n">
        <v>0</v>
      </c>
      <c r="AL790" s="0" t="n">
        <v>0</v>
      </c>
      <c r="AM790" s="0" t="n">
        <v>0</v>
      </c>
    </row>
    <row r="791" customFormat="false" ht="12.75" hidden="false" customHeight="false" outlineLevel="0" collapsed="false">
      <c r="A791" s="0" t="s">
        <v>621</v>
      </c>
      <c r="B791" s="0" t="str">
        <f aca="false">'Basis Options'!C794</f>
        <v>NW5630.1</v>
      </c>
      <c r="C791" s="0" t="s">
        <v>622</v>
      </c>
      <c r="D791" s="0" t="s">
        <v>623</v>
      </c>
      <c r="E791" s="0" t="s">
        <v>131</v>
      </c>
      <c r="F791" s="0" t="str">
        <f aca="false">'Basis Options'!A794</f>
        <v>CMSMARSERTRA</v>
      </c>
      <c r="G791" s="0" t="s">
        <v>628</v>
      </c>
      <c r="H791" s="0" t="s">
        <v>625</v>
      </c>
      <c r="I791" s="0" t="s">
        <v>626</v>
      </c>
      <c r="J791" s="0" t="s">
        <v>627</v>
      </c>
      <c r="K791" s="475" t="n">
        <f aca="false">'Basis Options'!G794</f>
        <v>36951</v>
      </c>
      <c r="L791" s="254" t="e">
        <f aca="false">'Basis Options'!U794</f>
        <v>#NAME?</v>
      </c>
      <c r="M791" s="475" t="n">
        <f aca="false">'Basis Options'!Q794</f>
        <v>36949</v>
      </c>
      <c r="N791" s="0" t="str">
        <f aca="false">'Basis Options'!F794</f>
        <v>C</v>
      </c>
      <c r="O791" s="0" t="n">
        <f aca="false">'Basis Options'!I794</f>
        <v>-0.2</v>
      </c>
      <c r="P791" s="0" t="n">
        <v>0</v>
      </c>
      <c r="Q791" s="0" t="n">
        <v>0</v>
      </c>
      <c r="R791" s="0" t="n">
        <v>0</v>
      </c>
      <c r="S791" s="0" t="n">
        <v>0</v>
      </c>
      <c r="T791" s="0" t="s">
        <v>624</v>
      </c>
      <c r="U791" s="0" t="str">
        <f aca="false">IF('Basis Options'!D794="NGI/CHI. GATE","""NGI/CHI. GATE""",TRIM('Basis Options'!D794))</f>
        <v>IF-NWPL_ROCKY_M</v>
      </c>
      <c r="V791" s="0" t="s">
        <v>624</v>
      </c>
      <c r="W791" s="0" t="s">
        <v>569</v>
      </c>
      <c r="X791" s="0" t="s">
        <v>624</v>
      </c>
      <c r="Y791" s="0" t="s">
        <v>627</v>
      </c>
      <c r="Z791" s="0" t="s">
        <v>629</v>
      </c>
      <c r="AA791" s="0" t="s">
        <v>624</v>
      </c>
      <c r="AB791" s="0" t="s">
        <v>132</v>
      </c>
      <c r="AC791" s="254" t="n">
        <f aca="false">'Basis Options'!H794</f>
        <v>-620000</v>
      </c>
      <c r="AD791" s="254" t="e">
        <f aca="false">'Basis Options'!W794</f>
        <v>#NAME?</v>
      </c>
      <c r="AE791" s="0" t="n">
        <v>0</v>
      </c>
      <c r="AF791" s="0" t="n">
        <v>0</v>
      </c>
      <c r="AG791" s="0" t="n">
        <v>0</v>
      </c>
      <c r="AH791" s="254" t="e">
        <f aca="false">'Basis Options'!CD796</f>
        <v>#NAME?</v>
      </c>
      <c r="AI791" s="0" t="n">
        <v>226</v>
      </c>
      <c r="AJ791" s="0" t="s">
        <v>630</v>
      </c>
      <c r="AK791" s="0" t="n">
        <v>0</v>
      </c>
      <c r="AL791" s="0" t="n">
        <v>0</v>
      </c>
      <c r="AM791" s="0" t="n">
        <v>0</v>
      </c>
    </row>
    <row r="792" customFormat="false" ht="12.75" hidden="false" customHeight="false" outlineLevel="0" collapsed="false">
      <c r="A792" s="0" t="s">
        <v>621</v>
      </c>
      <c r="B792" s="0" t="str">
        <f aca="false">'Basis Options'!C795</f>
        <v>NW5630.2</v>
      </c>
      <c r="C792" s="0" t="s">
        <v>622</v>
      </c>
      <c r="D792" s="0" t="s">
        <v>623</v>
      </c>
      <c r="E792" s="0" t="s">
        <v>131</v>
      </c>
      <c r="F792" s="0" t="str">
        <f aca="false">'Basis Options'!A795</f>
        <v>CMSMARSERTRA</v>
      </c>
      <c r="G792" s="0" t="s">
        <v>628</v>
      </c>
      <c r="H792" s="0" t="s">
        <v>625</v>
      </c>
      <c r="I792" s="0" t="s">
        <v>626</v>
      </c>
      <c r="J792" s="0" t="s">
        <v>627</v>
      </c>
      <c r="K792" s="475" t="n">
        <f aca="false">'Basis Options'!G795</f>
        <v>36831</v>
      </c>
      <c r="L792" s="254" t="e">
        <f aca="false">'Basis Options'!U795</f>
        <v>#NAME?</v>
      </c>
      <c r="M792" s="475" t="n">
        <f aca="false">'Basis Options'!Q795</f>
        <v>36829</v>
      </c>
      <c r="N792" s="0" t="str">
        <f aca="false">'Basis Options'!F795</f>
        <v>P</v>
      </c>
      <c r="O792" s="0" t="n">
        <f aca="false">'Basis Options'!I795</f>
        <v>-0.5</v>
      </c>
      <c r="P792" s="0" t="n">
        <v>0</v>
      </c>
      <c r="Q792" s="0" t="n">
        <v>0</v>
      </c>
      <c r="R792" s="0" t="n">
        <v>0</v>
      </c>
      <c r="S792" s="0" t="n">
        <v>0</v>
      </c>
      <c r="T792" s="0" t="s">
        <v>624</v>
      </c>
      <c r="U792" s="0" t="str">
        <f aca="false">IF('Basis Options'!D795="NGI/CHI. GATE","""NGI/CHI. GATE""",TRIM('Basis Options'!D795))</f>
        <v>IF-NWPL_ROCKY_M</v>
      </c>
      <c r="V792" s="0" t="s">
        <v>624</v>
      </c>
      <c r="W792" s="0" t="s">
        <v>569</v>
      </c>
      <c r="X792" s="0" t="s">
        <v>624</v>
      </c>
      <c r="Y792" s="0" t="s">
        <v>627</v>
      </c>
      <c r="Z792" s="0" t="s">
        <v>629</v>
      </c>
      <c r="AA792" s="0" t="s">
        <v>624</v>
      </c>
      <c r="AB792" s="0" t="s">
        <v>132</v>
      </c>
      <c r="AC792" s="254" t="n">
        <f aca="false">'Basis Options'!H795</f>
        <v>-600000</v>
      </c>
      <c r="AD792" s="254" t="e">
        <f aca="false">'Basis Options'!W795</f>
        <v>#NAME?</v>
      </c>
      <c r="AE792" s="0" t="n">
        <v>0</v>
      </c>
      <c r="AF792" s="0" t="n">
        <v>0</v>
      </c>
      <c r="AG792" s="0" t="n">
        <v>0</v>
      </c>
      <c r="AH792" s="254" t="e">
        <f aca="false">'Basis Options'!CD797</f>
        <v>#NAME?</v>
      </c>
      <c r="AI792" s="0" t="n">
        <v>226</v>
      </c>
      <c r="AJ792" s="0" t="s">
        <v>630</v>
      </c>
      <c r="AK792" s="0" t="n">
        <v>0</v>
      </c>
      <c r="AL792" s="0" t="n">
        <v>0</v>
      </c>
      <c r="AM792" s="0" t="n">
        <v>0</v>
      </c>
    </row>
    <row r="793" customFormat="false" ht="12.75" hidden="false" customHeight="false" outlineLevel="0" collapsed="false">
      <c r="A793" s="0" t="s">
        <v>621</v>
      </c>
      <c r="B793" s="0" t="str">
        <f aca="false">'Basis Options'!C796</f>
        <v>NW5630.2</v>
      </c>
      <c r="C793" s="0" t="s">
        <v>622</v>
      </c>
      <c r="D793" s="0" t="s">
        <v>623</v>
      </c>
      <c r="E793" s="0" t="s">
        <v>131</v>
      </c>
      <c r="F793" s="0" t="str">
        <f aca="false">'Basis Options'!A796</f>
        <v>CMSMARSERTRA</v>
      </c>
      <c r="G793" s="0" t="s">
        <v>628</v>
      </c>
      <c r="H793" s="0" t="s">
        <v>625</v>
      </c>
      <c r="I793" s="0" t="s">
        <v>626</v>
      </c>
      <c r="J793" s="0" t="s">
        <v>627</v>
      </c>
      <c r="K793" s="475" t="n">
        <f aca="false">'Basis Options'!G796</f>
        <v>36861</v>
      </c>
      <c r="L793" s="254" t="e">
        <f aca="false">'Basis Options'!U796</f>
        <v>#NAME?</v>
      </c>
      <c r="M793" s="475" t="n">
        <f aca="false">'Basis Options'!Q796</f>
        <v>36859</v>
      </c>
      <c r="N793" s="0" t="str">
        <f aca="false">'Basis Options'!F796</f>
        <v>P</v>
      </c>
      <c r="O793" s="0" t="n">
        <f aca="false">'Basis Options'!I796</f>
        <v>-0.5</v>
      </c>
      <c r="P793" s="0" t="n">
        <v>0</v>
      </c>
      <c r="Q793" s="0" t="n">
        <v>0</v>
      </c>
      <c r="R793" s="0" t="n">
        <v>0</v>
      </c>
      <c r="S793" s="0" t="n">
        <v>0</v>
      </c>
      <c r="T793" s="0" t="s">
        <v>624</v>
      </c>
      <c r="U793" s="0" t="str">
        <f aca="false">IF('Basis Options'!D796="NGI/CHI. GATE","""NGI/CHI. GATE""",TRIM('Basis Options'!D796))</f>
        <v>IF-NWPL_ROCKY_M</v>
      </c>
      <c r="V793" s="0" t="s">
        <v>624</v>
      </c>
      <c r="W793" s="0" t="s">
        <v>569</v>
      </c>
      <c r="X793" s="0" t="s">
        <v>624</v>
      </c>
      <c r="Y793" s="0" t="s">
        <v>627</v>
      </c>
      <c r="Z793" s="0" t="s">
        <v>629</v>
      </c>
      <c r="AA793" s="0" t="s">
        <v>624</v>
      </c>
      <c r="AB793" s="0" t="s">
        <v>132</v>
      </c>
      <c r="AC793" s="254" t="n">
        <f aca="false">'Basis Options'!H796</f>
        <v>-620000</v>
      </c>
      <c r="AD793" s="254" t="e">
        <f aca="false">'Basis Options'!W796</f>
        <v>#NAME?</v>
      </c>
      <c r="AE793" s="0" t="n">
        <v>0</v>
      </c>
      <c r="AF793" s="0" t="n">
        <v>0</v>
      </c>
      <c r="AG793" s="0" t="n">
        <v>0</v>
      </c>
      <c r="AH793" s="254" t="e">
        <f aca="false">'Basis Options'!CD798</f>
        <v>#NAME?</v>
      </c>
      <c r="AI793" s="0" t="n">
        <v>226</v>
      </c>
      <c r="AJ793" s="0" t="s">
        <v>630</v>
      </c>
      <c r="AK793" s="0" t="n">
        <v>0</v>
      </c>
      <c r="AL793" s="0" t="n">
        <v>0</v>
      </c>
      <c r="AM793" s="0" t="n">
        <v>0</v>
      </c>
    </row>
    <row r="794" customFormat="false" ht="12.75" hidden="false" customHeight="false" outlineLevel="0" collapsed="false">
      <c r="A794" s="0" t="s">
        <v>621</v>
      </c>
      <c r="B794" s="0" t="str">
        <f aca="false">'Basis Options'!C797</f>
        <v>NW5630.2</v>
      </c>
      <c r="C794" s="0" t="s">
        <v>622</v>
      </c>
      <c r="D794" s="0" t="s">
        <v>623</v>
      </c>
      <c r="E794" s="0" t="s">
        <v>131</v>
      </c>
      <c r="F794" s="0" t="str">
        <f aca="false">'Basis Options'!A797</f>
        <v>CMSMARSERTRA</v>
      </c>
      <c r="G794" s="0" t="s">
        <v>628</v>
      </c>
      <c r="H794" s="0" t="s">
        <v>625</v>
      </c>
      <c r="I794" s="0" t="s">
        <v>626</v>
      </c>
      <c r="J794" s="0" t="s">
        <v>627</v>
      </c>
      <c r="K794" s="475" t="n">
        <f aca="false">'Basis Options'!G797</f>
        <v>36892</v>
      </c>
      <c r="L794" s="254" t="e">
        <f aca="false">'Basis Options'!U797</f>
        <v>#NAME?</v>
      </c>
      <c r="M794" s="475" t="n">
        <f aca="false">'Basis Options'!Q797</f>
        <v>36888</v>
      </c>
      <c r="N794" s="0" t="str">
        <f aca="false">'Basis Options'!F797</f>
        <v>P</v>
      </c>
      <c r="O794" s="0" t="n">
        <f aca="false">'Basis Options'!I797</f>
        <v>-0.5</v>
      </c>
      <c r="P794" s="0" t="n">
        <v>0</v>
      </c>
      <c r="Q794" s="0" t="n">
        <v>0</v>
      </c>
      <c r="R794" s="0" t="n">
        <v>0</v>
      </c>
      <c r="S794" s="0" t="n">
        <v>0</v>
      </c>
      <c r="T794" s="0" t="s">
        <v>624</v>
      </c>
      <c r="U794" s="0" t="str">
        <f aca="false">IF('Basis Options'!D797="NGI/CHI. GATE","""NGI/CHI. GATE""",TRIM('Basis Options'!D797))</f>
        <v>IF-NWPL_ROCKY_M</v>
      </c>
      <c r="V794" s="0" t="s">
        <v>624</v>
      </c>
      <c r="W794" s="0" t="s">
        <v>569</v>
      </c>
      <c r="X794" s="0" t="s">
        <v>624</v>
      </c>
      <c r="Y794" s="0" t="s">
        <v>627</v>
      </c>
      <c r="Z794" s="0" t="s">
        <v>629</v>
      </c>
      <c r="AA794" s="0" t="s">
        <v>624</v>
      </c>
      <c r="AB794" s="0" t="s">
        <v>132</v>
      </c>
      <c r="AC794" s="254" t="n">
        <f aca="false">'Basis Options'!H797</f>
        <v>-620000</v>
      </c>
      <c r="AD794" s="254" t="e">
        <f aca="false">'Basis Options'!W797</f>
        <v>#NAME?</v>
      </c>
      <c r="AE794" s="0" t="n">
        <v>0</v>
      </c>
      <c r="AF794" s="0" t="n">
        <v>0</v>
      </c>
      <c r="AG794" s="0" t="n">
        <v>0</v>
      </c>
      <c r="AH794" s="254" t="e">
        <f aca="false">'Basis Options'!CD799</f>
        <v>#NAME?</v>
      </c>
      <c r="AI794" s="0" t="n">
        <v>226</v>
      </c>
      <c r="AJ794" s="0" t="s">
        <v>630</v>
      </c>
      <c r="AK794" s="0" t="n">
        <v>0</v>
      </c>
      <c r="AL794" s="0" t="n">
        <v>0</v>
      </c>
      <c r="AM794" s="0" t="n">
        <v>0</v>
      </c>
    </row>
    <row r="795" customFormat="false" ht="12.75" hidden="false" customHeight="false" outlineLevel="0" collapsed="false">
      <c r="A795" s="0" t="s">
        <v>621</v>
      </c>
      <c r="B795" s="0" t="str">
        <f aca="false">'Basis Options'!C798</f>
        <v>NW5630.2</v>
      </c>
      <c r="C795" s="0" t="s">
        <v>622</v>
      </c>
      <c r="D795" s="0" t="s">
        <v>623</v>
      </c>
      <c r="E795" s="0" t="s">
        <v>131</v>
      </c>
      <c r="F795" s="0" t="str">
        <f aca="false">'Basis Options'!A798</f>
        <v>CMSMARSERTRA</v>
      </c>
      <c r="G795" s="0" t="s">
        <v>628</v>
      </c>
      <c r="H795" s="0" t="s">
        <v>625</v>
      </c>
      <c r="I795" s="0" t="s">
        <v>626</v>
      </c>
      <c r="J795" s="0" t="s">
        <v>627</v>
      </c>
      <c r="K795" s="475" t="n">
        <f aca="false">'Basis Options'!G798</f>
        <v>36923</v>
      </c>
      <c r="L795" s="254" t="e">
        <f aca="false">'Basis Options'!U798</f>
        <v>#NAME?</v>
      </c>
      <c r="M795" s="475" t="n">
        <f aca="false">'Basis Options'!Q798</f>
        <v>36921</v>
      </c>
      <c r="N795" s="0" t="str">
        <f aca="false">'Basis Options'!F798</f>
        <v>P</v>
      </c>
      <c r="O795" s="0" t="n">
        <f aca="false">'Basis Options'!I798</f>
        <v>-0.5</v>
      </c>
      <c r="P795" s="0" t="n">
        <v>0</v>
      </c>
      <c r="Q795" s="0" t="n">
        <v>0</v>
      </c>
      <c r="R795" s="0" t="n">
        <v>0</v>
      </c>
      <c r="S795" s="0" t="n">
        <v>0</v>
      </c>
      <c r="T795" s="0" t="s">
        <v>624</v>
      </c>
      <c r="U795" s="0" t="str">
        <f aca="false">IF('Basis Options'!D798="NGI/CHI. GATE","""NGI/CHI. GATE""",TRIM('Basis Options'!D798))</f>
        <v>IF-NWPL_ROCKY_M</v>
      </c>
      <c r="V795" s="0" t="s">
        <v>624</v>
      </c>
      <c r="W795" s="0" t="s">
        <v>569</v>
      </c>
      <c r="X795" s="0" t="s">
        <v>624</v>
      </c>
      <c r="Y795" s="0" t="s">
        <v>627</v>
      </c>
      <c r="Z795" s="0" t="s">
        <v>629</v>
      </c>
      <c r="AA795" s="0" t="s">
        <v>624</v>
      </c>
      <c r="AB795" s="0" t="s">
        <v>132</v>
      </c>
      <c r="AC795" s="254" t="n">
        <f aca="false">'Basis Options'!H798</f>
        <v>-560000</v>
      </c>
      <c r="AD795" s="254" t="e">
        <f aca="false">'Basis Options'!W798</f>
        <v>#NAME?</v>
      </c>
      <c r="AE795" s="0" t="n">
        <v>0</v>
      </c>
      <c r="AF795" s="0" t="n">
        <v>0</v>
      </c>
      <c r="AG795" s="0" t="n">
        <v>0</v>
      </c>
      <c r="AH795" s="254" t="e">
        <f aca="false">'Basis Options'!CD800</f>
        <v>#NAME?</v>
      </c>
      <c r="AI795" s="0" t="n">
        <v>226</v>
      </c>
      <c r="AJ795" s="0" t="s">
        <v>630</v>
      </c>
      <c r="AK795" s="0" t="n">
        <v>0</v>
      </c>
      <c r="AL795" s="0" t="n">
        <v>0</v>
      </c>
      <c r="AM795" s="0" t="n">
        <v>0</v>
      </c>
    </row>
    <row r="796" customFormat="false" ht="12.75" hidden="false" customHeight="false" outlineLevel="0" collapsed="false">
      <c r="A796" s="0" t="s">
        <v>621</v>
      </c>
      <c r="B796" s="0" t="str">
        <f aca="false">'Basis Options'!C799</f>
        <v>NW5630.2</v>
      </c>
      <c r="C796" s="0" t="s">
        <v>622</v>
      </c>
      <c r="D796" s="0" t="s">
        <v>623</v>
      </c>
      <c r="E796" s="0" t="s">
        <v>131</v>
      </c>
      <c r="F796" s="0" t="str">
        <f aca="false">'Basis Options'!A799</f>
        <v>CMSMARSERTRA</v>
      </c>
      <c r="G796" s="0" t="s">
        <v>628</v>
      </c>
      <c r="H796" s="0" t="s">
        <v>625</v>
      </c>
      <c r="I796" s="0" t="s">
        <v>626</v>
      </c>
      <c r="J796" s="0" t="s">
        <v>627</v>
      </c>
      <c r="K796" s="475" t="n">
        <f aca="false">'Basis Options'!G799</f>
        <v>36951</v>
      </c>
      <c r="L796" s="254" t="e">
        <f aca="false">'Basis Options'!U799</f>
        <v>#NAME?</v>
      </c>
      <c r="M796" s="475" t="n">
        <f aca="false">'Basis Options'!Q799</f>
        <v>36949</v>
      </c>
      <c r="N796" s="0" t="str">
        <f aca="false">'Basis Options'!F799</f>
        <v>P</v>
      </c>
      <c r="O796" s="0" t="n">
        <f aca="false">'Basis Options'!I799</f>
        <v>-0.5</v>
      </c>
      <c r="P796" s="0" t="n">
        <v>0</v>
      </c>
      <c r="Q796" s="0" t="n">
        <v>0</v>
      </c>
      <c r="R796" s="0" t="n">
        <v>0</v>
      </c>
      <c r="S796" s="0" t="n">
        <v>0</v>
      </c>
      <c r="T796" s="0" t="s">
        <v>624</v>
      </c>
      <c r="U796" s="0" t="str">
        <f aca="false">IF('Basis Options'!D799="NGI/CHI. GATE","""NGI/CHI. GATE""",TRIM('Basis Options'!D799))</f>
        <v>IF-NWPL_ROCKY_M</v>
      </c>
      <c r="V796" s="0" t="s">
        <v>624</v>
      </c>
      <c r="W796" s="0" t="s">
        <v>569</v>
      </c>
      <c r="X796" s="0" t="s">
        <v>624</v>
      </c>
      <c r="Y796" s="0" t="s">
        <v>627</v>
      </c>
      <c r="Z796" s="0" t="s">
        <v>629</v>
      </c>
      <c r="AA796" s="0" t="s">
        <v>624</v>
      </c>
      <c r="AB796" s="0" t="s">
        <v>132</v>
      </c>
      <c r="AC796" s="254" t="n">
        <f aca="false">'Basis Options'!H799</f>
        <v>-620000</v>
      </c>
      <c r="AD796" s="254" t="e">
        <f aca="false">'Basis Options'!W799</f>
        <v>#NAME?</v>
      </c>
      <c r="AE796" s="0" t="n">
        <v>0</v>
      </c>
      <c r="AF796" s="0" t="n">
        <v>0</v>
      </c>
      <c r="AG796" s="0" t="n">
        <v>0</v>
      </c>
      <c r="AH796" s="254" t="e">
        <f aca="false">'Basis Options'!CD801</f>
        <v>#NAME?</v>
      </c>
      <c r="AI796" s="0" t="n">
        <v>226</v>
      </c>
      <c r="AJ796" s="0" t="s">
        <v>630</v>
      </c>
      <c r="AK796" s="0" t="n">
        <v>0</v>
      </c>
      <c r="AL796" s="0" t="n">
        <v>0</v>
      </c>
      <c r="AM796" s="0" t="n">
        <v>0</v>
      </c>
    </row>
    <row r="797" customFormat="false" ht="12.75" hidden="false" customHeight="false" outlineLevel="0" collapsed="false">
      <c r="A797" s="0" t="s">
        <v>621</v>
      </c>
      <c r="B797" s="0" t="str">
        <f aca="false">'Basis Options'!C800</f>
        <v>NW5635</v>
      </c>
      <c r="C797" s="0" t="s">
        <v>622</v>
      </c>
      <c r="D797" s="0" t="s">
        <v>623</v>
      </c>
      <c r="E797" s="0" t="s">
        <v>131</v>
      </c>
      <c r="F797" s="0" t="str">
        <f aca="false">'Basis Options'!A800</f>
        <v>WILLIAMSENEMAR</v>
      </c>
      <c r="G797" s="0" t="s">
        <v>628</v>
      </c>
      <c r="H797" s="0" t="s">
        <v>625</v>
      </c>
      <c r="I797" s="0" t="s">
        <v>626</v>
      </c>
      <c r="J797" s="0" t="s">
        <v>627</v>
      </c>
      <c r="K797" s="475" t="n">
        <f aca="false">'Basis Options'!G800</f>
        <v>36831</v>
      </c>
      <c r="L797" s="254" t="e">
        <f aca="false">'Basis Options'!U800</f>
        <v>#NAME?</v>
      </c>
      <c r="M797" s="475" t="n">
        <f aca="false">'Basis Options'!Q800</f>
        <v>36829</v>
      </c>
      <c r="N797" s="0" t="str">
        <f aca="false">'Basis Options'!F800</f>
        <v>C</v>
      </c>
      <c r="O797" s="0" t="n">
        <f aca="false">'Basis Options'!I800</f>
        <v>0.2</v>
      </c>
      <c r="P797" s="0" t="n">
        <v>0</v>
      </c>
      <c r="Q797" s="0" t="n">
        <v>0</v>
      </c>
      <c r="R797" s="0" t="n">
        <v>0</v>
      </c>
      <c r="S797" s="0" t="n">
        <v>0</v>
      </c>
      <c r="T797" s="0" t="s">
        <v>624</v>
      </c>
      <c r="U797" s="0" t="str">
        <f aca="false">IF('Basis Options'!D800="NGI/CHI. GATE","""NGI/CHI. GATE""",TRIM('Basis Options'!D800))</f>
        <v>"NGI/CHI. GATE"</v>
      </c>
      <c r="V797" s="0" t="s">
        <v>624</v>
      </c>
      <c r="W797" s="0" t="s">
        <v>569</v>
      </c>
      <c r="X797" s="0" t="s">
        <v>624</v>
      </c>
      <c r="Y797" s="0" t="s">
        <v>627</v>
      </c>
      <c r="Z797" s="0" t="s">
        <v>629</v>
      </c>
      <c r="AA797" s="0" t="s">
        <v>624</v>
      </c>
      <c r="AB797" s="0" t="s">
        <v>132</v>
      </c>
      <c r="AC797" s="254" t="n">
        <f aca="false">'Basis Options'!H800</f>
        <v>-1000000</v>
      </c>
      <c r="AD797" s="254" t="e">
        <f aca="false">'Basis Options'!W800</f>
        <v>#NAME?</v>
      </c>
      <c r="AE797" s="0" t="n">
        <v>0</v>
      </c>
      <c r="AF797" s="0" t="n">
        <v>0</v>
      </c>
      <c r="AG797" s="0" t="n">
        <v>0</v>
      </c>
      <c r="AH797" s="254" t="e">
        <f aca="false">'Basis Options'!CD802</f>
        <v>#NAME?</v>
      </c>
      <c r="AI797" s="0" t="n">
        <v>226</v>
      </c>
      <c r="AJ797" s="0" t="s">
        <v>630</v>
      </c>
      <c r="AK797" s="0" t="n">
        <v>0</v>
      </c>
      <c r="AL797" s="0" t="n">
        <v>0</v>
      </c>
      <c r="AM797" s="0" t="n">
        <v>0</v>
      </c>
    </row>
    <row r="798" customFormat="false" ht="12.75" hidden="false" customHeight="false" outlineLevel="0" collapsed="false">
      <c r="A798" s="0" t="s">
        <v>621</v>
      </c>
      <c r="B798" s="0" t="str">
        <f aca="false">'Basis Options'!C801</f>
        <v>NW5635</v>
      </c>
      <c r="C798" s="0" t="s">
        <v>622</v>
      </c>
      <c r="D798" s="0" t="s">
        <v>623</v>
      </c>
      <c r="E798" s="0" t="s">
        <v>131</v>
      </c>
      <c r="F798" s="0" t="str">
        <f aca="false">'Basis Options'!A801</f>
        <v>WILLIAMSENEMAR</v>
      </c>
      <c r="G798" s="0" t="s">
        <v>628</v>
      </c>
      <c r="H798" s="0" t="s">
        <v>625</v>
      </c>
      <c r="I798" s="0" t="s">
        <v>626</v>
      </c>
      <c r="J798" s="0" t="s">
        <v>627</v>
      </c>
      <c r="K798" s="475" t="n">
        <f aca="false">'Basis Options'!G801</f>
        <v>36861</v>
      </c>
      <c r="L798" s="254" t="e">
        <f aca="false">'Basis Options'!U801</f>
        <v>#NAME?</v>
      </c>
      <c r="M798" s="475" t="n">
        <f aca="false">'Basis Options'!Q801</f>
        <v>36859</v>
      </c>
      <c r="N798" s="0" t="str">
        <f aca="false">'Basis Options'!F801</f>
        <v>C</v>
      </c>
      <c r="O798" s="0" t="n">
        <f aca="false">'Basis Options'!I801</f>
        <v>0.2</v>
      </c>
      <c r="P798" s="0" t="n">
        <v>0</v>
      </c>
      <c r="Q798" s="0" t="n">
        <v>0</v>
      </c>
      <c r="R798" s="0" t="n">
        <v>0</v>
      </c>
      <c r="S798" s="0" t="n">
        <v>0</v>
      </c>
      <c r="T798" s="0" t="s">
        <v>624</v>
      </c>
      <c r="U798" s="0" t="str">
        <f aca="false">IF('Basis Options'!D801="NGI/CHI. GATE","""NGI/CHI. GATE""",TRIM('Basis Options'!D801))</f>
        <v>"NGI/CHI. GATE"</v>
      </c>
      <c r="V798" s="0" t="s">
        <v>624</v>
      </c>
      <c r="W798" s="0" t="s">
        <v>569</v>
      </c>
      <c r="X798" s="0" t="s">
        <v>624</v>
      </c>
      <c r="Y798" s="0" t="s">
        <v>627</v>
      </c>
      <c r="Z798" s="0" t="s">
        <v>629</v>
      </c>
      <c r="AA798" s="0" t="s">
        <v>624</v>
      </c>
      <c r="AB798" s="0" t="s">
        <v>132</v>
      </c>
      <c r="AC798" s="254" t="n">
        <f aca="false">'Basis Options'!H801</f>
        <v>-1000000</v>
      </c>
      <c r="AD798" s="254" t="e">
        <f aca="false">'Basis Options'!W801</f>
        <v>#NAME?</v>
      </c>
      <c r="AE798" s="0" t="n">
        <v>0</v>
      </c>
      <c r="AF798" s="0" t="n">
        <v>0</v>
      </c>
      <c r="AG798" s="0" t="n">
        <v>0</v>
      </c>
      <c r="AH798" s="254" t="e">
        <f aca="false">'Basis Options'!CD803</f>
        <v>#NAME?</v>
      </c>
      <c r="AI798" s="0" t="n">
        <v>226</v>
      </c>
      <c r="AJ798" s="0" t="s">
        <v>630</v>
      </c>
      <c r="AK798" s="0" t="n">
        <v>0</v>
      </c>
      <c r="AL798" s="0" t="n">
        <v>0</v>
      </c>
      <c r="AM798" s="0" t="n">
        <v>0</v>
      </c>
    </row>
    <row r="799" customFormat="false" ht="12.75" hidden="false" customHeight="false" outlineLevel="0" collapsed="false">
      <c r="A799" s="0" t="s">
        <v>621</v>
      </c>
      <c r="B799" s="0" t="str">
        <f aca="false">'Basis Options'!C802</f>
        <v>NW5635</v>
      </c>
      <c r="C799" s="0" t="s">
        <v>622</v>
      </c>
      <c r="D799" s="0" t="s">
        <v>623</v>
      </c>
      <c r="E799" s="0" t="s">
        <v>131</v>
      </c>
      <c r="F799" s="0" t="str">
        <f aca="false">'Basis Options'!A802</f>
        <v>WILLIAMSENEMAR</v>
      </c>
      <c r="G799" s="0" t="s">
        <v>628</v>
      </c>
      <c r="H799" s="0" t="s">
        <v>625</v>
      </c>
      <c r="I799" s="0" t="s">
        <v>626</v>
      </c>
      <c r="J799" s="0" t="s">
        <v>627</v>
      </c>
      <c r="K799" s="475" t="n">
        <f aca="false">'Basis Options'!G802</f>
        <v>36892</v>
      </c>
      <c r="L799" s="254" t="e">
        <f aca="false">'Basis Options'!U802</f>
        <v>#NAME?</v>
      </c>
      <c r="M799" s="475" t="n">
        <f aca="false">'Basis Options'!Q802</f>
        <v>36888</v>
      </c>
      <c r="N799" s="0" t="str">
        <f aca="false">'Basis Options'!F802</f>
        <v>C</v>
      </c>
      <c r="O799" s="0" t="n">
        <f aca="false">'Basis Options'!I802</f>
        <v>0.2</v>
      </c>
      <c r="P799" s="0" t="n">
        <v>0</v>
      </c>
      <c r="Q799" s="0" t="n">
        <v>0</v>
      </c>
      <c r="R799" s="0" t="n">
        <v>0</v>
      </c>
      <c r="S799" s="0" t="n">
        <v>0</v>
      </c>
      <c r="T799" s="0" t="s">
        <v>624</v>
      </c>
      <c r="U799" s="0" t="str">
        <f aca="false">IF('Basis Options'!D802="NGI/CHI. GATE","""NGI/CHI. GATE""",TRIM('Basis Options'!D802))</f>
        <v>"NGI/CHI. GATE"</v>
      </c>
      <c r="V799" s="0" t="s">
        <v>624</v>
      </c>
      <c r="W799" s="0" t="s">
        <v>569</v>
      </c>
      <c r="X799" s="0" t="s">
        <v>624</v>
      </c>
      <c r="Y799" s="0" t="s">
        <v>627</v>
      </c>
      <c r="Z799" s="0" t="s">
        <v>629</v>
      </c>
      <c r="AA799" s="0" t="s">
        <v>624</v>
      </c>
      <c r="AB799" s="0" t="s">
        <v>132</v>
      </c>
      <c r="AC799" s="254" t="n">
        <f aca="false">'Basis Options'!H802</f>
        <v>-1000000</v>
      </c>
      <c r="AD799" s="254" t="e">
        <f aca="false">'Basis Options'!W802</f>
        <v>#NAME?</v>
      </c>
      <c r="AE799" s="0" t="n">
        <v>0</v>
      </c>
      <c r="AF799" s="0" t="n">
        <v>0</v>
      </c>
      <c r="AG799" s="0" t="n">
        <v>0</v>
      </c>
      <c r="AH799" s="254" t="e">
        <f aca="false">'Basis Options'!CD804</f>
        <v>#NAME?</v>
      </c>
      <c r="AI799" s="0" t="n">
        <v>226</v>
      </c>
      <c r="AJ799" s="0" t="s">
        <v>630</v>
      </c>
      <c r="AK799" s="0" t="n">
        <v>0</v>
      </c>
      <c r="AL799" s="0" t="n">
        <v>0</v>
      </c>
      <c r="AM799" s="0" t="n">
        <v>0</v>
      </c>
    </row>
    <row r="800" customFormat="false" ht="12.75" hidden="false" customHeight="false" outlineLevel="0" collapsed="false">
      <c r="A800" s="0" t="s">
        <v>621</v>
      </c>
      <c r="B800" s="0" t="str">
        <f aca="false">'Basis Options'!C803</f>
        <v>NW5635</v>
      </c>
      <c r="C800" s="0" t="s">
        <v>622</v>
      </c>
      <c r="D800" s="0" t="s">
        <v>623</v>
      </c>
      <c r="E800" s="0" t="s">
        <v>131</v>
      </c>
      <c r="F800" s="0" t="str">
        <f aca="false">'Basis Options'!A803</f>
        <v>WILLIAMSENEMAR</v>
      </c>
      <c r="G800" s="0" t="s">
        <v>628</v>
      </c>
      <c r="H800" s="0" t="s">
        <v>625</v>
      </c>
      <c r="I800" s="0" t="s">
        <v>626</v>
      </c>
      <c r="J800" s="0" t="s">
        <v>627</v>
      </c>
      <c r="K800" s="475" t="n">
        <f aca="false">'Basis Options'!G803</f>
        <v>36923</v>
      </c>
      <c r="L800" s="254" t="e">
        <f aca="false">'Basis Options'!U803</f>
        <v>#NAME?</v>
      </c>
      <c r="M800" s="475" t="n">
        <f aca="false">'Basis Options'!Q803</f>
        <v>36921</v>
      </c>
      <c r="N800" s="0" t="str">
        <f aca="false">'Basis Options'!F803</f>
        <v>C</v>
      </c>
      <c r="O800" s="0" t="n">
        <f aca="false">'Basis Options'!I803</f>
        <v>0.2</v>
      </c>
      <c r="P800" s="0" t="n">
        <v>0</v>
      </c>
      <c r="Q800" s="0" t="n">
        <v>0</v>
      </c>
      <c r="R800" s="0" t="n">
        <v>0</v>
      </c>
      <c r="S800" s="0" t="n">
        <v>0</v>
      </c>
      <c r="T800" s="0" t="s">
        <v>624</v>
      </c>
      <c r="U800" s="0" t="str">
        <f aca="false">IF('Basis Options'!D803="NGI/CHI. GATE","""NGI/CHI. GATE""",TRIM('Basis Options'!D803))</f>
        <v>"NGI/CHI. GATE"</v>
      </c>
      <c r="V800" s="0" t="s">
        <v>624</v>
      </c>
      <c r="W800" s="0" t="s">
        <v>569</v>
      </c>
      <c r="X800" s="0" t="s">
        <v>624</v>
      </c>
      <c r="Y800" s="0" t="s">
        <v>627</v>
      </c>
      <c r="Z800" s="0" t="s">
        <v>629</v>
      </c>
      <c r="AA800" s="0" t="s">
        <v>624</v>
      </c>
      <c r="AB800" s="0" t="s">
        <v>132</v>
      </c>
      <c r="AC800" s="254" t="n">
        <f aca="false">'Basis Options'!H803</f>
        <v>-1000000</v>
      </c>
      <c r="AD800" s="254" t="e">
        <f aca="false">'Basis Options'!W803</f>
        <v>#NAME?</v>
      </c>
      <c r="AE800" s="0" t="n">
        <v>0</v>
      </c>
      <c r="AF800" s="0" t="n">
        <v>0</v>
      </c>
      <c r="AG800" s="0" t="n">
        <v>0</v>
      </c>
      <c r="AH800" s="254" t="e">
        <f aca="false">'Basis Options'!CD805</f>
        <v>#NAME?</v>
      </c>
      <c r="AI800" s="0" t="n">
        <v>226</v>
      </c>
      <c r="AJ800" s="0" t="s">
        <v>630</v>
      </c>
      <c r="AK800" s="0" t="n">
        <v>0</v>
      </c>
      <c r="AL800" s="0" t="n">
        <v>0</v>
      </c>
      <c r="AM800" s="0" t="n">
        <v>0</v>
      </c>
    </row>
    <row r="801" customFormat="false" ht="12.75" hidden="false" customHeight="false" outlineLevel="0" collapsed="false">
      <c r="A801" s="0" t="s">
        <v>621</v>
      </c>
      <c r="B801" s="0" t="str">
        <f aca="false">'Basis Options'!C804</f>
        <v>NW5635</v>
      </c>
      <c r="C801" s="0" t="s">
        <v>622</v>
      </c>
      <c r="D801" s="0" t="s">
        <v>623</v>
      </c>
      <c r="E801" s="0" t="s">
        <v>131</v>
      </c>
      <c r="F801" s="0" t="str">
        <f aca="false">'Basis Options'!A804</f>
        <v>WILLIAMSENEMAR</v>
      </c>
      <c r="G801" s="0" t="s">
        <v>628</v>
      </c>
      <c r="H801" s="0" t="s">
        <v>625</v>
      </c>
      <c r="I801" s="0" t="s">
        <v>626</v>
      </c>
      <c r="J801" s="0" t="s">
        <v>627</v>
      </c>
      <c r="K801" s="475" t="n">
        <f aca="false">'Basis Options'!G804</f>
        <v>36951</v>
      </c>
      <c r="L801" s="254" t="e">
        <f aca="false">'Basis Options'!U804</f>
        <v>#NAME?</v>
      </c>
      <c r="M801" s="475" t="n">
        <f aca="false">'Basis Options'!Q804</f>
        <v>36949</v>
      </c>
      <c r="N801" s="0" t="str">
        <f aca="false">'Basis Options'!F804</f>
        <v>C</v>
      </c>
      <c r="O801" s="0" t="n">
        <f aca="false">'Basis Options'!I804</f>
        <v>0.2</v>
      </c>
      <c r="P801" s="0" t="n">
        <v>0</v>
      </c>
      <c r="Q801" s="0" t="n">
        <v>0</v>
      </c>
      <c r="R801" s="0" t="n">
        <v>0</v>
      </c>
      <c r="S801" s="0" t="n">
        <v>0</v>
      </c>
      <c r="T801" s="0" t="s">
        <v>624</v>
      </c>
      <c r="U801" s="0" t="str">
        <f aca="false">IF('Basis Options'!D804="NGI/CHI. GATE","""NGI/CHI. GATE""",TRIM('Basis Options'!D804))</f>
        <v>"NGI/CHI. GATE"</v>
      </c>
      <c r="V801" s="0" t="s">
        <v>624</v>
      </c>
      <c r="W801" s="0" t="s">
        <v>569</v>
      </c>
      <c r="X801" s="0" t="s">
        <v>624</v>
      </c>
      <c r="Y801" s="0" t="s">
        <v>627</v>
      </c>
      <c r="Z801" s="0" t="s">
        <v>629</v>
      </c>
      <c r="AA801" s="0" t="s">
        <v>624</v>
      </c>
      <c r="AB801" s="0" t="s">
        <v>132</v>
      </c>
      <c r="AC801" s="254" t="n">
        <f aca="false">'Basis Options'!H804</f>
        <v>-1000000</v>
      </c>
      <c r="AD801" s="254" t="e">
        <f aca="false">'Basis Options'!W804</f>
        <v>#NAME?</v>
      </c>
      <c r="AE801" s="0" t="n">
        <v>0</v>
      </c>
      <c r="AF801" s="0" t="n">
        <v>0</v>
      </c>
      <c r="AG801" s="0" t="n">
        <v>0</v>
      </c>
      <c r="AH801" s="254" t="e">
        <f aca="false">'Basis Options'!CD806</f>
        <v>#NAME?</v>
      </c>
      <c r="AI801" s="0" t="n">
        <v>226</v>
      </c>
      <c r="AJ801" s="0" t="s">
        <v>630</v>
      </c>
      <c r="AK801" s="0" t="n">
        <v>0</v>
      </c>
      <c r="AL801" s="0" t="n">
        <v>0</v>
      </c>
      <c r="AM801" s="0" t="n">
        <v>0</v>
      </c>
    </row>
    <row r="802" customFormat="false" ht="12.75" hidden="false" customHeight="false" outlineLevel="0" collapsed="false">
      <c r="A802" s="0" t="s">
        <v>621</v>
      </c>
      <c r="B802" s="0" t="str">
        <f aca="false">'Basis Options'!C805</f>
        <v>NW8030.1</v>
      </c>
      <c r="C802" s="0" t="s">
        <v>622</v>
      </c>
      <c r="D802" s="0" t="s">
        <v>623</v>
      </c>
      <c r="E802" s="0" t="s">
        <v>131</v>
      </c>
      <c r="F802" s="0" t="str">
        <f aca="false">'Basis Options'!A805</f>
        <v>OCCIDENTENEMAR</v>
      </c>
      <c r="G802" s="0" t="s">
        <v>628</v>
      </c>
      <c r="H802" s="0" t="s">
        <v>625</v>
      </c>
      <c r="I802" s="0" t="s">
        <v>626</v>
      </c>
      <c r="J802" s="0" t="s">
        <v>627</v>
      </c>
      <c r="K802" s="475" t="n">
        <f aca="false">'Basis Options'!G805</f>
        <v>36831</v>
      </c>
      <c r="L802" s="254" t="e">
        <f aca="false">'Basis Options'!U805</f>
        <v>#NAME?</v>
      </c>
      <c r="M802" s="475" t="n">
        <f aca="false">'Basis Options'!Q805</f>
        <v>36829</v>
      </c>
      <c r="N802" s="0" t="str">
        <f aca="false">'Basis Options'!F805</f>
        <v>P</v>
      </c>
      <c r="O802" s="0" t="n">
        <f aca="false">'Basis Options'!I805</f>
        <v>0.11</v>
      </c>
      <c r="P802" s="0" t="n">
        <v>0</v>
      </c>
      <c r="Q802" s="0" t="n">
        <v>0</v>
      </c>
      <c r="R802" s="0" t="n">
        <v>0</v>
      </c>
      <c r="S802" s="0" t="n">
        <v>0</v>
      </c>
      <c r="T802" s="0" t="s">
        <v>624</v>
      </c>
      <c r="U802" s="0" t="str">
        <f aca="false">IF('Basis Options'!D805="NGI/CHI. GATE","""NGI/CHI. GATE""",TRIM('Basis Options'!D805))</f>
        <v>"NGI/CHI. GATE"</v>
      </c>
      <c r="V802" s="0" t="s">
        <v>624</v>
      </c>
      <c r="W802" s="0" t="s">
        <v>569</v>
      </c>
      <c r="X802" s="0" t="s">
        <v>624</v>
      </c>
      <c r="Y802" s="0" t="s">
        <v>627</v>
      </c>
      <c r="Z802" s="0" t="s">
        <v>629</v>
      </c>
      <c r="AA802" s="0" t="s">
        <v>624</v>
      </c>
      <c r="AB802" s="0" t="s">
        <v>132</v>
      </c>
      <c r="AC802" s="254" t="n">
        <f aca="false">'Basis Options'!H805</f>
        <v>300000</v>
      </c>
      <c r="AD802" s="254" t="e">
        <f aca="false">'Basis Options'!W805</f>
        <v>#NAME?</v>
      </c>
      <c r="AE802" s="0" t="n">
        <v>0</v>
      </c>
      <c r="AF802" s="0" t="n">
        <v>0</v>
      </c>
      <c r="AG802" s="0" t="n">
        <v>0</v>
      </c>
      <c r="AH802" s="254" t="e">
        <f aca="false">'Basis Options'!CD807</f>
        <v>#NAME?</v>
      </c>
      <c r="AI802" s="0" t="n">
        <v>226</v>
      </c>
      <c r="AJ802" s="0" t="s">
        <v>630</v>
      </c>
      <c r="AK802" s="0" t="n">
        <v>0</v>
      </c>
      <c r="AL802" s="0" t="n">
        <v>0</v>
      </c>
      <c r="AM802" s="0" t="n">
        <v>0</v>
      </c>
    </row>
    <row r="803" customFormat="false" ht="12.75" hidden="false" customHeight="false" outlineLevel="0" collapsed="false">
      <c r="A803" s="0" t="s">
        <v>621</v>
      </c>
      <c r="B803" s="0" t="str">
        <f aca="false">'Basis Options'!C806</f>
        <v>NW8030.1</v>
      </c>
      <c r="C803" s="0" t="s">
        <v>622</v>
      </c>
      <c r="D803" s="0" t="s">
        <v>623</v>
      </c>
      <c r="E803" s="0" t="s">
        <v>131</v>
      </c>
      <c r="F803" s="0" t="str">
        <f aca="false">'Basis Options'!A806</f>
        <v>OCCIDENTENEMAR</v>
      </c>
      <c r="G803" s="0" t="s">
        <v>628</v>
      </c>
      <c r="H803" s="0" t="s">
        <v>625</v>
      </c>
      <c r="I803" s="0" t="s">
        <v>626</v>
      </c>
      <c r="J803" s="0" t="s">
        <v>627</v>
      </c>
      <c r="K803" s="475" t="n">
        <f aca="false">'Basis Options'!G806</f>
        <v>36861</v>
      </c>
      <c r="L803" s="254" t="e">
        <f aca="false">'Basis Options'!U806</f>
        <v>#NAME?</v>
      </c>
      <c r="M803" s="475" t="n">
        <f aca="false">'Basis Options'!Q806</f>
        <v>36859</v>
      </c>
      <c r="N803" s="0" t="str">
        <f aca="false">'Basis Options'!F806</f>
        <v>P</v>
      </c>
      <c r="O803" s="0" t="n">
        <f aca="false">'Basis Options'!I806</f>
        <v>0.11</v>
      </c>
      <c r="P803" s="0" t="n">
        <v>0</v>
      </c>
      <c r="Q803" s="0" t="n">
        <v>0</v>
      </c>
      <c r="R803" s="0" t="n">
        <v>0</v>
      </c>
      <c r="S803" s="0" t="n">
        <v>0</v>
      </c>
      <c r="T803" s="0" t="s">
        <v>624</v>
      </c>
      <c r="U803" s="0" t="str">
        <f aca="false">IF('Basis Options'!D806="NGI/CHI. GATE","""NGI/CHI. GATE""",TRIM('Basis Options'!D806))</f>
        <v>"NGI/CHI. GATE"</v>
      </c>
      <c r="V803" s="0" t="s">
        <v>624</v>
      </c>
      <c r="W803" s="0" t="s">
        <v>569</v>
      </c>
      <c r="X803" s="0" t="s">
        <v>624</v>
      </c>
      <c r="Y803" s="0" t="s">
        <v>627</v>
      </c>
      <c r="Z803" s="0" t="s">
        <v>629</v>
      </c>
      <c r="AA803" s="0" t="s">
        <v>624</v>
      </c>
      <c r="AB803" s="0" t="s">
        <v>132</v>
      </c>
      <c r="AC803" s="254" t="n">
        <f aca="false">'Basis Options'!H806</f>
        <v>310000</v>
      </c>
      <c r="AD803" s="254" t="e">
        <f aca="false">'Basis Options'!W806</f>
        <v>#NAME?</v>
      </c>
      <c r="AE803" s="0" t="n">
        <v>0</v>
      </c>
      <c r="AF803" s="0" t="n">
        <v>0</v>
      </c>
      <c r="AG803" s="0" t="n">
        <v>0</v>
      </c>
      <c r="AH803" s="254" t="e">
        <f aca="false">'Basis Options'!CD808</f>
        <v>#NAME?</v>
      </c>
      <c r="AI803" s="0" t="n">
        <v>226</v>
      </c>
      <c r="AJ803" s="0" t="s">
        <v>630</v>
      </c>
      <c r="AK803" s="0" t="n">
        <v>0</v>
      </c>
      <c r="AL803" s="0" t="n">
        <v>0</v>
      </c>
      <c r="AM803" s="0" t="n">
        <v>0</v>
      </c>
    </row>
    <row r="804" customFormat="false" ht="12.75" hidden="false" customHeight="false" outlineLevel="0" collapsed="false">
      <c r="A804" s="0" t="s">
        <v>621</v>
      </c>
      <c r="B804" s="0" t="str">
        <f aca="false">'Basis Options'!C807</f>
        <v>NW8030.1</v>
      </c>
      <c r="C804" s="0" t="s">
        <v>622</v>
      </c>
      <c r="D804" s="0" t="s">
        <v>623</v>
      </c>
      <c r="E804" s="0" t="s">
        <v>131</v>
      </c>
      <c r="F804" s="0" t="str">
        <f aca="false">'Basis Options'!A807</f>
        <v>OCCIDENTENEMAR</v>
      </c>
      <c r="G804" s="0" t="s">
        <v>628</v>
      </c>
      <c r="H804" s="0" t="s">
        <v>625</v>
      </c>
      <c r="I804" s="0" t="s">
        <v>626</v>
      </c>
      <c r="J804" s="0" t="s">
        <v>627</v>
      </c>
      <c r="K804" s="475" t="n">
        <f aca="false">'Basis Options'!G807</f>
        <v>36892</v>
      </c>
      <c r="L804" s="254" t="e">
        <f aca="false">'Basis Options'!U807</f>
        <v>#NAME?</v>
      </c>
      <c r="M804" s="475" t="n">
        <f aca="false">'Basis Options'!Q807</f>
        <v>36888</v>
      </c>
      <c r="N804" s="0" t="str">
        <f aca="false">'Basis Options'!F807</f>
        <v>P</v>
      </c>
      <c r="O804" s="0" t="n">
        <f aca="false">'Basis Options'!I807</f>
        <v>0.11</v>
      </c>
      <c r="P804" s="0" t="n">
        <v>0</v>
      </c>
      <c r="Q804" s="0" t="n">
        <v>0</v>
      </c>
      <c r="R804" s="0" t="n">
        <v>0</v>
      </c>
      <c r="S804" s="0" t="n">
        <v>0</v>
      </c>
      <c r="T804" s="0" t="s">
        <v>624</v>
      </c>
      <c r="U804" s="0" t="str">
        <f aca="false">IF('Basis Options'!D807="NGI/CHI. GATE","""NGI/CHI. GATE""",TRIM('Basis Options'!D807))</f>
        <v>"NGI/CHI. GATE"</v>
      </c>
      <c r="V804" s="0" t="s">
        <v>624</v>
      </c>
      <c r="W804" s="0" t="s">
        <v>569</v>
      </c>
      <c r="X804" s="0" t="s">
        <v>624</v>
      </c>
      <c r="Y804" s="0" t="s">
        <v>627</v>
      </c>
      <c r="Z804" s="0" t="s">
        <v>629</v>
      </c>
      <c r="AA804" s="0" t="s">
        <v>624</v>
      </c>
      <c r="AB804" s="0" t="s">
        <v>132</v>
      </c>
      <c r="AC804" s="254" t="n">
        <f aca="false">'Basis Options'!H807</f>
        <v>310000</v>
      </c>
      <c r="AD804" s="254" t="e">
        <f aca="false">'Basis Options'!W807</f>
        <v>#NAME?</v>
      </c>
      <c r="AE804" s="0" t="n">
        <v>0</v>
      </c>
      <c r="AF804" s="0" t="n">
        <v>0</v>
      </c>
      <c r="AG804" s="0" t="n">
        <v>0</v>
      </c>
      <c r="AH804" s="254" t="e">
        <f aca="false">'Basis Options'!CD809</f>
        <v>#NAME?</v>
      </c>
      <c r="AI804" s="0" t="n">
        <v>226</v>
      </c>
      <c r="AJ804" s="0" t="s">
        <v>630</v>
      </c>
      <c r="AK804" s="0" t="n">
        <v>0</v>
      </c>
      <c r="AL804" s="0" t="n">
        <v>0</v>
      </c>
      <c r="AM804" s="0" t="n">
        <v>0</v>
      </c>
    </row>
    <row r="805" customFormat="false" ht="12.75" hidden="false" customHeight="false" outlineLevel="0" collapsed="false">
      <c r="A805" s="0" t="s">
        <v>621</v>
      </c>
      <c r="B805" s="0" t="str">
        <f aca="false">'Basis Options'!C808</f>
        <v>NW8030.1</v>
      </c>
      <c r="C805" s="0" t="s">
        <v>622</v>
      </c>
      <c r="D805" s="0" t="s">
        <v>623</v>
      </c>
      <c r="E805" s="0" t="s">
        <v>131</v>
      </c>
      <c r="F805" s="0" t="str">
        <f aca="false">'Basis Options'!A808</f>
        <v>OCCIDENTENEMAR</v>
      </c>
      <c r="G805" s="0" t="s">
        <v>628</v>
      </c>
      <c r="H805" s="0" t="s">
        <v>625</v>
      </c>
      <c r="I805" s="0" t="s">
        <v>626</v>
      </c>
      <c r="J805" s="0" t="s">
        <v>627</v>
      </c>
      <c r="K805" s="475" t="n">
        <f aca="false">'Basis Options'!G808</f>
        <v>36923</v>
      </c>
      <c r="L805" s="254" t="e">
        <f aca="false">'Basis Options'!U808</f>
        <v>#NAME?</v>
      </c>
      <c r="M805" s="475" t="n">
        <f aca="false">'Basis Options'!Q808</f>
        <v>36921</v>
      </c>
      <c r="N805" s="0" t="str">
        <f aca="false">'Basis Options'!F808</f>
        <v>P</v>
      </c>
      <c r="O805" s="0" t="n">
        <f aca="false">'Basis Options'!I808</f>
        <v>0.11</v>
      </c>
      <c r="P805" s="0" t="n">
        <v>0</v>
      </c>
      <c r="Q805" s="0" t="n">
        <v>0</v>
      </c>
      <c r="R805" s="0" t="n">
        <v>0</v>
      </c>
      <c r="S805" s="0" t="n">
        <v>0</v>
      </c>
      <c r="T805" s="0" t="s">
        <v>624</v>
      </c>
      <c r="U805" s="0" t="str">
        <f aca="false">IF('Basis Options'!D808="NGI/CHI. GATE","""NGI/CHI. GATE""",TRIM('Basis Options'!D808))</f>
        <v>"NGI/CHI. GATE"</v>
      </c>
      <c r="V805" s="0" t="s">
        <v>624</v>
      </c>
      <c r="W805" s="0" t="s">
        <v>569</v>
      </c>
      <c r="X805" s="0" t="s">
        <v>624</v>
      </c>
      <c r="Y805" s="0" t="s">
        <v>627</v>
      </c>
      <c r="Z805" s="0" t="s">
        <v>629</v>
      </c>
      <c r="AA805" s="0" t="s">
        <v>624</v>
      </c>
      <c r="AB805" s="0" t="s">
        <v>132</v>
      </c>
      <c r="AC805" s="254" t="n">
        <f aca="false">'Basis Options'!H808</f>
        <v>280000</v>
      </c>
      <c r="AD805" s="254" t="e">
        <f aca="false">'Basis Options'!W808</f>
        <v>#NAME?</v>
      </c>
      <c r="AE805" s="0" t="n">
        <v>0</v>
      </c>
      <c r="AF805" s="0" t="n">
        <v>0</v>
      </c>
      <c r="AG805" s="0" t="n">
        <v>0</v>
      </c>
      <c r="AH805" s="254" t="e">
        <f aca="false">'Basis Options'!CD810</f>
        <v>#NAME?</v>
      </c>
      <c r="AI805" s="0" t="n">
        <v>226</v>
      </c>
      <c r="AJ805" s="0" t="s">
        <v>630</v>
      </c>
      <c r="AK805" s="0" t="n">
        <v>0</v>
      </c>
      <c r="AL805" s="0" t="n">
        <v>0</v>
      </c>
      <c r="AM805" s="0" t="n">
        <v>0</v>
      </c>
    </row>
    <row r="806" customFormat="false" ht="12.75" hidden="false" customHeight="false" outlineLevel="0" collapsed="false">
      <c r="A806" s="0" t="s">
        <v>621</v>
      </c>
      <c r="B806" s="0" t="str">
        <f aca="false">'Basis Options'!C809</f>
        <v>NW8030.1</v>
      </c>
      <c r="C806" s="0" t="s">
        <v>622</v>
      </c>
      <c r="D806" s="0" t="s">
        <v>623</v>
      </c>
      <c r="E806" s="0" t="s">
        <v>131</v>
      </c>
      <c r="F806" s="0" t="str">
        <f aca="false">'Basis Options'!A809</f>
        <v>OCCIDENTENEMAR</v>
      </c>
      <c r="G806" s="0" t="s">
        <v>628</v>
      </c>
      <c r="H806" s="0" t="s">
        <v>625</v>
      </c>
      <c r="I806" s="0" t="s">
        <v>626</v>
      </c>
      <c r="J806" s="0" t="s">
        <v>627</v>
      </c>
      <c r="K806" s="475" t="n">
        <f aca="false">'Basis Options'!G809</f>
        <v>36951</v>
      </c>
      <c r="L806" s="254" t="e">
        <f aca="false">'Basis Options'!U809</f>
        <v>#NAME?</v>
      </c>
      <c r="M806" s="475" t="n">
        <f aca="false">'Basis Options'!Q809</f>
        <v>36949</v>
      </c>
      <c r="N806" s="0" t="str">
        <f aca="false">'Basis Options'!F809</f>
        <v>P</v>
      </c>
      <c r="O806" s="0" t="n">
        <f aca="false">'Basis Options'!I809</f>
        <v>0.11</v>
      </c>
      <c r="P806" s="0" t="n">
        <v>0</v>
      </c>
      <c r="Q806" s="0" t="n">
        <v>0</v>
      </c>
      <c r="R806" s="0" t="n">
        <v>0</v>
      </c>
      <c r="S806" s="0" t="n">
        <v>0</v>
      </c>
      <c r="T806" s="0" t="s">
        <v>624</v>
      </c>
      <c r="U806" s="0" t="str">
        <f aca="false">IF('Basis Options'!D809="NGI/CHI. GATE","""NGI/CHI. GATE""",TRIM('Basis Options'!D809))</f>
        <v>"NGI/CHI. GATE"</v>
      </c>
      <c r="V806" s="0" t="s">
        <v>624</v>
      </c>
      <c r="W806" s="0" t="s">
        <v>569</v>
      </c>
      <c r="X806" s="0" t="s">
        <v>624</v>
      </c>
      <c r="Y806" s="0" t="s">
        <v>627</v>
      </c>
      <c r="Z806" s="0" t="s">
        <v>629</v>
      </c>
      <c r="AA806" s="0" t="s">
        <v>624</v>
      </c>
      <c r="AB806" s="0" t="s">
        <v>132</v>
      </c>
      <c r="AC806" s="254" t="n">
        <f aca="false">'Basis Options'!H809</f>
        <v>310000</v>
      </c>
      <c r="AD806" s="254" t="e">
        <f aca="false">'Basis Options'!W809</f>
        <v>#NAME?</v>
      </c>
      <c r="AE806" s="0" t="n">
        <v>0</v>
      </c>
      <c r="AF806" s="0" t="n">
        <v>0</v>
      </c>
      <c r="AG806" s="0" t="n">
        <v>0</v>
      </c>
      <c r="AH806" s="254" t="e">
        <f aca="false">'Basis Options'!CD811</f>
        <v>#NAME?</v>
      </c>
      <c r="AI806" s="0" t="n">
        <v>226</v>
      </c>
      <c r="AJ806" s="0" t="s">
        <v>630</v>
      </c>
      <c r="AK806" s="0" t="n">
        <v>0</v>
      </c>
      <c r="AL806" s="0" t="n">
        <v>0</v>
      </c>
      <c r="AM806" s="0" t="n">
        <v>0</v>
      </c>
    </row>
    <row r="807" customFormat="false" ht="12.75" hidden="false" customHeight="false" outlineLevel="0" collapsed="false">
      <c r="A807" s="0" t="s">
        <v>621</v>
      </c>
      <c r="B807" s="0" t="str">
        <f aca="false">'Basis Options'!C810</f>
        <v>NW8030.2</v>
      </c>
      <c r="C807" s="0" t="s">
        <v>622</v>
      </c>
      <c r="D807" s="0" t="s">
        <v>623</v>
      </c>
      <c r="E807" s="0" t="s">
        <v>131</v>
      </c>
      <c r="F807" s="0" t="str">
        <f aca="false">'Basis Options'!A810</f>
        <v>OCCIDENTENEMAR</v>
      </c>
      <c r="G807" s="0" t="s">
        <v>628</v>
      </c>
      <c r="H807" s="0" t="s">
        <v>625</v>
      </c>
      <c r="I807" s="0" t="s">
        <v>626</v>
      </c>
      <c r="J807" s="0" t="s">
        <v>627</v>
      </c>
      <c r="K807" s="475" t="n">
        <f aca="false">'Basis Options'!G810</f>
        <v>36831</v>
      </c>
      <c r="L807" s="254" t="e">
        <f aca="false">'Basis Options'!U810</f>
        <v>#NAME?</v>
      </c>
      <c r="M807" s="475" t="n">
        <f aca="false">'Basis Options'!Q810</f>
        <v>36829</v>
      </c>
      <c r="N807" s="0" t="str">
        <f aca="false">'Basis Options'!F810</f>
        <v>P</v>
      </c>
      <c r="O807" s="0" t="n">
        <f aca="false">'Basis Options'!I810</f>
        <v>0.11</v>
      </c>
      <c r="P807" s="0" t="n">
        <v>0</v>
      </c>
      <c r="Q807" s="0" t="n">
        <v>0</v>
      </c>
      <c r="R807" s="0" t="n">
        <v>0</v>
      </c>
      <c r="S807" s="0" t="n">
        <v>0</v>
      </c>
      <c r="T807" s="0" t="s">
        <v>624</v>
      </c>
      <c r="U807" s="0" t="str">
        <f aca="false">IF('Basis Options'!D810="NGI/CHI. GATE","""NGI/CHI. GATE""",TRIM('Basis Options'!D810))</f>
        <v>"NGI/CHI. GATE"</v>
      </c>
      <c r="V807" s="0" t="s">
        <v>624</v>
      </c>
      <c r="W807" s="0" t="s">
        <v>569</v>
      </c>
      <c r="X807" s="0" t="s">
        <v>624</v>
      </c>
      <c r="Y807" s="0" t="s">
        <v>627</v>
      </c>
      <c r="Z807" s="0" t="s">
        <v>629</v>
      </c>
      <c r="AA807" s="0" t="s">
        <v>624</v>
      </c>
      <c r="AB807" s="0" t="s">
        <v>132</v>
      </c>
      <c r="AC807" s="254" t="n">
        <f aca="false">'Basis Options'!H810</f>
        <v>300000</v>
      </c>
      <c r="AD807" s="254" t="e">
        <f aca="false">'Basis Options'!W810</f>
        <v>#NAME?</v>
      </c>
      <c r="AE807" s="0" t="n">
        <v>0</v>
      </c>
      <c r="AF807" s="0" t="n">
        <v>0</v>
      </c>
      <c r="AG807" s="0" t="n">
        <v>0</v>
      </c>
      <c r="AH807" s="254" t="e">
        <f aca="false">'Basis Options'!CD812</f>
        <v>#NAME?</v>
      </c>
      <c r="AI807" s="0" t="n">
        <v>226</v>
      </c>
      <c r="AJ807" s="0" t="s">
        <v>630</v>
      </c>
      <c r="AK807" s="0" t="n">
        <v>0</v>
      </c>
      <c r="AL807" s="0" t="n">
        <v>0</v>
      </c>
      <c r="AM807" s="0" t="n">
        <v>0</v>
      </c>
    </row>
    <row r="808" customFormat="false" ht="12.75" hidden="false" customHeight="false" outlineLevel="0" collapsed="false">
      <c r="A808" s="0" t="s">
        <v>621</v>
      </c>
      <c r="B808" s="0" t="str">
        <f aca="false">'Basis Options'!C811</f>
        <v>NW8030.2</v>
      </c>
      <c r="C808" s="0" t="s">
        <v>622</v>
      </c>
      <c r="D808" s="0" t="s">
        <v>623</v>
      </c>
      <c r="E808" s="0" t="s">
        <v>131</v>
      </c>
      <c r="F808" s="0" t="str">
        <f aca="false">'Basis Options'!A811</f>
        <v>OCCIDENTENEMAR</v>
      </c>
      <c r="G808" s="0" t="s">
        <v>628</v>
      </c>
      <c r="H808" s="0" t="s">
        <v>625</v>
      </c>
      <c r="I808" s="0" t="s">
        <v>626</v>
      </c>
      <c r="J808" s="0" t="s">
        <v>627</v>
      </c>
      <c r="K808" s="475" t="n">
        <f aca="false">'Basis Options'!G811</f>
        <v>36861</v>
      </c>
      <c r="L808" s="254" t="e">
        <f aca="false">'Basis Options'!U811</f>
        <v>#NAME?</v>
      </c>
      <c r="M808" s="475" t="n">
        <f aca="false">'Basis Options'!Q811</f>
        <v>36859</v>
      </c>
      <c r="N808" s="0" t="str">
        <f aca="false">'Basis Options'!F811</f>
        <v>P</v>
      </c>
      <c r="O808" s="0" t="n">
        <f aca="false">'Basis Options'!I811</f>
        <v>0.11</v>
      </c>
      <c r="P808" s="0" t="n">
        <v>0</v>
      </c>
      <c r="Q808" s="0" t="n">
        <v>0</v>
      </c>
      <c r="R808" s="0" t="n">
        <v>0</v>
      </c>
      <c r="S808" s="0" t="n">
        <v>0</v>
      </c>
      <c r="T808" s="0" t="s">
        <v>624</v>
      </c>
      <c r="U808" s="0" t="str">
        <f aca="false">IF('Basis Options'!D811="NGI/CHI. GATE","""NGI/CHI. GATE""",TRIM('Basis Options'!D811))</f>
        <v>"NGI/CHI. GATE"</v>
      </c>
      <c r="V808" s="0" t="s">
        <v>624</v>
      </c>
      <c r="W808" s="0" t="s">
        <v>569</v>
      </c>
      <c r="X808" s="0" t="s">
        <v>624</v>
      </c>
      <c r="Y808" s="0" t="s">
        <v>627</v>
      </c>
      <c r="Z808" s="0" t="s">
        <v>629</v>
      </c>
      <c r="AA808" s="0" t="s">
        <v>624</v>
      </c>
      <c r="AB808" s="0" t="s">
        <v>132</v>
      </c>
      <c r="AC808" s="254" t="n">
        <f aca="false">'Basis Options'!H811</f>
        <v>310000</v>
      </c>
      <c r="AD808" s="254" t="e">
        <f aca="false">'Basis Options'!W811</f>
        <v>#NAME?</v>
      </c>
      <c r="AE808" s="0" t="n">
        <v>0</v>
      </c>
      <c r="AF808" s="0" t="n">
        <v>0</v>
      </c>
      <c r="AG808" s="0" t="n">
        <v>0</v>
      </c>
      <c r="AH808" s="254" t="e">
        <f aca="false">'Basis Options'!CD813</f>
        <v>#NAME?</v>
      </c>
      <c r="AI808" s="0" t="n">
        <v>226</v>
      </c>
      <c r="AJ808" s="0" t="s">
        <v>630</v>
      </c>
      <c r="AK808" s="0" t="n">
        <v>0</v>
      </c>
      <c r="AL808" s="0" t="n">
        <v>0</v>
      </c>
      <c r="AM808" s="0" t="n">
        <v>0</v>
      </c>
    </row>
    <row r="809" customFormat="false" ht="12.75" hidden="false" customHeight="false" outlineLevel="0" collapsed="false">
      <c r="A809" s="0" t="s">
        <v>621</v>
      </c>
      <c r="B809" s="0" t="str">
        <f aca="false">'Basis Options'!C812</f>
        <v>NW8030.2</v>
      </c>
      <c r="C809" s="0" t="s">
        <v>622</v>
      </c>
      <c r="D809" s="0" t="s">
        <v>623</v>
      </c>
      <c r="E809" s="0" t="s">
        <v>131</v>
      </c>
      <c r="F809" s="0" t="str">
        <f aca="false">'Basis Options'!A812</f>
        <v>OCCIDENTENEMAR</v>
      </c>
      <c r="G809" s="0" t="s">
        <v>628</v>
      </c>
      <c r="H809" s="0" t="s">
        <v>625</v>
      </c>
      <c r="I809" s="0" t="s">
        <v>626</v>
      </c>
      <c r="J809" s="0" t="s">
        <v>627</v>
      </c>
      <c r="K809" s="475" t="n">
        <f aca="false">'Basis Options'!G812</f>
        <v>36892</v>
      </c>
      <c r="L809" s="254" t="e">
        <f aca="false">'Basis Options'!U812</f>
        <v>#NAME?</v>
      </c>
      <c r="M809" s="475" t="n">
        <f aca="false">'Basis Options'!Q812</f>
        <v>36888</v>
      </c>
      <c r="N809" s="0" t="str">
        <f aca="false">'Basis Options'!F812</f>
        <v>P</v>
      </c>
      <c r="O809" s="0" t="n">
        <f aca="false">'Basis Options'!I812</f>
        <v>0.11</v>
      </c>
      <c r="P809" s="0" t="n">
        <v>0</v>
      </c>
      <c r="Q809" s="0" t="n">
        <v>0</v>
      </c>
      <c r="R809" s="0" t="n">
        <v>0</v>
      </c>
      <c r="S809" s="0" t="n">
        <v>0</v>
      </c>
      <c r="T809" s="0" t="s">
        <v>624</v>
      </c>
      <c r="U809" s="0" t="str">
        <f aca="false">IF('Basis Options'!D812="NGI/CHI. GATE","""NGI/CHI. GATE""",TRIM('Basis Options'!D812))</f>
        <v>"NGI/CHI. GATE"</v>
      </c>
      <c r="V809" s="0" t="s">
        <v>624</v>
      </c>
      <c r="W809" s="0" t="s">
        <v>569</v>
      </c>
      <c r="X809" s="0" t="s">
        <v>624</v>
      </c>
      <c r="Y809" s="0" t="s">
        <v>627</v>
      </c>
      <c r="Z809" s="0" t="s">
        <v>629</v>
      </c>
      <c r="AA809" s="0" t="s">
        <v>624</v>
      </c>
      <c r="AB809" s="0" t="s">
        <v>132</v>
      </c>
      <c r="AC809" s="254" t="n">
        <f aca="false">'Basis Options'!H812</f>
        <v>310000</v>
      </c>
      <c r="AD809" s="254" t="e">
        <f aca="false">'Basis Options'!W812</f>
        <v>#NAME?</v>
      </c>
      <c r="AE809" s="0" t="n">
        <v>0</v>
      </c>
      <c r="AF809" s="0" t="n">
        <v>0</v>
      </c>
      <c r="AG809" s="0" t="n">
        <v>0</v>
      </c>
      <c r="AH809" s="254" t="e">
        <f aca="false">'Basis Options'!CD814</f>
        <v>#NAME?</v>
      </c>
      <c r="AI809" s="0" t="n">
        <v>226</v>
      </c>
      <c r="AJ809" s="0" t="s">
        <v>630</v>
      </c>
      <c r="AK809" s="0" t="n">
        <v>0</v>
      </c>
      <c r="AL809" s="0" t="n">
        <v>0</v>
      </c>
      <c r="AM809" s="0" t="n">
        <v>0</v>
      </c>
    </row>
    <row r="810" customFormat="false" ht="12.75" hidden="false" customHeight="false" outlineLevel="0" collapsed="false">
      <c r="A810" s="0" t="s">
        <v>621</v>
      </c>
      <c r="B810" s="0" t="str">
        <f aca="false">'Basis Options'!C813</f>
        <v>NW8030.2</v>
      </c>
      <c r="C810" s="0" t="s">
        <v>622</v>
      </c>
      <c r="D810" s="0" t="s">
        <v>623</v>
      </c>
      <c r="E810" s="0" t="s">
        <v>131</v>
      </c>
      <c r="F810" s="0" t="str">
        <f aca="false">'Basis Options'!A813</f>
        <v>OCCIDENTENEMAR</v>
      </c>
      <c r="G810" s="0" t="s">
        <v>628</v>
      </c>
      <c r="H810" s="0" t="s">
        <v>625</v>
      </c>
      <c r="I810" s="0" t="s">
        <v>626</v>
      </c>
      <c r="J810" s="0" t="s">
        <v>627</v>
      </c>
      <c r="K810" s="475" t="n">
        <f aca="false">'Basis Options'!G813</f>
        <v>36923</v>
      </c>
      <c r="L810" s="254" t="e">
        <f aca="false">'Basis Options'!U813</f>
        <v>#NAME?</v>
      </c>
      <c r="M810" s="475" t="n">
        <f aca="false">'Basis Options'!Q813</f>
        <v>36921</v>
      </c>
      <c r="N810" s="0" t="str">
        <f aca="false">'Basis Options'!F813</f>
        <v>P</v>
      </c>
      <c r="O810" s="0" t="n">
        <f aca="false">'Basis Options'!I813</f>
        <v>0.11</v>
      </c>
      <c r="P810" s="0" t="n">
        <v>0</v>
      </c>
      <c r="Q810" s="0" t="n">
        <v>0</v>
      </c>
      <c r="R810" s="0" t="n">
        <v>0</v>
      </c>
      <c r="S810" s="0" t="n">
        <v>0</v>
      </c>
      <c r="T810" s="0" t="s">
        <v>624</v>
      </c>
      <c r="U810" s="0" t="str">
        <f aca="false">IF('Basis Options'!D813="NGI/CHI. GATE","""NGI/CHI. GATE""",TRIM('Basis Options'!D813))</f>
        <v>"NGI/CHI. GATE"</v>
      </c>
      <c r="V810" s="0" t="s">
        <v>624</v>
      </c>
      <c r="W810" s="0" t="s">
        <v>569</v>
      </c>
      <c r="X810" s="0" t="s">
        <v>624</v>
      </c>
      <c r="Y810" s="0" t="s">
        <v>627</v>
      </c>
      <c r="Z810" s="0" t="s">
        <v>629</v>
      </c>
      <c r="AA810" s="0" t="s">
        <v>624</v>
      </c>
      <c r="AB810" s="0" t="s">
        <v>132</v>
      </c>
      <c r="AC810" s="254" t="n">
        <f aca="false">'Basis Options'!H813</f>
        <v>280000</v>
      </c>
      <c r="AD810" s="254" t="e">
        <f aca="false">'Basis Options'!W813</f>
        <v>#NAME?</v>
      </c>
      <c r="AE810" s="0" t="n">
        <v>0</v>
      </c>
      <c r="AF810" s="0" t="n">
        <v>0</v>
      </c>
      <c r="AG810" s="0" t="n">
        <v>0</v>
      </c>
      <c r="AH810" s="254" t="e">
        <f aca="false">'Basis Options'!CD815</f>
        <v>#NAME?</v>
      </c>
      <c r="AI810" s="0" t="n">
        <v>226</v>
      </c>
      <c r="AJ810" s="0" t="s">
        <v>630</v>
      </c>
      <c r="AK810" s="0" t="n">
        <v>0</v>
      </c>
      <c r="AL810" s="0" t="n">
        <v>0</v>
      </c>
      <c r="AM810" s="0" t="n">
        <v>0</v>
      </c>
    </row>
    <row r="811" customFormat="false" ht="12.75" hidden="false" customHeight="false" outlineLevel="0" collapsed="false">
      <c r="A811" s="0" t="s">
        <v>621</v>
      </c>
      <c r="B811" s="0" t="str">
        <f aca="false">'Basis Options'!C814</f>
        <v>NW9582</v>
      </c>
      <c r="C811" s="0" t="s">
        <v>622</v>
      </c>
      <c r="D811" s="0" t="s">
        <v>623</v>
      </c>
      <c r="E811" s="0" t="s">
        <v>131</v>
      </c>
      <c r="F811" s="0" t="str">
        <f aca="false">'Basis Options'!A814</f>
        <v>AEPENESER</v>
      </c>
      <c r="G811" s="0" t="s">
        <v>628</v>
      </c>
      <c r="H811" s="0" t="s">
        <v>625</v>
      </c>
      <c r="I811" s="0" t="s">
        <v>626</v>
      </c>
      <c r="J811" s="0" t="s">
        <v>627</v>
      </c>
      <c r="K811" s="475" t="n">
        <f aca="false">'Basis Options'!G814</f>
        <v>36831</v>
      </c>
      <c r="L811" s="254" t="e">
        <f aca="false">'Basis Options'!U814</f>
        <v>#NAME?</v>
      </c>
      <c r="M811" s="475" t="n">
        <f aca="false">'Basis Options'!Q814</f>
        <v>36829</v>
      </c>
      <c r="N811" s="0" t="str">
        <f aca="false">'Basis Options'!F814</f>
        <v>C</v>
      </c>
      <c r="O811" s="0" t="n">
        <f aca="false">'Basis Options'!I814</f>
        <v>1</v>
      </c>
      <c r="P811" s="0" t="n">
        <v>0</v>
      </c>
      <c r="Q811" s="0" t="n">
        <v>0</v>
      </c>
      <c r="R811" s="0" t="n">
        <v>0</v>
      </c>
      <c r="S811" s="0" t="n">
        <v>0</v>
      </c>
      <c r="T811" s="0" t="s">
        <v>624</v>
      </c>
      <c r="U811" s="0" t="str">
        <f aca="false">IF('Basis Options'!D814="NGI/CHI. GATE","""NGI/CHI. GATE""",TRIM('Basis Options'!D814))</f>
        <v>IF-TRANSCO/Z6</v>
      </c>
      <c r="V811" s="0" t="s">
        <v>624</v>
      </c>
      <c r="W811" s="0" t="s">
        <v>569</v>
      </c>
      <c r="X811" s="0" t="s">
        <v>624</v>
      </c>
      <c r="Y811" s="0" t="s">
        <v>627</v>
      </c>
      <c r="Z811" s="0" t="s">
        <v>629</v>
      </c>
      <c r="AA811" s="0" t="s">
        <v>624</v>
      </c>
      <c r="AB811" s="0" t="s">
        <v>132</v>
      </c>
      <c r="AC811" s="254" t="n">
        <f aca="false">'Basis Options'!H814</f>
        <v>500000</v>
      </c>
      <c r="AD811" s="254" t="e">
        <f aca="false">'Basis Options'!W814</f>
        <v>#NAME?</v>
      </c>
      <c r="AE811" s="0" t="n">
        <v>0</v>
      </c>
      <c r="AF811" s="0" t="n">
        <v>0</v>
      </c>
      <c r="AG811" s="0" t="n">
        <v>0</v>
      </c>
      <c r="AH811" s="254" t="e">
        <f aca="false">'Basis Options'!CD816</f>
        <v>#NAME?</v>
      </c>
      <c r="AI811" s="0" t="n">
        <v>226</v>
      </c>
      <c r="AJ811" s="0" t="s">
        <v>630</v>
      </c>
      <c r="AK811" s="0" t="n">
        <v>0</v>
      </c>
      <c r="AL811" s="0" t="n">
        <v>0</v>
      </c>
      <c r="AM811" s="0" t="n">
        <v>0</v>
      </c>
    </row>
    <row r="812" customFormat="false" ht="12.75" hidden="false" customHeight="false" outlineLevel="0" collapsed="false">
      <c r="A812" s="0" t="s">
        <v>621</v>
      </c>
      <c r="B812" s="0" t="str">
        <f aca="false">'Basis Options'!C815</f>
        <v>NW9726</v>
      </c>
      <c r="C812" s="0" t="s">
        <v>622</v>
      </c>
      <c r="D812" s="0" t="s">
        <v>623</v>
      </c>
      <c r="E812" s="0" t="s">
        <v>131</v>
      </c>
      <c r="F812" s="0" t="str">
        <f aca="false">'Basis Options'!A815</f>
        <v>CONAGRAENESER</v>
      </c>
      <c r="G812" s="0" t="s">
        <v>628</v>
      </c>
      <c r="H812" s="0" t="s">
        <v>625</v>
      </c>
      <c r="I812" s="0" t="s">
        <v>626</v>
      </c>
      <c r="J812" s="0" t="s">
        <v>627</v>
      </c>
      <c r="K812" s="475" t="n">
        <f aca="false">'Basis Options'!G815</f>
        <v>36831</v>
      </c>
      <c r="L812" s="254" t="e">
        <f aca="false">'Basis Options'!U815</f>
        <v>#NAME?</v>
      </c>
      <c r="M812" s="475" t="n">
        <f aca="false">'Basis Options'!Q815</f>
        <v>36829</v>
      </c>
      <c r="N812" s="0" t="str">
        <f aca="false">'Basis Options'!F815</f>
        <v>P</v>
      </c>
      <c r="O812" s="0" t="n">
        <f aca="false">'Basis Options'!I815</f>
        <v>0.5</v>
      </c>
      <c r="P812" s="0" t="n">
        <v>0</v>
      </c>
      <c r="Q812" s="0" t="n">
        <v>0</v>
      </c>
      <c r="R812" s="0" t="n">
        <v>0</v>
      </c>
      <c r="S812" s="0" t="n">
        <v>0</v>
      </c>
      <c r="T812" s="0" t="s">
        <v>624</v>
      </c>
      <c r="U812" s="0" t="str">
        <f aca="false">IF('Basis Options'!D815="NGI/CHI. GATE","""NGI/CHI. GATE""",TRIM('Basis Options'!D815))</f>
        <v>IF-TRANSCO/Z6</v>
      </c>
      <c r="V812" s="0" t="s">
        <v>624</v>
      </c>
      <c r="W812" s="0" t="s">
        <v>569</v>
      </c>
      <c r="X812" s="0" t="s">
        <v>624</v>
      </c>
      <c r="Y812" s="0" t="s">
        <v>627</v>
      </c>
      <c r="Z812" s="0" t="s">
        <v>629</v>
      </c>
      <c r="AA812" s="0" t="s">
        <v>624</v>
      </c>
      <c r="AB812" s="0" t="s">
        <v>132</v>
      </c>
      <c r="AC812" s="254" t="n">
        <f aca="false">'Basis Options'!H815</f>
        <v>1000000</v>
      </c>
      <c r="AD812" s="254" t="e">
        <f aca="false">'Basis Options'!W815</f>
        <v>#NAME?</v>
      </c>
      <c r="AE812" s="0" t="n">
        <v>0</v>
      </c>
      <c r="AF812" s="0" t="n">
        <v>0</v>
      </c>
      <c r="AG812" s="0" t="n">
        <v>0</v>
      </c>
      <c r="AH812" s="254" t="e">
        <f aca="false">'Basis Options'!CD817</f>
        <v>#NAME?</v>
      </c>
      <c r="AI812" s="0" t="n">
        <v>226</v>
      </c>
      <c r="AJ812" s="0" t="s">
        <v>630</v>
      </c>
      <c r="AK812" s="0" t="n">
        <v>0</v>
      </c>
      <c r="AL812" s="0" t="n">
        <v>0</v>
      </c>
      <c r="AM812" s="0" t="n">
        <v>0</v>
      </c>
    </row>
    <row r="813" customFormat="false" ht="12.75" hidden="false" customHeight="false" outlineLevel="0" collapsed="false">
      <c r="A813" s="0" t="s">
        <v>621</v>
      </c>
      <c r="B813" s="0" t="str">
        <f aca="false">'Basis Options'!C816</f>
        <v>NW9731</v>
      </c>
      <c r="C813" s="0" t="s">
        <v>622</v>
      </c>
      <c r="D813" s="0" t="s">
        <v>623</v>
      </c>
      <c r="E813" s="0" t="s">
        <v>131</v>
      </c>
      <c r="F813" s="0" t="str">
        <f aca="false">'Basis Options'!A816</f>
        <v>VIRGINIAPOWENE</v>
      </c>
      <c r="G813" s="0" t="s">
        <v>628</v>
      </c>
      <c r="H813" s="0" t="s">
        <v>625</v>
      </c>
      <c r="I813" s="0" t="s">
        <v>626</v>
      </c>
      <c r="J813" s="0" t="s">
        <v>627</v>
      </c>
      <c r="K813" s="475" t="n">
        <f aca="false">'Basis Options'!G816</f>
        <v>36831</v>
      </c>
      <c r="L813" s="254" t="e">
        <f aca="false">'Basis Options'!U816</f>
        <v>#NAME?</v>
      </c>
      <c r="M813" s="475" t="n">
        <f aca="false">'Basis Options'!Q816</f>
        <v>36829</v>
      </c>
      <c r="N813" s="0" t="str">
        <f aca="false">'Basis Options'!F816</f>
        <v>C</v>
      </c>
      <c r="O813" s="0" t="n">
        <f aca="false">'Basis Options'!I816</f>
        <v>1</v>
      </c>
      <c r="P813" s="0" t="n">
        <v>0</v>
      </c>
      <c r="Q813" s="0" t="n">
        <v>0</v>
      </c>
      <c r="R813" s="0" t="n">
        <v>0</v>
      </c>
      <c r="S813" s="0" t="n">
        <v>0</v>
      </c>
      <c r="T813" s="0" t="s">
        <v>624</v>
      </c>
      <c r="U813" s="0" t="str">
        <f aca="false">IF('Basis Options'!D816="NGI/CHI. GATE","""NGI/CHI. GATE""",TRIM('Basis Options'!D816))</f>
        <v>IF-TRANSCO/Z6</v>
      </c>
      <c r="V813" s="0" t="s">
        <v>624</v>
      </c>
      <c r="W813" s="0" t="s">
        <v>569</v>
      </c>
      <c r="X813" s="0" t="s">
        <v>624</v>
      </c>
      <c r="Y813" s="0" t="s">
        <v>627</v>
      </c>
      <c r="Z813" s="0" t="s">
        <v>629</v>
      </c>
      <c r="AA813" s="0" t="s">
        <v>624</v>
      </c>
      <c r="AB813" s="0" t="s">
        <v>132</v>
      </c>
      <c r="AC813" s="254" t="n">
        <f aca="false">'Basis Options'!H816</f>
        <v>300000</v>
      </c>
      <c r="AD813" s="254" t="e">
        <f aca="false">'Basis Options'!W816</f>
        <v>#NAME?</v>
      </c>
      <c r="AE813" s="0" t="n">
        <v>0</v>
      </c>
      <c r="AF813" s="0" t="n">
        <v>0</v>
      </c>
      <c r="AG813" s="0" t="n">
        <v>0</v>
      </c>
      <c r="AH813" s="254" t="e">
        <f aca="false">'Basis Options'!CD818</f>
        <v>#NAME?</v>
      </c>
      <c r="AI813" s="0" t="n">
        <v>226</v>
      </c>
      <c r="AJ813" s="0" t="s">
        <v>630</v>
      </c>
      <c r="AK813" s="0" t="n">
        <v>0</v>
      </c>
      <c r="AL813" s="0" t="n">
        <v>0</v>
      </c>
      <c r="AM813" s="0" t="n">
        <v>0</v>
      </c>
    </row>
    <row r="814" customFormat="false" ht="12.75" hidden="false" customHeight="false" outlineLevel="0" collapsed="false">
      <c r="A814" s="0" t="s">
        <v>621</v>
      </c>
      <c r="B814" s="0" t="str">
        <f aca="false">'Basis Options'!C817</f>
        <v>NW9732</v>
      </c>
      <c r="C814" s="0" t="s">
        <v>622</v>
      </c>
      <c r="D814" s="0" t="s">
        <v>623</v>
      </c>
      <c r="E814" s="0" t="s">
        <v>131</v>
      </c>
      <c r="F814" s="0" t="str">
        <f aca="false">'Basis Options'!A817</f>
        <v>RELIANTENESER</v>
      </c>
      <c r="G814" s="0" t="s">
        <v>628</v>
      </c>
      <c r="H814" s="0" t="s">
        <v>625</v>
      </c>
      <c r="I814" s="0" t="s">
        <v>626</v>
      </c>
      <c r="J814" s="0" t="s">
        <v>627</v>
      </c>
      <c r="K814" s="475" t="n">
        <f aca="false">'Basis Options'!G817</f>
        <v>36831</v>
      </c>
      <c r="L814" s="254" t="e">
        <f aca="false">'Basis Options'!U817</f>
        <v>#NAME?</v>
      </c>
      <c r="M814" s="475" t="n">
        <f aca="false">'Basis Options'!Q817</f>
        <v>36829</v>
      </c>
      <c r="N814" s="0" t="str">
        <f aca="false">'Basis Options'!F817</f>
        <v>P</v>
      </c>
      <c r="O814" s="0" t="n">
        <f aca="false">'Basis Options'!I817</f>
        <v>0.5</v>
      </c>
      <c r="P814" s="0" t="n">
        <v>0</v>
      </c>
      <c r="Q814" s="0" t="n">
        <v>0</v>
      </c>
      <c r="R814" s="0" t="n">
        <v>0</v>
      </c>
      <c r="S814" s="0" t="n">
        <v>0</v>
      </c>
      <c r="T814" s="0" t="s">
        <v>624</v>
      </c>
      <c r="U814" s="0" t="str">
        <f aca="false">IF('Basis Options'!D817="NGI/CHI. GATE","""NGI/CHI. GATE""",TRIM('Basis Options'!D817))</f>
        <v>NGI-SOCAL</v>
      </c>
      <c r="V814" s="0" t="s">
        <v>624</v>
      </c>
      <c r="W814" s="0" t="s">
        <v>569</v>
      </c>
      <c r="X814" s="0" t="s">
        <v>624</v>
      </c>
      <c r="Y814" s="0" t="s">
        <v>627</v>
      </c>
      <c r="Z814" s="0" t="s">
        <v>629</v>
      </c>
      <c r="AA814" s="0" t="s">
        <v>624</v>
      </c>
      <c r="AB814" s="0" t="s">
        <v>132</v>
      </c>
      <c r="AC814" s="254" t="n">
        <f aca="false">'Basis Options'!H817</f>
        <v>-150000</v>
      </c>
      <c r="AD814" s="254" t="e">
        <f aca="false">'Basis Options'!W817</f>
        <v>#NAME?</v>
      </c>
      <c r="AE814" s="0" t="n">
        <v>0</v>
      </c>
      <c r="AF814" s="0" t="n">
        <v>0</v>
      </c>
      <c r="AG814" s="0" t="n">
        <v>0</v>
      </c>
      <c r="AH814" s="254" t="e">
        <f aca="false">'Basis Options'!CD819</f>
        <v>#NAME?</v>
      </c>
      <c r="AI814" s="0" t="n">
        <v>226</v>
      </c>
      <c r="AJ814" s="0" t="s">
        <v>630</v>
      </c>
      <c r="AK814" s="0" t="n">
        <v>0</v>
      </c>
      <c r="AL814" s="0" t="n">
        <v>0</v>
      </c>
      <c r="AM814" s="0" t="n">
        <v>0</v>
      </c>
    </row>
    <row r="815" customFormat="false" ht="12.75" hidden="false" customHeight="false" outlineLevel="0" collapsed="false">
      <c r="A815" s="0" t="s">
        <v>621</v>
      </c>
      <c r="B815" s="0" t="str">
        <f aca="false">'Basis Options'!C818</f>
        <v>NW9732</v>
      </c>
      <c r="C815" s="0" t="s">
        <v>622</v>
      </c>
      <c r="D815" s="0" t="s">
        <v>623</v>
      </c>
      <c r="E815" s="0" t="s">
        <v>131</v>
      </c>
      <c r="F815" s="0" t="str">
        <f aca="false">'Basis Options'!A818</f>
        <v>RELIANTENESER</v>
      </c>
      <c r="G815" s="0" t="s">
        <v>628</v>
      </c>
      <c r="H815" s="0" t="s">
        <v>625</v>
      </c>
      <c r="I815" s="0" t="s">
        <v>626</v>
      </c>
      <c r="J815" s="0" t="s">
        <v>627</v>
      </c>
      <c r="K815" s="475" t="n">
        <f aca="false">'Basis Options'!G818</f>
        <v>36861</v>
      </c>
      <c r="L815" s="254" t="e">
        <f aca="false">'Basis Options'!U818</f>
        <v>#NAME?</v>
      </c>
      <c r="M815" s="475" t="n">
        <f aca="false">'Basis Options'!Q818</f>
        <v>36859</v>
      </c>
      <c r="N815" s="0" t="str">
        <f aca="false">'Basis Options'!F818</f>
        <v>P</v>
      </c>
      <c r="O815" s="0" t="n">
        <f aca="false">'Basis Options'!I818</f>
        <v>0.5</v>
      </c>
      <c r="P815" s="0" t="n">
        <v>0</v>
      </c>
      <c r="Q815" s="0" t="n">
        <v>0</v>
      </c>
      <c r="R815" s="0" t="n">
        <v>0</v>
      </c>
      <c r="S815" s="0" t="n">
        <v>0</v>
      </c>
      <c r="T815" s="0" t="s">
        <v>624</v>
      </c>
      <c r="U815" s="0" t="str">
        <f aca="false">IF('Basis Options'!D818="NGI/CHI. GATE","""NGI/CHI. GATE""",TRIM('Basis Options'!D818))</f>
        <v>NGI-SOCAL</v>
      </c>
      <c r="V815" s="0" t="s">
        <v>624</v>
      </c>
      <c r="W815" s="0" t="s">
        <v>569</v>
      </c>
      <c r="X815" s="0" t="s">
        <v>624</v>
      </c>
      <c r="Y815" s="0" t="s">
        <v>627</v>
      </c>
      <c r="Z815" s="0" t="s">
        <v>629</v>
      </c>
      <c r="AA815" s="0" t="s">
        <v>624</v>
      </c>
      <c r="AB815" s="0" t="s">
        <v>132</v>
      </c>
      <c r="AC815" s="254" t="n">
        <f aca="false">'Basis Options'!H818</f>
        <v>-155000</v>
      </c>
      <c r="AD815" s="254" t="e">
        <f aca="false">'Basis Options'!W818</f>
        <v>#NAME?</v>
      </c>
      <c r="AE815" s="0" t="n">
        <v>0</v>
      </c>
      <c r="AF815" s="0" t="n">
        <v>0</v>
      </c>
      <c r="AG815" s="0" t="n">
        <v>0</v>
      </c>
      <c r="AH815" s="254" t="e">
        <f aca="false">'Basis Options'!CD820</f>
        <v>#NAME?</v>
      </c>
      <c r="AI815" s="0" t="n">
        <v>226</v>
      </c>
      <c r="AJ815" s="0" t="s">
        <v>630</v>
      </c>
      <c r="AK815" s="0" t="n">
        <v>0</v>
      </c>
      <c r="AL815" s="0" t="n">
        <v>0</v>
      </c>
      <c r="AM815" s="0" t="n">
        <v>0</v>
      </c>
    </row>
    <row r="816" customFormat="false" ht="12.75" hidden="false" customHeight="false" outlineLevel="0" collapsed="false">
      <c r="A816" s="0" t="s">
        <v>621</v>
      </c>
      <c r="B816" s="0" t="str">
        <f aca="false">'Basis Options'!C819</f>
        <v>NW9732</v>
      </c>
      <c r="C816" s="0" t="s">
        <v>622</v>
      </c>
      <c r="D816" s="0" t="s">
        <v>623</v>
      </c>
      <c r="E816" s="0" t="s">
        <v>131</v>
      </c>
      <c r="F816" s="0" t="str">
        <f aca="false">'Basis Options'!A819</f>
        <v>RELIANTENESER</v>
      </c>
      <c r="G816" s="0" t="s">
        <v>628</v>
      </c>
      <c r="H816" s="0" t="s">
        <v>625</v>
      </c>
      <c r="I816" s="0" t="s">
        <v>626</v>
      </c>
      <c r="J816" s="0" t="s">
        <v>627</v>
      </c>
      <c r="K816" s="475" t="n">
        <f aca="false">'Basis Options'!G819</f>
        <v>36892</v>
      </c>
      <c r="L816" s="254" t="e">
        <f aca="false">'Basis Options'!U819</f>
        <v>#NAME?</v>
      </c>
      <c r="M816" s="475" t="n">
        <f aca="false">'Basis Options'!Q819</f>
        <v>36888</v>
      </c>
      <c r="N816" s="0" t="str">
        <f aca="false">'Basis Options'!F819</f>
        <v>P</v>
      </c>
      <c r="O816" s="0" t="n">
        <f aca="false">'Basis Options'!I819</f>
        <v>0.5</v>
      </c>
      <c r="P816" s="0" t="n">
        <v>0</v>
      </c>
      <c r="Q816" s="0" t="n">
        <v>0</v>
      </c>
      <c r="R816" s="0" t="n">
        <v>0</v>
      </c>
      <c r="S816" s="0" t="n">
        <v>0</v>
      </c>
      <c r="T816" s="0" t="s">
        <v>624</v>
      </c>
      <c r="U816" s="0" t="str">
        <f aca="false">IF('Basis Options'!D819="NGI/CHI. GATE","""NGI/CHI. GATE""",TRIM('Basis Options'!D819))</f>
        <v>NGI-SOCAL</v>
      </c>
      <c r="V816" s="0" t="s">
        <v>624</v>
      </c>
      <c r="W816" s="0" t="s">
        <v>569</v>
      </c>
      <c r="X816" s="0" t="s">
        <v>624</v>
      </c>
      <c r="Y816" s="0" t="s">
        <v>627</v>
      </c>
      <c r="Z816" s="0" t="s">
        <v>629</v>
      </c>
      <c r="AA816" s="0" t="s">
        <v>624</v>
      </c>
      <c r="AB816" s="0" t="s">
        <v>132</v>
      </c>
      <c r="AC816" s="254" t="n">
        <f aca="false">'Basis Options'!H819</f>
        <v>-155000</v>
      </c>
      <c r="AD816" s="254" t="e">
        <f aca="false">'Basis Options'!W819</f>
        <v>#NAME?</v>
      </c>
      <c r="AE816" s="0" t="n">
        <v>0</v>
      </c>
      <c r="AF816" s="0" t="n">
        <v>0</v>
      </c>
      <c r="AG816" s="0" t="n">
        <v>0</v>
      </c>
      <c r="AH816" s="254" t="e">
        <f aca="false">'Basis Options'!CD821</f>
        <v>#NAME?</v>
      </c>
      <c r="AI816" s="0" t="n">
        <v>226</v>
      </c>
      <c r="AJ816" s="0" t="s">
        <v>630</v>
      </c>
      <c r="AK816" s="0" t="n">
        <v>0</v>
      </c>
      <c r="AL816" s="0" t="n">
        <v>0</v>
      </c>
      <c r="AM816" s="0" t="n">
        <v>0</v>
      </c>
    </row>
    <row r="817" customFormat="false" ht="12.75" hidden="false" customHeight="false" outlineLevel="0" collapsed="false">
      <c r="A817" s="0" t="s">
        <v>621</v>
      </c>
      <c r="B817" s="0" t="str">
        <f aca="false">'Basis Options'!C820</f>
        <v>NW9732</v>
      </c>
      <c r="C817" s="0" t="s">
        <v>622</v>
      </c>
      <c r="D817" s="0" t="s">
        <v>623</v>
      </c>
      <c r="E817" s="0" t="s">
        <v>131</v>
      </c>
      <c r="F817" s="0" t="str">
        <f aca="false">'Basis Options'!A820</f>
        <v>RELIANTENESER</v>
      </c>
      <c r="G817" s="0" t="s">
        <v>628</v>
      </c>
      <c r="H817" s="0" t="s">
        <v>625</v>
      </c>
      <c r="I817" s="0" t="s">
        <v>626</v>
      </c>
      <c r="J817" s="0" t="s">
        <v>627</v>
      </c>
      <c r="K817" s="475" t="n">
        <f aca="false">'Basis Options'!G820</f>
        <v>36923</v>
      </c>
      <c r="L817" s="254" t="e">
        <f aca="false">'Basis Options'!U820</f>
        <v>#NAME?</v>
      </c>
      <c r="M817" s="475" t="n">
        <f aca="false">'Basis Options'!Q820</f>
        <v>36921</v>
      </c>
      <c r="N817" s="0" t="str">
        <f aca="false">'Basis Options'!F820</f>
        <v>P</v>
      </c>
      <c r="O817" s="0" t="n">
        <f aca="false">'Basis Options'!I820</f>
        <v>0.5</v>
      </c>
      <c r="P817" s="0" t="n">
        <v>0</v>
      </c>
      <c r="Q817" s="0" t="n">
        <v>0</v>
      </c>
      <c r="R817" s="0" t="n">
        <v>0</v>
      </c>
      <c r="S817" s="0" t="n">
        <v>0</v>
      </c>
      <c r="T817" s="0" t="s">
        <v>624</v>
      </c>
      <c r="U817" s="0" t="str">
        <f aca="false">IF('Basis Options'!D820="NGI/CHI. GATE","""NGI/CHI. GATE""",TRIM('Basis Options'!D820))</f>
        <v>NGI-SOCAL</v>
      </c>
      <c r="V817" s="0" t="s">
        <v>624</v>
      </c>
      <c r="W817" s="0" t="s">
        <v>569</v>
      </c>
      <c r="X817" s="0" t="s">
        <v>624</v>
      </c>
      <c r="Y817" s="0" t="s">
        <v>627</v>
      </c>
      <c r="Z817" s="0" t="s">
        <v>629</v>
      </c>
      <c r="AA817" s="0" t="s">
        <v>624</v>
      </c>
      <c r="AB817" s="0" t="s">
        <v>132</v>
      </c>
      <c r="AC817" s="254" t="n">
        <f aca="false">'Basis Options'!H820</f>
        <v>-140000</v>
      </c>
      <c r="AD817" s="254" t="e">
        <f aca="false">'Basis Options'!W820</f>
        <v>#NAME?</v>
      </c>
      <c r="AE817" s="0" t="n">
        <v>0</v>
      </c>
      <c r="AF817" s="0" t="n">
        <v>0</v>
      </c>
      <c r="AG817" s="0" t="n">
        <v>0</v>
      </c>
      <c r="AH817" s="254" t="e">
        <f aca="false">'Basis Options'!CD822</f>
        <v>#NAME?</v>
      </c>
      <c r="AI817" s="0" t="n">
        <v>226</v>
      </c>
      <c r="AJ817" s="0" t="s">
        <v>630</v>
      </c>
      <c r="AK817" s="0" t="n">
        <v>0</v>
      </c>
      <c r="AL817" s="0" t="n">
        <v>0</v>
      </c>
      <c r="AM817" s="0" t="n">
        <v>0</v>
      </c>
    </row>
    <row r="818" customFormat="false" ht="12.75" hidden="false" customHeight="false" outlineLevel="0" collapsed="false">
      <c r="A818" s="0" t="s">
        <v>621</v>
      </c>
      <c r="B818" s="0" t="str">
        <f aca="false">'Basis Options'!C821</f>
        <v>NW9732</v>
      </c>
      <c r="C818" s="0" t="s">
        <v>622</v>
      </c>
      <c r="D818" s="0" t="s">
        <v>623</v>
      </c>
      <c r="E818" s="0" t="s">
        <v>131</v>
      </c>
      <c r="F818" s="0" t="str">
        <f aca="false">'Basis Options'!A821</f>
        <v>RELIANTENESER</v>
      </c>
      <c r="G818" s="0" t="s">
        <v>628</v>
      </c>
      <c r="H818" s="0" t="s">
        <v>625</v>
      </c>
      <c r="I818" s="0" t="s">
        <v>626</v>
      </c>
      <c r="J818" s="0" t="s">
        <v>627</v>
      </c>
      <c r="K818" s="475" t="n">
        <f aca="false">'Basis Options'!G821</f>
        <v>36951</v>
      </c>
      <c r="L818" s="254" t="e">
        <f aca="false">'Basis Options'!U821</f>
        <v>#NAME?</v>
      </c>
      <c r="M818" s="475" t="n">
        <f aca="false">'Basis Options'!Q821</f>
        <v>36949</v>
      </c>
      <c r="N818" s="0" t="str">
        <f aca="false">'Basis Options'!F821</f>
        <v>P</v>
      </c>
      <c r="O818" s="0" t="n">
        <f aca="false">'Basis Options'!I821</f>
        <v>0.5</v>
      </c>
      <c r="P818" s="0" t="n">
        <v>0</v>
      </c>
      <c r="Q818" s="0" t="n">
        <v>0</v>
      </c>
      <c r="R818" s="0" t="n">
        <v>0</v>
      </c>
      <c r="S818" s="0" t="n">
        <v>0</v>
      </c>
      <c r="T818" s="0" t="s">
        <v>624</v>
      </c>
      <c r="U818" s="0" t="str">
        <f aca="false">IF('Basis Options'!D821="NGI/CHI. GATE","""NGI/CHI. GATE""",TRIM('Basis Options'!D821))</f>
        <v>NGI-SOCAL</v>
      </c>
      <c r="V818" s="0" t="s">
        <v>624</v>
      </c>
      <c r="W818" s="0" t="s">
        <v>569</v>
      </c>
      <c r="X818" s="0" t="s">
        <v>624</v>
      </c>
      <c r="Y818" s="0" t="s">
        <v>627</v>
      </c>
      <c r="Z818" s="0" t="s">
        <v>629</v>
      </c>
      <c r="AA818" s="0" t="s">
        <v>624</v>
      </c>
      <c r="AB818" s="0" t="s">
        <v>132</v>
      </c>
      <c r="AC818" s="254" t="n">
        <f aca="false">'Basis Options'!H821</f>
        <v>-155000</v>
      </c>
      <c r="AD818" s="254" t="e">
        <f aca="false">'Basis Options'!W821</f>
        <v>#NAME?</v>
      </c>
      <c r="AE818" s="0" t="n">
        <v>0</v>
      </c>
      <c r="AF818" s="0" t="n">
        <v>0</v>
      </c>
      <c r="AG818" s="0" t="n">
        <v>0</v>
      </c>
      <c r="AH818" s="254" t="e">
        <f aca="false">'Basis Options'!CD823</f>
        <v>#NAME?</v>
      </c>
      <c r="AI818" s="0" t="n">
        <v>226</v>
      </c>
      <c r="AJ818" s="0" t="s">
        <v>630</v>
      </c>
      <c r="AK818" s="0" t="n">
        <v>0</v>
      </c>
      <c r="AL818" s="0" t="n">
        <v>0</v>
      </c>
      <c r="AM818" s="0" t="n">
        <v>0</v>
      </c>
    </row>
    <row r="819" customFormat="false" ht="12.75" hidden="false" customHeight="false" outlineLevel="0" collapsed="false">
      <c r="A819" s="0" t="s">
        <v>621</v>
      </c>
      <c r="B819" s="0" t="str">
        <f aca="false">'Basis Options'!C822</f>
        <v>NW9733</v>
      </c>
      <c r="C819" s="0" t="s">
        <v>622</v>
      </c>
      <c r="D819" s="0" t="s">
        <v>623</v>
      </c>
      <c r="E819" s="0" t="s">
        <v>131</v>
      </c>
      <c r="F819" s="0" t="str">
        <f aca="false">'Basis Options'!A822</f>
        <v>AEPENESER</v>
      </c>
      <c r="G819" s="0" t="s">
        <v>628</v>
      </c>
      <c r="H819" s="0" t="s">
        <v>625</v>
      </c>
      <c r="I819" s="0" t="s">
        <v>626</v>
      </c>
      <c r="J819" s="0" t="s">
        <v>627</v>
      </c>
      <c r="K819" s="475" t="n">
        <f aca="false">'Basis Options'!G822</f>
        <v>36831</v>
      </c>
      <c r="L819" s="254" t="e">
        <f aca="false">'Basis Options'!U822</f>
        <v>#NAME?</v>
      </c>
      <c r="M819" s="475" t="n">
        <f aca="false">'Basis Options'!Q822</f>
        <v>36829</v>
      </c>
      <c r="N819" s="0" t="str">
        <f aca="false">'Basis Options'!F822</f>
        <v>P</v>
      </c>
      <c r="O819" s="0" t="n">
        <f aca="false">'Basis Options'!I822</f>
        <v>0.5</v>
      </c>
      <c r="P819" s="0" t="n">
        <v>0</v>
      </c>
      <c r="Q819" s="0" t="n">
        <v>0</v>
      </c>
      <c r="R819" s="0" t="n">
        <v>0</v>
      </c>
      <c r="S819" s="0" t="n">
        <v>0</v>
      </c>
      <c r="T819" s="0" t="s">
        <v>624</v>
      </c>
      <c r="U819" s="0" t="str">
        <f aca="false">IF('Basis Options'!D822="NGI/CHI. GATE","""NGI/CHI. GATE""",TRIM('Basis Options'!D822))</f>
        <v>NGI-SOCAL</v>
      </c>
      <c r="V819" s="0" t="s">
        <v>624</v>
      </c>
      <c r="W819" s="0" t="s">
        <v>569</v>
      </c>
      <c r="X819" s="0" t="s">
        <v>624</v>
      </c>
      <c r="Y819" s="0" t="s">
        <v>627</v>
      </c>
      <c r="Z819" s="0" t="s">
        <v>629</v>
      </c>
      <c r="AA819" s="0" t="s">
        <v>624</v>
      </c>
      <c r="AB819" s="0" t="s">
        <v>132</v>
      </c>
      <c r="AC819" s="254" t="n">
        <f aca="false">'Basis Options'!H822</f>
        <v>-1000000</v>
      </c>
      <c r="AD819" s="254" t="e">
        <f aca="false">'Basis Options'!W822</f>
        <v>#NAME?</v>
      </c>
      <c r="AE819" s="0" t="n">
        <v>0</v>
      </c>
      <c r="AF819" s="0" t="n">
        <v>0</v>
      </c>
      <c r="AG819" s="0" t="n">
        <v>0</v>
      </c>
      <c r="AH819" s="254" t="e">
        <f aca="false">'Basis Options'!CD824</f>
        <v>#NAME?</v>
      </c>
      <c r="AI819" s="0" t="n">
        <v>226</v>
      </c>
      <c r="AJ819" s="0" t="s">
        <v>630</v>
      </c>
      <c r="AK819" s="0" t="n">
        <v>0</v>
      </c>
      <c r="AL819" s="0" t="n">
        <v>0</v>
      </c>
      <c r="AM819" s="0" t="n">
        <v>0</v>
      </c>
    </row>
    <row r="820" customFormat="false" ht="12.75" hidden="false" customHeight="false" outlineLevel="0" collapsed="false">
      <c r="A820" s="0" t="s">
        <v>621</v>
      </c>
      <c r="B820" s="0" t="str">
        <f aca="false">'Basis Options'!C823</f>
        <v>NW9733</v>
      </c>
      <c r="C820" s="0" t="s">
        <v>622</v>
      </c>
      <c r="D820" s="0" t="s">
        <v>623</v>
      </c>
      <c r="E820" s="0" t="s">
        <v>131</v>
      </c>
      <c r="F820" s="0" t="str">
        <f aca="false">'Basis Options'!A823</f>
        <v>AEPENESER</v>
      </c>
      <c r="G820" s="0" t="s">
        <v>628</v>
      </c>
      <c r="H820" s="0" t="s">
        <v>625</v>
      </c>
      <c r="I820" s="0" t="s">
        <v>626</v>
      </c>
      <c r="J820" s="0" t="s">
        <v>627</v>
      </c>
      <c r="K820" s="475" t="n">
        <f aca="false">'Basis Options'!G823</f>
        <v>36861</v>
      </c>
      <c r="L820" s="254" t="e">
        <f aca="false">'Basis Options'!U823</f>
        <v>#NAME?</v>
      </c>
      <c r="M820" s="475" t="n">
        <f aca="false">'Basis Options'!Q823</f>
        <v>36859</v>
      </c>
      <c r="N820" s="0" t="str">
        <f aca="false">'Basis Options'!F823</f>
        <v>P</v>
      </c>
      <c r="O820" s="0" t="n">
        <f aca="false">'Basis Options'!I823</f>
        <v>0.5</v>
      </c>
      <c r="P820" s="0" t="n">
        <v>0</v>
      </c>
      <c r="Q820" s="0" t="n">
        <v>0</v>
      </c>
      <c r="R820" s="0" t="n">
        <v>0</v>
      </c>
      <c r="S820" s="0" t="n">
        <v>0</v>
      </c>
      <c r="T820" s="0" t="s">
        <v>624</v>
      </c>
      <c r="U820" s="0" t="str">
        <f aca="false">IF('Basis Options'!D823="NGI/CHI. GATE","""NGI/CHI. GATE""",TRIM('Basis Options'!D823))</f>
        <v>NGI-SOCAL</v>
      </c>
      <c r="V820" s="0" t="s">
        <v>624</v>
      </c>
      <c r="W820" s="0" t="s">
        <v>569</v>
      </c>
      <c r="X820" s="0" t="s">
        <v>624</v>
      </c>
      <c r="Y820" s="0" t="s">
        <v>627</v>
      </c>
      <c r="Z820" s="0" t="s">
        <v>629</v>
      </c>
      <c r="AA820" s="0" t="s">
        <v>624</v>
      </c>
      <c r="AB820" s="0" t="s">
        <v>132</v>
      </c>
      <c r="AC820" s="254" t="n">
        <f aca="false">'Basis Options'!H823</f>
        <v>-1000000</v>
      </c>
      <c r="AD820" s="254" t="e">
        <f aca="false">'Basis Options'!W823</f>
        <v>#NAME?</v>
      </c>
      <c r="AE820" s="0" t="n">
        <v>0</v>
      </c>
      <c r="AF820" s="0" t="n">
        <v>0</v>
      </c>
      <c r="AG820" s="0" t="n">
        <v>0</v>
      </c>
      <c r="AH820" s="254" t="e">
        <f aca="false">'Basis Options'!CD825</f>
        <v>#NAME?</v>
      </c>
      <c r="AI820" s="0" t="n">
        <v>226</v>
      </c>
      <c r="AJ820" s="0" t="s">
        <v>630</v>
      </c>
      <c r="AK820" s="0" t="n">
        <v>0</v>
      </c>
      <c r="AL820" s="0" t="n">
        <v>0</v>
      </c>
      <c r="AM820" s="0" t="n">
        <v>0</v>
      </c>
    </row>
    <row r="821" customFormat="false" ht="12.75" hidden="false" customHeight="false" outlineLevel="0" collapsed="false">
      <c r="A821" s="0" t="s">
        <v>621</v>
      </c>
      <c r="B821" s="0" t="str">
        <f aca="false">'Basis Options'!C824</f>
        <v>NW9733</v>
      </c>
      <c r="C821" s="0" t="s">
        <v>622</v>
      </c>
      <c r="D821" s="0" t="s">
        <v>623</v>
      </c>
      <c r="E821" s="0" t="s">
        <v>131</v>
      </c>
      <c r="F821" s="0" t="str">
        <f aca="false">'Basis Options'!A824</f>
        <v>AEPENESER</v>
      </c>
      <c r="G821" s="0" t="s">
        <v>628</v>
      </c>
      <c r="H821" s="0" t="s">
        <v>625</v>
      </c>
      <c r="I821" s="0" t="s">
        <v>626</v>
      </c>
      <c r="J821" s="0" t="s">
        <v>627</v>
      </c>
      <c r="K821" s="475" t="n">
        <f aca="false">'Basis Options'!G824</f>
        <v>36892</v>
      </c>
      <c r="L821" s="254" t="e">
        <f aca="false">'Basis Options'!U824</f>
        <v>#NAME?</v>
      </c>
      <c r="M821" s="475" t="n">
        <f aca="false">'Basis Options'!Q824</f>
        <v>36888</v>
      </c>
      <c r="N821" s="0" t="str">
        <f aca="false">'Basis Options'!F824</f>
        <v>P</v>
      </c>
      <c r="O821" s="0" t="n">
        <f aca="false">'Basis Options'!I824</f>
        <v>0.5</v>
      </c>
      <c r="P821" s="0" t="n">
        <v>0</v>
      </c>
      <c r="Q821" s="0" t="n">
        <v>0</v>
      </c>
      <c r="R821" s="0" t="n">
        <v>0</v>
      </c>
      <c r="S821" s="0" t="n">
        <v>0</v>
      </c>
      <c r="T821" s="0" t="s">
        <v>624</v>
      </c>
      <c r="U821" s="0" t="str">
        <f aca="false">IF('Basis Options'!D824="NGI/CHI. GATE","""NGI/CHI. GATE""",TRIM('Basis Options'!D824))</f>
        <v>NGI-SOCAL</v>
      </c>
      <c r="V821" s="0" t="s">
        <v>624</v>
      </c>
      <c r="W821" s="0" t="s">
        <v>569</v>
      </c>
      <c r="X821" s="0" t="s">
        <v>624</v>
      </c>
      <c r="Y821" s="0" t="s">
        <v>627</v>
      </c>
      <c r="Z821" s="0" t="s">
        <v>629</v>
      </c>
      <c r="AA821" s="0" t="s">
        <v>624</v>
      </c>
      <c r="AB821" s="0" t="s">
        <v>132</v>
      </c>
      <c r="AC821" s="254" t="n">
        <f aca="false">'Basis Options'!H824</f>
        <v>-1000000</v>
      </c>
      <c r="AD821" s="254" t="e">
        <f aca="false">'Basis Options'!W824</f>
        <v>#NAME?</v>
      </c>
      <c r="AE821" s="0" t="n">
        <v>0</v>
      </c>
      <c r="AF821" s="0" t="n">
        <v>0</v>
      </c>
      <c r="AG821" s="0" t="n">
        <v>0</v>
      </c>
      <c r="AH821" s="254" t="e">
        <f aca="false">'Basis Options'!CD826</f>
        <v>#NAME?</v>
      </c>
      <c r="AI821" s="0" t="n">
        <v>226</v>
      </c>
      <c r="AJ821" s="0" t="s">
        <v>630</v>
      </c>
      <c r="AK821" s="0" t="n">
        <v>0</v>
      </c>
      <c r="AL821" s="0" t="n">
        <v>0</v>
      </c>
      <c r="AM821" s="0" t="n">
        <v>0</v>
      </c>
    </row>
    <row r="822" customFormat="false" ht="12.75" hidden="false" customHeight="false" outlineLevel="0" collapsed="false">
      <c r="A822" s="0" t="s">
        <v>621</v>
      </c>
      <c r="B822" s="0" t="str">
        <f aca="false">'Basis Options'!C825</f>
        <v>NW9733</v>
      </c>
      <c r="C822" s="0" t="s">
        <v>622</v>
      </c>
      <c r="D822" s="0" t="s">
        <v>623</v>
      </c>
      <c r="E822" s="0" t="s">
        <v>131</v>
      </c>
      <c r="F822" s="0" t="str">
        <f aca="false">'Basis Options'!A825</f>
        <v>AEPENESER</v>
      </c>
      <c r="G822" s="0" t="s">
        <v>628</v>
      </c>
      <c r="H822" s="0" t="s">
        <v>625</v>
      </c>
      <c r="I822" s="0" t="s">
        <v>626</v>
      </c>
      <c r="J822" s="0" t="s">
        <v>627</v>
      </c>
      <c r="K822" s="475" t="n">
        <f aca="false">'Basis Options'!G825</f>
        <v>36923</v>
      </c>
      <c r="L822" s="254" t="e">
        <f aca="false">'Basis Options'!U825</f>
        <v>#NAME?</v>
      </c>
      <c r="M822" s="475" t="n">
        <f aca="false">'Basis Options'!Q825</f>
        <v>36921</v>
      </c>
      <c r="N822" s="0" t="str">
        <f aca="false">'Basis Options'!F825</f>
        <v>P</v>
      </c>
      <c r="O822" s="0" t="n">
        <f aca="false">'Basis Options'!I825</f>
        <v>0.5</v>
      </c>
      <c r="P822" s="0" t="n">
        <v>0</v>
      </c>
      <c r="Q822" s="0" t="n">
        <v>0</v>
      </c>
      <c r="R822" s="0" t="n">
        <v>0</v>
      </c>
      <c r="S822" s="0" t="n">
        <v>0</v>
      </c>
      <c r="T822" s="0" t="s">
        <v>624</v>
      </c>
      <c r="U822" s="0" t="str">
        <f aca="false">IF('Basis Options'!D825="NGI/CHI. GATE","""NGI/CHI. GATE""",TRIM('Basis Options'!D825))</f>
        <v>NGI-SOCAL</v>
      </c>
      <c r="V822" s="0" t="s">
        <v>624</v>
      </c>
      <c r="W822" s="0" t="s">
        <v>569</v>
      </c>
      <c r="X822" s="0" t="s">
        <v>624</v>
      </c>
      <c r="Y822" s="0" t="s">
        <v>627</v>
      </c>
      <c r="Z822" s="0" t="s">
        <v>629</v>
      </c>
      <c r="AA822" s="0" t="s">
        <v>624</v>
      </c>
      <c r="AB822" s="0" t="s">
        <v>132</v>
      </c>
      <c r="AC822" s="254" t="n">
        <f aca="false">'Basis Options'!H825</f>
        <v>-1000000</v>
      </c>
      <c r="AD822" s="254" t="e">
        <f aca="false">'Basis Options'!W825</f>
        <v>#NAME?</v>
      </c>
      <c r="AE822" s="0" t="n">
        <v>0</v>
      </c>
      <c r="AF822" s="0" t="n">
        <v>0</v>
      </c>
      <c r="AG822" s="0" t="n">
        <v>0</v>
      </c>
      <c r="AH822" s="254" t="e">
        <f aca="false">'Basis Options'!CD827</f>
        <v>#NAME?</v>
      </c>
      <c r="AI822" s="0" t="n">
        <v>226</v>
      </c>
      <c r="AJ822" s="0" t="s">
        <v>630</v>
      </c>
      <c r="AK822" s="0" t="n">
        <v>0</v>
      </c>
      <c r="AL822" s="0" t="n">
        <v>0</v>
      </c>
      <c r="AM822" s="0" t="n">
        <v>0</v>
      </c>
    </row>
    <row r="823" customFormat="false" ht="12.75" hidden="false" customHeight="false" outlineLevel="0" collapsed="false">
      <c r="A823" s="0" t="s">
        <v>621</v>
      </c>
      <c r="B823" s="0" t="str">
        <f aca="false">'Basis Options'!C826</f>
        <v>NW9733</v>
      </c>
      <c r="C823" s="0" t="s">
        <v>622</v>
      </c>
      <c r="D823" s="0" t="s">
        <v>623</v>
      </c>
      <c r="E823" s="0" t="s">
        <v>131</v>
      </c>
      <c r="F823" s="0" t="str">
        <f aca="false">'Basis Options'!A826</f>
        <v>AEPENESER</v>
      </c>
      <c r="G823" s="0" t="s">
        <v>628</v>
      </c>
      <c r="H823" s="0" t="s">
        <v>625</v>
      </c>
      <c r="I823" s="0" t="s">
        <v>626</v>
      </c>
      <c r="J823" s="0" t="s">
        <v>627</v>
      </c>
      <c r="K823" s="475" t="n">
        <f aca="false">'Basis Options'!G826</f>
        <v>36951</v>
      </c>
      <c r="L823" s="254" t="e">
        <f aca="false">'Basis Options'!U826</f>
        <v>#NAME?</v>
      </c>
      <c r="M823" s="475" t="n">
        <f aca="false">'Basis Options'!Q826</f>
        <v>36949</v>
      </c>
      <c r="N823" s="0" t="str">
        <f aca="false">'Basis Options'!F826</f>
        <v>P</v>
      </c>
      <c r="O823" s="0" t="n">
        <f aca="false">'Basis Options'!I826</f>
        <v>0.5</v>
      </c>
      <c r="P823" s="0" t="n">
        <v>0</v>
      </c>
      <c r="Q823" s="0" t="n">
        <v>0</v>
      </c>
      <c r="R823" s="0" t="n">
        <v>0</v>
      </c>
      <c r="S823" s="0" t="n">
        <v>0</v>
      </c>
      <c r="T823" s="0" t="s">
        <v>624</v>
      </c>
      <c r="U823" s="0" t="str">
        <f aca="false">IF('Basis Options'!D826="NGI/CHI. GATE","""NGI/CHI. GATE""",TRIM('Basis Options'!D826))</f>
        <v>NGI-SOCAL</v>
      </c>
      <c r="V823" s="0" t="s">
        <v>624</v>
      </c>
      <c r="W823" s="0" t="s">
        <v>569</v>
      </c>
      <c r="X823" s="0" t="s">
        <v>624</v>
      </c>
      <c r="Y823" s="0" t="s">
        <v>627</v>
      </c>
      <c r="Z823" s="0" t="s">
        <v>629</v>
      </c>
      <c r="AA823" s="0" t="s">
        <v>624</v>
      </c>
      <c r="AB823" s="0" t="s">
        <v>132</v>
      </c>
      <c r="AC823" s="254" t="n">
        <f aca="false">'Basis Options'!H826</f>
        <v>-1000000</v>
      </c>
      <c r="AD823" s="254" t="e">
        <f aca="false">'Basis Options'!W826</f>
        <v>#NAME?</v>
      </c>
      <c r="AE823" s="0" t="n">
        <v>0</v>
      </c>
      <c r="AF823" s="0" t="n">
        <v>0</v>
      </c>
      <c r="AG823" s="0" t="n">
        <v>0</v>
      </c>
      <c r="AH823" s="254" t="e">
        <f aca="false">'Basis Options'!CD828</f>
        <v>#NAME?</v>
      </c>
      <c r="AI823" s="0" t="n">
        <v>226</v>
      </c>
      <c r="AJ823" s="0" t="s">
        <v>630</v>
      </c>
      <c r="AK823" s="0" t="n">
        <v>0</v>
      </c>
      <c r="AL823" s="0" t="n">
        <v>0</v>
      </c>
      <c r="AM823" s="0" t="n">
        <v>0</v>
      </c>
    </row>
    <row r="824" customFormat="false" ht="12.75" hidden="false" customHeight="false" outlineLevel="0" collapsed="false">
      <c r="A824" s="0" t="s">
        <v>621</v>
      </c>
      <c r="B824" s="0" t="str">
        <f aca="false">'Basis Options'!C827</f>
        <v>NW9477.2</v>
      </c>
      <c r="C824" s="0" t="s">
        <v>622</v>
      </c>
      <c r="D824" s="0" t="s">
        <v>623</v>
      </c>
      <c r="E824" s="0" t="s">
        <v>131</v>
      </c>
      <c r="F824" s="0" t="str">
        <f aca="false">'Basis Options'!A827</f>
        <v>FT-US/CAND-ERMS</v>
      </c>
      <c r="G824" s="0" t="s">
        <v>628</v>
      </c>
      <c r="H824" s="0" t="s">
        <v>625</v>
      </c>
      <c r="I824" s="0" t="s">
        <v>626</v>
      </c>
      <c r="J824" s="0" t="s">
        <v>627</v>
      </c>
      <c r="K824" s="475" t="n">
        <f aca="false">'Basis Options'!G827</f>
        <v>36831</v>
      </c>
      <c r="L824" s="254" t="e">
        <f aca="false">'Basis Options'!U827</f>
        <v>#NAME?</v>
      </c>
      <c r="M824" s="475" t="n">
        <f aca="false">'Basis Options'!Q827</f>
        <v>36829</v>
      </c>
      <c r="N824" s="0" t="str">
        <f aca="false">'Basis Options'!F827</f>
        <v>C</v>
      </c>
      <c r="O824" s="0" t="n">
        <f aca="false">'Basis Options'!I827</f>
        <v>0.15</v>
      </c>
      <c r="P824" s="0" t="n">
        <v>0</v>
      </c>
      <c r="Q824" s="0" t="n">
        <v>0</v>
      </c>
      <c r="R824" s="0" t="n">
        <v>0</v>
      </c>
      <c r="S824" s="0" t="n">
        <v>0</v>
      </c>
      <c r="T824" s="0" t="s">
        <v>624</v>
      </c>
      <c r="U824" s="0" t="str">
        <f aca="false">IF('Basis Options'!D827="NGI/CHI. GATE","""NGI/CHI. GATE""",TRIM('Basis Options'!D827))</f>
        <v>IF-NTHWST/CANBR</v>
      </c>
      <c r="V824" s="0" t="s">
        <v>624</v>
      </c>
      <c r="W824" s="0" t="s">
        <v>569</v>
      </c>
      <c r="X824" s="0" t="s">
        <v>624</v>
      </c>
      <c r="Y824" s="0" t="s">
        <v>627</v>
      </c>
      <c r="Z824" s="0" t="s">
        <v>629</v>
      </c>
      <c r="AA824" s="0" t="s">
        <v>624</v>
      </c>
      <c r="AB824" s="0" t="s">
        <v>132</v>
      </c>
      <c r="AC824" s="254" t="n">
        <f aca="false">'Basis Options'!H827</f>
        <v>2500000</v>
      </c>
      <c r="AD824" s="254" t="e">
        <f aca="false">'Basis Options'!W827</f>
        <v>#NAME?</v>
      </c>
      <c r="AE824" s="0" t="n">
        <v>0</v>
      </c>
      <c r="AF824" s="0" t="n">
        <v>0</v>
      </c>
      <c r="AG824" s="0" t="n">
        <v>0</v>
      </c>
      <c r="AH824" s="254" t="e">
        <f aca="false">'Basis Options'!CD829</f>
        <v>#NAME?</v>
      </c>
      <c r="AI824" s="0" t="n">
        <v>226</v>
      </c>
      <c r="AJ824" s="0" t="s">
        <v>630</v>
      </c>
      <c r="AK824" s="0" t="n">
        <v>0</v>
      </c>
      <c r="AL824" s="0" t="n">
        <v>0</v>
      </c>
      <c r="AM824" s="0" t="n">
        <v>0</v>
      </c>
    </row>
    <row r="825" customFormat="false" ht="12.75" hidden="false" customHeight="false" outlineLevel="0" collapsed="false">
      <c r="A825" s="0" t="s">
        <v>621</v>
      </c>
      <c r="B825" s="0" t="str">
        <f aca="false">'Basis Options'!C828</f>
        <v>NW9477.2</v>
      </c>
      <c r="C825" s="0" t="s">
        <v>622</v>
      </c>
      <c r="D825" s="0" t="s">
        <v>623</v>
      </c>
      <c r="E825" s="0" t="s">
        <v>131</v>
      </c>
      <c r="F825" s="0" t="str">
        <f aca="false">'Basis Options'!A828</f>
        <v>FT-US/CAND-ERMS</v>
      </c>
      <c r="G825" s="0" t="s">
        <v>628</v>
      </c>
      <c r="H825" s="0" t="s">
        <v>625</v>
      </c>
      <c r="I825" s="0" t="s">
        <v>626</v>
      </c>
      <c r="J825" s="0" t="s">
        <v>627</v>
      </c>
      <c r="K825" s="475" t="n">
        <f aca="false">'Basis Options'!G828</f>
        <v>36861</v>
      </c>
      <c r="L825" s="254" t="e">
        <f aca="false">'Basis Options'!U828</f>
        <v>#NAME?</v>
      </c>
      <c r="M825" s="475" t="n">
        <f aca="false">'Basis Options'!Q828</f>
        <v>36859</v>
      </c>
      <c r="N825" s="0" t="str">
        <f aca="false">'Basis Options'!F828</f>
        <v>C</v>
      </c>
      <c r="O825" s="0" t="n">
        <f aca="false">'Basis Options'!I828</f>
        <v>0.15</v>
      </c>
      <c r="P825" s="0" t="n">
        <v>0</v>
      </c>
      <c r="Q825" s="0" t="n">
        <v>0</v>
      </c>
      <c r="R825" s="0" t="n">
        <v>0</v>
      </c>
      <c r="S825" s="0" t="n">
        <v>0</v>
      </c>
      <c r="T825" s="0" t="s">
        <v>624</v>
      </c>
      <c r="U825" s="0" t="str">
        <f aca="false">IF('Basis Options'!D828="NGI/CHI. GATE","""NGI/CHI. GATE""",TRIM('Basis Options'!D828))</f>
        <v>IF-NTHWST/CANBR</v>
      </c>
      <c r="V825" s="0" t="s">
        <v>624</v>
      </c>
      <c r="W825" s="0" t="s">
        <v>569</v>
      </c>
      <c r="X825" s="0" t="s">
        <v>624</v>
      </c>
      <c r="Y825" s="0" t="s">
        <v>627</v>
      </c>
      <c r="Z825" s="0" t="s">
        <v>629</v>
      </c>
      <c r="AA825" s="0" t="s">
        <v>624</v>
      </c>
      <c r="AB825" s="0" t="s">
        <v>132</v>
      </c>
      <c r="AC825" s="254" t="n">
        <f aca="false">'Basis Options'!H828</f>
        <v>2500000</v>
      </c>
      <c r="AD825" s="254" t="e">
        <f aca="false">'Basis Options'!W828</f>
        <v>#NAME?</v>
      </c>
      <c r="AE825" s="0" t="n">
        <v>0</v>
      </c>
      <c r="AF825" s="0" t="n">
        <v>0</v>
      </c>
      <c r="AG825" s="0" t="n">
        <v>0</v>
      </c>
      <c r="AH825" s="254" t="e">
        <f aca="false">'Basis Options'!CD830</f>
        <v>#NAME?</v>
      </c>
      <c r="AI825" s="0" t="n">
        <v>226</v>
      </c>
      <c r="AJ825" s="0" t="s">
        <v>630</v>
      </c>
      <c r="AK825" s="0" t="n">
        <v>0</v>
      </c>
      <c r="AL825" s="0" t="n">
        <v>0</v>
      </c>
      <c r="AM825" s="0" t="n">
        <v>0</v>
      </c>
    </row>
    <row r="826" customFormat="false" ht="12.75" hidden="false" customHeight="false" outlineLevel="0" collapsed="false">
      <c r="A826" s="0" t="s">
        <v>621</v>
      </c>
      <c r="B826" s="0" t="str">
        <f aca="false">'Basis Options'!C829</f>
        <v>NW9477.2</v>
      </c>
      <c r="C826" s="0" t="s">
        <v>622</v>
      </c>
      <c r="D826" s="0" t="s">
        <v>623</v>
      </c>
      <c r="E826" s="0" t="s">
        <v>131</v>
      </c>
      <c r="F826" s="0" t="str">
        <f aca="false">'Basis Options'!A829</f>
        <v>FT-US/CAND-ERMS</v>
      </c>
      <c r="G826" s="0" t="s">
        <v>628</v>
      </c>
      <c r="H826" s="0" t="s">
        <v>625</v>
      </c>
      <c r="I826" s="0" t="s">
        <v>626</v>
      </c>
      <c r="J826" s="0" t="s">
        <v>627</v>
      </c>
      <c r="K826" s="475" t="n">
        <f aca="false">'Basis Options'!G829</f>
        <v>36892</v>
      </c>
      <c r="L826" s="254" t="e">
        <f aca="false">'Basis Options'!U829</f>
        <v>#NAME?</v>
      </c>
      <c r="M826" s="475" t="n">
        <f aca="false">'Basis Options'!Q829</f>
        <v>36888</v>
      </c>
      <c r="N826" s="0" t="str">
        <f aca="false">'Basis Options'!F829</f>
        <v>C</v>
      </c>
      <c r="O826" s="0" t="n">
        <f aca="false">'Basis Options'!I829</f>
        <v>0.15</v>
      </c>
      <c r="P826" s="0" t="n">
        <v>0</v>
      </c>
      <c r="Q826" s="0" t="n">
        <v>0</v>
      </c>
      <c r="R826" s="0" t="n">
        <v>0</v>
      </c>
      <c r="S826" s="0" t="n">
        <v>0</v>
      </c>
      <c r="T826" s="0" t="s">
        <v>624</v>
      </c>
      <c r="U826" s="0" t="str">
        <f aca="false">IF('Basis Options'!D829="NGI/CHI. GATE","""NGI/CHI. GATE""",TRIM('Basis Options'!D829))</f>
        <v>IF-NTHWST/CANBR</v>
      </c>
      <c r="V826" s="0" t="s">
        <v>624</v>
      </c>
      <c r="W826" s="0" t="s">
        <v>569</v>
      </c>
      <c r="X826" s="0" t="s">
        <v>624</v>
      </c>
      <c r="Y826" s="0" t="s">
        <v>627</v>
      </c>
      <c r="Z826" s="0" t="s">
        <v>629</v>
      </c>
      <c r="AA826" s="0" t="s">
        <v>624</v>
      </c>
      <c r="AB826" s="0" t="s">
        <v>132</v>
      </c>
      <c r="AC826" s="254" t="n">
        <f aca="false">'Basis Options'!H829</f>
        <v>2500000</v>
      </c>
      <c r="AD826" s="254" t="e">
        <f aca="false">'Basis Options'!W829</f>
        <v>#NAME?</v>
      </c>
      <c r="AE826" s="0" t="n">
        <v>0</v>
      </c>
      <c r="AF826" s="0" t="n">
        <v>0</v>
      </c>
      <c r="AG826" s="0" t="n">
        <v>0</v>
      </c>
      <c r="AH826" s="254" t="e">
        <f aca="false">'Basis Options'!CD831</f>
        <v>#NAME?</v>
      </c>
      <c r="AI826" s="0" t="n">
        <v>226</v>
      </c>
      <c r="AJ826" s="0" t="s">
        <v>630</v>
      </c>
      <c r="AK826" s="0" t="n">
        <v>0</v>
      </c>
      <c r="AL826" s="0" t="n">
        <v>0</v>
      </c>
      <c r="AM826" s="0" t="n">
        <v>0</v>
      </c>
    </row>
    <row r="827" customFormat="false" ht="12.75" hidden="false" customHeight="false" outlineLevel="0" collapsed="false">
      <c r="A827" s="0" t="s">
        <v>621</v>
      </c>
      <c r="B827" s="0" t="str">
        <f aca="false">'Basis Options'!C830</f>
        <v>NW9477.2</v>
      </c>
      <c r="C827" s="0" t="s">
        <v>622</v>
      </c>
      <c r="D827" s="0" t="s">
        <v>623</v>
      </c>
      <c r="E827" s="0" t="s">
        <v>131</v>
      </c>
      <c r="F827" s="0" t="str">
        <f aca="false">'Basis Options'!A830</f>
        <v>FT-US/CAND-ERMS</v>
      </c>
      <c r="G827" s="0" t="s">
        <v>628</v>
      </c>
      <c r="H827" s="0" t="s">
        <v>625</v>
      </c>
      <c r="I827" s="0" t="s">
        <v>626</v>
      </c>
      <c r="J827" s="0" t="s">
        <v>627</v>
      </c>
      <c r="K827" s="475" t="n">
        <f aca="false">'Basis Options'!G830</f>
        <v>36923</v>
      </c>
      <c r="L827" s="254" t="e">
        <f aca="false">'Basis Options'!U830</f>
        <v>#NAME?</v>
      </c>
      <c r="M827" s="475" t="n">
        <f aca="false">'Basis Options'!Q830</f>
        <v>36921</v>
      </c>
      <c r="N827" s="0" t="str">
        <f aca="false">'Basis Options'!F830</f>
        <v>C</v>
      </c>
      <c r="O827" s="0" t="n">
        <f aca="false">'Basis Options'!I830</f>
        <v>0.15</v>
      </c>
      <c r="P827" s="0" t="n">
        <v>0</v>
      </c>
      <c r="Q827" s="0" t="n">
        <v>0</v>
      </c>
      <c r="R827" s="0" t="n">
        <v>0</v>
      </c>
      <c r="S827" s="0" t="n">
        <v>0</v>
      </c>
      <c r="T827" s="0" t="s">
        <v>624</v>
      </c>
      <c r="U827" s="0" t="str">
        <f aca="false">IF('Basis Options'!D830="NGI/CHI. GATE","""NGI/CHI. GATE""",TRIM('Basis Options'!D830))</f>
        <v>IF-NTHWST/CANBR</v>
      </c>
      <c r="V827" s="0" t="s">
        <v>624</v>
      </c>
      <c r="W827" s="0" t="s">
        <v>569</v>
      </c>
      <c r="X827" s="0" t="s">
        <v>624</v>
      </c>
      <c r="Y827" s="0" t="s">
        <v>627</v>
      </c>
      <c r="Z827" s="0" t="s">
        <v>629</v>
      </c>
      <c r="AA827" s="0" t="s">
        <v>624</v>
      </c>
      <c r="AB827" s="0" t="s">
        <v>132</v>
      </c>
      <c r="AC827" s="254" t="n">
        <f aca="false">'Basis Options'!H830</f>
        <v>2500000</v>
      </c>
      <c r="AD827" s="254" t="e">
        <f aca="false">'Basis Options'!W830</f>
        <v>#NAME?</v>
      </c>
      <c r="AE827" s="0" t="n">
        <v>0</v>
      </c>
      <c r="AF827" s="0" t="n">
        <v>0</v>
      </c>
      <c r="AG827" s="0" t="n">
        <v>0</v>
      </c>
      <c r="AH827" s="254" t="e">
        <f aca="false">'Basis Options'!CD832</f>
        <v>#NAME?</v>
      </c>
      <c r="AI827" s="0" t="n">
        <v>226</v>
      </c>
      <c r="AJ827" s="0" t="s">
        <v>630</v>
      </c>
      <c r="AK827" s="0" t="n">
        <v>0</v>
      </c>
      <c r="AL827" s="0" t="n">
        <v>0</v>
      </c>
      <c r="AM827" s="0" t="n">
        <v>0</v>
      </c>
    </row>
    <row r="828" customFormat="false" ht="12.75" hidden="false" customHeight="false" outlineLevel="0" collapsed="false">
      <c r="A828" s="0" t="s">
        <v>621</v>
      </c>
      <c r="B828" s="0" t="str">
        <f aca="false">'Basis Options'!C831</f>
        <v>NW9477.2</v>
      </c>
      <c r="C828" s="0" t="s">
        <v>622</v>
      </c>
      <c r="D828" s="0" t="s">
        <v>623</v>
      </c>
      <c r="E828" s="0" t="s">
        <v>131</v>
      </c>
      <c r="F828" s="0" t="str">
        <f aca="false">'Basis Options'!A831</f>
        <v>FT-US/CAND-ERMS</v>
      </c>
      <c r="G828" s="0" t="s">
        <v>628</v>
      </c>
      <c r="H828" s="0" t="s">
        <v>625</v>
      </c>
      <c r="I828" s="0" t="s">
        <v>626</v>
      </c>
      <c r="J828" s="0" t="s">
        <v>627</v>
      </c>
      <c r="K828" s="475" t="n">
        <f aca="false">'Basis Options'!G831</f>
        <v>36951</v>
      </c>
      <c r="L828" s="254" t="e">
        <f aca="false">'Basis Options'!U831</f>
        <v>#NAME?</v>
      </c>
      <c r="M828" s="475" t="n">
        <f aca="false">'Basis Options'!Q831</f>
        <v>36949</v>
      </c>
      <c r="N828" s="0" t="str">
        <f aca="false">'Basis Options'!F831</f>
        <v>C</v>
      </c>
      <c r="O828" s="0" t="n">
        <f aca="false">'Basis Options'!I831</f>
        <v>0.15</v>
      </c>
      <c r="P828" s="0" t="n">
        <v>0</v>
      </c>
      <c r="Q828" s="0" t="n">
        <v>0</v>
      </c>
      <c r="R828" s="0" t="n">
        <v>0</v>
      </c>
      <c r="S828" s="0" t="n">
        <v>0</v>
      </c>
      <c r="T828" s="0" t="s">
        <v>624</v>
      </c>
      <c r="U828" s="0" t="str">
        <f aca="false">IF('Basis Options'!D831="NGI/CHI. GATE","""NGI/CHI. GATE""",TRIM('Basis Options'!D831))</f>
        <v>IF-NTHWST/CANBR</v>
      </c>
      <c r="V828" s="0" t="s">
        <v>624</v>
      </c>
      <c r="W828" s="0" t="s">
        <v>569</v>
      </c>
      <c r="X828" s="0" t="s">
        <v>624</v>
      </c>
      <c r="Y828" s="0" t="s">
        <v>627</v>
      </c>
      <c r="Z828" s="0" t="s">
        <v>629</v>
      </c>
      <c r="AA828" s="0" t="s">
        <v>624</v>
      </c>
      <c r="AB828" s="0" t="s">
        <v>132</v>
      </c>
      <c r="AC828" s="254" t="n">
        <f aca="false">'Basis Options'!H831</f>
        <v>2500000</v>
      </c>
      <c r="AD828" s="254" t="e">
        <f aca="false">'Basis Options'!W831</f>
        <v>#NAME?</v>
      </c>
      <c r="AE828" s="0" t="n">
        <v>0</v>
      </c>
      <c r="AF828" s="0" t="n">
        <v>0</v>
      </c>
      <c r="AG828" s="0" t="n">
        <v>0</v>
      </c>
      <c r="AH828" s="254" t="e">
        <f aca="false">'Basis Options'!CD833</f>
        <v>#NAME?</v>
      </c>
      <c r="AI828" s="0" t="n">
        <v>226</v>
      </c>
      <c r="AJ828" s="0" t="s">
        <v>630</v>
      </c>
      <c r="AK828" s="0" t="n">
        <v>0</v>
      </c>
      <c r="AL828" s="0" t="n">
        <v>0</v>
      </c>
      <c r="AM828" s="0" t="n">
        <v>0</v>
      </c>
    </row>
    <row r="829" customFormat="false" ht="12.75" hidden="false" customHeight="false" outlineLevel="0" collapsed="false">
      <c r="A829" s="0" t="s">
        <v>621</v>
      </c>
      <c r="B829" s="0" t="str">
        <f aca="false">'Basis Options'!C832</f>
        <v>NX1655.1</v>
      </c>
      <c r="C829" s="0" t="s">
        <v>622</v>
      </c>
      <c r="D829" s="0" t="s">
        <v>623</v>
      </c>
      <c r="E829" s="0" t="s">
        <v>131</v>
      </c>
      <c r="F829" s="0" t="str">
        <f aca="false">'Basis Options'!A832</f>
        <v>ELPASMER</v>
      </c>
      <c r="G829" s="0" t="s">
        <v>628</v>
      </c>
      <c r="H829" s="0" t="s">
        <v>625</v>
      </c>
      <c r="I829" s="0" t="s">
        <v>626</v>
      </c>
      <c r="J829" s="0" t="s">
        <v>627</v>
      </c>
      <c r="K829" s="475" t="n">
        <f aca="false">'Basis Options'!G832</f>
        <v>36831</v>
      </c>
      <c r="L829" s="254" t="e">
        <f aca="false">'Basis Options'!U832</f>
        <v>#NAME?</v>
      </c>
      <c r="M829" s="475" t="n">
        <f aca="false">'Basis Options'!Q832</f>
        <v>36829</v>
      </c>
      <c r="N829" s="0" t="str">
        <f aca="false">'Basis Options'!F832</f>
        <v>C</v>
      </c>
      <c r="O829" s="0" t="n">
        <f aca="false">'Basis Options'!I832</f>
        <v>1.5</v>
      </c>
      <c r="P829" s="0" t="n">
        <v>0</v>
      </c>
      <c r="Q829" s="0" t="n">
        <v>0</v>
      </c>
      <c r="R829" s="0" t="n">
        <v>0</v>
      </c>
      <c r="S829" s="0" t="n">
        <v>0</v>
      </c>
      <c r="T829" s="0" t="s">
        <v>624</v>
      </c>
      <c r="U829" s="0" t="str">
        <f aca="false">IF('Basis Options'!D832="NGI/CHI. GATE","""NGI/CHI. GATE""",TRIM('Basis Options'!D832))</f>
        <v>NGI-SOCAL</v>
      </c>
      <c r="V829" s="0" t="s">
        <v>624</v>
      </c>
      <c r="W829" s="0" t="s">
        <v>569</v>
      </c>
      <c r="X829" s="0" t="s">
        <v>624</v>
      </c>
      <c r="Y829" s="0" t="s">
        <v>627</v>
      </c>
      <c r="Z829" s="0" t="s">
        <v>629</v>
      </c>
      <c r="AA829" s="0" t="s">
        <v>624</v>
      </c>
      <c r="AB829" s="0" t="s">
        <v>132</v>
      </c>
      <c r="AC829" s="254" t="n">
        <f aca="false">'Basis Options'!H832</f>
        <v>-300000</v>
      </c>
      <c r="AD829" s="254" t="e">
        <f aca="false">'Basis Options'!W832</f>
        <v>#NAME?</v>
      </c>
      <c r="AE829" s="0" t="n">
        <v>0</v>
      </c>
      <c r="AF829" s="0" t="n">
        <v>0</v>
      </c>
      <c r="AG829" s="0" t="n">
        <v>0</v>
      </c>
      <c r="AH829" s="254" t="n">
        <f aca="false">'Basis Options'!CD834</f>
        <v>0</v>
      </c>
      <c r="AI829" s="0" t="n">
        <v>226</v>
      </c>
      <c r="AJ829" s="0" t="s">
        <v>630</v>
      </c>
      <c r="AK829" s="0" t="n">
        <v>0</v>
      </c>
      <c r="AL829" s="0" t="n">
        <v>0</v>
      </c>
      <c r="AM829" s="0" t="n">
        <v>0</v>
      </c>
    </row>
    <row r="830" customFormat="false" ht="12.75" hidden="false" customHeight="false" outlineLevel="0" collapsed="false">
      <c r="A830" s="0" t="s">
        <v>621</v>
      </c>
      <c r="B830" s="0" t="str">
        <f aca="false">'Basis Options'!C833</f>
        <v>NX1655.1</v>
      </c>
      <c r="C830" s="0" t="s">
        <v>622</v>
      </c>
      <c r="D830" s="0" t="s">
        <v>623</v>
      </c>
      <c r="E830" s="0" t="s">
        <v>131</v>
      </c>
      <c r="F830" s="0" t="str">
        <f aca="false">'Basis Options'!A833</f>
        <v>ELPASMER</v>
      </c>
      <c r="G830" s="0" t="s">
        <v>628</v>
      </c>
      <c r="H830" s="0" t="s">
        <v>625</v>
      </c>
      <c r="I830" s="0" t="s">
        <v>626</v>
      </c>
      <c r="J830" s="0" t="s">
        <v>627</v>
      </c>
      <c r="K830" s="475" t="n">
        <f aca="false">'Basis Options'!G833</f>
        <v>36861</v>
      </c>
      <c r="L830" s="254" t="e">
        <f aca="false">'Basis Options'!U833</f>
        <v>#NAME?</v>
      </c>
      <c r="M830" s="475" t="n">
        <f aca="false">'Basis Options'!Q833</f>
        <v>36859</v>
      </c>
      <c r="N830" s="0" t="str">
        <f aca="false">'Basis Options'!F833</f>
        <v>C</v>
      </c>
      <c r="O830" s="0" t="n">
        <f aca="false">'Basis Options'!I833</f>
        <v>1.5</v>
      </c>
      <c r="P830" s="0" t="n">
        <v>0</v>
      </c>
      <c r="Q830" s="0" t="n">
        <v>0</v>
      </c>
      <c r="R830" s="0" t="n">
        <v>0</v>
      </c>
      <c r="S830" s="0" t="n">
        <v>0</v>
      </c>
      <c r="T830" s="0" t="s">
        <v>624</v>
      </c>
      <c r="U830" s="0" t="str">
        <f aca="false">IF('Basis Options'!D833="NGI/CHI. GATE","""NGI/CHI. GATE""",TRIM('Basis Options'!D833))</f>
        <v>NGI-SOCAL</v>
      </c>
      <c r="V830" s="0" t="s">
        <v>624</v>
      </c>
      <c r="W830" s="0" t="s">
        <v>569</v>
      </c>
      <c r="X830" s="0" t="s">
        <v>624</v>
      </c>
      <c r="Y830" s="0" t="s">
        <v>627</v>
      </c>
      <c r="Z830" s="0" t="s">
        <v>629</v>
      </c>
      <c r="AA830" s="0" t="s">
        <v>624</v>
      </c>
      <c r="AB830" s="0" t="s">
        <v>132</v>
      </c>
      <c r="AC830" s="254" t="n">
        <f aca="false">'Basis Options'!H833</f>
        <v>-310000</v>
      </c>
      <c r="AD830" s="254" t="e">
        <f aca="false">'Basis Options'!W833</f>
        <v>#NAME?</v>
      </c>
      <c r="AE830" s="0" t="n">
        <v>0</v>
      </c>
      <c r="AF830" s="0" t="n">
        <v>0</v>
      </c>
      <c r="AG830" s="0" t="n">
        <v>0</v>
      </c>
      <c r="AH830" s="254" t="n">
        <f aca="false">'Basis Options'!CD835</f>
        <v>0</v>
      </c>
      <c r="AI830" s="0" t="n">
        <v>226</v>
      </c>
      <c r="AJ830" s="0" t="s">
        <v>630</v>
      </c>
      <c r="AK830" s="0" t="n">
        <v>0</v>
      </c>
      <c r="AL830" s="0" t="n">
        <v>0</v>
      </c>
      <c r="AM830" s="0" t="n">
        <v>0</v>
      </c>
    </row>
    <row r="831" customFormat="false" ht="12.75" hidden="false" customHeight="false" outlineLevel="0" collapsed="false">
      <c r="A831" s="0" t="s">
        <v>621</v>
      </c>
      <c r="B831" s="0" t="str">
        <f aca="false">'Basis Options'!C834</f>
        <v>NX1655.1</v>
      </c>
      <c r="C831" s="0" t="s">
        <v>622</v>
      </c>
      <c r="D831" s="0" t="s">
        <v>623</v>
      </c>
      <c r="E831" s="0" t="s">
        <v>131</v>
      </c>
      <c r="F831" s="0" t="str">
        <f aca="false">'Basis Options'!A834</f>
        <v>ELPASMER</v>
      </c>
      <c r="G831" s="0" t="s">
        <v>628</v>
      </c>
      <c r="H831" s="0" t="s">
        <v>625</v>
      </c>
      <c r="I831" s="0" t="s">
        <v>626</v>
      </c>
      <c r="J831" s="0" t="s">
        <v>627</v>
      </c>
      <c r="K831" s="475" t="n">
        <f aca="false">'Basis Options'!G834</f>
        <v>36892</v>
      </c>
      <c r="L831" s="254" t="e">
        <f aca="false">'Basis Options'!U834</f>
        <v>#NAME?</v>
      </c>
      <c r="M831" s="475" t="n">
        <f aca="false">'Basis Options'!Q834</f>
        <v>36888</v>
      </c>
      <c r="N831" s="0" t="str">
        <f aca="false">'Basis Options'!F834</f>
        <v>C</v>
      </c>
      <c r="O831" s="0" t="n">
        <f aca="false">'Basis Options'!I834</f>
        <v>1.5</v>
      </c>
      <c r="P831" s="0" t="n">
        <v>0</v>
      </c>
      <c r="Q831" s="0" t="n">
        <v>0</v>
      </c>
      <c r="R831" s="0" t="n">
        <v>0</v>
      </c>
      <c r="S831" s="0" t="n">
        <v>0</v>
      </c>
      <c r="T831" s="0" t="s">
        <v>624</v>
      </c>
      <c r="U831" s="0" t="str">
        <f aca="false">IF('Basis Options'!D834="NGI/CHI. GATE","""NGI/CHI. GATE""",TRIM('Basis Options'!D834))</f>
        <v>NGI-SOCAL</v>
      </c>
      <c r="V831" s="0" t="s">
        <v>624</v>
      </c>
      <c r="W831" s="0" t="s">
        <v>569</v>
      </c>
      <c r="X831" s="0" t="s">
        <v>624</v>
      </c>
      <c r="Y831" s="0" t="s">
        <v>627</v>
      </c>
      <c r="Z831" s="0" t="s">
        <v>629</v>
      </c>
      <c r="AA831" s="0" t="s">
        <v>624</v>
      </c>
      <c r="AB831" s="0" t="s">
        <v>132</v>
      </c>
      <c r="AC831" s="254" t="n">
        <f aca="false">'Basis Options'!H834</f>
        <v>-310000</v>
      </c>
      <c r="AD831" s="254" t="e">
        <f aca="false">'Basis Options'!W834</f>
        <v>#NAME?</v>
      </c>
      <c r="AE831" s="0" t="n">
        <v>0</v>
      </c>
      <c r="AF831" s="0" t="n">
        <v>0</v>
      </c>
      <c r="AG831" s="0" t="n">
        <v>0</v>
      </c>
      <c r="AH831" s="254" t="n">
        <f aca="false">'Basis Options'!CD836</f>
        <v>0</v>
      </c>
      <c r="AI831" s="0" t="n">
        <v>226</v>
      </c>
      <c r="AJ831" s="0" t="s">
        <v>630</v>
      </c>
      <c r="AK831" s="0" t="n">
        <v>0</v>
      </c>
      <c r="AL831" s="0" t="n">
        <v>0</v>
      </c>
      <c r="AM831" s="0" t="n">
        <v>0</v>
      </c>
    </row>
    <row r="832" customFormat="false" ht="12.75" hidden="false" customHeight="false" outlineLevel="0" collapsed="false">
      <c r="A832" s="0" t="s">
        <v>621</v>
      </c>
      <c r="B832" s="0" t="str">
        <f aca="false">'Basis Options'!C835</f>
        <v>NX1655.1</v>
      </c>
      <c r="C832" s="0" t="s">
        <v>622</v>
      </c>
      <c r="D832" s="0" t="s">
        <v>623</v>
      </c>
      <c r="E832" s="0" t="s">
        <v>131</v>
      </c>
      <c r="F832" s="0" t="str">
        <f aca="false">'Basis Options'!A835</f>
        <v>ELPASMER</v>
      </c>
      <c r="G832" s="0" t="s">
        <v>628</v>
      </c>
      <c r="H832" s="0" t="s">
        <v>625</v>
      </c>
      <c r="I832" s="0" t="s">
        <v>626</v>
      </c>
      <c r="J832" s="0" t="s">
        <v>627</v>
      </c>
      <c r="K832" s="475" t="n">
        <f aca="false">'Basis Options'!G835</f>
        <v>36923</v>
      </c>
      <c r="L832" s="254" t="e">
        <f aca="false">'Basis Options'!U835</f>
        <v>#NAME?</v>
      </c>
      <c r="M832" s="475" t="n">
        <f aca="false">'Basis Options'!Q835</f>
        <v>36921</v>
      </c>
      <c r="N832" s="0" t="str">
        <f aca="false">'Basis Options'!F835</f>
        <v>C</v>
      </c>
      <c r="O832" s="0" t="n">
        <f aca="false">'Basis Options'!I835</f>
        <v>1.5</v>
      </c>
      <c r="P832" s="0" t="n">
        <v>0</v>
      </c>
      <c r="Q832" s="0" t="n">
        <v>0</v>
      </c>
      <c r="R832" s="0" t="n">
        <v>0</v>
      </c>
      <c r="S832" s="0" t="n">
        <v>0</v>
      </c>
      <c r="T832" s="0" t="s">
        <v>624</v>
      </c>
      <c r="U832" s="0" t="str">
        <f aca="false">IF('Basis Options'!D835="NGI/CHI. GATE","""NGI/CHI. GATE""",TRIM('Basis Options'!D835))</f>
        <v>NGI-SOCAL</v>
      </c>
      <c r="V832" s="0" t="s">
        <v>624</v>
      </c>
      <c r="W832" s="0" t="s">
        <v>569</v>
      </c>
      <c r="X832" s="0" t="s">
        <v>624</v>
      </c>
      <c r="Y832" s="0" t="s">
        <v>627</v>
      </c>
      <c r="Z832" s="0" t="s">
        <v>629</v>
      </c>
      <c r="AA832" s="0" t="s">
        <v>624</v>
      </c>
      <c r="AB832" s="0" t="s">
        <v>132</v>
      </c>
      <c r="AC832" s="254" t="n">
        <f aca="false">'Basis Options'!H835</f>
        <v>-280000</v>
      </c>
      <c r="AD832" s="254" t="e">
        <f aca="false">'Basis Options'!W835</f>
        <v>#NAME?</v>
      </c>
      <c r="AE832" s="0" t="n">
        <v>0</v>
      </c>
      <c r="AF832" s="0" t="n">
        <v>0</v>
      </c>
      <c r="AG832" s="0" t="n">
        <v>0</v>
      </c>
      <c r="AH832" s="254" t="n">
        <f aca="false">'Basis Options'!CD837</f>
        <v>0</v>
      </c>
      <c r="AI832" s="0" t="n">
        <v>226</v>
      </c>
      <c r="AJ832" s="0" t="s">
        <v>630</v>
      </c>
      <c r="AK832" s="0" t="n">
        <v>0</v>
      </c>
      <c r="AL832" s="0" t="n">
        <v>0</v>
      </c>
      <c r="AM832" s="0" t="n">
        <v>0</v>
      </c>
    </row>
    <row r="833" customFormat="false" ht="12.75" hidden="false" customHeight="false" outlineLevel="0" collapsed="false">
      <c r="A833" s="0" t="s">
        <v>621</v>
      </c>
      <c r="B833" s="0" t="str">
        <f aca="false">'Basis Options'!C836</f>
        <v>NX1655.1</v>
      </c>
      <c r="C833" s="0" t="s">
        <v>622</v>
      </c>
      <c r="D833" s="0" t="s">
        <v>623</v>
      </c>
      <c r="E833" s="0" t="s">
        <v>131</v>
      </c>
      <c r="F833" s="0" t="str">
        <f aca="false">'Basis Options'!A836</f>
        <v>ELPASMER</v>
      </c>
      <c r="G833" s="0" t="s">
        <v>628</v>
      </c>
      <c r="H833" s="0" t="s">
        <v>625</v>
      </c>
      <c r="I833" s="0" t="s">
        <v>626</v>
      </c>
      <c r="J833" s="0" t="s">
        <v>627</v>
      </c>
      <c r="K833" s="475" t="n">
        <f aca="false">'Basis Options'!G836</f>
        <v>36951</v>
      </c>
      <c r="L833" s="254" t="e">
        <f aca="false">'Basis Options'!U836</f>
        <v>#NAME?</v>
      </c>
      <c r="M833" s="475" t="n">
        <f aca="false">'Basis Options'!Q836</f>
        <v>36949</v>
      </c>
      <c r="N833" s="0" t="str">
        <f aca="false">'Basis Options'!F836</f>
        <v>C</v>
      </c>
      <c r="O833" s="0" t="n">
        <f aca="false">'Basis Options'!I836</f>
        <v>1.5</v>
      </c>
      <c r="P833" s="0" t="n">
        <v>0</v>
      </c>
      <c r="Q833" s="0" t="n">
        <v>0</v>
      </c>
      <c r="R833" s="0" t="n">
        <v>0</v>
      </c>
      <c r="S833" s="0" t="n">
        <v>0</v>
      </c>
      <c r="T833" s="0" t="s">
        <v>624</v>
      </c>
      <c r="U833" s="0" t="str">
        <f aca="false">IF('Basis Options'!D836="NGI/CHI. GATE","""NGI/CHI. GATE""",TRIM('Basis Options'!D836))</f>
        <v>NGI-SOCAL</v>
      </c>
      <c r="V833" s="0" t="s">
        <v>624</v>
      </c>
      <c r="W833" s="0" t="s">
        <v>569</v>
      </c>
      <c r="X833" s="0" t="s">
        <v>624</v>
      </c>
      <c r="Y833" s="0" t="s">
        <v>627</v>
      </c>
      <c r="Z833" s="0" t="s">
        <v>629</v>
      </c>
      <c r="AA833" s="0" t="s">
        <v>624</v>
      </c>
      <c r="AB833" s="0" t="s">
        <v>132</v>
      </c>
      <c r="AC833" s="254" t="n">
        <f aca="false">'Basis Options'!H836</f>
        <v>-310000</v>
      </c>
      <c r="AD833" s="254" t="e">
        <f aca="false">'Basis Options'!W836</f>
        <v>#NAME?</v>
      </c>
      <c r="AE833" s="0" t="n">
        <v>0</v>
      </c>
      <c r="AF833" s="0" t="n">
        <v>0</v>
      </c>
      <c r="AG833" s="0" t="n">
        <v>0</v>
      </c>
      <c r="AH833" s="254" t="n">
        <f aca="false">'Basis Options'!CD838</f>
        <v>0</v>
      </c>
      <c r="AI833" s="0" t="n">
        <v>226</v>
      </c>
      <c r="AJ833" s="0" t="s">
        <v>630</v>
      </c>
      <c r="AK833" s="0" t="n">
        <v>0</v>
      </c>
      <c r="AL833" s="0" t="n">
        <v>0</v>
      </c>
      <c r="AM833" s="0" t="n">
        <v>0</v>
      </c>
    </row>
    <row r="834" customFormat="false" ht="12.75" hidden="false" customHeight="false" outlineLevel="0" collapsed="false">
      <c r="A834" s="0" t="s">
        <v>621</v>
      </c>
      <c r="B834" s="0" t="str">
        <f aca="false">'Basis Options'!C837</f>
        <v>NX1655.2</v>
      </c>
      <c r="C834" s="0" t="s">
        <v>622</v>
      </c>
      <c r="D834" s="0" t="s">
        <v>623</v>
      </c>
      <c r="E834" s="0" t="s">
        <v>131</v>
      </c>
      <c r="F834" s="0" t="str">
        <f aca="false">'Basis Options'!A837</f>
        <v>ELPASMER</v>
      </c>
      <c r="G834" s="0" t="s">
        <v>628</v>
      </c>
      <c r="H834" s="0" t="s">
        <v>625</v>
      </c>
      <c r="I834" s="0" t="s">
        <v>626</v>
      </c>
      <c r="J834" s="0" t="s">
        <v>627</v>
      </c>
      <c r="K834" s="475" t="n">
        <f aca="false">'Basis Options'!G837</f>
        <v>36831</v>
      </c>
      <c r="L834" s="254" t="e">
        <f aca="false">'Basis Options'!U837</f>
        <v>#NAME?</v>
      </c>
      <c r="M834" s="475" t="n">
        <f aca="false">'Basis Options'!Q837</f>
        <v>36829</v>
      </c>
      <c r="N834" s="0" t="str">
        <f aca="false">'Basis Options'!F837</f>
        <v>C</v>
      </c>
      <c r="O834" s="0" t="n">
        <f aca="false">'Basis Options'!I837</f>
        <v>1.5</v>
      </c>
      <c r="P834" s="0" t="n">
        <v>0</v>
      </c>
      <c r="Q834" s="0" t="n">
        <v>0</v>
      </c>
      <c r="R834" s="0" t="n">
        <v>0</v>
      </c>
      <c r="S834" s="0" t="n">
        <v>0</v>
      </c>
      <c r="T834" s="0" t="s">
        <v>624</v>
      </c>
      <c r="U834" s="0" t="str">
        <f aca="false">IF('Basis Options'!D837="NGI/CHI. GATE","""NGI/CHI. GATE""",TRIM('Basis Options'!D837))</f>
        <v>NGI-SOCAL</v>
      </c>
      <c r="V834" s="0" t="s">
        <v>624</v>
      </c>
      <c r="W834" s="0" t="s">
        <v>569</v>
      </c>
      <c r="X834" s="0" t="s">
        <v>624</v>
      </c>
      <c r="Y834" s="0" t="s">
        <v>627</v>
      </c>
      <c r="Z834" s="0" t="s">
        <v>629</v>
      </c>
      <c r="AA834" s="0" t="s">
        <v>624</v>
      </c>
      <c r="AB834" s="0" t="s">
        <v>132</v>
      </c>
      <c r="AC834" s="254" t="n">
        <f aca="false">'Basis Options'!H837</f>
        <v>1000000</v>
      </c>
      <c r="AD834" s="254" t="e">
        <f aca="false">'Basis Options'!W837</f>
        <v>#NAME?</v>
      </c>
      <c r="AE834" s="0" t="n">
        <v>0</v>
      </c>
      <c r="AF834" s="0" t="n">
        <v>0</v>
      </c>
      <c r="AG834" s="0" t="n">
        <v>0</v>
      </c>
      <c r="AH834" s="254" t="n">
        <f aca="false">'Basis Options'!CD839</f>
        <v>0</v>
      </c>
      <c r="AI834" s="0" t="n">
        <v>226</v>
      </c>
      <c r="AJ834" s="0" t="s">
        <v>630</v>
      </c>
      <c r="AK834" s="0" t="n">
        <v>0</v>
      </c>
      <c r="AL834" s="0" t="n">
        <v>0</v>
      </c>
      <c r="AM834" s="0" t="n">
        <v>0</v>
      </c>
    </row>
    <row r="835" customFormat="false" ht="12.75" hidden="false" customHeight="false" outlineLevel="0" collapsed="false">
      <c r="A835" s="0" t="s">
        <v>621</v>
      </c>
      <c r="B835" s="0" t="str">
        <f aca="false">'Basis Options'!C838</f>
        <v>NX1655.2</v>
      </c>
      <c r="C835" s="0" t="s">
        <v>622</v>
      </c>
      <c r="D835" s="0" t="s">
        <v>623</v>
      </c>
      <c r="E835" s="0" t="s">
        <v>131</v>
      </c>
      <c r="F835" s="0" t="str">
        <f aca="false">'Basis Options'!A838</f>
        <v>ELPASMER</v>
      </c>
      <c r="G835" s="0" t="s">
        <v>628</v>
      </c>
      <c r="H835" s="0" t="s">
        <v>625</v>
      </c>
      <c r="I835" s="0" t="s">
        <v>626</v>
      </c>
      <c r="J835" s="0" t="s">
        <v>627</v>
      </c>
      <c r="K835" s="475" t="n">
        <f aca="false">'Basis Options'!G838</f>
        <v>36861</v>
      </c>
      <c r="L835" s="254" t="e">
        <f aca="false">'Basis Options'!U838</f>
        <v>#NAME?</v>
      </c>
      <c r="M835" s="475" t="n">
        <f aca="false">'Basis Options'!Q838</f>
        <v>36859</v>
      </c>
      <c r="N835" s="0" t="str">
        <f aca="false">'Basis Options'!F838</f>
        <v>C</v>
      </c>
      <c r="O835" s="0" t="n">
        <f aca="false">'Basis Options'!I838</f>
        <v>1.5</v>
      </c>
      <c r="P835" s="0" t="n">
        <v>0</v>
      </c>
      <c r="Q835" s="0" t="n">
        <v>0</v>
      </c>
      <c r="R835" s="0" t="n">
        <v>0</v>
      </c>
      <c r="S835" s="0" t="n">
        <v>0</v>
      </c>
      <c r="T835" s="0" t="s">
        <v>624</v>
      </c>
      <c r="U835" s="0" t="str">
        <f aca="false">IF('Basis Options'!D838="NGI/CHI. GATE","""NGI/CHI. GATE""",TRIM('Basis Options'!D838))</f>
        <v>NGI-SOCAL</v>
      </c>
      <c r="V835" s="0" t="s">
        <v>624</v>
      </c>
      <c r="W835" s="0" t="s">
        <v>569</v>
      </c>
      <c r="X835" s="0" t="s">
        <v>624</v>
      </c>
      <c r="Y835" s="0" t="s">
        <v>627</v>
      </c>
      <c r="Z835" s="0" t="s">
        <v>629</v>
      </c>
      <c r="AA835" s="0" t="s">
        <v>624</v>
      </c>
      <c r="AB835" s="0" t="s">
        <v>132</v>
      </c>
      <c r="AC835" s="254" t="n">
        <f aca="false">'Basis Options'!H838</f>
        <v>1000000</v>
      </c>
      <c r="AD835" s="254" t="e">
        <f aca="false">'Basis Options'!W838</f>
        <v>#NAME?</v>
      </c>
      <c r="AE835" s="0" t="n">
        <v>0</v>
      </c>
      <c r="AF835" s="0" t="n">
        <v>0</v>
      </c>
      <c r="AG835" s="0" t="n">
        <v>0</v>
      </c>
      <c r="AH835" s="254" t="n">
        <f aca="false">'Basis Options'!CD840</f>
        <v>0</v>
      </c>
      <c r="AI835" s="0" t="n">
        <v>226</v>
      </c>
      <c r="AJ835" s="0" t="s">
        <v>630</v>
      </c>
      <c r="AK835" s="0" t="n">
        <v>0</v>
      </c>
      <c r="AL835" s="0" t="n">
        <v>0</v>
      </c>
      <c r="AM835" s="0" t="n">
        <v>0</v>
      </c>
    </row>
    <row r="836" customFormat="false" ht="12.75" hidden="false" customHeight="false" outlineLevel="0" collapsed="false">
      <c r="A836" s="0" t="s">
        <v>621</v>
      </c>
      <c r="B836" s="0" t="str">
        <f aca="false">'Basis Options'!C839</f>
        <v>NX1655.2</v>
      </c>
      <c r="C836" s="0" t="s">
        <v>622</v>
      </c>
      <c r="D836" s="0" t="s">
        <v>623</v>
      </c>
      <c r="E836" s="0" t="s">
        <v>131</v>
      </c>
      <c r="F836" s="0" t="str">
        <f aca="false">'Basis Options'!A839</f>
        <v>ELPASMER</v>
      </c>
      <c r="G836" s="0" t="s">
        <v>628</v>
      </c>
      <c r="H836" s="0" t="s">
        <v>625</v>
      </c>
      <c r="I836" s="0" t="s">
        <v>626</v>
      </c>
      <c r="J836" s="0" t="s">
        <v>627</v>
      </c>
      <c r="K836" s="475" t="n">
        <f aca="false">'Basis Options'!G839</f>
        <v>36892</v>
      </c>
      <c r="L836" s="254" t="e">
        <f aca="false">'Basis Options'!U839</f>
        <v>#NAME?</v>
      </c>
      <c r="M836" s="475" t="n">
        <f aca="false">'Basis Options'!Q839</f>
        <v>36888</v>
      </c>
      <c r="N836" s="0" t="str">
        <f aca="false">'Basis Options'!F839</f>
        <v>C</v>
      </c>
      <c r="O836" s="0" t="n">
        <f aca="false">'Basis Options'!I839</f>
        <v>1.5</v>
      </c>
      <c r="P836" s="0" t="n">
        <v>0</v>
      </c>
      <c r="Q836" s="0" t="n">
        <v>0</v>
      </c>
      <c r="R836" s="0" t="n">
        <v>0</v>
      </c>
      <c r="S836" s="0" t="n">
        <v>0</v>
      </c>
      <c r="T836" s="0" t="s">
        <v>624</v>
      </c>
      <c r="U836" s="0" t="str">
        <f aca="false">IF('Basis Options'!D839="NGI/CHI. GATE","""NGI/CHI. GATE""",TRIM('Basis Options'!D839))</f>
        <v>NGI-SOCAL</v>
      </c>
      <c r="V836" s="0" t="s">
        <v>624</v>
      </c>
      <c r="W836" s="0" t="s">
        <v>569</v>
      </c>
      <c r="X836" s="0" t="s">
        <v>624</v>
      </c>
      <c r="Y836" s="0" t="s">
        <v>627</v>
      </c>
      <c r="Z836" s="0" t="s">
        <v>629</v>
      </c>
      <c r="AA836" s="0" t="s">
        <v>624</v>
      </c>
      <c r="AB836" s="0" t="s">
        <v>132</v>
      </c>
      <c r="AC836" s="254" t="n">
        <f aca="false">'Basis Options'!H839</f>
        <v>1000000</v>
      </c>
      <c r="AD836" s="254" t="e">
        <f aca="false">'Basis Options'!W839</f>
        <v>#NAME?</v>
      </c>
      <c r="AE836" s="0" t="n">
        <v>0</v>
      </c>
      <c r="AF836" s="0" t="n">
        <v>0</v>
      </c>
      <c r="AG836" s="0" t="n">
        <v>0</v>
      </c>
      <c r="AH836" s="254" t="n">
        <f aca="false">'Basis Options'!CD841</f>
        <v>0</v>
      </c>
      <c r="AI836" s="0" t="n">
        <v>226</v>
      </c>
      <c r="AJ836" s="0" t="s">
        <v>630</v>
      </c>
      <c r="AK836" s="0" t="n">
        <v>0</v>
      </c>
      <c r="AL836" s="0" t="n">
        <v>0</v>
      </c>
      <c r="AM836" s="0" t="n">
        <v>0</v>
      </c>
    </row>
    <row r="837" customFormat="false" ht="12.75" hidden="false" customHeight="false" outlineLevel="0" collapsed="false">
      <c r="A837" s="0" t="s">
        <v>621</v>
      </c>
      <c r="B837" s="0" t="str">
        <f aca="false">'Basis Options'!C840</f>
        <v>NX1655.2</v>
      </c>
      <c r="C837" s="0" t="s">
        <v>622</v>
      </c>
      <c r="D837" s="0" t="s">
        <v>623</v>
      </c>
      <c r="E837" s="0" t="s">
        <v>131</v>
      </c>
      <c r="F837" s="0" t="str">
        <f aca="false">'Basis Options'!A840</f>
        <v>ELPASMER</v>
      </c>
      <c r="G837" s="0" t="s">
        <v>628</v>
      </c>
      <c r="H837" s="0" t="s">
        <v>625</v>
      </c>
      <c r="I837" s="0" t="s">
        <v>626</v>
      </c>
      <c r="J837" s="0" t="s">
        <v>627</v>
      </c>
      <c r="K837" s="475" t="n">
        <f aca="false">'Basis Options'!G840</f>
        <v>36923</v>
      </c>
      <c r="L837" s="254" t="e">
        <f aca="false">'Basis Options'!U840</f>
        <v>#NAME?</v>
      </c>
      <c r="M837" s="475" t="n">
        <f aca="false">'Basis Options'!Q840</f>
        <v>36921</v>
      </c>
      <c r="N837" s="0" t="str">
        <f aca="false">'Basis Options'!F840</f>
        <v>C</v>
      </c>
      <c r="O837" s="0" t="n">
        <f aca="false">'Basis Options'!I840</f>
        <v>1.5</v>
      </c>
      <c r="P837" s="0" t="n">
        <v>0</v>
      </c>
      <c r="Q837" s="0" t="n">
        <v>0</v>
      </c>
      <c r="R837" s="0" t="n">
        <v>0</v>
      </c>
      <c r="S837" s="0" t="n">
        <v>0</v>
      </c>
      <c r="T837" s="0" t="s">
        <v>624</v>
      </c>
      <c r="U837" s="0" t="str">
        <f aca="false">IF('Basis Options'!D840="NGI/CHI. GATE","""NGI/CHI. GATE""",TRIM('Basis Options'!D840))</f>
        <v>NGI-SOCAL</v>
      </c>
      <c r="V837" s="0" t="s">
        <v>624</v>
      </c>
      <c r="W837" s="0" t="s">
        <v>569</v>
      </c>
      <c r="X837" s="0" t="s">
        <v>624</v>
      </c>
      <c r="Y837" s="0" t="s">
        <v>627</v>
      </c>
      <c r="Z837" s="0" t="s">
        <v>629</v>
      </c>
      <c r="AA837" s="0" t="s">
        <v>624</v>
      </c>
      <c r="AB837" s="0" t="s">
        <v>132</v>
      </c>
      <c r="AC837" s="254" t="n">
        <f aca="false">'Basis Options'!H840</f>
        <v>1000000</v>
      </c>
      <c r="AD837" s="254" t="e">
        <f aca="false">'Basis Options'!W840</f>
        <v>#NAME?</v>
      </c>
      <c r="AE837" s="0" t="n">
        <v>0</v>
      </c>
      <c r="AF837" s="0" t="n">
        <v>0</v>
      </c>
      <c r="AG837" s="0" t="n">
        <v>0</v>
      </c>
      <c r="AH837" s="254" t="n">
        <f aca="false">'Basis Options'!CD842</f>
        <v>0</v>
      </c>
      <c r="AI837" s="0" t="n">
        <v>226</v>
      </c>
      <c r="AJ837" s="0" t="s">
        <v>630</v>
      </c>
      <c r="AK837" s="0" t="n">
        <v>0</v>
      </c>
      <c r="AL837" s="0" t="n">
        <v>0</v>
      </c>
      <c r="AM837" s="0" t="n">
        <v>0</v>
      </c>
    </row>
    <row r="838" customFormat="false" ht="12.75" hidden="false" customHeight="false" outlineLevel="0" collapsed="false">
      <c r="A838" s="0" t="s">
        <v>621</v>
      </c>
      <c r="B838" s="0" t="str">
        <f aca="false">'Basis Options'!C841</f>
        <v>NX1655.2</v>
      </c>
      <c r="C838" s="0" t="s">
        <v>622</v>
      </c>
      <c r="D838" s="0" t="s">
        <v>623</v>
      </c>
      <c r="E838" s="0" t="s">
        <v>131</v>
      </c>
      <c r="F838" s="0" t="str">
        <f aca="false">'Basis Options'!A841</f>
        <v>ELPASMER</v>
      </c>
      <c r="G838" s="0" t="s">
        <v>628</v>
      </c>
      <c r="H838" s="0" t="s">
        <v>625</v>
      </c>
      <c r="I838" s="0" t="s">
        <v>626</v>
      </c>
      <c r="J838" s="0" t="s">
        <v>627</v>
      </c>
      <c r="K838" s="475" t="n">
        <f aca="false">'Basis Options'!G841</f>
        <v>36951</v>
      </c>
      <c r="L838" s="254" t="e">
        <f aca="false">'Basis Options'!U841</f>
        <v>#NAME?</v>
      </c>
      <c r="M838" s="475" t="n">
        <f aca="false">'Basis Options'!Q841</f>
        <v>36949</v>
      </c>
      <c r="N838" s="0" t="str">
        <f aca="false">'Basis Options'!F841</f>
        <v>C</v>
      </c>
      <c r="O838" s="0" t="n">
        <f aca="false">'Basis Options'!I841</f>
        <v>1.5</v>
      </c>
      <c r="P838" s="0" t="n">
        <v>0</v>
      </c>
      <c r="Q838" s="0" t="n">
        <v>0</v>
      </c>
      <c r="R838" s="0" t="n">
        <v>0</v>
      </c>
      <c r="S838" s="0" t="n">
        <v>0</v>
      </c>
      <c r="T838" s="0" t="s">
        <v>624</v>
      </c>
      <c r="U838" s="0" t="str">
        <f aca="false">IF('Basis Options'!D841="NGI/CHI. GATE","""NGI/CHI. GATE""",TRIM('Basis Options'!D841))</f>
        <v>NGI-SOCAL</v>
      </c>
      <c r="V838" s="0" t="s">
        <v>624</v>
      </c>
      <c r="W838" s="0" t="s">
        <v>569</v>
      </c>
      <c r="X838" s="0" t="s">
        <v>624</v>
      </c>
      <c r="Y838" s="0" t="s">
        <v>627</v>
      </c>
      <c r="Z838" s="0" t="s">
        <v>629</v>
      </c>
      <c r="AA838" s="0" t="s">
        <v>624</v>
      </c>
      <c r="AB838" s="0" t="s">
        <v>132</v>
      </c>
      <c r="AC838" s="254" t="n">
        <f aca="false">'Basis Options'!H841</f>
        <v>1000000</v>
      </c>
      <c r="AD838" s="254" t="e">
        <f aca="false">'Basis Options'!W841</f>
        <v>#NAME?</v>
      </c>
      <c r="AE838" s="0" t="n">
        <v>0</v>
      </c>
      <c r="AF838" s="0" t="n">
        <v>0</v>
      </c>
      <c r="AG838" s="0" t="n">
        <v>0</v>
      </c>
      <c r="AH838" s="254" t="n">
        <f aca="false">'Basis Options'!CD843</f>
        <v>0</v>
      </c>
      <c r="AI838" s="0" t="n">
        <v>226</v>
      </c>
      <c r="AJ838" s="0" t="s">
        <v>630</v>
      </c>
      <c r="AK838" s="0" t="n">
        <v>0</v>
      </c>
      <c r="AL838" s="0" t="n">
        <v>0</v>
      </c>
      <c r="AM838" s="0" t="n">
        <v>0</v>
      </c>
    </row>
    <row r="839" customFormat="false" ht="12.75" hidden="false" customHeight="false" outlineLevel="0" collapsed="false">
      <c r="A839" s="0" t="s">
        <v>621</v>
      </c>
      <c r="B839" s="0" t="str">
        <f aca="false">'Basis Options'!C842</f>
        <v>NX1655.3</v>
      </c>
      <c r="C839" s="0" t="s">
        <v>622</v>
      </c>
      <c r="D839" s="0" t="s">
        <v>623</v>
      </c>
      <c r="E839" s="0" t="s">
        <v>131</v>
      </c>
      <c r="F839" s="0" t="str">
        <f aca="false">'Basis Options'!A842</f>
        <v>ELPASMER</v>
      </c>
      <c r="G839" s="0" t="s">
        <v>628</v>
      </c>
      <c r="H839" s="0" t="s">
        <v>625</v>
      </c>
      <c r="I839" s="0" t="s">
        <v>626</v>
      </c>
      <c r="J839" s="0" t="s">
        <v>627</v>
      </c>
      <c r="K839" s="475" t="n">
        <f aca="false">'Basis Options'!G842</f>
        <v>36982</v>
      </c>
      <c r="L839" s="254" t="e">
        <f aca="false">'Basis Options'!U842</f>
        <v>#NAME?</v>
      </c>
      <c r="M839" s="475" t="n">
        <f aca="false">'Basis Options'!Q842</f>
        <v>36979</v>
      </c>
      <c r="N839" s="0" t="str">
        <f aca="false">'Basis Options'!F842</f>
        <v>C</v>
      </c>
      <c r="O839" s="0" t="n">
        <f aca="false">'Basis Options'!I842</f>
        <v>1.5</v>
      </c>
      <c r="P839" s="0" t="n">
        <v>0</v>
      </c>
      <c r="Q839" s="0" t="n">
        <v>0</v>
      </c>
      <c r="R839" s="0" t="n">
        <v>0</v>
      </c>
      <c r="S839" s="0" t="n">
        <v>0</v>
      </c>
      <c r="T839" s="0" t="s">
        <v>624</v>
      </c>
      <c r="U839" s="0" t="str">
        <f aca="false">IF('Basis Options'!D842="NGI/CHI. GATE","""NGI/CHI. GATE""",TRIM('Basis Options'!D842))</f>
        <v>NGI-SOCAL</v>
      </c>
      <c r="V839" s="0" t="s">
        <v>624</v>
      </c>
      <c r="W839" s="0" t="s">
        <v>569</v>
      </c>
      <c r="X839" s="0" t="s">
        <v>624</v>
      </c>
      <c r="Y839" s="0" t="s">
        <v>627</v>
      </c>
      <c r="Z839" s="0" t="s">
        <v>629</v>
      </c>
      <c r="AA839" s="0" t="s">
        <v>624</v>
      </c>
      <c r="AB839" s="0" t="s">
        <v>132</v>
      </c>
      <c r="AC839" s="254" t="n">
        <f aca="false">'Basis Options'!H842</f>
        <v>-500000</v>
      </c>
      <c r="AD839" s="254" t="e">
        <f aca="false">'Basis Options'!W842</f>
        <v>#NAME?</v>
      </c>
      <c r="AE839" s="0" t="n">
        <v>0</v>
      </c>
      <c r="AF839" s="0" t="n">
        <v>0</v>
      </c>
      <c r="AG839" s="0" t="n">
        <v>0</v>
      </c>
      <c r="AH839" s="254" t="n">
        <f aca="false">'Basis Options'!CD844</f>
        <v>0</v>
      </c>
      <c r="AI839" s="0" t="n">
        <v>226</v>
      </c>
      <c r="AJ839" s="0" t="s">
        <v>630</v>
      </c>
      <c r="AK839" s="0" t="n">
        <v>0</v>
      </c>
      <c r="AL839" s="0" t="n">
        <v>0</v>
      </c>
      <c r="AM839" s="0" t="n">
        <v>0</v>
      </c>
    </row>
    <row r="840" customFormat="false" ht="12.75" hidden="false" customHeight="false" outlineLevel="0" collapsed="false">
      <c r="A840" s="0" t="s">
        <v>621</v>
      </c>
      <c r="B840" s="0" t="str">
        <f aca="false">'Basis Options'!C843</f>
        <v>NX1655.3</v>
      </c>
      <c r="C840" s="0" t="s">
        <v>622</v>
      </c>
      <c r="D840" s="0" t="s">
        <v>623</v>
      </c>
      <c r="E840" s="0" t="s">
        <v>131</v>
      </c>
      <c r="F840" s="0" t="str">
        <f aca="false">'Basis Options'!A843</f>
        <v>ELPASMER</v>
      </c>
      <c r="G840" s="0" t="s">
        <v>628</v>
      </c>
      <c r="H840" s="0" t="s">
        <v>625</v>
      </c>
      <c r="I840" s="0" t="s">
        <v>626</v>
      </c>
      <c r="J840" s="0" t="s">
        <v>627</v>
      </c>
      <c r="K840" s="475" t="n">
        <f aca="false">'Basis Options'!G843</f>
        <v>37012</v>
      </c>
      <c r="L840" s="254" t="e">
        <f aca="false">'Basis Options'!U843</f>
        <v>#NAME?</v>
      </c>
      <c r="M840" s="475" t="n">
        <f aca="false">'Basis Options'!Q843</f>
        <v>37008</v>
      </c>
      <c r="N840" s="0" t="str">
        <f aca="false">'Basis Options'!F843</f>
        <v>C</v>
      </c>
      <c r="O840" s="0" t="n">
        <f aca="false">'Basis Options'!I843</f>
        <v>1.5</v>
      </c>
      <c r="P840" s="0" t="n">
        <v>0</v>
      </c>
      <c r="Q840" s="0" t="n">
        <v>0</v>
      </c>
      <c r="R840" s="0" t="n">
        <v>0</v>
      </c>
      <c r="S840" s="0" t="n">
        <v>0</v>
      </c>
      <c r="T840" s="0" t="s">
        <v>624</v>
      </c>
      <c r="U840" s="0" t="str">
        <f aca="false">IF('Basis Options'!D843="NGI/CHI. GATE","""NGI/CHI. GATE""",TRIM('Basis Options'!D843))</f>
        <v>NGI-SOCAL</v>
      </c>
      <c r="V840" s="0" t="s">
        <v>624</v>
      </c>
      <c r="W840" s="0" t="s">
        <v>569</v>
      </c>
      <c r="X840" s="0" t="s">
        <v>624</v>
      </c>
      <c r="Y840" s="0" t="s">
        <v>627</v>
      </c>
      <c r="Z840" s="0" t="s">
        <v>629</v>
      </c>
      <c r="AA840" s="0" t="s">
        <v>624</v>
      </c>
      <c r="AB840" s="0" t="s">
        <v>132</v>
      </c>
      <c r="AC840" s="254" t="n">
        <f aca="false">'Basis Options'!H843</f>
        <v>-500000</v>
      </c>
      <c r="AD840" s="254" t="e">
        <f aca="false">'Basis Options'!W843</f>
        <v>#NAME?</v>
      </c>
      <c r="AE840" s="0" t="n">
        <v>0</v>
      </c>
      <c r="AF840" s="0" t="n">
        <v>0</v>
      </c>
      <c r="AG840" s="0" t="n">
        <v>0</v>
      </c>
      <c r="AH840" s="254" t="n">
        <f aca="false">'Basis Options'!CD845</f>
        <v>0</v>
      </c>
      <c r="AI840" s="0" t="n">
        <v>226</v>
      </c>
      <c r="AJ840" s="0" t="s">
        <v>630</v>
      </c>
      <c r="AK840" s="0" t="n">
        <v>0</v>
      </c>
      <c r="AL840" s="0" t="n">
        <v>0</v>
      </c>
      <c r="AM840" s="0" t="n">
        <v>0</v>
      </c>
    </row>
    <row r="841" customFormat="false" ht="12.75" hidden="false" customHeight="false" outlineLevel="0" collapsed="false">
      <c r="A841" s="0" t="s">
        <v>621</v>
      </c>
      <c r="B841" s="0" t="str">
        <f aca="false">'Basis Options'!C844</f>
        <v>NX1655.3</v>
      </c>
      <c r="C841" s="0" t="s">
        <v>622</v>
      </c>
      <c r="D841" s="0" t="s">
        <v>623</v>
      </c>
      <c r="E841" s="0" t="s">
        <v>131</v>
      </c>
      <c r="F841" s="0" t="str">
        <f aca="false">'Basis Options'!A844</f>
        <v>ELPASMER</v>
      </c>
      <c r="G841" s="0" t="s">
        <v>628</v>
      </c>
      <c r="H841" s="0" t="s">
        <v>625</v>
      </c>
      <c r="I841" s="0" t="s">
        <v>626</v>
      </c>
      <c r="J841" s="0" t="s">
        <v>627</v>
      </c>
      <c r="K841" s="475" t="n">
        <f aca="false">'Basis Options'!G844</f>
        <v>37043</v>
      </c>
      <c r="L841" s="254" t="e">
        <f aca="false">'Basis Options'!U844</f>
        <v>#NAME?</v>
      </c>
      <c r="M841" s="475" t="n">
        <f aca="false">'Basis Options'!Q844</f>
        <v>37041</v>
      </c>
      <c r="N841" s="0" t="str">
        <f aca="false">'Basis Options'!F844</f>
        <v>C</v>
      </c>
      <c r="O841" s="0" t="n">
        <f aca="false">'Basis Options'!I844</f>
        <v>1.5</v>
      </c>
      <c r="P841" s="0" t="n">
        <v>0</v>
      </c>
      <c r="Q841" s="0" t="n">
        <v>0</v>
      </c>
      <c r="R841" s="0" t="n">
        <v>0</v>
      </c>
      <c r="S841" s="0" t="n">
        <v>0</v>
      </c>
      <c r="T841" s="0" t="s">
        <v>624</v>
      </c>
      <c r="U841" s="0" t="str">
        <f aca="false">IF('Basis Options'!D844="NGI/CHI. GATE","""NGI/CHI. GATE""",TRIM('Basis Options'!D844))</f>
        <v>NGI-SOCAL</v>
      </c>
      <c r="V841" s="0" t="s">
        <v>624</v>
      </c>
      <c r="W841" s="0" t="s">
        <v>569</v>
      </c>
      <c r="X841" s="0" t="s">
        <v>624</v>
      </c>
      <c r="Y841" s="0" t="s">
        <v>627</v>
      </c>
      <c r="Z841" s="0" t="s">
        <v>629</v>
      </c>
      <c r="AA841" s="0" t="s">
        <v>624</v>
      </c>
      <c r="AB841" s="0" t="s">
        <v>132</v>
      </c>
      <c r="AC841" s="254" t="n">
        <f aca="false">'Basis Options'!H844</f>
        <v>-500000</v>
      </c>
      <c r="AD841" s="254" t="e">
        <f aca="false">'Basis Options'!W844</f>
        <v>#NAME?</v>
      </c>
      <c r="AE841" s="0" t="n">
        <v>0</v>
      </c>
      <c r="AF841" s="0" t="n">
        <v>0</v>
      </c>
      <c r="AG841" s="0" t="n">
        <v>0</v>
      </c>
      <c r="AH841" s="254" t="n">
        <f aca="false">'Basis Options'!CD846</f>
        <v>0</v>
      </c>
      <c r="AI841" s="0" t="n">
        <v>226</v>
      </c>
      <c r="AJ841" s="0" t="s">
        <v>630</v>
      </c>
      <c r="AK841" s="0" t="n">
        <v>0</v>
      </c>
      <c r="AL841" s="0" t="n">
        <v>0</v>
      </c>
      <c r="AM841" s="0" t="n">
        <v>0</v>
      </c>
    </row>
    <row r="842" customFormat="false" ht="12.75" hidden="false" customHeight="false" outlineLevel="0" collapsed="false">
      <c r="A842" s="0" t="s">
        <v>621</v>
      </c>
      <c r="B842" s="0" t="str">
        <f aca="false">'Basis Options'!C845</f>
        <v>NX1655.3</v>
      </c>
      <c r="C842" s="0" t="s">
        <v>622</v>
      </c>
      <c r="D842" s="0" t="s">
        <v>623</v>
      </c>
      <c r="E842" s="0" t="s">
        <v>131</v>
      </c>
      <c r="F842" s="0" t="str">
        <f aca="false">'Basis Options'!A845</f>
        <v>ELPASMER</v>
      </c>
      <c r="G842" s="0" t="s">
        <v>628</v>
      </c>
      <c r="H842" s="0" t="s">
        <v>625</v>
      </c>
      <c r="I842" s="0" t="s">
        <v>626</v>
      </c>
      <c r="J842" s="0" t="s">
        <v>627</v>
      </c>
      <c r="K842" s="475" t="n">
        <f aca="false">'Basis Options'!G845</f>
        <v>37073</v>
      </c>
      <c r="L842" s="254" t="e">
        <f aca="false">'Basis Options'!U845</f>
        <v>#NAME?</v>
      </c>
      <c r="M842" s="475" t="n">
        <f aca="false">'Basis Options'!Q845</f>
        <v>37070</v>
      </c>
      <c r="N842" s="0" t="str">
        <f aca="false">'Basis Options'!F845</f>
        <v>C</v>
      </c>
      <c r="O842" s="0" t="n">
        <f aca="false">'Basis Options'!I845</f>
        <v>1.5</v>
      </c>
      <c r="P842" s="0" t="n">
        <v>0</v>
      </c>
      <c r="Q842" s="0" t="n">
        <v>0</v>
      </c>
      <c r="R842" s="0" t="n">
        <v>0</v>
      </c>
      <c r="S842" s="0" t="n">
        <v>0</v>
      </c>
      <c r="T842" s="0" t="s">
        <v>624</v>
      </c>
      <c r="U842" s="0" t="str">
        <f aca="false">IF('Basis Options'!D845="NGI/CHI. GATE","""NGI/CHI. GATE""",TRIM('Basis Options'!D845))</f>
        <v>NGI-SOCAL</v>
      </c>
      <c r="V842" s="0" t="s">
        <v>624</v>
      </c>
      <c r="W842" s="0" t="s">
        <v>569</v>
      </c>
      <c r="X842" s="0" t="s">
        <v>624</v>
      </c>
      <c r="Y842" s="0" t="s">
        <v>627</v>
      </c>
      <c r="Z842" s="0" t="s">
        <v>629</v>
      </c>
      <c r="AA842" s="0" t="s">
        <v>624</v>
      </c>
      <c r="AB842" s="0" t="s">
        <v>132</v>
      </c>
      <c r="AC842" s="254" t="n">
        <f aca="false">'Basis Options'!H845</f>
        <v>-500000</v>
      </c>
      <c r="AD842" s="254" t="e">
        <f aca="false">'Basis Options'!W845</f>
        <v>#NAME?</v>
      </c>
      <c r="AE842" s="0" t="n">
        <v>0</v>
      </c>
      <c r="AF842" s="0" t="n">
        <v>0</v>
      </c>
      <c r="AG842" s="0" t="n">
        <v>0</v>
      </c>
      <c r="AH842" s="254" t="n">
        <f aca="false">'Basis Options'!CD847</f>
        <v>0</v>
      </c>
      <c r="AI842" s="0" t="n">
        <v>226</v>
      </c>
      <c r="AJ842" s="0" t="s">
        <v>630</v>
      </c>
      <c r="AK842" s="0" t="n">
        <v>0</v>
      </c>
      <c r="AL842" s="0" t="n">
        <v>0</v>
      </c>
      <c r="AM842" s="0" t="n">
        <v>0</v>
      </c>
    </row>
    <row r="843" customFormat="false" ht="12.75" hidden="false" customHeight="false" outlineLevel="0" collapsed="false">
      <c r="A843" s="0" t="s">
        <v>621</v>
      </c>
      <c r="B843" s="0" t="str">
        <f aca="false">'Basis Options'!C846</f>
        <v>NX1655.3</v>
      </c>
      <c r="C843" s="0" t="s">
        <v>622</v>
      </c>
      <c r="D843" s="0" t="s">
        <v>623</v>
      </c>
      <c r="E843" s="0" t="s">
        <v>131</v>
      </c>
      <c r="F843" s="0" t="str">
        <f aca="false">'Basis Options'!A846</f>
        <v>ELPASMER</v>
      </c>
      <c r="G843" s="0" t="s">
        <v>628</v>
      </c>
      <c r="H843" s="0" t="s">
        <v>625</v>
      </c>
      <c r="I843" s="0" t="s">
        <v>626</v>
      </c>
      <c r="J843" s="0" t="s">
        <v>627</v>
      </c>
      <c r="K843" s="475" t="n">
        <f aca="false">'Basis Options'!G846</f>
        <v>37104</v>
      </c>
      <c r="L843" s="254" t="e">
        <f aca="false">'Basis Options'!U846</f>
        <v>#NAME?</v>
      </c>
      <c r="M843" s="475" t="n">
        <f aca="false">'Basis Options'!Q846</f>
        <v>37102</v>
      </c>
      <c r="N843" s="0" t="str">
        <f aca="false">'Basis Options'!F846</f>
        <v>C</v>
      </c>
      <c r="O843" s="0" t="n">
        <f aca="false">'Basis Options'!I846</f>
        <v>1.5</v>
      </c>
      <c r="P843" s="0" t="n">
        <v>0</v>
      </c>
      <c r="Q843" s="0" t="n">
        <v>0</v>
      </c>
      <c r="R843" s="0" t="n">
        <v>0</v>
      </c>
      <c r="S843" s="0" t="n">
        <v>0</v>
      </c>
      <c r="T843" s="0" t="s">
        <v>624</v>
      </c>
      <c r="U843" s="0" t="str">
        <f aca="false">IF('Basis Options'!D846="NGI/CHI. GATE","""NGI/CHI. GATE""",TRIM('Basis Options'!D846))</f>
        <v>NGI-SOCAL</v>
      </c>
      <c r="V843" s="0" t="s">
        <v>624</v>
      </c>
      <c r="W843" s="0" t="s">
        <v>569</v>
      </c>
      <c r="X843" s="0" t="s">
        <v>624</v>
      </c>
      <c r="Y843" s="0" t="s">
        <v>627</v>
      </c>
      <c r="Z843" s="0" t="s">
        <v>629</v>
      </c>
      <c r="AA843" s="0" t="s">
        <v>624</v>
      </c>
      <c r="AB843" s="0" t="s">
        <v>132</v>
      </c>
      <c r="AC843" s="254" t="n">
        <f aca="false">'Basis Options'!H846</f>
        <v>-500000</v>
      </c>
      <c r="AD843" s="254" t="e">
        <f aca="false">'Basis Options'!W846</f>
        <v>#NAME?</v>
      </c>
      <c r="AE843" s="0" t="n">
        <v>0</v>
      </c>
      <c r="AF843" s="0" t="n">
        <v>0</v>
      </c>
      <c r="AG843" s="0" t="n">
        <v>0</v>
      </c>
      <c r="AH843" s="254" t="n">
        <f aca="false">'Basis Options'!CD848</f>
        <v>0</v>
      </c>
      <c r="AI843" s="0" t="n">
        <v>226</v>
      </c>
      <c r="AJ843" s="0" t="s">
        <v>630</v>
      </c>
      <c r="AK843" s="0" t="n">
        <v>0</v>
      </c>
      <c r="AL843" s="0" t="n">
        <v>0</v>
      </c>
      <c r="AM843" s="0" t="n">
        <v>0</v>
      </c>
    </row>
    <row r="844" customFormat="false" ht="12.75" hidden="false" customHeight="false" outlineLevel="0" collapsed="false">
      <c r="A844" s="0" t="s">
        <v>621</v>
      </c>
      <c r="B844" s="0" t="str">
        <f aca="false">'Basis Options'!C847</f>
        <v>NX1655.3</v>
      </c>
      <c r="C844" s="0" t="s">
        <v>622</v>
      </c>
      <c r="D844" s="0" t="s">
        <v>623</v>
      </c>
      <c r="E844" s="0" t="s">
        <v>131</v>
      </c>
      <c r="F844" s="0" t="str">
        <f aca="false">'Basis Options'!A847</f>
        <v>ELPASMER</v>
      </c>
      <c r="G844" s="0" t="s">
        <v>628</v>
      </c>
      <c r="H844" s="0" t="s">
        <v>625</v>
      </c>
      <c r="I844" s="0" t="s">
        <v>626</v>
      </c>
      <c r="J844" s="0" t="s">
        <v>627</v>
      </c>
      <c r="K844" s="475" t="n">
        <f aca="false">'Basis Options'!G847</f>
        <v>37135</v>
      </c>
      <c r="L844" s="254" t="e">
        <f aca="false">'Basis Options'!U847</f>
        <v>#NAME?</v>
      </c>
      <c r="M844" s="475" t="n">
        <f aca="false">'Basis Options'!Q847</f>
        <v>37133</v>
      </c>
      <c r="N844" s="0" t="str">
        <f aca="false">'Basis Options'!F847</f>
        <v>C</v>
      </c>
      <c r="O844" s="0" t="n">
        <f aca="false">'Basis Options'!I847</f>
        <v>1.5</v>
      </c>
      <c r="P844" s="0" t="n">
        <v>0</v>
      </c>
      <c r="Q844" s="0" t="n">
        <v>0</v>
      </c>
      <c r="R844" s="0" t="n">
        <v>0</v>
      </c>
      <c r="S844" s="0" t="n">
        <v>0</v>
      </c>
      <c r="T844" s="0" t="s">
        <v>624</v>
      </c>
      <c r="U844" s="0" t="str">
        <f aca="false">IF('Basis Options'!D847="NGI/CHI. GATE","""NGI/CHI. GATE""",TRIM('Basis Options'!D847))</f>
        <v>NGI-SOCAL</v>
      </c>
      <c r="V844" s="0" t="s">
        <v>624</v>
      </c>
      <c r="W844" s="0" t="s">
        <v>569</v>
      </c>
      <c r="X844" s="0" t="s">
        <v>624</v>
      </c>
      <c r="Y844" s="0" t="s">
        <v>627</v>
      </c>
      <c r="Z844" s="0" t="s">
        <v>629</v>
      </c>
      <c r="AA844" s="0" t="s">
        <v>624</v>
      </c>
      <c r="AB844" s="0" t="s">
        <v>132</v>
      </c>
      <c r="AC844" s="254" t="n">
        <f aca="false">'Basis Options'!H847</f>
        <v>-500000</v>
      </c>
      <c r="AD844" s="254" t="e">
        <f aca="false">'Basis Options'!W847</f>
        <v>#NAME?</v>
      </c>
      <c r="AE844" s="0" t="n">
        <v>0</v>
      </c>
      <c r="AF844" s="0" t="n">
        <v>0</v>
      </c>
      <c r="AG844" s="0" t="n">
        <v>0</v>
      </c>
      <c r="AH844" s="254" t="n">
        <f aca="false">'Basis Options'!CD849</f>
        <v>0</v>
      </c>
      <c r="AI844" s="0" t="n">
        <v>226</v>
      </c>
      <c r="AJ844" s="0" t="s">
        <v>630</v>
      </c>
      <c r="AK844" s="0" t="n">
        <v>0</v>
      </c>
      <c r="AL844" s="0" t="n">
        <v>0</v>
      </c>
      <c r="AM844" s="0" t="n">
        <v>0</v>
      </c>
    </row>
    <row r="845" customFormat="false" ht="12.75" hidden="false" customHeight="false" outlineLevel="0" collapsed="false">
      <c r="A845" s="0" t="s">
        <v>621</v>
      </c>
      <c r="B845" s="0" t="str">
        <f aca="false">'Basis Options'!C848</f>
        <v>NX1655.3</v>
      </c>
      <c r="C845" s="0" t="s">
        <v>622</v>
      </c>
      <c r="D845" s="0" t="s">
        <v>623</v>
      </c>
      <c r="E845" s="0" t="s">
        <v>131</v>
      </c>
      <c r="F845" s="0" t="str">
        <f aca="false">'Basis Options'!A848</f>
        <v>ELPASMER</v>
      </c>
      <c r="G845" s="0" t="s">
        <v>628</v>
      </c>
      <c r="H845" s="0" t="s">
        <v>625</v>
      </c>
      <c r="I845" s="0" t="s">
        <v>626</v>
      </c>
      <c r="J845" s="0" t="s">
        <v>627</v>
      </c>
      <c r="K845" s="475" t="n">
        <f aca="false">'Basis Options'!G848</f>
        <v>37165</v>
      </c>
      <c r="L845" s="254" t="e">
        <f aca="false">'Basis Options'!U848</f>
        <v>#NAME?</v>
      </c>
      <c r="M845" s="475" t="n">
        <f aca="false">'Basis Options'!Q848</f>
        <v>37161</v>
      </c>
      <c r="N845" s="0" t="str">
        <f aca="false">'Basis Options'!F848</f>
        <v>C</v>
      </c>
      <c r="O845" s="0" t="n">
        <f aca="false">'Basis Options'!I848</f>
        <v>1.5</v>
      </c>
      <c r="P845" s="0" t="n">
        <v>0</v>
      </c>
      <c r="Q845" s="0" t="n">
        <v>0</v>
      </c>
      <c r="R845" s="0" t="n">
        <v>0</v>
      </c>
      <c r="S845" s="0" t="n">
        <v>0</v>
      </c>
      <c r="T845" s="0" t="s">
        <v>624</v>
      </c>
      <c r="U845" s="0" t="str">
        <f aca="false">IF('Basis Options'!D848="NGI/CHI. GATE","""NGI/CHI. GATE""",TRIM('Basis Options'!D848))</f>
        <v>NGI-SOCAL</v>
      </c>
      <c r="V845" s="0" t="s">
        <v>624</v>
      </c>
      <c r="W845" s="0" t="s">
        <v>569</v>
      </c>
      <c r="X845" s="0" t="s">
        <v>624</v>
      </c>
      <c r="Y845" s="0" t="s">
        <v>627</v>
      </c>
      <c r="Z845" s="0" t="s">
        <v>629</v>
      </c>
      <c r="AA845" s="0" t="s">
        <v>624</v>
      </c>
      <c r="AB845" s="0" t="s">
        <v>132</v>
      </c>
      <c r="AC845" s="254" t="n">
        <f aca="false">'Basis Options'!H848</f>
        <v>-500000</v>
      </c>
      <c r="AD845" s="254" t="e">
        <f aca="false">'Basis Options'!W848</f>
        <v>#NAME?</v>
      </c>
      <c r="AE845" s="0" t="n">
        <v>0</v>
      </c>
      <c r="AF845" s="0" t="n">
        <v>0</v>
      </c>
      <c r="AG845" s="0" t="n">
        <v>0</v>
      </c>
      <c r="AH845" s="254" t="n">
        <f aca="false">'Basis Options'!CD850</f>
        <v>0</v>
      </c>
      <c r="AI845" s="0" t="n">
        <v>226</v>
      </c>
      <c r="AJ845" s="0" t="s">
        <v>630</v>
      </c>
      <c r="AK845" s="0" t="n">
        <v>0</v>
      </c>
      <c r="AL845" s="0" t="n">
        <v>0</v>
      </c>
      <c r="AM845" s="0" t="n">
        <v>0</v>
      </c>
    </row>
    <row r="846" customFormat="false" ht="12.75" hidden="false" customHeight="false" outlineLevel="0" collapsed="false">
      <c r="A846" s="0" t="s">
        <v>621</v>
      </c>
      <c r="B846" s="0" t="str">
        <f aca="false">'Basis Options'!C849</f>
        <v>NX1655.4</v>
      </c>
      <c r="C846" s="0" t="s">
        <v>622</v>
      </c>
      <c r="D846" s="0" t="s">
        <v>623</v>
      </c>
      <c r="E846" s="0" t="s">
        <v>131</v>
      </c>
      <c r="F846" s="0" t="str">
        <f aca="false">'Basis Options'!A849</f>
        <v>ELPASMER</v>
      </c>
      <c r="G846" s="0" t="s">
        <v>628</v>
      </c>
      <c r="H846" s="0" t="s">
        <v>625</v>
      </c>
      <c r="I846" s="0" t="s">
        <v>626</v>
      </c>
      <c r="J846" s="0" t="s">
        <v>627</v>
      </c>
      <c r="K846" s="475" t="n">
        <f aca="false">'Basis Options'!G849</f>
        <v>36982</v>
      </c>
      <c r="L846" s="254" t="e">
        <f aca="false">'Basis Options'!U849</f>
        <v>#NAME?</v>
      </c>
      <c r="M846" s="475" t="n">
        <f aca="false">'Basis Options'!Q849</f>
        <v>36979</v>
      </c>
      <c r="N846" s="0" t="str">
        <f aca="false">'Basis Options'!F849</f>
        <v>C</v>
      </c>
      <c r="O846" s="0" t="n">
        <f aca="false">'Basis Options'!I849</f>
        <v>1.5</v>
      </c>
      <c r="P846" s="0" t="n">
        <v>0</v>
      </c>
      <c r="Q846" s="0" t="n">
        <v>0</v>
      </c>
      <c r="R846" s="0" t="n">
        <v>0</v>
      </c>
      <c r="S846" s="0" t="n">
        <v>0</v>
      </c>
      <c r="T846" s="0" t="s">
        <v>624</v>
      </c>
      <c r="U846" s="0" t="str">
        <f aca="false">IF('Basis Options'!D849="NGI/CHI. GATE","""NGI/CHI. GATE""",TRIM('Basis Options'!D849))</f>
        <v>NGI-SOCAL</v>
      </c>
      <c r="V846" s="0" t="s">
        <v>624</v>
      </c>
      <c r="W846" s="0" t="s">
        <v>569</v>
      </c>
      <c r="X846" s="0" t="s">
        <v>624</v>
      </c>
      <c r="Y846" s="0" t="s">
        <v>627</v>
      </c>
      <c r="Z846" s="0" t="s">
        <v>629</v>
      </c>
      <c r="AA846" s="0" t="s">
        <v>624</v>
      </c>
      <c r="AB846" s="0" t="s">
        <v>132</v>
      </c>
      <c r="AC846" s="254" t="n">
        <f aca="false">'Basis Options'!H849</f>
        <v>-500000</v>
      </c>
      <c r="AD846" s="254" t="e">
        <f aca="false">'Basis Options'!W849</f>
        <v>#NAME?</v>
      </c>
      <c r="AE846" s="0" t="n">
        <v>0</v>
      </c>
      <c r="AF846" s="0" t="n">
        <v>0</v>
      </c>
      <c r="AG846" s="0" t="n">
        <v>0</v>
      </c>
      <c r="AH846" s="254" t="n">
        <f aca="false">'Basis Options'!CD851</f>
        <v>0</v>
      </c>
      <c r="AI846" s="0" t="n">
        <v>226</v>
      </c>
      <c r="AJ846" s="0" t="s">
        <v>630</v>
      </c>
      <c r="AK846" s="0" t="n">
        <v>0</v>
      </c>
      <c r="AL846" s="0" t="n">
        <v>0</v>
      </c>
      <c r="AM846" s="0" t="n">
        <v>0</v>
      </c>
    </row>
    <row r="847" customFormat="false" ht="12.75" hidden="false" customHeight="false" outlineLevel="0" collapsed="false">
      <c r="A847" s="0" t="s">
        <v>621</v>
      </c>
      <c r="B847" s="0" t="str">
        <f aca="false">'Basis Options'!C850</f>
        <v>NX1655.4</v>
      </c>
      <c r="C847" s="0" t="s">
        <v>622</v>
      </c>
      <c r="D847" s="0" t="s">
        <v>623</v>
      </c>
      <c r="E847" s="0" t="s">
        <v>131</v>
      </c>
      <c r="F847" s="0" t="str">
        <f aca="false">'Basis Options'!A850</f>
        <v>ELPASMER</v>
      </c>
      <c r="G847" s="0" t="s">
        <v>628</v>
      </c>
      <c r="H847" s="0" t="s">
        <v>625</v>
      </c>
      <c r="I847" s="0" t="s">
        <v>626</v>
      </c>
      <c r="J847" s="0" t="s">
        <v>627</v>
      </c>
      <c r="K847" s="475" t="n">
        <f aca="false">'Basis Options'!G850</f>
        <v>37012</v>
      </c>
      <c r="L847" s="254" t="e">
        <f aca="false">'Basis Options'!U850</f>
        <v>#NAME?</v>
      </c>
      <c r="M847" s="475" t="n">
        <f aca="false">'Basis Options'!Q850</f>
        <v>37008</v>
      </c>
      <c r="N847" s="0" t="str">
        <f aca="false">'Basis Options'!F850</f>
        <v>C</v>
      </c>
      <c r="O847" s="0" t="n">
        <f aca="false">'Basis Options'!I850</f>
        <v>1.5</v>
      </c>
      <c r="P847" s="0" t="n">
        <v>0</v>
      </c>
      <c r="Q847" s="0" t="n">
        <v>0</v>
      </c>
      <c r="R847" s="0" t="n">
        <v>0</v>
      </c>
      <c r="S847" s="0" t="n">
        <v>0</v>
      </c>
      <c r="T847" s="0" t="s">
        <v>624</v>
      </c>
      <c r="U847" s="0" t="str">
        <f aca="false">IF('Basis Options'!D850="NGI/CHI. GATE","""NGI/CHI. GATE""",TRIM('Basis Options'!D850))</f>
        <v>NGI-SOCAL</v>
      </c>
      <c r="V847" s="0" t="s">
        <v>624</v>
      </c>
      <c r="W847" s="0" t="s">
        <v>569</v>
      </c>
      <c r="X847" s="0" t="s">
        <v>624</v>
      </c>
      <c r="Y847" s="0" t="s">
        <v>627</v>
      </c>
      <c r="Z847" s="0" t="s">
        <v>629</v>
      </c>
      <c r="AA847" s="0" t="s">
        <v>624</v>
      </c>
      <c r="AB847" s="0" t="s">
        <v>132</v>
      </c>
      <c r="AC847" s="254" t="n">
        <f aca="false">'Basis Options'!H850</f>
        <v>-500000</v>
      </c>
      <c r="AD847" s="254" t="e">
        <f aca="false">'Basis Options'!W850</f>
        <v>#NAME?</v>
      </c>
      <c r="AE847" s="0" t="n">
        <v>0</v>
      </c>
      <c r="AF847" s="0" t="n">
        <v>0</v>
      </c>
      <c r="AG847" s="0" t="n">
        <v>0</v>
      </c>
      <c r="AH847" s="254" t="n">
        <f aca="false">'Basis Options'!CD852</f>
        <v>0</v>
      </c>
      <c r="AI847" s="0" t="n">
        <v>226</v>
      </c>
      <c r="AJ847" s="0" t="s">
        <v>630</v>
      </c>
      <c r="AK847" s="0" t="n">
        <v>0</v>
      </c>
      <c r="AL847" s="0" t="n">
        <v>0</v>
      </c>
      <c r="AM847" s="0" t="n">
        <v>0</v>
      </c>
    </row>
    <row r="848" customFormat="false" ht="12.75" hidden="false" customHeight="false" outlineLevel="0" collapsed="false">
      <c r="A848" s="0" t="s">
        <v>621</v>
      </c>
      <c r="B848" s="0" t="str">
        <f aca="false">'Basis Options'!C851</f>
        <v>NX1655.4</v>
      </c>
      <c r="C848" s="0" t="s">
        <v>622</v>
      </c>
      <c r="D848" s="0" t="s">
        <v>623</v>
      </c>
      <c r="E848" s="0" t="s">
        <v>131</v>
      </c>
      <c r="F848" s="0" t="str">
        <f aca="false">'Basis Options'!A851</f>
        <v>ELPASMER</v>
      </c>
      <c r="G848" s="0" t="s">
        <v>628</v>
      </c>
      <c r="H848" s="0" t="s">
        <v>625</v>
      </c>
      <c r="I848" s="0" t="s">
        <v>626</v>
      </c>
      <c r="J848" s="0" t="s">
        <v>627</v>
      </c>
      <c r="K848" s="475" t="n">
        <f aca="false">'Basis Options'!G851</f>
        <v>37043</v>
      </c>
      <c r="L848" s="254" t="e">
        <f aca="false">'Basis Options'!U851</f>
        <v>#NAME?</v>
      </c>
      <c r="M848" s="475" t="n">
        <f aca="false">'Basis Options'!Q851</f>
        <v>37041</v>
      </c>
      <c r="N848" s="0" t="str">
        <f aca="false">'Basis Options'!F851</f>
        <v>C</v>
      </c>
      <c r="O848" s="0" t="n">
        <f aca="false">'Basis Options'!I851</f>
        <v>1.5</v>
      </c>
      <c r="P848" s="0" t="n">
        <v>0</v>
      </c>
      <c r="Q848" s="0" t="n">
        <v>0</v>
      </c>
      <c r="R848" s="0" t="n">
        <v>0</v>
      </c>
      <c r="S848" s="0" t="n">
        <v>0</v>
      </c>
      <c r="T848" s="0" t="s">
        <v>624</v>
      </c>
      <c r="U848" s="0" t="str">
        <f aca="false">IF('Basis Options'!D851="NGI/CHI. GATE","""NGI/CHI. GATE""",TRIM('Basis Options'!D851))</f>
        <v>NGI-SOCAL</v>
      </c>
      <c r="V848" s="0" t="s">
        <v>624</v>
      </c>
      <c r="W848" s="0" t="s">
        <v>569</v>
      </c>
      <c r="X848" s="0" t="s">
        <v>624</v>
      </c>
      <c r="Y848" s="0" t="s">
        <v>627</v>
      </c>
      <c r="Z848" s="0" t="s">
        <v>629</v>
      </c>
      <c r="AA848" s="0" t="s">
        <v>624</v>
      </c>
      <c r="AB848" s="0" t="s">
        <v>132</v>
      </c>
      <c r="AC848" s="254" t="n">
        <f aca="false">'Basis Options'!H851</f>
        <v>-500000</v>
      </c>
      <c r="AD848" s="254" t="e">
        <f aca="false">'Basis Options'!W851</f>
        <v>#NAME?</v>
      </c>
      <c r="AE848" s="0" t="n">
        <v>0</v>
      </c>
      <c r="AF848" s="0" t="n">
        <v>0</v>
      </c>
      <c r="AG848" s="0" t="n">
        <v>0</v>
      </c>
      <c r="AH848" s="254" t="n">
        <f aca="false">'Basis Options'!CD853</f>
        <v>0</v>
      </c>
      <c r="AI848" s="0" t="n">
        <v>226</v>
      </c>
      <c r="AJ848" s="0" t="s">
        <v>630</v>
      </c>
      <c r="AK848" s="0" t="n">
        <v>0</v>
      </c>
      <c r="AL848" s="0" t="n">
        <v>0</v>
      </c>
      <c r="AM848" s="0" t="n">
        <v>0</v>
      </c>
    </row>
    <row r="849" customFormat="false" ht="12.75" hidden="false" customHeight="false" outlineLevel="0" collapsed="false">
      <c r="A849" s="0" t="s">
        <v>621</v>
      </c>
      <c r="B849" s="0" t="str">
        <f aca="false">'Basis Options'!C852</f>
        <v>NX1655.4</v>
      </c>
      <c r="C849" s="0" t="s">
        <v>622</v>
      </c>
      <c r="D849" s="0" t="s">
        <v>623</v>
      </c>
      <c r="E849" s="0" t="s">
        <v>131</v>
      </c>
      <c r="F849" s="0" t="str">
        <f aca="false">'Basis Options'!A852</f>
        <v>ELPASMER</v>
      </c>
      <c r="G849" s="0" t="s">
        <v>628</v>
      </c>
      <c r="H849" s="0" t="s">
        <v>625</v>
      </c>
      <c r="I849" s="0" t="s">
        <v>626</v>
      </c>
      <c r="J849" s="0" t="s">
        <v>627</v>
      </c>
      <c r="K849" s="475" t="n">
        <f aca="false">'Basis Options'!G852</f>
        <v>37073</v>
      </c>
      <c r="L849" s="254" t="e">
        <f aca="false">'Basis Options'!U852</f>
        <v>#NAME?</v>
      </c>
      <c r="M849" s="475" t="n">
        <f aca="false">'Basis Options'!Q852</f>
        <v>37070</v>
      </c>
      <c r="N849" s="0" t="str">
        <f aca="false">'Basis Options'!F852</f>
        <v>C</v>
      </c>
      <c r="O849" s="0" t="n">
        <f aca="false">'Basis Options'!I852</f>
        <v>1.5</v>
      </c>
      <c r="P849" s="0" t="n">
        <v>0</v>
      </c>
      <c r="Q849" s="0" t="n">
        <v>0</v>
      </c>
      <c r="R849" s="0" t="n">
        <v>0</v>
      </c>
      <c r="S849" s="0" t="n">
        <v>0</v>
      </c>
      <c r="T849" s="0" t="s">
        <v>624</v>
      </c>
      <c r="U849" s="0" t="str">
        <f aca="false">IF('Basis Options'!D852="NGI/CHI. GATE","""NGI/CHI. GATE""",TRIM('Basis Options'!D852))</f>
        <v>NGI-SOCAL</v>
      </c>
      <c r="V849" s="0" t="s">
        <v>624</v>
      </c>
      <c r="W849" s="0" t="s">
        <v>569</v>
      </c>
      <c r="X849" s="0" t="s">
        <v>624</v>
      </c>
      <c r="Y849" s="0" t="s">
        <v>627</v>
      </c>
      <c r="Z849" s="0" t="s">
        <v>629</v>
      </c>
      <c r="AA849" s="0" t="s">
        <v>624</v>
      </c>
      <c r="AB849" s="0" t="s">
        <v>132</v>
      </c>
      <c r="AC849" s="254" t="n">
        <f aca="false">'Basis Options'!H852</f>
        <v>-500000</v>
      </c>
      <c r="AD849" s="254" t="e">
        <f aca="false">'Basis Options'!W852</f>
        <v>#NAME?</v>
      </c>
      <c r="AE849" s="0" t="n">
        <v>0</v>
      </c>
      <c r="AF849" s="0" t="n">
        <v>0</v>
      </c>
      <c r="AG849" s="0" t="n">
        <v>0</v>
      </c>
      <c r="AH849" s="254" t="n">
        <f aca="false">'Basis Options'!CD854</f>
        <v>0</v>
      </c>
      <c r="AI849" s="0" t="n">
        <v>226</v>
      </c>
      <c r="AJ849" s="0" t="s">
        <v>630</v>
      </c>
      <c r="AK849" s="0" t="n">
        <v>0</v>
      </c>
      <c r="AL849" s="0" t="n">
        <v>0</v>
      </c>
      <c r="AM849" s="0" t="n">
        <v>0</v>
      </c>
    </row>
    <row r="850" customFormat="false" ht="12.75" hidden="false" customHeight="false" outlineLevel="0" collapsed="false">
      <c r="A850" s="0" t="s">
        <v>621</v>
      </c>
      <c r="B850" s="0" t="str">
        <f aca="false">'Basis Options'!C853</f>
        <v>NX1655.4</v>
      </c>
      <c r="C850" s="0" t="s">
        <v>622</v>
      </c>
      <c r="D850" s="0" t="s">
        <v>623</v>
      </c>
      <c r="E850" s="0" t="s">
        <v>131</v>
      </c>
      <c r="F850" s="0" t="str">
        <f aca="false">'Basis Options'!A853</f>
        <v>ELPASMER</v>
      </c>
      <c r="G850" s="0" t="s">
        <v>628</v>
      </c>
      <c r="H850" s="0" t="s">
        <v>625</v>
      </c>
      <c r="I850" s="0" t="s">
        <v>626</v>
      </c>
      <c r="J850" s="0" t="s">
        <v>627</v>
      </c>
      <c r="K850" s="475" t="n">
        <f aca="false">'Basis Options'!G853</f>
        <v>37104</v>
      </c>
      <c r="L850" s="254" t="e">
        <f aca="false">'Basis Options'!U853</f>
        <v>#NAME?</v>
      </c>
      <c r="M850" s="475" t="n">
        <f aca="false">'Basis Options'!Q853</f>
        <v>37102</v>
      </c>
      <c r="N850" s="0" t="str">
        <f aca="false">'Basis Options'!F853</f>
        <v>C</v>
      </c>
      <c r="O850" s="0" t="n">
        <f aca="false">'Basis Options'!I853</f>
        <v>1.5</v>
      </c>
      <c r="P850" s="0" t="n">
        <v>0</v>
      </c>
      <c r="Q850" s="0" t="n">
        <v>0</v>
      </c>
      <c r="R850" s="0" t="n">
        <v>0</v>
      </c>
      <c r="S850" s="0" t="n">
        <v>0</v>
      </c>
      <c r="T850" s="0" t="s">
        <v>624</v>
      </c>
      <c r="U850" s="0" t="str">
        <f aca="false">IF('Basis Options'!D853="NGI/CHI. GATE","""NGI/CHI. GATE""",TRIM('Basis Options'!D853))</f>
        <v>NGI-SOCAL</v>
      </c>
      <c r="V850" s="0" t="s">
        <v>624</v>
      </c>
      <c r="W850" s="0" t="s">
        <v>569</v>
      </c>
      <c r="X850" s="0" t="s">
        <v>624</v>
      </c>
      <c r="Y850" s="0" t="s">
        <v>627</v>
      </c>
      <c r="Z850" s="0" t="s">
        <v>629</v>
      </c>
      <c r="AA850" s="0" t="s">
        <v>624</v>
      </c>
      <c r="AB850" s="0" t="s">
        <v>132</v>
      </c>
      <c r="AC850" s="254" t="n">
        <f aca="false">'Basis Options'!H853</f>
        <v>-500000</v>
      </c>
      <c r="AD850" s="254" t="e">
        <f aca="false">'Basis Options'!W853</f>
        <v>#NAME?</v>
      </c>
      <c r="AE850" s="0" t="n">
        <v>0</v>
      </c>
      <c r="AF850" s="0" t="n">
        <v>0</v>
      </c>
      <c r="AG850" s="0" t="n">
        <v>0</v>
      </c>
      <c r="AH850" s="254" t="n">
        <f aca="false">'Basis Options'!CD855</f>
        <v>0</v>
      </c>
      <c r="AI850" s="0" t="n">
        <v>226</v>
      </c>
      <c r="AJ850" s="0" t="s">
        <v>630</v>
      </c>
      <c r="AK850" s="0" t="n">
        <v>0</v>
      </c>
      <c r="AL850" s="0" t="n">
        <v>0</v>
      </c>
      <c r="AM850" s="0" t="n">
        <v>0</v>
      </c>
    </row>
    <row r="851" customFormat="false" ht="12.75" hidden="false" customHeight="false" outlineLevel="0" collapsed="false">
      <c r="A851" s="0" t="s">
        <v>621</v>
      </c>
      <c r="B851" s="0" t="str">
        <f aca="false">'Basis Options'!C854</f>
        <v>NX1655.4</v>
      </c>
      <c r="C851" s="0" t="s">
        <v>622</v>
      </c>
      <c r="D851" s="0" t="s">
        <v>623</v>
      </c>
      <c r="E851" s="0" t="s">
        <v>131</v>
      </c>
      <c r="F851" s="0" t="str">
        <f aca="false">'Basis Options'!A854</f>
        <v>ELPASMER</v>
      </c>
      <c r="G851" s="0" t="s">
        <v>628</v>
      </c>
      <c r="H851" s="0" t="s">
        <v>625</v>
      </c>
      <c r="I851" s="0" t="s">
        <v>626</v>
      </c>
      <c r="J851" s="0" t="s">
        <v>627</v>
      </c>
      <c r="K851" s="475" t="n">
        <f aca="false">'Basis Options'!G854</f>
        <v>37135</v>
      </c>
      <c r="L851" s="254" t="e">
        <f aca="false">'Basis Options'!U854</f>
        <v>#NAME?</v>
      </c>
      <c r="M851" s="475" t="n">
        <f aca="false">'Basis Options'!Q854</f>
        <v>37133</v>
      </c>
      <c r="N851" s="0" t="str">
        <f aca="false">'Basis Options'!F854</f>
        <v>C</v>
      </c>
      <c r="O851" s="0" t="n">
        <f aca="false">'Basis Options'!I854</f>
        <v>1.5</v>
      </c>
      <c r="P851" s="0" t="n">
        <v>0</v>
      </c>
      <c r="Q851" s="0" t="n">
        <v>0</v>
      </c>
      <c r="R851" s="0" t="n">
        <v>0</v>
      </c>
      <c r="S851" s="0" t="n">
        <v>0</v>
      </c>
      <c r="T851" s="0" t="s">
        <v>624</v>
      </c>
      <c r="U851" s="0" t="str">
        <f aca="false">IF('Basis Options'!D854="NGI/CHI. GATE","""NGI/CHI. GATE""",TRIM('Basis Options'!D854))</f>
        <v>NGI-SOCAL</v>
      </c>
      <c r="V851" s="0" t="s">
        <v>624</v>
      </c>
      <c r="W851" s="0" t="s">
        <v>569</v>
      </c>
      <c r="X851" s="0" t="s">
        <v>624</v>
      </c>
      <c r="Y851" s="0" t="s">
        <v>627</v>
      </c>
      <c r="Z851" s="0" t="s">
        <v>629</v>
      </c>
      <c r="AA851" s="0" t="s">
        <v>624</v>
      </c>
      <c r="AB851" s="0" t="s">
        <v>132</v>
      </c>
      <c r="AC851" s="254" t="n">
        <f aca="false">'Basis Options'!H854</f>
        <v>-500000</v>
      </c>
      <c r="AD851" s="254" t="e">
        <f aca="false">'Basis Options'!W854</f>
        <v>#NAME?</v>
      </c>
      <c r="AE851" s="0" t="n">
        <v>0</v>
      </c>
      <c r="AF851" s="0" t="n">
        <v>0</v>
      </c>
      <c r="AG851" s="0" t="n">
        <v>0</v>
      </c>
      <c r="AH851" s="254" t="n">
        <f aca="false">'Basis Options'!CD856</f>
        <v>0</v>
      </c>
      <c r="AI851" s="0" t="n">
        <v>226</v>
      </c>
      <c r="AJ851" s="0" t="s">
        <v>630</v>
      </c>
      <c r="AK851" s="0" t="n">
        <v>0</v>
      </c>
      <c r="AL851" s="0" t="n">
        <v>0</v>
      </c>
      <c r="AM851" s="0" t="n">
        <v>0</v>
      </c>
    </row>
    <row r="852" customFormat="false" ht="12.75" hidden="false" customHeight="false" outlineLevel="0" collapsed="false">
      <c r="A852" s="0" t="s">
        <v>621</v>
      </c>
      <c r="B852" s="0" t="str">
        <f aca="false">'Basis Options'!C855</f>
        <v>NX1655.4</v>
      </c>
      <c r="C852" s="0" t="s">
        <v>622</v>
      </c>
      <c r="D852" s="0" t="s">
        <v>623</v>
      </c>
      <c r="E852" s="0" t="s">
        <v>131</v>
      </c>
      <c r="F852" s="0" t="str">
        <f aca="false">'Basis Options'!A855</f>
        <v>ELPASMER</v>
      </c>
      <c r="G852" s="0" t="s">
        <v>628</v>
      </c>
      <c r="H852" s="0" t="s">
        <v>625</v>
      </c>
      <c r="I852" s="0" t="s">
        <v>626</v>
      </c>
      <c r="J852" s="0" t="s">
        <v>627</v>
      </c>
      <c r="K852" s="475" t="n">
        <f aca="false">'Basis Options'!G855</f>
        <v>37165</v>
      </c>
      <c r="L852" s="254" t="e">
        <f aca="false">'Basis Options'!U855</f>
        <v>#NAME?</v>
      </c>
      <c r="M852" s="475" t="n">
        <f aca="false">'Basis Options'!Q855</f>
        <v>37161</v>
      </c>
      <c r="N852" s="0" t="str">
        <f aca="false">'Basis Options'!F855</f>
        <v>C</v>
      </c>
      <c r="O852" s="0" t="n">
        <f aca="false">'Basis Options'!I855</f>
        <v>1.5</v>
      </c>
      <c r="P852" s="0" t="n">
        <v>0</v>
      </c>
      <c r="Q852" s="0" t="n">
        <v>0</v>
      </c>
      <c r="R852" s="0" t="n">
        <v>0</v>
      </c>
      <c r="S852" s="0" t="n">
        <v>0</v>
      </c>
      <c r="T852" s="0" t="s">
        <v>624</v>
      </c>
      <c r="U852" s="0" t="str">
        <f aca="false">IF('Basis Options'!D855="NGI/CHI. GATE","""NGI/CHI. GATE""",TRIM('Basis Options'!D855))</f>
        <v>NGI-SOCAL</v>
      </c>
      <c r="V852" s="0" t="s">
        <v>624</v>
      </c>
      <c r="W852" s="0" t="s">
        <v>569</v>
      </c>
      <c r="X852" s="0" t="s">
        <v>624</v>
      </c>
      <c r="Y852" s="0" t="s">
        <v>627</v>
      </c>
      <c r="Z852" s="0" t="s">
        <v>629</v>
      </c>
      <c r="AA852" s="0" t="s">
        <v>624</v>
      </c>
      <c r="AB852" s="0" t="s">
        <v>132</v>
      </c>
      <c r="AC852" s="254" t="n">
        <f aca="false">'Basis Options'!H855</f>
        <v>-500000</v>
      </c>
      <c r="AD852" s="254" t="e">
        <f aca="false">'Basis Options'!W855</f>
        <v>#NAME?</v>
      </c>
      <c r="AE852" s="0" t="n">
        <v>0</v>
      </c>
      <c r="AF852" s="0" t="n">
        <v>0</v>
      </c>
      <c r="AG852" s="0" t="n">
        <v>0</v>
      </c>
      <c r="AH852" s="254" t="n">
        <f aca="false">'Basis Options'!CD857</f>
        <v>0</v>
      </c>
      <c r="AI852" s="0" t="n">
        <v>226</v>
      </c>
      <c r="AJ852" s="0" t="s">
        <v>630</v>
      </c>
      <c r="AK852" s="0" t="n">
        <v>0</v>
      </c>
      <c r="AL852" s="0" t="n">
        <v>0</v>
      </c>
      <c r="AM852" s="0" t="n">
        <v>0</v>
      </c>
    </row>
    <row r="853" customFormat="false" ht="12.75" hidden="false" customHeight="false" outlineLevel="0" collapsed="false">
      <c r="A853" s="0" t="s">
        <v>621</v>
      </c>
      <c r="B853" s="0" t="str">
        <f aca="false">'Basis Options'!C856</f>
        <v>NX1690</v>
      </c>
      <c r="C853" s="0" t="s">
        <v>622</v>
      </c>
      <c r="D853" s="0" t="s">
        <v>623</v>
      </c>
      <c r="E853" s="0" t="s">
        <v>131</v>
      </c>
      <c r="F853" s="0" t="str">
        <f aca="false">'Basis Options'!A856</f>
        <v>ELPASMER</v>
      </c>
      <c r="G853" s="0" t="s">
        <v>628</v>
      </c>
      <c r="H853" s="0" t="s">
        <v>625</v>
      </c>
      <c r="I853" s="0" t="s">
        <v>626</v>
      </c>
      <c r="J853" s="0" t="s">
        <v>627</v>
      </c>
      <c r="K853" s="475" t="n">
        <f aca="false">'Basis Options'!G856</f>
        <v>36982</v>
      </c>
      <c r="L853" s="254" t="e">
        <f aca="false">'Basis Options'!U856</f>
        <v>#NAME?</v>
      </c>
      <c r="M853" s="475" t="n">
        <f aca="false">'Basis Options'!Q856</f>
        <v>36979</v>
      </c>
      <c r="N853" s="0" t="str">
        <f aca="false">'Basis Options'!F856</f>
        <v>C</v>
      </c>
      <c r="O853" s="0" t="n">
        <f aca="false">'Basis Options'!I856</f>
        <v>1.5</v>
      </c>
      <c r="P853" s="0" t="n">
        <v>0</v>
      </c>
      <c r="Q853" s="0" t="n">
        <v>0</v>
      </c>
      <c r="R853" s="0" t="n">
        <v>0</v>
      </c>
      <c r="S853" s="0" t="n">
        <v>0</v>
      </c>
      <c r="T853" s="0" t="s">
        <v>624</v>
      </c>
      <c r="U853" s="0" t="str">
        <f aca="false">IF('Basis Options'!D856="NGI/CHI. GATE","""NGI/CHI. GATE""",TRIM('Basis Options'!D856))</f>
        <v>NGI-SOCAL</v>
      </c>
      <c r="V853" s="0" t="s">
        <v>624</v>
      </c>
      <c r="W853" s="0" t="s">
        <v>569</v>
      </c>
      <c r="X853" s="0" t="s">
        <v>624</v>
      </c>
      <c r="Y853" s="0" t="s">
        <v>627</v>
      </c>
      <c r="Z853" s="0" t="s">
        <v>629</v>
      </c>
      <c r="AA853" s="0" t="s">
        <v>624</v>
      </c>
      <c r="AB853" s="0" t="s">
        <v>132</v>
      </c>
      <c r="AC853" s="254" t="n">
        <f aca="false">'Basis Options'!H856</f>
        <v>-500000</v>
      </c>
      <c r="AD853" s="254" t="e">
        <f aca="false">'Basis Options'!W856</f>
        <v>#NAME?</v>
      </c>
      <c r="AE853" s="0" t="n">
        <v>0</v>
      </c>
      <c r="AF853" s="0" t="n">
        <v>0</v>
      </c>
      <c r="AG853" s="0" t="n">
        <v>0</v>
      </c>
      <c r="AH853" s="254" t="n">
        <f aca="false">'Basis Options'!CD858</f>
        <v>0</v>
      </c>
      <c r="AI853" s="0" t="n">
        <v>226</v>
      </c>
      <c r="AJ853" s="0" t="s">
        <v>630</v>
      </c>
      <c r="AK853" s="0" t="n">
        <v>0</v>
      </c>
      <c r="AL853" s="0" t="n">
        <v>0</v>
      </c>
      <c r="AM853" s="0" t="n">
        <v>0</v>
      </c>
    </row>
    <row r="854" customFormat="false" ht="12.75" hidden="false" customHeight="false" outlineLevel="0" collapsed="false">
      <c r="A854" s="0" t="s">
        <v>621</v>
      </c>
      <c r="B854" s="0" t="str">
        <f aca="false">'Basis Options'!C857</f>
        <v>NX1690</v>
      </c>
      <c r="C854" s="0" t="s">
        <v>622</v>
      </c>
      <c r="D854" s="0" t="s">
        <v>623</v>
      </c>
      <c r="E854" s="0" t="s">
        <v>131</v>
      </c>
      <c r="F854" s="0" t="str">
        <f aca="false">'Basis Options'!A857</f>
        <v>ELPASMER</v>
      </c>
      <c r="G854" s="0" t="s">
        <v>628</v>
      </c>
      <c r="H854" s="0" t="s">
        <v>625</v>
      </c>
      <c r="I854" s="0" t="s">
        <v>626</v>
      </c>
      <c r="J854" s="0" t="s">
        <v>627</v>
      </c>
      <c r="K854" s="475" t="n">
        <f aca="false">'Basis Options'!G857</f>
        <v>37012</v>
      </c>
      <c r="L854" s="254" t="e">
        <f aca="false">'Basis Options'!U857</f>
        <v>#NAME?</v>
      </c>
      <c r="M854" s="475" t="n">
        <f aca="false">'Basis Options'!Q857</f>
        <v>37008</v>
      </c>
      <c r="N854" s="0" t="str">
        <f aca="false">'Basis Options'!F857</f>
        <v>C</v>
      </c>
      <c r="O854" s="0" t="n">
        <f aca="false">'Basis Options'!I857</f>
        <v>1.5</v>
      </c>
      <c r="P854" s="0" t="n">
        <v>0</v>
      </c>
      <c r="Q854" s="0" t="n">
        <v>0</v>
      </c>
      <c r="R854" s="0" t="n">
        <v>0</v>
      </c>
      <c r="S854" s="0" t="n">
        <v>0</v>
      </c>
      <c r="T854" s="0" t="s">
        <v>624</v>
      </c>
      <c r="U854" s="0" t="str">
        <f aca="false">IF('Basis Options'!D857="NGI/CHI. GATE","""NGI/CHI. GATE""",TRIM('Basis Options'!D857))</f>
        <v>NGI-SOCAL</v>
      </c>
      <c r="V854" s="0" t="s">
        <v>624</v>
      </c>
      <c r="W854" s="0" t="s">
        <v>569</v>
      </c>
      <c r="X854" s="0" t="s">
        <v>624</v>
      </c>
      <c r="Y854" s="0" t="s">
        <v>627</v>
      </c>
      <c r="Z854" s="0" t="s">
        <v>629</v>
      </c>
      <c r="AA854" s="0" t="s">
        <v>624</v>
      </c>
      <c r="AB854" s="0" t="s">
        <v>132</v>
      </c>
      <c r="AC854" s="254" t="n">
        <f aca="false">'Basis Options'!H857</f>
        <v>-500000</v>
      </c>
      <c r="AD854" s="254" t="e">
        <f aca="false">'Basis Options'!W857</f>
        <v>#NAME?</v>
      </c>
      <c r="AE854" s="0" t="n">
        <v>0</v>
      </c>
      <c r="AF854" s="0" t="n">
        <v>0</v>
      </c>
      <c r="AG854" s="0" t="n">
        <v>0</v>
      </c>
      <c r="AH854" s="254" t="n">
        <f aca="false">'Basis Options'!CD859</f>
        <v>0</v>
      </c>
      <c r="AI854" s="0" t="n">
        <v>226</v>
      </c>
      <c r="AJ854" s="0" t="s">
        <v>630</v>
      </c>
      <c r="AK854" s="0" t="n">
        <v>0</v>
      </c>
      <c r="AL854" s="0" t="n">
        <v>0</v>
      </c>
      <c r="AM854" s="0" t="n">
        <v>0</v>
      </c>
    </row>
    <row r="855" customFormat="false" ht="12.75" hidden="false" customHeight="false" outlineLevel="0" collapsed="false">
      <c r="A855" s="0" t="s">
        <v>621</v>
      </c>
      <c r="B855" s="0" t="str">
        <f aca="false">'Basis Options'!C858</f>
        <v>NX1690</v>
      </c>
      <c r="C855" s="0" t="s">
        <v>622</v>
      </c>
      <c r="D855" s="0" t="s">
        <v>623</v>
      </c>
      <c r="E855" s="0" t="s">
        <v>131</v>
      </c>
      <c r="F855" s="0" t="str">
        <f aca="false">'Basis Options'!A858</f>
        <v>ELPASMER</v>
      </c>
      <c r="G855" s="0" t="s">
        <v>628</v>
      </c>
      <c r="H855" s="0" t="s">
        <v>625</v>
      </c>
      <c r="I855" s="0" t="s">
        <v>626</v>
      </c>
      <c r="J855" s="0" t="s">
        <v>627</v>
      </c>
      <c r="K855" s="475" t="n">
        <f aca="false">'Basis Options'!G858</f>
        <v>37043</v>
      </c>
      <c r="L855" s="254" t="e">
        <f aca="false">'Basis Options'!U858</f>
        <v>#NAME?</v>
      </c>
      <c r="M855" s="475" t="n">
        <f aca="false">'Basis Options'!Q858</f>
        <v>37041</v>
      </c>
      <c r="N855" s="0" t="str">
        <f aca="false">'Basis Options'!F858</f>
        <v>C</v>
      </c>
      <c r="O855" s="0" t="n">
        <f aca="false">'Basis Options'!I858</f>
        <v>1.5</v>
      </c>
      <c r="P855" s="0" t="n">
        <v>0</v>
      </c>
      <c r="Q855" s="0" t="n">
        <v>0</v>
      </c>
      <c r="R855" s="0" t="n">
        <v>0</v>
      </c>
      <c r="S855" s="0" t="n">
        <v>0</v>
      </c>
      <c r="T855" s="0" t="s">
        <v>624</v>
      </c>
      <c r="U855" s="0" t="str">
        <f aca="false">IF('Basis Options'!D858="NGI/CHI. GATE","""NGI/CHI. GATE""",TRIM('Basis Options'!D858))</f>
        <v>NGI-SOCAL</v>
      </c>
      <c r="V855" s="0" t="s">
        <v>624</v>
      </c>
      <c r="W855" s="0" t="s">
        <v>569</v>
      </c>
      <c r="X855" s="0" t="s">
        <v>624</v>
      </c>
      <c r="Y855" s="0" t="s">
        <v>627</v>
      </c>
      <c r="Z855" s="0" t="s">
        <v>629</v>
      </c>
      <c r="AA855" s="0" t="s">
        <v>624</v>
      </c>
      <c r="AB855" s="0" t="s">
        <v>132</v>
      </c>
      <c r="AC855" s="254" t="n">
        <f aca="false">'Basis Options'!H858</f>
        <v>-500000</v>
      </c>
      <c r="AD855" s="254" t="e">
        <f aca="false">'Basis Options'!W858</f>
        <v>#NAME?</v>
      </c>
      <c r="AE855" s="0" t="n">
        <v>0</v>
      </c>
      <c r="AF855" s="0" t="n">
        <v>0</v>
      </c>
      <c r="AG855" s="0" t="n">
        <v>0</v>
      </c>
      <c r="AH855" s="254" t="n">
        <f aca="false">'Basis Options'!CD860</f>
        <v>0</v>
      </c>
      <c r="AI855" s="0" t="n">
        <v>226</v>
      </c>
      <c r="AJ855" s="0" t="s">
        <v>630</v>
      </c>
      <c r="AK855" s="0" t="n">
        <v>0</v>
      </c>
      <c r="AL855" s="0" t="n">
        <v>0</v>
      </c>
      <c r="AM855" s="0" t="n">
        <v>0</v>
      </c>
    </row>
    <row r="856" customFormat="false" ht="12.75" hidden="false" customHeight="false" outlineLevel="0" collapsed="false">
      <c r="A856" s="0" t="s">
        <v>621</v>
      </c>
      <c r="B856" s="0" t="str">
        <f aca="false">'Basis Options'!C859</f>
        <v>NX1690</v>
      </c>
      <c r="C856" s="0" t="s">
        <v>622</v>
      </c>
      <c r="D856" s="0" t="s">
        <v>623</v>
      </c>
      <c r="E856" s="0" t="s">
        <v>131</v>
      </c>
      <c r="F856" s="0" t="str">
        <f aca="false">'Basis Options'!A859</f>
        <v>ELPASMER</v>
      </c>
      <c r="G856" s="0" t="s">
        <v>628</v>
      </c>
      <c r="H856" s="0" t="s">
        <v>625</v>
      </c>
      <c r="I856" s="0" t="s">
        <v>626</v>
      </c>
      <c r="J856" s="0" t="s">
        <v>627</v>
      </c>
      <c r="K856" s="475" t="n">
        <f aca="false">'Basis Options'!G859</f>
        <v>37073</v>
      </c>
      <c r="L856" s="254" t="e">
        <f aca="false">'Basis Options'!U859</f>
        <v>#NAME?</v>
      </c>
      <c r="M856" s="475" t="n">
        <f aca="false">'Basis Options'!Q859</f>
        <v>37070</v>
      </c>
      <c r="N856" s="0" t="str">
        <f aca="false">'Basis Options'!F859</f>
        <v>C</v>
      </c>
      <c r="O856" s="0" t="n">
        <f aca="false">'Basis Options'!I859</f>
        <v>1.5</v>
      </c>
      <c r="P856" s="0" t="n">
        <v>0</v>
      </c>
      <c r="Q856" s="0" t="n">
        <v>0</v>
      </c>
      <c r="R856" s="0" t="n">
        <v>0</v>
      </c>
      <c r="S856" s="0" t="n">
        <v>0</v>
      </c>
      <c r="T856" s="0" t="s">
        <v>624</v>
      </c>
      <c r="U856" s="0" t="str">
        <f aca="false">IF('Basis Options'!D859="NGI/CHI. GATE","""NGI/CHI. GATE""",TRIM('Basis Options'!D859))</f>
        <v>NGI-SOCAL</v>
      </c>
      <c r="V856" s="0" t="s">
        <v>624</v>
      </c>
      <c r="W856" s="0" t="s">
        <v>569</v>
      </c>
      <c r="X856" s="0" t="s">
        <v>624</v>
      </c>
      <c r="Y856" s="0" t="s">
        <v>627</v>
      </c>
      <c r="Z856" s="0" t="s">
        <v>629</v>
      </c>
      <c r="AA856" s="0" t="s">
        <v>624</v>
      </c>
      <c r="AB856" s="0" t="s">
        <v>132</v>
      </c>
      <c r="AC856" s="254" t="n">
        <f aca="false">'Basis Options'!H859</f>
        <v>-500000</v>
      </c>
      <c r="AD856" s="254" t="e">
        <f aca="false">'Basis Options'!W859</f>
        <v>#NAME?</v>
      </c>
      <c r="AE856" s="0" t="n">
        <v>0</v>
      </c>
      <c r="AF856" s="0" t="n">
        <v>0</v>
      </c>
      <c r="AG856" s="0" t="n">
        <v>0</v>
      </c>
      <c r="AH856" s="254" t="n">
        <f aca="false">'Basis Options'!CD861</f>
        <v>0</v>
      </c>
      <c r="AI856" s="0" t="n">
        <v>226</v>
      </c>
      <c r="AJ856" s="0" t="s">
        <v>630</v>
      </c>
      <c r="AK856" s="0" t="n">
        <v>0</v>
      </c>
      <c r="AL856" s="0" t="n">
        <v>0</v>
      </c>
      <c r="AM856" s="0" t="n">
        <v>0</v>
      </c>
    </row>
    <row r="857" customFormat="false" ht="12.75" hidden="false" customHeight="false" outlineLevel="0" collapsed="false">
      <c r="A857" s="0" t="s">
        <v>621</v>
      </c>
      <c r="B857" s="0" t="str">
        <f aca="false">'Basis Options'!C860</f>
        <v>NX1690</v>
      </c>
      <c r="C857" s="0" t="s">
        <v>622</v>
      </c>
      <c r="D857" s="0" t="s">
        <v>623</v>
      </c>
      <c r="E857" s="0" t="s">
        <v>131</v>
      </c>
      <c r="F857" s="0" t="str">
        <f aca="false">'Basis Options'!A860</f>
        <v>ELPASMER</v>
      </c>
      <c r="G857" s="0" t="s">
        <v>628</v>
      </c>
      <c r="H857" s="0" t="s">
        <v>625</v>
      </c>
      <c r="I857" s="0" t="s">
        <v>626</v>
      </c>
      <c r="J857" s="0" t="s">
        <v>627</v>
      </c>
      <c r="K857" s="475" t="n">
        <f aca="false">'Basis Options'!G860</f>
        <v>37104</v>
      </c>
      <c r="L857" s="254" t="e">
        <f aca="false">'Basis Options'!U860</f>
        <v>#NAME?</v>
      </c>
      <c r="M857" s="475" t="n">
        <f aca="false">'Basis Options'!Q860</f>
        <v>37102</v>
      </c>
      <c r="N857" s="0" t="str">
        <f aca="false">'Basis Options'!F860</f>
        <v>C</v>
      </c>
      <c r="O857" s="0" t="n">
        <f aca="false">'Basis Options'!I860</f>
        <v>1.5</v>
      </c>
      <c r="P857" s="0" t="n">
        <v>0</v>
      </c>
      <c r="Q857" s="0" t="n">
        <v>0</v>
      </c>
      <c r="R857" s="0" t="n">
        <v>0</v>
      </c>
      <c r="S857" s="0" t="n">
        <v>0</v>
      </c>
      <c r="T857" s="0" t="s">
        <v>624</v>
      </c>
      <c r="U857" s="0" t="str">
        <f aca="false">IF('Basis Options'!D860="NGI/CHI. GATE","""NGI/CHI. GATE""",TRIM('Basis Options'!D860))</f>
        <v>NGI-SOCAL</v>
      </c>
      <c r="V857" s="0" t="s">
        <v>624</v>
      </c>
      <c r="W857" s="0" t="s">
        <v>569</v>
      </c>
      <c r="X857" s="0" t="s">
        <v>624</v>
      </c>
      <c r="Y857" s="0" t="s">
        <v>627</v>
      </c>
      <c r="Z857" s="0" t="s">
        <v>629</v>
      </c>
      <c r="AA857" s="0" t="s">
        <v>624</v>
      </c>
      <c r="AB857" s="0" t="s">
        <v>132</v>
      </c>
      <c r="AC857" s="254" t="n">
        <f aca="false">'Basis Options'!H860</f>
        <v>-500000</v>
      </c>
      <c r="AD857" s="254" t="e">
        <f aca="false">'Basis Options'!W860</f>
        <v>#NAME?</v>
      </c>
      <c r="AE857" s="0" t="n">
        <v>0</v>
      </c>
      <c r="AF857" s="0" t="n">
        <v>0</v>
      </c>
      <c r="AG857" s="0" t="n">
        <v>0</v>
      </c>
      <c r="AH857" s="254" t="n">
        <f aca="false">'Basis Options'!CD862</f>
        <v>0</v>
      </c>
      <c r="AI857" s="0" t="n">
        <v>226</v>
      </c>
      <c r="AJ857" s="0" t="s">
        <v>630</v>
      </c>
      <c r="AK857" s="0" t="n">
        <v>0</v>
      </c>
      <c r="AL857" s="0" t="n">
        <v>0</v>
      </c>
      <c r="AM857" s="0" t="n">
        <v>0</v>
      </c>
    </row>
    <row r="858" customFormat="false" ht="12.75" hidden="false" customHeight="false" outlineLevel="0" collapsed="false">
      <c r="A858" s="0" t="s">
        <v>621</v>
      </c>
      <c r="B858" s="0" t="str">
        <f aca="false">'Basis Options'!C861</f>
        <v>NX1690</v>
      </c>
      <c r="C858" s="0" t="s">
        <v>622</v>
      </c>
      <c r="D858" s="0" t="s">
        <v>623</v>
      </c>
      <c r="E858" s="0" t="s">
        <v>131</v>
      </c>
      <c r="F858" s="0" t="str">
        <f aca="false">'Basis Options'!A861</f>
        <v>ELPASMER</v>
      </c>
      <c r="G858" s="0" t="s">
        <v>628</v>
      </c>
      <c r="H858" s="0" t="s">
        <v>625</v>
      </c>
      <c r="I858" s="0" t="s">
        <v>626</v>
      </c>
      <c r="J858" s="0" t="s">
        <v>627</v>
      </c>
      <c r="K858" s="475" t="n">
        <f aca="false">'Basis Options'!G861</f>
        <v>37135</v>
      </c>
      <c r="L858" s="254" t="e">
        <f aca="false">'Basis Options'!U861</f>
        <v>#NAME?</v>
      </c>
      <c r="M858" s="475" t="n">
        <f aca="false">'Basis Options'!Q861</f>
        <v>37133</v>
      </c>
      <c r="N858" s="0" t="str">
        <f aca="false">'Basis Options'!F861</f>
        <v>C</v>
      </c>
      <c r="O858" s="0" t="n">
        <f aca="false">'Basis Options'!I861</f>
        <v>1.5</v>
      </c>
      <c r="P858" s="0" t="n">
        <v>0</v>
      </c>
      <c r="Q858" s="0" t="n">
        <v>0</v>
      </c>
      <c r="R858" s="0" t="n">
        <v>0</v>
      </c>
      <c r="S858" s="0" t="n">
        <v>0</v>
      </c>
      <c r="T858" s="0" t="s">
        <v>624</v>
      </c>
      <c r="U858" s="0" t="str">
        <f aca="false">IF('Basis Options'!D861="NGI/CHI. GATE","""NGI/CHI. GATE""",TRIM('Basis Options'!D861))</f>
        <v>NGI-SOCAL</v>
      </c>
      <c r="V858" s="0" t="s">
        <v>624</v>
      </c>
      <c r="W858" s="0" t="s">
        <v>569</v>
      </c>
      <c r="X858" s="0" t="s">
        <v>624</v>
      </c>
      <c r="Y858" s="0" t="s">
        <v>627</v>
      </c>
      <c r="Z858" s="0" t="s">
        <v>629</v>
      </c>
      <c r="AA858" s="0" t="s">
        <v>624</v>
      </c>
      <c r="AB858" s="0" t="s">
        <v>132</v>
      </c>
      <c r="AC858" s="254" t="n">
        <f aca="false">'Basis Options'!H861</f>
        <v>-500000</v>
      </c>
      <c r="AD858" s="254" t="e">
        <f aca="false">'Basis Options'!W861</f>
        <v>#NAME?</v>
      </c>
      <c r="AE858" s="0" t="n">
        <v>0</v>
      </c>
      <c r="AF858" s="0" t="n">
        <v>0</v>
      </c>
      <c r="AG858" s="0" t="n">
        <v>0</v>
      </c>
      <c r="AH858" s="254" t="n">
        <f aca="false">'Basis Options'!CD863</f>
        <v>0</v>
      </c>
      <c r="AI858" s="0" t="n">
        <v>226</v>
      </c>
      <c r="AJ858" s="0" t="s">
        <v>630</v>
      </c>
      <c r="AK858" s="0" t="n">
        <v>0</v>
      </c>
      <c r="AL858" s="0" t="n">
        <v>0</v>
      </c>
      <c r="AM858" s="0" t="n">
        <v>0</v>
      </c>
    </row>
    <row r="859" customFormat="false" ht="12.75" hidden="false" customHeight="false" outlineLevel="0" collapsed="false">
      <c r="A859" s="0" t="s">
        <v>621</v>
      </c>
      <c r="B859" s="0" t="str">
        <f aca="false">'Basis Options'!C862</f>
        <v>NX1690</v>
      </c>
      <c r="C859" s="0" t="s">
        <v>622</v>
      </c>
      <c r="D859" s="0" t="s">
        <v>623</v>
      </c>
      <c r="E859" s="0" t="s">
        <v>131</v>
      </c>
      <c r="F859" s="0" t="str">
        <f aca="false">'Basis Options'!A862</f>
        <v>ELPASMER</v>
      </c>
      <c r="G859" s="0" t="s">
        <v>628</v>
      </c>
      <c r="H859" s="0" t="s">
        <v>625</v>
      </c>
      <c r="I859" s="0" t="s">
        <v>626</v>
      </c>
      <c r="J859" s="0" t="s">
        <v>627</v>
      </c>
      <c r="K859" s="475" t="n">
        <f aca="false">'Basis Options'!G862</f>
        <v>37165</v>
      </c>
      <c r="L859" s="254" t="e">
        <f aca="false">'Basis Options'!U862</f>
        <v>#NAME?</v>
      </c>
      <c r="M859" s="475" t="n">
        <f aca="false">'Basis Options'!Q862</f>
        <v>37161</v>
      </c>
      <c r="N859" s="0" t="str">
        <f aca="false">'Basis Options'!F862</f>
        <v>C</v>
      </c>
      <c r="O859" s="0" t="n">
        <f aca="false">'Basis Options'!I862</f>
        <v>1.5</v>
      </c>
      <c r="P859" s="0" t="n">
        <v>0</v>
      </c>
      <c r="Q859" s="0" t="n">
        <v>0</v>
      </c>
      <c r="R859" s="0" t="n">
        <v>0</v>
      </c>
      <c r="S859" s="0" t="n">
        <v>0</v>
      </c>
      <c r="T859" s="0" t="s">
        <v>624</v>
      </c>
      <c r="U859" s="0" t="str">
        <f aca="false">IF('Basis Options'!D862="NGI/CHI. GATE","""NGI/CHI. GATE""",TRIM('Basis Options'!D862))</f>
        <v>NGI-SOCAL</v>
      </c>
      <c r="V859" s="0" t="s">
        <v>624</v>
      </c>
      <c r="W859" s="0" t="s">
        <v>569</v>
      </c>
      <c r="X859" s="0" t="s">
        <v>624</v>
      </c>
      <c r="Y859" s="0" t="s">
        <v>627</v>
      </c>
      <c r="Z859" s="0" t="s">
        <v>629</v>
      </c>
      <c r="AA859" s="0" t="s">
        <v>624</v>
      </c>
      <c r="AB859" s="0" t="s">
        <v>132</v>
      </c>
      <c r="AC859" s="254" t="n">
        <f aca="false">'Basis Options'!H862</f>
        <v>-500000</v>
      </c>
      <c r="AD859" s="254" t="e">
        <f aca="false">'Basis Options'!W862</f>
        <v>#NAME?</v>
      </c>
      <c r="AE859" s="0" t="n">
        <v>0</v>
      </c>
      <c r="AF859" s="0" t="n">
        <v>0</v>
      </c>
      <c r="AG859" s="0" t="n">
        <v>0</v>
      </c>
      <c r="AH859" s="254" t="n">
        <f aca="false">'Basis Options'!CD864</f>
        <v>0</v>
      </c>
      <c r="AI859" s="0" t="n">
        <v>226</v>
      </c>
      <c r="AJ859" s="0" t="s">
        <v>630</v>
      </c>
      <c r="AK859" s="0" t="n">
        <v>0</v>
      </c>
      <c r="AL859" s="0" t="n">
        <v>0</v>
      </c>
      <c r="AM859" s="0" t="n">
        <v>0</v>
      </c>
    </row>
    <row r="860" customFormat="false" ht="12.75" hidden="false" customHeight="false" outlineLevel="0" collapsed="false">
      <c r="A860" s="0" t="s">
        <v>621</v>
      </c>
      <c r="B860" s="0" t="str">
        <f aca="false">'Basis Options'!C863</f>
        <v>NX1706</v>
      </c>
      <c r="C860" s="0" t="s">
        <v>622</v>
      </c>
      <c r="D860" s="0" t="s">
        <v>623</v>
      </c>
      <c r="E860" s="0" t="s">
        <v>131</v>
      </c>
      <c r="F860" s="0" t="str">
        <f aca="false">'Basis Options'!A863</f>
        <v>SOUTHERCOMENEMA</v>
      </c>
      <c r="G860" s="0" t="s">
        <v>628</v>
      </c>
      <c r="H860" s="0" t="s">
        <v>625</v>
      </c>
      <c r="I860" s="0" t="s">
        <v>626</v>
      </c>
      <c r="J860" s="0" t="s">
        <v>627</v>
      </c>
      <c r="K860" s="475" t="n">
        <f aca="false">'Basis Options'!G863</f>
        <v>36770</v>
      </c>
      <c r="L860" s="254" t="e">
        <f aca="false">'Basis Options'!U863</f>
        <v>#NAME?</v>
      </c>
      <c r="M860" s="475" t="n">
        <f aca="false">'Basis Options'!Q863</f>
        <v>36768</v>
      </c>
      <c r="N860" s="0" t="str">
        <f aca="false">'Basis Options'!F863</f>
        <v>P</v>
      </c>
      <c r="O860" s="0" t="n">
        <f aca="false">'Basis Options'!I863</f>
        <v>0.3</v>
      </c>
      <c r="P860" s="0" t="n">
        <v>0</v>
      </c>
      <c r="Q860" s="0" t="n">
        <v>0</v>
      </c>
      <c r="R860" s="0" t="n">
        <v>0</v>
      </c>
      <c r="S860" s="0" t="n">
        <v>0</v>
      </c>
      <c r="T860" s="0" t="s">
        <v>624</v>
      </c>
      <c r="U860" s="0" t="str">
        <f aca="false">IF('Basis Options'!D863="NGI/CHI. GATE","""NGI/CHI. GATE""",TRIM('Basis Options'!D863))</f>
        <v>IF-TRANSCO/Z6</v>
      </c>
      <c r="V860" s="0" t="s">
        <v>624</v>
      </c>
      <c r="W860" s="0" t="s">
        <v>569</v>
      </c>
      <c r="X860" s="0" t="s">
        <v>624</v>
      </c>
      <c r="Y860" s="0" t="s">
        <v>627</v>
      </c>
      <c r="Z860" s="0" t="s">
        <v>629</v>
      </c>
      <c r="AA860" s="0" t="s">
        <v>624</v>
      </c>
      <c r="AB860" s="0" t="s">
        <v>132</v>
      </c>
      <c r="AC860" s="254" t="n">
        <f aca="false">'Basis Options'!H863</f>
        <v>-2500000</v>
      </c>
      <c r="AD860" s="254" t="e">
        <f aca="false">'Basis Options'!W863</f>
        <v>#NAME?</v>
      </c>
      <c r="AE860" s="0" t="n">
        <v>0</v>
      </c>
      <c r="AF860" s="0" t="n">
        <v>0</v>
      </c>
      <c r="AG860" s="0" t="n">
        <v>0</v>
      </c>
      <c r="AH860" s="254" t="n">
        <f aca="false">'Basis Options'!CD865</f>
        <v>0</v>
      </c>
      <c r="AI860" s="0" t="n">
        <v>226</v>
      </c>
      <c r="AJ860" s="0" t="s">
        <v>630</v>
      </c>
      <c r="AK860" s="0" t="n">
        <v>0</v>
      </c>
      <c r="AL860" s="0" t="n">
        <v>0</v>
      </c>
      <c r="AM860" s="0" t="n">
        <v>0</v>
      </c>
    </row>
    <row r="861" customFormat="false" ht="12.75" hidden="false" customHeight="false" outlineLevel="0" collapsed="false">
      <c r="A861" s="0" t="s">
        <v>621</v>
      </c>
      <c r="B861" s="0" t="str">
        <f aca="false">'Basis Options'!C864</f>
        <v>NX1727.2</v>
      </c>
      <c r="C861" s="0" t="s">
        <v>622</v>
      </c>
      <c r="D861" s="0" t="s">
        <v>623</v>
      </c>
      <c r="E861" s="0" t="s">
        <v>131</v>
      </c>
      <c r="F861" s="0" t="str">
        <f aca="false">'Basis Options'!A864</f>
        <v>FT-US/CAND-ERMS</v>
      </c>
      <c r="G861" s="0" t="s">
        <v>628</v>
      </c>
      <c r="H861" s="0" t="s">
        <v>625</v>
      </c>
      <c r="I861" s="0" t="s">
        <v>626</v>
      </c>
      <c r="J861" s="0" t="s">
        <v>627</v>
      </c>
      <c r="K861" s="475" t="n">
        <f aca="false">'Basis Options'!G864</f>
        <v>36831</v>
      </c>
      <c r="L861" s="254" t="e">
        <f aca="false">'Basis Options'!U864</f>
        <v>#NAME?</v>
      </c>
      <c r="M861" s="475" t="n">
        <f aca="false">'Basis Options'!Q864</f>
        <v>36829</v>
      </c>
      <c r="N861" s="0" t="str">
        <f aca="false">'Basis Options'!F864</f>
        <v>P</v>
      </c>
      <c r="O861" s="0" t="n">
        <f aca="false">'Basis Options'!I864</f>
        <v>0.15</v>
      </c>
      <c r="P861" s="0" t="n">
        <v>0</v>
      </c>
      <c r="Q861" s="0" t="n">
        <v>0</v>
      </c>
      <c r="R861" s="0" t="n">
        <v>0</v>
      </c>
      <c r="S861" s="0" t="n">
        <v>0</v>
      </c>
      <c r="T861" s="0" t="s">
        <v>624</v>
      </c>
      <c r="U861" s="0" t="str">
        <f aca="false">IF('Basis Options'!D864="NGI/CHI. GATE","""NGI/CHI. GATE""",TRIM('Basis Options'!D864))</f>
        <v>IF-NTHWST/CANBR</v>
      </c>
      <c r="V861" s="0" t="s">
        <v>624</v>
      </c>
      <c r="W861" s="0" t="s">
        <v>569</v>
      </c>
      <c r="X861" s="0" t="s">
        <v>624</v>
      </c>
      <c r="Y861" s="0" t="s">
        <v>627</v>
      </c>
      <c r="Z861" s="0" t="s">
        <v>629</v>
      </c>
      <c r="AA861" s="0" t="s">
        <v>624</v>
      </c>
      <c r="AB861" s="0" t="s">
        <v>132</v>
      </c>
      <c r="AC861" s="254" t="n">
        <f aca="false">'Basis Options'!H864</f>
        <v>500000</v>
      </c>
      <c r="AD861" s="254" t="e">
        <f aca="false">'Basis Options'!W864</f>
        <v>#NAME?</v>
      </c>
      <c r="AE861" s="0" t="n">
        <v>0</v>
      </c>
      <c r="AF861" s="0" t="n">
        <v>0</v>
      </c>
      <c r="AG861" s="0" t="n">
        <v>0</v>
      </c>
      <c r="AH861" s="254" t="n">
        <f aca="false">'Basis Options'!CD866</f>
        <v>0</v>
      </c>
      <c r="AI861" s="0" t="n">
        <v>226</v>
      </c>
      <c r="AJ861" s="0" t="s">
        <v>630</v>
      </c>
      <c r="AK861" s="0" t="n">
        <v>0</v>
      </c>
      <c r="AL861" s="0" t="n">
        <v>0</v>
      </c>
      <c r="AM861" s="0" t="n">
        <v>0</v>
      </c>
    </row>
    <row r="862" customFormat="false" ht="12.75" hidden="false" customHeight="false" outlineLevel="0" collapsed="false">
      <c r="A862" s="0" t="s">
        <v>621</v>
      </c>
      <c r="B862" s="0" t="str">
        <f aca="false">'Basis Options'!C865</f>
        <v>NX1727.2</v>
      </c>
      <c r="C862" s="0" t="s">
        <v>622</v>
      </c>
      <c r="D862" s="0" t="s">
        <v>623</v>
      </c>
      <c r="E862" s="0" t="s">
        <v>131</v>
      </c>
      <c r="F862" s="0" t="str">
        <f aca="false">'Basis Options'!A865</f>
        <v>FT-US/CAND-ERMS</v>
      </c>
      <c r="G862" s="0" t="s">
        <v>628</v>
      </c>
      <c r="H862" s="0" t="s">
        <v>625</v>
      </c>
      <c r="I862" s="0" t="s">
        <v>626</v>
      </c>
      <c r="J862" s="0" t="s">
        <v>627</v>
      </c>
      <c r="K862" s="475" t="n">
        <f aca="false">'Basis Options'!G865</f>
        <v>36861</v>
      </c>
      <c r="L862" s="254" t="e">
        <f aca="false">'Basis Options'!U865</f>
        <v>#NAME?</v>
      </c>
      <c r="M862" s="475" t="n">
        <f aca="false">'Basis Options'!Q865</f>
        <v>36859</v>
      </c>
      <c r="N862" s="0" t="str">
        <f aca="false">'Basis Options'!F865</f>
        <v>P</v>
      </c>
      <c r="O862" s="0" t="n">
        <f aca="false">'Basis Options'!I865</f>
        <v>0.15</v>
      </c>
      <c r="P862" s="0" t="n">
        <v>0</v>
      </c>
      <c r="Q862" s="0" t="n">
        <v>0</v>
      </c>
      <c r="R862" s="0" t="n">
        <v>0</v>
      </c>
      <c r="S862" s="0" t="n">
        <v>0</v>
      </c>
      <c r="T862" s="0" t="s">
        <v>624</v>
      </c>
      <c r="U862" s="0" t="str">
        <f aca="false">IF('Basis Options'!D865="NGI/CHI. GATE","""NGI/CHI. GATE""",TRIM('Basis Options'!D865))</f>
        <v>IF-NTHWST/CANBR</v>
      </c>
      <c r="V862" s="0" t="s">
        <v>624</v>
      </c>
      <c r="W862" s="0" t="s">
        <v>569</v>
      </c>
      <c r="X862" s="0" t="s">
        <v>624</v>
      </c>
      <c r="Y862" s="0" t="s">
        <v>627</v>
      </c>
      <c r="Z862" s="0" t="s">
        <v>629</v>
      </c>
      <c r="AA862" s="0" t="s">
        <v>624</v>
      </c>
      <c r="AB862" s="0" t="s">
        <v>132</v>
      </c>
      <c r="AC862" s="254" t="n">
        <f aca="false">'Basis Options'!H865</f>
        <v>500000</v>
      </c>
      <c r="AD862" s="254" t="e">
        <f aca="false">'Basis Options'!W865</f>
        <v>#NAME?</v>
      </c>
      <c r="AE862" s="0" t="n">
        <v>0</v>
      </c>
      <c r="AF862" s="0" t="n">
        <v>0</v>
      </c>
      <c r="AG862" s="0" t="n">
        <v>0</v>
      </c>
      <c r="AH862" s="254" t="n">
        <f aca="false">'Basis Options'!CD867</f>
        <v>0</v>
      </c>
      <c r="AI862" s="0" t="n">
        <v>226</v>
      </c>
      <c r="AJ862" s="0" t="s">
        <v>630</v>
      </c>
      <c r="AK862" s="0" t="n">
        <v>0</v>
      </c>
      <c r="AL862" s="0" t="n">
        <v>0</v>
      </c>
      <c r="AM862" s="0" t="n">
        <v>0</v>
      </c>
    </row>
    <row r="863" customFormat="false" ht="12.75" hidden="false" customHeight="false" outlineLevel="0" collapsed="false">
      <c r="A863" s="0" t="s">
        <v>621</v>
      </c>
      <c r="B863" s="0" t="str">
        <f aca="false">'Basis Options'!C866</f>
        <v>NX1727.2</v>
      </c>
      <c r="C863" s="0" t="s">
        <v>622</v>
      </c>
      <c r="D863" s="0" t="s">
        <v>623</v>
      </c>
      <c r="E863" s="0" t="s">
        <v>131</v>
      </c>
      <c r="F863" s="0" t="str">
        <f aca="false">'Basis Options'!A866</f>
        <v>FT-US/CAND-ERMS</v>
      </c>
      <c r="G863" s="0" t="s">
        <v>628</v>
      </c>
      <c r="H863" s="0" t="s">
        <v>625</v>
      </c>
      <c r="I863" s="0" t="s">
        <v>626</v>
      </c>
      <c r="J863" s="0" t="s">
        <v>627</v>
      </c>
      <c r="K863" s="475" t="n">
        <f aca="false">'Basis Options'!G866</f>
        <v>36892</v>
      </c>
      <c r="L863" s="254" t="e">
        <f aca="false">'Basis Options'!U866</f>
        <v>#NAME?</v>
      </c>
      <c r="M863" s="475" t="n">
        <f aca="false">'Basis Options'!Q866</f>
        <v>36888</v>
      </c>
      <c r="N863" s="0" t="str">
        <f aca="false">'Basis Options'!F866</f>
        <v>P</v>
      </c>
      <c r="O863" s="0" t="n">
        <f aca="false">'Basis Options'!I866</f>
        <v>0.15</v>
      </c>
      <c r="P863" s="0" t="n">
        <v>0</v>
      </c>
      <c r="Q863" s="0" t="n">
        <v>0</v>
      </c>
      <c r="R863" s="0" t="n">
        <v>0</v>
      </c>
      <c r="S863" s="0" t="n">
        <v>0</v>
      </c>
      <c r="T863" s="0" t="s">
        <v>624</v>
      </c>
      <c r="U863" s="0" t="str">
        <f aca="false">IF('Basis Options'!D866="NGI/CHI. GATE","""NGI/CHI. GATE""",TRIM('Basis Options'!D866))</f>
        <v>IF-NTHWST/CANBR</v>
      </c>
      <c r="V863" s="0" t="s">
        <v>624</v>
      </c>
      <c r="W863" s="0" t="s">
        <v>569</v>
      </c>
      <c r="X863" s="0" t="s">
        <v>624</v>
      </c>
      <c r="Y863" s="0" t="s">
        <v>627</v>
      </c>
      <c r="Z863" s="0" t="s">
        <v>629</v>
      </c>
      <c r="AA863" s="0" t="s">
        <v>624</v>
      </c>
      <c r="AB863" s="0" t="s">
        <v>132</v>
      </c>
      <c r="AC863" s="254" t="n">
        <f aca="false">'Basis Options'!H866</f>
        <v>500000</v>
      </c>
      <c r="AD863" s="254" t="e">
        <f aca="false">'Basis Options'!W866</f>
        <v>#NAME?</v>
      </c>
      <c r="AE863" s="0" t="n">
        <v>0</v>
      </c>
      <c r="AF863" s="0" t="n">
        <v>0</v>
      </c>
      <c r="AG863" s="0" t="n">
        <v>0</v>
      </c>
      <c r="AH863" s="254" t="n">
        <f aca="false">'Basis Options'!CD868</f>
        <v>0</v>
      </c>
      <c r="AI863" s="0" t="n">
        <v>226</v>
      </c>
      <c r="AJ863" s="0" t="s">
        <v>630</v>
      </c>
      <c r="AK863" s="0" t="n">
        <v>0</v>
      </c>
      <c r="AL863" s="0" t="n">
        <v>0</v>
      </c>
      <c r="AM863" s="0" t="n">
        <v>0</v>
      </c>
    </row>
    <row r="864" customFormat="false" ht="12.75" hidden="false" customHeight="false" outlineLevel="0" collapsed="false">
      <c r="A864" s="0" t="s">
        <v>621</v>
      </c>
      <c r="B864" s="0" t="str">
        <f aca="false">'Basis Options'!C867</f>
        <v>NX1727.2</v>
      </c>
      <c r="C864" s="0" t="s">
        <v>622</v>
      </c>
      <c r="D864" s="0" t="s">
        <v>623</v>
      </c>
      <c r="E864" s="0" t="s">
        <v>131</v>
      </c>
      <c r="F864" s="0" t="str">
        <f aca="false">'Basis Options'!A867</f>
        <v>FT-US/CAND-ERMS</v>
      </c>
      <c r="G864" s="0" t="s">
        <v>628</v>
      </c>
      <c r="H864" s="0" t="s">
        <v>625</v>
      </c>
      <c r="I864" s="0" t="s">
        <v>626</v>
      </c>
      <c r="J864" s="0" t="s">
        <v>627</v>
      </c>
      <c r="K864" s="475" t="n">
        <f aca="false">'Basis Options'!G867</f>
        <v>36923</v>
      </c>
      <c r="L864" s="254" t="e">
        <f aca="false">'Basis Options'!U867</f>
        <v>#NAME?</v>
      </c>
      <c r="M864" s="475" t="n">
        <f aca="false">'Basis Options'!Q867</f>
        <v>36921</v>
      </c>
      <c r="N864" s="0" t="str">
        <f aca="false">'Basis Options'!F867</f>
        <v>P</v>
      </c>
      <c r="O864" s="0" t="n">
        <f aca="false">'Basis Options'!I867</f>
        <v>0.15</v>
      </c>
      <c r="P864" s="0" t="n">
        <v>0</v>
      </c>
      <c r="Q864" s="0" t="n">
        <v>0</v>
      </c>
      <c r="R864" s="0" t="n">
        <v>0</v>
      </c>
      <c r="S864" s="0" t="n">
        <v>0</v>
      </c>
      <c r="T864" s="0" t="s">
        <v>624</v>
      </c>
      <c r="U864" s="0" t="str">
        <f aca="false">IF('Basis Options'!D867="NGI/CHI. GATE","""NGI/CHI. GATE""",TRIM('Basis Options'!D867))</f>
        <v>IF-NTHWST/CANBR</v>
      </c>
      <c r="V864" s="0" t="s">
        <v>624</v>
      </c>
      <c r="W864" s="0" t="s">
        <v>569</v>
      </c>
      <c r="X864" s="0" t="s">
        <v>624</v>
      </c>
      <c r="Y864" s="0" t="s">
        <v>627</v>
      </c>
      <c r="Z864" s="0" t="s">
        <v>629</v>
      </c>
      <c r="AA864" s="0" t="s">
        <v>624</v>
      </c>
      <c r="AB864" s="0" t="s">
        <v>132</v>
      </c>
      <c r="AC864" s="254" t="n">
        <f aca="false">'Basis Options'!H867</f>
        <v>500000</v>
      </c>
      <c r="AD864" s="254" t="e">
        <f aca="false">'Basis Options'!W867</f>
        <v>#NAME?</v>
      </c>
      <c r="AE864" s="0" t="n">
        <v>0</v>
      </c>
      <c r="AF864" s="0" t="n">
        <v>0</v>
      </c>
      <c r="AG864" s="0" t="n">
        <v>0</v>
      </c>
      <c r="AH864" s="254" t="n">
        <f aca="false">'Basis Options'!CD869</f>
        <v>0</v>
      </c>
      <c r="AI864" s="0" t="n">
        <v>226</v>
      </c>
      <c r="AJ864" s="0" t="s">
        <v>630</v>
      </c>
      <c r="AK864" s="0" t="n">
        <v>0</v>
      </c>
      <c r="AL864" s="0" t="n">
        <v>0</v>
      </c>
      <c r="AM864" s="0" t="n">
        <v>0</v>
      </c>
    </row>
    <row r="865" customFormat="false" ht="12.75" hidden="false" customHeight="false" outlineLevel="0" collapsed="false">
      <c r="A865" s="0" t="s">
        <v>621</v>
      </c>
      <c r="B865" s="0" t="str">
        <f aca="false">'Basis Options'!C868</f>
        <v>NX1727.2</v>
      </c>
      <c r="C865" s="0" t="s">
        <v>622</v>
      </c>
      <c r="D865" s="0" t="s">
        <v>623</v>
      </c>
      <c r="E865" s="0" t="s">
        <v>131</v>
      </c>
      <c r="F865" s="0" t="str">
        <f aca="false">'Basis Options'!A868</f>
        <v>FT-US/CAND-ERMS</v>
      </c>
      <c r="G865" s="0" t="s">
        <v>628</v>
      </c>
      <c r="H865" s="0" t="s">
        <v>625</v>
      </c>
      <c r="I865" s="0" t="s">
        <v>626</v>
      </c>
      <c r="J865" s="0" t="s">
        <v>627</v>
      </c>
      <c r="K865" s="475" t="n">
        <f aca="false">'Basis Options'!G868</f>
        <v>36951</v>
      </c>
      <c r="L865" s="254" t="e">
        <f aca="false">'Basis Options'!U868</f>
        <v>#NAME?</v>
      </c>
      <c r="M865" s="475" t="n">
        <f aca="false">'Basis Options'!Q868</f>
        <v>36949</v>
      </c>
      <c r="N865" s="0" t="str">
        <f aca="false">'Basis Options'!F868</f>
        <v>P</v>
      </c>
      <c r="O865" s="0" t="n">
        <f aca="false">'Basis Options'!I868</f>
        <v>0.15</v>
      </c>
      <c r="P865" s="0" t="n">
        <v>0</v>
      </c>
      <c r="Q865" s="0" t="n">
        <v>0</v>
      </c>
      <c r="R865" s="0" t="n">
        <v>0</v>
      </c>
      <c r="S865" s="0" t="n">
        <v>0</v>
      </c>
      <c r="T865" s="0" t="s">
        <v>624</v>
      </c>
      <c r="U865" s="0" t="str">
        <f aca="false">IF('Basis Options'!D868="NGI/CHI. GATE","""NGI/CHI. GATE""",TRIM('Basis Options'!D868))</f>
        <v>IF-NTHWST/CANBR</v>
      </c>
      <c r="V865" s="0" t="s">
        <v>624</v>
      </c>
      <c r="W865" s="0" t="s">
        <v>569</v>
      </c>
      <c r="X865" s="0" t="s">
        <v>624</v>
      </c>
      <c r="Y865" s="0" t="s">
        <v>627</v>
      </c>
      <c r="Z865" s="0" t="s">
        <v>629</v>
      </c>
      <c r="AA865" s="0" t="s">
        <v>624</v>
      </c>
      <c r="AB865" s="0" t="s">
        <v>132</v>
      </c>
      <c r="AC865" s="254" t="n">
        <f aca="false">'Basis Options'!H868</f>
        <v>500000</v>
      </c>
      <c r="AD865" s="254" t="e">
        <f aca="false">'Basis Options'!W868</f>
        <v>#NAME?</v>
      </c>
      <c r="AE865" s="0" t="n">
        <v>0</v>
      </c>
      <c r="AF865" s="0" t="n">
        <v>0</v>
      </c>
      <c r="AG865" s="0" t="n">
        <v>0</v>
      </c>
      <c r="AH865" s="254" t="n">
        <f aca="false">'Basis Options'!CD870</f>
        <v>0</v>
      </c>
      <c r="AI865" s="0" t="n">
        <v>226</v>
      </c>
      <c r="AJ865" s="0" t="s">
        <v>630</v>
      </c>
      <c r="AK865" s="0" t="n">
        <v>0</v>
      </c>
      <c r="AL865" s="0" t="n">
        <v>0</v>
      </c>
      <c r="AM865" s="0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2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0" width="11.13"/>
    <col collapsed="false" customWidth="true" hidden="false" outlineLevel="0" max="13" min="13" style="0" width="9.7"/>
  </cols>
  <sheetData>
    <row r="1" customFormat="false" ht="12.75" hidden="false" customHeight="false" outlineLevel="0" collapsed="false">
      <c r="A1" s="0" t="s">
        <v>582</v>
      </c>
      <c r="B1" s="0" t="s">
        <v>583</v>
      </c>
      <c r="C1" s="0" t="s">
        <v>584</v>
      </c>
      <c r="D1" s="0" t="s">
        <v>585</v>
      </c>
      <c r="E1" s="0" t="s">
        <v>586</v>
      </c>
      <c r="F1" s="0" t="s">
        <v>587</v>
      </c>
      <c r="G1" s="0" t="s">
        <v>588</v>
      </c>
      <c r="H1" s="0" t="s">
        <v>589</v>
      </c>
      <c r="I1" s="0" t="s">
        <v>590</v>
      </c>
      <c r="J1" s="0" t="s">
        <v>591</v>
      </c>
      <c r="K1" s="0" t="s">
        <v>592</v>
      </c>
      <c r="L1" s="0" t="s">
        <v>593</v>
      </c>
      <c r="M1" s="0" t="s">
        <v>594</v>
      </c>
      <c r="N1" s="0" t="s">
        <v>595</v>
      </c>
      <c r="O1" s="0" t="s">
        <v>596</v>
      </c>
      <c r="P1" s="0" t="s">
        <v>597</v>
      </c>
      <c r="Q1" s="0" t="s">
        <v>598</v>
      </c>
      <c r="R1" s="0" t="s">
        <v>599</v>
      </c>
      <c r="S1" s="0" t="s">
        <v>600</v>
      </c>
      <c r="T1" s="0" t="s">
        <v>601</v>
      </c>
      <c r="U1" s="0" t="s">
        <v>602</v>
      </c>
      <c r="V1" s="0" t="s">
        <v>603</v>
      </c>
      <c r="W1" s="0" t="s">
        <v>604</v>
      </c>
      <c r="X1" s="0" t="s">
        <v>605</v>
      </c>
      <c r="Y1" s="0" t="s">
        <v>606</v>
      </c>
      <c r="Z1" s="0" t="s">
        <v>607</v>
      </c>
      <c r="AA1" s="0" t="s">
        <v>608</v>
      </c>
      <c r="AB1" s="0" t="s">
        <v>609</v>
      </c>
      <c r="AC1" s="0" t="s">
        <v>610</v>
      </c>
      <c r="AD1" s="0" t="s">
        <v>611</v>
      </c>
      <c r="AE1" s="0" t="s">
        <v>612</v>
      </c>
      <c r="AF1" s="0" t="s">
        <v>613</v>
      </c>
      <c r="AG1" s="0" t="s">
        <v>614</v>
      </c>
      <c r="AH1" s="0" t="s">
        <v>615</v>
      </c>
      <c r="AI1" s="0" t="s">
        <v>616</v>
      </c>
      <c r="AJ1" s="0" t="s">
        <v>617</v>
      </c>
      <c r="AK1" s="0" t="s">
        <v>618</v>
      </c>
      <c r="AL1" s="0" t="s">
        <v>619</v>
      </c>
      <c r="AM1" s="0" t="s">
        <v>620</v>
      </c>
    </row>
    <row r="2" customFormat="false" ht="12.75" hidden="false" customHeight="false" outlineLevel="0" collapsed="false">
      <c r="K2" s="182"/>
      <c r="M2" s="182"/>
    </row>
    <row r="3" customFormat="false" ht="12.75" hidden="false" customHeight="false" outlineLevel="0" collapsed="false">
      <c r="K3" s="182"/>
      <c r="M3" s="182"/>
    </row>
    <row r="4" customFormat="false" ht="12.75" hidden="false" customHeight="false" outlineLevel="0" collapsed="false">
      <c r="K4" s="182"/>
      <c r="M4" s="182"/>
    </row>
    <row r="5" customFormat="false" ht="12.75" hidden="false" customHeight="false" outlineLevel="0" collapsed="false">
      <c r="K5" s="182"/>
      <c r="M5" s="182"/>
    </row>
    <row r="6" customFormat="false" ht="12.75" hidden="false" customHeight="false" outlineLevel="0" collapsed="false">
      <c r="K6" s="182"/>
      <c r="M6" s="182"/>
    </row>
    <row r="7" customFormat="false" ht="12.75" hidden="false" customHeight="false" outlineLevel="0" collapsed="false">
      <c r="K7" s="182"/>
      <c r="M7" s="182"/>
    </row>
    <row r="8" customFormat="false" ht="12.75" hidden="false" customHeight="false" outlineLevel="0" collapsed="false">
      <c r="K8" s="182"/>
      <c r="M8" s="182"/>
    </row>
    <row r="9" customFormat="false" ht="12.75" hidden="false" customHeight="false" outlineLevel="0" collapsed="false">
      <c r="K9" s="182"/>
      <c r="M9" s="182"/>
    </row>
    <row r="10" customFormat="false" ht="12.75" hidden="false" customHeight="false" outlineLevel="0" collapsed="false">
      <c r="K10" s="182"/>
      <c r="M10" s="182"/>
    </row>
    <row r="11" customFormat="false" ht="12.75" hidden="false" customHeight="false" outlineLevel="0" collapsed="false">
      <c r="K11" s="182"/>
      <c r="M11" s="182"/>
    </row>
    <row r="12" customFormat="false" ht="12.75" hidden="false" customHeight="false" outlineLevel="0" collapsed="false">
      <c r="K12" s="182"/>
      <c r="M12" s="182"/>
    </row>
    <row r="13" customFormat="false" ht="12.75" hidden="false" customHeight="false" outlineLevel="0" collapsed="false">
      <c r="K13" s="182"/>
      <c r="M13" s="182"/>
    </row>
    <row r="14" customFormat="false" ht="12.75" hidden="false" customHeight="false" outlineLevel="0" collapsed="false">
      <c r="K14" s="182"/>
      <c r="M14" s="182"/>
    </row>
    <row r="15" customFormat="false" ht="12.75" hidden="false" customHeight="false" outlineLevel="0" collapsed="false">
      <c r="K15" s="182"/>
      <c r="M15" s="182"/>
    </row>
    <row r="16" customFormat="false" ht="12.75" hidden="false" customHeight="false" outlineLevel="0" collapsed="false">
      <c r="K16" s="182"/>
      <c r="M16" s="182"/>
    </row>
    <row r="17" customFormat="false" ht="14.25" hidden="false" customHeight="true" outlineLevel="0" collapsed="false">
      <c r="K17" s="182"/>
      <c r="M17" s="182"/>
    </row>
    <row r="18" customFormat="false" ht="12.75" hidden="false" customHeight="false" outlineLevel="0" collapsed="false">
      <c r="K18" s="182"/>
      <c r="M18" s="182"/>
    </row>
    <row r="19" customFormat="false" ht="12.75" hidden="false" customHeight="false" outlineLevel="0" collapsed="false">
      <c r="K19" s="182"/>
      <c r="M19" s="182"/>
    </row>
    <row r="20" customFormat="false" ht="12.75" hidden="false" customHeight="false" outlineLevel="0" collapsed="false">
      <c r="K20" s="182"/>
      <c r="M20" s="182"/>
    </row>
    <row r="21" customFormat="false" ht="12.75" hidden="false" customHeight="false" outlineLevel="0" collapsed="false">
      <c r="K21" s="182"/>
      <c r="M21" s="182"/>
    </row>
    <row r="22" customFormat="false" ht="12.75" hidden="false" customHeight="false" outlineLevel="0" collapsed="false">
      <c r="K22" s="182"/>
      <c r="M22" s="182"/>
    </row>
    <row r="23" customFormat="false" ht="12.75" hidden="false" customHeight="false" outlineLevel="0" collapsed="false">
      <c r="K23" s="182"/>
      <c r="M23" s="182"/>
    </row>
    <row r="24" customFormat="false" ht="12.75" hidden="false" customHeight="false" outlineLevel="0" collapsed="false">
      <c r="K24" s="182"/>
      <c r="M24" s="182"/>
    </row>
    <row r="25" customFormat="false" ht="12.75" hidden="false" customHeight="false" outlineLevel="0" collapsed="false">
      <c r="K25" s="182"/>
      <c r="M25" s="182"/>
    </row>
    <row r="26" customFormat="false" ht="12.75" hidden="false" customHeight="false" outlineLevel="0" collapsed="false">
      <c r="K26" s="182"/>
      <c r="M26" s="182"/>
    </row>
    <row r="27" customFormat="false" ht="12.75" hidden="false" customHeight="false" outlineLevel="0" collapsed="false">
      <c r="K27" s="182"/>
      <c r="M27" s="182"/>
    </row>
    <row r="28" customFormat="false" ht="12.75" hidden="false" customHeight="false" outlineLevel="0" collapsed="false">
      <c r="K28" s="182"/>
      <c r="M28" s="182"/>
    </row>
    <row r="29" customFormat="false" ht="12.75" hidden="false" customHeight="false" outlineLevel="0" collapsed="false">
      <c r="K29" s="182"/>
      <c r="M29" s="182"/>
    </row>
    <row r="30" customFormat="false" ht="12.75" hidden="false" customHeight="false" outlineLevel="0" collapsed="false">
      <c r="K30" s="182"/>
      <c r="M30" s="182"/>
    </row>
    <row r="31" customFormat="false" ht="12.75" hidden="false" customHeight="false" outlineLevel="0" collapsed="false">
      <c r="K31" s="182"/>
      <c r="M31" s="182"/>
    </row>
    <row r="32" customFormat="false" ht="12.75" hidden="false" customHeight="false" outlineLevel="0" collapsed="false">
      <c r="K32" s="182"/>
      <c r="M32" s="182"/>
    </row>
    <row r="33" customFormat="false" ht="12.75" hidden="false" customHeight="false" outlineLevel="0" collapsed="false">
      <c r="K33" s="182"/>
      <c r="M33" s="182"/>
    </row>
    <row r="34" customFormat="false" ht="12.75" hidden="false" customHeight="false" outlineLevel="0" collapsed="false">
      <c r="K34" s="182"/>
      <c r="M34" s="182"/>
    </row>
    <row r="35" customFormat="false" ht="12.75" hidden="false" customHeight="false" outlineLevel="0" collapsed="false">
      <c r="K35" s="182"/>
      <c r="M35" s="182"/>
    </row>
    <row r="36" customFormat="false" ht="12.75" hidden="false" customHeight="false" outlineLevel="0" collapsed="false">
      <c r="K36" s="182"/>
      <c r="M36" s="182"/>
    </row>
    <row r="37" customFormat="false" ht="12.75" hidden="false" customHeight="false" outlineLevel="0" collapsed="false">
      <c r="K37" s="182"/>
      <c r="M37" s="182"/>
    </row>
    <row r="38" customFormat="false" ht="12.75" hidden="false" customHeight="false" outlineLevel="0" collapsed="false">
      <c r="K38" s="182"/>
      <c r="M38" s="182"/>
    </row>
    <row r="39" customFormat="false" ht="12.75" hidden="false" customHeight="false" outlineLevel="0" collapsed="false">
      <c r="K39" s="182"/>
      <c r="M39" s="182"/>
    </row>
    <row r="40" customFormat="false" ht="12.75" hidden="false" customHeight="false" outlineLevel="0" collapsed="false">
      <c r="K40" s="182"/>
      <c r="M40" s="182"/>
    </row>
    <row r="41" customFormat="false" ht="12.75" hidden="false" customHeight="false" outlineLevel="0" collapsed="false">
      <c r="K41" s="182"/>
      <c r="M41" s="182"/>
    </row>
    <row r="42" customFormat="false" ht="12.75" hidden="false" customHeight="false" outlineLevel="0" collapsed="false">
      <c r="K42" s="182"/>
      <c r="M42" s="182"/>
    </row>
    <row r="43" customFormat="false" ht="12.75" hidden="false" customHeight="false" outlineLevel="0" collapsed="false">
      <c r="K43" s="182"/>
      <c r="M43" s="182"/>
    </row>
    <row r="44" customFormat="false" ht="12.75" hidden="false" customHeight="false" outlineLevel="0" collapsed="false">
      <c r="K44" s="182"/>
      <c r="M44" s="182"/>
    </row>
    <row r="45" customFormat="false" ht="12.75" hidden="false" customHeight="false" outlineLevel="0" collapsed="false">
      <c r="K45" s="182"/>
      <c r="M45" s="182"/>
    </row>
    <row r="46" customFormat="false" ht="12.75" hidden="false" customHeight="false" outlineLevel="0" collapsed="false">
      <c r="K46" s="182"/>
      <c r="M46" s="182"/>
    </row>
    <row r="47" customFormat="false" ht="12.75" hidden="false" customHeight="false" outlineLevel="0" collapsed="false">
      <c r="K47" s="182"/>
      <c r="M47" s="182"/>
    </row>
    <row r="48" customFormat="false" ht="12.75" hidden="false" customHeight="false" outlineLevel="0" collapsed="false">
      <c r="K48" s="182"/>
      <c r="M48" s="182"/>
    </row>
    <row r="49" customFormat="false" ht="12.75" hidden="false" customHeight="false" outlineLevel="0" collapsed="false">
      <c r="K49" s="182"/>
      <c r="M49" s="182"/>
    </row>
    <row r="50" customFormat="false" ht="12.75" hidden="false" customHeight="false" outlineLevel="0" collapsed="false">
      <c r="K50" s="182"/>
      <c r="M50" s="182"/>
    </row>
    <row r="51" customFormat="false" ht="12.75" hidden="false" customHeight="false" outlineLevel="0" collapsed="false">
      <c r="K51" s="182"/>
      <c r="M51" s="182"/>
    </row>
    <row r="52" customFormat="false" ht="12.75" hidden="false" customHeight="false" outlineLevel="0" collapsed="false">
      <c r="K52" s="182"/>
      <c r="M52" s="182"/>
    </row>
    <row r="53" customFormat="false" ht="12.75" hidden="false" customHeight="false" outlineLevel="0" collapsed="false">
      <c r="K53" s="182"/>
      <c r="M53" s="182"/>
    </row>
    <row r="54" customFormat="false" ht="12.75" hidden="false" customHeight="false" outlineLevel="0" collapsed="false">
      <c r="K54" s="182"/>
      <c r="M54" s="182"/>
    </row>
    <row r="55" customFormat="false" ht="12.75" hidden="false" customHeight="false" outlineLevel="0" collapsed="false">
      <c r="K55" s="182"/>
      <c r="M55" s="182"/>
    </row>
    <row r="56" customFormat="false" ht="12.75" hidden="false" customHeight="false" outlineLevel="0" collapsed="false">
      <c r="K56" s="182"/>
      <c r="M56" s="182"/>
    </row>
    <row r="57" customFormat="false" ht="12.75" hidden="false" customHeight="false" outlineLevel="0" collapsed="false">
      <c r="K57" s="182"/>
      <c r="M57" s="182"/>
    </row>
    <row r="58" customFormat="false" ht="12.75" hidden="false" customHeight="false" outlineLevel="0" collapsed="false">
      <c r="K58" s="182"/>
      <c r="M58" s="182"/>
    </row>
    <row r="59" customFormat="false" ht="12.75" hidden="false" customHeight="false" outlineLevel="0" collapsed="false">
      <c r="K59" s="182"/>
      <c r="M59" s="182"/>
    </row>
    <row r="60" customFormat="false" ht="12.75" hidden="false" customHeight="false" outlineLevel="0" collapsed="false">
      <c r="K60" s="182"/>
      <c r="M60" s="182"/>
    </row>
    <row r="61" customFormat="false" ht="12.75" hidden="false" customHeight="false" outlineLevel="0" collapsed="false">
      <c r="K61" s="182"/>
      <c r="M61" s="182"/>
    </row>
    <row r="62" customFormat="false" ht="12.75" hidden="false" customHeight="false" outlineLevel="0" collapsed="false">
      <c r="K62" s="182"/>
      <c r="M62" s="182"/>
    </row>
    <row r="63" customFormat="false" ht="12.75" hidden="false" customHeight="false" outlineLevel="0" collapsed="false">
      <c r="K63" s="182"/>
      <c r="M63" s="182"/>
    </row>
    <row r="64" customFormat="false" ht="12.75" hidden="false" customHeight="false" outlineLevel="0" collapsed="false">
      <c r="K64" s="182"/>
      <c r="M64" s="182"/>
    </row>
    <row r="65" customFormat="false" ht="12.75" hidden="false" customHeight="false" outlineLevel="0" collapsed="false">
      <c r="K65" s="182"/>
      <c r="M65" s="182"/>
    </row>
    <row r="66" customFormat="false" ht="12.75" hidden="false" customHeight="false" outlineLevel="0" collapsed="false">
      <c r="K66" s="182"/>
      <c r="M66" s="182"/>
    </row>
    <row r="67" customFormat="false" ht="12.75" hidden="false" customHeight="false" outlineLevel="0" collapsed="false">
      <c r="K67" s="182"/>
      <c r="M67" s="182"/>
    </row>
    <row r="68" customFormat="false" ht="12.75" hidden="false" customHeight="false" outlineLevel="0" collapsed="false">
      <c r="K68" s="182"/>
      <c r="M68" s="182"/>
    </row>
    <row r="69" customFormat="false" ht="12.75" hidden="false" customHeight="false" outlineLevel="0" collapsed="false">
      <c r="K69" s="182"/>
      <c r="M69" s="182"/>
    </row>
    <row r="70" customFormat="false" ht="12.75" hidden="false" customHeight="false" outlineLevel="0" collapsed="false">
      <c r="K70" s="182"/>
      <c r="M70" s="182"/>
    </row>
    <row r="71" customFormat="false" ht="12.75" hidden="false" customHeight="false" outlineLevel="0" collapsed="false">
      <c r="K71" s="182"/>
      <c r="M71" s="182"/>
    </row>
    <row r="72" customFormat="false" ht="12.75" hidden="false" customHeight="false" outlineLevel="0" collapsed="false">
      <c r="K72" s="182"/>
      <c r="M72" s="182"/>
    </row>
    <row r="73" customFormat="false" ht="12.75" hidden="false" customHeight="false" outlineLevel="0" collapsed="false">
      <c r="K73" s="182"/>
      <c r="M73" s="182"/>
    </row>
    <row r="74" customFormat="false" ht="12.75" hidden="false" customHeight="false" outlineLevel="0" collapsed="false">
      <c r="K74" s="182"/>
      <c r="M74" s="182"/>
    </row>
    <row r="75" customFormat="false" ht="12.75" hidden="false" customHeight="false" outlineLevel="0" collapsed="false">
      <c r="K75" s="182"/>
      <c r="M75" s="182"/>
    </row>
    <row r="76" customFormat="false" ht="12.75" hidden="false" customHeight="false" outlineLevel="0" collapsed="false">
      <c r="K76" s="182"/>
      <c r="M76" s="182"/>
    </row>
    <row r="77" customFormat="false" ht="12.75" hidden="false" customHeight="false" outlineLevel="0" collapsed="false">
      <c r="K77" s="182"/>
      <c r="M77" s="182"/>
    </row>
    <row r="78" customFormat="false" ht="12.75" hidden="false" customHeight="false" outlineLevel="0" collapsed="false">
      <c r="K78" s="182"/>
      <c r="M78" s="182"/>
    </row>
    <row r="79" customFormat="false" ht="12.75" hidden="false" customHeight="false" outlineLevel="0" collapsed="false">
      <c r="K79" s="182"/>
      <c r="M79" s="182"/>
    </row>
    <row r="80" customFormat="false" ht="12.75" hidden="false" customHeight="false" outlineLevel="0" collapsed="false">
      <c r="K80" s="182"/>
      <c r="M80" s="182"/>
    </row>
    <row r="81" customFormat="false" ht="12.75" hidden="false" customHeight="false" outlineLevel="0" collapsed="false">
      <c r="K81" s="182"/>
      <c r="M81" s="182"/>
    </row>
    <row r="82" customFormat="false" ht="12.75" hidden="false" customHeight="false" outlineLevel="0" collapsed="false">
      <c r="K82" s="182"/>
      <c r="M82" s="182"/>
    </row>
    <row r="83" customFormat="false" ht="12.75" hidden="false" customHeight="false" outlineLevel="0" collapsed="false">
      <c r="K83" s="182"/>
      <c r="M83" s="182"/>
    </row>
    <row r="84" customFormat="false" ht="12.75" hidden="false" customHeight="false" outlineLevel="0" collapsed="false">
      <c r="K84" s="182"/>
      <c r="M84" s="182"/>
    </row>
    <row r="85" customFormat="false" ht="12.75" hidden="false" customHeight="false" outlineLevel="0" collapsed="false">
      <c r="K85" s="182"/>
      <c r="M85" s="182"/>
    </row>
    <row r="86" customFormat="false" ht="12.75" hidden="false" customHeight="false" outlineLevel="0" collapsed="false">
      <c r="K86" s="182"/>
      <c r="M86" s="182"/>
    </row>
    <row r="87" customFormat="false" ht="12.75" hidden="false" customHeight="false" outlineLevel="0" collapsed="false">
      <c r="K87" s="182"/>
      <c r="M87" s="182"/>
    </row>
    <row r="88" customFormat="false" ht="12.75" hidden="false" customHeight="false" outlineLevel="0" collapsed="false">
      <c r="K88" s="182"/>
      <c r="M88" s="182"/>
    </row>
    <row r="89" customFormat="false" ht="12.75" hidden="false" customHeight="false" outlineLevel="0" collapsed="false">
      <c r="K89" s="182"/>
      <c r="M89" s="182"/>
    </row>
    <row r="90" customFormat="false" ht="12.75" hidden="false" customHeight="false" outlineLevel="0" collapsed="false">
      <c r="K90" s="182"/>
      <c r="M90" s="182"/>
    </row>
    <row r="91" customFormat="false" ht="12.75" hidden="false" customHeight="false" outlineLevel="0" collapsed="false">
      <c r="K91" s="182"/>
      <c r="M91" s="182"/>
    </row>
    <row r="92" customFormat="false" ht="12.75" hidden="false" customHeight="false" outlineLevel="0" collapsed="false">
      <c r="K92" s="182"/>
      <c r="M92" s="182"/>
    </row>
    <row r="93" customFormat="false" ht="12.75" hidden="false" customHeight="false" outlineLevel="0" collapsed="false">
      <c r="K93" s="182"/>
      <c r="M93" s="182"/>
    </row>
    <row r="94" customFormat="false" ht="12.75" hidden="false" customHeight="false" outlineLevel="0" collapsed="false">
      <c r="K94" s="182"/>
      <c r="M94" s="182"/>
    </row>
    <row r="95" customFormat="false" ht="12.75" hidden="false" customHeight="false" outlineLevel="0" collapsed="false">
      <c r="K95" s="182"/>
      <c r="M95" s="182"/>
    </row>
    <row r="96" customFormat="false" ht="12.75" hidden="false" customHeight="false" outlineLevel="0" collapsed="false">
      <c r="K96" s="182"/>
      <c r="M96" s="182"/>
    </row>
    <row r="97" customFormat="false" ht="12.75" hidden="false" customHeight="false" outlineLevel="0" collapsed="false">
      <c r="K97" s="182"/>
      <c r="M97" s="182"/>
    </row>
    <row r="98" customFormat="false" ht="12.75" hidden="false" customHeight="false" outlineLevel="0" collapsed="false">
      <c r="K98" s="182"/>
      <c r="M98" s="182"/>
    </row>
    <row r="99" customFormat="false" ht="12.75" hidden="false" customHeight="false" outlineLevel="0" collapsed="false">
      <c r="K99" s="182"/>
      <c r="M99" s="182"/>
    </row>
    <row r="100" customFormat="false" ht="12.75" hidden="false" customHeight="false" outlineLevel="0" collapsed="false">
      <c r="K100" s="182"/>
      <c r="M100" s="182"/>
    </row>
    <row r="101" customFormat="false" ht="12.75" hidden="false" customHeight="false" outlineLevel="0" collapsed="false">
      <c r="K101" s="182"/>
      <c r="M101" s="182"/>
    </row>
    <row r="102" customFormat="false" ht="12.75" hidden="false" customHeight="false" outlineLevel="0" collapsed="false">
      <c r="K102" s="182"/>
      <c r="M102" s="182"/>
    </row>
    <row r="103" customFormat="false" ht="12.75" hidden="false" customHeight="false" outlineLevel="0" collapsed="false">
      <c r="K103" s="182"/>
      <c r="M103" s="182"/>
    </row>
    <row r="104" customFormat="false" ht="12.75" hidden="false" customHeight="false" outlineLevel="0" collapsed="false">
      <c r="K104" s="182"/>
      <c r="M104" s="182"/>
    </row>
    <row r="105" customFormat="false" ht="12.75" hidden="false" customHeight="false" outlineLevel="0" collapsed="false">
      <c r="K105" s="182"/>
      <c r="M105" s="182"/>
    </row>
    <row r="106" customFormat="false" ht="12.75" hidden="false" customHeight="false" outlineLevel="0" collapsed="false">
      <c r="K106" s="182"/>
      <c r="M106" s="182"/>
    </row>
    <row r="107" customFormat="false" ht="12.75" hidden="false" customHeight="false" outlineLevel="0" collapsed="false">
      <c r="K107" s="182"/>
      <c r="M107" s="182"/>
    </row>
    <row r="108" customFormat="false" ht="12.75" hidden="false" customHeight="false" outlineLevel="0" collapsed="false">
      <c r="K108" s="182"/>
      <c r="M108" s="182"/>
    </row>
    <row r="109" customFormat="false" ht="12.75" hidden="false" customHeight="false" outlineLevel="0" collapsed="false">
      <c r="K109" s="182"/>
      <c r="M109" s="182"/>
    </row>
    <row r="110" customFormat="false" ht="12.75" hidden="false" customHeight="false" outlineLevel="0" collapsed="false">
      <c r="K110" s="182"/>
      <c r="M110" s="182"/>
    </row>
    <row r="111" customFormat="false" ht="12.75" hidden="false" customHeight="false" outlineLevel="0" collapsed="false">
      <c r="K111" s="182"/>
      <c r="M111" s="182"/>
    </row>
    <row r="112" customFormat="false" ht="12.75" hidden="false" customHeight="false" outlineLevel="0" collapsed="false">
      <c r="K112" s="182"/>
      <c r="M112" s="182"/>
    </row>
    <row r="113" customFormat="false" ht="12.75" hidden="false" customHeight="false" outlineLevel="0" collapsed="false">
      <c r="K113" s="182"/>
      <c r="M113" s="182"/>
    </row>
    <row r="114" customFormat="false" ht="12.75" hidden="false" customHeight="false" outlineLevel="0" collapsed="false">
      <c r="K114" s="182"/>
      <c r="M114" s="182"/>
    </row>
    <row r="115" customFormat="false" ht="12.75" hidden="false" customHeight="false" outlineLevel="0" collapsed="false">
      <c r="K115" s="182"/>
      <c r="M115" s="182"/>
    </row>
    <row r="116" customFormat="false" ht="12.75" hidden="false" customHeight="false" outlineLevel="0" collapsed="false">
      <c r="K116" s="182"/>
      <c r="M116" s="182"/>
    </row>
    <row r="117" customFormat="false" ht="12.75" hidden="false" customHeight="false" outlineLevel="0" collapsed="false">
      <c r="K117" s="182"/>
      <c r="M117" s="182"/>
    </row>
    <row r="118" customFormat="false" ht="12.75" hidden="false" customHeight="false" outlineLevel="0" collapsed="false">
      <c r="K118" s="182"/>
      <c r="M118" s="182"/>
    </row>
    <row r="119" customFormat="false" ht="12.75" hidden="false" customHeight="false" outlineLevel="0" collapsed="false">
      <c r="K119" s="182"/>
      <c r="M119" s="182"/>
    </row>
    <row r="120" customFormat="false" ht="12.75" hidden="false" customHeight="false" outlineLevel="0" collapsed="false">
      <c r="K120" s="182"/>
      <c r="M120" s="182"/>
    </row>
    <row r="121" customFormat="false" ht="12.75" hidden="false" customHeight="false" outlineLevel="0" collapsed="false">
      <c r="K121" s="182"/>
      <c r="M121" s="182"/>
    </row>
    <row r="122" customFormat="false" ht="12.75" hidden="false" customHeight="false" outlineLevel="0" collapsed="false">
      <c r="K122" s="182"/>
      <c r="M122" s="182"/>
    </row>
    <row r="123" customFormat="false" ht="12.75" hidden="false" customHeight="false" outlineLevel="0" collapsed="false">
      <c r="K123" s="182"/>
      <c r="M123" s="182"/>
    </row>
    <row r="124" customFormat="false" ht="12.75" hidden="false" customHeight="false" outlineLevel="0" collapsed="false">
      <c r="K124" s="182"/>
      <c r="M124" s="182"/>
    </row>
    <row r="125" customFormat="false" ht="12.75" hidden="false" customHeight="false" outlineLevel="0" collapsed="false">
      <c r="K125" s="182"/>
      <c r="M125" s="182"/>
    </row>
    <row r="126" customFormat="false" ht="12.75" hidden="false" customHeight="false" outlineLevel="0" collapsed="false">
      <c r="K126" s="182"/>
      <c r="M126" s="182"/>
    </row>
    <row r="127" customFormat="false" ht="12.75" hidden="false" customHeight="false" outlineLevel="0" collapsed="false">
      <c r="K127" s="182"/>
      <c r="M127" s="182"/>
    </row>
    <row r="128" customFormat="false" ht="12.75" hidden="false" customHeight="false" outlineLevel="0" collapsed="false">
      <c r="K128" s="182"/>
      <c r="M128" s="182"/>
    </row>
    <row r="129" customFormat="false" ht="12.75" hidden="false" customHeight="false" outlineLevel="0" collapsed="false">
      <c r="K129" s="182"/>
      <c r="M129" s="182"/>
    </row>
    <row r="130" customFormat="false" ht="12.75" hidden="false" customHeight="false" outlineLevel="0" collapsed="false">
      <c r="K130" s="182"/>
      <c r="M130" s="182"/>
    </row>
    <row r="131" customFormat="false" ht="12.75" hidden="false" customHeight="false" outlineLevel="0" collapsed="false">
      <c r="K131" s="182"/>
      <c r="M131" s="182"/>
    </row>
    <row r="132" customFormat="false" ht="12.75" hidden="false" customHeight="false" outlineLevel="0" collapsed="false">
      <c r="K132" s="182"/>
      <c r="M132" s="182"/>
    </row>
    <row r="133" customFormat="false" ht="12.75" hidden="false" customHeight="false" outlineLevel="0" collapsed="false">
      <c r="K133" s="182"/>
      <c r="M133" s="182"/>
    </row>
    <row r="134" customFormat="false" ht="12.75" hidden="false" customHeight="false" outlineLevel="0" collapsed="false">
      <c r="K134" s="182"/>
      <c r="M134" s="182"/>
    </row>
    <row r="135" customFormat="false" ht="12.75" hidden="false" customHeight="false" outlineLevel="0" collapsed="false">
      <c r="K135" s="182"/>
      <c r="M135" s="182"/>
    </row>
    <row r="136" customFormat="false" ht="12.75" hidden="false" customHeight="false" outlineLevel="0" collapsed="false">
      <c r="K136" s="182"/>
      <c r="M136" s="182"/>
    </row>
    <row r="137" customFormat="false" ht="12.75" hidden="false" customHeight="false" outlineLevel="0" collapsed="false">
      <c r="K137" s="182"/>
      <c r="M137" s="182"/>
    </row>
    <row r="138" customFormat="false" ht="12.75" hidden="false" customHeight="false" outlineLevel="0" collapsed="false">
      <c r="K138" s="182"/>
      <c r="M138" s="182"/>
    </row>
    <row r="139" customFormat="false" ht="12.75" hidden="false" customHeight="false" outlineLevel="0" collapsed="false">
      <c r="K139" s="182"/>
      <c r="M139" s="182"/>
    </row>
    <row r="140" customFormat="false" ht="12.75" hidden="false" customHeight="false" outlineLevel="0" collapsed="false">
      <c r="K140" s="182"/>
      <c r="M140" s="182"/>
    </row>
    <row r="141" customFormat="false" ht="12.75" hidden="false" customHeight="false" outlineLevel="0" collapsed="false">
      <c r="K141" s="182"/>
      <c r="M141" s="182"/>
    </row>
    <row r="142" customFormat="false" ht="12.75" hidden="false" customHeight="false" outlineLevel="0" collapsed="false">
      <c r="K142" s="182"/>
      <c r="M142" s="182"/>
    </row>
    <row r="143" customFormat="false" ht="12.75" hidden="false" customHeight="false" outlineLevel="0" collapsed="false">
      <c r="K143" s="182"/>
      <c r="M143" s="182"/>
    </row>
    <row r="144" customFormat="false" ht="12.75" hidden="false" customHeight="false" outlineLevel="0" collapsed="false">
      <c r="K144" s="182"/>
      <c r="M144" s="182"/>
    </row>
    <row r="145" customFormat="false" ht="12.75" hidden="false" customHeight="false" outlineLevel="0" collapsed="false">
      <c r="K145" s="182"/>
      <c r="M145" s="182"/>
    </row>
    <row r="146" customFormat="false" ht="12.75" hidden="false" customHeight="false" outlineLevel="0" collapsed="false">
      <c r="K146" s="182"/>
      <c r="M146" s="182"/>
    </row>
    <row r="147" customFormat="false" ht="12.75" hidden="false" customHeight="false" outlineLevel="0" collapsed="false">
      <c r="K147" s="182"/>
      <c r="M147" s="182"/>
    </row>
    <row r="148" customFormat="false" ht="12.75" hidden="false" customHeight="false" outlineLevel="0" collapsed="false">
      <c r="K148" s="182"/>
      <c r="M148" s="182"/>
    </row>
    <row r="149" customFormat="false" ht="12.75" hidden="false" customHeight="false" outlineLevel="0" collapsed="false">
      <c r="K149" s="182"/>
      <c r="M149" s="182"/>
    </row>
    <row r="150" customFormat="false" ht="12.75" hidden="false" customHeight="false" outlineLevel="0" collapsed="false">
      <c r="K150" s="182"/>
      <c r="M150" s="182"/>
    </row>
    <row r="151" customFormat="false" ht="12.75" hidden="false" customHeight="false" outlineLevel="0" collapsed="false">
      <c r="K151" s="182"/>
      <c r="M151" s="182"/>
    </row>
    <row r="152" customFormat="false" ht="12.75" hidden="false" customHeight="false" outlineLevel="0" collapsed="false">
      <c r="K152" s="182"/>
      <c r="M152" s="182"/>
    </row>
    <row r="153" customFormat="false" ht="12.75" hidden="false" customHeight="false" outlineLevel="0" collapsed="false">
      <c r="K153" s="182"/>
      <c r="M153" s="182"/>
    </row>
    <row r="154" customFormat="false" ht="12.75" hidden="false" customHeight="false" outlineLevel="0" collapsed="false">
      <c r="K154" s="182"/>
      <c r="M154" s="182"/>
    </row>
    <row r="155" customFormat="false" ht="12.75" hidden="false" customHeight="false" outlineLevel="0" collapsed="false">
      <c r="K155" s="182"/>
      <c r="M155" s="182"/>
    </row>
    <row r="156" customFormat="false" ht="12.75" hidden="false" customHeight="false" outlineLevel="0" collapsed="false">
      <c r="K156" s="182"/>
      <c r="M156" s="182"/>
    </row>
    <row r="157" customFormat="false" ht="12.75" hidden="false" customHeight="false" outlineLevel="0" collapsed="false">
      <c r="K157" s="182"/>
      <c r="M157" s="182"/>
    </row>
    <row r="158" customFormat="false" ht="12.75" hidden="false" customHeight="false" outlineLevel="0" collapsed="false">
      <c r="K158" s="182"/>
      <c r="M158" s="182"/>
    </row>
    <row r="159" customFormat="false" ht="12.75" hidden="false" customHeight="false" outlineLevel="0" collapsed="false">
      <c r="K159" s="182"/>
      <c r="M159" s="182"/>
    </row>
    <row r="160" customFormat="false" ht="12.75" hidden="false" customHeight="false" outlineLevel="0" collapsed="false">
      <c r="K160" s="182"/>
      <c r="M160" s="182"/>
    </row>
    <row r="161" customFormat="false" ht="12.75" hidden="false" customHeight="false" outlineLevel="0" collapsed="false">
      <c r="K161" s="182"/>
      <c r="M161" s="182"/>
    </row>
    <row r="162" customFormat="false" ht="12.75" hidden="false" customHeight="false" outlineLevel="0" collapsed="false">
      <c r="K162" s="182"/>
      <c r="M162" s="182"/>
    </row>
    <row r="163" customFormat="false" ht="12.75" hidden="false" customHeight="false" outlineLevel="0" collapsed="false">
      <c r="K163" s="182"/>
      <c r="M163" s="182"/>
    </row>
    <row r="164" customFormat="false" ht="12.75" hidden="false" customHeight="false" outlineLevel="0" collapsed="false">
      <c r="K164" s="182"/>
      <c r="M164" s="182"/>
    </row>
    <row r="165" customFormat="false" ht="12.75" hidden="false" customHeight="false" outlineLevel="0" collapsed="false">
      <c r="K165" s="182"/>
      <c r="M165" s="182"/>
    </row>
    <row r="166" customFormat="false" ht="12.75" hidden="false" customHeight="false" outlineLevel="0" collapsed="false">
      <c r="K166" s="182"/>
      <c r="M166" s="182"/>
    </row>
    <row r="167" customFormat="false" ht="12.75" hidden="false" customHeight="false" outlineLevel="0" collapsed="false">
      <c r="K167" s="182"/>
      <c r="M167" s="182"/>
    </row>
    <row r="168" customFormat="false" ht="12.75" hidden="false" customHeight="false" outlineLevel="0" collapsed="false">
      <c r="K168" s="182"/>
      <c r="M168" s="182"/>
    </row>
    <row r="169" customFormat="false" ht="12.75" hidden="false" customHeight="false" outlineLevel="0" collapsed="false">
      <c r="K169" s="182"/>
      <c r="M169" s="182"/>
    </row>
    <row r="170" customFormat="false" ht="12.75" hidden="false" customHeight="false" outlineLevel="0" collapsed="false">
      <c r="K170" s="182"/>
      <c r="M170" s="182"/>
    </row>
    <row r="171" customFormat="false" ht="12.75" hidden="false" customHeight="false" outlineLevel="0" collapsed="false">
      <c r="K171" s="182"/>
      <c r="M171" s="182"/>
    </row>
    <row r="172" customFormat="false" ht="12.75" hidden="false" customHeight="false" outlineLevel="0" collapsed="false">
      <c r="K172" s="182"/>
      <c r="M172" s="182"/>
    </row>
    <row r="173" customFormat="false" ht="12.75" hidden="false" customHeight="false" outlineLevel="0" collapsed="false">
      <c r="K173" s="182"/>
      <c r="M173" s="182"/>
    </row>
    <row r="174" customFormat="false" ht="12.75" hidden="false" customHeight="false" outlineLevel="0" collapsed="false">
      <c r="K174" s="182"/>
      <c r="M174" s="182"/>
    </row>
    <row r="175" customFormat="false" ht="12.75" hidden="false" customHeight="false" outlineLevel="0" collapsed="false">
      <c r="K175" s="182"/>
      <c r="M175" s="182"/>
    </row>
    <row r="176" customFormat="false" ht="12.75" hidden="false" customHeight="false" outlineLevel="0" collapsed="false">
      <c r="K176" s="182"/>
      <c r="M176" s="182"/>
    </row>
    <row r="177" customFormat="false" ht="12.75" hidden="false" customHeight="false" outlineLevel="0" collapsed="false">
      <c r="K177" s="182"/>
      <c r="M177" s="182"/>
    </row>
    <row r="178" customFormat="false" ht="12.75" hidden="false" customHeight="false" outlineLevel="0" collapsed="false">
      <c r="K178" s="182"/>
      <c r="M178" s="182"/>
    </row>
    <row r="179" customFormat="false" ht="12.75" hidden="false" customHeight="false" outlineLevel="0" collapsed="false">
      <c r="K179" s="182"/>
      <c r="M179" s="182"/>
    </row>
    <row r="180" customFormat="false" ht="12.75" hidden="false" customHeight="false" outlineLevel="0" collapsed="false">
      <c r="K180" s="182"/>
      <c r="M180" s="182"/>
    </row>
    <row r="181" customFormat="false" ht="12.75" hidden="false" customHeight="false" outlineLevel="0" collapsed="false">
      <c r="K181" s="182"/>
      <c r="M181" s="182"/>
    </row>
    <row r="182" customFormat="false" ht="12.75" hidden="false" customHeight="false" outlineLevel="0" collapsed="false">
      <c r="K182" s="182"/>
      <c r="M182" s="182"/>
    </row>
    <row r="183" customFormat="false" ht="12.75" hidden="false" customHeight="false" outlineLevel="0" collapsed="false">
      <c r="K183" s="182"/>
      <c r="M183" s="182"/>
    </row>
    <row r="184" customFormat="false" ht="12.75" hidden="false" customHeight="false" outlineLevel="0" collapsed="false">
      <c r="K184" s="182"/>
      <c r="M184" s="182"/>
    </row>
    <row r="185" customFormat="false" ht="12.75" hidden="false" customHeight="false" outlineLevel="0" collapsed="false">
      <c r="K185" s="182"/>
      <c r="M185" s="182"/>
    </row>
    <row r="186" customFormat="false" ht="12.75" hidden="false" customHeight="false" outlineLevel="0" collapsed="false">
      <c r="K186" s="182"/>
      <c r="M186" s="182"/>
    </row>
    <row r="187" customFormat="false" ht="12.75" hidden="false" customHeight="false" outlineLevel="0" collapsed="false">
      <c r="K187" s="182"/>
      <c r="M187" s="182"/>
    </row>
    <row r="188" customFormat="false" ht="12.75" hidden="false" customHeight="false" outlineLevel="0" collapsed="false">
      <c r="K188" s="182"/>
      <c r="M188" s="182"/>
    </row>
    <row r="189" customFormat="false" ht="12.75" hidden="false" customHeight="false" outlineLevel="0" collapsed="false">
      <c r="K189" s="182"/>
      <c r="M189" s="182"/>
    </row>
    <row r="190" customFormat="false" ht="12.75" hidden="false" customHeight="false" outlineLevel="0" collapsed="false">
      <c r="K190" s="182"/>
      <c r="M190" s="182"/>
    </row>
    <row r="191" customFormat="false" ht="12.75" hidden="false" customHeight="false" outlineLevel="0" collapsed="false">
      <c r="K191" s="182"/>
      <c r="M191" s="182"/>
    </row>
    <row r="192" customFormat="false" ht="12.75" hidden="false" customHeight="false" outlineLevel="0" collapsed="false">
      <c r="K192" s="182"/>
      <c r="M192" s="182"/>
    </row>
    <row r="193" customFormat="false" ht="12.75" hidden="false" customHeight="false" outlineLevel="0" collapsed="false">
      <c r="K193" s="182"/>
      <c r="M193" s="182"/>
    </row>
    <row r="194" customFormat="false" ht="12.75" hidden="false" customHeight="false" outlineLevel="0" collapsed="false">
      <c r="K194" s="182"/>
      <c r="M194" s="182"/>
    </row>
    <row r="195" customFormat="false" ht="12.75" hidden="false" customHeight="false" outlineLevel="0" collapsed="false">
      <c r="K195" s="182"/>
      <c r="M195" s="182"/>
    </row>
    <row r="196" customFormat="false" ht="12.75" hidden="false" customHeight="false" outlineLevel="0" collapsed="false">
      <c r="K196" s="182"/>
      <c r="M196" s="182"/>
    </row>
    <row r="197" customFormat="false" ht="12.75" hidden="false" customHeight="false" outlineLevel="0" collapsed="false">
      <c r="K197" s="182"/>
      <c r="M197" s="182"/>
    </row>
    <row r="198" customFormat="false" ht="12.75" hidden="false" customHeight="false" outlineLevel="0" collapsed="false">
      <c r="K198" s="182"/>
      <c r="M198" s="182"/>
    </row>
    <row r="199" customFormat="false" ht="12.75" hidden="false" customHeight="false" outlineLevel="0" collapsed="false">
      <c r="K199" s="182"/>
      <c r="M199" s="182"/>
    </row>
    <row r="200" customFormat="false" ht="12.75" hidden="false" customHeight="false" outlineLevel="0" collapsed="false">
      <c r="K200" s="182"/>
      <c r="M200" s="182"/>
    </row>
    <row r="201" customFormat="false" ht="12.75" hidden="false" customHeight="false" outlineLevel="0" collapsed="false">
      <c r="K201" s="182"/>
      <c r="M201" s="182"/>
    </row>
    <row r="202" customFormat="false" ht="12.75" hidden="false" customHeight="false" outlineLevel="0" collapsed="false">
      <c r="K202" s="182"/>
      <c r="M202" s="182"/>
    </row>
    <row r="203" customFormat="false" ht="12.75" hidden="false" customHeight="false" outlineLevel="0" collapsed="false">
      <c r="K203" s="182"/>
      <c r="M203" s="182"/>
    </row>
    <row r="204" customFormat="false" ht="12.75" hidden="false" customHeight="false" outlineLevel="0" collapsed="false">
      <c r="K204" s="182"/>
      <c r="M204" s="182"/>
    </row>
    <row r="205" customFormat="false" ht="12.75" hidden="false" customHeight="false" outlineLevel="0" collapsed="false">
      <c r="K205" s="182"/>
      <c r="M205" s="182"/>
    </row>
    <row r="206" customFormat="false" ht="12.75" hidden="false" customHeight="false" outlineLevel="0" collapsed="false">
      <c r="K206" s="182"/>
      <c r="M206" s="182"/>
    </row>
    <row r="207" customFormat="false" ht="12.75" hidden="false" customHeight="false" outlineLevel="0" collapsed="false">
      <c r="K207" s="182"/>
      <c r="M207" s="182"/>
    </row>
    <row r="208" customFormat="false" ht="12.75" hidden="false" customHeight="false" outlineLevel="0" collapsed="false">
      <c r="K208" s="182"/>
      <c r="M208" s="182"/>
    </row>
    <row r="209" customFormat="false" ht="12.75" hidden="false" customHeight="false" outlineLevel="0" collapsed="false">
      <c r="K209" s="182"/>
      <c r="M209" s="182"/>
    </row>
    <row r="210" customFormat="false" ht="12.75" hidden="false" customHeight="false" outlineLevel="0" collapsed="false">
      <c r="K210" s="182"/>
      <c r="M210" s="182"/>
    </row>
    <row r="211" customFormat="false" ht="12.75" hidden="false" customHeight="false" outlineLevel="0" collapsed="false">
      <c r="K211" s="182"/>
      <c r="M211" s="182"/>
    </row>
    <row r="212" customFormat="false" ht="12.75" hidden="false" customHeight="false" outlineLevel="0" collapsed="false">
      <c r="K212" s="182"/>
      <c r="M212" s="182"/>
    </row>
    <row r="213" customFormat="false" ht="12.75" hidden="false" customHeight="false" outlineLevel="0" collapsed="false">
      <c r="K213" s="182"/>
      <c r="M213" s="182"/>
    </row>
    <row r="214" customFormat="false" ht="12.75" hidden="false" customHeight="false" outlineLevel="0" collapsed="false">
      <c r="K214" s="182"/>
      <c r="M214" s="182"/>
    </row>
    <row r="215" customFormat="false" ht="12.75" hidden="false" customHeight="false" outlineLevel="0" collapsed="false">
      <c r="K215" s="182"/>
      <c r="M215" s="182"/>
    </row>
    <row r="216" customFormat="false" ht="12.75" hidden="false" customHeight="false" outlineLevel="0" collapsed="false">
      <c r="K216" s="182"/>
      <c r="M216" s="182"/>
    </row>
    <row r="217" customFormat="false" ht="12.75" hidden="false" customHeight="false" outlineLevel="0" collapsed="false">
      <c r="K217" s="182"/>
      <c r="M217" s="18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R16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2" min="2" style="0" width="9.85"/>
    <col collapsed="false" customWidth="true" hidden="false" outlineLevel="0" max="3" min="3" style="0" width="17.99"/>
    <col collapsed="false" customWidth="true" hidden="false" outlineLevel="0" max="4" min="4" style="0" width="8.85"/>
    <col collapsed="false" customWidth="true" hidden="false" outlineLevel="0" max="5" min="5" style="0" width="10.13"/>
    <col collapsed="false" customWidth="true" hidden="false" outlineLevel="0" max="6" min="6" style="0" width="10.85"/>
    <col collapsed="false" customWidth="true" hidden="false" outlineLevel="0" max="8" min="7" style="0" width="6.56"/>
    <col collapsed="false" customWidth="true" hidden="false" outlineLevel="0" max="9" min="9" style="0" width="11.28"/>
    <col collapsed="false" customWidth="true" hidden="false" outlineLevel="0" max="10" min="10" style="0" width="9.28"/>
    <col collapsed="false" customWidth="true" hidden="false" outlineLevel="0" max="12" min="11" style="0" width="10.41"/>
    <col collapsed="false" customWidth="true" hidden="false" outlineLevel="0" max="13" min="13" style="0" width="11.28"/>
    <col collapsed="false" customWidth="true" hidden="false" outlineLevel="0" max="14" min="14" style="0" width="10.41"/>
    <col collapsed="false" customWidth="true" hidden="false" outlineLevel="0" max="15" min="15" style="0" width="6.41"/>
    <col collapsed="false" customWidth="true" hidden="false" outlineLevel="0" max="16" min="16" style="0" width="12.99"/>
    <col collapsed="false" customWidth="true" hidden="false" outlineLevel="0" max="17" min="17" style="0" width="8.28"/>
    <col collapsed="false" customWidth="true" hidden="false" outlineLevel="0" max="20" min="19" style="0" width="10.41"/>
    <col collapsed="false" customWidth="true" hidden="false" outlineLevel="0" max="21" min="21" style="0" width="11.56"/>
    <col collapsed="false" customWidth="true" hidden="false" outlineLevel="0" max="22" min="22" style="0" width="14.85"/>
    <col collapsed="false" customWidth="true" hidden="false" outlineLevel="0" max="26" min="26" style="0" width="13.56"/>
    <col collapsed="false" customWidth="true" hidden="false" outlineLevel="0" max="27" min="27" style="0" width="13.41"/>
    <col collapsed="false" customWidth="true" hidden="false" outlineLevel="0" max="28" min="28" style="0" width="12.7"/>
    <col collapsed="false" customWidth="true" hidden="false" outlineLevel="0" max="29" min="29" style="0" width="15.13"/>
    <col collapsed="false" customWidth="true" hidden="false" outlineLevel="0" max="32" min="30" style="0" width="14.85"/>
    <col collapsed="false" customWidth="true" hidden="false" outlineLevel="0" max="33" min="33" style="0" width="16.56"/>
    <col collapsed="false" customWidth="true" hidden="false" outlineLevel="0" max="35" min="35" style="0" width="13.56"/>
    <col collapsed="false" customWidth="true" hidden="false" outlineLevel="0" max="36" min="36" style="0" width="10.56"/>
    <col collapsed="false" customWidth="true" hidden="false" outlineLevel="0" max="42" min="42" style="0" width="10.13"/>
    <col collapsed="false" customWidth="true" hidden="false" outlineLevel="0" max="48" min="48" style="0" width="13.41"/>
    <col collapsed="false" customWidth="true" hidden="false" outlineLevel="0" max="49" min="49" style="0" width="10.99"/>
    <col collapsed="false" customWidth="true" hidden="false" outlineLevel="0" max="50" min="50" style="0" width="11.56"/>
    <col collapsed="false" customWidth="true" hidden="false" outlineLevel="0" max="52" min="52" style="0" width="11.13"/>
    <col collapsed="false" customWidth="true" hidden="false" outlineLevel="0" max="53" min="53" style="0" width="12.14"/>
    <col collapsed="false" customWidth="true" hidden="false" outlineLevel="0" max="54" min="54" style="0" width="14.99"/>
    <col collapsed="false" customWidth="true" hidden="false" outlineLevel="0" max="60" min="60" style="0" width="19.7"/>
    <col collapsed="false" customWidth="true" hidden="false" outlineLevel="0" max="61" min="61" style="0" width="13.99"/>
    <col collapsed="false" customWidth="true" hidden="false" outlineLevel="0" max="63" min="62" style="0" width="16.28"/>
    <col collapsed="false" customWidth="true" hidden="false" outlineLevel="0" max="64" min="64" style="0" width="10.56"/>
    <col collapsed="false" customWidth="true" hidden="false" outlineLevel="0" max="69" min="65" style="0" width="16.28"/>
    <col collapsed="false" customWidth="true" hidden="false" outlineLevel="0" max="70" min="70" style="0" width="10.56"/>
  </cols>
  <sheetData>
    <row r="1" customFormat="false" ht="18.75" hidden="false" customHeight="false" outlineLevel="0" collapsed="false">
      <c r="A1" s="64" t="s">
        <v>21</v>
      </c>
      <c r="E1" s="65" t="s">
        <v>22</v>
      </c>
      <c r="BB1" s="66"/>
      <c r="BH1" s="67" t="s">
        <v>23</v>
      </c>
      <c r="BI1" s="68"/>
      <c r="BJ1" s="68"/>
      <c r="BK1" s="69" t="n">
        <f aca="false">V3</f>
        <v>0</v>
      </c>
    </row>
    <row r="2" customFormat="false" ht="14.25" hidden="false" customHeight="false" outlineLevel="0" collapsed="false">
      <c r="P2" s="70"/>
      <c r="Q2" s="70"/>
      <c r="R2" s="70"/>
      <c r="S2" s="70"/>
      <c r="T2" s="71" t="s">
        <v>24</v>
      </c>
      <c r="U2" s="72" t="s">
        <v>25</v>
      </c>
      <c r="V2" s="72" t="s">
        <v>8</v>
      </c>
      <c r="AM2" s="0" t="s">
        <v>26</v>
      </c>
      <c r="AP2" s="73" t="n">
        <f aca="false">(WORKDAY(B3,-1))</f>
        <v>36766</v>
      </c>
      <c r="BB2" s="66"/>
      <c r="BH2" s="74" t="s">
        <v>27</v>
      </c>
      <c r="BI2" s="75"/>
      <c r="BJ2" s="75"/>
      <c r="BK2" s="76" t="n">
        <f aca="false">BA4</f>
        <v>0</v>
      </c>
    </row>
    <row r="3" customFormat="false" ht="15" hidden="false" customHeight="false" outlineLevel="0" collapsed="false">
      <c r="A3" s="77" t="s">
        <v>28</v>
      </c>
      <c r="B3" s="78" t="n">
        <f aca="false">Summary!P1</f>
        <v>36767</v>
      </c>
      <c r="E3" s="79"/>
      <c r="P3" s="70"/>
      <c r="Q3" s="80"/>
      <c r="R3" s="81"/>
      <c r="T3" s="82"/>
      <c r="U3" s="83"/>
      <c r="V3" s="84"/>
      <c r="AM3" s="0" t="s">
        <v>29</v>
      </c>
      <c r="AN3" s="0" t="s">
        <v>30</v>
      </c>
      <c r="BA3" s="85" t="s">
        <v>31</v>
      </c>
      <c r="BB3" s="66"/>
      <c r="BH3" s="86" t="s">
        <v>32</v>
      </c>
      <c r="BI3" s="87"/>
      <c r="BJ3" s="87"/>
      <c r="BK3" s="88" t="n">
        <f aca="false">BK1-BK2</f>
        <v>0</v>
      </c>
    </row>
    <row r="4" customFormat="false" ht="16.5" hidden="false" customHeight="false" outlineLevel="0" collapsed="false">
      <c r="A4" s="89" t="s">
        <v>33</v>
      </c>
      <c r="B4" s="89"/>
      <c r="C4" s="89"/>
      <c r="D4" s="89"/>
      <c r="E4" s="89"/>
      <c r="F4" s="89"/>
      <c r="G4" s="89"/>
      <c r="H4" s="89"/>
      <c r="I4" s="90" t="s">
        <v>34</v>
      </c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Z4" s="91" t="s">
        <v>35</v>
      </c>
      <c r="AA4" s="91"/>
      <c r="AB4" s="91"/>
      <c r="AC4" s="91"/>
      <c r="AD4" s="91"/>
      <c r="AE4" s="91"/>
      <c r="AF4" s="91"/>
      <c r="AG4" s="91"/>
      <c r="AI4" s="91" t="s">
        <v>36</v>
      </c>
      <c r="AJ4" s="91"/>
      <c r="AL4" s="92" t="n">
        <v>36465</v>
      </c>
      <c r="AM4" s="0" t="n">
        <v>0.5</v>
      </c>
      <c r="AN4" s="0" t="n">
        <v>0.34</v>
      </c>
      <c r="BA4" s="85"/>
      <c r="BB4" s="66"/>
    </row>
    <row r="5" customFormat="false" ht="15.75" hidden="false" customHeight="false" outlineLevel="0" collapsed="false">
      <c r="A5" s="93"/>
      <c r="B5" s="93"/>
      <c r="C5" s="93"/>
      <c r="D5" s="93"/>
      <c r="E5" s="93" t="s">
        <v>37</v>
      </c>
      <c r="F5" s="93" t="s">
        <v>38</v>
      </c>
      <c r="G5" s="93" t="s">
        <v>39</v>
      </c>
      <c r="H5" s="94" t="s">
        <v>40</v>
      </c>
      <c r="I5" s="95" t="s">
        <v>41</v>
      </c>
      <c r="J5" s="95"/>
      <c r="K5" s="95" t="s">
        <v>29</v>
      </c>
      <c r="L5" s="95" t="s">
        <v>42</v>
      </c>
      <c r="M5" s="95" t="s">
        <v>43</v>
      </c>
      <c r="N5" s="95" t="s">
        <v>44</v>
      </c>
      <c r="O5" s="95" t="s">
        <v>45</v>
      </c>
      <c r="P5" s="95" t="s">
        <v>30</v>
      </c>
      <c r="Q5" s="94" t="s">
        <v>46</v>
      </c>
      <c r="R5" s="93" t="s">
        <v>47</v>
      </c>
      <c r="S5" s="95"/>
      <c r="T5" s="95"/>
      <c r="U5" s="96"/>
      <c r="V5" s="95"/>
      <c r="Z5" s="97" t="s">
        <v>18</v>
      </c>
      <c r="AA5" s="98"/>
      <c r="AB5" s="99"/>
      <c r="AC5" s="99"/>
      <c r="AD5" s="99"/>
      <c r="AE5" s="99"/>
      <c r="AF5" s="99"/>
      <c r="AG5" s="100"/>
      <c r="AI5" s="97" t="s">
        <v>18</v>
      </c>
      <c r="AJ5" s="101" t="s">
        <v>48</v>
      </c>
      <c r="AL5" s="92" t="n">
        <v>36495</v>
      </c>
      <c r="AM5" s="0" t="n">
        <v>0.6</v>
      </c>
      <c r="AP5" s="0" t="s">
        <v>49</v>
      </c>
      <c r="AU5" s="102"/>
      <c r="AV5" s="103" t="s">
        <v>50</v>
      </c>
      <c r="AW5" s="104"/>
      <c r="AX5" s="104"/>
      <c r="AY5" s="104"/>
      <c r="AZ5" s="104"/>
      <c r="BA5" s="103" t="s">
        <v>51</v>
      </c>
      <c r="BB5" s="105"/>
      <c r="BH5" s="106" t="s">
        <v>52</v>
      </c>
    </row>
    <row r="6" customFormat="false" ht="16.5" hidden="false" customHeight="false" outlineLevel="0" collapsed="false">
      <c r="A6" s="107" t="s">
        <v>53</v>
      </c>
      <c r="B6" s="107" t="s">
        <v>54</v>
      </c>
      <c r="C6" s="107" t="s">
        <v>55</v>
      </c>
      <c r="D6" s="107" t="s">
        <v>18</v>
      </c>
      <c r="E6" s="107" t="s">
        <v>56</v>
      </c>
      <c r="F6" s="107" t="s">
        <v>57</v>
      </c>
      <c r="G6" s="107" t="s">
        <v>58</v>
      </c>
      <c r="H6" s="107" t="s">
        <v>58</v>
      </c>
      <c r="I6" s="107" t="s">
        <v>58</v>
      </c>
      <c r="J6" s="107" t="s">
        <v>59</v>
      </c>
      <c r="K6" s="107" t="s">
        <v>58</v>
      </c>
      <c r="L6" s="107" t="s">
        <v>60</v>
      </c>
      <c r="M6" s="107" t="s">
        <v>61</v>
      </c>
      <c r="N6" s="107" t="s">
        <v>62</v>
      </c>
      <c r="O6" s="107" t="s">
        <v>63</v>
      </c>
      <c r="P6" s="107" t="s">
        <v>62</v>
      </c>
      <c r="Q6" s="107" t="s">
        <v>64</v>
      </c>
      <c r="R6" s="107" t="s">
        <v>65</v>
      </c>
      <c r="S6" s="107" t="s">
        <v>66</v>
      </c>
      <c r="T6" s="107" t="s">
        <v>67</v>
      </c>
      <c r="U6" s="108" t="s">
        <v>48</v>
      </c>
      <c r="V6" s="107" t="s">
        <v>8</v>
      </c>
      <c r="Z6" s="109"/>
      <c r="AA6" s="110" t="s">
        <v>68</v>
      </c>
      <c r="AB6" s="111" t="s">
        <v>69</v>
      </c>
      <c r="AC6" s="111" t="s">
        <v>70</v>
      </c>
      <c r="AD6" s="111" t="s">
        <v>71</v>
      </c>
      <c r="AE6" s="111" t="s">
        <v>72</v>
      </c>
      <c r="AF6" s="111" t="s">
        <v>73</v>
      </c>
      <c r="AG6" s="112" t="s">
        <v>74</v>
      </c>
      <c r="AI6" s="109"/>
      <c r="AJ6" s="113"/>
      <c r="AL6" s="92" t="n">
        <v>36526</v>
      </c>
      <c r="AM6" s="0" t="n">
        <v>0.58</v>
      </c>
      <c r="AP6" s="0" t="s">
        <v>75</v>
      </c>
      <c r="AQ6" s="0" t="s">
        <v>76</v>
      </c>
      <c r="AR6" s="0" t="s">
        <v>77</v>
      </c>
      <c r="AS6" s="0" t="s">
        <v>78</v>
      </c>
      <c r="AT6" s="0" t="s">
        <v>79</v>
      </c>
      <c r="AU6" s="114" t="s">
        <v>80</v>
      </c>
      <c r="AV6" s="115" t="s">
        <v>81</v>
      </c>
      <c r="AW6" s="115" t="s">
        <v>82</v>
      </c>
      <c r="AX6" s="115" t="s">
        <v>83</v>
      </c>
      <c r="AY6" s="115" t="s">
        <v>84</v>
      </c>
      <c r="AZ6" s="115" t="s">
        <v>85</v>
      </c>
      <c r="BA6" s="115" t="s">
        <v>86</v>
      </c>
      <c r="BB6" s="116"/>
      <c r="BH6" s="117"/>
      <c r="BI6" s="118"/>
      <c r="BJ6" s="119" t="s">
        <v>80</v>
      </c>
      <c r="BK6" s="118"/>
      <c r="BL6" s="120"/>
    </row>
    <row r="7" customFormat="false" ht="12.75" hidden="false" customHeight="false" outlineLevel="0" collapsed="false">
      <c r="A7" s="121" t="s">
        <v>87</v>
      </c>
      <c r="B7" s="122" t="s">
        <v>88</v>
      </c>
      <c r="C7" s="7" t="s">
        <v>74</v>
      </c>
      <c r="D7" s="92" t="n">
        <v>36647</v>
      </c>
      <c r="E7" s="92" t="n">
        <f aca="false">+WORKDAY(D7,-6)</f>
        <v>36637</v>
      </c>
      <c r="F7" s="123" t="n">
        <v>150000</v>
      </c>
      <c r="G7" s="43" t="n">
        <v>2.1</v>
      </c>
      <c r="H7" s="43" t="n">
        <v>2.4</v>
      </c>
      <c r="I7" s="124" t="e">
        <f aca="false">VLOOKUP(D7,NGPrices,2,FALSE())</f>
        <v>#N/A</v>
      </c>
      <c r="J7" s="125" t="e">
        <f aca="false">HLOOKUP(C7,Prices,VLOOKUP(D7,move_down,2,FALSE()),FALSE())</f>
        <v>#N/A</v>
      </c>
      <c r="K7" s="2" t="e">
        <f aca="false">J7+I7</f>
        <v>#N/A</v>
      </c>
      <c r="L7" s="126" t="e">
        <f aca="false">VLOOKUP(D7,NGPrices,4,FALSE())</f>
        <v>#N/A</v>
      </c>
      <c r="M7" s="127" t="n">
        <f aca="false">WORKDAY(D7,-3)-B$3</f>
        <v>-125</v>
      </c>
      <c r="N7" s="126" t="n">
        <v>0</v>
      </c>
      <c r="O7" s="2" t="e">
        <f aca="false">HLOOKUP(C7,VOLS,VLOOKUP(D7,move_down,2,FALSE()),FALSE())</f>
        <v>#N/A</v>
      </c>
      <c r="P7" s="128" t="n">
        <v>0.26</v>
      </c>
      <c r="Q7" s="129" t="n">
        <v>0.001</v>
      </c>
      <c r="R7" s="92" t="n">
        <f aca="false">WORKDAY(D7,-3)</f>
        <v>36642</v>
      </c>
      <c r="S7" s="130" t="e">
        <f aca="false">xXCOL2($K7:$K12,$L7:$L12,$O7:$O12,$M7:$M12,$P7,$Q7,$E7-$B$3,$H7,$G7,$N7,45,0)</f>
        <v>#NAME?</v>
      </c>
      <c r="T7" s="126" t="e">
        <f aca="false">xXCOL2($K7:$K12,$L7:$L12,$O7:$O12,$M7:$M12,$P7,$Q7,$E7-$B$3,$H7,$G7,$N7,45,1)</f>
        <v>#NAME?</v>
      </c>
      <c r="U7" s="131" t="e">
        <f aca="false">$T$7*F7</f>
        <v>#NAME?</v>
      </c>
      <c r="V7" s="132" t="e">
        <f aca="false">S7*SUM(F7:F12)</f>
        <v>#NAME?</v>
      </c>
      <c r="Z7" s="133" t="n">
        <v>36192</v>
      </c>
      <c r="AA7" s="134" t="n">
        <f aca="false">SUMIF($X:$X,CONCATENATE($Z7,AA$6),$U:$U)</f>
        <v>0</v>
      </c>
      <c r="AB7" s="134" t="n">
        <f aca="false">SUMIF($X:$X,CONCATENATE($Z7,AB$6),$U:$U)</f>
        <v>0</v>
      </c>
      <c r="AC7" s="134" t="n">
        <f aca="false">SUMIF($X:$X,CONCATENATE($Z7,AC$6),$U:$U)</f>
        <v>0</v>
      </c>
      <c r="AD7" s="134" t="n">
        <f aca="false">SUMIF($X:$X,CONCATENATE($Z7,AD$6),$U:$U)</f>
        <v>0</v>
      </c>
      <c r="AE7" s="134" t="n">
        <f aca="false">SUMIF($X:$X,CONCATENATE($Z7,AE$6),$U:$U)</f>
        <v>0</v>
      </c>
      <c r="AF7" s="134" t="n">
        <f aca="false">SUMIF($X:$X,CONCATENATE($Z7,AF$6),$U:$U)</f>
        <v>0</v>
      </c>
      <c r="AG7" s="135" t="n">
        <f aca="false">SUMIF($X:$X,CONCATENATE($Z7,AG$6),$U:$U)</f>
        <v>0</v>
      </c>
      <c r="AI7" s="133" t="n">
        <v>36192</v>
      </c>
      <c r="AJ7" s="135" t="n">
        <f aca="false">SUM(AA7:AG7)</f>
        <v>0</v>
      </c>
      <c r="AL7" s="92" t="n">
        <v>36557</v>
      </c>
      <c r="AM7" s="0" t="n">
        <v>0.53</v>
      </c>
      <c r="AP7" s="0" t="e">
        <f aca="false">(VLOOKUP(D7,NGPREVPRICES,2,FALSE())+HLOOKUP(C7,PREVCURVES,VLOOKUP(D7,MOVE_DOWN2,2,FALSE()),FALSE()))</f>
        <v>#N/A</v>
      </c>
      <c r="AQ7" s="0" t="e">
        <f aca="false">VLOOKUP(D7,NGPREVPRICES,4,FALSE())</f>
        <v>#N/A</v>
      </c>
      <c r="AR7" s="136" t="e">
        <f aca="false">HLOOKUP(C7,PREVVOLS,VLOOKUP(D7,MOVE_DOWN2,2,FALSE()),FALSE())</f>
        <v>#N/A</v>
      </c>
      <c r="AS7" s="137" t="n">
        <f aca="false">WORKDAY(D7,-3)-$AP$2</f>
        <v>-124</v>
      </c>
      <c r="AT7" s="0" t="s">
        <v>89</v>
      </c>
      <c r="AU7" s="0" t="str">
        <f aca="false">C7</f>
        <v>IF-HPL/SHPCHAN</v>
      </c>
      <c r="AV7" s="138" t="s">
        <v>90</v>
      </c>
      <c r="AW7" s="138" t="s">
        <v>91</v>
      </c>
      <c r="AX7" s="139" t="s">
        <v>92</v>
      </c>
      <c r="AY7" s="138" t="s">
        <v>93</v>
      </c>
      <c r="AZ7" s="138" t="s">
        <v>94</v>
      </c>
      <c r="BA7" s="137" t="s">
        <v>95</v>
      </c>
      <c r="BB7" s="140" t="s">
        <v>96</v>
      </c>
      <c r="BH7" s="119" t="s">
        <v>79</v>
      </c>
      <c r="BI7" s="119" t="s">
        <v>97</v>
      </c>
      <c r="BJ7" s="117" t="s">
        <v>74</v>
      </c>
      <c r="BK7" s="118" t="s">
        <v>98</v>
      </c>
      <c r="BL7" s="141" t="s">
        <v>99</v>
      </c>
    </row>
    <row r="8" customFormat="false" ht="12.75" hidden="false" customHeight="false" outlineLevel="0" collapsed="false">
      <c r="A8" s="121" t="s">
        <v>87</v>
      </c>
      <c r="B8" s="122" t="s">
        <v>88</v>
      </c>
      <c r="C8" s="7" t="s">
        <v>74</v>
      </c>
      <c r="D8" s="92" t="n">
        <v>36678</v>
      </c>
      <c r="E8" s="92"/>
      <c r="F8" s="123" t="n">
        <v>150000</v>
      </c>
      <c r="G8" s="43" t="n">
        <v>2.1</v>
      </c>
      <c r="H8" s="43" t="n">
        <v>2.4</v>
      </c>
      <c r="I8" s="124" t="e">
        <f aca="false">VLOOKUP(D8,NGPrices,2,FALSE())</f>
        <v>#N/A</v>
      </c>
      <c r="J8" s="125" t="e">
        <f aca="false">HLOOKUP(C8,Prices,VLOOKUP(D8,move_down,2,FALSE()),FALSE())</f>
        <v>#N/A</v>
      </c>
      <c r="K8" s="2" t="e">
        <f aca="false">J8+I8</f>
        <v>#N/A</v>
      </c>
      <c r="L8" s="126" t="e">
        <f aca="false">VLOOKUP(D8,NGPrices,4,FALSE())</f>
        <v>#N/A</v>
      </c>
      <c r="M8" s="127" t="n">
        <f aca="false">WORKDAY(D8,-3)-B$3</f>
        <v>-92</v>
      </c>
      <c r="N8" s="126"/>
      <c r="O8" s="2" t="e">
        <f aca="false">HLOOKUP(C8,VOLS,VLOOKUP(D8,move_down,2,FALSE()),FALSE())</f>
        <v>#N/A</v>
      </c>
      <c r="P8" s="128"/>
      <c r="Q8" s="129"/>
      <c r="R8" s="92" t="n">
        <f aca="false">WORKDAY(D8,-3)</f>
        <v>36675</v>
      </c>
      <c r="S8" s="130"/>
      <c r="T8" s="142"/>
      <c r="U8" s="131"/>
      <c r="V8" s="132"/>
      <c r="X8" s="0" t="str">
        <f aca="false">D8&amp;C8</f>
        <v>36678IF-HPL/SHPCHAN</v>
      </c>
      <c r="Z8" s="143" t="n">
        <f aca="false">EOMONTH(Z7,0)+1</f>
        <v>36220</v>
      </c>
      <c r="AA8" s="134" t="n">
        <f aca="false">SUMIF($X:$X,CONCATENATE($Z8,AA$6),$U:$U)</f>
        <v>0</v>
      </c>
      <c r="AB8" s="134" t="n">
        <f aca="false">SUMIF($X:$X,CONCATENATE($Z8,AB$6),$U:$U)</f>
        <v>0</v>
      </c>
      <c r="AC8" s="134" t="n">
        <f aca="false">SUMIF($X:$X,CONCATENATE($Z8,AC$6),$U:$U)</f>
        <v>0</v>
      </c>
      <c r="AD8" s="134" t="n">
        <f aca="false">SUMIF($X:$X,CONCATENATE($Z8,AD$6),$U:$U)</f>
        <v>0</v>
      </c>
      <c r="AE8" s="134" t="n">
        <f aca="false">SUMIF($X:$X,CONCATENATE($Z8,AE$6),$U:$U)</f>
        <v>0</v>
      </c>
      <c r="AF8" s="134" t="n">
        <f aca="false">SUMIF($X:$X,CONCATENATE($Z8,AF$6),$U:$U)</f>
        <v>0</v>
      </c>
      <c r="AG8" s="135" t="n">
        <f aca="false">SUMIF($X:$X,CONCATENATE($Z8,AG$6),$U:$U)</f>
        <v>0</v>
      </c>
      <c r="AI8" s="143" t="n">
        <f aca="false">EOMONTH(AI7,0)+1</f>
        <v>36220</v>
      </c>
      <c r="AJ8" s="135" t="n">
        <f aca="false">SUM(AA8:AG8)</f>
        <v>0</v>
      </c>
      <c r="AL8" s="92" t="n">
        <v>36586</v>
      </c>
      <c r="AM8" s="0" t="n">
        <v>0.44</v>
      </c>
      <c r="AP8" s="0" t="e">
        <f aca="false">(VLOOKUP(D8,NGPREVPRICES,2,FALSE())+HLOOKUP(C8,PREVCURVES,VLOOKUP(D8,MOVE_DOWN2,2,FALSE()),FALSE()))</f>
        <v>#N/A</v>
      </c>
      <c r="AQ8" s="0" t="e">
        <f aca="false">VLOOKUP(D8,NGPREVPRICES,4,FALSE())</f>
        <v>#N/A</v>
      </c>
      <c r="AR8" s="136" t="e">
        <f aca="false">HLOOKUP(C8,PREVVOLS,VLOOKUP(D8,MOVE_DOWN2,2,FALSE()),FALSE())</f>
        <v>#N/A</v>
      </c>
      <c r="AS8" s="137" t="n">
        <f aca="false">WORKDAY(D8,-3)-$AP$2</f>
        <v>-91</v>
      </c>
      <c r="BB8" s="66"/>
      <c r="BH8" s="117" t="s">
        <v>89</v>
      </c>
      <c r="BI8" s="117" t="s">
        <v>100</v>
      </c>
      <c r="BJ8" s="144" t="n">
        <v>0</v>
      </c>
      <c r="BK8" s="145"/>
      <c r="BL8" s="146" t="n">
        <v>0</v>
      </c>
    </row>
    <row r="9" customFormat="false" ht="12.75" hidden="false" customHeight="false" outlineLevel="0" collapsed="false">
      <c r="A9" s="121" t="s">
        <v>87</v>
      </c>
      <c r="B9" s="122" t="s">
        <v>88</v>
      </c>
      <c r="C9" s="7" t="s">
        <v>74</v>
      </c>
      <c r="D9" s="92" t="n">
        <v>36708</v>
      </c>
      <c r="E9" s="92"/>
      <c r="F9" s="123" t="n">
        <v>150000</v>
      </c>
      <c r="G9" s="43" t="n">
        <v>2.1</v>
      </c>
      <c r="H9" s="43" t="n">
        <v>2.4</v>
      </c>
      <c r="I9" s="124" t="e">
        <f aca="false">VLOOKUP(D9,NGPrices,2,FALSE())</f>
        <v>#N/A</v>
      </c>
      <c r="J9" s="125" t="e">
        <f aca="false">HLOOKUP(C9,Prices,VLOOKUP(D9,move_down,2,FALSE()),FALSE())</f>
        <v>#N/A</v>
      </c>
      <c r="K9" s="2" t="e">
        <f aca="false">J9+I9</f>
        <v>#N/A</v>
      </c>
      <c r="L9" s="126" t="e">
        <f aca="false">VLOOKUP(D9,NGPrices,4,FALSE())</f>
        <v>#N/A</v>
      </c>
      <c r="M9" s="127" t="n">
        <f aca="false">WORKDAY(D9,-3)-B$3</f>
        <v>-62</v>
      </c>
      <c r="N9" s="126"/>
      <c r="O9" s="2" t="e">
        <f aca="false">HLOOKUP(C9,VOLS,VLOOKUP(D9,move_down,2,FALSE()),FALSE())</f>
        <v>#N/A</v>
      </c>
      <c r="P9" s="128"/>
      <c r="Q9" s="129"/>
      <c r="R9" s="92" t="n">
        <f aca="false">WORKDAY(D9,-3)</f>
        <v>36705</v>
      </c>
      <c r="S9" s="130"/>
      <c r="T9" s="142"/>
      <c r="U9" s="131"/>
      <c r="V9" s="132"/>
      <c r="X9" s="0" t="str">
        <f aca="false">D9&amp;C9</f>
        <v>36708IF-HPL/SHPCHAN</v>
      </c>
      <c r="Z9" s="143" t="n">
        <f aca="false">EOMONTH(Z8,0)+1</f>
        <v>36251</v>
      </c>
      <c r="AA9" s="134" t="n">
        <f aca="false">SUMIF($X:$X,CONCATENATE($Z9,AA$6),$U:$U)</f>
        <v>0</v>
      </c>
      <c r="AB9" s="134" t="n">
        <f aca="false">SUMIF($X:$X,CONCATENATE($Z9,AB$6),$U:$U)</f>
        <v>0</v>
      </c>
      <c r="AC9" s="134" t="n">
        <f aca="false">SUMIF($X:$X,CONCATENATE($Z9,AC$6),$U:$U)</f>
        <v>0</v>
      </c>
      <c r="AD9" s="134" t="n">
        <f aca="false">SUMIF($X:$X,CONCATENATE($Z9,AD$6),$U:$U)</f>
        <v>0</v>
      </c>
      <c r="AE9" s="134" t="n">
        <f aca="false">SUMIF($X:$X,CONCATENATE($Z9,AE$6),$U:$U)</f>
        <v>0</v>
      </c>
      <c r="AF9" s="134" t="n">
        <f aca="false">SUMIF($X:$X,CONCATENATE($Z9,AF$6),$U:$U)</f>
        <v>0</v>
      </c>
      <c r="AG9" s="135" t="n">
        <f aca="false">SUMIF($X:$X,CONCATENATE($Z9,AG$6),$U:$U)</f>
        <v>0</v>
      </c>
      <c r="AI9" s="143" t="n">
        <f aca="false">EOMONTH(AI8,0)+1</f>
        <v>36251</v>
      </c>
      <c r="AJ9" s="135" t="n">
        <f aca="false">SUM(AA9:AG9)</f>
        <v>0</v>
      </c>
      <c r="AL9" s="92" t="n">
        <v>36617</v>
      </c>
      <c r="AP9" s="0" t="e">
        <f aca="false">(VLOOKUP(D9,NGPREVPRICES,2,FALSE())+HLOOKUP(C9,PREVCURVES,VLOOKUP(D9,MOVE_DOWN2,2,FALSE()),FALSE()))</f>
        <v>#N/A</v>
      </c>
      <c r="AQ9" s="0" t="e">
        <f aca="false">VLOOKUP(D9,NGPREVPRICES,4,FALSE())</f>
        <v>#N/A</v>
      </c>
      <c r="AR9" s="136" t="e">
        <f aca="false">HLOOKUP(C9,PREVVOLS,VLOOKUP(D9,MOVE_DOWN2,2,FALSE()),FALSE())</f>
        <v>#N/A</v>
      </c>
      <c r="AS9" s="137" t="n">
        <f aca="false">WORKDAY(D9,-3)-$AP$2</f>
        <v>-61</v>
      </c>
      <c r="BB9" s="66"/>
      <c r="BH9" s="147"/>
      <c r="BI9" s="148" t="s">
        <v>101</v>
      </c>
      <c r="BJ9" s="149" t="n">
        <v>0</v>
      </c>
      <c r="BK9" s="150"/>
      <c r="BL9" s="151" t="n">
        <v>0</v>
      </c>
    </row>
    <row r="10" customFormat="false" ht="12.75" hidden="false" customHeight="false" outlineLevel="0" collapsed="false">
      <c r="A10" s="121" t="s">
        <v>87</v>
      </c>
      <c r="B10" s="122" t="s">
        <v>88</v>
      </c>
      <c r="C10" s="7" t="s">
        <v>74</v>
      </c>
      <c r="D10" s="92" t="n">
        <v>36739</v>
      </c>
      <c r="E10" s="92"/>
      <c r="F10" s="123" t="n">
        <v>150000</v>
      </c>
      <c r="G10" s="43" t="n">
        <v>2.1</v>
      </c>
      <c r="H10" s="43" t="n">
        <v>2.4</v>
      </c>
      <c r="I10" s="124" t="e">
        <f aca="false">VLOOKUP(D10,NGPrices,2,FALSE())</f>
        <v>#N/A</v>
      </c>
      <c r="J10" s="125" t="e">
        <f aca="false">HLOOKUP(C10,Prices,VLOOKUP(D10,move_down,2,FALSE()),FALSE())</f>
        <v>#N/A</v>
      </c>
      <c r="K10" s="2" t="e">
        <f aca="false">J10+I10</f>
        <v>#N/A</v>
      </c>
      <c r="L10" s="126" t="e">
        <f aca="false">VLOOKUP(D10,NGPrices,4,FALSE())</f>
        <v>#N/A</v>
      </c>
      <c r="M10" s="127" t="n">
        <f aca="false">WORKDAY(D10,-3)-B$3</f>
        <v>-33</v>
      </c>
      <c r="N10" s="126"/>
      <c r="O10" s="2" t="e">
        <f aca="false">HLOOKUP(C10,VOLS,VLOOKUP(D10,move_down,2,FALSE()),FALSE())</f>
        <v>#N/A</v>
      </c>
      <c r="P10" s="128"/>
      <c r="Q10" s="129"/>
      <c r="R10" s="92" t="n">
        <f aca="false">WORKDAY(D10,-3)</f>
        <v>36734</v>
      </c>
      <c r="S10" s="130"/>
      <c r="T10" s="142"/>
      <c r="U10" s="131"/>
      <c r="V10" s="132"/>
      <c r="X10" s="0" t="str">
        <f aca="false">D10&amp;C10</f>
        <v>36739IF-HPL/SHPCHAN</v>
      </c>
      <c r="Z10" s="143" t="n">
        <f aca="false">EOMONTH(Z9,0)+1</f>
        <v>36281</v>
      </c>
      <c r="AA10" s="134" t="n">
        <f aca="false">SUMIF($X:$X,CONCATENATE($Z10,AA$6),$U:$U)</f>
        <v>0</v>
      </c>
      <c r="AB10" s="134" t="n">
        <f aca="false">SUMIF($X:$X,CONCATENATE($Z10,AB$6),$U:$U)</f>
        <v>0</v>
      </c>
      <c r="AC10" s="134" t="n">
        <f aca="false">SUMIF($X:$X,CONCATENATE($Z10,AC$6),$U:$U)</f>
        <v>0</v>
      </c>
      <c r="AD10" s="134" t="n">
        <f aca="false">SUMIF($X:$X,CONCATENATE($Z10,AD$6),$U:$U)</f>
        <v>0</v>
      </c>
      <c r="AE10" s="134" t="n">
        <f aca="false">SUMIF($X:$X,CONCATENATE($Z10,AE$6),$U:$U)</f>
        <v>0</v>
      </c>
      <c r="AF10" s="134" t="n">
        <f aca="false">SUMIF($X:$X,CONCATENATE($Z10,AF$6),$U:$U)</f>
        <v>0</v>
      </c>
      <c r="AG10" s="135" t="n">
        <f aca="false">SUMIF($X:$X,CONCATENATE($Z10,AG$6),$U:$U)</f>
        <v>0</v>
      </c>
      <c r="AI10" s="143" t="n">
        <f aca="false">EOMONTH(AI9,0)+1</f>
        <v>36281</v>
      </c>
      <c r="AJ10" s="135" t="n">
        <f aca="false">SUM(AA10:AG10)</f>
        <v>0</v>
      </c>
      <c r="AL10" s="92" t="n">
        <v>36647</v>
      </c>
      <c r="AP10" s="0" t="e">
        <f aca="false">(VLOOKUP(D10,NGPREVPRICES,2,FALSE())+HLOOKUP(C10,PREVCURVES,VLOOKUP(D10,MOVE_DOWN2,2,FALSE()),FALSE()))</f>
        <v>#N/A</v>
      </c>
      <c r="AQ10" s="0" t="e">
        <f aca="false">VLOOKUP(D10,NGPREVPRICES,4,FALSE())</f>
        <v>#N/A</v>
      </c>
      <c r="AR10" s="136" t="e">
        <f aca="false">HLOOKUP(C10,PREVVOLS,VLOOKUP(D10,MOVE_DOWN2,2,FALSE()),FALSE())</f>
        <v>#N/A</v>
      </c>
      <c r="AS10" s="137" t="n">
        <f aca="false">WORKDAY(D10,-3)-$AP$2</f>
        <v>-32</v>
      </c>
      <c r="BB10" s="66"/>
      <c r="BH10" s="147"/>
      <c r="BI10" s="148" t="s">
        <v>102</v>
      </c>
      <c r="BJ10" s="149" t="n">
        <v>0</v>
      </c>
      <c r="BK10" s="150"/>
      <c r="BL10" s="151" t="n">
        <v>0</v>
      </c>
    </row>
    <row r="11" customFormat="false" ht="12.75" hidden="false" customHeight="false" outlineLevel="0" collapsed="false">
      <c r="A11" s="121" t="s">
        <v>87</v>
      </c>
      <c r="B11" s="122" t="s">
        <v>88</v>
      </c>
      <c r="C11" s="7" t="s">
        <v>74</v>
      </c>
      <c r="D11" s="92" t="n">
        <v>36770</v>
      </c>
      <c r="E11" s="92"/>
      <c r="F11" s="123" t="n">
        <v>150000</v>
      </c>
      <c r="G11" s="43" t="n">
        <v>2.1</v>
      </c>
      <c r="H11" s="43" t="n">
        <v>2.4</v>
      </c>
      <c r="I11" s="124" t="n">
        <f aca="false">VLOOKUP(D11,NGPrices,2,FALSE())</f>
        <v>4.685</v>
      </c>
      <c r="J11" s="125" t="n">
        <f aca="false">HLOOKUP(C11,Prices,VLOOKUP(D11,move_down,2,FALSE()),FALSE())</f>
        <v>0</v>
      </c>
      <c r="K11" s="2" t="n">
        <f aca="false">J11+I11</f>
        <v>4.685</v>
      </c>
      <c r="L11" s="126" t="n">
        <f aca="false">VLOOKUP(D11,NGPrices,4,FALSE())</f>
        <v>0.067216196212185</v>
      </c>
      <c r="M11" s="127" t="n">
        <f aca="false">WORKDAY(D11,-3)-B$3</f>
        <v>0</v>
      </c>
      <c r="N11" s="126"/>
      <c r="O11" s="2" t="n">
        <f aca="false">HLOOKUP(C11,VOLS,VLOOKUP(D11,move_down,2,FALSE()),FALSE())</f>
        <v>0.4</v>
      </c>
      <c r="P11" s="128"/>
      <c r="Q11" s="129"/>
      <c r="R11" s="92" t="n">
        <f aca="false">WORKDAY(D11,-3)</f>
        <v>36767</v>
      </c>
      <c r="S11" s="130"/>
      <c r="T11" s="142"/>
      <c r="U11" s="131"/>
      <c r="V11" s="132"/>
      <c r="X11" s="0" t="str">
        <f aca="false">D11&amp;C11</f>
        <v>36770IF-HPL/SHPCHAN</v>
      </c>
      <c r="Z11" s="143" t="n">
        <f aca="false">EOMONTH(Z10,0)+1</f>
        <v>36312</v>
      </c>
      <c r="AA11" s="134" t="n">
        <f aca="false">SUMIF($X:$X,CONCATENATE($Z11,AA$6),$U:$U)</f>
        <v>0</v>
      </c>
      <c r="AB11" s="134" t="n">
        <f aca="false">SUMIF($X:$X,CONCATENATE($Z11,AB$6),$U:$U)</f>
        <v>0</v>
      </c>
      <c r="AC11" s="134" t="n">
        <f aca="false">SUMIF($X:$X,CONCATENATE($Z11,AC$6),$U:$U)</f>
        <v>0</v>
      </c>
      <c r="AD11" s="134" t="n">
        <f aca="false">SUMIF($X:$X,CONCATENATE($Z11,AD$6),$U:$U)</f>
        <v>0</v>
      </c>
      <c r="AE11" s="134" t="n">
        <f aca="false">SUMIF($X:$X,CONCATENATE($Z11,AE$6),$U:$U)</f>
        <v>0</v>
      </c>
      <c r="AF11" s="134" t="n">
        <f aca="false">SUMIF($X:$X,CONCATENATE($Z11,AF$6),$U:$U)</f>
        <v>0</v>
      </c>
      <c r="AG11" s="135" t="n">
        <f aca="false">SUMIF($X:$X,CONCATENATE($Z11,AG$6),$U:$U)</f>
        <v>0</v>
      </c>
      <c r="AI11" s="143" t="n">
        <f aca="false">EOMONTH(AI10,0)+1</f>
        <v>36312</v>
      </c>
      <c r="AJ11" s="135" t="n">
        <f aca="false">SUM(AA11:AG11)</f>
        <v>0</v>
      </c>
      <c r="AL11" s="92" t="n">
        <v>36678</v>
      </c>
      <c r="AP11" s="0" t="n">
        <f aca="false">(VLOOKUP(D11,NGPREVPRICES,2,FALSE())+HLOOKUP(C11,PREVCURVES,VLOOKUP(D11,MOVE_DOWN2,2,FALSE()),FALSE()))</f>
        <v>4.685</v>
      </c>
      <c r="AQ11" s="0" t="n">
        <f aca="false">VLOOKUP(D11,NGPREVPRICES,4,FALSE())</f>
        <v>0.067216196212185</v>
      </c>
      <c r="AR11" s="136" t="n">
        <f aca="false">HLOOKUP(C11,PREVVOLS,VLOOKUP(D11,MOVE_DOWN2,2,FALSE()),FALSE())</f>
        <v>0.4</v>
      </c>
      <c r="AS11" s="137" t="n">
        <f aca="false">WORKDAY(D11,-3)-$AP$2</f>
        <v>1</v>
      </c>
      <c r="BB11" s="66"/>
      <c r="BH11" s="147"/>
      <c r="BI11" s="148" t="s">
        <v>103</v>
      </c>
      <c r="BJ11" s="149" t="n">
        <v>0</v>
      </c>
      <c r="BK11" s="150"/>
      <c r="BL11" s="151" t="n">
        <v>0</v>
      </c>
    </row>
    <row r="12" customFormat="false" ht="12.75" hidden="false" customHeight="false" outlineLevel="0" collapsed="false">
      <c r="A12" s="121" t="s">
        <v>87</v>
      </c>
      <c r="B12" s="122" t="s">
        <v>88</v>
      </c>
      <c r="C12" s="7" t="s">
        <v>74</v>
      </c>
      <c r="D12" s="92" t="n">
        <v>36800</v>
      </c>
      <c r="E12" s="92"/>
      <c r="F12" s="123" t="n">
        <v>150000</v>
      </c>
      <c r="G12" s="43" t="n">
        <v>2.1</v>
      </c>
      <c r="H12" s="43" t="n">
        <v>2.4</v>
      </c>
      <c r="I12" s="124" t="n">
        <f aca="false">VLOOKUP(D12,NGPrices,2,FALSE())</f>
        <v>4.692</v>
      </c>
      <c r="J12" s="125" t="n">
        <f aca="false">HLOOKUP(C12,Prices,VLOOKUP(D12,move_down,2,FALSE()),FALSE())</f>
        <v>-0.01</v>
      </c>
      <c r="K12" s="2" t="n">
        <f aca="false">J12+I12</f>
        <v>4.682</v>
      </c>
      <c r="L12" s="126" t="n">
        <f aca="false">VLOOKUP(D12,NGPrices,4,FALSE())</f>
        <v>0.068050789414654</v>
      </c>
      <c r="M12" s="127" t="n">
        <f aca="false">WORKDAY(D12,-3)-B$3</f>
        <v>29</v>
      </c>
      <c r="N12" s="126"/>
      <c r="O12" s="2" t="n">
        <f aca="false">HLOOKUP(C12,VOLS,VLOOKUP(D12,move_down,2,FALSE()),FALSE())</f>
        <v>0.575</v>
      </c>
      <c r="P12" s="128"/>
      <c r="Q12" s="129"/>
      <c r="R12" s="92" t="n">
        <f aca="false">WORKDAY(D12,-3)</f>
        <v>36796</v>
      </c>
      <c r="S12" s="130"/>
      <c r="T12" s="142"/>
      <c r="U12" s="131"/>
      <c r="V12" s="132"/>
      <c r="X12" s="0" t="str">
        <f aca="false">D12&amp;C12</f>
        <v>36800IF-HPL/SHPCHAN</v>
      </c>
      <c r="Z12" s="143" t="n">
        <f aca="false">EOMONTH(Z11,0)+1</f>
        <v>36342</v>
      </c>
      <c r="AA12" s="134" t="n">
        <f aca="false">SUMIF($X:$X,CONCATENATE($Z12,AA$6),$U:$U)</f>
        <v>0</v>
      </c>
      <c r="AB12" s="134" t="n">
        <f aca="false">SUMIF($X:$X,CONCATENATE($Z12,AB$6),$U:$U)</f>
        <v>0</v>
      </c>
      <c r="AC12" s="134" t="n">
        <f aca="false">SUMIF($X:$X,CONCATENATE($Z12,AC$6),$U:$U)</f>
        <v>0</v>
      </c>
      <c r="AD12" s="134" t="n">
        <f aca="false">SUMIF($X:$X,CONCATENATE($Z12,AD$6),$U:$U)</f>
        <v>0</v>
      </c>
      <c r="AE12" s="134" t="n">
        <f aca="false">SUMIF($X:$X,CONCATENATE($Z12,AE$6),$U:$U)</f>
        <v>0</v>
      </c>
      <c r="AF12" s="134" t="n">
        <f aca="false">SUMIF($X:$X,CONCATENATE($Z12,AF$6),$U:$U)</f>
        <v>0</v>
      </c>
      <c r="AG12" s="135" t="n">
        <f aca="false">SUMIF($X:$X,CONCATENATE($Z12,AG$6),$U:$U)</f>
        <v>0</v>
      </c>
      <c r="AI12" s="143" t="n">
        <f aca="false">EOMONTH(AI11,0)+1</f>
        <v>36342</v>
      </c>
      <c r="AJ12" s="135" t="n">
        <f aca="false">SUM(AA12:AG12)</f>
        <v>0</v>
      </c>
      <c r="AL12" s="92" t="n">
        <v>36708</v>
      </c>
      <c r="AP12" s="0" t="n">
        <f aca="false">(VLOOKUP(D12,NGPREVPRICES,2,FALSE())+HLOOKUP(C12,PREVCURVES,VLOOKUP(D12,MOVE_DOWN2,2,FALSE()),FALSE()))</f>
        <v>4.682</v>
      </c>
      <c r="AQ12" s="0" t="n">
        <f aca="false">VLOOKUP(D12,NGPREVPRICES,4,FALSE())</f>
        <v>0.068050789414654</v>
      </c>
      <c r="AR12" s="136" t="n">
        <f aca="false">HLOOKUP(C12,PREVVOLS,VLOOKUP(D12,MOVE_DOWN2,2,FALSE()),FALSE())</f>
        <v>0.575</v>
      </c>
      <c r="AS12" s="137" t="n">
        <f aca="false">WORKDAY(D12,-3)-$AP$2</f>
        <v>30</v>
      </c>
      <c r="BB12" s="66"/>
      <c r="BH12" s="147"/>
      <c r="BI12" s="148" t="s">
        <v>104</v>
      </c>
      <c r="BJ12" s="149" t="n">
        <v>0</v>
      </c>
      <c r="BK12" s="150"/>
      <c r="BL12" s="151" t="n">
        <v>0</v>
      </c>
    </row>
    <row r="13" customFormat="false" ht="12.75" hidden="false" customHeight="false" outlineLevel="0" collapsed="false">
      <c r="A13" s="121" t="s">
        <v>87</v>
      </c>
      <c r="B13" s="122" t="s">
        <v>105</v>
      </c>
      <c r="C13" s="7" t="s">
        <v>74</v>
      </c>
      <c r="D13" s="92" t="n">
        <v>36647</v>
      </c>
      <c r="E13" s="92" t="n">
        <f aca="false">+WORKDAY(D13,-6)</f>
        <v>36637</v>
      </c>
      <c r="F13" s="123" t="n">
        <v>150000</v>
      </c>
      <c r="G13" s="43" t="n">
        <v>2.1</v>
      </c>
      <c r="H13" s="43" t="n">
        <v>2.4</v>
      </c>
      <c r="I13" s="124" t="e">
        <f aca="false">VLOOKUP(D13,NGPrices,2,FALSE())</f>
        <v>#N/A</v>
      </c>
      <c r="J13" s="125" t="e">
        <f aca="false">HLOOKUP(C13,Prices,VLOOKUP(D13,move_down,2,FALSE()),FALSE())</f>
        <v>#N/A</v>
      </c>
      <c r="K13" s="2" t="e">
        <f aca="false">J13+I13</f>
        <v>#N/A</v>
      </c>
      <c r="L13" s="126" t="e">
        <f aca="false">VLOOKUP(D13,NGPrices,4,FALSE())</f>
        <v>#N/A</v>
      </c>
      <c r="M13" s="127" t="n">
        <f aca="false">WORKDAY(D13,-3)-B$3</f>
        <v>-125</v>
      </c>
      <c r="N13" s="126" t="n">
        <v>0</v>
      </c>
      <c r="O13" s="2" t="e">
        <f aca="false">HLOOKUP(C13,VOLS,VLOOKUP(D13,move_down,2,FALSE()),FALSE())</f>
        <v>#N/A</v>
      </c>
      <c r="P13" s="128" t="n">
        <v>0.26</v>
      </c>
      <c r="Q13" s="129" t="n">
        <v>0.001</v>
      </c>
      <c r="R13" s="92" t="n">
        <f aca="false">WORKDAY(D13,-3)</f>
        <v>36642</v>
      </c>
      <c r="S13" s="130"/>
      <c r="T13" s="126"/>
      <c r="U13" s="131"/>
      <c r="V13" s="132"/>
      <c r="X13" s="0" t="str">
        <f aca="false">D13&amp;C13</f>
        <v>36647IF-HPL/SHPCHAN</v>
      </c>
      <c r="Z13" s="143" t="n">
        <f aca="false">EOMONTH(Z12,0)+1</f>
        <v>36373</v>
      </c>
      <c r="AA13" s="134" t="n">
        <f aca="false">SUMIF($X:$X,CONCATENATE($Z13,AA$6),$U:$U)</f>
        <v>0</v>
      </c>
      <c r="AB13" s="134" t="n">
        <f aca="false">SUMIF($X:$X,CONCATENATE($Z13,AB$6),$U:$U)</f>
        <v>0</v>
      </c>
      <c r="AC13" s="134" t="n">
        <f aca="false">SUMIF($X:$X,CONCATENATE($Z13,AC$6),$U:$U)</f>
        <v>0</v>
      </c>
      <c r="AD13" s="134" t="n">
        <f aca="false">SUMIF($X:$X,CONCATENATE($Z13,AD$6),$U:$U)</f>
        <v>0</v>
      </c>
      <c r="AE13" s="134" t="n">
        <f aca="false">SUMIF($X:$X,CONCATENATE($Z13,AE$6),$U:$U)</f>
        <v>0</v>
      </c>
      <c r="AF13" s="134" t="n">
        <f aca="false">SUMIF($X:$X,CONCATENATE($Z13,AF$6),$U:$U)</f>
        <v>0</v>
      </c>
      <c r="AG13" s="135" t="n">
        <f aca="false">SUMIF($X:$X,CONCATENATE($Z13,AG$6),$U:$U)</f>
        <v>0</v>
      </c>
      <c r="AI13" s="143" t="n">
        <f aca="false">EOMONTH(AI12,0)+1</f>
        <v>36373</v>
      </c>
      <c r="AJ13" s="135" t="n">
        <f aca="false">SUM(AA13:AG13)</f>
        <v>0</v>
      </c>
      <c r="AL13" s="92" t="n">
        <v>36739</v>
      </c>
      <c r="AP13" s="0" t="e">
        <f aca="false">(VLOOKUP(D13,NGPREVPRICES,2,FALSE())+HLOOKUP(C13,PREVCURVES,VLOOKUP(D13,MOVE_DOWN2,2,FALSE()),FALSE()))</f>
        <v>#N/A</v>
      </c>
      <c r="AQ13" s="0" t="e">
        <f aca="false">VLOOKUP(D13,NGPREVPRICES,4,FALSE())</f>
        <v>#N/A</v>
      </c>
      <c r="AR13" s="136" t="e">
        <f aca="false">HLOOKUP(C13,PREVVOLS,VLOOKUP(D13,MOVE_DOWN2,2,FALSE()),FALSE())</f>
        <v>#N/A</v>
      </c>
      <c r="AS13" s="137" t="n">
        <f aca="false">WORKDAY(D13,-3)-$AP$2</f>
        <v>-124</v>
      </c>
      <c r="AT13" s="0" t="s">
        <v>89</v>
      </c>
      <c r="AU13" s="0" t="str">
        <f aca="false">C13</f>
        <v>IF-HPL/SHPCHAN</v>
      </c>
      <c r="AV13" s="138"/>
      <c r="AW13" s="138"/>
      <c r="AX13" s="139"/>
      <c r="AY13" s="138"/>
      <c r="AZ13" s="138"/>
      <c r="BA13" s="137"/>
      <c r="BB13" s="140"/>
      <c r="BH13" s="117" t="s">
        <v>98</v>
      </c>
      <c r="BI13" s="117" t="s">
        <v>100</v>
      </c>
      <c r="BJ13" s="144"/>
      <c r="BK13" s="145"/>
      <c r="BL13" s="146"/>
    </row>
    <row r="14" customFormat="false" ht="12.75" hidden="false" customHeight="false" outlineLevel="0" collapsed="false">
      <c r="A14" s="121" t="s">
        <v>87</v>
      </c>
      <c r="B14" s="122" t="s">
        <v>105</v>
      </c>
      <c r="C14" s="7" t="s">
        <v>74</v>
      </c>
      <c r="D14" s="92" t="n">
        <v>36678</v>
      </c>
      <c r="E14" s="92"/>
      <c r="F14" s="123" t="n">
        <v>150000</v>
      </c>
      <c r="G14" s="43" t="n">
        <v>2.1</v>
      </c>
      <c r="H14" s="43" t="n">
        <v>2.4</v>
      </c>
      <c r="I14" s="124" t="e">
        <f aca="false">VLOOKUP(D14,NGPrices,2,FALSE())</f>
        <v>#N/A</v>
      </c>
      <c r="J14" s="125" t="e">
        <f aca="false">HLOOKUP(C14,Prices,VLOOKUP(D14,move_down,2,FALSE()),FALSE())</f>
        <v>#N/A</v>
      </c>
      <c r="K14" s="2" t="e">
        <f aca="false">J14+I14</f>
        <v>#N/A</v>
      </c>
      <c r="L14" s="126" t="e">
        <f aca="false">VLOOKUP(D14,NGPrices,4,FALSE())</f>
        <v>#N/A</v>
      </c>
      <c r="M14" s="127" t="n">
        <f aca="false">WORKDAY(D14,-3)-B$3</f>
        <v>-92</v>
      </c>
      <c r="N14" s="126"/>
      <c r="O14" s="2" t="e">
        <f aca="false">HLOOKUP(C14,VOLS,VLOOKUP(D14,move_down,2,FALSE()),FALSE())</f>
        <v>#N/A</v>
      </c>
      <c r="P14" s="128"/>
      <c r="Q14" s="129"/>
      <c r="R14" s="92" t="n">
        <f aca="false">WORKDAY(D14,-3)</f>
        <v>36675</v>
      </c>
      <c r="S14" s="130"/>
      <c r="T14" s="142"/>
      <c r="U14" s="131"/>
      <c r="V14" s="132"/>
      <c r="X14" s="0" t="str">
        <f aca="false">D14&amp;C14</f>
        <v>36678IF-HPL/SHPCHAN</v>
      </c>
      <c r="Z14" s="143" t="n">
        <f aca="false">EOMONTH(Z13,0)+1</f>
        <v>36404</v>
      </c>
      <c r="AA14" s="134" t="n">
        <f aca="false">SUMIF($X:$X,CONCATENATE($Z14,AA$6),$U:$U)</f>
        <v>0</v>
      </c>
      <c r="AB14" s="134" t="n">
        <f aca="false">SUMIF($X:$X,CONCATENATE($Z14,AB$6),$U:$U)</f>
        <v>0</v>
      </c>
      <c r="AC14" s="134" t="n">
        <f aca="false">SUMIF($X:$X,CONCATENATE($Z14,AC$6),$U:$U)</f>
        <v>0</v>
      </c>
      <c r="AD14" s="134" t="n">
        <f aca="false">SUMIF($X:$X,CONCATENATE($Z14,AD$6),$U:$U)</f>
        <v>0</v>
      </c>
      <c r="AE14" s="134" t="n">
        <f aca="false">SUMIF($X:$X,CONCATENATE($Z14,AE$6),$U:$U)</f>
        <v>0</v>
      </c>
      <c r="AF14" s="134" t="n">
        <f aca="false">SUMIF($X:$X,CONCATENATE($Z14,AF$6),$U:$U)</f>
        <v>0</v>
      </c>
      <c r="AG14" s="135" t="n">
        <f aca="false">SUMIF($X:$X,CONCATENATE($Z14,AG$6),$U:$U)</f>
        <v>0</v>
      </c>
      <c r="AI14" s="143" t="n">
        <f aca="false">EOMONTH(AI13,0)+1</f>
        <v>36404</v>
      </c>
      <c r="AJ14" s="135" t="n">
        <f aca="false">SUM(AA14:AG14)</f>
        <v>0</v>
      </c>
      <c r="AL14" s="92" t="n">
        <v>36770</v>
      </c>
      <c r="AP14" s="0" t="e">
        <f aca="false">(VLOOKUP(D14,NGPREVPRICES,2,FALSE())+HLOOKUP(C14,PREVCURVES,VLOOKUP(D14,MOVE_DOWN2,2,FALSE()),FALSE()))</f>
        <v>#N/A</v>
      </c>
      <c r="AQ14" s="0" t="e">
        <f aca="false">VLOOKUP(D14,NGPREVPRICES,4,FALSE())</f>
        <v>#N/A</v>
      </c>
      <c r="AR14" s="136" t="e">
        <f aca="false">HLOOKUP(C14,PREVVOLS,VLOOKUP(D14,MOVE_DOWN2,2,FALSE()),FALSE())</f>
        <v>#N/A</v>
      </c>
      <c r="AS14" s="137" t="n">
        <f aca="false">WORKDAY(D14,-3)-$AP$2</f>
        <v>-91</v>
      </c>
      <c r="BB14" s="66"/>
      <c r="BH14" s="147"/>
      <c r="BI14" s="148" t="s">
        <v>101</v>
      </c>
      <c r="BJ14" s="149"/>
      <c r="BK14" s="150"/>
      <c r="BL14" s="151"/>
    </row>
    <row r="15" customFormat="false" ht="12.75" hidden="false" customHeight="false" outlineLevel="0" collapsed="false">
      <c r="A15" s="121" t="s">
        <v>87</v>
      </c>
      <c r="B15" s="122" t="s">
        <v>105</v>
      </c>
      <c r="C15" s="7" t="s">
        <v>74</v>
      </c>
      <c r="D15" s="92" t="n">
        <v>36708</v>
      </c>
      <c r="E15" s="92"/>
      <c r="F15" s="123" t="n">
        <v>150000</v>
      </c>
      <c r="G15" s="43" t="n">
        <v>2.1</v>
      </c>
      <c r="H15" s="43" t="n">
        <v>2.4</v>
      </c>
      <c r="I15" s="124" t="e">
        <f aca="false">VLOOKUP(D15,NGPrices,2,FALSE())</f>
        <v>#N/A</v>
      </c>
      <c r="J15" s="125" t="e">
        <f aca="false">HLOOKUP(C15,Prices,VLOOKUP(D15,move_down,2,FALSE()),FALSE())</f>
        <v>#N/A</v>
      </c>
      <c r="K15" s="2" t="e">
        <f aca="false">J15+I15</f>
        <v>#N/A</v>
      </c>
      <c r="L15" s="126" t="e">
        <f aca="false">VLOOKUP(D15,NGPrices,4,FALSE())</f>
        <v>#N/A</v>
      </c>
      <c r="M15" s="127" t="n">
        <f aca="false">WORKDAY(D15,-3)-B$3</f>
        <v>-62</v>
      </c>
      <c r="N15" s="126"/>
      <c r="O15" s="2" t="e">
        <f aca="false">HLOOKUP(C15,VOLS,VLOOKUP(D15,move_down,2,FALSE()),FALSE())</f>
        <v>#N/A</v>
      </c>
      <c r="P15" s="128"/>
      <c r="Q15" s="129"/>
      <c r="R15" s="92" t="n">
        <f aca="false">WORKDAY(D15,-3)</f>
        <v>36705</v>
      </c>
      <c r="S15" s="130"/>
      <c r="T15" s="142"/>
      <c r="U15" s="131"/>
      <c r="V15" s="132"/>
      <c r="X15" s="0" t="str">
        <f aca="false">D15&amp;C15</f>
        <v>36708IF-HPL/SHPCHAN</v>
      </c>
      <c r="Z15" s="143" t="n">
        <f aca="false">EOMONTH(Z14,0)+1</f>
        <v>36434</v>
      </c>
      <c r="AA15" s="134" t="n">
        <f aca="false">SUMIF($X:$X,CONCATENATE($Z15,AA$6),$U:$U)</f>
        <v>0</v>
      </c>
      <c r="AB15" s="134" t="n">
        <f aca="false">SUMIF($X:$X,CONCATENATE($Z15,AB$6),$U:$U)</f>
        <v>0</v>
      </c>
      <c r="AC15" s="134" t="n">
        <f aca="false">SUMIF($X:$X,CONCATENATE($Z15,AC$6),$U:$U)</f>
        <v>0</v>
      </c>
      <c r="AD15" s="134" t="n">
        <f aca="false">SUMIF($X:$X,CONCATENATE($Z15,AD$6),$U:$U)</f>
        <v>0</v>
      </c>
      <c r="AE15" s="134" t="n">
        <f aca="false">SUMIF($X:$X,CONCATENATE($Z15,AE$6),$U:$U)</f>
        <v>0</v>
      </c>
      <c r="AF15" s="134" t="n">
        <f aca="false">SUMIF($X:$X,CONCATENATE($Z15,AF$6),$U:$U)</f>
        <v>0</v>
      </c>
      <c r="AG15" s="135" t="n">
        <f aca="false">SUMIF($X:$X,CONCATENATE($Z15,AG$6),$U:$U)</f>
        <v>0</v>
      </c>
      <c r="AI15" s="143" t="n">
        <f aca="false">EOMONTH(AI14,0)+1</f>
        <v>36434</v>
      </c>
      <c r="AJ15" s="135" t="n">
        <f aca="false">SUM(AA15:AG15)</f>
        <v>0</v>
      </c>
      <c r="AL15" s="92" t="n">
        <v>36800</v>
      </c>
      <c r="AP15" s="0" t="e">
        <f aca="false">(VLOOKUP(D15,NGPREVPRICES,2,FALSE())+HLOOKUP(C15,PREVCURVES,VLOOKUP(D15,MOVE_DOWN2,2,FALSE()),FALSE()))</f>
        <v>#N/A</v>
      </c>
      <c r="AQ15" s="0" t="e">
        <f aca="false">VLOOKUP(D15,NGPREVPRICES,4,FALSE())</f>
        <v>#N/A</v>
      </c>
      <c r="AR15" s="136" t="e">
        <f aca="false">HLOOKUP(C15,PREVVOLS,VLOOKUP(D15,MOVE_DOWN2,2,FALSE()),FALSE())</f>
        <v>#N/A</v>
      </c>
      <c r="AS15" s="137" t="n">
        <f aca="false">WORKDAY(D15,-3)-$AP$2</f>
        <v>-61</v>
      </c>
      <c r="BB15" s="66"/>
      <c r="BH15" s="147"/>
      <c r="BI15" s="148" t="s">
        <v>102</v>
      </c>
      <c r="BJ15" s="149"/>
      <c r="BK15" s="150"/>
      <c r="BL15" s="151"/>
    </row>
    <row r="16" customFormat="false" ht="12.75" hidden="false" customHeight="false" outlineLevel="0" collapsed="false">
      <c r="A16" s="121" t="s">
        <v>87</v>
      </c>
      <c r="B16" s="122" t="s">
        <v>105</v>
      </c>
      <c r="C16" s="7" t="s">
        <v>74</v>
      </c>
      <c r="D16" s="92" t="n">
        <v>36739</v>
      </c>
      <c r="E16" s="92"/>
      <c r="F16" s="123" t="n">
        <v>150000</v>
      </c>
      <c r="G16" s="43" t="n">
        <v>2.1</v>
      </c>
      <c r="H16" s="43" t="n">
        <v>2.4</v>
      </c>
      <c r="I16" s="124" t="e">
        <f aca="false">VLOOKUP(D16,NGPrices,2,FALSE())</f>
        <v>#N/A</v>
      </c>
      <c r="J16" s="125" t="e">
        <f aca="false">HLOOKUP(C16,Prices,VLOOKUP(D16,move_down,2,FALSE()),FALSE())</f>
        <v>#N/A</v>
      </c>
      <c r="K16" s="2" t="e">
        <f aca="false">J16+I16</f>
        <v>#N/A</v>
      </c>
      <c r="L16" s="126" t="e">
        <f aca="false">VLOOKUP(D16,NGPrices,4,FALSE())</f>
        <v>#N/A</v>
      </c>
      <c r="M16" s="127" t="n">
        <f aca="false">WORKDAY(D16,-3)-B$3</f>
        <v>-33</v>
      </c>
      <c r="N16" s="126"/>
      <c r="O16" s="2" t="e">
        <f aca="false">HLOOKUP(C16,VOLS,VLOOKUP(D16,move_down,2,FALSE()),FALSE())</f>
        <v>#N/A</v>
      </c>
      <c r="P16" s="128"/>
      <c r="Q16" s="129"/>
      <c r="R16" s="92" t="n">
        <f aca="false">WORKDAY(D16,-3)</f>
        <v>36734</v>
      </c>
      <c r="S16" s="130"/>
      <c r="T16" s="142"/>
      <c r="U16" s="131"/>
      <c r="V16" s="132"/>
      <c r="X16" s="0" t="str">
        <f aca="false">D16&amp;C16</f>
        <v>36739IF-HPL/SHPCHAN</v>
      </c>
      <c r="Z16" s="143" t="n">
        <f aca="false">EOMONTH(Z15,0)+1</f>
        <v>36465</v>
      </c>
      <c r="AA16" s="134" t="n">
        <f aca="false">SUMIF($X:$X,CONCATENATE($Z16,AA$6),$U:$U)</f>
        <v>0</v>
      </c>
      <c r="AB16" s="134" t="n">
        <f aca="false">SUMIF($X:$X,CONCATENATE($Z16,AB$6),$U:$U)</f>
        <v>0</v>
      </c>
      <c r="AC16" s="134" t="n">
        <f aca="false">SUMIF($X:$X,CONCATENATE($Z16,AC$6),$U:$U)</f>
        <v>0</v>
      </c>
      <c r="AD16" s="134" t="n">
        <f aca="false">SUMIF($X:$X,CONCATENATE($Z16,AD$6),$U:$U)</f>
        <v>0</v>
      </c>
      <c r="AE16" s="134" t="n">
        <f aca="false">SUMIF($X:$X,CONCATENATE($Z16,AE$6),$U:$U)</f>
        <v>0</v>
      </c>
      <c r="AF16" s="134" t="n">
        <f aca="false">SUMIF($X:$X,CONCATENATE($Z16,AF$6),$U:$U)</f>
        <v>0</v>
      </c>
      <c r="AG16" s="135" t="n">
        <f aca="false">SUMIF($X:$X,CONCATENATE($Z16,AG$6),$U:$U)</f>
        <v>0</v>
      </c>
      <c r="AI16" s="143" t="n">
        <f aca="false">EOMONTH(AI15,0)+1</f>
        <v>36465</v>
      </c>
      <c r="AJ16" s="135" t="n">
        <f aca="false">SUM(AA16:AG16)</f>
        <v>0</v>
      </c>
      <c r="AP16" s="0" t="e">
        <f aca="false">(VLOOKUP(D16,NGPREVPRICES,2,FALSE())+HLOOKUP(C16,PREVCURVES,VLOOKUP(D16,MOVE_DOWN2,2,FALSE()),FALSE()))</f>
        <v>#N/A</v>
      </c>
      <c r="AQ16" s="0" t="e">
        <f aca="false">VLOOKUP(D16,NGPREVPRICES,4,FALSE())</f>
        <v>#N/A</v>
      </c>
      <c r="AR16" s="136" t="e">
        <f aca="false">HLOOKUP(C16,PREVVOLS,VLOOKUP(D16,MOVE_DOWN2,2,FALSE()),FALSE())</f>
        <v>#N/A</v>
      </c>
      <c r="AS16" s="137" t="n">
        <f aca="false">WORKDAY(D16,-3)-$AP$2</f>
        <v>-32</v>
      </c>
      <c r="BB16" s="66"/>
      <c r="BH16" s="147"/>
      <c r="BI16" s="148" t="s">
        <v>103</v>
      </c>
      <c r="BJ16" s="149"/>
      <c r="BK16" s="150"/>
      <c r="BL16" s="151"/>
    </row>
    <row r="17" customFormat="false" ht="12.75" hidden="false" customHeight="false" outlineLevel="0" collapsed="false">
      <c r="A17" s="121" t="s">
        <v>87</v>
      </c>
      <c r="B17" s="122" t="s">
        <v>105</v>
      </c>
      <c r="C17" s="7" t="s">
        <v>74</v>
      </c>
      <c r="D17" s="92" t="n">
        <v>36770</v>
      </c>
      <c r="E17" s="92"/>
      <c r="F17" s="123" t="n">
        <v>150000</v>
      </c>
      <c r="G17" s="43" t="n">
        <v>2.1</v>
      </c>
      <c r="H17" s="43" t="n">
        <v>2.4</v>
      </c>
      <c r="I17" s="124" t="n">
        <f aca="false">VLOOKUP(D17,NGPrices,2,FALSE())</f>
        <v>4.685</v>
      </c>
      <c r="J17" s="125" t="n">
        <f aca="false">HLOOKUP(C17,Prices,VLOOKUP(D17,move_down,2,FALSE()),FALSE())</f>
        <v>0</v>
      </c>
      <c r="K17" s="2" t="n">
        <f aca="false">J17+I17</f>
        <v>4.685</v>
      </c>
      <c r="L17" s="126" t="n">
        <f aca="false">VLOOKUP(D17,NGPrices,4,FALSE())</f>
        <v>0.067216196212185</v>
      </c>
      <c r="M17" s="127" t="n">
        <f aca="false">WORKDAY(D17,-3)-B$3</f>
        <v>0</v>
      </c>
      <c r="N17" s="126"/>
      <c r="O17" s="2" t="n">
        <f aca="false">HLOOKUP(C17,VOLS,VLOOKUP(D17,move_down,2,FALSE()),FALSE())</f>
        <v>0.4</v>
      </c>
      <c r="P17" s="128"/>
      <c r="Q17" s="129"/>
      <c r="R17" s="92" t="n">
        <f aca="false">WORKDAY(D17,-3)</f>
        <v>36767</v>
      </c>
      <c r="S17" s="130"/>
      <c r="T17" s="142"/>
      <c r="U17" s="131"/>
      <c r="V17" s="132"/>
      <c r="X17" s="0" t="str">
        <f aca="false">D17&amp;C17</f>
        <v>36770IF-HPL/SHPCHAN</v>
      </c>
      <c r="Z17" s="143" t="n">
        <f aca="false">EOMONTH(Z16,0)+1</f>
        <v>36495</v>
      </c>
      <c r="AA17" s="134" t="n">
        <f aca="false">SUMIF($X:$X,CONCATENATE($Z17,AA$6),$U:$U)</f>
        <v>0</v>
      </c>
      <c r="AB17" s="134" t="n">
        <f aca="false">SUMIF($X:$X,CONCATENATE($Z17,AB$6),$U:$U)</f>
        <v>0</v>
      </c>
      <c r="AC17" s="134" t="n">
        <f aca="false">SUMIF($X:$X,CONCATENATE($Z17,AC$6),$U:$U)</f>
        <v>0</v>
      </c>
      <c r="AD17" s="134" t="n">
        <f aca="false">SUMIF($X:$X,CONCATENATE($Z17,AD$6),$U:$U)</f>
        <v>0</v>
      </c>
      <c r="AE17" s="134" t="n">
        <f aca="false">SUMIF($X:$X,CONCATENATE($Z17,AE$6),$U:$U)</f>
        <v>0</v>
      </c>
      <c r="AF17" s="134" t="n">
        <f aca="false">SUMIF($X:$X,CONCATENATE($Z17,AF$6),$U:$U)</f>
        <v>0</v>
      </c>
      <c r="AG17" s="135" t="n">
        <f aca="false">SUMIF($X:$X,CONCATENATE($Z17,AG$6),$U:$U)</f>
        <v>0</v>
      </c>
      <c r="AI17" s="143" t="n">
        <f aca="false">EOMONTH(AI16,0)+1</f>
        <v>36495</v>
      </c>
      <c r="AJ17" s="135" t="n">
        <f aca="false">SUM(AA17:AG17)</f>
        <v>0</v>
      </c>
      <c r="AP17" s="0" t="n">
        <f aca="false">(VLOOKUP(D17,NGPREVPRICES,2,FALSE())+HLOOKUP(C17,PREVCURVES,VLOOKUP(D17,MOVE_DOWN2,2,FALSE()),FALSE()))</f>
        <v>4.685</v>
      </c>
      <c r="AQ17" s="0" t="n">
        <f aca="false">VLOOKUP(D17,NGPREVPRICES,4,FALSE())</f>
        <v>0.067216196212185</v>
      </c>
      <c r="AR17" s="136" t="n">
        <f aca="false">HLOOKUP(C17,PREVVOLS,VLOOKUP(D17,MOVE_DOWN2,2,FALSE()),FALSE())</f>
        <v>0.4</v>
      </c>
      <c r="AS17" s="137" t="n">
        <f aca="false">WORKDAY(D17,-3)-$AP$2</f>
        <v>1</v>
      </c>
      <c r="BB17" s="66"/>
      <c r="BH17" s="147"/>
      <c r="BI17" s="148" t="s">
        <v>104</v>
      </c>
      <c r="BJ17" s="149"/>
      <c r="BK17" s="150"/>
      <c r="BL17" s="151"/>
    </row>
    <row r="18" customFormat="false" ht="12.75" hidden="false" customHeight="false" outlineLevel="0" collapsed="false">
      <c r="A18" s="121" t="s">
        <v>87</v>
      </c>
      <c r="B18" s="122" t="s">
        <v>105</v>
      </c>
      <c r="C18" s="7" t="s">
        <v>74</v>
      </c>
      <c r="D18" s="92" t="n">
        <v>36800</v>
      </c>
      <c r="E18" s="92"/>
      <c r="F18" s="123" t="n">
        <v>150000</v>
      </c>
      <c r="G18" s="43" t="n">
        <v>2.1</v>
      </c>
      <c r="H18" s="43" t="n">
        <v>2.4</v>
      </c>
      <c r="I18" s="124" t="n">
        <f aca="false">VLOOKUP(D18,NGPrices,2,FALSE())</f>
        <v>4.692</v>
      </c>
      <c r="J18" s="125" t="n">
        <f aca="false">HLOOKUP(C18,Prices,VLOOKUP(D18,move_down,2,FALSE()),FALSE())</f>
        <v>-0.01</v>
      </c>
      <c r="K18" s="2" t="n">
        <f aca="false">J18+I18</f>
        <v>4.682</v>
      </c>
      <c r="L18" s="126" t="n">
        <f aca="false">VLOOKUP(D18,NGPrices,4,FALSE())</f>
        <v>0.068050789414654</v>
      </c>
      <c r="M18" s="127" t="n">
        <f aca="false">WORKDAY(D18,-3)-B$3</f>
        <v>29</v>
      </c>
      <c r="N18" s="126"/>
      <c r="O18" s="2" t="n">
        <f aca="false">HLOOKUP(C18,VOLS,VLOOKUP(D18,move_down,2,FALSE()),FALSE())</f>
        <v>0.575</v>
      </c>
      <c r="P18" s="128"/>
      <c r="Q18" s="129"/>
      <c r="R18" s="92" t="n">
        <f aca="false">WORKDAY(D18,-3)</f>
        <v>36796</v>
      </c>
      <c r="S18" s="130"/>
      <c r="T18" s="142"/>
      <c r="U18" s="131"/>
      <c r="V18" s="132"/>
      <c r="X18" s="0" t="str">
        <f aca="false">D18&amp;C18</f>
        <v>36800IF-HPL/SHPCHAN</v>
      </c>
      <c r="Z18" s="143" t="n">
        <f aca="false">EOMONTH(Z17,0)+1</f>
        <v>36526</v>
      </c>
      <c r="AA18" s="134" t="n">
        <f aca="false">SUMIF($X:$X,CONCATENATE($Z18,AA$6),$U:$U)</f>
        <v>0</v>
      </c>
      <c r="AB18" s="134" t="n">
        <f aca="false">SUMIF($X:$X,CONCATENATE($Z18,AB$6),$U:$U)</f>
        <v>0</v>
      </c>
      <c r="AC18" s="134" t="n">
        <f aca="false">SUMIF($X:$X,CONCATENATE($Z18,AC$6),$U:$U)</f>
        <v>0</v>
      </c>
      <c r="AD18" s="134" t="n">
        <f aca="false">SUMIF($X:$X,CONCATENATE($Z18,AD$6),$U:$U)</f>
        <v>0</v>
      </c>
      <c r="AE18" s="134" t="n">
        <f aca="false">SUMIF($X:$X,CONCATENATE($Z18,AE$6),$U:$U)</f>
        <v>0</v>
      </c>
      <c r="AF18" s="134" t="n">
        <f aca="false">SUMIF($X:$X,CONCATENATE($Z18,AF$6),$U:$U)</f>
        <v>0</v>
      </c>
      <c r="AG18" s="135" t="n">
        <f aca="false">SUMIF($X:$X,CONCATENATE($Z18,AG$6),$U:$U)</f>
        <v>0</v>
      </c>
      <c r="AI18" s="143" t="n">
        <f aca="false">EOMONTH(AI17,0)+1</f>
        <v>36526</v>
      </c>
      <c r="AJ18" s="135" t="n">
        <f aca="false">SUM(AA18:AG18)</f>
        <v>0</v>
      </c>
      <c r="AP18" s="0" t="n">
        <f aca="false">(VLOOKUP(D18,NGPREVPRICES,2,FALSE())+HLOOKUP(C18,PREVCURVES,VLOOKUP(D18,MOVE_DOWN2,2,FALSE()),FALSE()))</f>
        <v>4.682</v>
      </c>
      <c r="AQ18" s="0" t="n">
        <f aca="false">VLOOKUP(D18,NGPREVPRICES,4,FALSE())</f>
        <v>0.068050789414654</v>
      </c>
      <c r="AR18" s="136" t="n">
        <f aca="false">HLOOKUP(C18,PREVVOLS,VLOOKUP(D18,MOVE_DOWN2,2,FALSE()),FALSE())</f>
        <v>0.575</v>
      </c>
      <c r="AS18" s="137" t="n">
        <f aca="false">WORKDAY(D18,-3)-$AP$2</f>
        <v>30</v>
      </c>
      <c r="BB18" s="66"/>
      <c r="BH18" s="117" t="s">
        <v>106</v>
      </c>
      <c r="BI18" s="152"/>
      <c r="BJ18" s="144" t="n">
        <v>0</v>
      </c>
      <c r="BK18" s="145"/>
      <c r="BL18" s="146" t="n">
        <v>0</v>
      </c>
    </row>
    <row r="19" customFormat="false" ht="12.75" hidden="false" customHeight="false" outlineLevel="0" collapsed="false">
      <c r="A19" s="121" t="s">
        <v>87</v>
      </c>
      <c r="B19" s="122" t="s">
        <v>88</v>
      </c>
      <c r="C19" s="7" t="s">
        <v>74</v>
      </c>
      <c r="D19" s="92" t="n">
        <v>36647</v>
      </c>
      <c r="E19" s="92" t="n">
        <f aca="false">+WORKDAY(D19,-6)</f>
        <v>36637</v>
      </c>
      <c r="F19" s="123" t="n">
        <v>-150000</v>
      </c>
      <c r="G19" s="43" t="n">
        <v>2.1</v>
      </c>
      <c r="H19" s="43" t="n">
        <v>2.4</v>
      </c>
      <c r="I19" s="124" t="e">
        <f aca="false">VLOOKUP(D19,NGPrices,2,FALSE())</f>
        <v>#N/A</v>
      </c>
      <c r="J19" s="125" t="e">
        <f aca="false">HLOOKUP(C19,Prices,VLOOKUP(D19,move_down,2,FALSE()),FALSE())</f>
        <v>#N/A</v>
      </c>
      <c r="K19" s="2" t="e">
        <f aca="false">J19+I19</f>
        <v>#N/A</v>
      </c>
      <c r="L19" s="126" t="e">
        <f aca="false">VLOOKUP(D19,NGPrices,4,FALSE())</f>
        <v>#N/A</v>
      </c>
      <c r="M19" s="127" t="n">
        <f aca="false">WORKDAY(D19,-3)-B$3</f>
        <v>-125</v>
      </c>
      <c r="N19" s="126" t="n">
        <v>0</v>
      </c>
      <c r="O19" s="2" t="e">
        <f aca="false">HLOOKUP(C19,VOLS,VLOOKUP(D19,move_down,2,FALSE()),FALSE())</f>
        <v>#N/A</v>
      </c>
      <c r="P19" s="128" t="n">
        <v>0.26</v>
      </c>
      <c r="Q19" s="129" t="n">
        <v>0.001</v>
      </c>
      <c r="R19" s="92" t="n">
        <f aca="false">WORKDAY(D19,-3)</f>
        <v>36642</v>
      </c>
      <c r="S19" s="130"/>
      <c r="T19" s="126"/>
      <c r="U19" s="131"/>
      <c r="V19" s="132"/>
      <c r="X19" s="0" t="str">
        <f aca="false">D19&amp;C19</f>
        <v>36647IF-HPL/SHPCHAN</v>
      </c>
      <c r="Z19" s="143" t="n">
        <f aca="false">EOMONTH(Z18,0)+1</f>
        <v>36557</v>
      </c>
      <c r="AA19" s="134" t="n">
        <f aca="false">SUMIF($X:$X,CONCATENATE($Z19,AA$6),$U:$U)</f>
        <v>0</v>
      </c>
      <c r="AB19" s="134" t="n">
        <f aca="false">SUMIF($X:$X,CONCATENATE($Z19,AB$6),$U:$U)</f>
        <v>0</v>
      </c>
      <c r="AC19" s="134" t="n">
        <f aca="false">SUMIF($X:$X,CONCATENATE($Z19,AC$6),$U:$U)</f>
        <v>0</v>
      </c>
      <c r="AD19" s="134" t="n">
        <f aca="false">SUMIF($X:$X,CONCATENATE($Z19,AD$6),$U:$U)</f>
        <v>0</v>
      </c>
      <c r="AE19" s="134" t="n">
        <f aca="false">SUMIF($X:$X,CONCATENATE($Z19,AE$6),$U:$U)</f>
        <v>0</v>
      </c>
      <c r="AF19" s="134" t="n">
        <f aca="false">SUMIF($X:$X,CONCATENATE($Z19,AF$6),$U:$U)</f>
        <v>0</v>
      </c>
      <c r="AG19" s="135" t="n">
        <f aca="false">SUMIF($X:$X,CONCATENATE($Z19,AG$6),$U:$U)</f>
        <v>0</v>
      </c>
      <c r="AI19" s="143" t="n">
        <f aca="false">EOMONTH(AI18,0)+1</f>
        <v>36557</v>
      </c>
      <c r="AJ19" s="135" t="n">
        <f aca="false">SUM(AA19:AG19)</f>
        <v>0</v>
      </c>
      <c r="AP19" s="0" t="e">
        <f aca="false">(VLOOKUP(D19,NGPREVPRICES,2,FALSE())+HLOOKUP(C19,PREVCURVES,VLOOKUP(D19,MOVE_DOWN2,2,FALSE()),FALSE()))</f>
        <v>#N/A</v>
      </c>
      <c r="AQ19" s="0" t="e">
        <f aca="false">VLOOKUP(D19,NGPREVPRICES,4,FALSE())</f>
        <v>#N/A</v>
      </c>
      <c r="AR19" s="136" t="e">
        <f aca="false">HLOOKUP(C19,PREVVOLS,VLOOKUP(D19,MOVE_DOWN2,2,FALSE()),FALSE())</f>
        <v>#N/A</v>
      </c>
      <c r="AS19" s="137" t="n">
        <f aca="false">WORKDAY(D19,-3)-$AP$2</f>
        <v>-124</v>
      </c>
      <c r="AT19" s="0" t="s">
        <v>89</v>
      </c>
      <c r="AU19" s="0" t="str">
        <f aca="false">C19</f>
        <v>IF-HPL/SHPCHAN</v>
      </c>
      <c r="AV19" s="138"/>
      <c r="AW19" s="138"/>
      <c r="AX19" s="139"/>
      <c r="AY19" s="138"/>
      <c r="AZ19" s="138"/>
      <c r="BA19" s="137"/>
      <c r="BB19" s="140"/>
      <c r="BH19" s="117" t="s">
        <v>107</v>
      </c>
      <c r="BI19" s="152"/>
      <c r="BJ19" s="144" t="n">
        <v>0</v>
      </c>
      <c r="BK19" s="145"/>
      <c r="BL19" s="146" t="n">
        <v>0</v>
      </c>
    </row>
    <row r="20" customFormat="false" ht="12.75" hidden="false" customHeight="false" outlineLevel="0" collapsed="false">
      <c r="A20" s="121" t="s">
        <v>87</v>
      </c>
      <c r="B20" s="122" t="s">
        <v>88</v>
      </c>
      <c r="C20" s="7" t="s">
        <v>74</v>
      </c>
      <c r="D20" s="92" t="n">
        <v>36678</v>
      </c>
      <c r="E20" s="92"/>
      <c r="F20" s="123" t="n">
        <v>-150000</v>
      </c>
      <c r="G20" s="43" t="n">
        <v>2.1</v>
      </c>
      <c r="H20" s="43" t="n">
        <v>2.4</v>
      </c>
      <c r="I20" s="124" t="e">
        <f aca="false">VLOOKUP(D20,NGPrices,2,FALSE())</f>
        <v>#N/A</v>
      </c>
      <c r="J20" s="125" t="e">
        <f aca="false">HLOOKUP(C20,Prices,VLOOKUP(D20,move_down,2,FALSE()),FALSE())</f>
        <v>#N/A</v>
      </c>
      <c r="K20" s="2" t="e">
        <f aca="false">J20+I20</f>
        <v>#N/A</v>
      </c>
      <c r="L20" s="126" t="e">
        <f aca="false">VLOOKUP(D20,NGPrices,4,FALSE())</f>
        <v>#N/A</v>
      </c>
      <c r="M20" s="127" t="n">
        <f aca="false">WORKDAY(D20,-3)-B$3</f>
        <v>-92</v>
      </c>
      <c r="N20" s="126"/>
      <c r="O20" s="2" t="e">
        <f aca="false">HLOOKUP(C20,VOLS,VLOOKUP(D20,move_down,2,FALSE()),FALSE())</f>
        <v>#N/A</v>
      </c>
      <c r="P20" s="128"/>
      <c r="Q20" s="129"/>
      <c r="R20" s="92" t="n">
        <f aca="false">WORKDAY(D20,-3)</f>
        <v>36675</v>
      </c>
      <c r="S20" s="130"/>
      <c r="T20" s="142"/>
      <c r="U20" s="131"/>
      <c r="V20" s="132"/>
      <c r="X20" s="0" t="str">
        <f aca="false">D20&amp;C20</f>
        <v>36678IF-HPL/SHPCHAN</v>
      </c>
      <c r="Z20" s="143" t="n">
        <f aca="false">EOMONTH(Z19,0)+1</f>
        <v>36586</v>
      </c>
      <c r="AA20" s="134" t="n">
        <f aca="false">SUMIF($X:$X,CONCATENATE($Z20,AA$6),$U:$U)</f>
        <v>0</v>
      </c>
      <c r="AB20" s="134" t="n">
        <f aca="false">SUMIF($X:$X,CONCATENATE($Z20,AB$6),$U:$U)</f>
        <v>0</v>
      </c>
      <c r="AC20" s="134" t="n">
        <f aca="false">SUMIF($X:$X,CONCATENATE($Z20,AC$6),$U:$U)</f>
        <v>0</v>
      </c>
      <c r="AD20" s="134" t="n">
        <f aca="false">SUMIF($X:$X,CONCATENATE($Z20,AD$6),$U:$U)</f>
        <v>0</v>
      </c>
      <c r="AE20" s="134" t="n">
        <f aca="false">SUMIF($X:$X,CONCATENATE($Z20,AE$6),$U:$U)</f>
        <v>0</v>
      </c>
      <c r="AF20" s="134" t="n">
        <f aca="false">SUMIF($X:$X,CONCATENATE($Z20,AF$6),$U:$U)</f>
        <v>0</v>
      </c>
      <c r="AG20" s="135" t="n">
        <f aca="false">SUMIF($X:$X,CONCATENATE($Z20,AG$6),$U:$U)</f>
        <v>0</v>
      </c>
      <c r="AI20" s="143" t="n">
        <f aca="false">EOMONTH(AI19,0)+1</f>
        <v>36586</v>
      </c>
      <c r="AJ20" s="135" t="n">
        <f aca="false">SUM(AA20:AG20)</f>
        <v>0</v>
      </c>
      <c r="AP20" s="0" t="e">
        <f aca="false">(VLOOKUP(D20,NGPREVPRICES,2,FALSE())+HLOOKUP(C20,PREVCURVES,VLOOKUP(D20,MOVE_DOWN2,2,FALSE()),FALSE()))</f>
        <v>#N/A</v>
      </c>
      <c r="AQ20" s="0" t="e">
        <f aca="false">VLOOKUP(D20,NGPREVPRICES,4,FALSE())</f>
        <v>#N/A</v>
      </c>
      <c r="AR20" s="136" t="e">
        <f aca="false">HLOOKUP(C20,PREVVOLS,VLOOKUP(D20,MOVE_DOWN2,2,FALSE()),FALSE())</f>
        <v>#N/A</v>
      </c>
      <c r="AS20" s="137" t="n">
        <f aca="false">WORKDAY(D20,-3)-$AP$2</f>
        <v>-91</v>
      </c>
      <c r="BH20" s="117" t="s">
        <v>108</v>
      </c>
      <c r="BI20" s="152"/>
      <c r="BJ20" s="144" t="n">
        <v>0</v>
      </c>
      <c r="BK20" s="145"/>
      <c r="BL20" s="146" t="n">
        <v>0</v>
      </c>
    </row>
    <row r="21" customFormat="false" ht="12.75" hidden="false" customHeight="false" outlineLevel="0" collapsed="false">
      <c r="A21" s="121" t="s">
        <v>87</v>
      </c>
      <c r="B21" s="122" t="s">
        <v>88</v>
      </c>
      <c r="C21" s="7" t="s">
        <v>74</v>
      </c>
      <c r="D21" s="92" t="n">
        <v>36708</v>
      </c>
      <c r="E21" s="92"/>
      <c r="F21" s="123" t="n">
        <v>-150000</v>
      </c>
      <c r="G21" s="43" t="n">
        <v>2.1</v>
      </c>
      <c r="H21" s="43" t="n">
        <v>2.4</v>
      </c>
      <c r="I21" s="124" t="e">
        <f aca="false">VLOOKUP(D21,NGPrices,2,FALSE())</f>
        <v>#N/A</v>
      </c>
      <c r="J21" s="125" t="e">
        <f aca="false">HLOOKUP(C21,Prices,VLOOKUP(D21,move_down,2,FALSE()),FALSE())</f>
        <v>#N/A</v>
      </c>
      <c r="K21" s="2" t="e">
        <f aca="false">J21+I21</f>
        <v>#N/A</v>
      </c>
      <c r="L21" s="126" t="e">
        <f aca="false">VLOOKUP(D21,NGPrices,4,FALSE())</f>
        <v>#N/A</v>
      </c>
      <c r="M21" s="127" t="n">
        <f aca="false">WORKDAY(D21,-3)-B$3</f>
        <v>-62</v>
      </c>
      <c r="N21" s="126"/>
      <c r="O21" s="2" t="e">
        <f aca="false">HLOOKUP(C21,VOLS,VLOOKUP(D21,move_down,2,FALSE()),FALSE())</f>
        <v>#N/A</v>
      </c>
      <c r="P21" s="128"/>
      <c r="Q21" s="129"/>
      <c r="R21" s="92" t="n">
        <f aca="false">WORKDAY(D21,-3)</f>
        <v>36705</v>
      </c>
      <c r="S21" s="130"/>
      <c r="T21" s="142"/>
      <c r="U21" s="131"/>
      <c r="V21" s="132"/>
      <c r="X21" s="0" t="str">
        <f aca="false">D21&amp;C21</f>
        <v>36708IF-HPL/SHPCHAN</v>
      </c>
      <c r="Z21" s="143" t="n">
        <f aca="false">EOMONTH(Z20,0)+1</f>
        <v>36617</v>
      </c>
      <c r="AA21" s="134" t="n">
        <f aca="false">SUMIF($X:$X,CONCATENATE($Z21,AA$6),$U:$U)</f>
        <v>0</v>
      </c>
      <c r="AB21" s="134" t="n">
        <f aca="false">SUMIF($X:$X,CONCATENATE($Z21,AB$6),$U:$U)</f>
        <v>0</v>
      </c>
      <c r="AC21" s="134" t="n">
        <f aca="false">SUMIF($X:$X,CONCATENATE($Z21,AC$6),$U:$U)</f>
        <v>0</v>
      </c>
      <c r="AD21" s="134" t="n">
        <f aca="false">SUMIF($X:$X,CONCATENATE($Z21,AD$6),$U:$U)</f>
        <v>0</v>
      </c>
      <c r="AE21" s="134" t="n">
        <f aca="false">SUMIF($X:$X,CONCATENATE($Z21,AE$6),$U:$U)</f>
        <v>0</v>
      </c>
      <c r="AF21" s="134" t="n">
        <f aca="false">SUMIF($X:$X,CONCATENATE($Z21,AF$6),$U:$U)</f>
        <v>0</v>
      </c>
      <c r="AG21" s="135" t="n">
        <f aca="false">SUMIF($X:$X,CONCATENATE($Z21,AG$6),$U:$U)</f>
        <v>0</v>
      </c>
      <c r="AI21" s="143" t="n">
        <f aca="false">EOMONTH(AI20,0)+1</f>
        <v>36617</v>
      </c>
      <c r="AJ21" s="135" t="n">
        <f aca="false">SUM(AA21:AG21)</f>
        <v>0</v>
      </c>
      <c r="AP21" s="0" t="e">
        <f aca="false">(VLOOKUP(D21,NGPREVPRICES,2,FALSE())+HLOOKUP(C21,PREVCURVES,VLOOKUP(D21,MOVE_DOWN2,2,FALSE()),FALSE()))</f>
        <v>#N/A</v>
      </c>
      <c r="AQ21" s="0" t="e">
        <f aca="false">VLOOKUP(D21,NGPREVPRICES,4,FALSE())</f>
        <v>#N/A</v>
      </c>
      <c r="AR21" s="136" t="e">
        <f aca="false">HLOOKUP(C21,PREVVOLS,VLOOKUP(D21,MOVE_DOWN2,2,FALSE()),FALSE())</f>
        <v>#N/A</v>
      </c>
      <c r="AS21" s="137" t="n">
        <f aca="false">WORKDAY(D21,-3)-$AP$2</f>
        <v>-61</v>
      </c>
      <c r="BH21" s="117" t="s">
        <v>109</v>
      </c>
      <c r="BI21" s="152"/>
      <c r="BJ21" s="144" t="n">
        <v>0</v>
      </c>
      <c r="BK21" s="145"/>
      <c r="BL21" s="146" t="n">
        <v>0</v>
      </c>
    </row>
    <row r="22" customFormat="false" ht="12.75" hidden="false" customHeight="false" outlineLevel="0" collapsed="false">
      <c r="A22" s="121" t="s">
        <v>87</v>
      </c>
      <c r="B22" s="122" t="s">
        <v>88</v>
      </c>
      <c r="C22" s="7" t="s">
        <v>74</v>
      </c>
      <c r="D22" s="92" t="n">
        <v>36739</v>
      </c>
      <c r="E22" s="92"/>
      <c r="F22" s="123" t="n">
        <v>-150000</v>
      </c>
      <c r="G22" s="43" t="n">
        <v>2.1</v>
      </c>
      <c r="H22" s="43" t="n">
        <v>2.4</v>
      </c>
      <c r="I22" s="124" t="e">
        <f aca="false">VLOOKUP(D22,NGPrices,2,FALSE())</f>
        <v>#N/A</v>
      </c>
      <c r="J22" s="125" t="e">
        <f aca="false">HLOOKUP(C22,Prices,VLOOKUP(D22,move_down,2,FALSE()),FALSE())</f>
        <v>#N/A</v>
      </c>
      <c r="K22" s="2" t="e">
        <f aca="false">J22+I22</f>
        <v>#N/A</v>
      </c>
      <c r="L22" s="126" t="e">
        <f aca="false">VLOOKUP(D22,NGPrices,4,FALSE())</f>
        <v>#N/A</v>
      </c>
      <c r="M22" s="127" t="n">
        <f aca="false">WORKDAY(D22,-3)-B$3</f>
        <v>-33</v>
      </c>
      <c r="N22" s="126"/>
      <c r="O22" s="2" t="e">
        <f aca="false">HLOOKUP(C22,VOLS,VLOOKUP(D22,move_down,2,FALSE()),FALSE())</f>
        <v>#N/A</v>
      </c>
      <c r="P22" s="128"/>
      <c r="Q22" s="129"/>
      <c r="R22" s="92" t="n">
        <f aca="false">WORKDAY(D22,-3)</f>
        <v>36734</v>
      </c>
      <c r="S22" s="130"/>
      <c r="T22" s="142"/>
      <c r="U22" s="131"/>
      <c r="V22" s="132"/>
      <c r="X22" s="0" t="str">
        <f aca="false">D22&amp;C22</f>
        <v>36739IF-HPL/SHPCHAN</v>
      </c>
      <c r="Z22" s="143" t="n">
        <f aca="false">EOMONTH(Z21,0)+1</f>
        <v>36647</v>
      </c>
      <c r="AA22" s="134" t="n">
        <f aca="false">SUMIF($X:$X,CONCATENATE($Z22,AA$6),$U:$U)</f>
        <v>0</v>
      </c>
      <c r="AB22" s="134" t="n">
        <f aca="false">SUMIF($X:$X,CONCATENATE($Z22,AB$6),$U:$U)</f>
        <v>0</v>
      </c>
      <c r="AC22" s="134" t="n">
        <f aca="false">SUMIF($X:$X,CONCATENATE($Z22,AC$6),$U:$U)</f>
        <v>0</v>
      </c>
      <c r="AD22" s="134" t="n">
        <f aca="false">SUMIF($X:$X,CONCATENATE($Z22,AD$6),$U:$U)</f>
        <v>0</v>
      </c>
      <c r="AE22" s="134" t="n">
        <f aca="false">SUMIF($X:$X,CONCATENATE($Z22,AE$6),$U:$U)</f>
        <v>0</v>
      </c>
      <c r="AF22" s="134" t="n">
        <f aca="false">SUMIF($X:$X,CONCATENATE($Z22,AF$6),$U:$U)</f>
        <v>0</v>
      </c>
      <c r="AG22" s="135" t="n">
        <f aca="false">SUMIF($X:$X,CONCATENATE($Z22,AG$6),$U:$U)</f>
        <v>0</v>
      </c>
      <c r="AI22" s="143" t="n">
        <f aca="false">EOMONTH(AI21,0)+1</f>
        <v>36647</v>
      </c>
      <c r="AJ22" s="135" t="n">
        <f aca="false">SUM(AA22:AG22)</f>
        <v>0</v>
      </c>
      <c r="AP22" s="0" t="e">
        <f aca="false">(VLOOKUP(D22,NGPREVPRICES,2,FALSE())+HLOOKUP(C22,PREVCURVES,VLOOKUP(D22,MOVE_DOWN2,2,FALSE()),FALSE()))</f>
        <v>#N/A</v>
      </c>
      <c r="AQ22" s="0" t="e">
        <f aca="false">VLOOKUP(D22,NGPREVPRICES,4,FALSE())</f>
        <v>#N/A</v>
      </c>
      <c r="AR22" s="136" t="e">
        <f aca="false">HLOOKUP(C22,PREVVOLS,VLOOKUP(D22,MOVE_DOWN2,2,FALSE()),FALSE())</f>
        <v>#N/A</v>
      </c>
      <c r="AS22" s="137" t="n">
        <f aca="false">WORKDAY(D22,-3)-$AP$2</f>
        <v>-32</v>
      </c>
      <c r="BH22" s="153" t="s">
        <v>110</v>
      </c>
      <c r="BI22" s="154"/>
      <c r="BJ22" s="155" t="n">
        <v>0</v>
      </c>
      <c r="BK22" s="156"/>
      <c r="BL22" s="157" t="n">
        <v>0</v>
      </c>
    </row>
    <row r="23" customFormat="false" ht="12.75" hidden="false" customHeight="false" outlineLevel="0" collapsed="false">
      <c r="A23" s="121" t="s">
        <v>87</v>
      </c>
      <c r="B23" s="122" t="s">
        <v>88</v>
      </c>
      <c r="C23" s="7" t="s">
        <v>74</v>
      </c>
      <c r="D23" s="92" t="n">
        <v>36770</v>
      </c>
      <c r="E23" s="92"/>
      <c r="F23" s="123" t="n">
        <v>-150000</v>
      </c>
      <c r="G23" s="43" t="n">
        <v>2.1</v>
      </c>
      <c r="H23" s="43" t="n">
        <v>2.4</v>
      </c>
      <c r="I23" s="124" t="n">
        <f aca="false">VLOOKUP(D23,NGPrices,2,FALSE())</f>
        <v>4.685</v>
      </c>
      <c r="J23" s="125" t="n">
        <f aca="false">HLOOKUP(C23,Prices,VLOOKUP(D23,move_down,2,FALSE()),FALSE())</f>
        <v>0</v>
      </c>
      <c r="K23" s="2" t="n">
        <f aca="false">J23+I23</f>
        <v>4.685</v>
      </c>
      <c r="L23" s="126" t="n">
        <f aca="false">VLOOKUP(D23,NGPrices,4,FALSE())</f>
        <v>0.067216196212185</v>
      </c>
      <c r="M23" s="127" t="n">
        <f aca="false">WORKDAY(D23,-3)-B$3</f>
        <v>0</v>
      </c>
      <c r="N23" s="126"/>
      <c r="O23" s="2" t="n">
        <f aca="false">HLOOKUP(C23,VOLS,VLOOKUP(D23,move_down,2,FALSE()),FALSE())</f>
        <v>0.4</v>
      </c>
      <c r="P23" s="128"/>
      <c r="Q23" s="129"/>
      <c r="R23" s="92" t="n">
        <f aca="false">WORKDAY(D23,-3)</f>
        <v>36767</v>
      </c>
      <c r="S23" s="130"/>
      <c r="T23" s="142"/>
      <c r="U23" s="131"/>
      <c r="V23" s="132"/>
      <c r="X23" s="0" t="str">
        <f aca="false">D23&amp;C23</f>
        <v>36770IF-HPL/SHPCHAN</v>
      </c>
      <c r="Z23" s="143" t="n">
        <f aca="false">EOMONTH(Z22,0)+1</f>
        <v>36678</v>
      </c>
      <c r="AA23" s="134" t="n">
        <f aca="false">SUMIF($X:$X,CONCATENATE($Z23,AA$6),$U:$U)</f>
        <v>0</v>
      </c>
      <c r="AB23" s="134" t="n">
        <f aca="false">SUMIF($X:$X,CONCATENATE($Z23,AB$6),$U:$U)</f>
        <v>0</v>
      </c>
      <c r="AC23" s="134" t="n">
        <f aca="false">SUMIF($X:$X,CONCATENATE($Z23,AC$6),$U:$U)</f>
        <v>0</v>
      </c>
      <c r="AD23" s="134" t="n">
        <f aca="false">SUMIF($X:$X,CONCATENATE($Z23,AD$6),$U:$U)</f>
        <v>0</v>
      </c>
      <c r="AE23" s="134" t="n">
        <f aca="false">SUMIF($X:$X,CONCATENATE($Z23,AE$6),$U:$U)</f>
        <v>0</v>
      </c>
      <c r="AF23" s="134" t="n">
        <f aca="false">SUMIF($X:$X,CONCATENATE($Z23,AF$6),$U:$U)</f>
        <v>0</v>
      </c>
      <c r="AG23" s="135" t="n">
        <f aca="false">SUMIF($X:$X,CONCATENATE($Z23,AG$6),$U:$U)</f>
        <v>0</v>
      </c>
      <c r="AI23" s="143" t="n">
        <f aca="false">EOMONTH(AI22,0)+1</f>
        <v>36678</v>
      </c>
      <c r="AJ23" s="135" t="n">
        <f aca="false">SUM(AA23:AG23)</f>
        <v>0</v>
      </c>
      <c r="AP23" s="0" t="n">
        <f aca="false">(VLOOKUP(D23,NGPREVPRICES,2,FALSE())+HLOOKUP(C23,PREVCURVES,VLOOKUP(D23,MOVE_DOWN2,2,FALSE()),FALSE()))</f>
        <v>4.685</v>
      </c>
      <c r="AQ23" s="0" t="n">
        <f aca="false">VLOOKUP(D23,NGPREVPRICES,4,FALSE())</f>
        <v>0.067216196212185</v>
      </c>
      <c r="AR23" s="136" t="n">
        <f aca="false">HLOOKUP(C23,PREVVOLS,VLOOKUP(D23,MOVE_DOWN2,2,FALSE()),FALSE())</f>
        <v>0.4</v>
      </c>
      <c r="AS23" s="137" t="n">
        <f aca="false">WORKDAY(D23,-3)-$AP$2</f>
        <v>1</v>
      </c>
    </row>
    <row r="24" customFormat="false" ht="12.75" hidden="false" customHeight="false" outlineLevel="0" collapsed="false">
      <c r="A24" s="121" t="s">
        <v>87</v>
      </c>
      <c r="B24" s="122" t="s">
        <v>88</v>
      </c>
      <c r="C24" s="7" t="s">
        <v>74</v>
      </c>
      <c r="D24" s="92" t="n">
        <v>36800</v>
      </c>
      <c r="E24" s="92"/>
      <c r="F24" s="123" t="n">
        <v>-150000</v>
      </c>
      <c r="G24" s="43" t="n">
        <v>2.1</v>
      </c>
      <c r="H24" s="43" t="n">
        <v>2.4</v>
      </c>
      <c r="I24" s="124" t="n">
        <f aca="false">VLOOKUP(D24,NGPrices,2,FALSE())</f>
        <v>4.692</v>
      </c>
      <c r="J24" s="125" t="n">
        <f aca="false">HLOOKUP(C24,Prices,VLOOKUP(D24,move_down,2,FALSE()),FALSE())</f>
        <v>-0.01</v>
      </c>
      <c r="K24" s="2" t="n">
        <f aca="false">J24+I24</f>
        <v>4.682</v>
      </c>
      <c r="L24" s="126" t="n">
        <f aca="false">VLOOKUP(D24,NGPrices,4,FALSE())</f>
        <v>0.068050789414654</v>
      </c>
      <c r="M24" s="127" t="n">
        <f aca="false">WORKDAY(D24,-3)-B$3</f>
        <v>29</v>
      </c>
      <c r="N24" s="126"/>
      <c r="O24" s="2" t="n">
        <f aca="false">HLOOKUP(C24,VOLS,VLOOKUP(D24,move_down,2,FALSE()),FALSE())</f>
        <v>0.575</v>
      </c>
      <c r="P24" s="128"/>
      <c r="Q24" s="129"/>
      <c r="R24" s="92" t="n">
        <f aca="false">WORKDAY(D24,-3)</f>
        <v>36796</v>
      </c>
      <c r="S24" s="130"/>
      <c r="T24" s="142"/>
      <c r="U24" s="131"/>
      <c r="V24" s="132"/>
      <c r="X24" s="0" t="str">
        <f aca="false">D24&amp;C24</f>
        <v>36800IF-HPL/SHPCHAN</v>
      </c>
      <c r="Z24" s="143" t="n">
        <f aca="false">EOMONTH(Z23,0)+1</f>
        <v>36708</v>
      </c>
      <c r="AA24" s="134" t="n">
        <f aca="false">SUMIF($X:$X,CONCATENATE($Z24,AA$6),$U:$U)</f>
        <v>0</v>
      </c>
      <c r="AB24" s="134" t="n">
        <f aca="false">SUMIF($X:$X,CONCATENATE($Z24,AB$6),$U:$U)</f>
        <v>0</v>
      </c>
      <c r="AC24" s="134" t="n">
        <f aca="false">SUMIF($X:$X,CONCATENATE($Z24,AC$6),$U:$U)</f>
        <v>0</v>
      </c>
      <c r="AD24" s="134" t="n">
        <f aca="false">SUMIF($X:$X,CONCATENATE($Z24,AD$6),$U:$U)</f>
        <v>0</v>
      </c>
      <c r="AE24" s="134" t="n">
        <f aca="false">SUMIF($X:$X,CONCATENATE($Z24,AE$6),$U:$U)</f>
        <v>0</v>
      </c>
      <c r="AF24" s="134" t="n">
        <f aca="false">SUMIF($X:$X,CONCATENATE($Z24,AF$6),$U:$U)</f>
        <v>0</v>
      </c>
      <c r="AG24" s="135" t="n">
        <f aca="false">SUMIF($X:$X,CONCATENATE($Z24,AG$6),$U:$U)</f>
        <v>0</v>
      </c>
      <c r="AI24" s="143" t="n">
        <f aca="false">EOMONTH(AI23,0)+1</f>
        <v>36708</v>
      </c>
      <c r="AJ24" s="135" t="n">
        <f aca="false">SUM(AA24:AG24)</f>
        <v>0</v>
      </c>
      <c r="AP24" s="0" t="n">
        <f aca="false">(VLOOKUP(D24,NGPREVPRICES,2,FALSE())+HLOOKUP(C24,PREVCURVES,VLOOKUP(D24,MOVE_DOWN2,2,FALSE()),FALSE()))</f>
        <v>4.682</v>
      </c>
      <c r="AQ24" s="0" t="n">
        <f aca="false">VLOOKUP(D24,NGPREVPRICES,4,FALSE())</f>
        <v>0.068050789414654</v>
      </c>
      <c r="AR24" s="136" t="n">
        <f aca="false">HLOOKUP(C24,PREVVOLS,VLOOKUP(D24,MOVE_DOWN2,2,FALSE()),FALSE())</f>
        <v>0.575</v>
      </c>
      <c r="AS24" s="137" t="n">
        <f aca="false">WORKDAY(D24,-3)-$AP$2</f>
        <v>30</v>
      </c>
      <c r="BH24" s="153" t="s">
        <v>111</v>
      </c>
      <c r="BI24" s="158"/>
      <c r="BJ24" s="158"/>
      <c r="BK24" s="158"/>
      <c r="BL24" s="159" t="n">
        <f aca="false">SUM(BL18:BL23)</f>
        <v>0</v>
      </c>
    </row>
    <row r="25" customFormat="false" ht="12.75" hidden="false" customHeight="false" outlineLevel="0" collapsed="false">
      <c r="A25" s="121" t="s">
        <v>87</v>
      </c>
      <c r="B25" s="122" t="s">
        <v>105</v>
      </c>
      <c r="C25" s="7" t="s">
        <v>74</v>
      </c>
      <c r="D25" s="92" t="n">
        <v>36647</v>
      </c>
      <c r="E25" s="92" t="n">
        <f aca="false">+WORKDAY(D25,-6)</f>
        <v>36637</v>
      </c>
      <c r="F25" s="123" t="n">
        <v>-150000</v>
      </c>
      <c r="G25" s="43" t="n">
        <v>2.1</v>
      </c>
      <c r="H25" s="43" t="n">
        <v>2.4</v>
      </c>
      <c r="I25" s="124" t="e">
        <f aca="false">VLOOKUP(D25,NGPrices,2,FALSE())</f>
        <v>#N/A</v>
      </c>
      <c r="J25" s="125" t="e">
        <f aca="false">HLOOKUP(C25,Prices,VLOOKUP(D25,move_down,2,FALSE()),FALSE())</f>
        <v>#N/A</v>
      </c>
      <c r="K25" s="2" t="e">
        <f aca="false">J25+I25</f>
        <v>#N/A</v>
      </c>
      <c r="L25" s="126" t="e">
        <f aca="false">VLOOKUP(D25,NGPrices,4,FALSE())</f>
        <v>#N/A</v>
      </c>
      <c r="M25" s="127" t="n">
        <f aca="false">WORKDAY(D25,-3)-B$3</f>
        <v>-125</v>
      </c>
      <c r="N25" s="126" t="n">
        <v>0</v>
      </c>
      <c r="O25" s="2" t="e">
        <f aca="false">HLOOKUP(C25,VOLS,VLOOKUP(D25,move_down,2,FALSE()),FALSE())</f>
        <v>#N/A</v>
      </c>
      <c r="P25" s="128" t="n">
        <v>0.26</v>
      </c>
      <c r="Q25" s="129" t="n">
        <v>0.001</v>
      </c>
      <c r="R25" s="92" t="n">
        <f aca="false">WORKDAY(D25,-3)</f>
        <v>36642</v>
      </c>
      <c r="S25" s="130"/>
      <c r="T25" s="126"/>
      <c r="U25" s="131"/>
      <c r="V25" s="132"/>
      <c r="X25" s="0" t="str">
        <f aca="false">D25&amp;C25</f>
        <v>36647IF-HPL/SHPCHAN</v>
      </c>
      <c r="Z25" s="143" t="n">
        <f aca="false">EOMONTH(Z24,0)+1</f>
        <v>36739</v>
      </c>
      <c r="AA25" s="134" t="n">
        <f aca="false">SUMIF($X:$X,CONCATENATE($Z25,AA$6),$U:$U)</f>
        <v>0</v>
      </c>
      <c r="AB25" s="134" t="n">
        <f aca="false">SUMIF($X:$X,CONCATENATE($Z25,AB$6),$U:$U)</f>
        <v>0</v>
      </c>
      <c r="AC25" s="134" t="n">
        <f aca="false">SUMIF($X:$X,CONCATENATE($Z25,AC$6),$U:$U)</f>
        <v>0</v>
      </c>
      <c r="AD25" s="134" t="n">
        <f aca="false">SUMIF($X:$X,CONCATENATE($Z25,AD$6),$U:$U)</f>
        <v>0</v>
      </c>
      <c r="AE25" s="134" t="n">
        <f aca="false">SUMIF($X:$X,CONCATENATE($Z25,AE$6),$U:$U)</f>
        <v>0</v>
      </c>
      <c r="AF25" s="134" t="n">
        <f aca="false">SUMIF($X:$X,CONCATENATE($Z25,AF$6),$U:$U)</f>
        <v>0</v>
      </c>
      <c r="AG25" s="135" t="n">
        <f aca="false">SUMIF($X:$X,CONCATENATE($Z25,AG$6),$U:$U)</f>
        <v>0</v>
      </c>
      <c r="AI25" s="143" t="n">
        <f aca="false">EOMONTH(AI24,0)+1</f>
        <v>36739</v>
      </c>
      <c r="AJ25" s="135" t="n">
        <f aca="false">SUM(AA25:AG25)</f>
        <v>0</v>
      </c>
      <c r="AP25" s="0" t="e">
        <f aca="false">(VLOOKUP(D25,NGPREVPRICES,2,FALSE())+HLOOKUP(C25,PREVCURVES,VLOOKUP(D25,MOVE_DOWN2,2,FALSE()),FALSE()))</f>
        <v>#N/A</v>
      </c>
      <c r="AQ25" s="0" t="e">
        <f aca="false">VLOOKUP(D25,NGPREVPRICES,4,FALSE())</f>
        <v>#N/A</v>
      </c>
      <c r="AR25" s="136" t="e">
        <f aca="false">HLOOKUP(C25,PREVVOLS,VLOOKUP(D25,MOVE_DOWN2,2,FALSE()),FALSE())</f>
        <v>#N/A</v>
      </c>
      <c r="AS25" s="137" t="n">
        <f aca="false">WORKDAY(D25,-3)-$AP$2</f>
        <v>-124</v>
      </c>
      <c r="AT25" s="0" t="s">
        <v>89</v>
      </c>
      <c r="AU25" s="0" t="str">
        <f aca="false">C25</f>
        <v>IF-HPL/SHPCHAN</v>
      </c>
      <c r="AV25" s="138"/>
      <c r="AW25" s="138"/>
      <c r="AX25" s="139"/>
      <c r="AY25" s="138"/>
      <c r="AZ25" s="138"/>
      <c r="BA25" s="137"/>
      <c r="BB25" s="140"/>
    </row>
    <row r="26" customFormat="false" ht="12.75" hidden="false" customHeight="false" outlineLevel="0" collapsed="false">
      <c r="A26" s="121" t="s">
        <v>87</v>
      </c>
      <c r="B26" s="122" t="s">
        <v>105</v>
      </c>
      <c r="C26" s="7" t="s">
        <v>74</v>
      </c>
      <c r="D26" s="92" t="n">
        <v>36678</v>
      </c>
      <c r="E26" s="92"/>
      <c r="F26" s="123" t="n">
        <v>-150000</v>
      </c>
      <c r="G26" s="43" t="n">
        <v>2.1</v>
      </c>
      <c r="H26" s="43" t="n">
        <v>2.4</v>
      </c>
      <c r="I26" s="124" t="e">
        <f aca="false">VLOOKUP(D26,NGPrices,2,FALSE())</f>
        <v>#N/A</v>
      </c>
      <c r="J26" s="125" t="e">
        <f aca="false">HLOOKUP(C26,Prices,VLOOKUP(D26,move_down,2,FALSE()),FALSE())</f>
        <v>#N/A</v>
      </c>
      <c r="K26" s="2" t="e">
        <f aca="false">J26+I26</f>
        <v>#N/A</v>
      </c>
      <c r="L26" s="126" t="e">
        <f aca="false">VLOOKUP(D26,NGPrices,4,FALSE())</f>
        <v>#N/A</v>
      </c>
      <c r="M26" s="127" t="n">
        <f aca="false">WORKDAY(D26,-3)-B$3</f>
        <v>-92</v>
      </c>
      <c r="N26" s="126"/>
      <c r="O26" s="2" t="e">
        <f aca="false">HLOOKUP(C26,VOLS,VLOOKUP(D26,move_down,2,FALSE()),FALSE())</f>
        <v>#N/A</v>
      </c>
      <c r="P26" s="128"/>
      <c r="Q26" s="129"/>
      <c r="R26" s="92" t="n">
        <f aca="false">WORKDAY(D26,-3)</f>
        <v>36675</v>
      </c>
      <c r="S26" s="130"/>
      <c r="T26" s="142"/>
      <c r="U26" s="131"/>
      <c r="V26" s="132"/>
      <c r="X26" s="0" t="str">
        <f aca="false">D26&amp;C26</f>
        <v>36678IF-HPL/SHPCHAN</v>
      </c>
      <c r="Z26" s="143" t="n">
        <f aca="false">EOMONTH(Z23,0)+1</f>
        <v>36708</v>
      </c>
      <c r="AA26" s="134" t="n">
        <f aca="false">SUMIF($X:$X,CONCATENATE($Z26,AA$6),$U:$U)</f>
        <v>0</v>
      </c>
      <c r="AB26" s="134" t="n">
        <f aca="false">SUMIF($X:$X,CONCATENATE($Z26,AB$6),$U:$U)</f>
        <v>0</v>
      </c>
      <c r="AC26" s="134" t="n">
        <f aca="false">SUMIF($X:$X,CONCATENATE($Z26,AC$6),$U:$U)</f>
        <v>0</v>
      </c>
      <c r="AD26" s="134" t="n">
        <f aca="false">SUMIF($X:$X,CONCATENATE($Z26,AD$6),$U:$U)</f>
        <v>0</v>
      </c>
      <c r="AE26" s="134" t="n">
        <f aca="false">SUMIF($X:$X,CONCATENATE($Z26,AE$6),$U:$U)</f>
        <v>0</v>
      </c>
      <c r="AF26" s="134" t="n">
        <f aca="false">SUMIF($X:$X,CONCATENATE($Z26,AF$6),$U:$U)</f>
        <v>0</v>
      </c>
      <c r="AG26" s="135" t="n">
        <f aca="false">SUMIF($X:$X,CONCATENATE($Z26,AG$6),$U:$U)</f>
        <v>0</v>
      </c>
      <c r="AI26" s="143" t="n">
        <f aca="false">EOMONTH(AI23,0)+1</f>
        <v>36708</v>
      </c>
      <c r="AJ26" s="135" t="n">
        <f aca="false">SUM(AA26:AG26)</f>
        <v>0</v>
      </c>
      <c r="AP26" s="0" t="e">
        <f aca="false">(VLOOKUP(D26,NGPREVPRICES,2,FALSE())+HLOOKUP(C26,PREVCURVES,VLOOKUP(D26,MOVE_DOWN2,2,FALSE()),FALSE()))</f>
        <v>#N/A</v>
      </c>
      <c r="AQ26" s="0" t="e">
        <f aca="false">VLOOKUP(D26,NGPREVPRICES,4,FALSE())</f>
        <v>#N/A</v>
      </c>
      <c r="AR26" s="136" t="e">
        <f aca="false">HLOOKUP(C26,PREVVOLS,VLOOKUP(D26,MOVE_DOWN2,2,FALSE()),FALSE())</f>
        <v>#N/A</v>
      </c>
      <c r="AS26" s="137" t="n">
        <f aca="false">WORKDAY(D26,-3)-$AP$2</f>
        <v>-91</v>
      </c>
    </row>
    <row r="27" customFormat="false" ht="12.75" hidden="false" customHeight="false" outlineLevel="0" collapsed="false">
      <c r="A27" s="121" t="s">
        <v>87</v>
      </c>
      <c r="B27" s="122" t="s">
        <v>105</v>
      </c>
      <c r="C27" s="7" t="s">
        <v>74</v>
      </c>
      <c r="D27" s="92" t="n">
        <v>36708</v>
      </c>
      <c r="E27" s="92"/>
      <c r="F27" s="123" t="n">
        <v>-150000</v>
      </c>
      <c r="G27" s="43" t="n">
        <v>2.1</v>
      </c>
      <c r="H27" s="43" t="n">
        <v>2.4</v>
      </c>
      <c r="I27" s="124" t="e">
        <f aca="false">VLOOKUP(D27,NGPrices,2,FALSE())</f>
        <v>#N/A</v>
      </c>
      <c r="J27" s="125" t="e">
        <f aca="false">HLOOKUP(C27,Prices,VLOOKUP(D27,move_down,2,FALSE()),FALSE())</f>
        <v>#N/A</v>
      </c>
      <c r="K27" s="2" t="e">
        <f aca="false">J27+I27</f>
        <v>#N/A</v>
      </c>
      <c r="L27" s="126" t="e">
        <f aca="false">VLOOKUP(D27,NGPrices,4,FALSE())</f>
        <v>#N/A</v>
      </c>
      <c r="M27" s="127" t="n">
        <f aca="false">WORKDAY(D27,-3)-B$3</f>
        <v>-62</v>
      </c>
      <c r="N27" s="126"/>
      <c r="O27" s="2" t="e">
        <f aca="false">HLOOKUP(C27,VOLS,VLOOKUP(D27,move_down,2,FALSE()),FALSE())</f>
        <v>#N/A</v>
      </c>
      <c r="P27" s="128"/>
      <c r="Q27" s="129"/>
      <c r="R27" s="92" t="n">
        <f aca="false">WORKDAY(D27,-3)</f>
        <v>36705</v>
      </c>
      <c r="S27" s="130"/>
      <c r="T27" s="142"/>
      <c r="U27" s="131"/>
      <c r="V27" s="132"/>
      <c r="X27" s="0" t="str">
        <f aca="false">D27&amp;C27</f>
        <v>36708IF-HPL/SHPCHAN</v>
      </c>
      <c r="Z27" s="143" t="n">
        <f aca="false">EOMONTH(Z26,0)+1</f>
        <v>36739</v>
      </c>
      <c r="AA27" s="134" t="n">
        <f aca="false">SUMIF($X:$X,CONCATENATE($Z27,AA$6),$U:$U)</f>
        <v>0</v>
      </c>
      <c r="AB27" s="134" t="n">
        <f aca="false">SUMIF($X:$X,CONCATENATE($Z27,AB$6),$U:$U)</f>
        <v>0</v>
      </c>
      <c r="AC27" s="134" t="n">
        <f aca="false">SUMIF($X:$X,CONCATENATE($Z27,AC$6),$U:$U)</f>
        <v>0</v>
      </c>
      <c r="AD27" s="134" t="n">
        <f aca="false">SUMIF($X:$X,CONCATENATE($Z27,AD$6),$U:$U)</f>
        <v>0</v>
      </c>
      <c r="AE27" s="134" t="n">
        <f aca="false">SUMIF($X:$X,CONCATENATE($Z27,AE$6),$U:$U)</f>
        <v>0</v>
      </c>
      <c r="AF27" s="134" t="n">
        <f aca="false">SUMIF($X:$X,CONCATENATE($Z27,AF$6),$U:$U)</f>
        <v>0</v>
      </c>
      <c r="AG27" s="135" t="n">
        <f aca="false">SUMIF($X:$X,CONCATENATE($Z27,AG$6),$U:$U)</f>
        <v>0</v>
      </c>
      <c r="AI27" s="143" t="n">
        <f aca="false">EOMONTH(AI26,0)+1</f>
        <v>36739</v>
      </c>
      <c r="AJ27" s="135" t="n">
        <f aca="false">SUM(AA27:AG27)</f>
        <v>0</v>
      </c>
      <c r="AP27" s="0" t="e">
        <f aca="false">(VLOOKUP(D27,NGPREVPRICES,2,FALSE())+HLOOKUP(C27,PREVCURVES,VLOOKUP(D27,MOVE_DOWN2,2,FALSE()),FALSE()))</f>
        <v>#N/A</v>
      </c>
      <c r="AQ27" s="0" t="e">
        <f aca="false">VLOOKUP(D27,NGPREVPRICES,4,FALSE())</f>
        <v>#N/A</v>
      </c>
      <c r="AR27" s="136" t="e">
        <f aca="false">HLOOKUP(C27,PREVVOLS,VLOOKUP(D27,MOVE_DOWN2,2,FALSE()),FALSE())</f>
        <v>#N/A</v>
      </c>
      <c r="AS27" s="137" t="n">
        <f aca="false">WORKDAY(D27,-3)-$AP$2</f>
        <v>-61</v>
      </c>
    </row>
    <row r="28" customFormat="false" ht="12.75" hidden="false" customHeight="false" outlineLevel="0" collapsed="false">
      <c r="A28" s="121" t="s">
        <v>87</v>
      </c>
      <c r="B28" s="122" t="s">
        <v>105</v>
      </c>
      <c r="C28" s="7" t="s">
        <v>74</v>
      </c>
      <c r="D28" s="92" t="n">
        <v>36739</v>
      </c>
      <c r="E28" s="92"/>
      <c r="F28" s="123" t="n">
        <v>-150000</v>
      </c>
      <c r="G28" s="43" t="n">
        <v>2.1</v>
      </c>
      <c r="H28" s="43" t="n">
        <v>2.4</v>
      </c>
      <c r="I28" s="124" t="e">
        <f aca="false">VLOOKUP(D28,NGPrices,2,FALSE())</f>
        <v>#N/A</v>
      </c>
      <c r="J28" s="125" t="e">
        <f aca="false">HLOOKUP(C28,Prices,VLOOKUP(D28,move_down,2,FALSE()),FALSE())</f>
        <v>#N/A</v>
      </c>
      <c r="K28" s="2" t="e">
        <f aca="false">J28+I28</f>
        <v>#N/A</v>
      </c>
      <c r="L28" s="126" t="e">
        <f aca="false">VLOOKUP(D28,NGPrices,4,FALSE())</f>
        <v>#N/A</v>
      </c>
      <c r="M28" s="127" t="n">
        <f aca="false">WORKDAY(D28,-3)-B$3</f>
        <v>-33</v>
      </c>
      <c r="N28" s="126"/>
      <c r="O28" s="2" t="e">
        <f aca="false">HLOOKUP(C28,VOLS,VLOOKUP(D28,move_down,2,FALSE()),FALSE())</f>
        <v>#N/A</v>
      </c>
      <c r="P28" s="128"/>
      <c r="Q28" s="129"/>
      <c r="R28" s="92" t="n">
        <f aca="false">WORKDAY(D28,-3)</f>
        <v>36734</v>
      </c>
      <c r="S28" s="130"/>
      <c r="T28" s="142"/>
      <c r="U28" s="131"/>
      <c r="V28" s="132"/>
      <c r="X28" s="0" t="str">
        <f aca="false">D28&amp;C28</f>
        <v>36739IF-HPL/SHPCHAN</v>
      </c>
      <c r="Z28" s="143" t="n">
        <f aca="false">EOMONTH(Z27,0)+1</f>
        <v>36770</v>
      </c>
      <c r="AA28" s="134" t="n">
        <f aca="false">SUMIF($X:$X,CONCATENATE($Z28,AA$6),$U:$U)</f>
        <v>0</v>
      </c>
      <c r="AB28" s="134" t="n">
        <f aca="false">SUMIF($X:$X,CONCATENATE($Z28,AB$6),$U:$U)</f>
        <v>0</v>
      </c>
      <c r="AC28" s="134" t="n">
        <f aca="false">SUMIF($X:$X,CONCATENATE($Z28,AC$6),$U:$U)</f>
        <v>0</v>
      </c>
      <c r="AD28" s="134" t="n">
        <f aca="false">SUMIF($X:$X,CONCATENATE($Z28,AD$6),$U:$U)</f>
        <v>0</v>
      </c>
      <c r="AE28" s="134" t="n">
        <f aca="false">SUMIF($X:$X,CONCATENATE($Z28,AE$6),$U:$U)</f>
        <v>0</v>
      </c>
      <c r="AF28" s="134" t="n">
        <f aca="false">SUMIF($X:$X,CONCATENATE($Z28,AF$6),$U:$U)</f>
        <v>0</v>
      </c>
      <c r="AG28" s="135" t="n">
        <f aca="false">SUMIF($X:$X,CONCATENATE($Z28,AG$6),$U:$U)</f>
        <v>0</v>
      </c>
      <c r="AI28" s="143" t="n">
        <f aca="false">EOMONTH(AI27,0)+1</f>
        <v>36770</v>
      </c>
      <c r="AJ28" s="135" t="n">
        <f aca="false">SUM(AA28:AG28)</f>
        <v>0</v>
      </c>
      <c r="AP28" s="0" t="e">
        <f aca="false">(VLOOKUP(D28,NGPREVPRICES,2,FALSE())+HLOOKUP(C28,PREVCURVES,VLOOKUP(D28,MOVE_DOWN2,2,FALSE()),FALSE()))</f>
        <v>#N/A</v>
      </c>
      <c r="AQ28" s="0" t="e">
        <f aca="false">VLOOKUP(D28,NGPREVPRICES,4,FALSE())</f>
        <v>#N/A</v>
      </c>
      <c r="AR28" s="136" t="e">
        <f aca="false">HLOOKUP(C28,PREVVOLS,VLOOKUP(D28,MOVE_DOWN2,2,FALSE()),FALSE())</f>
        <v>#N/A</v>
      </c>
      <c r="AS28" s="137" t="n">
        <f aca="false">WORKDAY(D28,-3)-$AP$2</f>
        <v>-32</v>
      </c>
    </row>
    <row r="29" customFormat="false" ht="12.75" hidden="false" customHeight="false" outlineLevel="0" collapsed="false">
      <c r="A29" s="121" t="s">
        <v>87</v>
      </c>
      <c r="B29" s="122" t="s">
        <v>105</v>
      </c>
      <c r="C29" s="7" t="s">
        <v>74</v>
      </c>
      <c r="D29" s="92" t="n">
        <v>36770</v>
      </c>
      <c r="E29" s="92"/>
      <c r="F29" s="123" t="n">
        <v>-150000</v>
      </c>
      <c r="G29" s="43" t="n">
        <v>2.1</v>
      </c>
      <c r="H29" s="43" t="n">
        <v>2.4</v>
      </c>
      <c r="I29" s="124" t="n">
        <f aca="false">VLOOKUP(D29,NGPrices,2,FALSE())</f>
        <v>4.685</v>
      </c>
      <c r="J29" s="125" t="n">
        <f aca="false">HLOOKUP(C29,Prices,VLOOKUP(D29,move_down,2,FALSE()),FALSE())</f>
        <v>0</v>
      </c>
      <c r="K29" s="2" t="n">
        <f aca="false">J29+I29</f>
        <v>4.685</v>
      </c>
      <c r="L29" s="126" t="n">
        <f aca="false">VLOOKUP(D29,NGPrices,4,FALSE())</f>
        <v>0.067216196212185</v>
      </c>
      <c r="M29" s="127" t="n">
        <f aca="false">WORKDAY(D29,-3)-B$3</f>
        <v>0</v>
      </c>
      <c r="N29" s="126"/>
      <c r="O29" s="2" t="n">
        <f aca="false">HLOOKUP(C29,VOLS,VLOOKUP(D29,move_down,2,FALSE()),FALSE())</f>
        <v>0.4</v>
      </c>
      <c r="P29" s="128"/>
      <c r="Q29" s="129"/>
      <c r="R29" s="92" t="n">
        <f aca="false">WORKDAY(D29,-3)</f>
        <v>36767</v>
      </c>
      <c r="S29" s="130"/>
      <c r="T29" s="142"/>
      <c r="U29" s="131"/>
      <c r="V29" s="132"/>
      <c r="X29" s="0" t="str">
        <f aca="false">D29&amp;C29</f>
        <v>36770IF-HPL/SHPCHAN</v>
      </c>
      <c r="Z29" s="143" t="n">
        <f aca="false">EOMONTH(Z28,0)+1</f>
        <v>36800</v>
      </c>
      <c r="AA29" s="134" t="n">
        <f aca="false">SUMIF($X:$X,CONCATENATE($Z29,AA$6),$U:$U)</f>
        <v>0</v>
      </c>
      <c r="AB29" s="134" t="n">
        <f aca="false">SUMIF($X:$X,CONCATENATE($Z29,AB$6),$U:$U)</f>
        <v>0</v>
      </c>
      <c r="AC29" s="134" t="n">
        <f aca="false">SUMIF($X:$X,CONCATENATE($Z29,AC$6),$U:$U)</f>
        <v>0</v>
      </c>
      <c r="AD29" s="134" t="n">
        <f aca="false">SUMIF($X:$X,CONCATENATE($Z29,AD$6),$U:$U)</f>
        <v>0</v>
      </c>
      <c r="AE29" s="134" t="n">
        <f aca="false">SUMIF($X:$X,CONCATENATE($Z29,AE$6),$U:$U)</f>
        <v>0</v>
      </c>
      <c r="AF29" s="134" t="n">
        <f aca="false">SUMIF($X:$X,CONCATENATE($Z29,AF$6),$U:$U)</f>
        <v>0</v>
      </c>
      <c r="AG29" s="135" t="n">
        <f aca="false">SUMIF($X:$X,CONCATENATE($Z29,AG$6),$U:$U)</f>
        <v>0</v>
      </c>
      <c r="AI29" s="143" t="n">
        <f aca="false">EOMONTH(AI28,0)+1</f>
        <v>36800</v>
      </c>
      <c r="AJ29" s="135" t="n">
        <f aca="false">SUM(AA29:AG29)</f>
        <v>0</v>
      </c>
      <c r="AP29" s="0" t="n">
        <f aca="false">(VLOOKUP(D29,NGPREVPRICES,2,FALSE())+HLOOKUP(C29,PREVCURVES,VLOOKUP(D29,MOVE_DOWN2,2,FALSE()),FALSE()))</f>
        <v>4.685</v>
      </c>
      <c r="AQ29" s="0" t="n">
        <f aca="false">VLOOKUP(D29,NGPREVPRICES,4,FALSE())</f>
        <v>0.067216196212185</v>
      </c>
      <c r="AR29" s="136" t="n">
        <f aca="false">HLOOKUP(C29,PREVVOLS,VLOOKUP(D29,MOVE_DOWN2,2,FALSE()),FALSE())</f>
        <v>0.4</v>
      </c>
      <c r="AS29" s="137" t="n">
        <f aca="false">WORKDAY(D29,-3)-$AP$2</f>
        <v>1</v>
      </c>
    </row>
    <row r="30" customFormat="false" ht="12.75" hidden="false" customHeight="false" outlineLevel="0" collapsed="false">
      <c r="A30" s="121" t="s">
        <v>87</v>
      </c>
      <c r="B30" s="122" t="s">
        <v>105</v>
      </c>
      <c r="C30" s="7" t="s">
        <v>74</v>
      </c>
      <c r="D30" s="92" t="n">
        <v>36800</v>
      </c>
      <c r="E30" s="92"/>
      <c r="F30" s="123" t="n">
        <v>-150000</v>
      </c>
      <c r="G30" s="43" t="n">
        <v>2.1</v>
      </c>
      <c r="H30" s="43" t="n">
        <v>2.4</v>
      </c>
      <c r="I30" s="124" t="n">
        <f aca="false">VLOOKUP(D30,NGPrices,2,FALSE())</f>
        <v>4.692</v>
      </c>
      <c r="J30" s="125" t="n">
        <f aca="false">HLOOKUP(C30,Prices,VLOOKUP(D30,move_down,2,FALSE()),FALSE())</f>
        <v>-0.01</v>
      </c>
      <c r="K30" s="2" t="n">
        <f aca="false">J30+I30</f>
        <v>4.682</v>
      </c>
      <c r="L30" s="126" t="n">
        <f aca="false">VLOOKUP(D30,NGPrices,4,FALSE())</f>
        <v>0.068050789414654</v>
      </c>
      <c r="M30" s="127" t="n">
        <f aca="false">WORKDAY(D30,-3)-B$3</f>
        <v>29</v>
      </c>
      <c r="N30" s="126"/>
      <c r="O30" s="2" t="n">
        <f aca="false">HLOOKUP(C30,VOLS,VLOOKUP(D30,move_down,2,FALSE()),FALSE())</f>
        <v>0.575</v>
      </c>
      <c r="P30" s="128"/>
      <c r="Q30" s="129"/>
      <c r="R30" s="92" t="n">
        <f aca="false">WORKDAY(D30,-3)</f>
        <v>36796</v>
      </c>
      <c r="S30" s="130"/>
      <c r="T30" s="142"/>
      <c r="U30" s="131"/>
      <c r="V30" s="132"/>
      <c r="X30" s="0" t="str">
        <f aca="false">D30&amp;C30</f>
        <v>36800IF-HPL/SHPCHAN</v>
      </c>
      <c r="Z30" s="143" t="n">
        <f aca="false">EOMONTH(Z29,0)+1</f>
        <v>36831</v>
      </c>
      <c r="AA30" s="134" t="n">
        <f aca="false">SUMIF($X:$X,CONCATENATE($Z30,AA$6),$U:$U)</f>
        <v>0</v>
      </c>
      <c r="AB30" s="134" t="n">
        <f aca="false">SUMIF($X:$X,CONCATENATE($Z30,AB$6),$U:$U)</f>
        <v>0</v>
      </c>
      <c r="AC30" s="134" t="n">
        <f aca="false">SUMIF($X:$X,CONCATENATE($Z30,AC$6),$U:$U)</f>
        <v>0</v>
      </c>
      <c r="AD30" s="134" t="n">
        <f aca="false">SUMIF($X:$X,CONCATENATE($Z30,AD$6),$U:$U)</f>
        <v>0</v>
      </c>
      <c r="AE30" s="134" t="n">
        <f aca="false">SUMIF($X:$X,CONCATENATE($Z30,AE$6),$U:$U)</f>
        <v>0</v>
      </c>
      <c r="AF30" s="134" t="n">
        <f aca="false">SUMIF($X:$X,CONCATENATE($Z30,AF$6),$U:$U)</f>
        <v>0</v>
      </c>
      <c r="AG30" s="135" t="n">
        <f aca="false">SUMIF($X:$X,CONCATENATE($Z30,AG$6),$U:$U)</f>
        <v>0</v>
      </c>
      <c r="AI30" s="143" t="n">
        <f aca="false">EOMONTH(AI29,0)+1</f>
        <v>36831</v>
      </c>
      <c r="AJ30" s="135" t="n">
        <f aca="false">SUM(AA30:AG30)</f>
        <v>0</v>
      </c>
      <c r="AP30" s="0" t="n">
        <f aca="false">(VLOOKUP(D30,NGPREVPRICES,2,FALSE())+HLOOKUP(C30,PREVCURVES,VLOOKUP(D30,MOVE_DOWN2,2,FALSE()),FALSE()))</f>
        <v>4.682</v>
      </c>
      <c r="AQ30" s="0" t="n">
        <f aca="false">VLOOKUP(D30,NGPREVPRICES,4,FALSE())</f>
        <v>0.068050789414654</v>
      </c>
      <c r="AR30" s="136" t="n">
        <f aca="false">HLOOKUP(C30,PREVVOLS,VLOOKUP(D30,MOVE_DOWN2,2,FALSE()),FALSE())</f>
        <v>0.575</v>
      </c>
      <c r="AS30" s="137" t="n">
        <f aca="false">WORKDAY(D30,-3)-$AP$2</f>
        <v>30</v>
      </c>
    </row>
    <row r="31" customFormat="false" ht="12.75" hidden="false" customHeight="false" outlineLevel="0" collapsed="false">
      <c r="A31" s="2"/>
      <c r="B31" s="122"/>
      <c r="C31" s="7"/>
      <c r="D31" s="92"/>
      <c r="E31" s="2"/>
      <c r="F31" s="123"/>
      <c r="I31" s="124"/>
      <c r="J31" s="125"/>
      <c r="K31" s="2"/>
      <c r="L31" s="126"/>
      <c r="M31" s="127"/>
      <c r="O31" s="2"/>
      <c r="R31" s="92"/>
      <c r="T31" s="160"/>
      <c r="U31" s="131"/>
      <c r="Z31" s="143" t="n">
        <f aca="false">EOMONTH(Z30,0)+1</f>
        <v>36861</v>
      </c>
      <c r="AA31" s="134" t="n">
        <f aca="false">SUMIF($X:$X,CONCATENATE($Z31,AA$6),$U:$U)</f>
        <v>0</v>
      </c>
      <c r="AB31" s="134" t="n">
        <f aca="false">SUMIF($X:$X,CONCATENATE($Z31,AB$6),$U:$U)</f>
        <v>0</v>
      </c>
      <c r="AC31" s="134" t="n">
        <f aca="false">SUMIF($X:$X,CONCATENATE($Z31,AC$6),$U:$U)</f>
        <v>0</v>
      </c>
      <c r="AD31" s="134" t="n">
        <f aca="false">SUMIF($X:$X,CONCATENATE($Z31,AD$6),$U:$U)</f>
        <v>0</v>
      </c>
      <c r="AE31" s="134" t="n">
        <f aca="false">SUMIF($X:$X,CONCATENATE($Z31,AE$6),$U:$U)</f>
        <v>0</v>
      </c>
      <c r="AF31" s="134" t="n">
        <f aca="false">SUMIF($X:$X,CONCATENATE($Z31,AF$6),$U:$U)</f>
        <v>0</v>
      </c>
      <c r="AG31" s="135" t="n">
        <f aca="false">SUMIF($X:$X,CONCATENATE($Z31,AG$6),$U:$U)</f>
        <v>0</v>
      </c>
      <c r="AI31" s="143" t="n">
        <f aca="false">EOMONTH(AI30,0)+1</f>
        <v>36861</v>
      </c>
      <c r="AJ31" s="135" t="n">
        <f aca="false">SUM(AA31:AG31)</f>
        <v>0</v>
      </c>
      <c r="BG31" s="161"/>
      <c r="BM31" s="162"/>
      <c r="BN31" s="162"/>
      <c r="BO31" s="162"/>
      <c r="BP31" s="162"/>
      <c r="BQ31" s="162"/>
      <c r="BR31" s="162"/>
    </row>
    <row r="32" customFormat="false" ht="12.75" hidden="false" customHeight="false" outlineLevel="0" collapsed="false">
      <c r="A32" s="2"/>
      <c r="B32" s="2"/>
      <c r="C32" s="2"/>
      <c r="D32" s="2"/>
      <c r="E32" s="2"/>
      <c r="T32" s="160"/>
      <c r="Z32" s="143" t="n">
        <f aca="false">EOMONTH(Z31,0)+1</f>
        <v>36892</v>
      </c>
      <c r="AA32" s="134" t="n">
        <f aca="false">SUMIF($X:$X,CONCATENATE($Z32,AA$6),$U:$U)</f>
        <v>0</v>
      </c>
      <c r="AB32" s="134" t="n">
        <f aca="false">SUMIF($X:$X,CONCATENATE($Z32,AB$6),$U:$U)</f>
        <v>0</v>
      </c>
      <c r="AC32" s="134" t="n">
        <f aca="false">SUMIF($X:$X,CONCATENATE($Z32,AC$6),$U:$U)</f>
        <v>0</v>
      </c>
      <c r="AD32" s="134" t="n">
        <f aca="false">SUMIF($X:$X,CONCATENATE($Z32,AD$6),$U:$U)</f>
        <v>0</v>
      </c>
      <c r="AE32" s="134" t="n">
        <f aca="false">SUMIF($X:$X,CONCATENATE($Z32,AE$6),$U:$U)</f>
        <v>0</v>
      </c>
      <c r="AF32" s="134" t="n">
        <f aca="false">SUMIF($X:$X,CONCATENATE($Z32,AF$6),$U:$U)</f>
        <v>0</v>
      </c>
      <c r="AG32" s="135" t="n">
        <f aca="false">SUMIF($X:$X,CONCATENATE($Z32,AG$6),$U:$U)</f>
        <v>0</v>
      </c>
      <c r="AI32" s="143" t="n">
        <f aca="false">EOMONTH(AI31,0)+1</f>
        <v>36892</v>
      </c>
      <c r="AJ32" s="135" t="n">
        <f aca="false">SUM(AA32:AG32)</f>
        <v>0</v>
      </c>
    </row>
    <row r="33" customFormat="false" ht="12.75" hidden="false" customHeight="false" outlineLevel="0" collapsed="false">
      <c r="A33" s="2"/>
      <c r="B33" s="2"/>
      <c r="C33" s="2"/>
      <c r="D33" s="2"/>
      <c r="E33" s="2"/>
      <c r="T33" s="160"/>
      <c r="Z33" s="143" t="n">
        <f aca="false">EOMONTH(Z32,0)+1</f>
        <v>36923</v>
      </c>
      <c r="AA33" s="134" t="n">
        <f aca="false">SUMIF($X:$X,CONCATENATE($Z33,AA$6),$U:$U)</f>
        <v>0</v>
      </c>
      <c r="AB33" s="134" t="n">
        <f aca="false">SUMIF($X:$X,CONCATENATE($Z33,AB$6),$U:$U)</f>
        <v>0</v>
      </c>
      <c r="AC33" s="134" t="n">
        <f aca="false">SUMIF($X:$X,CONCATENATE($Z33,AC$6),$U:$U)</f>
        <v>0</v>
      </c>
      <c r="AD33" s="134" t="n">
        <f aca="false">SUMIF($X:$X,CONCATENATE($Z33,AD$6),$U:$U)</f>
        <v>0</v>
      </c>
      <c r="AE33" s="134" t="n">
        <f aca="false">SUMIF($X:$X,CONCATENATE($Z33,AE$6),$U:$U)</f>
        <v>0</v>
      </c>
      <c r="AF33" s="134" t="n">
        <f aca="false">SUMIF($X:$X,CONCATENATE($Z33,AF$6),$U:$U)</f>
        <v>0</v>
      </c>
      <c r="AG33" s="135" t="n">
        <f aca="false">SUMIF($X:$X,CONCATENATE($Z33,AG$6),$U:$U)</f>
        <v>0</v>
      </c>
      <c r="AI33" s="143" t="n">
        <f aca="false">EOMONTH(AI32,0)+1</f>
        <v>36923</v>
      </c>
      <c r="AJ33" s="135" t="n">
        <f aca="false">SUM(AA33:AG33)</f>
        <v>0</v>
      </c>
    </row>
    <row r="34" customFormat="false" ht="12.75" hidden="false" customHeight="false" outlineLevel="0" collapsed="false">
      <c r="A34" s="2"/>
      <c r="B34" s="2"/>
      <c r="C34" s="2"/>
      <c r="D34" s="2"/>
      <c r="E34" s="2"/>
      <c r="T34" s="160"/>
      <c r="Z34" s="143" t="n">
        <f aca="false">EOMONTH(Z33,0)+1</f>
        <v>36951</v>
      </c>
      <c r="AA34" s="134" t="n">
        <f aca="false">SUMIF($X:$X,CONCATENATE($Z34,AA$6),$U:$U)</f>
        <v>0</v>
      </c>
      <c r="AB34" s="134" t="n">
        <f aca="false">SUMIF($X:$X,CONCATENATE($Z34,AB$6),$U:$U)</f>
        <v>0</v>
      </c>
      <c r="AC34" s="134" t="n">
        <f aca="false">SUMIF($X:$X,CONCATENATE($Z34,AC$6),$U:$U)</f>
        <v>0</v>
      </c>
      <c r="AD34" s="134" t="n">
        <f aca="false">SUMIF($X:$X,CONCATENATE($Z34,AD$6),$U:$U)</f>
        <v>0</v>
      </c>
      <c r="AE34" s="134" t="n">
        <f aca="false">SUMIF($X:$X,CONCATENATE($Z34,AE$6),$U:$U)</f>
        <v>0</v>
      </c>
      <c r="AF34" s="134" t="n">
        <f aca="false">SUMIF($X:$X,CONCATENATE($Z34,AF$6),$U:$U)</f>
        <v>0</v>
      </c>
      <c r="AG34" s="135" t="n">
        <f aca="false">SUMIF($X:$X,CONCATENATE($Z34,AG$6),$U:$U)</f>
        <v>0</v>
      </c>
      <c r="AI34" s="143" t="n">
        <f aca="false">EOMONTH(AI33,0)+1</f>
        <v>36951</v>
      </c>
      <c r="AJ34" s="135" t="n">
        <f aca="false">SUM(AA34:AG34)</f>
        <v>0</v>
      </c>
    </row>
    <row r="35" customFormat="false" ht="12.75" hidden="false" customHeight="false" outlineLevel="0" collapsed="false">
      <c r="A35" s="2"/>
      <c r="B35" s="2"/>
      <c r="C35" s="2"/>
      <c r="D35" s="2"/>
      <c r="E35" s="2"/>
      <c r="T35" s="160"/>
      <c r="Z35" s="143" t="n">
        <f aca="false">EOMONTH(Z34,0)+1</f>
        <v>36982</v>
      </c>
      <c r="AA35" s="134" t="n">
        <f aca="false">SUMIF($X:$X,CONCATENATE($Z35,AA$6),$U:$U)</f>
        <v>0</v>
      </c>
      <c r="AB35" s="134" t="n">
        <f aca="false">SUMIF($X:$X,CONCATENATE($Z35,AB$6),$U:$U)</f>
        <v>0</v>
      </c>
      <c r="AC35" s="134" t="n">
        <f aca="false">SUMIF($X:$X,CONCATENATE($Z35,AC$6),$U:$U)</f>
        <v>0</v>
      </c>
      <c r="AD35" s="134" t="n">
        <f aca="false">SUMIF($X:$X,CONCATENATE($Z35,AD$6),$U:$U)</f>
        <v>0</v>
      </c>
      <c r="AE35" s="134" t="n">
        <f aca="false">SUMIF($X:$X,CONCATENATE($Z35,AE$6),$U:$U)</f>
        <v>0</v>
      </c>
      <c r="AF35" s="134" t="n">
        <f aca="false">SUMIF($X:$X,CONCATENATE($Z35,AF$6),$U:$U)</f>
        <v>0</v>
      </c>
      <c r="AG35" s="135" t="n">
        <f aca="false">SUMIF($X:$X,CONCATENATE($Z35,AG$6),$U:$U)</f>
        <v>0</v>
      </c>
      <c r="AI35" s="143" t="n">
        <f aca="false">EOMONTH(AI34,0)+1</f>
        <v>36982</v>
      </c>
      <c r="AJ35" s="135" t="n">
        <f aca="false">SUM(AA35:AG35)</f>
        <v>0</v>
      </c>
    </row>
    <row r="36" customFormat="false" ht="12.75" hidden="false" customHeight="false" outlineLevel="0" collapsed="false">
      <c r="A36" s="2"/>
      <c r="B36" s="2"/>
      <c r="C36" s="2"/>
      <c r="D36" s="2"/>
      <c r="E36" s="2"/>
      <c r="T36" s="160"/>
      <c r="Z36" s="143" t="n">
        <f aca="false">EOMONTH(Z35,0)+1</f>
        <v>37012</v>
      </c>
      <c r="AA36" s="134" t="n">
        <f aca="false">SUMIF($X:$X,CONCATENATE($Z36,AA$6),$U:$U)</f>
        <v>0</v>
      </c>
      <c r="AB36" s="134" t="n">
        <f aca="false">SUMIF($X:$X,CONCATENATE($Z36,AB$6),$U:$U)</f>
        <v>0</v>
      </c>
      <c r="AC36" s="134" t="n">
        <f aca="false">SUMIF($X:$X,CONCATENATE($Z36,AC$6),$U:$U)</f>
        <v>0</v>
      </c>
      <c r="AD36" s="134" t="n">
        <f aca="false">SUMIF($X:$X,CONCATENATE($Z36,AD$6),$U:$U)</f>
        <v>0</v>
      </c>
      <c r="AE36" s="134" t="n">
        <f aca="false">SUMIF($X:$X,CONCATENATE($Z36,AE$6),$U:$U)</f>
        <v>0</v>
      </c>
      <c r="AF36" s="134" t="n">
        <f aca="false">SUMIF($X:$X,CONCATENATE($Z36,AF$6),$U:$U)</f>
        <v>0</v>
      </c>
      <c r="AG36" s="135" t="n">
        <f aca="false">SUMIF($X:$X,CONCATENATE($Z36,AG$6),$U:$U)</f>
        <v>0</v>
      </c>
      <c r="AI36" s="143" t="n">
        <f aca="false">EOMONTH(AI35,0)+1</f>
        <v>37012</v>
      </c>
      <c r="AJ36" s="135" t="n">
        <f aca="false">SUM(AA36:AG36)</f>
        <v>0</v>
      </c>
    </row>
    <row r="37" customFormat="false" ht="12.75" hidden="false" customHeight="false" outlineLevel="0" collapsed="false">
      <c r="A37" s="2"/>
      <c r="B37" s="2"/>
      <c r="C37" s="2"/>
      <c r="D37" s="2"/>
      <c r="E37" s="2"/>
      <c r="T37" s="160"/>
      <c r="Z37" s="143" t="n">
        <f aca="false">EOMONTH(Z36,0)+1</f>
        <v>37043</v>
      </c>
      <c r="AA37" s="134" t="n">
        <f aca="false">SUMIF($X:$X,CONCATENATE($Z37,AA$6),$U:$U)</f>
        <v>0</v>
      </c>
      <c r="AB37" s="134" t="n">
        <f aca="false">SUMIF($X:$X,CONCATENATE($Z37,AB$6),$U:$U)</f>
        <v>0</v>
      </c>
      <c r="AC37" s="134" t="n">
        <f aca="false">SUMIF($X:$X,CONCATENATE($Z37,AC$6),$U:$U)</f>
        <v>0</v>
      </c>
      <c r="AD37" s="134" t="n">
        <f aca="false">SUMIF($X:$X,CONCATENATE($Z37,AD$6),$U:$U)</f>
        <v>0</v>
      </c>
      <c r="AE37" s="134" t="n">
        <f aca="false">SUMIF($X:$X,CONCATENATE($Z37,AE$6),$U:$U)</f>
        <v>0</v>
      </c>
      <c r="AF37" s="134" t="n">
        <f aca="false">SUMIF($X:$X,CONCATENATE($Z37,AF$6),$U:$U)</f>
        <v>0</v>
      </c>
      <c r="AG37" s="135" t="n">
        <f aca="false">SUMIF($X:$X,CONCATENATE($Z37,AG$6),$U:$U)</f>
        <v>0</v>
      </c>
      <c r="AI37" s="143" t="n">
        <f aca="false">EOMONTH(AI36,0)+1</f>
        <v>37043</v>
      </c>
      <c r="AJ37" s="135" t="n">
        <f aca="false">SUM(AA37:AG37)</f>
        <v>0</v>
      </c>
    </row>
    <row r="38" customFormat="false" ht="12.75" hidden="false" customHeight="false" outlineLevel="0" collapsed="false">
      <c r="A38" s="2"/>
      <c r="B38" s="2"/>
      <c r="C38" s="2"/>
      <c r="D38" s="2"/>
      <c r="E38" s="2"/>
      <c r="T38" s="160"/>
      <c r="Z38" s="143" t="n">
        <f aca="false">EOMONTH(Z37,0)+1</f>
        <v>37073</v>
      </c>
      <c r="AA38" s="134" t="n">
        <f aca="false">SUMIF($X:$X,CONCATENATE($Z38,AA$6),$U:$U)</f>
        <v>0</v>
      </c>
      <c r="AB38" s="134" t="n">
        <f aca="false">SUMIF($X:$X,CONCATENATE($Z38,AB$6),$U:$U)</f>
        <v>0</v>
      </c>
      <c r="AC38" s="134" t="n">
        <f aca="false">SUMIF($X:$X,CONCATENATE($Z38,AC$6),$U:$U)</f>
        <v>0</v>
      </c>
      <c r="AD38" s="134" t="n">
        <f aca="false">SUMIF($X:$X,CONCATENATE($Z38,AD$6),$U:$U)</f>
        <v>0</v>
      </c>
      <c r="AE38" s="134" t="n">
        <f aca="false">SUMIF($X:$X,CONCATENATE($Z38,AE$6),$U:$U)</f>
        <v>0</v>
      </c>
      <c r="AF38" s="134" t="n">
        <f aca="false">SUMIF($X:$X,CONCATENATE($Z38,AF$6),$U:$U)</f>
        <v>0</v>
      </c>
      <c r="AG38" s="135" t="n">
        <f aca="false">SUMIF($X:$X,CONCATENATE($Z38,AG$6),$U:$U)</f>
        <v>0</v>
      </c>
      <c r="AI38" s="143" t="n">
        <f aca="false">EOMONTH(AI37,0)+1</f>
        <v>37073</v>
      </c>
      <c r="AJ38" s="135" t="n">
        <f aca="false">SUM(AA38:AG38)</f>
        <v>0</v>
      </c>
    </row>
    <row r="39" customFormat="false" ht="12.75" hidden="false" customHeight="false" outlineLevel="0" collapsed="false">
      <c r="A39" s="2"/>
      <c r="B39" s="2"/>
      <c r="C39" s="2"/>
      <c r="D39" s="2"/>
      <c r="E39" s="2"/>
      <c r="T39" s="160"/>
      <c r="Z39" s="143" t="n">
        <f aca="false">EOMONTH(Z38,0)+1</f>
        <v>37104</v>
      </c>
      <c r="AA39" s="134" t="n">
        <f aca="false">SUMIF($X:$X,CONCATENATE($Z39,AA$6),$U:$U)</f>
        <v>0</v>
      </c>
      <c r="AB39" s="134" t="n">
        <f aca="false">SUMIF($X:$X,CONCATENATE($Z39,AB$6),$U:$U)</f>
        <v>0</v>
      </c>
      <c r="AC39" s="134" t="n">
        <f aca="false">SUMIF($X:$X,CONCATENATE($Z39,AC$6),$U:$U)</f>
        <v>0</v>
      </c>
      <c r="AD39" s="134" t="n">
        <f aca="false">SUMIF($X:$X,CONCATENATE($Z39,AD$6),$U:$U)</f>
        <v>0</v>
      </c>
      <c r="AE39" s="134" t="n">
        <f aca="false">SUMIF($X:$X,CONCATENATE($Z39,AE$6),$U:$U)</f>
        <v>0</v>
      </c>
      <c r="AF39" s="134" t="n">
        <f aca="false">SUMIF($X:$X,CONCATENATE($Z39,AF$6),$U:$U)</f>
        <v>0</v>
      </c>
      <c r="AG39" s="135" t="n">
        <f aca="false">SUMIF($X:$X,CONCATENATE($Z39,AG$6),$U:$U)</f>
        <v>0</v>
      </c>
      <c r="AI39" s="143" t="n">
        <f aca="false">EOMONTH(AI38,0)+1</f>
        <v>37104</v>
      </c>
      <c r="AJ39" s="135" t="n">
        <f aca="false">SUM(AA39:AG39)</f>
        <v>0</v>
      </c>
    </row>
    <row r="40" customFormat="false" ht="12.75" hidden="false" customHeight="false" outlineLevel="0" collapsed="false">
      <c r="A40" s="2"/>
      <c r="B40" s="2"/>
      <c r="C40" s="2"/>
      <c r="D40" s="2"/>
      <c r="E40" s="2"/>
      <c r="T40" s="160"/>
      <c r="Z40" s="143" t="n">
        <f aca="false">EOMONTH(Z39,0)+1</f>
        <v>37135</v>
      </c>
      <c r="AA40" s="134" t="n">
        <f aca="false">SUMIF($X:$X,CONCATENATE($Z40,AA$6),$U:$U)</f>
        <v>0</v>
      </c>
      <c r="AB40" s="134" t="n">
        <f aca="false">SUMIF($X:$X,CONCATENATE($Z40,AB$6),$U:$U)</f>
        <v>0</v>
      </c>
      <c r="AC40" s="134" t="n">
        <f aca="false">SUMIF($X:$X,CONCATENATE($Z40,AC$6),$U:$U)</f>
        <v>0</v>
      </c>
      <c r="AD40" s="134" t="n">
        <f aca="false">SUMIF($X:$X,CONCATENATE($Z40,AD$6),$U:$U)</f>
        <v>0</v>
      </c>
      <c r="AE40" s="134" t="n">
        <f aca="false">SUMIF($X:$X,CONCATENATE($Z40,AE$6),$U:$U)</f>
        <v>0</v>
      </c>
      <c r="AF40" s="134" t="n">
        <f aca="false">SUMIF($X:$X,CONCATENATE($Z40,AF$6),$U:$U)</f>
        <v>0</v>
      </c>
      <c r="AG40" s="135" t="n">
        <f aca="false">SUMIF($X:$X,CONCATENATE($Z40,AG$6),$U:$U)</f>
        <v>0</v>
      </c>
      <c r="AI40" s="143" t="n">
        <f aca="false">EOMONTH(AI39,0)+1</f>
        <v>37135</v>
      </c>
      <c r="AJ40" s="135" t="n">
        <f aca="false">SUM(AA40:AG40)</f>
        <v>0</v>
      </c>
    </row>
    <row r="41" customFormat="false" ht="12.75" hidden="false" customHeight="false" outlineLevel="0" collapsed="false">
      <c r="A41" s="2"/>
      <c r="B41" s="2"/>
      <c r="C41" s="2"/>
      <c r="D41" s="2"/>
      <c r="E41" s="2"/>
      <c r="T41" s="160"/>
      <c r="Z41" s="143" t="n">
        <f aca="false">EOMONTH(Z40,0)+1</f>
        <v>37165</v>
      </c>
      <c r="AA41" s="134" t="n">
        <f aca="false">SUMIF($X:$X,CONCATENATE($Z41,AA$6),$U:$U)</f>
        <v>0</v>
      </c>
      <c r="AB41" s="134" t="n">
        <f aca="false">SUMIF($X:$X,CONCATENATE($Z41,AB$6),$U:$U)</f>
        <v>0</v>
      </c>
      <c r="AC41" s="134" t="n">
        <f aca="false">SUMIF($X:$X,CONCATENATE($Z41,AC$6),$U:$U)</f>
        <v>0</v>
      </c>
      <c r="AD41" s="134" t="n">
        <f aca="false">SUMIF($X:$X,CONCATENATE($Z41,AD$6),$U:$U)</f>
        <v>0</v>
      </c>
      <c r="AE41" s="134" t="n">
        <f aca="false">SUMIF($X:$X,CONCATENATE($Z41,AE$6),$U:$U)</f>
        <v>0</v>
      </c>
      <c r="AF41" s="134" t="n">
        <f aca="false">SUMIF($X:$X,CONCATENATE($Z41,AF$6),$U:$U)</f>
        <v>0</v>
      </c>
      <c r="AG41" s="135" t="n">
        <f aca="false">SUMIF($X:$X,CONCATENATE($Z41,AG$6),$U:$U)</f>
        <v>0</v>
      </c>
      <c r="AI41" s="143" t="n">
        <f aca="false">EOMONTH(AI40,0)+1</f>
        <v>37165</v>
      </c>
      <c r="AJ41" s="135" t="n">
        <f aca="false">SUM(AA41:AG41)</f>
        <v>0</v>
      </c>
    </row>
    <row r="42" customFormat="false" ht="12.75" hidden="false" customHeight="false" outlineLevel="0" collapsed="false">
      <c r="A42" s="2"/>
      <c r="B42" s="2"/>
      <c r="C42" s="2"/>
      <c r="D42" s="2"/>
      <c r="E42" s="2"/>
      <c r="T42" s="160"/>
      <c r="Z42" s="143" t="n">
        <f aca="false">EOMONTH(Z41,0)+1</f>
        <v>37196</v>
      </c>
      <c r="AA42" s="134" t="n">
        <f aca="false">SUMIF($X:$X,CONCATENATE($Z42,AA$6),$U:$U)</f>
        <v>0</v>
      </c>
      <c r="AB42" s="134" t="n">
        <f aca="false">SUMIF($X:$X,CONCATENATE($Z42,AB$6),$U:$U)</f>
        <v>0</v>
      </c>
      <c r="AC42" s="134" t="n">
        <f aca="false">SUMIF($X:$X,CONCATENATE($Z42,AC$6),$U:$U)</f>
        <v>0</v>
      </c>
      <c r="AD42" s="134" t="n">
        <f aca="false">SUMIF($X:$X,CONCATENATE($Z42,AD$6),$U:$U)</f>
        <v>0</v>
      </c>
      <c r="AE42" s="134" t="n">
        <f aca="false">SUMIF($X:$X,CONCATENATE($Z42,AE$6),$U:$U)</f>
        <v>0</v>
      </c>
      <c r="AF42" s="134" t="n">
        <f aca="false">SUMIF($X:$X,CONCATENATE($Z42,AF$6),$U:$U)</f>
        <v>0</v>
      </c>
      <c r="AG42" s="135" t="n">
        <f aca="false">SUMIF($X:$X,CONCATENATE($Z42,AG$6),$U:$U)</f>
        <v>0</v>
      </c>
      <c r="AI42" s="143" t="n">
        <f aca="false">EOMONTH(AI41,0)+1</f>
        <v>37196</v>
      </c>
      <c r="AJ42" s="135" t="n">
        <f aca="false">SUM(AA42:AG42)</f>
        <v>0</v>
      </c>
    </row>
    <row r="43" customFormat="false" ht="12.75" hidden="false" customHeight="false" outlineLevel="0" collapsed="false">
      <c r="A43" s="2"/>
      <c r="B43" s="2"/>
      <c r="C43" s="2"/>
      <c r="D43" s="2"/>
      <c r="E43" s="2"/>
      <c r="T43" s="160"/>
      <c r="Z43" s="143" t="n">
        <f aca="false">EOMONTH(Z42,0)+1</f>
        <v>37226</v>
      </c>
      <c r="AA43" s="134" t="n">
        <f aca="false">SUMIF($X:$X,CONCATENATE($Z43,AA$6),$U:$U)</f>
        <v>0</v>
      </c>
      <c r="AB43" s="134" t="n">
        <f aca="false">SUMIF($X:$X,CONCATENATE($Z43,AB$6),$U:$U)</f>
        <v>0</v>
      </c>
      <c r="AC43" s="134" t="n">
        <f aca="false">SUMIF($X:$X,CONCATENATE($Z43,AC$6),$U:$U)</f>
        <v>0</v>
      </c>
      <c r="AD43" s="134" t="n">
        <f aca="false">SUMIF($X:$X,CONCATENATE($Z43,AD$6),$U:$U)</f>
        <v>0</v>
      </c>
      <c r="AE43" s="134" t="n">
        <f aca="false">SUMIF($X:$X,CONCATENATE($Z43,AE$6),$U:$U)</f>
        <v>0</v>
      </c>
      <c r="AF43" s="134" t="n">
        <f aca="false">SUMIF($X:$X,CONCATENATE($Z43,AF$6),$U:$U)</f>
        <v>0</v>
      </c>
      <c r="AG43" s="135" t="n">
        <f aca="false">SUMIF($X:$X,CONCATENATE($Z43,AG$6),$U:$U)</f>
        <v>0</v>
      </c>
      <c r="AI43" s="143" t="n">
        <f aca="false">EOMONTH(AI42,0)+1</f>
        <v>37226</v>
      </c>
      <c r="AJ43" s="135" t="n">
        <f aca="false">SUM(AA43:AG43)</f>
        <v>0</v>
      </c>
    </row>
    <row r="44" customFormat="false" ht="12.75" hidden="false" customHeight="false" outlineLevel="0" collapsed="false">
      <c r="A44" s="2"/>
      <c r="B44" s="2"/>
      <c r="C44" s="2"/>
      <c r="D44" s="2"/>
      <c r="E44" s="2"/>
      <c r="T44" s="160"/>
      <c r="Z44" s="143" t="n">
        <f aca="false">EOMONTH(Z43,0)+1</f>
        <v>37257</v>
      </c>
      <c r="AA44" s="134" t="n">
        <f aca="false">SUMIF($X:$X,CONCATENATE($Z44,AA$6),$U:$U)</f>
        <v>0</v>
      </c>
      <c r="AB44" s="134" t="n">
        <f aca="false">SUMIF($X:$X,CONCATENATE($Z44,AB$6),$U:$U)</f>
        <v>0</v>
      </c>
      <c r="AC44" s="134" t="n">
        <f aca="false">SUMIF($X:$X,CONCATENATE($Z44,AC$6),$U:$U)</f>
        <v>0</v>
      </c>
      <c r="AD44" s="134" t="n">
        <f aca="false">SUMIF($X:$X,CONCATENATE($Z44,AD$6),$U:$U)</f>
        <v>0</v>
      </c>
      <c r="AE44" s="134" t="n">
        <f aca="false">SUMIF($X:$X,CONCATENATE($Z44,AE$6),$U:$U)</f>
        <v>0</v>
      </c>
      <c r="AF44" s="134" t="n">
        <f aca="false">SUMIF($X:$X,CONCATENATE($Z44,AF$6),$U:$U)</f>
        <v>0</v>
      </c>
      <c r="AG44" s="135" t="n">
        <f aca="false">SUMIF($X:$X,CONCATENATE($Z44,AG$6),$U:$U)</f>
        <v>0</v>
      </c>
      <c r="AI44" s="143" t="n">
        <f aca="false">EOMONTH(AI43,0)+1</f>
        <v>37257</v>
      </c>
      <c r="AJ44" s="135" t="n">
        <f aca="false">SUM(AA44:AG44)</f>
        <v>0</v>
      </c>
    </row>
    <row r="45" customFormat="false" ht="12.75" hidden="false" customHeight="false" outlineLevel="0" collapsed="false">
      <c r="A45" s="2"/>
      <c r="B45" s="2"/>
      <c r="C45" s="2"/>
      <c r="D45" s="2"/>
      <c r="E45" s="2"/>
      <c r="T45" s="160"/>
      <c r="Z45" s="143" t="n">
        <f aca="false">EOMONTH(Z44,0)+1</f>
        <v>37288</v>
      </c>
      <c r="AA45" s="134" t="n">
        <f aca="false">SUMIF($X:$X,CONCATENATE($Z45,AA$6),$U:$U)</f>
        <v>0</v>
      </c>
      <c r="AB45" s="134" t="n">
        <f aca="false">SUMIF($X:$X,CONCATENATE($Z45,AB$6),$U:$U)</f>
        <v>0</v>
      </c>
      <c r="AC45" s="134" t="n">
        <f aca="false">SUMIF($X:$X,CONCATENATE($Z45,AC$6),$U:$U)</f>
        <v>0</v>
      </c>
      <c r="AD45" s="134" t="n">
        <f aca="false">SUMIF($X:$X,CONCATENATE($Z45,AD$6),$U:$U)</f>
        <v>0</v>
      </c>
      <c r="AE45" s="134" t="n">
        <f aca="false">SUMIF($X:$X,CONCATENATE($Z45,AE$6),$U:$U)</f>
        <v>0</v>
      </c>
      <c r="AF45" s="134" t="n">
        <f aca="false">SUMIF($X:$X,CONCATENATE($Z45,AF$6),$U:$U)</f>
        <v>0</v>
      </c>
      <c r="AG45" s="135" t="n">
        <f aca="false">SUMIF($X:$X,CONCATENATE($Z45,AG$6),$U:$U)</f>
        <v>0</v>
      </c>
      <c r="AI45" s="143" t="n">
        <f aca="false">EOMONTH(AI44,0)+1</f>
        <v>37288</v>
      </c>
      <c r="AJ45" s="135" t="n">
        <f aca="false">SUM(AA45:AG45)</f>
        <v>0</v>
      </c>
    </row>
    <row r="46" customFormat="false" ht="12.75" hidden="false" customHeight="false" outlineLevel="0" collapsed="false">
      <c r="A46" s="2"/>
      <c r="B46" s="2"/>
      <c r="C46" s="2"/>
      <c r="D46" s="2"/>
      <c r="E46" s="2"/>
      <c r="T46" s="160"/>
      <c r="Z46" s="143" t="n">
        <f aca="false">EOMONTH(Z45,0)+1</f>
        <v>37316</v>
      </c>
      <c r="AA46" s="134" t="n">
        <f aca="false">SUMIF($X:$X,CONCATENATE($Z46,AA$6),$U:$U)</f>
        <v>0</v>
      </c>
      <c r="AB46" s="134" t="n">
        <f aca="false">SUMIF($X:$X,CONCATENATE($Z46,AB$6),$U:$U)</f>
        <v>0</v>
      </c>
      <c r="AC46" s="134" t="n">
        <f aca="false">SUMIF($X:$X,CONCATENATE($Z46,AC$6),$U:$U)</f>
        <v>0</v>
      </c>
      <c r="AD46" s="134" t="n">
        <f aca="false">SUMIF($X:$X,CONCATENATE($Z46,AD$6),$U:$U)</f>
        <v>0</v>
      </c>
      <c r="AE46" s="134" t="n">
        <f aca="false">SUMIF($X:$X,CONCATENATE($Z46,AE$6),$U:$U)</f>
        <v>0</v>
      </c>
      <c r="AF46" s="134" t="n">
        <f aca="false">SUMIF($X:$X,CONCATENATE($Z46,AF$6),$U:$U)</f>
        <v>0</v>
      </c>
      <c r="AG46" s="135" t="n">
        <f aca="false">SUMIF($X:$X,CONCATENATE($Z46,AG$6),$U:$U)</f>
        <v>0</v>
      </c>
      <c r="AI46" s="143" t="n">
        <f aca="false">EOMONTH(AI45,0)+1</f>
        <v>37316</v>
      </c>
      <c r="AJ46" s="135" t="n">
        <f aca="false">SUM(AA46:AG46)</f>
        <v>0</v>
      </c>
    </row>
    <row r="47" customFormat="false" ht="12.75" hidden="false" customHeight="false" outlineLevel="0" collapsed="false">
      <c r="A47" s="2"/>
      <c r="B47" s="2"/>
      <c r="C47" s="2"/>
      <c r="D47" s="2"/>
      <c r="E47" s="2"/>
      <c r="T47" s="160"/>
      <c r="Z47" s="143" t="n">
        <f aca="false">EOMONTH(Z46,0)+1</f>
        <v>37347</v>
      </c>
      <c r="AA47" s="134" t="n">
        <f aca="false">SUMIF($X:$X,CONCATENATE($Z47,AA$6),$U:$U)</f>
        <v>0</v>
      </c>
      <c r="AB47" s="134" t="n">
        <f aca="false">SUMIF($X:$X,CONCATENATE($Z47,AB$6),$U:$U)</f>
        <v>0</v>
      </c>
      <c r="AC47" s="134" t="n">
        <f aca="false">SUMIF($X:$X,CONCATENATE($Z47,AC$6),$U:$U)</f>
        <v>0</v>
      </c>
      <c r="AD47" s="134" t="n">
        <f aca="false">SUMIF($X:$X,CONCATENATE($Z47,AD$6),$U:$U)</f>
        <v>0</v>
      </c>
      <c r="AE47" s="134" t="n">
        <f aca="false">SUMIF($X:$X,CONCATENATE($Z47,AE$6),$U:$U)</f>
        <v>0</v>
      </c>
      <c r="AF47" s="134" t="n">
        <f aca="false">SUMIF($X:$X,CONCATENATE($Z47,AF$6),$U:$U)</f>
        <v>0</v>
      </c>
      <c r="AG47" s="135" t="n">
        <f aca="false">SUMIF($X:$X,CONCATENATE($Z47,AG$6),$U:$U)</f>
        <v>0</v>
      </c>
      <c r="AI47" s="143" t="n">
        <f aca="false">EOMONTH(AI46,0)+1</f>
        <v>37347</v>
      </c>
      <c r="AJ47" s="135" t="n">
        <f aca="false">SUM(AA47:AG47)</f>
        <v>0</v>
      </c>
    </row>
    <row r="48" customFormat="false" ht="12.75" hidden="false" customHeight="false" outlineLevel="0" collapsed="false">
      <c r="T48" s="160"/>
      <c r="Z48" s="143" t="n">
        <f aca="false">EOMONTH(Z47,0)+1</f>
        <v>37377</v>
      </c>
      <c r="AA48" s="134" t="n">
        <f aca="false">SUMIF($X:$X,CONCATENATE($Z48,AA$6),$U:$U)</f>
        <v>0</v>
      </c>
      <c r="AB48" s="134" t="n">
        <f aca="false">SUMIF($X:$X,CONCATENATE($Z48,AB$6),$U:$U)</f>
        <v>0</v>
      </c>
      <c r="AC48" s="134" t="n">
        <f aca="false">SUMIF($X:$X,CONCATENATE($Z48,AC$6),$U:$U)</f>
        <v>0</v>
      </c>
      <c r="AD48" s="134" t="n">
        <f aca="false">SUMIF($X:$X,CONCATENATE($Z48,AD$6),$U:$U)</f>
        <v>0</v>
      </c>
      <c r="AE48" s="134" t="n">
        <f aca="false">SUMIF($X:$X,CONCATENATE($Z48,AE$6),$U:$U)</f>
        <v>0</v>
      </c>
      <c r="AF48" s="134" t="n">
        <f aca="false">SUMIF($X:$X,CONCATENATE($Z48,AF$6),$U:$U)</f>
        <v>0</v>
      </c>
      <c r="AG48" s="135" t="n">
        <f aca="false">SUMIF($X:$X,CONCATENATE($Z48,AG$6),$U:$U)</f>
        <v>0</v>
      </c>
      <c r="AI48" s="143" t="n">
        <f aca="false">EOMONTH(AI47,0)+1</f>
        <v>37377</v>
      </c>
      <c r="AJ48" s="135" t="n">
        <f aca="false">SUM(AA48:AG48)</f>
        <v>0</v>
      </c>
    </row>
    <row r="49" customFormat="false" ht="12.75" hidden="false" customHeight="false" outlineLevel="0" collapsed="false">
      <c r="T49" s="160"/>
      <c r="Z49" s="143" t="n">
        <f aca="false">EOMONTH(Z48,0)+1</f>
        <v>37408</v>
      </c>
      <c r="AA49" s="134" t="n">
        <f aca="false">SUMIF($X:$X,CONCATENATE($Z49,AA$6),$U:$U)</f>
        <v>0</v>
      </c>
      <c r="AB49" s="134" t="n">
        <f aca="false">SUMIF($X:$X,CONCATENATE($Z49,AB$6),$U:$U)</f>
        <v>0</v>
      </c>
      <c r="AC49" s="134" t="n">
        <f aca="false">SUMIF($X:$X,CONCATENATE($Z49,AC$6),$U:$U)</f>
        <v>0</v>
      </c>
      <c r="AD49" s="134" t="n">
        <f aca="false">SUMIF($X:$X,CONCATENATE($Z49,AD$6),$U:$U)</f>
        <v>0</v>
      </c>
      <c r="AE49" s="134" t="n">
        <f aca="false">SUMIF($X:$X,CONCATENATE($Z49,AE$6),$U:$U)</f>
        <v>0</v>
      </c>
      <c r="AF49" s="134" t="n">
        <f aca="false">SUMIF($X:$X,CONCATENATE($Z49,AF$6),$U:$U)</f>
        <v>0</v>
      </c>
      <c r="AG49" s="135" t="n">
        <f aca="false">SUMIF($X:$X,CONCATENATE($Z49,AG$6),$U:$U)</f>
        <v>0</v>
      </c>
      <c r="AI49" s="143" t="n">
        <f aca="false">EOMONTH(AI48,0)+1</f>
        <v>37408</v>
      </c>
      <c r="AJ49" s="135" t="n">
        <f aca="false">SUM(AA49:AG49)</f>
        <v>0</v>
      </c>
    </row>
    <row r="50" customFormat="false" ht="12.75" hidden="false" customHeight="false" outlineLevel="0" collapsed="false">
      <c r="T50" s="160"/>
      <c r="Z50" s="143" t="n">
        <f aca="false">EOMONTH(Z49,0)+1</f>
        <v>37438</v>
      </c>
      <c r="AA50" s="134" t="n">
        <f aca="false">SUMIF($X:$X,CONCATENATE($Z50,AA$6),$U:$U)</f>
        <v>0</v>
      </c>
      <c r="AB50" s="134" t="n">
        <f aca="false">SUMIF($X:$X,CONCATENATE($Z50,AB$6),$U:$U)</f>
        <v>0</v>
      </c>
      <c r="AC50" s="134" t="n">
        <f aca="false">SUMIF($X:$X,CONCATENATE($Z50,AC$6),$U:$U)</f>
        <v>0</v>
      </c>
      <c r="AD50" s="134" t="n">
        <f aca="false">SUMIF($X:$X,CONCATENATE($Z50,AD$6),$U:$U)</f>
        <v>0</v>
      </c>
      <c r="AE50" s="134" t="n">
        <f aca="false">SUMIF($X:$X,CONCATENATE($Z50,AE$6),$U:$U)</f>
        <v>0</v>
      </c>
      <c r="AF50" s="134" t="n">
        <f aca="false">SUMIF($X:$X,CONCATENATE($Z50,AF$6),$U:$U)</f>
        <v>0</v>
      </c>
      <c r="AG50" s="135" t="n">
        <f aca="false">SUMIF($X:$X,CONCATENATE($Z50,AG$6),$U:$U)</f>
        <v>0</v>
      </c>
      <c r="AI50" s="143" t="n">
        <f aca="false">EOMONTH(AI49,0)+1</f>
        <v>37438</v>
      </c>
      <c r="AJ50" s="135" t="n">
        <f aca="false">SUM(AA50:AG50)</f>
        <v>0</v>
      </c>
    </row>
    <row r="51" customFormat="false" ht="12.75" hidden="false" customHeight="false" outlineLevel="0" collapsed="false">
      <c r="T51" s="160"/>
      <c r="Z51" s="143" t="n">
        <f aca="false">EOMONTH(Z50,0)+1</f>
        <v>37469</v>
      </c>
      <c r="AA51" s="134" t="n">
        <f aca="false">SUMIF($X:$X,CONCATENATE($Z51,AA$6),$U:$U)</f>
        <v>0</v>
      </c>
      <c r="AB51" s="134" t="n">
        <f aca="false">SUMIF($X:$X,CONCATENATE($Z51,AB$6),$U:$U)</f>
        <v>0</v>
      </c>
      <c r="AC51" s="134" t="n">
        <f aca="false">SUMIF($X:$X,CONCATENATE($Z51,AC$6),$U:$U)</f>
        <v>0</v>
      </c>
      <c r="AD51" s="134" t="n">
        <f aca="false">SUMIF($X:$X,CONCATENATE($Z51,AD$6),$U:$U)</f>
        <v>0</v>
      </c>
      <c r="AE51" s="134" t="n">
        <f aca="false">SUMIF($X:$X,CONCATENATE($Z51,AE$6),$U:$U)</f>
        <v>0</v>
      </c>
      <c r="AF51" s="134" t="n">
        <f aca="false">SUMIF($X:$X,CONCATENATE($Z51,AF$6),$U:$U)</f>
        <v>0</v>
      </c>
      <c r="AG51" s="135" t="n">
        <f aca="false">SUMIF($X:$X,CONCATENATE($Z51,AG$6),$U:$U)</f>
        <v>0</v>
      </c>
      <c r="AI51" s="143" t="n">
        <f aca="false">EOMONTH(AI50,0)+1</f>
        <v>37469</v>
      </c>
      <c r="AJ51" s="135" t="n">
        <f aca="false">SUM(AA51:AG51)</f>
        <v>0</v>
      </c>
    </row>
    <row r="52" customFormat="false" ht="12.75" hidden="false" customHeight="false" outlineLevel="0" collapsed="false">
      <c r="T52" s="160"/>
      <c r="Z52" s="143" t="n">
        <f aca="false">EOMONTH(Z51,0)+1</f>
        <v>37500</v>
      </c>
      <c r="AA52" s="134" t="n">
        <f aca="false">SUMIF($X:$X,CONCATENATE($Z52,AA$6),$U:$U)</f>
        <v>0</v>
      </c>
      <c r="AB52" s="134" t="n">
        <f aca="false">SUMIF($X:$X,CONCATENATE($Z52,AB$6),$U:$U)</f>
        <v>0</v>
      </c>
      <c r="AC52" s="134" t="n">
        <f aca="false">SUMIF($X:$X,CONCATENATE($Z52,AC$6),$U:$U)</f>
        <v>0</v>
      </c>
      <c r="AD52" s="134" t="n">
        <f aca="false">SUMIF($X:$X,CONCATENATE($Z52,AD$6),$U:$U)</f>
        <v>0</v>
      </c>
      <c r="AE52" s="134" t="n">
        <f aca="false">SUMIF($X:$X,CONCATENATE($Z52,AE$6),$U:$U)</f>
        <v>0</v>
      </c>
      <c r="AF52" s="134" t="n">
        <f aca="false">SUMIF($X:$X,CONCATENATE($Z52,AF$6),$U:$U)</f>
        <v>0</v>
      </c>
      <c r="AG52" s="135" t="n">
        <f aca="false">SUMIF($X:$X,CONCATENATE($Z52,AG$6),$U:$U)</f>
        <v>0</v>
      </c>
      <c r="AI52" s="143" t="n">
        <f aca="false">EOMONTH(AI51,0)+1</f>
        <v>37500</v>
      </c>
      <c r="AJ52" s="135" t="n">
        <f aca="false">SUM(AA52:AG52)</f>
        <v>0</v>
      </c>
    </row>
    <row r="53" customFormat="false" ht="12.75" hidden="false" customHeight="false" outlineLevel="0" collapsed="false">
      <c r="T53" s="160"/>
      <c r="Z53" s="143" t="n">
        <f aca="false">EOMONTH(Z52,0)+1</f>
        <v>37530</v>
      </c>
      <c r="AA53" s="134" t="n">
        <f aca="false">SUMIF($X:$X,CONCATENATE($Z53,AA$6),$U:$U)</f>
        <v>0</v>
      </c>
      <c r="AB53" s="134" t="n">
        <f aca="false">SUMIF($X:$X,CONCATENATE($Z53,AB$6),$U:$U)</f>
        <v>0</v>
      </c>
      <c r="AC53" s="134" t="n">
        <f aca="false">SUMIF($X:$X,CONCATENATE($Z53,AC$6),$U:$U)</f>
        <v>0</v>
      </c>
      <c r="AD53" s="134" t="n">
        <f aca="false">SUMIF($X:$X,CONCATENATE($Z53,AD$6),$U:$U)</f>
        <v>0</v>
      </c>
      <c r="AE53" s="134" t="n">
        <f aca="false">SUMIF($X:$X,CONCATENATE($Z53,AE$6),$U:$U)</f>
        <v>0</v>
      </c>
      <c r="AF53" s="134" t="n">
        <f aca="false">SUMIF($X:$X,CONCATENATE($Z53,AF$6),$U:$U)</f>
        <v>0</v>
      </c>
      <c r="AG53" s="135" t="n">
        <f aca="false">SUMIF($X:$X,CONCATENATE($Z53,AG$6),$U:$U)</f>
        <v>0</v>
      </c>
      <c r="AI53" s="143" t="n">
        <f aca="false">EOMONTH(AI52,0)+1</f>
        <v>37530</v>
      </c>
      <c r="AJ53" s="135" t="n">
        <f aca="false">SUM(AA53:AG53)</f>
        <v>0</v>
      </c>
    </row>
    <row r="54" customFormat="false" ht="12.75" hidden="false" customHeight="false" outlineLevel="0" collapsed="false">
      <c r="T54" s="160"/>
      <c r="Z54" s="143" t="n">
        <f aca="false">EOMONTH(Z53,0)+1</f>
        <v>37561</v>
      </c>
      <c r="AA54" s="134" t="n">
        <f aca="false">SUMIF($X:$X,CONCATENATE($Z54,AA$6),$U:$U)</f>
        <v>0</v>
      </c>
      <c r="AB54" s="134" t="n">
        <f aca="false">SUMIF($X:$X,CONCATENATE($Z54,AB$6),$U:$U)</f>
        <v>0</v>
      </c>
      <c r="AC54" s="134" t="n">
        <f aca="false">SUMIF($X:$X,CONCATENATE($Z54,AC$6),$U:$U)</f>
        <v>0</v>
      </c>
      <c r="AD54" s="134" t="n">
        <f aca="false">SUMIF($X:$X,CONCATENATE($Z54,AD$6),$U:$U)</f>
        <v>0</v>
      </c>
      <c r="AE54" s="134" t="n">
        <f aca="false">SUMIF($X:$X,CONCATENATE($Z54,AE$6),$U:$U)</f>
        <v>0</v>
      </c>
      <c r="AF54" s="134" t="n">
        <f aca="false">SUMIF($X:$X,CONCATENATE($Z54,AF$6),$U:$U)</f>
        <v>0</v>
      </c>
      <c r="AG54" s="135" t="n">
        <f aca="false">SUMIF($X:$X,CONCATENATE($Z54,AG$6),$U:$U)</f>
        <v>0</v>
      </c>
      <c r="AI54" s="143" t="n">
        <f aca="false">EOMONTH(AI53,0)+1</f>
        <v>37561</v>
      </c>
      <c r="AJ54" s="135" t="n">
        <f aca="false">SUM(AA54:AG54)</f>
        <v>0</v>
      </c>
    </row>
    <row r="55" customFormat="false" ht="12.75" hidden="false" customHeight="false" outlineLevel="0" collapsed="false">
      <c r="Z55" s="143" t="n">
        <f aca="false">EOMONTH(Z54,0)+1</f>
        <v>37591</v>
      </c>
      <c r="AA55" s="134" t="n">
        <f aca="false">SUMIF($X:$X,CONCATENATE($Z55,AA$6),$U:$U)</f>
        <v>0</v>
      </c>
      <c r="AB55" s="134" t="n">
        <f aca="false">SUMIF($X:$X,CONCATENATE($Z55,AB$6),$U:$U)</f>
        <v>0</v>
      </c>
      <c r="AC55" s="134" t="n">
        <f aca="false">SUMIF($X:$X,CONCATENATE($Z55,AC$6),$U:$U)</f>
        <v>0</v>
      </c>
      <c r="AD55" s="134" t="n">
        <f aca="false">SUMIF($X:$X,CONCATENATE($Z55,AD$6),$U:$U)</f>
        <v>0</v>
      </c>
      <c r="AE55" s="134" t="n">
        <f aca="false">SUMIF($X:$X,CONCATENATE($Z55,AE$6),$U:$U)</f>
        <v>0</v>
      </c>
      <c r="AF55" s="134" t="n">
        <f aca="false">SUMIF($X:$X,CONCATENATE($Z55,AF$6),$U:$U)</f>
        <v>0</v>
      </c>
      <c r="AG55" s="135" t="n">
        <f aca="false">SUMIF($X:$X,CONCATENATE($Z55,AG$6),$U:$U)</f>
        <v>0</v>
      </c>
      <c r="AI55" s="143" t="n">
        <f aca="false">EOMONTH(AI54,0)+1</f>
        <v>37591</v>
      </c>
      <c r="AJ55" s="135" t="n">
        <f aca="false">SUM(AA55:AG55)</f>
        <v>0</v>
      </c>
    </row>
    <row r="56" customFormat="false" ht="12.75" hidden="false" customHeight="false" outlineLevel="0" collapsed="false">
      <c r="Z56" s="143" t="n">
        <f aca="false">EOMONTH(Z55,0)+1</f>
        <v>37622</v>
      </c>
      <c r="AA56" s="134" t="n">
        <f aca="false">SUMIF($X:$X,CONCATENATE($Z56,AA$6),$U:$U)</f>
        <v>0</v>
      </c>
      <c r="AB56" s="134" t="n">
        <f aca="false">SUMIF($X:$X,CONCATENATE($Z56,AB$6),$U:$U)</f>
        <v>0</v>
      </c>
      <c r="AC56" s="134" t="n">
        <f aca="false">SUMIF($X:$X,CONCATENATE($Z56,AC$6),$U:$U)</f>
        <v>0</v>
      </c>
      <c r="AD56" s="134" t="n">
        <f aca="false">SUMIF($X:$X,CONCATENATE($Z56,AD$6),$U:$U)</f>
        <v>0</v>
      </c>
      <c r="AE56" s="134" t="n">
        <f aca="false">SUMIF($X:$X,CONCATENATE($Z56,AE$6),$U:$U)</f>
        <v>0</v>
      </c>
      <c r="AF56" s="134" t="n">
        <f aca="false">SUMIF($X:$X,CONCATENATE($Z56,AF$6),$U:$U)</f>
        <v>0</v>
      </c>
      <c r="AG56" s="135" t="n">
        <f aca="false">SUMIF($X:$X,CONCATENATE($Z56,AG$6),$U:$U)</f>
        <v>0</v>
      </c>
      <c r="AI56" s="143" t="n">
        <f aca="false">EOMONTH(AI55,0)+1</f>
        <v>37622</v>
      </c>
      <c r="AJ56" s="135" t="n">
        <f aca="false">SUM(AA56:AG56)</f>
        <v>0</v>
      </c>
    </row>
    <row r="57" customFormat="false" ht="12.75" hidden="false" customHeight="false" outlineLevel="0" collapsed="false">
      <c r="Z57" s="143" t="n">
        <f aca="false">EOMONTH(Z56,0)+1</f>
        <v>37653</v>
      </c>
      <c r="AA57" s="134" t="n">
        <f aca="false">SUMIF($X:$X,CONCATENATE($Z57,AA$6),$U:$U)</f>
        <v>0</v>
      </c>
      <c r="AB57" s="134" t="n">
        <f aca="false">SUMIF($X:$X,CONCATENATE($Z57,AB$6),$U:$U)</f>
        <v>0</v>
      </c>
      <c r="AC57" s="134" t="n">
        <f aca="false">SUMIF($X:$X,CONCATENATE($Z57,AC$6),$U:$U)</f>
        <v>0</v>
      </c>
      <c r="AD57" s="134" t="n">
        <f aca="false">SUMIF($X:$X,CONCATENATE($Z57,AD$6),$U:$U)</f>
        <v>0</v>
      </c>
      <c r="AE57" s="134" t="n">
        <f aca="false">SUMIF($X:$X,CONCATENATE($Z57,AE$6),$U:$U)</f>
        <v>0</v>
      </c>
      <c r="AF57" s="134" t="n">
        <f aca="false">SUMIF($X:$X,CONCATENATE($Z57,AF$6),$U:$U)</f>
        <v>0</v>
      </c>
      <c r="AG57" s="135" t="n">
        <f aca="false">SUMIF($X:$X,CONCATENATE($Z57,AG$6),$U:$U)</f>
        <v>0</v>
      </c>
      <c r="AI57" s="143" t="n">
        <f aca="false">EOMONTH(AI56,0)+1</f>
        <v>37653</v>
      </c>
      <c r="AJ57" s="135" t="n">
        <f aca="false">SUM(AA57:AG57)</f>
        <v>0</v>
      </c>
    </row>
    <row r="58" customFormat="false" ht="12.75" hidden="false" customHeight="false" outlineLevel="0" collapsed="false">
      <c r="Z58" s="143" t="n">
        <f aca="false">EOMONTH(Z57,0)+1</f>
        <v>37681</v>
      </c>
      <c r="AA58" s="134" t="n">
        <f aca="false">SUMIF($X:$X,CONCATENATE($Z58,AA$6),$U:$U)</f>
        <v>0</v>
      </c>
      <c r="AB58" s="134" t="n">
        <f aca="false">SUMIF($X:$X,CONCATENATE($Z58,AB$6),$U:$U)</f>
        <v>0</v>
      </c>
      <c r="AC58" s="134" t="n">
        <f aca="false">SUMIF($X:$X,CONCATENATE($Z58,AC$6),$U:$U)</f>
        <v>0</v>
      </c>
      <c r="AD58" s="134" t="n">
        <f aca="false">SUMIF($X:$X,CONCATENATE($Z58,AD$6),$U:$U)</f>
        <v>0</v>
      </c>
      <c r="AE58" s="134" t="n">
        <f aca="false">SUMIF($X:$X,CONCATENATE($Z58,AE$6),$U:$U)</f>
        <v>0</v>
      </c>
      <c r="AF58" s="134" t="n">
        <f aca="false">SUMIF($X:$X,CONCATENATE($Z58,AF$6),$U:$U)</f>
        <v>0</v>
      </c>
      <c r="AG58" s="135" t="n">
        <f aca="false">SUMIF($X:$X,CONCATENATE($Z58,AG$6),$U:$U)</f>
        <v>0</v>
      </c>
      <c r="AI58" s="143" t="n">
        <f aca="false">EOMONTH(AI57,0)+1</f>
        <v>37681</v>
      </c>
      <c r="AJ58" s="135" t="n">
        <f aca="false">SUM(AA58:AG58)</f>
        <v>0</v>
      </c>
    </row>
    <row r="59" customFormat="false" ht="12.75" hidden="false" customHeight="false" outlineLevel="0" collapsed="false">
      <c r="Z59" s="143" t="n">
        <f aca="false">EOMONTH(Z58,0)+1</f>
        <v>37712</v>
      </c>
      <c r="AA59" s="134" t="n">
        <f aca="false">SUMIF($X:$X,CONCATENATE($Z59,AA$6),$U:$U)</f>
        <v>0</v>
      </c>
      <c r="AB59" s="134" t="n">
        <f aca="false">SUMIF($X:$X,CONCATENATE($Z59,AB$6),$U:$U)</f>
        <v>0</v>
      </c>
      <c r="AC59" s="134" t="n">
        <f aca="false">SUMIF($X:$X,CONCATENATE($Z59,AC$6),$U:$U)</f>
        <v>0</v>
      </c>
      <c r="AD59" s="134" t="n">
        <f aca="false">SUMIF($X:$X,CONCATENATE($Z59,AD$6),$U:$U)</f>
        <v>0</v>
      </c>
      <c r="AE59" s="134" t="n">
        <f aca="false">SUMIF($X:$X,CONCATENATE($Z59,AE$6),$U:$U)</f>
        <v>0</v>
      </c>
      <c r="AF59" s="134" t="n">
        <f aca="false">SUMIF($X:$X,CONCATENATE($Z59,AF$6),$U:$U)</f>
        <v>0</v>
      </c>
      <c r="AG59" s="135" t="n">
        <f aca="false">SUMIF($X:$X,CONCATENATE($Z59,AG$6),$U:$U)</f>
        <v>0</v>
      </c>
      <c r="AI59" s="143" t="n">
        <f aca="false">EOMONTH(AI58,0)+1</f>
        <v>37712</v>
      </c>
      <c r="AJ59" s="135" t="n">
        <f aca="false">SUM(AA59:AG59)</f>
        <v>0</v>
      </c>
    </row>
    <row r="60" customFormat="false" ht="12.75" hidden="false" customHeight="false" outlineLevel="0" collapsed="false">
      <c r="Z60" s="143" t="n">
        <f aca="false">EOMONTH(Z59,0)+1</f>
        <v>37742</v>
      </c>
      <c r="AA60" s="134" t="n">
        <f aca="false">SUMIF($X:$X,CONCATENATE($Z60,AA$6),$U:$U)</f>
        <v>0</v>
      </c>
      <c r="AB60" s="134" t="n">
        <f aca="false">SUMIF($X:$X,CONCATENATE($Z60,AB$6),$U:$U)</f>
        <v>0</v>
      </c>
      <c r="AC60" s="134" t="n">
        <f aca="false">SUMIF($X:$X,CONCATENATE($Z60,AC$6),$U:$U)</f>
        <v>0</v>
      </c>
      <c r="AD60" s="134" t="n">
        <f aca="false">SUMIF($X:$X,CONCATENATE($Z60,AD$6),$U:$U)</f>
        <v>0</v>
      </c>
      <c r="AE60" s="134" t="n">
        <f aca="false">SUMIF($X:$X,CONCATENATE($Z60,AE$6),$U:$U)</f>
        <v>0</v>
      </c>
      <c r="AF60" s="134" t="n">
        <f aca="false">SUMIF($X:$X,CONCATENATE($Z60,AF$6),$U:$U)</f>
        <v>0</v>
      </c>
      <c r="AG60" s="135" t="n">
        <f aca="false">SUMIF($X:$X,CONCATENATE($Z60,AG$6),$U:$U)</f>
        <v>0</v>
      </c>
      <c r="AI60" s="143" t="n">
        <f aca="false">EOMONTH(AI59,0)+1</f>
        <v>37742</v>
      </c>
      <c r="AJ60" s="135" t="n">
        <f aca="false">SUM(AA60:AG60)</f>
        <v>0</v>
      </c>
    </row>
    <row r="61" customFormat="false" ht="12.75" hidden="false" customHeight="false" outlineLevel="0" collapsed="false">
      <c r="Z61" s="143" t="n">
        <f aca="false">EOMONTH(Z60,0)+1</f>
        <v>37773</v>
      </c>
      <c r="AA61" s="134" t="n">
        <f aca="false">SUMIF($X:$X,CONCATENATE($Z61,AA$6),$U:$U)</f>
        <v>0</v>
      </c>
      <c r="AB61" s="134" t="n">
        <f aca="false">SUMIF($X:$X,CONCATENATE($Z61,AB$6),$U:$U)</f>
        <v>0</v>
      </c>
      <c r="AC61" s="134" t="n">
        <f aca="false">SUMIF($X:$X,CONCATENATE($Z61,AC$6),$U:$U)</f>
        <v>0</v>
      </c>
      <c r="AD61" s="134" t="n">
        <f aca="false">SUMIF($X:$X,CONCATENATE($Z61,AD$6),$U:$U)</f>
        <v>0</v>
      </c>
      <c r="AE61" s="134" t="n">
        <f aca="false">SUMIF($X:$X,CONCATENATE($Z61,AE$6),$U:$U)</f>
        <v>0</v>
      </c>
      <c r="AF61" s="134" t="n">
        <f aca="false">SUMIF($X:$X,CONCATENATE($Z61,AF$6),$U:$U)</f>
        <v>0</v>
      </c>
      <c r="AG61" s="135" t="n">
        <f aca="false">SUMIF($X:$X,CONCATENATE($Z61,AG$6),$U:$U)</f>
        <v>0</v>
      </c>
      <c r="AI61" s="143" t="n">
        <f aca="false">EOMONTH(AI60,0)+1</f>
        <v>37773</v>
      </c>
      <c r="AJ61" s="135" t="n">
        <f aca="false">SUM(AA61:AG61)</f>
        <v>0</v>
      </c>
    </row>
    <row r="62" customFormat="false" ht="12.75" hidden="false" customHeight="false" outlineLevel="0" collapsed="false">
      <c r="Z62" s="143" t="n">
        <f aca="false">EOMONTH(Z61,0)+1</f>
        <v>37803</v>
      </c>
      <c r="AA62" s="134" t="n">
        <f aca="false">SUMIF($X:$X,CONCATENATE($Z62,AA$6),$U:$U)</f>
        <v>0</v>
      </c>
      <c r="AB62" s="134" t="n">
        <f aca="false">SUMIF($X:$X,CONCATENATE($Z62,AB$6),$U:$U)</f>
        <v>0</v>
      </c>
      <c r="AC62" s="134" t="n">
        <f aca="false">SUMIF($X:$X,CONCATENATE($Z62,AC$6),$U:$U)</f>
        <v>0</v>
      </c>
      <c r="AD62" s="134" t="n">
        <f aca="false">SUMIF($X:$X,CONCATENATE($Z62,AD$6),$U:$U)</f>
        <v>0</v>
      </c>
      <c r="AE62" s="134" t="n">
        <f aca="false">SUMIF($X:$X,CONCATENATE($Z62,AE$6),$U:$U)</f>
        <v>0</v>
      </c>
      <c r="AF62" s="134" t="n">
        <f aca="false">SUMIF($X:$X,CONCATENATE($Z62,AF$6),$U:$U)</f>
        <v>0</v>
      </c>
      <c r="AG62" s="135" t="n">
        <f aca="false">SUMIF($X:$X,CONCATENATE($Z62,AG$6),$U:$U)</f>
        <v>0</v>
      </c>
      <c r="AI62" s="143" t="n">
        <f aca="false">EOMONTH(AI61,0)+1</f>
        <v>37803</v>
      </c>
      <c r="AJ62" s="135" t="n">
        <f aca="false">SUM(AA62:AG62)</f>
        <v>0</v>
      </c>
    </row>
    <row r="63" customFormat="false" ht="12.75" hidden="false" customHeight="false" outlineLevel="0" collapsed="false">
      <c r="Z63" s="143" t="n">
        <f aca="false">EOMONTH(Z62,0)+1</f>
        <v>37834</v>
      </c>
      <c r="AA63" s="134" t="n">
        <f aca="false">SUMIF($X:$X,CONCATENATE($Z63,AA$6),$U:$U)</f>
        <v>0</v>
      </c>
      <c r="AB63" s="134" t="n">
        <f aca="false">SUMIF($X:$X,CONCATENATE($Z63,AB$6),$U:$U)</f>
        <v>0</v>
      </c>
      <c r="AC63" s="134" t="n">
        <f aca="false">SUMIF($X:$X,CONCATENATE($Z63,AC$6),$U:$U)</f>
        <v>0</v>
      </c>
      <c r="AD63" s="134" t="n">
        <f aca="false">SUMIF($X:$X,CONCATENATE($Z63,AD$6),$U:$U)</f>
        <v>0</v>
      </c>
      <c r="AE63" s="134" t="n">
        <f aca="false">SUMIF($X:$X,CONCATENATE($Z63,AE$6),$U:$U)</f>
        <v>0</v>
      </c>
      <c r="AF63" s="134" t="n">
        <f aca="false">SUMIF($X:$X,CONCATENATE($Z63,AF$6),$U:$U)</f>
        <v>0</v>
      </c>
      <c r="AG63" s="135" t="n">
        <f aca="false">SUMIF($X:$X,CONCATENATE($Z63,AG$6),$U:$U)</f>
        <v>0</v>
      </c>
      <c r="AI63" s="143" t="n">
        <f aca="false">EOMONTH(AI62,0)+1</f>
        <v>37834</v>
      </c>
      <c r="AJ63" s="135" t="n">
        <f aca="false">SUM(AA63:AG63)</f>
        <v>0</v>
      </c>
    </row>
    <row r="64" customFormat="false" ht="12.75" hidden="false" customHeight="false" outlineLevel="0" collapsed="false">
      <c r="Z64" s="143" t="n">
        <f aca="false">EOMONTH(Z63,0)+1</f>
        <v>37865</v>
      </c>
      <c r="AA64" s="134" t="n">
        <f aca="false">SUMIF($X:$X,CONCATENATE($Z64,AA$6),$U:$U)</f>
        <v>0</v>
      </c>
      <c r="AB64" s="134" t="n">
        <f aca="false">SUMIF($X:$X,CONCATENATE($Z64,AB$6),$U:$U)</f>
        <v>0</v>
      </c>
      <c r="AC64" s="134" t="n">
        <f aca="false">SUMIF($X:$X,CONCATENATE($Z64,AC$6),$U:$U)</f>
        <v>0</v>
      </c>
      <c r="AD64" s="134" t="n">
        <f aca="false">SUMIF($X:$X,CONCATENATE($Z64,AD$6),$U:$U)</f>
        <v>0</v>
      </c>
      <c r="AE64" s="134" t="n">
        <f aca="false">SUMIF($X:$X,CONCATENATE($Z64,AE$6),$U:$U)</f>
        <v>0</v>
      </c>
      <c r="AF64" s="134" t="n">
        <f aca="false">SUMIF($X:$X,CONCATENATE($Z64,AF$6),$U:$U)</f>
        <v>0</v>
      </c>
      <c r="AG64" s="135" t="n">
        <f aca="false">SUMIF($X:$X,CONCATENATE($Z64,AG$6),$U:$U)</f>
        <v>0</v>
      </c>
      <c r="AI64" s="143" t="n">
        <f aca="false">EOMONTH(AI63,0)+1</f>
        <v>37865</v>
      </c>
      <c r="AJ64" s="135" t="n">
        <f aca="false">SUM(AA64:AG64)</f>
        <v>0</v>
      </c>
    </row>
    <row r="65" customFormat="false" ht="12.75" hidden="false" customHeight="false" outlineLevel="0" collapsed="false">
      <c r="Z65" s="143" t="n">
        <f aca="false">EOMONTH(Z64,0)+1</f>
        <v>37895</v>
      </c>
      <c r="AA65" s="134" t="n">
        <f aca="false">SUMIF($X:$X,CONCATENATE($Z65,AA$6),$U:$U)</f>
        <v>0</v>
      </c>
      <c r="AB65" s="134" t="n">
        <f aca="false">SUMIF($X:$X,CONCATENATE($Z65,AB$6),$U:$U)</f>
        <v>0</v>
      </c>
      <c r="AC65" s="134" t="n">
        <f aca="false">SUMIF($X:$X,CONCATENATE($Z65,AC$6),$U:$U)</f>
        <v>0</v>
      </c>
      <c r="AD65" s="134" t="n">
        <f aca="false">SUMIF($X:$X,CONCATENATE($Z65,AD$6),$U:$U)</f>
        <v>0</v>
      </c>
      <c r="AE65" s="134" t="n">
        <f aca="false">SUMIF($X:$X,CONCATENATE($Z65,AE$6),$U:$U)</f>
        <v>0</v>
      </c>
      <c r="AF65" s="134" t="n">
        <f aca="false">SUMIF($X:$X,CONCATENATE($Z65,AF$6),$U:$U)</f>
        <v>0</v>
      </c>
      <c r="AG65" s="135" t="n">
        <f aca="false">SUMIF($X:$X,CONCATENATE($Z65,AG$6),$U:$U)</f>
        <v>0</v>
      </c>
      <c r="AI65" s="143" t="n">
        <f aca="false">EOMONTH(AI64,0)+1</f>
        <v>37895</v>
      </c>
      <c r="AJ65" s="135" t="n">
        <f aca="false">SUM(AA65:AG65)</f>
        <v>0</v>
      </c>
    </row>
    <row r="66" customFormat="false" ht="12.75" hidden="false" customHeight="false" outlineLevel="0" collapsed="false">
      <c r="Z66" s="143" t="n">
        <f aca="false">EOMONTH(Z65,0)+1</f>
        <v>37926</v>
      </c>
      <c r="AA66" s="134" t="n">
        <f aca="false">SUMIF($X:$X,CONCATENATE($Z66,AA$6),$U:$U)</f>
        <v>0</v>
      </c>
      <c r="AB66" s="134" t="n">
        <f aca="false">SUMIF($X:$X,CONCATENATE($Z66,AB$6),$U:$U)</f>
        <v>0</v>
      </c>
      <c r="AC66" s="134" t="n">
        <f aca="false">SUMIF($X:$X,CONCATENATE($Z66,AC$6),$U:$U)</f>
        <v>0</v>
      </c>
      <c r="AD66" s="134" t="n">
        <f aca="false">SUMIF($X:$X,CONCATENATE($Z66,AD$6),$U:$U)</f>
        <v>0</v>
      </c>
      <c r="AE66" s="134" t="n">
        <f aca="false">SUMIF($X:$X,CONCATENATE($Z66,AE$6),$U:$U)</f>
        <v>0</v>
      </c>
      <c r="AF66" s="134" t="n">
        <f aca="false">SUMIF($X:$X,CONCATENATE($Z66,AF$6),$U:$U)</f>
        <v>0</v>
      </c>
      <c r="AG66" s="135" t="n">
        <f aca="false">SUMIF($X:$X,CONCATENATE($Z66,AG$6),$U:$U)</f>
        <v>0</v>
      </c>
      <c r="AI66" s="143" t="n">
        <f aca="false">EOMONTH(AI65,0)+1</f>
        <v>37926</v>
      </c>
      <c r="AJ66" s="135" t="n">
        <f aca="false">SUM(AA66:AG66)</f>
        <v>0</v>
      </c>
    </row>
    <row r="67" customFormat="false" ht="12.75" hidden="false" customHeight="false" outlineLevel="0" collapsed="false">
      <c r="Z67" s="143" t="n">
        <f aca="false">EOMONTH(Z66,0)+1</f>
        <v>37956</v>
      </c>
      <c r="AA67" s="134" t="n">
        <f aca="false">SUMIF($X:$X,CONCATENATE($Z67,AA$6),$U:$U)</f>
        <v>0</v>
      </c>
      <c r="AB67" s="134" t="n">
        <f aca="false">SUMIF($X:$X,CONCATENATE($Z67,AB$6),$U:$U)</f>
        <v>0</v>
      </c>
      <c r="AC67" s="134" t="n">
        <f aca="false">SUMIF($X:$X,CONCATENATE($Z67,AC$6),$U:$U)</f>
        <v>0</v>
      </c>
      <c r="AD67" s="134" t="n">
        <f aca="false">SUMIF($X:$X,CONCATENATE($Z67,AD$6),$U:$U)</f>
        <v>0</v>
      </c>
      <c r="AE67" s="134" t="n">
        <f aca="false">SUMIF($X:$X,CONCATENATE($Z67,AE$6),$U:$U)</f>
        <v>0</v>
      </c>
      <c r="AF67" s="134" t="n">
        <f aca="false">SUMIF($X:$X,CONCATENATE($Z67,AF$6),$U:$U)</f>
        <v>0</v>
      </c>
      <c r="AG67" s="135" t="n">
        <f aca="false">SUMIF($X:$X,CONCATENATE($Z67,AG$6),$U:$U)</f>
        <v>0</v>
      </c>
      <c r="AI67" s="143" t="n">
        <f aca="false">EOMONTH(AI66,0)+1</f>
        <v>37956</v>
      </c>
      <c r="AJ67" s="135" t="n">
        <f aca="false">SUM(AA67:AG67)</f>
        <v>0</v>
      </c>
    </row>
    <row r="68" customFormat="false" ht="12.75" hidden="false" customHeight="false" outlineLevel="0" collapsed="false">
      <c r="Z68" s="143" t="n">
        <f aca="false">EOMONTH(Z67,0)+1</f>
        <v>37987</v>
      </c>
      <c r="AA68" s="134" t="n">
        <f aca="false">SUMIF($X:$X,CONCATENATE($Z68,AA$6),$U:$U)</f>
        <v>0</v>
      </c>
      <c r="AB68" s="134" t="n">
        <f aca="false">SUMIF($X:$X,CONCATENATE($Z68,AB$6),$U:$U)</f>
        <v>0</v>
      </c>
      <c r="AC68" s="134" t="n">
        <f aca="false">SUMIF($X:$X,CONCATENATE($Z68,AC$6),$U:$U)</f>
        <v>0</v>
      </c>
      <c r="AD68" s="134" t="n">
        <f aca="false">SUMIF($X:$X,CONCATENATE($Z68,AD$6),$U:$U)</f>
        <v>0</v>
      </c>
      <c r="AE68" s="134" t="n">
        <f aca="false">SUMIF($X:$X,CONCATENATE($Z68,AE$6),$U:$U)</f>
        <v>0</v>
      </c>
      <c r="AF68" s="134" t="n">
        <f aca="false">SUMIF($X:$X,CONCATENATE($Z68,AF$6),$U:$U)</f>
        <v>0</v>
      </c>
      <c r="AG68" s="135" t="n">
        <f aca="false">SUMIF($X:$X,CONCATENATE($Z68,AG$6),$U:$U)</f>
        <v>0</v>
      </c>
      <c r="AI68" s="143" t="n">
        <f aca="false">EOMONTH(AI67,0)+1</f>
        <v>37987</v>
      </c>
      <c r="AJ68" s="135" t="n">
        <f aca="false">SUM(AA68:AG68)</f>
        <v>0</v>
      </c>
    </row>
    <row r="69" customFormat="false" ht="12.75" hidden="false" customHeight="false" outlineLevel="0" collapsed="false">
      <c r="Z69" s="143" t="n">
        <f aca="false">EOMONTH(Z68,0)+1</f>
        <v>38018</v>
      </c>
      <c r="AA69" s="134" t="n">
        <f aca="false">SUMIF($X:$X,CONCATENATE($Z69,AA$6),$U:$U)</f>
        <v>0</v>
      </c>
      <c r="AB69" s="134" t="n">
        <f aca="false">SUMIF($X:$X,CONCATENATE($Z69,AB$6),$U:$U)</f>
        <v>0</v>
      </c>
      <c r="AC69" s="134" t="n">
        <f aca="false">SUMIF($X:$X,CONCATENATE($Z69,AC$6),$U:$U)</f>
        <v>0</v>
      </c>
      <c r="AD69" s="134" t="n">
        <f aca="false">SUMIF($X:$X,CONCATENATE($Z69,AD$6),$U:$U)</f>
        <v>0</v>
      </c>
      <c r="AE69" s="134" t="n">
        <f aca="false">SUMIF($X:$X,CONCATENATE($Z69,AE$6),$U:$U)</f>
        <v>0</v>
      </c>
      <c r="AF69" s="134" t="n">
        <f aca="false">SUMIF($X:$X,CONCATENATE($Z69,AF$6),$U:$U)</f>
        <v>0</v>
      </c>
      <c r="AG69" s="135" t="n">
        <f aca="false">SUMIF($X:$X,CONCATENATE($Z69,AG$6),$U:$U)</f>
        <v>0</v>
      </c>
      <c r="AI69" s="143" t="n">
        <f aca="false">EOMONTH(AI68,0)+1</f>
        <v>38018</v>
      </c>
      <c r="AJ69" s="135" t="n">
        <f aca="false">SUM(AA69:AG69)</f>
        <v>0</v>
      </c>
    </row>
    <row r="70" customFormat="false" ht="12.75" hidden="false" customHeight="false" outlineLevel="0" collapsed="false">
      <c r="Z70" s="143" t="n">
        <f aca="false">EOMONTH(Z69,0)+1</f>
        <v>38047</v>
      </c>
      <c r="AA70" s="134" t="n">
        <f aca="false">SUMIF($X:$X,CONCATENATE($Z70,AA$6),$U:$U)</f>
        <v>0</v>
      </c>
      <c r="AB70" s="134" t="n">
        <f aca="false">SUMIF($X:$X,CONCATENATE($Z70,AB$6),$U:$U)</f>
        <v>0</v>
      </c>
      <c r="AC70" s="134" t="n">
        <f aca="false">SUMIF($X:$X,CONCATENATE($Z70,AC$6),$U:$U)</f>
        <v>0</v>
      </c>
      <c r="AD70" s="134" t="n">
        <f aca="false">SUMIF($X:$X,CONCATENATE($Z70,AD$6),$U:$U)</f>
        <v>0</v>
      </c>
      <c r="AE70" s="134" t="n">
        <f aca="false">SUMIF($X:$X,CONCATENATE($Z70,AE$6),$U:$U)</f>
        <v>0</v>
      </c>
      <c r="AF70" s="134" t="n">
        <f aca="false">SUMIF($X:$X,CONCATENATE($Z70,AF$6),$U:$U)</f>
        <v>0</v>
      </c>
      <c r="AG70" s="135" t="n">
        <f aca="false">SUMIF($X:$X,CONCATENATE($Z70,AG$6),$U:$U)</f>
        <v>0</v>
      </c>
      <c r="AI70" s="143" t="n">
        <f aca="false">EOMONTH(AI69,0)+1</f>
        <v>38047</v>
      </c>
      <c r="AJ70" s="135" t="n">
        <f aca="false">SUM(AA70:AG70)</f>
        <v>0</v>
      </c>
    </row>
    <row r="71" customFormat="false" ht="12.75" hidden="false" customHeight="false" outlineLevel="0" collapsed="false">
      <c r="Z71" s="143" t="n">
        <f aca="false">EOMONTH(Z70,0)+1</f>
        <v>38078</v>
      </c>
      <c r="AA71" s="134" t="n">
        <f aca="false">SUMIF($X:$X,CONCATENATE($Z71,AA$6),$U:$U)</f>
        <v>0</v>
      </c>
      <c r="AB71" s="134" t="n">
        <f aca="false">SUMIF($X:$X,CONCATENATE($Z71,AB$6),$U:$U)</f>
        <v>0</v>
      </c>
      <c r="AC71" s="134" t="n">
        <f aca="false">SUMIF($X:$X,CONCATENATE($Z71,AC$6),$U:$U)</f>
        <v>0</v>
      </c>
      <c r="AD71" s="134" t="n">
        <f aca="false">SUMIF($X:$X,CONCATENATE($Z71,AD$6),$U:$U)</f>
        <v>0</v>
      </c>
      <c r="AE71" s="134" t="n">
        <f aca="false">SUMIF($X:$X,CONCATENATE($Z71,AE$6),$U:$U)</f>
        <v>0</v>
      </c>
      <c r="AF71" s="134" t="n">
        <f aca="false">SUMIF($X:$X,CONCATENATE($Z71,AF$6),$U:$U)</f>
        <v>0</v>
      </c>
      <c r="AG71" s="135" t="n">
        <f aca="false">SUMIF($X:$X,CONCATENATE($Z71,AG$6),$U:$U)</f>
        <v>0</v>
      </c>
      <c r="AI71" s="143" t="n">
        <f aca="false">EOMONTH(AI70,0)+1</f>
        <v>38078</v>
      </c>
      <c r="AJ71" s="135" t="n">
        <f aca="false">SUM(AA71:AG71)</f>
        <v>0</v>
      </c>
    </row>
    <row r="72" customFormat="false" ht="12.75" hidden="false" customHeight="false" outlineLevel="0" collapsed="false">
      <c r="Z72" s="143" t="n">
        <f aca="false">EOMONTH(Z71,0)+1</f>
        <v>38108</v>
      </c>
      <c r="AA72" s="134" t="n">
        <f aca="false">SUMIF($X:$X,CONCATENATE($Z72,AA$6),$U:$U)</f>
        <v>0</v>
      </c>
      <c r="AB72" s="134" t="n">
        <f aca="false">SUMIF($X:$X,CONCATENATE($Z72,AB$6),$U:$U)</f>
        <v>0</v>
      </c>
      <c r="AC72" s="134" t="n">
        <f aca="false">SUMIF($X:$X,CONCATENATE($Z72,AC$6),$U:$U)</f>
        <v>0</v>
      </c>
      <c r="AD72" s="134" t="n">
        <f aca="false">SUMIF($X:$X,CONCATENATE($Z72,AD$6),$U:$U)</f>
        <v>0</v>
      </c>
      <c r="AE72" s="134" t="n">
        <f aca="false">SUMIF($X:$X,CONCATENATE($Z72,AE$6),$U:$U)</f>
        <v>0</v>
      </c>
      <c r="AF72" s="134" t="n">
        <f aca="false">SUMIF($X:$X,CONCATENATE($Z72,AF$6),$U:$U)</f>
        <v>0</v>
      </c>
      <c r="AG72" s="135" t="n">
        <f aca="false">SUMIF($X:$X,CONCATENATE($Z72,AG$6),$U:$U)</f>
        <v>0</v>
      </c>
      <c r="AI72" s="143" t="n">
        <f aca="false">EOMONTH(AI71,0)+1</f>
        <v>38108</v>
      </c>
      <c r="AJ72" s="135" t="n">
        <f aca="false">SUM(AA72:AG72)</f>
        <v>0</v>
      </c>
    </row>
    <row r="73" customFormat="false" ht="12.75" hidden="false" customHeight="false" outlineLevel="0" collapsed="false">
      <c r="Z73" s="143" t="n">
        <f aca="false">EOMONTH(Z72,0)+1</f>
        <v>38139</v>
      </c>
      <c r="AA73" s="134" t="n">
        <f aca="false">SUMIF($X:$X,CONCATENATE($Z73,AA$6),$U:$U)</f>
        <v>0</v>
      </c>
      <c r="AB73" s="134" t="n">
        <f aca="false">SUMIF($X:$X,CONCATENATE($Z73,AB$6),$U:$U)</f>
        <v>0</v>
      </c>
      <c r="AC73" s="134" t="n">
        <f aca="false">SUMIF($X:$X,CONCATENATE($Z73,AC$6),$U:$U)</f>
        <v>0</v>
      </c>
      <c r="AD73" s="134" t="n">
        <f aca="false">SUMIF($X:$X,CONCATENATE($Z73,AD$6),$U:$U)</f>
        <v>0</v>
      </c>
      <c r="AE73" s="134" t="n">
        <f aca="false">SUMIF($X:$X,CONCATENATE($Z73,AE$6),$U:$U)</f>
        <v>0</v>
      </c>
      <c r="AF73" s="134" t="n">
        <f aca="false">SUMIF($X:$X,CONCATENATE($Z73,AF$6),$U:$U)</f>
        <v>0</v>
      </c>
      <c r="AG73" s="135" t="n">
        <f aca="false">SUMIF($X:$X,CONCATENATE($Z73,AG$6),$U:$U)</f>
        <v>0</v>
      </c>
      <c r="AI73" s="143" t="n">
        <f aca="false">EOMONTH(AI72,0)+1</f>
        <v>38139</v>
      </c>
      <c r="AJ73" s="135" t="n">
        <f aca="false">SUM(AA73:AG73)</f>
        <v>0</v>
      </c>
    </row>
    <row r="74" customFormat="false" ht="12.75" hidden="false" customHeight="false" outlineLevel="0" collapsed="false">
      <c r="Z74" s="143" t="n">
        <f aca="false">EOMONTH(Z73,0)+1</f>
        <v>38169</v>
      </c>
      <c r="AA74" s="134" t="n">
        <f aca="false">SUMIF($X:$X,CONCATENATE($Z74,AA$6),$U:$U)</f>
        <v>0</v>
      </c>
      <c r="AB74" s="134" t="n">
        <f aca="false">SUMIF($X:$X,CONCATENATE($Z74,AB$6),$U:$U)</f>
        <v>0</v>
      </c>
      <c r="AC74" s="134" t="n">
        <f aca="false">SUMIF($X:$X,CONCATENATE($Z74,AC$6),$U:$U)</f>
        <v>0</v>
      </c>
      <c r="AD74" s="134" t="n">
        <f aca="false">SUMIF($X:$X,CONCATENATE($Z74,AD$6),$U:$U)</f>
        <v>0</v>
      </c>
      <c r="AE74" s="134" t="n">
        <f aca="false">SUMIF($X:$X,CONCATENATE($Z74,AE$6),$U:$U)</f>
        <v>0</v>
      </c>
      <c r="AF74" s="134" t="n">
        <f aca="false">SUMIF($X:$X,CONCATENATE($Z74,AF$6),$U:$U)</f>
        <v>0</v>
      </c>
      <c r="AG74" s="135" t="n">
        <f aca="false">SUMIF($X:$X,CONCATENATE($Z74,AG$6),$U:$U)</f>
        <v>0</v>
      </c>
      <c r="AI74" s="143" t="n">
        <f aca="false">EOMONTH(AI73,0)+1</f>
        <v>38169</v>
      </c>
      <c r="AJ74" s="135" t="n">
        <f aca="false">SUM(AA74:AG74)</f>
        <v>0</v>
      </c>
    </row>
    <row r="75" customFormat="false" ht="12.75" hidden="false" customHeight="false" outlineLevel="0" collapsed="false">
      <c r="Z75" s="143" t="n">
        <f aca="false">EOMONTH(Z74,0)+1</f>
        <v>38200</v>
      </c>
      <c r="AA75" s="134" t="n">
        <f aca="false">SUMIF($X:$X,CONCATENATE($Z75,AA$6),$U:$U)</f>
        <v>0</v>
      </c>
      <c r="AB75" s="134" t="n">
        <f aca="false">SUMIF($X:$X,CONCATENATE($Z75,AB$6),$U:$U)</f>
        <v>0</v>
      </c>
      <c r="AC75" s="134" t="n">
        <f aca="false">SUMIF($X:$X,CONCATENATE($Z75,AC$6),$U:$U)</f>
        <v>0</v>
      </c>
      <c r="AD75" s="134" t="n">
        <f aca="false">SUMIF($X:$X,CONCATENATE($Z75,AD$6),$U:$U)</f>
        <v>0</v>
      </c>
      <c r="AE75" s="134" t="n">
        <f aca="false">SUMIF($X:$X,CONCATENATE($Z75,AE$6),$U:$U)</f>
        <v>0</v>
      </c>
      <c r="AF75" s="134" t="n">
        <f aca="false">SUMIF($X:$X,CONCATENATE($Z75,AF$6),$U:$U)</f>
        <v>0</v>
      </c>
      <c r="AG75" s="135" t="n">
        <f aca="false">SUMIF($X:$X,CONCATENATE($Z75,AG$6),$U:$U)</f>
        <v>0</v>
      </c>
      <c r="AI75" s="143" t="n">
        <f aca="false">EOMONTH(AI74,0)+1</f>
        <v>38200</v>
      </c>
      <c r="AJ75" s="135" t="n">
        <f aca="false">SUM(AA75:AG75)</f>
        <v>0</v>
      </c>
    </row>
    <row r="76" customFormat="false" ht="12.75" hidden="false" customHeight="false" outlineLevel="0" collapsed="false">
      <c r="Z76" s="143" t="n">
        <f aca="false">EOMONTH(Z75,0)+1</f>
        <v>38231</v>
      </c>
      <c r="AA76" s="134" t="n">
        <f aca="false">SUMIF($X:$X,CONCATENATE($Z76,AA$6),$U:$U)</f>
        <v>0</v>
      </c>
      <c r="AB76" s="134" t="n">
        <f aca="false">SUMIF($X:$X,CONCATENATE($Z76,AB$6),$U:$U)</f>
        <v>0</v>
      </c>
      <c r="AC76" s="134" t="n">
        <f aca="false">SUMIF($X:$X,CONCATENATE($Z76,AC$6),$U:$U)</f>
        <v>0</v>
      </c>
      <c r="AD76" s="134" t="n">
        <f aca="false">SUMIF($X:$X,CONCATENATE($Z76,AD$6),$U:$U)</f>
        <v>0</v>
      </c>
      <c r="AE76" s="134" t="n">
        <f aca="false">SUMIF($X:$X,CONCATENATE($Z76,AE$6),$U:$U)</f>
        <v>0</v>
      </c>
      <c r="AF76" s="134" t="n">
        <f aca="false">SUMIF($X:$X,CONCATENATE($Z76,AF$6),$U:$U)</f>
        <v>0</v>
      </c>
      <c r="AG76" s="135" t="n">
        <f aca="false">SUMIF($X:$X,CONCATENATE($Z76,AG$6),$U:$U)</f>
        <v>0</v>
      </c>
      <c r="AI76" s="143" t="n">
        <f aca="false">EOMONTH(AI75,0)+1</f>
        <v>38231</v>
      </c>
      <c r="AJ76" s="135" t="n">
        <f aca="false">SUM(AA76:AG76)</f>
        <v>0</v>
      </c>
    </row>
    <row r="77" customFormat="false" ht="12.75" hidden="false" customHeight="false" outlineLevel="0" collapsed="false">
      <c r="Z77" s="143" t="n">
        <f aca="false">EOMONTH(Z76,0)+1</f>
        <v>38261</v>
      </c>
      <c r="AA77" s="134" t="n">
        <f aca="false">SUMIF($X:$X,CONCATENATE($Z77,AA$6),$U:$U)</f>
        <v>0</v>
      </c>
      <c r="AB77" s="134" t="n">
        <f aca="false">SUMIF($X:$X,CONCATENATE($Z77,AB$6),$U:$U)</f>
        <v>0</v>
      </c>
      <c r="AC77" s="134" t="n">
        <f aca="false">SUMIF($X:$X,CONCATENATE($Z77,AC$6),$U:$U)</f>
        <v>0</v>
      </c>
      <c r="AD77" s="134" t="n">
        <f aca="false">SUMIF($X:$X,CONCATENATE($Z77,AD$6),$U:$U)</f>
        <v>0</v>
      </c>
      <c r="AE77" s="134" t="n">
        <f aca="false">SUMIF($X:$X,CONCATENATE($Z77,AE$6),$U:$U)</f>
        <v>0</v>
      </c>
      <c r="AF77" s="134" t="n">
        <f aca="false">SUMIF($X:$X,CONCATENATE($Z77,AF$6),$U:$U)</f>
        <v>0</v>
      </c>
      <c r="AG77" s="135" t="n">
        <f aca="false">SUMIF($X:$X,CONCATENATE($Z77,AG$6),$U:$U)</f>
        <v>0</v>
      </c>
      <c r="AI77" s="143" t="n">
        <f aca="false">EOMONTH(AI76,0)+1</f>
        <v>38261</v>
      </c>
      <c r="AJ77" s="135" t="n">
        <f aca="false">SUM(AA77:AG77)</f>
        <v>0</v>
      </c>
    </row>
    <row r="78" customFormat="false" ht="12.75" hidden="false" customHeight="false" outlineLevel="0" collapsed="false">
      <c r="Z78" s="143" t="n">
        <f aca="false">EOMONTH(Z77,0)+1</f>
        <v>38292</v>
      </c>
      <c r="AA78" s="134" t="n">
        <f aca="false">SUMIF($X:$X,CONCATENATE($Z78,AA$6),$U:$U)</f>
        <v>0</v>
      </c>
      <c r="AB78" s="134" t="n">
        <f aca="false">SUMIF($X:$X,CONCATENATE($Z78,AB$6),$U:$U)</f>
        <v>0</v>
      </c>
      <c r="AC78" s="134" t="n">
        <f aca="false">SUMIF($X:$X,CONCATENATE($Z78,AC$6),$U:$U)</f>
        <v>0</v>
      </c>
      <c r="AD78" s="134" t="n">
        <f aca="false">SUMIF($X:$X,CONCATENATE($Z78,AD$6),$U:$U)</f>
        <v>0</v>
      </c>
      <c r="AE78" s="134" t="n">
        <f aca="false">SUMIF($X:$X,CONCATENATE($Z78,AE$6),$U:$U)</f>
        <v>0</v>
      </c>
      <c r="AF78" s="134" t="n">
        <f aca="false">SUMIF($X:$X,CONCATENATE($Z78,AF$6),$U:$U)</f>
        <v>0</v>
      </c>
      <c r="AG78" s="135" t="n">
        <f aca="false">SUMIF($X:$X,CONCATENATE($Z78,AG$6),$U:$U)</f>
        <v>0</v>
      </c>
      <c r="AI78" s="143" t="n">
        <f aca="false">EOMONTH(AI77,0)+1</f>
        <v>38292</v>
      </c>
      <c r="AJ78" s="135" t="n">
        <f aca="false">SUM(AA78:AG78)</f>
        <v>0</v>
      </c>
    </row>
    <row r="79" customFormat="false" ht="12.75" hidden="false" customHeight="false" outlineLevel="0" collapsed="false">
      <c r="Z79" s="143" t="n">
        <f aca="false">EOMONTH(Z78,0)+1</f>
        <v>38322</v>
      </c>
      <c r="AA79" s="134" t="n">
        <f aca="false">SUMIF($X:$X,CONCATENATE($Z79,AA$6),$U:$U)</f>
        <v>0</v>
      </c>
      <c r="AB79" s="134" t="n">
        <f aca="false">SUMIF($X:$X,CONCATENATE($Z79,AB$6),$U:$U)</f>
        <v>0</v>
      </c>
      <c r="AC79" s="134" t="n">
        <f aca="false">SUMIF($X:$X,CONCATENATE($Z79,AC$6),$U:$U)</f>
        <v>0</v>
      </c>
      <c r="AD79" s="134" t="n">
        <f aca="false">SUMIF($X:$X,CONCATENATE($Z79,AD$6),$U:$U)</f>
        <v>0</v>
      </c>
      <c r="AE79" s="134" t="n">
        <f aca="false">SUMIF($X:$X,CONCATENATE($Z79,AE$6),$U:$U)</f>
        <v>0</v>
      </c>
      <c r="AF79" s="134" t="n">
        <f aca="false">SUMIF($X:$X,CONCATENATE($Z79,AF$6),$U:$U)</f>
        <v>0</v>
      </c>
      <c r="AG79" s="135" t="n">
        <f aca="false">SUMIF($X:$X,CONCATENATE($Z79,AG$6),$U:$U)</f>
        <v>0</v>
      </c>
      <c r="AI79" s="143" t="n">
        <f aca="false">EOMONTH(AI78,0)+1</f>
        <v>38322</v>
      </c>
      <c r="AJ79" s="135" t="n">
        <f aca="false">SUM(AA79:AG79)</f>
        <v>0</v>
      </c>
    </row>
    <row r="80" customFormat="false" ht="12.75" hidden="false" customHeight="false" outlineLevel="0" collapsed="false">
      <c r="Z80" s="143" t="n">
        <f aca="false">EOMONTH(Z79,0)+1</f>
        <v>38353</v>
      </c>
      <c r="AA80" s="134" t="n">
        <f aca="false">SUMIF($X:$X,CONCATENATE($Z80,AA$6),$U:$U)</f>
        <v>0</v>
      </c>
      <c r="AB80" s="134" t="n">
        <f aca="false">SUMIF($X:$X,CONCATENATE($Z80,AB$6),$U:$U)</f>
        <v>0</v>
      </c>
      <c r="AC80" s="134" t="n">
        <f aca="false">SUMIF($X:$X,CONCATENATE($Z80,AC$6),$U:$U)</f>
        <v>0</v>
      </c>
      <c r="AD80" s="134" t="n">
        <f aca="false">SUMIF($X:$X,CONCATENATE($Z80,AD$6),$U:$U)</f>
        <v>0</v>
      </c>
      <c r="AE80" s="134" t="n">
        <f aca="false">SUMIF($X:$X,CONCATENATE($Z80,AE$6),$U:$U)</f>
        <v>0</v>
      </c>
      <c r="AF80" s="134" t="n">
        <f aca="false">SUMIF($X:$X,CONCATENATE($Z80,AF$6),$U:$U)</f>
        <v>0</v>
      </c>
      <c r="AG80" s="135" t="n">
        <f aca="false">SUMIF($X:$X,CONCATENATE($Z80,AG$6),$U:$U)</f>
        <v>0</v>
      </c>
      <c r="AI80" s="143" t="n">
        <f aca="false">EOMONTH(AI79,0)+1</f>
        <v>38353</v>
      </c>
      <c r="AJ80" s="135" t="n">
        <f aca="false">SUM(AA80:AG80)</f>
        <v>0</v>
      </c>
    </row>
    <row r="81" customFormat="false" ht="12.75" hidden="false" customHeight="false" outlineLevel="0" collapsed="false">
      <c r="Z81" s="143" t="n">
        <f aca="false">EOMONTH(Z80,0)+1</f>
        <v>38384</v>
      </c>
      <c r="AA81" s="134" t="n">
        <f aca="false">SUMIF($X:$X,CONCATENATE($Z81,AA$6),$U:$U)</f>
        <v>0</v>
      </c>
      <c r="AB81" s="134" t="n">
        <f aca="false">SUMIF($X:$X,CONCATENATE($Z81,AB$6),$U:$U)</f>
        <v>0</v>
      </c>
      <c r="AC81" s="134" t="n">
        <f aca="false">SUMIF($X:$X,CONCATENATE($Z81,AC$6),$U:$U)</f>
        <v>0</v>
      </c>
      <c r="AD81" s="134" t="n">
        <f aca="false">SUMIF($X:$X,CONCATENATE($Z81,AD$6),$U:$U)</f>
        <v>0</v>
      </c>
      <c r="AE81" s="134" t="n">
        <f aca="false">SUMIF($X:$X,CONCATENATE($Z81,AE$6),$U:$U)</f>
        <v>0</v>
      </c>
      <c r="AF81" s="134" t="n">
        <f aca="false">SUMIF($X:$X,CONCATENATE($Z81,AF$6),$U:$U)</f>
        <v>0</v>
      </c>
      <c r="AG81" s="135" t="n">
        <f aca="false">SUMIF($X:$X,CONCATENATE($Z81,AG$6),$U:$U)</f>
        <v>0</v>
      </c>
      <c r="AI81" s="143" t="n">
        <f aca="false">EOMONTH(AI80,0)+1</f>
        <v>38384</v>
      </c>
      <c r="AJ81" s="135" t="n">
        <f aca="false">SUM(AA81:AG81)</f>
        <v>0</v>
      </c>
    </row>
    <row r="82" customFormat="false" ht="12.75" hidden="false" customHeight="false" outlineLevel="0" collapsed="false">
      <c r="Z82" s="143" t="n">
        <f aca="false">EOMONTH(Z81,0)+1</f>
        <v>38412</v>
      </c>
      <c r="AA82" s="134" t="n">
        <f aca="false">SUMIF($X:$X,CONCATENATE($Z82,AA$6),$U:$U)</f>
        <v>0</v>
      </c>
      <c r="AB82" s="134" t="n">
        <f aca="false">SUMIF($X:$X,CONCATENATE($Z82,AB$6),$U:$U)</f>
        <v>0</v>
      </c>
      <c r="AC82" s="134" t="n">
        <f aca="false">SUMIF($X:$X,CONCATENATE($Z82,AC$6),$U:$U)</f>
        <v>0</v>
      </c>
      <c r="AD82" s="134" t="n">
        <f aca="false">SUMIF($X:$X,CONCATENATE($Z82,AD$6),$U:$U)</f>
        <v>0</v>
      </c>
      <c r="AE82" s="134" t="n">
        <f aca="false">SUMIF($X:$X,CONCATENATE($Z82,AE$6),$U:$U)</f>
        <v>0</v>
      </c>
      <c r="AF82" s="134" t="n">
        <f aca="false">SUMIF($X:$X,CONCATENATE($Z82,AF$6),$U:$U)</f>
        <v>0</v>
      </c>
      <c r="AG82" s="135" t="n">
        <f aca="false">SUMIF($X:$X,CONCATENATE($Z82,AG$6),$U:$U)</f>
        <v>0</v>
      </c>
      <c r="AI82" s="143" t="n">
        <f aca="false">EOMONTH(AI81,0)+1</f>
        <v>38412</v>
      </c>
      <c r="AJ82" s="135" t="n">
        <f aca="false">SUM(AA82:AG82)</f>
        <v>0</v>
      </c>
    </row>
    <row r="83" customFormat="false" ht="12.75" hidden="false" customHeight="false" outlineLevel="0" collapsed="false">
      <c r="Z83" s="143" t="n">
        <f aca="false">EOMONTH(Z82,0)+1</f>
        <v>38443</v>
      </c>
      <c r="AA83" s="134" t="n">
        <f aca="false">SUMIF($X:$X,CONCATENATE($Z83,AA$6),$U:$U)</f>
        <v>0</v>
      </c>
      <c r="AB83" s="134" t="n">
        <f aca="false">SUMIF($X:$X,CONCATENATE($Z83,AB$6),$U:$U)</f>
        <v>0</v>
      </c>
      <c r="AC83" s="134" t="n">
        <f aca="false">SUMIF($X:$X,CONCATENATE($Z83,AC$6),$U:$U)</f>
        <v>0</v>
      </c>
      <c r="AD83" s="134" t="n">
        <f aca="false">SUMIF($X:$X,CONCATENATE($Z83,AD$6),$U:$U)</f>
        <v>0</v>
      </c>
      <c r="AE83" s="134" t="n">
        <f aca="false">SUMIF($X:$X,CONCATENATE($Z83,AE$6),$U:$U)</f>
        <v>0</v>
      </c>
      <c r="AF83" s="134" t="n">
        <f aca="false">SUMIF($X:$X,CONCATENATE($Z83,AF$6),$U:$U)</f>
        <v>0</v>
      </c>
      <c r="AG83" s="135" t="n">
        <f aca="false">SUMIF($X:$X,CONCATENATE($Z83,AG$6),$U:$U)</f>
        <v>0</v>
      </c>
      <c r="AI83" s="143" t="n">
        <f aca="false">EOMONTH(AI82,0)+1</f>
        <v>38443</v>
      </c>
      <c r="AJ83" s="135" t="n">
        <f aca="false">SUM(AA83:AG83)</f>
        <v>0</v>
      </c>
    </row>
    <row r="84" customFormat="false" ht="12.75" hidden="false" customHeight="false" outlineLevel="0" collapsed="false">
      <c r="Z84" s="143" t="n">
        <f aca="false">EOMONTH(Z83,0)+1</f>
        <v>38473</v>
      </c>
      <c r="AA84" s="134" t="n">
        <f aca="false">SUMIF($X:$X,CONCATENATE($Z84,AA$6),$U:$U)</f>
        <v>0</v>
      </c>
      <c r="AB84" s="134" t="n">
        <f aca="false">SUMIF($X:$X,CONCATENATE($Z84,AB$6),$U:$U)</f>
        <v>0</v>
      </c>
      <c r="AC84" s="134" t="n">
        <f aca="false">SUMIF($X:$X,CONCATENATE($Z84,AC$6),$U:$U)</f>
        <v>0</v>
      </c>
      <c r="AD84" s="134" t="n">
        <f aca="false">SUMIF($X:$X,CONCATENATE($Z84,AD$6),$U:$U)</f>
        <v>0</v>
      </c>
      <c r="AE84" s="134" t="n">
        <f aca="false">SUMIF($X:$X,CONCATENATE($Z84,AE$6),$U:$U)</f>
        <v>0</v>
      </c>
      <c r="AF84" s="134" t="n">
        <f aca="false">SUMIF($X:$X,CONCATENATE($Z84,AF$6),$U:$U)</f>
        <v>0</v>
      </c>
      <c r="AG84" s="135" t="n">
        <f aca="false">SUMIF($X:$X,CONCATENATE($Z84,AG$6),$U:$U)</f>
        <v>0</v>
      </c>
      <c r="AI84" s="143" t="n">
        <f aca="false">EOMONTH(AI83,0)+1</f>
        <v>38473</v>
      </c>
      <c r="AJ84" s="135" t="n">
        <f aca="false">SUM(AA84:AG84)</f>
        <v>0</v>
      </c>
    </row>
    <row r="85" customFormat="false" ht="12.75" hidden="false" customHeight="false" outlineLevel="0" collapsed="false">
      <c r="Z85" s="143" t="n">
        <f aca="false">EOMONTH(Z84,0)+1</f>
        <v>38504</v>
      </c>
      <c r="AA85" s="134" t="n">
        <f aca="false">SUMIF($X:$X,CONCATENATE($Z85,AA$6),$U:$U)</f>
        <v>0</v>
      </c>
      <c r="AB85" s="134" t="n">
        <f aca="false">SUMIF($X:$X,CONCATENATE($Z85,AB$6),$U:$U)</f>
        <v>0</v>
      </c>
      <c r="AC85" s="134" t="n">
        <f aca="false">SUMIF($X:$X,CONCATENATE($Z85,AC$6),$U:$U)</f>
        <v>0</v>
      </c>
      <c r="AD85" s="134" t="n">
        <f aca="false">SUMIF($X:$X,CONCATENATE($Z85,AD$6),$U:$U)</f>
        <v>0</v>
      </c>
      <c r="AE85" s="134" t="n">
        <f aca="false">SUMIF($X:$X,CONCATENATE($Z85,AE$6),$U:$U)</f>
        <v>0</v>
      </c>
      <c r="AF85" s="134" t="n">
        <f aca="false">SUMIF($X:$X,CONCATENATE($Z85,AF$6),$U:$U)</f>
        <v>0</v>
      </c>
      <c r="AG85" s="135" t="n">
        <f aca="false">SUMIF($X:$X,CONCATENATE($Z85,AG$6),$U:$U)</f>
        <v>0</v>
      </c>
      <c r="AI85" s="143" t="n">
        <f aca="false">EOMONTH(AI84,0)+1</f>
        <v>38504</v>
      </c>
      <c r="AJ85" s="135" t="n">
        <f aca="false">SUM(AA85:AG85)</f>
        <v>0</v>
      </c>
    </row>
    <row r="86" customFormat="false" ht="12.75" hidden="false" customHeight="false" outlineLevel="0" collapsed="false">
      <c r="Z86" s="143" t="n">
        <f aca="false">EOMONTH(Z85,0)+1</f>
        <v>38534</v>
      </c>
      <c r="AA86" s="134" t="n">
        <f aca="false">SUMIF($X:$X,CONCATENATE($Z86,AA$6),$U:$U)</f>
        <v>0</v>
      </c>
      <c r="AB86" s="134" t="n">
        <f aca="false">SUMIF($X:$X,CONCATENATE($Z86,AB$6),$U:$U)</f>
        <v>0</v>
      </c>
      <c r="AC86" s="134" t="n">
        <f aca="false">SUMIF($X:$X,CONCATENATE($Z86,AC$6),$U:$U)</f>
        <v>0</v>
      </c>
      <c r="AD86" s="134" t="n">
        <f aca="false">SUMIF($X:$X,CONCATENATE($Z86,AD$6),$U:$U)</f>
        <v>0</v>
      </c>
      <c r="AE86" s="134" t="n">
        <f aca="false">SUMIF($X:$X,CONCATENATE($Z86,AE$6),$U:$U)</f>
        <v>0</v>
      </c>
      <c r="AF86" s="134" t="n">
        <f aca="false">SUMIF($X:$X,CONCATENATE($Z86,AF$6),$U:$U)</f>
        <v>0</v>
      </c>
      <c r="AG86" s="135" t="n">
        <f aca="false">SUMIF($X:$X,CONCATENATE($Z86,AG$6),$U:$U)</f>
        <v>0</v>
      </c>
      <c r="AI86" s="143" t="n">
        <f aca="false">EOMONTH(AI85,0)+1</f>
        <v>38534</v>
      </c>
      <c r="AJ86" s="135" t="n">
        <f aca="false">SUM(AA86:AG86)</f>
        <v>0</v>
      </c>
    </row>
    <row r="87" customFormat="false" ht="12.75" hidden="false" customHeight="false" outlineLevel="0" collapsed="false">
      <c r="Z87" s="143" t="n">
        <f aca="false">EOMONTH(Z86,0)+1</f>
        <v>38565</v>
      </c>
      <c r="AA87" s="134" t="n">
        <f aca="false">SUMIF($X:$X,CONCATENATE($Z87,AA$6),$U:$U)</f>
        <v>0</v>
      </c>
      <c r="AB87" s="134" t="n">
        <f aca="false">SUMIF($X:$X,CONCATENATE($Z87,AB$6),$U:$U)</f>
        <v>0</v>
      </c>
      <c r="AC87" s="134" t="n">
        <f aca="false">SUMIF($X:$X,CONCATENATE($Z87,AC$6),$U:$U)</f>
        <v>0</v>
      </c>
      <c r="AD87" s="134" t="n">
        <f aca="false">SUMIF($X:$X,CONCATENATE($Z87,AD$6),$U:$U)</f>
        <v>0</v>
      </c>
      <c r="AE87" s="134" t="n">
        <f aca="false">SUMIF($X:$X,CONCATENATE($Z87,AE$6),$U:$U)</f>
        <v>0</v>
      </c>
      <c r="AF87" s="134" t="n">
        <f aca="false">SUMIF($X:$X,CONCATENATE($Z87,AF$6),$U:$U)</f>
        <v>0</v>
      </c>
      <c r="AG87" s="135" t="n">
        <f aca="false">SUMIF($X:$X,CONCATENATE($Z87,AG$6),$U:$U)</f>
        <v>0</v>
      </c>
      <c r="AI87" s="143" t="n">
        <f aca="false">EOMONTH(AI86,0)+1</f>
        <v>38565</v>
      </c>
      <c r="AJ87" s="135" t="n">
        <f aca="false">SUM(AA87:AG87)</f>
        <v>0</v>
      </c>
    </row>
    <row r="88" customFormat="false" ht="12.75" hidden="false" customHeight="false" outlineLevel="0" collapsed="false">
      <c r="Z88" s="143" t="n">
        <f aca="false">EOMONTH(Z87,0)+1</f>
        <v>38596</v>
      </c>
      <c r="AA88" s="134" t="n">
        <f aca="false">SUMIF($X:$X,CONCATENATE($Z88,AA$6),$U:$U)</f>
        <v>0</v>
      </c>
      <c r="AB88" s="134" t="n">
        <f aca="false">SUMIF($X:$X,CONCATENATE($Z88,AB$6),$U:$U)</f>
        <v>0</v>
      </c>
      <c r="AC88" s="134" t="n">
        <f aca="false">SUMIF($X:$X,CONCATENATE($Z88,AC$6),$U:$U)</f>
        <v>0</v>
      </c>
      <c r="AD88" s="134" t="n">
        <f aca="false">SUMIF($X:$X,CONCATENATE($Z88,AD$6),$U:$U)</f>
        <v>0</v>
      </c>
      <c r="AE88" s="134" t="n">
        <f aca="false">SUMIF($X:$X,CONCATENATE($Z88,AE$6),$U:$U)</f>
        <v>0</v>
      </c>
      <c r="AF88" s="134" t="n">
        <f aca="false">SUMIF($X:$X,CONCATENATE($Z88,AF$6),$U:$U)</f>
        <v>0</v>
      </c>
      <c r="AG88" s="135" t="n">
        <f aca="false">SUMIF($X:$X,CONCATENATE($Z88,AG$6),$U:$U)</f>
        <v>0</v>
      </c>
      <c r="AI88" s="143" t="n">
        <f aca="false">EOMONTH(AI87,0)+1</f>
        <v>38596</v>
      </c>
      <c r="AJ88" s="135" t="n">
        <f aca="false">SUM(AA88:AG88)</f>
        <v>0</v>
      </c>
    </row>
    <row r="89" customFormat="false" ht="12.75" hidden="false" customHeight="false" outlineLevel="0" collapsed="false">
      <c r="Z89" s="143" t="n">
        <f aca="false">EOMONTH(Z88,0)+1</f>
        <v>38626</v>
      </c>
      <c r="AA89" s="134" t="n">
        <f aca="false">SUMIF($X:$X,CONCATENATE($Z89,AA$6),$U:$U)</f>
        <v>0</v>
      </c>
      <c r="AB89" s="134" t="n">
        <f aca="false">SUMIF($X:$X,CONCATENATE($Z89,AB$6),$U:$U)</f>
        <v>0</v>
      </c>
      <c r="AC89" s="134" t="n">
        <f aca="false">SUMIF($X:$X,CONCATENATE($Z89,AC$6),$U:$U)</f>
        <v>0</v>
      </c>
      <c r="AD89" s="134" t="n">
        <f aca="false">SUMIF($X:$X,CONCATENATE($Z89,AD$6),$U:$U)</f>
        <v>0</v>
      </c>
      <c r="AE89" s="134" t="n">
        <f aca="false">SUMIF($X:$X,CONCATENATE($Z89,AE$6),$U:$U)</f>
        <v>0</v>
      </c>
      <c r="AF89" s="134" t="n">
        <f aca="false">SUMIF($X:$X,CONCATENATE($Z89,AF$6),$U:$U)</f>
        <v>0</v>
      </c>
      <c r="AG89" s="135" t="n">
        <f aca="false">SUMIF($X:$X,CONCATENATE($Z89,AG$6),$U:$U)</f>
        <v>0</v>
      </c>
      <c r="AI89" s="143" t="n">
        <f aca="false">EOMONTH(AI88,0)+1</f>
        <v>38626</v>
      </c>
      <c r="AJ89" s="135" t="n">
        <f aca="false">SUM(AA89:AG89)</f>
        <v>0</v>
      </c>
    </row>
    <row r="90" customFormat="false" ht="12.75" hidden="false" customHeight="false" outlineLevel="0" collapsed="false">
      <c r="Z90" s="143" t="n">
        <f aca="false">EOMONTH(Z89,0)+1</f>
        <v>38657</v>
      </c>
      <c r="AA90" s="134" t="n">
        <f aca="false">SUMIF($X:$X,CONCATENATE($Z90,AA$6),$U:$U)</f>
        <v>0</v>
      </c>
      <c r="AB90" s="134" t="n">
        <f aca="false">SUMIF($X:$X,CONCATENATE($Z90,AB$6),$U:$U)</f>
        <v>0</v>
      </c>
      <c r="AC90" s="134" t="n">
        <f aca="false">SUMIF($X:$X,CONCATENATE($Z90,AC$6),$U:$U)</f>
        <v>0</v>
      </c>
      <c r="AD90" s="134" t="n">
        <f aca="false">SUMIF($X:$X,CONCATENATE($Z90,AD$6),$U:$U)</f>
        <v>0</v>
      </c>
      <c r="AE90" s="134" t="n">
        <f aca="false">SUMIF($X:$X,CONCATENATE($Z90,AE$6),$U:$U)</f>
        <v>0</v>
      </c>
      <c r="AF90" s="134" t="n">
        <f aca="false">SUMIF($X:$X,CONCATENATE($Z90,AF$6),$U:$U)</f>
        <v>0</v>
      </c>
      <c r="AG90" s="135" t="n">
        <f aca="false">SUMIF($X:$X,CONCATENATE($Z90,AG$6),$U:$U)</f>
        <v>0</v>
      </c>
      <c r="AI90" s="143" t="n">
        <f aca="false">EOMONTH(AI89,0)+1</f>
        <v>38657</v>
      </c>
      <c r="AJ90" s="135" t="n">
        <f aca="false">SUM(AA90:AG90)</f>
        <v>0</v>
      </c>
    </row>
    <row r="91" customFormat="false" ht="12.75" hidden="false" customHeight="false" outlineLevel="0" collapsed="false">
      <c r="Z91" s="143" t="n">
        <f aca="false">EOMONTH(Z90,0)+1</f>
        <v>38687</v>
      </c>
      <c r="AA91" s="134" t="n">
        <f aca="false">SUMIF($X:$X,CONCATENATE($Z91,AA$6),$U:$U)</f>
        <v>0</v>
      </c>
      <c r="AB91" s="134" t="n">
        <f aca="false">SUMIF($X:$X,CONCATENATE($Z91,AB$6),$U:$U)</f>
        <v>0</v>
      </c>
      <c r="AC91" s="134" t="n">
        <f aca="false">SUMIF($X:$X,CONCATENATE($Z91,AC$6),$U:$U)</f>
        <v>0</v>
      </c>
      <c r="AD91" s="134" t="n">
        <f aca="false">SUMIF($X:$X,CONCATENATE($Z91,AD$6),$U:$U)</f>
        <v>0</v>
      </c>
      <c r="AE91" s="134" t="n">
        <f aca="false">SUMIF($X:$X,CONCATENATE($Z91,AE$6),$U:$U)</f>
        <v>0</v>
      </c>
      <c r="AF91" s="134" t="n">
        <f aca="false">SUMIF($X:$X,CONCATENATE($Z91,AF$6),$U:$U)</f>
        <v>0</v>
      </c>
      <c r="AG91" s="135" t="n">
        <f aca="false">SUMIF($X:$X,CONCATENATE($Z91,AG$6),$U:$U)</f>
        <v>0</v>
      </c>
      <c r="AI91" s="143" t="n">
        <f aca="false">EOMONTH(AI90,0)+1</f>
        <v>38687</v>
      </c>
      <c r="AJ91" s="135" t="n">
        <f aca="false">SUM(AA91:AG91)</f>
        <v>0</v>
      </c>
    </row>
    <row r="92" customFormat="false" ht="12.75" hidden="false" customHeight="false" outlineLevel="0" collapsed="false">
      <c r="Z92" s="143" t="n">
        <f aca="false">EOMONTH(Z91,0)+1</f>
        <v>38718</v>
      </c>
      <c r="AA92" s="134" t="n">
        <f aca="false">SUMIF($X:$X,CONCATENATE($Z92,AA$6),$U:$U)</f>
        <v>0</v>
      </c>
      <c r="AB92" s="134" t="n">
        <f aca="false">SUMIF($X:$X,CONCATENATE($Z92,AB$6),$U:$U)</f>
        <v>0</v>
      </c>
      <c r="AC92" s="134" t="n">
        <f aca="false">SUMIF($X:$X,CONCATENATE($Z92,AC$6),$U:$U)</f>
        <v>0</v>
      </c>
      <c r="AD92" s="134" t="n">
        <f aca="false">SUMIF($X:$X,CONCATENATE($Z92,AD$6),$U:$U)</f>
        <v>0</v>
      </c>
      <c r="AE92" s="134" t="n">
        <f aca="false">SUMIF($X:$X,CONCATENATE($Z92,AE$6),$U:$U)</f>
        <v>0</v>
      </c>
      <c r="AF92" s="134" t="n">
        <f aca="false">SUMIF($X:$X,CONCATENATE($Z92,AF$6),$U:$U)</f>
        <v>0</v>
      </c>
      <c r="AG92" s="135" t="n">
        <f aca="false">SUMIF($X:$X,CONCATENATE($Z92,AG$6),$U:$U)</f>
        <v>0</v>
      </c>
      <c r="AI92" s="143" t="n">
        <f aca="false">EOMONTH(AI91,0)+1</f>
        <v>38718</v>
      </c>
      <c r="AJ92" s="135" t="n">
        <f aca="false">SUM(AA92:AG92)</f>
        <v>0</v>
      </c>
    </row>
    <row r="93" customFormat="false" ht="12.75" hidden="false" customHeight="false" outlineLevel="0" collapsed="false">
      <c r="Z93" s="143" t="n">
        <f aca="false">EOMONTH(Z92,0)+1</f>
        <v>38749</v>
      </c>
      <c r="AA93" s="134" t="n">
        <f aca="false">SUMIF($X:$X,CONCATENATE($Z93,AA$6),$U:$U)</f>
        <v>0</v>
      </c>
      <c r="AB93" s="134" t="n">
        <f aca="false">SUMIF($X:$X,CONCATENATE($Z93,AB$6),$U:$U)</f>
        <v>0</v>
      </c>
      <c r="AC93" s="134" t="n">
        <f aca="false">SUMIF($X:$X,CONCATENATE($Z93,AC$6),$U:$U)</f>
        <v>0</v>
      </c>
      <c r="AD93" s="134" t="n">
        <f aca="false">SUMIF($X:$X,CONCATENATE($Z93,AD$6),$U:$U)</f>
        <v>0</v>
      </c>
      <c r="AE93" s="134" t="n">
        <f aca="false">SUMIF($X:$X,CONCATENATE($Z93,AE$6),$U:$U)</f>
        <v>0</v>
      </c>
      <c r="AF93" s="134" t="n">
        <f aca="false">SUMIF($X:$X,CONCATENATE($Z93,AF$6),$U:$U)</f>
        <v>0</v>
      </c>
      <c r="AG93" s="135" t="n">
        <f aca="false">SUMIF($X:$X,CONCATENATE($Z93,AG$6),$U:$U)</f>
        <v>0</v>
      </c>
      <c r="AI93" s="143" t="n">
        <f aca="false">EOMONTH(AI92,0)+1</f>
        <v>38749</v>
      </c>
      <c r="AJ93" s="135" t="n">
        <f aca="false">SUM(AA93:AG93)</f>
        <v>0</v>
      </c>
    </row>
    <row r="94" customFormat="false" ht="12.75" hidden="false" customHeight="false" outlineLevel="0" collapsed="false">
      <c r="Z94" s="143" t="n">
        <f aca="false">EOMONTH(Z93,0)+1</f>
        <v>38777</v>
      </c>
      <c r="AA94" s="134" t="n">
        <f aca="false">SUMIF($X:$X,CONCATENATE($Z94,AA$6),$U:$U)</f>
        <v>0</v>
      </c>
      <c r="AB94" s="134" t="n">
        <f aca="false">SUMIF($X:$X,CONCATENATE($Z94,AB$6),$U:$U)</f>
        <v>0</v>
      </c>
      <c r="AC94" s="134" t="n">
        <f aca="false">SUMIF($X:$X,CONCATENATE($Z94,AC$6),$U:$U)</f>
        <v>0</v>
      </c>
      <c r="AD94" s="134" t="n">
        <f aca="false">SUMIF($X:$X,CONCATENATE($Z94,AD$6),$U:$U)</f>
        <v>0</v>
      </c>
      <c r="AE94" s="134" t="n">
        <f aca="false">SUMIF($X:$X,CONCATENATE($Z94,AE$6),$U:$U)</f>
        <v>0</v>
      </c>
      <c r="AF94" s="134" t="n">
        <f aca="false">SUMIF($X:$X,CONCATENATE($Z94,AF$6),$U:$U)</f>
        <v>0</v>
      </c>
      <c r="AG94" s="135" t="n">
        <f aca="false">SUMIF($X:$X,CONCATENATE($Z94,AG$6),$U:$U)</f>
        <v>0</v>
      </c>
      <c r="AI94" s="143" t="n">
        <f aca="false">EOMONTH(AI93,0)+1</f>
        <v>38777</v>
      </c>
      <c r="AJ94" s="135" t="n">
        <f aca="false">SUM(AA94:AG94)</f>
        <v>0</v>
      </c>
    </row>
    <row r="95" customFormat="false" ht="12.75" hidden="false" customHeight="false" outlineLevel="0" collapsed="false">
      <c r="Z95" s="143" t="n">
        <f aca="false">EOMONTH(Z94,0)+1</f>
        <v>38808</v>
      </c>
      <c r="AA95" s="134" t="n">
        <f aca="false">SUMIF($X:$X,CONCATENATE($Z95,AA$6),$U:$U)</f>
        <v>0</v>
      </c>
      <c r="AB95" s="134" t="n">
        <f aca="false">SUMIF($X:$X,CONCATENATE($Z95,AB$6),$U:$U)</f>
        <v>0</v>
      </c>
      <c r="AC95" s="134" t="n">
        <f aca="false">SUMIF($X:$X,CONCATENATE($Z95,AC$6),$U:$U)</f>
        <v>0</v>
      </c>
      <c r="AD95" s="134" t="n">
        <f aca="false">SUMIF($X:$X,CONCATENATE($Z95,AD$6),$U:$U)</f>
        <v>0</v>
      </c>
      <c r="AE95" s="134" t="n">
        <f aca="false">SUMIF($X:$X,CONCATENATE($Z95,AE$6),$U:$U)</f>
        <v>0</v>
      </c>
      <c r="AF95" s="134" t="n">
        <f aca="false">SUMIF($X:$X,CONCATENATE($Z95,AF$6),$U:$U)</f>
        <v>0</v>
      </c>
      <c r="AG95" s="135" t="n">
        <f aca="false">SUMIF($X:$X,CONCATENATE($Z95,AG$6),$U:$U)</f>
        <v>0</v>
      </c>
      <c r="AI95" s="143" t="n">
        <f aca="false">EOMONTH(AI94,0)+1</f>
        <v>38808</v>
      </c>
      <c r="AJ95" s="135" t="n">
        <f aca="false">SUM(AA95:AG95)</f>
        <v>0</v>
      </c>
    </row>
    <row r="96" customFormat="false" ht="12.75" hidden="false" customHeight="false" outlineLevel="0" collapsed="false">
      <c r="Z96" s="143" t="n">
        <f aca="false">EOMONTH(Z95,0)+1</f>
        <v>38838</v>
      </c>
      <c r="AA96" s="134" t="n">
        <f aca="false">SUMIF($X:$X,CONCATENATE($Z96,AA$6),$U:$U)</f>
        <v>0</v>
      </c>
      <c r="AB96" s="134" t="n">
        <f aca="false">SUMIF($X:$X,CONCATENATE($Z96,AB$6),$U:$U)</f>
        <v>0</v>
      </c>
      <c r="AC96" s="134" t="n">
        <f aca="false">SUMIF($X:$X,CONCATENATE($Z96,AC$6),$U:$U)</f>
        <v>0</v>
      </c>
      <c r="AD96" s="134" t="n">
        <f aca="false">SUMIF($X:$X,CONCATENATE($Z96,AD$6),$U:$U)</f>
        <v>0</v>
      </c>
      <c r="AE96" s="134" t="n">
        <f aca="false">SUMIF($X:$X,CONCATENATE($Z96,AE$6),$U:$U)</f>
        <v>0</v>
      </c>
      <c r="AF96" s="134" t="n">
        <f aca="false">SUMIF($X:$X,CONCATENATE($Z96,AF$6),$U:$U)</f>
        <v>0</v>
      </c>
      <c r="AG96" s="135" t="n">
        <f aca="false">SUMIF($X:$X,CONCATENATE($Z96,AG$6),$U:$U)</f>
        <v>0</v>
      </c>
      <c r="AI96" s="143" t="n">
        <f aca="false">EOMONTH(AI95,0)+1</f>
        <v>38838</v>
      </c>
      <c r="AJ96" s="135" t="n">
        <f aca="false">SUM(AA96:AG96)</f>
        <v>0</v>
      </c>
    </row>
    <row r="97" customFormat="false" ht="12.75" hidden="false" customHeight="false" outlineLevel="0" collapsed="false">
      <c r="Z97" s="143" t="n">
        <f aca="false">EOMONTH(Z96,0)+1</f>
        <v>38869</v>
      </c>
      <c r="AA97" s="134" t="n">
        <f aca="false">SUMIF($X:$X,CONCATENATE($Z97,AA$6),$U:$U)</f>
        <v>0</v>
      </c>
      <c r="AB97" s="134" t="n">
        <f aca="false">SUMIF($X:$X,CONCATENATE($Z97,AB$6),$U:$U)</f>
        <v>0</v>
      </c>
      <c r="AC97" s="134" t="n">
        <f aca="false">SUMIF($X:$X,CONCATENATE($Z97,AC$6),$U:$U)</f>
        <v>0</v>
      </c>
      <c r="AD97" s="134" t="n">
        <f aca="false">SUMIF($X:$X,CONCATENATE($Z97,AD$6),$U:$U)</f>
        <v>0</v>
      </c>
      <c r="AE97" s="134" t="n">
        <f aca="false">SUMIF($X:$X,CONCATENATE($Z97,AE$6),$U:$U)</f>
        <v>0</v>
      </c>
      <c r="AF97" s="134" t="n">
        <f aca="false">SUMIF($X:$X,CONCATENATE($Z97,AF$6),$U:$U)</f>
        <v>0</v>
      </c>
      <c r="AG97" s="135" t="n">
        <f aca="false">SUMIF($X:$X,CONCATENATE($Z97,AG$6),$U:$U)</f>
        <v>0</v>
      </c>
      <c r="AI97" s="143" t="n">
        <f aca="false">EOMONTH(AI96,0)+1</f>
        <v>38869</v>
      </c>
      <c r="AJ97" s="135" t="n">
        <f aca="false">SUM(AA97:AG97)</f>
        <v>0</v>
      </c>
    </row>
    <row r="98" customFormat="false" ht="12.75" hidden="false" customHeight="false" outlineLevel="0" collapsed="false">
      <c r="Z98" s="143" t="n">
        <f aca="false">EOMONTH(Z97,0)+1</f>
        <v>38899</v>
      </c>
      <c r="AA98" s="134" t="n">
        <f aca="false">SUMIF($X:$X,CONCATENATE($Z98,AA$6),$U:$U)</f>
        <v>0</v>
      </c>
      <c r="AB98" s="134" t="n">
        <f aca="false">SUMIF($X:$X,CONCATENATE($Z98,AB$6),$U:$U)</f>
        <v>0</v>
      </c>
      <c r="AC98" s="134" t="n">
        <f aca="false">SUMIF($X:$X,CONCATENATE($Z98,AC$6),$U:$U)</f>
        <v>0</v>
      </c>
      <c r="AD98" s="134" t="n">
        <f aca="false">SUMIF($X:$X,CONCATENATE($Z98,AD$6),$U:$U)</f>
        <v>0</v>
      </c>
      <c r="AE98" s="134" t="n">
        <f aca="false">SUMIF($X:$X,CONCATENATE($Z98,AE$6),$U:$U)</f>
        <v>0</v>
      </c>
      <c r="AF98" s="134" t="n">
        <f aca="false">SUMIF($X:$X,CONCATENATE($Z98,AF$6),$U:$U)</f>
        <v>0</v>
      </c>
      <c r="AG98" s="135" t="n">
        <f aca="false">SUMIF($X:$X,CONCATENATE($Z98,AG$6),$U:$U)</f>
        <v>0</v>
      </c>
      <c r="AI98" s="143" t="n">
        <f aca="false">EOMONTH(AI97,0)+1</f>
        <v>38899</v>
      </c>
      <c r="AJ98" s="135" t="n">
        <f aca="false">SUM(AA98:AG98)</f>
        <v>0</v>
      </c>
    </row>
    <row r="99" customFormat="false" ht="12.75" hidden="false" customHeight="false" outlineLevel="0" collapsed="false">
      <c r="Z99" s="143" t="n">
        <f aca="false">EOMONTH(Z98,0)+1</f>
        <v>38930</v>
      </c>
      <c r="AA99" s="134" t="n">
        <f aca="false">SUMIF($X:$X,CONCATENATE($Z99,AA$6),$U:$U)</f>
        <v>0</v>
      </c>
      <c r="AB99" s="134" t="n">
        <f aca="false">SUMIF($X:$X,CONCATENATE($Z99,AB$6),$U:$U)</f>
        <v>0</v>
      </c>
      <c r="AC99" s="134" t="n">
        <f aca="false">SUMIF($X:$X,CONCATENATE($Z99,AC$6),$U:$U)</f>
        <v>0</v>
      </c>
      <c r="AD99" s="134" t="n">
        <f aca="false">SUMIF($X:$X,CONCATENATE($Z99,AD$6),$U:$U)</f>
        <v>0</v>
      </c>
      <c r="AE99" s="134" t="n">
        <f aca="false">SUMIF($X:$X,CONCATENATE($Z99,AE$6),$U:$U)</f>
        <v>0</v>
      </c>
      <c r="AF99" s="134" t="n">
        <f aca="false">SUMIF($X:$X,CONCATENATE($Z99,AF$6),$U:$U)</f>
        <v>0</v>
      </c>
      <c r="AG99" s="135" t="n">
        <f aca="false">SUMIF($X:$X,CONCATENATE($Z99,AG$6),$U:$U)</f>
        <v>0</v>
      </c>
      <c r="AI99" s="143" t="n">
        <f aca="false">EOMONTH(AI98,0)+1</f>
        <v>38930</v>
      </c>
      <c r="AJ99" s="135" t="n">
        <f aca="false">SUM(AA99:AG99)</f>
        <v>0</v>
      </c>
    </row>
    <row r="100" customFormat="false" ht="12.75" hidden="false" customHeight="false" outlineLevel="0" collapsed="false">
      <c r="Z100" s="143" t="n">
        <f aca="false">EOMONTH(Z99,0)+1</f>
        <v>38961</v>
      </c>
      <c r="AA100" s="134" t="n">
        <f aca="false">SUMIF($X:$X,CONCATENATE($Z100,AA$6),$U:$U)</f>
        <v>0</v>
      </c>
      <c r="AB100" s="134" t="n">
        <f aca="false">SUMIF($X:$X,CONCATENATE($Z100,AB$6),$U:$U)</f>
        <v>0</v>
      </c>
      <c r="AC100" s="134" t="n">
        <f aca="false">SUMIF($X:$X,CONCATENATE($Z100,AC$6),$U:$U)</f>
        <v>0</v>
      </c>
      <c r="AD100" s="134" t="n">
        <f aca="false">SUMIF($X:$X,CONCATENATE($Z100,AD$6),$U:$U)</f>
        <v>0</v>
      </c>
      <c r="AE100" s="134" t="n">
        <f aca="false">SUMIF($X:$X,CONCATENATE($Z100,AE$6),$U:$U)</f>
        <v>0</v>
      </c>
      <c r="AF100" s="134" t="n">
        <f aca="false">SUMIF($X:$X,CONCATENATE($Z100,AF$6),$U:$U)</f>
        <v>0</v>
      </c>
      <c r="AG100" s="135" t="n">
        <f aca="false">SUMIF($X:$X,CONCATENATE($Z100,AG$6),$U:$U)</f>
        <v>0</v>
      </c>
      <c r="AI100" s="143" t="n">
        <f aca="false">EOMONTH(AI99,0)+1</f>
        <v>38961</v>
      </c>
      <c r="AJ100" s="135" t="n">
        <f aca="false">SUM(AA100:AG100)</f>
        <v>0</v>
      </c>
    </row>
    <row r="101" customFormat="false" ht="12.75" hidden="false" customHeight="false" outlineLevel="0" collapsed="false">
      <c r="Z101" s="143" t="n">
        <f aca="false">EOMONTH(Z100,0)+1</f>
        <v>38991</v>
      </c>
      <c r="AA101" s="134" t="n">
        <f aca="false">SUMIF($X:$X,CONCATENATE($Z101,AA$6),$U:$U)</f>
        <v>0</v>
      </c>
      <c r="AB101" s="134" t="n">
        <f aca="false">SUMIF($X:$X,CONCATENATE($Z101,AB$6),$U:$U)</f>
        <v>0</v>
      </c>
      <c r="AC101" s="134" t="n">
        <f aca="false">SUMIF($X:$X,CONCATENATE($Z101,AC$6),$U:$U)</f>
        <v>0</v>
      </c>
      <c r="AD101" s="134" t="n">
        <f aca="false">SUMIF($X:$X,CONCATENATE($Z101,AD$6),$U:$U)</f>
        <v>0</v>
      </c>
      <c r="AE101" s="134" t="n">
        <f aca="false">SUMIF($X:$X,CONCATENATE($Z101,AE$6),$U:$U)</f>
        <v>0</v>
      </c>
      <c r="AF101" s="134" t="n">
        <f aca="false">SUMIF($X:$X,CONCATENATE($Z101,AF$6),$U:$U)</f>
        <v>0</v>
      </c>
      <c r="AG101" s="135" t="n">
        <f aca="false">SUMIF($X:$X,CONCATENATE($Z101,AG$6),$U:$U)</f>
        <v>0</v>
      </c>
      <c r="AI101" s="143" t="n">
        <f aca="false">EOMONTH(AI100,0)+1</f>
        <v>38991</v>
      </c>
      <c r="AJ101" s="135" t="n">
        <f aca="false">SUM(AA101:AG101)</f>
        <v>0</v>
      </c>
    </row>
    <row r="102" customFormat="false" ht="12.75" hidden="false" customHeight="false" outlineLevel="0" collapsed="false">
      <c r="Z102" s="143" t="n">
        <f aca="false">EOMONTH(Z101,0)+1</f>
        <v>39022</v>
      </c>
      <c r="AA102" s="134" t="n">
        <f aca="false">SUMIF($X:$X,CONCATENATE($Z102,AA$6),$U:$U)</f>
        <v>0</v>
      </c>
      <c r="AB102" s="134" t="n">
        <f aca="false">SUMIF($X:$X,CONCATENATE($Z102,AB$6),$U:$U)</f>
        <v>0</v>
      </c>
      <c r="AC102" s="134" t="n">
        <f aca="false">SUMIF($X:$X,CONCATENATE($Z102,AC$6),$U:$U)</f>
        <v>0</v>
      </c>
      <c r="AD102" s="134" t="n">
        <f aca="false">SUMIF($X:$X,CONCATENATE($Z102,AD$6),$U:$U)</f>
        <v>0</v>
      </c>
      <c r="AE102" s="134" t="n">
        <f aca="false">SUMIF($X:$X,CONCATENATE($Z102,AE$6),$U:$U)</f>
        <v>0</v>
      </c>
      <c r="AF102" s="134" t="n">
        <f aca="false">SUMIF($X:$X,CONCATENATE($Z102,AF$6),$U:$U)</f>
        <v>0</v>
      </c>
      <c r="AG102" s="135" t="n">
        <f aca="false">SUMIF($X:$X,CONCATENATE($Z102,AG$6),$U:$U)</f>
        <v>0</v>
      </c>
      <c r="AI102" s="143" t="n">
        <f aca="false">EOMONTH(AI101,0)+1</f>
        <v>39022</v>
      </c>
      <c r="AJ102" s="135" t="n">
        <f aca="false">SUM(AA102:AG102)</f>
        <v>0</v>
      </c>
    </row>
    <row r="103" customFormat="false" ht="12.75" hidden="false" customHeight="false" outlineLevel="0" collapsed="false">
      <c r="Z103" s="143" t="n">
        <f aca="false">EOMONTH(Z102,0)+1</f>
        <v>39052</v>
      </c>
      <c r="AA103" s="134" t="n">
        <f aca="false">SUMIF($X:$X,CONCATENATE($Z103,AA$6),$U:$U)</f>
        <v>0</v>
      </c>
      <c r="AB103" s="134" t="n">
        <f aca="false">SUMIF($X:$X,CONCATENATE($Z103,AB$6),$U:$U)</f>
        <v>0</v>
      </c>
      <c r="AC103" s="134" t="n">
        <f aca="false">SUMIF($X:$X,CONCATENATE($Z103,AC$6),$U:$U)</f>
        <v>0</v>
      </c>
      <c r="AD103" s="134" t="n">
        <f aca="false">SUMIF($X:$X,CONCATENATE($Z103,AD$6),$U:$U)</f>
        <v>0</v>
      </c>
      <c r="AE103" s="134" t="n">
        <f aca="false">SUMIF($X:$X,CONCATENATE($Z103,AE$6),$U:$U)</f>
        <v>0</v>
      </c>
      <c r="AF103" s="134" t="n">
        <f aca="false">SUMIF($X:$X,CONCATENATE($Z103,AF$6),$U:$U)</f>
        <v>0</v>
      </c>
      <c r="AG103" s="135" t="n">
        <f aca="false">SUMIF($X:$X,CONCATENATE($Z103,AG$6),$U:$U)</f>
        <v>0</v>
      </c>
      <c r="AI103" s="143" t="n">
        <f aca="false">EOMONTH(AI102,0)+1</f>
        <v>39052</v>
      </c>
      <c r="AJ103" s="135" t="n">
        <f aca="false">SUM(AA103:AG103)</f>
        <v>0</v>
      </c>
    </row>
    <row r="104" customFormat="false" ht="12.75" hidden="false" customHeight="false" outlineLevel="0" collapsed="false">
      <c r="Z104" s="143" t="n">
        <f aca="false">EOMONTH(Z103,0)+1</f>
        <v>39083</v>
      </c>
      <c r="AA104" s="134" t="n">
        <f aca="false">SUMIF($X:$X,CONCATENATE($Z104,AA$6),$U:$U)</f>
        <v>0</v>
      </c>
      <c r="AB104" s="134" t="n">
        <f aca="false">SUMIF($X:$X,CONCATENATE($Z104,AB$6),$U:$U)</f>
        <v>0</v>
      </c>
      <c r="AC104" s="134" t="n">
        <f aca="false">SUMIF($X:$X,CONCATENATE($Z104,AC$6),$U:$U)</f>
        <v>0</v>
      </c>
      <c r="AD104" s="134" t="n">
        <f aca="false">SUMIF($X:$X,CONCATENATE($Z104,AD$6),$U:$U)</f>
        <v>0</v>
      </c>
      <c r="AE104" s="134" t="n">
        <f aca="false">SUMIF($X:$X,CONCATENATE($Z104,AE$6),$U:$U)</f>
        <v>0</v>
      </c>
      <c r="AF104" s="134" t="n">
        <f aca="false">SUMIF($X:$X,CONCATENATE($Z104,AF$6),$U:$U)</f>
        <v>0</v>
      </c>
      <c r="AG104" s="135" t="n">
        <f aca="false">SUMIF($X:$X,CONCATENATE($Z104,AG$6),$U:$U)</f>
        <v>0</v>
      </c>
      <c r="AI104" s="143" t="n">
        <f aca="false">EOMONTH(AI103,0)+1</f>
        <v>39083</v>
      </c>
      <c r="AJ104" s="135" t="n">
        <f aca="false">SUM(AA104:AG104)</f>
        <v>0</v>
      </c>
    </row>
    <row r="105" customFormat="false" ht="12.75" hidden="false" customHeight="false" outlineLevel="0" collapsed="false">
      <c r="Z105" s="143" t="n">
        <f aca="false">EOMONTH(Z104,0)+1</f>
        <v>39114</v>
      </c>
      <c r="AA105" s="134" t="n">
        <f aca="false">SUMIF($X:$X,CONCATENATE($Z105,AA$6),$U:$U)</f>
        <v>0</v>
      </c>
      <c r="AB105" s="134" t="n">
        <f aca="false">SUMIF($X:$X,CONCATENATE($Z105,AB$6),$U:$U)</f>
        <v>0</v>
      </c>
      <c r="AC105" s="134" t="n">
        <f aca="false">SUMIF($X:$X,CONCATENATE($Z105,AC$6),$U:$U)</f>
        <v>0</v>
      </c>
      <c r="AD105" s="134" t="n">
        <f aca="false">SUMIF($X:$X,CONCATENATE($Z105,AD$6),$U:$U)</f>
        <v>0</v>
      </c>
      <c r="AE105" s="134" t="n">
        <f aca="false">SUMIF($X:$X,CONCATENATE($Z105,AE$6),$U:$U)</f>
        <v>0</v>
      </c>
      <c r="AF105" s="134" t="n">
        <f aca="false">SUMIF($X:$X,CONCATENATE($Z105,AF$6),$U:$U)</f>
        <v>0</v>
      </c>
      <c r="AG105" s="135" t="n">
        <f aca="false">SUMIF($X:$X,CONCATENATE($Z105,AG$6),$U:$U)</f>
        <v>0</v>
      </c>
      <c r="AI105" s="143" t="n">
        <f aca="false">EOMONTH(AI104,0)+1</f>
        <v>39114</v>
      </c>
      <c r="AJ105" s="135" t="n">
        <f aca="false">SUM(AA105:AG105)</f>
        <v>0</v>
      </c>
    </row>
    <row r="106" customFormat="false" ht="12.75" hidden="false" customHeight="false" outlineLevel="0" collapsed="false">
      <c r="Z106" s="143" t="n">
        <f aca="false">EOMONTH(Z105,0)+1</f>
        <v>39142</v>
      </c>
      <c r="AA106" s="134" t="n">
        <f aca="false">SUMIF($X:$X,CONCATENATE($Z106,AA$6),$U:$U)</f>
        <v>0</v>
      </c>
      <c r="AB106" s="134" t="n">
        <f aca="false">SUMIF($X:$X,CONCATENATE($Z106,AB$6),$U:$U)</f>
        <v>0</v>
      </c>
      <c r="AC106" s="134" t="n">
        <f aca="false">SUMIF($X:$X,CONCATENATE($Z106,AC$6),$U:$U)</f>
        <v>0</v>
      </c>
      <c r="AD106" s="134" t="n">
        <f aca="false">SUMIF($X:$X,CONCATENATE($Z106,AD$6),$U:$U)</f>
        <v>0</v>
      </c>
      <c r="AE106" s="134" t="n">
        <f aca="false">SUMIF($X:$X,CONCATENATE($Z106,AE$6),$U:$U)</f>
        <v>0</v>
      </c>
      <c r="AF106" s="134" t="n">
        <f aca="false">SUMIF($X:$X,CONCATENATE($Z106,AF$6),$U:$U)</f>
        <v>0</v>
      </c>
      <c r="AG106" s="135" t="n">
        <f aca="false">SUMIF($X:$X,CONCATENATE($Z106,AG$6),$U:$U)</f>
        <v>0</v>
      </c>
      <c r="AI106" s="143" t="n">
        <f aca="false">EOMONTH(AI105,0)+1</f>
        <v>39142</v>
      </c>
      <c r="AJ106" s="135" t="n">
        <f aca="false">SUM(AA106:AG106)</f>
        <v>0</v>
      </c>
    </row>
    <row r="107" customFormat="false" ht="12.75" hidden="false" customHeight="false" outlineLevel="0" collapsed="false">
      <c r="Z107" s="143" t="n">
        <f aca="false">EOMONTH(Z106,0)+1</f>
        <v>39173</v>
      </c>
      <c r="AA107" s="134" t="n">
        <f aca="false">SUMIF($X:$X,CONCATENATE($Z107,AA$6),$U:$U)</f>
        <v>0</v>
      </c>
      <c r="AB107" s="134" t="n">
        <f aca="false">SUMIF($X:$X,CONCATENATE($Z107,AB$6),$U:$U)</f>
        <v>0</v>
      </c>
      <c r="AC107" s="134" t="n">
        <f aca="false">SUMIF($X:$X,CONCATENATE($Z107,AC$6),$U:$U)</f>
        <v>0</v>
      </c>
      <c r="AD107" s="134" t="n">
        <f aca="false">SUMIF($X:$X,CONCATENATE($Z107,AD$6),$U:$U)</f>
        <v>0</v>
      </c>
      <c r="AE107" s="134" t="n">
        <f aca="false">SUMIF($X:$X,CONCATENATE($Z107,AE$6),$U:$U)</f>
        <v>0</v>
      </c>
      <c r="AF107" s="134" t="n">
        <f aca="false">SUMIF($X:$X,CONCATENATE($Z107,AF$6),$U:$U)</f>
        <v>0</v>
      </c>
      <c r="AG107" s="135" t="n">
        <f aca="false">SUMIF($X:$X,CONCATENATE($Z107,AG$6),$U:$U)</f>
        <v>0</v>
      </c>
      <c r="AI107" s="143" t="n">
        <f aca="false">EOMONTH(AI106,0)+1</f>
        <v>39173</v>
      </c>
      <c r="AJ107" s="135" t="n">
        <f aca="false">SUM(AA107:AG107)</f>
        <v>0</v>
      </c>
    </row>
    <row r="108" customFormat="false" ht="12.75" hidden="false" customHeight="false" outlineLevel="0" collapsed="false">
      <c r="Z108" s="143" t="n">
        <f aca="false">EOMONTH(Z107,0)+1</f>
        <v>39203</v>
      </c>
      <c r="AA108" s="134" t="n">
        <f aca="false">SUMIF($X:$X,CONCATENATE($Z108,AA$6),$U:$U)</f>
        <v>0</v>
      </c>
      <c r="AB108" s="134" t="n">
        <f aca="false">SUMIF($X:$X,CONCATENATE($Z108,AB$6),$U:$U)</f>
        <v>0</v>
      </c>
      <c r="AC108" s="134" t="n">
        <f aca="false">SUMIF($X:$X,CONCATENATE($Z108,AC$6),$U:$U)</f>
        <v>0</v>
      </c>
      <c r="AD108" s="134" t="n">
        <f aca="false">SUMIF($X:$X,CONCATENATE($Z108,AD$6),$U:$U)</f>
        <v>0</v>
      </c>
      <c r="AE108" s="134" t="n">
        <f aca="false">SUMIF($X:$X,CONCATENATE($Z108,AE$6),$U:$U)</f>
        <v>0</v>
      </c>
      <c r="AF108" s="134" t="n">
        <f aca="false">SUMIF($X:$X,CONCATENATE($Z108,AF$6),$U:$U)</f>
        <v>0</v>
      </c>
      <c r="AG108" s="135" t="n">
        <f aca="false">SUMIF($X:$X,CONCATENATE($Z108,AG$6),$U:$U)</f>
        <v>0</v>
      </c>
      <c r="AI108" s="143" t="n">
        <f aca="false">EOMONTH(AI107,0)+1</f>
        <v>39203</v>
      </c>
      <c r="AJ108" s="135" t="n">
        <f aca="false">SUM(AA108:AG108)</f>
        <v>0</v>
      </c>
    </row>
    <row r="109" customFormat="false" ht="12.75" hidden="false" customHeight="false" outlineLevel="0" collapsed="false">
      <c r="Z109" s="143" t="n">
        <f aca="false">EOMONTH(Z108,0)+1</f>
        <v>39234</v>
      </c>
      <c r="AA109" s="134" t="n">
        <f aca="false">SUMIF($X:$X,CONCATENATE($Z109,AA$6),$U:$U)</f>
        <v>0</v>
      </c>
      <c r="AB109" s="134" t="n">
        <f aca="false">SUMIF($X:$X,CONCATENATE($Z109,AB$6),$U:$U)</f>
        <v>0</v>
      </c>
      <c r="AC109" s="134" t="n">
        <f aca="false">SUMIF($X:$X,CONCATENATE($Z109,AC$6),$U:$U)</f>
        <v>0</v>
      </c>
      <c r="AD109" s="134" t="n">
        <f aca="false">SUMIF($X:$X,CONCATENATE($Z109,AD$6),$U:$U)</f>
        <v>0</v>
      </c>
      <c r="AE109" s="134" t="n">
        <f aca="false">SUMIF($X:$X,CONCATENATE($Z109,AE$6),$U:$U)</f>
        <v>0</v>
      </c>
      <c r="AF109" s="134" t="n">
        <f aca="false">SUMIF($X:$X,CONCATENATE($Z109,AF$6),$U:$U)</f>
        <v>0</v>
      </c>
      <c r="AG109" s="135" t="n">
        <f aca="false">SUMIF($X:$X,CONCATENATE($Z109,AG$6),$U:$U)</f>
        <v>0</v>
      </c>
      <c r="AI109" s="143" t="n">
        <f aca="false">EOMONTH(AI108,0)+1</f>
        <v>39234</v>
      </c>
      <c r="AJ109" s="135" t="n">
        <f aca="false">SUM(AA109:AG109)</f>
        <v>0</v>
      </c>
    </row>
    <row r="110" customFormat="false" ht="12.75" hidden="false" customHeight="false" outlineLevel="0" collapsed="false">
      <c r="Z110" s="143" t="n">
        <f aca="false">EOMONTH(Z109,0)+1</f>
        <v>39264</v>
      </c>
      <c r="AA110" s="134" t="n">
        <f aca="false">SUMIF($X:$X,CONCATENATE($Z110,AA$6),$U:$U)</f>
        <v>0</v>
      </c>
      <c r="AB110" s="134" t="n">
        <f aca="false">SUMIF($X:$X,CONCATENATE($Z110,AB$6),$U:$U)</f>
        <v>0</v>
      </c>
      <c r="AC110" s="134" t="n">
        <f aca="false">SUMIF($X:$X,CONCATENATE($Z110,AC$6),$U:$U)</f>
        <v>0</v>
      </c>
      <c r="AD110" s="134" t="n">
        <f aca="false">SUMIF($X:$X,CONCATENATE($Z110,AD$6),$U:$U)</f>
        <v>0</v>
      </c>
      <c r="AE110" s="134" t="n">
        <f aca="false">SUMIF($X:$X,CONCATENATE($Z110,AE$6),$U:$U)</f>
        <v>0</v>
      </c>
      <c r="AF110" s="134" t="n">
        <f aca="false">SUMIF($X:$X,CONCATENATE($Z110,AF$6),$U:$U)</f>
        <v>0</v>
      </c>
      <c r="AG110" s="135" t="n">
        <f aca="false">SUMIF($X:$X,CONCATENATE($Z110,AG$6),$U:$U)</f>
        <v>0</v>
      </c>
      <c r="AI110" s="143" t="n">
        <f aca="false">EOMONTH(AI109,0)+1</f>
        <v>39264</v>
      </c>
      <c r="AJ110" s="135" t="n">
        <f aca="false">SUM(AA110:AG110)</f>
        <v>0</v>
      </c>
    </row>
    <row r="111" customFormat="false" ht="12.75" hidden="false" customHeight="false" outlineLevel="0" collapsed="false">
      <c r="Z111" s="143" t="n">
        <f aca="false">EOMONTH(Z110,0)+1</f>
        <v>39295</v>
      </c>
      <c r="AA111" s="134" t="n">
        <f aca="false">SUMIF($X:$X,CONCATENATE($Z111,AA$6),$U:$U)</f>
        <v>0</v>
      </c>
      <c r="AB111" s="134" t="n">
        <f aca="false">SUMIF($X:$X,CONCATENATE($Z111,AB$6),$U:$U)</f>
        <v>0</v>
      </c>
      <c r="AC111" s="134" t="n">
        <f aca="false">SUMIF($X:$X,CONCATENATE($Z111,AC$6),$U:$U)</f>
        <v>0</v>
      </c>
      <c r="AD111" s="134" t="n">
        <f aca="false">SUMIF($X:$X,CONCATENATE($Z111,AD$6),$U:$U)</f>
        <v>0</v>
      </c>
      <c r="AE111" s="134" t="n">
        <f aca="false">SUMIF($X:$X,CONCATENATE($Z111,AE$6),$U:$U)</f>
        <v>0</v>
      </c>
      <c r="AF111" s="134" t="n">
        <f aca="false">SUMIF($X:$X,CONCATENATE($Z111,AF$6),$U:$U)</f>
        <v>0</v>
      </c>
      <c r="AG111" s="135" t="n">
        <f aca="false">SUMIF($X:$X,CONCATENATE($Z111,AG$6),$U:$U)</f>
        <v>0</v>
      </c>
      <c r="AI111" s="143" t="n">
        <f aca="false">EOMONTH(AI110,0)+1</f>
        <v>39295</v>
      </c>
      <c r="AJ111" s="135" t="n">
        <f aca="false">SUM(AA111:AG111)</f>
        <v>0</v>
      </c>
    </row>
    <row r="112" customFormat="false" ht="12.75" hidden="false" customHeight="false" outlineLevel="0" collapsed="false">
      <c r="Z112" s="143" t="n">
        <f aca="false">EOMONTH(Z111,0)+1</f>
        <v>39326</v>
      </c>
      <c r="AA112" s="134" t="n">
        <f aca="false">SUMIF($X:$X,CONCATENATE($Z112,AA$6),$U:$U)</f>
        <v>0</v>
      </c>
      <c r="AB112" s="134" t="n">
        <f aca="false">SUMIF($X:$X,CONCATENATE($Z112,AB$6),$U:$U)</f>
        <v>0</v>
      </c>
      <c r="AC112" s="134" t="n">
        <f aca="false">SUMIF($X:$X,CONCATENATE($Z112,AC$6),$U:$U)</f>
        <v>0</v>
      </c>
      <c r="AD112" s="134" t="n">
        <f aca="false">SUMIF($X:$X,CONCATENATE($Z112,AD$6),$U:$U)</f>
        <v>0</v>
      </c>
      <c r="AE112" s="134" t="n">
        <f aca="false">SUMIF($X:$X,CONCATENATE($Z112,AE$6),$U:$U)</f>
        <v>0</v>
      </c>
      <c r="AF112" s="134" t="n">
        <f aca="false">SUMIF($X:$X,CONCATENATE($Z112,AF$6),$U:$U)</f>
        <v>0</v>
      </c>
      <c r="AG112" s="135" t="n">
        <f aca="false">SUMIF($X:$X,CONCATENATE($Z112,AG$6),$U:$U)</f>
        <v>0</v>
      </c>
      <c r="AI112" s="143" t="n">
        <f aca="false">EOMONTH(AI111,0)+1</f>
        <v>39326</v>
      </c>
      <c r="AJ112" s="135" t="n">
        <f aca="false">SUM(AA112:AG112)</f>
        <v>0</v>
      </c>
    </row>
    <row r="113" customFormat="false" ht="12.75" hidden="false" customHeight="false" outlineLevel="0" collapsed="false">
      <c r="Z113" s="143" t="n">
        <f aca="false">EOMONTH(Z112,0)+1</f>
        <v>39356</v>
      </c>
      <c r="AA113" s="134" t="n">
        <f aca="false">SUMIF($X:$X,CONCATENATE($Z113,AA$6),$U:$U)</f>
        <v>0</v>
      </c>
      <c r="AB113" s="134" t="n">
        <f aca="false">SUMIF($X:$X,CONCATENATE($Z113,AB$6),$U:$U)</f>
        <v>0</v>
      </c>
      <c r="AC113" s="134" t="n">
        <f aca="false">SUMIF($X:$X,CONCATENATE($Z113,AC$6),$U:$U)</f>
        <v>0</v>
      </c>
      <c r="AD113" s="134" t="n">
        <f aca="false">SUMIF($X:$X,CONCATENATE($Z113,AD$6),$U:$U)</f>
        <v>0</v>
      </c>
      <c r="AE113" s="134" t="n">
        <f aca="false">SUMIF($X:$X,CONCATENATE($Z113,AE$6),$U:$U)</f>
        <v>0</v>
      </c>
      <c r="AF113" s="134" t="n">
        <f aca="false">SUMIF($X:$X,CONCATENATE($Z113,AF$6),$U:$U)</f>
        <v>0</v>
      </c>
      <c r="AG113" s="135" t="n">
        <f aca="false">SUMIF($X:$X,CONCATENATE($Z113,AG$6),$U:$U)</f>
        <v>0</v>
      </c>
      <c r="AI113" s="143" t="n">
        <f aca="false">EOMONTH(AI112,0)+1</f>
        <v>39356</v>
      </c>
      <c r="AJ113" s="135" t="n">
        <f aca="false">SUM(AA113:AG113)</f>
        <v>0</v>
      </c>
    </row>
    <row r="114" customFormat="false" ht="12.75" hidden="false" customHeight="false" outlineLevel="0" collapsed="false">
      <c r="Z114" s="143" t="n">
        <f aca="false">EOMONTH(Z113,0)+1</f>
        <v>39387</v>
      </c>
      <c r="AA114" s="134" t="n">
        <f aca="false">SUMIF($X:$X,CONCATENATE($Z114,AA$6),$U:$U)</f>
        <v>0</v>
      </c>
      <c r="AB114" s="134" t="n">
        <f aca="false">SUMIF($X:$X,CONCATENATE($Z114,AB$6),$U:$U)</f>
        <v>0</v>
      </c>
      <c r="AC114" s="134" t="n">
        <f aca="false">SUMIF($X:$X,CONCATENATE($Z114,AC$6),$U:$U)</f>
        <v>0</v>
      </c>
      <c r="AD114" s="134" t="n">
        <f aca="false">SUMIF($X:$X,CONCATENATE($Z114,AD$6),$U:$U)</f>
        <v>0</v>
      </c>
      <c r="AE114" s="134" t="n">
        <f aca="false">SUMIF($X:$X,CONCATENATE($Z114,AE$6),$U:$U)</f>
        <v>0</v>
      </c>
      <c r="AF114" s="134" t="n">
        <f aca="false">SUMIF($X:$X,CONCATENATE($Z114,AF$6),$U:$U)</f>
        <v>0</v>
      </c>
      <c r="AG114" s="135" t="n">
        <f aca="false">SUMIF($X:$X,CONCATENATE($Z114,AG$6),$U:$U)</f>
        <v>0</v>
      </c>
      <c r="AI114" s="143" t="n">
        <f aca="false">EOMONTH(AI113,0)+1</f>
        <v>39387</v>
      </c>
      <c r="AJ114" s="135" t="n">
        <f aca="false">SUM(AA114:AG114)</f>
        <v>0</v>
      </c>
    </row>
    <row r="115" customFormat="false" ht="12.75" hidden="false" customHeight="false" outlineLevel="0" collapsed="false">
      <c r="Z115" s="143" t="n">
        <f aca="false">EOMONTH(Z114,0)+1</f>
        <v>39417</v>
      </c>
      <c r="AA115" s="134" t="n">
        <f aca="false">SUMIF($X:$X,CONCATENATE($Z115,AA$6),$U:$U)</f>
        <v>0</v>
      </c>
      <c r="AB115" s="134" t="n">
        <f aca="false">SUMIF($X:$X,CONCATENATE($Z115,AB$6),$U:$U)</f>
        <v>0</v>
      </c>
      <c r="AC115" s="134" t="n">
        <f aca="false">SUMIF($X:$X,CONCATENATE($Z115,AC$6),$U:$U)</f>
        <v>0</v>
      </c>
      <c r="AD115" s="134" t="n">
        <f aca="false">SUMIF($X:$X,CONCATENATE($Z115,AD$6),$U:$U)</f>
        <v>0</v>
      </c>
      <c r="AE115" s="134" t="n">
        <f aca="false">SUMIF($X:$X,CONCATENATE($Z115,AE$6),$U:$U)</f>
        <v>0</v>
      </c>
      <c r="AF115" s="134" t="n">
        <f aca="false">SUMIF($X:$X,CONCATENATE($Z115,AF$6),$U:$U)</f>
        <v>0</v>
      </c>
      <c r="AG115" s="135" t="n">
        <f aca="false">SUMIF($X:$X,CONCATENATE($Z115,AG$6),$U:$U)</f>
        <v>0</v>
      </c>
      <c r="AI115" s="143" t="n">
        <f aca="false">EOMONTH(AI114,0)+1</f>
        <v>39417</v>
      </c>
      <c r="AJ115" s="135" t="n">
        <f aca="false">SUM(AA115:AG115)</f>
        <v>0</v>
      </c>
    </row>
    <row r="116" customFormat="false" ht="12.75" hidden="false" customHeight="false" outlineLevel="0" collapsed="false">
      <c r="Z116" s="143" t="n">
        <f aca="false">EOMONTH(Z115,0)+1</f>
        <v>39448</v>
      </c>
      <c r="AA116" s="134" t="n">
        <f aca="false">SUMIF($X:$X,CONCATENATE($Z116,AA$6),$U:$U)</f>
        <v>0</v>
      </c>
      <c r="AB116" s="134" t="n">
        <f aca="false">SUMIF($X:$X,CONCATENATE($Z116,AB$6),$U:$U)</f>
        <v>0</v>
      </c>
      <c r="AC116" s="134" t="n">
        <f aca="false">SUMIF($X:$X,CONCATENATE($Z116,AC$6),$U:$U)</f>
        <v>0</v>
      </c>
      <c r="AD116" s="134" t="n">
        <f aca="false">SUMIF($X:$X,CONCATENATE($Z116,AD$6),$U:$U)</f>
        <v>0</v>
      </c>
      <c r="AE116" s="134" t="n">
        <f aca="false">SUMIF($X:$X,CONCATENATE($Z116,AE$6),$U:$U)</f>
        <v>0</v>
      </c>
      <c r="AF116" s="134" t="n">
        <f aca="false">SUMIF($X:$X,CONCATENATE($Z116,AF$6),$U:$U)</f>
        <v>0</v>
      </c>
      <c r="AG116" s="135" t="n">
        <f aca="false">SUMIF($X:$X,CONCATENATE($Z116,AG$6),$U:$U)</f>
        <v>0</v>
      </c>
      <c r="AI116" s="143" t="n">
        <f aca="false">EOMONTH(AI115,0)+1</f>
        <v>39448</v>
      </c>
      <c r="AJ116" s="135" t="n">
        <f aca="false">SUM(AA116:AG116)</f>
        <v>0</v>
      </c>
    </row>
    <row r="117" customFormat="false" ht="12.75" hidden="false" customHeight="false" outlineLevel="0" collapsed="false">
      <c r="Z117" s="143" t="n">
        <f aca="false">EOMONTH(Z116,0)+1</f>
        <v>39479</v>
      </c>
      <c r="AA117" s="134" t="n">
        <f aca="false">SUMIF($X:$X,CONCATENATE($Z117,AA$6),$U:$U)</f>
        <v>0</v>
      </c>
      <c r="AB117" s="134" t="n">
        <f aca="false">SUMIF($X:$X,CONCATENATE($Z117,AB$6),$U:$U)</f>
        <v>0</v>
      </c>
      <c r="AC117" s="134" t="n">
        <f aca="false">SUMIF($X:$X,CONCATENATE($Z117,AC$6),$U:$U)</f>
        <v>0</v>
      </c>
      <c r="AD117" s="134" t="n">
        <f aca="false">SUMIF($X:$X,CONCATENATE($Z117,AD$6),$U:$U)</f>
        <v>0</v>
      </c>
      <c r="AE117" s="134" t="n">
        <f aca="false">SUMIF($X:$X,CONCATENATE($Z117,AE$6),$U:$U)</f>
        <v>0</v>
      </c>
      <c r="AF117" s="134" t="n">
        <f aca="false">SUMIF($X:$X,CONCATENATE($Z117,AF$6),$U:$U)</f>
        <v>0</v>
      </c>
      <c r="AG117" s="135" t="n">
        <f aca="false">SUMIF($X:$X,CONCATENATE($Z117,AG$6),$U:$U)</f>
        <v>0</v>
      </c>
      <c r="AI117" s="143" t="n">
        <f aca="false">EOMONTH(AI116,0)+1</f>
        <v>39479</v>
      </c>
      <c r="AJ117" s="135" t="n">
        <f aca="false">SUM(AA117:AG117)</f>
        <v>0</v>
      </c>
    </row>
    <row r="118" customFormat="false" ht="12.75" hidden="false" customHeight="false" outlineLevel="0" collapsed="false">
      <c r="Z118" s="143" t="n">
        <f aca="false">EOMONTH(Z117,0)+1</f>
        <v>39508</v>
      </c>
      <c r="AA118" s="134" t="n">
        <f aca="false">SUMIF($X:$X,CONCATENATE($Z118,AA$6),$U:$U)</f>
        <v>0</v>
      </c>
      <c r="AB118" s="134" t="n">
        <f aca="false">SUMIF($X:$X,CONCATENATE($Z118,AB$6),$U:$U)</f>
        <v>0</v>
      </c>
      <c r="AC118" s="134" t="n">
        <f aca="false">SUMIF($X:$X,CONCATENATE($Z118,AC$6),$U:$U)</f>
        <v>0</v>
      </c>
      <c r="AD118" s="134" t="n">
        <f aca="false">SUMIF($X:$X,CONCATENATE($Z118,AD$6),$U:$U)</f>
        <v>0</v>
      </c>
      <c r="AE118" s="134" t="n">
        <f aca="false">SUMIF($X:$X,CONCATENATE($Z118,AE$6),$U:$U)</f>
        <v>0</v>
      </c>
      <c r="AF118" s="134" t="n">
        <f aca="false">SUMIF($X:$X,CONCATENATE($Z118,AF$6),$U:$U)</f>
        <v>0</v>
      </c>
      <c r="AG118" s="135" t="n">
        <f aca="false">SUMIF($X:$X,CONCATENATE($Z118,AG$6),$U:$U)</f>
        <v>0</v>
      </c>
      <c r="AI118" s="143" t="n">
        <f aca="false">EOMONTH(AI117,0)+1</f>
        <v>39508</v>
      </c>
      <c r="AJ118" s="135" t="n">
        <f aca="false">SUM(AA118:AG118)</f>
        <v>0</v>
      </c>
    </row>
    <row r="119" customFormat="false" ht="12.75" hidden="false" customHeight="false" outlineLevel="0" collapsed="false">
      <c r="Z119" s="143" t="n">
        <f aca="false">EOMONTH(Z118,0)+1</f>
        <v>39539</v>
      </c>
      <c r="AA119" s="134" t="n">
        <f aca="false">SUMIF($X:$X,CONCATENATE($Z119,AA$6),$U:$U)</f>
        <v>0</v>
      </c>
      <c r="AB119" s="134" t="n">
        <f aca="false">SUMIF($X:$X,CONCATENATE($Z119,AB$6),$U:$U)</f>
        <v>0</v>
      </c>
      <c r="AC119" s="134" t="n">
        <f aca="false">SUMIF($X:$X,CONCATENATE($Z119,AC$6),$U:$U)</f>
        <v>0</v>
      </c>
      <c r="AD119" s="134" t="n">
        <f aca="false">SUMIF($X:$X,CONCATENATE($Z119,AD$6),$U:$U)</f>
        <v>0</v>
      </c>
      <c r="AE119" s="134" t="n">
        <f aca="false">SUMIF($X:$X,CONCATENATE($Z119,AE$6),$U:$U)</f>
        <v>0</v>
      </c>
      <c r="AF119" s="134" t="n">
        <f aca="false">SUMIF($X:$X,CONCATENATE($Z119,AF$6),$U:$U)</f>
        <v>0</v>
      </c>
      <c r="AG119" s="135" t="n">
        <f aca="false">SUMIF($X:$X,CONCATENATE($Z119,AG$6),$U:$U)</f>
        <v>0</v>
      </c>
      <c r="AI119" s="143" t="n">
        <f aca="false">EOMONTH(AI118,0)+1</f>
        <v>39539</v>
      </c>
      <c r="AJ119" s="135" t="n">
        <f aca="false">SUM(AA119:AG119)</f>
        <v>0</v>
      </c>
    </row>
    <row r="120" customFormat="false" ht="12.75" hidden="false" customHeight="false" outlineLevel="0" collapsed="false">
      <c r="Z120" s="143" t="n">
        <f aca="false">EOMONTH(Z119,0)+1</f>
        <v>39569</v>
      </c>
      <c r="AA120" s="134" t="n">
        <f aca="false">SUMIF($X:$X,CONCATENATE($Z120,AA$6),$U:$U)</f>
        <v>0</v>
      </c>
      <c r="AB120" s="134" t="n">
        <f aca="false">SUMIF($X:$X,CONCATENATE($Z120,AB$6),$U:$U)</f>
        <v>0</v>
      </c>
      <c r="AC120" s="134" t="n">
        <f aca="false">SUMIF($X:$X,CONCATENATE($Z120,AC$6),$U:$U)</f>
        <v>0</v>
      </c>
      <c r="AD120" s="134" t="n">
        <f aca="false">SUMIF($X:$X,CONCATENATE($Z120,AD$6),$U:$U)</f>
        <v>0</v>
      </c>
      <c r="AE120" s="134" t="n">
        <f aca="false">SUMIF($X:$X,CONCATENATE($Z120,AE$6),$U:$U)</f>
        <v>0</v>
      </c>
      <c r="AF120" s="134" t="n">
        <f aca="false">SUMIF($X:$X,CONCATENATE($Z120,AF$6),$U:$U)</f>
        <v>0</v>
      </c>
      <c r="AG120" s="135" t="n">
        <f aca="false">SUMIF($X:$X,CONCATENATE($Z120,AG$6),$U:$U)</f>
        <v>0</v>
      </c>
      <c r="AI120" s="143" t="n">
        <f aca="false">EOMONTH(AI119,0)+1</f>
        <v>39569</v>
      </c>
      <c r="AJ120" s="135" t="n">
        <f aca="false">SUM(AA120:AG120)</f>
        <v>0</v>
      </c>
    </row>
    <row r="121" customFormat="false" ht="12.75" hidden="false" customHeight="false" outlineLevel="0" collapsed="false">
      <c r="Z121" s="143" t="n">
        <f aca="false">EOMONTH(Z120,0)+1</f>
        <v>39600</v>
      </c>
      <c r="AA121" s="134" t="n">
        <f aca="false">SUMIF($X:$X,CONCATENATE($Z121,AA$6),$U:$U)</f>
        <v>0</v>
      </c>
      <c r="AB121" s="134" t="n">
        <f aca="false">SUMIF($X:$X,CONCATENATE($Z121,AB$6),$U:$U)</f>
        <v>0</v>
      </c>
      <c r="AC121" s="134" t="n">
        <f aca="false">SUMIF($X:$X,CONCATENATE($Z121,AC$6),$U:$U)</f>
        <v>0</v>
      </c>
      <c r="AD121" s="134" t="n">
        <f aca="false">SUMIF($X:$X,CONCATENATE($Z121,AD$6),$U:$U)</f>
        <v>0</v>
      </c>
      <c r="AE121" s="134" t="n">
        <f aca="false">SUMIF($X:$X,CONCATENATE($Z121,AE$6),$U:$U)</f>
        <v>0</v>
      </c>
      <c r="AF121" s="134" t="n">
        <f aca="false">SUMIF($X:$X,CONCATENATE($Z121,AF$6),$U:$U)</f>
        <v>0</v>
      </c>
      <c r="AG121" s="135" t="n">
        <f aca="false">SUMIF($X:$X,CONCATENATE($Z121,AG$6),$U:$U)</f>
        <v>0</v>
      </c>
      <c r="AI121" s="143" t="n">
        <f aca="false">EOMONTH(AI120,0)+1</f>
        <v>39600</v>
      </c>
      <c r="AJ121" s="135" t="n">
        <f aca="false">SUM(AA121:AG121)</f>
        <v>0</v>
      </c>
    </row>
    <row r="122" customFormat="false" ht="12.75" hidden="false" customHeight="false" outlineLevel="0" collapsed="false">
      <c r="Z122" s="143" t="n">
        <f aca="false">EOMONTH(Z121,0)+1</f>
        <v>39630</v>
      </c>
      <c r="AA122" s="134" t="n">
        <f aca="false">SUMIF($X:$X,CONCATENATE($Z122,AA$6),$U:$U)</f>
        <v>0</v>
      </c>
      <c r="AB122" s="134" t="n">
        <f aca="false">SUMIF($X:$X,CONCATENATE($Z122,AB$6),$U:$U)</f>
        <v>0</v>
      </c>
      <c r="AC122" s="134" t="n">
        <f aca="false">SUMIF($X:$X,CONCATENATE($Z122,AC$6),$U:$U)</f>
        <v>0</v>
      </c>
      <c r="AD122" s="134" t="n">
        <f aca="false">SUMIF($X:$X,CONCATENATE($Z122,AD$6),$U:$U)</f>
        <v>0</v>
      </c>
      <c r="AE122" s="134" t="n">
        <f aca="false">SUMIF($X:$X,CONCATENATE($Z122,AE$6),$U:$U)</f>
        <v>0</v>
      </c>
      <c r="AF122" s="134" t="n">
        <f aca="false">SUMIF($X:$X,CONCATENATE($Z122,AF$6),$U:$U)</f>
        <v>0</v>
      </c>
      <c r="AG122" s="135" t="n">
        <f aca="false">SUMIF($X:$X,CONCATENATE($Z122,AG$6),$U:$U)</f>
        <v>0</v>
      </c>
      <c r="AI122" s="143" t="n">
        <f aca="false">EOMONTH(AI121,0)+1</f>
        <v>39630</v>
      </c>
      <c r="AJ122" s="135" t="n">
        <f aca="false">SUM(AA122:AG122)</f>
        <v>0</v>
      </c>
    </row>
    <row r="123" customFormat="false" ht="12.75" hidden="false" customHeight="false" outlineLevel="0" collapsed="false">
      <c r="Z123" s="143" t="n">
        <f aca="false">EOMONTH(Z122,0)+1</f>
        <v>39661</v>
      </c>
      <c r="AA123" s="134" t="n">
        <f aca="false">SUMIF($X:$X,CONCATENATE($Z123,AA$6),$U:$U)</f>
        <v>0</v>
      </c>
      <c r="AB123" s="134" t="n">
        <f aca="false">SUMIF($X:$X,CONCATENATE($Z123,AB$6),$U:$U)</f>
        <v>0</v>
      </c>
      <c r="AC123" s="134" t="n">
        <f aca="false">SUMIF($X:$X,CONCATENATE($Z123,AC$6),$U:$U)</f>
        <v>0</v>
      </c>
      <c r="AD123" s="134" t="n">
        <f aca="false">SUMIF($X:$X,CONCATENATE($Z123,AD$6),$U:$U)</f>
        <v>0</v>
      </c>
      <c r="AE123" s="134" t="n">
        <f aca="false">SUMIF($X:$X,CONCATENATE($Z123,AE$6),$U:$U)</f>
        <v>0</v>
      </c>
      <c r="AF123" s="134" t="n">
        <f aca="false">SUMIF($X:$X,CONCATENATE($Z123,AF$6),$U:$U)</f>
        <v>0</v>
      </c>
      <c r="AG123" s="135" t="n">
        <f aca="false">SUMIF($X:$X,CONCATENATE($Z123,AG$6),$U:$U)</f>
        <v>0</v>
      </c>
      <c r="AI123" s="143" t="n">
        <f aca="false">EOMONTH(AI122,0)+1</f>
        <v>39661</v>
      </c>
      <c r="AJ123" s="135" t="n">
        <f aca="false">SUM(AA123:AG123)</f>
        <v>0</v>
      </c>
    </row>
    <row r="124" customFormat="false" ht="12.75" hidden="false" customHeight="false" outlineLevel="0" collapsed="false">
      <c r="Z124" s="143" t="n">
        <f aca="false">EOMONTH(Z123,0)+1</f>
        <v>39692</v>
      </c>
      <c r="AA124" s="134" t="n">
        <f aca="false">SUMIF($X:$X,CONCATENATE($Z124,AA$6),$U:$U)</f>
        <v>0</v>
      </c>
      <c r="AB124" s="134" t="n">
        <f aca="false">SUMIF($X:$X,CONCATENATE($Z124,AB$6),$U:$U)</f>
        <v>0</v>
      </c>
      <c r="AC124" s="134" t="n">
        <f aca="false">SUMIF($X:$X,CONCATENATE($Z124,AC$6),$U:$U)</f>
        <v>0</v>
      </c>
      <c r="AD124" s="134" t="n">
        <f aca="false">SUMIF($X:$X,CONCATENATE($Z124,AD$6),$U:$U)</f>
        <v>0</v>
      </c>
      <c r="AE124" s="134" t="n">
        <f aca="false">SUMIF($X:$X,CONCATENATE($Z124,AE$6),$U:$U)</f>
        <v>0</v>
      </c>
      <c r="AF124" s="134" t="n">
        <f aca="false">SUMIF($X:$X,CONCATENATE($Z124,AF$6),$U:$U)</f>
        <v>0</v>
      </c>
      <c r="AG124" s="135" t="n">
        <f aca="false">SUMIF($X:$X,CONCATENATE($Z124,AG$6),$U:$U)</f>
        <v>0</v>
      </c>
      <c r="AI124" s="143" t="n">
        <f aca="false">EOMONTH(AI123,0)+1</f>
        <v>39692</v>
      </c>
      <c r="AJ124" s="135" t="n">
        <f aca="false">SUM(AA124:AG124)</f>
        <v>0</v>
      </c>
    </row>
    <row r="125" customFormat="false" ht="12.75" hidden="false" customHeight="false" outlineLevel="0" collapsed="false">
      <c r="Z125" s="143" t="n">
        <f aca="false">EOMONTH(Z124,0)+1</f>
        <v>39722</v>
      </c>
      <c r="AA125" s="134" t="n">
        <f aca="false">SUMIF($X:$X,CONCATENATE($Z125,AA$6),$U:$U)</f>
        <v>0</v>
      </c>
      <c r="AB125" s="134" t="n">
        <f aca="false">SUMIF($X:$X,CONCATENATE($Z125,AB$6),$U:$U)</f>
        <v>0</v>
      </c>
      <c r="AC125" s="134" t="n">
        <f aca="false">SUMIF($X:$X,CONCATENATE($Z125,AC$6),$U:$U)</f>
        <v>0</v>
      </c>
      <c r="AD125" s="134" t="n">
        <f aca="false">SUMIF($X:$X,CONCATENATE($Z125,AD$6),$U:$U)</f>
        <v>0</v>
      </c>
      <c r="AE125" s="134" t="n">
        <f aca="false">SUMIF($X:$X,CONCATENATE($Z125,AE$6),$U:$U)</f>
        <v>0</v>
      </c>
      <c r="AF125" s="134" t="n">
        <f aca="false">SUMIF($X:$X,CONCATENATE($Z125,AF$6),$U:$U)</f>
        <v>0</v>
      </c>
      <c r="AG125" s="135" t="n">
        <f aca="false">SUMIF($X:$X,CONCATENATE($Z125,AG$6),$U:$U)</f>
        <v>0</v>
      </c>
      <c r="AI125" s="143" t="n">
        <f aca="false">EOMONTH(AI124,0)+1</f>
        <v>39722</v>
      </c>
      <c r="AJ125" s="135" t="n">
        <f aca="false">SUM(AA125:AG125)</f>
        <v>0</v>
      </c>
    </row>
    <row r="126" customFormat="false" ht="12.75" hidden="false" customHeight="false" outlineLevel="0" collapsed="false">
      <c r="Z126" s="143" t="n">
        <f aca="false">EOMONTH(Z125,0)+1</f>
        <v>39753</v>
      </c>
      <c r="AA126" s="134" t="n">
        <f aca="false">SUMIF($X:$X,CONCATENATE($Z126,AA$6),$U:$U)</f>
        <v>0</v>
      </c>
      <c r="AB126" s="134" t="n">
        <f aca="false">SUMIF($X:$X,CONCATENATE($Z126,AB$6),$U:$U)</f>
        <v>0</v>
      </c>
      <c r="AC126" s="134" t="n">
        <f aca="false">SUMIF($X:$X,CONCATENATE($Z126,AC$6),$U:$U)</f>
        <v>0</v>
      </c>
      <c r="AD126" s="134" t="n">
        <f aca="false">SUMIF($X:$X,CONCATENATE($Z126,AD$6),$U:$U)</f>
        <v>0</v>
      </c>
      <c r="AE126" s="134" t="n">
        <f aca="false">SUMIF($X:$X,CONCATENATE($Z126,AE$6),$U:$U)</f>
        <v>0</v>
      </c>
      <c r="AF126" s="134" t="n">
        <f aca="false">SUMIF($X:$X,CONCATENATE($Z126,AF$6),$U:$U)</f>
        <v>0</v>
      </c>
      <c r="AG126" s="135" t="n">
        <f aca="false">SUMIF($X:$X,CONCATENATE($Z126,AG$6),$U:$U)</f>
        <v>0</v>
      </c>
      <c r="AI126" s="143" t="n">
        <f aca="false">EOMONTH(AI125,0)+1</f>
        <v>39753</v>
      </c>
      <c r="AJ126" s="135" t="n">
        <f aca="false">SUM(AA126:AG126)</f>
        <v>0</v>
      </c>
    </row>
    <row r="127" customFormat="false" ht="12.75" hidden="false" customHeight="false" outlineLevel="0" collapsed="false">
      <c r="Z127" s="143" t="n">
        <f aca="false">EOMONTH(Z126,0)+1</f>
        <v>39783</v>
      </c>
      <c r="AA127" s="134" t="n">
        <f aca="false">SUMIF($X:$X,CONCATENATE($Z127,AA$6),$U:$U)</f>
        <v>0</v>
      </c>
      <c r="AB127" s="134" t="n">
        <f aca="false">SUMIF($X:$X,CONCATENATE($Z127,AB$6),$U:$U)</f>
        <v>0</v>
      </c>
      <c r="AC127" s="134" t="n">
        <f aca="false">SUMIF($X:$X,CONCATENATE($Z127,AC$6),$U:$U)</f>
        <v>0</v>
      </c>
      <c r="AD127" s="134" t="n">
        <f aca="false">SUMIF($X:$X,CONCATENATE($Z127,AD$6),$U:$U)</f>
        <v>0</v>
      </c>
      <c r="AE127" s="134" t="n">
        <f aca="false">SUMIF($X:$X,CONCATENATE($Z127,AE$6),$U:$U)</f>
        <v>0</v>
      </c>
      <c r="AF127" s="134" t="n">
        <f aca="false">SUMIF($X:$X,CONCATENATE($Z127,AF$6),$U:$U)</f>
        <v>0</v>
      </c>
      <c r="AG127" s="135" t="n">
        <f aca="false">SUMIF($X:$X,CONCATENATE($Z127,AG$6),$U:$U)</f>
        <v>0</v>
      </c>
      <c r="AI127" s="143" t="n">
        <f aca="false">EOMONTH(AI126,0)+1</f>
        <v>39783</v>
      </c>
      <c r="AJ127" s="135" t="n">
        <f aca="false">SUM(AA127:AG127)</f>
        <v>0</v>
      </c>
    </row>
    <row r="128" customFormat="false" ht="12.75" hidden="false" customHeight="false" outlineLevel="0" collapsed="false">
      <c r="Z128" s="143" t="n">
        <f aca="false">EOMONTH(Z127,0)+1</f>
        <v>39814</v>
      </c>
      <c r="AA128" s="134" t="n">
        <f aca="false">SUMIF($X:$X,CONCATENATE($Z128,AA$6),$U:$U)</f>
        <v>0</v>
      </c>
      <c r="AB128" s="134" t="n">
        <f aca="false">SUMIF($X:$X,CONCATENATE($Z128,AB$6),$U:$U)</f>
        <v>0</v>
      </c>
      <c r="AC128" s="134" t="n">
        <f aca="false">SUMIF($X:$X,CONCATENATE($Z128,AC$6),$U:$U)</f>
        <v>0</v>
      </c>
      <c r="AD128" s="134" t="n">
        <f aca="false">SUMIF($X:$X,CONCATENATE($Z128,AD$6),$U:$U)</f>
        <v>0</v>
      </c>
      <c r="AE128" s="134" t="n">
        <f aca="false">SUMIF($X:$X,CONCATENATE($Z128,AE$6),$U:$U)</f>
        <v>0</v>
      </c>
      <c r="AF128" s="134" t="n">
        <f aca="false">SUMIF($X:$X,CONCATENATE($Z128,AF$6),$U:$U)</f>
        <v>0</v>
      </c>
      <c r="AG128" s="135" t="n">
        <f aca="false">SUMIF($X:$X,CONCATENATE($Z128,AG$6),$U:$U)</f>
        <v>0</v>
      </c>
      <c r="AI128" s="143" t="n">
        <f aca="false">EOMONTH(AI127,0)+1</f>
        <v>39814</v>
      </c>
      <c r="AJ128" s="135" t="n">
        <f aca="false">SUM(AA128:AG128)</f>
        <v>0</v>
      </c>
    </row>
    <row r="129" customFormat="false" ht="12.75" hidden="false" customHeight="false" outlineLevel="0" collapsed="false">
      <c r="Z129" s="143" t="n">
        <f aca="false">EOMONTH(Z128,0)+1</f>
        <v>39845</v>
      </c>
      <c r="AA129" s="134" t="n">
        <f aca="false">SUMIF($X:$X,CONCATENATE($Z129,AA$6),$U:$U)</f>
        <v>0</v>
      </c>
      <c r="AB129" s="134" t="n">
        <f aca="false">SUMIF($X:$X,CONCATENATE($Z129,AB$6),$U:$U)</f>
        <v>0</v>
      </c>
      <c r="AC129" s="134" t="n">
        <f aca="false">SUMIF($X:$X,CONCATENATE($Z129,AC$6),$U:$U)</f>
        <v>0</v>
      </c>
      <c r="AD129" s="134" t="n">
        <f aca="false">SUMIF($X:$X,CONCATENATE($Z129,AD$6),$U:$U)</f>
        <v>0</v>
      </c>
      <c r="AE129" s="134" t="n">
        <f aca="false">SUMIF($X:$X,CONCATENATE($Z129,AE$6),$U:$U)</f>
        <v>0</v>
      </c>
      <c r="AF129" s="134" t="n">
        <f aca="false">SUMIF($X:$X,CONCATENATE($Z129,AF$6),$U:$U)</f>
        <v>0</v>
      </c>
      <c r="AG129" s="135" t="n">
        <f aca="false">SUMIF($X:$X,CONCATENATE($Z129,AG$6),$U:$U)</f>
        <v>0</v>
      </c>
      <c r="AI129" s="143" t="n">
        <f aca="false">EOMONTH(AI128,0)+1</f>
        <v>39845</v>
      </c>
      <c r="AJ129" s="135" t="n">
        <f aca="false">SUM(AA129:AG129)</f>
        <v>0</v>
      </c>
    </row>
    <row r="130" customFormat="false" ht="12.75" hidden="false" customHeight="false" outlineLevel="0" collapsed="false">
      <c r="Z130" s="143" t="n">
        <f aca="false">EOMONTH(Z129,0)+1</f>
        <v>39873</v>
      </c>
      <c r="AA130" s="134" t="n">
        <f aca="false">SUMIF($X:$X,CONCATENATE($Z130,AA$6),$U:$U)</f>
        <v>0</v>
      </c>
      <c r="AB130" s="134" t="n">
        <f aca="false">SUMIF($X:$X,CONCATENATE($Z130,AB$6),$U:$U)</f>
        <v>0</v>
      </c>
      <c r="AC130" s="134" t="n">
        <f aca="false">SUMIF($X:$X,CONCATENATE($Z130,AC$6),$U:$U)</f>
        <v>0</v>
      </c>
      <c r="AD130" s="134" t="n">
        <f aca="false">SUMIF($X:$X,CONCATENATE($Z130,AD$6),$U:$U)</f>
        <v>0</v>
      </c>
      <c r="AE130" s="134" t="n">
        <f aca="false">SUMIF($X:$X,CONCATENATE($Z130,AE$6),$U:$U)</f>
        <v>0</v>
      </c>
      <c r="AF130" s="134" t="n">
        <f aca="false">SUMIF($X:$X,CONCATENATE($Z130,AF$6),$U:$U)</f>
        <v>0</v>
      </c>
      <c r="AG130" s="135" t="n">
        <f aca="false">SUMIF($X:$X,CONCATENATE($Z130,AG$6),$U:$U)</f>
        <v>0</v>
      </c>
      <c r="AI130" s="143" t="n">
        <f aca="false">EOMONTH(AI129,0)+1</f>
        <v>39873</v>
      </c>
      <c r="AJ130" s="135" t="n">
        <f aca="false">SUM(AA130:AG130)</f>
        <v>0</v>
      </c>
    </row>
    <row r="131" customFormat="false" ht="12.75" hidden="false" customHeight="false" outlineLevel="0" collapsed="false">
      <c r="Z131" s="143" t="n">
        <f aca="false">EOMONTH(Z130,0)+1</f>
        <v>39904</v>
      </c>
      <c r="AA131" s="134" t="n">
        <f aca="false">SUMIF($X:$X,CONCATENATE($Z131,AA$6),$U:$U)</f>
        <v>0</v>
      </c>
      <c r="AB131" s="134" t="n">
        <f aca="false">SUMIF($X:$X,CONCATENATE($Z131,AB$6),$U:$U)</f>
        <v>0</v>
      </c>
      <c r="AC131" s="134" t="n">
        <f aca="false">SUMIF($X:$X,CONCATENATE($Z131,AC$6),$U:$U)</f>
        <v>0</v>
      </c>
      <c r="AD131" s="134" t="n">
        <f aca="false">SUMIF($X:$X,CONCATENATE($Z131,AD$6),$U:$U)</f>
        <v>0</v>
      </c>
      <c r="AE131" s="134" t="n">
        <f aca="false">SUMIF($X:$X,CONCATENATE($Z131,AE$6),$U:$U)</f>
        <v>0</v>
      </c>
      <c r="AF131" s="134" t="n">
        <f aca="false">SUMIF($X:$X,CONCATENATE($Z131,AF$6),$U:$U)</f>
        <v>0</v>
      </c>
      <c r="AG131" s="135" t="n">
        <f aca="false">SUMIF($X:$X,CONCATENATE($Z131,AG$6),$U:$U)</f>
        <v>0</v>
      </c>
      <c r="AI131" s="143" t="n">
        <f aca="false">EOMONTH(AI130,0)+1</f>
        <v>39904</v>
      </c>
      <c r="AJ131" s="135" t="n">
        <f aca="false">SUM(AA131:AG131)</f>
        <v>0</v>
      </c>
    </row>
    <row r="132" customFormat="false" ht="12.75" hidden="false" customHeight="false" outlineLevel="0" collapsed="false">
      <c r="Z132" s="143" t="n">
        <f aca="false">EOMONTH(Z131,0)+1</f>
        <v>39934</v>
      </c>
      <c r="AA132" s="134" t="n">
        <f aca="false">SUMIF($X:$X,CONCATENATE($Z132,AA$6),$U:$U)</f>
        <v>0</v>
      </c>
      <c r="AB132" s="134" t="n">
        <f aca="false">SUMIF($X:$X,CONCATENATE($Z132,AB$6),$U:$U)</f>
        <v>0</v>
      </c>
      <c r="AC132" s="134" t="n">
        <f aca="false">SUMIF($X:$X,CONCATENATE($Z132,AC$6),$U:$U)</f>
        <v>0</v>
      </c>
      <c r="AD132" s="134" t="n">
        <f aca="false">SUMIF($X:$X,CONCATENATE($Z132,AD$6),$U:$U)</f>
        <v>0</v>
      </c>
      <c r="AE132" s="134" t="n">
        <f aca="false">SUMIF($X:$X,CONCATENATE($Z132,AE$6),$U:$U)</f>
        <v>0</v>
      </c>
      <c r="AF132" s="134" t="n">
        <f aca="false">SUMIF($X:$X,CONCATENATE($Z132,AF$6),$U:$U)</f>
        <v>0</v>
      </c>
      <c r="AG132" s="135" t="n">
        <f aca="false">SUMIF($X:$X,CONCATENATE($Z132,AG$6),$U:$U)</f>
        <v>0</v>
      </c>
      <c r="AI132" s="143" t="n">
        <f aca="false">EOMONTH(AI131,0)+1</f>
        <v>39934</v>
      </c>
      <c r="AJ132" s="135" t="n">
        <f aca="false">SUM(AA132:AG132)</f>
        <v>0</v>
      </c>
    </row>
    <row r="133" customFormat="false" ht="12.75" hidden="false" customHeight="false" outlineLevel="0" collapsed="false">
      <c r="Z133" s="143" t="n">
        <f aca="false">EOMONTH(Z132,0)+1</f>
        <v>39965</v>
      </c>
      <c r="AA133" s="134" t="n">
        <f aca="false">SUMIF($X:$X,CONCATENATE($Z133,AA$6),$U:$U)</f>
        <v>0</v>
      </c>
      <c r="AB133" s="134" t="n">
        <f aca="false">SUMIF($X:$X,CONCATENATE($Z133,AB$6),$U:$U)</f>
        <v>0</v>
      </c>
      <c r="AC133" s="134" t="n">
        <f aca="false">SUMIF($X:$X,CONCATENATE($Z133,AC$6),$U:$U)</f>
        <v>0</v>
      </c>
      <c r="AD133" s="134" t="n">
        <f aca="false">SUMIF($X:$X,CONCATENATE($Z133,AD$6),$U:$U)</f>
        <v>0</v>
      </c>
      <c r="AE133" s="134" t="n">
        <f aca="false">SUMIF($X:$X,CONCATENATE($Z133,AE$6),$U:$U)</f>
        <v>0</v>
      </c>
      <c r="AF133" s="134" t="n">
        <f aca="false">SUMIF($X:$X,CONCATENATE($Z133,AF$6),$U:$U)</f>
        <v>0</v>
      </c>
      <c r="AG133" s="135" t="n">
        <f aca="false">SUMIF($X:$X,CONCATENATE($Z133,AG$6),$U:$U)</f>
        <v>0</v>
      </c>
      <c r="AI133" s="143" t="n">
        <f aca="false">EOMONTH(AI132,0)+1</f>
        <v>39965</v>
      </c>
      <c r="AJ133" s="135" t="n">
        <f aca="false">SUM(AA133:AG133)</f>
        <v>0</v>
      </c>
    </row>
    <row r="134" customFormat="false" ht="12.75" hidden="false" customHeight="false" outlineLevel="0" collapsed="false">
      <c r="Z134" s="143" t="n">
        <f aca="false">EOMONTH(Z133,0)+1</f>
        <v>39995</v>
      </c>
      <c r="AA134" s="134" t="n">
        <f aca="false">SUMIF($X:$X,CONCATENATE($Z134,AA$6),$U:$U)</f>
        <v>0</v>
      </c>
      <c r="AB134" s="134" t="n">
        <f aca="false">SUMIF($X:$X,CONCATENATE($Z134,AB$6),$U:$U)</f>
        <v>0</v>
      </c>
      <c r="AC134" s="134" t="n">
        <f aca="false">SUMIF($X:$X,CONCATENATE($Z134,AC$6),$U:$U)</f>
        <v>0</v>
      </c>
      <c r="AD134" s="134" t="n">
        <f aca="false">SUMIF($X:$X,CONCATENATE($Z134,AD$6),$U:$U)</f>
        <v>0</v>
      </c>
      <c r="AE134" s="134" t="n">
        <f aca="false">SUMIF($X:$X,CONCATENATE($Z134,AE$6),$U:$U)</f>
        <v>0</v>
      </c>
      <c r="AF134" s="134" t="n">
        <f aca="false">SUMIF($X:$X,CONCATENATE($Z134,AF$6),$U:$U)</f>
        <v>0</v>
      </c>
      <c r="AG134" s="135" t="n">
        <f aca="false">SUMIF($X:$X,CONCATENATE($Z134,AG$6),$U:$U)</f>
        <v>0</v>
      </c>
      <c r="AI134" s="143" t="n">
        <f aca="false">EOMONTH(AI133,0)+1</f>
        <v>39995</v>
      </c>
      <c r="AJ134" s="135" t="n">
        <f aca="false">SUM(AA134:AG134)</f>
        <v>0</v>
      </c>
    </row>
    <row r="135" customFormat="false" ht="12.75" hidden="false" customHeight="false" outlineLevel="0" collapsed="false">
      <c r="Z135" s="143" t="n">
        <f aca="false">EOMONTH(Z134,0)+1</f>
        <v>40026</v>
      </c>
      <c r="AA135" s="134" t="n">
        <f aca="false">SUMIF($X:$X,CONCATENATE($Z135,AA$6),$U:$U)</f>
        <v>0</v>
      </c>
      <c r="AB135" s="134" t="n">
        <f aca="false">SUMIF($X:$X,CONCATENATE($Z135,AB$6),$U:$U)</f>
        <v>0</v>
      </c>
      <c r="AC135" s="134" t="n">
        <f aca="false">SUMIF($X:$X,CONCATENATE($Z135,AC$6),$U:$U)</f>
        <v>0</v>
      </c>
      <c r="AD135" s="134" t="n">
        <f aca="false">SUMIF($X:$X,CONCATENATE($Z135,AD$6),$U:$U)</f>
        <v>0</v>
      </c>
      <c r="AE135" s="134" t="n">
        <f aca="false">SUMIF($X:$X,CONCATENATE($Z135,AE$6),$U:$U)</f>
        <v>0</v>
      </c>
      <c r="AF135" s="134" t="n">
        <f aca="false">SUMIF($X:$X,CONCATENATE($Z135,AF$6),$U:$U)</f>
        <v>0</v>
      </c>
      <c r="AG135" s="135" t="n">
        <f aca="false">SUMIF($X:$X,CONCATENATE($Z135,AG$6),$U:$U)</f>
        <v>0</v>
      </c>
      <c r="AI135" s="143" t="n">
        <f aca="false">EOMONTH(AI134,0)+1</f>
        <v>40026</v>
      </c>
      <c r="AJ135" s="135" t="n">
        <f aca="false">SUM(AA135:AG135)</f>
        <v>0</v>
      </c>
    </row>
    <row r="136" customFormat="false" ht="12.75" hidden="false" customHeight="false" outlineLevel="0" collapsed="false">
      <c r="Z136" s="143" t="n">
        <f aca="false">EOMONTH(Z135,0)+1</f>
        <v>40057</v>
      </c>
      <c r="AA136" s="134" t="n">
        <f aca="false">SUMIF($X:$X,CONCATENATE($Z136,AA$6),$U:$U)</f>
        <v>0</v>
      </c>
      <c r="AB136" s="134" t="n">
        <f aca="false">SUMIF($X:$X,CONCATENATE($Z136,AB$6),$U:$U)</f>
        <v>0</v>
      </c>
      <c r="AC136" s="134" t="n">
        <f aca="false">SUMIF($X:$X,CONCATENATE($Z136,AC$6),$U:$U)</f>
        <v>0</v>
      </c>
      <c r="AD136" s="134" t="n">
        <f aca="false">SUMIF($X:$X,CONCATENATE($Z136,AD$6),$U:$U)</f>
        <v>0</v>
      </c>
      <c r="AE136" s="134" t="n">
        <f aca="false">SUMIF($X:$X,CONCATENATE($Z136,AE$6),$U:$U)</f>
        <v>0</v>
      </c>
      <c r="AF136" s="134" t="n">
        <f aca="false">SUMIF($X:$X,CONCATENATE($Z136,AF$6),$U:$U)</f>
        <v>0</v>
      </c>
      <c r="AG136" s="135" t="n">
        <f aca="false">SUMIF($X:$X,CONCATENATE($Z136,AG$6),$U:$U)</f>
        <v>0</v>
      </c>
      <c r="AI136" s="143" t="n">
        <f aca="false">EOMONTH(AI135,0)+1</f>
        <v>40057</v>
      </c>
      <c r="AJ136" s="135" t="n">
        <f aca="false">SUM(AA136:AG136)</f>
        <v>0</v>
      </c>
    </row>
    <row r="137" customFormat="false" ht="12.75" hidden="false" customHeight="false" outlineLevel="0" collapsed="false">
      <c r="Z137" s="143" t="n">
        <f aca="false">EOMONTH(Z136,0)+1</f>
        <v>40087</v>
      </c>
      <c r="AA137" s="134" t="n">
        <f aca="false">SUMIF($X:$X,CONCATENATE($Z137,AA$6),$U:$U)</f>
        <v>0</v>
      </c>
      <c r="AB137" s="134" t="n">
        <f aca="false">SUMIF($X:$X,CONCATENATE($Z137,AB$6),$U:$U)</f>
        <v>0</v>
      </c>
      <c r="AC137" s="134" t="n">
        <f aca="false">SUMIF($X:$X,CONCATENATE($Z137,AC$6),$U:$U)</f>
        <v>0</v>
      </c>
      <c r="AD137" s="134" t="n">
        <f aca="false">SUMIF($X:$X,CONCATENATE($Z137,AD$6),$U:$U)</f>
        <v>0</v>
      </c>
      <c r="AE137" s="134" t="n">
        <f aca="false">SUMIF($X:$X,CONCATENATE($Z137,AE$6),$U:$U)</f>
        <v>0</v>
      </c>
      <c r="AF137" s="134" t="n">
        <f aca="false">SUMIF($X:$X,CONCATENATE($Z137,AF$6),$U:$U)</f>
        <v>0</v>
      </c>
      <c r="AG137" s="135" t="n">
        <f aca="false">SUMIF($X:$X,CONCATENATE($Z137,AG$6),$U:$U)</f>
        <v>0</v>
      </c>
      <c r="AI137" s="143" t="n">
        <f aca="false">EOMONTH(AI136,0)+1</f>
        <v>40087</v>
      </c>
      <c r="AJ137" s="135" t="n">
        <f aca="false">SUM(AA137:AG137)</f>
        <v>0</v>
      </c>
    </row>
    <row r="138" customFormat="false" ht="12.75" hidden="false" customHeight="false" outlineLevel="0" collapsed="false">
      <c r="Z138" s="143" t="n">
        <f aca="false">EOMONTH(Z137,0)+1</f>
        <v>40118</v>
      </c>
      <c r="AA138" s="134" t="n">
        <f aca="false">SUMIF($X:$X,CONCATENATE($Z138,AA$6),$U:$U)</f>
        <v>0</v>
      </c>
      <c r="AB138" s="134" t="n">
        <f aca="false">SUMIF($X:$X,CONCATENATE($Z138,AB$6),$U:$U)</f>
        <v>0</v>
      </c>
      <c r="AC138" s="134" t="n">
        <f aca="false">SUMIF($X:$X,CONCATENATE($Z138,AC$6),$U:$U)</f>
        <v>0</v>
      </c>
      <c r="AD138" s="134" t="n">
        <f aca="false">SUMIF($X:$X,CONCATENATE($Z138,AD$6),$U:$U)</f>
        <v>0</v>
      </c>
      <c r="AE138" s="134" t="n">
        <f aca="false">SUMIF($X:$X,CONCATENATE($Z138,AE$6),$U:$U)</f>
        <v>0</v>
      </c>
      <c r="AF138" s="134" t="n">
        <f aca="false">SUMIF($X:$X,CONCATENATE($Z138,AF$6),$U:$U)</f>
        <v>0</v>
      </c>
      <c r="AG138" s="135" t="n">
        <f aca="false">SUMIF($X:$X,CONCATENATE($Z138,AG$6),$U:$U)</f>
        <v>0</v>
      </c>
      <c r="AI138" s="143" t="n">
        <f aca="false">EOMONTH(AI137,0)+1</f>
        <v>40118</v>
      </c>
      <c r="AJ138" s="135" t="n">
        <f aca="false">SUM(AA138:AG138)</f>
        <v>0</v>
      </c>
    </row>
    <row r="139" customFormat="false" ht="12.75" hidden="false" customHeight="false" outlineLevel="0" collapsed="false">
      <c r="Z139" s="143" t="n">
        <f aca="false">EOMONTH(Z138,0)+1</f>
        <v>40148</v>
      </c>
      <c r="AA139" s="134" t="n">
        <f aca="false">SUMIF($X:$X,CONCATENATE($Z139,AA$6),$U:$U)</f>
        <v>0</v>
      </c>
      <c r="AB139" s="134" t="n">
        <f aca="false">SUMIF($X:$X,CONCATENATE($Z139,AB$6),$U:$U)</f>
        <v>0</v>
      </c>
      <c r="AC139" s="134" t="n">
        <f aca="false">SUMIF($X:$X,CONCATENATE($Z139,AC$6),$U:$U)</f>
        <v>0</v>
      </c>
      <c r="AD139" s="134" t="n">
        <f aca="false">SUMIF($X:$X,CONCATENATE($Z139,AD$6),$U:$U)</f>
        <v>0</v>
      </c>
      <c r="AE139" s="134" t="n">
        <f aca="false">SUMIF($X:$X,CONCATENATE($Z139,AE$6),$U:$U)</f>
        <v>0</v>
      </c>
      <c r="AF139" s="134" t="n">
        <f aca="false">SUMIF($X:$X,CONCATENATE($Z139,AF$6),$U:$U)</f>
        <v>0</v>
      </c>
      <c r="AG139" s="135" t="n">
        <f aca="false">SUMIF($X:$X,CONCATENATE($Z139,AG$6),$U:$U)</f>
        <v>0</v>
      </c>
      <c r="AI139" s="143" t="n">
        <f aca="false">EOMONTH(AI138,0)+1</f>
        <v>40148</v>
      </c>
      <c r="AJ139" s="135" t="n">
        <f aca="false">SUM(AA139:AG139)</f>
        <v>0</v>
      </c>
    </row>
    <row r="140" customFormat="false" ht="12.75" hidden="false" customHeight="false" outlineLevel="0" collapsed="false">
      <c r="Z140" s="143" t="n">
        <f aca="false">EOMONTH(Z139,0)+1</f>
        <v>40179</v>
      </c>
      <c r="AA140" s="134" t="n">
        <f aca="false">SUMIF($X:$X,CONCATENATE($Z140,AA$6),$U:$U)</f>
        <v>0</v>
      </c>
      <c r="AB140" s="134" t="n">
        <f aca="false">SUMIF($X:$X,CONCATENATE($Z140,AB$6),$U:$U)</f>
        <v>0</v>
      </c>
      <c r="AC140" s="134" t="n">
        <f aca="false">SUMIF($X:$X,CONCATENATE($Z140,AC$6),$U:$U)</f>
        <v>0</v>
      </c>
      <c r="AD140" s="134" t="n">
        <f aca="false">SUMIF($X:$X,CONCATENATE($Z140,AD$6),$U:$U)</f>
        <v>0</v>
      </c>
      <c r="AE140" s="134" t="n">
        <f aca="false">SUMIF($X:$X,CONCATENATE($Z140,AE$6),$U:$U)</f>
        <v>0</v>
      </c>
      <c r="AF140" s="134" t="n">
        <f aca="false">SUMIF($X:$X,CONCATENATE($Z140,AF$6),$U:$U)</f>
        <v>0</v>
      </c>
      <c r="AG140" s="135" t="n">
        <f aca="false">SUMIF($X:$X,CONCATENATE($Z140,AG$6),$U:$U)</f>
        <v>0</v>
      </c>
      <c r="AI140" s="143" t="n">
        <f aca="false">EOMONTH(AI139,0)+1</f>
        <v>40179</v>
      </c>
      <c r="AJ140" s="135" t="n">
        <f aca="false">SUM(AA140:AG140)</f>
        <v>0</v>
      </c>
    </row>
    <row r="141" customFormat="false" ht="12.75" hidden="false" customHeight="false" outlineLevel="0" collapsed="false">
      <c r="Z141" s="143" t="n">
        <f aca="false">EOMONTH(Z140,0)+1</f>
        <v>40210</v>
      </c>
      <c r="AA141" s="134" t="n">
        <f aca="false">SUMIF($X:$X,CONCATENATE($Z141,AA$6),$U:$U)</f>
        <v>0</v>
      </c>
      <c r="AB141" s="134" t="n">
        <f aca="false">SUMIF($X:$X,CONCATENATE($Z141,AB$6),$U:$U)</f>
        <v>0</v>
      </c>
      <c r="AC141" s="134" t="n">
        <f aca="false">SUMIF($X:$X,CONCATENATE($Z141,AC$6),$U:$U)</f>
        <v>0</v>
      </c>
      <c r="AD141" s="134" t="n">
        <f aca="false">SUMIF($X:$X,CONCATENATE($Z141,AD$6),$U:$U)</f>
        <v>0</v>
      </c>
      <c r="AE141" s="134" t="n">
        <f aca="false">SUMIF($X:$X,CONCATENATE($Z141,AE$6),$U:$U)</f>
        <v>0</v>
      </c>
      <c r="AF141" s="134" t="n">
        <f aca="false">SUMIF($X:$X,CONCATENATE($Z141,AF$6),$U:$U)</f>
        <v>0</v>
      </c>
      <c r="AG141" s="135" t="n">
        <f aca="false">SUMIF($X:$X,CONCATENATE($Z141,AG$6),$U:$U)</f>
        <v>0</v>
      </c>
      <c r="AI141" s="143" t="n">
        <f aca="false">EOMONTH(AI140,0)+1</f>
        <v>40210</v>
      </c>
      <c r="AJ141" s="135" t="n">
        <f aca="false">SUM(AA141:AG141)</f>
        <v>0</v>
      </c>
    </row>
    <row r="142" customFormat="false" ht="12.75" hidden="false" customHeight="false" outlineLevel="0" collapsed="false">
      <c r="Z142" s="143" t="n">
        <f aca="false">EOMONTH(Z141,0)+1</f>
        <v>40238</v>
      </c>
      <c r="AA142" s="134" t="n">
        <f aca="false">SUMIF($X:$X,CONCATENATE($Z142,AA$6),$U:$U)</f>
        <v>0</v>
      </c>
      <c r="AB142" s="134" t="n">
        <f aca="false">SUMIF($X:$X,CONCATENATE($Z142,AB$6),$U:$U)</f>
        <v>0</v>
      </c>
      <c r="AC142" s="134" t="n">
        <f aca="false">SUMIF($X:$X,CONCATENATE($Z142,AC$6),$U:$U)</f>
        <v>0</v>
      </c>
      <c r="AD142" s="134" t="n">
        <f aca="false">SUMIF($X:$X,CONCATENATE($Z142,AD$6),$U:$U)</f>
        <v>0</v>
      </c>
      <c r="AE142" s="134" t="n">
        <f aca="false">SUMIF($X:$X,CONCATENATE($Z142,AE$6),$U:$U)</f>
        <v>0</v>
      </c>
      <c r="AF142" s="134" t="n">
        <f aca="false">SUMIF($X:$X,CONCATENATE($Z142,AF$6),$U:$U)</f>
        <v>0</v>
      </c>
      <c r="AG142" s="135" t="n">
        <f aca="false">SUMIF($X:$X,CONCATENATE($Z142,AG$6),$U:$U)</f>
        <v>0</v>
      </c>
      <c r="AI142" s="143" t="n">
        <f aca="false">EOMONTH(AI141,0)+1</f>
        <v>40238</v>
      </c>
      <c r="AJ142" s="135" t="n">
        <f aca="false">SUM(AA142:AG142)</f>
        <v>0</v>
      </c>
    </row>
    <row r="143" customFormat="false" ht="12.75" hidden="false" customHeight="false" outlineLevel="0" collapsed="false">
      <c r="Z143" s="143" t="n">
        <f aca="false">EOMONTH(Z142,0)+1</f>
        <v>40269</v>
      </c>
      <c r="AA143" s="134" t="n">
        <f aca="false">SUMIF($X:$X,CONCATENATE($Z143,AA$6),$U:$U)</f>
        <v>0</v>
      </c>
      <c r="AB143" s="134" t="n">
        <f aca="false">SUMIF($X:$X,CONCATENATE($Z143,AB$6),$U:$U)</f>
        <v>0</v>
      </c>
      <c r="AC143" s="134" t="n">
        <f aca="false">SUMIF($X:$X,CONCATENATE($Z143,AC$6),$U:$U)</f>
        <v>0</v>
      </c>
      <c r="AD143" s="134" t="n">
        <f aca="false">SUMIF($X:$X,CONCATENATE($Z143,AD$6),$U:$U)</f>
        <v>0</v>
      </c>
      <c r="AE143" s="134" t="n">
        <f aca="false">SUMIF($X:$X,CONCATENATE($Z143,AE$6),$U:$U)</f>
        <v>0</v>
      </c>
      <c r="AF143" s="134" t="n">
        <f aca="false">SUMIF($X:$X,CONCATENATE($Z143,AF$6),$U:$U)</f>
        <v>0</v>
      </c>
      <c r="AG143" s="135" t="n">
        <f aca="false">SUMIF($X:$X,CONCATENATE($Z143,AG$6),$U:$U)</f>
        <v>0</v>
      </c>
      <c r="AI143" s="143" t="n">
        <f aca="false">EOMONTH(AI142,0)+1</f>
        <v>40269</v>
      </c>
      <c r="AJ143" s="135" t="n">
        <f aca="false">SUM(AA143:AG143)</f>
        <v>0</v>
      </c>
    </row>
    <row r="144" customFormat="false" ht="12.75" hidden="false" customHeight="false" outlineLevel="0" collapsed="false">
      <c r="Z144" s="143" t="n">
        <f aca="false">EOMONTH(Z143,0)+1</f>
        <v>40299</v>
      </c>
      <c r="AA144" s="134" t="n">
        <f aca="false">SUMIF($X:$X,CONCATENATE($Z144,AA$6),$U:$U)</f>
        <v>0</v>
      </c>
      <c r="AB144" s="134" t="n">
        <f aca="false">SUMIF($X:$X,CONCATENATE($Z144,AB$6),$U:$U)</f>
        <v>0</v>
      </c>
      <c r="AC144" s="134" t="n">
        <f aca="false">SUMIF($X:$X,CONCATENATE($Z144,AC$6),$U:$U)</f>
        <v>0</v>
      </c>
      <c r="AD144" s="134" t="n">
        <f aca="false">SUMIF($X:$X,CONCATENATE($Z144,AD$6),$U:$U)</f>
        <v>0</v>
      </c>
      <c r="AE144" s="134" t="n">
        <f aca="false">SUMIF($X:$X,CONCATENATE($Z144,AE$6),$U:$U)</f>
        <v>0</v>
      </c>
      <c r="AF144" s="134" t="n">
        <f aca="false">SUMIF($X:$X,CONCATENATE($Z144,AF$6),$U:$U)</f>
        <v>0</v>
      </c>
      <c r="AG144" s="135" t="n">
        <f aca="false">SUMIF($X:$X,CONCATENATE($Z144,AG$6),$U:$U)</f>
        <v>0</v>
      </c>
      <c r="AI144" s="143" t="n">
        <f aca="false">EOMONTH(AI143,0)+1</f>
        <v>40299</v>
      </c>
      <c r="AJ144" s="135" t="n">
        <f aca="false">SUM(AA144:AG144)</f>
        <v>0</v>
      </c>
    </row>
    <row r="145" customFormat="false" ht="12.75" hidden="false" customHeight="false" outlineLevel="0" collapsed="false">
      <c r="Z145" s="143" t="n">
        <f aca="false">EOMONTH(Z144,0)+1</f>
        <v>40330</v>
      </c>
      <c r="AA145" s="134" t="n">
        <f aca="false">SUMIF($X:$X,CONCATENATE($Z145,AA$6),$U:$U)</f>
        <v>0</v>
      </c>
      <c r="AB145" s="134" t="n">
        <f aca="false">SUMIF($X:$X,CONCATENATE($Z145,AB$6),$U:$U)</f>
        <v>0</v>
      </c>
      <c r="AC145" s="134" t="n">
        <f aca="false">SUMIF($X:$X,CONCATENATE($Z145,AC$6),$U:$U)</f>
        <v>0</v>
      </c>
      <c r="AD145" s="134" t="n">
        <f aca="false">SUMIF($X:$X,CONCATENATE($Z145,AD$6),$U:$U)</f>
        <v>0</v>
      </c>
      <c r="AE145" s="134" t="n">
        <f aca="false">SUMIF($X:$X,CONCATENATE($Z145,AE$6),$U:$U)</f>
        <v>0</v>
      </c>
      <c r="AF145" s="134" t="n">
        <f aca="false">SUMIF($X:$X,CONCATENATE($Z145,AF$6),$U:$U)</f>
        <v>0</v>
      </c>
      <c r="AG145" s="135" t="n">
        <f aca="false">SUMIF($X:$X,CONCATENATE($Z145,AG$6),$U:$U)</f>
        <v>0</v>
      </c>
      <c r="AI145" s="143" t="n">
        <f aca="false">EOMONTH(AI144,0)+1</f>
        <v>40330</v>
      </c>
      <c r="AJ145" s="135" t="n">
        <f aca="false">SUM(AA145:AG145)</f>
        <v>0</v>
      </c>
    </row>
    <row r="146" customFormat="false" ht="12.75" hidden="false" customHeight="false" outlineLevel="0" collapsed="false">
      <c r="Z146" s="143" t="n">
        <f aca="false">EOMONTH(Z145,0)+1</f>
        <v>40360</v>
      </c>
      <c r="AA146" s="134" t="n">
        <f aca="false">SUMIF($X:$X,CONCATENATE($Z146,AA$6),$U:$U)</f>
        <v>0</v>
      </c>
      <c r="AB146" s="134" t="n">
        <f aca="false">SUMIF($X:$X,CONCATENATE($Z146,AB$6),$U:$U)</f>
        <v>0</v>
      </c>
      <c r="AC146" s="134" t="n">
        <f aca="false">SUMIF($X:$X,CONCATENATE($Z146,AC$6),$U:$U)</f>
        <v>0</v>
      </c>
      <c r="AD146" s="134" t="n">
        <f aca="false">SUMIF($X:$X,CONCATENATE($Z146,AD$6),$U:$U)</f>
        <v>0</v>
      </c>
      <c r="AE146" s="134" t="n">
        <f aca="false">SUMIF($X:$X,CONCATENATE($Z146,AE$6),$U:$U)</f>
        <v>0</v>
      </c>
      <c r="AF146" s="134" t="n">
        <f aca="false">SUMIF($X:$X,CONCATENATE($Z146,AF$6),$U:$U)</f>
        <v>0</v>
      </c>
      <c r="AG146" s="135" t="n">
        <f aca="false">SUMIF($X:$X,CONCATENATE($Z146,AG$6),$U:$U)</f>
        <v>0</v>
      </c>
      <c r="AI146" s="143" t="n">
        <f aca="false">EOMONTH(AI145,0)+1</f>
        <v>40360</v>
      </c>
      <c r="AJ146" s="135" t="n">
        <f aca="false">SUM(AA146:AG146)</f>
        <v>0</v>
      </c>
    </row>
    <row r="147" customFormat="false" ht="12.75" hidden="false" customHeight="false" outlineLevel="0" collapsed="false">
      <c r="Z147" s="143" t="n">
        <f aca="false">EOMONTH(Z146,0)+1</f>
        <v>40391</v>
      </c>
      <c r="AA147" s="134" t="n">
        <f aca="false">SUMIF($X:$X,CONCATENATE($Z147,AA$6),$U:$U)</f>
        <v>0</v>
      </c>
      <c r="AB147" s="134" t="n">
        <f aca="false">SUMIF($X:$X,CONCATENATE($Z147,AB$6),$U:$U)</f>
        <v>0</v>
      </c>
      <c r="AC147" s="134" t="n">
        <f aca="false">SUMIF($X:$X,CONCATENATE($Z147,AC$6),$U:$U)</f>
        <v>0</v>
      </c>
      <c r="AD147" s="134" t="n">
        <f aca="false">SUMIF($X:$X,CONCATENATE($Z147,AD$6),$U:$U)</f>
        <v>0</v>
      </c>
      <c r="AE147" s="134" t="n">
        <f aca="false">SUMIF($X:$X,CONCATENATE($Z147,AE$6),$U:$U)</f>
        <v>0</v>
      </c>
      <c r="AF147" s="134" t="n">
        <f aca="false">SUMIF($X:$X,CONCATENATE($Z147,AF$6),$U:$U)</f>
        <v>0</v>
      </c>
      <c r="AG147" s="135" t="n">
        <f aca="false">SUMIF($X:$X,CONCATENATE($Z147,AG$6),$U:$U)</f>
        <v>0</v>
      </c>
      <c r="AI147" s="143" t="n">
        <f aca="false">EOMONTH(AI146,0)+1</f>
        <v>40391</v>
      </c>
      <c r="AJ147" s="135" t="n">
        <f aca="false">SUM(AA147:AG147)</f>
        <v>0</v>
      </c>
    </row>
    <row r="148" customFormat="false" ht="12.75" hidden="false" customHeight="false" outlineLevel="0" collapsed="false">
      <c r="Z148" s="143" t="n">
        <f aca="false">EOMONTH(Z147,0)+1</f>
        <v>40422</v>
      </c>
      <c r="AA148" s="134" t="n">
        <f aca="false">SUMIF($X:$X,CONCATENATE($Z148,AA$6),$U:$U)</f>
        <v>0</v>
      </c>
      <c r="AB148" s="134" t="n">
        <f aca="false">SUMIF($X:$X,CONCATENATE($Z148,AB$6),$U:$U)</f>
        <v>0</v>
      </c>
      <c r="AC148" s="134" t="n">
        <f aca="false">SUMIF($X:$X,CONCATENATE($Z148,AC$6),$U:$U)</f>
        <v>0</v>
      </c>
      <c r="AD148" s="134" t="n">
        <f aca="false">SUMIF($X:$X,CONCATENATE($Z148,AD$6),$U:$U)</f>
        <v>0</v>
      </c>
      <c r="AE148" s="134" t="n">
        <f aca="false">SUMIF($X:$X,CONCATENATE($Z148,AE$6),$U:$U)</f>
        <v>0</v>
      </c>
      <c r="AF148" s="134" t="n">
        <f aca="false">SUMIF($X:$X,CONCATENATE($Z148,AF$6),$U:$U)</f>
        <v>0</v>
      </c>
      <c r="AG148" s="135" t="n">
        <f aca="false">SUMIF($X:$X,CONCATENATE($Z148,AG$6),$U:$U)</f>
        <v>0</v>
      </c>
      <c r="AI148" s="143" t="n">
        <f aca="false">EOMONTH(AI147,0)+1</f>
        <v>40422</v>
      </c>
      <c r="AJ148" s="135" t="n">
        <f aca="false">SUM(AA148:AG148)</f>
        <v>0</v>
      </c>
    </row>
    <row r="149" customFormat="false" ht="12.75" hidden="false" customHeight="false" outlineLevel="0" collapsed="false">
      <c r="Z149" s="143" t="n">
        <f aca="false">EOMONTH(Z148,0)+1</f>
        <v>40452</v>
      </c>
      <c r="AA149" s="134" t="n">
        <f aca="false">SUMIF($X:$X,CONCATENATE($Z149,AA$6),$U:$U)</f>
        <v>0</v>
      </c>
      <c r="AB149" s="134" t="n">
        <f aca="false">SUMIF($X:$X,CONCATENATE($Z149,AB$6),$U:$U)</f>
        <v>0</v>
      </c>
      <c r="AC149" s="134" t="n">
        <f aca="false">SUMIF($X:$X,CONCATENATE($Z149,AC$6),$U:$U)</f>
        <v>0</v>
      </c>
      <c r="AD149" s="134" t="n">
        <f aca="false">SUMIF($X:$X,CONCATENATE($Z149,AD$6),$U:$U)</f>
        <v>0</v>
      </c>
      <c r="AE149" s="134" t="n">
        <f aca="false">SUMIF($X:$X,CONCATENATE($Z149,AE$6),$U:$U)</f>
        <v>0</v>
      </c>
      <c r="AF149" s="134" t="n">
        <f aca="false">SUMIF($X:$X,CONCATENATE($Z149,AF$6),$U:$U)</f>
        <v>0</v>
      </c>
      <c r="AG149" s="135" t="n">
        <f aca="false">SUMIF($X:$X,CONCATENATE($Z149,AG$6),$U:$U)</f>
        <v>0</v>
      </c>
      <c r="AI149" s="143" t="n">
        <f aca="false">EOMONTH(AI148,0)+1</f>
        <v>40452</v>
      </c>
      <c r="AJ149" s="135" t="n">
        <f aca="false">SUM(AA149:AG149)</f>
        <v>0</v>
      </c>
    </row>
    <row r="150" customFormat="false" ht="12.75" hidden="false" customHeight="false" outlineLevel="0" collapsed="false">
      <c r="Z150" s="143" t="n">
        <f aca="false">EOMONTH(Z149,0)+1</f>
        <v>40483</v>
      </c>
      <c r="AA150" s="134" t="n">
        <f aca="false">SUMIF($X:$X,CONCATENATE($Z150,AA$6),$U:$U)</f>
        <v>0</v>
      </c>
      <c r="AB150" s="134" t="n">
        <f aca="false">SUMIF($X:$X,CONCATENATE($Z150,AB$6),$U:$U)</f>
        <v>0</v>
      </c>
      <c r="AC150" s="134" t="n">
        <f aca="false">SUMIF($X:$X,CONCATENATE($Z150,AC$6),$U:$U)</f>
        <v>0</v>
      </c>
      <c r="AD150" s="134" t="n">
        <f aca="false">SUMIF($X:$X,CONCATENATE($Z150,AD$6),$U:$U)</f>
        <v>0</v>
      </c>
      <c r="AE150" s="134" t="n">
        <f aca="false">SUMIF($X:$X,CONCATENATE($Z150,AE$6),$U:$U)</f>
        <v>0</v>
      </c>
      <c r="AF150" s="134" t="n">
        <f aca="false">SUMIF($X:$X,CONCATENATE($Z150,AF$6),$U:$U)</f>
        <v>0</v>
      </c>
      <c r="AG150" s="135" t="n">
        <f aca="false">SUMIF($X:$X,CONCATENATE($Z150,AG$6),$U:$U)</f>
        <v>0</v>
      </c>
      <c r="AI150" s="143" t="n">
        <f aca="false">EOMONTH(AI149,0)+1</f>
        <v>40483</v>
      </c>
      <c r="AJ150" s="135" t="n">
        <f aca="false">SUM(AA150:AG150)</f>
        <v>0</v>
      </c>
    </row>
    <row r="151" customFormat="false" ht="12.75" hidden="false" customHeight="false" outlineLevel="0" collapsed="false">
      <c r="Z151" s="143" t="n">
        <f aca="false">EOMONTH(Z150,0)+1</f>
        <v>40513</v>
      </c>
      <c r="AA151" s="134" t="n">
        <f aca="false">SUMIF($X:$X,CONCATENATE($Z151,AA$6),$U:$U)</f>
        <v>0</v>
      </c>
      <c r="AB151" s="134" t="n">
        <f aca="false">SUMIF($X:$X,CONCATENATE($Z151,AB$6),$U:$U)</f>
        <v>0</v>
      </c>
      <c r="AC151" s="134" t="n">
        <f aca="false">SUMIF($X:$X,CONCATENATE($Z151,AC$6),$U:$U)</f>
        <v>0</v>
      </c>
      <c r="AD151" s="134" t="n">
        <f aca="false">SUMIF($X:$X,CONCATENATE($Z151,AD$6),$U:$U)</f>
        <v>0</v>
      </c>
      <c r="AE151" s="134" t="n">
        <f aca="false">SUMIF($X:$X,CONCATENATE($Z151,AE$6),$U:$U)</f>
        <v>0</v>
      </c>
      <c r="AF151" s="134" t="n">
        <f aca="false">SUMIF($X:$X,CONCATENATE($Z151,AF$6),$U:$U)</f>
        <v>0</v>
      </c>
      <c r="AG151" s="135" t="n">
        <f aca="false">SUMIF($X:$X,CONCATENATE($Z151,AG$6),$U:$U)</f>
        <v>0</v>
      </c>
      <c r="AI151" s="143" t="n">
        <f aca="false">EOMONTH(AI150,0)+1</f>
        <v>40513</v>
      </c>
      <c r="AJ151" s="135" t="n">
        <f aca="false">SUM(AA151:AG151)</f>
        <v>0</v>
      </c>
    </row>
    <row r="152" customFormat="false" ht="12.75" hidden="false" customHeight="false" outlineLevel="0" collapsed="false">
      <c r="Z152" s="143" t="n">
        <f aca="false">EOMONTH(Z151,0)+1</f>
        <v>40544</v>
      </c>
      <c r="AA152" s="134" t="n">
        <f aca="false">SUMIF($X:$X,CONCATENATE($Z152,AA$6),$U:$U)</f>
        <v>0</v>
      </c>
      <c r="AB152" s="134" t="n">
        <f aca="false">SUMIF($X:$X,CONCATENATE($Z152,AB$6),$U:$U)</f>
        <v>0</v>
      </c>
      <c r="AC152" s="134" t="n">
        <f aca="false">SUMIF($X:$X,CONCATENATE($Z152,AC$6),$U:$U)</f>
        <v>0</v>
      </c>
      <c r="AD152" s="134" t="n">
        <f aca="false">SUMIF($X:$X,CONCATENATE($Z152,AD$6),$U:$U)</f>
        <v>0</v>
      </c>
      <c r="AE152" s="134" t="n">
        <f aca="false">SUMIF($X:$X,CONCATENATE($Z152,AE$6),$U:$U)</f>
        <v>0</v>
      </c>
      <c r="AF152" s="134" t="n">
        <f aca="false">SUMIF($X:$X,CONCATENATE($Z152,AF$6),$U:$U)</f>
        <v>0</v>
      </c>
      <c r="AG152" s="135" t="n">
        <f aca="false">SUMIF($X:$X,CONCATENATE($Z152,AG$6),$U:$U)</f>
        <v>0</v>
      </c>
      <c r="AI152" s="143" t="n">
        <f aca="false">EOMONTH(AI151,0)+1</f>
        <v>40544</v>
      </c>
      <c r="AJ152" s="135" t="n">
        <f aca="false">SUM(AA152:AG152)</f>
        <v>0</v>
      </c>
    </row>
    <row r="153" customFormat="false" ht="12.75" hidden="false" customHeight="false" outlineLevel="0" collapsed="false">
      <c r="Z153" s="143" t="n">
        <f aca="false">EOMONTH(Z152,0)+1</f>
        <v>40575</v>
      </c>
      <c r="AA153" s="134" t="n">
        <f aca="false">SUMIF($X:$X,CONCATENATE($Z153,AA$6),$U:$U)</f>
        <v>0</v>
      </c>
      <c r="AB153" s="134" t="n">
        <f aca="false">SUMIF($X:$X,CONCATENATE($Z153,AB$6),$U:$U)</f>
        <v>0</v>
      </c>
      <c r="AC153" s="134" t="n">
        <f aca="false">SUMIF($X:$X,CONCATENATE($Z153,AC$6),$U:$U)</f>
        <v>0</v>
      </c>
      <c r="AD153" s="134" t="n">
        <f aca="false">SUMIF($X:$X,CONCATENATE($Z153,AD$6),$U:$U)</f>
        <v>0</v>
      </c>
      <c r="AE153" s="134" t="n">
        <f aca="false">SUMIF($X:$X,CONCATENATE($Z153,AE$6),$U:$U)</f>
        <v>0</v>
      </c>
      <c r="AF153" s="134" t="n">
        <f aca="false">SUMIF($X:$X,CONCATENATE($Z153,AF$6),$U:$U)</f>
        <v>0</v>
      </c>
      <c r="AG153" s="135" t="n">
        <f aca="false">SUMIF($X:$X,CONCATENATE($Z153,AG$6),$U:$U)</f>
        <v>0</v>
      </c>
      <c r="AI153" s="143" t="n">
        <f aca="false">EOMONTH(AI152,0)+1</f>
        <v>40575</v>
      </c>
      <c r="AJ153" s="135" t="n">
        <f aca="false">SUM(AA153:AG153)</f>
        <v>0</v>
      </c>
    </row>
    <row r="154" customFormat="false" ht="12.75" hidden="false" customHeight="false" outlineLevel="0" collapsed="false">
      <c r="Z154" s="143" t="n">
        <f aca="false">EOMONTH(Z153,0)+1</f>
        <v>40603</v>
      </c>
      <c r="AA154" s="134" t="n">
        <f aca="false">SUMIF($X:$X,CONCATENATE($Z154,AA$6),$U:$U)</f>
        <v>0</v>
      </c>
      <c r="AB154" s="134" t="n">
        <f aca="false">SUMIF($X:$X,CONCATENATE($Z154,AB$6),$U:$U)</f>
        <v>0</v>
      </c>
      <c r="AC154" s="134" t="n">
        <f aca="false">SUMIF($X:$X,CONCATENATE($Z154,AC$6),$U:$U)</f>
        <v>0</v>
      </c>
      <c r="AD154" s="134" t="n">
        <f aca="false">SUMIF($X:$X,CONCATENATE($Z154,AD$6),$U:$U)</f>
        <v>0</v>
      </c>
      <c r="AE154" s="134" t="n">
        <f aca="false">SUMIF($X:$X,CONCATENATE($Z154,AE$6),$U:$U)</f>
        <v>0</v>
      </c>
      <c r="AF154" s="134" t="n">
        <f aca="false">SUMIF($X:$X,CONCATENATE($Z154,AF$6),$U:$U)</f>
        <v>0</v>
      </c>
      <c r="AG154" s="135" t="n">
        <f aca="false">SUMIF($X:$X,CONCATENATE($Z154,AG$6),$U:$U)</f>
        <v>0</v>
      </c>
      <c r="AI154" s="143" t="n">
        <f aca="false">EOMONTH(AI153,0)+1</f>
        <v>40603</v>
      </c>
      <c r="AJ154" s="135" t="n">
        <f aca="false">SUM(AA154:AG154)</f>
        <v>0</v>
      </c>
    </row>
    <row r="155" customFormat="false" ht="12.75" hidden="false" customHeight="false" outlineLevel="0" collapsed="false">
      <c r="Z155" s="143" t="n">
        <f aca="false">EOMONTH(Z154,0)+1</f>
        <v>40634</v>
      </c>
      <c r="AA155" s="134" t="n">
        <f aca="false">SUMIF($X:$X,CONCATENATE($Z155,AA$6),$U:$U)</f>
        <v>0</v>
      </c>
      <c r="AB155" s="134" t="n">
        <f aca="false">SUMIF($X:$X,CONCATENATE($Z155,AB$6),$U:$U)</f>
        <v>0</v>
      </c>
      <c r="AC155" s="134" t="n">
        <f aca="false">SUMIF($X:$X,CONCATENATE($Z155,AC$6),$U:$U)</f>
        <v>0</v>
      </c>
      <c r="AD155" s="134" t="n">
        <f aca="false">SUMIF($X:$X,CONCATENATE($Z155,AD$6),$U:$U)</f>
        <v>0</v>
      </c>
      <c r="AE155" s="134" t="n">
        <f aca="false">SUMIF($X:$X,CONCATENATE($Z155,AE$6),$U:$U)</f>
        <v>0</v>
      </c>
      <c r="AF155" s="134" t="n">
        <f aca="false">SUMIF($X:$X,CONCATENATE($Z155,AF$6),$U:$U)</f>
        <v>0</v>
      </c>
      <c r="AG155" s="135" t="n">
        <f aca="false">SUMIF($X:$X,CONCATENATE($Z155,AG$6),$U:$U)</f>
        <v>0</v>
      </c>
      <c r="AI155" s="143" t="n">
        <f aca="false">EOMONTH(AI154,0)+1</f>
        <v>40634</v>
      </c>
      <c r="AJ155" s="135" t="n">
        <f aca="false">SUM(AA155:AG155)</f>
        <v>0</v>
      </c>
    </row>
    <row r="156" customFormat="false" ht="12.75" hidden="false" customHeight="false" outlineLevel="0" collapsed="false">
      <c r="Z156" s="143" t="n">
        <f aca="false">EOMONTH(Z155,0)+1</f>
        <v>40664</v>
      </c>
      <c r="AA156" s="134" t="n">
        <f aca="false">SUMIF($X:$X,CONCATENATE($Z156,AA$6),$U:$U)</f>
        <v>0</v>
      </c>
      <c r="AB156" s="134" t="n">
        <f aca="false">SUMIF($X:$X,CONCATENATE($Z156,AB$6),$U:$U)</f>
        <v>0</v>
      </c>
      <c r="AC156" s="134" t="n">
        <f aca="false">SUMIF($X:$X,CONCATENATE($Z156,AC$6),$U:$U)</f>
        <v>0</v>
      </c>
      <c r="AD156" s="134" t="n">
        <f aca="false">SUMIF($X:$X,CONCATENATE($Z156,AD$6),$U:$U)</f>
        <v>0</v>
      </c>
      <c r="AE156" s="134" t="n">
        <f aca="false">SUMIF($X:$X,CONCATENATE($Z156,AE$6),$U:$U)</f>
        <v>0</v>
      </c>
      <c r="AF156" s="134" t="n">
        <f aca="false">SUMIF($X:$X,CONCATENATE($Z156,AF$6),$U:$U)</f>
        <v>0</v>
      </c>
      <c r="AG156" s="135" t="n">
        <f aca="false">SUMIF($X:$X,CONCATENATE($Z156,AG$6),$U:$U)</f>
        <v>0</v>
      </c>
      <c r="AI156" s="143" t="n">
        <f aca="false">EOMONTH(AI155,0)+1</f>
        <v>40664</v>
      </c>
      <c r="AJ156" s="135" t="n">
        <f aca="false">SUM(AA156:AG156)</f>
        <v>0</v>
      </c>
    </row>
    <row r="157" customFormat="false" ht="12.75" hidden="false" customHeight="false" outlineLevel="0" collapsed="false">
      <c r="Z157" s="143" t="n">
        <f aca="false">EOMONTH(Z156,0)+1</f>
        <v>40695</v>
      </c>
      <c r="AA157" s="134" t="n">
        <f aca="false">SUMIF($X:$X,CONCATENATE($Z157,AA$6),$U:$U)</f>
        <v>0</v>
      </c>
      <c r="AB157" s="134" t="n">
        <f aca="false">SUMIF($X:$X,CONCATENATE($Z157,AB$6),$U:$U)</f>
        <v>0</v>
      </c>
      <c r="AC157" s="134" t="n">
        <f aca="false">SUMIF($X:$X,CONCATENATE($Z157,AC$6),$U:$U)</f>
        <v>0</v>
      </c>
      <c r="AD157" s="134" t="n">
        <f aca="false">SUMIF($X:$X,CONCATENATE($Z157,AD$6),$U:$U)</f>
        <v>0</v>
      </c>
      <c r="AE157" s="134" t="n">
        <f aca="false">SUMIF($X:$X,CONCATENATE($Z157,AE$6),$U:$U)</f>
        <v>0</v>
      </c>
      <c r="AF157" s="134" t="n">
        <f aca="false">SUMIF($X:$X,CONCATENATE($Z157,AF$6),$U:$U)</f>
        <v>0</v>
      </c>
      <c r="AG157" s="135" t="n">
        <f aca="false">SUMIF($X:$X,CONCATENATE($Z157,AG$6),$U:$U)</f>
        <v>0</v>
      </c>
      <c r="AI157" s="143" t="n">
        <f aca="false">EOMONTH(AI156,0)+1</f>
        <v>40695</v>
      </c>
      <c r="AJ157" s="135" t="n">
        <f aca="false">SUM(AA157:AG157)</f>
        <v>0</v>
      </c>
    </row>
    <row r="158" customFormat="false" ht="12.75" hidden="false" customHeight="false" outlineLevel="0" collapsed="false">
      <c r="Z158" s="143" t="n">
        <f aca="false">EOMONTH(Z157,0)+1</f>
        <v>40725</v>
      </c>
      <c r="AA158" s="134" t="n">
        <f aca="false">SUMIF($X:$X,CONCATENATE($Z158,AA$6),$U:$U)</f>
        <v>0</v>
      </c>
      <c r="AB158" s="134" t="n">
        <f aca="false">SUMIF($X:$X,CONCATENATE($Z158,AB$6),$U:$U)</f>
        <v>0</v>
      </c>
      <c r="AC158" s="134" t="n">
        <f aca="false">SUMIF($X:$X,CONCATENATE($Z158,AC$6),$U:$U)</f>
        <v>0</v>
      </c>
      <c r="AD158" s="134" t="n">
        <f aca="false">SUMIF($X:$X,CONCATENATE($Z158,AD$6),$U:$U)</f>
        <v>0</v>
      </c>
      <c r="AE158" s="134" t="n">
        <f aca="false">SUMIF($X:$X,CONCATENATE($Z158,AE$6),$U:$U)</f>
        <v>0</v>
      </c>
      <c r="AF158" s="134" t="n">
        <f aca="false">SUMIF($X:$X,CONCATENATE($Z158,AF$6),$U:$U)</f>
        <v>0</v>
      </c>
      <c r="AG158" s="135" t="n">
        <f aca="false">SUMIF($X:$X,CONCATENATE($Z158,AG$6),$U:$U)</f>
        <v>0</v>
      </c>
      <c r="AI158" s="143" t="n">
        <f aca="false">EOMONTH(AI157,0)+1</f>
        <v>40725</v>
      </c>
      <c r="AJ158" s="135" t="n">
        <f aca="false">SUM(AA158:AG158)</f>
        <v>0</v>
      </c>
    </row>
    <row r="159" customFormat="false" ht="12.75" hidden="false" customHeight="false" outlineLevel="0" collapsed="false">
      <c r="Z159" s="143" t="n">
        <f aca="false">EOMONTH(Z158,0)+1</f>
        <v>40756</v>
      </c>
      <c r="AA159" s="134" t="n">
        <f aca="false">SUMIF($X:$X,CONCATENATE($Z159,AA$6),$U:$U)</f>
        <v>0</v>
      </c>
      <c r="AB159" s="134" t="n">
        <f aca="false">SUMIF($X:$X,CONCATENATE($Z159,AB$6),$U:$U)</f>
        <v>0</v>
      </c>
      <c r="AC159" s="134" t="n">
        <f aca="false">SUMIF($X:$X,CONCATENATE($Z159,AC$6),$U:$U)</f>
        <v>0</v>
      </c>
      <c r="AD159" s="134" t="n">
        <f aca="false">SUMIF($X:$X,CONCATENATE($Z159,AD$6),$U:$U)</f>
        <v>0</v>
      </c>
      <c r="AE159" s="134" t="n">
        <f aca="false">SUMIF($X:$X,CONCATENATE($Z159,AE$6),$U:$U)</f>
        <v>0</v>
      </c>
      <c r="AF159" s="134" t="n">
        <f aca="false">SUMIF($X:$X,CONCATENATE($Z159,AF$6),$U:$U)</f>
        <v>0</v>
      </c>
      <c r="AG159" s="135" t="n">
        <f aca="false">SUMIF($X:$X,CONCATENATE($Z159,AG$6),$U:$U)</f>
        <v>0</v>
      </c>
      <c r="AI159" s="143" t="n">
        <f aca="false">EOMONTH(AI158,0)+1</f>
        <v>40756</v>
      </c>
      <c r="AJ159" s="135" t="n">
        <f aca="false">SUM(AA159:AG159)</f>
        <v>0</v>
      </c>
    </row>
    <row r="160" customFormat="false" ht="12.75" hidden="false" customHeight="false" outlineLevel="0" collapsed="false">
      <c r="Z160" s="143" t="n">
        <f aca="false">EOMONTH(Z159,0)+1</f>
        <v>40787</v>
      </c>
      <c r="AA160" s="134" t="n">
        <f aca="false">SUMIF($X:$X,CONCATENATE($Z160,AA$6),$U:$U)</f>
        <v>0</v>
      </c>
      <c r="AB160" s="134" t="n">
        <f aca="false">SUMIF($X:$X,CONCATENATE($Z160,AB$6),$U:$U)</f>
        <v>0</v>
      </c>
      <c r="AC160" s="134" t="n">
        <f aca="false">SUMIF($X:$X,CONCATENATE($Z160,AC$6),$U:$U)</f>
        <v>0</v>
      </c>
      <c r="AD160" s="134" t="n">
        <f aca="false">SUMIF($X:$X,CONCATENATE($Z160,AD$6),$U:$U)</f>
        <v>0</v>
      </c>
      <c r="AE160" s="134" t="n">
        <f aca="false">SUMIF($X:$X,CONCATENATE($Z160,AE$6),$U:$U)</f>
        <v>0</v>
      </c>
      <c r="AF160" s="134" t="n">
        <f aca="false">SUMIF($X:$X,CONCATENATE($Z160,AF$6),$U:$U)</f>
        <v>0</v>
      </c>
      <c r="AG160" s="135" t="n">
        <f aca="false">SUMIF($X:$X,CONCATENATE($Z160,AG$6),$U:$U)</f>
        <v>0</v>
      </c>
      <c r="AI160" s="143" t="n">
        <f aca="false">EOMONTH(AI159,0)+1</f>
        <v>40787</v>
      </c>
      <c r="AJ160" s="135" t="n">
        <f aca="false">SUM(AA160:AG160)</f>
        <v>0</v>
      </c>
    </row>
    <row r="161" customFormat="false" ht="12.75" hidden="false" customHeight="false" outlineLevel="0" collapsed="false">
      <c r="Z161" s="143" t="n">
        <f aca="false">EOMONTH(Z160,0)+1</f>
        <v>40817</v>
      </c>
      <c r="AA161" s="134" t="n">
        <f aca="false">SUMIF($X:$X,CONCATENATE($Z161,AA$6),$U:$U)</f>
        <v>0</v>
      </c>
      <c r="AB161" s="134" t="n">
        <f aca="false">SUMIF($X:$X,CONCATENATE($Z161,AB$6),$U:$U)</f>
        <v>0</v>
      </c>
      <c r="AC161" s="134" t="n">
        <f aca="false">SUMIF($X:$X,CONCATENATE($Z161,AC$6),$U:$U)</f>
        <v>0</v>
      </c>
      <c r="AD161" s="134" t="n">
        <f aca="false">SUMIF($X:$X,CONCATENATE($Z161,AD$6),$U:$U)</f>
        <v>0</v>
      </c>
      <c r="AE161" s="134" t="n">
        <f aca="false">SUMIF($X:$X,CONCATENATE($Z161,AE$6),$U:$U)</f>
        <v>0</v>
      </c>
      <c r="AF161" s="134" t="n">
        <f aca="false">SUMIF($X:$X,CONCATENATE($Z161,AF$6),$U:$U)</f>
        <v>0</v>
      </c>
      <c r="AG161" s="135" t="n">
        <f aca="false">SUMIF($X:$X,CONCATENATE($Z161,AG$6),$U:$U)</f>
        <v>0</v>
      </c>
      <c r="AI161" s="143" t="n">
        <f aca="false">EOMONTH(AI160,0)+1</f>
        <v>40817</v>
      </c>
      <c r="AJ161" s="135" t="n">
        <f aca="false">SUM(AA161:AG161)</f>
        <v>0</v>
      </c>
    </row>
    <row r="162" customFormat="false" ht="12.75" hidden="false" customHeight="false" outlineLevel="0" collapsed="false">
      <c r="Z162" s="143" t="n">
        <f aca="false">EOMONTH(Z161,0)+1</f>
        <v>40848</v>
      </c>
      <c r="AA162" s="134" t="n">
        <f aca="false">SUMIF($X:$X,CONCATENATE($Z162,AA$6),$U:$U)</f>
        <v>0</v>
      </c>
      <c r="AB162" s="134" t="n">
        <f aca="false">SUMIF($X:$X,CONCATENATE($Z162,AB$6),$U:$U)</f>
        <v>0</v>
      </c>
      <c r="AC162" s="134" t="n">
        <f aca="false">SUMIF($X:$X,CONCATENATE($Z162,AC$6),$U:$U)</f>
        <v>0</v>
      </c>
      <c r="AD162" s="134" t="n">
        <f aca="false">SUMIF($X:$X,CONCATENATE($Z162,AD$6),$U:$U)</f>
        <v>0</v>
      </c>
      <c r="AE162" s="134" t="n">
        <f aca="false">SUMIF($X:$X,CONCATENATE($Z162,AE$6),$U:$U)</f>
        <v>0</v>
      </c>
      <c r="AF162" s="134" t="n">
        <f aca="false">SUMIF($X:$X,CONCATENATE($Z162,AF$6),$U:$U)</f>
        <v>0</v>
      </c>
      <c r="AG162" s="135" t="n">
        <f aca="false">SUMIF($X:$X,CONCATENATE($Z162,AG$6),$U:$U)</f>
        <v>0</v>
      </c>
      <c r="AI162" s="143" t="n">
        <f aca="false">EOMONTH(AI161,0)+1</f>
        <v>40848</v>
      </c>
      <c r="AJ162" s="135" t="n">
        <f aca="false">SUM(AA162:AG162)</f>
        <v>0</v>
      </c>
    </row>
    <row r="163" customFormat="false" ht="12.75" hidden="false" customHeight="false" outlineLevel="0" collapsed="false">
      <c r="Z163" s="143" t="n">
        <f aca="false">EOMONTH(Z162,0)+1</f>
        <v>40878</v>
      </c>
      <c r="AA163" s="134" t="n">
        <f aca="false">SUMIF($X:$X,CONCATENATE($Z163,AA$6),$U:$U)</f>
        <v>0</v>
      </c>
      <c r="AB163" s="134" t="n">
        <f aca="false">SUMIF($X:$X,CONCATENATE($Z163,AB$6),$U:$U)</f>
        <v>0</v>
      </c>
      <c r="AC163" s="134" t="n">
        <f aca="false">SUMIF($X:$X,CONCATENATE($Z163,AC$6),$U:$U)</f>
        <v>0</v>
      </c>
      <c r="AD163" s="134" t="n">
        <f aca="false">SUMIF($X:$X,CONCATENATE($Z163,AD$6),$U:$U)</f>
        <v>0</v>
      </c>
      <c r="AE163" s="134" t="n">
        <f aca="false">SUMIF($X:$X,CONCATENATE($Z163,AE$6),$U:$U)</f>
        <v>0</v>
      </c>
      <c r="AF163" s="134" t="n">
        <f aca="false">SUMIF($X:$X,CONCATENATE($Z163,AF$6),$U:$U)</f>
        <v>0</v>
      </c>
      <c r="AG163" s="135" t="n">
        <f aca="false">SUMIF($X:$X,CONCATENATE($Z163,AG$6),$U:$U)</f>
        <v>0</v>
      </c>
      <c r="AI163" s="143" t="n">
        <f aca="false">EOMONTH(AI162,0)+1</f>
        <v>40878</v>
      </c>
      <c r="AJ163" s="135" t="n">
        <f aca="false">SUM(AA163:AG163)</f>
        <v>0</v>
      </c>
    </row>
    <row r="164" customFormat="false" ht="12.75" hidden="false" customHeight="false" outlineLevel="0" collapsed="false">
      <c r="Z164" s="143" t="n">
        <f aca="false">EOMONTH(Z163,0)+1</f>
        <v>40909</v>
      </c>
      <c r="AA164" s="134" t="n">
        <f aca="false">SUMIF($X:$X,CONCATENATE($Z164,AA$6),$U:$U)</f>
        <v>0</v>
      </c>
      <c r="AB164" s="134" t="n">
        <f aca="false">SUMIF($X:$X,CONCATENATE($Z164,AB$6),$U:$U)</f>
        <v>0</v>
      </c>
      <c r="AC164" s="134" t="n">
        <f aca="false">SUMIF($X:$X,CONCATENATE($Z164,AC$6),$U:$U)</f>
        <v>0</v>
      </c>
      <c r="AD164" s="134" t="n">
        <f aca="false">SUMIF($X:$X,CONCATENATE($Z164,AD$6),$U:$U)</f>
        <v>0</v>
      </c>
      <c r="AE164" s="134" t="n">
        <f aca="false">SUMIF($X:$X,CONCATENATE($Z164,AE$6),$U:$U)</f>
        <v>0</v>
      </c>
      <c r="AF164" s="134" t="n">
        <f aca="false">SUMIF($X:$X,CONCATENATE($Z164,AF$6),$U:$U)</f>
        <v>0</v>
      </c>
      <c r="AG164" s="135" t="n">
        <f aca="false">SUMIF($X:$X,CONCATENATE($Z164,AG$6),$U:$U)</f>
        <v>0</v>
      </c>
      <c r="AI164" s="143" t="n">
        <f aca="false">EOMONTH(AI163,0)+1</f>
        <v>40909</v>
      </c>
      <c r="AJ164" s="135" t="n">
        <f aca="false">SUM(AA164:AG164)</f>
        <v>0</v>
      </c>
    </row>
    <row r="165" customFormat="false" ht="12.75" hidden="false" customHeight="false" outlineLevel="0" collapsed="false">
      <c r="Z165" s="143" t="n">
        <f aca="false">EOMONTH(Z164,0)+1</f>
        <v>40940</v>
      </c>
      <c r="AA165" s="134" t="n">
        <f aca="false">SUMIF($X:$X,CONCATENATE($Z165,AA$6),$U:$U)</f>
        <v>0</v>
      </c>
      <c r="AB165" s="134" t="n">
        <f aca="false">SUMIF($X:$X,CONCATENATE($Z165,AB$6),$U:$U)</f>
        <v>0</v>
      </c>
      <c r="AC165" s="134" t="n">
        <f aca="false">SUMIF($X:$X,CONCATENATE($Z165,AC$6),$U:$U)</f>
        <v>0</v>
      </c>
      <c r="AD165" s="134" t="n">
        <f aca="false">SUMIF($X:$X,CONCATENATE($Z165,AD$6),$U:$U)</f>
        <v>0</v>
      </c>
      <c r="AE165" s="134" t="n">
        <f aca="false">SUMIF($X:$X,CONCATENATE($Z165,AE$6),$U:$U)</f>
        <v>0</v>
      </c>
      <c r="AF165" s="134" t="n">
        <f aca="false">SUMIF($X:$X,CONCATENATE($Z165,AF$6),$U:$U)</f>
        <v>0</v>
      </c>
      <c r="AG165" s="135" t="n">
        <f aca="false">SUMIF($X:$X,CONCATENATE($Z165,AG$6),$U:$U)</f>
        <v>0</v>
      </c>
      <c r="AI165" s="143" t="n">
        <f aca="false">EOMONTH(AI164,0)+1</f>
        <v>40940</v>
      </c>
      <c r="AJ165" s="135" t="n">
        <f aca="false">SUM(AA165:AG165)</f>
        <v>0</v>
      </c>
    </row>
    <row r="166" customFormat="false" ht="12.75" hidden="false" customHeight="false" outlineLevel="0" collapsed="false">
      <c r="Z166" s="143" t="n">
        <f aca="false">EOMONTH(Z165,0)+1</f>
        <v>40969</v>
      </c>
      <c r="AA166" s="134" t="n">
        <f aca="false">SUMIF($X:$X,CONCATENATE($Z166,AA$6),$U:$U)</f>
        <v>0</v>
      </c>
      <c r="AB166" s="134" t="n">
        <f aca="false">SUMIF($X:$X,CONCATENATE($Z166,AB$6),$U:$U)</f>
        <v>0</v>
      </c>
      <c r="AC166" s="134" t="n">
        <f aca="false">SUMIF($X:$X,CONCATENATE($Z166,AC$6),$U:$U)</f>
        <v>0</v>
      </c>
      <c r="AD166" s="134" t="n">
        <f aca="false">SUMIF($X:$X,CONCATENATE($Z166,AD$6),$U:$U)</f>
        <v>0</v>
      </c>
      <c r="AE166" s="134" t="n">
        <f aca="false">SUMIF($X:$X,CONCATENATE($Z166,AE$6),$U:$U)</f>
        <v>0</v>
      </c>
      <c r="AF166" s="134" t="n">
        <f aca="false">SUMIF($X:$X,CONCATENATE($Z166,AF$6),$U:$U)</f>
        <v>0</v>
      </c>
      <c r="AG166" s="135" t="n">
        <f aca="false">SUMIF($X:$X,CONCATENATE($Z166,AG$6),$U:$U)</f>
        <v>0</v>
      </c>
      <c r="AI166" s="143" t="n">
        <f aca="false">EOMONTH(AI165,0)+1</f>
        <v>40969</v>
      </c>
      <c r="AJ166" s="135" t="n">
        <f aca="false">SUM(AA166:AG166)</f>
        <v>0</v>
      </c>
    </row>
    <row r="167" customFormat="false" ht="12.75" hidden="false" customHeight="false" outlineLevel="0" collapsed="false">
      <c r="Z167" s="143" t="n">
        <f aca="false">EOMONTH(Z166,0)+1</f>
        <v>41000</v>
      </c>
      <c r="AA167" s="134" t="n">
        <f aca="false">SUMIF($X:$X,CONCATENATE($Z167,AA$6),$U:$U)</f>
        <v>0</v>
      </c>
      <c r="AB167" s="134" t="n">
        <f aca="false">SUMIF($X:$X,CONCATENATE($Z167,AB$6),$U:$U)</f>
        <v>0</v>
      </c>
      <c r="AC167" s="134" t="n">
        <f aca="false">SUMIF($X:$X,CONCATENATE($Z167,AC$6),$U:$U)</f>
        <v>0</v>
      </c>
      <c r="AD167" s="134" t="n">
        <f aca="false">SUMIF($X:$X,CONCATENATE($Z167,AD$6),$U:$U)</f>
        <v>0</v>
      </c>
      <c r="AE167" s="134" t="n">
        <f aca="false">SUMIF($X:$X,CONCATENATE($Z167,AE$6),$U:$U)</f>
        <v>0</v>
      </c>
      <c r="AF167" s="134" t="n">
        <f aca="false">SUMIF($X:$X,CONCATENATE($Z167,AF$6),$U:$U)</f>
        <v>0</v>
      </c>
      <c r="AG167" s="135" t="n">
        <f aca="false">SUMIF($X:$X,CONCATENATE($Z167,AG$6),$U:$U)</f>
        <v>0</v>
      </c>
      <c r="AI167" s="143" t="n">
        <f aca="false">EOMONTH(AI166,0)+1</f>
        <v>41000</v>
      </c>
      <c r="AJ167" s="135" t="n">
        <f aca="false">SUM(AA167:AG167)</f>
        <v>0</v>
      </c>
    </row>
    <row r="168" customFormat="false" ht="12.75" hidden="false" customHeight="false" outlineLevel="0" collapsed="false">
      <c r="Z168" s="143" t="n">
        <f aca="false">EOMONTH(Z167,0)+1</f>
        <v>41030</v>
      </c>
      <c r="AA168" s="134" t="n">
        <f aca="false">SUMIF($X:$X,CONCATENATE($Z168,AA$6),$U:$U)</f>
        <v>0</v>
      </c>
      <c r="AB168" s="134" t="n">
        <f aca="false">SUMIF($X:$X,CONCATENATE($Z168,AB$6),$U:$U)</f>
        <v>0</v>
      </c>
      <c r="AC168" s="134" t="n">
        <f aca="false">SUMIF($X:$X,CONCATENATE($Z168,AC$6),$U:$U)</f>
        <v>0</v>
      </c>
      <c r="AD168" s="134" t="n">
        <f aca="false">SUMIF($X:$X,CONCATENATE($Z168,AD$6),$U:$U)</f>
        <v>0</v>
      </c>
      <c r="AE168" s="134" t="n">
        <f aca="false">SUMIF($X:$X,CONCATENATE($Z168,AE$6),$U:$U)</f>
        <v>0</v>
      </c>
      <c r="AF168" s="134" t="n">
        <f aca="false">SUMIF($X:$X,CONCATENATE($Z168,AF$6),$U:$U)</f>
        <v>0</v>
      </c>
      <c r="AG168" s="135" t="n">
        <f aca="false">SUMIF($X:$X,CONCATENATE($Z168,AG$6),$U:$U)</f>
        <v>0</v>
      </c>
      <c r="AI168" s="143" t="n">
        <f aca="false">EOMONTH(AI167,0)+1</f>
        <v>41030</v>
      </c>
      <c r="AJ168" s="135" t="n">
        <f aca="false">SUM(AA168:AG168)</f>
        <v>0</v>
      </c>
    </row>
    <row r="169" customFormat="false" ht="13.5" hidden="false" customHeight="false" outlineLevel="0" collapsed="false">
      <c r="Z169" s="163" t="n">
        <f aca="false">EOMONTH(Z168,0)+1</f>
        <v>41061</v>
      </c>
      <c r="AA169" s="164" t="n">
        <f aca="false">SUMIF($X:$X,CONCATENATE($Z169,AA$6),$U:$U)</f>
        <v>0</v>
      </c>
      <c r="AB169" s="164" t="n">
        <f aca="false">SUMIF($X:$X,CONCATENATE($Z169,AB$6),$U:$U)</f>
        <v>0</v>
      </c>
      <c r="AC169" s="164" t="n">
        <f aca="false">SUMIF($X:$X,CONCATENATE($Z169,AC$6),$U:$U)</f>
        <v>0</v>
      </c>
      <c r="AD169" s="164" t="n">
        <f aca="false">SUMIF($X:$X,CONCATENATE($Z169,AD$6),$U:$U)</f>
        <v>0</v>
      </c>
      <c r="AE169" s="164" t="n">
        <f aca="false">SUMIF($X:$X,CONCATENATE($Z169,AE$6),$U:$U)</f>
        <v>0</v>
      </c>
      <c r="AF169" s="164" t="n">
        <f aca="false">SUMIF($X:$X,CONCATENATE($Z169,AF$6),$U:$U)</f>
        <v>0</v>
      </c>
      <c r="AG169" s="165" t="n">
        <f aca="false">SUMIF($X:$X,CONCATENATE($Z169,AG$6),$U:$U)</f>
        <v>0</v>
      </c>
      <c r="AI169" s="163" t="n">
        <f aca="false">EOMONTH(AI168,0)+1</f>
        <v>41061</v>
      </c>
      <c r="AJ169" s="165" t="n">
        <f aca="false">SUM(AA169:AG169)</f>
        <v>0</v>
      </c>
    </row>
  </sheetData>
  <mergeCells count="4">
    <mergeCell ref="A4:H4"/>
    <mergeCell ref="I4:V4"/>
    <mergeCell ref="Z4:AG4"/>
    <mergeCell ref="AI4:AJ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100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2" min="12" style="0" width="9.28"/>
    <col collapsed="false" customWidth="true" hidden="false" outlineLevel="0" max="29" min="29" style="0" width="10.85"/>
    <col collapsed="false" customWidth="true" hidden="false" outlineLevel="0" max="30" min="30" style="0" width="10.28"/>
  </cols>
  <sheetData>
    <row r="1" customFormat="false" ht="12.75" hidden="false" customHeight="false" outlineLevel="0" collapsed="false">
      <c r="A1" s="0" t="s">
        <v>582</v>
      </c>
      <c r="B1" s="0" t="s">
        <v>583</v>
      </c>
      <c r="C1" s="0" t="s">
        <v>584</v>
      </c>
      <c r="D1" s="0" t="s">
        <v>585</v>
      </c>
      <c r="E1" s="0" t="s">
        <v>586</v>
      </c>
      <c r="F1" s="0" t="s">
        <v>587</v>
      </c>
      <c r="G1" s="0" t="s">
        <v>588</v>
      </c>
      <c r="H1" s="0" t="s">
        <v>589</v>
      </c>
      <c r="I1" s="0" t="s">
        <v>590</v>
      </c>
      <c r="J1" s="0" t="s">
        <v>591</v>
      </c>
      <c r="K1" s="0" t="s">
        <v>592</v>
      </c>
      <c r="L1" s="0" t="s">
        <v>593</v>
      </c>
      <c r="M1" s="0" t="s">
        <v>594</v>
      </c>
      <c r="N1" s="0" t="s">
        <v>595</v>
      </c>
      <c r="O1" s="0" t="s">
        <v>596</v>
      </c>
      <c r="P1" s="0" t="s">
        <v>597</v>
      </c>
      <c r="Q1" s="0" t="s">
        <v>598</v>
      </c>
      <c r="R1" s="0" t="s">
        <v>599</v>
      </c>
      <c r="S1" s="0" t="s">
        <v>600</v>
      </c>
      <c r="T1" s="0" t="s">
        <v>601</v>
      </c>
      <c r="U1" s="0" t="s">
        <v>602</v>
      </c>
      <c r="V1" s="0" t="s">
        <v>603</v>
      </c>
      <c r="W1" s="0" t="s">
        <v>604</v>
      </c>
      <c r="X1" s="0" t="s">
        <v>605</v>
      </c>
      <c r="Y1" s="0" t="s">
        <v>606</v>
      </c>
      <c r="Z1" s="0" t="s">
        <v>607</v>
      </c>
      <c r="AA1" s="0" t="s">
        <v>608</v>
      </c>
      <c r="AB1" s="0" t="s">
        <v>609</v>
      </c>
      <c r="AC1" s="0" t="s">
        <v>610</v>
      </c>
      <c r="AD1" s="0" t="s">
        <v>611</v>
      </c>
      <c r="AE1" s="0" t="s">
        <v>612</v>
      </c>
      <c r="AF1" s="0" t="s">
        <v>613</v>
      </c>
      <c r="AG1" s="0" t="s">
        <v>614</v>
      </c>
      <c r="AH1" s="0" t="s">
        <v>615</v>
      </c>
      <c r="AI1" s="0" t="s">
        <v>616</v>
      </c>
      <c r="AJ1" s="0" t="s">
        <v>617</v>
      </c>
      <c r="AK1" s="0" t="s">
        <v>618</v>
      </c>
      <c r="AL1" s="0" t="s">
        <v>619</v>
      </c>
      <c r="AM1" s="0" t="s">
        <v>620</v>
      </c>
    </row>
    <row r="2" customFormat="false" ht="12.75" hidden="false" customHeight="false" outlineLevel="0" collapsed="false">
      <c r="A2" s="0" t="s">
        <v>621</v>
      </c>
      <c r="B2" s="0" t="str">
        <f aca="false">'GD Spread Options'!C217</f>
        <v>NT7394</v>
      </c>
      <c r="C2" s="0" t="s">
        <v>622</v>
      </c>
      <c r="D2" s="0" t="s">
        <v>623</v>
      </c>
      <c r="E2" s="0" t="s">
        <v>131</v>
      </c>
      <c r="F2" s="0" t="str">
        <f aca="false">'GD Spread Options'!A217</f>
        <v>SOUTHERCOMENEMA</v>
      </c>
      <c r="G2" s="0" t="s">
        <v>628</v>
      </c>
      <c r="H2" s="0" t="s">
        <v>625</v>
      </c>
      <c r="I2" s="0" t="s">
        <v>626</v>
      </c>
      <c r="J2" s="0" t="s">
        <v>627</v>
      </c>
      <c r="K2" s="182" t="n">
        <f aca="false">'GD Spread Options'!H217</f>
        <v>36831</v>
      </c>
      <c r="L2" s="254" t="e">
        <f aca="false">'GD Spread Options'!U217</f>
        <v>#NAME?</v>
      </c>
      <c r="M2" s="182" t="n">
        <f aca="false">'GD Spread Options'!Q217</f>
        <v>36860</v>
      </c>
      <c r="N2" s="0" t="str">
        <f aca="false">'GD Spread Options'!G217</f>
        <v>P</v>
      </c>
      <c r="O2" s="254" t="n">
        <f aca="false">'GD Spread Options'!J217</f>
        <v>0.5</v>
      </c>
      <c r="P2" s="0" t="n">
        <v>0</v>
      </c>
      <c r="Q2" s="0" t="n">
        <v>0</v>
      </c>
      <c r="R2" s="0" t="n">
        <v>0</v>
      </c>
      <c r="S2" s="0" t="n">
        <v>0</v>
      </c>
      <c r="T2" s="0" t="s">
        <v>624</v>
      </c>
      <c r="U2" s="0" t="str">
        <f aca="false">'GD Spread Options'!D217</f>
        <v>GDP-TRCOZ6/NY</v>
      </c>
      <c r="V2" s="0" t="str">
        <f aca="false">'GD Spread Options'!E217</f>
        <v>GDP-HEHUB</v>
      </c>
      <c r="W2" s="0" t="s">
        <v>569</v>
      </c>
      <c r="X2" s="0" t="s">
        <v>569</v>
      </c>
      <c r="Y2" s="0" t="s">
        <v>627</v>
      </c>
      <c r="Z2" s="0" t="s">
        <v>629</v>
      </c>
      <c r="AA2" s="0" t="s">
        <v>629</v>
      </c>
      <c r="AB2" s="0" t="s">
        <v>132</v>
      </c>
      <c r="AC2" s="254" t="n">
        <f aca="false">'GD Spread Options'!I217</f>
        <v>500000</v>
      </c>
      <c r="AD2" s="254" t="e">
        <f aca="false">'GD Spread Options'!W217/10000</f>
        <v>#NAME?</v>
      </c>
      <c r="AE2" s="0" t="n">
        <v>0</v>
      </c>
      <c r="AF2" s="0" t="n">
        <v>0</v>
      </c>
      <c r="AG2" s="0" t="n">
        <v>0</v>
      </c>
      <c r="AH2" s="254" t="n">
        <f aca="false">'GD Spread Options'!AC217</f>
        <v>0</v>
      </c>
      <c r="AI2" s="0" t="n">
        <v>0</v>
      </c>
      <c r="AJ2" s="0" t="s">
        <v>630</v>
      </c>
      <c r="AK2" s="0" t="n">
        <v>0</v>
      </c>
      <c r="AL2" s="0" t="n">
        <v>0</v>
      </c>
      <c r="AM2" s="0" t="n">
        <v>0</v>
      </c>
    </row>
    <row r="3" customFormat="false" ht="12.75" hidden="false" customHeight="false" outlineLevel="0" collapsed="false">
      <c r="A3" s="0" t="s">
        <v>621</v>
      </c>
      <c r="B3" s="0" t="str">
        <f aca="false">'GD Spread Options'!C218</f>
        <v>NT7394</v>
      </c>
      <c r="C3" s="0" t="s">
        <v>622</v>
      </c>
      <c r="D3" s="0" t="s">
        <v>623</v>
      </c>
      <c r="E3" s="0" t="s">
        <v>131</v>
      </c>
      <c r="F3" s="0" t="str">
        <f aca="false">'GD Spread Options'!A218</f>
        <v>SOUTHERCOMENEMA</v>
      </c>
      <c r="G3" s="0" t="s">
        <v>628</v>
      </c>
      <c r="H3" s="0" t="s">
        <v>625</v>
      </c>
      <c r="I3" s="0" t="s">
        <v>626</v>
      </c>
      <c r="J3" s="0" t="s">
        <v>627</v>
      </c>
      <c r="K3" s="182" t="n">
        <f aca="false">'GD Spread Options'!H218</f>
        <v>36861</v>
      </c>
      <c r="L3" s="254" t="e">
        <f aca="false">'GD Spread Options'!U218</f>
        <v>#NAME?</v>
      </c>
      <c r="M3" s="182" t="n">
        <f aca="false">'GD Spread Options'!Q218</f>
        <v>36891</v>
      </c>
      <c r="N3" s="0" t="str">
        <f aca="false">'GD Spread Options'!G218</f>
        <v>P</v>
      </c>
      <c r="O3" s="254" t="n">
        <f aca="false">'GD Spread Options'!J218</f>
        <v>0.5</v>
      </c>
      <c r="P3" s="0" t="n">
        <v>0</v>
      </c>
      <c r="Q3" s="0" t="n">
        <v>0</v>
      </c>
      <c r="R3" s="0" t="n">
        <v>0</v>
      </c>
      <c r="S3" s="0" t="n">
        <v>0</v>
      </c>
      <c r="T3" s="0" t="s">
        <v>624</v>
      </c>
      <c r="U3" s="0" t="str">
        <f aca="false">'GD Spread Options'!D218</f>
        <v>GDP-TRCOZ6/NY</v>
      </c>
      <c r="V3" s="0" t="str">
        <f aca="false">'GD Spread Options'!E218</f>
        <v>GDP-HEHUB</v>
      </c>
      <c r="W3" s="0" t="s">
        <v>569</v>
      </c>
      <c r="X3" s="0" t="s">
        <v>569</v>
      </c>
      <c r="Y3" s="0" t="s">
        <v>627</v>
      </c>
      <c r="Z3" s="0" t="s">
        <v>629</v>
      </c>
      <c r="AA3" s="0" t="s">
        <v>629</v>
      </c>
      <c r="AB3" s="0" t="s">
        <v>132</v>
      </c>
      <c r="AC3" s="254" t="n">
        <f aca="false">'GD Spread Options'!I218</f>
        <v>500000</v>
      </c>
      <c r="AD3" s="254" t="e">
        <f aca="false">'GD Spread Options'!W218/10000</f>
        <v>#NAME?</v>
      </c>
      <c r="AE3" s="0" t="n">
        <v>0</v>
      </c>
      <c r="AF3" s="0" t="n">
        <v>0</v>
      </c>
      <c r="AG3" s="0" t="n">
        <v>0</v>
      </c>
      <c r="AH3" s="254" t="n">
        <f aca="false">'GD Spread Options'!AC218</f>
        <v>0</v>
      </c>
      <c r="AI3" s="0" t="n">
        <v>0</v>
      </c>
      <c r="AJ3" s="0" t="s">
        <v>630</v>
      </c>
      <c r="AK3" s="0" t="n">
        <v>0</v>
      </c>
      <c r="AL3" s="0" t="n">
        <v>0</v>
      </c>
      <c r="AM3" s="0" t="n">
        <v>0</v>
      </c>
    </row>
    <row r="4" customFormat="false" ht="12.75" hidden="false" customHeight="false" outlineLevel="0" collapsed="false">
      <c r="A4" s="0" t="s">
        <v>621</v>
      </c>
      <c r="B4" s="0" t="str">
        <f aca="false">'GD Spread Options'!C219</f>
        <v>NT7394</v>
      </c>
      <c r="C4" s="0" t="s">
        <v>622</v>
      </c>
      <c r="D4" s="0" t="s">
        <v>623</v>
      </c>
      <c r="E4" s="0" t="s">
        <v>131</v>
      </c>
      <c r="F4" s="0" t="str">
        <f aca="false">'GD Spread Options'!A219</f>
        <v>SOUTHERCOMENEMA</v>
      </c>
      <c r="G4" s="0" t="s">
        <v>628</v>
      </c>
      <c r="H4" s="0" t="s">
        <v>625</v>
      </c>
      <c r="I4" s="0" t="s">
        <v>626</v>
      </c>
      <c r="J4" s="0" t="s">
        <v>627</v>
      </c>
      <c r="K4" s="182" t="n">
        <f aca="false">'GD Spread Options'!H219</f>
        <v>36892</v>
      </c>
      <c r="L4" s="254" t="e">
        <f aca="false">'GD Spread Options'!U219</f>
        <v>#NAME?</v>
      </c>
      <c r="M4" s="182" t="n">
        <f aca="false">'GD Spread Options'!Q219</f>
        <v>36922</v>
      </c>
      <c r="N4" s="0" t="str">
        <f aca="false">'GD Spread Options'!G219</f>
        <v>P</v>
      </c>
      <c r="O4" s="254" t="n">
        <f aca="false">'GD Spread Options'!J219</f>
        <v>0.5</v>
      </c>
      <c r="P4" s="0" t="n">
        <v>0</v>
      </c>
      <c r="Q4" s="0" t="n">
        <v>0</v>
      </c>
      <c r="R4" s="0" t="n">
        <v>0</v>
      </c>
      <c r="S4" s="0" t="n">
        <v>0</v>
      </c>
      <c r="T4" s="0" t="s">
        <v>624</v>
      </c>
      <c r="U4" s="0" t="str">
        <f aca="false">'GD Spread Options'!D219</f>
        <v>GDP-TRCOZ6/NY</v>
      </c>
      <c r="V4" s="0" t="str">
        <f aca="false">'GD Spread Options'!E219</f>
        <v>GDP-HEHUB</v>
      </c>
      <c r="W4" s="0" t="s">
        <v>569</v>
      </c>
      <c r="X4" s="0" t="s">
        <v>569</v>
      </c>
      <c r="Y4" s="0" t="s">
        <v>627</v>
      </c>
      <c r="Z4" s="0" t="s">
        <v>629</v>
      </c>
      <c r="AA4" s="0" t="s">
        <v>629</v>
      </c>
      <c r="AB4" s="0" t="s">
        <v>132</v>
      </c>
      <c r="AC4" s="254" t="n">
        <f aca="false">'GD Spread Options'!I219</f>
        <v>500000</v>
      </c>
      <c r="AD4" s="254" t="e">
        <f aca="false">'GD Spread Options'!W219/10000</f>
        <v>#NAME?</v>
      </c>
      <c r="AE4" s="0" t="n">
        <v>0</v>
      </c>
      <c r="AF4" s="0" t="n">
        <v>0</v>
      </c>
      <c r="AG4" s="0" t="n">
        <v>0</v>
      </c>
      <c r="AH4" s="254" t="n">
        <f aca="false">'GD Spread Options'!AC219</f>
        <v>0</v>
      </c>
      <c r="AI4" s="0" t="n">
        <v>0</v>
      </c>
      <c r="AJ4" s="0" t="s">
        <v>630</v>
      </c>
      <c r="AK4" s="0" t="n">
        <v>0</v>
      </c>
      <c r="AL4" s="0" t="n">
        <v>0</v>
      </c>
      <c r="AM4" s="0" t="n">
        <v>0</v>
      </c>
    </row>
    <row r="5" customFormat="false" ht="12.75" hidden="false" customHeight="false" outlineLevel="0" collapsed="false">
      <c r="A5" s="0" t="s">
        <v>621</v>
      </c>
      <c r="B5" s="0" t="str">
        <f aca="false">'GD Spread Options'!C220</f>
        <v>NT7394</v>
      </c>
      <c r="C5" s="0" t="s">
        <v>622</v>
      </c>
      <c r="D5" s="0" t="s">
        <v>623</v>
      </c>
      <c r="E5" s="0" t="s">
        <v>131</v>
      </c>
      <c r="F5" s="0" t="str">
        <f aca="false">'GD Spread Options'!A220</f>
        <v>SOUTHERCOMENEMA</v>
      </c>
      <c r="G5" s="0" t="s">
        <v>628</v>
      </c>
      <c r="H5" s="0" t="s">
        <v>625</v>
      </c>
      <c r="I5" s="0" t="s">
        <v>626</v>
      </c>
      <c r="J5" s="0" t="s">
        <v>627</v>
      </c>
      <c r="K5" s="182" t="n">
        <f aca="false">'GD Spread Options'!H220</f>
        <v>36923</v>
      </c>
      <c r="L5" s="254" t="e">
        <f aca="false">'GD Spread Options'!U220</f>
        <v>#NAME?</v>
      </c>
      <c r="M5" s="182" t="n">
        <f aca="false">'GD Spread Options'!Q220</f>
        <v>36950</v>
      </c>
      <c r="N5" s="0" t="str">
        <f aca="false">'GD Spread Options'!G220</f>
        <v>P</v>
      </c>
      <c r="O5" s="254" t="n">
        <f aca="false">'GD Spread Options'!J220</f>
        <v>0.5</v>
      </c>
      <c r="P5" s="0" t="n">
        <v>0</v>
      </c>
      <c r="Q5" s="0" t="n">
        <v>0</v>
      </c>
      <c r="R5" s="0" t="n">
        <v>0</v>
      </c>
      <c r="S5" s="0" t="n">
        <v>0</v>
      </c>
      <c r="T5" s="0" t="s">
        <v>624</v>
      </c>
      <c r="U5" s="0" t="str">
        <f aca="false">'GD Spread Options'!D220</f>
        <v>GDP-TRCOZ6/NY</v>
      </c>
      <c r="V5" s="0" t="str">
        <f aca="false">'GD Spread Options'!E220</f>
        <v>GDP-HEHUB</v>
      </c>
      <c r="W5" s="0" t="s">
        <v>569</v>
      </c>
      <c r="X5" s="0" t="s">
        <v>569</v>
      </c>
      <c r="Y5" s="0" t="s">
        <v>627</v>
      </c>
      <c r="Z5" s="0" t="s">
        <v>629</v>
      </c>
      <c r="AA5" s="0" t="s">
        <v>629</v>
      </c>
      <c r="AB5" s="0" t="s">
        <v>132</v>
      </c>
      <c r="AC5" s="254" t="n">
        <f aca="false">'GD Spread Options'!I220</f>
        <v>500000</v>
      </c>
      <c r="AD5" s="254" t="e">
        <f aca="false">'GD Spread Options'!W220/10000</f>
        <v>#NAME?</v>
      </c>
      <c r="AE5" s="0" t="n">
        <v>0</v>
      </c>
      <c r="AF5" s="0" t="n">
        <v>0</v>
      </c>
      <c r="AG5" s="0" t="n">
        <v>0</v>
      </c>
      <c r="AH5" s="254" t="n">
        <f aca="false">'GD Spread Options'!AC220</f>
        <v>0</v>
      </c>
      <c r="AI5" s="0" t="n">
        <v>0</v>
      </c>
      <c r="AJ5" s="0" t="s">
        <v>630</v>
      </c>
      <c r="AK5" s="0" t="n">
        <v>0</v>
      </c>
      <c r="AL5" s="0" t="n">
        <v>0</v>
      </c>
      <c r="AM5" s="0" t="n">
        <v>0</v>
      </c>
    </row>
    <row r="6" customFormat="false" ht="12.75" hidden="false" customHeight="false" outlineLevel="0" collapsed="false">
      <c r="A6" s="0" t="s">
        <v>621</v>
      </c>
      <c r="B6" s="0" t="str">
        <f aca="false">'GD Spread Options'!C221</f>
        <v>NT7394</v>
      </c>
      <c r="C6" s="0" t="s">
        <v>622</v>
      </c>
      <c r="D6" s="0" t="s">
        <v>623</v>
      </c>
      <c r="E6" s="0" t="s">
        <v>131</v>
      </c>
      <c r="F6" s="0" t="str">
        <f aca="false">'GD Spread Options'!A221</f>
        <v>SOUTHERCOMENEMA</v>
      </c>
      <c r="G6" s="0" t="s">
        <v>628</v>
      </c>
      <c r="H6" s="0" t="s">
        <v>625</v>
      </c>
      <c r="I6" s="0" t="s">
        <v>626</v>
      </c>
      <c r="J6" s="0" t="s">
        <v>627</v>
      </c>
      <c r="K6" s="182" t="n">
        <f aca="false">'GD Spread Options'!H221</f>
        <v>36951</v>
      </c>
      <c r="L6" s="254" t="e">
        <f aca="false">'GD Spread Options'!U221</f>
        <v>#NAME?</v>
      </c>
      <c r="M6" s="182" t="n">
        <f aca="false">'GD Spread Options'!Q221</f>
        <v>36981</v>
      </c>
      <c r="N6" s="0" t="str">
        <f aca="false">'GD Spread Options'!G221</f>
        <v>P</v>
      </c>
      <c r="O6" s="254" t="n">
        <f aca="false">'GD Spread Options'!J221</f>
        <v>0.5</v>
      </c>
      <c r="P6" s="0" t="n">
        <v>0</v>
      </c>
      <c r="Q6" s="0" t="n">
        <v>0</v>
      </c>
      <c r="R6" s="0" t="n">
        <v>0</v>
      </c>
      <c r="S6" s="0" t="n">
        <v>0</v>
      </c>
      <c r="T6" s="0" t="s">
        <v>624</v>
      </c>
      <c r="U6" s="0" t="str">
        <f aca="false">'GD Spread Options'!D221</f>
        <v>GDP-TRCOZ6/NY</v>
      </c>
      <c r="V6" s="0" t="str">
        <f aca="false">'GD Spread Options'!E221</f>
        <v>GDP-HEHUB</v>
      </c>
      <c r="W6" s="0" t="s">
        <v>569</v>
      </c>
      <c r="X6" s="0" t="s">
        <v>569</v>
      </c>
      <c r="Y6" s="0" t="s">
        <v>627</v>
      </c>
      <c r="Z6" s="0" t="s">
        <v>629</v>
      </c>
      <c r="AA6" s="0" t="s">
        <v>629</v>
      </c>
      <c r="AB6" s="0" t="s">
        <v>132</v>
      </c>
      <c r="AC6" s="254" t="n">
        <f aca="false">'GD Spread Options'!I221</f>
        <v>500000</v>
      </c>
      <c r="AD6" s="254" t="e">
        <f aca="false">'GD Spread Options'!W221/10000</f>
        <v>#NAME?</v>
      </c>
      <c r="AE6" s="0" t="n">
        <v>0</v>
      </c>
      <c r="AF6" s="0" t="n">
        <v>0</v>
      </c>
      <c r="AG6" s="0" t="n">
        <v>0</v>
      </c>
      <c r="AH6" s="254" t="n">
        <f aca="false">'GD Spread Options'!AC221</f>
        <v>0</v>
      </c>
      <c r="AI6" s="0" t="n">
        <v>0</v>
      </c>
      <c r="AJ6" s="0" t="s">
        <v>630</v>
      </c>
      <c r="AK6" s="0" t="n">
        <v>0</v>
      </c>
      <c r="AL6" s="0" t="n">
        <v>0</v>
      </c>
      <c r="AM6" s="0" t="n">
        <v>0</v>
      </c>
    </row>
    <row r="7" customFormat="false" ht="12.75" hidden="false" customHeight="false" outlineLevel="0" collapsed="false">
      <c r="K7" s="182"/>
      <c r="L7" s="254"/>
      <c r="M7" s="182"/>
      <c r="O7" s="254"/>
      <c r="AC7" s="254"/>
      <c r="AD7" s="254"/>
      <c r="AH7" s="254"/>
    </row>
    <row r="8" customFormat="false" ht="12.75" hidden="false" customHeight="false" outlineLevel="0" collapsed="false">
      <c r="K8" s="182"/>
      <c r="L8" s="254"/>
      <c r="M8" s="182"/>
      <c r="O8" s="254"/>
      <c r="AC8" s="254"/>
      <c r="AD8" s="254"/>
      <c r="AH8" s="254"/>
    </row>
    <row r="9" customFormat="false" ht="12.75" hidden="false" customHeight="false" outlineLevel="0" collapsed="false">
      <c r="K9" s="182"/>
      <c r="L9" s="254"/>
      <c r="M9" s="182"/>
      <c r="O9" s="254"/>
      <c r="AC9" s="254"/>
      <c r="AD9" s="254"/>
      <c r="AH9" s="254"/>
    </row>
    <row r="10" customFormat="false" ht="12.75" hidden="false" customHeight="false" outlineLevel="0" collapsed="false">
      <c r="K10" s="182"/>
      <c r="L10" s="254"/>
      <c r="M10" s="182"/>
      <c r="O10" s="254"/>
      <c r="AC10" s="254"/>
      <c r="AD10" s="254"/>
      <c r="AH10" s="254"/>
    </row>
    <row r="11" customFormat="false" ht="12.75" hidden="false" customHeight="false" outlineLevel="0" collapsed="false">
      <c r="K11" s="182"/>
      <c r="L11" s="254"/>
      <c r="M11" s="182"/>
      <c r="O11" s="254"/>
      <c r="AC11" s="254"/>
      <c r="AD11" s="254"/>
      <c r="AH11" s="254"/>
    </row>
    <row r="12" customFormat="false" ht="12.75" hidden="false" customHeight="false" outlineLevel="0" collapsed="false">
      <c r="K12" s="182"/>
      <c r="L12" s="254"/>
      <c r="M12" s="182"/>
      <c r="O12" s="254"/>
      <c r="AC12" s="254"/>
      <c r="AD12" s="254"/>
      <c r="AH12" s="254"/>
    </row>
    <row r="13" customFormat="false" ht="12.75" hidden="false" customHeight="false" outlineLevel="0" collapsed="false">
      <c r="K13" s="182"/>
      <c r="L13" s="254"/>
      <c r="M13" s="182"/>
      <c r="O13" s="254"/>
      <c r="AC13" s="254"/>
      <c r="AD13" s="254"/>
      <c r="AH13" s="254"/>
    </row>
    <row r="14" customFormat="false" ht="12.75" hidden="false" customHeight="false" outlineLevel="0" collapsed="false">
      <c r="K14" s="182"/>
      <c r="L14" s="254"/>
      <c r="M14" s="182"/>
      <c r="O14" s="254"/>
      <c r="AC14" s="254"/>
      <c r="AD14" s="254"/>
      <c r="AH14" s="254"/>
    </row>
    <row r="15" customFormat="false" ht="12.75" hidden="false" customHeight="false" outlineLevel="0" collapsed="false">
      <c r="K15" s="182"/>
      <c r="L15" s="254"/>
      <c r="M15" s="182"/>
      <c r="O15" s="254"/>
      <c r="AC15" s="254"/>
      <c r="AD15" s="254"/>
      <c r="AH15" s="254"/>
    </row>
    <row r="16" customFormat="false" ht="12.75" hidden="false" customHeight="false" outlineLevel="0" collapsed="false">
      <c r="K16" s="182"/>
      <c r="L16" s="254"/>
      <c r="M16" s="182"/>
      <c r="O16" s="254"/>
      <c r="AC16" s="254"/>
      <c r="AD16" s="254"/>
      <c r="AH16" s="254"/>
    </row>
    <row r="17" customFormat="false" ht="12.75" hidden="false" customHeight="false" outlineLevel="0" collapsed="false">
      <c r="K17" s="182"/>
      <c r="L17" s="254"/>
      <c r="M17" s="182"/>
      <c r="O17" s="254"/>
      <c r="AC17" s="254"/>
      <c r="AD17" s="254"/>
      <c r="AH17" s="254"/>
    </row>
    <row r="18" customFormat="false" ht="12.75" hidden="false" customHeight="false" outlineLevel="0" collapsed="false">
      <c r="K18" s="182"/>
      <c r="L18" s="254"/>
      <c r="M18" s="182"/>
      <c r="O18" s="254"/>
      <c r="AC18" s="254"/>
      <c r="AD18" s="254"/>
      <c r="AH18" s="254"/>
    </row>
    <row r="19" customFormat="false" ht="12.75" hidden="false" customHeight="false" outlineLevel="0" collapsed="false">
      <c r="K19" s="182"/>
      <c r="L19" s="254"/>
      <c r="M19" s="182"/>
      <c r="O19" s="254"/>
      <c r="AC19" s="254"/>
      <c r="AD19" s="254"/>
      <c r="AH19" s="254"/>
    </row>
    <row r="20" customFormat="false" ht="12.75" hidden="false" customHeight="false" outlineLevel="0" collapsed="false">
      <c r="K20" s="182"/>
      <c r="L20" s="254"/>
      <c r="M20" s="182"/>
      <c r="O20" s="254"/>
      <c r="AC20" s="254"/>
      <c r="AD20" s="254"/>
      <c r="AH20" s="254"/>
    </row>
    <row r="21" customFormat="false" ht="12.75" hidden="false" customHeight="false" outlineLevel="0" collapsed="false">
      <c r="K21" s="182"/>
      <c r="L21" s="254"/>
      <c r="M21" s="182"/>
      <c r="O21" s="254"/>
      <c r="AC21" s="254"/>
      <c r="AD21" s="254"/>
      <c r="AH21" s="254"/>
    </row>
    <row r="22" customFormat="false" ht="12.75" hidden="false" customHeight="false" outlineLevel="0" collapsed="false">
      <c r="K22" s="182"/>
      <c r="L22" s="254"/>
      <c r="M22" s="182"/>
      <c r="O22" s="254"/>
      <c r="AC22" s="254"/>
      <c r="AD22" s="254"/>
      <c r="AH22" s="254"/>
    </row>
    <row r="23" customFormat="false" ht="12.75" hidden="false" customHeight="false" outlineLevel="0" collapsed="false">
      <c r="L23" s="254"/>
      <c r="O23" s="254"/>
      <c r="AC23" s="254"/>
      <c r="AD23" s="254"/>
    </row>
    <row r="24" customFormat="false" ht="12.75" hidden="false" customHeight="false" outlineLevel="0" collapsed="false">
      <c r="L24" s="254"/>
      <c r="O24" s="254"/>
      <c r="AC24" s="254"/>
      <c r="AD24" s="254"/>
    </row>
    <row r="25" customFormat="false" ht="12.75" hidden="false" customHeight="false" outlineLevel="0" collapsed="false">
      <c r="L25" s="254"/>
      <c r="O25" s="254"/>
      <c r="AC25" s="254"/>
      <c r="AD25" s="254"/>
    </row>
    <row r="26" customFormat="false" ht="12.75" hidden="false" customHeight="false" outlineLevel="0" collapsed="false">
      <c r="L26" s="254"/>
      <c r="O26" s="254"/>
      <c r="AC26" s="254"/>
      <c r="AD26" s="254"/>
    </row>
    <row r="27" customFormat="false" ht="12.75" hidden="false" customHeight="false" outlineLevel="0" collapsed="false">
      <c r="L27" s="254"/>
      <c r="O27" s="254"/>
      <c r="AC27" s="254"/>
      <c r="AD27" s="254"/>
    </row>
    <row r="28" customFormat="false" ht="12.75" hidden="false" customHeight="false" outlineLevel="0" collapsed="false">
      <c r="L28" s="254"/>
      <c r="O28" s="254"/>
      <c r="AC28" s="254"/>
      <c r="AD28" s="254"/>
    </row>
    <row r="29" customFormat="false" ht="12.75" hidden="false" customHeight="false" outlineLevel="0" collapsed="false">
      <c r="L29" s="254"/>
      <c r="O29" s="254"/>
      <c r="AC29" s="254"/>
      <c r="AD29" s="254"/>
    </row>
    <row r="30" customFormat="false" ht="12.75" hidden="false" customHeight="false" outlineLevel="0" collapsed="false">
      <c r="L30" s="254"/>
      <c r="O30" s="254"/>
      <c r="AC30" s="254"/>
      <c r="AD30" s="254"/>
    </row>
    <row r="31" customFormat="false" ht="12.75" hidden="false" customHeight="false" outlineLevel="0" collapsed="false">
      <c r="L31" s="254"/>
      <c r="O31" s="254"/>
      <c r="AC31" s="254"/>
      <c r="AD31" s="254"/>
    </row>
    <row r="32" customFormat="false" ht="12.75" hidden="false" customHeight="false" outlineLevel="0" collapsed="false">
      <c r="L32" s="254"/>
      <c r="O32" s="254"/>
      <c r="AC32" s="254"/>
      <c r="AD32" s="254"/>
    </row>
    <row r="33" customFormat="false" ht="12.75" hidden="false" customHeight="false" outlineLevel="0" collapsed="false">
      <c r="L33" s="254"/>
      <c r="O33" s="254"/>
      <c r="AC33" s="254"/>
      <c r="AD33" s="254"/>
    </row>
    <row r="34" customFormat="false" ht="12.75" hidden="false" customHeight="false" outlineLevel="0" collapsed="false">
      <c r="L34" s="254"/>
      <c r="O34" s="254"/>
      <c r="AC34" s="254"/>
      <c r="AD34" s="254"/>
    </row>
    <row r="35" customFormat="false" ht="12.75" hidden="false" customHeight="false" outlineLevel="0" collapsed="false">
      <c r="L35" s="254"/>
      <c r="O35" s="254"/>
      <c r="AC35" s="254"/>
      <c r="AD35" s="254"/>
    </row>
    <row r="36" customFormat="false" ht="12.75" hidden="false" customHeight="false" outlineLevel="0" collapsed="false">
      <c r="L36" s="254"/>
      <c r="O36" s="254"/>
      <c r="AC36" s="254"/>
      <c r="AD36" s="254"/>
    </row>
    <row r="37" customFormat="false" ht="12.75" hidden="false" customHeight="false" outlineLevel="0" collapsed="false">
      <c r="L37" s="254"/>
      <c r="O37" s="254"/>
      <c r="AC37" s="254"/>
      <c r="AD37" s="254"/>
    </row>
    <row r="38" customFormat="false" ht="12.75" hidden="false" customHeight="false" outlineLevel="0" collapsed="false">
      <c r="L38" s="254"/>
      <c r="O38" s="254"/>
      <c r="AC38" s="254"/>
      <c r="AD38" s="254"/>
    </row>
    <row r="39" customFormat="false" ht="12.75" hidden="false" customHeight="false" outlineLevel="0" collapsed="false">
      <c r="L39" s="254"/>
      <c r="O39" s="254"/>
      <c r="AC39" s="254"/>
      <c r="AD39" s="254"/>
    </row>
    <row r="40" customFormat="false" ht="12.75" hidden="false" customHeight="false" outlineLevel="0" collapsed="false">
      <c r="L40" s="254"/>
      <c r="O40" s="254"/>
      <c r="AC40" s="254"/>
      <c r="AD40" s="254"/>
    </row>
    <row r="41" customFormat="false" ht="12.75" hidden="false" customHeight="false" outlineLevel="0" collapsed="false">
      <c r="L41" s="254"/>
      <c r="O41" s="254"/>
      <c r="AC41" s="254"/>
      <c r="AD41" s="254"/>
    </row>
    <row r="42" customFormat="false" ht="12.75" hidden="false" customHeight="false" outlineLevel="0" collapsed="false">
      <c r="L42" s="254"/>
      <c r="O42" s="254"/>
      <c r="AC42" s="254"/>
      <c r="AD42" s="254"/>
    </row>
    <row r="43" customFormat="false" ht="12.75" hidden="false" customHeight="false" outlineLevel="0" collapsed="false">
      <c r="L43" s="254"/>
      <c r="O43" s="254"/>
      <c r="AC43" s="254"/>
      <c r="AD43" s="254"/>
    </row>
    <row r="44" customFormat="false" ht="12.75" hidden="false" customHeight="false" outlineLevel="0" collapsed="false">
      <c r="L44" s="254"/>
      <c r="O44" s="254"/>
      <c r="AC44" s="254"/>
      <c r="AD44" s="254"/>
    </row>
    <row r="45" customFormat="false" ht="12.75" hidden="false" customHeight="false" outlineLevel="0" collapsed="false">
      <c r="L45" s="254"/>
      <c r="O45" s="254"/>
      <c r="AC45" s="254"/>
      <c r="AD45" s="254"/>
    </row>
    <row r="46" customFormat="false" ht="12.75" hidden="false" customHeight="false" outlineLevel="0" collapsed="false">
      <c r="L46" s="254"/>
      <c r="O46" s="254"/>
      <c r="AC46" s="254"/>
      <c r="AD46" s="254"/>
    </row>
    <row r="47" customFormat="false" ht="12.75" hidden="false" customHeight="false" outlineLevel="0" collapsed="false">
      <c r="L47" s="254"/>
      <c r="O47" s="254"/>
      <c r="AC47" s="254"/>
      <c r="AD47" s="254"/>
    </row>
    <row r="48" customFormat="false" ht="12.75" hidden="false" customHeight="false" outlineLevel="0" collapsed="false">
      <c r="L48" s="254"/>
      <c r="O48" s="254"/>
      <c r="AC48" s="254"/>
      <c r="AD48" s="254"/>
    </row>
    <row r="49" customFormat="false" ht="12.75" hidden="false" customHeight="false" outlineLevel="0" collapsed="false">
      <c r="L49" s="254"/>
      <c r="O49" s="254"/>
      <c r="AC49" s="254"/>
      <c r="AD49" s="254"/>
    </row>
    <row r="50" customFormat="false" ht="12.75" hidden="false" customHeight="false" outlineLevel="0" collapsed="false">
      <c r="L50" s="254"/>
      <c r="O50" s="254"/>
      <c r="AC50" s="254"/>
      <c r="AD50" s="254"/>
    </row>
    <row r="51" customFormat="false" ht="12.75" hidden="false" customHeight="false" outlineLevel="0" collapsed="false">
      <c r="L51" s="254"/>
      <c r="O51" s="254"/>
      <c r="AC51" s="254"/>
      <c r="AD51" s="254"/>
    </row>
    <row r="52" customFormat="false" ht="12.75" hidden="false" customHeight="false" outlineLevel="0" collapsed="false">
      <c r="L52" s="254"/>
      <c r="O52" s="254"/>
      <c r="AC52" s="254"/>
      <c r="AD52" s="254"/>
    </row>
    <row r="53" customFormat="false" ht="12.75" hidden="false" customHeight="false" outlineLevel="0" collapsed="false">
      <c r="L53" s="254"/>
      <c r="O53" s="254"/>
      <c r="AC53" s="254"/>
      <c r="AD53" s="254"/>
    </row>
    <row r="54" customFormat="false" ht="12.75" hidden="false" customHeight="false" outlineLevel="0" collapsed="false">
      <c r="L54" s="254"/>
      <c r="O54" s="254"/>
      <c r="AC54" s="254"/>
      <c r="AD54" s="254"/>
    </row>
    <row r="55" customFormat="false" ht="12.75" hidden="false" customHeight="false" outlineLevel="0" collapsed="false">
      <c r="L55" s="254"/>
      <c r="O55" s="254"/>
      <c r="AC55" s="254"/>
      <c r="AD55" s="254"/>
    </row>
    <row r="56" customFormat="false" ht="12.75" hidden="false" customHeight="false" outlineLevel="0" collapsed="false">
      <c r="L56" s="254"/>
      <c r="O56" s="254"/>
      <c r="AC56" s="254"/>
      <c r="AD56" s="254"/>
    </row>
    <row r="57" customFormat="false" ht="12.75" hidden="false" customHeight="false" outlineLevel="0" collapsed="false">
      <c r="L57" s="254"/>
      <c r="O57" s="254"/>
      <c r="AC57" s="254"/>
      <c r="AD57" s="254"/>
    </row>
    <row r="58" customFormat="false" ht="12.75" hidden="false" customHeight="false" outlineLevel="0" collapsed="false">
      <c r="L58" s="254"/>
      <c r="O58" s="254"/>
      <c r="AC58" s="254"/>
      <c r="AD58" s="254"/>
    </row>
    <row r="59" customFormat="false" ht="12.75" hidden="false" customHeight="false" outlineLevel="0" collapsed="false">
      <c r="L59" s="254"/>
      <c r="O59" s="254"/>
      <c r="AC59" s="254"/>
      <c r="AD59" s="254"/>
    </row>
    <row r="60" customFormat="false" ht="12.75" hidden="false" customHeight="false" outlineLevel="0" collapsed="false">
      <c r="L60" s="254"/>
      <c r="O60" s="254"/>
      <c r="AC60" s="254"/>
      <c r="AD60" s="254"/>
    </row>
    <row r="61" customFormat="false" ht="12.75" hidden="false" customHeight="false" outlineLevel="0" collapsed="false">
      <c r="L61" s="254"/>
      <c r="O61" s="254"/>
      <c r="AC61" s="254"/>
      <c r="AD61" s="254"/>
    </row>
    <row r="62" customFormat="false" ht="12.75" hidden="false" customHeight="false" outlineLevel="0" collapsed="false">
      <c r="L62" s="254"/>
      <c r="O62" s="254"/>
      <c r="AC62" s="254"/>
      <c r="AD62" s="254"/>
    </row>
    <row r="63" customFormat="false" ht="12.75" hidden="false" customHeight="false" outlineLevel="0" collapsed="false">
      <c r="L63" s="254"/>
      <c r="O63" s="254"/>
      <c r="AC63" s="254"/>
      <c r="AD63" s="254"/>
    </row>
    <row r="64" customFormat="false" ht="12.75" hidden="false" customHeight="false" outlineLevel="0" collapsed="false">
      <c r="L64" s="254"/>
      <c r="O64" s="254"/>
      <c r="AC64" s="254"/>
      <c r="AD64" s="254"/>
    </row>
    <row r="65" customFormat="false" ht="12.75" hidden="false" customHeight="false" outlineLevel="0" collapsed="false">
      <c r="L65" s="254"/>
      <c r="O65" s="254"/>
      <c r="AC65" s="254"/>
      <c r="AD65" s="254"/>
    </row>
    <row r="66" customFormat="false" ht="12.75" hidden="false" customHeight="false" outlineLevel="0" collapsed="false">
      <c r="L66" s="254"/>
      <c r="O66" s="254"/>
      <c r="AC66" s="254"/>
      <c r="AD66" s="254"/>
    </row>
    <row r="67" customFormat="false" ht="12.75" hidden="false" customHeight="false" outlineLevel="0" collapsed="false">
      <c r="L67" s="254"/>
      <c r="O67" s="254"/>
      <c r="AC67" s="254"/>
      <c r="AD67" s="254"/>
    </row>
    <row r="68" customFormat="false" ht="12.75" hidden="false" customHeight="false" outlineLevel="0" collapsed="false">
      <c r="L68" s="254"/>
      <c r="O68" s="254"/>
      <c r="AC68" s="254"/>
      <c r="AD68" s="254"/>
    </row>
    <row r="69" customFormat="false" ht="12.75" hidden="false" customHeight="false" outlineLevel="0" collapsed="false">
      <c r="L69" s="254"/>
      <c r="O69" s="254"/>
      <c r="AC69" s="254"/>
      <c r="AD69" s="254"/>
    </row>
    <row r="70" customFormat="false" ht="12.75" hidden="false" customHeight="false" outlineLevel="0" collapsed="false">
      <c r="L70" s="254"/>
      <c r="O70" s="254"/>
      <c r="AC70" s="254"/>
      <c r="AD70" s="254"/>
    </row>
    <row r="71" customFormat="false" ht="12.75" hidden="false" customHeight="false" outlineLevel="0" collapsed="false">
      <c r="L71" s="254"/>
      <c r="O71" s="254"/>
      <c r="AC71" s="254"/>
      <c r="AD71" s="254"/>
    </row>
    <row r="72" customFormat="false" ht="12.75" hidden="false" customHeight="false" outlineLevel="0" collapsed="false">
      <c r="L72" s="254"/>
      <c r="O72" s="254"/>
      <c r="AC72" s="254"/>
      <c r="AD72" s="254"/>
    </row>
    <row r="73" customFormat="false" ht="12.75" hidden="false" customHeight="false" outlineLevel="0" collapsed="false">
      <c r="L73" s="254"/>
      <c r="O73" s="254"/>
      <c r="AC73" s="254"/>
      <c r="AD73" s="254"/>
    </row>
    <row r="74" customFormat="false" ht="12.75" hidden="false" customHeight="false" outlineLevel="0" collapsed="false">
      <c r="L74" s="254"/>
      <c r="O74" s="254"/>
      <c r="AC74" s="254"/>
      <c r="AD74" s="254"/>
    </row>
    <row r="75" customFormat="false" ht="12.75" hidden="false" customHeight="false" outlineLevel="0" collapsed="false">
      <c r="L75" s="254"/>
      <c r="O75" s="254"/>
      <c r="AC75" s="254"/>
      <c r="AD75" s="254"/>
    </row>
    <row r="76" customFormat="false" ht="12.75" hidden="false" customHeight="false" outlineLevel="0" collapsed="false">
      <c r="L76" s="254"/>
      <c r="O76" s="254"/>
      <c r="AC76" s="254"/>
      <c r="AD76" s="254"/>
    </row>
    <row r="77" customFormat="false" ht="12.75" hidden="false" customHeight="false" outlineLevel="0" collapsed="false">
      <c r="L77" s="254"/>
      <c r="O77" s="254"/>
      <c r="AC77" s="254"/>
      <c r="AD77" s="254"/>
    </row>
    <row r="78" customFormat="false" ht="12.75" hidden="false" customHeight="false" outlineLevel="0" collapsed="false">
      <c r="L78" s="254"/>
      <c r="O78" s="254"/>
      <c r="AC78" s="254"/>
      <c r="AD78" s="254"/>
    </row>
    <row r="79" customFormat="false" ht="12.75" hidden="false" customHeight="false" outlineLevel="0" collapsed="false">
      <c r="L79" s="254"/>
      <c r="O79" s="254"/>
      <c r="AC79" s="254"/>
      <c r="AD79" s="254"/>
    </row>
    <row r="80" customFormat="false" ht="12.75" hidden="false" customHeight="false" outlineLevel="0" collapsed="false">
      <c r="L80" s="254"/>
      <c r="O80" s="254"/>
      <c r="AC80" s="254"/>
      <c r="AD80" s="254"/>
    </row>
    <row r="81" customFormat="false" ht="12.75" hidden="false" customHeight="false" outlineLevel="0" collapsed="false">
      <c r="L81" s="254"/>
      <c r="O81" s="254"/>
      <c r="AC81" s="254"/>
      <c r="AD81" s="254"/>
    </row>
    <row r="82" customFormat="false" ht="12.75" hidden="false" customHeight="false" outlineLevel="0" collapsed="false">
      <c r="L82" s="254"/>
      <c r="O82" s="254"/>
      <c r="AC82" s="254"/>
      <c r="AD82" s="254"/>
    </row>
    <row r="83" customFormat="false" ht="12.75" hidden="false" customHeight="false" outlineLevel="0" collapsed="false">
      <c r="L83" s="254"/>
      <c r="O83" s="254"/>
      <c r="AC83" s="254"/>
      <c r="AD83" s="254"/>
    </row>
    <row r="84" customFormat="false" ht="12.75" hidden="false" customHeight="false" outlineLevel="0" collapsed="false">
      <c r="L84" s="254"/>
      <c r="O84" s="254"/>
      <c r="AC84" s="254"/>
      <c r="AD84" s="254"/>
    </row>
    <row r="85" customFormat="false" ht="12.75" hidden="false" customHeight="false" outlineLevel="0" collapsed="false">
      <c r="L85" s="254"/>
      <c r="O85" s="254"/>
      <c r="AC85" s="254"/>
      <c r="AD85" s="254"/>
    </row>
    <row r="86" customFormat="false" ht="12.75" hidden="false" customHeight="false" outlineLevel="0" collapsed="false">
      <c r="L86" s="254"/>
      <c r="O86" s="254"/>
      <c r="AC86" s="254"/>
      <c r="AD86" s="254"/>
    </row>
    <row r="87" customFormat="false" ht="12.75" hidden="false" customHeight="false" outlineLevel="0" collapsed="false">
      <c r="L87" s="254"/>
      <c r="O87" s="254"/>
      <c r="AC87" s="254"/>
      <c r="AD87" s="254"/>
    </row>
    <row r="88" customFormat="false" ht="12.75" hidden="false" customHeight="false" outlineLevel="0" collapsed="false">
      <c r="L88" s="254"/>
      <c r="O88" s="254"/>
      <c r="AC88" s="254"/>
      <c r="AD88" s="254"/>
    </row>
    <row r="89" customFormat="false" ht="12.75" hidden="false" customHeight="false" outlineLevel="0" collapsed="false">
      <c r="L89" s="254"/>
      <c r="O89" s="254"/>
      <c r="AC89" s="254"/>
      <c r="AD89" s="254"/>
    </row>
    <row r="90" customFormat="false" ht="12.75" hidden="false" customHeight="false" outlineLevel="0" collapsed="false">
      <c r="L90" s="254"/>
      <c r="O90" s="254"/>
      <c r="AC90" s="254"/>
      <c r="AD90" s="254"/>
    </row>
    <row r="91" customFormat="false" ht="12.75" hidden="false" customHeight="false" outlineLevel="0" collapsed="false">
      <c r="L91" s="254"/>
      <c r="O91" s="254"/>
      <c r="AC91" s="254"/>
      <c r="AD91" s="254"/>
    </row>
    <row r="92" customFormat="false" ht="12.75" hidden="false" customHeight="false" outlineLevel="0" collapsed="false">
      <c r="L92" s="254"/>
      <c r="O92" s="254"/>
      <c r="AC92" s="254"/>
      <c r="AD92" s="254"/>
    </row>
    <row r="93" customFormat="false" ht="12.75" hidden="false" customHeight="false" outlineLevel="0" collapsed="false">
      <c r="L93" s="254"/>
      <c r="O93" s="254"/>
      <c r="AC93" s="254"/>
      <c r="AD93" s="254"/>
    </row>
    <row r="94" customFormat="false" ht="12.75" hidden="false" customHeight="false" outlineLevel="0" collapsed="false">
      <c r="L94" s="254"/>
      <c r="O94" s="254"/>
      <c r="AC94" s="254"/>
      <c r="AD94" s="254"/>
    </row>
    <row r="95" customFormat="false" ht="12.75" hidden="false" customHeight="false" outlineLevel="0" collapsed="false">
      <c r="L95" s="254"/>
      <c r="O95" s="254"/>
      <c r="AC95" s="254"/>
      <c r="AD95" s="254"/>
    </row>
    <row r="96" customFormat="false" ht="12.75" hidden="false" customHeight="false" outlineLevel="0" collapsed="false">
      <c r="L96" s="254"/>
      <c r="O96" s="254"/>
      <c r="AC96" s="254"/>
      <c r="AD96" s="254"/>
    </row>
    <row r="97" customFormat="false" ht="12.75" hidden="false" customHeight="false" outlineLevel="0" collapsed="false">
      <c r="L97" s="254"/>
      <c r="O97" s="254"/>
      <c r="AC97" s="254"/>
      <c r="AD97" s="254"/>
    </row>
    <row r="98" customFormat="false" ht="12.75" hidden="false" customHeight="false" outlineLevel="0" collapsed="false">
      <c r="L98" s="254"/>
      <c r="O98" s="254"/>
      <c r="AC98" s="254"/>
      <c r="AD98" s="254"/>
    </row>
    <row r="99" customFormat="false" ht="12.75" hidden="false" customHeight="false" outlineLevel="0" collapsed="false">
      <c r="L99" s="254"/>
      <c r="O99" s="254"/>
      <c r="AC99" s="254"/>
      <c r="AD99" s="254"/>
    </row>
    <row r="100" customFormat="false" ht="12.75" hidden="false" customHeight="false" outlineLevel="0" collapsed="false">
      <c r="L100" s="254"/>
      <c r="O100" s="254"/>
      <c r="AC100" s="254"/>
      <c r="AD100" s="254"/>
    </row>
    <row r="101" customFormat="false" ht="12.75" hidden="false" customHeight="false" outlineLevel="0" collapsed="false">
      <c r="L101" s="254"/>
      <c r="O101" s="254"/>
      <c r="AC101" s="254"/>
      <c r="AD101" s="254"/>
    </row>
    <row r="102" customFormat="false" ht="12.75" hidden="false" customHeight="false" outlineLevel="0" collapsed="false">
      <c r="L102" s="254"/>
      <c r="O102" s="254"/>
      <c r="AC102" s="254"/>
      <c r="AD102" s="254"/>
    </row>
    <row r="103" customFormat="false" ht="12.75" hidden="false" customHeight="false" outlineLevel="0" collapsed="false">
      <c r="L103" s="254"/>
      <c r="O103" s="254"/>
      <c r="AC103" s="254"/>
      <c r="AD103" s="254"/>
    </row>
    <row r="104" customFormat="false" ht="12.75" hidden="false" customHeight="false" outlineLevel="0" collapsed="false">
      <c r="L104" s="254"/>
      <c r="O104" s="254"/>
      <c r="AC104" s="254"/>
      <c r="AD104" s="254"/>
    </row>
    <row r="105" customFormat="false" ht="12.75" hidden="false" customHeight="false" outlineLevel="0" collapsed="false">
      <c r="L105" s="254"/>
      <c r="O105" s="254"/>
      <c r="AC105" s="254"/>
      <c r="AD105" s="254"/>
    </row>
    <row r="106" customFormat="false" ht="12.75" hidden="false" customHeight="false" outlineLevel="0" collapsed="false">
      <c r="L106" s="254"/>
      <c r="O106" s="254"/>
      <c r="AC106" s="254"/>
      <c r="AD106" s="254"/>
    </row>
    <row r="107" customFormat="false" ht="12.75" hidden="false" customHeight="false" outlineLevel="0" collapsed="false">
      <c r="L107" s="254"/>
      <c r="O107" s="254"/>
      <c r="AC107" s="254"/>
      <c r="AD107" s="254"/>
    </row>
    <row r="108" customFormat="false" ht="12.75" hidden="false" customHeight="false" outlineLevel="0" collapsed="false">
      <c r="L108" s="254"/>
      <c r="O108" s="254"/>
      <c r="AC108" s="254"/>
      <c r="AD108" s="254"/>
    </row>
    <row r="109" customFormat="false" ht="12.75" hidden="false" customHeight="false" outlineLevel="0" collapsed="false">
      <c r="L109" s="254"/>
      <c r="O109" s="254"/>
      <c r="AC109" s="254"/>
      <c r="AD109" s="254"/>
    </row>
    <row r="110" customFormat="false" ht="12.75" hidden="false" customHeight="false" outlineLevel="0" collapsed="false">
      <c r="L110" s="254"/>
      <c r="O110" s="254"/>
      <c r="AC110" s="254"/>
      <c r="AD110" s="254"/>
    </row>
    <row r="111" customFormat="false" ht="12.75" hidden="false" customHeight="false" outlineLevel="0" collapsed="false">
      <c r="L111" s="254"/>
      <c r="O111" s="254"/>
      <c r="AC111" s="254"/>
      <c r="AD111" s="254"/>
    </row>
    <row r="112" customFormat="false" ht="12.75" hidden="false" customHeight="false" outlineLevel="0" collapsed="false">
      <c r="L112" s="254"/>
      <c r="O112" s="254"/>
      <c r="AC112" s="254"/>
      <c r="AD112" s="254"/>
    </row>
    <row r="113" customFormat="false" ht="12.75" hidden="false" customHeight="false" outlineLevel="0" collapsed="false">
      <c r="L113" s="254"/>
      <c r="O113" s="254"/>
      <c r="AC113" s="254"/>
      <c r="AD113" s="254"/>
    </row>
    <row r="114" customFormat="false" ht="12.75" hidden="false" customHeight="false" outlineLevel="0" collapsed="false">
      <c r="L114" s="254"/>
      <c r="O114" s="254"/>
      <c r="AC114" s="254"/>
      <c r="AD114" s="254"/>
    </row>
    <row r="115" customFormat="false" ht="12.75" hidden="false" customHeight="false" outlineLevel="0" collapsed="false">
      <c r="L115" s="254"/>
      <c r="O115" s="254"/>
      <c r="AC115" s="254"/>
      <c r="AD115" s="254"/>
    </row>
    <row r="116" customFormat="false" ht="12.75" hidden="false" customHeight="false" outlineLevel="0" collapsed="false">
      <c r="L116" s="254"/>
      <c r="O116" s="254"/>
      <c r="AC116" s="254"/>
      <c r="AD116" s="254"/>
    </row>
    <row r="117" customFormat="false" ht="12.75" hidden="false" customHeight="false" outlineLevel="0" collapsed="false">
      <c r="L117" s="254"/>
      <c r="O117" s="254"/>
      <c r="AC117" s="254"/>
      <c r="AD117" s="254"/>
    </row>
    <row r="118" customFormat="false" ht="12.75" hidden="false" customHeight="false" outlineLevel="0" collapsed="false">
      <c r="L118" s="254"/>
      <c r="O118" s="254"/>
      <c r="AC118" s="254"/>
      <c r="AD118" s="254"/>
    </row>
    <row r="119" customFormat="false" ht="12.75" hidden="false" customHeight="false" outlineLevel="0" collapsed="false">
      <c r="L119" s="254"/>
      <c r="O119" s="254"/>
      <c r="AC119" s="254"/>
      <c r="AD119" s="254"/>
    </row>
    <row r="120" customFormat="false" ht="12.75" hidden="false" customHeight="false" outlineLevel="0" collapsed="false">
      <c r="L120" s="254"/>
      <c r="O120" s="254"/>
      <c r="AC120" s="254"/>
      <c r="AD120" s="254"/>
    </row>
    <row r="121" customFormat="false" ht="12.75" hidden="false" customHeight="false" outlineLevel="0" collapsed="false">
      <c r="L121" s="254"/>
      <c r="O121" s="254"/>
      <c r="AC121" s="254"/>
      <c r="AD121" s="254"/>
    </row>
    <row r="122" customFormat="false" ht="12.75" hidden="false" customHeight="false" outlineLevel="0" collapsed="false">
      <c r="L122" s="254"/>
      <c r="O122" s="254"/>
      <c r="AC122" s="254"/>
      <c r="AD122" s="254"/>
    </row>
    <row r="123" customFormat="false" ht="12.75" hidden="false" customHeight="false" outlineLevel="0" collapsed="false">
      <c r="L123" s="254"/>
      <c r="O123" s="254"/>
      <c r="AC123" s="254"/>
      <c r="AD123" s="254"/>
    </row>
    <row r="124" customFormat="false" ht="12.75" hidden="false" customHeight="false" outlineLevel="0" collapsed="false">
      <c r="L124" s="254"/>
      <c r="O124" s="254"/>
      <c r="AC124" s="254"/>
      <c r="AD124" s="254"/>
    </row>
    <row r="125" customFormat="false" ht="12.75" hidden="false" customHeight="false" outlineLevel="0" collapsed="false">
      <c r="L125" s="254"/>
      <c r="O125" s="254"/>
      <c r="AC125" s="254"/>
      <c r="AD125" s="254"/>
    </row>
    <row r="126" customFormat="false" ht="12.75" hidden="false" customHeight="false" outlineLevel="0" collapsed="false">
      <c r="L126" s="254"/>
      <c r="O126" s="254"/>
      <c r="AC126" s="254"/>
      <c r="AD126" s="254"/>
    </row>
    <row r="127" customFormat="false" ht="12.75" hidden="false" customHeight="false" outlineLevel="0" collapsed="false">
      <c r="L127" s="254"/>
      <c r="O127" s="254"/>
      <c r="AC127" s="254"/>
      <c r="AD127" s="254"/>
    </row>
    <row r="128" customFormat="false" ht="12.75" hidden="false" customHeight="false" outlineLevel="0" collapsed="false">
      <c r="L128" s="254"/>
      <c r="O128" s="254"/>
      <c r="AC128" s="254"/>
      <c r="AD128" s="254"/>
    </row>
    <row r="129" customFormat="false" ht="12.75" hidden="false" customHeight="false" outlineLevel="0" collapsed="false">
      <c r="L129" s="254"/>
      <c r="O129" s="254"/>
      <c r="AC129" s="254"/>
      <c r="AD129" s="254"/>
    </row>
    <row r="130" customFormat="false" ht="12.75" hidden="false" customHeight="false" outlineLevel="0" collapsed="false">
      <c r="L130" s="254"/>
      <c r="O130" s="254"/>
      <c r="AC130" s="254"/>
      <c r="AD130" s="254"/>
    </row>
    <row r="131" customFormat="false" ht="12.75" hidden="false" customHeight="false" outlineLevel="0" collapsed="false">
      <c r="L131" s="254"/>
      <c r="O131" s="254"/>
      <c r="AC131" s="254"/>
      <c r="AD131" s="254"/>
    </row>
    <row r="132" customFormat="false" ht="12.75" hidden="false" customHeight="false" outlineLevel="0" collapsed="false">
      <c r="L132" s="254"/>
      <c r="O132" s="254"/>
      <c r="AC132" s="254"/>
      <c r="AD132" s="254"/>
    </row>
    <row r="133" customFormat="false" ht="12.75" hidden="false" customHeight="false" outlineLevel="0" collapsed="false">
      <c r="L133" s="254"/>
      <c r="O133" s="254"/>
      <c r="AC133" s="254"/>
      <c r="AD133" s="254"/>
    </row>
    <row r="134" customFormat="false" ht="12.75" hidden="false" customHeight="false" outlineLevel="0" collapsed="false">
      <c r="L134" s="254"/>
      <c r="O134" s="254"/>
      <c r="AC134" s="254"/>
      <c r="AD134" s="254"/>
    </row>
    <row r="135" customFormat="false" ht="12.75" hidden="false" customHeight="false" outlineLevel="0" collapsed="false">
      <c r="L135" s="254"/>
      <c r="O135" s="254"/>
      <c r="AC135" s="254"/>
      <c r="AD135" s="254"/>
    </row>
    <row r="136" customFormat="false" ht="12.75" hidden="false" customHeight="false" outlineLevel="0" collapsed="false">
      <c r="L136" s="254"/>
      <c r="O136" s="254"/>
      <c r="AC136" s="254"/>
      <c r="AD136" s="254"/>
    </row>
    <row r="137" customFormat="false" ht="12.75" hidden="false" customHeight="false" outlineLevel="0" collapsed="false">
      <c r="L137" s="254"/>
      <c r="O137" s="254"/>
      <c r="AC137" s="254"/>
      <c r="AD137" s="254"/>
    </row>
    <row r="138" customFormat="false" ht="12.75" hidden="false" customHeight="false" outlineLevel="0" collapsed="false">
      <c r="L138" s="254"/>
      <c r="O138" s="254"/>
      <c r="AC138" s="254"/>
      <c r="AD138" s="254"/>
    </row>
    <row r="139" customFormat="false" ht="12.75" hidden="false" customHeight="false" outlineLevel="0" collapsed="false">
      <c r="L139" s="254"/>
      <c r="O139" s="254"/>
      <c r="AC139" s="254"/>
      <c r="AD139" s="254"/>
    </row>
    <row r="140" customFormat="false" ht="12.75" hidden="false" customHeight="false" outlineLevel="0" collapsed="false">
      <c r="L140" s="254"/>
      <c r="O140" s="254"/>
      <c r="AC140" s="254"/>
      <c r="AD140" s="254"/>
    </row>
    <row r="141" customFormat="false" ht="12.75" hidden="false" customHeight="false" outlineLevel="0" collapsed="false">
      <c r="L141" s="254"/>
      <c r="O141" s="254"/>
      <c r="AC141" s="254"/>
      <c r="AD141" s="254"/>
    </row>
    <row r="142" customFormat="false" ht="12.75" hidden="false" customHeight="false" outlineLevel="0" collapsed="false">
      <c r="L142" s="254"/>
      <c r="O142" s="254"/>
      <c r="AC142" s="254"/>
      <c r="AD142" s="254"/>
    </row>
    <row r="143" customFormat="false" ht="12.75" hidden="false" customHeight="false" outlineLevel="0" collapsed="false">
      <c r="L143" s="254"/>
      <c r="O143" s="254"/>
      <c r="AC143" s="254"/>
      <c r="AD143" s="254"/>
    </row>
    <row r="144" customFormat="false" ht="12.75" hidden="false" customHeight="false" outlineLevel="0" collapsed="false">
      <c r="L144" s="254"/>
      <c r="O144" s="254"/>
      <c r="AC144" s="254"/>
      <c r="AD144" s="254"/>
    </row>
    <row r="145" customFormat="false" ht="12.75" hidden="false" customHeight="false" outlineLevel="0" collapsed="false">
      <c r="L145" s="254"/>
      <c r="O145" s="254"/>
      <c r="AC145" s="254"/>
      <c r="AD145" s="254"/>
    </row>
    <row r="146" customFormat="false" ht="12.75" hidden="false" customHeight="false" outlineLevel="0" collapsed="false">
      <c r="L146" s="254"/>
      <c r="O146" s="254"/>
      <c r="AC146" s="254"/>
      <c r="AD146" s="254"/>
    </row>
    <row r="147" customFormat="false" ht="12.75" hidden="false" customHeight="false" outlineLevel="0" collapsed="false">
      <c r="L147" s="254"/>
      <c r="O147" s="254"/>
      <c r="AC147" s="254"/>
      <c r="AD147" s="254"/>
    </row>
    <row r="148" customFormat="false" ht="12.75" hidden="false" customHeight="false" outlineLevel="0" collapsed="false">
      <c r="L148" s="254"/>
      <c r="O148" s="254"/>
      <c r="AC148" s="254"/>
      <c r="AD148" s="254"/>
    </row>
    <row r="149" customFormat="false" ht="12.75" hidden="false" customHeight="false" outlineLevel="0" collapsed="false">
      <c r="L149" s="254"/>
      <c r="O149" s="254"/>
      <c r="AC149" s="254"/>
      <c r="AD149" s="254"/>
    </row>
    <row r="150" customFormat="false" ht="12.75" hidden="false" customHeight="false" outlineLevel="0" collapsed="false">
      <c r="L150" s="254"/>
      <c r="O150" s="254"/>
      <c r="AC150" s="254"/>
      <c r="AD150" s="254"/>
    </row>
    <row r="151" customFormat="false" ht="12.75" hidden="false" customHeight="false" outlineLevel="0" collapsed="false">
      <c r="L151" s="254"/>
      <c r="O151" s="254"/>
      <c r="AC151" s="254"/>
      <c r="AD151" s="254"/>
    </row>
    <row r="152" customFormat="false" ht="12.75" hidden="false" customHeight="false" outlineLevel="0" collapsed="false">
      <c r="L152" s="254"/>
      <c r="O152" s="254"/>
      <c r="AC152" s="254"/>
      <c r="AD152" s="254"/>
    </row>
    <row r="153" customFormat="false" ht="12.75" hidden="false" customHeight="false" outlineLevel="0" collapsed="false">
      <c r="L153" s="254"/>
      <c r="O153" s="254"/>
      <c r="AC153" s="254"/>
      <c r="AD153" s="254"/>
    </row>
    <row r="154" customFormat="false" ht="12.75" hidden="false" customHeight="false" outlineLevel="0" collapsed="false">
      <c r="L154" s="254"/>
      <c r="O154" s="254"/>
      <c r="AC154" s="254"/>
      <c r="AD154" s="254"/>
    </row>
    <row r="155" customFormat="false" ht="12.75" hidden="false" customHeight="false" outlineLevel="0" collapsed="false">
      <c r="L155" s="254"/>
      <c r="O155" s="254"/>
      <c r="AC155" s="254"/>
      <c r="AD155" s="254"/>
    </row>
    <row r="156" customFormat="false" ht="12.75" hidden="false" customHeight="false" outlineLevel="0" collapsed="false">
      <c r="L156" s="254"/>
      <c r="O156" s="254"/>
      <c r="AC156" s="254"/>
      <c r="AD156" s="254"/>
    </row>
    <row r="157" customFormat="false" ht="12.75" hidden="false" customHeight="false" outlineLevel="0" collapsed="false">
      <c r="L157" s="254"/>
      <c r="O157" s="254"/>
      <c r="AC157" s="254"/>
      <c r="AD157" s="254"/>
    </row>
    <row r="158" customFormat="false" ht="12.75" hidden="false" customHeight="false" outlineLevel="0" collapsed="false">
      <c r="L158" s="254"/>
      <c r="O158" s="254"/>
      <c r="AC158" s="254"/>
      <c r="AD158" s="254"/>
    </row>
    <row r="159" customFormat="false" ht="12.75" hidden="false" customHeight="false" outlineLevel="0" collapsed="false">
      <c r="L159" s="254"/>
      <c r="O159" s="254"/>
      <c r="AC159" s="254"/>
      <c r="AD159" s="254"/>
    </row>
    <row r="160" customFormat="false" ht="12.75" hidden="false" customHeight="false" outlineLevel="0" collapsed="false">
      <c r="L160" s="254"/>
      <c r="O160" s="254"/>
      <c r="AC160" s="254"/>
      <c r="AD160" s="254"/>
    </row>
    <row r="161" customFormat="false" ht="12.75" hidden="false" customHeight="false" outlineLevel="0" collapsed="false">
      <c r="L161" s="254"/>
      <c r="O161" s="254"/>
      <c r="AC161" s="254"/>
      <c r="AD161" s="254"/>
    </row>
    <row r="162" customFormat="false" ht="12.75" hidden="false" customHeight="false" outlineLevel="0" collapsed="false">
      <c r="L162" s="254"/>
      <c r="O162" s="254"/>
      <c r="AC162" s="254"/>
      <c r="AD162" s="254"/>
    </row>
    <row r="163" customFormat="false" ht="12.75" hidden="false" customHeight="false" outlineLevel="0" collapsed="false">
      <c r="L163" s="254"/>
      <c r="O163" s="254"/>
      <c r="AC163" s="254"/>
      <c r="AD163" s="254"/>
    </row>
    <row r="164" customFormat="false" ht="12.75" hidden="false" customHeight="false" outlineLevel="0" collapsed="false">
      <c r="L164" s="254"/>
      <c r="O164" s="254"/>
      <c r="AC164" s="254"/>
      <c r="AD164" s="254"/>
    </row>
    <row r="165" customFormat="false" ht="12.75" hidden="false" customHeight="false" outlineLevel="0" collapsed="false">
      <c r="L165" s="254"/>
      <c r="O165" s="254"/>
      <c r="AC165" s="254"/>
      <c r="AD165" s="254"/>
    </row>
    <row r="166" customFormat="false" ht="12.75" hidden="false" customHeight="false" outlineLevel="0" collapsed="false">
      <c r="L166" s="254"/>
      <c r="O166" s="254"/>
      <c r="AC166" s="254"/>
      <c r="AD166" s="254"/>
    </row>
    <row r="167" customFormat="false" ht="12.75" hidden="false" customHeight="false" outlineLevel="0" collapsed="false">
      <c r="L167" s="254"/>
      <c r="O167" s="254"/>
      <c r="AC167" s="254"/>
      <c r="AD167" s="254"/>
    </row>
    <row r="168" customFormat="false" ht="12.75" hidden="false" customHeight="false" outlineLevel="0" collapsed="false">
      <c r="L168" s="254"/>
      <c r="O168" s="254"/>
      <c r="AC168" s="254"/>
      <c r="AD168" s="254"/>
    </row>
    <row r="169" customFormat="false" ht="12.75" hidden="false" customHeight="false" outlineLevel="0" collapsed="false">
      <c r="L169" s="254"/>
      <c r="O169" s="254"/>
      <c r="AC169" s="254"/>
      <c r="AD169" s="254"/>
    </row>
    <row r="170" customFormat="false" ht="12.75" hidden="false" customHeight="false" outlineLevel="0" collapsed="false">
      <c r="L170" s="254"/>
      <c r="O170" s="254"/>
      <c r="AC170" s="254"/>
      <c r="AD170" s="254"/>
    </row>
    <row r="171" customFormat="false" ht="12.75" hidden="false" customHeight="false" outlineLevel="0" collapsed="false">
      <c r="L171" s="254"/>
      <c r="O171" s="254"/>
      <c r="AC171" s="254"/>
      <c r="AD171" s="254"/>
    </row>
    <row r="172" customFormat="false" ht="12.75" hidden="false" customHeight="false" outlineLevel="0" collapsed="false">
      <c r="L172" s="254"/>
      <c r="O172" s="254"/>
      <c r="AC172" s="254"/>
      <c r="AD172" s="254"/>
    </row>
    <row r="173" customFormat="false" ht="12.75" hidden="false" customHeight="false" outlineLevel="0" collapsed="false">
      <c r="L173" s="254"/>
      <c r="O173" s="254"/>
      <c r="AC173" s="254"/>
      <c r="AD173" s="254"/>
    </row>
    <row r="174" customFormat="false" ht="12.75" hidden="false" customHeight="false" outlineLevel="0" collapsed="false">
      <c r="L174" s="254"/>
      <c r="O174" s="254"/>
      <c r="AC174" s="254"/>
      <c r="AD174" s="254"/>
    </row>
    <row r="175" customFormat="false" ht="12.75" hidden="false" customHeight="false" outlineLevel="0" collapsed="false">
      <c r="L175" s="254"/>
      <c r="O175" s="254"/>
      <c r="AC175" s="254"/>
      <c r="AD175" s="254"/>
    </row>
    <row r="176" customFormat="false" ht="12.75" hidden="false" customHeight="false" outlineLevel="0" collapsed="false">
      <c r="L176" s="254"/>
      <c r="O176" s="254"/>
      <c r="AC176" s="254"/>
      <c r="AD176" s="254"/>
    </row>
    <row r="177" customFormat="false" ht="12.75" hidden="false" customHeight="false" outlineLevel="0" collapsed="false">
      <c r="L177" s="254"/>
      <c r="O177" s="254"/>
      <c r="AC177" s="254"/>
      <c r="AD177" s="254"/>
    </row>
    <row r="178" customFormat="false" ht="12.75" hidden="false" customHeight="false" outlineLevel="0" collapsed="false">
      <c r="L178" s="254"/>
      <c r="O178" s="254"/>
      <c r="AC178" s="254"/>
      <c r="AD178" s="254"/>
    </row>
    <row r="179" customFormat="false" ht="12.75" hidden="false" customHeight="false" outlineLevel="0" collapsed="false">
      <c r="L179" s="254"/>
      <c r="O179" s="254"/>
      <c r="AC179" s="254"/>
      <c r="AD179" s="254"/>
    </row>
    <row r="180" customFormat="false" ht="12.75" hidden="false" customHeight="false" outlineLevel="0" collapsed="false">
      <c r="L180" s="254"/>
      <c r="O180" s="254"/>
      <c r="AC180" s="254"/>
      <c r="AD180" s="254"/>
    </row>
    <row r="181" customFormat="false" ht="12.75" hidden="false" customHeight="false" outlineLevel="0" collapsed="false">
      <c r="L181" s="254"/>
      <c r="O181" s="254"/>
      <c r="AC181" s="254"/>
      <c r="AD181" s="254"/>
    </row>
    <row r="182" customFormat="false" ht="12.75" hidden="false" customHeight="false" outlineLevel="0" collapsed="false">
      <c r="L182" s="254"/>
      <c r="O182" s="254"/>
      <c r="AC182" s="254"/>
      <c r="AD182" s="254"/>
    </row>
    <row r="183" customFormat="false" ht="12.75" hidden="false" customHeight="false" outlineLevel="0" collapsed="false">
      <c r="L183" s="254"/>
      <c r="O183" s="254"/>
      <c r="AC183" s="254"/>
      <c r="AD183" s="254"/>
    </row>
    <row r="184" customFormat="false" ht="12.75" hidden="false" customHeight="false" outlineLevel="0" collapsed="false">
      <c r="L184" s="254"/>
      <c r="O184" s="254"/>
      <c r="AC184" s="254"/>
      <c r="AD184" s="254"/>
    </row>
    <row r="185" customFormat="false" ht="12.75" hidden="false" customHeight="false" outlineLevel="0" collapsed="false">
      <c r="L185" s="254"/>
      <c r="O185" s="254"/>
      <c r="AC185" s="254"/>
      <c r="AD185" s="254"/>
    </row>
    <row r="186" customFormat="false" ht="12.75" hidden="false" customHeight="false" outlineLevel="0" collapsed="false">
      <c r="L186" s="254"/>
      <c r="O186" s="254"/>
      <c r="AC186" s="254"/>
      <c r="AD186" s="254"/>
    </row>
    <row r="187" customFormat="false" ht="12.75" hidden="false" customHeight="false" outlineLevel="0" collapsed="false">
      <c r="L187" s="254"/>
      <c r="O187" s="254"/>
      <c r="AC187" s="254"/>
      <c r="AD187" s="254"/>
    </row>
    <row r="188" customFormat="false" ht="12.75" hidden="false" customHeight="false" outlineLevel="0" collapsed="false">
      <c r="L188" s="254"/>
      <c r="O188" s="254"/>
      <c r="AC188" s="254"/>
      <c r="AD188" s="254"/>
    </row>
    <row r="189" customFormat="false" ht="12.75" hidden="false" customHeight="false" outlineLevel="0" collapsed="false">
      <c r="L189" s="254"/>
      <c r="O189" s="254"/>
      <c r="AC189" s="254"/>
      <c r="AD189" s="254"/>
    </row>
    <row r="190" customFormat="false" ht="12.75" hidden="false" customHeight="false" outlineLevel="0" collapsed="false">
      <c r="L190" s="254"/>
      <c r="O190" s="254"/>
      <c r="AC190" s="254"/>
      <c r="AD190" s="254"/>
    </row>
    <row r="191" customFormat="false" ht="12.75" hidden="false" customHeight="false" outlineLevel="0" collapsed="false">
      <c r="L191" s="254"/>
      <c r="O191" s="254"/>
      <c r="AC191" s="254"/>
      <c r="AD191" s="254"/>
    </row>
    <row r="192" customFormat="false" ht="12.75" hidden="false" customHeight="false" outlineLevel="0" collapsed="false">
      <c r="L192" s="254"/>
      <c r="O192" s="254"/>
      <c r="AC192" s="254"/>
      <c r="AD192" s="254"/>
    </row>
    <row r="193" customFormat="false" ht="12.75" hidden="false" customHeight="false" outlineLevel="0" collapsed="false">
      <c r="L193" s="254"/>
      <c r="O193" s="254"/>
      <c r="AC193" s="254"/>
      <c r="AD193" s="254"/>
    </row>
    <row r="194" customFormat="false" ht="12.75" hidden="false" customHeight="false" outlineLevel="0" collapsed="false">
      <c r="L194" s="254"/>
      <c r="O194" s="254"/>
      <c r="AC194" s="254"/>
      <c r="AD194" s="254"/>
    </row>
    <row r="195" customFormat="false" ht="12.75" hidden="false" customHeight="false" outlineLevel="0" collapsed="false">
      <c r="L195" s="254"/>
      <c r="O195" s="254"/>
      <c r="AC195" s="254"/>
      <c r="AD195" s="254"/>
    </row>
    <row r="196" customFormat="false" ht="12.75" hidden="false" customHeight="false" outlineLevel="0" collapsed="false">
      <c r="L196" s="254"/>
      <c r="O196" s="254"/>
      <c r="AC196" s="254"/>
      <c r="AD196" s="254"/>
    </row>
    <row r="197" customFormat="false" ht="12.75" hidden="false" customHeight="false" outlineLevel="0" collapsed="false">
      <c r="L197" s="254"/>
      <c r="O197" s="254"/>
      <c r="AC197" s="254"/>
      <c r="AD197" s="254"/>
    </row>
    <row r="198" customFormat="false" ht="12.75" hidden="false" customHeight="false" outlineLevel="0" collapsed="false">
      <c r="L198" s="254"/>
      <c r="O198" s="254"/>
      <c r="AC198" s="254"/>
      <c r="AD198" s="254"/>
    </row>
    <row r="199" customFormat="false" ht="12.75" hidden="false" customHeight="false" outlineLevel="0" collapsed="false">
      <c r="L199" s="254"/>
      <c r="O199" s="254"/>
      <c r="AC199" s="254"/>
      <c r="AD199" s="254"/>
    </row>
    <row r="200" customFormat="false" ht="12.75" hidden="false" customHeight="false" outlineLevel="0" collapsed="false">
      <c r="L200" s="254"/>
      <c r="O200" s="254"/>
      <c r="AC200" s="254"/>
      <c r="AD200" s="254"/>
    </row>
    <row r="201" customFormat="false" ht="12.75" hidden="false" customHeight="false" outlineLevel="0" collapsed="false">
      <c r="L201" s="254"/>
      <c r="O201" s="254"/>
      <c r="AC201" s="254"/>
      <c r="AD201" s="254"/>
    </row>
    <row r="202" customFormat="false" ht="12.75" hidden="false" customHeight="false" outlineLevel="0" collapsed="false">
      <c r="L202" s="254"/>
      <c r="O202" s="254"/>
      <c r="AC202" s="254"/>
      <c r="AD202" s="254"/>
    </row>
    <row r="203" customFormat="false" ht="12.75" hidden="false" customHeight="false" outlineLevel="0" collapsed="false">
      <c r="L203" s="254"/>
      <c r="O203" s="254"/>
      <c r="AC203" s="254"/>
      <c r="AD203" s="254"/>
    </row>
    <row r="204" customFormat="false" ht="12.75" hidden="false" customHeight="false" outlineLevel="0" collapsed="false">
      <c r="L204" s="254"/>
      <c r="O204" s="254"/>
      <c r="AC204" s="254"/>
      <c r="AD204" s="254"/>
    </row>
    <row r="205" customFormat="false" ht="12.75" hidden="false" customHeight="false" outlineLevel="0" collapsed="false">
      <c r="L205" s="254"/>
      <c r="O205" s="254"/>
      <c r="AC205" s="254"/>
      <c r="AD205" s="254"/>
    </row>
    <row r="206" customFormat="false" ht="12.75" hidden="false" customHeight="false" outlineLevel="0" collapsed="false">
      <c r="L206" s="254"/>
      <c r="O206" s="254"/>
      <c r="AC206" s="254"/>
      <c r="AD206" s="254"/>
    </row>
    <row r="207" customFormat="false" ht="12.75" hidden="false" customHeight="false" outlineLevel="0" collapsed="false">
      <c r="L207" s="254"/>
      <c r="O207" s="254"/>
      <c r="AC207" s="254"/>
      <c r="AD207" s="254"/>
    </row>
    <row r="208" customFormat="false" ht="12.75" hidden="false" customHeight="false" outlineLevel="0" collapsed="false">
      <c r="L208" s="254"/>
      <c r="O208" s="254"/>
      <c r="AC208" s="254"/>
      <c r="AD208" s="254"/>
    </row>
    <row r="209" customFormat="false" ht="12.75" hidden="false" customHeight="false" outlineLevel="0" collapsed="false">
      <c r="L209" s="254"/>
      <c r="O209" s="254"/>
      <c r="AC209" s="254"/>
      <c r="AD209" s="254"/>
    </row>
    <row r="210" customFormat="false" ht="12.75" hidden="false" customHeight="false" outlineLevel="0" collapsed="false">
      <c r="L210" s="254"/>
      <c r="O210" s="254"/>
      <c r="AC210" s="254"/>
      <c r="AD210" s="254"/>
    </row>
    <row r="211" customFormat="false" ht="12.75" hidden="false" customHeight="false" outlineLevel="0" collapsed="false">
      <c r="L211" s="254"/>
      <c r="O211" s="254"/>
      <c r="AC211" s="254"/>
      <c r="AD211" s="254"/>
    </row>
    <row r="212" customFormat="false" ht="12.75" hidden="false" customHeight="false" outlineLevel="0" collapsed="false">
      <c r="L212" s="254"/>
      <c r="O212" s="254"/>
      <c r="AC212" s="254"/>
      <c r="AD212" s="254"/>
    </row>
    <row r="213" customFormat="false" ht="12.75" hidden="false" customHeight="false" outlineLevel="0" collapsed="false">
      <c r="L213" s="254"/>
      <c r="O213" s="254"/>
      <c r="AC213" s="254"/>
      <c r="AD213" s="254"/>
    </row>
    <row r="214" customFormat="false" ht="12.75" hidden="false" customHeight="false" outlineLevel="0" collapsed="false">
      <c r="L214" s="254"/>
      <c r="O214" s="254"/>
      <c r="AC214" s="254"/>
      <c r="AD214" s="254"/>
    </row>
    <row r="215" customFormat="false" ht="12.75" hidden="false" customHeight="false" outlineLevel="0" collapsed="false">
      <c r="L215" s="254"/>
      <c r="O215" s="254"/>
      <c r="AC215" s="254"/>
      <c r="AD215" s="254"/>
    </row>
    <row r="216" customFormat="false" ht="12.75" hidden="false" customHeight="false" outlineLevel="0" collapsed="false">
      <c r="L216" s="254"/>
      <c r="O216" s="254"/>
      <c r="AC216" s="254"/>
      <c r="AD216" s="254"/>
    </row>
    <row r="217" customFormat="false" ht="12.75" hidden="false" customHeight="false" outlineLevel="0" collapsed="false">
      <c r="L217" s="254"/>
      <c r="O217" s="254"/>
      <c r="AC217" s="254"/>
      <c r="AD217" s="254"/>
    </row>
    <row r="218" customFormat="false" ht="12.75" hidden="false" customHeight="false" outlineLevel="0" collapsed="false">
      <c r="L218" s="254"/>
      <c r="O218" s="254"/>
      <c r="AC218" s="254"/>
      <c r="AD218" s="254"/>
    </row>
    <row r="219" customFormat="false" ht="12.75" hidden="false" customHeight="false" outlineLevel="0" collapsed="false">
      <c r="L219" s="254"/>
      <c r="O219" s="254"/>
      <c r="AC219" s="254"/>
      <c r="AD219" s="254"/>
    </row>
    <row r="220" customFormat="false" ht="12.75" hidden="false" customHeight="false" outlineLevel="0" collapsed="false">
      <c r="L220" s="254"/>
      <c r="O220" s="254"/>
      <c r="AC220" s="254"/>
      <c r="AD220" s="254"/>
    </row>
    <row r="221" customFormat="false" ht="12.75" hidden="false" customHeight="false" outlineLevel="0" collapsed="false">
      <c r="L221" s="254"/>
      <c r="O221" s="254"/>
      <c r="AC221" s="254"/>
      <c r="AD221" s="254"/>
    </row>
    <row r="222" customFormat="false" ht="12.75" hidden="false" customHeight="false" outlineLevel="0" collapsed="false">
      <c r="L222" s="254"/>
      <c r="O222" s="254"/>
      <c r="AC222" s="254"/>
      <c r="AD222" s="254"/>
    </row>
    <row r="223" customFormat="false" ht="12.75" hidden="false" customHeight="false" outlineLevel="0" collapsed="false">
      <c r="L223" s="254"/>
      <c r="O223" s="254"/>
      <c r="AC223" s="254"/>
      <c r="AD223" s="254"/>
    </row>
    <row r="224" customFormat="false" ht="12.75" hidden="false" customHeight="false" outlineLevel="0" collapsed="false">
      <c r="L224" s="254"/>
      <c r="O224" s="254"/>
      <c r="AC224" s="254"/>
      <c r="AD224" s="254"/>
    </row>
    <row r="225" customFormat="false" ht="12.75" hidden="false" customHeight="false" outlineLevel="0" collapsed="false">
      <c r="L225" s="254"/>
      <c r="O225" s="254"/>
      <c r="AC225" s="254"/>
      <c r="AD225" s="254"/>
    </row>
    <row r="226" customFormat="false" ht="12.75" hidden="false" customHeight="false" outlineLevel="0" collapsed="false">
      <c r="L226" s="254"/>
      <c r="O226" s="254"/>
      <c r="AC226" s="254"/>
      <c r="AD226" s="254"/>
    </row>
    <row r="227" customFormat="false" ht="12.75" hidden="false" customHeight="false" outlineLevel="0" collapsed="false">
      <c r="L227" s="254"/>
      <c r="O227" s="254"/>
      <c r="AC227" s="254"/>
      <c r="AD227" s="254"/>
    </row>
    <row r="228" customFormat="false" ht="12.75" hidden="false" customHeight="false" outlineLevel="0" collapsed="false">
      <c r="L228" s="254"/>
      <c r="O228" s="254"/>
      <c r="AC228" s="254"/>
      <c r="AD228" s="254"/>
    </row>
    <row r="229" customFormat="false" ht="12.75" hidden="false" customHeight="false" outlineLevel="0" collapsed="false">
      <c r="L229" s="254"/>
      <c r="O229" s="254"/>
      <c r="AC229" s="254"/>
      <c r="AD229" s="254"/>
    </row>
    <row r="230" customFormat="false" ht="12.75" hidden="false" customHeight="false" outlineLevel="0" collapsed="false">
      <c r="L230" s="254"/>
      <c r="O230" s="254"/>
      <c r="AC230" s="254"/>
      <c r="AD230" s="254"/>
    </row>
    <row r="231" customFormat="false" ht="12.75" hidden="false" customHeight="false" outlineLevel="0" collapsed="false">
      <c r="L231" s="254"/>
      <c r="O231" s="254"/>
      <c r="AC231" s="254"/>
      <c r="AD231" s="254"/>
    </row>
    <row r="232" customFormat="false" ht="12.75" hidden="false" customHeight="false" outlineLevel="0" collapsed="false">
      <c r="L232" s="254"/>
      <c r="O232" s="254"/>
      <c r="AC232" s="254"/>
      <c r="AD232" s="254"/>
    </row>
    <row r="233" customFormat="false" ht="12.75" hidden="false" customHeight="false" outlineLevel="0" collapsed="false">
      <c r="L233" s="254"/>
      <c r="O233" s="254"/>
      <c r="AC233" s="254"/>
      <c r="AD233" s="254"/>
    </row>
    <row r="234" customFormat="false" ht="12.75" hidden="false" customHeight="false" outlineLevel="0" collapsed="false">
      <c r="L234" s="254"/>
      <c r="O234" s="254"/>
      <c r="AC234" s="254"/>
      <c r="AD234" s="254"/>
    </row>
    <row r="235" customFormat="false" ht="12.75" hidden="false" customHeight="false" outlineLevel="0" collapsed="false">
      <c r="L235" s="254"/>
      <c r="O235" s="254"/>
      <c r="AC235" s="254"/>
      <c r="AD235" s="254"/>
    </row>
    <row r="236" customFormat="false" ht="12.75" hidden="false" customHeight="false" outlineLevel="0" collapsed="false">
      <c r="L236" s="254"/>
      <c r="O236" s="254"/>
      <c r="AC236" s="254"/>
      <c r="AD236" s="254"/>
    </row>
    <row r="237" customFormat="false" ht="12.75" hidden="false" customHeight="false" outlineLevel="0" collapsed="false">
      <c r="L237" s="254"/>
      <c r="O237" s="254"/>
      <c r="AC237" s="254"/>
      <c r="AD237" s="254"/>
    </row>
    <row r="238" customFormat="false" ht="12.75" hidden="false" customHeight="false" outlineLevel="0" collapsed="false">
      <c r="L238" s="254"/>
      <c r="O238" s="254"/>
      <c r="AC238" s="254"/>
      <c r="AD238" s="254"/>
    </row>
    <row r="239" customFormat="false" ht="12.75" hidden="false" customHeight="false" outlineLevel="0" collapsed="false">
      <c r="L239" s="254"/>
      <c r="O239" s="254"/>
      <c r="AC239" s="254"/>
      <c r="AD239" s="254"/>
    </row>
    <row r="240" customFormat="false" ht="12.75" hidden="false" customHeight="false" outlineLevel="0" collapsed="false">
      <c r="L240" s="254"/>
      <c r="O240" s="254"/>
      <c r="AC240" s="254"/>
      <c r="AD240" s="254"/>
    </row>
    <row r="241" customFormat="false" ht="12.75" hidden="false" customHeight="false" outlineLevel="0" collapsed="false">
      <c r="L241" s="254"/>
      <c r="O241" s="254"/>
      <c r="AC241" s="254"/>
      <c r="AD241" s="254"/>
    </row>
    <row r="242" customFormat="false" ht="12.75" hidden="false" customHeight="false" outlineLevel="0" collapsed="false">
      <c r="L242" s="254"/>
      <c r="O242" s="254"/>
      <c r="AC242" s="254"/>
      <c r="AD242" s="254"/>
    </row>
    <row r="243" customFormat="false" ht="12.75" hidden="false" customHeight="false" outlineLevel="0" collapsed="false">
      <c r="L243" s="254"/>
      <c r="O243" s="254"/>
      <c r="AC243" s="254"/>
      <c r="AD243" s="254"/>
    </row>
    <row r="244" customFormat="false" ht="12.75" hidden="false" customHeight="false" outlineLevel="0" collapsed="false">
      <c r="L244" s="254"/>
      <c r="O244" s="254"/>
      <c r="AC244" s="254"/>
      <c r="AD244" s="254"/>
    </row>
    <row r="245" customFormat="false" ht="12.75" hidden="false" customHeight="false" outlineLevel="0" collapsed="false">
      <c r="L245" s="254"/>
      <c r="O245" s="254"/>
      <c r="AC245" s="254"/>
      <c r="AD245" s="254"/>
    </row>
    <row r="246" customFormat="false" ht="12.75" hidden="false" customHeight="false" outlineLevel="0" collapsed="false">
      <c r="L246" s="254"/>
      <c r="O246" s="254"/>
      <c r="AC246" s="254"/>
      <c r="AD246" s="254"/>
    </row>
    <row r="247" customFormat="false" ht="12.75" hidden="false" customHeight="false" outlineLevel="0" collapsed="false">
      <c r="L247" s="254"/>
      <c r="O247" s="254"/>
      <c r="AC247" s="254"/>
      <c r="AD247" s="254"/>
    </row>
    <row r="248" customFormat="false" ht="12.75" hidden="false" customHeight="false" outlineLevel="0" collapsed="false">
      <c r="L248" s="254"/>
      <c r="O248" s="254"/>
      <c r="AC248" s="254"/>
      <c r="AD248" s="254"/>
    </row>
    <row r="249" customFormat="false" ht="12.75" hidden="false" customHeight="false" outlineLevel="0" collapsed="false">
      <c r="L249" s="254"/>
      <c r="O249" s="254"/>
      <c r="AC249" s="254"/>
      <c r="AD249" s="254"/>
    </row>
    <row r="250" customFormat="false" ht="12.75" hidden="false" customHeight="false" outlineLevel="0" collapsed="false">
      <c r="L250" s="254"/>
      <c r="O250" s="254"/>
      <c r="AC250" s="254"/>
      <c r="AD250" s="254"/>
    </row>
    <row r="251" customFormat="false" ht="12.75" hidden="false" customHeight="false" outlineLevel="0" collapsed="false">
      <c r="L251" s="254"/>
      <c r="O251" s="254"/>
      <c r="AC251" s="254"/>
      <c r="AD251" s="254"/>
    </row>
    <row r="252" customFormat="false" ht="12.75" hidden="false" customHeight="false" outlineLevel="0" collapsed="false">
      <c r="L252" s="254"/>
      <c r="O252" s="254"/>
      <c r="AC252" s="254"/>
      <c r="AD252" s="254"/>
    </row>
    <row r="253" customFormat="false" ht="12.75" hidden="false" customHeight="false" outlineLevel="0" collapsed="false">
      <c r="L253" s="254"/>
      <c r="O253" s="254"/>
      <c r="AC253" s="254"/>
      <c r="AD253" s="254"/>
    </row>
    <row r="254" customFormat="false" ht="12.75" hidden="false" customHeight="false" outlineLevel="0" collapsed="false">
      <c r="L254" s="254"/>
      <c r="O254" s="254"/>
      <c r="AC254" s="254"/>
      <c r="AD254" s="254"/>
    </row>
    <row r="255" customFormat="false" ht="12.75" hidden="false" customHeight="false" outlineLevel="0" collapsed="false">
      <c r="L255" s="254"/>
      <c r="O255" s="254"/>
      <c r="AC255" s="254"/>
      <c r="AD255" s="254"/>
    </row>
    <row r="256" customFormat="false" ht="12.75" hidden="false" customHeight="false" outlineLevel="0" collapsed="false">
      <c r="L256" s="254"/>
      <c r="O256" s="254"/>
      <c r="AC256" s="254"/>
      <c r="AD256" s="254"/>
    </row>
    <row r="257" customFormat="false" ht="12.75" hidden="false" customHeight="false" outlineLevel="0" collapsed="false">
      <c r="L257" s="254"/>
      <c r="O257" s="254"/>
      <c r="AC257" s="254"/>
      <c r="AD257" s="254"/>
    </row>
    <row r="258" customFormat="false" ht="12.75" hidden="false" customHeight="false" outlineLevel="0" collapsed="false">
      <c r="L258" s="254"/>
      <c r="O258" s="254"/>
      <c r="AC258" s="254"/>
      <c r="AD258" s="254"/>
    </row>
    <row r="259" customFormat="false" ht="12.75" hidden="false" customHeight="false" outlineLevel="0" collapsed="false">
      <c r="L259" s="254"/>
      <c r="O259" s="254"/>
      <c r="AC259" s="254"/>
      <c r="AD259" s="254"/>
    </row>
    <row r="260" customFormat="false" ht="12.75" hidden="false" customHeight="false" outlineLevel="0" collapsed="false">
      <c r="L260" s="254"/>
      <c r="O260" s="254"/>
      <c r="AC260" s="254"/>
      <c r="AD260" s="254"/>
    </row>
    <row r="261" customFormat="false" ht="12.75" hidden="false" customHeight="false" outlineLevel="0" collapsed="false">
      <c r="L261" s="254"/>
      <c r="O261" s="254"/>
      <c r="AC261" s="254"/>
      <c r="AD261" s="254"/>
    </row>
    <row r="262" customFormat="false" ht="12.75" hidden="false" customHeight="false" outlineLevel="0" collapsed="false">
      <c r="L262" s="254"/>
      <c r="O262" s="254"/>
      <c r="AC262" s="254"/>
      <c r="AD262" s="254"/>
    </row>
    <row r="263" customFormat="false" ht="12.75" hidden="false" customHeight="false" outlineLevel="0" collapsed="false">
      <c r="L263" s="254"/>
      <c r="O263" s="254"/>
      <c r="AC263" s="254"/>
      <c r="AD263" s="254"/>
    </row>
    <row r="264" customFormat="false" ht="12.75" hidden="false" customHeight="false" outlineLevel="0" collapsed="false">
      <c r="L264" s="254"/>
      <c r="O264" s="254"/>
      <c r="AC264" s="254"/>
      <c r="AD264" s="254"/>
    </row>
    <row r="265" customFormat="false" ht="12.75" hidden="false" customHeight="false" outlineLevel="0" collapsed="false">
      <c r="L265" s="254"/>
      <c r="O265" s="254"/>
      <c r="AC265" s="254"/>
      <c r="AD265" s="254"/>
    </row>
    <row r="266" customFormat="false" ht="12.75" hidden="false" customHeight="false" outlineLevel="0" collapsed="false">
      <c r="L266" s="254"/>
      <c r="O266" s="254"/>
      <c r="AC266" s="254"/>
      <c r="AD266" s="254"/>
    </row>
    <row r="267" customFormat="false" ht="12.75" hidden="false" customHeight="false" outlineLevel="0" collapsed="false">
      <c r="L267" s="254"/>
      <c r="O267" s="254"/>
      <c r="AC267" s="254"/>
      <c r="AD267" s="254"/>
    </row>
    <row r="268" customFormat="false" ht="12.75" hidden="false" customHeight="false" outlineLevel="0" collapsed="false">
      <c r="L268" s="254"/>
      <c r="O268" s="254"/>
      <c r="AC268" s="254"/>
      <c r="AD268" s="254"/>
    </row>
    <row r="269" customFormat="false" ht="12.75" hidden="false" customHeight="false" outlineLevel="0" collapsed="false">
      <c r="L269" s="254"/>
      <c r="O269" s="254"/>
      <c r="AC269" s="254"/>
      <c r="AD269" s="254"/>
    </row>
    <row r="270" customFormat="false" ht="12.75" hidden="false" customHeight="false" outlineLevel="0" collapsed="false">
      <c r="L270" s="254"/>
      <c r="O270" s="254"/>
      <c r="AC270" s="254"/>
      <c r="AD270" s="254"/>
    </row>
    <row r="271" customFormat="false" ht="12.75" hidden="false" customHeight="false" outlineLevel="0" collapsed="false">
      <c r="L271" s="254"/>
      <c r="O271" s="254"/>
      <c r="AC271" s="254"/>
      <c r="AD271" s="254"/>
    </row>
    <row r="272" customFormat="false" ht="12.75" hidden="false" customHeight="false" outlineLevel="0" collapsed="false">
      <c r="L272" s="254"/>
      <c r="O272" s="254"/>
      <c r="AC272" s="254"/>
      <c r="AD272" s="254"/>
    </row>
    <row r="273" customFormat="false" ht="12.75" hidden="false" customHeight="false" outlineLevel="0" collapsed="false">
      <c r="L273" s="254"/>
      <c r="O273" s="254"/>
      <c r="AC273" s="254"/>
      <c r="AD273" s="254"/>
    </row>
    <row r="274" customFormat="false" ht="12.75" hidden="false" customHeight="false" outlineLevel="0" collapsed="false">
      <c r="L274" s="254"/>
      <c r="O274" s="254"/>
      <c r="AC274" s="254"/>
      <c r="AD274" s="254"/>
    </row>
    <row r="275" customFormat="false" ht="12.75" hidden="false" customHeight="false" outlineLevel="0" collapsed="false">
      <c r="L275" s="254"/>
      <c r="O275" s="254"/>
      <c r="AC275" s="254"/>
      <c r="AD275" s="254"/>
    </row>
    <row r="276" customFormat="false" ht="12.75" hidden="false" customHeight="false" outlineLevel="0" collapsed="false">
      <c r="L276" s="254"/>
      <c r="O276" s="254"/>
      <c r="AC276" s="254"/>
      <c r="AD276" s="254"/>
    </row>
    <row r="277" customFormat="false" ht="12.75" hidden="false" customHeight="false" outlineLevel="0" collapsed="false">
      <c r="L277" s="254"/>
      <c r="O277" s="254"/>
      <c r="AC277" s="254"/>
      <c r="AD277" s="254"/>
    </row>
    <row r="278" customFormat="false" ht="12.75" hidden="false" customHeight="false" outlineLevel="0" collapsed="false">
      <c r="L278" s="254"/>
      <c r="O278" s="254"/>
      <c r="AC278" s="254"/>
      <c r="AD278" s="254"/>
    </row>
    <row r="279" customFormat="false" ht="12.75" hidden="false" customHeight="false" outlineLevel="0" collapsed="false">
      <c r="L279" s="254"/>
      <c r="O279" s="254"/>
      <c r="AC279" s="254"/>
      <c r="AD279" s="254"/>
    </row>
    <row r="280" customFormat="false" ht="12.75" hidden="false" customHeight="false" outlineLevel="0" collapsed="false">
      <c r="L280" s="254"/>
      <c r="O280" s="254"/>
      <c r="AC280" s="254"/>
      <c r="AD280" s="254"/>
    </row>
    <row r="281" customFormat="false" ht="12.75" hidden="false" customHeight="false" outlineLevel="0" collapsed="false">
      <c r="L281" s="254"/>
      <c r="O281" s="254"/>
      <c r="AC281" s="254"/>
      <c r="AD281" s="254"/>
    </row>
    <row r="282" customFormat="false" ht="12.75" hidden="false" customHeight="false" outlineLevel="0" collapsed="false">
      <c r="L282" s="254"/>
      <c r="O282" s="254"/>
      <c r="AC282" s="254"/>
      <c r="AD282" s="254"/>
    </row>
    <row r="283" customFormat="false" ht="12.75" hidden="false" customHeight="false" outlineLevel="0" collapsed="false">
      <c r="L283" s="254"/>
      <c r="O283" s="254"/>
      <c r="AC283" s="254"/>
      <c r="AD283" s="254"/>
    </row>
    <row r="284" customFormat="false" ht="12.75" hidden="false" customHeight="false" outlineLevel="0" collapsed="false">
      <c r="L284" s="254"/>
      <c r="O284" s="254"/>
      <c r="AC284" s="254"/>
      <c r="AD284" s="254"/>
    </row>
    <row r="285" customFormat="false" ht="12.75" hidden="false" customHeight="false" outlineLevel="0" collapsed="false">
      <c r="L285" s="254"/>
      <c r="O285" s="254"/>
      <c r="AC285" s="254"/>
      <c r="AD285" s="254"/>
    </row>
    <row r="286" customFormat="false" ht="12.75" hidden="false" customHeight="false" outlineLevel="0" collapsed="false">
      <c r="L286" s="254"/>
      <c r="O286" s="254"/>
      <c r="AC286" s="254"/>
      <c r="AD286" s="254"/>
    </row>
    <row r="287" customFormat="false" ht="12.75" hidden="false" customHeight="false" outlineLevel="0" collapsed="false">
      <c r="L287" s="254"/>
      <c r="O287" s="254"/>
      <c r="AC287" s="254"/>
      <c r="AD287" s="254"/>
    </row>
    <row r="288" customFormat="false" ht="12.75" hidden="false" customHeight="false" outlineLevel="0" collapsed="false">
      <c r="L288" s="254"/>
      <c r="O288" s="254"/>
      <c r="AC288" s="254"/>
      <c r="AD288" s="254"/>
    </row>
    <row r="289" customFormat="false" ht="12.75" hidden="false" customHeight="false" outlineLevel="0" collapsed="false">
      <c r="L289" s="254"/>
      <c r="O289" s="254"/>
      <c r="AC289" s="254"/>
      <c r="AD289" s="254"/>
    </row>
    <row r="290" customFormat="false" ht="12.75" hidden="false" customHeight="false" outlineLevel="0" collapsed="false">
      <c r="L290" s="254"/>
      <c r="O290" s="254"/>
      <c r="AC290" s="254"/>
      <c r="AD290" s="254"/>
    </row>
    <row r="291" customFormat="false" ht="12.75" hidden="false" customHeight="false" outlineLevel="0" collapsed="false">
      <c r="L291" s="254"/>
      <c r="O291" s="254"/>
      <c r="AC291" s="254"/>
      <c r="AD291" s="254"/>
    </row>
    <row r="292" customFormat="false" ht="12.75" hidden="false" customHeight="false" outlineLevel="0" collapsed="false">
      <c r="L292" s="254"/>
      <c r="O292" s="254"/>
      <c r="AC292" s="254"/>
      <c r="AD292" s="254"/>
    </row>
    <row r="293" customFormat="false" ht="12.75" hidden="false" customHeight="false" outlineLevel="0" collapsed="false">
      <c r="L293" s="254"/>
      <c r="O293" s="254"/>
      <c r="AC293" s="254"/>
      <c r="AD293" s="254"/>
    </row>
    <row r="294" customFormat="false" ht="12.75" hidden="false" customHeight="false" outlineLevel="0" collapsed="false">
      <c r="L294" s="254"/>
      <c r="O294" s="254"/>
      <c r="AC294" s="254"/>
      <c r="AD294" s="254"/>
    </row>
    <row r="295" customFormat="false" ht="12.75" hidden="false" customHeight="false" outlineLevel="0" collapsed="false">
      <c r="L295" s="254"/>
      <c r="O295" s="254"/>
      <c r="AC295" s="254"/>
      <c r="AD295" s="254"/>
    </row>
    <row r="296" customFormat="false" ht="12.75" hidden="false" customHeight="false" outlineLevel="0" collapsed="false">
      <c r="L296" s="254"/>
      <c r="O296" s="254"/>
      <c r="AC296" s="254"/>
      <c r="AD296" s="254"/>
    </row>
    <row r="297" customFormat="false" ht="12.75" hidden="false" customHeight="false" outlineLevel="0" collapsed="false">
      <c r="L297" s="254"/>
      <c r="O297" s="254"/>
      <c r="AC297" s="254"/>
      <c r="AD297" s="254"/>
    </row>
    <row r="298" customFormat="false" ht="12.75" hidden="false" customHeight="false" outlineLevel="0" collapsed="false">
      <c r="L298" s="254"/>
      <c r="O298" s="254"/>
      <c r="AC298" s="254"/>
      <c r="AD298" s="254"/>
    </row>
    <row r="299" customFormat="false" ht="12.75" hidden="false" customHeight="false" outlineLevel="0" collapsed="false">
      <c r="L299" s="254"/>
      <c r="O299" s="254"/>
      <c r="AC299" s="254"/>
      <c r="AD299" s="254"/>
    </row>
    <row r="300" customFormat="false" ht="12.75" hidden="false" customHeight="false" outlineLevel="0" collapsed="false">
      <c r="L300" s="254"/>
      <c r="O300" s="254"/>
      <c r="AC300" s="254"/>
      <c r="AD300" s="254"/>
    </row>
    <row r="301" customFormat="false" ht="12.75" hidden="false" customHeight="false" outlineLevel="0" collapsed="false">
      <c r="L301" s="254"/>
      <c r="O301" s="254"/>
      <c r="AC301" s="254"/>
      <c r="AD301" s="254"/>
    </row>
    <row r="302" customFormat="false" ht="12.75" hidden="false" customHeight="false" outlineLevel="0" collapsed="false">
      <c r="L302" s="254"/>
      <c r="O302" s="254"/>
      <c r="AC302" s="254"/>
      <c r="AD302" s="254"/>
    </row>
    <row r="303" customFormat="false" ht="12.75" hidden="false" customHeight="false" outlineLevel="0" collapsed="false">
      <c r="L303" s="254"/>
      <c r="O303" s="254"/>
      <c r="AC303" s="254"/>
      <c r="AD303" s="254"/>
    </row>
    <row r="304" customFormat="false" ht="12.75" hidden="false" customHeight="false" outlineLevel="0" collapsed="false">
      <c r="L304" s="254"/>
      <c r="O304" s="254"/>
      <c r="AC304" s="254"/>
      <c r="AD304" s="254"/>
    </row>
    <row r="305" customFormat="false" ht="12.75" hidden="false" customHeight="false" outlineLevel="0" collapsed="false">
      <c r="L305" s="254"/>
      <c r="O305" s="254"/>
      <c r="AC305" s="254"/>
      <c r="AD305" s="254"/>
    </row>
    <row r="306" customFormat="false" ht="12.75" hidden="false" customHeight="false" outlineLevel="0" collapsed="false">
      <c r="L306" s="254"/>
      <c r="O306" s="254"/>
      <c r="AC306" s="254"/>
      <c r="AD306" s="254"/>
    </row>
    <row r="307" customFormat="false" ht="12.75" hidden="false" customHeight="false" outlineLevel="0" collapsed="false">
      <c r="L307" s="254"/>
      <c r="O307" s="254"/>
      <c r="AC307" s="254"/>
      <c r="AD307" s="254"/>
    </row>
    <row r="308" customFormat="false" ht="12.75" hidden="false" customHeight="false" outlineLevel="0" collapsed="false">
      <c r="L308" s="254"/>
      <c r="O308" s="254"/>
      <c r="AC308" s="254"/>
      <c r="AD308" s="254"/>
    </row>
    <row r="309" customFormat="false" ht="12.75" hidden="false" customHeight="false" outlineLevel="0" collapsed="false">
      <c r="L309" s="254"/>
      <c r="O309" s="254"/>
      <c r="AC309" s="254"/>
      <c r="AD309" s="254"/>
    </row>
    <row r="310" customFormat="false" ht="12.75" hidden="false" customHeight="false" outlineLevel="0" collapsed="false">
      <c r="L310" s="254"/>
      <c r="O310" s="254"/>
      <c r="AC310" s="254"/>
      <c r="AD310" s="254"/>
    </row>
    <row r="311" customFormat="false" ht="12.75" hidden="false" customHeight="false" outlineLevel="0" collapsed="false">
      <c r="L311" s="254"/>
      <c r="O311" s="254"/>
      <c r="AC311" s="254"/>
      <c r="AD311" s="254"/>
    </row>
    <row r="312" customFormat="false" ht="12.75" hidden="false" customHeight="false" outlineLevel="0" collapsed="false">
      <c r="L312" s="254"/>
      <c r="O312" s="254"/>
      <c r="AC312" s="254"/>
      <c r="AD312" s="254"/>
    </row>
    <row r="313" customFormat="false" ht="12.75" hidden="false" customHeight="false" outlineLevel="0" collapsed="false">
      <c r="L313" s="254"/>
      <c r="O313" s="254"/>
      <c r="AC313" s="254"/>
      <c r="AD313" s="254"/>
    </row>
    <row r="314" customFormat="false" ht="12.75" hidden="false" customHeight="false" outlineLevel="0" collapsed="false">
      <c r="L314" s="254"/>
      <c r="O314" s="254"/>
      <c r="AC314" s="254"/>
      <c r="AD314" s="254"/>
    </row>
    <row r="315" customFormat="false" ht="12.75" hidden="false" customHeight="false" outlineLevel="0" collapsed="false">
      <c r="L315" s="254"/>
      <c r="O315" s="254"/>
      <c r="AC315" s="254"/>
      <c r="AD315" s="254"/>
    </row>
    <row r="316" customFormat="false" ht="12.75" hidden="false" customHeight="false" outlineLevel="0" collapsed="false">
      <c r="L316" s="254"/>
      <c r="O316" s="254"/>
      <c r="AC316" s="254"/>
      <c r="AD316" s="254"/>
    </row>
    <row r="317" customFormat="false" ht="12.75" hidden="false" customHeight="false" outlineLevel="0" collapsed="false">
      <c r="L317" s="254"/>
      <c r="O317" s="254"/>
      <c r="AC317" s="254"/>
      <c r="AD317" s="254"/>
    </row>
    <row r="318" customFormat="false" ht="12.75" hidden="false" customHeight="false" outlineLevel="0" collapsed="false">
      <c r="L318" s="254"/>
      <c r="O318" s="254"/>
      <c r="AC318" s="254"/>
      <c r="AD318" s="254"/>
    </row>
    <row r="319" customFormat="false" ht="12.75" hidden="false" customHeight="false" outlineLevel="0" collapsed="false">
      <c r="L319" s="254"/>
      <c r="O319" s="254"/>
      <c r="AC319" s="254"/>
      <c r="AD319" s="254"/>
    </row>
    <row r="320" customFormat="false" ht="12.75" hidden="false" customHeight="false" outlineLevel="0" collapsed="false">
      <c r="L320" s="254"/>
      <c r="O320" s="254"/>
      <c r="AC320" s="254"/>
      <c r="AD320" s="254"/>
    </row>
    <row r="321" customFormat="false" ht="12.75" hidden="false" customHeight="false" outlineLevel="0" collapsed="false">
      <c r="L321" s="254"/>
      <c r="O321" s="254"/>
      <c r="AC321" s="254"/>
      <c r="AD321" s="254"/>
    </row>
    <row r="322" customFormat="false" ht="12.75" hidden="false" customHeight="false" outlineLevel="0" collapsed="false">
      <c r="L322" s="254"/>
      <c r="O322" s="254"/>
      <c r="AC322" s="254"/>
      <c r="AD322" s="254"/>
    </row>
    <row r="323" customFormat="false" ht="12.75" hidden="false" customHeight="false" outlineLevel="0" collapsed="false">
      <c r="L323" s="254"/>
      <c r="O323" s="254"/>
      <c r="AC323" s="254"/>
      <c r="AD323" s="254"/>
    </row>
    <row r="324" customFormat="false" ht="12.75" hidden="false" customHeight="false" outlineLevel="0" collapsed="false">
      <c r="L324" s="254"/>
      <c r="O324" s="254"/>
      <c r="AC324" s="254"/>
      <c r="AD324" s="254"/>
    </row>
    <row r="325" customFormat="false" ht="12.75" hidden="false" customHeight="false" outlineLevel="0" collapsed="false">
      <c r="L325" s="254"/>
      <c r="O325" s="254"/>
      <c r="AC325" s="254"/>
      <c r="AD325" s="254"/>
    </row>
    <row r="326" customFormat="false" ht="12.75" hidden="false" customHeight="false" outlineLevel="0" collapsed="false">
      <c r="L326" s="254"/>
      <c r="O326" s="254"/>
      <c r="AC326" s="254"/>
      <c r="AD326" s="254"/>
    </row>
    <row r="327" customFormat="false" ht="12.75" hidden="false" customHeight="false" outlineLevel="0" collapsed="false">
      <c r="L327" s="254"/>
      <c r="O327" s="254"/>
      <c r="AC327" s="254"/>
      <c r="AD327" s="254"/>
    </row>
    <row r="328" customFormat="false" ht="12.75" hidden="false" customHeight="false" outlineLevel="0" collapsed="false">
      <c r="L328" s="254"/>
      <c r="O328" s="254"/>
      <c r="AC328" s="254"/>
      <c r="AD328" s="254"/>
    </row>
    <row r="329" customFormat="false" ht="12.75" hidden="false" customHeight="false" outlineLevel="0" collapsed="false">
      <c r="L329" s="254"/>
      <c r="O329" s="254"/>
      <c r="AC329" s="254"/>
      <c r="AD329" s="254"/>
    </row>
    <row r="330" customFormat="false" ht="12.75" hidden="false" customHeight="false" outlineLevel="0" collapsed="false">
      <c r="L330" s="254"/>
      <c r="O330" s="254"/>
      <c r="AC330" s="254"/>
      <c r="AD330" s="254"/>
    </row>
    <row r="331" customFormat="false" ht="12.75" hidden="false" customHeight="false" outlineLevel="0" collapsed="false">
      <c r="L331" s="254"/>
      <c r="O331" s="254"/>
      <c r="AC331" s="254"/>
      <c r="AD331" s="254"/>
    </row>
    <row r="332" customFormat="false" ht="12.75" hidden="false" customHeight="false" outlineLevel="0" collapsed="false">
      <c r="L332" s="254"/>
      <c r="O332" s="254"/>
      <c r="AC332" s="254"/>
      <c r="AD332" s="254"/>
    </row>
    <row r="333" customFormat="false" ht="12.75" hidden="false" customHeight="false" outlineLevel="0" collapsed="false">
      <c r="L333" s="254"/>
      <c r="O333" s="254"/>
      <c r="AC333" s="254"/>
      <c r="AD333" s="254"/>
    </row>
    <row r="334" customFormat="false" ht="12.75" hidden="false" customHeight="false" outlineLevel="0" collapsed="false">
      <c r="L334" s="254"/>
      <c r="O334" s="254"/>
      <c r="AC334" s="254"/>
      <c r="AD334" s="254"/>
    </row>
    <row r="335" customFormat="false" ht="12.75" hidden="false" customHeight="false" outlineLevel="0" collapsed="false">
      <c r="L335" s="254"/>
      <c r="O335" s="254"/>
      <c r="AC335" s="254"/>
      <c r="AD335" s="254"/>
    </row>
    <row r="336" customFormat="false" ht="12.75" hidden="false" customHeight="false" outlineLevel="0" collapsed="false">
      <c r="L336" s="254"/>
      <c r="O336" s="254"/>
      <c r="AC336" s="254"/>
      <c r="AD336" s="254"/>
    </row>
    <row r="337" customFormat="false" ht="12.75" hidden="false" customHeight="false" outlineLevel="0" collapsed="false">
      <c r="L337" s="254"/>
      <c r="O337" s="254"/>
      <c r="AC337" s="254"/>
      <c r="AD337" s="254"/>
    </row>
    <row r="338" customFormat="false" ht="12.75" hidden="false" customHeight="false" outlineLevel="0" collapsed="false">
      <c r="L338" s="254"/>
      <c r="O338" s="254"/>
      <c r="AC338" s="254"/>
      <c r="AD338" s="254"/>
    </row>
    <row r="339" customFormat="false" ht="12.75" hidden="false" customHeight="false" outlineLevel="0" collapsed="false">
      <c r="L339" s="254"/>
      <c r="O339" s="254"/>
      <c r="AC339" s="254"/>
      <c r="AD339" s="254"/>
    </row>
    <row r="340" customFormat="false" ht="12.75" hidden="false" customHeight="false" outlineLevel="0" collapsed="false">
      <c r="L340" s="254"/>
      <c r="O340" s="254"/>
      <c r="AC340" s="254"/>
      <c r="AD340" s="254"/>
    </row>
    <row r="341" customFormat="false" ht="12.75" hidden="false" customHeight="false" outlineLevel="0" collapsed="false">
      <c r="L341" s="254"/>
      <c r="O341" s="254"/>
      <c r="AC341" s="254"/>
      <c r="AD341" s="254"/>
    </row>
    <row r="342" customFormat="false" ht="12.75" hidden="false" customHeight="false" outlineLevel="0" collapsed="false">
      <c r="L342" s="254"/>
      <c r="O342" s="254"/>
      <c r="AC342" s="254"/>
      <c r="AD342" s="254"/>
    </row>
    <row r="343" customFormat="false" ht="12.75" hidden="false" customHeight="false" outlineLevel="0" collapsed="false">
      <c r="L343" s="254"/>
      <c r="O343" s="254"/>
      <c r="AC343" s="254"/>
      <c r="AD343" s="254"/>
    </row>
    <row r="344" customFormat="false" ht="12.75" hidden="false" customHeight="false" outlineLevel="0" collapsed="false">
      <c r="L344" s="254"/>
      <c r="O344" s="254"/>
      <c r="AC344" s="254"/>
      <c r="AD344" s="254"/>
    </row>
    <row r="345" customFormat="false" ht="12.75" hidden="false" customHeight="false" outlineLevel="0" collapsed="false">
      <c r="L345" s="254"/>
      <c r="O345" s="254"/>
      <c r="AC345" s="254"/>
      <c r="AD345" s="254"/>
    </row>
    <row r="346" customFormat="false" ht="12.75" hidden="false" customHeight="false" outlineLevel="0" collapsed="false">
      <c r="L346" s="254"/>
      <c r="O346" s="254"/>
      <c r="AC346" s="254"/>
      <c r="AD346" s="254"/>
    </row>
    <row r="347" customFormat="false" ht="12.75" hidden="false" customHeight="false" outlineLevel="0" collapsed="false">
      <c r="L347" s="254"/>
      <c r="O347" s="254"/>
      <c r="AC347" s="254"/>
      <c r="AD347" s="254"/>
    </row>
    <row r="348" customFormat="false" ht="12.75" hidden="false" customHeight="false" outlineLevel="0" collapsed="false">
      <c r="L348" s="254"/>
      <c r="O348" s="254"/>
      <c r="AC348" s="254"/>
      <c r="AD348" s="254"/>
    </row>
    <row r="349" customFormat="false" ht="12.75" hidden="false" customHeight="false" outlineLevel="0" collapsed="false">
      <c r="L349" s="254"/>
      <c r="O349" s="254"/>
      <c r="AC349" s="254"/>
      <c r="AD349" s="254"/>
    </row>
    <row r="350" customFormat="false" ht="12.75" hidden="false" customHeight="false" outlineLevel="0" collapsed="false">
      <c r="L350" s="254"/>
      <c r="O350" s="254"/>
      <c r="AC350" s="254"/>
      <c r="AD350" s="254"/>
    </row>
    <row r="351" customFormat="false" ht="12.75" hidden="false" customHeight="false" outlineLevel="0" collapsed="false">
      <c r="L351" s="254"/>
      <c r="O351" s="254"/>
      <c r="AC351" s="254"/>
      <c r="AD351" s="254"/>
    </row>
    <row r="352" customFormat="false" ht="12.75" hidden="false" customHeight="false" outlineLevel="0" collapsed="false">
      <c r="L352" s="254"/>
      <c r="O352" s="254"/>
      <c r="AC352" s="254"/>
      <c r="AD352" s="254"/>
    </row>
    <row r="353" customFormat="false" ht="12.75" hidden="false" customHeight="false" outlineLevel="0" collapsed="false">
      <c r="L353" s="254"/>
      <c r="O353" s="254"/>
      <c r="AC353" s="254"/>
      <c r="AD353" s="254"/>
    </row>
    <row r="354" customFormat="false" ht="12.75" hidden="false" customHeight="false" outlineLevel="0" collapsed="false">
      <c r="L354" s="254"/>
      <c r="O354" s="254"/>
      <c r="AC354" s="254"/>
      <c r="AD354" s="254"/>
    </row>
    <row r="355" customFormat="false" ht="12.75" hidden="false" customHeight="false" outlineLevel="0" collapsed="false">
      <c r="L355" s="254"/>
      <c r="O355" s="254"/>
      <c r="AC355" s="254"/>
      <c r="AD355" s="254"/>
    </row>
    <row r="356" customFormat="false" ht="12.75" hidden="false" customHeight="false" outlineLevel="0" collapsed="false">
      <c r="L356" s="254"/>
      <c r="O356" s="254"/>
      <c r="AC356" s="254"/>
      <c r="AD356" s="254"/>
    </row>
    <row r="357" customFormat="false" ht="12.75" hidden="false" customHeight="false" outlineLevel="0" collapsed="false">
      <c r="L357" s="254"/>
      <c r="O357" s="254"/>
      <c r="AC357" s="254"/>
      <c r="AD357" s="254"/>
    </row>
    <row r="358" customFormat="false" ht="12.75" hidden="false" customHeight="false" outlineLevel="0" collapsed="false">
      <c r="L358" s="254"/>
      <c r="O358" s="254"/>
      <c r="AC358" s="254"/>
      <c r="AD358" s="254"/>
    </row>
    <row r="359" customFormat="false" ht="12.75" hidden="false" customHeight="false" outlineLevel="0" collapsed="false">
      <c r="L359" s="254"/>
      <c r="O359" s="254"/>
      <c r="AC359" s="254"/>
      <c r="AD359" s="254"/>
    </row>
    <row r="360" customFormat="false" ht="12.75" hidden="false" customHeight="false" outlineLevel="0" collapsed="false">
      <c r="L360" s="254"/>
      <c r="O360" s="254"/>
      <c r="AC360" s="254"/>
      <c r="AD360" s="254"/>
    </row>
    <row r="361" customFormat="false" ht="12.75" hidden="false" customHeight="false" outlineLevel="0" collapsed="false">
      <c r="L361" s="254"/>
      <c r="O361" s="254"/>
      <c r="AC361" s="254"/>
      <c r="AD361" s="254"/>
    </row>
    <row r="362" customFormat="false" ht="12.75" hidden="false" customHeight="false" outlineLevel="0" collapsed="false">
      <c r="L362" s="254"/>
      <c r="O362" s="254"/>
      <c r="AC362" s="254"/>
      <c r="AD362" s="254"/>
    </row>
    <row r="363" customFormat="false" ht="12.75" hidden="false" customHeight="false" outlineLevel="0" collapsed="false">
      <c r="L363" s="254"/>
      <c r="O363" s="254"/>
      <c r="AC363" s="254"/>
      <c r="AD363" s="254"/>
    </row>
    <row r="364" customFormat="false" ht="12.75" hidden="false" customHeight="false" outlineLevel="0" collapsed="false">
      <c r="L364" s="254"/>
      <c r="O364" s="254"/>
      <c r="AC364" s="254"/>
      <c r="AD364" s="254"/>
    </row>
    <row r="365" customFormat="false" ht="12.75" hidden="false" customHeight="false" outlineLevel="0" collapsed="false">
      <c r="L365" s="254"/>
      <c r="O365" s="254"/>
      <c r="AC365" s="254"/>
      <c r="AD365" s="254"/>
    </row>
    <row r="366" customFormat="false" ht="12.75" hidden="false" customHeight="false" outlineLevel="0" collapsed="false">
      <c r="L366" s="254"/>
      <c r="O366" s="254"/>
      <c r="AC366" s="254"/>
      <c r="AD366" s="254"/>
    </row>
    <row r="367" customFormat="false" ht="12.75" hidden="false" customHeight="false" outlineLevel="0" collapsed="false">
      <c r="L367" s="254"/>
      <c r="O367" s="254"/>
      <c r="AC367" s="254"/>
      <c r="AD367" s="254"/>
    </row>
    <row r="368" customFormat="false" ht="12.75" hidden="false" customHeight="false" outlineLevel="0" collapsed="false">
      <c r="L368" s="254"/>
      <c r="O368" s="254"/>
      <c r="AC368" s="254"/>
      <c r="AD368" s="254"/>
    </row>
    <row r="369" customFormat="false" ht="12.75" hidden="false" customHeight="false" outlineLevel="0" collapsed="false">
      <c r="L369" s="254"/>
      <c r="O369" s="254"/>
      <c r="AC369" s="254"/>
      <c r="AD369" s="254"/>
    </row>
    <row r="370" customFormat="false" ht="12.75" hidden="false" customHeight="false" outlineLevel="0" collapsed="false">
      <c r="L370" s="254"/>
      <c r="O370" s="254"/>
      <c r="AC370" s="254"/>
      <c r="AD370" s="254"/>
    </row>
    <row r="371" customFormat="false" ht="12.75" hidden="false" customHeight="false" outlineLevel="0" collapsed="false">
      <c r="L371" s="254"/>
      <c r="O371" s="254"/>
      <c r="AC371" s="254"/>
      <c r="AD371" s="254"/>
    </row>
    <row r="372" customFormat="false" ht="12.75" hidden="false" customHeight="false" outlineLevel="0" collapsed="false">
      <c r="L372" s="254"/>
      <c r="O372" s="254"/>
      <c r="AC372" s="254"/>
      <c r="AD372" s="254"/>
    </row>
    <row r="373" customFormat="false" ht="12.75" hidden="false" customHeight="false" outlineLevel="0" collapsed="false">
      <c r="L373" s="254"/>
      <c r="O373" s="254"/>
      <c r="AC373" s="254"/>
      <c r="AD373" s="254"/>
    </row>
    <row r="374" customFormat="false" ht="12.75" hidden="false" customHeight="false" outlineLevel="0" collapsed="false">
      <c r="L374" s="254"/>
      <c r="O374" s="254"/>
      <c r="AC374" s="254"/>
      <c r="AD374" s="254"/>
    </row>
    <row r="375" customFormat="false" ht="12.75" hidden="false" customHeight="false" outlineLevel="0" collapsed="false">
      <c r="L375" s="254"/>
      <c r="O375" s="254"/>
      <c r="AC375" s="254"/>
      <c r="AD375" s="254"/>
    </row>
    <row r="376" customFormat="false" ht="12.75" hidden="false" customHeight="false" outlineLevel="0" collapsed="false">
      <c r="L376" s="254"/>
      <c r="O376" s="254"/>
      <c r="AC376" s="254"/>
      <c r="AD376" s="254"/>
    </row>
    <row r="377" customFormat="false" ht="12.75" hidden="false" customHeight="false" outlineLevel="0" collapsed="false">
      <c r="L377" s="254"/>
      <c r="O377" s="254"/>
      <c r="AC377" s="254"/>
      <c r="AD377" s="254"/>
    </row>
    <row r="378" customFormat="false" ht="12.75" hidden="false" customHeight="false" outlineLevel="0" collapsed="false">
      <c r="L378" s="254"/>
      <c r="O378" s="254"/>
      <c r="AC378" s="254"/>
      <c r="AD378" s="254"/>
    </row>
    <row r="379" customFormat="false" ht="12.75" hidden="false" customHeight="false" outlineLevel="0" collapsed="false">
      <c r="L379" s="254"/>
      <c r="O379" s="254"/>
      <c r="AC379" s="254"/>
      <c r="AD379" s="254"/>
    </row>
    <row r="380" customFormat="false" ht="12.75" hidden="false" customHeight="false" outlineLevel="0" collapsed="false">
      <c r="L380" s="254"/>
      <c r="O380" s="254"/>
      <c r="AC380" s="254"/>
      <c r="AD380" s="254"/>
    </row>
    <row r="381" customFormat="false" ht="12.75" hidden="false" customHeight="false" outlineLevel="0" collapsed="false">
      <c r="L381" s="254"/>
      <c r="O381" s="254"/>
      <c r="AC381" s="254"/>
      <c r="AD381" s="254"/>
    </row>
    <row r="382" customFormat="false" ht="12.75" hidden="false" customHeight="false" outlineLevel="0" collapsed="false">
      <c r="L382" s="254"/>
      <c r="O382" s="254"/>
      <c r="AC382" s="254"/>
      <c r="AD382" s="254"/>
    </row>
    <row r="383" customFormat="false" ht="12.75" hidden="false" customHeight="false" outlineLevel="0" collapsed="false">
      <c r="L383" s="254"/>
      <c r="O383" s="254"/>
      <c r="AC383" s="254"/>
      <c r="AD383" s="254"/>
    </row>
    <row r="384" customFormat="false" ht="12.75" hidden="false" customHeight="false" outlineLevel="0" collapsed="false">
      <c r="L384" s="254"/>
      <c r="O384" s="254"/>
      <c r="AC384" s="254"/>
      <c r="AD384" s="254"/>
    </row>
    <row r="385" customFormat="false" ht="12.75" hidden="false" customHeight="false" outlineLevel="0" collapsed="false">
      <c r="L385" s="254"/>
      <c r="O385" s="254"/>
      <c r="AC385" s="254"/>
      <c r="AD385" s="254"/>
    </row>
    <row r="386" customFormat="false" ht="12.75" hidden="false" customHeight="false" outlineLevel="0" collapsed="false">
      <c r="L386" s="254"/>
      <c r="O386" s="254"/>
      <c r="AC386" s="254"/>
      <c r="AD386" s="254"/>
    </row>
    <row r="387" customFormat="false" ht="12.75" hidden="false" customHeight="false" outlineLevel="0" collapsed="false">
      <c r="L387" s="254"/>
      <c r="O387" s="254"/>
      <c r="AC387" s="254"/>
      <c r="AD387" s="254"/>
    </row>
    <row r="388" customFormat="false" ht="12.75" hidden="false" customHeight="false" outlineLevel="0" collapsed="false">
      <c r="L388" s="254"/>
      <c r="O388" s="254"/>
      <c r="AC388" s="254"/>
      <c r="AD388" s="254"/>
    </row>
    <row r="389" customFormat="false" ht="12.75" hidden="false" customHeight="false" outlineLevel="0" collapsed="false">
      <c r="L389" s="254"/>
      <c r="O389" s="254"/>
      <c r="AC389" s="254"/>
      <c r="AD389" s="254"/>
    </row>
    <row r="390" customFormat="false" ht="12.75" hidden="false" customHeight="false" outlineLevel="0" collapsed="false">
      <c r="L390" s="254"/>
      <c r="O390" s="254"/>
      <c r="AC390" s="254"/>
      <c r="AD390" s="254"/>
    </row>
    <row r="391" customFormat="false" ht="12.75" hidden="false" customHeight="false" outlineLevel="0" collapsed="false">
      <c r="L391" s="254"/>
      <c r="O391" s="254"/>
      <c r="AC391" s="254"/>
      <c r="AD391" s="254"/>
    </row>
    <row r="392" customFormat="false" ht="12.75" hidden="false" customHeight="false" outlineLevel="0" collapsed="false">
      <c r="L392" s="254"/>
      <c r="O392" s="254"/>
      <c r="AC392" s="254"/>
      <c r="AD392" s="254"/>
    </row>
    <row r="393" customFormat="false" ht="12.75" hidden="false" customHeight="false" outlineLevel="0" collapsed="false">
      <c r="L393" s="254"/>
      <c r="O393" s="254"/>
      <c r="AC393" s="254"/>
      <c r="AD393" s="254"/>
    </row>
    <row r="394" customFormat="false" ht="12.75" hidden="false" customHeight="false" outlineLevel="0" collapsed="false">
      <c r="L394" s="254"/>
      <c r="O394" s="254"/>
      <c r="AC394" s="254"/>
      <c r="AD394" s="254"/>
    </row>
    <row r="395" customFormat="false" ht="12.75" hidden="false" customHeight="false" outlineLevel="0" collapsed="false">
      <c r="L395" s="254"/>
      <c r="O395" s="254"/>
      <c r="AC395" s="254"/>
      <c r="AD395" s="254"/>
    </row>
    <row r="396" customFormat="false" ht="12.75" hidden="false" customHeight="false" outlineLevel="0" collapsed="false">
      <c r="L396" s="254"/>
      <c r="O396" s="254"/>
      <c r="AC396" s="254"/>
      <c r="AD396" s="254"/>
    </row>
    <row r="397" customFormat="false" ht="12.75" hidden="false" customHeight="false" outlineLevel="0" collapsed="false">
      <c r="L397" s="254"/>
      <c r="O397" s="254"/>
      <c r="AC397" s="254"/>
      <c r="AD397" s="254"/>
    </row>
    <row r="398" customFormat="false" ht="12.75" hidden="false" customHeight="false" outlineLevel="0" collapsed="false">
      <c r="L398" s="254"/>
      <c r="O398" s="254"/>
      <c r="AC398" s="254"/>
      <c r="AD398" s="254"/>
    </row>
    <row r="399" customFormat="false" ht="12.75" hidden="false" customHeight="false" outlineLevel="0" collapsed="false">
      <c r="L399" s="254"/>
      <c r="O399" s="254"/>
      <c r="AC399" s="254"/>
      <c r="AD399" s="254"/>
    </row>
    <row r="400" customFormat="false" ht="12.75" hidden="false" customHeight="false" outlineLevel="0" collapsed="false">
      <c r="L400" s="254"/>
      <c r="O400" s="254"/>
      <c r="AC400" s="254"/>
      <c r="AD400" s="254"/>
    </row>
    <row r="401" customFormat="false" ht="12.75" hidden="false" customHeight="false" outlineLevel="0" collapsed="false">
      <c r="L401" s="254"/>
      <c r="O401" s="254"/>
      <c r="AC401" s="254"/>
      <c r="AD401" s="254"/>
    </row>
    <row r="402" customFormat="false" ht="12.75" hidden="false" customHeight="false" outlineLevel="0" collapsed="false">
      <c r="L402" s="254"/>
      <c r="O402" s="254"/>
      <c r="AC402" s="254"/>
      <c r="AD402" s="254"/>
    </row>
    <row r="403" customFormat="false" ht="12.75" hidden="false" customHeight="false" outlineLevel="0" collapsed="false">
      <c r="L403" s="254"/>
      <c r="O403" s="254"/>
      <c r="AC403" s="254"/>
      <c r="AD403" s="254"/>
    </row>
    <row r="404" customFormat="false" ht="12.75" hidden="false" customHeight="false" outlineLevel="0" collapsed="false">
      <c r="L404" s="254"/>
      <c r="O404" s="254"/>
      <c r="AC404" s="254"/>
      <c r="AD404" s="254"/>
    </row>
    <row r="405" customFormat="false" ht="12.75" hidden="false" customHeight="false" outlineLevel="0" collapsed="false">
      <c r="L405" s="254"/>
      <c r="O405" s="254"/>
      <c r="AC405" s="254"/>
      <c r="AD405" s="254"/>
    </row>
    <row r="406" customFormat="false" ht="12.75" hidden="false" customHeight="false" outlineLevel="0" collapsed="false">
      <c r="L406" s="254"/>
      <c r="O406" s="254"/>
      <c r="AC406" s="254"/>
      <c r="AD406" s="254"/>
    </row>
    <row r="407" customFormat="false" ht="12.75" hidden="false" customHeight="false" outlineLevel="0" collapsed="false">
      <c r="L407" s="254"/>
      <c r="O407" s="254"/>
      <c r="AC407" s="254"/>
      <c r="AD407" s="254"/>
    </row>
    <row r="408" customFormat="false" ht="12.75" hidden="false" customHeight="false" outlineLevel="0" collapsed="false">
      <c r="L408" s="254"/>
      <c r="O408" s="254"/>
      <c r="AC408" s="254"/>
      <c r="AD408" s="254"/>
    </row>
    <row r="409" customFormat="false" ht="12.75" hidden="false" customHeight="false" outlineLevel="0" collapsed="false">
      <c r="L409" s="254"/>
      <c r="O409" s="254"/>
      <c r="AC409" s="254"/>
      <c r="AD409" s="254"/>
    </row>
    <row r="410" customFormat="false" ht="12.75" hidden="false" customHeight="false" outlineLevel="0" collapsed="false">
      <c r="L410" s="254"/>
      <c r="O410" s="254"/>
      <c r="AC410" s="254"/>
      <c r="AD410" s="254"/>
    </row>
    <row r="411" customFormat="false" ht="12.75" hidden="false" customHeight="false" outlineLevel="0" collapsed="false">
      <c r="L411" s="254"/>
      <c r="O411" s="254"/>
      <c r="AC411" s="254"/>
      <c r="AD411" s="254"/>
    </row>
    <row r="412" customFormat="false" ht="12.75" hidden="false" customHeight="false" outlineLevel="0" collapsed="false">
      <c r="L412" s="254"/>
      <c r="O412" s="254"/>
      <c r="AC412" s="254"/>
      <c r="AD412" s="254"/>
    </row>
    <row r="413" customFormat="false" ht="12.75" hidden="false" customHeight="false" outlineLevel="0" collapsed="false">
      <c r="L413" s="254"/>
      <c r="O413" s="254"/>
      <c r="AC413" s="254"/>
      <c r="AD413" s="254"/>
    </row>
    <row r="414" customFormat="false" ht="12.75" hidden="false" customHeight="false" outlineLevel="0" collapsed="false">
      <c r="L414" s="254"/>
      <c r="O414" s="254"/>
      <c r="AC414" s="254"/>
      <c r="AD414" s="254"/>
    </row>
    <row r="415" customFormat="false" ht="12.75" hidden="false" customHeight="false" outlineLevel="0" collapsed="false">
      <c r="L415" s="254"/>
      <c r="O415" s="254"/>
      <c r="AC415" s="254"/>
      <c r="AD415" s="254"/>
    </row>
    <row r="416" customFormat="false" ht="12.75" hidden="false" customHeight="false" outlineLevel="0" collapsed="false">
      <c r="L416" s="254"/>
      <c r="O416" s="254"/>
      <c r="AC416" s="254"/>
      <c r="AD416" s="254"/>
    </row>
    <row r="417" customFormat="false" ht="12.75" hidden="false" customHeight="false" outlineLevel="0" collapsed="false">
      <c r="L417" s="254"/>
      <c r="O417" s="254"/>
      <c r="AC417" s="254"/>
      <c r="AD417" s="254"/>
    </row>
    <row r="418" customFormat="false" ht="12.75" hidden="false" customHeight="false" outlineLevel="0" collapsed="false">
      <c r="L418" s="254"/>
      <c r="O418" s="254"/>
      <c r="AC418" s="254"/>
      <c r="AD418" s="254"/>
    </row>
    <row r="419" customFormat="false" ht="12.75" hidden="false" customHeight="false" outlineLevel="0" collapsed="false">
      <c r="L419" s="254"/>
      <c r="O419" s="254"/>
      <c r="AC419" s="254"/>
      <c r="AD419" s="254"/>
    </row>
    <row r="420" customFormat="false" ht="12.75" hidden="false" customHeight="false" outlineLevel="0" collapsed="false">
      <c r="L420" s="254"/>
      <c r="O420" s="254"/>
      <c r="AC420" s="254"/>
      <c r="AD420" s="254"/>
    </row>
    <row r="421" customFormat="false" ht="12.75" hidden="false" customHeight="false" outlineLevel="0" collapsed="false">
      <c r="L421" s="254"/>
      <c r="O421" s="254"/>
      <c r="AC421" s="254"/>
      <c r="AD421" s="254"/>
    </row>
    <row r="422" customFormat="false" ht="12.75" hidden="false" customHeight="false" outlineLevel="0" collapsed="false">
      <c r="L422" s="254"/>
      <c r="O422" s="254"/>
      <c r="AC422" s="254"/>
      <c r="AD422" s="254"/>
    </row>
    <row r="423" customFormat="false" ht="12.75" hidden="false" customHeight="false" outlineLevel="0" collapsed="false">
      <c r="L423" s="254"/>
      <c r="O423" s="254"/>
      <c r="AC423" s="254"/>
      <c r="AD423" s="254"/>
    </row>
    <row r="424" customFormat="false" ht="12.75" hidden="false" customHeight="false" outlineLevel="0" collapsed="false">
      <c r="L424" s="254"/>
      <c r="O424" s="254"/>
      <c r="AC424" s="254"/>
      <c r="AD424" s="254"/>
    </row>
    <row r="425" customFormat="false" ht="12.75" hidden="false" customHeight="false" outlineLevel="0" collapsed="false">
      <c r="L425" s="254"/>
      <c r="O425" s="254"/>
      <c r="AC425" s="254"/>
      <c r="AD425" s="254"/>
    </row>
    <row r="426" customFormat="false" ht="12.75" hidden="false" customHeight="false" outlineLevel="0" collapsed="false">
      <c r="L426" s="254"/>
      <c r="O426" s="254"/>
      <c r="AC426" s="254"/>
      <c r="AD426" s="254"/>
    </row>
    <row r="427" customFormat="false" ht="12.75" hidden="false" customHeight="false" outlineLevel="0" collapsed="false">
      <c r="L427" s="254"/>
      <c r="O427" s="254"/>
      <c r="AC427" s="254"/>
      <c r="AD427" s="254"/>
    </row>
    <row r="428" customFormat="false" ht="12.75" hidden="false" customHeight="false" outlineLevel="0" collapsed="false">
      <c r="L428" s="254"/>
      <c r="O428" s="254"/>
      <c r="AC428" s="254"/>
      <c r="AD428" s="254"/>
    </row>
    <row r="429" customFormat="false" ht="12.75" hidden="false" customHeight="false" outlineLevel="0" collapsed="false">
      <c r="L429" s="254"/>
      <c r="O429" s="254"/>
      <c r="AC429" s="254"/>
      <c r="AD429" s="254"/>
    </row>
    <row r="430" customFormat="false" ht="12.75" hidden="false" customHeight="false" outlineLevel="0" collapsed="false">
      <c r="L430" s="254"/>
      <c r="O430" s="254"/>
      <c r="AC430" s="254"/>
      <c r="AD430" s="254"/>
    </row>
    <row r="431" customFormat="false" ht="12.75" hidden="false" customHeight="false" outlineLevel="0" collapsed="false">
      <c r="L431" s="254"/>
      <c r="O431" s="254"/>
      <c r="AC431" s="254"/>
      <c r="AD431" s="254"/>
    </row>
    <row r="432" customFormat="false" ht="12.75" hidden="false" customHeight="false" outlineLevel="0" collapsed="false">
      <c r="L432" s="254"/>
      <c r="O432" s="254"/>
      <c r="AC432" s="254"/>
      <c r="AD432" s="254"/>
    </row>
    <row r="433" customFormat="false" ht="12.75" hidden="false" customHeight="false" outlineLevel="0" collapsed="false">
      <c r="L433" s="254"/>
      <c r="O433" s="254"/>
      <c r="AC433" s="254"/>
      <c r="AD433" s="254"/>
    </row>
    <row r="434" customFormat="false" ht="12.75" hidden="false" customHeight="false" outlineLevel="0" collapsed="false">
      <c r="L434" s="254"/>
      <c r="O434" s="254"/>
      <c r="AC434" s="254"/>
      <c r="AD434" s="254"/>
    </row>
    <row r="435" customFormat="false" ht="12.75" hidden="false" customHeight="false" outlineLevel="0" collapsed="false">
      <c r="L435" s="254"/>
      <c r="O435" s="254"/>
      <c r="AC435" s="254"/>
      <c r="AD435" s="254"/>
    </row>
    <row r="436" customFormat="false" ht="12.75" hidden="false" customHeight="false" outlineLevel="0" collapsed="false">
      <c r="L436" s="254"/>
      <c r="O436" s="254"/>
      <c r="AC436" s="254"/>
      <c r="AD436" s="254"/>
    </row>
    <row r="437" customFormat="false" ht="12.75" hidden="false" customHeight="false" outlineLevel="0" collapsed="false">
      <c r="L437" s="254"/>
      <c r="O437" s="254"/>
      <c r="AC437" s="254"/>
      <c r="AD437" s="254"/>
    </row>
    <row r="438" customFormat="false" ht="12.75" hidden="false" customHeight="false" outlineLevel="0" collapsed="false">
      <c r="L438" s="254"/>
      <c r="O438" s="254"/>
      <c r="AC438" s="254"/>
      <c r="AD438" s="254"/>
    </row>
    <row r="439" customFormat="false" ht="12.75" hidden="false" customHeight="false" outlineLevel="0" collapsed="false">
      <c r="L439" s="254"/>
      <c r="O439" s="254"/>
      <c r="AC439" s="254"/>
      <c r="AD439" s="254"/>
    </row>
    <row r="440" customFormat="false" ht="12.75" hidden="false" customHeight="false" outlineLevel="0" collapsed="false">
      <c r="L440" s="254"/>
      <c r="O440" s="254"/>
      <c r="AC440" s="254"/>
      <c r="AD440" s="254"/>
    </row>
    <row r="441" customFormat="false" ht="12.75" hidden="false" customHeight="false" outlineLevel="0" collapsed="false">
      <c r="L441" s="254"/>
      <c r="O441" s="254"/>
      <c r="AC441" s="254"/>
      <c r="AD441" s="254"/>
    </row>
    <row r="442" customFormat="false" ht="12.75" hidden="false" customHeight="false" outlineLevel="0" collapsed="false">
      <c r="L442" s="254"/>
      <c r="O442" s="254"/>
      <c r="AC442" s="254"/>
      <c r="AD442" s="254"/>
    </row>
    <row r="443" customFormat="false" ht="12.75" hidden="false" customHeight="false" outlineLevel="0" collapsed="false">
      <c r="L443" s="254"/>
      <c r="O443" s="254"/>
      <c r="AC443" s="254"/>
      <c r="AD443" s="254"/>
    </row>
    <row r="444" customFormat="false" ht="12.75" hidden="false" customHeight="false" outlineLevel="0" collapsed="false">
      <c r="L444" s="254"/>
      <c r="O444" s="254"/>
      <c r="AC444" s="254"/>
      <c r="AD444" s="254"/>
    </row>
    <row r="445" customFormat="false" ht="12.75" hidden="false" customHeight="false" outlineLevel="0" collapsed="false">
      <c r="L445" s="254"/>
      <c r="O445" s="254"/>
      <c r="AC445" s="254"/>
      <c r="AD445" s="254"/>
    </row>
    <row r="446" customFormat="false" ht="12.75" hidden="false" customHeight="false" outlineLevel="0" collapsed="false">
      <c r="L446" s="254"/>
      <c r="O446" s="254"/>
      <c r="AC446" s="254"/>
      <c r="AD446" s="254"/>
    </row>
    <row r="447" customFormat="false" ht="12.75" hidden="false" customHeight="false" outlineLevel="0" collapsed="false">
      <c r="L447" s="254"/>
      <c r="O447" s="254"/>
      <c r="AC447" s="254"/>
      <c r="AD447" s="254"/>
    </row>
    <row r="448" customFormat="false" ht="12.75" hidden="false" customHeight="false" outlineLevel="0" collapsed="false">
      <c r="L448" s="254"/>
      <c r="O448" s="254"/>
      <c r="AC448" s="254"/>
      <c r="AD448" s="254"/>
    </row>
    <row r="449" customFormat="false" ht="12.75" hidden="false" customHeight="false" outlineLevel="0" collapsed="false">
      <c r="L449" s="254"/>
      <c r="O449" s="254"/>
      <c r="AC449" s="254"/>
      <c r="AD449" s="254"/>
    </row>
    <row r="450" customFormat="false" ht="12.75" hidden="false" customHeight="false" outlineLevel="0" collapsed="false">
      <c r="L450" s="254"/>
      <c r="O450" s="254"/>
      <c r="AC450" s="254"/>
      <c r="AD450" s="254"/>
    </row>
    <row r="451" customFormat="false" ht="12.75" hidden="false" customHeight="false" outlineLevel="0" collapsed="false">
      <c r="L451" s="254"/>
      <c r="O451" s="254"/>
      <c r="AC451" s="254"/>
      <c r="AD451" s="254"/>
    </row>
    <row r="452" customFormat="false" ht="12.75" hidden="false" customHeight="false" outlineLevel="0" collapsed="false">
      <c r="L452" s="254"/>
      <c r="O452" s="254"/>
      <c r="AC452" s="254"/>
      <c r="AD452" s="254"/>
    </row>
    <row r="453" customFormat="false" ht="12.75" hidden="false" customHeight="false" outlineLevel="0" collapsed="false">
      <c r="L453" s="254"/>
      <c r="O453" s="254"/>
      <c r="AC453" s="254"/>
      <c r="AD453" s="254"/>
    </row>
    <row r="454" customFormat="false" ht="12.75" hidden="false" customHeight="false" outlineLevel="0" collapsed="false">
      <c r="L454" s="254"/>
      <c r="O454" s="254"/>
      <c r="AC454" s="254"/>
      <c r="AD454" s="254"/>
    </row>
    <row r="455" customFormat="false" ht="12.75" hidden="false" customHeight="false" outlineLevel="0" collapsed="false">
      <c r="L455" s="254"/>
      <c r="O455" s="254"/>
      <c r="AC455" s="254"/>
      <c r="AD455" s="254"/>
    </row>
    <row r="456" customFormat="false" ht="12.75" hidden="false" customHeight="false" outlineLevel="0" collapsed="false">
      <c r="L456" s="254"/>
      <c r="O456" s="254"/>
      <c r="AC456" s="254"/>
      <c r="AD456" s="254"/>
    </row>
    <row r="457" customFormat="false" ht="12.75" hidden="false" customHeight="false" outlineLevel="0" collapsed="false">
      <c r="L457" s="254"/>
      <c r="O457" s="254"/>
      <c r="AC457" s="254"/>
      <c r="AD457" s="254"/>
    </row>
    <row r="458" customFormat="false" ht="12.75" hidden="false" customHeight="false" outlineLevel="0" collapsed="false">
      <c r="L458" s="254"/>
      <c r="O458" s="254"/>
      <c r="AC458" s="254"/>
      <c r="AD458" s="254"/>
    </row>
    <row r="459" customFormat="false" ht="12.75" hidden="false" customHeight="false" outlineLevel="0" collapsed="false">
      <c r="L459" s="254"/>
      <c r="O459" s="254"/>
      <c r="AC459" s="254"/>
      <c r="AD459" s="254"/>
    </row>
    <row r="460" customFormat="false" ht="12.75" hidden="false" customHeight="false" outlineLevel="0" collapsed="false">
      <c r="L460" s="254"/>
      <c r="O460" s="254"/>
      <c r="AC460" s="254"/>
      <c r="AD460" s="254"/>
    </row>
    <row r="461" customFormat="false" ht="12.75" hidden="false" customHeight="false" outlineLevel="0" collapsed="false">
      <c r="L461" s="254"/>
      <c r="O461" s="254"/>
      <c r="AC461" s="254"/>
      <c r="AD461" s="254"/>
    </row>
    <row r="462" customFormat="false" ht="12.75" hidden="false" customHeight="false" outlineLevel="0" collapsed="false">
      <c r="L462" s="254"/>
      <c r="O462" s="254"/>
      <c r="AC462" s="254"/>
      <c r="AD462" s="254"/>
    </row>
    <row r="463" customFormat="false" ht="12.75" hidden="false" customHeight="false" outlineLevel="0" collapsed="false">
      <c r="L463" s="254"/>
      <c r="O463" s="254"/>
      <c r="AC463" s="254"/>
      <c r="AD463" s="254"/>
    </row>
    <row r="464" customFormat="false" ht="12.75" hidden="false" customHeight="false" outlineLevel="0" collapsed="false">
      <c r="L464" s="254"/>
      <c r="O464" s="254"/>
      <c r="AC464" s="254"/>
      <c r="AD464" s="254"/>
    </row>
    <row r="465" customFormat="false" ht="12.75" hidden="false" customHeight="false" outlineLevel="0" collapsed="false">
      <c r="L465" s="254"/>
      <c r="O465" s="254"/>
      <c r="AC465" s="254"/>
      <c r="AD465" s="254"/>
    </row>
    <row r="466" customFormat="false" ht="12.75" hidden="false" customHeight="false" outlineLevel="0" collapsed="false">
      <c r="L466" s="254"/>
      <c r="O466" s="254"/>
      <c r="AC466" s="254"/>
      <c r="AD466" s="254"/>
    </row>
    <row r="467" customFormat="false" ht="12.75" hidden="false" customHeight="false" outlineLevel="0" collapsed="false">
      <c r="L467" s="254"/>
      <c r="O467" s="254"/>
      <c r="AC467" s="254"/>
      <c r="AD467" s="254"/>
    </row>
    <row r="468" customFormat="false" ht="12.75" hidden="false" customHeight="false" outlineLevel="0" collapsed="false">
      <c r="L468" s="254"/>
      <c r="O468" s="254"/>
      <c r="AC468" s="254"/>
      <c r="AD468" s="254"/>
    </row>
    <row r="469" customFormat="false" ht="12.75" hidden="false" customHeight="false" outlineLevel="0" collapsed="false">
      <c r="L469" s="254"/>
      <c r="O469" s="254"/>
      <c r="AC469" s="254"/>
      <c r="AD469" s="254"/>
    </row>
    <row r="470" customFormat="false" ht="12.75" hidden="false" customHeight="false" outlineLevel="0" collapsed="false">
      <c r="L470" s="254"/>
      <c r="O470" s="254"/>
      <c r="AC470" s="254"/>
      <c r="AD470" s="254"/>
    </row>
    <row r="471" customFormat="false" ht="12.75" hidden="false" customHeight="false" outlineLevel="0" collapsed="false">
      <c r="L471" s="254"/>
      <c r="O471" s="254"/>
      <c r="AC471" s="254"/>
      <c r="AD471" s="254"/>
    </row>
    <row r="472" customFormat="false" ht="12.75" hidden="false" customHeight="false" outlineLevel="0" collapsed="false">
      <c r="L472" s="254"/>
      <c r="O472" s="254"/>
      <c r="AC472" s="254"/>
      <c r="AD472" s="254"/>
    </row>
    <row r="473" customFormat="false" ht="12.75" hidden="false" customHeight="false" outlineLevel="0" collapsed="false">
      <c r="L473" s="254"/>
      <c r="O473" s="254"/>
      <c r="AC473" s="254"/>
      <c r="AD473" s="254"/>
    </row>
    <row r="474" customFormat="false" ht="12.75" hidden="false" customHeight="false" outlineLevel="0" collapsed="false">
      <c r="L474" s="254"/>
      <c r="O474" s="254"/>
      <c r="AC474" s="254"/>
      <c r="AD474" s="254"/>
    </row>
    <row r="475" customFormat="false" ht="12.75" hidden="false" customHeight="false" outlineLevel="0" collapsed="false">
      <c r="L475" s="254"/>
      <c r="O475" s="254"/>
      <c r="AC475" s="254"/>
      <c r="AD475" s="254"/>
    </row>
    <row r="476" customFormat="false" ht="12.75" hidden="false" customHeight="false" outlineLevel="0" collapsed="false">
      <c r="L476" s="254"/>
      <c r="O476" s="254"/>
      <c r="AC476" s="254"/>
      <c r="AD476" s="254"/>
    </row>
    <row r="477" customFormat="false" ht="12.75" hidden="false" customHeight="false" outlineLevel="0" collapsed="false">
      <c r="L477" s="254"/>
      <c r="O477" s="254"/>
      <c r="AC477" s="254"/>
      <c r="AD477" s="254"/>
    </row>
    <row r="478" customFormat="false" ht="12.75" hidden="false" customHeight="false" outlineLevel="0" collapsed="false">
      <c r="L478" s="254"/>
      <c r="O478" s="254"/>
      <c r="AC478" s="254"/>
      <c r="AD478" s="254"/>
    </row>
    <row r="479" customFormat="false" ht="12.75" hidden="false" customHeight="false" outlineLevel="0" collapsed="false">
      <c r="L479" s="254"/>
      <c r="O479" s="254"/>
      <c r="AC479" s="254"/>
      <c r="AD479" s="254"/>
    </row>
    <row r="480" customFormat="false" ht="12.75" hidden="false" customHeight="false" outlineLevel="0" collapsed="false">
      <c r="L480" s="254"/>
      <c r="O480" s="254"/>
      <c r="AC480" s="254"/>
      <c r="AD480" s="254"/>
    </row>
    <row r="481" customFormat="false" ht="12.75" hidden="false" customHeight="false" outlineLevel="0" collapsed="false">
      <c r="L481" s="254"/>
      <c r="O481" s="254"/>
      <c r="AC481" s="254"/>
      <c r="AD481" s="254"/>
    </row>
    <row r="482" customFormat="false" ht="12.75" hidden="false" customHeight="false" outlineLevel="0" collapsed="false">
      <c r="L482" s="254"/>
      <c r="O482" s="254"/>
      <c r="AC482" s="254"/>
      <c r="AD482" s="254"/>
    </row>
    <row r="483" customFormat="false" ht="12.75" hidden="false" customHeight="false" outlineLevel="0" collapsed="false">
      <c r="L483" s="254"/>
      <c r="O483" s="254"/>
      <c r="AC483" s="254"/>
      <c r="AD483" s="254"/>
    </row>
    <row r="484" customFormat="false" ht="12.75" hidden="false" customHeight="false" outlineLevel="0" collapsed="false">
      <c r="L484" s="254"/>
      <c r="O484" s="254"/>
      <c r="AC484" s="254"/>
      <c r="AD484" s="254"/>
    </row>
    <row r="485" customFormat="false" ht="12.75" hidden="false" customHeight="false" outlineLevel="0" collapsed="false">
      <c r="L485" s="254"/>
      <c r="O485" s="254"/>
      <c r="AC485" s="254"/>
      <c r="AD485" s="254"/>
    </row>
    <row r="486" customFormat="false" ht="12.75" hidden="false" customHeight="false" outlineLevel="0" collapsed="false">
      <c r="L486" s="254"/>
      <c r="O486" s="254"/>
      <c r="AC486" s="254"/>
      <c r="AD486" s="254"/>
    </row>
    <row r="487" customFormat="false" ht="12.75" hidden="false" customHeight="false" outlineLevel="0" collapsed="false">
      <c r="L487" s="254"/>
      <c r="O487" s="254"/>
      <c r="AC487" s="254"/>
      <c r="AD487" s="254"/>
    </row>
    <row r="488" customFormat="false" ht="12.75" hidden="false" customHeight="false" outlineLevel="0" collapsed="false">
      <c r="L488" s="254"/>
      <c r="O488" s="254"/>
      <c r="AC488" s="254"/>
      <c r="AD488" s="254"/>
    </row>
    <row r="489" customFormat="false" ht="12.75" hidden="false" customHeight="false" outlineLevel="0" collapsed="false">
      <c r="L489" s="254"/>
      <c r="O489" s="254"/>
      <c r="AC489" s="254"/>
      <c r="AD489" s="254"/>
    </row>
    <row r="490" customFormat="false" ht="12.75" hidden="false" customHeight="false" outlineLevel="0" collapsed="false">
      <c r="L490" s="254"/>
      <c r="O490" s="254"/>
      <c r="AC490" s="254"/>
      <c r="AD490" s="254"/>
    </row>
    <row r="491" customFormat="false" ht="12.75" hidden="false" customHeight="false" outlineLevel="0" collapsed="false">
      <c r="L491" s="254"/>
      <c r="O491" s="254"/>
      <c r="AC491" s="254"/>
      <c r="AD491" s="254"/>
    </row>
    <row r="492" customFormat="false" ht="12.75" hidden="false" customHeight="false" outlineLevel="0" collapsed="false">
      <c r="L492" s="254"/>
      <c r="O492" s="254"/>
      <c r="AC492" s="254"/>
      <c r="AD492" s="254"/>
    </row>
    <row r="493" customFormat="false" ht="12.75" hidden="false" customHeight="false" outlineLevel="0" collapsed="false">
      <c r="L493" s="254"/>
      <c r="O493" s="254"/>
      <c r="AC493" s="254"/>
      <c r="AD493" s="254"/>
    </row>
    <row r="494" customFormat="false" ht="12.75" hidden="false" customHeight="false" outlineLevel="0" collapsed="false">
      <c r="L494" s="254"/>
      <c r="O494" s="254"/>
      <c r="AC494" s="254"/>
      <c r="AD494" s="254"/>
    </row>
    <row r="495" customFormat="false" ht="12.75" hidden="false" customHeight="false" outlineLevel="0" collapsed="false">
      <c r="L495" s="254"/>
      <c r="O495" s="254"/>
      <c r="AC495" s="254"/>
      <c r="AD495" s="254"/>
    </row>
    <row r="496" customFormat="false" ht="12.75" hidden="false" customHeight="false" outlineLevel="0" collapsed="false">
      <c r="L496" s="254"/>
      <c r="O496" s="254"/>
      <c r="AC496" s="254"/>
      <c r="AD496" s="254"/>
    </row>
    <row r="497" customFormat="false" ht="12.75" hidden="false" customHeight="false" outlineLevel="0" collapsed="false">
      <c r="L497" s="254"/>
      <c r="O497" s="254"/>
      <c r="AC497" s="254"/>
      <c r="AD497" s="254"/>
    </row>
    <row r="498" customFormat="false" ht="12.75" hidden="false" customHeight="false" outlineLevel="0" collapsed="false">
      <c r="L498" s="254"/>
      <c r="O498" s="254"/>
      <c r="AC498" s="254"/>
      <c r="AD498" s="254"/>
    </row>
    <row r="499" customFormat="false" ht="12.75" hidden="false" customHeight="false" outlineLevel="0" collapsed="false">
      <c r="L499" s="254"/>
      <c r="O499" s="254"/>
      <c r="AC499" s="254"/>
      <c r="AD499" s="254"/>
    </row>
    <row r="500" customFormat="false" ht="12.75" hidden="false" customHeight="false" outlineLevel="0" collapsed="false">
      <c r="L500" s="254"/>
      <c r="O500" s="254"/>
      <c r="AC500" s="254"/>
      <c r="AD500" s="254"/>
    </row>
    <row r="501" customFormat="false" ht="12.75" hidden="false" customHeight="false" outlineLevel="0" collapsed="false">
      <c r="L501" s="254"/>
      <c r="O501" s="254"/>
      <c r="AC501" s="254"/>
      <c r="AD501" s="254"/>
    </row>
    <row r="502" customFormat="false" ht="12.75" hidden="false" customHeight="false" outlineLevel="0" collapsed="false">
      <c r="L502" s="254"/>
      <c r="O502" s="254"/>
      <c r="AC502" s="254"/>
      <c r="AD502" s="254"/>
    </row>
    <row r="503" customFormat="false" ht="12.75" hidden="false" customHeight="false" outlineLevel="0" collapsed="false">
      <c r="L503" s="254"/>
      <c r="O503" s="254"/>
      <c r="AC503" s="254"/>
      <c r="AD503" s="254"/>
    </row>
    <row r="504" customFormat="false" ht="12.75" hidden="false" customHeight="false" outlineLevel="0" collapsed="false">
      <c r="L504" s="254"/>
      <c r="O504" s="254"/>
      <c r="AC504" s="254"/>
      <c r="AD504" s="254"/>
    </row>
    <row r="505" customFormat="false" ht="12.75" hidden="false" customHeight="false" outlineLevel="0" collapsed="false">
      <c r="L505" s="254"/>
      <c r="O505" s="254"/>
      <c r="AC505" s="254"/>
      <c r="AD505" s="254"/>
    </row>
    <row r="506" customFormat="false" ht="12.75" hidden="false" customHeight="false" outlineLevel="0" collapsed="false">
      <c r="L506" s="254"/>
      <c r="O506" s="254"/>
      <c r="AC506" s="254"/>
      <c r="AD506" s="254"/>
    </row>
    <row r="507" customFormat="false" ht="12.75" hidden="false" customHeight="false" outlineLevel="0" collapsed="false">
      <c r="L507" s="254"/>
      <c r="O507" s="254"/>
      <c r="AC507" s="254"/>
      <c r="AD507" s="254"/>
    </row>
    <row r="508" customFormat="false" ht="12.75" hidden="false" customHeight="false" outlineLevel="0" collapsed="false">
      <c r="L508" s="254"/>
      <c r="O508" s="254"/>
      <c r="AC508" s="254"/>
      <c r="AD508" s="254"/>
    </row>
    <row r="509" customFormat="false" ht="12.75" hidden="false" customHeight="false" outlineLevel="0" collapsed="false">
      <c r="L509" s="254"/>
      <c r="O509" s="254"/>
      <c r="AC509" s="254"/>
      <c r="AD509" s="254"/>
    </row>
    <row r="510" customFormat="false" ht="12.75" hidden="false" customHeight="false" outlineLevel="0" collapsed="false">
      <c r="L510" s="254"/>
      <c r="O510" s="254"/>
      <c r="AC510" s="254"/>
      <c r="AD510" s="254"/>
    </row>
    <row r="511" customFormat="false" ht="12.75" hidden="false" customHeight="false" outlineLevel="0" collapsed="false">
      <c r="L511" s="254"/>
      <c r="O511" s="254"/>
      <c r="AC511" s="254"/>
      <c r="AD511" s="254"/>
    </row>
    <row r="512" customFormat="false" ht="12.75" hidden="false" customHeight="false" outlineLevel="0" collapsed="false">
      <c r="L512" s="254"/>
      <c r="O512" s="254"/>
      <c r="AC512" s="254"/>
      <c r="AD512" s="254"/>
    </row>
    <row r="513" customFormat="false" ht="12.75" hidden="false" customHeight="false" outlineLevel="0" collapsed="false">
      <c r="L513" s="254"/>
      <c r="O513" s="254"/>
      <c r="AC513" s="254"/>
      <c r="AD513" s="254"/>
    </row>
    <row r="514" customFormat="false" ht="12.75" hidden="false" customHeight="false" outlineLevel="0" collapsed="false">
      <c r="L514" s="254"/>
      <c r="O514" s="254"/>
      <c r="AC514" s="254"/>
      <c r="AD514" s="254"/>
    </row>
    <row r="515" customFormat="false" ht="12.75" hidden="false" customHeight="false" outlineLevel="0" collapsed="false">
      <c r="L515" s="254"/>
      <c r="O515" s="254"/>
      <c r="AC515" s="254"/>
      <c r="AD515" s="254"/>
    </row>
    <row r="516" customFormat="false" ht="12.75" hidden="false" customHeight="false" outlineLevel="0" collapsed="false">
      <c r="L516" s="254"/>
      <c r="O516" s="254"/>
      <c r="AC516" s="254"/>
      <c r="AD516" s="254"/>
    </row>
    <row r="517" customFormat="false" ht="12.75" hidden="false" customHeight="false" outlineLevel="0" collapsed="false">
      <c r="L517" s="254"/>
      <c r="O517" s="254"/>
      <c r="AC517" s="254"/>
      <c r="AD517" s="254"/>
    </row>
    <row r="518" customFormat="false" ht="12.75" hidden="false" customHeight="false" outlineLevel="0" collapsed="false">
      <c r="L518" s="254"/>
      <c r="O518" s="254"/>
      <c r="AC518" s="254"/>
      <c r="AD518" s="254"/>
    </row>
    <row r="519" customFormat="false" ht="12.75" hidden="false" customHeight="false" outlineLevel="0" collapsed="false">
      <c r="L519" s="254"/>
      <c r="O519" s="254"/>
      <c r="AC519" s="254"/>
      <c r="AD519" s="254"/>
    </row>
    <row r="520" customFormat="false" ht="12.75" hidden="false" customHeight="false" outlineLevel="0" collapsed="false">
      <c r="L520" s="254"/>
      <c r="O520" s="254"/>
      <c r="AC520" s="254"/>
      <c r="AD520" s="254"/>
    </row>
    <row r="521" customFormat="false" ht="12.75" hidden="false" customHeight="false" outlineLevel="0" collapsed="false">
      <c r="L521" s="254"/>
      <c r="O521" s="254"/>
      <c r="AC521" s="254"/>
      <c r="AD521" s="254"/>
    </row>
    <row r="522" customFormat="false" ht="12.75" hidden="false" customHeight="false" outlineLevel="0" collapsed="false">
      <c r="L522" s="254"/>
      <c r="O522" s="254"/>
      <c r="AC522" s="254"/>
      <c r="AD522" s="254"/>
    </row>
    <row r="523" customFormat="false" ht="12.75" hidden="false" customHeight="false" outlineLevel="0" collapsed="false">
      <c r="L523" s="254"/>
      <c r="O523" s="254"/>
      <c r="AC523" s="254"/>
      <c r="AD523" s="254"/>
    </row>
    <row r="524" customFormat="false" ht="12.75" hidden="false" customHeight="false" outlineLevel="0" collapsed="false">
      <c r="L524" s="254"/>
      <c r="O524" s="254"/>
      <c r="AC524" s="254"/>
      <c r="AD524" s="254"/>
    </row>
    <row r="525" customFormat="false" ht="12.75" hidden="false" customHeight="false" outlineLevel="0" collapsed="false">
      <c r="L525" s="254"/>
      <c r="O525" s="254"/>
      <c r="AC525" s="254"/>
      <c r="AD525" s="254"/>
    </row>
    <row r="526" customFormat="false" ht="12.75" hidden="false" customHeight="false" outlineLevel="0" collapsed="false">
      <c r="L526" s="254"/>
      <c r="O526" s="254"/>
      <c r="AC526" s="254"/>
      <c r="AD526" s="254"/>
    </row>
    <row r="527" customFormat="false" ht="12.75" hidden="false" customHeight="false" outlineLevel="0" collapsed="false">
      <c r="L527" s="254"/>
      <c r="O527" s="254"/>
      <c r="AC527" s="254"/>
      <c r="AD527" s="254"/>
    </row>
    <row r="528" customFormat="false" ht="12.75" hidden="false" customHeight="false" outlineLevel="0" collapsed="false">
      <c r="L528" s="254"/>
      <c r="O528" s="254"/>
      <c r="AC528" s="254"/>
      <c r="AD528" s="254"/>
    </row>
    <row r="529" customFormat="false" ht="12.75" hidden="false" customHeight="false" outlineLevel="0" collapsed="false">
      <c r="L529" s="254"/>
      <c r="O529" s="254"/>
      <c r="AC529" s="254"/>
      <c r="AD529" s="254"/>
    </row>
    <row r="530" customFormat="false" ht="12.75" hidden="false" customHeight="false" outlineLevel="0" collapsed="false">
      <c r="L530" s="254"/>
      <c r="O530" s="254"/>
      <c r="AC530" s="254"/>
      <c r="AD530" s="254"/>
    </row>
    <row r="531" customFormat="false" ht="12.75" hidden="false" customHeight="false" outlineLevel="0" collapsed="false">
      <c r="L531" s="254"/>
      <c r="O531" s="254"/>
      <c r="AC531" s="254"/>
      <c r="AD531" s="254"/>
    </row>
    <row r="532" customFormat="false" ht="12.75" hidden="false" customHeight="false" outlineLevel="0" collapsed="false">
      <c r="L532" s="254"/>
      <c r="O532" s="254"/>
      <c r="AC532" s="254"/>
      <c r="AD532" s="254"/>
    </row>
    <row r="533" customFormat="false" ht="12.75" hidden="false" customHeight="false" outlineLevel="0" collapsed="false">
      <c r="L533" s="254"/>
      <c r="O533" s="254"/>
      <c r="AC533" s="254"/>
      <c r="AD533" s="254"/>
    </row>
    <row r="534" customFormat="false" ht="12.75" hidden="false" customHeight="false" outlineLevel="0" collapsed="false">
      <c r="L534" s="254"/>
      <c r="O534" s="254"/>
      <c r="AC534" s="254"/>
      <c r="AD534" s="254"/>
    </row>
    <row r="535" customFormat="false" ht="12.75" hidden="false" customHeight="false" outlineLevel="0" collapsed="false">
      <c r="L535" s="254"/>
      <c r="O535" s="254"/>
      <c r="AC535" s="254"/>
      <c r="AD535" s="254"/>
    </row>
    <row r="536" customFormat="false" ht="12.75" hidden="false" customHeight="false" outlineLevel="0" collapsed="false">
      <c r="L536" s="254"/>
      <c r="O536" s="254"/>
      <c r="AC536" s="254"/>
      <c r="AD536" s="254"/>
    </row>
    <row r="537" customFormat="false" ht="12.75" hidden="false" customHeight="false" outlineLevel="0" collapsed="false">
      <c r="L537" s="254"/>
      <c r="O537" s="254"/>
      <c r="AC537" s="254"/>
      <c r="AD537" s="254"/>
    </row>
    <row r="538" customFormat="false" ht="12.75" hidden="false" customHeight="false" outlineLevel="0" collapsed="false">
      <c r="L538" s="254"/>
      <c r="O538" s="254"/>
      <c r="AC538" s="254"/>
      <c r="AD538" s="254"/>
    </row>
    <row r="539" customFormat="false" ht="12.75" hidden="false" customHeight="false" outlineLevel="0" collapsed="false">
      <c r="L539" s="254"/>
      <c r="O539" s="254"/>
      <c r="AC539" s="254"/>
      <c r="AD539" s="254"/>
    </row>
    <row r="540" customFormat="false" ht="12.75" hidden="false" customHeight="false" outlineLevel="0" collapsed="false">
      <c r="L540" s="254"/>
      <c r="O540" s="254"/>
      <c r="AC540" s="254"/>
      <c r="AD540" s="254"/>
    </row>
    <row r="541" customFormat="false" ht="12.75" hidden="false" customHeight="false" outlineLevel="0" collapsed="false">
      <c r="L541" s="254"/>
      <c r="O541" s="254"/>
      <c r="AC541" s="254"/>
      <c r="AD541" s="254"/>
    </row>
    <row r="542" customFormat="false" ht="12.75" hidden="false" customHeight="false" outlineLevel="0" collapsed="false">
      <c r="L542" s="254"/>
      <c r="O542" s="254"/>
      <c r="AC542" s="254"/>
      <c r="AD542" s="254"/>
    </row>
    <row r="543" customFormat="false" ht="12.75" hidden="false" customHeight="false" outlineLevel="0" collapsed="false">
      <c r="L543" s="254"/>
      <c r="O543" s="254"/>
      <c r="AC543" s="254"/>
      <c r="AD543" s="254"/>
    </row>
    <row r="544" customFormat="false" ht="12.75" hidden="false" customHeight="false" outlineLevel="0" collapsed="false">
      <c r="L544" s="254"/>
      <c r="O544" s="254"/>
      <c r="AC544" s="254"/>
      <c r="AD544" s="254"/>
    </row>
    <row r="545" customFormat="false" ht="12.75" hidden="false" customHeight="false" outlineLevel="0" collapsed="false">
      <c r="L545" s="254"/>
      <c r="O545" s="254"/>
      <c r="AC545" s="254"/>
      <c r="AD545" s="254"/>
    </row>
    <row r="546" customFormat="false" ht="12.75" hidden="false" customHeight="false" outlineLevel="0" collapsed="false">
      <c r="L546" s="254"/>
      <c r="O546" s="254"/>
      <c r="AC546" s="254"/>
      <c r="AD546" s="254"/>
    </row>
    <row r="547" customFormat="false" ht="12.75" hidden="false" customHeight="false" outlineLevel="0" collapsed="false">
      <c r="L547" s="254"/>
      <c r="O547" s="254"/>
      <c r="AC547" s="254"/>
      <c r="AD547" s="254"/>
    </row>
    <row r="548" customFormat="false" ht="12.75" hidden="false" customHeight="false" outlineLevel="0" collapsed="false">
      <c r="L548" s="254"/>
      <c r="O548" s="254"/>
      <c r="AC548" s="254"/>
      <c r="AD548" s="254"/>
    </row>
    <row r="549" customFormat="false" ht="12.75" hidden="false" customHeight="false" outlineLevel="0" collapsed="false">
      <c r="L549" s="254"/>
      <c r="O549" s="254"/>
      <c r="AC549" s="254"/>
      <c r="AD549" s="254"/>
    </row>
    <row r="550" customFormat="false" ht="12.75" hidden="false" customHeight="false" outlineLevel="0" collapsed="false">
      <c r="L550" s="254"/>
      <c r="O550" s="254"/>
      <c r="AC550" s="254"/>
      <c r="AD550" s="254"/>
    </row>
    <row r="551" customFormat="false" ht="12.75" hidden="false" customHeight="false" outlineLevel="0" collapsed="false">
      <c r="L551" s="254"/>
      <c r="O551" s="254"/>
      <c r="AC551" s="254"/>
      <c r="AD551" s="254"/>
    </row>
    <row r="552" customFormat="false" ht="12.75" hidden="false" customHeight="false" outlineLevel="0" collapsed="false">
      <c r="L552" s="254"/>
      <c r="O552" s="254"/>
      <c r="AC552" s="254"/>
      <c r="AD552" s="254"/>
    </row>
    <row r="553" customFormat="false" ht="12.75" hidden="false" customHeight="false" outlineLevel="0" collapsed="false">
      <c r="L553" s="254"/>
      <c r="O553" s="254"/>
      <c r="AC553" s="254"/>
      <c r="AD553" s="254"/>
    </row>
    <row r="554" customFormat="false" ht="12.75" hidden="false" customHeight="false" outlineLevel="0" collapsed="false">
      <c r="L554" s="254"/>
      <c r="O554" s="254"/>
      <c r="AC554" s="254"/>
      <c r="AD554" s="254"/>
    </row>
    <row r="555" customFormat="false" ht="12.75" hidden="false" customHeight="false" outlineLevel="0" collapsed="false">
      <c r="L555" s="254"/>
      <c r="O555" s="254"/>
      <c r="AC555" s="254"/>
      <c r="AD555" s="254"/>
    </row>
    <row r="556" customFormat="false" ht="12.75" hidden="false" customHeight="false" outlineLevel="0" collapsed="false">
      <c r="L556" s="254"/>
      <c r="O556" s="254"/>
      <c r="AC556" s="254"/>
      <c r="AD556" s="254"/>
    </row>
    <row r="557" customFormat="false" ht="12.75" hidden="false" customHeight="false" outlineLevel="0" collapsed="false">
      <c r="L557" s="254"/>
      <c r="O557" s="254"/>
      <c r="AC557" s="254"/>
      <c r="AD557" s="254"/>
    </row>
    <row r="558" customFormat="false" ht="12.75" hidden="false" customHeight="false" outlineLevel="0" collapsed="false">
      <c r="L558" s="254"/>
      <c r="O558" s="254"/>
      <c r="AC558" s="254"/>
      <c r="AD558" s="254"/>
    </row>
    <row r="559" customFormat="false" ht="12.75" hidden="false" customHeight="false" outlineLevel="0" collapsed="false">
      <c r="L559" s="254"/>
      <c r="O559" s="254"/>
      <c r="AC559" s="254"/>
      <c r="AD559" s="254"/>
    </row>
    <row r="560" customFormat="false" ht="12.75" hidden="false" customHeight="false" outlineLevel="0" collapsed="false">
      <c r="L560" s="254"/>
      <c r="O560" s="254"/>
      <c r="AC560" s="254"/>
      <c r="AD560" s="254"/>
    </row>
    <row r="561" customFormat="false" ht="12.75" hidden="false" customHeight="false" outlineLevel="0" collapsed="false">
      <c r="L561" s="254"/>
      <c r="O561" s="254"/>
      <c r="AC561" s="254"/>
      <c r="AD561" s="254"/>
    </row>
    <row r="562" customFormat="false" ht="12.75" hidden="false" customHeight="false" outlineLevel="0" collapsed="false">
      <c r="L562" s="254"/>
      <c r="O562" s="254"/>
      <c r="AC562" s="254"/>
      <c r="AD562" s="254"/>
    </row>
    <row r="563" customFormat="false" ht="12.75" hidden="false" customHeight="false" outlineLevel="0" collapsed="false">
      <c r="L563" s="254"/>
      <c r="O563" s="254"/>
      <c r="AC563" s="254"/>
      <c r="AD563" s="254"/>
    </row>
    <row r="564" customFormat="false" ht="12.75" hidden="false" customHeight="false" outlineLevel="0" collapsed="false">
      <c r="L564" s="254"/>
      <c r="O564" s="254"/>
      <c r="AC564" s="254"/>
      <c r="AD564" s="254"/>
    </row>
    <row r="565" customFormat="false" ht="12.75" hidden="false" customHeight="false" outlineLevel="0" collapsed="false">
      <c r="L565" s="254"/>
      <c r="O565" s="254"/>
      <c r="AC565" s="254"/>
      <c r="AD565" s="254"/>
    </row>
    <row r="566" customFormat="false" ht="12.75" hidden="false" customHeight="false" outlineLevel="0" collapsed="false">
      <c r="L566" s="254"/>
      <c r="O566" s="254"/>
      <c r="AC566" s="254"/>
      <c r="AD566" s="254"/>
    </row>
    <row r="567" customFormat="false" ht="12.75" hidden="false" customHeight="false" outlineLevel="0" collapsed="false">
      <c r="L567" s="254"/>
      <c r="O567" s="254"/>
      <c r="AC567" s="254"/>
      <c r="AD567" s="254"/>
    </row>
    <row r="568" customFormat="false" ht="12.75" hidden="false" customHeight="false" outlineLevel="0" collapsed="false">
      <c r="L568" s="254"/>
      <c r="O568" s="254"/>
      <c r="AC568" s="254"/>
      <c r="AD568" s="254"/>
    </row>
    <row r="569" customFormat="false" ht="12.75" hidden="false" customHeight="false" outlineLevel="0" collapsed="false">
      <c r="L569" s="254"/>
      <c r="O569" s="254"/>
      <c r="AC569" s="254"/>
      <c r="AD569" s="254"/>
    </row>
    <row r="570" customFormat="false" ht="12.75" hidden="false" customHeight="false" outlineLevel="0" collapsed="false">
      <c r="L570" s="254"/>
      <c r="O570" s="254"/>
      <c r="AC570" s="254"/>
      <c r="AD570" s="254"/>
    </row>
    <row r="571" customFormat="false" ht="12.75" hidden="false" customHeight="false" outlineLevel="0" collapsed="false">
      <c r="L571" s="254"/>
      <c r="O571" s="254"/>
      <c r="AC571" s="254"/>
      <c r="AD571" s="254"/>
    </row>
    <row r="572" customFormat="false" ht="12.75" hidden="false" customHeight="false" outlineLevel="0" collapsed="false">
      <c r="L572" s="254"/>
      <c r="O572" s="254"/>
      <c r="AC572" s="254"/>
      <c r="AD572" s="254"/>
    </row>
    <row r="573" customFormat="false" ht="12.75" hidden="false" customHeight="false" outlineLevel="0" collapsed="false">
      <c r="L573" s="254"/>
      <c r="O573" s="254"/>
      <c r="AC573" s="254"/>
      <c r="AD573" s="254"/>
    </row>
    <row r="574" customFormat="false" ht="12.75" hidden="false" customHeight="false" outlineLevel="0" collapsed="false">
      <c r="L574" s="254"/>
      <c r="O574" s="254"/>
      <c r="AC574" s="254"/>
      <c r="AD574" s="254"/>
    </row>
    <row r="575" customFormat="false" ht="12.75" hidden="false" customHeight="false" outlineLevel="0" collapsed="false">
      <c r="L575" s="254"/>
      <c r="O575" s="254"/>
      <c r="AC575" s="254"/>
      <c r="AD575" s="254"/>
    </row>
    <row r="576" customFormat="false" ht="12.75" hidden="false" customHeight="false" outlineLevel="0" collapsed="false">
      <c r="L576" s="254"/>
      <c r="O576" s="254"/>
      <c r="AC576" s="254"/>
      <c r="AD576" s="254"/>
    </row>
    <row r="577" customFormat="false" ht="12.75" hidden="false" customHeight="false" outlineLevel="0" collapsed="false">
      <c r="L577" s="254"/>
      <c r="O577" s="254"/>
      <c r="AC577" s="254"/>
      <c r="AD577" s="254"/>
    </row>
    <row r="578" customFormat="false" ht="12.75" hidden="false" customHeight="false" outlineLevel="0" collapsed="false">
      <c r="L578" s="254"/>
      <c r="O578" s="254"/>
      <c r="AC578" s="254"/>
      <c r="AD578" s="254"/>
    </row>
    <row r="579" customFormat="false" ht="12.75" hidden="false" customHeight="false" outlineLevel="0" collapsed="false">
      <c r="L579" s="254"/>
      <c r="O579" s="254"/>
      <c r="AC579" s="254"/>
      <c r="AD579" s="254"/>
    </row>
    <row r="580" customFormat="false" ht="12.75" hidden="false" customHeight="false" outlineLevel="0" collapsed="false">
      <c r="L580" s="254"/>
      <c r="O580" s="254"/>
      <c r="AC580" s="254"/>
      <c r="AD580" s="254"/>
    </row>
    <row r="581" customFormat="false" ht="12.75" hidden="false" customHeight="false" outlineLevel="0" collapsed="false">
      <c r="L581" s="254"/>
      <c r="O581" s="254"/>
      <c r="AC581" s="254"/>
      <c r="AD581" s="254"/>
    </row>
    <row r="582" customFormat="false" ht="12.75" hidden="false" customHeight="false" outlineLevel="0" collapsed="false">
      <c r="L582" s="254"/>
      <c r="O582" s="254"/>
      <c r="AC582" s="254"/>
      <c r="AD582" s="254"/>
    </row>
    <row r="583" customFormat="false" ht="12.75" hidden="false" customHeight="false" outlineLevel="0" collapsed="false">
      <c r="L583" s="254"/>
      <c r="O583" s="254"/>
      <c r="AC583" s="254"/>
      <c r="AD583" s="254"/>
    </row>
    <row r="584" customFormat="false" ht="12.75" hidden="false" customHeight="false" outlineLevel="0" collapsed="false">
      <c r="L584" s="254"/>
      <c r="O584" s="254"/>
      <c r="AC584" s="254"/>
      <c r="AD584" s="254"/>
    </row>
    <row r="585" customFormat="false" ht="12.75" hidden="false" customHeight="false" outlineLevel="0" collapsed="false">
      <c r="L585" s="254"/>
      <c r="O585" s="254"/>
      <c r="AC585" s="254"/>
      <c r="AD585" s="254"/>
    </row>
    <row r="586" customFormat="false" ht="12.75" hidden="false" customHeight="false" outlineLevel="0" collapsed="false">
      <c r="L586" s="254"/>
      <c r="O586" s="254"/>
      <c r="AC586" s="254"/>
      <c r="AD586" s="254"/>
    </row>
    <row r="587" customFormat="false" ht="12.75" hidden="false" customHeight="false" outlineLevel="0" collapsed="false">
      <c r="L587" s="254"/>
      <c r="O587" s="254"/>
      <c r="AC587" s="254"/>
      <c r="AD587" s="254"/>
    </row>
    <row r="588" customFormat="false" ht="12.75" hidden="false" customHeight="false" outlineLevel="0" collapsed="false">
      <c r="L588" s="254"/>
      <c r="O588" s="254"/>
      <c r="AC588" s="254"/>
      <c r="AD588" s="254"/>
    </row>
    <row r="589" customFormat="false" ht="12.75" hidden="false" customHeight="false" outlineLevel="0" collapsed="false">
      <c r="L589" s="254"/>
      <c r="O589" s="254"/>
      <c r="AC589" s="254"/>
      <c r="AD589" s="254"/>
    </row>
    <row r="590" customFormat="false" ht="12.75" hidden="false" customHeight="false" outlineLevel="0" collapsed="false">
      <c r="L590" s="254"/>
      <c r="O590" s="254"/>
      <c r="AC590" s="254"/>
      <c r="AD590" s="254"/>
    </row>
    <row r="591" customFormat="false" ht="12.75" hidden="false" customHeight="false" outlineLevel="0" collapsed="false">
      <c r="L591" s="254"/>
      <c r="O591" s="254"/>
      <c r="AC591" s="254"/>
      <c r="AD591" s="254"/>
    </row>
    <row r="592" customFormat="false" ht="12.75" hidden="false" customHeight="false" outlineLevel="0" collapsed="false">
      <c r="L592" s="254"/>
      <c r="O592" s="254"/>
      <c r="AC592" s="254"/>
      <c r="AD592" s="254"/>
    </row>
    <row r="593" customFormat="false" ht="12.75" hidden="false" customHeight="false" outlineLevel="0" collapsed="false">
      <c r="L593" s="254"/>
      <c r="O593" s="254"/>
      <c r="AC593" s="254"/>
      <c r="AD593" s="254"/>
    </row>
    <row r="594" customFormat="false" ht="12.75" hidden="false" customHeight="false" outlineLevel="0" collapsed="false">
      <c r="L594" s="254"/>
      <c r="O594" s="254"/>
      <c r="AC594" s="254"/>
      <c r="AD594" s="254"/>
    </row>
    <row r="595" customFormat="false" ht="12.75" hidden="false" customHeight="false" outlineLevel="0" collapsed="false">
      <c r="L595" s="254"/>
      <c r="O595" s="254"/>
      <c r="AC595" s="254"/>
      <c r="AD595" s="254"/>
    </row>
    <row r="596" customFormat="false" ht="12.75" hidden="false" customHeight="false" outlineLevel="0" collapsed="false">
      <c r="L596" s="254"/>
      <c r="O596" s="254"/>
      <c r="AC596" s="254"/>
      <c r="AD596" s="254"/>
    </row>
    <row r="597" customFormat="false" ht="12.75" hidden="false" customHeight="false" outlineLevel="0" collapsed="false">
      <c r="L597" s="254"/>
      <c r="O597" s="254"/>
      <c r="AC597" s="254"/>
      <c r="AD597" s="254"/>
    </row>
    <row r="598" customFormat="false" ht="12.75" hidden="false" customHeight="false" outlineLevel="0" collapsed="false">
      <c r="L598" s="254"/>
      <c r="O598" s="254"/>
      <c r="AC598" s="254"/>
      <c r="AD598" s="254"/>
    </row>
    <row r="599" customFormat="false" ht="12.75" hidden="false" customHeight="false" outlineLevel="0" collapsed="false">
      <c r="L599" s="254"/>
      <c r="O599" s="254"/>
      <c r="AC599" s="254"/>
      <c r="AD599" s="254"/>
    </row>
    <row r="600" customFormat="false" ht="12.75" hidden="false" customHeight="false" outlineLevel="0" collapsed="false">
      <c r="L600" s="254"/>
      <c r="O600" s="254"/>
      <c r="AC600" s="254"/>
      <c r="AD600" s="254"/>
    </row>
    <row r="601" customFormat="false" ht="12.75" hidden="false" customHeight="false" outlineLevel="0" collapsed="false">
      <c r="L601" s="254"/>
      <c r="O601" s="254"/>
      <c r="AC601" s="254"/>
      <c r="AD601" s="254"/>
    </row>
    <row r="602" customFormat="false" ht="12.75" hidden="false" customHeight="false" outlineLevel="0" collapsed="false">
      <c r="L602" s="254"/>
      <c r="O602" s="254"/>
      <c r="AC602" s="254"/>
      <c r="AD602" s="254"/>
    </row>
    <row r="603" customFormat="false" ht="12.75" hidden="false" customHeight="false" outlineLevel="0" collapsed="false">
      <c r="L603" s="254"/>
      <c r="O603" s="254"/>
      <c r="AC603" s="254"/>
      <c r="AD603" s="254"/>
    </row>
    <row r="604" customFormat="false" ht="12.75" hidden="false" customHeight="false" outlineLevel="0" collapsed="false">
      <c r="L604" s="254"/>
      <c r="O604" s="254"/>
      <c r="AC604" s="254"/>
      <c r="AD604" s="254"/>
    </row>
    <row r="605" customFormat="false" ht="12.75" hidden="false" customHeight="false" outlineLevel="0" collapsed="false">
      <c r="L605" s="254"/>
      <c r="O605" s="254"/>
      <c r="AC605" s="254"/>
      <c r="AD605" s="254"/>
    </row>
    <row r="606" customFormat="false" ht="12.75" hidden="false" customHeight="false" outlineLevel="0" collapsed="false">
      <c r="L606" s="254"/>
      <c r="O606" s="254"/>
      <c r="AC606" s="254"/>
      <c r="AD606" s="254"/>
    </row>
    <row r="607" customFormat="false" ht="12.75" hidden="false" customHeight="false" outlineLevel="0" collapsed="false">
      <c r="L607" s="254"/>
      <c r="O607" s="254"/>
      <c r="AC607" s="254"/>
      <c r="AD607" s="254"/>
    </row>
    <row r="608" customFormat="false" ht="12.75" hidden="false" customHeight="false" outlineLevel="0" collapsed="false">
      <c r="L608" s="254"/>
      <c r="O608" s="254"/>
      <c r="AC608" s="254"/>
      <c r="AD608" s="254"/>
    </row>
    <row r="609" customFormat="false" ht="12.75" hidden="false" customHeight="false" outlineLevel="0" collapsed="false">
      <c r="L609" s="254"/>
      <c r="O609" s="254"/>
      <c r="AC609" s="254"/>
      <c r="AD609" s="254"/>
    </row>
    <row r="610" customFormat="false" ht="12.75" hidden="false" customHeight="false" outlineLevel="0" collapsed="false">
      <c r="L610" s="254"/>
      <c r="O610" s="254"/>
      <c r="AC610" s="254"/>
      <c r="AD610" s="254"/>
    </row>
    <row r="611" customFormat="false" ht="12.75" hidden="false" customHeight="false" outlineLevel="0" collapsed="false">
      <c r="L611" s="254"/>
      <c r="O611" s="254"/>
      <c r="AC611" s="254"/>
      <c r="AD611" s="254"/>
    </row>
    <row r="612" customFormat="false" ht="12.75" hidden="false" customHeight="false" outlineLevel="0" collapsed="false">
      <c r="L612" s="254"/>
      <c r="O612" s="254"/>
      <c r="AC612" s="254"/>
      <c r="AD612" s="254"/>
    </row>
    <row r="613" customFormat="false" ht="12.75" hidden="false" customHeight="false" outlineLevel="0" collapsed="false">
      <c r="L613" s="254"/>
      <c r="O613" s="254"/>
      <c r="AC613" s="254"/>
      <c r="AD613" s="254"/>
    </row>
    <row r="614" customFormat="false" ht="12.75" hidden="false" customHeight="false" outlineLevel="0" collapsed="false">
      <c r="L614" s="254"/>
      <c r="O614" s="254"/>
      <c r="AC614" s="254"/>
      <c r="AD614" s="254"/>
    </row>
    <row r="615" customFormat="false" ht="12.75" hidden="false" customHeight="false" outlineLevel="0" collapsed="false">
      <c r="L615" s="254"/>
      <c r="O615" s="254"/>
      <c r="AC615" s="254"/>
      <c r="AD615" s="254"/>
    </row>
    <row r="616" customFormat="false" ht="12.75" hidden="false" customHeight="false" outlineLevel="0" collapsed="false">
      <c r="L616" s="254"/>
      <c r="O616" s="254"/>
      <c r="AC616" s="254"/>
      <c r="AD616" s="254"/>
    </row>
    <row r="617" customFormat="false" ht="12.75" hidden="false" customHeight="false" outlineLevel="0" collapsed="false">
      <c r="L617" s="254"/>
      <c r="O617" s="254"/>
      <c r="AC617" s="254"/>
      <c r="AD617" s="254"/>
    </row>
    <row r="618" customFormat="false" ht="12.75" hidden="false" customHeight="false" outlineLevel="0" collapsed="false">
      <c r="L618" s="254"/>
      <c r="O618" s="254"/>
      <c r="AC618" s="254"/>
      <c r="AD618" s="254"/>
    </row>
    <row r="619" customFormat="false" ht="12.75" hidden="false" customHeight="false" outlineLevel="0" collapsed="false">
      <c r="L619" s="254"/>
      <c r="O619" s="254"/>
      <c r="AC619" s="254"/>
      <c r="AD619" s="254"/>
    </row>
    <row r="620" customFormat="false" ht="12.75" hidden="false" customHeight="false" outlineLevel="0" collapsed="false">
      <c r="L620" s="254"/>
      <c r="O620" s="254"/>
      <c r="AC620" s="254"/>
      <c r="AD620" s="254"/>
    </row>
    <row r="621" customFormat="false" ht="12.75" hidden="false" customHeight="false" outlineLevel="0" collapsed="false">
      <c r="L621" s="254"/>
      <c r="O621" s="254"/>
      <c r="AC621" s="254"/>
      <c r="AD621" s="254"/>
    </row>
    <row r="622" customFormat="false" ht="12.75" hidden="false" customHeight="false" outlineLevel="0" collapsed="false">
      <c r="L622" s="254"/>
      <c r="O622" s="254"/>
      <c r="AC622" s="254"/>
      <c r="AD622" s="254"/>
    </row>
    <row r="623" customFormat="false" ht="12.75" hidden="false" customHeight="false" outlineLevel="0" collapsed="false">
      <c r="L623" s="254"/>
      <c r="O623" s="254"/>
      <c r="AC623" s="254"/>
      <c r="AD623" s="254"/>
    </row>
    <row r="624" customFormat="false" ht="12.75" hidden="false" customHeight="false" outlineLevel="0" collapsed="false">
      <c r="L624" s="254"/>
      <c r="O624" s="254"/>
      <c r="AC624" s="254"/>
      <c r="AD624" s="254"/>
    </row>
    <row r="625" customFormat="false" ht="12.75" hidden="false" customHeight="false" outlineLevel="0" collapsed="false">
      <c r="L625" s="254"/>
      <c r="O625" s="254"/>
      <c r="AC625" s="254"/>
      <c r="AD625" s="254"/>
    </row>
    <row r="626" customFormat="false" ht="12.75" hidden="false" customHeight="false" outlineLevel="0" collapsed="false">
      <c r="L626" s="254"/>
      <c r="O626" s="254"/>
      <c r="AC626" s="254"/>
      <c r="AD626" s="254"/>
    </row>
    <row r="627" customFormat="false" ht="12.75" hidden="false" customHeight="false" outlineLevel="0" collapsed="false">
      <c r="L627" s="254"/>
      <c r="O627" s="254"/>
      <c r="AC627" s="254"/>
      <c r="AD627" s="254"/>
    </row>
    <row r="628" customFormat="false" ht="12.75" hidden="false" customHeight="false" outlineLevel="0" collapsed="false">
      <c r="L628" s="254"/>
      <c r="O628" s="254"/>
      <c r="AC628" s="254"/>
      <c r="AD628" s="254"/>
    </row>
    <row r="629" customFormat="false" ht="12.75" hidden="false" customHeight="false" outlineLevel="0" collapsed="false">
      <c r="L629" s="254"/>
      <c r="O629" s="254"/>
      <c r="AC629" s="254"/>
      <c r="AD629" s="254"/>
    </row>
    <row r="630" customFormat="false" ht="12.75" hidden="false" customHeight="false" outlineLevel="0" collapsed="false">
      <c r="L630" s="254"/>
      <c r="O630" s="254"/>
      <c r="AC630" s="254"/>
      <c r="AD630" s="254"/>
    </row>
    <row r="631" customFormat="false" ht="12.75" hidden="false" customHeight="false" outlineLevel="0" collapsed="false">
      <c r="L631" s="254"/>
      <c r="O631" s="254"/>
      <c r="AC631" s="254"/>
      <c r="AD631" s="254"/>
    </row>
    <row r="632" customFormat="false" ht="12.75" hidden="false" customHeight="false" outlineLevel="0" collapsed="false">
      <c r="L632" s="254"/>
      <c r="O632" s="254"/>
      <c r="AC632" s="254"/>
      <c r="AD632" s="254"/>
    </row>
    <row r="633" customFormat="false" ht="12.75" hidden="false" customHeight="false" outlineLevel="0" collapsed="false">
      <c r="L633" s="254"/>
      <c r="O633" s="254"/>
      <c r="AC633" s="254"/>
      <c r="AD633" s="254"/>
    </row>
    <row r="634" customFormat="false" ht="12.75" hidden="false" customHeight="false" outlineLevel="0" collapsed="false">
      <c r="L634" s="254"/>
      <c r="O634" s="254"/>
      <c r="AC634" s="254"/>
      <c r="AD634" s="254"/>
    </row>
    <row r="635" customFormat="false" ht="12.75" hidden="false" customHeight="false" outlineLevel="0" collapsed="false">
      <c r="L635" s="254"/>
      <c r="O635" s="254"/>
      <c r="AC635" s="254"/>
      <c r="AD635" s="254"/>
    </row>
    <row r="636" customFormat="false" ht="12.75" hidden="false" customHeight="false" outlineLevel="0" collapsed="false">
      <c r="L636" s="254"/>
      <c r="O636" s="254"/>
      <c r="AC636" s="254"/>
      <c r="AD636" s="254"/>
    </row>
    <row r="637" customFormat="false" ht="12.75" hidden="false" customHeight="false" outlineLevel="0" collapsed="false">
      <c r="L637" s="254"/>
      <c r="O637" s="254"/>
      <c r="AC637" s="254"/>
      <c r="AD637" s="254"/>
    </row>
    <row r="638" customFormat="false" ht="12.75" hidden="false" customHeight="false" outlineLevel="0" collapsed="false">
      <c r="L638" s="254"/>
      <c r="O638" s="254"/>
      <c r="AC638" s="254"/>
      <c r="AD638" s="254"/>
    </row>
    <row r="639" customFormat="false" ht="12.75" hidden="false" customHeight="false" outlineLevel="0" collapsed="false">
      <c r="L639" s="254"/>
      <c r="O639" s="254"/>
      <c r="AC639" s="254"/>
      <c r="AD639" s="254"/>
    </row>
    <row r="640" customFormat="false" ht="12.75" hidden="false" customHeight="false" outlineLevel="0" collapsed="false">
      <c r="L640" s="254"/>
      <c r="O640" s="254"/>
      <c r="AC640" s="254"/>
      <c r="AD640" s="254"/>
    </row>
    <row r="641" customFormat="false" ht="12.75" hidden="false" customHeight="false" outlineLevel="0" collapsed="false">
      <c r="L641" s="254"/>
      <c r="O641" s="254"/>
      <c r="AC641" s="254"/>
      <c r="AD641" s="254"/>
    </row>
    <row r="642" customFormat="false" ht="12.75" hidden="false" customHeight="false" outlineLevel="0" collapsed="false">
      <c r="L642" s="254"/>
      <c r="O642" s="254"/>
      <c r="AC642" s="254"/>
      <c r="AD642" s="254"/>
    </row>
    <row r="643" customFormat="false" ht="12.75" hidden="false" customHeight="false" outlineLevel="0" collapsed="false">
      <c r="L643" s="254"/>
      <c r="O643" s="254"/>
      <c r="AC643" s="254"/>
      <c r="AD643" s="254"/>
    </row>
    <row r="644" customFormat="false" ht="12.75" hidden="false" customHeight="false" outlineLevel="0" collapsed="false">
      <c r="L644" s="254"/>
      <c r="O644" s="254"/>
      <c r="AC644" s="254"/>
      <c r="AD644" s="254"/>
    </row>
    <row r="645" customFormat="false" ht="12.75" hidden="false" customHeight="false" outlineLevel="0" collapsed="false">
      <c r="L645" s="254"/>
      <c r="O645" s="254"/>
      <c r="AC645" s="254"/>
      <c r="AD645" s="254"/>
    </row>
    <row r="646" customFormat="false" ht="12.75" hidden="false" customHeight="false" outlineLevel="0" collapsed="false">
      <c r="L646" s="254"/>
      <c r="O646" s="254"/>
      <c r="AC646" s="254"/>
      <c r="AD646" s="254"/>
    </row>
    <row r="647" customFormat="false" ht="12.75" hidden="false" customHeight="false" outlineLevel="0" collapsed="false">
      <c r="L647" s="254"/>
      <c r="O647" s="254"/>
      <c r="AC647" s="254"/>
      <c r="AD647" s="254"/>
    </row>
    <row r="648" customFormat="false" ht="12.75" hidden="false" customHeight="false" outlineLevel="0" collapsed="false">
      <c r="L648" s="254"/>
      <c r="O648" s="254"/>
      <c r="AC648" s="254"/>
      <c r="AD648" s="254"/>
    </row>
    <row r="649" customFormat="false" ht="12.75" hidden="false" customHeight="false" outlineLevel="0" collapsed="false">
      <c r="L649" s="254"/>
      <c r="O649" s="254"/>
      <c r="AC649" s="254"/>
      <c r="AD649" s="254"/>
    </row>
    <row r="650" customFormat="false" ht="12.75" hidden="false" customHeight="false" outlineLevel="0" collapsed="false">
      <c r="L650" s="254"/>
      <c r="O650" s="254"/>
      <c r="AC650" s="254"/>
      <c r="AD650" s="254"/>
    </row>
    <row r="651" customFormat="false" ht="12.75" hidden="false" customHeight="false" outlineLevel="0" collapsed="false">
      <c r="L651" s="254"/>
      <c r="O651" s="254"/>
      <c r="AC651" s="254"/>
      <c r="AD651" s="254"/>
    </row>
    <row r="652" customFormat="false" ht="12.75" hidden="false" customHeight="false" outlineLevel="0" collapsed="false">
      <c r="L652" s="254"/>
      <c r="O652" s="254"/>
      <c r="AC652" s="254"/>
      <c r="AD652" s="254"/>
    </row>
    <row r="653" customFormat="false" ht="12.75" hidden="false" customHeight="false" outlineLevel="0" collapsed="false">
      <c r="L653" s="254"/>
      <c r="O653" s="254"/>
      <c r="AC653" s="254"/>
      <c r="AD653" s="254"/>
    </row>
    <row r="654" customFormat="false" ht="12.75" hidden="false" customHeight="false" outlineLevel="0" collapsed="false">
      <c r="L654" s="254"/>
      <c r="O654" s="254"/>
      <c r="AC654" s="254"/>
      <c r="AD654" s="254"/>
    </row>
    <row r="655" customFormat="false" ht="12.75" hidden="false" customHeight="false" outlineLevel="0" collapsed="false">
      <c r="L655" s="254"/>
      <c r="O655" s="254"/>
      <c r="AC655" s="254"/>
      <c r="AD655" s="254"/>
    </row>
    <row r="656" customFormat="false" ht="12.75" hidden="false" customHeight="false" outlineLevel="0" collapsed="false">
      <c r="L656" s="254"/>
      <c r="O656" s="254"/>
      <c r="AC656" s="254"/>
      <c r="AD656" s="254"/>
    </row>
    <row r="657" customFormat="false" ht="12.75" hidden="false" customHeight="false" outlineLevel="0" collapsed="false">
      <c r="L657" s="254"/>
      <c r="O657" s="254"/>
      <c r="AC657" s="254"/>
      <c r="AD657" s="254"/>
    </row>
    <row r="658" customFormat="false" ht="12.75" hidden="false" customHeight="false" outlineLevel="0" collapsed="false">
      <c r="L658" s="254"/>
      <c r="O658" s="254"/>
      <c r="AC658" s="254"/>
      <c r="AD658" s="254"/>
    </row>
    <row r="659" customFormat="false" ht="12.75" hidden="false" customHeight="false" outlineLevel="0" collapsed="false">
      <c r="L659" s="254"/>
      <c r="O659" s="254"/>
      <c r="AC659" s="254"/>
      <c r="AD659" s="254"/>
    </row>
    <row r="660" customFormat="false" ht="12.75" hidden="false" customHeight="false" outlineLevel="0" collapsed="false">
      <c r="L660" s="254"/>
      <c r="O660" s="254"/>
      <c r="AC660" s="254"/>
      <c r="AD660" s="254"/>
    </row>
    <row r="661" customFormat="false" ht="12.75" hidden="false" customHeight="false" outlineLevel="0" collapsed="false">
      <c r="L661" s="254"/>
      <c r="O661" s="254"/>
      <c r="AC661" s="254"/>
      <c r="AD661" s="254"/>
    </row>
    <row r="662" customFormat="false" ht="12.75" hidden="false" customHeight="false" outlineLevel="0" collapsed="false">
      <c r="L662" s="254"/>
      <c r="O662" s="254"/>
      <c r="AC662" s="254"/>
      <c r="AD662" s="254"/>
    </row>
    <row r="663" customFormat="false" ht="12.75" hidden="false" customHeight="false" outlineLevel="0" collapsed="false">
      <c r="L663" s="254"/>
      <c r="O663" s="254"/>
      <c r="AC663" s="254"/>
      <c r="AD663" s="254"/>
    </row>
    <row r="664" customFormat="false" ht="12.75" hidden="false" customHeight="false" outlineLevel="0" collapsed="false">
      <c r="L664" s="254"/>
      <c r="O664" s="254"/>
      <c r="AC664" s="254"/>
      <c r="AD664" s="254"/>
    </row>
    <row r="665" customFormat="false" ht="12.75" hidden="false" customHeight="false" outlineLevel="0" collapsed="false">
      <c r="L665" s="254"/>
      <c r="O665" s="254"/>
      <c r="AC665" s="254"/>
      <c r="AD665" s="254"/>
    </row>
    <row r="666" customFormat="false" ht="12.75" hidden="false" customHeight="false" outlineLevel="0" collapsed="false">
      <c r="L666" s="254"/>
      <c r="O666" s="254"/>
      <c r="AC666" s="254"/>
      <c r="AD666" s="254"/>
    </row>
    <row r="667" customFormat="false" ht="12.75" hidden="false" customHeight="false" outlineLevel="0" collapsed="false">
      <c r="L667" s="254"/>
      <c r="O667" s="254"/>
      <c r="AC667" s="254"/>
      <c r="AD667" s="254"/>
    </row>
    <row r="668" customFormat="false" ht="12.75" hidden="false" customHeight="false" outlineLevel="0" collapsed="false">
      <c r="L668" s="254"/>
      <c r="O668" s="254"/>
      <c r="AC668" s="254"/>
      <c r="AD668" s="254"/>
    </row>
    <row r="669" customFormat="false" ht="12.75" hidden="false" customHeight="false" outlineLevel="0" collapsed="false">
      <c r="L669" s="254"/>
      <c r="O669" s="254"/>
      <c r="AC669" s="254"/>
      <c r="AD669" s="254"/>
    </row>
    <row r="670" customFormat="false" ht="12.75" hidden="false" customHeight="false" outlineLevel="0" collapsed="false">
      <c r="L670" s="254"/>
      <c r="O670" s="254"/>
      <c r="AC670" s="254"/>
      <c r="AD670" s="254"/>
    </row>
    <row r="671" customFormat="false" ht="12.75" hidden="false" customHeight="false" outlineLevel="0" collapsed="false">
      <c r="L671" s="254"/>
      <c r="O671" s="254"/>
      <c r="AC671" s="254"/>
      <c r="AD671" s="254"/>
    </row>
    <row r="672" customFormat="false" ht="12.75" hidden="false" customHeight="false" outlineLevel="0" collapsed="false">
      <c r="L672" s="254"/>
      <c r="O672" s="254"/>
      <c r="AC672" s="254"/>
      <c r="AD672" s="254"/>
    </row>
    <row r="673" customFormat="false" ht="12.75" hidden="false" customHeight="false" outlineLevel="0" collapsed="false">
      <c r="L673" s="254"/>
      <c r="O673" s="254"/>
      <c r="AC673" s="254"/>
      <c r="AD673" s="254"/>
    </row>
    <row r="674" customFormat="false" ht="12.75" hidden="false" customHeight="false" outlineLevel="0" collapsed="false">
      <c r="L674" s="254"/>
      <c r="O674" s="254"/>
      <c r="AC674" s="254"/>
      <c r="AD674" s="254"/>
    </row>
    <row r="675" customFormat="false" ht="12.75" hidden="false" customHeight="false" outlineLevel="0" collapsed="false">
      <c r="L675" s="254"/>
      <c r="O675" s="254"/>
      <c r="AC675" s="254"/>
      <c r="AD675" s="254"/>
    </row>
    <row r="676" customFormat="false" ht="12.75" hidden="false" customHeight="false" outlineLevel="0" collapsed="false">
      <c r="L676" s="254"/>
      <c r="O676" s="254"/>
      <c r="AC676" s="254"/>
      <c r="AD676" s="254"/>
    </row>
    <row r="677" customFormat="false" ht="12.75" hidden="false" customHeight="false" outlineLevel="0" collapsed="false">
      <c r="L677" s="254"/>
      <c r="O677" s="254"/>
      <c r="AC677" s="254"/>
      <c r="AD677" s="254"/>
    </row>
    <row r="678" customFormat="false" ht="12.75" hidden="false" customHeight="false" outlineLevel="0" collapsed="false">
      <c r="L678" s="254"/>
      <c r="O678" s="254"/>
      <c r="AC678" s="254"/>
      <c r="AD678" s="254"/>
    </row>
    <row r="679" customFormat="false" ht="12.75" hidden="false" customHeight="false" outlineLevel="0" collapsed="false">
      <c r="L679" s="254"/>
      <c r="O679" s="254"/>
      <c r="AC679" s="254"/>
      <c r="AD679" s="254"/>
    </row>
    <row r="680" customFormat="false" ht="12.75" hidden="false" customHeight="false" outlineLevel="0" collapsed="false">
      <c r="L680" s="254"/>
      <c r="O680" s="254"/>
      <c r="AC680" s="254"/>
      <c r="AD680" s="254"/>
    </row>
    <row r="681" customFormat="false" ht="12.75" hidden="false" customHeight="false" outlineLevel="0" collapsed="false">
      <c r="L681" s="254"/>
      <c r="O681" s="254"/>
      <c r="AC681" s="254"/>
      <c r="AD681" s="254"/>
    </row>
    <row r="682" customFormat="false" ht="12.75" hidden="false" customHeight="false" outlineLevel="0" collapsed="false">
      <c r="L682" s="254"/>
      <c r="O682" s="254"/>
      <c r="AC682" s="254"/>
      <c r="AD682" s="254"/>
    </row>
    <row r="683" customFormat="false" ht="12.75" hidden="false" customHeight="false" outlineLevel="0" collapsed="false">
      <c r="L683" s="254"/>
      <c r="O683" s="254"/>
      <c r="AC683" s="254"/>
      <c r="AD683" s="254"/>
    </row>
    <row r="684" customFormat="false" ht="12.75" hidden="false" customHeight="false" outlineLevel="0" collapsed="false">
      <c r="L684" s="254"/>
      <c r="O684" s="254"/>
      <c r="AC684" s="254"/>
      <c r="AD684" s="254"/>
    </row>
    <row r="685" customFormat="false" ht="12.75" hidden="false" customHeight="false" outlineLevel="0" collapsed="false">
      <c r="L685" s="254"/>
      <c r="O685" s="254"/>
      <c r="AC685" s="254"/>
      <c r="AD685" s="254"/>
    </row>
    <row r="686" customFormat="false" ht="12.75" hidden="false" customHeight="false" outlineLevel="0" collapsed="false">
      <c r="L686" s="254"/>
      <c r="O686" s="254"/>
      <c r="AC686" s="254"/>
      <c r="AD686" s="254"/>
    </row>
    <row r="687" customFormat="false" ht="12.75" hidden="false" customHeight="false" outlineLevel="0" collapsed="false">
      <c r="L687" s="254"/>
      <c r="O687" s="254"/>
      <c r="AC687" s="254"/>
      <c r="AD687" s="254"/>
    </row>
    <row r="688" customFormat="false" ht="12.75" hidden="false" customHeight="false" outlineLevel="0" collapsed="false">
      <c r="L688" s="254"/>
      <c r="O688" s="254"/>
      <c r="AC688" s="254"/>
      <c r="AD688" s="254"/>
    </row>
    <row r="689" customFormat="false" ht="12.75" hidden="false" customHeight="false" outlineLevel="0" collapsed="false">
      <c r="L689" s="254"/>
      <c r="O689" s="254"/>
      <c r="AC689" s="254"/>
      <c r="AD689" s="254"/>
    </row>
    <row r="690" customFormat="false" ht="12.75" hidden="false" customHeight="false" outlineLevel="0" collapsed="false">
      <c r="L690" s="254"/>
      <c r="O690" s="254"/>
      <c r="AC690" s="254"/>
      <c r="AD690" s="254"/>
    </row>
    <row r="691" customFormat="false" ht="12.75" hidden="false" customHeight="false" outlineLevel="0" collapsed="false">
      <c r="L691" s="254"/>
      <c r="O691" s="254"/>
      <c r="AC691" s="254"/>
      <c r="AD691" s="254"/>
    </row>
    <row r="692" customFormat="false" ht="12.75" hidden="false" customHeight="false" outlineLevel="0" collapsed="false">
      <c r="L692" s="254"/>
      <c r="O692" s="254"/>
      <c r="AC692" s="254"/>
      <c r="AD692" s="254"/>
    </row>
    <row r="693" customFormat="false" ht="12.75" hidden="false" customHeight="false" outlineLevel="0" collapsed="false">
      <c r="L693" s="254"/>
      <c r="O693" s="254"/>
      <c r="AC693" s="254"/>
      <c r="AD693" s="254"/>
    </row>
    <row r="694" customFormat="false" ht="12.75" hidden="false" customHeight="false" outlineLevel="0" collapsed="false">
      <c r="L694" s="254"/>
      <c r="O694" s="254"/>
      <c r="AC694" s="254"/>
      <c r="AD694" s="254"/>
    </row>
    <row r="695" customFormat="false" ht="12.75" hidden="false" customHeight="false" outlineLevel="0" collapsed="false">
      <c r="L695" s="254"/>
      <c r="O695" s="254"/>
      <c r="AC695" s="254"/>
      <c r="AD695" s="254"/>
    </row>
    <row r="696" customFormat="false" ht="12.75" hidden="false" customHeight="false" outlineLevel="0" collapsed="false">
      <c r="L696" s="254"/>
      <c r="O696" s="254"/>
      <c r="AC696" s="254"/>
      <c r="AD696" s="254"/>
    </row>
    <row r="697" customFormat="false" ht="12.75" hidden="false" customHeight="false" outlineLevel="0" collapsed="false">
      <c r="L697" s="254"/>
      <c r="O697" s="254"/>
      <c r="AC697" s="254"/>
      <c r="AD697" s="254"/>
    </row>
    <row r="698" customFormat="false" ht="12.75" hidden="false" customHeight="false" outlineLevel="0" collapsed="false">
      <c r="L698" s="254"/>
      <c r="O698" s="254"/>
      <c r="AC698" s="254"/>
      <c r="AD698" s="254"/>
    </row>
    <row r="699" customFormat="false" ht="12.75" hidden="false" customHeight="false" outlineLevel="0" collapsed="false">
      <c r="L699" s="254"/>
      <c r="O699" s="254"/>
      <c r="AC699" s="254"/>
      <c r="AD699" s="254"/>
    </row>
    <row r="700" customFormat="false" ht="12.75" hidden="false" customHeight="false" outlineLevel="0" collapsed="false">
      <c r="L700" s="254"/>
      <c r="O700" s="254"/>
      <c r="AC700" s="254"/>
      <c r="AD700" s="254"/>
    </row>
    <row r="701" customFormat="false" ht="12.75" hidden="false" customHeight="false" outlineLevel="0" collapsed="false">
      <c r="L701" s="254"/>
      <c r="O701" s="254"/>
      <c r="AC701" s="254"/>
      <c r="AD701" s="254"/>
    </row>
    <row r="702" customFormat="false" ht="12.75" hidden="false" customHeight="false" outlineLevel="0" collapsed="false">
      <c r="L702" s="254"/>
      <c r="O702" s="254"/>
      <c r="AC702" s="254"/>
      <c r="AD702" s="254"/>
    </row>
    <row r="703" customFormat="false" ht="12.75" hidden="false" customHeight="false" outlineLevel="0" collapsed="false">
      <c r="L703" s="254"/>
      <c r="O703" s="254"/>
      <c r="AC703" s="254"/>
      <c r="AD703" s="254"/>
    </row>
    <row r="704" customFormat="false" ht="12.75" hidden="false" customHeight="false" outlineLevel="0" collapsed="false">
      <c r="L704" s="254"/>
      <c r="O704" s="254"/>
      <c r="AC704" s="254"/>
      <c r="AD704" s="254"/>
    </row>
    <row r="705" customFormat="false" ht="12.75" hidden="false" customHeight="false" outlineLevel="0" collapsed="false">
      <c r="L705" s="254"/>
      <c r="O705" s="254"/>
      <c r="AC705" s="254"/>
      <c r="AD705" s="254"/>
    </row>
    <row r="706" customFormat="false" ht="12.75" hidden="false" customHeight="false" outlineLevel="0" collapsed="false">
      <c r="L706" s="254"/>
      <c r="O706" s="254"/>
      <c r="AC706" s="254"/>
      <c r="AD706" s="254"/>
    </row>
    <row r="707" customFormat="false" ht="12.75" hidden="false" customHeight="false" outlineLevel="0" collapsed="false">
      <c r="L707" s="254"/>
      <c r="O707" s="254"/>
      <c r="AC707" s="254"/>
      <c r="AD707" s="254"/>
    </row>
    <row r="708" customFormat="false" ht="12.75" hidden="false" customHeight="false" outlineLevel="0" collapsed="false">
      <c r="L708" s="254"/>
      <c r="O708" s="254"/>
      <c r="AC708" s="254"/>
      <c r="AD708" s="254"/>
    </row>
    <row r="709" customFormat="false" ht="12.75" hidden="false" customHeight="false" outlineLevel="0" collapsed="false">
      <c r="L709" s="254"/>
      <c r="O709" s="254"/>
      <c r="AC709" s="254"/>
      <c r="AD709" s="254"/>
    </row>
    <row r="710" customFormat="false" ht="12.75" hidden="false" customHeight="false" outlineLevel="0" collapsed="false">
      <c r="L710" s="254"/>
      <c r="O710" s="254"/>
      <c r="AC710" s="254"/>
      <c r="AD710" s="254"/>
    </row>
    <row r="711" customFormat="false" ht="12.75" hidden="false" customHeight="false" outlineLevel="0" collapsed="false">
      <c r="L711" s="254"/>
      <c r="O711" s="254"/>
      <c r="AC711" s="254"/>
      <c r="AD711" s="254"/>
    </row>
    <row r="712" customFormat="false" ht="12.75" hidden="false" customHeight="false" outlineLevel="0" collapsed="false">
      <c r="L712" s="254"/>
      <c r="O712" s="254"/>
      <c r="AC712" s="254"/>
      <c r="AD712" s="254"/>
    </row>
    <row r="713" customFormat="false" ht="12.75" hidden="false" customHeight="false" outlineLevel="0" collapsed="false">
      <c r="L713" s="254"/>
      <c r="O713" s="254"/>
      <c r="AC713" s="254"/>
      <c r="AD713" s="254"/>
    </row>
    <row r="714" customFormat="false" ht="12.75" hidden="false" customHeight="false" outlineLevel="0" collapsed="false">
      <c r="L714" s="254"/>
      <c r="O714" s="254"/>
      <c r="AC714" s="254"/>
      <c r="AD714" s="254"/>
    </row>
    <row r="715" customFormat="false" ht="12.75" hidden="false" customHeight="false" outlineLevel="0" collapsed="false">
      <c r="L715" s="254"/>
      <c r="O715" s="254"/>
      <c r="AC715" s="254"/>
      <c r="AD715" s="254"/>
    </row>
    <row r="716" customFormat="false" ht="12.75" hidden="false" customHeight="false" outlineLevel="0" collapsed="false">
      <c r="L716" s="254"/>
      <c r="O716" s="254"/>
      <c r="AC716" s="254"/>
      <c r="AD716" s="254"/>
    </row>
    <row r="717" customFormat="false" ht="12.75" hidden="false" customHeight="false" outlineLevel="0" collapsed="false">
      <c r="L717" s="254"/>
      <c r="O717" s="254"/>
      <c r="AC717" s="254"/>
      <c r="AD717" s="254"/>
    </row>
    <row r="718" customFormat="false" ht="12.75" hidden="false" customHeight="false" outlineLevel="0" collapsed="false">
      <c r="L718" s="254"/>
      <c r="O718" s="254"/>
      <c r="AC718" s="254"/>
      <c r="AD718" s="254"/>
    </row>
    <row r="719" customFormat="false" ht="12.75" hidden="false" customHeight="false" outlineLevel="0" collapsed="false">
      <c r="L719" s="254"/>
      <c r="O719" s="254"/>
      <c r="AC719" s="254"/>
      <c r="AD719" s="254"/>
    </row>
    <row r="720" customFormat="false" ht="12.75" hidden="false" customHeight="false" outlineLevel="0" collapsed="false">
      <c r="L720" s="254"/>
      <c r="O720" s="254"/>
      <c r="AC720" s="254"/>
      <c r="AD720" s="254"/>
    </row>
    <row r="721" customFormat="false" ht="12.75" hidden="false" customHeight="false" outlineLevel="0" collapsed="false">
      <c r="L721" s="254"/>
      <c r="O721" s="254"/>
      <c r="AC721" s="254"/>
      <c r="AD721" s="254"/>
    </row>
    <row r="722" customFormat="false" ht="12.75" hidden="false" customHeight="false" outlineLevel="0" collapsed="false">
      <c r="L722" s="254"/>
      <c r="O722" s="254"/>
      <c r="AC722" s="254"/>
      <c r="AD722" s="254"/>
    </row>
    <row r="723" customFormat="false" ht="12.75" hidden="false" customHeight="false" outlineLevel="0" collapsed="false">
      <c r="L723" s="254"/>
      <c r="O723" s="254"/>
      <c r="AC723" s="254"/>
      <c r="AD723" s="254"/>
    </row>
    <row r="724" customFormat="false" ht="12.75" hidden="false" customHeight="false" outlineLevel="0" collapsed="false">
      <c r="L724" s="254"/>
      <c r="O724" s="254"/>
      <c r="AC724" s="254"/>
      <c r="AD724" s="254"/>
    </row>
    <row r="725" customFormat="false" ht="12.75" hidden="false" customHeight="false" outlineLevel="0" collapsed="false">
      <c r="L725" s="254"/>
      <c r="O725" s="254"/>
      <c r="AC725" s="254"/>
      <c r="AD725" s="254"/>
    </row>
    <row r="726" customFormat="false" ht="12.75" hidden="false" customHeight="false" outlineLevel="0" collapsed="false">
      <c r="L726" s="254"/>
      <c r="O726" s="254"/>
      <c r="AC726" s="254"/>
      <c r="AD726" s="254"/>
    </row>
    <row r="727" customFormat="false" ht="12.75" hidden="false" customHeight="false" outlineLevel="0" collapsed="false">
      <c r="L727" s="254"/>
      <c r="O727" s="254"/>
      <c r="AC727" s="254"/>
      <c r="AD727" s="254"/>
    </row>
    <row r="728" customFormat="false" ht="12.75" hidden="false" customHeight="false" outlineLevel="0" collapsed="false">
      <c r="L728" s="254"/>
      <c r="O728" s="254"/>
      <c r="AC728" s="254"/>
      <c r="AD728" s="254"/>
    </row>
    <row r="729" customFormat="false" ht="12.75" hidden="false" customHeight="false" outlineLevel="0" collapsed="false">
      <c r="L729" s="254"/>
      <c r="O729" s="254"/>
      <c r="AC729" s="254"/>
      <c r="AD729" s="254"/>
    </row>
    <row r="730" customFormat="false" ht="12.75" hidden="false" customHeight="false" outlineLevel="0" collapsed="false">
      <c r="L730" s="254"/>
      <c r="O730" s="254"/>
      <c r="AC730" s="254"/>
      <c r="AD730" s="254"/>
    </row>
    <row r="731" customFormat="false" ht="12.75" hidden="false" customHeight="false" outlineLevel="0" collapsed="false">
      <c r="L731" s="254"/>
      <c r="O731" s="254"/>
      <c r="AC731" s="254"/>
      <c r="AD731" s="254"/>
    </row>
    <row r="732" customFormat="false" ht="12.75" hidden="false" customHeight="false" outlineLevel="0" collapsed="false">
      <c r="L732" s="254"/>
      <c r="O732" s="254"/>
      <c r="AC732" s="254"/>
      <c r="AD732" s="254"/>
    </row>
    <row r="733" customFormat="false" ht="12.75" hidden="false" customHeight="false" outlineLevel="0" collapsed="false">
      <c r="L733" s="254"/>
      <c r="O733" s="254"/>
      <c r="AC733" s="254"/>
      <c r="AD733" s="254"/>
    </row>
    <row r="734" customFormat="false" ht="12.75" hidden="false" customHeight="false" outlineLevel="0" collapsed="false">
      <c r="L734" s="254"/>
      <c r="O734" s="254"/>
      <c r="AC734" s="254"/>
      <c r="AD734" s="254"/>
    </row>
    <row r="735" customFormat="false" ht="12.75" hidden="false" customHeight="false" outlineLevel="0" collapsed="false">
      <c r="L735" s="254"/>
      <c r="O735" s="254"/>
      <c r="AC735" s="254"/>
      <c r="AD735" s="254"/>
    </row>
    <row r="736" customFormat="false" ht="12.75" hidden="false" customHeight="false" outlineLevel="0" collapsed="false">
      <c r="L736" s="254"/>
      <c r="O736" s="254"/>
      <c r="AC736" s="254"/>
      <c r="AD736" s="254"/>
    </row>
    <row r="737" customFormat="false" ht="12.75" hidden="false" customHeight="false" outlineLevel="0" collapsed="false">
      <c r="L737" s="254"/>
      <c r="O737" s="254"/>
      <c r="AC737" s="254"/>
      <c r="AD737" s="254"/>
    </row>
    <row r="738" customFormat="false" ht="12.75" hidden="false" customHeight="false" outlineLevel="0" collapsed="false">
      <c r="L738" s="254"/>
      <c r="O738" s="254"/>
      <c r="AC738" s="254"/>
      <c r="AD738" s="254"/>
    </row>
    <row r="739" customFormat="false" ht="12.75" hidden="false" customHeight="false" outlineLevel="0" collapsed="false">
      <c r="L739" s="254"/>
      <c r="O739" s="254"/>
      <c r="AC739" s="254"/>
      <c r="AD739" s="254"/>
    </row>
    <row r="740" customFormat="false" ht="12.75" hidden="false" customHeight="false" outlineLevel="0" collapsed="false">
      <c r="L740" s="254"/>
      <c r="O740" s="254"/>
      <c r="AC740" s="254"/>
      <c r="AD740" s="254"/>
    </row>
    <row r="741" customFormat="false" ht="12.75" hidden="false" customHeight="false" outlineLevel="0" collapsed="false">
      <c r="L741" s="254"/>
      <c r="O741" s="254"/>
      <c r="AC741" s="254"/>
      <c r="AD741" s="254"/>
    </row>
    <row r="742" customFormat="false" ht="12.75" hidden="false" customHeight="false" outlineLevel="0" collapsed="false">
      <c r="L742" s="254"/>
      <c r="O742" s="254"/>
      <c r="AC742" s="254"/>
      <c r="AD742" s="254"/>
    </row>
    <row r="743" customFormat="false" ht="12.75" hidden="false" customHeight="false" outlineLevel="0" collapsed="false">
      <c r="L743" s="254"/>
      <c r="O743" s="254"/>
      <c r="AC743" s="254"/>
      <c r="AD743" s="254"/>
    </row>
    <row r="744" customFormat="false" ht="12.75" hidden="false" customHeight="false" outlineLevel="0" collapsed="false">
      <c r="L744" s="254"/>
      <c r="O744" s="254"/>
      <c r="AC744" s="254"/>
      <c r="AD744" s="254"/>
    </row>
    <row r="745" customFormat="false" ht="12.75" hidden="false" customHeight="false" outlineLevel="0" collapsed="false">
      <c r="L745" s="254"/>
      <c r="O745" s="254"/>
      <c r="AC745" s="254"/>
      <c r="AD745" s="254"/>
    </row>
    <row r="746" customFormat="false" ht="12.75" hidden="false" customHeight="false" outlineLevel="0" collapsed="false">
      <c r="L746" s="254"/>
      <c r="O746" s="254"/>
      <c r="AC746" s="254"/>
      <c r="AD746" s="254"/>
    </row>
    <row r="747" customFormat="false" ht="12.75" hidden="false" customHeight="false" outlineLevel="0" collapsed="false">
      <c r="L747" s="254"/>
      <c r="O747" s="254"/>
      <c r="AC747" s="254"/>
      <c r="AD747" s="254"/>
    </row>
    <row r="748" customFormat="false" ht="12.75" hidden="false" customHeight="false" outlineLevel="0" collapsed="false">
      <c r="L748" s="254"/>
      <c r="O748" s="254"/>
      <c r="AC748" s="254"/>
      <c r="AD748" s="254"/>
    </row>
    <row r="749" customFormat="false" ht="12.75" hidden="false" customHeight="false" outlineLevel="0" collapsed="false">
      <c r="L749" s="254"/>
      <c r="O749" s="254"/>
      <c r="AC749" s="254"/>
    </row>
    <row r="750" customFormat="false" ht="12.75" hidden="false" customHeight="false" outlineLevel="0" collapsed="false">
      <c r="L750" s="254"/>
      <c r="O750" s="254"/>
      <c r="AC750" s="254"/>
    </row>
    <row r="751" customFormat="false" ht="12.75" hidden="false" customHeight="false" outlineLevel="0" collapsed="false">
      <c r="L751" s="254"/>
      <c r="O751" s="254"/>
      <c r="AC751" s="254"/>
    </row>
    <row r="752" customFormat="false" ht="12.75" hidden="false" customHeight="false" outlineLevel="0" collapsed="false">
      <c r="L752" s="254"/>
      <c r="O752" s="254"/>
      <c r="AC752" s="254"/>
    </row>
    <row r="753" customFormat="false" ht="12.75" hidden="false" customHeight="false" outlineLevel="0" collapsed="false">
      <c r="L753" s="254"/>
      <c r="O753" s="254"/>
      <c r="AC753" s="254"/>
    </row>
    <row r="754" customFormat="false" ht="12.75" hidden="false" customHeight="false" outlineLevel="0" collapsed="false">
      <c r="L754" s="254"/>
      <c r="O754" s="254"/>
      <c r="AC754" s="254"/>
    </row>
    <row r="755" customFormat="false" ht="12.75" hidden="false" customHeight="false" outlineLevel="0" collapsed="false">
      <c r="L755" s="254"/>
      <c r="O755" s="254"/>
      <c r="AC755" s="254"/>
    </row>
    <row r="756" customFormat="false" ht="12.75" hidden="false" customHeight="false" outlineLevel="0" collapsed="false">
      <c r="L756" s="254"/>
      <c r="O756" s="254"/>
      <c r="AC756" s="254"/>
    </row>
    <row r="757" customFormat="false" ht="12.75" hidden="false" customHeight="false" outlineLevel="0" collapsed="false">
      <c r="L757" s="254"/>
      <c r="O757" s="254"/>
      <c r="AC757" s="254"/>
    </row>
    <row r="758" customFormat="false" ht="12.75" hidden="false" customHeight="false" outlineLevel="0" collapsed="false">
      <c r="L758" s="254"/>
      <c r="O758" s="254"/>
      <c r="AC758" s="254"/>
    </row>
    <row r="759" customFormat="false" ht="12.75" hidden="false" customHeight="false" outlineLevel="0" collapsed="false">
      <c r="L759" s="254"/>
      <c r="O759" s="254"/>
      <c r="AC759" s="254"/>
    </row>
    <row r="760" customFormat="false" ht="12.75" hidden="false" customHeight="false" outlineLevel="0" collapsed="false">
      <c r="L760" s="254"/>
      <c r="O760" s="254"/>
      <c r="AC760" s="254"/>
    </row>
    <row r="761" customFormat="false" ht="12.75" hidden="false" customHeight="false" outlineLevel="0" collapsed="false">
      <c r="L761" s="254"/>
      <c r="O761" s="254"/>
      <c r="AC761" s="254"/>
    </row>
    <row r="762" customFormat="false" ht="12.75" hidden="false" customHeight="false" outlineLevel="0" collapsed="false">
      <c r="L762" s="254"/>
      <c r="O762" s="254"/>
      <c r="AC762" s="254"/>
    </row>
    <row r="763" customFormat="false" ht="12.75" hidden="false" customHeight="false" outlineLevel="0" collapsed="false">
      <c r="L763" s="254"/>
      <c r="O763" s="254"/>
      <c r="AC763" s="254"/>
    </row>
    <row r="764" customFormat="false" ht="12.75" hidden="false" customHeight="false" outlineLevel="0" collapsed="false">
      <c r="L764" s="254"/>
      <c r="O764" s="254"/>
      <c r="AC764" s="254"/>
    </row>
    <row r="765" customFormat="false" ht="12.75" hidden="false" customHeight="false" outlineLevel="0" collapsed="false">
      <c r="L765" s="254"/>
      <c r="O765" s="254"/>
      <c r="AC765" s="254"/>
    </row>
    <row r="766" customFormat="false" ht="12.75" hidden="false" customHeight="false" outlineLevel="0" collapsed="false">
      <c r="L766" s="254"/>
      <c r="O766" s="254"/>
      <c r="AC766" s="254"/>
    </row>
    <row r="767" customFormat="false" ht="12.75" hidden="false" customHeight="false" outlineLevel="0" collapsed="false">
      <c r="L767" s="254"/>
      <c r="O767" s="254"/>
      <c r="AC767" s="254"/>
    </row>
    <row r="768" customFormat="false" ht="12.75" hidden="false" customHeight="false" outlineLevel="0" collapsed="false">
      <c r="L768" s="254"/>
      <c r="O768" s="254"/>
      <c r="AC768" s="254"/>
    </row>
    <row r="769" customFormat="false" ht="12.75" hidden="false" customHeight="false" outlineLevel="0" collapsed="false">
      <c r="L769" s="254"/>
      <c r="O769" s="254"/>
      <c r="AC769" s="254"/>
    </row>
    <row r="770" customFormat="false" ht="12.75" hidden="false" customHeight="false" outlineLevel="0" collapsed="false">
      <c r="L770" s="254"/>
      <c r="O770" s="254"/>
      <c r="AC770" s="254"/>
    </row>
    <row r="771" customFormat="false" ht="12.75" hidden="false" customHeight="false" outlineLevel="0" collapsed="false">
      <c r="L771" s="254"/>
      <c r="O771" s="254"/>
      <c r="AC771" s="254"/>
    </row>
    <row r="772" customFormat="false" ht="12.75" hidden="false" customHeight="false" outlineLevel="0" collapsed="false">
      <c r="L772" s="254"/>
      <c r="O772" s="254"/>
      <c r="AC772" s="254"/>
    </row>
    <row r="773" customFormat="false" ht="12.75" hidden="false" customHeight="false" outlineLevel="0" collapsed="false">
      <c r="L773" s="254"/>
      <c r="O773" s="254"/>
      <c r="AC773" s="254"/>
    </row>
    <row r="774" customFormat="false" ht="12.75" hidden="false" customHeight="false" outlineLevel="0" collapsed="false">
      <c r="L774" s="254"/>
      <c r="O774" s="254"/>
      <c r="AC774" s="254"/>
    </row>
    <row r="775" customFormat="false" ht="12.75" hidden="false" customHeight="false" outlineLevel="0" collapsed="false">
      <c r="L775" s="254"/>
      <c r="O775" s="254"/>
      <c r="AC775" s="254"/>
    </row>
    <row r="776" customFormat="false" ht="12.75" hidden="false" customHeight="false" outlineLevel="0" collapsed="false">
      <c r="L776" s="254"/>
      <c r="O776" s="254"/>
      <c r="AC776" s="254"/>
    </row>
    <row r="777" customFormat="false" ht="12.75" hidden="false" customHeight="false" outlineLevel="0" collapsed="false">
      <c r="L777" s="254"/>
      <c r="O777" s="254"/>
      <c r="AC777" s="254"/>
    </row>
    <row r="778" customFormat="false" ht="12.75" hidden="false" customHeight="false" outlineLevel="0" collapsed="false">
      <c r="L778" s="254"/>
      <c r="O778" s="254"/>
      <c r="AC778" s="254"/>
    </row>
    <row r="779" customFormat="false" ht="12.75" hidden="false" customHeight="false" outlineLevel="0" collapsed="false">
      <c r="L779" s="254"/>
      <c r="O779" s="254"/>
      <c r="AC779" s="254"/>
    </row>
    <row r="780" customFormat="false" ht="12.75" hidden="false" customHeight="false" outlineLevel="0" collapsed="false">
      <c r="L780" s="254"/>
      <c r="O780" s="254"/>
      <c r="AC780" s="254"/>
    </row>
    <row r="781" customFormat="false" ht="12.75" hidden="false" customHeight="false" outlineLevel="0" collapsed="false">
      <c r="L781" s="254"/>
      <c r="O781" s="254"/>
      <c r="AC781" s="254"/>
    </row>
    <row r="782" customFormat="false" ht="12.75" hidden="false" customHeight="false" outlineLevel="0" collapsed="false">
      <c r="L782" s="254"/>
      <c r="O782" s="254"/>
      <c r="AC782" s="254"/>
    </row>
    <row r="783" customFormat="false" ht="12.75" hidden="false" customHeight="false" outlineLevel="0" collapsed="false">
      <c r="L783" s="254"/>
      <c r="O783" s="254"/>
      <c r="AC783" s="254"/>
    </row>
    <row r="784" customFormat="false" ht="12.75" hidden="false" customHeight="false" outlineLevel="0" collapsed="false">
      <c r="L784" s="254"/>
      <c r="O784" s="254"/>
      <c r="AC784" s="254"/>
    </row>
    <row r="785" customFormat="false" ht="12.75" hidden="false" customHeight="false" outlineLevel="0" collapsed="false">
      <c r="L785" s="254"/>
      <c r="O785" s="254"/>
      <c r="AC785" s="254"/>
    </row>
    <row r="786" customFormat="false" ht="12.75" hidden="false" customHeight="false" outlineLevel="0" collapsed="false">
      <c r="L786" s="254"/>
      <c r="O786" s="254"/>
      <c r="AC786" s="254"/>
    </row>
    <row r="787" customFormat="false" ht="12.75" hidden="false" customHeight="false" outlineLevel="0" collapsed="false">
      <c r="L787" s="254"/>
      <c r="O787" s="254"/>
      <c r="AC787" s="254"/>
    </row>
    <row r="788" customFormat="false" ht="12.75" hidden="false" customHeight="false" outlineLevel="0" collapsed="false">
      <c r="L788" s="254"/>
      <c r="O788" s="254"/>
      <c r="AC788" s="254"/>
    </row>
    <row r="789" customFormat="false" ht="12.75" hidden="false" customHeight="false" outlineLevel="0" collapsed="false">
      <c r="L789" s="254"/>
      <c r="O789" s="254"/>
      <c r="AC789" s="254"/>
    </row>
    <row r="790" customFormat="false" ht="12.75" hidden="false" customHeight="false" outlineLevel="0" collapsed="false">
      <c r="L790" s="254"/>
      <c r="O790" s="254"/>
      <c r="AC790" s="254"/>
    </row>
    <row r="791" customFormat="false" ht="12.75" hidden="false" customHeight="false" outlineLevel="0" collapsed="false">
      <c r="L791" s="254"/>
      <c r="O791" s="254"/>
      <c r="AC791" s="254"/>
    </row>
    <row r="792" customFormat="false" ht="12.75" hidden="false" customHeight="false" outlineLevel="0" collapsed="false">
      <c r="L792" s="254"/>
      <c r="O792" s="254"/>
      <c r="AC792" s="254"/>
    </row>
    <row r="793" customFormat="false" ht="12.75" hidden="false" customHeight="false" outlineLevel="0" collapsed="false">
      <c r="L793" s="254"/>
      <c r="O793" s="254"/>
      <c r="AC793" s="254"/>
    </row>
    <row r="794" customFormat="false" ht="12.75" hidden="false" customHeight="false" outlineLevel="0" collapsed="false">
      <c r="L794" s="254"/>
      <c r="O794" s="254"/>
      <c r="AC794" s="254"/>
    </row>
    <row r="795" customFormat="false" ht="12.75" hidden="false" customHeight="false" outlineLevel="0" collapsed="false">
      <c r="L795" s="254"/>
      <c r="O795" s="254"/>
      <c r="AC795" s="254"/>
    </row>
    <row r="796" customFormat="false" ht="12.75" hidden="false" customHeight="false" outlineLevel="0" collapsed="false">
      <c r="L796" s="254"/>
      <c r="O796" s="254"/>
      <c r="AC796" s="254"/>
    </row>
    <row r="797" customFormat="false" ht="12.75" hidden="false" customHeight="false" outlineLevel="0" collapsed="false">
      <c r="L797" s="254"/>
      <c r="O797" s="254"/>
      <c r="AC797" s="254"/>
    </row>
    <row r="798" customFormat="false" ht="12.75" hidden="false" customHeight="false" outlineLevel="0" collapsed="false">
      <c r="L798" s="254"/>
      <c r="O798" s="254"/>
      <c r="AC798" s="254"/>
    </row>
    <row r="799" customFormat="false" ht="12.75" hidden="false" customHeight="false" outlineLevel="0" collapsed="false">
      <c r="L799" s="254"/>
      <c r="O799" s="254"/>
      <c r="AC799" s="254"/>
    </row>
    <row r="800" customFormat="false" ht="12.75" hidden="false" customHeight="false" outlineLevel="0" collapsed="false">
      <c r="L800" s="254"/>
      <c r="O800" s="254"/>
      <c r="AC800" s="254"/>
    </row>
    <row r="801" customFormat="false" ht="12.75" hidden="false" customHeight="false" outlineLevel="0" collapsed="false">
      <c r="L801" s="254"/>
      <c r="O801" s="254"/>
      <c r="AC801" s="254"/>
    </row>
    <row r="802" customFormat="false" ht="12.75" hidden="false" customHeight="false" outlineLevel="0" collapsed="false">
      <c r="L802" s="254"/>
      <c r="O802" s="254"/>
      <c r="AC802" s="254"/>
    </row>
    <row r="803" customFormat="false" ht="12.75" hidden="false" customHeight="false" outlineLevel="0" collapsed="false">
      <c r="L803" s="254"/>
      <c r="O803" s="254"/>
      <c r="AC803" s="254"/>
    </row>
    <row r="804" customFormat="false" ht="12.75" hidden="false" customHeight="false" outlineLevel="0" collapsed="false">
      <c r="L804" s="254"/>
      <c r="O804" s="254"/>
      <c r="AC804" s="254"/>
    </row>
    <row r="805" customFormat="false" ht="12.75" hidden="false" customHeight="false" outlineLevel="0" collapsed="false">
      <c r="L805" s="254"/>
      <c r="O805" s="254"/>
      <c r="AC805" s="254"/>
    </row>
    <row r="806" customFormat="false" ht="12.75" hidden="false" customHeight="false" outlineLevel="0" collapsed="false">
      <c r="L806" s="254"/>
      <c r="O806" s="254"/>
      <c r="AC806" s="254"/>
    </row>
    <row r="807" customFormat="false" ht="12.75" hidden="false" customHeight="false" outlineLevel="0" collapsed="false">
      <c r="L807" s="254"/>
      <c r="O807" s="254"/>
      <c r="AC807" s="254"/>
    </row>
    <row r="808" customFormat="false" ht="12.75" hidden="false" customHeight="false" outlineLevel="0" collapsed="false">
      <c r="L808" s="254"/>
      <c r="O808" s="254"/>
      <c r="AC808" s="254"/>
    </row>
    <row r="809" customFormat="false" ht="12.75" hidden="false" customHeight="false" outlineLevel="0" collapsed="false">
      <c r="L809" s="254"/>
      <c r="O809" s="254"/>
      <c r="AC809" s="254"/>
    </row>
    <row r="810" customFormat="false" ht="12.75" hidden="false" customHeight="false" outlineLevel="0" collapsed="false">
      <c r="L810" s="254"/>
      <c r="O810" s="254"/>
      <c r="AC810" s="254"/>
    </row>
    <row r="811" customFormat="false" ht="12.75" hidden="false" customHeight="false" outlineLevel="0" collapsed="false">
      <c r="L811" s="254"/>
      <c r="O811" s="254"/>
      <c r="AC811" s="254"/>
    </row>
    <row r="812" customFormat="false" ht="12.75" hidden="false" customHeight="false" outlineLevel="0" collapsed="false">
      <c r="L812" s="254"/>
      <c r="O812" s="254"/>
      <c r="AC812" s="254"/>
    </row>
    <row r="813" customFormat="false" ht="12.75" hidden="false" customHeight="false" outlineLevel="0" collapsed="false">
      <c r="L813" s="254"/>
      <c r="O813" s="254"/>
      <c r="AC813" s="254"/>
    </row>
    <row r="814" customFormat="false" ht="12.75" hidden="false" customHeight="false" outlineLevel="0" collapsed="false">
      <c r="L814" s="254"/>
      <c r="O814" s="254"/>
      <c r="AC814" s="254"/>
    </row>
    <row r="815" customFormat="false" ht="12.75" hidden="false" customHeight="false" outlineLevel="0" collapsed="false">
      <c r="L815" s="254"/>
      <c r="O815" s="254"/>
    </row>
    <row r="816" customFormat="false" ht="12.75" hidden="false" customHeight="false" outlineLevel="0" collapsed="false">
      <c r="L816" s="254"/>
      <c r="O816" s="254"/>
    </row>
    <row r="817" customFormat="false" ht="12.75" hidden="false" customHeight="false" outlineLevel="0" collapsed="false">
      <c r="L817" s="254"/>
      <c r="O817" s="254"/>
    </row>
    <row r="818" customFormat="false" ht="12.75" hidden="false" customHeight="false" outlineLevel="0" collapsed="false">
      <c r="L818" s="254"/>
      <c r="O818" s="254"/>
    </row>
    <row r="819" customFormat="false" ht="12.75" hidden="false" customHeight="false" outlineLevel="0" collapsed="false">
      <c r="L819" s="254"/>
      <c r="O819" s="254"/>
    </row>
    <row r="820" customFormat="false" ht="12.75" hidden="false" customHeight="false" outlineLevel="0" collapsed="false">
      <c r="L820" s="254"/>
      <c r="O820" s="254"/>
    </row>
    <row r="821" customFormat="false" ht="12.75" hidden="false" customHeight="false" outlineLevel="0" collapsed="false">
      <c r="L821" s="254"/>
      <c r="O821" s="254"/>
    </row>
    <row r="822" customFormat="false" ht="12.75" hidden="false" customHeight="false" outlineLevel="0" collapsed="false">
      <c r="L822" s="254"/>
      <c r="O822" s="254"/>
    </row>
    <row r="823" customFormat="false" ht="12.75" hidden="false" customHeight="false" outlineLevel="0" collapsed="false">
      <c r="L823" s="254"/>
      <c r="O823" s="254"/>
    </row>
    <row r="824" customFormat="false" ht="12.75" hidden="false" customHeight="false" outlineLevel="0" collapsed="false">
      <c r="L824" s="254"/>
      <c r="O824" s="254"/>
    </row>
    <row r="825" customFormat="false" ht="12.75" hidden="false" customHeight="false" outlineLevel="0" collapsed="false">
      <c r="L825" s="254"/>
      <c r="O825" s="254"/>
    </row>
    <row r="826" customFormat="false" ht="12.75" hidden="false" customHeight="false" outlineLevel="0" collapsed="false">
      <c r="L826" s="254"/>
      <c r="O826" s="254"/>
    </row>
    <row r="827" customFormat="false" ht="12.75" hidden="false" customHeight="false" outlineLevel="0" collapsed="false">
      <c r="L827" s="254"/>
      <c r="O827" s="254"/>
    </row>
    <row r="828" customFormat="false" ht="12.75" hidden="false" customHeight="false" outlineLevel="0" collapsed="false">
      <c r="L828" s="254"/>
      <c r="O828" s="254"/>
    </row>
    <row r="829" customFormat="false" ht="12.75" hidden="false" customHeight="false" outlineLevel="0" collapsed="false">
      <c r="L829" s="254"/>
      <c r="O829" s="254"/>
    </row>
    <row r="830" customFormat="false" ht="12.75" hidden="false" customHeight="false" outlineLevel="0" collapsed="false">
      <c r="L830" s="254"/>
      <c r="O830" s="254"/>
    </row>
    <row r="831" customFormat="false" ht="12.75" hidden="false" customHeight="false" outlineLevel="0" collapsed="false">
      <c r="L831" s="254"/>
      <c r="O831" s="254"/>
    </row>
    <row r="832" customFormat="false" ht="12.75" hidden="false" customHeight="false" outlineLevel="0" collapsed="false">
      <c r="L832" s="254"/>
      <c r="O832" s="254"/>
    </row>
    <row r="833" customFormat="false" ht="12.75" hidden="false" customHeight="false" outlineLevel="0" collapsed="false">
      <c r="L833" s="254"/>
      <c r="O833" s="254"/>
    </row>
    <row r="834" customFormat="false" ht="12.75" hidden="false" customHeight="false" outlineLevel="0" collapsed="false">
      <c r="L834" s="254"/>
      <c r="O834" s="254"/>
    </row>
    <row r="835" customFormat="false" ht="12.75" hidden="false" customHeight="false" outlineLevel="0" collapsed="false">
      <c r="L835" s="254"/>
      <c r="O835" s="254"/>
    </row>
    <row r="836" customFormat="false" ht="12.75" hidden="false" customHeight="false" outlineLevel="0" collapsed="false">
      <c r="L836" s="254"/>
      <c r="O836" s="254"/>
    </row>
    <row r="837" customFormat="false" ht="12.75" hidden="false" customHeight="false" outlineLevel="0" collapsed="false">
      <c r="L837" s="254"/>
      <c r="O837" s="254"/>
    </row>
    <row r="838" customFormat="false" ht="12.75" hidden="false" customHeight="false" outlineLevel="0" collapsed="false">
      <c r="L838" s="254"/>
      <c r="O838" s="254"/>
    </row>
    <row r="839" customFormat="false" ht="12.75" hidden="false" customHeight="false" outlineLevel="0" collapsed="false">
      <c r="L839" s="254"/>
      <c r="O839" s="254"/>
    </row>
    <row r="840" customFormat="false" ht="12.75" hidden="false" customHeight="false" outlineLevel="0" collapsed="false">
      <c r="L840" s="254"/>
      <c r="O840" s="254"/>
    </row>
    <row r="841" customFormat="false" ht="12.75" hidden="false" customHeight="false" outlineLevel="0" collapsed="false">
      <c r="L841" s="254"/>
      <c r="O841" s="254"/>
    </row>
    <row r="842" customFormat="false" ht="12.75" hidden="false" customHeight="false" outlineLevel="0" collapsed="false">
      <c r="L842" s="254"/>
      <c r="O842" s="254"/>
    </row>
    <row r="843" customFormat="false" ht="12.75" hidden="false" customHeight="false" outlineLevel="0" collapsed="false">
      <c r="L843" s="254"/>
      <c r="O843" s="254"/>
    </row>
    <row r="844" customFormat="false" ht="12.75" hidden="false" customHeight="false" outlineLevel="0" collapsed="false">
      <c r="L844" s="254"/>
      <c r="O844" s="254"/>
    </row>
    <row r="845" customFormat="false" ht="12.75" hidden="false" customHeight="false" outlineLevel="0" collapsed="false">
      <c r="L845" s="254"/>
      <c r="O845" s="254"/>
    </row>
    <row r="846" customFormat="false" ht="12.75" hidden="false" customHeight="false" outlineLevel="0" collapsed="false">
      <c r="L846" s="254"/>
      <c r="O846" s="254"/>
    </row>
    <row r="847" customFormat="false" ht="12.75" hidden="false" customHeight="false" outlineLevel="0" collapsed="false">
      <c r="L847" s="254"/>
      <c r="O847" s="254"/>
    </row>
    <row r="848" customFormat="false" ht="12.75" hidden="false" customHeight="false" outlineLevel="0" collapsed="false">
      <c r="L848" s="254"/>
      <c r="O848" s="254"/>
    </row>
    <row r="849" customFormat="false" ht="12.75" hidden="false" customHeight="false" outlineLevel="0" collapsed="false">
      <c r="L849" s="254"/>
      <c r="O849" s="254"/>
    </row>
    <row r="850" customFormat="false" ht="12.75" hidden="false" customHeight="false" outlineLevel="0" collapsed="false">
      <c r="L850" s="254"/>
      <c r="O850" s="254"/>
    </row>
    <row r="851" customFormat="false" ht="12.75" hidden="false" customHeight="false" outlineLevel="0" collapsed="false">
      <c r="L851" s="254"/>
      <c r="O851" s="254"/>
    </row>
    <row r="852" customFormat="false" ht="12.75" hidden="false" customHeight="false" outlineLevel="0" collapsed="false">
      <c r="L852" s="254"/>
      <c r="O852" s="254"/>
    </row>
    <row r="853" customFormat="false" ht="12.75" hidden="false" customHeight="false" outlineLevel="0" collapsed="false">
      <c r="L853" s="254"/>
      <c r="O853" s="254"/>
    </row>
    <row r="854" customFormat="false" ht="12.75" hidden="false" customHeight="false" outlineLevel="0" collapsed="false">
      <c r="L854" s="254"/>
      <c r="O854" s="254"/>
    </row>
    <row r="855" customFormat="false" ht="12.75" hidden="false" customHeight="false" outlineLevel="0" collapsed="false">
      <c r="L855" s="254"/>
      <c r="O855" s="254"/>
    </row>
    <row r="856" customFormat="false" ht="12.75" hidden="false" customHeight="false" outlineLevel="0" collapsed="false">
      <c r="L856" s="254"/>
      <c r="O856" s="254"/>
    </row>
    <row r="857" customFormat="false" ht="12.75" hidden="false" customHeight="false" outlineLevel="0" collapsed="false">
      <c r="L857" s="254"/>
      <c r="O857" s="254"/>
    </row>
    <row r="858" customFormat="false" ht="12.75" hidden="false" customHeight="false" outlineLevel="0" collapsed="false">
      <c r="L858" s="254"/>
      <c r="O858" s="254"/>
    </row>
    <row r="859" customFormat="false" ht="12.75" hidden="false" customHeight="false" outlineLevel="0" collapsed="false">
      <c r="L859" s="254"/>
      <c r="O859" s="254"/>
    </row>
    <row r="860" customFormat="false" ht="12.75" hidden="false" customHeight="false" outlineLevel="0" collapsed="false">
      <c r="L860" s="254"/>
      <c r="O860" s="254"/>
    </row>
    <row r="861" customFormat="false" ht="12.75" hidden="false" customHeight="false" outlineLevel="0" collapsed="false">
      <c r="L861" s="254"/>
      <c r="O861" s="254"/>
    </row>
    <row r="862" customFormat="false" ht="12.75" hidden="false" customHeight="false" outlineLevel="0" collapsed="false">
      <c r="L862" s="254"/>
      <c r="O862" s="254"/>
    </row>
    <row r="863" customFormat="false" ht="12.75" hidden="false" customHeight="false" outlineLevel="0" collapsed="false">
      <c r="L863" s="254"/>
      <c r="O863" s="254"/>
    </row>
    <row r="864" customFormat="false" ht="12.75" hidden="false" customHeight="false" outlineLevel="0" collapsed="false">
      <c r="L864" s="254"/>
      <c r="O864" s="254"/>
    </row>
    <row r="865" customFormat="false" ht="12.75" hidden="false" customHeight="false" outlineLevel="0" collapsed="false">
      <c r="L865" s="254"/>
      <c r="O865" s="254"/>
    </row>
    <row r="866" customFormat="false" ht="12.75" hidden="false" customHeight="false" outlineLevel="0" collapsed="false">
      <c r="L866" s="254"/>
      <c r="O866" s="254"/>
    </row>
    <row r="867" customFormat="false" ht="12.75" hidden="false" customHeight="false" outlineLevel="0" collapsed="false">
      <c r="L867" s="254"/>
      <c r="O867" s="254"/>
    </row>
    <row r="868" customFormat="false" ht="12.75" hidden="false" customHeight="false" outlineLevel="0" collapsed="false">
      <c r="L868" s="254"/>
      <c r="O868" s="254"/>
    </row>
    <row r="869" customFormat="false" ht="12.75" hidden="false" customHeight="false" outlineLevel="0" collapsed="false">
      <c r="L869" s="254"/>
      <c r="O869" s="254"/>
    </row>
    <row r="870" customFormat="false" ht="12.75" hidden="false" customHeight="false" outlineLevel="0" collapsed="false">
      <c r="L870" s="254"/>
      <c r="O870" s="254"/>
    </row>
    <row r="871" customFormat="false" ht="12.75" hidden="false" customHeight="false" outlineLevel="0" collapsed="false">
      <c r="L871" s="254"/>
      <c r="O871" s="254"/>
    </row>
    <row r="872" customFormat="false" ht="12.75" hidden="false" customHeight="false" outlineLevel="0" collapsed="false">
      <c r="L872" s="254"/>
      <c r="O872" s="254"/>
    </row>
    <row r="873" customFormat="false" ht="12.75" hidden="false" customHeight="false" outlineLevel="0" collapsed="false">
      <c r="L873" s="254"/>
      <c r="O873" s="254"/>
    </row>
    <row r="874" customFormat="false" ht="12.75" hidden="false" customHeight="false" outlineLevel="0" collapsed="false">
      <c r="L874" s="254"/>
      <c r="O874" s="254"/>
    </row>
    <row r="875" customFormat="false" ht="12.75" hidden="false" customHeight="false" outlineLevel="0" collapsed="false">
      <c r="L875" s="254"/>
      <c r="O875" s="254"/>
    </row>
    <row r="876" customFormat="false" ht="12.75" hidden="false" customHeight="false" outlineLevel="0" collapsed="false">
      <c r="L876" s="254"/>
      <c r="O876" s="254"/>
    </row>
    <row r="877" customFormat="false" ht="12.75" hidden="false" customHeight="false" outlineLevel="0" collapsed="false">
      <c r="L877" s="254"/>
      <c r="O877" s="254"/>
    </row>
    <row r="878" customFormat="false" ht="12.75" hidden="false" customHeight="false" outlineLevel="0" collapsed="false">
      <c r="L878" s="254"/>
      <c r="O878" s="254"/>
    </row>
    <row r="879" customFormat="false" ht="12.75" hidden="false" customHeight="false" outlineLevel="0" collapsed="false">
      <c r="L879" s="254"/>
      <c r="O879" s="254"/>
    </row>
    <row r="880" customFormat="false" ht="12.75" hidden="false" customHeight="false" outlineLevel="0" collapsed="false">
      <c r="L880" s="254"/>
      <c r="O880" s="254"/>
    </row>
    <row r="881" customFormat="false" ht="12.75" hidden="false" customHeight="false" outlineLevel="0" collapsed="false">
      <c r="L881" s="254"/>
      <c r="O881" s="254"/>
    </row>
    <row r="882" customFormat="false" ht="12.75" hidden="false" customHeight="false" outlineLevel="0" collapsed="false">
      <c r="L882" s="254"/>
      <c r="O882" s="254"/>
    </row>
    <row r="883" customFormat="false" ht="12.75" hidden="false" customHeight="false" outlineLevel="0" collapsed="false">
      <c r="L883" s="254"/>
      <c r="O883" s="254"/>
    </row>
    <row r="884" customFormat="false" ht="12.75" hidden="false" customHeight="false" outlineLevel="0" collapsed="false">
      <c r="L884" s="254"/>
      <c r="O884" s="254"/>
    </row>
    <row r="885" customFormat="false" ht="12.75" hidden="false" customHeight="false" outlineLevel="0" collapsed="false">
      <c r="L885" s="254"/>
      <c r="O885" s="254"/>
    </row>
    <row r="886" customFormat="false" ht="12.75" hidden="false" customHeight="false" outlineLevel="0" collapsed="false">
      <c r="L886" s="254"/>
      <c r="O886" s="254"/>
    </row>
    <row r="887" customFormat="false" ht="12.75" hidden="false" customHeight="false" outlineLevel="0" collapsed="false">
      <c r="L887" s="254"/>
      <c r="O887" s="254"/>
    </row>
    <row r="888" customFormat="false" ht="12.75" hidden="false" customHeight="false" outlineLevel="0" collapsed="false">
      <c r="L888" s="254"/>
      <c r="O888" s="254"/>
    </row>
    <row r="889" customFormat="false" ht="12.75" hidden="false" customHeight="false" outlineLevel="0" collapsed="false">
      <c r="L889" s="254"/>
      <c r="O889" s="254"/>
    </row>
    <row r="890" customFormat="false" ht="12.75" hidden="false" customHeight="false" outlineLevel="0" collapsed="false">
      <c r="L890" s="254"/>
      <c r="O890" s="254"/>
    </row>
    <row r="891" customFormat="false" ht="12.75" hidden="false" customHeight="false" outlineLevel="0" collapsed="false">
      <c r="L891" s="254"/>
      <c r="O891" s="254"/>
    </row>
    <row r="892" customFormat="false" ht="12.75" hidden="false" customHeight="false" outlineLevel="0" collapsed="false">
      <c r="L892" s="254"/>
      <c r="O892" s="254"/>
    </row>
    <row r="893" customFormat="false" ht="12.75" hidden="false" customHeight="false" outlineLevel="0" collapsed="false">
      <c r="L893" s="254"/>
      <c r="O893" s="254"/>
    </row>
    <row r="894" customFormat="false" ht="12.75" hidden="false" customHeight="false" outlineLevel="0" collapsed="false">
      <c r="L894" s="254"/>
      <c r="O894" s="254"/>
    </row>
    <row r="895" customFormat="false" ht="12.75" hidden="false" customHeight="false" outlineLevel="0" collapsed="false">
      <c r="L895" s="254"/>
      <c r="O895" s="254"/>
    </row>
    <row r="896" customFormat="false" ht="12.75" hidden="false" customHeight="false" outlineLevel="0" collapsed="false">
      <c r="L896" s="254"/>
      <c r="O896" s="254"/>
    </row>
    <row r="897" customFormat="false" ht="12.75" hidden="false" customHeight="false" outlineLevel="0" collapsed="false">
      <c r="L897" s="254"/>
      <c r="O897" s="254"/>
    </row>
    <row r="898" customFormat="false" ht="12.75" hidden="false" customHeight="false" outlineLevel="0" collapsed="false">
      <c r="L898" s="254"/>
      <c r="O898" s="254"/>
    </row>
    <row r="899" customFormat="false" ht="12.75" hidden="false" customHeight="false" outlineLevel="0" collapsed="false">
      <c r="L899" s="254"/>
      <c r="O899" s="254"/>
    </row>
    <row r="900" customFormat="false" ht="12.75" hidden="false" customHeight="false" outlineLevel="0" collapsed="false">
      <c r="L900" s="254"/>
      <c r="O900" s="254"/>
    </row>
    <row r="901" customFormat="false" ht="12.75" hidden="false" customHeight="false" outlineLevel="0" collapsed="false">
      <c r="L901" s="254"/>
      <c r="O901" s="254"/>
    </row>
    <row r="902" customFormat="false" ht="12.75" hidden="false" customHeight="false" outlineLevel="0" collapsed="false">
      <c r="L902" s="254"/>
      <c r="O902" s="254"/>
    </row>
    <row r="903" customFormat="false" ht="12.75" hidden="false" customHeight="false" outlineLevel="0" collapsed="false">
      <c r="L903" s="254"/>
      <c r="O903" s="254"/>
    </row>
    <row r="904" customFormat="false" ht="12.75" hidden="false" customHeight="false" outlineLevel="0" collapsed="false">
      <c r="L904" s="254"/>
      <c r="O904" s="254"/>
    </row>
    <row r="905" customFormat="false" ht="12.75" hidden="false" customHeight="false" outlineLevel="0" collapsed="false">
      <c r="L905" s="254"/>
      <c r="O905" s="254"/>
    </row>
    <row r="906" customFormat="false" ht="12.75" hidden="false" customHeight="false" outlineLevel="0" collapsed="false">
      <c r="L906" s="254"/>
      <c r="O906" s="254"/>
    </row>
    <row r="907" customFormat="false" ht="12.75" hidden="false" customHeight="false" outlineLevel="0" collapsed="false">
      <c r="L907" s="254"/>
      <c r="O907" s="254"/>
    </row>
    <row r="908" customFormat="false" ht="12.75" hidden="false" customHeight="false" outlineLevel="0" collapsed="false">
      <c r="L908" s="254"/>
      <c r="O908" s="254"/>
    </row>
    <row r="909" customFormat="false" ht="12.75" hidden="false" customHeight="false" outlineLevel="0" collapsed="false">
      <c r="L909" s="254"/>
      <c r="O909" s="254"/>
    </row>
    <row r="910" customFormat="false" ht="12.75" hidden="false" customHeight="false" outlineLevel="0" collapsed="false">
      <c r="L910" s="254"/>
      <c r="O910" s="254"/>
    </row>
    <row r="911" customFormat="false" ht="12.75" hidden="false" customHeight="false" outlineLevel="0" collapsed="false">
      <c r="L911" s="254"/>
      <c r="O911" s="254"/>
    </row>
    <row r="912" customFormat="false" ht="12.75" hidden="false" customHeight="false" outlineLevel="0" collapsed="false">
      <c r="L912" s="254"/>
      <c r="O912" s="254"/>
    </row>
    <row r="913" customFormat="false" ht="12.75" hidden="false" customHeight="false" outlineLevel="0" collapsed="false">
      <c r="L913" s="254"/>
      <c r="O913" s="254"/>
    </row>
    <row r="914" customFormat="false" ht="12.75" hidden="false" customHeight="false" outlineLevel="0" collapsed="false">
      <c r="L914" s="254"/>
      <c r="O914" s="254"/>
    </row>
    <row r="915" customFormat="false" ht="12.75" hidden="false" customHeight="false" outlineLevel="0" collapsed="false">
      <c r="L915" s="254"/>
      <c r="O915" s="254"/>
    </row>
    <row r="916" customFormat="false" ht="12.75" hidden="false" customHeight="false" outlineLevel="0" collapsed="false">
      <c r="L916" s="254"/>
      <c r="O916" s="254"/>
    </row>
    <row r="917" customFormat="false" ht="12.75" hidden="false" customHeight="false" outlineLevel="0" collapsed="false">
      <c r="L917" s="254"/>
      <c r="O917" s="254"/>
    </row>
    <row r="918" customFormat="false" ht="12.75" hidden="false" customHeight="false" outlineLevel="0" collapsed="false">
      <c r="L918" s="254"/>
      <c r="O918" s="254"/>
    </row>
    <row r="919" customFormat="false" ht="12.75" hidden="false" customHeight="false" outlineLevel="0" collapsed="false">
      <c r="L919" s="254"/>
      <c r="O919" s="254"/>
    </row>
    <row r="920" customFormat="false" ht="12.75" hidden="false" customHeight="false" outlineLevel="0" collapsed="false">
      <c r="L920" s="254"/>
      <c r="O920" s="254"/>
    </row>
    <row r="921" customFormat="false" ht="12.75" hidden="false" customHeight="false" outlineLevel="0" collapsed="false">
      <c r="L921" s="254"/>
      <c r="O921" s="254"/>
    </row>
    <row r="922" customFormat="false" ht="12.75" hidden="false" customHeight="false" outlineLevel="0" collapsed="false">
      <c r="L922" s="254"/>
      <c r="O922" s="254"/>
    </row>
    <row r="923" customFormat="false" ht="12.75" hidden="false" customHeight="false" outlineLevel="0" collapsed="false">
      <c r="L923" s="254"/>
      <c r="O923" s="254"/>
    </row>
    <row r="924" customFormat="false" ht="12.75" hidden="false" customHeight="false" outlineLevel="0" collapsed="false">
      <c r="L924" s="254"/>
      <c r="O924" s="254"/>
    </row>
    <row r="925" customFormat="false" ht="12.75" hidden="false" customHeight="false" outlineLevel="0" collapsed="false">
      <c r="L925" s="254"/>
      <c r="O925" s="254"/>
    </row>
    <row r="926" customFormat="false" ht="12.75" hidden="false" customHeight="false" outlineLevel="0" collapsed="false">
      <c r="L926" s="254"/>
      <c r="O926" s="254"/>
    </row>
    <row r="927" customFormat="false" ht="12.75" hidden="false" customHeight="false" outlineLevel="0" collapsed="false">
      <c r="L927" s="254"/>
      <c r="O927" s="254"/>
    </row>
    <row r="928" customFormat="false" ht="12.75" hidden="false" customHeight="false" outlineLevel="0" collapsed="false">
      <c r="L928" s="254"/>
      <c r="O928" s="254"/>
    </row>
    <row r="929" customFormat="false" ht="12.75" hidden="false" customHeight="false" outlineLevel="0" collapsed="false">
      <c r="L929" s="254"/>
      <c r="O929" s="254"/>
    </row>
    <row r="930" customFormat="false" ht="12.75" hidden="false" customHeight="false" outlineLevel="0" collapsed="false">
      <c r="L930" s="254"/>
      <c r="O930" s="254"/>
    </row>
    <row r="931" customFormat="false" ht="12.75" hidden="false" customHeight="false" outlineLevel="0" collapsed="false">
      <c r="L931" s="254"/>
      <c r="O931" s="254"/>
    </row>
    <row r="932" customFormat="false" ht="12.75" hidden="false" customHeight="false" outlineLevel="0" collapsed="false">
      <c r="L932" s="254"/>
      <c r="O932" s="254"/>
    </row>
    <row r="933" customFormat="false" ht="12.75" hidden="false" customHeight="false" outlineLevel="0" collapsed="false">
      <c r="L933" s="254"/>
      <c r="O933" s="254"/>
    </row>
    <row r="934" customFormat="false" ht="12.75" hidden="false" customHeight="false" outlineLevel="0" collapsed="false">
      <c r="L934" s="254"/>
      <c r="O934" s="254"/>
    </row>
    <row r="935" customFormat="false" ht="12.75" hidden="false" customHeight="false" outlineLevel="0" collapsed="false">
      <c r="L935" s="254"/>
      <c r="O935" s="254"/>
    </row>
    <row r="936" customFormat="false" ht="12.75" hidden="false" customHeight="false" outlineLevel="0" collapsed="false">
      <c r="L936" s="254"/>
      <c r="O936" s="254"/>
    </row>
    <row r="937" customFormat="false" ht="12.75" hidden="false" customHeight="false" outlineLevel="0" collapsed="false">
      <c r="L937" s="254"/>
      <c r="O937" s="254"/>
    </row>
    <row r="938" customFormat="false" ht="12.75" hidden="false" customHeight="false" outlineLevel="0" collapsed="false">
      <c r="L938" s="254"/>
      <c r="O938" s="254"/>
    </row>
    <row r="939" customFormat="false" ht="12.75" hidden="false" customHeight="false" outlineLevel="0" collapsed="false">
      <c r="L939" s="254"/>
      <c r="O939" s="254"/>
    </row>
    <row r="940" customFormat="false" ht="12.75" hidden="false" customHeight="false" outlineLevel="0" collapsed="false">
      <c r="L940" s="254"/>
      <c r="O940" s="254"/>
    </row>
    <row r="941" customFormat="false" ht="12.75" hidden="false" customHeight="false" outlineLevel="0" collapsed="false">
      <c r="L941" s="254"/>
      <c r="O941" s="254"/>
    </row>
    <row r="942" customFormat="false" ht="12.75" hidden="false" customHeight="false" outlineLevel="0" collapsed="false">
      <c r="L942" s="254"/>
      <c r="O942" s="254"/>
    </row>
    <row r="943" customFormat="false" ht="12.75" hidden="false" customHeight="false" outlineLevel="0" collapsed="false">
      <c r="L943" s="254"/>
      <c r="O943" s="254"/>
    </row>
    <row r="944" customFormat="false" ht="12.75" hidden="false" customHeight="false" outlineLevel="0" collapsed="false">
      <c r="L944" s="254"/>
      <c r="O944" s="254"/>
    </row>
    <row r="945" customFormat="false" ht="12.75" hidden="false" customHeight="false" outlineLevel="0" collapsed="false">
      <c r="L945" s="254"/>
      <c r="O945" s="254"/>
    </row>
    <row r="946" customFormat="false" ht="12.75" hidden="false" customHeight="false" outlineLevel="0" collapsed="false">
      <c r="L946" s="254"/>
      <c r="O946" s="254"/>
    </row>
    <row r="947" customFormat="false" ht="12.75" hidden="false" customHeight="false" outlineLevel="0" collapsed="false">
      <c r="L947" s="254"/>
      <c r="O947" s="254"/>
    </row>
    <row r="948" customFormat="false" ht="12.75" hidden="false" customHeight="false" outlineLevel="0" collapsed="false">
      <c r="L948" s="254"/>
      <c r="O948" s="254"/>
    </row>
    <row r="949" customFormat="false" ht="12.75" hidden="false" customHeight="false" outlineLevel="0" collapsed="false">
      <c r="L949" s="254"/>
      <c r="O949" s="254"/>
    </row>
    <row r="950" customFormat="false" ht="12.75" hidden="false" customHeight="false" outlineLevel="0" collapsed="false">
      <c r="L950" s="254"/>
      <c r="O950" s="254"/>
    </row>
    <row r="951" customFormat="false" ht="12.75" hidden="false" customHeight="false" outlineLevel="0" collapsed="false">
      <c r="L951" s="254"/>
      <c r="O951" s="254"/>
    </row>
    <row r="952" customFormat="false" ht="12.75" hidden="false" customHeight="false" outlineLevel="0" collapsed="false">
      <c r="L952" s="254"/>
      <c r="O952" s="254"/>
    </row>
    <row r="953" customFormat="false" ht="12.75" hidden="false" customHeight="false" outlineLevel="0" collapsed="false">
      <c r="L953" s="254"/>
      <c r="O953" s="254"/>
    </row>
    <row r="954" customFormat="false" ht="12.75" hidden="false" customHeight="false" outlineLevel="0" collapsed="false">
      <c r="L954" s="254"/>
      <c r="O954" s="254"/>
    </row>
    <row r="955" customFormat="false" ht="12.75" hidden="false" customHeight="false" outlineLevel="0" collapsed="false">
      <c r="L955" s="254"/>
      <c r="O955" s="254"/>
    </row>
    <row r="956" customFormat="false" ht="12.75" hidden="false" customHeight="false" outlineLevel="0" collapsed="false">
      <c r="L956" s="254"/>
      <c r="O956" s="254"/>
    </row>
    <row r="957" customFormat="false" ht="12.75" hidden="false" customHeight="false" outlineLevel="0" collapsed="false">
      <c r="L957" s="254"/>
      <c r="O957" s="254"/>
    </row>
    <row r="958" customFormat="false" ht="12.75" hidden="false" customHeight="false" outlineLevel="0" collapsed="false">
      <c r="L958" s="254"/>
      <c r="O958" s="254"/>
    </row>
    <row r="959" customFormat="false" ht="12.75" hidden="false" customHeight="false" outlineLevel="0" collapsed="false">
      <c r="L959" s="254"/>
      <c r="O959" s="254"/>
    </row>
    <row r="960" customFormat="false" ht="12.75" hidden="false" customHeight="false" outlineLevel="0" collapsed="false">
      <c r="L960" s="254"/>
      <c r="O960" s="254"/>
    </row>
    <row r="961" customFormat="false" ht="12.75" hidden="false" customHeight="false" outlineLevel="0" collapsed="false">
      <c r="L961" s="254"/>
      <c r="O961" s="254"/>
    </row>
    <row r="962" customFormat="false" ht="12.75" hidden="false" customHeight="false" outlineLevel="0" collapsed="false">
      <c r="L962" s="254"/>
      <c r="O962" s="254"/>
    </row>
    <row r="963" customFormat="false" ht="12.75" hidden="false" customHeight="false" outlineLevel="0" collapsed="false">
      <c r="L963" s="254"/>
      <c r="O963" s="254"/>
    </row>
    <row r="964" customFormat="false" ht="12.75" hidden="false" customHeight="false" outlineLevel="0" collapsed="false">
      <c r="L964" s="254"/>
      <c r="O964" s="254"/>
    </row>
    <row r="965" customFormat="false" ht="12.75" hidden="false" customHeight="false" outlineLevel="0" collapsed="false">
      <c r="L965" s="254"/>
      <c r="O965" s="254"/>
    </row>
    <row r="966" customFormat="false" ht="12.75" hidden="false" customHeight="false" outlineLevel="0" collapsed="false">
      <c r="L966" s="254"/>
      <c r="O966" s="254"/>
    </row>
    <row r="967" customFormat="false" ht="12.75" hidden="false" customHeight="false" outlineLevel="0" collapsed="false">
      <c r="L967" s="254"/>
      <c r="O967" s="254"/>
    </row>
    <row r="968" customFormat="false" ht="12.75" hidden="false" customHeight="false" outlineLevel="0" collapsed="false">
      <c r="L968" s="254"/>
      <c r="O968" s="254"/>
    </row>
    <row r="969" customFormat="false" ht="12.75" hidden="false" customHeight="false" outlineLevel="0" collapsed="false">
      <c r="L969" s="254"/>
      <c r="O969" s="254"/>
    </row>
    <row r="970" customFormat="false" ht="12.75" hidden="false" customHeight="false" outlineLevel="0" collapsed="false">
      <c r="L970" s="254"/>
      <c r="O970" s="254"/>
    </row>
    <row r="971" customFormat="false" ht="12.75" hidden="false" customHeight="false" outlineLevel="0" collapsed="false">
      <c r="L971" s="254"/>
      <c r="O971" s="254"/>
    </row>
    <row r="972" customFormat="false" ht="12.75" hidden="false" customHeight="false" outlineLevel="0" collapsed="false">
      <c r="L972" s="254"/>
      <c r="O972" s="254"/>
    </row>
    <row r="973" customFormat="false" ht="12.75" hidden="false" customHeight="false" outlineLevel="0" collapsed="false">
      <c r="L973" s="254"/>
      <c r="O973" s="254"/>
    </row>
    <row r="974" customFormat="false" ht="12.75" hidden="false" customHeight="false" outlineLevel="0" collapsed="false">
      <c r="L974" s="254"/>
      <c r="O974" s="254"/>
    </row>
    <row r="975" customFormat="false" ht="12.75" hidden="false" customHeight="false" outlineLevel="0" collapsed="false">
      <c r="L975" s="254"/>
      <c r="O975" s="254"/>
    </row>
    <row r="976" customFormat="false" ht="12.75" hidden="false" customHeight="false" outlineLevel="0" collapsed="false">
      <c r="L976" s="254"/>
      <c r="O976" s="254"/>
    </row>
    <row r="977" customFormat="false" ht="12.75" hidden="false" customHeight="false" outlineLevel="0" collapsed="false">
      <c r="L977" s="254"/>
      <c r="O977" s="254"/>
    </row>
    <row r="978" customFormat="false" ht="12.75" hidden="false" customHeight="false" outlineLevel="0" collapsed="false">
      <c r="L978" s="254"/>
      <c r="O978" s="254"/>
    </row>
    <row r="979" customFormat="false" ht="12.75" hidden="false" customHeight="false" outlineLevel="0" collapsed="false">
      <c r="L979" s="254"/>
      <c r="O979" s="254"/>
    </row>
    <row r="980" customFormat="false" ht="12.75" hidden="false" customHeight="false" outlineLevel="0" collapsed="false">
      <c r="L980" s="254"/>
      <c r="O980" s="254"/>
    </row>
    <row r="981" customFormat="false" ht="12.75" hidden="false" customHeight="false" outlineLevel="0" collapsed="false">
      <c r="L981" s="254"/>
      <c r="O981" s="254"/>
    </row>
    <row r="982" customFormat="false" ht="12.75" hidden="false" customHeight="false" outlineLevel="0" collapsed="false">
      <c r="L982" s="254"/>
      <c r="O982" s="254"/>
    </row>
    <row r="983" customFormat="false" ht="12.75" hidden="false" customHeight="false" outlineLevel="0" collapsed="false">
      <c r="L983" s="254"/>
      <c r="O983" s="254"/>
    </row>
    <row r="984" customFormat="false" ht="12.75" hidden="false" customHeight="false" outlineLevel="0" collapsed="false">
      <c r="L984" s="254"/>
      <c r="O984" s="254"/>
    </row>
    <row r="985" customFormat="false" ht="12.75" hidden="false" customHeight="false" outlineLevel="0" collapsed="false">
      <c r="L985" s="254"/>
      <c r="O985" s="254"/>
    </row>
    <row r="986" customFormat="false" ht="12.75" hidden="false" customHeight="false" outlineLevel="0" collapsed="false">
      <c r="L986" s="254"/>
      <c r="O986" s="254"/>
    </row>
    <row r="987" customFormat="false" ht="12.75" hidden="false" customHeight="false" outlineLevel="0" collapsed="false">
      <c r="L987" s="254"/>
      <c r="O987" s="254"/>
    </row>
    <row r="988" customFormat="false" ht="12.75" hidden="false" customHeight="false" outlineLevel="0" collapsed="false">
      <c r="L988" s="254"/>
      <c r="O988" s="254"/>
    </row>
    <row r="989" customFormat="false" ht="12.75" hidden="false" customHeight="false" outlineLevel="0" collapsed="false">
      <c r="L989" s="254"/>
      <c r="O989" s="254"/>
    </row>
    <row r="990" customFormat="false" ht="12.75" hidden="false" customHeight="false" outlineLevel="0" collapsed="false">
      <c r="L990" s="254"/>
      <c r="O990" s="254"/>
    </row>
    <row r="991" customFormat="false" ht="12.75" hidden="false" customHeight="false" outlineLevel="0" collapsed="false">
      <c r="L991" s="254"/>
      <c r="O991" s="254"/>
    </row>
    <row r="992" customFormat="false" ht="12.75" hidden="false" customHeight="false" outlineLevel="0" collapsed="false">
      <c r="L992" s="254"/>
      <c r="O992" s="254"/>
    </row>
    <row r="993" customFormat="false" ht="12.75" hidden="false" customHeight="false" outlineLevel="0" collapsed="false">
      <c r="L993" s="254"/>
      <c r="O993" s="254"/>
    </row>
    <row r="994" customFormat="false" ht="12.75" hidden="false" customHeight="false" outlineLevel="0" collapsed="false">
      <c r="L994" s="254"/>
      <c r="O994" s="254"/>
    </row>
    <row r="995" customFormat="false" ht="12.75" hidden="false" customHeight="false" outlineLevel="0" collapsed="false">
      <c r="L995" s="254"/>
      <c r="O995" s="254"/>
    </row>
    <row r="996" customFormat="false" ht="12.75" hidden="false" customHeight="false" outlineLevel="0" collapsed="false">
      <c r="L996" s="254"/>
      <c r="O996" s="254"/>
    </row>
    <row r="997" customFormat="false" ht="12.75" hidden="false" customHeight="false" outlineLevel="0" collapsed="false">
      <c r="L997" s="254"/>
      <c r="O997" s="254"/>
    </row>
    <row r="998" customFormat="false" ht="12.75" hidden="false" customHeight="false" outlineLevel="0" collapsed="false">
      <c r="L998" s="254"/>
      <c r="O998" s="254"/>
    </row>
    <row r="999" customFormat="false" ht="12.75" hidden="false" customHeight="false" outlineLevel="0" collapsed="false">
      <c r="L999" s="254"/>
      <c r="O999" s="254"/>
    </row>
    <row r="1000" customFormat="false" ht="12.75" hidden="false" customHeight="false" outlineLevel="0" collapsed="false">
      <c r="L1000" s="254"/>
      <c r="O1000" s="254"/>
    </row>
    <row r="1001" customFormat="false" ht="12.75" hidden="false" customHeight="false" outlineLevel="0" collapsed="false">
      <c r="L1001" s="254"/>
      <c r="O1001" s="254"/>
    </row>
    <row r="1002" customFormat="false" ht="12.75" hidden="false" customHeight="false" outlineLevel="0" collapsed="false">
      <c r="L1002" s="254"/>
      <c r="O1002" s="254"/>
    </row>
    <row r="1003" customFormat="false" ht="12.75" hidden="false" customHeight="false" outlineLevel="0" collapsed="false">
      <c r="L1003" s="254"/>
      <c r="O1003" s="254"/>
    </row>
    <row r="1004" customFormat="false" ht="12.75" hidden="false" customHeight="false" outlineLevel="0" collapsed="false">
      <c r="L1004" s="254"/>
      <c r="O1004" s="254"/>
    </row>
    <row r="1005" customFormat="false" ht="12.75" hidden="false" customHeight="false" outlineLevel="0" collapsed="false">
      <c r="L1005" s="254"/>
      <c r="O1005" s="254"/>
    </row>
    <row r="1006" customFormat="false" ht="12.75" hidden="false" customHeight="false" outlineLevel="0" collapsed="false">
      <c r="L1006" s="254"/>
      <c r="O1006" s="25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8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475" width="10.71"/>
    <col collapsed="false" customWidth="true" hidden="false" outlineLevel="0" max="12" min="12" style="254" width="11.99"/>
    <col collapsed="false" customWidth="true" hidden="false" outlineLevel="0" max="13" min="13" style="475" width="11.56"/>
    <col collapsed="false" customWidth="true" hidden="false" outlineLevel="0" max="19" min="15" style="0" width="9.28"/>
    <col collapsed="false" customWidth="true" hidden="false" outlineLevel="0" max="21" min="21" style="0" width="18.7"/>
    <col collapsed="false" customWidth="true" hidden="false" outlineLevel="0" max="29" min="29" style="254" width="13.56"/>
    <col collapsed="false" customWidth="true" hidden="false" outlineLevel="0" max="30" min="30" style="254" width="10.13"/>
    <col collapsed="false" customWidth="true" hidden="false" outlineLevel="0" max="33" min="31" style="0" width="9.28"/>
    <col collapsed="false" customWidth="true" hidden="false" outlineLevel="0" max="34" min="34" style="254" width="11.99"/>
    <col collapsed="false" customWidth="true" hidden="false" outlineLevel="0" max="35" min="35" style="0" width="9.28"/>
    <col collapsed="false" customWidth="true" hidden="false" outlineLevel="0" max="39" min="37" style="0" width="9.28"/>
  </cols>
  <sheetData>
    <row r="1" customFormat="false" ht="12.75" hidden="false" customHeight="false" outlineLevel="0" collapsed="false">
      <c r="A1" s="0" t="s">
        <v>582</v>
      </c>
      <c r="B1" s="0" t="s">
        <v>583</v>
      </c>
      <c r="C1" s="0" t="s">
        <v>584</v>
      </c>
      <c r="D1" s="0" t="s">
        <v>585</v>
      </c>
      <c r="E1" s="0" t="s">
        <v>586</v>
      </c>
      <c r="F1" s="0" t="s">
        <v>587</v>
      </c>
      <c r="G1" s="0" t="s">
        <v>588</v>
      </c>
      <c r="H1" s="0" t="s">
        <v>589</v>
      </c>
      <c r="I1" s="0" t="s">
        <v>590</v>
      </c>
      <c r="J1" s="0" t="s">
        <v>591</v>
      </c>
      <c r="K1" s="475" t="s">
        <v>592</v>
      </c>
      <c r="L1" s="254" t="s">
        <v>593</v>
      </c>
      <c r="M1" s="475" t="s">
        <v>594</v>
      </c>
      <c r="N1" s="0" t="s">
        <v>595</v>
      </c>
      <c r="O1" s="0" t="s">
        <v>596</v>
      </c>
      <c r="P1" s="0" t="s">
        <v>597</v>
      </c>
      <c r="Q1" s="0" t="s">
        <v>598</v>
      </c>
      <c r="R1" s="0" t="s">
        <v>599</v>
      </c>
      <c r="S1" s="0" t="s">
        <v>600</v>
      </c>
      <c r="T1" s="0" t="s">
        <v>601</v>
      </c>
      <c r="U1" s="0" t="s">
        <v>602</v>
      </c>
      <c r="V1" s="0" t="s">
        <v>603</v>
      </c>
      <c r="W1" s="0" t="s">
        <v>604</v>
      </c>
      <c r="X1" s="0" t="s">
        <v>605</v>
      </c>
      <c r="Y1" s="0" t="s">
        <v>606</v>
      </c>
      <c r="Z1" s="0" t="s">
        <v>607</v>
      </c>
      <c r="AA1" s="0" t="s">
        <v>608</v>
      </c>
      <c r="AB1" s="0" t="s">
        <v>609</v>
      </c>
      <c r="AC1" s="254" t="s">
        <v>610</v>
      </c>
      <c r="AD1" s="254" t="s">
        <v>611</v>
      </c>
      <c r="AE1" s="0" t="s">
        <v>612</v>
      </c>
      <c r="AF1" s="0" t="s">
        <v>613</v>
      </c>
      <c r="AG1" s="0" t="s">
        <v>614</v>
      </c>
      <c r="AH1" s="254" t="s">
        <v>615</v>
      </c>
      <c r="AI1" s="0" t="s">
        <v>616</v>
      </c>
      <c r="AJ1" s="0" t="s">
        <v>617</v>
      </c>
      <c r="AK1" s="0" t="s">
        <v>618</v>
      </c>
      <c r="AL1" s="0" t="s">
        <v>619</v>
      </c>
      <c r="AM1" s="0" t="s">
        <v>620</v>
      </c>
      <c r="GS1" s="0" t="s">
        <v>621</v>
      </c>
      <c r="GT1" s="0" t="n">
        <v>0</v>
      </c>
      <c r="GU1" s="0" t="s">
        <v>622</v>
      </c>
      <c r="GV1" s="0" t="s">
        <v>623</v>
      </c>
      <c r="GW1" s="0" t="s">
        <v>131</v>
      </c>
      <c r="GX1" s="0" t="n">
        <v>0</v>
      </c>
      <c r="GY1" s="0" t="s">
        <v>624</v>
      </c>
      <c r="GZ1" s="0" t="s">
        <v>625</v>
      </c>
      <c r="HA1" s="0" t="s">
        <v>626</v>
      </c>
      <c r="HB1" s="0" t="s">
        <v>627</v>
      </c>
      <c r="HC1" s="0" t="n">
        <v>0</v>
      </c>
      <c r="HD1" s="0" t="e">
        <f aca="false"/>
        <v>#VALUE!</v>
      </c>
      <c r="HE1" s="0" t="n">
        <v>36637</v>
      </c>
    </row>
    <row r="2" customFormat="false" ht="12.75" hidden="false" customHeight="false" outlineLevel="0" collapsed="false">
      <c r="A2" s="0" t="s">
        <v>631</v>
      </c>
      <c r="B2" s="0" t="s">
        <v>193</v>
      </c>
      <c r="C2" s="0" t="s">
        <v>622</v>
      </c>
      <c r="D2" s="0" t="s">
        <v>623</v>
      </c>
      <c r="E2" s="0" t="s">
        <v>131</v>
      </c>
      <c r="F2" s="0" t="s">
        <v>191</v>
      </c>
      <c r="G2" s="0" t="s">
        <v>628</v>
      </c>
      <c r="H2" s="0" t="s">
        <v>625</v>
      </c>
      <c r="I2" s="0" t="s">
        <v>626</v>
      </c>
      <c r="J2" s="0" t="s">
        <v>627</v>
      </c>
      <c r="K2" s="475" t="n">
        <v>37316</v>
      </c>
      <c r="L2" s="254" t="n">
        <v>-332681.398916417</v>
      </c>
      <c r="M2" s="475" t="n">
        <v>37314</v>
      </c>
      <c r="N2" s="0" t="s">
        <v>136</v>
      </c>
      <c r="O2" s="0" t="n">
        <v>0.95</v>
      </c>
      <c r="P2" s="0" t="n">
        <v>0</v>
      </c>
      <c r="Q2" s="0" t="n">
        <v>0</v>
      </c>
      <c r="R2" s="0" t="n">
        <v>0</v>
      </c>
      <c r="S2" s="0" t="n">
        <v>0</v>
      </c>
      <c r="T2" s="0" t="s">
        <v>624</v>
      </c>
      <c r="U2" s="0" t="s">
        <v>149</v>
      </c>
      <c r="V2" s="0" t="s">
        <v>624</v>
      </c>
      <c r="W2" s="0" t="s">
        <v>569</v>
      </c>
      <c r="X2" s="0" t="s">
        <v>624</v>
      </c>
      <c r="Y2" s="0" t="s">
        <v>627</v>
      </c>
      <c r="Z2" s="0" t="s">
        <v>629</v>
      </c>
      <c r="AA2" s="0" t="s">
        <v>624</v>
      </c>
      <c r="AB2" s="0" t="s">
        <v>580</v>
      </c>
      <c r="AC2" s="254" t="n">
        <v>-1000000</v>
      </c>
      <c r="AD2" s="254" t="n">
        <v>-48929.7139680468</v>
      </c>
      <c r="AE2" s="0" t="n">
        <v>0</v>
      </c>
      <c r="AF2" s="0" t="n">
        <v>0</v>
      </c>
      <c r="AG2" s="0" t="n">
        <v>0</v>
      </c>
      <c r="AH2" s="254" t="n">
        <v>-17191.0566138274</v>
      </c>
      <c r="AI2" s="0" t="n">
        <v>226</v>
      </c>
      <c r="AJ2" s="0" t="s">
        <v>630</v>
      </c>
      <c r="AK2" s="0" t="n">
        <v>0</v>
      </c>
      <c r="AL2" s="0" t="n">
        <v>0</v>
      </c>
      <c r="AM2" s="0" t="n">
        <v>0</v>
      </c>
    </row>
    <row r="3" customFormat="false" ht="12.75" hidden="false" customHeight="false" outlineLevel="0" collapsed="false">
      <c r="A3" s="0" t="s">
        <v>631</v>
      </c>
      <c r="B3" s="0" t="s">
        <v>193</v>
      </c>
      <c r="C3" s="0" t="s">
        <v>622</v>
      </c>
      <c r="D3" s="0" t="s">
        <v>623</v>
      </c>
      <c r="E3" s="0" t="s">
        <v>131</v>
      </c>
      <c r="F3" s="0" t="s">
        <v>191</v>
      </c>
      <c r="G3" s="0" t="s">
        <v>628</v>
      </c>
      <c r="H3" s="0" t="s">
        <v>625</v>
      </c>
      <c r="I3" s="0" t="s">
        <v>626</v>
      </c>
      <c r="J3" s="0" t="s">
        <v>627</v>
      </c>
      <c r="K3" s="475" t="n">
        <v>37288</v>
      </c>
      <c r="L3" s="254" t="n">
        <v>-708613.97715581</v>
      </c>
      <c r="M3" s="475" t="n">
        <v>37286</v>
      </c>
      <c r="N3" s="0" t="s">
        <v>136</v>
      </c>
      <c r="O3" s="0" t="n">
        <v>0.95</v>
      </c>
      <c r="P3" s="0" t="n">
        <v>0</v>
      </c>
      <c r="Q3" s="0" t="n">
        <v>0</v>
      </c>
      <c r="R3" s="0" t="n">
        <v>0</v>
      </c>
      <c r="S3" s="0" t="n">
        <v>0</v>
      </c>
      <c r="T3" s="0" t="s">
        <v>624</v>
      </c>
      <c r="U3" s="0" t="s">
        <v>149</v>
      </c>
      <c r="V3" s="0" t="s">
        <v>624</v>
      </c>
      <c r="W3" s="0" t="s">
        <v>569</v>
      </c>
      <c r="X3" s="0" t="s">
        <v>624</v>
      </c>
      <c r="Y3" s="0" t="s">
        <v>627</v>
      </c>
      <c r="Z3" s="0" t="s">
        <v>629</v>
      </c>
      <c r="AA3" s="0" t="s">
        <v>624</v>
      </c>
      <c r="AB3" s="0" t="s">
        <v>580</v>
      </c>
      <c r="AC3" s="254" t="n">
        <v>-1000000</v>
      </c>
      <c r="AD3" s="254" t="n">
        <v>-41105.3251797783</v>
      </c>
      <c r="AE3" s="0" t="n">
        <v>0</v>
      </c>
      <c r="AF3" s="0" t="n">
        <v>0</v>
      </c>
      <c r="AG3" s="0" t="n">
        <v>0</v>
      </c>
      <c r="AH3" s="254" t="n">
        <v>-22524.2196673508</v>
      </c>
      <c r="AI3" s="0" t="n">
        <v>226</v>
      </c>
      <c r="AJ3" s="0" t="s">
        <v>630</v>
      </c>
      <c r="AK3" s="0" t="n">
        <v>0</v>
      </c>
      <c r="AL3" s="0" t="n">
        <v>0</v>
      </c>
      <c r="AM3" s="0" t="n">
        <v>0</v>
      </c>
    </row>
    <row r="4" customFormat="false" ht="12.75" hidden="false" customHeight="false" outlineLevel="0" collapsed="false">
      <c r="A4" s="0" t="s">
        <v>631</v>
      </c>
      <c r="B4" s="0" t="s">
        <v>193</v>
      </c>
      <c r="C4" s="0" t="s">
        <v>622</v>
      </c>
      <c r="D4" s="0" t="s">
        <v>623</v>
      </c>
      <c r="E4" s="0" t="s">
        <v>131</v>
      </c>
      <c r="F4" s="0" t="s">
        <v>191</v>
      </c>
      <c r="G4" s="0" t="s">
        <v>628</v>
      </c>
      <c r="H4" s="0" t="s">
        <v>625</v>
      </c>
      <c r="I4" s="0" t="s">
        <v>626</v>
      </c>
      <c r="J4" s="0" t="s">
        <v>627</v>
      </c>
      <c r="K4" s="475" t="n">
        <v>37257</v>
      </c>
      <c r="L4" s="254" t="n">
        <v>-723208.05016235</v>
      </c>
      <c r="M4" s="475" t="n">
        <v>37253</v>
      </c>
      <c r="N4" s="0" t="s">
        <v>136</v>
      </c>
      <c r="O4" s="0" t="n">
        <v>0.95</v>
      </c>
      <c r="P4" s="0" t="n">
        <v>0</v>
      </c>
      <c r="Q4" s="0" t="n">
        <v>0</v>
      </c>
      <c r="R4" s="0" t="n">
        <v>0</v>
      </c>
      <c r="S4" s="0" t="n">
        <v>0</v>
      </c>
      <c r="T4" s="0" t="s">
        <v>624</v>
      </c>
      <c r="U4" s="0" t="s">
        <v>149</v>
      </c>
      <c r="V4" s="0" t="s">
        <v>624</v>
      </c>
      <c r="W4" s="0" t="s">
        <v>569</v>
      </c>
      <c r="X4" s="0" t="s">
        <v>624</v>
      </c>
      <c r="Y4" s="0" t="s">
        <v>627</v>
      </c>
      <c r="Z4" s="0" t="s">
        <v>629</v>
      </c>
      <c r="AA4" s="0" t="s">
        <v>624</v>
      </c>
      <c r="AB4" s="0" t="s">
        <v>580</v>
      </c>
      <c r="AC4" s="254" t="n">
        <v>-1000000</v>
      </c>
      <c r="AD4" s="254" t="n">
        <v>-42724.8331510957</v>
      </c>
      <c r="AE4" s="0" t="n">
        <v>0</v>
      </c>
      <c r="AF4" s="0" t="n">
        <v>0</v>
      </c>
      <c r="AG4" s="0" t="n">
        <v>0</v>
      </c>
      <c r="AH4" s="254" t="n">
        <v>-22683.0112348726</v>
      </c>
      <c r="AI4" s="0" t="n">
        <v>226</v>
      </c>
      <c r="AJ4" s="0" t="s">
        <v>630</v>
      </c>
      <c r="AK4" s="0" t="n">
        <v>0</v>
      </c>
      <c r="AL4" s="0" t="n">
        <v>0</v>
      </c>
      <c r="AM4" s="0" t="n">
        <v>0</v>
      </c>
    </row>
    <row r="5" customFormat="false" ht="12.75" hidden="false" customHeight="false" outlineLevel="0" collapsed="false">
      <c r="A5" s="0" t="s">
        <v>631</v>
      </c>
      <c r="B5" s="0" t="s">
        <v>193</v>
      </c>
      <c r="C5" s="0" t="s">
        <v>622</v>
      </c>
      <c r="D5" s="0" t="s">
        <v>623</v>
      </c>
      <c r="E5" s="0" t="s">
        <v>131</v>
      </c>
      <c r="F5" s="0" t="s">
        <v>191</v>
      </c>
      <c r="G5" s="0" t="s">
        <v>628</v>
      </c>
      <c r="H5" s="0" t="s">
        <v>625</v>
      </c>
      <c r="I5" s="0" t="s">
        <v>626</v>
      </c>
      <c r="J5" s="0" t="s">
        <v>627</v>
      </c>
      <c r="K5" s="475" t="n">
        <v>37226</v>
      </c>
      <c r="L5" s="254" t="n">
        <v>-546942.903012875</v>
      </c>
      <c r="M5" s="475" t="n">
        <v>37224</v>
      </c>
      <c r="N5" s="0" t="s">
        <v>136</v>
      </c>
      <c r="O5" s="0" t="n">
        <v>0.95</v>
      </c>
      <c r="P5" s="0" t="n">
        <v>0</v>
      </c>
      <c r="Q5" s="0" t="n">
        <v>0</v>
      </c>
      <c r="R5" s="0" t="n">
        <v>0</v>
      </c>
      <c r="S5" s="0" t="n">
        <v>0</v>
      </c>
      <c r="T5" s="0" t="s">
        <v>624</v>
      </c>
      <c r="U5" s="0" t="s">
        <v>149</v>
      </c>
      <c r="V5" s="0" t="s">
        <v>624</v>
      </c>
      <c r="W5" s="0" t="s">
        <v>569</v>
      </c>
      <c r="X5" s="0" t="s">
        <v>624</v>
      </c>
      <c r="Y5" s="0" t="s">
        <v>627</v>
      </c>
      <c r="Z5" s="0" t="s">
        <v>629</v>
      </c>
      <c r="AA5" s="0" t="s">
        <v>624</v>
      </c>
      <c r="AB5" s="0" t="s">
        <v>580</v>
      </c>
      <c r="AC5" s="254" t="n">
        <v>-1000000</v>
      </c>
      <c r="AD5" s="254" t="n">
        <v>-46630.5862305667</v>
      </c>
      <c r="AE5" s="0" t="n">
        <v>0</v>
      </c>
      <c r="AF5" s="0" t="n">
        <v>0</v>
      </c>
      <c r="AG5" s="0" t="n">
        <v>0</v>
      </c>
      <c r="AH5" s="254" t="n">
        <v>-21067.4225859472</v>
      </c>
      <c r="AI5" s="0" t="n">
        <v>226</v>
      </c>
      <c r="AJ5" s="0" t="s">
        <v>630</v>
      </c>
      <c r="AK5" s="0" t="n">
        <v>0</v>
      </c>
      <c r="AL5" s="0" t="n">
        <v>0</v>
      </c>
      <c r="AM5" s="0" t="n">
        <v>0</v>
      </c>
    </row>
    <row r="6" customFormat="false" ht="12.75" hidden="false" customHeight="false" outlineLevel="0" collapsed="false">
      <c r="A6" s="0" t="s">
        <v>631</v>
      </c>
      <c r="B6" s="0" t="s">
        <v>193</v>
      </c>
      <c r="C6" s="0" t="s">
        <v>622</v>
      </c>
      <c r="D6" s="0" t="s">
        <v>623</v>
      </c>
      <c r="E6" s="0" t="s">
        <v>131</v>
      </c>
      <c r="F6" s="0" t="s">
        <v>191</v>
      </c>
      <c r="G6" s="0" t="s">
        <v>628</v>
      </c>
      <c r="H6" s="0" t="s">
        <v>625</v>
      </c>
      <c r="I6" s="0" t="s">
        <v>626</v>
      </c>
      <c r="J6" s="0" t="s">
        <v>627</v>
      </c>
      <c r="K6" s="475" t="n">
        <v>37196</v>
      </c>
      <c r="L6" s="254" t="n">
        <v>-295233.343513885</v>
      </c>
      <c r="M6" s="475" t="n">
        <v>37194</v>
      </c>
      <c r="N6" s="0" t="s">
        <v>136</v>
      </c>
      <c r="O6" s="0" t="n">
        <v>0.95</v>
      </c>
      <c r="P6" s="0" t="n">
        <v>0</v>
      </c>
      <c r="Q6" s="0" t="n">
        <v>0</v>
      </c>
      <c r="R6" s="0" t="n">
        <v>0</v>
      </c>
      <c r="S6" s="0" t="n">
        <v>0</v>
      </c>
      <c r="T6" s="0" t="s">
        <v>624</v>
      </c>
      <c r="U6" s="0" t="s">
        <v>149</v>
      </c>
      <c r="V6" s="0" t="s">
        <v>624</v>
      </c>
      <c r="W6" s="0" t="s">
        <v>569</v>
      </c>
      <c r="X6" s="0" t="s">
        <v>624</v>
      </c>
      <c r="Y6" s="0" t="s">
        <v>627</v>
      </c>
      <c r="Z6" s="0" t="s">
        <v>629</v>
      </c>
      <c r="AA6" s="0" t="s">
        <v>624</v>
      </c>
      <c r="AB6" s="0" t="s">
        <v>580</v>
      </c>
      <c r="AC6" s="254" t="n">
        <v>-1000000</v>
      </c>
      <c r="AD6" s="254" t="n">
        <v>-49712.2634615444</v>
      </c>
      <c r="AE6" s="0" t="n">
        <v>0</v>
      </c>
      <c r="AF6" s="0" t="n">
        <v>0</v>
      </c>
      <c r="AG6" s="0" t="n">
        <v>0</v>
      </c>
      <c r="AH6" s="254" t="n">
        <v>-16574.3128747327</v>
      </c>
      <c r="AI6" s="0" t="n">
        <v>226</v>
      </c>
      <c r="AJ6" s="0" t="s">
        <v>630</v>
      </c>
      <c r="AK6" s="0" t="n">
        <v>0</v>
      </c>
      <c r="AL6" s="0" t="n">
        <v>0</v>
      </c>
      <c r="AM6" s="0" t="n">
        <v>0</v>
      </c>
    </row>
    <row r="7" customFormat="false" ht="12.75" hidden="false" customHeight="false" outlineLevel="0" collapsed="false">
      <c r="A7" s="0" t="s">
        <v>631</v>
      </c>
      <c r="B7" s="0" t="s">
        <v>195</v>
      </c>
      <c r="C7" s="0" t="s">
        <v>622</v>
      </c>
      <c r="D7" s="0" t="s">
        <v>623</v>
      </c>
      <c r="E7" s="0" t="s">
        <v>131</v>
      </c>
      <c r="F7" s="0" t="s">
        <v>194</v>
      </c>
      <c r="G7" s="0" t="s">
        <v>628</v>
      </c>
      <c r="H7" s="0" t="s">
        <v>625</v>
      </c>
      <c r="I7" s="0" t="s">
        <v>626</v>
      </c>
      <c r="J7" s="0" t="s">
        <v>627</v>
      </c>
      <c r="K7" s="475" t="n">
        <v>37165</v>
      </c>
      <c r="L7" s="254" t="n">
        <v>115820.013950716</v>
      </c>
      <c r="M7" s="475" t="n">
        <v>37161</v>
      </c>
      <c r="N7" s="0" t="s">
        <v>136</v>
      </c>
      <c r="O7" s="0" t="n">
        <v>0.3</v>
      </c>
      <c r="P7" s="0" t="n">
        <v>0</v>
      </c>
      <c r="Q7" s="0" t="n">
        <v>0</v>
      </c>
      <c r="R7" s="0" t="n">
        <v>0</v>
      </c>
      <c r="S7" s="0" t="n">
        <v>0</v>
      </c>
      <c r="T7" s="0" t="s">
        <v>624</v>
      </c>
      <c r="U7" s="0" t="s">
        <v>149</v>
      </c>
      <c r="V7" s="0" t="s">
        <v>624</v>
      </c>
      <c r="W7" s="0" t="s">
        <v>569</v>
      </c>
      <c r="X7" s="0" t="s">
        <v>624</v>
      </c>
      <c r="Y7" s="0" t="s">
        <v>627</v>
      </c>
      <c r="Z7" s="0" t="s">
        <v>629</v>
      </c>
      <c r="AA7" s="0" t="s">
        <v>624</v>
      </c>
      <c r="AB7" s="0" t="s">
        <v>580</v>
      </c>
      <c r="AC7" s="254" t="n">
        <v>500000</v>
      </c>
      <c r="AD7" s="254" t="n">
        <v>15233.2177012048</v>
      </c>
      <c r="AE7" s="0" t="n">
        <v>0</v>
      </c>
      <c r="AF7" s="0" t="n">
        <v>0</v>
      </c>
      <c r="AG7" s="0" t="n">
        <v>0</v>
      </c>
      <c r="AH7" s="254" t="n">
        <v>723.033758621881</v>
      </c>
      <c r="AI7" s="0" t="n">
        <v>226</v>
      </c>
      <c r="AJ7" s="0" t="s">
        <v>630</v>
      </c>
      <c r="AK7" s="0" t="n">
        <v>0</v>
      </c>
      <c r="AL7" s="0" t="n">
        <v>0</v>
      </c>
      <c r="AM7" s="0" t="n">
        <v>0</v>
      </c>
    </row>
    <row r="8" customFormat="false" ht="12.75" hidden="false" customHeight="false" outlineLevel="0" collapsed="false">
      <c r="A8" s="0" t="s">
        <v>631</v>
      </c>
      <c r="B8" s="0" t="s">
        <v>195</v>
      </c>
      <c r="C8" s="0" t="s">
        <v>622</v>
      </c>
      <c r="D8" s="0" t="s">
        <v>623</v>
      </c>
      <c r="E8" s="0" t="s">
        <v>131</v>
      </c>
      <c r="F8" s="0" t="s">
        <v>194</v>
      </c>
      <c r="G8" s="0" t="s">
        <v>628</v>
      </c>
      <c r="H8" s="0" t="s">
        <v>625</v>
      </c>
      <c r="I8" s="0" t="s">
        <v>626</v>
      </c>
      <c r="J8" s="0" t="s">
        <v>627</v>
      </c>
      <c r="K8" s="475" t="n">
        <v>37135</v>
      </c>
      <c r="L8" s="254" t="n">
        <v>93914.8279421874</v>
      </c>
      <c r="M8" s="475" t="n">
        <v>37133</v>
      </c>
      <c r="N8" s="0" t="s">
        <v>136</v>
      </c>
      <c r="O8" s="0" t="n">
        <v>0.3</v>
      </c>
      <c r="P8" s="0" t="n">
        <v>0</v>
      </c>
      <c r="Q8" s="0" t="n">
        <v>0</v>
      </c>
      <c r="R8" s="0" t="n">
        <v>0</v>
      </c>
      <c r="S8" s="0" t="n">
        <v>0</v>
      </c>
      <c r="T8" s="0" t="s">
        <v>624</v>
      </c>
      <c r="U8" s="0" t="s">
        <v>149</v>
      </c>
      <c r="V8" s="0" t="s">
        <v>624</v>
      </c>
      <c r="W8" s="0" t="s">
        <v>569</v>
      </c>
      <c r="X8" s="0" t="s">
        <v>624</v>
      </c>
      <c r="Y8" s="0" t="s">
        <v>627</v>
      </c>
      <c r="Z8" s="0" t="s">
        <v>629</v>
      </c>
      <c r="AA8" s="0" t="s">
        <v>624</v>
      </c>
      <c r="AB8" s="0" t="s">
        <v>580</v>
      </c>
      <c r="AC8" s="254" t="n">
        <v>500000</v>
      </c>
      <c r="AD8" s="254" t="n">
        <v>15498.0185062565</v>
      </c>
      <c r="AE8" s="0" t="n">
        <v>0</v>
      </c>
      <c r="AF8" s="0" t="n">
        <v>0</v>
      </c>
      <c r="AG8" s="0" t="n">
        <v>0</v>
      </c>
      <c r="AH8" s="254" t="n">
        <v>736.172469000318</v>
      </c>
      <c r="AI8" s="0" t="n">
        <v>226</v>
      </c>
      <c r="AJ8" s="0" t="s">
        <v>630</v>
      </c>
      <c r="AK8" s="0" t="n">
        <v>0</v>
      </c>
      <c r="AL8" s="0" t="n">
        <v>0</v>
      </c>
      <c r="AM8" s="0" t="n">
        <v>0</v>
      </c>
    </row>
    <row r="9" customFormat="false" ht="12.75" hidden="false" customHeight="false" outlineLevel="0" collapsed="false">
      <c r="A9" s="0" t="s">
        <v>631</v>
      </c>
      <c r="B9" s="0" t="s">
        <v>195</v>
      </c>
      <c r="C9" s="0" t="s">
        <v>622</v>
      </c>
      <c r="D9" s="0" t="s">
        <v>623</v>
      </c>
      <c r="E9" s="0" t="s">
        <v>131</v>
      </c>
      <c r="F9" s="0" t="s">
        <v>194</v>
      </c>
      <c r="G9" s="0" t="s">
        <v>628</v>
      </c>
      <c r="H9" s="0" t="s">
        <v>625</v>
      </c>
      <c r="I9" s="0" t="s">
        <v>626</v>
      </c>
      <c r="J9" s="0" t="s">
        <v>627</v>
      </c>
      <c r="K9" s="475" t="n">
        <v>37104</v>
      </c>
      <c r="L9" s="254" t="n">
        <v>111793.333918776</v>
      </c>
      <c r="M9" s="475" t="n">
        <v>37102</v>
      </c>
      <c r="N9" s="0" t="s">
        <v>136</v>
      </c>
      <c r="O9" s="0" t="n">
        <v>0.3</v>
      </c>
      <c r="P9" s="0" t="n">
        <v>0</v>
      </c>
      <c r="Q9" s="0" t="n">
        <v>0</v>
      </c>
      <c r="R9" s="0" t="n">
        <v>0</v>
      </c>
      <c r="S9" s="0" t="n">
        <v>0</v>
      </c>
      <c r="T9" s="0" t="s">
        <v>624</v>
      </c>
      <c r="U9" s="0" t="s">
        <v>149</v>
      </c>
      <c r="V9" s="0" t="s">
        <v>624</v>
      </c>
      <c r="W9" s="0" t="s">
        <v>569</v>
      </c>
      <c r="X9" s="0" t="s">
        <v>624</v>
      </c>
      <c r="Y9" s="0" t="s">
        <v>627</v>
      </c>
      <c r="Z9" s="0" t="s">
        <v>629</v>
      </c>
      <c r="AA9" s="0" t="s">
        <v>624</v>
      </c>
      <c r="AB9" s="0" t="s">
        <v>580</v>
      </c>
      <c r="AC9" s="254" t="n">
        <v>500000</v>
      </c>
      <c r="AD9" s="254" t="n">
        <v>13959.9948662259</v>
      </c>
      <c r="AE9" s="0" t="n">
        <v>0</v>
      </c>
      <c r="AF9" s="0" t="n">
        <v>0</v>
      </c>
      <c r="AG9" s="0" t="n">
        <v>0</v>
      </c>
      <c r="AH9" s="254" t="n">
        <v>662.099315974367</v>
      </c>
      <c r="AI9" s="0" t="n">
        <v>226</v>
      </c>
      <c r="AJ9" s="0" t="s">
        <v>630</v>
      </c>
      <c r="AK9" s="0" t="n">
        <v>0</v>
      </c>
      <c r="AL9" s="0" t="n">
        <v>0</v>
      </c>
      <c r="AM9" s="0" t="n">
        <v>0</v>
      </c>
    </row>
    <row r="10" customFormat="false" ht="12.75" hidden="false" customHeight="false" outlineLevel="0" collapsed="false">
      <c r="A10" s="0" t="s">
        <v>631</v>
      </c>
      <c r="B10" s="0" t="s">
        <v>195</v>
      </c>
      <c r="C10" s="0" t="s">
        <v>622</v>
      </c>
      <c r="D10" s="0" t="s">
        <v>623</v>
      </c>
      <c r="E10" s="0" t="s">
        <v>131</v>
      </c>
      <c r="F10" s="0" t="s">
        <v>194</v>
      </c>
      <c r="G10" s="0" t="s">
        <v>628</v>
      </c>
      <c r="H10" s="0" t="s">
        <v>625</v>
      </c>
      <c r="I10" s="0" t="s">
        <v>626</v>
      </c>
      <c r="J10" s="0" t="s">
        <v>627</v>
      </c>
      <c r="K10" s="475" t="n">
        <v>37073</v>
      </c>
      <c r="L10" s="254" t="n">
        <v>109392.045667279</v>
      </c>
      <c r="M10" s="475" t="n">
        <v>37070</v>
      </c>
      <c r="N10" s="0" t="s">
        <v>136</v>
      </c>
      <c r="O10" s="0" t="n">
        <v>0.3</v>
      </c>
      <c r="P10" s="0" t="n">
        <v>0</v>
      </c>
      <c r="Q10" s="0" t="n">
        <v>0</v>
      </c>
      <c r="R10" s="0" t="n">
        <v>0</v>
      </c>
      <c r="S10" s="0" t="n">
        <v>0</v>
      </c>
      <c r="T10" s="0" t="s">
        <v>624</v>
      </c>
      <c r="U10" s="0" t="s">
        <v>149</v>
      </c>
      <c r="V10" s="0" t="s">
        <v>624</v>
      </c>
      <c r="W10" s="0" t="s">
        <v>569</v>
      </c>
      <c r="X10" s="0" t="s">
        <v>624</v>
      </c>
      <c r="Y10" s="0" t="s">
        <v>627</v>
      </c>
      <c r="Z10" s="0" t="s">
        <v>629</v>
      </c>
      <c r="AA10" s="0" t="s">
        <v>624</v>
      </c>
      <c r="AB10" s="0" t="s">
        <v>580</v>
      </c>
      <c r="AC10" s="254" t="n">
        <v>500000</v>
      </c>
      <c r="AD10" s="254" t="n">
        <v>13219.7639566304</v>
      </c>
      <c r="AE10" s="0" t="n">
        <v>0</v>
      </c>
      <c r="AF10" s="0" t="n">
        <v>0</v>
      </c>
      <c r="AG10" s="0" t="n">
        <v>0</v>
      </c>
      <c r="AH10" s="254" t="n">
        <v>627.126382526156</v>
      </c>
      <c r="AI10" s="0" t="n">
        <v>226</v>
      </c>
      <c r="AJ10" s="0" t="s">
        <v>630</v>
      </c>
      <c r="AK10" s="0" t="n">
        <v>0</v>
      </c>
      <c r="AL10" s="0" t="n">
        <v>0</v>
      </c>
      <c r="AM10" s="0" t="n">
        <v>0</v>
      </c>
    </row>
    <row r="11" customFormat="false" ht="12.75" hidden="false" customHeight="false" outlineLevel="0" collapsed="false">
      <c r="A11" s="0" t="s">
        <v>631</v>
      </c>
      <c r="B11" s="0" t="s">
        <v>195</v>
      </c>
      <c r="C11" s="0" t="s">
        <v>622</v>
      </c>
      <c r="D11" s="0" t="s">
        <v>623</v>
      </c>
      <c r="E11" s="0" t="s">
        <v>131</v>
      </c>
      <c r="F11" s="0" t="s">
        <v>194</v>
      </c>
      <c r="G11" s="0" t="s">
        <v>628</v>
      </c>
      <c r="H11" s="0" t="s">
        <v>625</v>
      </c>
      <c r="I11" s="0" t="s">
        <v>626</v>
      </c>
      <c r="J11" s="0" t="s">
        <v>627</v>
      </c>
      <c r="K11" s="475" t="n">
        <v>37043</v>
      </c>
      <c r="L11" s="254" t="n">
        <v>86775.4791446277</v>
      </c>
      <c r="M11" s="475" t="n">
        <v>37041</v>
      </c>
      <c r="N11" s="0" t="s">
        <v>136</v>
      </c>
      <c r="O11" s="0" t="n">
        <v>0.3</v>
      </c>
      <c r="P11" s="0" t="n">
        <v>0</v>
      </c>
      <c r="Q11" s="0" t="n">
        <v>0</v>
      </c>
      <c r="R11" s="0" t="n">
        <v>0</v>
      </c>
      <c r="S11" s="0" t="n">
        <v>0</v>
      </c>
      <c r="T11" s="0" t="s">
        <v>624</v>
      </c>
      <c r="U11" s="0" t="s">
        <v>149</v>
      </c>
      <c r="V11" s="0" t="s">
        <v>624</v>
      </c>
      <c r="W11" s="0" t="s">
        <v>569</v>
      </c>
      <c r="X11" s="0" t="s">
        <v>624</v>
      </c>
      <c r="Y11" s="0" t="s">
        <v>627</v>
      </c>
      <c r="Z11" s="0" t="s">
        <v>629</v>
      </c>
      <c r="AA11" s="0" t="s">
        <v>624</v>
      </c>
      <c r="AB11" s="0" t="s">
        <v>580</v>
      </c>
      <c r="AC11" s="254" t="n">
        <v>500000</v>
      </c>
      <c r="AD11" s="254" t="n">
        <v>13532.0605108581</v>
      </c>
      <c r="AE11" s="0" t="n">
        <v>0</v>
      </c>
      <c r="AF11" s="0" t="n">
        <v>0</v>
      </c>
      <c r="AG11" s="0" t="n">
        <v>0</v>
      </c>
      <c r="AH11" s="254" t="n">
        <v>643.4602554718</v>
      </c>
      <c r="AI11" s="0" t="n">
        <v>226</v>
      </c>
      <c r="AJ11" s="0" t="s">
        <v>630</v>
      </c>
      <c r="AK11" s="0" t="n">
        <v>0</v>
      </c>
      <c r="AL11" s="0" t="n">
        <v>0</v>
      </c>
      <c r="AM11" s="0" t="n">
        <v>0</v>
      </c>
    </row>
    <row r="12" customFormat="false" ht="12.75" hidden="false" customHeight="false" outlineLevel="0" collapsed="false">
      <c r="A12" s="0" t="s">
        <v>631</v>
      </c>
      <c r="B12" s="0" t="s">
        <v>195</v>
      </c>
      <c r="C12" s="0" t="s">
        <v>622</v>
      </c>
      <c r="D12" s="0" t="s">
        <v>623</v>
      </c>
      <c r="E12" s="0" t="s">
        <v>131</v>
      </c>
      <c r="F12" s="0" t="s">
        <v>194</v>
      </c>
      <c r="G12" s="0" t="s">
        <v>628</v>
      </c>
      <c r="H12" s="0" t="s">
        <v>625</v>
      </c>
      <c r="I12" s="0" t="s">
        <v>626</v>
      </c>
      <c r="J12" s="0" t="s">
        <v>627</v>
      </c>
      <c r="K12" s="475" t="n">
        <v>37012</v>
      </c>
      <c r="L12" s="254" t="n">
        <v>87670.7765248109</v>
      </c>
      <c r="M12" s="475" t="n">
        <v>37008</v>
      </c>
      <c r="N12" s="0" t="s">
        <v>136</v>
      </c>
      <c r="O12" s="0" t="n">
        <v>0.3</v>
      </c>
      <c r="P12" s="0" t="n">
        <v>0</v>
      </c>
      <c r="Q12" s="0" t="n">
        <v>0</v>
      </c>
      <c r="R12" s="0" t="n">
        <v>0</v>
      </c>
      <c r="S12" s="0" t="n">
        <v>0</v>
      </c>
      <c r="T12" s="0" t="s">
        <v>624</v>
      </c>
      <c r="U12" s="0" t="s">
        <v>149</v>
      </c>
      <c r="V12" s="0" t="s">
        <v>624</v>
      </c>
      <c r="W12" s="0" t="s">
        <v>569</v>
      </c>
      <c r="X12" s="0" t="s">
        <v>624</v>
      </c>
      <c r="Y12" s="0" t="s">
        <v>627</v>
      </c>
      <c r="Z12" s="0" t="s">
        <v>629</v>
      </c>
      <c r="AA12" s="0" t="s">
        <v>624</v>
      </c>
      <c r="AB12" s="0" t="s">
        <v>580</v>
      </c>
      <c r="AC12" s="254" t="n">
        <v>500000</v>
      </c>
      <c r="AD12" s="254" t="n">
        <v>12755.6127572131</v>
      </c>
      <c r="AE12" s="0" t="n">
        <v>0</v>
      </c>
      <c r="AF12" s="0" t="n">
        <v>0</v>
      </c>
      <c r="AG12" s="0" t="n">
        <v>0</v>
      </c>
      <c r="AH12" s="254" t="n">
        <v>606.893188177754</v>
      </c>
      <c r="AI12" s="0" t="n">
        <v>226</v>
      </c>
      <c r="AJ12" s="0" t="s">
        <v>630</v>
      </c>
      <c r="AK12" s="0" t="n">
        <v>0</v>
      </c>
      <c r="AL12" s="0" t="n">
        <v>0</v>
      </c>
      <c r="AM12" s="0" t="n">
        <v>0</v>
      </c>
    </row>
    <row r="13" customFormat="false" ht="12.75" hidden="false" customHeight="false" outlineLevel="0" collapsed="false">
      <c r="A13" s="0" t="s">
        <v>631</v>
      </c>
      <c r="B13" s="0" t="s">
        <v>195</v>
      </c>
      <c r="C13" s="0" t="s">
        <v>622</v>
      </c>
      <c r="D13" s="0" t="s">
        <v>623</v>
      </c>
      <c r="E13" s="0" t="s">
        <v>131</v>
      </c>
      <c r="F13" s="0" t="s">
        <v>194</v>
      </c>
      <c r="G13" s="0" t="s">
        <v>628</v>
      </c>
      <c r="H13" s="0" t="s">
        <v>625</v>
      </c>
      <c r="I13" s="0" t="s">
        <v>626</v>
      </c>
      <c r="J13" s="0" t="s">
        <v>627</v>
      </c>
      <c r="K13" s="475" t="n">
        <v>36982</v>
      </c>
      <c r="L13" s="254" t="n">
        <v>129723.275210626</v>
      </c>
      <c r="M13" s="475" t="n">
        <v>36979</v>
      </c>
      <c r="N13" s="0" t="s">
        <v>136</v>
      </c>
      <c r="O13" s="0" t="n">
        <v>0.3</v>
      </c>
      <c r="P13" s="0" t="n">
        <v>0</v>
      </c>
      <c r="Q13" s="0" t="n">
        <v>0</v>
      </c>
      <c r="R13" s="0" t="n">
        <v>0</v>
      </c>
      <c r="S13" s="0" t="n">
        <v>0</v>
      </c>
      <c r="T13" s="0" t="s">
        <v>624</v>
      </c>
      <c r="U13" s="0" t="s">
        <v>149</v>
      </c>
      <c r="V13" s="0" t="s">
        <v>624</v>
      </c>
      <c r="W13" s="0" t="s">
        <v>569</v>
      </c>
      <c r="X13" s="0" t="s">
        <v>624</v>
      </c>
      <c r="Y13" s="0" t="s">
        <v>627</v>
      </c>
      <c r="Z13" s="0" t="s">
        <v>629</v>
      </c>
      <c r="AA13" s="0" t="s">
        <v>624</v>
      </c>
      <c r="AB13" s="0" t="s">
        <v>580</v>
      </c>
      <c r="AC13" s="254" t="n">
        <v>500000</v>
      </c>
      <c r="AD13" s="254" t="n">
        <v>11158.954066136</v>
      </c>
      <c r="AE13" s="0" t="n">
        <v>0</v>
      </c>
      <c r="AF13" s="0" t="n">
        <v>0</v>
      </c>
      <c r="AG13" s="0" t="n">
        <v>0</v>
      </c>
      <c r="AH13" s="254" t="n">
        <v>530.283518713186</v>
      </c>
      <c r="AI13" s="0" t="n">
        <v>226</v>
      </c>
      <c r="AJ13" s="0" t="s">
        <v>630</v>
      </c>
      <c r="AK13" s="0" t="n">
        <v>0</v>
      </c>
      <c r="AL13" s="0" t="n">
        <v>0</v>
      </c>
      <c r="AM13" s="0" t="n">
        <v>0</v>
      </c>
    </row>
    <row r="14" customFormat="false" ht="12.75" hidden="false" customHeight="false" outlineLevel="0" collapsed="false">
      <c r="A14" s="0" t="s">
        <v>631</v>
      </c>
      <c r="B14" s="0" t="s">
        <v>195</v>
      </c>
      <c r="C14" s="0" t="s">
        <v>622</v>
      </c>
      <c r="D14" s="0" t="s">
        <v>623</v>
      </c>
      <c r="E14" s="0" t="s">
        <v>131</v>
      </c>
      <c r="F14" s="0" t="s">
        <v>194</v>
      </c>
      <c r="G14" s="0" t="s">
        <v>628</v>
      </c>
      <c r="H14" s="0" t="s">
        <v>625</v>
      </c>
      <c r="I14" s="0" t="s">
        <v>626</v>
      </c>
      <c r="J14" s="0" t="s">
        <v>627</v>
      </c>
      <c r="K14" s="475" t="n">
        <v>36800</v>
      </c>
      <c r="L14" s="254" t="n">
        <v>60873.3375446555</v>
      </c>
      <c r="M14" s="475" t="n">
        <v>36797</v>
      </c>
      <c r="N14" s="0" t="s">
        <v>136</v>
      </c>
      <c r="O14" s="0" t="n">
        <v>0.3</v>
      </c>
      <c r="P14" s="0" t="n">
        <v>0</v>
      </c>
      <c r="Q14" s="0" t="n">
        <v>0</v>
      </c>
      <c r="R14" s="0" t="n">
        <v>0</v>
      </c>
      <c r="S14" s="0" t="n">
        <v>0</v>
      </c>
      <c r="T14" s="0" t="s">
        <v>624</v>
      </c>
      <c r="U14" s="0" t="s">
        <v>149</v>
      </c>
      <c r="V14" s="0" t="s">
        <v>624</v>
      </c>
      <c r="W14" s="0" t="s">
        <v>569</v>
      </c>
      <c r="X14" s="0" t="s">
        <v>624</v>
      </c>
      <c r="Y14" s="0" t="s">
        <v>627</v>
      </c>
      <c r="Z14" s="0" t="s">
        <v>629</v>
      </c>
      <c r="AA14" s="0" t="s">
        <v>624</v>
      </c>
      <c r="AB14" s="0" t="s">
        <v>580</v>
      </c>
      <c r="AC14" s="254" t="n">
        <v>500000</v>
      </c>
      <c r="AD14" s="254" t="n">
        <v>1957.06194256572</v>
      </c>
      <c r="AE14" s="0" t="n">
        <v>0</v>
      </c>
      <c r="AF14" s="0" t="n">
        <v>0</v>
      </c>
      <c r="AG14" s="0" t="n">
        <v>0</v>
      </c>
      <c r="AH14" s="254" t="n">
        <v>113.31568075961</v>
      </c>
      <c r="AI14" s="0" t="n">
        <v>226</v>
      </c>
      <c r="AJ14" s="0" t="s">
        <v>630</v>
      </c>
      <c r="AK14" s="0" t="n">
        <v>0</v>
      </c>
      <c r="AL14" s="0" t="n">
        <v>0</v>
      </c>
      <c r="AM14" s="0" t="n">
        <v>0</v>
      </c>
    </row>
    <row r="15" customFormat="false" ht="12.75" hidden="false" customHeight="false" outlineLevel="0" collapsed="false">
      <c r="A15" s="0" t="s">
        <v>631</v>
      </c>
      <c r="B15" s="0" t="s">
        <v>195</v>
      </c>
      <c r="C15" s="0" t="s">
        <v>622</v>
      </c>
      <c r="D15" s="0" t="s">
        <v>623</v>
      </c>
      <c r="E15" s="0" t="s">
        <v>131</v>
      </c>
      <c r="F15" s="0" t="s">
        <v>194</v>
      </c>
      <c r="G15" s="0" t="s">
        <v>628</v>
      </c>
      <c r="H15" s="0" t="s">
        <v>625</v>
      </c>
      <c r="I15" s="0" t="s">
        <v>626</v>
      </c>
      <c r="J15" s="0" t="s">
        <v>627</v>
      </c>
      <c r="K15" s="475" t="n">
        <v>36770</v>
      </c>
      <c r="L15" s="254" t="n">
        <v>8568.22896429346</v>
      </c>
      <c r="M15" s="475" t="n">
        <v>36768</v>
      </c>
      <c r="N15" s="0" t="s">
        <v>136</v>
      </c>
      <c r="O15" s="0" t="n">
        <v>0.3</v>
      </c>
      <c r="P15" s="0" t="n">
        <v>0</v>
      </c>
      <c r="Q15" s="0" t="n">
        <v>0</v>
      </c>
      <c r="R15" s="0" t="n">
        <v>0</v>
      </c>
      <c r="S15" s="0" t="n">
        <v>0</v>
      </c>
      <c r="T15" s="0" t="s">
        <v>624</v>
      </c>
      <c r="U15" s="0" t="s">
        <v>149</v>
      </c>
      <c r="V15" s="0" t="s">
        <v>624</v>
      </c>
      <c r="W15" s="0" t="s">
        <v>569</v>
      </c>
      <c r="X15" s="0" t="s">
        <v>624</v>
      </c>
      <c r="Y15" s="0" t="s">
        <v>627</v>
      </c>
      <c r="Z15" s="0" t="s">
        <v>629</v>
      </c>
      <c r="AA15" s="0" t="s">
        <v>624</v>
      </c>
      <c r="AB15" s="0" t="s">
        <v>580</v>
      </c>
      <c r="AC15" s="254" t="n">
        <v>500000</v>
      </c>
      <c r="AD15" s="254" t="n">
        <v>456.940516390489</v>
      </c>
      <c r="AE15" s="0" t="n">
        <v>0</v>
      </c>
      <c r="AF15" s="0" t="n">
        <v>0</v>
      </c>
      <c r="AG15" s="0" t="n">
        <v>0</v>
      </c>
      <c r="AH15" s="254" t="n">
        <v>68.8695579734576</v>
      </c>
      <c r="AI15" s="0" t="n">
        <v>226</v>
      </c>
      <c r="AJ15" s="0" t="s">
        <v>630</v>
      </c>
      <c r="AK15" s="0" t="n">
        <v>0</v>
      </c>
      <c r="AL15" s="0" t="n">
        <v>0</v>
      </c>
      <c r="AM15" s="0" t="n">
        <v>0</v>
      </c>
    </row>
    <row r="16" customFormat="false" ht="12.75" hidden="false" customHeight="false" outlineLevel="0" collapsed="false">
      <c r="A16" s="0" t="s">
        <v>631</v>
      </c>
      <c r="B16" s="0" t="s">
        <v>197</v>
      </c>
      <c r="C16" s="0" t="s">
        <v>622</v>
      </c>
      <c r="D16" s="0" t="s">
        <v>623</v>
      </c>
      <c r="E16" s="0" t="s">
        <v>131</v>
      </c>
      <c r="F16" s="0" t="s">
        <v>196</v>
      </c>
      <c r="G16" s="0" t="s">
        <v>628</v>
      </c>
      <c r="H16" s="0" t="s">
        <v>625</v>
      </c>
      <c r="I16" s="0" t="s">
        <v>626</v>
      </c>
      <c r="J16" s="0" t="s">
        <v>627</v>
      </c>
      <c r="K16" s="475" t="n">
        <v>36800</v>
      </c>
      <c r="L16" s="254" t="n">
        <v>135478.046934191</v>
      </c>
      <c r="M16" s="475" t="n">
        <v>36797</v>
      </c>
      <c r="N16" s="0" t="s">
        <v>132</v>
      </c>
      <c r="O16" s="0" t="n">
        <v>-0.4</v>
      </c>
      <c r="P16" s="0" t="n">
        <v>0</v>
      </c>
      <c r="Q16" s="0" t="n">
        <v>0</v>
      </c>
      <c r="R16" s="0" t="n">
        <v>0</v>
      </c>
      <c r="S16" s="0" t="n">
        <v>0</v>
      </c>
      <c r="T16" s="0" t="s">
        <v>624</v>
      </c>
      <c r="U16" s="0" t="s">
        <v>151</v>
      </c>
      <c r="V16" s="0" t="s">
        <v>624</v>
      </c>
      <c r="W16" s="0" t="s">
        <v>569</v>
      </c>
      <c r="X16" s="0" t="s">
        <v>624</v>
      </c>
      <c r="Y16" s="0" t="s">
        <v>627</v>
      </c>
      <c r="Z16" s="0" t="s">
        <v>629</v>
      </c>
      <c r="AA16" s="0" t="s">
        <v>624</v>
      </c>
      <c r="AB16" s="0" t="s">
        <v>580</v>
      </c>
      <c r="AC16" s="254" t="n">
        <v>310000</v>
      </c>
      <c r="AD16" s="254" t="n">
        <v>6913.59368224576</v>
      </c>
      <c r="AE16" s="0" t="n">
        <v>0</v>
      </c>
      <c r="AF16" s="0" t="n">
        <v>0</v>
      </c>
      <c r="AG16" s="0" t="n">
        <v>0</v>
      </c>
      <c r="AH16" s="254" t="n">
        <v>16486.2899877134</v>
      </c>
      <c r="AI16" s="0" t="n">
        <v>226</v>
      </c>
      <c r="AJ16" s="0" t="s">
        <v>630</v>
      </c>
      <c r="AK16" s="0" t="n">
        <v>0</v>
      </c>
      <c r="AL16" s="0" t="n">
        <v>0</v>
      </c>
      <c r="AM16" s="0" t="n">
        <v>0</v>
      </c>
    </row>
    <row r="17" customFormat="false" ht="12.75" hidden="false" customHeight="false" outlineLevel="0" collapsed="false">
      <c r="A17" s="0" t="s">
        <v>631</v>
      </c>
      <c r="B17" s="0" t="s">
        <v>197</v>
      </c>
      <c r="C17" s="0" t="s">
        <v>622</v>
      </c>
      <c r="D17" s="0" t="s">
        <v>623</v>
      </c>
      <c r="E17" s="0" t="s">
        <v>131</v>
      </c>
      <c r="F17" s="0" t="s">
        <v>196</v>
      </c>
      <c r="G17" s="0" t="s">
        <v>628</v>
      </c>
      <c r="H17" s="0" t="s">
        <v>625</v>
      </c>
      <c r="I17" s="0" t="s">
        <v>626</v>
      </c>
      <c r="J17" s="0" t="s">
        <v>627</v>
      </c>
      <c r="K17" s="475" t="n">
        <v>36770</v>
      </c>
      <c r="L17" s="254" t="n">
        <v>251907.300024418</v>
      </c>
      <c r="M17" s="475" t="n">
        <v>36768</v>
      </c>
      <c r="N17" s="0" t="s">
        <v>132</v>
      </c>
      <c r="O17" s="0" t="n">
        <v>-0.4</v>
      </c>
      <c r="P17" s="0" t="n">
        <v>0</v>
      </c>
      <c r="Q17" s="0" t="n">
        <v>0</v>
      </c>
      <c r="R17" s="0" t="n">
        <v>0</v>
      </c>
      <c r="S17" s="0" t="n">
        <v>0</v>
      </c>
      <c r="T17" s="0" t="s">
        <v>624</v>
      </c>
      <c r="U17" s="0" t="s">
        <v>151</v>
      </c>
      <c r="V17" s="0" t="s">
        <v>624</v>
      </c>
      <c r="W17" s="0" t="s">
        <v>569</v>
      </c>
      <c r="X17" s="0" t="s">
        <v>624</v>
      </c>
      <c r="Y17" s="0" t="s">
        <v>627</v>
      </c>
      <c r="Z17" s="0" t="s">
        <v>629</v>
      </c>
      <c r="AA17" s="0" t="s">
        <v>624</v>
      </c>
      <c r="AB17" s="0" t="s">
        <v>580</v>
      </c>
      <c r="AC17" s="254" t="n">
        <v>300000</v>
      </c>
      <c r="AD17" s="254" t="n">
        <v>-0.0115735644940287</v>
      </c>
      <c r="AE17" s="0" t="n">
        <v>0</v>
      </c>
      <c r="AF17" s="0" t="n">
        <v>0</v>
      </c>
      <c r="AG17" s="0" t="n">
        <v>0</v>
      </c>
      <c r="AH17" s="254" t="n">
        <v>17983.4596552936</v>
      </c>
      <c r="AI17" s="0" t="n">
        <v>226</v>
      </c>
      <c r="AJ17" s="0" t="s">
        <v>630</v>
      </c>
      <c r="AK17" s="0" t="n">
        <v>0</v>
      </c>
      <c r="AL17" s="0" t="n">
        <v>0</v>
      </c>
      <c r="AM17" s="0" t="n">
        <v>0</v>
      </c>
    </row>
    <row r="18" customFormat="false" ht="12.75" hidden="false" customHeight="false" outlineLevel="0" collapsed="false">
      <c r="A18" s="0" t="s">
        <v>631</v>
      </c>
      <c r="B18" s="0" t="s">
        <v>199</v>
      </c>
      <c r="C18" s="0" t="s">
        <v>622</v>
      </c>
      <c r="D18" s="0" t="s">
        <v>623</v>
      </c>
      <c r="E18" s="0" t="s">
        <v>131</v>
      </c>
      <c r="F18" s="0" t="s">
        <v>198</v>
      </c>
      <c r="G18" s="0" t="s">
        <v>628</v>
      </c>
      <c r="H18" s="0" t="s">
        <v>625</v>
      </c>
      <c r="I18" s="0" t="s">
        <v>626</v>
      </c>
      <c r="J18" s="0" t="s">
        <v>627</v>
      </c>
      <c r="K18" s="475" t="n">
        <v>36800</v>
      </c>
      <c r="L18" s="254" t="n">
        <v>51599.6075839146</v>
      </c>
      <c r="M18" s="475" t="n">
        <v>36797</v>
      </c>
      <c r="N18" s="0" t="s">
        <v>136</v>
      </c>
      <c r="O18" s="0" t="n">
        <v>0.25</v>
      </c>
      <c r="P18" s="0" t="n">
        <v>0</v>
      </c>
      <c r="Q18" s="0" t="n">
        <v>0</v>
      </c>
      <c r="R18" s="0" t="n">
        <v>0</v>
      </c>
      <c r="S18" s="0" t="n">
        <v>0</v>
      </c>
      <c r="T18" s="0" t="s">
        <v>624</v>
      </c>
      <c r="U18" s="0" t="s">
        <v>149</v>
      </c>
      <c r="V18" s="0" t="s">
        <v>624</v>
      </c>
      <c r="W18" s="0" t="s">
        <v>569</v>
      </c>
      <c r="X18" s="0" t="s">
        <v>624</v>
      </c>
      <c r="Y18" s="0" t="s">
        <v>627</v>
      </c>
      <c r="Z18" s="0" t="s">
        <v>629</v>
      </c>
      <c r="AA18" s="0" t="s">
        <v>624</v>
      </c>
      <c r="AB18" s="0" t="s">
        <v>580</v>
      </c>
      <c r="AC18" s="254" t="n">
        <v>310000</v>
      </c>
      <c r="AD18" s="254" t="n">
        <v>636.008121044608</v>
      </c>
      <c r="AE18" s="0" t="n">
        <v>0</v>
      </c>
      <c r="AF18" s="0" t="n">
        <v>0</v>
      </c>
      <c r="AG18" s="0" t="n">
        <v>0</v>
      </c>
      <c r="AH18" s="254" t="n">
        <v>37.5164297216761</v>
      </c>
      <c r="AI18" s="0" t="n">
        <v>226</v>
      </c>
      <c r="AJ18" s="0" t="s">
        <v>630</v>
      </c>
      <c r="AK18" s="0" t="n">
        <v>0</v>
      </c>
      <c r="AL18" s="0" t="n">
        <v>0</v>
      </c>
      <c r="AM18" s="0" t="n">
        <v>0</v>
      </c>
    </row>
    <row r="19" customFormat="false" ht="12.75" hidden="false" customHeight="false" outlineLevel="0" collapsed="false">
      <c r="A19" s="0" t="s">
        <v>631</v>
      </c>
      <c r="B19" s="0" t="s">
        <v>199</v>
      </c>
      <c r="C19" s="0" t="s">
        <v>622</v>
      </c>
      <c r="D19" s="0" t="s">
        <v>623</v>
      </c>
      <c r="E19" s="0" t="s">
        <v>131</v>
      </c>
      <c r="F19" s="0" t="s">
        <v>198</v>
      </c>
      <c r="G19" s="0" t="s">
        <v>628</v>
      </c>
      <c r="H19" s="0" t="s">
        <v>625</v>
      </c>
      <c r="I19" s="0" t="s">
        <v>626</v>
      </c>
      <c r="J19" s="0" t="s">
        <v>627</v>
      </c>
      <c r="K19" s="475" t="n">
        <v>36770</v>
      </c>
      <c r="L19" s="254" t="n">
        <v>19493.021280464</v>
      </c>
      <c r="M19" s="475" t="n">
        <v>36768</v>
      </c>
      <c r="N19" s="0" t="s">
        <v>136</v>
      </c>
      <c r="O19" s="0" t="n">
        <v>0.25</v>
      </c>
      <c r="P19" s="0" t="n">
        <v>0</v>
      </c>
      <c r="Q19" s="0" t="n">
        <v>0</v>
      </c>
      <c r="R19" s="0" t="n">
        <v>0</v>
      </c>
      <c r="S19" s="0" t="n">
        <v>0</v>
      </c>
      <c r="T19" s="0" t="s">
        <v>624</v>
      </c>
      <c r="U19" s="0" t="s">
        <v>149</v>
      </c>
      <c r="V19" s="0" t="s">
        <v>624</v>
      </c>
      <c r="W19" s="0" t="s">
        <v>569</v>
      </c>
      <c r="X19" s="0" t="s">
        <v>624</v>
      </c>
      <c r="Y19" s="0" t="s">
        <v>627</v>
      </c>
      <c r="Z19" s="0" t="s">
        <v>629</v>
      </c>
      <c r="AA19" s="0" t="s">
        <v>624</v>
      </c>
      <c r="AB19" s="0" t="s">
        <v>580</v>
      </c>
      <c r="AC19" s="254" t="n">
        <v>300000</v>
      </c>
      <c r="AD19" s="254" t="n">
        <v>0.565640543005429</v>
      </c>
      <c r="AE19" s="0" t="n">
        <v>0</v>
      </c>
      <c r="AF19" s="0" t="n">
        <v>0</v>
      </c>
      <c r="AG19" s="0" t="n">
        <v>0</v>
      </c>
      <c r="AH19" s="254" t="n">
        <v>9.72443223204755</v>
      </c>
      <c r="AI19" s="0" t="n">
        <v>226</v>
      </c>
      <c r="AJ19" s="0" t="s">
        <v>630</v>
      </c>
      <c r="AK19" s="0" t="n">
        <v>0</v>
      </c>
      <c r="AL19" s="0" t="n">
        <v>0</v>
      </c>
      <c r="AM19" s="0" t="n">
        <v>0</v>
      </c>
    </row>
    <row r="20" customFormat="false" ht="12.75" hidden="false" customHeight="false" outlineLevel="0" collapsed="false">
      <c r="A20" s="0" t="s">
        <v>631</v>
      </c>
      <c r="B20" s="0" t="s">
        <v>200</v>
      </c>
      <c r="C20" s="0" t="s">
        <v>622</v>
      </c>
      <c r="D20" s="0" t="s">
        <v>623</v>
      </c>
      <c r="E20" s="0" t="s">
        <v>131</v>
      </c>
      <c r="F20" s="0" t="s">
        <v>194</v>
      </c>
      <c r="G20" s="0" t="s">
        <v>628</v>
      </c>
      <c r="H20" s="0" t="s">
        <v>625</v>
      </c>
      <c r="I20" s="0" t="s">
        <v>626</v>
      </c>
      <c r="J20" s="0" t="s">
        <v>627</v>
      </c>
      <c r="K20" s="475" t="n">
        <v>36800</v>
      </c>
      <c r="L20" s="254" t="n">
        <v>28384.3895123824</v>
      </c>
      <c r="M20" s="475" t="n">
        <v>36797</v>
      </c>
      <c r="N20" s="0" t="s">
        <v>136</v>
      </c>
      <c r="O20" s="0" t="n">
        <v>0.16</v>
      </c>
      <c r="P20" s="0" t="n">
        <v>0</v>
      </c>
      <c r="Q20" s="0" t="n">
        <v>0</v>
      </c>
      <c r="R20" s="0" t="n">
        <v>0</v>
      </c>
      <c r="S20" s="0" t="n">
        <v>0</v>
      </c>
      <c r="T20" s="0" t="s">
        <v>624</v>
      </c>
      <c r="U20" s="0" t="s">
        <v>150</v>
      </c>
      <c r="V20" s="0" t="s">
        <v>624</v>
      </c>
      <c r="W20" s="0" t="s">
        <v>569</v>
      </c>
      <c r="X20" s="0" t="s">
        <v>624</v>
      </c>
      <c r="Y20" s="0" t="s">
        <v>627</v>
      </c>
      <c r="Z20" s="0" t="s">
        <v>629</v>
      </c>
      <c r="AA20" s="0" t="s">
        <v>624</v>
      </c>
      <c r="AB20" s="0" t="s">
        <v>580</v>
      </c>
      <c r="AC20" s="254" t="n">
        <v>620000</v>
      </c>
      <c r="AD20" s="254" t="n">
        <v>3737.90416248271</v>
      </c>
      <c r="AE20" s="0" t="n">
        <v>0</v>
      </c>
      <c r="AF20" s="0" t="n">
        <v>0</v>
      </c>
      <c r="AG20" s="0" t="n">
        <v>0</v>
      </c>
      <c r="AH20" s="254" t="n">
        <v>213.662198762835</v>
      </c>
      <c r="AI20" s="0" t="n">
        <v>226</v>
      </c>
      <c r="AJ20" s="0" t="s">
        <v>630</v>
      </c>
      <c r="AK20" s="0" t="n">
        <v>0</v>
      </c>
      <c r="AL20" s="0" t="n">
        <v>0</v>
      </c>
      <c r="AM20" s="0" t="n">
        <v>0</v>
      </c>
    </row>
    <row r="21" customFormat="false" ht="12.75" hidden="false" customHeight="false" outlineLevel="0" collapsed="false">
      <c r="A21" s="0" t="s">
        <v>631</v>
      </c>
      <c r="B21" s="0" t="s">
        <v>200</v>
      </c>
      <c r="C21" s="0" t="s">
        <v>622</v>
      </c>
      <c r="D21" s="0" t="s">
        <v>623</v>
      </c>
      <c r="E21" s="0" t="s">
        <v>131</v>
      </c>
      <c r="F21" s="0" t="s">
        <v>194</v>
      </c>
      <c r="G21" s="0" t="s">
        <v>628</v>
      </c>
      <c r="H21" s="0" t="s">
        <v>625</v>
      </c>
      <c r="I21" s="0" t="s">
        <v>626</v>
      </c>
      <c r="J21" s="0" t="s">
        <v>627</v>
      </c>
      <c r="K21" s="475" t="n">
        <v>36770</v>
      </c>
      <c r="L21" s="254" t="n">
        <v>7187.32794540612</v>
      </c>
      <c r="M21" s="475" t="n">
        <v>36768</v>
      </c>
      <c r="N21" s="0" t="s">
        <v>136</v>
      </c>
      <c r="O21" s="0" t="n">
        <v>0.16</v>
      </c>
      <c r="P21" s="0" t="n">
        <v>0</v>
      </c>
      <c r="Q21" s="0" t="n">
        <v>0</v>
      </c>
      <c r="R21" s="0" t="n">
        <v>0</v>
      </c>
      <c r="S21" s="0" t="n">
        <v>0</v>
      </c>
      <c r="T21" s="0" t="s">
        <v>624</v>
      </c>
      <c r="U21" s="0" t="s">
        <v>150</v>
      </c>
      <c r="V21" s="0" t="s">
        <v>624</v>
      </c>
      <c r="W21" s="0" t="s">
        <v>569</v>
      </c>
      <c r="X21" s="0" t="s">
        <v>624</v>
      </c>
      <c r="Y21" s="0" t="s">
        <v>627</v>
      </c>
      <c r="Z21" s="0" t="s">
        <v>629</v>
      </c>
      <c r="AA21" s="0" t="s">
        <v>624</v>
      </c>
      <c r="AB21" s="0" t="s">
        <v>580</v>
      </c>
      <c r="AC21" s="254" t="n">
        <v>600000</v>
      </c>
      <c r="AD21" s="254" t="n">
        <v>525.716372784926</v>
      </c>
      <c r="AE21" s="0" t="n">
        <v>0</v>
      </c>
      <c r="AF21" s="0" t="n">
        <v>0</v>
      </c>
      <c r="AG21" s="0" t="n">
        <v>0</v>
      </c>
      <c r="AH21" s="254" t="n">
        <v>74.4090093541854</v>
      </c>
      <c r="AI21" s="0" t="n">
        <v>226</v>
      </c>
      <c r="AJ21" s="0" t="s">
        <v>630</v>
      </c>
      <c r="AK21" s="0" t="n">
        <v>0</v>
      </c>
      <c r="AL21" s="0" t="n">
        <v>0</v>
      </c>
      <c r="AM21" s="0" t="n">
        <v>0</v>
      </c>
    </row>
    <row r="22" customFormat="false" ht="12.75" hidden="false" customHeight="false" outlineLevel="0" collapsed="false">
      <c r="A22" s="0" t="s">
        <v>631</v>
      </c>
      <c r="B22" s="0" t="s">
        <v>203</v>
      </c>
      <c r="C22" s="0" t="s">
        <v>622</v>
      </c>
      <c r="D22" s="0" t="s">
        <v>623</v>
      </c>
      <c r="E22" s="0" t="s">
        <v>131</v>
      </c>
      <c r="F22" s="0" t="s">
        <v>201</v>
      </c>
      <c r="G22" s="0" t="s">
        <v>628</v>
      </c>
      <c r="H22" s="0" t="s">
        <v>625</v>
      </c>
      <c r="I22" s="0" t="s">
        <v>626</v>
      </c>
      <c r="J22" s="0" t="s">
        <v>627</v>
      </c>
      <c r="K22" s="475" t="n">
        <v>36800</v>
      </c>
      <c r="L22" s="254" t="n">
        <v>14192.1947561912</v>
      </c>
      <c r="M22" s="475" t="n">
        <v>36797</v>
      </c>
      <c r="N22" s="0" t="s">
        <v>136</v>
      </c>
      <c r="O22" s="0" t="n">
        <v>0.16</v>
      </c>
      <c r="P22" s="0" t="n">
        <v>0</v>
      </c>
      <c r="Q22" s="0" t="n">
        <v>0</v>
      </c>
      <c r="R22" s="0" t="n">
        <v>0</v>
      </c>
      <c r="S22" s="0" t="n">
        <v>0</v>
      </c>
      <c r="T22" s="0" t="s">
        <v>624</v>
      </c>
      <c r="U22" s="0" t="s">
        <v>150</v>
      </c>
      <c r="V22" s="0" t="s">
        <v>624</v>
      </c>
      <c r="W22" s="0" t="s">
        <v>569</v>
      </c>
      <c r="X22" s="0" t="s">
        <v>624</v>
      </c>
      <c r="Y22" s="0" t="s">
        <v>627</v>
      </c>
      <c r="Z22" s="0" t="s">
        <v>629</v>
      </c>
      <c r="AA22" s="0" t="s">
        <v>624</v>
      </c>
      <c r="AB22" s="0" t="s">
        <v>580</v>
      </c>
      <c r="AC22" s="254" t="n">
        <v>310000</v>
      </c>
      <c r="AD22" s="254" t="n">
        <v>1868.95208124135</v>
      </c>
      <c r="AE22" s="0" t="n">
        <v>0</v>
      </c>
      <c r="AF22" s="0" t="n">
        <v>0</v>
      </c>
      <c r="AG22" s="0" t="n">
        <v>0</v>
      </c>
      <c r="AH22" s="254" t="n">
        <v>106.831099381418</v>
      </c>
      <c r="AI22" s="0" t="n">
        <v>226</v>
      </c>
      <c r="AJ22" s="0" t="s">
        <v>630</v>
      </c>
      <c r="AK22" s="0" t="n">
        <v>0</v>
      </c>
      <c r="AL22" s="0" t="n">
        <v>0</v>
      </c>
      <c r="AM22" s="0" t="n">
        <v>0</v>
      </c>
    </row>
    <row r="23" customFormat="false" ht="12.75" hidden="false" customHeight="false" outlineLevel="0" collapsed="false">
      <c r="A23" s="0" t="s">
        <v>631</v>
      </c>
      <c r="B23" s="0" t="s">
        <v>203</v>
      </c>
      <c r="C23" s="0" t="s">
        <v>622</v>
      </c>
      <c r="D23" s="0" t="s">
        <v>623</v>
      </c>
      <c r="E23" s="0" t="s">
        <v>131</v>
      </c>
      <c r="F23" s="0" t="s">
        <v>201</v>
      </c>
      <c r="G23" s="0" t="s">
        <v>628</v>
      </c>
      <c r="H23" s="0" t="s">
        <v>625</v>
      </c>
      <c r="I23" s="0" t="s">
        <v>626</v>
      </c>
      <c r="J23" s="0" t="s">
        <v>627</v>
      </c>
      <c r="K23" s="475" t="n">
        <v>36770</v>
      </c>
      <c r="L23" s="254" t="n">
        <v>3593.66397270306</v>
      </c>
      <c r="M23" s="475" t="n">
        <v>36768</v>
      </c>
      <c r="N23" s="0" t="s">
        <v>136</v>
      </c>
      <c r="O23" s="0" t="n">
        <v>0.16</v>
      </c>
      <c r="P23" s="0" t="n">
        <v>0</v>
      </c>
      <c r="Q23" s="0" t="n">
        <v>0</v>
      </c>
      <c r="R23" s="0" t="n">
        <v>0</v>
      </c>
      <c r="S23" s="0" t="n">
        <v>0</v>
      </c>
      <c r="T23" s="0" t="s">
        <v>624</v>
      </c>
      <c r="U23" s="0" t="s">
        <v>150</v>
      </c>
      <c r="V23" s="0" t="s">
        <v>624</v>
      </c>
      <c r="W23" s="0" t="s">
        <v>569</v>
      </c>
      <c r="X23" s="0" t="s">
        <v>624</v>
      </c>
      <c r="Y23" s="0" t="s">
        <v>627</v>
      </c>
      <c r="Z23" s="0" t="s">
        <v>629</v>
      </c>
      <c r="AA23" s="0" t="s">
        <v>624</v>
      </c>
      <c r="AB23" s="0" t="s">
        <v>580</v>
      </c>
      <c r="AC23" s="254" t="n">
        <v>300000</v>
      </c>
      <c r="AD23" s="254" t="n">
        <v>262.858186392463</v>
      </c>
      <c r="AE23" s="0" t="n">
        <v>0</v>
      </c>
      <c r="AF23" s="0" t="n">
        <v>0</v>
      </c>
      <c r="AG23" s="0" t="n">
        <v>0</v>
      </c>
      <c r="AH23" s="254" t="n">
        <v>37.2045046770927</v>
      </c>
      <c r="AI23" s="0" t="n">
        <v>226</v>
      </c>
      <c r="AJ23" s="0" t="s">
        <v>630</v>
      </c>
      <c r="AK23" s="0" t="n">
        <v>0</v>
      </c>
      <c r="AL23" s="0" t="n">
        <v>0</v>
      </c>
      <c r="AM23" s="0" t="n">
        <v>0</v>
      </c>
    </row>
    <row r="24" customFormat="false" ht="12.75" hidden="false" customHeight="false" outlineLevel="0" collapsed="false">
      <c r="A24" s="0" t="s">
        <v>631</v>
      </c>
      <c r="B24" s="0" t="s">
        <v>205</v>
      </c>
      <c r="C24" s="0" t="s">
        <v>622</v>
      </c>
      <c r="D24" s="0" t="s">
        <v>623</v>
      </c>
      <c r="E24" s="0" t="s">
        <v>131</v>
      </c>
      <c r="F24" s="0" t="s">
        <v>204</v>
      </c>
      <c r="G24" s="0" t="s">
        <v>628</v>
      </c>
      <c r="H24" s="0" t="s">
        <v>625</v>
      </c>
      <c r="I24" s="0" t="s">
        <v>626</v>
      </c>
      <c r="J24" s="0" t="s">
        <v>627</v>
      </c>
      <c r="K24" s="475" t="n">
        <v>36951</v>
      </c>
      <c r="L24" s="254" t="n">
        <v>23306.2198268903</v>
      </c>
      <c r="M24" s="475" t="n">
        <v>36949</v>
      </c>
      <c r="N24" s="0" t="s">
        <v>136</v>
      </c>
      <c r="O24" s="0" t="n">
        <v>0.33</v>
      </c>
      <c r="P24" s="0" t="n">
        <v>0</v>
      </c>
      <c r="Q24" s="0" t="n">
        <v>0</v>
      </c>
      <c r="R24" s="0" t="n">
        <v>0</v>
      </c>
      <c r="S24" s="0" t="n">
        <v>0</v>
      </c>
      <c r="T24" s="0" t="s">
        <v>624</v>
      </c>
      <c r="U24" s="0" t="s">
        <v>150</v>
      </c>
      <c r="V24" s="0" t="s">
        <v>624</v>
      </c>
      <c r="W24" s="0" t="s">
        <v>569</v>
      </c>
      <c r="X24" s="0" t="s">
        <v>624</v>
      </c>
      <c r="Y24" s="0" t="s">
        <v>627</v>
      </c>
      <c r="Z24" s="0" t="s">
        <v>629</v>
      </c>
      <c r="AA24" s="0" t="s">
        <v>624</v>
      </c>
      <c r="AB24" s="0" t="s">
        <v>580</v>
      </c>
      <c r="AC24" s="254" t="n">
        <v>310000</v>
      </c>
      <c r="AD24" s="254" t="n">
        <v>5563.65088526977</v>
      </c>
      <c r="AE24" s="0" t="n">
        <v>0</v>
      </c>
      <c r="AF24" s="0" t="n">
        <v>0</v>
      </c>
      <c r="AG24" s="0" t="n">
        <v>0</v>
      </c>
      <c r="AH24" s="254" t="n">
        <v>282.867519158564</v>
      </c>
      <c r="AI24" s="0" t="n">
        <v>226</v>
      </c>
      <c r="AJ24" s="0" t="s">
        <v>630</v>
      </c>
      <c r="AK24" s="0" t="n">
        <v>0</v>
      </c>
      <c r="AL24" s="0" t="n">
        <v>0</v>
      </c>
      <c r="AM24" s="0" t="n">
        <v>0</v>
      </c>
    </row>
    <row r="25" customFormat="false" ht="12.75" hidden="false" customHeight="false" outlineLevel="0" collapsed="false">
      <c r="A25" s="0" t="s">
        <v>631</v>
      </c>
      <c r="B25" s="0" t="s">
        <v>205</v>
      </c>
      <c r="C25" s="0" t="s">
        <v>622</v>
      </c>
      <c r="D25" s="0" t="s">
        <v>623</v>
      </c>
      <c r="E25" s="0" t="s">
        <v>131</v>
      </c>
      <c r="F25" s="0" t="s">
        <v>204</v>
      </c>
      <c r="G25" s="0" t="s">
        <v>628</v>
      </c>
      <c r="H25" s="0" t="s">
        <v>625</v>
      </c>
      <c r="I25" s="0" t="s">
        <v>626</v>
      </c>
      <c r="J25" s="0" t="s">
        <v>627</v>
      </c>
      <c r="K25" s="475" t="n">
        <v>36923</v>
      </c>
      <c r="L25" s="254" t="n">
        <v>26279.5557959811</v>
      </c>
      <c r="M25" s="475" t="n">
        <v>36921</v>
      </c>
      <c r="N25" s="0" t="s">
        <v>136</v>
      </c>
      <c r="O25" s="0" t="n">
        <v>0.33</v>
      </c>
      <c r="P25" s="0" t="n">
        <v>0</v>
      </c>
      <c r="Q25" s="0" t="n">
        <v>0</v>
      </c>
      <c r="R25" s="0" t="n">
        <v>0</v>
      </c>
      <c r="S25" s="0" t="n">
        <v>0</v>
      </c>
      <c r="T25" s="0" t="s">
        <v>624</v>
      </c>
      <c r="U25" s="0" t="s">
        <v>150</v>
      </c>
      <c r="V25" s="0" t="s">
        <v>624</v>
      </c>
      <c r="W25" s="0" t="s">
        <v>569</v>
      </c>
      <c r="X25" s="0" t="s">
        <v>624</v>
      </c>
      <c r="Y25" s="0" t="s">
        <v>627</v>
      </c>
      <c r="Z25" s="0" t="s">
        <v>629</v>
      </c>
      <c r="AA25" s="0" t="s">
        <v>624</v>
      </c>
      <c r="AB25" s="0" t="s">
        <v>580</v>
      </c>
      <c r="AC25" s="254" t="n">
        <v>280000</v>
      </c>
      <c r="AD25" s="254" t="n">
        <v>5301.21364348065</v>
      </c>
      <c r="AE25" s="0" t="n">
        <v>0</v>
      </c>
      <c r="AF25" s="0" t="n">
        <v>0</v>
      </c>
      <c r="AG25" s="0" t="n">
        <v>0</v>
      </c>
      <c r="AH25" s="254" t="n">
        <v>254.378518751197</v>
      </c>
      <c r="AI25" s="0" t="n">
        <v>226</v>
      </c>
      <c r="AJ25" s="0" t="s">
        <v>630</v>
      </c>
      <c r="AK25" s="0" t="n">
        <v>0</v>
      </c>
      <c r="AL25" s="0" t="n">
        <v>0</v>
      </c>
      <c r="AM25" s="0" t="n">
        <v>0</v>
      </c>
    </row>
    <row r="26" customFormat="false" ht="12.75" hidden="false" customHeight="false" outlineLevel="0" collapsed="false">
      <c r="A26" s="0" t="s">
        <v>631</v>
      </c>
      <c r="B26" s="0" t="s">
        <v>205</v>
      </c>
      <c r="C26" s="0" t="s">
        <v>622</v>
      </c>
      <c r="D26" s="0" t="s">
        <v>623</v>
      </c>
      <c r="E26" s="0" t="s">
        <v>131</v>
      </c>
      <c r="F26" s="0" t="s">
        <v>204</v>
      </c>
      <c r="G26" s="0" t="s">
        <v>628</v>
      </c>
      <c r="H26" s="0" t="s">
        <v>625</v>
      </c>
      <c r="I26" s="0" t="s">
        <v>626</v>
      </c>
      <c r="J26" s="0" t="s">
        <v>627</v>
      </c>
      <c r="K26" s="475" t="n">
        <v>36892</v>
      </c>
      <c r="L26" s="254" t="n">
        <v>28095.2502225027</v>
      </c>
      <c r="M26" s="475" t="n">
        <v>36888</v>
      </c>
      <c r="N26" s="0" t="s">
        <v>136</v>
      </c>
      <c r="O26" s="0" t="n">
        <v>0.33</v>
      </c>
      <c r="P26" s="0" t="n">
        <v>0</v>
      </c>
      <c r="Q26" s="0" t="n">
        <v>0</v>
      </c>
      <c r="R26" s="0" t="n">
        <v>0</v>
      </c>
      <c r="S26" s="0" t="n">
        <v>0</v>
      </c>
      <c r="T26" s="0" t="s">
        <v>624</v>
      </c>
      <c r="U26" s="0" t="s">
        <v>150</v>
      </c>
      <c r="V26" s="0" t="s">
        <v>624</v>
      </c>
      <c r="W26" s="0" t="s">
        <v>569</v>
      </c>
      <c r="X26" s="0" t="s">
        <v>624</v>
      </c>
      <c r="Y26" s="0" t="s">
        <v>627</v>
      </c>
      <c r="Z26" s="0" t="s">
        <v>629</v>
      </c>
      <c r="AA26" s="0" t="s">
        <v>624</v>
      </c>
      <c r="AB26" s="0" t="s">
        <v>580</v>
      </c>
      <c r="AC26" s="254" t="n">
        <v>310000</v>
      </c>
      <c r="AD26" s="254" t="n">
        <v>5395.21568664897</v>
      </c>
      <c r="AE26" s="0" t="n">
        <v>0</v>
      </c>
      <c r="AF26" s="0" t="n">
        <v>0</v>
      </c>
      <c r="AG26" s="0" t="n">
        <v>0</v>
      </c>
      <c r="AH26" s="254" t="n">
        <v>259.626266490133</v>
      </c>
      <c r="AI26" s="0" t="n">
        <v>226</v>
      </c>
      <c r="AJ26" s="0" t="s">
        <v>630</v>
      </c>
      <c r="AK26" s="0" t="n">
        <v>0</v>
      </c>
      <c r="AL26" s="0" t="n">
        <v>0</v>
      </c>
      <c r="AM26" s="0" t="n">
        <v>0</v>
      </c>
    </row>
    <row r="27" customFormat="false" ht="12.75" hidden="false" customHeight="false" outlineLevel="0" collapsed="false">
      <c r="A27" s="0" t="s">
        <v>631</v>
      </c>
      <c r="B27" s="0" t="s">
        <v>205</v>
      </c>
      <c r="C27" s="0" t="s">
        <v>622</v>
      </c>
      <c r="D27" s="0" t="s">
        <v>623</v>
      </c>
      <c r="E27" s="0" t="s">
        <v>131</v>
      </c>
      <c r="F27" s="0" t="s">
        <v>204</v>
      </c>
      <c r="G27" s="0" t="s">
        <v>628</v>
      </c>
      <c r="H27" s="0" t="s">
        <v>625</v>
      </c>
      <c r="I27" s="0" t="s">
        <v>626</v>
      </c>
      <c r="J27" s="0" t="s">
        <v>627</v>
      </c>
      <c r="K27" s="475" t="n">
        <v>36861</v>
      </c>
      <c r="L27" s="254" t="n">
        <v>23452.8444098174</v>
      </c>
      <c r="M27" s="475" t="n">
        <v>36859</v>
      </c>
      <c r="N27" s="0" t="s">
        <v>136</v>
      </c>
      <c r="O27" s="0" t="n">
        <v>0.33</v>
      </c>
      <c r="P27" s="0" t="n">
        <v>0</v>
      </c>
      <c r="Q27" s="0" t="n">
        <v>0</v>
      </c>
      <c r="R27" s="0" t="n">
        <v>0</v>
      </c>
      <c r="S27" s="0" t="n">
        <v>0</v>
      </c>
      <c r="T27" s="0" t="s">
        <v>624</v>
      </c>
      <c r="U27" s="0" t="s">
        <v>150</v>
      </c>
      <c r="V27" s="0" t="s">
        <v>624</v>
      </c>
      <c r="W27" s="0" t="s">
        <v>569</v>
      </c>
      <c r="X27" s="0" t="s">
        <v>624</v>
      </c>
      <c r="Y27" s="0" t="s">
        <v>627</v>
      </c>
      <c r="Z27" s="0" t="s">
        <v>629</v>
      </c>
      <c r="AA27" s="0" t="s">
        <v>624</v>
      </c>
      <c r="AB27" s="0" t="s">
        <v>580</v>
      </c>
      <c r="AC27" s="254" t="n">
        <v>310000</v>
      </c>
      <c r="AD27" s="254" t="n">
        <v>4683.931960466</v>
      </c>
      <c r="AE27" s="0" t="n">
        <v>0</v>
      </c>
      <c r="AF27" s="0" t="n">
        <v>0</v>
      </c>
      <c r="AG27" s="0" t="n">
        <v>0</v>
      </c>
      <c r="AH27" s="254" t="n">
        <v>235.662685247538</v>
      </c>
      <c r="AI27" s="0" t="n">
        <v>226</v>
      </c>
      <c r="AJ27" s="0" t="s">
        <v>630</v>
      </c>
      <c r="AK27" s="0" t="n">
        <v>0</v>
      </c>
      <c r="AL27" s="0" t="n">
        <v>0</v>
      </c>
      <c r="AM27" s="0" t="n">
        <v>0</v>
      </c>
    </row>
    <row r="28" customFormat="false" ht="12.75" hidden="false" customHeight="false" outlineLevel="0" collapsed="false">
      <c r="A28" s="0" t="s">
        <v>631</v>
      </c>
      <c r="B28" s="0" t="s">
        <v>205</v>
      </c>
      <c r="C28" s="0" t="s">
        <v>622</v>
      </c>
      <c r="D28" s="0" t="s">
        <v>623</v>
      </c>
      <c r="E28" s="0" t="s">
        <v>131</v>
      </c>
      <c r="F28" s="0" t="s">
        <v>204</v>
      </c>
      <c r="G28" s="0" t="s">
        <v>628</v>
      </c>
      <c r="H28" s="0" t="s">
        <v>625</v>
      </c>
      <c r="I28" s="0" t="s">
        <v>626</v>
      </c>
      <c r="J28" s="0" t="s">
        <v>627</v>
      </c>
      <c r="K28" s="475" t="n">
        <v>36831</v>
      </c>
      <c r="L28" s="254" t="n">
        <v>13944.933442901</v>
      </c>
      <c r="M28" s="475" t="n">
        <v>36829</v>
      </c>
      <c r="N28" s="0" t="s">
        <v>136</v>
      </c>
      <c r="O28" s="0" t="n">
        <v>0.33</v>
      </c>
      <c r="P28" s="0" t="n">
        <v>0</v>
      </c>
      <c r="Q28" s="0" t="n">
        <v>0</v>
      </c>
      <c r="R28" s="0" t="n">
        <v>0</v>
      </c>
      <c r="S28" s="0" t="n">
        <v>0</v>
      </c>
      <c r="T28" s="0" t="s">
        <v>624</v>
      </c>
      <c r="U28" s="0" t="s">
        <v>150</v>
      </c>
      <c r="V28" s="0" t="s">
        <v>624</v>
      </c>
      <c r="W28" s="0" t="s">
        <v>569</v>
      </c>
      <c r="X28" s="0" t="s">
        <v>624</v>
      </c>
      <c r="Y28" s="0" t="s">
        <v>627</v>
      </c>
      <c r="Z28" s="0" t="s">
        <v>629</v>
      </c>
      <c r="AA28" s="0" t="s">
        <v>624</v>
      </c>
      <c r="AB28" s="0" t="s">
        <v>580</v>
      </c>
      <c r="AC28" s="254" t="n">
        <v>300000</v>
      </c>
      <c r="AD28" s="254" t="n">
        <v>3549.42311354687</v>
      </c>
      <c r="AE28" s="0" t="n">
        <v>0</v>
      </c>
      <c r="AF28" s="0" t="n">
        <v>0</v>
      </c>
      <c r="AG28" s="0" t="n">
        <v>0</v>
      </c>
      <c r="AH28" s="254" t="n">
        <v>190.902276072358</v>
      </c>
      <c r="AI28" s="0" t="n">
        <v>226</v>
      </c>
      <c r="AJ28" s="0" t="s">
        <v>630</v>
      </c>
      <c r="AK28" s="0" t="n">
        <v>0</v>
      </c>
      <c r="AL28" s="0" t="n">
        <v>0</v>
      </c>
      <c r="AM28" s="0" t="n">
        <v>0</v>
      </c>
    </row>
    <row r="29" customFormat="false" ht="12.75" hidden="false" customHeight="false" outlineLevel="0" collapsed="false">
      <c r="A29" s="0" t="s">
        <v>631</v>
      </c>
      <c r="B29" s="0" t="s">
        <v>207</v>
      </c>
      <c r="C29" s="0" t="s">
        <v>622</v>
      </c>
      <c r="D29" s="0" t="s">
        <v>623</v>
      </c>
      <c r="E29" s="0" t="s">
        <v>131</v>
      </c>
      <c r="F29" s="0" t="s">
        <v>206</v>
      </c>
      <c r="G29" s="0" t="s">
        <v>628</v>
      </c>
      <c r="H29" s="0" t="s">
        <v>625</v>
      </c>
      <c r="I29" s="0" t="s">
        <v>626</v>
      </c>
      <c r="J29" s="0" t="s">
        <v>627</v>
      </c>
      <c r="K29" s="475" t="n">
        <v>36831</v>
      </c>
      <c r="L29" s="254" t="n">
        <v>153392.007475054</v>
      </c>
      <c r="M29" s="475" t="n">
        <v>36829</v>
      </c>
      <c r="N29" s="0" t="s">
        <v>136</v>
      </c>
      <c r="O29" s="0" t="n">
        <v>1</v>
      </c>
      <c r="P29" s="0" t="n">
        <v>0</v>
      </c>
      <c r="Q29" s="0" t="n">
        <v>0</v>
      </c>
      <c r="R29" s="0" t="n">
        <v>0</v>
      </c>
      <c r="S29" s="0" t="n">
        <v>0</v>
      </c>
      <c r="T29" s="0" t="s">
        <v>624</v>
      </c>
      <c r="U29" s="0" t="s">
        <v>149</v>
      </c>
      <c r="V29" s="0" t="s">
        <v>624</v>
      </c>
      <c r="W29" s="0" t="s">
        <v>569</v>
      </c>
      <c r="X29" s="0" t="s">
        <v>624</v>
      </c>
      <c r="Y29" s="0" t="s">
        <v>627</v>
      </c>
      <c r="Z29" s="0" t="s">
        <v>629</v>
      </c>
      <c r="AA29" s="0" t="s">
        <v>624</v>
      </c>
      <c r="AB29" s="0" t="s">
        <v>580</v>
      </c>
      <c r="AC29" s="254" t="n">
        <v>900000</v>
      </c>
      <c r="AD29" s="254" t="n">
        <v>37632.5184093709</v>
      </c>
      <c r="AE29" s="0" t="n">
        <v>0</v>
      </c>
      <c r="AF29" s="0" t="n">
        <v>0</v>
      </c>
      <c r="AG29" s="0" t="n">
        <v>0</v>
      </c>
      <c r="AH29" s="254" t="n">
        <v>15599.7660569336</v>
      </c>
      <c r="AI29" s="0" t="n">
        <v>226</v>
      </c>
      <c r="AJ29" s="0" t="s">
        <v>630</v>
      </c>
      <c r="AK29" s="0" t="n">
        <v>0</v>
      </c>
      <c r="AL29" s="0" t="n">
        <v>0</v>
      </c>
      <c r="AM29" s="0" t="n">
        <v>0</v>
      </c>
    </row>
    <row r="30" customFormat="false" ht="12.75" hidden="false" customHeight="false" outlineLevel="0" collapsed="false">
      <c r="A30" s="0" t="s">
        <v>631</v>
      </c>
      <c r="B30" s="0" t="s">
        <v>209</v>
      </c>
      <c r="C30" s="0" t="s">
        <v>622</v>
      </c>
      <c r="D30" s="0" t="s">
        <v>623</v>
      </c>
      <c r="E30" s="0" t="s">
        <v>131</v>
      </c>
      <c r="F30" s="0" t="s">
        <v>208</v>
      </c>
      <c r="G30" s="0" t="s">
        <v>628</v>
      </c>
      <c r="H30" s="0" t="s">
        <v>625</v>
      </c>
      <c r="I30" s="0" t="s">
        <v>626</v>
      </c>
      <c r="J30" s="0" t="s">
        <v>627</v>
      </c>
      <c r="K30" s="475" t="n">
        <v>36831</v>
      </c>
      <c r="L30" s="254" t="n">
        <v>36813.0355660425</v>
      </c>
      <c r="M30" s="475" t="n">
        <v>36829</v>
      </c>
      <c r="N30" s="0" t="s">
        <v>132</v>
      </c>
      <c r="O30" s="0" t="n">
        <v>0.45</v>
      </c>
      <c r="P30" s="0" t="n">
        <v>0</v>
      </c>
      <c r="Q30" s="0" t="n">
        <v>0</v>
      </c>
      <c r="R30" s="0" t="n">
        <v>0</v>
      </c>
      <c r="S30" s="0" t="n">
        <v>0</v>
      </c>
      <c r="T30" s="0" t="s">
        <v>624</v>
      </c>
      <c r="U30" s="0" t="s">
        <v>149</v>
      </c>
      <c r="V30" s="0" t="s">
        <v>624</v>
      </c>
      <c r="W30" s="0" t="s">
        <v>569</v>
      </c>
      <c r="X30" s="0" t="s">
        <v>624</v>
      </c>
      <c r="Y30" s="0" t="s">
        <v>627</v>
      </c>
      <c r="Z30" s="0" t="s">
        <v>629</v>
      </c>
      <c r="AA30" s="0" t="s">
        <v>624</v>
      </c>
      <c r="AB30" s="0" t="s">
        <v>580</v>
      </c>
      <c r="AC30" s="254" t="n">
        <v>300000</v>
      </c>
      <c r="AD30" s="254" t="n">
        <v>12219.3017145426</v>
      </c>
      <c r="AE30" s="0" t="n">
        <v>0</v>
      </c>
      <c r="AF30" s="0" t="n">
        <v>0</v>
      </c>
      <c r="AG30" s="0" t="n">
        <v>0</v>
      </c>
      <c r="AH30" s="254" t="n">
        <v>-2865.75856393112</v>
      </c>
      <c r="AI30" s="0" t="n">
        <v>226</v>
      </c>
      <c r="AJ30" s="0" t="s">
        <v>630</v>
      </c>
      <c r="AK30" s="0" t="n">
        <v>0</v>
      </c>
      <c r="AL30" s="0" t="n">
        <v>0</v>
      </c>
      <c r="AM30" s="0" t="n">
        <v>0</v>
      </c>
    </row>
    <row r="31" customFormat="false" ht="12.75" hidden="false" customHeight="false" outlineLevel="0" collapsed="false">
      <c r="A31" s="0" t="s">
        <v>631</v>
      </c>
      <c r="B31" s="0" t="s">
        <v>211</v>
      </c>
      <c r="C31" s="0" t="s">
        <v>622</v>
      </c>
      <c r="D31" s="0" t="s">
        <v>623</v>
      </c>
      <c r="E31" s="0" t="s">
        <v>131</v>
      </c>
      <c r="F31" s="0" t="s">
        <v>210</v>
      </c>
      <c r="G31" s="0" t="s">
        <v>628</v>
      </c>
      <c r="H31" s="0" t="s">
        <v>625</v>
      </c>
      <c r="I31" s="0" t="s">
        <v>626</v>
      </c>
      <c r="J31" s="0" t="s">
        <v>627</v>
      </c>
      <c r="K31" s="475" t="n">
        <v>36831</v>
      </c>
      <c r="L31" s="254" t="n">
        <v>110439.106698127</v>
      </c>
      <c r="M31" s="475" t="n">
        <v>36829</v>
      </c>
      <c r="N31" s="0" t="s">
        <v>132</v>
      </c>
      <c r="O31" s="0" t="n">
        <v>0.45</v>
      </c>
      <c r="P31" s="0" t="n">
        <v>0</v>
      </c>
      <c r="Q31" s="0" t="n">
        <v>0</v>
      </c>
      <c r="R31" s="0" t="n">
        <v>0</v>
      </c>
      <c r="S31" s="0" t="n">
        <v>0</v>
      </c>
      <c r="T31" s="0" t="s">
        <v>624</v>
      </c>
      <c r="U31" s="0" t="s">
        <v>149</v>
      </c>
      <c r="V31" s="0" t="s">
        <v>624</v>
      </c>
      <c r="W31" s="0" t="s">
        <v>569</v>
      </c>
      <c r="X31" s="0" t="s">
        <v>624</v>
      </c>
      <c r="Y31" s="0" t="s">
        <v>627</v>
      </c>
      <c r="Z31" s="0" t="s">
        <v>629</v>
      </c>
      <c r="AA31" s="0" t="s">
        <v>624</v>
      </c>
      <c r="AB31" s="0" t="s">
        <v>580</v>
      </c>
      <c r="AC31" s="254" t="n">
        <v>900000</v>
      </c>
      <c r="AD31" s="254" t="n">
        <v>36657.9051436278</v>
      </c>
      <c r="AE31" s="0" t="n">
        <v>0</v>
      </c>
      <c r="AF31" s="0" t="n">
        <v>0</v>
      </c>
      <c r="AG31" s="0" t="n">
        <v>0</v>
      </c>
      <c r="AH31" s="254" t="n">
        <v>-8597.27569179336</v>
      </c>
      <c r="AI31" s="0" t="n">
        <v>226</v>
      </c>
      <c r="AJ31" s="0" t="s">
        <v>630</v>
      </c>
      <c r="AK31" s="0" t="n">
        <v>0</v>
      </c>
      <c r="AL31" s="0" t="n">
        <v>0</v>
      </c>
      <c r="AM31" s="0" t="n">
        <v>0</v>
      </c>
    </row>
    <row r="32" customFormat="false" ht="12.75" hidden="false" customHeight="false" outlineLevel="0" collapsed="false">
      <c r="A32" s="0" t="s">
        <v>631</v>
      </c>
      <c r="B32" s="0" t="s">
        <v>213</v>
      </c>
      <c r="C32" s="0" t="s">
        <v>622</v>
      </c>
      <c r="D32" s="0" t="s">
        <v>623</v>
      </c>
      <c r="E32" s="0" t="s">
        <v>131</v>
      </c>
      <c r="F32" s="0" t="s">
        <v>212</v>
      </c>
      <c r="G32" s="0" t="s">
        <v>628</v>
      </c>
      <c r="H32" s="0" t="s">
        <v>625</v>
      </c>
      <c r="I32" s="0" t="s">
        <v>626</v>
      </c>
      <c r="J32" s="0" t="s">
        <v>627</v>
      </c>
      <c r="K32" s="475" t="n">
        <v>36831</v>
      </c>
      <c r="L32" s="254" t="n">
        <v>184065.177830212</v>
      </c>
      <c r="M32" s="475" t="n">
        <v>36829</v>
      </c>
      <c r="N32" s="0" t="s">
        <v>132</v>
      </c>
      <c r="O32" s="0" t="n">
        <v>0.45</v>
      </c>
      <c r="P32" s="0" t="n">
        <v>0</v>
      </c>
      <c r="Q32" s="0" t="n">
        <v>0</v>
      </c>
      <c r="R32" s="0" t="n">
        <v>0</v>
      </c>
      <c r="S32" s="0" t="n">
        <v>0</v>
      </c>
      <c r="T32" s="0" t="s">
        <v>624</v>
      </c>
      <c r="U32" s="0" t="s">
        <v>149</v>
      </c>
      <c r="V32" s="0" t="s">
        <v>624</v>
      </c>
      <c r="W32" s="0" t="s">
        <v>569</v>
      </c>
      <c r="X32" s="0" t="s">
        <v>624</v>
      </c>
      <c r="Y32" s="0" t="s">
        <v>627</v>
      </c>
      <c r="Z32" s="0" t="s">
        <v>629</v>
      </c>
      <c r="AA32" s="0" t="s">
        <v>624</v>
      </c>
      <c r="AB32" s="0" t="s">
        <v>580</v>
      </c>
      <c r="AC32" s="254" t="n">
        <v>1500000</v>
      </c>
      <c r="AD32" s="254" t="n">
        <v>61096.508572713</v>
      </c>
      <c r="AE32" s="0" t="n">
        <v>0</v>
      </c>
      <c r="AF32" s="0" t="n">
        <v>0</v>
      </c>
      <c r="AG32" s="0" t="n">
        <v>0</v>
      </c>
      <c r="AH32" s="254" t="n">
        <v>-14328.7928196556</v>
      </c>
      <c r="AI32" s="0" t="n">
        <v>226</v>
      </c>
      <c r="AJ32" s="0" t="s">
        <v>630</v>
      </c>
      <c r="AK32" s="0" t="n">
        <v>0</v>
      </c>
      <c r="AL32" s="0" t="n">
        <v>0</v>
      </c>
      <c r="AM32" s="0" t="n">
        <v>0</v>
      </c>
    </row>
    <row r="33" customFormat="false" ht="12.75" hidden="false" customHeight="false" outlineLevel="0" collapsed="false">
      <c r="A33" s="0" t="s">
        <v>631</v>
      </c>
      <c r="B33" s="0" t="s">
        <v>214</v>
      </c>
      <c r="C33" s="0" t="s">
        <v>622</v>
      </c>
      <c r="D33" s="0" t="s">
        <v>623</v>
      </c>
      <c r="E33" s="0" t="s">
        <v>131</v>
      </c>
      <c r="F33" s="0" t="s">
        <v>206</v>
      </c>
      <c r="G33" s="0" t="s">
        <v>628</v>
      </c>
      <c r="H33" s="0" t="s">
        <v>625</v>
      </c>
      <c r="I33" s="0" t="s">
        <v>626</v>
      </c>
      <c r="J33" s="0" t="s">
        <v>627</v>
      </c>
      <c r="K33" s="475" t="n">
        <v>36951</v>
      </c>
      <c r="L33" s="254" t="n">
        <v>544946.369830862</v>
      </c>
      <c r="M33" s="475" t="n">
        <v>36949</v>
      </c>
      <c r="N33" s="0" t="s">
        <v>215</v>
      </c>
      <c r="O33" s="0" t="n">
        <v>1.25</v>
      </c>
      <c r="P33" s="0" t="n">
        <v>0</v>
      </c>
      <c r="Q33" s="0" t="n">
        <v>0</v>
      </c>
      <c r="R33" s="0" t="n">
        <v>0</v>
      </c>
      <c r="S33" s="0" t="n">
        <v>0</v>
      </c>
      <c r="T33" s="0" t="s">
        <v>624</v>
      </c>
      <c r="U33" s="0" t="s">
        <v>149</v>
      </c>
      <c r="V33" s="0" t="s">
        <v>624</v>
      </c>
      <c r="W33" s="0" t="s">
        <v>569</v>
      </c>
      <c r="X33" s="0" t="s">
        <v>624</v>
      </c>
      <c r="Y33" s="0" t="s">
        <v>627</v>
      </c>
      <c r="Z33" s="0" t="s">
        <v>629</v>
      </c>
      <c r="AA33" s="0" t="s">
        <v>624</v>
      </c>
      <c r="AB33" s="0" t="s">
        <v>580</v>
      </c>
      <c r="AC33" s="254" t="n">
        <v>1240000</v>
      </c>
      <c r="AD33" s="254" t="n">
        <v>108135.68292497</v>
      </c>
      <c r="AE33" s="0" t="n">
        <v>0</v>
      </c>
      <c r="AF33" s="0" t="n">
        <v>0</v>
      </c>
      <c r="AG33" s="0" t="n">
        <v>0</v>
      </c>
      <c r="AH33" s="254" t="n">
        <v>40752.6608324178</v>
      </c>
      <c r="AI33" s="0" t="n">
        <v>226</v>
      </c>
      <c r="AJ33" s="0" t="s">
        <v>630</v>
      </c>
      <c r="AK33" s="0" t="n">
        <v>0</v>
      </c>
      <c r="AL33" s="0" t="n">
        <v>0</v>
      </c>
      <c r="AM33" s="0" t="n">
        <v>0</v>
      </c>
    </row>
    <row r="34" customFormat="false" ht="12.75" hidden="false" customHeight="false" outlineLevel="0" collapsed="false">
      <c r="A34" s="0" t="s">
        <v>631</v>
      </c>
      <c r="B34" s="0" t="s">
        <v>217</v>
      </c>
      <c r="C34" s="0" t="s">
        <v>622</v>
      </c>
      <c r="D34" s="0" t="s">
        <v>623</v>
      </c>
      <c r="E34" s="0" t="s">
        <v>131</v>
      </c>
      <c r="F34" s="0" t="s">
        <v>216</v>
      </c>
      <c r="G34" s="0" t="s">
        <v>628</v>
      </c>
      <c r="H34" s="0" t="s">
        <v>625</v>
      </c>
      <c r="I34" s="0" t="s">
        <v>626</v>
      </c>
      <c r="J34" s="0" t="s">
        <v>627</v>
      </c>
      <c r="K34" s="475" t="n">
        <v>36951</v>
      </c>
      <c r="L34" s="254" t="n">
        <v>-136236.592457716</v>
      </c>
      <c r="M34" s="475" t="n">
        <v>36949</v>
      </c>
      <c r="N34" s="0" t="s">
        <v>136</v>
      </c>
      <c r="O34" s="0" t="n">
        <v>1.25</v>
      </c>
      <c r="P34" s="0" t="n">
        <v>0</v>
      </c>
      <c r="Q34" s="0" t="n">
        <v>0</v>
      </c>
      <c r="R34" s="0" t="n">
        <v>0</v>
      </c>
      <c r="S34" s="0" t="n">
        <v>0</v>
      </c>
      <c r="T34" s="0" t="s">
        <v>624</v>
      </c>
      <c r="U34" s="0" t="s">
        <v>149</v>
      </c>
      <c r="V34" s="0" t="s">
        <v>624</v>
      </c>
      <c r="W34" s="0" t="s">
        <v>569</v>
      </c>
      <c r="X34" s="0" t="s">
        <v>624</v>
      </c>
      <c r="Y34" s="0" t="s">
        <v>627</v>
      </c>
      <c r="Z34" s="0" t="s">
        <v>629</v>
      </c>
      <c r="AA34" s="0" t="s">
        <v>624</v>
      </c>
      <c r="AB34" s="0" t="s">
        <v>580</v>
      </c>
      <c r="AC34" s="254" t="n">
        <v>-310000</v>
      </c>
      <c r="AD34" s="254" t="n">
        <v>-27033.9207312425</v>
      </c>
      <c r="AE34" s="0" t="n">
        <v>0</v>
      </c>
      <c r="AF34" s="0" t="n">
        <v>0</v>
      </c>
      <c r="AG34" s="0" t="n">
        <v>0</v>
      </c>
      <c r="AH34" s="254" t="n">
        <v>-10188.1652081044</v>
      </c>
      <c r="AI34" s="0" t="n">
        <v>226</v>
      </c>
      <c r="AJ34" s="0" t="s">
        <v>630</v>
      </c>
      <c r="AK34" s="0" t="n">
        <v>0</v>
      </c>
      <c r="AL34" s="0" t="n">
        <v>0</v>
      </c>
      <c r="AM34" s="0" t="n">
        <v>0</v>
      </c>
    </row>
    <row r="35" customFormat="false" ht="12.75" hidden="false" customHeight="false" outlineLevel="0" collapsed="false">
      <c r="A35" s="0" t="s">
        <v>631</v>
      </c>
      <c r="B35" s="0" t="s">
        <v>219</v>
      </c>
      <c r="C35" s="0" t="s">
        <v>622</v>
      </c>
      <c r="D35" s="0" t="s">
        <v>623</v>
      </c>
      <c r="E35" s="0" t="s">
        <v>131</v>
      </c>
      <c r="F35" s="0" t="s">
        <v>218</v>
      </c>
      <c r="G35" s="0" t="s">
        <v>628</v>
      </c>
      <c r="H35" s="0" t="s">
        <v>625</v>
      </c>
      <c r="I35" s="0" t="s">
        <v>626</v>
      </c>
      <c r="J35" s="0" t="s">
        <v>627</v>
      </c>
      <c r="K35" s="475" t="n">
        <v>36800</v>
      </c>
      <c r="L35" s="254" t="n">
        <v>7066.6235968552</v>
      </c>
      <c r="M35" s="475" t="n">
        <v>36797</v>
      </c>
      <c r="N35" s="0" t="s">
        <v>136</v>
      </c>
      <c r="O35" s="0" t="n">
        <v>-0.32</v>
      </c>
      <c r="P35" s="0" t="n">
        <v>0</v>
      </c>
      <c r="Q35" s="0" t="n">
        <v>0</v>
      </c>
      <c r="R35" s="0" t="n">
        <v>0</v>
      </c>
      <c r="S35" s="0" t="n">
        <v>0</v>
      </c>
      <c r="T35" s="0" t="s">
        <v>624</v>
      </c>
      <c r="U35" s="0" t="s">
        <v>151</v>
      </c>
      <c r="V35" s="0" t="s">
        <v>624</v>
      </c>
      <c r="W35" s="0" t="s">
        <v>569</v>
      </c>
      <c r="X35" s="0" t="s">
        <v>624</v>
      </c>
      <c r="Y35" s="0" t="s">
        <v>627</v>
      </c>
      <c r="Z35" s="0" t="s">
        <v>629</v>
      </c>
      <c r="AA35" s="0" t="s">
        <v>624</v>
      </c>
      <c r="AB35" s="0" t="s">
        <v>580</v>
      </c>
      <c r="AC35" s="254" t="n">
        <v>310000</v>
      </c>
      <c r="AD35" s="254" t="n">
        <v>5556.46592316229</v>
      </c>
      <c r="AE35" s="0" t="n">
        <v>0</v>
      </c>
      <c r="AF35" s="0" t="n">
        <v>0</v>
      </c>
      <c r="AG35" s="0" t="n">
        <v>0</v>
      </c>
      <c r="AH35" s="254" t="n">
        <v>-2595.06928209068</v>
      </c>
      <c r="AI35" s="0" t="n">
        <v>226</v>
      </c>
      <c r="AJ35" s="0" t="s">
        <v>630</v>
      </c>
      <c r="AK35" s="0" t="n">
        <v>0</v>
      </c>
      <c r="AL35" s="0" t="n">
        <v>0</v>
      </c>
      <c r="AM35" s="0" t="n">
        <v>0</v>
      </c>
    </row>
    <row r="36" customFormat="false" ht="12.75" hidden="false" customHeight="false" outlineLevel="0" collapsed="false">
      <c r="A36" s="0" t="s">
        <v>631</v>
      </c>
      <c r="B36" s="0" t="s">
        <v>219</v>
      </c>
      <c r="C36" s="0" t="s">
        <v>622</v>
      </c>
      <c r="D36" s="0" t="s">
        <v>623</v>
      </c>
      <c r="E36" s="0" t="s">
        <v>131</v>
      </c>
      <c r="F36" s="0" t="s">
        <v>218</v>
      </c>
      <c r="G36" s="0" t="s">
        <v>628</v>
      </c>
      <c r="H36" s="0" t="s">
        <v>625</v>
      </c>
      <c r="I36" s="0" t="s">
        <v>626</v>
      </c>
      <c r="J36" s="0" t="s">
        <v>627</v>
      </c>
      <c r="K36" s="475" t="n">
        <v>36770</v>
      </c>
      <c r="L36" s="254" t="n">
        <v>0.0361732286957572</v>
      </c>
      <c r="M36" s="475" t="n">
        <v>36768</v>
      </c>
      <c r="N36" s="0" t="s">
        <v>136</v>
      </c>
      <c r="O36" s="0" t="n">
        <v>-0.32</v>
      </c>
      <c r="P36" s="0" t="n">
        <v>0</v>
      </c>
      <c r="Q36" s="0" t="n">
        <v>0</v>
      </c>
      <c r="R36" s="0" t="n">
        <v>0</v>
      </c>
      <c r="S36" s="0" t="n">
        <v>0</v>
      </c>
      <c r="T36" s="0" t="s">
        <v>624</v>
      </c>
      <c r="U36" s="0" t="s">
        <v>151</v>
      </c>
      <c r="V36" s="0" t="s">
        <v>624</v>
      </c>
      <c r="W36" s="0" t="s">
        <v>569</v>
      </c>
      <c r="X36" s="0" t="s">
        <v>624</v>
      </c>
      <c r="Y36" s="0" t="s">
        <v>627</v>
      </c>
      <c r="Z36" s="0" t="s">
        <v>629</v>
      </c>
      <c r="AA36" s="0" t="s">
        <v>624</v>
      </c>
      <c r="AB36" s="0" t="s">
        <v>580</v>
      </c>
      <c r="AC36" s="254" t="n">
        <v>300000</v>
      </c>
      <c r="AD36" s="254" t="n">
        <v>-0.0115735644401482</v>
      </c>
      <c r="AE36" s="0" t="n">
        <v>0</v>
      </c>
      <c r="AF36" s="0" t="n">
        <v>0</v>
      </c>
      <c r="AG36" s="0" t="n">
        <v>0</v>
      </c>
      <c r="AH36" s="254" t="n">
        <v>0.00235167432194316</v>
      </c>
      <c r="AI36" s="0" t="n">
        <v>226</v>
      </c>
      <c r="AJ36" s="0" t="s">
        <v>630</v>
      </c>
      <c r="AK36" s="0" t="n">
        <v>0</v>
      </c>
      <c r="AL36" s="0" t="n">
        <v>0</v>
      </c>
      <c r="AM36" s="0" t="n">
        <v>0</v>
      </c>
    </row>
    <row r="37" customFormat="false" ht="12.75" hidden="false" customHeight="false" outlineLevel="0" collapsed="false">
      <c r="A37" s="0" t="s">
        <v>631</v>
      </c>
      <c r="B37" s="0" t="s">
        <v>220</v>
      </c>
      <c r="C37" s="0" t="s">
        <v>622</v>
      </c>
      <c r="D37" s="0" t="s">
        <v>623</v>
      </c>
      <c r="E37" s="0" t="s">
        <v>131</v>
      </c>
      <c r="F37" s="0" t="s">
        <v>218</v>
      </c>
      <c r="G37" s="0" t="s">
        <v>628</v>
      </c>
      <c r="H37" s="0" t="s">
        <v>625</v>
      </c>
      <c r="I37" s="0" t="s">
        <v>626</v>
      </c>
      <c r="J37" s="0" t="s">
        <v>627</v>
      </c>
      <c r="K37" s="475" t="n">
        <v>36800</v>
      </c>
      <c r="L37" s="254" t="n">
        <v>156550.750002717</v>
      </c>
      <c r="M37" s="475" t="n">
        <v>36797</v>
      </c>
      <c r="N37" s="0" t="s">
        <v>132</v>
      </c>
      <c r="O37" s="0" t="n">
        <v>-0.32</v>
      </c>
      <c r="P37" s="0" t="n">
        <v>0</v>
      </c>
      <c r="Q37" s="0" t="n">
        <v>0</v>
      </c>
      <c r="R37" s="0" t="n">
        <v>0</v>
      </c>
      <c r="S37" s="0" t="n">
        <v>0</v>
      </c>
      <c r="T37" s="0" t="s">
        <v>624</v>
      </c>
      <c r="U37" s="0" t="s">
        <v>151</v>
      </c>
      <c r="V37" s="0" t="s">
        <v>624</v>
      </c>
      <c r="W37" s="0" t="s">
        <v>569</v>
      </c>
      <c r="X37" s="0" t="s">
        <v>624</v>
      </c>
      <c r="Y37" s="0" t="s">
        <v>627</v>
      </c>
      <c r="Z37" s="0" t="s">
        <v>629</v>
      </c>
      <c r="AA37" s="0" t="s">
        <v>624</v>
      </c>
      <c r="AB37" s="0" t="s">
        <v>580</v>
      </c>
      <c r="AC37" s="254" t="n">
        <v>310000</v>
      </c>
      <c r="AD37" s="254" t="n">
        <v>5556.46592316229</v>
      </c>
      <c r="AE37" s="0" t="n">
        <v>0</v>
      </c>
      <c r="AF37" s="0" t="n">
        <v>0</v>
      </c>
      <c r="AG37" s="0" t="n">
        <v>0</v>
      </c>
      <c r="AH37" s="254" t="n">
        <v>17427.849339428</v>
      </c>
      <c r="AI37" s="0" t="n">
        <v>226</v>
      </c>
      <c r="AJ37" s="0" t="s">
        <v>630</v>
      </c>
      <c r="AK37" s="0" t="n">
        <v>0</v>
      </c>
      <c r="AL37" s="0" t="n">
        <v>0</v>
      </c>
      <c r="AM37" s="0" t="n">
        <v>0</v>
      </c>
    </row>
    <row r="38" customFormat="false" ht="12.75" hidden="false" customHeight="false" outlineLevel="0" collapsed="false">
      <c r="A38" s="0" t="s">
        <v>631</v>
      </c>
      <c r="B38" s="0" t="s">
        <v>220</v>
      </c>
      <c r="C38" s="0" t="s">
        <v>622</v>
      </c>
      <c r="D38" s="0" t="s">
        <v>623</v>
      </c>
      <c r="E38" s="0" t="s">
        <v>131</v>
      </c>
      <c r="F38" s="0" t="s">
        <v>218</v>
      </c>
      <c r="G38" s="0" t="s">
        <v>628</v>
      </c>
      <c r="H38" s="0" t="s">
        <v>625</v>
      </c>
      <c r="I38" s="0" t="s">
        <v>626</v>
      </c>
      <c r="J38" s="0" t="s">
        <v>627</v>
      </c>
      <c r="K38" s="475" t="n">
        <v>36770</v>
      </c>
      <c r="L38" s="254" t="n">
        <v>275898.471455648</v>
      </c>
      <c r="M38" s="475" t="n">
        <v>36768</v>
      </c>
      <c r="N38" s="0" t="s">
        <v>132</v>
      </c>
      <c r="O38" s="0" t="n">
        <v>-0.32</v>
      </c>
      <c r="P38" s="0" t="n">
        <v>0</v>
      </c>
      <c r="Q38" s="0" t="n">
        <v>0</v>
      </c>
      <c r="R38" s="0" t="n">
        <v>0</v>
      </c>
      <c r="S38" s="0" t="n">
        <v>0</v>
      </c>
      <c r="T38" s="0" t="s">
        <v>624</v>
      </c>
      <c r="U38" s="0" t="s">
        <v>151</v>
      </c>
      <c r="V38" s="0" t="s">
        <v>624</v>
      </c>
      <c r="W38" s="0" t="s">
        <v>569</v>
      </c>
      <c r="X38" s="0" t="s">
        <v>624</v>
      </c>
      <c r="Y38" s="0" t="s">
        <v>627</v>
      </c>
      <c r="Z38" s="0" t="s">
        <v>629</v>
      </c>
      <c r="AA38" s="0" t="s">
        <v>624</v>
      </c>
      <c r="AB38" s="0" t="s">
        <v>580</v>
      </c>
      <c r="AC38" s="254" t="n">
        <v>300000</v>
      </c>
      <c r="AD38" s="254" t="n">
        <v>-0.011573564435821</v>
      </c>
      <c r="AE38" s="0" t="n">
        <v>0</v>
      </c>
      <c r="AF38" s="0" t="n">
        <v>0</v>
      </c>
      <c r="AG38" s="0" t="n">
        <v>0</v>
      </c>
      <c r="AH38" s="254" t="n">
        <v>17983.4597272024</v>
      </c>
      <c r="AI38" s="0" t="n">
        <v>226</v>
      </c>
      <c r="AJ38" s="0" t="s">
        <v>630</v>
      </c>
      <c r="AK38" s="0" t="n">
        <v>0</v>
      </c>
      <c r="AL38" s="0" t="n">
        <v>0</v>
      </c>
      <c r="AM38" s="0" t="n">
        <v>0</v>
      </c>
    </row>
    <row r="39" customFormat="false" ht="12.75" hidden="false" customHeight="false" outlineLevel="0" collapsed="false">
      <c r="A39" s="0" t="s">
        <v>631</v>
      </c>
      <c r="B39" s="0" t="s">
        <v>221</v>
      </c>
      <c r="C39" s="0" t="s">
        <v>622</v>
      </c>
      <c r="D39" s="0" t="s">
        <v>623</v>
      </c>
      <c r="E39" s="0" t="s">
        <v>131</v>
      </c>
      <c r="F39" s="0" t="s">
        <v>218</v>
      </c>
      <c r="G39" s="0" t="s">
        <v>628</v>
      </c>
      <c r="H39" s="0" t="s">
        <v>625</v>
      </c>
      <c r="I39" s="0" t="s">
        <v>626</v>
      </c>
      <c r="J39" s="0" t="s">
        <v>627</v>
      </c>
      <c r="K39" s="475" t="n">
        <v>36800</v>
      </c>
      <c r="L39" s="254" t="n">
        <v>270956.093868382</v>
      </c>
      <c r="M39" s="475" t="n">
        <v>36797</v>
      </c>
      <c r="N39" s="0" t="s">
        <v>132</v>
      </c>
      <c r="O39" s="0" t="n">
        <v>-0.4</v>
      </c>
      <c r="P39" s="0" t="n">
        <v>0</v>
      </c>
      <c r="Q39" s="0" t="n">
        <v>0</v>
      </c>
      <c r="R39" s="0" t="n">
        <v>0</v>
      </c>
      <c r="S39" s="0" t="n">
        <v>0</v>
      </c>
      <c r="T39" s="0" t="s">
        <v>624</v>
      </c>
      <c r="U39" s="0" t="s">
        <v>151</v>
      </c>
      <c r="V39" s="0" t="s">
        <v>624</v>
      </c>
      <c r="W39" s="0" t="s">
        <v>569</v>
      </c>
      <c r="X39" s="0" t="s">
        <v>624</v>
      </c>
      <c r="Y39" s="0" t="s">
        <v>627</v>
      </c>
      <c r="Z39" s="0" t="s">
        <v>629</v>
      </c>
      <c r="AA39" s="0" t="s">
        <v>624</v>
      </c>
      <c r="AB39" s="0" t="s">
        <v>580</v>
      </c>
      <c r="AC39" s="254" t="n">
        <v>620000</v>
      </c>
      <c r="AD39" s="254" t="n">
        <v>13827.1873644915</v>
      </c>
      <c r="AE39" s="0" t="n">
        <v>0</v>
      </c>
      <c r="AF39" s="0" t="n">
        <v>0</v>
      </c>
      <c r="AG39" s="0" t="n">
        <v>0</v>
      </c>
      <c r="AH39" s="254" t="n">
        <v>32972.5799754268</v>
      </c>
      <c r="AI39" s="0" t="n">
        <v>226</v>
      </c>
      <c r="AJ39" s="0" t="s">
        <v>630</v>
      </c>
      <c r="AK39" s="0" t="n">
        <v>0</v>
      </c>
      <c r="AL39" s="0" t="n">
        <v>0</v>
      </c>
      <c r="AM39" s="0" t="n">
        <v>0</v>
      </c>
    </row>
    <row r="40" customFormat="false" ht="12.75" hidden="false" customHeight="false" outlineLevel="0" collapsed="false">
      <c r="A40" s="0" t="s">
        <v>631</v>
      </c>
      <c r="B40" s="0" t="s">
        <v>221</v>
      </c>
      <c r="C40" s="0" t="s">
        <v>622</v>
      </c>
      <c r="D40" s="0" t="s">
        <v>623</v>
      </c>
      <c r="E40" s="0" t="s">
        <v>131</v>
      </c>
      <c r="F40" s="0" t="s">
        <v>218</v>
      </c>
      <c r="G40" s="0" t="s">
        <v>628</v>
      </c>
      <c r="H40" s="0" t="s">
        <v>625</v>
      </c>
      <c r="I40" s="0" t="s">
        <v>626</v>
      </c>
      <c r="J40" s="0" t="s">
        <v>627</v>
      </c>
      <c r="K40" s="475" t="n">
        <v>36770</v>
      </c>
      <c r="L40" s="254" t="n">
        <v>503814.600048837</v>
      </c>
      <c r="M40" s="475" t="n">
        <v>36768</v>
      </c>
      <c r="N40" s="0" t="s">
        <v>132</v>
      </c>
      <c r="O40" s="0" t="n">
        <v>-0.4</v>
      </c>
      <c r="P40" s="0" t="n">
        <v>0</v>
      </c>
      <c r="Q40" s="0" t="n">
        <v>0</v>
      </c>
      <c r="R40" s="0" t="n">
        <v>0</v>
      </c>
      <c r="S40" s="0" t="n">
        <v>0</v>
      </c>
      <c r="T40" s="0" t="s">
        <v>624</v>
      </c>
      <c r="U40" s="0" t="s">
        <v>151</v>
      </c>
      <c r="V40" s="0" t="s">
        <v>624</v>
      </c>
      <c r="W40" s="0" t="s">
        <v>569</v>
      </c>
      <c r="X40" s="0" t="s">
        <v>624</v>
      </c>
      <c r="Y40" s="0" t="s">
        <v>627</v>
      </c>
      <c r="Z40" s="0" t="s">
        <v>629</v>
      </c>
      <c r="AA40" s="0" t="s">
        <v>624</v>
      </c>
      <c r="AB40" s="0" t="s">
        <v>580</v>
      </c>
      <c r="AC40" s="254" t="n">
        <v>600000</v>
      </c>
      <c r="AD40" s="254" t="n">
        <v>-0.0231471289880574</v>
      </c>
      <c r="AE40" s="0" t="n">
        <v>0</v>
      </c>
      <c r="AF40" s="0" t="n">
        <v>0</v>
      </c>
      <c r="AG40" s="0" t="n">
        <v>0</v>
      </c>
      <c r="AH40" s="254" t="n">
        <v>35966.9193105872</v>
      </c>
      <c r="AI40" s="0" t="n">
        <v>226</v>
      </c>
      <c r="AJ40" s="0" t="s">
        <v>630</v>
      </c>
      <c r="AK40" s="0" t="n">
        <v>0</v>
      </c>
      <c r="AL40" s="0" t="n">
        <v>0</v>
      </c>
      <c r="AM40" s="0" t="n">
        <v>0</v>
      </c>
    </row>
    <row r="41" customFormat="false" ht="12.75" hidden="false" customHeight="false" outlineLevel="0" collapsed="false">
      <c r="A41" s="0" t="s">
        <v>631</v>
      </c>
      <c r="B41" s="0" t="s">
        <v>222</v>
      </c>
      <c r="C41" s="0" t="s">
        <v>622</v>
      </c>
      <c r="D41" s="0" t="s">
        <v>623</v>
      </c>
      <c r="E41" s="0" t="s">
        <v>131</v>
      </c>
      <c r="F41" s="0" t="s">
        <v>196</v>
      </c>
      <c r="G41" s="0" t="s">
        <v>628</v>
      </c>
      <c r="H41" s="0" t="s">
        <v>625</v>
      </c>
      <c r="I41" s="0" t="s">
        <v>626</v>
      </c>
      <c r="J41" s="0" t="s">
        <v>627</v>
      </c>
      <c r="K41" s="475" t="n">
        <v>36800</v>
      </c>
      <c r="L41" s="254" t="n">
        <v>4800.77646601753</v>
      </c>
      <c r="M41" s="475" t="n">
        <v>36797</v>
      </c>
      <c r="N41" s="0" t="s">
        <v>136</v>
      </c>
      <c r="O41" s="0" t="n">
        <v>-0.25</v>
      </c>
      <c r="P41" s="0" t="n">
        <v>0</v>
      </c>
      <c r="Q41" s="0" t="n">
        <v>0</v>
      </c>
      <c r="R41" s="0" t="n">
        <v>0</v>
      </c>
      <c r="S41" s="0" t="n">
        <v>0</v>
      </c>
      <c r="T41" s="0" t="s">
        <v>624</v>
      </c>
      <c r="U41" s="0" t="s">
        <v>151</v>
      </c>
      <c r="V41" s="0" t="s">
        <v>624</v>
      </c>
      <c r="W41" s="0" t="s">
        <v>569</v>
      </c>
      <c r="X41" s="0" t="s">
        <v>624</v>
      </c>
      <c r="Y41" s="0" t="s">
        <v>627</v>
      </c>
      <c r="Z41" s="0" t="s">
        <v>629</v>
      </c>
      <c r="AA41" s="0" t="s">
        <v>624</v>
      </c>
      <c r="AB41" s="0" t="s">
        <v>580</v>
      </c>
      <c r="AC41" s="254" t="n">
        <v>310000</v>
      </c>
      <c r="AD41" s="254" t="n">
        <v>4423.47794496204</v>
      </c>
      <c r="AE41" s="0" t="n">
        <v>0</v>
      </c>
      <c r="AF41" s="0" t="n">
        <v>0</v>
      </c>
      <c r="AG41" s="0" t="n">
        <v>0</v>
      </c>
      <c r="AH41" s="254" t="n">
        <v>-1922.44708243849</v>
      </c>
      <c r="AI41" s="0" t="n">
        <v>226</v>
      </c>
      <c r="AJ41" s="0" t="s">
        <v>630</v>
      </c>
      <c r="AK41" s="0" t="n">
        <v>0</v>
      </c>
      <c r="AL41" s="0" t="n">
        <v>0</v>
      </c>
      <c r="AM41" s="0" t="n">
        <v>0</v>
      </c>
    </row>
    <row r="42" customFormat="false" ht="12.75" hidden="false" customHeight="false" outlineLevel="0" collapsed="false">
      <c r="A42" s="0" t="s">
        <v>631</v>
      </c>
      <c r="B42" s="0" t="s">
        <v>222</v>
      </c>
      <c r="C42" s="0" t="s">
        <v>622</v>
      </c>
      <c r="D42" s="0" t="s">
        <v>623</v>
      </c>
      <c r="E42" s="0" t="s">
        <v>131</v>
      </c>
      <c r="F42" s="0" t="s">
        <v>196</v>
      </c>
      <c r="G42" s="0" t="s">
        <v>628</v>
      </c>
      <c r="H42" s="0" t="s">
        <v>625</v>
      </c>
      <c r="I42" s="0" t="s">
        <v>626</v>
      </c>
      <c r="J42" s="0" t="s">
        <v>627</v>
      </c>
      <c r="K42" s="475" t="n">
        <v>36770</v>
      </c>
      <c r="L42" s="254" t="n">
        <v>0.0389258054206421</v>
      </c>
      <c r="M42" s="475" t="n">
        <v>36768</v>
      </c>
      <c r="N42" s="0" t="s">
        <v>136</v>
      </c>
      <c r="O42" s="0" t="n">
        <v>-0.25</v>
      </c>
      <c r="P42" s="0" t="n">
        <v>0</v>
      </c>
      <c r="Q42" s="0" t="n">
        <v>0</v>
      </c>
      <c r="R42" s="0" t="n">
        <v>0</v>
      </c>
      <c r="S42" s="0" t="n">
        <v>0</v>
      </c>
      <c r="T42" s="0" t="s">
        <v>624</v>
      </c>
      <c r="U42" s="0" t="s">
        <v>151</v>
      </c>
      <c r="V42" s="0" t="s">
        <v>624</v>
      </c>
      <c r="W42" s="0" t="s">
        <v>569</v>
      </c>
      <c r="X42" s="0" t="s">
        <v>624</v>
      </c>
      <c r="Y42" s="0" t="s">
        <v>627</v>
      </c>
      <c r="Z42" s="0" t="s">
        <v>629</v>
      </c>
      <c r="AA42" s="0" t="s">
        <v>624</v>
      </c>
      <c r="AB42" s="0" t="s">
        <v>580</v>
      </c>
      <c r="AC42" s="254" t="n">
        <v>300000</v>
      </c>
      <c r="AD42" s="254" t="n">
        <v>-0.0115735646732951</v>
      </c>
      <c r="AE42" s="0" t="n">
        <v>0</v>
      </c>
      <c r="AF42" s="0" t="n">
        <v>0</v>
      </c>
      <c r="AG42" s="0" t="n">
        <v>0</v>
      </c>
      <c r="AH42" s="254" t="n">
        <v>0.0023531673942756</v>
      </c>
      <c r="AI42" s="0" t="n">
        <v>226</v>
      </c>
      <c r="AJ42" s="0" t="s">
        <v>630</v>
      </c>
      <c r="AK42" s="0" t="n">
        <v>0</v>
      </c>
      <c r="AL42" s="0" t="n">
        <v>0</v>
      </c>
      <c r="AM42" s="0" t="n">
        <v>0</v>
      </c>
    </row>
    <row r="43" customFormat="false" ht="12.75" hidden="false" customHeight="false" outlineLevel="0" collapsed="false">
      <c r="A43" s="0" t="s">
        <v>631</v>
      </c>
      <c r="B43" s="0" t="s">
        <v>223</v>
      </c>
      <c r="C43" s="0" t="s">
        <v>622</v>
      </c>
      <c r="D43" s="0" t="s">
        <v>623</v>
      </c>
      <c r="E43" s="0" t="s">
        <v>131</v>
      </c>
      <c r="F43" s="0" t="s">
        <v>212</v>
      </c>
      <c r="G43" s="0" t="s">
        <v>628</v>
      </c>
      <c r="H43" s="0" t="s">
        <v>625</v>
      </c>
      <c r="I43" s="0" t="s">
        <v>626</v>
      </c>
      <c r="J43" s="0" t="s">
        <v>627</v>
      </c>
      <c r="K43" s="475" t="n">
        <v>36800</v>
      </c>
      <c r="L43" s="254" t="n">
        <v>6344.34669827868</v>
      </c>
      <c r="M43" s="475" t="n">
        <v>36797</v>
      </c>
      <c r="N43" s="0" t="s">
        <v>136</v>
      </c>
      <c r="O43" s="0" t="n">
        <v>-0.3</v>
      </c>
      <c r="P43" s="0" t="n">
        <v>0</v>
      </c>
      <c r="Q43" s="0" t="n">
        <v>0</v>
      </c>
      <c r="R43" s="0" t="n">
        <v>0</v>
      </c>
      <c r="S43" s="0" t="n">
        <v>0</v>
      </c>
      <c r="T43" s="0" t="s">
        <v>624</v>
      </c>
      <c r="U43" s="0" t="s">
        <v>151</v>
      </c>
      <c r="V43" s="0" t="s">
        <v>624</v>
      </c>
      <c r="W43" s="0" t="s">
        <v>569</v>
      </c>
      <c r="X43" s="0" t="s">
        <v>624</v>
      </c>
      <c r="Y43" s="0" t="s">
        <v>627</v>
      </c>
      <c r="Z43" s="0" t="s">
        <v>629</v>
      </c>
      <c r="AA43" s="0" t="s">
        <v>624</v>
      </c>
      <c r="AB43" s="0" t="s">
        <v>580</v>
      </c>
      <c r="AC43" s="254" t="n">
        <v>310000</v>
      </c>
      <c r="AD43" s="254" t="n">
        <v>5224.33411068699</v>
      </c>
      <c r="AE43" s="0" t="n">
        <v>0</v>
      </c>
      <c r="AF43" s="0" t="n">
        <v>0</v>
      </c>
      <c r="AG43" s="0" t="n">
        <v>0</v>
      </c>
      <c r="AH43" s="254" t="n">
        <v>-2388.56298392639</v>
      </c>
      <c r="AI43" s="0" t="n">
        <v>226</v>
      </c>
      <c r="AJ43" s="0" t="s">
        <v>630</v>
      </c>
      <c r="AK43" s="0" t="n">
        <v>0</v>
      </c>
      <c r="AL43" s="0" t="n">
        <v>0</v>
      </c>
      <c r="AM43" s="0" t="n">
        <v>0</v>
      </c>
    </row>
    <row r="44" customFormat="false" ht="12.75" hidden="false" customHeight="false" outlineLevel="0" collapsed="false">
      <c r="A44" s="0" t="s">
        <v>631</v>
      </c>
      <c r="B44" s="0" t="s">
        <v>223</v>
      </c>
      <c r="C44" s="0" t="s">
        <v>622</v>
      </c>
      <c r="D44" s="0" t="s">
        <v>623</v>
      </c>
      <c r="E44" s="0" t="s">
        <v>131</v>
      </c>
      <c r="F44" s="0" t="s">
        <v>212</v>
      </c>
      <c r="G44" s="0" t="s">
        <v>628</v>
      </c>
      <c r="H44" s="0" t="s">
        <v>625</v>
      </c>
      <c r="I44" s="0" t="s">
        <v>626</v>
      </c>
      <c r="J44" s="0" t="s">
        <v>627</v>
      </c>
      <c r="K44" s="475" t="n">
        <v>36800</v>
      </c>
      <c r="L44" s="254" t="n">
        <v>161992.766976547</v>
      </c>
      <c r="M44" s="475" t="n">
        <v>36797</v>
      </c>
      <c r="N44" s="0" t="s">
        <v>132</v>
      </c>
      <c r="O44" s="0" t="n">
        <v>-0.3</v>
      </c>
      <c r="P44" s="0" t="n">
        <v>0</v>
      </c>
      <c r="Q44" s="0" t="n">
        <v>0</v>
      </c>
      <c r="R44" s="0" t="n">
        <v>0</v>
      </c>
      <c r="S44" s="0" t="n">
        <v>0</v>
      </c>
      <c r="T44" s="0" t="s">
        <v>624</v>
      </c>
      <c r="U44" s="0" t="s">
        <v>151</v>
      </c>
      <c r="V44" s="0" t="s">
        <v>624</v>
      </c>
      <c r="W44" s="0" t="s">
        <v>569</v>
      </c>
      <c r="X44" s="0" t="s">
        <v>624</v>
      </c>
      <c r="Y44" s="0" t="s">
        <v>627</v>
      </c>
      <c r="Z44" s="0" t="s">
        <v>629</v>
      </c>
      <c r="AA44" s="0" t="s">
        <v>624</v>
      </c>
      <c r="AB44" s="0" t="s">
        <v>580</v>
      </c>
      <c r="AC44" s="254" t="n">
        <v>310000</v>
      </c>
      <c r="AD44" s="254" t="n">
        <v>5224.33411068702</v>
      </c>
      <c r="AE44" s="0" t="n">
        <v>0</v>
      </c>
      <c r="AF44" s="0" t="n">
        <v>0</v>
      </c>
      <c r="AG44" s="0" t="n">
        <v>0</v>
      </c>
      <c r="AH44" s="254" t="n">
        <v>17634.3556375926</v>
      </c>
      <c r="AI44" s="0" t="n">
        <v>226</v>
      </c>
      <c r="AJ44" s="0" t="s">
        <v>630</v>
      </c>
      <c r="AK44" s="0" t="n">
        <v>0</v>
      </c>
      <c r="AL44" s="0" t="n">
        <v>0</v>
      </c>
      <c r="AM44" s="0" t="n">
        <v>0</v>
      </c>
    </row>
    <row r="45" customFormat="false" ht="12.75" hidden="false" customHeight="false" outlineLevel="0" collapsed="false">
      <c r="A45" s="0" t="s">
        <v>631</v>
      </c>
      <c r="B45" s="0" t="s">
        <v>223</v>
      </c>
      <c r="C45" s="0" t="s">
        <v>622</v>
      </c>
      <c r="D45" s="0" t="s">
        <v>623</v>
      </c>
      <c r="E45" s="0" t="s">
        <v>131</v>
      </c>
      <c r="F45" s="0" t="s">
        <v>212</v>
      </c>
      <c r="G45" s="0" t="s">
        <v>628</v>
      </c>
      <c r="H45" s="0" t="s">
        <v>625</v>
      </c>
      <c r="I45" s="0" t="s">
        <v>626</v>
      </c>
      <c r="J45" s="0" t="s">
        <v>627</v>
      </c>
      <c r="K45" s="475" t="n">
        <v>36770</v>
      </c>
      <c r="L45" s="254" t="n">
        <v>0.0369596792837434</v>
      </c>
      <c r="M45" s="475" t="n">
        <v>36768</v>
      </c>
      <c r="N45" s="0" t="s">
        <v>136</v>
      </c>
      <c r="O45" s="0" t="n">
        <v>-0.3</v>
      </c>
      <c r="P45" s="0" t="n">
        <v>0</v>
      </c>
      <c r="Q45" s="0" t="n">
        <v>0</v>
      </c>
      <c r="R45" s="0" t="n">
        <v>0</v>
      </c>
      <c r="S45" s="0" t="n">
        <v>0</v>
      </c>
      <c r="T45" s="0" t="s">
        <v>624</v>
      </c>
      <c r="U45" s="0" t="s">
        <v>151</v>
      </c>
      <c r="V45" s="0" t="s">
        <v>624</v>
      </c>
      <c r="W45" s="0" t="s">
        <v>569</v>
      </c>
      <c r="X45" s="0" t="s">
        <v>624</v>
      </c>
      <c r="Y45" s="0" t="s">
        <v>627</v>
      </c>
      <c r="Z45" s="0" t="s">
        <v>629</v>
      </c>
      <c r="AA45" s="0" t="s">
        <v>624</v>
      </c>
      <c r="AB45" s="0" t="s">
        <v>580</v>
      </c>
      <c r="AC45" s="254" t="n">
        <v>300000</v>
      </c>
      <c r="AD45" s="254" t="n">
        <v>-0.0115735646066817</v>
      </c>
      <c r="AE45" s="0" t="n">
        <v>0</v>
      </c>
      <c r="AF45" s="0" t="n">
        <v>0</v>
      </c>
      <c r="AG45" s="0" t="n">
        <v>0</v>
      </c>
      <c r="AH45" s="254" t="n">
        <v>0.00235265820158759</v>
      </c>
      <c r="AI45" s="0" t="n">
        <v>226</v>
      </c>
      <c r="AJ45" s="0" t="s">
        <v>630</v>
      </c>
      <c r="AK45" s="0" t="n">
        <v>0</v>
      </c>
      <c r="AL45" s="0" t="n">
        <v>0</v>
      </c>
      <c r="AM45" s="0" t="n">
        <v>0</v>
      </c>
    </row>
    <row r="46" customFormat="false" ht="12.75" hidden="false" customHeight="false" outlineLevel="0" collapsed="false">
      <c r="A46" s="0" t="s">
        <v>631</v>
      </c>
      <c r="B46" s="0" t="s">
        <v>223</v>
      </c>
      <c r="C46" s="0" t="s">
        <v>622</v>
      </c>
      <c r="D46" s="0" t="s">
        <v>623</v>
      </c>
      <c r="E46" s="0" t="s">
        <v>131</v>
      </c>
      <c r="F46" s="0" t="s">
        <v>212</v>
      </c>
      <c r="G46" s="0" t="s">
        <v>628</v>
      </c>
      <c r="H46" s="0" t="s">
        <v>625</v>
      </c>
      <c r="I46" s="0" t="s">
        <v>626</v>
      </c>
      <c r="J46" s="0" t="s">
        <v>627</v>
      </c>
      <c r="K46" s="475" t="n">
        <v>36770</v>
      </c>
      <c r="L46" s="254" t="n">
        <v>281896.264313456</v>
      </c>
      <c r="M46" s="475" t="n">
        <v>36768</v>
      </c>
      <c r="N46" s="0" t="s">
        <v>132</v>
      </c>
      <c r="O46" s="0" t="n">
        <v>-0.3</v>
      </c>
      <c r="P46" s="0" t="n">
        <v>0</v>
      </c>
      <c r="Q46" s="0" t="n">
        <v>0</v>
      </c>
      <c r="R46" s="0" t="n">
        <v>0</v>
      </c>
      <c r="S46" s="0" t="n">
        <v>0</v>
      </c>
      <c r="T46" s="0" t="s">
        <v>624</v>
      </c>
      <c r="U46" s="0" t="s">
        <v>151</v>
      </c>
      <c r="V46" s="0" t="s">
        <v>624</v>
      </c>
      <c r="W46" s="0" t="s">
        <v>569</v>
      </c>
      <c r="X46" s="0" t="s">
        <v>624</v>
      </c>
      <c r="Y46" s="0" t="s">
        <v>627</v>
      </c>
      <c r="Z46" s="0" t="s">
        <v>629</v>
      </c>
      <c r="AA46" s="0" t="s">
        <v>624</v>
      </c>
      <c r="AB46" s="0" t="s">
        <v>580</v>
      </c>
      <c r="AC46" s="254" t="n">
        <v>300000</v>
      </c>
      <c r="AD46" s="254" t="n">
        <v>-0.011573564610444</v>
      </c>
      <c r="AE46" s="0" t="n">
        <v>0</v>
      </c>
      <c r="AF46" s="0" t="n">
        <v>0</v>
      </c>
      <c r="AG46" s="0" t="n">
        <v>0</v>
      </c>
      <c r="AH46" s="254" t="n">
        <v>17983.4597281862</v>
      </c>
      <c r="AI46" s="0" t="n">
        <v>226</v>
      </c>
      <c r="AJ46" s="0" t="s">
        <v>630</v>
      </c>
      <c r="AK46" s="0" t="n">
        <v>0</v>
      </c>
      <c r="AL46" s="0" t="n">
        <v>0</v>
      </c>
      <c r="AM46" s="0" t="n">
        <v>0</v>
      </c>
    </row>
    <row r="47" customFormat="false" ht="12.75" hidden="false" customHeight="false" outlineLevel="0" collapsed="false">
      <c r="A47" s="0" t="s">
        <v>631</v>
      </c>
      <c r="B47" s="0" t="s">
        <v>224</v>
      </c>
      <c r="C47" s="0" t="s">
        <v>622</v>
      </c>
      <c r="D47" s="0" t="s">
        <v>623</v>
      </c>
      <c r="E47" s="0" t="s">
        <v>131</v>
      </c>
      <c r="F47" s="0" t="s">
        <v>198</v>
      </c>
      <c r="G47" s="0" t="s">
        <v>628</v>
      </c>
      <c r="H47" s="0" t="s">
        <v>625</v>
      </c>
      <c r="I47" s="0" t="s">
        <v>626</v>
      </c>
      <c r="J47" s="0" t="s">
        <v>627</v>
      </c>
      <c r="K47" s="475" t="n">
        <v>36923</v>
      </c>
      <c r="L47" s="254" t="n">
        <v>102538.003686066</v>
      </c>
      <c r="M47" s="475" t="n">
        <v>36921</v>
      </c>
      <c r="N47" s="0" t="s">
        <v>132</v>
      </c>
      <c r="O47" s="0" t="n">
        <v>1</v>
      </c>
      <c r="P47" s="0" t="n">
        <v>0</v>
      </c>
      <c r="Q47" s="0" t="n">
        <v>0</v>
      </c>
      <c r="R47" s="0" t="n">
        <v>0</v>
      </c>
      <c r="S47" s="0" t="n">
        <v>0</v>
      </c>
      <c r="T47" s="0" t="s">
        <v>624</v>
      </c>
      <c r="U47" s="0" t="s">
        <v>149</v>
      </c>
      <c r="V47" s="0" t="s">
        <v>624</v>
      </c>
      <c r="W47" s="0" t="s">
        <v>569</v>
      </c>
      <c r="X47" s="0" t="s">
        <v>624</v>
      </c>
      <c r="Y47" s="0" t="s">
        <v>627</v>
      </c>
      <c r="Z47" s="0" t="s">
        <v>629</v>
      </c>
      <c r="AA47" s="0" t="s">
        <v>624</v>
      </c>
      <c r="AB47" s="0" t="s">
        <v>580</v>
      </c>
      <c r="AC47" s="254" t="n">
        <v>500000</v>
      </c>
      <c r="AD47" s="254" t="n">
        <v>35321.2542050723</v>
      </c>
      <c r="AE47" s="0" t="n">
        <v>0</v>
      </c>
      <c r="AF47" s="0" t="n">
        <v>0</v>
      </c>
      <c r="AG47" s="0" t="n">
        <v>0</v>
      </c>
      <c r="AH47" s="254" t="n">
        <v>-5238.98510989307</v>
      </c>
      <c r="AI47" s="0" t="n">
        <v>226</v>
      </c>
      <c r="AJ47" s="0" t="s">
        <v>630</v>
      </c>
      <c r="AK47" s="0" t="n">
        <v>0</v>
      </c>
      <c r="AL47" s="0" t="n">
        <v>0</v>
      </c>
      <c r="AM47" s="0" t="n">
        <v>0</v>
      </c>
    </row>
    <row r="48" customFormat="false" ht="12.75" hidden="false" customHeight="false" outlineLevel="0" collapsed="false">
      <c r="A48" s="0" t="s">
        <v>631</v>
      </c>
      <c r="B48" s="0" t="s">
        <v>224</v>
      </c>
      <c r="C48" s="0" t="s">
        <v>622</v>
      </c>
      <c r="D48" s="0" t="s">
        <v>623</v>
      </c>
      <c r="E48" s="0" t="s">
        <v>131</v>
      </c>
      <c r="F48" s="0" t="s">
        <v>198</v>
      </c>
      <c r="G48" s="0" t="s">
        <v>628</v>
      </c>
      <c r="H48" s="0" t="s">
        <v>625</v>
      </c>
      <c r="I48" s="0" t="s">
        <v>626</v>
      </c>
      <c r="J48" s="0" t="s">
        <v>627</v>
      </c>
      <c r="K48" s="475" t="n">
        <v>36892</v>
      </c>
      <c r="L48" s="254" t="n">
        <v>83410.8043609005</v>
      </c>
      <c r="M48" s="475" t="n">
        <v>36888</v>
      </c>
      <c r="N48" s="0" t="s">
        <v>132</v>
      </c>
      <c r="O48" s="0" t="n">
        <v>1</v>
      </c>
      <c r="P48" s="0" t="n">
        <v>0</v>
      </c>
      <c r="Q48" s="0" t="n">
        <v>0</v>
      </c>
      <c r="R48" s="0" t="n">
        <v>0</v>
      </c>
      <c r="S48" s="0" t="n">
        <v>0</v>
      </c>
      <c r="T48" s="0" t="s">
        <v>624</v>
      </c>
      <c r="U48" s="0" t="s">
        <v>149</v>
      </c>
      <c r="V48" s="0" t="s">
        <v>624</v>
      </c>
      <c r="W48" s="0" t="s">
        <v>569</v>
      </c>
      <c r="X48" s="0" t="s">
        <v>624</v>
      </c>
      <c r="Y48" s="0" t="s">
        <v>627</v>
      </c>
      <c r="Z48" s="0" t="s">
        <v>629</v>
      </c>
      <c r="AA48" s="0" t="s">
        <v>624</v>
      </c>
      <c r="AB48" s="0" t="s">
        <v>580</v>
      </c>
      <c r="AC48" s="254" t="n">
        <v>500000</v>
      </c>
      <c r="AD48" s="254" t="n">
        <v>30166.8315425294</v>
      </c>
      <c r="AE48" s="0" t="n">
        <v>0</v>
      </c>
      <c r="AF48" s="0" t="n">
        <v>0</v>
      </c>
      <c r="AG48" s="0" t="n">
        <v>0</v>
      </c>
      <c r="AH48" s="254" t="n">
        <v>-3871.83074039887</v>
      </c>
      <c r="AI48" s="0" t="n">
        <v>226</v>
      </c>
      <c r="AJ48" s="0" t="s">
        <v>630</v>
      </c>
      <c r="AK48" s="0" t="n">
        <v>0</v>
      </c>
      <c r="AL48" s="0" t="n">
        <v>0</v>
      </c>
      <c r="AM48" s="0" t="n">
        <v>0</v>
      </c>
    </row>
    <row r="49" customFormat="false" ht="12.75" hidden="false" customHeight="false" outlineLevel="0" collapsed="false">
      <c r="A49" s="0" t="s">
        <v>631</v>
      </c>
      <c r="B49" s="0" t="s">
        <v>224</v>
      </c>
      <c r="C49" s="0" t="s">
        <v>622</v>
      </c>
      <c r="D49" s="0" t="s">
        <v>623</v>
      </c>
      <c r="E49" s="0" t="s">
        <v>131</v>
      </c>
      <c r="F49" s="0" t="s">
        <v>198</v>
      </c>
      <c r="G49" s="0" t="s">
        <v>628</v>
      </c>
      <c r="H49" s="0" t="s">
        <v>625</v>
      </c>
      <c r="I49" s="0" t="s">
        <v>626</v>
      </c>
      <c r="J49" s="0" t="s">
        <v>627</v>
      </c>
      <c r="K49" s="475" t="n">
        <v>36861</v>
      </c>
      <c r="L49" s="254" t="n">
        <v>111797.448559784</v>
      </c>
      <c r="M49" s="475" t="n">
        <v>36859</v>
      </c>
      <c r="N49" s="0" t="s">
        <v>132</v>
      </c>
      <c r="O49" s="0" t="n">
        <v>1</v>
      </c>
      <c r="P49" s="0" t="n">
        <v>0</v>
      </c>
      <c r="Q49" s="0" t="n">
        <v>0</v>
      </c>
      <c r="R49" s="0" t="n">
        <v>0</v>
      </c>
      <c r="S49" s="0" t="n">
        <v>0</v>
      </c>
      <c r="T49" s="0" t="s">
        <v>624</v>
      </c>
      <c r="U49" s="0" t="s">
        <v>149</v>
      </c>
      <c r="V49" s="0" t="s">
        <v>624</v>
      </c>
      <c r="W49" s="0" t="s">
        <v>569</v>
      </c>
      <c r="X49" s="0" t="s">
        <v>624</v>
      </c>
      <c r="Y49" s="0" t="s">
        <v>627</v>
      </c>
      <c r="Z49" s="0" t="s">
        <v>629</v>
      </c>
      <c r="AA49" s="0" t="s">
        <v>624</v>
      </c>
      <c r="AB49" s="0" t="s">
        <v>580</v>
      </c>
      <c r="AC49" s="254" t="n">
        <v>500000</v>
      </c>
      <c r="AD49" s="254" t="n">
        <v>31757.1267130173</v>
      </c>
      <c r="AE49" s="0" t="n">
        <v>0</v>
      </c>
      <c r="AF49" s="0" t="n">
        <v>0</v>
      </c>
      <c r="AG49" s="0" t="n">
        <v>0</v>
      </c>
      <c r="AH49" s="254" t="n">
        <v>-4345.4608277247</v>
      </c>
      <c r="AI49" s="0" t="n">
        <v>226</v>
      </c>
      <c r="AJ49" s="0" t="s">
        <v>630</v>
      </c>
      <c r="AK49" s="0" t="n">
        <v>0</v>
      </c>
      <c r="AL49" s="0" t="n">
        <v>0</v>
      </c>
      <c r="AM49" s="0" t="n">
        <v>0</v>
      </c>
    </row>
    <row r="50" customFormat="false" ht="12.75" hidden="false" customHeight="false" outlineLevel="0" collapsed="false">
      <c r="A50" s="0" t="s">
        <v>631</v>
      </c>
      <c r="B50" s="0" t="s">
        <v>225</v>
      </c>
      <c r="C50" s="0" t="s">
        <v>622</v>
      </c>
      <c r="D50" s="0" t="s">
        <v>623</v>
      </c>
      <c r="E50" s="0" t="s">
        <v>131</v>
      </c>
      <c r="F50" s="0" t="s">
        <v>218</v>
      </c>
      <c r="G50" s="0" t="s">
        <v>628</v>
      </c>
      <c r="H50" s="0" t="s">
        <v>625</v>
      </c>
      <c r="I50" s="0" t="s">
        <v>626</v>
      </c>
      <c r="J50" s="0" t="s">
        <v>627</v>
      </c>
      <c r="K50" s="475" t="n">
        <v>36951</v>
      </c>
      <c r="L50" s="254" t="n">
        <v>171077.448472127</v>
      </c>
      <c r="M50" s="475" t="n">
        <v>36949</v>
      </c>
      <c r="N50" s="0" t="s">
        <v>132</v>
      </c>
      <c r="O50" s="0" t="n">
        <v>0.75</v>
      </c>
      <c r="P50" s="0" t="n">
        <v>0</v>
      </c>
      <c r="Q50" s="0" t="n">
        <v>0</v>
      </c>
      <c r="R50" s="0" t="n">
        <v>0</v>
      </c>
      <c r="S50" s="0" t="n">
        <v>0</v>
      </c>
      <c r="T50" s="0" t="s">
        <v>624</v>
      </c>
      <c r="U50" s="0" t="s">
        <v>149</v>
      </c>
      <c r="V50" s="0" t="s">
        <v>624</v>
      </c>
      <c r="W50" s="0" t="s">
        <v>569</v>
      </c>
      <c r="X50" s="0" t="s">
        <v>624</v>
      </c>
      <c r="Y50" s="0" t="s">
        <v>627</v>
      </c>
      <c r="Z50" s="0" t="s">
        <v>629</v>
      </c>
      <c r="AA50" s="0" t="s">
        <v>624</v>
      </c>
      <c r="AB50" s="0" t="s">
        <v>580</v>
      </c>
      <c r="AC50" s="254" t="n">
        <v>500000</v>
      </c>
      <c r="AD50" s="254" t="n">
        <v>43710.1514735721</v>
      </c>
      <c r="AE50" s="0" t="n">
        <v>0</v>
      </c>
      <c r="AF50" s="0" t="n">
        <v>0</v>
      </c>
      <c r="AG50" s="0" t="n">
        <v>0</v>
      </c>
      <c r="AH50" s="254" t="n">
        <v>-8168.60971240452</v>
      </c>
      <c r="AI50" s="0" t="n">
        <v>226</v>
      </c>
      <c r="AJ50" s="0" t="s">
        <v>630</v>
      </c>
      <c r="AK50" s="0" t="n">
        <v>0</v>
      </c>
      <c r="AL50" s="0" t="n">
        <v>0</v>
      </c>
      <c r="AM50" s="0" t="n">
        <v>0</v>
      </c>
    </row>
    <row r="51" customFormat="false" ht="12.75" hidden="false" customHeight="false" outlineLevel="0" collapsed="false">
      <c r="A51" s="0" t="s">
        <v>631</v>
      </c>
      <c r="B51" s="0" t="s">
        <v>225</v>
      </c>
      <c r="C51" s="0" t="s">
        <v>622</v>
      </c>
      <c r="D51" s="0" t="s">
        <v>623</v>
      </c>
      <c r="E51" s="0" t="s">
        <v>131</v>
      </c>
      <c r="F51" s="0" t="s">
        <v>218</v>
      </c>
      <c r="G51" s="0" t="s">
        <v>628</v>
      </c>
      <c r="H51" s="0" t="s">
        <v>625</v>
      </c>
      <c r="I51" s="0" t="s">
        <v>626</v>
      </c>
      <c r="J51" s="0" t="s">
        <v>627</v>
      </c>
      <c r="K51" s="475" t="n">
        <v>36923</v>
      </c>
      <c r="L51" s="254" t="n">
        <v>70124.2496111585</v>
      </c>
      <c r="M51" s="475" t="n">
        <v>36921</v>
      </c>
      <c r="N51" s="0" t="s">
        <v>132</v>
      </c>
      <c r="O51" s="0" t="n">
        <v>0.75</v>
      </c>
      <c r="P51" s="0" t="n">
        <v>0</v>
      </c>
      <c r="Q51" s="0" t="n">
        <v>0</v>
      </c>
      <c r="R51" s="0" t="n">
        <v>0</v>
      </c>
      <c r="S51" s="0" t="n">
        <v>0</v>
      </c>
      <c r="T51" s="0" t="s">
        <v>624</v>
      </c>
      <c r="U51" s="0" t="s">
        <v>149</v>
      </c>
      <c r="V51" s="0" t="s">
        <v>624</v>
      </c>
      <c r="W51" s="0" t="s">
        <v>569</v>
      </c>
      <c r="X51" s="0" t="s">
        <v>624</v>
      </c>
      <c r="Y51" s="0" t="s">
        <v>627</v>
      </c>
      <c r="Z51" s="0" t="s">
        <v>629</v>
      </c>
      <c r="AA51" s="0" t="s">
        <v>624</v>
      </c>
      <c r="AB51" s="0" t="s">
        <v>580</v>
      </c>
      <c r="AC51" s="254" t="n">
        <v>500000</v>
      </c>
      <c r="AD51" s="254" t="n">
        <v>30734.7857962365</v>
      </c>
      <c r="AE51" s="0" t="n">
        <v>0</v>
      </c>
      <c r="AF51" s="0" t="n">
        <v>0</v>
      </c>
      <c r="AG51" s="0" t="n">
        <v>0</v>
      </c>
      <c r="AH51" s="254" t="n">
        <v>-3753.35106402775</v>
      </c>
      <c r="AI51" s="0" t="n">
        <v>226</v>
      </c>
      <c r="AJ51" s="0" t="s">
        <v>630</v>
      </c>
      <c r="AK51" s="0" t="n">
        <v>0</v>
      </c>
      <c r="AL51" s="0" t="n">
        <v>0</v>
      </c>
      <c r="AM51" s="0" t="n">
        <v>0</v>
      </c>
    </row>
    <row r="52" customFormat="false" ht="12.75" hidden="false" customHeight="false" outlineLevel="0" collapsed="false">
      <c r="A52" s="0" t="s">
        <v>631</v>
      </c>
      <c r="B52" s="0" t="s">
        <v>225</v>
      </c>
      <c r="C52" s="0" t="s">
        <v>622</v>
      </c>
      <c r="D52" s="0" t="s">
        <v>623</v>
      </c>
      <c r="E52" s="0" t="s">
        <v>131</v>
      </c>
      <c r="F52" s="0" t="s">
        <v>218</v>
      </c>
      <c r="G52" s="0" t="s">
        <v>628</v>
      </c>
      <c r="H52" s="0" t="s">
        <v>625</v>
      </c>
      <c r="I52" s="0" t="s">
        <v>626</v>
      </c>
      <c r="J52" s="0" t="s">
        <v>627</v>
      </c>
      <c r="K52" s="475" t="n">
        <v>36892</v>
      </c>
      <c r="L52" s="254" t="n">
        <v>55369.8447248119</v>
      </c>
      <c r="M52" s="475" t="n">
        <v>36888</v>
      </c>
      <c r="N52" s="0" t="s">
        <v>132</v>
      </c>
      <c r="O52" s="0" t="n">
        <v>0.75</v>
      </c>
      <c r="P52" s="0" t="n">
        <v>0</v>
      </c>
      <c r="Q52" s="0" t="n">
        <v>0</v>
      </c>
      <c r="R52" s="0" t="n">
        <v>0</v>
      </c>
      <c r="S52" s="0" t="n">
        <v>0</v>
      </c>
      <c r="T52" s="0" t="s">
        <v>624</v>
      </c>
      <c r="U52" s="0" t="s">
        <v>149</v>
      </c>
      <c r="V52" s="0" t="s">
        <v>624</v>
      </c>
      <c r="W52" s="0" t="s">
        <v>569</v>
      </c>
      <c r="X52" s="0" t="s">
        <v>624</v>
      </c>
      <c r="Y52" s="0" t="s">
        <v>627</v>
      </c>
      <c r="Z52" s="0" t="s">
        <v>629</v>
      </c>
      <c r="AA52" s="0" t="s">
        <v>624</v>
      </c>
      <c r="AB52" s="0" t="s">
        <v>580</v>
      </c>
      <c r="AC52" s="254" t="n">
        <v>500000</v>
      </c>
      <c r="AD52" s="254" t="n">
        <v>25488.8717669226</v>
      </c>
      <c r="AE52" s="0" t="n">
        <v>0</v>
      </c>
      <c r="AF52" s="0" t="n">
        <v>0</v>
      </c>
      <c r="AG52" s="0" t="n">
        <v>0</v>
      </c>
      <c r="AH52" s="254" t="n">
        <v>-2670.91259701058</v>
      </c>
      <c r="AI52" s="0" t="n">
        <v>226</v>
      </c>
      <c r="AJ52" s="0" t="s">
        <v>630</v>
      </c>
      <c r="AK52" s="0" t="n">
        <v>0</v>
      </c>
      <c r="AL52" s="0" t="n">
        <v>0</v>
      </c>
      <c r="AM52" s="0" t="n">
        <v>0</v>
      </c>
    </row>
    <row r="53" customFormat="false" ht="12.75" hidden="false" customHeight="false" outlineLevel="0" collapsed="false">
      <c r="A53" s="0" t="s">
        <v>631</v>
      </c>
      <c r="B53" s="0" t="s">
        <v>225</v>
      </c>
      <c r="C53" s="0" t="s">
        <v>622</v>
      </c>
      <c r="D53" s="0" t="s">
        <v>623</v>
      </c>
      <c r="E53" s="0" t="s">
        <v>131</v>
      </c>
      <c r="F53" s="0" t="s">
        <v>218</v>
      </c>
      <c r="G53" s="0" t="s">
        <v>628</v>
      </c>
      <c r="H53" s="0" t="s">
        <v>625</v>
      </c>
      <c r="I53" s="0" t="s">
        <v>626</v>
      </c>
      <c r="J53" s="0" t="s">
        <v>627</v>
      </c>
      <c r="K53" s="475" t="n">
        <v>36861</v>
      </c>
      <c r="L53" s="254" t="n">
        <v>73958.4925856365</v>
      </c>
      <c r="M53" s="475" t="n">
        <v>36859</v>
      </c>
      <c r="N53" s="0" t="s">
        <v>132</v>
      </c>
      <c r="O53" s="0" t="n">
        <v>0.75</v>
      </c>
      <c r="P53" s="0" t="n">
        <v>0</v>
      </c>
      <c r="Q53" s="0" t="n">
        <v>0</v>
      </c>
      <c r="R53" s="0" t="n">
        <v>0</v>
      </c>
      <c r="S53" s="0" t="n">
        <v>0</v>
      </c>
      <c r="T53" s="0" t="s">
        <v>624</v>
      </c>
      <c r="U53" s="0" t="s">
        <v>149</v>
      </c>
      <c r="V53" s="0" t="s">
        <v>624</v>
      </c>
      <c r="W53" s="0" t="s">
        <v>569</v>
      </c>
      <c r="X53" s="0" t="s">
        <v>624</v>
      </c>
      <c r="Y53" s="0" t="s">
        <v>627</v>
      </c>
      <c r="Z53" s="0" t="s">
        <v>629</v>
      </c>
      <c r="AA53" s="0" t="s">
        <v>624</v>
      </c>
      <c r="AB53" s="0" t="s">
        <v>580</v>
      </c>
      <c r="AC53" s="254" t="n">
        <v>500000</v>
      </c>
      <c r="AD53" s="254" t="n">
        <v>27791.5401500405</v>
      </c>
      <c r="AE53" s="0" t="n">
        <v>0</v>
      </c>
      <c r="AF53" s="0" t="n">
        <v>0</v>
      </c>
      <c r="AG53" s="0" t="n">
        <v>0</v>
      </c>
      <c r="AH53" s="254" t="n">
        <v>-3004.03763279801</v>
      </c>
      <c r="AI53" s="0" t="n">
        <v>226</v>
      </c>
      <c r="AJ53" s="0" t="s">
        <v>630</v>
      </c>
      <c r="AK53" s="0" t="n">
        <v>0</v>
      </c>
      <c r="AL53" s="0" t="n">
        <v>0</v>
      </c>
      <c r="AM53" s="0" t="n">
        <v>0</v>
      </c>
    </row>
    <row r="54" customFormat="false" ht="12.75" hidden="false" customHeight="false" outlineLevel="0" collapsed="false">
      <c r="A54" s="0" t="s">
        <v>631</v>
      </c>
      <c r="B54" s="0" t="s">
        <v>225</v>
      </c>
      <c r="C54" s="0" t="s">
        <v>622</v>
      </c>
      <c r="D54" s="0" t="s">
        <v>623</v>
      </c>
      <c r="E54" s="0" t="s">
        <v>131</v>
      </c>
      <c r="F54" s="0" t="s">
        <v>218</v>
      </c>
      <c r="G54" s="0" t="s">
        <v>628</v>
      </c>
      <c r="H54" s="0" t="s">
        <v>625</v>
      </c>
      <c r="I54" s="0" t="s">
        <v>626</v>
      </c>
      <c r="J54" s="0" t="s">
        <v>627</v>
      </c>
      <c r="K54" s="475" t="n">
        <v>36831</v>
      </c>
      <c r="L54" s="254" t="n">
        <v>124808.946292206</v>
      </c>
      <c r="M54" s="475" t="n">
        <v>36829</v>
      </c>
      <c r="N54" s="0" t="s">
        <v>132</v>
      </c>
      <c r="O54" s="0" t="n">
        <v>0.75</v>
      </c>
      <c r="P54" s="0" t="n">
        <v>0</v>
      </c>
      <c r="Q54" s="0" t="n">
        <v>0</v>
      </c>
      <c r="R54" s="0" t="n">
        <v>0</v>
      </c>
      <c r="S54" s="0" t="n">
        <v>0</v>
      </c>
      <c r="T54" s="0" t="s">
        <v>624</v>
      </c>
      <c r="U54" s="0" t="s">
        <v>149</v>
      </c>
      <c r="V54" s="0" t="s">
        <v>624</v>
      </c>
      <c r="W54" s="0" t="s">
        <v>569</v>
      </c>
      <c r="X54" s="0" t="s">
        <v>624</v>
      </c>
      <c r="Y54" s="0" t="s">
        <v>627</v>
      </c>
      <c r="Z54" s="0" t="s">
        <v>629</v>
      </c>
      <c r="AA54" s="0" t="s">
        <v>624</v>
      </c>
      <c r="AB54" s="0" t="s">
        <v>580</v>
      </c>
      <c r="AC54" s="254" t="n">
        <v>500000</v>
      </c>
      <c r="AD54" s="254" t="n">
        <v>22575.2973415849</v>
      </c>
      <c r="AE54" s="0" t="n">
        <v>0</v>
      </c>
      <c r="AF54" s="0" t="n">
        <v>0</v>
      </c>
      <c r="AG54" s="0" t="n">
        <v>0</v>
      </c>
      <c r="AH54" s="254" t="n">
        <v>-8179.17666208156</v>
      </c>
      <c r="AI54" s="0" t="n">
        <v>226</v>
      </c>
      <c r="AJ54" s="0" t="s">
        <v>630</v>
      </c>
      <c r="AK54" s="0" t="n">
        <v>0</v>
      </c>
      <c r="AL54" s="0" t="n">
        <v>0</v>
      </c>
      <c r="AM54" s="0" t="n">
        <v>0</v>
      </c>
    </row>
    <row r="55" customFormat="false" ht="12.75" hidden="false" customHeight="false" outlineLevel="0" collapsed="false">
      <c r="A55" s="0" t="s">
        <v>631</v>
      </c>
      <c r="B55" s="0" t="s">
        <v>226</v>
      </c>
      <c r="C55" s="0" t="s">
        <v>622</v>
      </c>
      <c r="D55" s="0" t="s">
        <v>623</v>
      </c>
      <c r="E55" s="0" t="s">
        <v>131</v>
      </c>
      <c r="F55" s="0" t="s">
        <v>198</v>
      </c>
      <c r="G55" s="0" t="s">
        <v>628</v>
      </c>
      <c r="H55" s="0" t="s">
        <v>625</v>
      </c>
      <c r="I55" s="0" t="s">
        <v>626</v>
      </c>
      <c r="J55" s="0" t="s">
        <v>627</v>
      </c>
      <c r="K55" s="475" t="n">
        <v>36951</v>
      </c>
      <c r="L55" s="254" t="n">
        <v>-238329.280769459</v>
      </c>
      <c r="M55" s="475" t="n">
        <v>36949</v>
      </c>
      <c r="N55" s="0" t="s">
        <v>136</v>
      </c>
      <c r="O55" s="0" t="n">
        <v>1.15</v>
      </c>
      <c r="P55" s="0" t="n">
        <v>0</v>
      </c>
      <c r="Q55" s="0" t="n">
        <v>0</v>
      </c>
      <c r="R55" s="0" t="n">
        <v>0</v>
      </c>
      <c r="S55" s="0" t="n">
        <v>0</v>
      </c>
      <c r="T55" s="0" t="s">
        <v>624</v>
      </c>
      <c r="U55" s="0" t="s">
        <v>149</v>
      </c>
      <c r="V55" s="0" t="s">
        <v>624</v>
      </c>
      <c r="W55" s="0" t="s">
        <v>569</v>
      </c>
      <c r="X55" s="0" t="s">
        <v>624</v>
      </c>
      <c r="Y55" s="0" t="s">
        <v>627</v>
      </c>
      <c r="Z55" s="0" t="s">
        <v>629</v>
      </c>
      <c r="AA55" s="0" t="s">
        <v>624</v>
      </c>
      <c r="AB55" s="0" t="s">
        <v>580</v>
      </c>
      <c r="AC55" s="254" t="n">
        <v>-500000</v>
      </c>
      <c r="AD55" s="254" t="n">
        <v>-44116.9430543898</v>
      </c>
      <c r="AE55" s="0" t="n">
        <v>0</v>
      </c>
      <c r="AF55" s="0" t="n">
        <v>0</v>
      </c>
      <c r="AG55" s="0" t="n">
        <v>0</v>
      </c>
      <c r="AH55" s="254" t="n">
        <v>-17294.7441003328</v>
      </c>
      <c r="AI55" s="0" t="n">
        <v>226</v>
      </c>
      <c r="AJ55" s="0" t="s">
        <v>630</v>
      </c>
      <c r="AK55" s="0" t="n">
        <v>0</v>
      </c>
      <c r="AL55" s="0" t="n">
        <v>0</v>
      </c>
      <c r="AM55" s="0" t="n">
        <v>0</v>
      </c>
    </row>
    <row r="56" customFormat="false" ht="12.75" hidden="false" customHeight="false" outlineLevel="0" collapsed="false">
      <c r="A56" s="0" t="s">
        <v>631</v>
      </c>
      <c r="B56" s="0" t="s">
        <v>226</v>
      </c>
      <c r="C56" s="0" t="s">
        <v>622</v>
      </c>
      <c r="D56" s="0" t="s">
        <v>623</v>
      </c>
      <c r="E56" s="0" t="s">
        <v>131</v>
      </c>
      <c r="F56" s="0" t="s">
        <v>198</v>
      </c>
      <c r="G56" s="0" t="s">
        <v>628</v>
      </c>
      <c r="H56" s="0" t="s">
        <v>625</v>
      </c>
      <c r="I56" s="0" t="s">
        <v>626</v>
      </c>
      <c r="J56" s="0" t="s">
        <v>627</v>
      </c>
      <c r="K56" s="475" t="n">
        <v>36923</v>
      </c>
      <c r="L56" s="254" t="n">
        <v>-582577.672706908</v>
      </c>
      <c r="M56" s="475" t="n">
        <v>36921</v>
      </c>
      <c r="N56" s="0" t="s">
        <v>136</v>
      </c>
      <c r="O56" s="0" t="n">
        <v>1.15</v>
      </c>
      <c r="P56" s="0" t="n">
        <v>0</v>
      </c>
      <c r="Q56" s="0" t="n">
        <v>0</v>
      </c>
      <c r="R56" s="0" t="n">
        <v>0</v>
      </c>
      <c r="S56" s="0" t="n">
        <v>0</v>
      </c>
      <c r="T56" s="0" t="s">
        <v>624</v>
      </c>
      <c r="U56" s="0" t="s">
        <v>149</v>
      </c>
      <c r="V56" s="0" t="s">
        <v>624</v>
      </c>
      <c r="W56" s="0" t="s">
        <v>569</v>
      </c>
      <c r="X56" s="0" t="s">
        <v>624</v>
      </c>
      <c r="Y56" s="0" t="s">
        <v>627</v>
      </c>
      <c r="Z56" s="0" t="s">
        <v>629</v>
      </c>
      <c r="AA56" s="0" t="s">
        <v>624</v>
      </c>
      <c r="AB56" s="0" t="s">
        <v>580</v>
      </c>
      <c r="AC56" s="254" t="n">
        <v>-500000</v>
      </c>
      <c r="AD56" s="254" t="n">
        <v>-37594.5991460063</v>
      </c>
      <c r="AE56" s="0" t="n">
        <v>0</v>
      </c>
      <c r="AF56" s="0" t="n">
        <v>0</v>
      </c>
      <c r="AG56" s="0" t="n">
        <v>0</v>
      </c>
      <c r="AH56" s="254" t="n">
        <v>-27744.3495190281</v>
      </c>
      <c r="AI56" s="0" t="n">
        <v>226</v>
      </c>
      <c r="AJ56" s="0" t="s">
        <v>630</v>
      </c>
      <c r="AK56" s="0" t="n">
        <v>0</v>
      </c>
      <c r="AL56" s="0" t="n">
        <v>0</v>
      </c>
      <c r="AM56" s="0" t="n">
        <v>0</v>
      </c>
    </row>
    <row r="57" customFormat="false" ht="12.75" hidden="false" customHeight="false" outlineLevel="0" collapsed="false">
      <c r="A57" s="0" t="s">
        <v>631</v>
      </c>
      <c r="B57" s="0" t="s">
        <v>226</v>
      </c>
      <c r="C57" s="0" t="s">
        <v>622</v>
      </c>
      <c r="D57" s="0" t="s">
        <v>623</v>
      </c>
      <c r="E57" s="0" t="s">
        <v>131</v>
      </c>
      <c r="F57" s="0" t="s">
        <v>198</v>
      </c>
      <c r="G57" s="0" t="s">
        <v>628</v>
      </c>
      <c r="H57" s="0" t="s">
        <v>625</v>
      </c>
      <c r="I57" s="0" t="s">
        <v>626</v>
      </c>
      <c r="J57" s="0" t="s">
        <v>627</v>
      </c>
      <c r="K57" s="475" t="n">
        <v>36892</v>
      </c>
      <c r="L57" s="254" t="n">
        <v>-602722.513984753</v>
      </c>
      <c r="M57" s="475" t="n">
        <v>36888</v>
      </c>
      <c r="N57" s="0" t="s">
        <v>136</v>
      </c>
      <c r="O57" s="0" t="n">
        <v>1.15</v>
      </c>
      <c r="P57" s="0" t="n">
        <v>0</v>
      </c>
      <c r="Q57" s="0" t="n">
        <v>0</v>
      </c>
      <c r="R57" s="0" t="n">
        <v>0</v>
      </c>
      <c r="S57" s="0" t="n">
        <v>0</v>
      </c>
      <c r="T57" s="0" t="s">
        <v>624</v>
      </c>
      <c r="U57" s="0" t="s">
        <v>149</v>
      </c>
      <c r="V57" s="0" t="s">
        <v>624</v>
      </c>
      <c r="W57" s="0" t="s">
        <v>569</v>
      </c>
      <c r="X57" s="0" t="s">
        <v>624</v>
      </c>
      <c r="Y57" s="0" t="s">
        <v>627</v>
      </c>
      <c r="Z57" s="0" t="s">
        <v>629</v>
      </c>
      <c r="AA57" s="0" t="s">
        <v>624</v>
      </c>
      <c r="AB57" s="0" t="s">
        <v>580</v>
      </c>
      <c r="AC57" s="254" t="n">
        <v>-500000</v>
      </c>
      <c r="AD57" s="254" t="n">
        <v>-32597.0298489969</v>
      </c>
      <c r="AE57" s="0" t="n">
        <v>0</v>
      </c>
      <c r="AF57" s="0" t="n">
        <v>0</v>
      </c>
      <c r="AG57" s="0" t="n">
        <v>0</v>
      </c>
      <c r="AH57" s="254" t="n">
        <v>-24606.5678551612</v>
      </c>
      <c r="AI57" s="0" t="n">
        <v>226</v>
      </c>
      <c r="AJ57" s="0" t="s">
        <v>630</v>
      </c>
      <c r="AK57" s="0" t="n">
        <v>0</v>
      </c>
      <c r="AL57" s="0" t="n">
        <v>0</v>
      </c>
      <c r="AM57" s="0" t="n">
        <v>0</v>
      </c>
    </row>
    <row r="58" customFormat="false" ht="12.75" hidden="false" customHeight="false" outlineLevel="0" collapsed="false">
      <c r="A58" s="0" t="s">
        <v>631</v>
      </c>
      <c r="B58" s="0" t="s">
        <v>226</v>
      </c>
      <c r="C58" s="0" t="s">
        <v>622</v>
      </c>
      <c r="D58" s="0" t="s">
        <v>623</v>
      </c>
      <c r="E58" s="0" t="s">
        <v>131</v>
      </c>
      <c r="F58" s="0" t="s">
        <v>198</v>
      </c>
      <c r="G58" s="0" t="s">
        <v>628</v>
      </c>
      <c r="H58" s="0" t="s">
        <v>625</v>
      </c>
      <c r="I58" s="0" t="s">
        <v>626</v>
      </c>
      <c r="J58" s="0" t="s">
        <v>627</v>
      </c>
      <c r="K58" s="475" t="n">
        <v>36861</v>
      </c>
      <c r="L58" s="254" t="n">
        <v>-382811.886675987</v>
      </c>
      <c r="M58" s="475" t="n">
        <v>36859</v>
      </c>
      <c r="N58" s="0" t="s">
        <v>136</v>
      </c>
      <c r="O58" s="0" t="n">
        <v>1.15</v>
      </c>
      <c r="P58" s="0" t="n">
        <v>0</v>
      </c>
      <c r="Q58" s="0" t="n">
        <v>0</v>
      </c>
      <c r="R58" s="0" t="n">
        <v>0</v>
      </c>
      <c r="S58" s="0" t="n">
        <v>0</v>
      </c>
      <c r="T58" s="0" t="s">
        <v>624</v>
      </c>
      <c r="U58" s="0" t="s">
        <v>149</v>
      </c>
      <c r="V58" s="0" t="s">
        <v>624</v>
      </c>
      <c r="W58" s="0" t="s">
        <v>569</v>
      </c>
      <c r="X58" s="0" t="s">
        <v>624</v>
      </c>
      <c r="Y58" s="0" t="s">
        <v>627</v>
      </c>
      <c r="Z58" s="0" t="s">
        <v>629</v>
      </c>
      <c r="AA58" s="0" t="s">
        <v>624</v>
      </c>
      <c r="AB58" s="0" t="s">
        <v>580</v>
      </c>
      <c r="AC58" s="254" t="n">
        <v>-500000</v>
      </c>
      <c r="AD58" s="254" t="n">
        <v>-33465.8645798535</v>
      </c>
      <c r="AE58" s="0" t="n">
        <v>0</v>
      </c>
      <c r="AF58" s="0" t="n">
        <v>0</v>
      </c>
      <c r="AG58" s="0" t="n">
        <v>0</v>
      </c>
      <c r="AH58" s="254" t="n">
        <v>-16853.365497509</v>
      </c>
      <c r="AI58" s="0" t="n">
        <v>226</v>
      </c>
      <c r="AJ58" s="0" t="s">
        <v>630</v>
      </c>
      <c r="AK58" s="0" t="n">
        <v>0</v>
      </c>
      <c r="AL58" s="0" t="n">
        <v>0</v>
      </c>
      <c r="AM58" s="0" t="n">
        <v>0</v>
      </c>
    </row>
    <row r="59" customFormat="false" ht="12.75" hidden="false" customHeight="false" outlineLevel="0" collapsed="false">
      <c r="A59" s="0" t="s">
        <v>631</v>
      </c>
      <c r="B59" s="0" t="s">
        <v>226</v>
      </c>
      <c r="C59" s="0" t="s">
        <v>622</v>
      </c>
      <c r="D59" s="0" t="s">
        <v>623</v>
      </c>
      <c r="E59" s="0" t="s">
        <v>131</v>
      </c>
      <c r="F59" s="0" t="s">
        <v>198</v>
      </c>
      <c r="G59" s="0" t="s">
        <v>628</v>
      </c>
      <c r="H59" s="0" t="s">
        <v>625</v>
      </c>
      <c r="I59" s="0" t="s">
        <v>626</v>
      </c>
      <c r="J59" s="0" t="s">
        <v>627</v>
      </c>
      <c r="K59" s="475" t="n">
        <v>36831</v>
      </c>
      <c r="L59" s="254" t="n">
        <v>-63565.1007274428</v>
      </c>
      <c r="M59" s="475" t="n">
        <v>36829</v>
      </c>
      <c r="N59" s="0" t="s">
        <v>136</v>
      </c>
      <c r="O59" s="0" t="n">
        <v>1.15</v>
      </c>
      <c r="P59" s="0" t="n">
        <v>0</v>
      </c>
      <c r="Q59" s="0" t="n">
        <v>0</v>
      </c>
      <c r="R59" s="0" t="n">
        <v>0</v>
      </c>
      <c r="S59" s="0" t="n">
        <v>0</v>
      </c>
      <c r="T59" s="0" t="s">
        <v>624</v>
      </c>
      <c r="U59" s="0" t="s">
        <v>149</v>
      </c>
      <c r="V59" s="0" t="s">
        <v>624</v>
      </c>
      <c r="W59" s="0" t="s">
        <v>569</v>
      </c>
      <c r="X59" s="0" t="s">
        <v>624</v>
      </c>
      <c r="Y59" s="0" t="s">
        <v>627</v>
      </c>
      <c r="Z59" s="0" t="s">
        <v>629</v>
      </c>
      <c r="AA59" s="0" t="s">
        <v>624</v>
      </c>
      <c r="AB59" s="0" t="s">
        <v>580</v>
      </c>
      <c r="AC59" s="254" t="n">
        <v>-500000</v>
      </c>
      <c r="AD59" s="254" t="n">
        <v>-18869.3457147865</v>
      </c>
      <c r="AE59" s="0" t="n">
        <v>0</v>
      </c>
      <c r="AF59" s="0" t="n">
        <v>0</v>
      </c>
      <c r="AG59" s="0" t="n">
        <v>0</v>
      </c>
      <c r="AH59" s="254" t="n">
        <v>-7077.95341871211</v>
      </c>
      <c r="AI59" s="0" t="n">
        <v>226</v>
      </c>
      <c r="AJ59" s="0" t="s">
        <v>630</v>
      </c>
      <c r="AK59" s="0" t="n">
        <v>0</v>
      </c>
      <c r="AL59" s="0" t="n">
        <v>0</v>
      </c>
      <c r="AM59" s="0" t="n">
        <v>0</v>
      </c>
    </row>
    <row r="60" customFormat="false" ht="12.75" hidden="false" customHeight="false" outlineLevel="0" collapsed="false">
      <c r="A60" s="0" t="s">
        <v>631</v>
      </c>
      <c r="B60" s="0" t="s">
        <v>227</v>
      </c>
      <c r="C60" s="0" t="s">
        <v>622</v>
      </c>
      <c r="D60" s="0" t="s">
        <v>623</v>
      </c>
      <c r="E60" s="0" t="s">
        <v>131</v>
      </c>
      <c r="F60" s="0" t="s">
        <v>218</v>
      </c>
      <c r="G60" s="0" t="s">
        <v>628</v>
      </c>
      <c r="H60" s="0" t="s">
        <v>625</v>
      </c>
      <c r="I60" s="0" t="s">
        <v>626</v>
      </c>
      <c r="J60" s="0" t="s">
        <v>627</v>
      </c>
      <c r="K60" s="475" t="n">
        <v>36800</v>
      </c>
      <c r="L60" s="254" t="n">
        <v>-30436.6687723278</v>
      </c>
      <c r="M60" s="475" t="n">
        <v>36797</v>
      </c>
      <c r="N60" s="0" t="s">
        <v>136</v>
      </c>
      <c r="O60" s="0" t="n">
        <v>0.3</v>
      </c>
      <c r="P60" s="0" t="n">
        <v>0</v>
      </c>
      <c r="Q60" s="0" t="n">
        <v>0</v>
      </c>
      <c r="R60" s="0" t="n">
        <v>0</v>
      </c>
      <c r="S60" s="0" t="n">
        <v>0</v>
      </c>
      <c r="T60" s="0" t="s">
        <v>624</v>
      </c>
      <c r="U60" s="0" t="s">
        <v>149</v>
      </c>
      <c r="V60" s="0" t="s">
        <v>624</v>
      </c>
      <c r="W60" s="0" t="s">
        <v>569</v>
      </c>
      <c r="X60" s="0" t="s">
        <v>624</v>
      </c>
      <c r="Y60" s="0" t="s">
        <v>627</v>
      </c>
      <c r="Z60" s="0" t="s">
        <v>629</v>
      </c>
      <c r="AA60" s="0" t="s">
        <v>624</v>
      </c>
      <c r="AB60" s="0" t="s">
        <v>580</v>
      </c>
      <c r="AC60" s="254" t="n">
        <v>-250000</v>
      </c>
      <c r="AD60" s="254" t="n">
        <v>-978.53097128286</v>
      </c>
      <c r="AE60" s="0" t="n">
        <v>0</v>
      </c>
      <c r="AF60" s="0" t="n">
        <v>0</v>
      </c>
      <c r="AG60" s="0" t="n">
        <v>0</v>
      </c>
      <c r="AH60" s="254" t="n">
        <v>-56.6578403798048</v>
      </c>
      <c r="AI60" s="0" t="n">
        <v>226</v>
      </c>
      <c r="AJ60" s="0" t="s">
        <v>630</v>
      </c>
      <c r="AK60" s="0" t="n">
        <v>0</v>
      </c>
      <c r="AL60" s="0" t="n">
        <v>0</v>
      </c>
      <c r="AM60" s="0" t="n">
        <v>0</v>
      </c>
    </row>
    <row r="61" customFormat="false" ht="12.75" hidden="false" customHeight="false" outlineLevel="0" collapsed="false">
      <c r="A61" s="0" t="s">
        <v>631</v>
      </c>
      <c r="B61" s="0" t="s">
        <v>227</v>
      </c>
      <c r="C61" s="0" t="s">
        <v>622</v>
      </c>
      <c r="D61" s="0" t="s">
        <v>623</v>
      </c>
      <c r="E61" s="0" t="s">
        <v>131</v>
      </c>
      <c r="F61" s="0" t="s">
        <v>218</v>
      </c>
      <c r="G61" s="0" t="s">
        <v>628</v>
      </c>
      <c r="H61" s="0" t="s">
        <v>625</v>
      </c>
      <c r="I61" s="0" t="s">
        <v>626</v>
      </c>
      <c r="J61" s="0" t="s">
        <v>627</v>
      </c>
      <c r="K61" s="475" t="n">
        <v>36770</v>
      </c>
      <c r="L61" s="254" t="n">
        <v>-4284.11448214673</v>
      </c>
      <c r="M61" s="475" t="n">
        <v>36768</v>
      </c>
      <c r="N61" s="0" t="s">
        <v>136</v>
      </c>
      <c r="O61" s="0" t="n">
        <v>0.3</v>
      </c>
      <c r="P61" s="0" t="n">
        <v>0</v>
      </c>
      <c r="Q61" s="0" t="n">
        <v>0</v>
      </c>
      <c r="R61" s="0" t="n">
        <v>0</v>
      </c>
      <c r="S61" s="0" t="n">
        <v>0</v>
      </c>
      <c r="T61" s="0" t="s">
        <v>624</v>
      </c>
      <c r="U61" s="0" t="s">
        <v>149</v>
      </c>
      <c r="V61" s="0" t="s">
        <v>624</v>
      </c>
      <c r="W61" s="0" t="s">
        <v>569</v>
      </c>
      <c r="X61" s="0" t="s">
        <v>624</v>
      </c>
      <c r="Y61" s="0" t="s">
        <v>627</v>
      </c>
      <c r="Z61" s="0" t="s">
        <v>629</v>
      </c>
      <c r="AA61" s="0" t="s">
        <v>624</v>
      </c>
      <c r="AB61" s="0" t="s">
        <v>580</v>
      </c>
      <c r="AC61" s="254" t="n">
        <v>-250000</v>
      </c>
      <c r="AD61" s="254" t="n">
        <v>-228.470258195244</v>
      </c>
      <c r="AE61" s="0" t="n">
        <v>0</v>
      </c>
      <c r="AF61" s="0" t="n">
        <v>0</v>
      </c>
      <c r="AG61" s="0" t="n">
        <v>0</v>
      </c>
      <c r="AH61" s="254" t="n">
        <v>-34.4347789867288</v>
      </c>
      <c r="AI61" s="0" t="n">
        <v>226</v>
      </c>
      <c r="AJ61" s="0" t="s">
        <v>630</v>
      </c>
      <c r="AK61" s="0" t="n">
        <v>0</v>
      </c>
      <c r="AL61" s="0" t="n">
        <v>0</v>
      </c>
      <c r="AM61" s="0" t="n">
        <v>0</v>
      </c>
    </row>
    <row r="62" customFormat="false" ht="12.75" hidden="false" customHeight="false" outlineLevel="0" collapsed="false">
      <c r="A62" s="0" t="s">
        <v>631</v>
      </c>
      <c r="B62" s="0" t="s">
        <v>228</v>
      </c>
      <c r="C62" s="0" t="s">
        <v>622</v>
      </c>
      <c r="D62" s="0" t="s">
        <v>623</v>
      </c>
      <c r="E62" s="0" t="s">
        <v>131</v>
      </c>
      <c r="F62" s="0" t="s">
        <v>218</v>
      </c>
      <c r="G62" s="0" t="s">
        <v>628</v>
      </c>
      <c r="H62" s="0" t="s">
        <v>625</v>
      </c>
      <c r="I62" s="0" t="s">
        <v>626</v>
      </c>
      <c r="J62" s="0" t="s">
        <v>627</v>
      </c>
      <c r="K62" s="475" t="n">
        <v>36800</v>
      </c>
      <c r="L62" s="254" t="n">
        <v>-1852.24154140975</v>
      </c>
      <c r="M62" s="475" t="n">
        <v>36797</v>
      </c>
      <c r="N62" s="0" t="s">
        <v>132</v>
      </c>
      <c r="O62" s="0" t="n">
        <v>0.3</v>
      </c>
      <c r="P62" s="0" t="n">
        <v>0</v>
      </c>
      <c r="Q62" s="0" t="n">
        <v>0</v>
      </c>
      <c r="R62" s="0" t="n">
        <v>0</v>
      </c>
      <c r="S62" s="0" t="n">
        <v>0</v>
      </c>
      <c r="T62" s="0" t="s">
        <v>624</v>
      </c>
      <c r="U62" s="0" t="s">
        <v>149</v>
      </c>
      <c r="V62" s="0" t="s">
        <v>624</v>
      </c>
      <c r="W62" s="0" t="s">
        <v>569</v>
      </c>
      <c r="X62" s="0" t="s">
        <v>624</v>
      </c>
      <c r="Y62" s="0" t="s">
        <v>627</v>
      </c>
      <c r="Z62" s="0" t="s">
        <v>629</v>
      </c>
      <c r="AA62" s="0" t="s">
        <v>624</v>
      </c>
      <c r="AB62" s="0" t="s">
        <v>580</v>
      </c>
      <c r="AC62" s="254" t="n">
        <v>-250000</v>
      </c>
      <c r="AD62" s="254" t="n">
        <v>-978.53097128286</v>
      </c>
      <c r="AE62" s="0" t="n">
        <v>0</v>
      </c>
      <c r="AF62" s="0" t="n">
        <v>0</v>
      </c>
      <c r="AG62" s="0" t="n">
        <v>0</v>
      </c>
      <c r="AH62" s="254" t="n">
        <v>-56.6578403800033</v>
      </c>
      <c r="AI62" s="0" t="n">
        <v>226</v>
      </c>
      <c r="AJ62" s="0" t="s">
        <v>630</v>
      </c>
      <c r="AK62" s="0" t="n">
        <v>0</v>
      </c>
      <c r="AL62" s="0" t="n">
        <v>0</v>
      </c>
      <c r="AM62" s="0" t="n">
        <v>0</v>
      </c>
    </row>
    <row r="63" customFormat="false" ht="12.75" hidden="false" customHeight="false" outlineLevel="0" collapsed="false">
      <c r="A63" s="0" t="s">
        <v>631</v>
      </c>
      <c r="B63" s="0" t="s">
        <v>228</v>
      </c>
      <c r="C63" s="0" t="s">
        <v>622</v>
      </c>
      <c r="D63" s="0" t="s">
        <v>623</v>
      </c>
      <c r="E63" s="0" t="s">
        <v>131</v>
      </c>
      <c r="F63" s="0" t="s">
        <v>218</v>
      </c>
      <c r="G63" s="0" t="s">
        <v>628</v>
      </c>
      <c r="H63" s="0" t="s">
        <v>625</v>
      </c>
      <c r="I63" s="0" t="s">
        <v>626</v>
      </c>
      <c r="J63" s="0" t="s">
        <v>627</v>
      </c>
      <c r="K63" s="475" t="n">
        <v>36770</v>
      </c>
      <c r="L63" s="254" t="n">
        <v>-535.494437548717</v>
      </c>
      <c r="M63" s="475" t="n">
        <v>36768</v>
      </c>
      <c r="N63" s="0" t="s">
        <v>132</v>
      </c>
      <c r="O63" s="0" t="n">
        <v>0.3</v>
      </c>
      <c r="P63" s="0" t="n">
        <v>0</v>
      </c>
      <c r="Q63" s="0" t="n">
        <v>0</v>
      </c>
      <c r="R63" s="0" t="n">
        <v>0</v>
      </c>
      <c r="S63" s="0" t="n">
        <v>0</v>
      </c>
      <c r="T63" s="0" t="s">
        <v>624</v>
      </c>
      <c r="U63" s="0" t="s">
        <v>149</v>
      </c>
      <c r="V63" s="0" t="s">
        <v>624</v>
      </c>
      <c r="W63" s="0" t="s">
        <v>569</v>
      </c>
      <c r="X63" s="0" t="s">
        <v>624</v>
      </c>
      <c r="Y63" s="0" t="s">
        <v>627</v>
      </c>
      <c r="Z63" s="0" t="s">
        <v>629</v>
      </c>
      <c r="AA63" s="0" t="s">
        <v>624</v>
      </c>
      <c r="AB63" s="0" t="s">
        <v>580</v>
      </c>
      <c r="AC63" s="254" t="n">
        <v>-250000</v>
      </c>
      <c r="AD63" s="254" t="n">
        <v>-228.470258195252</v>
      </c>
      <c r="AE63" s="0" t="n">
        <v>0</v>
      </c>
      <c r="AF63" s="0" t="n">
        <v>0</v>
      </c>
      <c r="AG63" s="0" t="n">
        <v>0</v>
      </c>
      <c r="AH63" s="254" t="n">
        <v>-34.4347789866806</v>
      </c>
      <c r="AI63" s="0" t="n">
        <v>226</v>
      </c>
      <c r="AJ63" s="0" t="s">
        <v>630</v>
      </c>
      <c r="AK63" s="0" t="n">
        <v>0</v>
      </c>
      <c r="AL63" s="0" t="n">
        <v>0</v>
      </c>
      <c r="AM63" s="0" t="n">
        <v>0</v>
      </c>
    </row>
    <row r="64" customFormat="false" ht="12.75" hidden="false" customHeight="false" outlineLevel="0" collapsed="false">
      <c r="A64" s="0" t="s">
        <v>631</v>
      </c>
      <c r="B64" s="0" t="s">
        <v>229</v>
      </c>
      <c r="C64" s="0" t="s">
        <v>622</v>
      </c>
      <c r="D64" s="0" t="s">
        <v>623</v>
      </c>
      <c r="E64" s="0" t="s">
        <v>131</v>
      </c>
      <c r="F64" s="0" t="s">
        <v>198</v>
      </c>
      <c r="G64" s="0" t="s">
        <v>628</v>
      </c>
      <c r="H64" s="0" t="s">
        <v>625</v>
      </c>
      <c r="I64" s="0" t="s">
        <v>626</v>
      </c>
      <c r="J64" s="0" t="s">
        <v>627</v>
      </c>
      <c r="K64" s="475" t="n">
        <v>36800</v>
      </c>
      <c r="L64" s="254" t="n">
        <v>-30436.6687723278</v>
      </c>
      <c r="M64" s="475" t="n">
        <v>36797</v>
      </c>
      <c r="N64" s="0" t="s">
        <v>136</v>
      </c>
      <c r="O64" s="0" t="n">
        <v>0.3</v>
      </c>
      <c r="P64" s="0" t="n">
        <v>0</v>
      </c>
      <c r="Q64" s="0" t="n">
        <v>0</v>
      </c>
      <c r="R64" s="0" t="n">
        <v>0</v>
      </c>
      <c r="S64" s="0" t="n">
        <v>0</v>
      </c>
      <c r="T64" s="0" t="s">
        <v>624</v>
      </c>
      <c r="U64" s="0" t="s">
        <v>149</v>
      </c>
      <c r="V64" s="0" t="s">
        <v>624</v>
      </c>
      <c r="W64" s="0" t="s">
        <v>569</v>
      </c>
      <c r="X64" s="0" t="s">
        <v>624</v>
      </c>
      <c r="Y64" s="0" t="s">
        <v>627</v>
      </c>
      <c r="Z64" s="0" t="s">
        <v>629</v>
      </c>
      <c r="AA64" s="0" t="s">
        <v>624</v>
      </c>
      <c r="AB64" s="0" t="s">
        <v>580</v>
      </c>
      <c r="AC64" s="254" t="n">
        <v>-250000</v>
      </c>
      <c r="AD64" s="254" t="n">
        <v>-978.53097128286</v>
      </c>
      <c r="AE64" s="0" t="n">
        <v>0</v>
      </c>
      <c r="AF64" s="0" t="n">
        <v>0</v>
      </c>
      <c r="AG64" s="0" t="n">
        <v>0</v>
      </c>
      <c r="AH64" s="254" t="n">
        <v>-56.6578403798048</v>
      </c>
      <c r="AI64" s="0" t="n">
        <v>226</v>
      </c>
      <c r="AJ64" s="0" t="s">
        <v>630</v>
      </c>
      <c r="AK64" s="0" t="n">
        <v>0</v>
      </c>
      <c r="AL64" s="0" t="n">
        <v>0</v>
      </c>
      <c r="AM64" s="0" t="n">
        <v>0</v>
      </c>
    </row>
    <row r="65" customFormat="false" ht="12.75" hidden="false" customHeight="false" outlineLevel="0" collapsed="false">
      <c r="A65" s="0" t="s">
        <v>631</v>
      </c>
      <c r="B65" s="0" t="s">
        <v>229</v>
      </c>
      <c r="C65" s="0" t="s">
        <v>622</v>
      </c>
      <c r="D65" s="0" t="s">
        <v>623</v>
      </c>
      <c r="E65" s="0" t="s">
        <v>131</v>
      </c>
      <c r="F65" s="0" t="s">
        <v>198</v>
      </c>
      <c r="G65" s="0" t="s">
        <v>628</v>
      </c>
      <c r="H65" s="0" t="s">
        <v>625</v>
      </c>
      <c r="I65" s="0" t="s">
        <v>626</v>
      </c>
      <c r="J65" s="0" t="s">
        <v>627</v>
      </c>
      <c r="K65" s="475" t="n">
        <v>36800</v>
      </c>
      <c r="L65" s="254" t="n">
        <v>-60873.3375446555</v>
      </c>
      <c r="M65" s="475" t="n">
        <v>36797</v>
      </c>
      <c r="N65" s="0" t="s">
        <v>136</v>
      </c>
      <c r="O65" s="0" t="n">
        <v>0.3</v>
      </c>
      <c r="P65" s="0" t="n">
        <v>0</v>
      </c>
      <c r="Q65" s="0" t="n">
        <v>0</v>
      </c>
      <c r="R65" s="0" t="n">
        <v>0</v>
      </c>
      <c r="S65" s="0" t="n">
        <v>0</v>
      </c>
      <c r="T65" s="0" t="s">
        <v>624</v>
      </c>
      <c r="U65" s="0" t="s">
        <v>149</v>
      </c>
      <c r="V65" s="0" t="s">
        <v>624</v>
      </c>
      <c r="W65" s="0" t="s">
        <v>569</v>
      </c>
      <c r="X65" s="0" t="s">
        <v>624</v>
      </c>
      <c r="Y65" s="0" t="s">
        <v>627</v>
      </c>
      <c r="Z65" s="0" t="s">
        <v>629</v>
      </c>
      <c r="AA65" s="0" t="s">
        <v>624</v>
      </c>
      <c r="AB65" s="0" t="s">
        <v>580</v>
      </c>
      <c r="AC65" s="254" t="n">
        <v>-500000</v>
      </c>
      <c r="AD65" s="254" t="n">
        <v>-1957.06194256572</v>
      </c>
      <c r="AE65" s="0" t="n">
        <v>0</v>
      </c>
      <c r="AF65" s="0" t="n">
        <v>0</v>
      </c>
      <c r="AG65" s="0" t="n">
        <v>0</v>
      </c>
      <c r="AH65" s="254" t="n">
        <v>-113.31568075961</v>
      </c>
      <c r="AI65" s="0" t="n">
        <v>226</v>
      </c>
      <c r="AJ65" s="0" t="s">
        <v>630</v>
      </c>
      <c r="AK65" s="0" t="n">
        <v>0</v>
      </c>
      <c r="AL65" s="0" t="n">
        <v>0</v>
      </c>
      <c r="AM65" s="0" t="n">
        <v>0</v>
      </c>
    </row>
    <row r="66" customFormat="false" ht="12.75" hidden="false" customHeight="false" outlineLevel="0" collapsed="false">
      <c r="A66" s="0" t="s">
        <v>631</v>
      </c>
      <c r="B66" s="0" t="s">
        <v>229</v>
      </c>
      <c r="C66" s="0" t="s">
        <v>622</v>
      </c>
      <c r="D66" s="0" t="s">
        <v>623</v>
      </c>
      <c r="E66" s="0" t="s">
        <v>131</v>
      </c>
      <c r="F66" s="0" t="s">
        <v>198</v>
      </c>
      <c r="G66" s="0" t="s">
        <v>628</v>
      </c>
      <c r="H66" s="0" t="s">
        <v>625</v>
      </c>
      <c r="I66" s="0" t="s">
        <v>626</v>
      </c>
      <c r="J66" s="0" t="s">
        <v>627</v>
      </c>
      <c r="K66" s="475" t="n">
        <v>36770</v>
      </c>
      <c r="L66" s="254" t="n">
        <v>-4284.11448214673</v>
      </c>
      <c r="M66" s="475" t="n">
        <v>36768</v>
      </c>
      <c r="N66" s="0" t="s">
        <v>136</v>
      </c>
      <c r="O66" s="0" t="n">
        <v>0.3</v>
      </c>
      <c r="P66" s="0" t="n">
        <v>0</v>
      </c>
      <c r="Q66" s="0" t="n">
        <v>0</v>
      </c>
      <c r="R66" s="0" t="n">
        <v>0</v>
      </c>
      <c r="S66" s="0" t="n">
        <v>0</v>
      </c>
      <c r="T66" s="0" t="s">
        <v>624</v>
      </c>
      <c r="U66" s="0" t="s">
        <v>149</v>
      </c>
      <c r="V66" s="0" t="s">
        <v>624</v>
      </c>
      <c r="W66" s="0" t="s">
        <v>569</v>
      </c>
      <c r="X66" s="0" t="s">
        <v>624</v>
      </c>
      <c r="Y66" s="0" t="s">
        <v>627</v>
      </c>
      <c r="Z66" s="0" t="s">
        <v>629</v>
      </c>
      <c r="AA66" s="0" t="s">
        <v>624</v>
      </c>
      <c r="AB66" s="0" t="s">
        <v>580</v>
      </c>
      <c r="AC66" s="254" t="n">
        <v>-250000</v>
      </c>
      <c r="AD66" s="254" t="n">
        <v>-228.470258195244</v>
      </c>
      <c r="AE66" s="0" t="n">
        <v>0</v>
      </c>
      <c r="AF66" s="0" t="n">
        <v>0</v>
      </c>
      <c r="AG66" s="0" t="n">
        <v>0</v>
      </c>
      <c r="AH66" s="254" t="n">
        <v>-34.4347789867288</v>
      </c>
      <c r="AI66" s="0" t="n">
        <v>226</v>
      </c>
      <c r="AJ66" s="0" t="s">
        <v>630</v>
      </c>
      <c r="AK66" s="0" t="n">
        <v>0</v>
      </c>
      <c r="AL66" s="0" t="n">
        <v>0</v>
      </c>
      <c r="AM66" s="0" t="n">
        <v>0</v>
      </c>
    </row>
    <row r="67" customFormat="false" ht="12.75" hidden="false" customHeight="false" outlineLevel="0" collapsed="false">
      <c r="A67" s="0" t="s">
        <v>631</v>
      </c>
      <c r="B67" s="0" t="s">
        <v>229</v>
      </c>
      <c r="C67" s="0" t="s">
        <v>622</v>
      </c>
      <c r="D67" s="0" t="s">
        <v>623</v>
      </c>
      <c r="E67" s="0" t="s">
        <v>131</v>
      </c>
      <c r="F67" s="0" t="s">
        <v>198</v>
      </c>
      <c r="G67" s="0" t="s">
        <v>628</v>
      </c>
      <c r="H67" s="0" t="s">
        <v>625</v>
      </c>
      <c r="I67" s="0" t="s">
        <v>626</v>
      </c>
      <c r="J67" s="0" t="s">
        <v>627</v>
      </c>
      <c r="K67" s="475" t="n">
        <v>36770</v>
      </c>
      <c r="L67" s="254" t="n">
        <v>-8568.22896429346</v>
      </c>
      <c r="M67" s="475" t="n">
        <v>36768</v>
      </c>
      <c r="N67" s="0" t="s">
        <v>136</v>
      </c>
      <c r="O67" s="0" t="n">
        <v>0.3</v>
      </c>
      <c r="P67" s="0" t="n">
        <v>0</v>
      </c>
      <c r="Q67" s="0" t="n">
        <v>0</v>
      </c>
      <c r="R67" s="0" t="n">
        <v>0</v>
      </c>
      <c r="S67" s="0" t="n">
        <v>0</v>
      </c>
      <c r="T67" s="0" t="s">
        <v>624</v>
      </c>
      <c r="U67" s="0" t="s">
        <v>149</v>
      </c>
      <c r="V67" s="0" t="s">
        <v>624</v>
      </c>
      <c r="W67" s="0" t="s">
        <v>569</v>
      </c>
      <c r="X67" s="0" t="s">
        <v>624</v>
      </c>
      <c r="Y67" s="0" t="s">
        <v>627</v>
      </c>
      <c r="Z67" s="0" t="s">
        <v>629</v>
      </c>
      <c r="AA67" s="0" t="s">
        <v>624</v>
      </c>
      <c r="AB67" s="0" t="s">
        <v>580</v>
      </c>
      <c r="AC67" s="254" t="n">
        <v>-500000</v>
      </c>
      <c r="AD67" s="254" t="n">
        <v>-456.940516390489</v>
      </c>
      <c r="AE67" s="0" t="n">
        <v>0</v>
      </c>
      <c r="AF67" s="0" t="n">
        <v>0</v>
      </c>
      <c r="AG67" s="0" t="n">
        <v>0</v>
      </c>
      <c r="AH67" s="254" t="n">
        <v>-68.8695579734576</v>
      </c>
      <c r="AI67" s="0" t="n">
        <v>226</v>
      </c>
      <c r="AJ67" s="0" t="s">
        <v>630</v>
      </c>
      <c r="AK67" s="0" t="n">
        <v>0</v>
      </c>
      <c r="AL67" s="0" t="n">
        <v>0</v>
      </c>
      <c r="AM67" s="0" t="n">
        <v>0</v>
      </c>
    </row>
    <row r="68" customFormat="false" ht="12.75" hidden="false" customHeight="false" outlineLevel="0" collapsed="false">
      <c r="A68" s="0" t="s">
        <v>631</v>
      </c>
      <c r="B68" s="0" t="s">
        <v>230</v>
      </c>
      <c r="C68" s="0" t="s">
        <v>622</v>
      </c>
      <c r="D68" s="0" t="s">
        <v>623</v>
      </c>
      <c r="E68" s="0" t="s">
        <v>131</v>
      </c>
      <c r="F68" s="0" t="s">
        <v>198</v>
      </c>
      <c r="G68" s="0" t="s">
        <v>628</v>
      </c>
      <c r="H68" s="0" t="s">
        <v>625</v>
      </c>
      <c r="I68" s="0" t="s">
        <v>626</v>
      </c>
      <c r="J68" s="0" t="s">
        <v>627</v>
      </c>
      <c r="K68" s="475" t="n">
        <v>36800</v>
      </c>
      <c r="L68" s="254" t="n">
        <v>-1852.24154140975</v>
      </c>
      <c r="M68" s="475" t="n">
        <v>36797</v>
      </c>
      <c r="N68" s="0" t="s">
        <v>132</v>
      </c>
      <c r="O68" s="0" t="n">
        <v>0.3</v>
      </c>
      <c r="P68" s="0" t="n">
        <v>0</v>
      </c>
      <c r="Q68" s="0" t="n">
        <v>0</v>
      </c>
      <c r="R68" s="0" t="n">
        <v>0</v>
      </c>
      <c r="S68" s="0" t="n">
        <v>0</v>
      </c>
      <c r="T68" s="0" t="s">
        <v>624</v>
      </c>
      <c r="U68" s="0" t="s">
        <v>149</v>
      </c>
      <c r="V68" s="0" t="s">
        <v>624</v>
      </c>
      <c r="W68" s="0" t="s">
        <v>569</v>
      </c>
      <c r="X68" s="0" t="s">
        <v>624</v>
      </c>
      <c r="Y68" s="0" t="s">
        <v>627</v>
      </c>
      <c r="Z68" s="0" t="s">
        <v>629</v>
      </c>
      <c r="AA68" s="0" t="s">
        <v>624</v>
      </c>
      <c r="AB68" s="0" t="s">
        <v>580</v>
      </c>
      <c r="AC68" s="254" t="n">
        <v>-250000</v>
      </c>
      <c r="AD68" s="254" t="n">
        <v>-978.53097128286</v>
      </c>
      <c r="AE68" s="0" t="n">
        <v>0</v>
      </c>
      <c r="AF68" s="0" t="n">
        <v>0</v>
      </c>
      <c r="AG68" s="0" t="n">
        <v>0</v>
      </c>
      <c r="AH68" s="254" t="n">
        <v>-56.6578403800033</v>
      </c>
      <c r="AI68" s="0" t="n">
        <v>226</v>
      </c>
      <c r="AJ68" s="0" t="s">
        <v>630</v>
      </c>
      <c r="AK68" s="0" t="n">
        <v>0</v>
      </c>
      <c r="AL68" s="0" t="n">
        <v>0</v>
      </c>
      <c r="AM68" s="0" t="n">
        <v>0</v>
      </c>
    </row>
    <row r="69" customFormat="false" ht="12.75" hidden="false" customHeight="false" outlineLevel="0" collapsed="false">
      <c r="A69" s="0" t="s">
        <v>631</v>
      </c>
      <c r="B69" s="0" t="s">
        <v>230</v>
      </c>
      <c r="C69" s="0" t="s">
        <v>622</v>
      </c>
      <c r="D69" s="0" t="s">
        <v>623</v>
      </c>
      <c r="E69" s="0" t="s">
        <v>131</v>
      </c>
      <c r="F69" s="0" t="s">
        <v>198</v>
      </c>
      <c r="G69" s="0" t="s">
        <v>628</v>
      </c>
      <c r="H69" s="0" t="s">
        <v>625</v>
      </c>
      <c r="I69" s="0" t="s">
        <v>626</v>
      </c>
      <c r="J69" s="0" t="s">
        <v>627</v>
      </c>
      <c r="K69" s="475" t="n">
        <v>36800</v>
      </c>
      <c r="L69" s="254" t="n">
        <v>-3704.48308281951</v>
      </c>
      <c r="M69" s="475" t="n">
        <v>36797</v>
      </c>
      <c r="N69" s="0" t="s">
        <v>132</v>
      </c>
      <c r="O69" s="0" t="n">
        <v>0.3</v>
      </c>
      <c r="P69" s="0" t="n">
        <v>0</v>
      </c>
      <c r="Q69" s="0" t="n">
        <v>0</v>
      </c>
      <c r="R69" s="0" t="n">
        <v>0</v>
      </c>
      <c r="S69" s="0" t="n">
        <v>0</v>
      </c>
      <c r="T69" s="0" t="s">
        <v>624</v>
      </c>
      <c r="U69" s="0" t="s">
        <v>149</v>
      </c>
      <c r="V69" s="0" t="s">
        <v>624</v>
      </c>
      <c r="W69" s="0" t="s">
        <v>569</v>
      </c>
      <c r="X69" s="0" t="s">
        <v>624</v>
      </c>
      <c r="Y69" s="0" t="s">
        <v>627</v>
      </c>
      <c r="Z69" s="0" t="s">
        <v>629</v>
      </c>
      <c r="AA69" s="0" t="s">
        <v>624</v>
      </c>
      <c r="AB69" s="0" t="s">
        <v>580</v>
      </c>
      <c r="AC69" s="254" t="n">
        <v>-500000</v>
      </c>
      <c r="AD69" s="254" t="n">
        <v>-1957.06194256572</v>
      </c>
      <c r="AE69" s="0" t="n">
        <v>0</v>
      </c>
      <c r="AF69" s="0" t="n">
        <v>0</v>
      </c>
      <c r="AG69" s="0" t="n">
        <v>0</v>
      </c>
      <c r="AH69" s="254" t="n">
        <v>-113.315680760007</v>
      </c>
      <c r="AI69" s="0" t="n">
        <v>226</v>
      </c>
      <c r="AJ69" s="0" t="s">
        <v>630</v>
      </c>
      <c r="AK69" s="0" t="n">
        <v>0</v>
      </c>
      <c r="AL69" s="0" t="n">
        <v>0</v>
      </c>
      <c r="AM69" s="0" t="n">
        <v>0</v>
      </c>
    </row>
    <row r="70" customFormat="false" ht="12.75" hidden="false" customHeight="false" outlineLevel="0" collapsed="false">
      <c r="A70" s="0" t="s">
        <v>631</v>
      </c>
      <c r="B70" s="0" t="s">
        <v>230</v>
      </c>
      <c r="C70" s="0" t="s">
        <v>622</v>
      </c>
      <c r="D70" s="0" t="s">
        <v>623</v>
      </c>
      <c r="E70" s="0" t="s">
        <v>131</v>
      </c>
      <c r="F70" s="0" t="s">
        <v>198</v>
      </c>
      <c r="G70" s="0" t="s">
        <v>628</v>
      </c>
      <c r="H70" s="0" t="s">
        <v>625</v>
      </c>
      <c r="I70" s="0" t="s">
        <v>626</v>
      </c>
      <c r="J70" s="0" t="s">
        <v>627</v>
      </c>
      <c r="K70" s="475" t="n">
        <v>36770</v>
      </c>
      <c r="L70" s="254" t="n">
        <v>-535.494437548717</v>
      </c>
      <c r="M70" s="475" t="n">
        <v>36768</v>
      </c>
      <c r="N70" s="0" t="s">
        <v>132</v>
      </c>
      <c r="O70" s="0" t="n">
        <v>0.3</v>
      </c>
      <c r="P70" s="0" t="n">
        <v>0</v>
      </c>
      <c r="Q70" s="0" t="n">
        <v>0</v>
      </c>
      <c r="R70" s="0" t="n">
        <v>0</v>
      </c>
      <c r="S70" s="0" t="n">
        <v>0</v>
      </c>
      <c r="T70" s="0" t="s">
        <v>624</v>
      </c>
      <c r="U70" s="0" t="s">
        <v>149</v>
      </c>
      <c r="V70" s="0" t="s">
        <v>624</v>
      </c>
      <c r="W70" s="0" t="s">
        <v>569</v>
      </c>
      <c r="X70" s="0" t="s">
        <v>624</v>
      </c>
      <c r="Y70" s="0" t="s">
        <v>627</v>
      </c>
      <c r="Z70" s="0" t="s">
        <v>629</v>
      </c>
      <c r="AA70" s="0" t="s">
        <v>624</v>
      </c>
      <c r="AB70" s="0" t="s">
        <v>580</v>
      </c>
      <c r="AC70" s="254" t="n">
        <v>-250000</v>
      </c>
      <c r="AD70" s="254" t="n">
        <v>-228.470258195252</v>
      </c>
      <c r="AE70" s="0" t="n">
        <v>0</v>
      </c>
      <c r="AF70" s="0" t="n">
        <v>0</v>
      </c>
      <c r="AG70" s="0" t="n">
        <v>0</v>
      </c>
      <c r="AH70" s="254" t="n">
        <v>-34.4347789866806</v>
      </c>
      <c r="AI70" s="0" t="n">
        <v>226</v>
      </c>
      <c r="AJ70" s="0" t="s">
        <v>630</v>
      </c>
      <c r="AK70" s="0" t="n">
        <v>0</v>
      </c>
      <c r="AL70" s="0" t="n">
        <v>0</v>
      </c>
      <c r="AM70" s="0" t="n">
        <v>0</v>
      </c>
    </row>
    <row r="71" customFormat="false" ht="12.75" hidden="false" customHeight="false" outlineLevel="0" collapsed="false">
      <c r="A71" s="0" t="s">
        <v>631</v>
      </c>
      <c r="B71" s="0" t="s">
        <v>230</v>
      </c>
      <c r="C71" s="0" t="s">
        <v>622</v>
      </c>
      <c r="D71" s="0" t="s">
        <v>623</v>
      </c>
      <c r="E71" s="0" t="s">
        <v>131</v>
      </c>
      <c r="F71" s="0" t="s">
        <v>198</v>
      </c>
      <c r="G71" s="0" t="s">
        <v>628</v>
      </c>
      <c r="H71" s="0" t="s">
        <v>625</v>
      </c>
      <c r="I71" s="0" t="s">
        <v>626</v>
      </c>
      <c r="J71" s="0" t="s">
        <v>627</v>
      </c>
      <c r="K71" s="475" t="n">
        <v>36770</v>
      </c>
      <c r="L71" s="254" t="n">
        <v>-1070.98887509743</v>
      </c>
      <c r="M71" s="475" t="n">
        <v>36768</v>
      </c>
      <c r="N71" s="0" t="s">
        <v>132</v>
      </c>
      <c r="O71" s="0" t="n">
        <v>0.3</v>
      </c>
      <c r="P71" s="0" t="n">
        <v>0</v>
      </c>
      <c r="Q71" s="0" t="n">
        <v>0</v>
      </c>
      <c r="R71" s="0" t="n">
        <v>0</v>
      </c>
      <c r="S71" s="0" t="n">
        <v>0</v>
      </c>
      <c r="T71" s="0" t="s">
        <v>624</v>
      </c>
      <c r="U71" s="0" t="s">
        <v>149</v>
      </c>
      <c r="V71" s="0" t="s">
        <v>624</v>
      </c>
      <c r="W71" s="0" t="s">
        <v>569</v>
      </c>
      <c r="X71" s="0" t="s">
        <v>624</v>
      </c>
      <c r="Y71" s="0" t="s">
        <v>627</v>
      </c>
      <c r="Z71" s="0" t="s">
        <v>629</v>
      </c>
      <c r="AA71" s="0" t="s">
        <v>624</v>
      </c>
      <c r="AB71" s="0" t="s">
        <v>580</v>
      </c>
      <c r="AC71" s="254" t="n">
        <v>-500000</v>
      </c>
      <c r="AD71" s="254" t="n">
        <v>-456.940516390503</v>
      </c>
      <c r="AE71" s="0" t="n">
        <v>0</v>
      </c>
      <c r="AF71" s="0" t="n">
        <v>0</v>
      </c>
      <c r="AG71" s="0" t="n">
        <v>0</v>
      </c>
      <c r="AH71" s="254" t="n">
        <v>-68.8695579733612</v>
      </c>
      <c r="AI71" s="0" t="n">
        <v>226</v>
      </c>
      <c r="AJ71" s="0" t="s">
        <v>630</v>
      </c>
      <c r="AK71" s="0" t="n">
        <v>0</v>
      </c>
      <c r="AL71" s="0" t="n">
        <v>0</v>
      </c>
      <c r="AM71" s="0" t="n">
        <v>0</v>
      </c>
    </row>
    <row r="72" customFormat="false" ht="12.75" hidden="false" customHeight="false" outlineLevel="0" collapsed="false">
      <c r="A72" s="0" t="s">
        <v>631</v>
      </c>
      <c r="B72" s="0" t="s">
        <v>231</v>
      </c>
      <c r="C72" s="0" t="s">
        <v>622</v>
      </c>
      <c r="D72" s="0" t="s">
        <v>623</v>
      </c>
      <c r="E72" s="0" t="s">
        <v>131</v>
      </c>
      <c r="F72" s="0" t="s">
        <v>198</v>
      </c>
      <c r="G72" s="0" t="s">
        <v>628</v>
      </c>
      <c r="H72" s="0" t="s">
        <v>625</v>
      </c>
      <c r="I72" s="0" t="s">
        <v>626</v>
      </c>
      <c r="J72" s="0" t="s">
        <v>627</v>
      </c>
      <c r="K72" s="475" t="n">
        <v>36800</v>
      </c>
      <c r="L72" s="254" t="n">
        <v>-15486.3756968308</v>
      </c>
      <c r="M72" s="475" t="n">
        <v>36797</v>
      </c>
      <c r="N72" s="0" t="s">
        <v>136</v>
      </c>
      <c r="O72" s="0" t="n">
        <v>-0.25</v>
      </c>
      <c r="P72" s="0" t="n">
        <v>0</v>
      </c>
      <c r="Q72" s="0" t="n">
        <v>0</v>
      </c>
      <c r="R72" s="0" t="n">
        <v>0</v>
      </c>
      <c r="S72" s="0" t="n">
        <v>0</v>
      </c>
      <c r="T72" s="0" t="s">
        <v>624</v>
      </c>
      <c r="U72" s="0" t="s">
        <v>151</v>
      </c>
      <c r="V72" s="0" t="s">
        <v>624</v>
      </c>
      <c r="W72" s="0" t="s">
        <v>569</v>
      </c>
      <c r="X72" s="0" t="s">
        <v>624</v>
      </c>
      <c r="Y72" s="0" t="s">
        <v>627</v>
      </c>
      <c r="Z72" s="0" t="s">
        <v>629</v>
      </c>
      <c r="AA72" s="0" t="s">
        <v>624</v>
      </c>
      <c r="AB72" s="0" t="s">
        <v>580</v>
      </c>
      <c r="AC72" s="254" t="n">
        <v>-1000000</v>
      </c>
      <c r="AD72" s="254" t="n">
        <v>-14269.283693426</v>
      </c>
      <c r="AE72" s="0" t="n">
        <v>0</v>
      </c>
      <c r="AF72" s="0" t="n">
        <v>0</v>
      </c>
      <c r="AG72" s="0" t="n">
        <v>0</v>
      </c>
      <c r="AH72" s="254" t="n">
        <v>6201.4422014145</v>
      </c>
      <c r="AI72" s="0" t="n">
        <v>226</v>
      </c>
      <c r="AJ72" s="0" t="s">
        <v>630</v>
      </c>
      <c r="AK72" s="0" t="n">
        <v>0</v>
      </c>
      <c r="AL72" s="0" t="n">
        <v>0</v>
      </c>
      <c r="AM72" s="0" t="n">
        <v>0</v>
      </c>
    </row>
    <row r="73" customFormat="false" ht="12.75" hidden="false" customHeight="false" outlineLevel="0" collapsed="false">
      <c r="A73" s="0" t="s">
        <v>631</v>
      </c>
      <c r="B73" s="0" t="s">
        <v>231</v>
      </c>
      <c r="C73" s="0" t="s">
        <v>622</v>
      </c>
      <c r="D73" s="0" t="s">
        <v>623</v>
      </c>
      <c r="E73" s="0" t="s">
        <v>131</v>
      </c>
      <c r="F73" s="0" t="s">
        <v>198</v>
      </c>
      <c r="G73" s="0" t="s">
        <v>628</v>
      </c>
      <c r="H73" s="0" t="s">
        <v>625</v>
      </c>
      <c r="I73" s="0" t="s">
        <v>626</v>
      </c>
      <c r="J73" s="0" t="s">
        <v>627</v>
      </c>
      <c r="K73" s="475" t="n">
        <v>36770</v>
      </c>
      <c r="L73" s="254" t="n">
        <v>-0.129752684735474</v>
      </c>
      <c r="M73" s="475" t="n">
        <v>36768</v>
      </c>
      <c r="N73" s="0" t="s">
        <v>136</v>
      </c>
      <c r="O73" s="0" t="n">
        <v>-0.25</v>
      </c>
      <c r="P73" s="0" t="n">
        <v>0</v>
      </c>
      <c r="Q73" s="0" t="n">
        <v>0</v>
      </c>
      <c r="R73" s="0" t="n">
        <v>0</v>
      </c>
      <c r="S73" s="0" t="n">
        <v>0</v>
      </c>
      <c r="T73" s="0" t="s">
        <v>624</v>
      </c>
      <c r="U73" s="0" t="s">
        <v>151</v>
      </c>
      <c r="V73" s="0" t="s">
        <v>624</v>
      </c>
      <c r="W73" s="0" t="s">
        <v>569</v>
      </c>
      <c r="X73" s="0" t="s">
        <v>624</v>
      </c>
      <c r="Y73" s="0" t="s">
        <v>627</v>
      </c>
      <c r="Z73" s="0" t="s">
        <v>629</v>
      </c>
      <c r="AA73" s="0" t="s">
        <v>624</v>
      </c>
      <c r="AB73" s="0" t="s">
        <v>580</v>
      </c>
      <c r="AC73" s="254" t="n">
        <v>-1000000</v>
      </c>
      <c r="AD73" s="254" t="n">
        <v>0.0385785489109836</v>
      </c>
      <c r="AE73" s="0" t="n">
        <v>0</v>
      </c>
      <c r="AF73" s="0" t="n">
        <v>0</v>
      </c>
      <c r="AG73" s="0" t="n">
        <v>0</v>
      </c>
      <c r="AH73" s="254" t="n">
        <v>-0.00784389131425201</v>
      </c>
      <c r="AI73" s="0" t="n">
        <v>226</v>
      </c>
      <c r="AJ73" s="0" t="s">
        <v>630</v>
      </c>
      <c r="AK73" s="0" t="n">
        <v>0</v>
      </c>
      <c r="AL73" s="0" t="n">
        <v>0</v>
      </c>
      <c r="AM73" s="0" t="n">
        <v>0</v>
      </c>
    </row>
    <row r="74" customFormat="false" ht="12.75" hidden="false" customHeight="false" outlineLevel="0" collapsed="false">
      <c r="A74" s="0" t="s">
        <v>631</v>
      </c>
      <c r="B74" s="0" t="s">
        <v>232</v>
      </c>
      <c r="C74" s="0" t="s">
        <v>622</v>
      </c>
      <c r="D74" s="0" t="s">
        <v>623</v>
      </c>
      <c r="E74" s="0" t="s">
        <v>131</v>
      </c>
      <c r="F74" s="0" t="s">
        <v>198</v>
      </c>
      <c r="G74" s="0" t="s">
        <v>628</v>
      </c>
      <c r="H74" s="0" t="s">
        <v>625</v>
      </c>
      <c r="I74" s="0" t="s">
        <v>626</v>
      </c>
      <c r="J74" s="0" t="s">
        <v>627</v>
      </c>
      <c r="K74" s="475" t="n">
        <v>36800</v>
      </c>
      <c r="L74" s="254" t="n">
        <v>437025.957852228</v>
      </c>
      <c r="M74" s="475" t="n">
        <v>36797</v>
      </c>
      <c r="N74" s="0" t="s">
        <v>132</v>
      </c>
      <c r="O74" s="0" t="n">
        <v>-0.4</v>
      </c>
      <c r="P74" s="0" t="n">
        <v>0</v>
      </c>
      <c r="Q74" s="0" t="n">
        <v>0</v>
      </c>
      <c r="R74" s="0" t="n">
        <v>0</v>
      </c>
      <c r="S74" s="0" t="n">
        <v>0</v>
      </c>
      <c r="T74" s="0" t="s">
        <v>624</v>
      </c>
      <c r="U74" s="0" t="s">
        <v>151</v>
      </c>
      <c r="V74" s="0" t="s">
        <v>624</v>
      </c>
      <c r="W74" s="0" t="s">
        <v>569</v>
      </c>
      <c r="X74" s="0" t="s">
        <v>624</v>
      </c>
      <c r="Y74" s="0" t="s">
        <v>627</v>
      </c>
      <c r="Z74" s="0" t="s">
        <v>629</v>
      </c>
      <c r="AA74" s="0" t="s">
        <v>624</v>
      </c>
      <c r="AB74" s="0" t="s">
        <v>580</v>
      </c>
      <c r="AC74" s="254" t="n">
        <v>1000000</v>
      </c>
      <c r="AD74" s="254" t="n">
        <v>22301.9151040185</v>
      </c>
      <c r="AE74" s="0" t="n">
        <v>0</v>
      </c>
      <c r="AF74" s="0" t="n">
        <v>0</v>
      </c>
      <c r="AG74" s="0" t="n">
        <v>0</v>
      </c>
      <c r="AH74" s="254" t="n">
        <v>53181.5806055271</v>
      </c>
      <c r="AI74" s="0" t="n">
        <v>226</v>
      </c>
      <c r="AJ74" s="0" t="s">
        <v>630</v>
      </c>
      <c r="AK74" s="0" t="n">
        <v>0</v>
      </c>
      <c r="AL74" s="0" t="n">
        <v>0</v>
      </c>
      <c r="AM74" s="0" t="n">
        <v>0</v>
      </c>
    </row>
    <row r="75" customFormat="false" ht="12.75" hidden="false" customHeight="false" outlineLevel="0" collapsed="false">
      <c r="A75" s="0" t="s">
        <v>631</v>
      </c>
      <c r="B75" s="0" t="s">
        <v>232</v>
      </c>
      <c r="C75" s="0" t="s">
        <v>622</v>
      </c>
      <c r="D75" s="0" t="s">
        <v>623</v>
      </c>
      <c r="E75" s="0" t="s">
        <v>131</v>
      </c>
      <c r="F75" s="0" t="s">
        <v>198</v>
      </c>
      <c r="G75" s="0" t="s">
        <v>628</v>
      </c>
      <c r="H75" s="0" t="s">
        <v>625</v>
      </c>
      <c r="I75" s="0" t="s">
        <v>626</v>
      </c>
      <c r="J75" s="0" t="s">
        <v>627</v>
      </c>
      <c r="K75" s="475" t="n">
        <v>36770</v>
      </c>
      <c r="L75" s="254" t="n">
        <v>839691.000081394</v>
      </c>
      <c r="M75" s="475" t="n">
        <v>36768</v>
      </c>
      <c r="N75" s="0" t="s">
        <v>132</v>
      </c>
      <c r="O75" s="0" t="n">
        <v>-0.4</v>
      </c>
      <c r="P75" s="0" t="n">
        <v>0</v>
      </c>
      <c r="Q75" s="0" t="n">
        <v>0</v>
      </c>
      <c r="R75" s="0" t="n">
        <v>0</v>
      </c>
      <c r="S75" s="0" t="n">
        <v>0</v>
      </c>
      <c r="T75" s="0" t="s">
        <v>624</v>
      </c>
      <c r="U75" s="0" t="s">
        <v>151</v>
      </c>
      <c r="V75" s="0" t="s">
        <v>624</v>
      </c>
      <c r="W75" s="0" t="s">
        <v>569</v>
      </c>
      <c r="X75" s="0" t="s">
        <v>624</v>
      </c>
      <c r="Y75" s="0" t="s">
        <v>627</v>
      </c>
      <c r="Z75" s="0" t="s">
        <v>629</v>
      </c>
      <c r="AA75" s="0" t="s">
        <v>624</v>
      </c>
      <c r="AB75" s="0" t="s">
        <v>580</v>
      </c>
      <c r="AC75" s="254" t="n">
        <v>1000000</v>
      </c>
      <c r="AD75" s="254" t="n">
        <v>-0.0385785482358187</v>
      </c>
      <c r="AE75" s="0" t="n">
        <v>0</v>
      </c>
      <c r="AF75" s="0" t="n">
        <v>0</v>
      </c>
      <c r="AG75" s="0" t="n">
        <v>0</v>
      </c>
      <c r="AH75" s="254" t="n">
        <v>59944.8655176451</v>
      </c>
      <c r="AI75" s="0" t="n">
        <v>226</v>
      </c>
      <c r="AJ75" s="0" t="s">
        <v>630</v>
      </c>
      <c r="AK75" s="0" t="n">
        <v>0</v>
      </c>
      <c r="AL75" s="0" t="n">
        <v>0</v>
      </c>
      <c r="AM75" s="0" t="n">
        <v>0</v>
      </c>
    </row>
    <row r="76" customFormat="false" ht="12.75" hidden="false" customHeight="false" outlineLevel="0" collapsed="false">
      <c r="A76" s="0" t="s">
        <v>631</v>
      </c>
      <c r="B76" s="0" t="s">
        <v>233</v>
      </c>
      <c r="C76" s="0" t="s">
        <v>622</v>
      </c>
      <c r="D76" s="0" t="s">
        <v>623</v>
      </c>
      <c r="E76" s="0" t="s">
        <v>131</v>
      </c>
      <c r="F76" s="0" t="s">
        <v>198</v>
      </c>
      <c r="G76" s="0" t="s">
        <v>628</v>
      </c>
      <c r="H76" s="0" t="s">
        <v>625</v>
      </c>
      <c r="I76" s="0" t="s">
        <v>626</v>
      </c>
      <c r="J76" s="0" t="s">
        <v>627</v>
      </c>
      <c r="K76" s="475" t="n">
        <v>36951</v>
      </c>
      <c r="L76" s="254" t="n">
        <v>-119164.640384729</v>
      </c>
      <c r="M76" s="475" t="n">
        <v>36949</v>
      </c>
      <c r="N76" s="0" t="s">
        <v>136</v>
      </c>
      <c r="O76" s="0" t="n">
        <v>1.15</v>
      </c>
      <c r="P76" s="0" t="n">
        <v>0</v>
      </c>
      <c r="Q76" s="0" t="n">
        <v>0</v>
      </c>
      <c r="R76" s="0" t="n">
        <v>0</v>
      </c>
      <c r="S76" s="0" t="n">
        <v>0</v>
      </c>
      <c r="T76" s="0" t="s">
        <v>624</v>
      </c>
      <c r="U76" s="0" t="s">
        <v>149</v>
      </c>
      <c r="V76" s="0" t="s">
        <v>624</v>
      </c>
      <c r="W76" s="0" t="s">
        <v>569</v>
      </c>
      <c r="X76" s="0" t="s">
        <v>624</v>
      </c>
      <c r="Y76" s="0" t="s">
        <v>627</v>
      </c>
      <c r="Z76" s="0" t="s">
        <v>629</v>
      </c>
      <c r="AA76" s="0" t="s">
        <v>624</v>
      </c>
      <c r="AB76" s="0" t="s">
        <v>580</v>
      </c>
      <c r="AC76" s="254" t="n">
        <v>-250000</v>
      </c>
      <c r="AD76" s="254" t="n">
        <v>-22058.4715271949</v>
      </c>
      <c r="AE76" s="0" t="n">
        <v>0</v>
      </c>
      <c r="AF76" s="0" t="n">
        <v>0</v>
      </c>
      <c r="AG76" s="0" t="n">
        <v>0</v>
      </c>
      <c r="AH76" s="254" t="n">
        <v>-8647.37205016641</v>
      </c>
      <c r="AI76" s="0" t="n">
        <v>226</v>
      </c>
      <c r="AJ76" s="0" t="s">
        <v>630</v>
      </c>
      <c r="AK76" s="0" t="n">
        <v>0</v>
      </c>
      <c r="AL76" s="0" t="n">
        <v>0</v>
      </c>
      <c r="AM76" s="0" t="n">
        <v>0</v>
      </c>
    </row>
    <row r="77" customFormat="false" ht="12.75" hidden="false" customHeight="false" outlineLevel="0" collapsed="false">
      <c r="A77" s="0" t="s">
        <v>631</v>
      </c>
      <c r="B77" s="0" t="s">
        <v>233</v>
      </c>
      <c r="C77" s="0" t="s">
        <v>622</v>
      </c>
      <c r="D77" s="0" t="s">
        <v>623</v>
      </c>
      <c r="E77" s="0" t="s">
        <v>131</v>
      </c>
      <c r="F77" s="0" t="s">
        <v>198</v>
      </c>
      <c r="G77" s="0" t="s">
        <v>628</v>
      </c>
      <c r="H77" s="0" t="s">
        <v>625</v>
      </c>
      <c r="I77" s="0" t="s">
        <v>626</v>
      </c>
      <c r="J77" s="0" t="s">
        <v>627</v>
      </c>
      <c r="K77" s="475" t="n">
        <v>36923</v>
      </c>
      <c r="L77" s="254" t="n">
        <v>-291288.836353454</v>
      </c>
      <c r="M77" s="475" t="n">
        <v>36921</v>
      </c>
      <c r="N77" s="0" t="s">
        <v>136</v>
      </c>
      <c r="O77" s="0" t="n">
        <v>1.15</v>
      </c>
      <c r="P77" s="0" t="n">
        <v>0</v>
      </c>
      <c r="Q77" s="0" t="n">
        <v>0</v>
      </c>
      <c r="R77" s="0" t="n">
        <v>0</v>
      </c>
      <c r="S77" s="0" t="n">
        <v>0</v>
      </c>
      <c r="T77" s="0" t="s">
        <v>624</v>
      </c>
      <c r="U77" s="0" t="s">
        <v>149</v>
      </c>
      <c r="V77" s="0" t="s">
        <v>624</v>
      </c>
      <c r="W77" s="0" t="s">
        <v>569</v>
      </c>
      <c r="X77" s="0" t="s">
        <v>624</v>
      </c>
      <c r="Y77" s="0" t="s">
        <v>627</v>
      </c>
      <c r="Z77" s="0" t="s">
        <v>629</v>
      </c>
      <c r="AA77" s="0" t="s">
        <v>624</v>
      </c>
      <c r="AB77" s="0" t="s">
        <v>580</v>
      </c>
      <c r="AC77" s="254" t="n">
        <v>-250000</v>
      </c>
      <c r="AD77" s="254" t="n">
        <v>-18797.2995730032</v>
      </c>
      <c r="AE77" s="0" t="n">
        <v>0</v>
      </c>
      <c r="AF77" s="0" t="n">
        <v>0</v>
      </c>
      <c r="AG77" s="0" t="n">
        <v>0</v>
      </c>
      <c r="AH77" s="254" t="n">
        <v>-13872.174759514</v>
      </c>
      <c r="AI77" s="0" t="n">
        <v>226</v>
      </c>
      <c r="AJ77" s="0" t="s">
        <v>630</v>
      </c>
      <c r="AK77" s="0" t="n">
        <v>0</v>
      </c>
      <c r="AL77" s="0" t="n">
        <v>0</v>
      </c>
      <c r="AM77" s="0" t="n">
        <v>0</v>
      </c>
    </row>
    <row r="78" customFormat="false" ht="12.75" hidden="false" customHeight="false" outlineLevel="0" collapsed="false">
      <c r="A78" s="0" t="s">
        <v>631</v>
      </c>
      <c r="B78" s="0" t="s">
        <v>233</v>
      </c>
      <c r="C78" s="0" t="s">
        <v>622</v>
      </c>
      <c r="D78" s="0" t="s">
        <v>623</v>
      </c>
      <c r="E78" s="0" t="s">
        <v>131</v>
      </c>
      <c r="F78" s="0" t="s">
        <v>198</v>
      </c>
      <c r="G78" s="0" t="s">
        <v>628</v>
      </c>
      <c r="H78" s="0" t="s">
        <v>625</v>
      </c>
      <c r="I78" s="0" t="s">
        <v>626</v>
      </c>
      <c r="J78" s="0" t="s">
        <v>627</v>
      </c>
      <c r="K78" s="475" t="n">
        <v>36892</v>
      </c>
      <c r="L78" s="254" t="n">
        <v>-301361.256992376</v>
      </c>
      <c r="M78" s="475" t="n">
        <v>36888</v>
      </c>
      <c r="N78" s="0" t="s">
        <v>136</v>
      </c>
      <c r="O78" s="0" t="n">
        <v>1.15</v>
      </c>
      <c r="P78" s="0" t="n">
        <v>0</v>
      </c>
      <c r="Q78" s="0" t="n">
        <v>0</v>
      </c>
      <c r="R78" s="0" t="n">
        <v>0</v>
      </c>
      <c r="S78" s="0" t="n">
        <v>0</v>
      </c>
      <c r="T78" s="0" t="s">
        <v>624</v>
      </c>
      <c r="U78" s="0" t="s">
        <v>149</v>
      </c>
      <c r="V78" s="0" t="s">
        <v>624</v>
      </c>
      <c r="W78" s="0" t="s">
        <v>569</v>
      </c>
      <c r="X78" s="0" t="s">
        <v>624</v>
      </c>
      <c r="Y78" s="0" t="s">
        <v>627</v>
      </c>
      <c r="Z78" s="0" t="s">
        <v>629</v>
      </c>
      <c r="AA78" s="0" t="s">
        <v>624</v>
      </c>
      <c r="AB78" s="0" t="s">
        <v>580</v>
      </c>
      <c r="AC78" s="254" t="n">
        <v>-250000</v>
      </c>
      <c r="AD78" s="254" t="n">
        <v>-16298.5149244985</v>
      </c>
      <c r="AE78" s="0" t="n">
        <v>0</v>
      </c>
      <c r="AF78" s="0" t="n">
        <v>0</v>
      </c>
      <c r="AG78" s="0" t="n">
        <v>0</v>
      </c>
      <c r="AH78" s="254" t="n">
        <v>-12303.2839275806</v>
      </c>
      <c r="AI78" s="0" t="n">
        <v>226</v>
      </c>
      <c r="AJ78" s="0" t="s">
        <v>630</v>
      </c>
      <c r="AK78" s="0" t="n">
        <v>0</v>
      </c>
      <c r="AL78" s="0" t="n">
        <v>0</v>
      </c>
      <c r="AM78" s="0" t="n">
        <v>0</v>
      </c>
    </row>
    <row r="79" customFormat="false" ht="12.75" hidden="false" customHeight="false" outlineLevel="0" collapsed="false">
      <c r="A79" s="0" t="s">
        <v>631</v>
      </c>
      <c r="B79" s="0" t="s">
        <v>233</v>
      </c>
      <c r="C79" s="0" t="s">
        <v>622</v>
      </c>
      <c r="D79" s="0" t="s">
        <v>623</v>
      </c>
      <c r="E79" s="0" t="s">
        <v>131</v>
      </c>
      <c r="F79" s="0" t="s">
        <v>198</v>
      </c>
      <c r="G79" s="0" t="s">
        <v>628</v>
      </c>
      <c r="H79" s="0" t="s">
        <v>625</v>
      </c>
      <c r="I79" s="0" t="s">
        <v>626</v>
      </c>
      <c r="J79" s="0" t="s">
        <v>627</v>
      </c>
      <c r="K79" s="475" t="n">
        <v>36861</v>
      </c>
      <c r="L79" s="254" t="n">
        <v>-191405.943337993</v>
      </c>
      <c r="M79" s="475" t="n">
        <v>36859</v>
      </c>
      <c r="N79" s="0" t="s">
        <v>136</v>
      </c>
      <c r="O79" s="0" t="n">
        <v>1.15</v>
      </c>
      <c r="P79" s="0" t="n">
        <v>0</v>
      </c>
      <c r="Q79" s="0" t="n">
        <v>0</v>
      </c>
      <c r="R79" s="0" t="n">
        <v>0</v>
      </c>
      <c r="S79" s="0" t="n">
        <v>0</v>
      </c>
      <c r="T79" s="0" t="s">
        <v>624</v>
      </c>
      <c r="U79" s="0" t="s">
        <v>149</v>
      </c>
      <c r="V79" s="0" t="s">
        <v>624</v>
      </c>
      <c r="W79" s="0" t="s">
        <v>569</v>
      </c>
      <c r="X79" s="0" t="s">
        <v>624</v>
      </c>
      <c r="Y79" s="0" t="s">
        <v>627</v>
      </c>
      <c r="Z79" s="0" t="s">
        <v>629</v>
      </c>
      <c r="AA79" s="0" t="s">
        <v>624</v>
      </c>
      <c r="AB79" s="0" t="s">
        <v>580</v>
      </c>
      <c r="AC79" s="254" t="n">
        <v>-250000</v>
      </c>
      <c r="AD79" s="254" t="n">
        <v>-16732.9322899267</v>
      </c>
      <c r="AE79" s="0" t="n">
        <v>0</v>
      </c>
      <c r="AF79" s="0" t="n">
        <v>0</v>
      </c>
      <c r="AG79" s="0" t="n">
        <v>0</v>
      </c>
      <c r="AH79" s="254" t="n">
        <v>-8426.68274875451</v>
      </c>
      <c r="AI79" s="0" t="n">
        <v>226</v>
      </c>
      <c r="AJ79" s="0" t="s">
        <v>630</v>
      </c>
      <c r="AK79" s="0" t="n">
        <v>0</v>
      </c>
      <c r="AL79" s="0" t="n">
        <v>0</v>
      </c>
      <c r="AM79" s="0" t="n">
        <v>0</v>
      </c>
    </row>
    <row r="80" customFormat="false" ht="12.75" hidden="false" customHeight="false" outlineLevel="0" collapsed="false">
      <c r="A80" s="0" t="s">
        <v>631</v>
      </c>
      <c r="B80" s="0" t="s">
        <v>233</v>
      </c>
      <c r="C80" s="0" t="s">
        <v>622</v>
      </c>
      <c r="D80" s="0" t="s">
        <v>623</v>
      </c>
      <c r="E80" s="0" t="s">
        <v>131</v>
      </c>
      <c r="F80" s="0" t="s">
        <v>198</v>
      </c>
      <c r="G80" s="0" t="s">
        <v>628</v>
      </c>
      <c r="H80" s="0" t="s">
        <v>625</v>
      </c>
      <c r="I80" s="0" t="s">
        <v>626</v>
      </c>
      <c r="J80" s="0" t="s">
        <v>627</v>
      </c>
      <c r="K80" s="475" t="n">
        <v>36831</v>
      </c>
      <c r="L80" s="254" t="n">
        <v>-31782.5503637214</v>
      </c>
      <c r="M80" s="475" t="n">
        <v>36829</v>
      </c>
      <c r="N80" s="0" t="s">
        <v>136</v>
      </c>
      <c r="O80" s="0" t="n">
        <v>1.15</v>
      </c>
      <c r="P80" s="0" t="n">
        <v>0</v>
      </c>
      <c r="Q80" s="0" t="n">
        <v>0</v>
      </c>
      <c r="R80" s="0" t="n">
        <v>0</v>
      </c>
      <c r="S80" s="0" t="n">
        <v>0</v>
      </c>
      <c r="T80" s="0" t="s">
        <v>624</v>
      </c>
      <c r="U80" s="0" t="s">
        <v>149</v>
      </c>
      <c r="V80" s="0" t="s">
        <v>624</v>
      </c>
      <c r="W80" s="0" t="s">
        <v>569</v>
      </c>
      <c r="X80" s="0" t="s">
        <v>624</v>
      </c>
      <c r="Y80" s="0" t="s">
        <v>627</v>
      </c>
      <c r="Z80" s="0" t="s">
        <v>629</v>
      </c>
      <c r="AA80" s="0" t="s">
        <v>624</v>
      </c>
      <c r="AB80" s="0" t="s">
        <v>580</v>
      </c>
      <c r="AC80" s="254" t="n">
        <v>-250000</v>
      </c>
      <c r="AD80" s="254" t="n">
        <v>-9434.67285739325</v>
      </c>
      <c r="AE80" s="0" t="n">
        <v>0</v>
      </c>
      <c r="AF80" s="0" t="n">
        <v>0</v>
      </c>
      <c r="AG80" s="0" t="n">
        <v>0</v>
      </c>
      <c r="AH80" s="254" t="n">
        <v>-3538.97670935606</v>
      </c>
      <c r="AI80" s="0" t="n">
        <v>226</v>
      </c>
      <c r="AJ80" s="0" t="s">
        <v>630</v>
      </c>
      <c r="AK80" s="0" t="n">
        <v>0</v>
      </c>
      <c r="AL80" s="0" t="n">
        <v>0</v>
      </c>
      <c r="AM80" s="0" t="n">
        <v>0</v>
      </c>
    </row>
    <row r="81" customFormat="false" ht="12.75" hidden="false" customHeight="false" outlineLevel="0" collapsed="false">
      <c r="A81" s="0" t="s">
        <v>631</v>
      </c>
      <c r="B81" s="0" t="s">
        <v>234</v>
      </c>
      <c r="C81" s="0" t="s">
        <v>622</v>
      </c>
      <c r="D81" s="0" t="s">
        <v>623</v>
      </c>
      <c r="E81" s="0" t="s">
        <v>131</v>
      </c>
      <c r="F81" s="0" t="s">
        <v>198</v>
      </c>
      <c r="G81" s="0" t="s">
        <v>628</v>
      </c>
      <c r="H81" s="0" t="s">
        <v>625</v>
      </c>
      <c r="I81" s="0" t="s">
        <v>626</v>
      </c>
      <c r="J81" s="0" t="s">
        <v>627</v>
      </c>
      <c r="K81" s="475" t="n">
        <v>36951</v>
      </c>
      <c r="L81" s="254" t="n">
        <v>-137278.604274352</v>
      </c>
      <c r="M81" s="475" t="n">
        <v>36949</v>
      </c>
      <c r="N81" s="0" t="s">
        <v>132</v>
      </c>
      <c r="O81" s="0" t="n">
        <v>1.15</v>
      </c>
      <c r="P81" s="0" t="n">
        <v>0</v>
      </c>
      <c r="Q81" s="0" t="n">
        <v>0</v>
      </c>
      <c r="R81" s="0" t="n">
        <v>0</v>
      </c>
      <c r="S81" s="0" t="n">
        <v>0</v>
      </c>
      <c r="T81" s="0" t="s">
        <v>624</v>
      </c>
      <c r="U81" s="0" t="s">
        <v>149</v>
      </c>
      <c r="V81" s="0" t="s">
        <v>624</v>
      </c>
      <c r="W81" s="0" t="s">
        <v>569</v>
      </c>
      <c r="X81" s="0" t="s">
        <v>624</v>
      </c>
      <c r="Y81" s="0" t="s">
        <v>627</v>
      </c>
      <c r="Z81" s="0" t="s">
        <v>629</v>
      </c>
      <c r="AA81" s="0" t="s">
        <v>624</v>
      </c>
      <c r="AB81" s="0" t="s">
        <v>580</v>
      </c>
      <c r="AC81" s="254" t="n">
        <v>-250000</v>
      </c>
      <c r="AD81" s="254" t="n">
        <v>-22058.4715271949</v>
      </c>
      <c r="AE81" s="0" t="n">
        <v>0</v>
      </c>
      <c r="AF81" s="0" t="n">
        <v>0</v>
      </c>
      <c r="AG81" s="0" t="n">
        <v>0</v>
      </c>
      <c r="AH81" s="254" t="n">
        <v>5836.66142672091</v>
      </c>
      <c r="AI81" s="0" t="n">
        <v>226</v>
      </c>
      <c r="AJ81" s="0" t="s">
        <v>630</v>
      </c>
      <c r="AK81" s="0" t="n">
        <v>0</v>
      </c>
      <c r="AL81" s="0" t="n">
        <v>0</v>
      </c>
      <c r="AM81" s="0" t="n">
        <v>0</v>
      </c>
    </row>
    <row r="82" customFormat="false" ht="12.75" hidden="false" customHeight="false" outlineLevel="0" collapsed="false">
      <c r="A82" s="0" t="s">
        <v>631</v>
      </c>
      <c r="B82" s="0" t="s">
        <v>234</v>
      </c>
      <c r="C82" s="0" t="s">
        <v>622</v>
      </c>
      <c r="D82" s="0" t="s">
        <v>623</v>
      </c>
      <c r="E82" s="0" t="s">
        <v>131</v>
      </c>
      <c r="F82" s="0" t="s">
        <v>198</v>
      </c>
      <c r="G82" s="0" t="s">
        <v>628</v>
      </c>
      <c r="H82" s="0" t="s">
        <v>625</v>
      </c>
      <c r="I82" s="0" t="s">
        <v>626</v>
      </c>
      <c r="J82" s="0" t="s">
        <v>627</v>
      </c>
      <c r="K82" s="475" t="n">
        <v>36923</v>
      </c>
      <c r="L82" s="254" t="n">
        <v>-63035.3249302444</v>
      </c>
      <c r="M82" s="475" t="n">
        <v>36921</v>
      </c>
      <c r="N82" s="0" t="s">
        <v>132</v>
      </c>
      <c r="O82" s="0" t="n">
        <v>1.15</v>
      </c>
      <c r="P82" s="0" t="n">
        <v>0</v>
      </c>
      <c r="Q82" s="0" t="n">
        <v>0</v>
      </c>
      <c r="R82" s="0" t="n">
        <v>0</v>
      </c>
      <c r="S82" s="0" t="n">
        <v>0</v>
      </c>
      <c r="T82" s="0" t="s">
        <v>624</v>
      </c>
      <c r="U82" s="0" t="s">
        <v>149</v>
      </c>
      <c r="V82" s="0" t="s">
        <v>624</v>
      </c>
      <c r="W82" s="0" t="s">
        <v>569</v>
      </c>
      <c r="X82" s="0" t="s">
        <v>624</v>
      </c>
      <c r="Y82" s="0" t="s">
        <v>627</v>
      </c>
      <c r="Z82" s="0" t="s">
        <v>629</v>
      </c>
      <c r="AA82" s="0" t="s">
        <v>624</v>
      </c>
      <c r="AB82" s="0" t="s">
        <v>580</v>
      </c>
      <c r="AC82" s="254" t="n">
        <v>-250000</v>
      </c>
      <c r="AD82" s="254" t="n">
        <v>-18797.2995730032</v>
      </c>
      <c r="AE82" s="0" t="n">
        <v>0</v>
      </c>
      <c r="AF82" s="0" t="n">
        <v>0</v>
      </c>
      <c r="AG82" s="0" t="n">
        <v>0</v>
      </c>
      <c r="AH82" s="254" t="n">
        <v>3116.68939537423</v>
      </c>
      <c r="AI82" s="0" t="n">
        <v>226</v>
      </c>
      <c r="AJ82" s="0" t="s">
        <v>630</v>
      </c>
      <c r="AK82" s="0" t="n">
        <v>0</v>
      </c>
      <c r="AL82" s="0" t="n">
        <v>0</v>
      </c>
      <c r="AM82" s="0" t="n">
        <v>0</v>
      </c>
    </row>
    <row r="83" customFormat="false" ht="12.75" hidden="false" customHeight="false" outlineLevel="0" collapsed="false">
      <c r="A83" s="0" t="s">
        <v>631</v>
      </c>
      <c r="B83" s="0" t="s">
        <v>234</v>
      </c>
      <c r="C83" s="0" t="s">
        <v>622</v>
      </c>
      <c r="D83" s="0" t="s">
        <v>623</v>
      </c>
      <c r="E83" s="0" t="s">
        <v>131</v>
      </c>
      <c r="F83" s="0" t="s">
        <v>198</v>
      </c>
      <c r="G83" s="0" t="s">
        <v>628</v>
      </c>
      <c r="H83" s="0" t="s">
        <v>625</v>
      </c>
      <c r="I83" s="0" t="s">
        <v>626</v>
      </c>
      <c r="J83" s="0" t="s">
        <v>627</v>
      </c>
      <c r="K83" s="475" t="n">
        <v>36892</v>
      </c>
      <c r="L83" s="254" t="n">
        <v>-52119.0519368378</v>
      </c>
      <c r="M83" s="475" t="n">
        <v>36888</v>
      </c>
      <c r="N83" s="0" t="s">
        <v>132</v>
      </c>
      <c r="O83" s="0" t="n">
        <v>1.15</v>
      </c>
      <c r="P83" s="0" t="n">
        <v>0</v>
      </c>
      <c r="Q83" s="0" t="n">
        <v>0</v>
      </c>
      <c r="R83" s="0" t="n">
        <v>0</v>
      </c>
      <c r="S83" s="0" t="n">
        <v>0</v>
      </c>
      <c r="T83" s="0" t="s">
        <v>624</v>
      </c>
      <c r="U83" s="0" t="s">
        <v>149</v>
      </c>
      <c r="V83" s="0" t="s">
        <v>624</v>
      </c>
      <c r="W83" s="0" t="s">
        <v>569</v>
      </c>
      <c r="X83" s="0" t="s">
        <v>624</v>
      </c>
      <c r="Y83" s="0" t="s">
        <v>627</v>
      </c>
      <c r="Z83" s="0" t="s">
        <v>629</v>
      </c>
      <c r="AA83" s="0" t="s">
        <v>624</v>
      </c>
      <c r="AB83" s="0" t="s">
        <v>580</v>
      </c>
      <c r="AC83" s="254" t="n">
        <v>-250000</v>
      </c>
      <c r="AD83" s="254" t="n">
        <v>-16298.5149244984</v>
      </c>
      <c r="AE83" s="0" t="n">
        <v>0</v>
      </c>
      <c r="AF83" s="0" t="n">
        <v>0</v>
      </c>
      <c r="AG83" s="0" t="n">
        <v>0</v>
      </c>
      <c r="AH83" s="254" t="n">
        <v>2350.2053849036</v>
      </c>
      <c r="AI83" s="0" t="n">
        <v>226</v>
      </c>
      <c r="AJ83" s="0" t="s">
        <v>630</v>
      </c>
      <c r="AK83" s="0" t="n">
        <v>0</v>
      </c>
      <c r="AL83" s="0" t="n">
        <v>0</v>
      </c>
      <c r="AM83" s="0" t="n">
        <v>0</v>
      </c>
    </row>
    <row r="84" customFormat="false" ht="12.75" hidden="false" customHeight="false" outlineLevel="0" collapsed="false">
      <c r="A84" s="0" t="s">
        <v>631</v>
      </c>
      <c r="B84" s="0" t="s">
        <v>234</v>
      </c>
      <c r="C84" s="0" t="s">
        <v>622</v>
      </c>
      <c r="D84" s="0" t="s">
        <v>623</v>
      </c>
      <c r="E84" s="0" t="s">
        <v>131</v>
      </c>
      <c r="F84" s="0" t="s">
        <v>198</v>
      </c>
      <c r="G84" s="0" t="s">
        <v>628</v>
      </c>
      <c r="H84" s="0" t="s">
        <v>625</v>
      </c>
      <c r="I84" s="0" t="s">
        <v>626</v>
      </c>
      <c r="J84" s="0" t="s">
        <v>627</v>
      </c>
      <c r="K84" s="475" t="n">
        <v>36861</v>
      </c>
      <c r="L84" s="254" t="n">
        <v>-69789.8539016262</v>
      </c>
      <c r="M84" s="475" t="n">
        <v>36859</v>
      </c>
      <c r="N84" s="0" t="s">
        <v>132</v>
      </c>
      <c r="O84" s="0" t="n">
        <v>1.15</v>
      </c>
      <c r="P84" s="0" t="n">
        <v>0</v>
      </c>
      <c r="Q84" s="0" t="n">
        <v>0</v>
      </c>
      <c r="R84" s="0" t="n">
        <v>0</v>
      </c>
      <c r="S84" s="0" t="n">
        <v>0</v>
      </c>
      <c r="T84" s="0" t="s">
        <v>624</v>
      </c>
      <c r="U84" s="0" t="s">
        <v>149</v>
      </c>
      <c r="V84" s="0" t="s">
        <v>624</v>
      </c>
      <c r="W84" s="0" t="s">
        <v>569</v>
      </c>
      <c r="X84" s="0" t="s">
        <v>624</v>
      </c>
      <c r="Y84" s="0" t="s">
        <v>627</v>
      </c>
      <c r="Z84" s="0" t="s">
        <v>629</v>
      </c>
      <c r="AA84" s="0" t="s">
        <v>624</v>
      </c>
      <c r="AB84" s="0" t="s">
        <v>580</v>
      </c>
      <c r="AC84" s="254" t="n">
        <v>-250000</v>
      </c>
      <c r="AD84" s="254" t="n">
        <v>-16732.9322899268</v>
      </c>
      <c r="AE84" s="0" t="n">
        <v>0</v>
      </c>
      <c r="AF84" s="0" t="n">
        <v>0</v>
      </c>
      <c r="AG84" s="0" t="n">
        <v>0</v>
      </c>
      <c r="AH84" s="254" t="n">
        <v>2623.2436886049</v>
      </c>
      <c r="AI84" s="0" t="n">
        <v>226</v>
      </c>
      <c r="AJ84" s="0" t="s">
        <v>630</v>
      </c>
      <c r="AK84" s="0" t="n">
        <v>0</v>
      </c>
      <c r="AL84" s="0" t="n">
        <v>0</v>
      </c>
      <c r="AM84" s="0" t="n">
        <v>0</v>
      </c>
    </row>
    <row r="85" customFormat="false" ht="12.75" hidden="false" customHeight="false" outlineLevel="0" collapsed="false">
      <c r="A85" s="0" t="s">
        <v>631</v>
      </c>
      <c r="B85" s="0" t="s">
        <v>234</v>
      </c>
      <c r="C85" s="0" t="s">
        <v>622</v>
      </c>
      <c r="D85" s="0" t="s">
        <v>623</v>
      </c>
      <c r="E85" s="0" t="s">
        <v>131</v>
      </c>
      <c r="F85" s="0" t="s">
        <v>198</v>
      </c>
      <c r="G85" s="0" t="s">
        <v>628</v>
      </c>
      <c r="H85" s="0" t="s">
        <v>625</v>
      </c>
      <c r="I85" s="0" t="s">
        <v>626</v>
      </c>
      <c r="J85" s="0" t="s">
        <v>627</v>
      </c>
      <c r="K85" s="475" t="n">
        <v>36831</v>
      </c>
      <c r="L85" s="254" t="n">
        <v>-125673.079917031</v>
      </c>
      <c r="M85" s="475" t="n">
        <v>36829</v>
      </c>
      <c r="N85" s="0" t="s">
        <v>132</v>
      </c>
      <c r="O85" s="0" t="n">
        <v>1.15</v>
      </c>
      <c r="P85" s="0" t="n">
        <v>0</v>
      </c>
      <c r="Q85" s="0" t="n">
        <v>0</v>
      </c>
      <c r="R85" s="0" t="n">
        <v>0</v>
      </c>
      <c r="S85" s="0" t="n">
        <v>0</v>
      </c>
      <c r="T85" s="0" t="s">
        <v>624</v>
      </c>
      <c r="U85" s="0" t="s">
        <v>149</v>
      </c>
      <c r="V85" s="0" t="s">
        <v>624</v>
      </c>
      <c r="W85" s="0" t="s">
        <v>569</v>
      </c>
      <c r="X85" s="0" t="s">
        <v>624</v>
      </c>
      <c r="Y85" s="0" t="s">
        <v>627</v>
      </c>
      <c r="Z85" s="0" t="s">
        <v>629</v>
      </c>
      <c r="AA85" s="0" t="s">
        <v>624</v>
      </c>
      <c r="AB85" s="0" t="s">
        <v>580</v>
      </c>
      <c r="AC85" s="254" t="n">
        <v>-250000</v>
      </c>
      <c r="AD85" s="254" t="n">
        <v>-9434.67285739325</v>
      </c>
      <c r="AE85" s="0" t="n">
        <v>0</v>
      </c>
      <c r="AF85" s="0" t="n">
        <v>0</v>
      </c>
      <c r="AG85" s="0" t="n">
        <v>0</v>
      </c>
      <c r="AH85" s="254" t="n">
        <v>6338.79514378634</v>
      </c>
      <c r="AI85" s="0" t="n">
        <v>226</v>
      </c>
      <c r="AJ85" s="0" t="s">
        <v>630</v>
      </c>
      <c r="AK85" s="0" t="n">
        <v>0</v>
      </c>
      <c r="AL85" s="0" t="n">
        <v>0</v>
      </c>
      <c r="AM85" s="0" t="n">
        <v>0</v>
      </c>
    </row>
    <row r="86" customFormat="false" ht="12.75" hidden="false" customHeight="false" outlineLevel="0" collapsed="false">
      <c r="A86" s="0" t="s">
        <v>631</v>
      </c>
      <c r="B86" s="0" t="s">
        <v>235</v>
      </c>
      <c r="C86" s="0" t="s">
        <v>622</v>
      </c>
      <c r="D86" s="0" t="s">
        <v>623</v>
      </c>
      <c r="E86" s="0" t="s">
        <v>131</v>
      </c>
      <c r="F86" s="0" t="s">
        <v>198</v>
      </c>
      <c r="G86" s="0" t="s">
        <v>628</v>
      </c>
      <c r="H86" s="0" t="s">
        <v>625</v>
      </c>
      <c r="I86" s="0" t="s">
        <v>626</v>
      </c>
      <c r="J86" s="0" t="s">
        <v>627</v>
      </c>
      <c r="K86" s="475" t="n">
        <v>36800</v>
      </c>
      <c r="L86" s="254" t="n">
        <v>-11397.7799949277</v>
      </c>
      <c r="M86" s="475" t="n">
        <v>36797</v>
      </c>
      <c r="N86" s="0" t="s">
        <v>136</v>
      </c>
      <c r="O86" s="0" t="n">
        <v>-0.32</v>
      </c>
      <c r="P86" s="0" t="n">
        <v>0</v>
      </c>
      <c r="Q86" s="0" t="n">
        <v>0</v>
      </c>
      <c r="R86" s="0" t="n">
        <v>0</v>
      </c>
      <c r="S86" s="0" t="n">
        <v>0</v>
      </c>
      <c r="T86" s="0" t="s">
        <v>624</v>
      </c>
      <c r="U86" s="0" t="s">
        <v>151</v>
      </c>
      <c r="V86" s="0" t="s">
        <v>624</v>
      </c>
      <c r="W86" s="0" t="s">
        <v>569</v>
      </c>
      <c r="X86" s="0" t="s">
        <v>624</v>
      </c>
      <c r="Y86" s="0" t="s">
        <v>627</v>
      </c>
      <c r="Z86" s="0" t="s">
        <v>629</v>
      </c>
      <c r="AA86" s="0" t="s">
        <v>624</v>
      </c>
      <c r="AB86" s="0" t="s">
        <v>580</v>
      </c>
      <c r="AC86" s="254" t="n">
        <v>-500000</v>
      </c>
      <c r="AD86" s="254" t="n">
        <v>-8962.04181155208</v>
      </c>
      <c r="AE86" s="0" t="n">
        <v>0</v>
      </c>
      <c r="AF86" s="0" t="n">
        <v>0</v>
      </c>
      <c r="AG86" s="0" t="n">
        <v>0</v>
      </c>
      <c r="AH86" s="254" t="n">
        <v>4185.59561627529</v>
      </c>
      <c r="AI86" s="0" t="n">
        <v>226</v>
      </c>
      <c r="AJ86" s="0" t="s">
        <v>630</v>
      </c>
      <c r="AK86" s="0" t="n">
        <v>0</v>
      </c>
      <c r="AL86" s="0" t="n">
        <v>0</v>
      </c>
      <c r="AM86" s="0" t="n">
        <v>0</v>
      </c>
    </row>
    <row r="87" customFormat="false" ht="12.75" hidden="false" customHeight="false" outlineLevel="0" collapsed="false">
      <c r="A87" s="0" t="s">
        <v>631</v>
      </c>
      <c r="B87" s="0" t="s">
        <v>235</v>
      </c>
      <c r="C87" s="0" t="s">
        <v>622</v>
      </c>
      <c r="D87" s="0" t="s">
        <v>623</v>
      </c>
      <c r="E87" s="0" t="s">
        <v>131</v>
      </c>
      <c r="F87" s="0" t="s">
        <v>198</v>
      </c>
      <c r="G87" s="0" t="s">
        <v>628</v>
      </c>
      <c r="H87" s="0" t="s">
        <v>625</v>
      </c>
      <c r="I87" s="0" t="s">
        <v>626</v>
      </c>
      <c r="J87" s="0" t="s">
        <v>627</v>
      </c>
      <c r="K87" s="475" t="n">
        <v>36770</v>
      </c>
      <c r="L87" s="254" t="n">
        <v>-0.0602887144929287</v>
      </c>
      <c r="M87" s="475" t="n">
        <v>36768</v>
      </c>
      <c r="N87" s="0" t="s">
        <v>136</v>
      </c>
      <c r="O87" s="0" t="n">
        <v>-0.32</v>
      </c>
      <c r="P87" s="0" t="n">
        <v>0</v>
      </c>
      <c r="Q87" s="0" t="n">
        <v>0</v>
      </c>
      <c r="R87" s="0" t="n">
        <v>0</v>
      </c>
      <c r="S87" s="0" t="n">
        <v>0</v>
      </c>
      <c r="T87" s="0" t="s">
        <v>624</v>
      </c>
      <c r="U87" s="0" t="s">
        <v>151</v>
      </c>
      <c r="V87" s="0" t="s">
        <v>624</v>
      </c>
      <c r="W87" s="0" t="s">
        <v>569</v>
      </c>
      <c r="X87" s="0" t="s">
        <v>624</v>
      </c>
      <c r="Y87" s="0" t="s">
        <v>627</v>
      </c>
      <c r="Z87" s="0" t="s">
        <v>629</v>
      </c>
      <c r="AA87" s="0" t="s">
        <v>624</v>
      </c>
      <c r="AB87" s="0" t="s">
        <v>580</v>
      </c>
      <c r="AC87" s="254" t="n">
        <v>-500000</v>
      </c>
      <c r="AD87" s="254" t="n">
        <v>0.0192892740669137</v>
      </c>
      <c r="AE87" s="0" t="n">
        <v>0</v>
      </c>
      <c r="AF87" s="0" t="n">
        <v>0</v>
      </c>
      <c r="AG87" s="0" t="n">
        <v>0</v>
      </c>
      <c r="AH87" s="254" t="n">
        <v>-0.00391945720323861</v>
      </c>
      <c r="AI87" s="0" t="n">
        <v>226</v>
      </c>
      <c r="AJ87" s="0" t="s">
        <v>630</v>
      </c>
      <c r="AK87" s="0" t="n">
        <v>0</v>
      </c>
      <c r="AL87" s="0" t="n">
        <v>0</v>
      </c>
      <c r="AM87" s="0" t="n">
        <v>0</v>
      </c>
    </row>
    <row r="88" customFormat="false" ht="12.75" hidden="false" customHeight="false" outlineLevel="0" collapsed="false">
      <c r="A88" s="0" t="s">
        <v>631</v>
      </c>
      <c r="B88" s="0" t="s">
        <v>236</v>
      </c>
      <c r="C88" s="0" t="s">
        <v>622</v>
      </c>
      <c r="D88" s="0" t="s">
        <v>623</v>
      </c>
      <c r="E88" s="0" t="s">
        <v>131</v>
      </c>
      <c r="F88" s="0" t="s">
        <v>198</v>
      </c>
      <c r="G88" s="0" t="s">
        <v>628</v>
      </c>
      <c r="H88" s="0" t="s">
        <v>625</v>
      </c>
      <c r="I88" s="0" t="s">
        <v>626</v>
      </c>
      <c r="J88" s="0" t="s">
        <v>627</v>
      </c>
      <c r="K88" s="475" t="n">
        <v>36800</v>
      </c>
      <c r="L88" s="254" t="n">
        <v>-252501.209681802</v>
      </c>
      <c r="M88" s="475" t="n">
        <v>36797</v>
      </c>
      <c r="N88" s="0" t="s">
        <v>132</v>
      </c>
      <c r="O88" s="0" t="n">
        <v>-0.32</v>
      </c>
      <c r="P88" s="0" t="n">
        <v>0</v>
      </c>
      <c r="Q88" s="0" t="n">
        <v>0</v>
      </c>
      <c r="R88" s="0" t="n">
        <v>0</v>
      </c>
      <c r="S88" s="0" t="n">
        <v>0</v>
      </c>
      <c r="T88" s="0" t="s">
        <v>624</v>
      </c>
      <c r="U88" s="0" t="s">
        <v>151</v>
      </c>
      <c r="V88" s="0" t="s">
        <v>624</v>
      </c>
      <c r="W88" s="0" t="s">
        <v>569</v>
      </c>
      <c r="X88" s="0" t="s">
        <v>624</v>
      </c>
      <c r="Y88" s="0" t="s">
        <v>627</v>
      </c>
      <c r="Z88" s="0" t="s">
        <v>629</v>
      </c>
      <c r="AA88" s="0" t="s">
        <v>624</v>
      </c>
      <c r="AB88" s="0" t="s">
        <v>580</v>
      </c>
      <c r="AC88" s="254" t="n">
        <v>-500000</v>
      </c>
      <c r="AD88" s="254" t="n">
        <v>-8962.04181155207</v>
      </c>
      <c r="AE88" s="0" t="n">
        <v>0</v>
      </c>
      <c r="AF88" s="0" t="n">
        <v>0</v>
      </c>
      <c r="AG88" s="0" t="n">
        <v>0</v>
      </c>
      <c r="AH88" s="254" t="n">
        <v>-28109.4344184323</v>
      </c>
      <c r="AI88" s="0" t="n">
        <v>226</v>
      </c>
      <c r="AJ88" s="0" t="s">
        <v>630</v>
      </c>
      <c r="AK88" s="0" t="n">
        <v>0</v>
      </c>
      <c r="AL88" s="0" t="n">
        <v>0</v>
      </c>
      <c r="AM88" s="0" t="n">
        <v>0</v>
      </c>
    </row>
    <row r="89" customFormat="false" ht="12.75" hidden="false" customHeight="false" outlineLevel="0" collapsed="false">
      <c r="A89" s="0" t="s">
        <v>631</v>
      </c>
      <c r="B89" s="0" t="s">
        <v>236</v>
      </c>
      <c r="C89" s="0" t="s">
        <v>622</v>
      </c>
      <c r="D89" s="0" t="s">
        <v>623</v>
      </c>
      <c r="E89" s="0" t="s">
        <v>131</v>
      </c>
      <c r="F89" s="0" t="s">
        <v>198</v>
      </c>
      <c r="G89" s="0" t="s">
        <v>628</v>
      </c>
      <c r="H89" s="0" t="s">
        <v>625</v>
      </c>
      <c r="I89" s="0" t="s">
        <v>626</v>
      </c>
      <c r="J89" s="0" t="s">
        <v>627</v>
      </c>
      <c r="K89" s="475" t="n">
        <v>36770</v>
      </c>
      <c r="L89" s="254" t="n">
        <v>-459830.785759414</v>
      </c>
      <c r="M89" s="475" t="n">
        <v>36768</v>
      </c>
      <c r="N89" s="0" t="s">
        <v>132</v>
      </c>
      <c r="O89" s="0" t="n">
        <v>-0.32</v>
      </c>
      <c r="P89" s="0" t="n">
        <v>0</v>
      </c>
      <c r="Q89" s="0" t="n">
        <v>0</v>
      </c>
      <c r="R89" s="0" t="n">
        <v>0</v>
      </c>
      <c r="S89" s="0" t="n">
        <v>0</v>
      </c>
      <c r="T89" s="0" t="s">
        <v>624</v>
      </c>
      <c r="U89" s="0" t="s">
        <v>151</v>
      </c>
      <c r="V89" s="0" t="s">
        <v>624</v>
      </c>
      <c r="W89" s="0" t="s">
        <v>569</v>
      </c>
      <c r="X89" s="0" t="s">
        <v>624</v>
      </c>
      <c r="Y89" s="0" t="s">
        <v>627</v>
      </c>
      <c r="Z89" s="0" t="s">
        <v>629</v>
      </c>
      <c r="AA89" s="0" t="s">
        <v>624</v>
      </c>
      <c r="AB89" s="0" t="s">
        <v>580</v>
      </c>
      <c r="AC89" s="254" t="n">
        <v>-500000</v>
      </c>
      <c r="AD89" s="254" t="n">
        <v>0.0192892740597017</v>
      </c>
      <c r="AE89" s="0" t="n">
        <v>0</v>
      </c>
      <c r="AF89" s="0" t="n">
        <v>0</v>
      </c>
      <c r="AG89" s="0" t="n">
        <v>0</v>
      </c>
      <c r="AH89" s="254" t="n">
        <v>-29972.4328786707</v>
      </c>
      <c r="AI89" s="0" t="n">
        <v>226</v>
      </c>
      <c r="AJ89" s="0" t="s">
        <v>630</v>
      </c>
      <c r="AK89" s="0" t="n">
        <v>0</v>
      </c>
      <c r="AL89" s="0" t="n">
        <v>0</v>
      </c>
      <c r="AM89" s="0" t="n">
        <v>0</v>
      </c>
    </row>
    <row r="90" customFormat="false" ht="12.75" hidden="false" customHeight="false" outlineLevel="0" collapsed="false">
      <c r="A90" s="0" t="s">
        <v>631</v>
      </c>
      <c r="B90" s="0" t="s">
        <v>237</v>
      </c>
      <c r="C90" s="0" t="s">
        <v>622</v>
      </c>
      <c r="D90" s="0" t="s">
        <v>623</v>
      </c>
      <c r="E90" s="0" t="s">
        <v>131</v>
      </c>
      <c r="F90" s="0" t="s">
        <v>198</v>
      </c>
      <c r="G90" s="0" t="s">
        <v>628</v>
      </c>
      <c r="H90" s="0" t="s">
        <v>625</v>
      </c>
      <c r="I90" s="0" t="s">
        <v>626</v>
      </c>
      <c r="J90" s="0" t="s">
        <v>627</v>
      </c>
      <c r="K90" s="475" t="n">
        <v>36800</v>
      </c>
      <c r="L90" s="254" t="n">
        <v>-52680.866995455</v>
      </c>
      <c r="M90" s="475" t="n">
        <v>36797</v>
      </c>
      <c r="N90" s="0" t="s">
        <v>136</v>
      </c>
      <c r="O90" s="0" t="n">
        <v>0.32</v>
      </c>
      <c r="P90" s="0" t="n">
        <v>0</v>
      </c>
      <c r="Q90" s="0" t="n">
        <v>0</v>
      </c>
      <c r="R90" s="0" t="n">
        <v>0</v>
      </c>
      <c r="S90" s="0" t="n">
        <v>0</v>
      </c>
      <c r="T90" s="0" t="s">
        <v>624</v>
      </c>
      <c r="U90" s="0" t="s">
        <v>149</v>
      </c>
      <c r="V90" s="0" t="s">
        <v>624</v>
      </c>
      <c r="W90" s="0" t="s">
        <v>569</v>
      </c>
      <c r="X90" s="0" t="s">
        <v>624</v>
      </c>
      <c r="Y90" s="0" t="s">
        <v>627</v>
      </c>
      <c r="Z90" s="0" t="s">
        <v>629</v>
      </c>
      <c r="AA90" s="0" t="s">
        <v>624</v>
      </c>
      <c r="AB90" s="0" t="s">
        <v>580</v>
      </c>
      <c r="AC90" s="254" t="n">
        <v>-500000</v>
      </c>
      <c r="AD90" s="254" t="n">
        <v>-2344.6881448924</v>
      </c>
      <c r="AE90" s="0" t="n">
        <v>0</v>
      </c>
      <c r="AF90" s="0" t="n">
        <v>0</v>
      </c>
      <c r="AG90" s="0" t="n">
        <v>0</v>
      </c>
      <c r="AH90" s="254" t="n">
        <v>-135.032784930379</v>
      </c>
      <c r="AI90" s="0" t="n">
        <v>226</v>
      </c>
      <c r="AJ90" s="0" t="s">
        <v>630</v>
      </c>
      <c r="AK90" s="0" t="n">
        <v>0</v>
      </c>
      <c r="AL90" s="0" t="n">
        <v>0</v>
      </c>
      <c r="AM90" s="0" t="n">
        <v>0</v>
      </c>
    </row>
    <row r="91" customFormat="false" ht="12.75" hidden="false" customHeight="false" outlineLevel="0" collapsed="false">
      <c r="A91" s="0" t="s">
        <v>631</v>
      </c>
      <c r="B91" s="0" t="s">
        <v>237</v>
      </c>
      <c r="C91" s="0" t="s">
        <v>622</v>
      </c>
      <c r="D91" s="0" t="s">
        <v>623</v>
      </c>
      <c r="E91" s="0" t="s">
        <v>131</v>
      </c>
      <c r="F91" s="0" t="s">
        <v>198</v>
      </c>
      <c r="G91" s="0" t="s">
        <v>628</v>
      </c>
      <c r="H91" s="0" t="s">
        <v>625</v>
      </c>
      <c r="I91" s="0" t="s">
        <v>626</v>
      </c>
      <c r="J91" s="0" t="s">
        <v>627</v>
      </c>
      <c r="K91" s="475" t="n">
        <v>36770</v>
      </c>
      <c r="L91" s="254" t="n">
        <v>-2581.92745646662</v>
      </c>
      <c r="M91" s="475" t="n">
        <v>36768</v>
      </c>
      <c r="N91" s="0" t="s">
        <v>136</v>
      </c>
      <c r="O91" s="0" t="n">
        <v>0.32</v>
      </c>
      <c r="P91" s="0" t="n">
        <v>0</v>
      </c>
      <c r="Q91" s="0" t="n">
        <v>0</v>
      </c>
      <c r="R91" s="0" t="n">
        <v>0</v>
      </c>
      <c r="S91" s="0" t="n">
        <v>0</v>
      </c>
      <c r="T91" s="0" t="s">
        <v>624</v>
      </c>
      <c r="U91" s="0" t="s">
        <v>149</v>
      </c>
      <c r="V91" s="0" t="s">
        <v>624</v>
      </c>
      <c r="W91" s="0" t="s">
        <v>569</v>
      </c>
      <c r="X91" s="0" t="s">
        <v>624</v>
      </c>
      <c r="Y91" s="0" t="s">
        <v>627</v>
      </c>
      <c r="Z91" s="0" t="s">
        <v>629</v>
      </c>
      <c r="AA91" s="0" t="s">
        <v>624</v>
      </c>
      <c r="AB91" s="0" t="s">
        <v>580</v>
      </c>
      <c r="AC91" s="254" t="n">
        <v>-500000</v>
      </c>
      <c r="AD91" s="254" t="n">
        <v>-607.139739001694</v>
      </c>
      <c r="AE91" s="0" t="n">
        <v>0</v>
      </c>
      <c r="AF91" s="0" t="n">
        <v>0</v>
      </c>
      <c r="AG91" s="0" t="n">
        <v>0</v>
      </c>
      <c r="AH91" s="254" t="n">
        <v>-72.9608457674394</v>
      </c>
      <c r="AI91" s="0" t="n">
        <v>226</v>
      </c>
      <c r="AJ91" s="0" t="s">
        <v>630</v>
      </c>
      <c r="AK91" s="0" t="n">
        <v>0</v>
      </c>
      <c r="AL91" s="0" t="n">
        <v>0</v>
      </c>
      <c r="AM91" s="0" t="n">
        <v>0</v>
      </c>
    </row>
    <row r="92" customFormat="false" ht="12.75" hidden="false" customHeight="false" outlineLevel="0" collapsed="false">
      <c r="A92" s="0" t="s">
        <v>631</v>
      </c>
      <c r="B92" s="0" t="s">
        <v>238</v>
      </c>
      <c r="C92" s="0" t="s">
        <v>622</v>
      </c>
      <c r="D92" s="0" t="s">
        <v>623</v>
      </c>
      <c r="E92" s="0" t="s">
        <v>131</v>
      </c>
      <c r="F92" s="0" t="s">
        <v>198</v>
      </c>
      <c r="G92" s="0" t="s">
        <v>628</v>
      </c>
      <c r="H92" s="0" t="s">
        <v>625</v>
      </c>
      <c r="I92" s="0" t="s">
        <v>626</v>
      </c>
      <c r="J92" s="0" t="s">
        <v>627</v>
      </c>
      <c r="K92" s="475" t="n">
        <v>36800</v>
      </c>
      <c r="L92" s="254" t="n">
        <v>-5454.42200524293</v>
      </c>
      <c r="M92" s="475" t="n">
        <v>36797</v>
      </c>
      <c r="N92" s="0" t="s">
        <v>132</v>
      </c>
      <c r="O92" s="0" t="n">
        <v>0.32</v>
      </c>
      <c r="P92" s="0" t="n">
        <v>0</v>
      </c>
      <c r="Q92" s="0" t="n">
        <v>0</v>
      </c>
      <c r="R92" s="0" t="n">
        <v>0</v>
      </c>
      <c r="S92" s="0" t="n">
        <v>0</v>
      </c>
      <c r="T92" s="0" t="s">
        <v>624</v>
      </c>
      <c r="U92" s="0" t="s">
        <v>149</v>
      </c>
      <c r="V92" s="0" t="s">
        <v>624</v>
      </c>
      <c r="W92" s="0" t="s">
        <v>569</v>
      </c>
      <c r="X92" s="0" t="s">
        <v>624</v>
      </c>
      <c r="Y92" s="0" t="s">
        <v>627</v>
      </c>
      <c r="Z92" s="0" t="s">
        <v>629</v>
      </c>
      <c r="AA92" s="0" t="s">
        <v>624</v>
      </c>
      <c r="AB92" s="0" t="s">
        <v>580</v>
      </c>
      <c r="AC92" s="254" t="n">
        <v>-500000</v>
      </c>
      <c r="AD92" s="254" t="n">
        <v>-2344.68814489241</v>
      </c>
      <c r="AE92" s="0" t="n">
        <v>0</v>
      </c>
      <c r="AF92" s="0" t="n">
        <v>0</v>
      </c>
      <c r="AG92" s="0" t="n">
        <v>0</v>
      </c>
      <c r="AH92" s="254" t="n">
        <v>-135.032784930544</v>
      </c>
      <c r="AI92" s="0" t="n">
        <v>226</v>
      </c>
      <c r="AJ92" s="0" t="s">
        <v>630</v>
      </c>
      <c r="AK92" s="0" t="n">
        <v>0</v>
      </c>
      <c r="AL92" s="0" t="n">
        <v>0</v>
      </c>
      <c r="AM92" s="0" t="n">
        <v>0</v>
      </c>
    </row>
    <row r="93" customFormat="false" ht="12.75" hidden="false" customHeight="false" outlineLevel="0" collapsed="false">
      <c r="A93" s="0" t="s">
        <v>631</v>
      </c>
      <c r="B93" s="0" t="s">
        <v>238</v>
      </c>
      <c r="C93" s="0" t="s">
        <v>622</v>
      </c>
      <c r="D93" s="0" t="s">
        <v>623</v>
      </c>
      <c r="E93" s="0" t="s">
        <v>131</v>
      </c>
      <c r="F93" s="0" t="s">
        <v>198</v>
      </c>
      <c r="G93" s="0" t="s">
        <v>628</v>
      </c>
      <c r="H93" s="0" t="s">
        <v>625</v>
      </c>
      <c r="I93" s="0" t="s">
        <v>626</v>
      </c>
      <c r="J93" s="0" t="s">
        <v>627</v>
      </c>
      <c r="K93" s="475" t="n">
        <v>36770</v>
      </c>
      <c r="L93" s="254" t="n">
        <v>-5081.00748619847</v>
      </c>
      <c r="M93" s="475" t="n">
        <v>36768</v>
      </c>
      <c r="N93" s="0" t="s">
        <v>132</v>
      </c>
      <c r="O93" s="0" t="n">
        <v>0.32</v>
      </c>
      <c r="P93" s="0" t="n">
        <v>0</v>
      </c>
      <c r="Q93" s="0" t="n">
        <v>0</v>
      </c>
      <c r="R93" s="0" t="n">
        <v>0</v>
      </c>
      <c r="S93" s="0" t="n">
        <v>0</v>
      </c>
      <c r="T93" s="0" t="s">
        <v>624</v>
      </c>
      <c r="U93" s="0" t="s">
        <v>149</v>
      </c>
      <c r="V93" s="0" t="s">
        <v>624</v>
      </c>
      <c r="W93" s="0" t="s">
        <v>569</v>
      </c>
      <c r="X93" s="0" t="s">
        <v>624</v>
      </c>
      <c r="Y93" s="0" t="s">
        <v>627</v>
      </c>
      <c r="Z93" s="0" t="s">
        <v>629</v>
      </c>
      <c r="AA93" s="0" t="s">
        <v>624</v>
      </c>
      <c r="AB93" s="0" t="s">
        <v>580</v>
      </c>
      <c r="AC93" s="254" t="n">
        <v>-500000</v>
      </c>
      <c r="AD93" s="254" t="n">
        <v>-607.139739001636</v>
      </c>
      <c r="AE93" s="0" t="n">
        <v>0</v>
      </c>
      <c r="AF93" s="0" t="n">
        <v>0</v>
      </c>
      <c r="AG93" s="0" t="n">
        <v>0</v>
      </c>
      <c r="AH93" s="254" t="n">
        <v>-72.9608457676895</v>
      </c>
      <c r="AI93" s="0" t="n">
        <v>226</v>
      </c>
      <c r="AJ93" s="0" t="s">
        <v>630</v>
      </c>
      <c r="AK93" s="0" t="n">
        <v>0</v>
      </c>
      <c r="AL93" s="0" t="n">
        <v>0</v>
      </c>
      <c r="AM93" s="0" t="n">
        <v>0</v>
      </c>
    </row>
    <row r="94" customFormat="false" ht="12.75" hidden="false" customHeight="false" outlineLevel="0" collapsed="false">
      <c r="A94" s="0" t="s">
        <v>631</v>
      </c>
      <c r="B94" s="0" t="s">
        <v>239</v>
      </c>
      <c r="C94" s="0" t="s">
        <v>622</v>
      </c>
      <c r="D94" s="0" t="s">
        <v>623</v>
      </c>
      <c r="E94" s="0" t="s">
        <v>131</v>
      </c>
      <c r="F94" s="0" t="s">
        <v>198</v>
      </c>
      <c r="G94" s="0" t="s">
        <v>628</v>
      </c>
      <c r="H94" s="0" t="s">
        <v>625</v>
      </c>
      <c r="I94" s="0" t="s">
        <v>626</v>
      </c>
      <c r="J94" s="0" t="s">
        <v>627</v>
      </c>
      <c r="K94" s="475" t="n">
        <v>36800</v>
      </c>
      <c r="L94" s="254" t="n">
        <v>-52680.866995455</v>
      </c>
      <c r="M94" s="475" t="n">
        <v>36797</v>
      </c>
      <c r="N94" s="0" t="s">
        <v>136</v>
      </c>
      <c r="O94" s="0" t="n">
        <v>0.32</v>
      </c>
      <c r="P94" s="0" t="n">
        <v>0</v>
      </c>
      <c r="Q94" s="0" t="n">
        <v>0</v>
      </c>
      <c r="R94" s="0" t="n">
        <v>0</v>
      </c>
      <c r="S94" s="0" t="n">
        <v>0</v>
      </c>
      <c r="T94" s="0" t="s">
        <v>624</v>
      </c>
      <c r="U94" s="0" t="s">
        <v>149</v>
      </c>
      <c r="V94" s="0" t="s">
        <v>624</v>
      </c>
      <c r="W94" s="0" t="s">
        <v>569</v>
      </c>
      <c r="X94" s="0" t="s">
        <v>624</v>
      </c>
      <c r="Y94" s="0" t="s">
        <v>627</v>
      </c>
      <c r="Z94" s="0" t="s">
        <v>629</v>
      </c>
      <c r="AA94" s="0" t="s">
        <v>624</v>
      </c>
      <c r="AB94" s="0" t="s">
        <v>580</v>
      </c>
      <c r="AC94" s="254" t="n">
        <v>-500000</v>
      </c>
      <c r="AD94" s="254" t="n">
        <v>-2344.6881448924</v>
      </c>
      <c r="AE94" s="0" t="n">
        <v>0</v>
      </c>
      <c r="AF94" s="0" t="n">
        <v>0</v>
      </c>
      <c r="AG94" s="0" t="n">
        <v>0</v>
      </c>
      <c r="AH94" s="254" t="n">
        <v>-135.032784930379</v>
      </c>
      <c r="AI94" s="0" t="n">
        <v>226</v>
      </c>
      <c r="AJ94" s="0" t="s">
        <v>630</v>
      </c>
      <c r="AK94" s="0" t="n">
        <v>0</v>
      </c>
      <c r="AL94" s="0" t="n">
        <v>0</v>
      </c>
      <c r="AM94" s="0" t="n">
        <v>0</v>
      </c>
    </row>
    <row r="95" customFormat="false" ht="12.75" hidden="false" customHeight="false" outlineLevel="0" collapsed="false">
      <c r="A95" s="0" t="s">
        <v>631</v>
      </c>
      <c r="B95" s="0" t="s">
        <v>239</v>
      </c>
      <c r="C95" s="0" t="s">
        <v>622</v>
      </c>
      <c r="D95" s="0" t="s">
        <v>623</v>
      </c>
      <c r="E95" s="0" t="s">
        <v>131</v>
      </c>
      <c r="F95" s="0" t="s">
        <v>198</v>
      </c>
      <c r="G95" s="0" t="s">
        <v>628</v>
      </c>
      <c r="H95" s="0" t="s">
        <v>625</v>
      </c>
      <c r="I95" s="0" t="s">
        <v>626</v>
      </c>
      <c r="J95" s="0" t="s">
        <v>627</v>
      </c>
      <c r="K95" s="475" t="n">
        <v>36770</v>
      </c>
      <c r="L95" s="254" t="n">
        <v>-2581.92745646662</v>
      </c>
      <c r="M95" s="475" t="n">
        <v>36768</v>
      </c>
      <c r="N95" s="0" t="s">
        <v>136</v>
      </c>
      <c r="O95" s="0" t="n">
        <v>0.32</v>
      </c>
      <c r="P95" s="0" t="n">
        <v>0</v>
      </c>
      <c r="Q95" s="0" t="n">
        <v>0</v>
      </c>
      <c r="R95" s="0" t="n">
        <v>0</v>
      </c>
      <c r="S95" s="0" t="n">
        <v>0</v>
      </c>
      <c r="T95" s="0" t="s">
        <v>624</v>
      </c>
      <c r="U95" s="0" t="s">
        <v>149</v>
      </c>
      <c r="V95" s="0" t="s">
        <v>624</v>
      </c>
      <c r="W95" s="0" t="s">
        <v>569</v>
      </c>
      <c r="X95" s="0" t="s">
        <v>624</v>
      </c>
      <c r="Y95" s="0" t="s">
        <v>627</v>
      </c>
      <c r="Z95" s="0" t="s">
        <v>629</v>
      </c>
      <c r="AA95" s="0" t="s">
        <v>624</v>
      </c>
      <c r="AB95" s="0" t="s">
        <v>580</v>
      </c>
      <c r="AC95" s="254" t="n">
        <v>-500000</v>
      </c>
      <c r="AD95" s="254" t="n">
        <v>-607.139739001694</v>
      </c>
      <c r="AE95" s="0" t="n">
        <v>0</v>
      </c>
      <c r="AF95" s="0" t="n">
        <v>0</v>
      </c>
      <c r="AG95" s="0" t="n">
        <v>0</v>
      </c>
      <c r="AH95" s="254" t="n">
        <v>-72.9608457674394</v>
      </c>
      <c r="AI95" s="0" t="n">
        <v>226</v>
      </c>
      <c r="AJ95" s="0" t="s">
        <v>630</v>
      </c>
      <c r="AK95" s="0" t="n">
        <v>0</v>
      </c>
      <c r="AL95" s="0" t="n">
        <v>0</v>
      </c>
      <c r="AM95" s="0" t="n">
        <v>0</v>
      </c>
    </row>
    <row r="96" customFormat="false" ht="12.75" hidden="false" customHeight="false" outlineLevel="0" collapsed="false">
      <c r="A96" s="0" t="s">
        <v>631</v>
      </c>
      <c r="B96" s="0" t="s">
        <v>240</v>
      </c>
      <c r="C96" s="0" t="s">
        <v>622</v>
      </c>
      <c r="D96" s="0" t="s">
        <v>623</v>
      </c>
      <c r="E96" s="0" t="s">
        <v>131</v>
      </c>
      <c r="F96" s="0" t="s">
        <v>198</v>
      </c>
      <c r="G96" s="0" t="s">
        <v>628</v>
      </c>
      <c r="H96" s="0" t="s">
        <v>625</v>
      </c>
      <c r="I96" s="0" t="s">
        <v>626</v>
      </c>
      <c r="J96" s="0" t="s">
        <v>627</v>
      </c>
      <c r="K96" s="475" t="n">
        <v>36800</v>
      </c>
      <c r="L96" s="254" t="n">
        <v>-5454.42200524293</v>
      </c>
      <c r="M96" s="475" t="n">
        <v>36797</v>
      </c>
      <c r="N96" s="0" t="s">
        <v>132</v>
      </c>
      <c r="O96" s="0" t="n">
        <v>0.32</v>
      </c>
      <c r="P96" s="0" t="n">
        <v>0</v>
      </c>
      <c r="Q96" s="0" t="n">
        <v>0</v>
      </c>
      <c r="R96" s="0" t="n">
        <v>0</v>
      </c>
      <c r="S96" s="0" t="n">
        <v>0</v>
      </c>
      <c r="T96" s="0" t="s">
        <v>624</v>
      </c>
      <c r="U96" s="0" t="s">
        <v>149</v>
      </c>
      <c r="V96" s="0" t="s">
        <v>624</v>
      </c>
      <c r="W96" s="0" t="s">
        <v>569</v>
      </c>
      <c r="X96" s="0" t="s">
        <v>624</v>
      </c>
      <c r="Y96" s="0" t="s">
        <v>627</v>
      </c>
      <c r="Z96" s="0" t="s">
        <v>629</v>
      </c>
      <c r="AA96" s="0" t="s">
        <v>624</v>
      </c>
      <c r="AB96" s="0" t="s">
        <v>580</v>
      </c>
      <c r="AC96" s="254" t="n">
        <v>-500000</v>
      </c>
      <c r="AD96" s="254" t="n">
        <v>-2344.68814489241</v>
      </c>
      <c r="AE96" s="0" t="n">
        <v>0</v>
      </c>
      <c r="AF96" s="0" t="n">
        <v>0</v>
      </c>
      <c r="AG96" s="0" t="n">
        <v>0</v>
      </c>
      <c r="AH96" s="254" t="n">
        <v>-135.032784930544</v>
      </c>
      <c r="AI96" s="0" t="n">
        <v>226</v>
      </c>
      <c r="AJ96" s="0" t="s">
        <v>630</v>
      </c>
      <c r="AK96" s="0" t="n">
        <v>0</v>
      </c>
      <c r="AL96" s="0" t="n">
        <v>0</v>
      </c>
      <c r="AM96" s="0" t="n">
        <v>0</v>
      </c>
    </row>
    <row r="97" customFormat="false" ht="12.75" hidden="false" customHeight="false" outlineLevel="0" collapsed="false">
      <c r="A97" s="0" t="s">
        <v>631</v>
      </c>
      <c r="B97" s="0" t="s">
        <v>240</v>
      </c>
      <c r="C97" s="0" t="s">
        <v>622</v>
      </c>
      <c r="D97" s="0" t="s">
        <v>623</v>
      </c>
      <c r="E97" s="0" t="s">
        <v>131</v>
      </c>
      <c r="F97" s="0" t="s">
        <v>198</v>
      </c>
      <c r="G97" s="0" t="s">
        <v>628</v>
      </c>
      <c r="H97" s="0" t="s">
        <v>625</v>
      </c>
      <c r="I97" s="0" t="s">
        <v>626</v>
      </c>
      <c r="J97" s="0" t="s">
        <v>627</v>
      </c>
      <c r="K97" s="475" t="n">
        <v>36770</v>
      </c>
      <c r="L97" s="254" t="n">
        <v>-5081.00748619847</v>
      </c>
      <c r="M97" s="475" t="n">
        <v>36768</v>
      </c>
      <c r="N97" s="0" t="s">
        <v>132</v>
      </c>
      <c r="O97" s="0" t="n">
        <v>0.32</v>
      </c>
      <c r="P97" s="0" t="n">
        <v>0</v>
      </c>
      <c r="Q97" s="0" t="n">
        <v>0</v>
      </c>
      <c r="R97" s="0" t="n">
        <v>0</v>
      </c>
      <c r="S97" s="0" t="n">
        <v>0</v>
      </c>
      <c r="T97" s="0" t="s">
        <v>624</v>
      </c>
      <c r="U97" s="0" t="s">
        <v>149</v>
      </c>
      <c r="V97" s="0" t="s">
        <v>624</v>
      </c>
      <c r="W97" s="0" t="s">
        <v>569</v>
      </c>
      <c r="X97" s="0" t="s">
        <v>624</v>
      </c>
      <c r="Y97" s="0" t="s">
        <v>627</v>
      </c>
      <c r="Z97" s="0" t="s">
        <v>629</v>
      </c>
      <c r="AA97" s="0" t="s">
        <v>624</v>
      </c>
      <c r="AB97" s="0" t="s">
        <v>580</v>
      </c>
      <c r="AC97" s="254" t="n">
        <v>-500000</v>
      </c>
      <c r="AD97" s="254" t="n">
        <v>-607.139739001636</v>
      </c>
      <c r="AE97" s="0" t="n">
        <v>0</v>
      </c>
      <c r="AF97" s="0" t="n">
        <v>0</v>
      </c>
      <c r="AG97" s="0" t="n">
        <v>0</v>
      </c>
      <c r="AH97" s="254" t="n">
        <v>-72.9608457676895</v>
      </c>
      <c r="AI97" s="0" t="n">
        <v>226</v>
      </c>
      <c r="AJ97" s="0" t="s">
        <v>630</v>
      </c>
      <c r="AK97" s="0" t="n">
        <v>0</v>
      </c>
      <c r="AL97" s="0" t="n">
        <v>0</v>
      </c>
      <c r="AM97" s="0" t="n">
        <v>0</v>
      </c>
    </row>
    <row r="98" customFormat="false" ht="12.75" hidden="false" customHeight="false" outlineLevel="0" collapsed="false">
      <c r="A98" s="0" t="s">
        <v>631</v>
      </c>
      <c r="B98" s="0" t="s">
        <v>241</v>
      </c>
      <c r="C98" s="0" t="s">
        <v>622</v>
      </c>
      <c r="D98" s="0" t="s">
        <v>623</v>
      </c>
      <c r="E98" s="0" t="s">
        <v>131</v>
      </c>
      <c r="F98" s="0" t="s">
        <v>198</v>
      </c>
      <c r="G98" s="0" t="s">
        <v>628</v>
      </c>
      <c r="H98" s="0" t="s">
        <v>625</v>
      </c>
      <c r="I98" s="0" t="s">
        <v>626</v>
      </c>
      <c r="J98" s="0" t="s">
        <v>627</v>
      </c>
      <c r="K98" s="475" t="n">
        <v>36800</v>
      </c>
      <c r="L98" s="254" t="n">
        <v>-2727.21100262147</v>
      </c>
      <c r="M98" s="475" t="n">
        <v>36797</v>
      </c>
      <c r="N98" s="0" t="s">
        <v>132</v>
      </c>
      <c r="O98" s="0" t="n">
        <v>0.32</v>
      </c>
      <c r="P98" s="0" t="n">
        <v>0</v>
      </c>
      <c r="Q98" s="0" t="n">
        <v>0</v>
      </c>
      <c r="R98" s="0" t="n">
        <v>0</v>
      </c>
      <c r="S98" s="0" t="n">
        <v>0</v>
      </c>
      <c r="T98" s="0" t="s">
        <v>624</v>
      </c>
      <c r="U98" s="0" t="s">
        <v>149</v>
      </c>
      <c r="V98" s="0" t="s">
        <v>624</v>
      </c>
      <c r="W98" s="0" t="s">
        <v>569</v>
      </c>
      <c r="X98" s="0" t="s">
        <v>624</v>
      </c>
      <c r="Y98" s="0" t="s">
        <v>627</v>
      </c>
      <c r="Z98" s="0" t="s">
        <v>629</v>
      </c>
      <c r="AA98" s="0" t="s">
        <v>624</v>
      </c>
      <c r="AB98" s="0" t="s">
        <v>580</v>
      </c>
      <c r="AC98" s="254" t="n">
        <v>-250000</v>
      </c>
      <c r="AD98" s="254" t="n">
        <v>-1172.34407244621</v>
      </c>
      <c r="AE98" s="0" t="n">
        <v>0</v>
      </c>
      <c r="AF98" s="0" t="n">
        <v>0</v>
      </c>
      <c r="AG98" s="0" t="n">
        <v>0</v>
      </c>
      <c r="AH98" s="254" t="n">
        <v>-67.516392465272</v>
      </c>
      <c r="AI98" s="0" t="n">
        <v>226</v>
      </c>
      <c r="AJ98" s="0" t="s">
        <v>630</v>
      </c>
      <c r="AK98" s="0" t="n">
        <v>0</v>
      </c>
      <c r="AL98" s="0" t="n">
        <v>0</v>
      </c>
      <c r="AM98" s="0" t="n">
        <v>0</v>
      </c>
    </row>
    <row r="99" customFormat="false" ht="12.75" hidden="false" customHeight="false" outlineLevel="0" collapsed="false">
      <c r="A99" s="0" t="s">
        <v>631</v>
      </c>
      <c r="B99" s="0" t="s">
        <v>241</v>
      </c>
      <c r="C99" s="0" t="s">
        <v>622</v>
      </c>
      <c r="D99" s="0" t="s">
        <v>623</v>
      </c>
      <c r="E99" s="0" t="s">
        <v>131</v>
      </c>
      <c r="F99" s="0" t="s">
        <v>198</v>
      </c>
      <c r="G99" s="0" t="s">
        <v>628</v>
      </c>
      <c r="H99" s="0" t="s">
        <v>625</v>
      </c>
      <c r="I99" s="0" t="s">
        <v>626</v>
      </c>
      <c r="J99" s="0" t="s">
        <v>627</v>
      </c>
      <c r="K99" s="475" t="n">
        <v>36770</v>
      </c>
      <c r="L99" s="254" t="n">
        <v>-2540.50374309923</v>
      </c>
      <c r="M99" s="475" t="n">
        <v>36768</v>
      </c>
      <c r="N99" s="0" t="s">
        <v>132</v>
      </c>
      <c r="O99" s="0" t="n">
        <v>0.32</v>
      </c>
      <c r="P99" s="0" t="n">
        <v>0</v>
      </c>
      <c r="Q99" s="0" t="n">
        <v>0</v>
      </c>
      <c r="R99" s="0" t="n">
        <v>0</v>
      </c>
      <c r="S99" s="0" t="n">
        <v>0</v>
      </c>
      <c r="T99" s="0" t="s">
        <v>624</v>
      </c>
      <c r="U99" s="0" t="s">
        <v>149</v>
      </c>
      <c r="V99" s="0" t="s">
        <v>624</v>
      </c>
      <c r="W99" s="0" t="s">
        <v>569</v>
      </c>
      <c r="X99" s="0" t="s">
        <v>624</v>
      </c>
      <c r="Y99" s="0" t="s">
        <v>627</v>
      </c>
      <c r="Z99" s="0" t="s">
        <v>629</v>
      </c>
      <c r="AA99" s="0" t="s">
        <v>624</v>
      </c>
      <c r="AB99" s="0" t="s">
        <v>580</v>
      </c>
      <c r="AC99" s="254" t="n">
        <v>-250000</v>
      </c>
      <c r="AD99" s="254" t="n">
        <v>-303.569869500818</v>
      </c>
      <c r="AE99" s="0" t="n">
        <v>0</v>
      </c>
      <c r="AF99" s="0" t="n">
        <v>0</v>
      </c>
      <c r="AG99" s="0" t="n">
        <v>0</v>
      </c>
      <c r="AH99" s="254" t="n">
        <v>-36.4804228838448</v>
      </c>
      <c r="AI99" s="0" t="n">
        <v>226</v>
      </c>
      <c r="AJ99" s="0" t="s">
        <v>630</v>
      </c>
      <c r="AK99" s="0" t="n">
        <v>0</v>
      </c>
      <c r="AL99" s="0" t="n">
        <v>0</v>
      </c>
      <c r="AM99" s="0" t="n">
        <v>0</v>
      </c>
    </row>
    <row r="100" customFormat="false" ht="12.75" hidden="false" customHeight="false" outlineLevel="0" collapsed="false">
      <c r="A100" s="0" t="s">
        <v>631</v>
      </c>
      <c r="B100" s="0" t="s">
        <v>242</v>
      </c>
      <c r="C100" s="0" t="s">
        <v>622</v>
      </c>
      <c r="D100" s="0" t="s">
        <v>623</v>
      </c>
      <c r="E100" s="0" t="s">
        <v>131</v>
      </c>
      <c r="F100" s="0" t="s">
        <v>198</v>
      </c>
      <c r="G100" s="0" t="s">
        <v>628</v>
      </c>
      <c r="H100" s="0" t="s">
        <v>625</v>
      </c>
      <c r="I100" s="0" t="s">
        <v>626</v>
      </c>
      <c r="J100" s="0" t="s">
        <v>627</v>
      </c>
      <c r="K100" s="475" t="n">
        <v>36800</v>
      </c>
      <c r="L100" s="254" t="n">
        <v>-766.234349142123</v>
      </c>
      <c r="M100" s="475" t="n">
        <v>36797</v>
      </c>
      <c r="N100" s="0" t="s">
        <v>132</v>
      </c>
      <c r="O100" s="0" t="n">
        <v>0.26</v>
      </c>
      <c r="P100" s="0" t="n">
        <v>0</v>
      </c>
      <c r="Q100" s="0" t="n">
        <v>0</v>
      </c>
      <c r="R100" s="0" t="n">
        <v>0</v>
      </c>
      <c r="S100" s="0" t="n">
        <v>0</v>
      </c>
      <c r="T100" s="0" t="s">
        <v>624</v>
      </c>
      <c r="U100" s="0" t="s">
        <v>149</v>
      </c>
      <c r="V100" s="0" t="s">
        <v>624</v>
      </c>
      <c r="W100" s="0" t="s">
        <v>569</v>
      </c>
      <c r="X100" s="0" t="s">
        <v>624</v>
      </c>
      <c r="Y100" s="0" t="s">
        <v>627</v>
      </c>
      <c r="Z100" s="0" t="s">
        <v>629</v>
      </c>
      <c r="AA100" s="0" t="s">
        <v>624</v>
      </c>
      <c r="AB100" s="0" t="s">
        <v>580</v>
      </c>
      <c r="AC100" s="254" t="n">
        <v>-250000</v>
      </c>
      <c r="AD100" s="254" t="n">
        <v>-597.214338036363</v>
      </c>
      <c r="AE100" s="0" t="n">
        <v>0</v>
      </c>
      <c r="AF100" s="0" t="n">
        <v>0</v>
      </c>
      <c r="AG100" s="0" t="n">
        <v>0</v>
      </c>
      <c r="AH100" s="254" t="n">
        <v>-35.0757596714325</v>
      </c>
      <c r="AI100" s="0" t="n">
        <v>226</v>
      </c>
      <c r="AJ100" s="0" t="s">
        <v>630</v>
      </c>
      <c r="AK100" s="0" t="n">
        <v>0</v>
      </c>
      <c r="AL100" s="0" t="n">
        <v>0</v>
      </c>
      <c r="AM100" s="0" t="n">
        <v>0</v>
      </c>
    </row>
    <row r="101" customFormat="false" ht="12.75" hidden="false" customHeight="false" outlineLevel="0" collapsed="false">
      <c r="A101" s="0" t="s">
        <v>631</v>
      </c>
      <c r="B101" s="0" t="s">
        <v>242</v>
      </c>
      <c r="C101" s="0" t="s">
        <v>622</v>
      </c>
      <c r="D101" s="0" t="s">
        <v>623</v>
      </c>
      <c r="E101" s="0" t="s">
        <v>131</v>
      </c>
      <c r="F101" s="0" t="s">
        <v>198</v>
      </c>
      <c r="G101" s="0" t="s">
        <v>628</v>
      </c>
      <c r="H101" s="0" t="s">
        <v>625</v>
      </c>
      <c r="I101" s="0" t="s">
        <v>626</v>
      </c>
      <c r="J101" s="0" t="s">
        <v>627</v>
      </c>
      <c r="K101" s="475" t="n">
        <v>36770</v>
      </c>
      <c r="L101" s="254" t="n">
        <v>-1.44411803026934</v>
      </c>
      <c r="M101" s="475" t="n">
        <v>36768</v>
      </c>
      <c r="N101" s="0" t="s">
        <v>132</v>
      </c>
      <c r="O101" s="0" t="n">
        <v>0.26</v>
      </c>
      <c r="P101" s="0" t="n">
        <v>0</v>
      </c>
      <c r="Q101" s="0" t="n">
        <v>0</v>
      </c>
      <c r="R101" s="0" t="n">
        <v>0</v>
      </c>
      <c r="S101" s="0" t="n">
        <v>0</v>
      </c>
      <c r="T101" s="0" t="s">
        <v>624</v>
      </c>
      <c r="U101" s="0" t="s">
        <v>149</v>
      </c>
      <c r="V101" s="0" t="s">
        <v>624</v>
      </c>
      <c r="W101" s="0" t="s">
        <v>569</v>
      </c>
      <c r="X101" s="0" t="s">
        <v>624</v>
      </c>
      <c r="Y101" s="0" t="s">
        <v>627</v>
      </c>
      <c r="Z101" s="0" t="s">
        <v>629</v>
      </c>
      <c r="AA101" s="0" t="s">
        <v>624</v>
      </c>
      <c r="AB101" s="0" t="s">
        <v>580</v>
      </c>
      <c r="AC101" s="254" t="n">
        <v>-250000</v>
      </c>
      <c r="AD101" s="254" t="n">
        <v>-3.13154728476263</v>
      </c>
      <c r="AE101" s="0" t="n">
        <v>0</v>
      </c>
      <c r="AF101" s="0" t="n">
        <v>0</v>
      </c>
      <c r="AG101" s="0" t="n">
        <v>0</v>
      </c>
      <c r="AH101" s="254" t="n">
        <v>-12.6547789849329</v>
      </c>
      <c r="AI101" s="0" t="n">
        <v>226</v>
      </c>
      <c r="AJ101" s="0" t="s">
        <v>630</v>
      </c>
      <c r="AK101" s="0" t="n">
        <v>0</v>
      </c>
      <c r="AL101" s="0" t="n">
        <v>0</v>
      </c>
      <c r="AM101" s="0" t="n">
        <v>0</v>
      </c>
    </row>
    <row r="102" customFormat="false" ht="12.75" hidden="false" customHeight="false" outlineLevel="0" collapsed="false">
      <c r="A102" s="0" t="s">
        <v>631</v>
      </c>
      <c r="B102" s="0" t="s">
        <v>243</v>
      </c>
      <c r="C102" s="0" t="s">
        <v>622</v>
      </c>
      <c r="D102" s="0" t="s">
        <v>623</v>
      </c>
      <c r="E102" s="0" t="s">
        <v>131</v>
      </c>
      <c r="F102" s="0" t="s">
        <v>210</v>
      </c>
      <c r="G102" s="0" t="s">
        <v>628</v>
      </c>
      <c r="H102" s="0" t="s">
        <v>625</v>
      </c>
      <c r="I102" s="0" t="s">
        <v>626</v>
      </c>
      <c r="J102" s="0" t="s">
        <v>627</v>
      </c>
      <c r="K102" s="475" t="n">
        <v>36951</v>
      </c>
      <c r="L102" s="254" t="n">
        <v>124938.119627837</v>
      </c>
      <c r="M102" s="475" t="n">
        <v>36949</v>
      </c>
      <c r="N102" s="0" t="s">
        <v>136</v>
      </c>
      <c r="O102" s="0" t="n">
        <v>2.2</v>
      </c>
      <c r="P102" s="0" t="n">
        <v>0</v>
      </c>
      <c r="Q102" s="0" t="n">
        <v>0</v>
      </c>
      <c r="R102" s="0" t="n">
        <v>0</v>
      </c>
      <c r="S102" s="0" t="n">
        <v>0</v>
      </c>
      <c r="T102" s="0" t="s">
        <v>624</v>
      </c>
      <c r="U102" s="0" t="s">
        <v>149</v>
      </c>
      <c r="V102" s="0" t="s">
        <v>624</v>
      </c>
      <c r="W102" s="0" t="s">
        <v>569</v>
      </c>
      <c r="X102" s="0" t="s">
        <v>624</v>
      </c>
      <c r="Y102" s="0" t="s">
        <v>627</v>
      </c>
      <c r="Z102" s="0" t="s">
        <v>629</v>
      </c>
      <c r="AA102" s="0" t="s">
        <v>624</v>
      </c>
      <c r="AB102" s="0" t="s">
        <v>580</v>
      </c>
      <c r="AC102" s="254" t="n">
        <v>620000</v>
      </c>
      <c r="AD102" s="254" t="n">
        <v>40586.6171070616</v>
      </c>
      <c r="AE102" s="0" t="n">
        <v>0</v>
      </c>
      <c r="AF102" s="0" t="n">
        <v>0</v>
      </c>
      <c r="AG102" s="0" t="n">
        <v>0</v>
      </c>
      <c r="AH102" s="254" t="n">
        <v>11748.0848062936</v>
      </c>
      <c r="AI102" s="0" t="n">
        <v>226</v>
      </c>
      <c r="AJ102" s="0" t="s">
        <v>630</v>
      </c>
      <c r="AK102" s="0" t="n">
        <v>0</v>
      </c>
      <c r="AL102" s="0" t="n">
        <v>0</v>
      </c>
      <c r="AM102" s="0" t="n">
        <v>0</v>
      </c>
    </row>
    <row r="103" customFormat="false" ht="12.75" hidden="false" customHeight="false" outlineLevel="0" collapsed="false">
      <c r="A103" s="0" t="s">
        <v>631</v>
      </c>
      <c r="B103" s="0" t="s">
        <v>243</v>
      </c>
      <c r="C103" s="0" t="s">
        <v>622</v>
      </c>
      <c r="D103" s="0" t="s">
        <v>623</v>
      </c>
      <c r="E103" s="0" t="s">
        <v>131</v>
      </c>
      <c r="F103" s="0" t="s">
        <v>210</v>
      </c>
      <c r="G103" s="0" t="s">
        <v>628</v>
      </c>
      <c r="H103" s="0" t="s">
        <v>625</v>
      </c>
      <c r="I103" s="0" t="s">
        <v>626</v>
      </c>
      <c r="J103" s="0" t="s">
        <v>627</v>
      </c>
      <c r="K103" s="475" t="n">
        <v>36923</v>
      </c>
      <c r="L103" s="254" t="n">
        <v>358702.787583092</v>
      </c>
      <c r="M103" s="475" t="n">
        <v>36921</v>
      </c>
      <c r="N103" s="0" t="s">
        <v>136</v>
      </c>
      <c r="O103" s="0" t="n">
        <v>2.2</v>
      </c>
      <c r="P103" s="0" t="n">
        <v>0</v>
      </c>
      <c r="Q103" s="0" t="n">
        <v>0</v>
      </c>
      <c r="R103" s="0" t="n">
        <v>0</v>
      </c>
      <c r="S103" s="0" t="n">
        <v>0</v>
      </c>
      <c r="T103" s="0" t="s">
        <v>624</v>
      </c>
      <c r="U103" s="0" t="s">
        <v>149</v>
      </c>
      <c r="V103" s="0" t="s">
        <v>624</v>
      </c>
      <c r="W103" s="0" t="s">
        <v>569</v>
      </c>
      <c r="X103" s="0" t="s">
        <v>624</v>
      </c>
      <c r="Y103" s="0" t="s">
        <v>627</v>
      </c>
      <c r="Z103" s="0" t="s">
        <v>629</v>
      </c>
      <c r="AA103" s="0" t="s">
        <v>624</v>
      </c>
      <c r="AB103" s="0" t="s">
        <v>580</v>
      </c>
      <c r="AC103" s="254" t="n">
        <v>560000</v>
      </c>
      <c r="AD103" s="254" t="n">
        <v>47797.078140472</v>
      </c>
      <c r="AE103" s="0" t="n">
        <v>0</v>
      </c>
      <c r="AF103" s="0" t="n">
        <v>0</v>
      </c>
      <c r="AG103" s="0" t="n">
        <v>0</v>
      </c>
      <c r="AH103" s="254" t="n">
        <v>22299.1158173473</v>
      </c>
      <c r="AI103" s="0" t="n">
        <v>226</v>
      </c>
      <c r="AJ103" s="0" t="s">
        <v>630</v>
      </c>
      <c r="AK103" s="0" t="n">
        <v>0</v>
      </c>
      <c r="AL103" s="0" t="n">
        <v>0</v>
      </c>
      <c r="AM103" s="0" t="n">
        <v>0</v>
      </c>
    </row>
    <row r="104" customFormat="false" ht="12.75" hidden="false" customHeight="false" outlineLevel="0" collapsed="false">
      <c r="A104" s="0" t="s">
        <v>631</v>
      </c>
      <c r="B104" s="0" t="s">
        <v>243</v>
      </c>
      <c r="C104" s="0" t="s">
        <v>622</v>
      </c>
      <c r="D104" s="0" t="s">
        <v>623</v>
      </c>
      <c r="E104" s="0" t="s">
        <v>131</v>
      </c>
      <c r="F104" s="0" t="s">
        <v>210</v>
      </c>
      <c r="G104" s="0" t="s">
        <v>628</v>
      </c>
      <c r="H104" s="0" t="s">
        <v>625</v>
      </c>
      <c r="I104" s="0" t="s">
        <v>626</v>
      </c>
      <c r="J104" s="0" t="s">
        <v>627</v>
      </c>
      <c r="K104" s="475" t="n">
        <v>36892</v>
      </c>
      <c r="L104" s="254" t="n">
        <v>398427.194933903</v>
      </c>
      <c r="M104" s="475" t="n">
        <v>36888</v>
      </c>
      <c r="N104" s="0" t="s">
        <v>136</v>
      </c>
      <c r="O104" s="0" t="n">
        <v>2.2</v>
      </c>
      <c r="P104" s="0" t="n">
        <v>0</v>
      </c>
      <c r="Q104" s="0" t="n">
        <v>0</v>
      </c>
      <c r="R104" s="0" t="n">
        <v>0</v>
      </c>
      <c r="S104" s="0" t="n">
        <v>0</v>
      </c>
      <c r="T104" s="0" t="s">
        <v>624</v>
      </c>
      <c r="U104" s="0" t="s">
        <v>149</v>
      </c>
      <c r="V104" s="0" t="s">
        <v>624</v>
      </c>
      <c r="W104" s="0" t="s">
        <v>569</v>
      </c>
      <c r="X104" s="0" t="s">
        <v>624</v>
      </c>
      <c r="Y104" s="0" t="s">
        <v>627</v>
      </c>
      <c r="Z104" s="0" t="s">
        <v>629</v>
      </c>
      <c r="AA104" s="0" t="s">
        <v>624</v>
      </c>
      <c r="AB104" s="0" t="s">
        <v>580</v>
      </c>
      <c r="AC104" s="254" t="n">
        <v>620000</v>
      </c>
      <c r="AD104" s="254" t="n">
        <v>48615.0062956162</v>
      </c>
      <c r="AE104" s="0" t="n">
        <v>0</v>
      </c>
      <c r="AF104" s="0" t="n">
        <v>0</v>
      </c>
      <c r="AG104" s="0" t="n">
        <v>0</v>
      </c>
      <c r="AH104" s="254" t="n">
        <v>21884.5755490481</v>
      </c>
      <c r="AI104" s="0" t="n">
        <v>226</v>
      </c>
      <c r="AJ104" s="0" t="s">
        <v>630</v>
      </c>
      <c r="AK104" s="0" t="n">
        <v>0</v>
      </c>
      <c r="AL104" s="0" t="n">
        <v>0</v>
      </c>
      <c r="AM104" s="0" t="n">
        <v>0</v>
      </c>
    </row>
    <row r="105" customFormat="false" ht="12.75" hidden="false" customHeight="false" outlineLevel="0" collapsed="false">
      <c r="A105" s="0" t="s">
        <v>631</v>
      </c>
      <c r="B105" s="0" t="s">
        <v>243</v>
      </c>
      <c r="C105" s="0" t="s">
        <v>622</v>
      </c>
      <c r="D105" s="0" t="s">
        <v>623</v>
      </c>
      <c r="E105" s="0" t="s">
        <v>131</v>
      </c>
      <c r="F105" s="0" t="s">
        <v>210</v>
      </c>
      <c r="G105" s="0" t="s">
        <v>628</v>
      </c>
      <c r="H105" s="0" t="s">
        <v>625</v>
      </c>
      <c r="I105" s="0" t="s">
        <v>626</v>
      </c>
      <c r="J105" s="0" t="s">
        <v>627</v>
      </c>
      <c r="K105" s="475" t="n">
        <v>36861</v>
      </c>
      <c r="L105" s="254" t="n">
        <v>199738.29047235</v>
      </c>
      <c r="M105" s="475" t="n">
        <v>36859</v>
      </c>
      <c r="N105" s="0" t="s">
        <v>136</v>
      </c>
      <c r="O105" s="0" t="n">
        <v>2.2</v>
      </c>
      <c r="P105" s="0" t="n">
        <v>0</v>
      </c>
      <c r="Q105" s="0" t="n">
        <v>0</v>
      </c>
      <c r="R105" s="0" t="n">
        <v>0</v>
      </c>
      <c r="S105" s="0" t="n">
        <v>0</v>
      </c>
      <c r="T105" s="0" t="s">
        <v>624</v>
      </c>
      <c r="U105" s="0" t="s">
        <v>149</v>
      </c>
      <c r="V105" s="0" t="s">
        <v>624</v>
      </c>
      <c r="W105" s="0" t="s">
        <v>569</v>
      </c>
      <c r="X105" s="0" t="s">
        <v>624</v>
      </c>
      <c r="Y105" s="0" t="s">
        <v>627</v>
      </c>
      <c r="Z105" s="0" t="s">
        <v>629</v>
      </c>
      <c r="AA105" s="0" t="s">
        <v>624</v>
      </c>
      <c r="AB105" s="0" t="s">
        <v>580</v>
      </c>
      <c r="AC105" s="254" t="n">
        <v>620000</v>
      </c>
      <c r="AD105" s="254" t="n">
        <v>39788.0274591485</v>
      </c>
      <c r="AE105" s="0" t="n">
        <v>0</v>
      </c>
      <c r="AF105" s="0" t="n">
        <v>0</v>
      </c>
      <c r="AG105" s="0" t="n">
        <v>0</v>
      </c>
      <c r="AH105" s="254" t="n">
        <v>12505.8450214535</v>
      </c>
      <c r="AI105" s="0" t="n">
        <v>226</v>
      </c>
      <c r="AJ105" s="0" t="s">
        <v>630</v>
      </c>
      <c r="AK105" s="0" t="n">
        <v>0</v>
      </c>
      <c r="AL105" s="0" t="n">
        <v>0</v>
      </c>
      <c r="AM105" s="0" t="n">
        <v>0</v>
      </c>
    </row>
    <row r="106" customFormat="false" ht="12.75" hidden="false" customHeight="false" outlineLevel="0" collapsed="false">
      <c r="A106" s="0" t="s">
        <v>631</v>
      </c>
      <c r="B106" s="0" t="s">
        <v>243</v>
      </c>
      <c r="C106" s="0" t="s">
        <v>622</v>
      </c>
      <c r="D106" s="0" t="s">
        <v>623</v>
      </c>
      <c r="E106" s="0" t="s">
        <v>131</v>
      </c>
      <c r="F106" s="0" t="s">
        <v>210</v>
      </c>
      <c r="G106" s="0" t="s">
        <v>628</v>
      </c>
      <c r="H106" s="0" t="s">
        <v>625</v>
      </c>
      <c r="I106" s="0" t="s">
        <v>626</v>
      </c>
      <c r="J106" s="0" t="s">
        <v>627</v>
      </c>
      <c r="K106" s="475" t="n">
        <v>36831</v>
      </c>
      <c r="L106" s="254" t="n">
        <v>7728.16207572301</v>
      </c>
      <c r="M106" s="475" t="n">
        <v>36829</v>
      </c>
      <c r="N106" s="0" t="s">
        <v>136</v>
      </c>
      <c r="O106" s="0" t="n">
        <v>2.2</v>
      </c>
      <c r="P106" s="0" t="n">
        <v>0</v>
      </c>
      <c r="Q106" s="0" t="n">
        <v>0</v>
      </c>
      <c r="R106" s="0" t="n">
        <v>0</v>
      </c>
      <c r="S106" s="0" t="n">
        <v>0</v>
      </c>
      <c r="T106" s="0" t="s">
        <v>624</v>
      </c>
      <c r="U106" s="0" t="s">
        <v>149</v>
      </c>
      <c r="V106" s="0" t="s">
        <v>624</v>
      </c>
      <c r="W106" s="0" t="s">
        <v>569</v>
      </c>
      <c r="X106" s="0" t="s">
        <v>624</v>
      </c>
      <c r="Y106" s="0" t="s">
        <v>627</v>
      </c>
      <c r="Z106" s="0" t="s">
        <v>629</v>
      </c>
      <c r="AA106" s="0" t="s">
        <v>624</v>
      </c>
      <c r="AB106" s="0" t="s">
        <v>580</v>
      </c>
      <c r="AC106" s="254" t="n">
        <v>600000</v>
      </c>
      <c r="AD106" s="254" t="n">
        <v>5389.61632909822</v>
      </c>
      <c r="AE106" s="0" t="n">
        <v>0</v>
      </c>
      <c r="AF106" s="0" t="n">
        <v>0</v>
      </c>
      <c r="AG106" s="0" t="n">
        <v>0</v>
      </c>
      <c r="AH106" s="254" t="n">
        <v>1377.81334995839</v>
      </c>
      <c r="AI106" s="0" t="n">
        <v>226</v>
      </c>
      <c r="AJ106" s="0" t="s">
        <v>630</v>
      </c>
      <c r="AK106" s="0" t="n">
        <v>0</v>
      </c>
      <c r="AL106" s="0" t="n">
        <v>0</v>
      </c>
      <c r="AM106" s="0" t="n">
        <v>0</v>
      </c>
    </row>
    <row r="107" customFormat="false" ht="12.75" hidden="false" customHeight="false" outlineLevel="0" collapsed="false">
      <c r="A107" s="0" t="s">
        <v>631</v>
      </c>
      <c r="B107" s="0" t="s">
        <v>245</v>
      </c>
      <c r="C107" s="0" t="s">
        <v>622</v>
      </c>
      <c r="D107" s="0" t="s">
        <v>623</v>
      </c>
      <c r="E107" s="0" t="s">
        <v>131</v>
      </c>
      <c r="F107" s="0" t="s">
        <v>244</v>
      </c>
      <c r="G107" s="0" t="s">
        <v>628</v>
      </c>
      <c r="H107" s="0" t="s">
        <v>625</v>
      </c>
      <c r="I107" s="0" t="s">
        <v>626</v>
      </c>
      <c r="J107" s="0" t="s">
        <v>627</v>
      </c>
      <c r="K107" s="475" t="n">
        <v>36951</v>
      </c>
      <c r="L107" s="254" t="n">
        <v>160013.494654283</v>
      </c>
      <c r="M107" s="475" t="n">
        <v>36949</v>
      </c>
      <c r="N107" s="0" t="s">
        <v>132</v>
      </c>
      <c r="O107" s="0" t="n">
        <v>0.7</v>
      </c>
      <c r="P107" s="0" t="n">
        <v>0</v>
      </c>
      <c r="Q107" s="0" t="n">
        <v>0</v>
      </c>
      <c r="R107" s="0" t="n">
        <v>0</v>
      </c>
      <c r="S107" s="0" t="n">
        <v>0</v>
      </c>
      <c r="T107" s="0" t="s">
        <v>624</v>
      </c>
      <c r="U107" s="0" t="s">
        <v>149</v>
      </c>
      <c r="V107" s="0" t="s">
        <v>624</v>
      </c>
      <c r="W107" s="0" t="s">
        <v>569</v>
      </c>
      <c r="X107" s="0" t="s">
        <v>624</v>
      </c>
      <c r="Y107" s="0" t="s">
        <v>627</v>
      </c>
      <c r="Z107" s="0" t="s">
        <v>629</v>
      </c>
      <c r="AA107" s="0" t="s">
        <v>624</v>
      </c>
      <c r="AB107" s="0" t="s">
        <v>580</v>
      </c>
      <c r="AC107" s="254" t="n">
        <v>500000</v>
      </c>
      <c r="AD107" s="254" t="n">
        <v>43330.8707097487</v>
      </c>
      <c r="AE107" s="0" t="n">
        <v>0</v>
      </c>
      <c r="AF107" s="0" t="n">
        <v>0</v>
      </c>
      <c r="AG107" s="0" t="n">
        <v>0</v>
      </c>
      <c r="AH107" s="254" t="n">
        <v>-7738.76991280532</v>
      </c>
      <c r="AI107" s="0" t="n">
        <v>226</v>
      </c>
      <c r="AJ107" s="0" t="s">
        <v>630</v>
      </c>
      <c r="AK107" s="0" t="n">
        <v>0</v>
      </c>
      <c r="AL107" s="0" t="n">
        <v>0</v>
      </c>
      <c r="AM107" s="0" t="n">
        <v>0</v>
      </c>
    </row>
    <row r="108" customFormat="false" ht="12.75" hidden="false" customHeight="false" outlineLevel="0" collapsed="false">
      <c r="A108" s="0" t="s">
        <v>631</v>
      </c>
      <c r="B108" s="0" t="s">
        <v>245</v>
      </c>
      <c r="C108" s="0" t="s">
        <v>622</v>
      </c>
      <c r="D108" s="0" t="s">
        <v>623</v>
      </c>
      <c r="E108" s="0" t="s">
        <v>131</v>
      </c>
      <c r="F108" s="0" t="s">
        <v>244</v>
      </c>
      <c r="G108" s="0" t="s">
        <v>628</v>
      </c>
      <c r="H108" s="0" t="s">
        <v>625</v>
      </c>
      <c r="I108" s="0" t="s">
        <v>626</v>
      </c>
      <c r="J108" s="0" t="s">
        <v>627</v>
      </c>
      <c r="K108" s="475" t="n">
        <v>36923</v>
      </c>
      <c r="L108" s="254" t="n">
        <v>64633.941476257</v>
      </c>
      <c r="M108" s="475" t="n">
        <v>36921</v>
      </c>
      <c r="N108" s="0" t="s">
        <v>132</v>
      </c>
      <c r="O108" s="0" t="n">
        <v>0.7</v>
      </c>
      <c r="P108" s="0" t="n">
        <v>0</v>
      </c>
      <c r="Q108" s="0" t="n">
        <v>0</v>
      </c>
      <c r="R108" s="0" t="n">
        <v>0</v>
      </c>
      <c r="S108" s="0" t="n">
        <v>0</v>
      </c>
      <c r="T108" s="0" t="s">
        <v>624</v>
      </c>
      <c r="U108" s="0" t="s">
        <v>149</v>
      </c>
      <c r="V108" s="0" t="s">
        <v>624</v>
      </c>
      <c r="W108" s="0" t="s">
        <v>569</v>
      </c>
      <c r="X108" s="0" t="s">
        <v>624</v>
      </c>
      <c r="Y108" s="0" t="s">
        <v>627</v>
      </c>
      <c r="Z108" s="0" t="s">
        <v>629</v>
      </c>
      <c r="AA108" s="0" t="s">
        <v>624</v>
      </c>
      <c r="AB108" s="0" t="s">
        <v>580</v>
      </c>
      <c r="AC108" s="254" t="n">
        <v>500000</v>
      </c>
      <c r="AD108" s="254" t="n">
        <v>29717.6874512879</v>
      </c>
      <c r="AE108" s="0" t="n">
        <v>0</v>
      </c>
      <c r="AF108" s="0" t="n">
        <v>0</v>
      </c>
      <c r="AG108" s="0" t="n">
        <v>0</v>
      </c>
      <c r="AH108" s="254" t="n">
        <v>-3486.33141220711</v>
      </c>
      <c r="AI108" s="0" t="n">
        <v>226</v>
      </c>
      <c r="AJ108" s="0" t="s">
        <v>630</v>
      </c>
      <c r="AK108" s="0" t="n">
        <v>0</v>
      </c>
      <c r="AL108" s="0" t="n">
        <v>0</v>
      </c>
      <c r="AM108" s="0" t="n">
        <v>0</v>
      </c>
    </row>
    <row r="109" customFormat="false" ht="12.75" hidden="false" customHeight="false" outlineLevel="0" collapsed="false">
      <c r="A109" s="0" t="s">
        <v>631</v>
      </c>
      <c r="B109" s="0" t="s">
        <v>245</v>
      </c>
      <c r="C109" s="0" t="s">
        <v>622</v>
      </c>
      <c r="D109" s="0" t="s">
        <v>623</v>
      </c>
      <c r="E109" s="0" t="s">
        <v>131</v>
      </c>
      <c r="F109" s="0" t="s">
        <v>244</v>
      </c>
      <c r="G109" s="0" t="s">
        <v>628</v>
      </c>
      <c r="H109" s="0" t="s">
        <v>625</v>
      </c>
      <c r="I109" s="0" t="s">
        <v>626</v>
      </c>
      <c r="J109" s="0" t="s">
        <v>627</v>
      </c>
      <c r="K109" s="475" t="n">
        <v>36892</v>
      </c>
      <c r="L109" s="254" t="n">
        <v>50711.5763740942</v>
      </c>
      <c r="M109" s="475" t="n">
        <v>36888</v>
      </c>
      <c r="N109" s="0" t="s">
        <v>132</v>
      </c>
      <c r="O109" s="0" t="n">
        <v>0.7</v>
      </c>
      <c r="P109" s="0" t="n">
        <v>0</v>
      </c>
      <c r="Q109" s="0" t="n">
        <v>0</v>
      </c>
      <c r="R109" s="0" t="n">
        <v>0</v>
      </c>
      <c r="S109" s="0" t="n">
        <v>0</v>
      </c>
      <c r="T109" s="0" t="s">
        <v>624</v>
      </c>
      <c r="U109" s="0" t="s">
        <v>149</v>
      </c>
      <c r="V109" s="0" t="s">
        <v>624</v>
      </c>
      <c r="W109" s="0" t="s">
        <v>569</v>
      </c>
      <c r="X109" s="0" t="s">
        <v>624</v>
      </c>
      <c r="Y109" s="0" t="s">
        <v>627</v>
      </c>
      <c r="Z109" s="0" t="s">
        <v>629</v>
      </c>
      <c r="AA109" s="0" t="s">
        <v>624</v>
      </c>
      <c r="AB109" s="0" t="s">
        <v>580</v>
      </c>
      <c r="AC109" s="254" t="n">
        <v>500000</v>
      </c>
      <c r="AD109" s="254" t="n">
        <v>24485.5777553611</v>
      </c>
      <c r="AE109" s="0" t="n">
        <v>0</v>
      </c>
      <c r="AF109" s="0" t="n">
        <v>0</v>
      </c>
      <c r="AG109" s="0" t="n">
        <v>0</v>
      </c>
      <c r="AH109" s="254" t="n">
        <v>-2460.61232077333</v>
      </c>
      <c r="AI109" s="0" t="n">
        <v>226</v>
      </c>
      <c r="AJ109" s="0" t="s">
        <v>630</v>
      </c>
      <c r="AK109" s="0" t="n">
        <v>0</v>
      </c>
      <c r="AL109" s="0" t="n">
        <v>0</v>
      </c>
      <c r="AM109" s="0" t="n">
        <v>0</v>
      </c>
    </row>
    <row r="110" customFormat="false" ht="12.75" hidden="false" customHeight="false" outlineLevel="0" collapsed="false">
      <c r="A110" s="0" t="s">
        <v>631</v>
      </c>
      <c r="B110" s="0" t="s">
        <v>245</v>
      </c>
      <c r="C110" s="0" t="s">
        <v>622</v>
      </c>
      <c r="D110" s="0" t="s">
        <v>623</v>
      </c>
      <c r="E110" s="0" t="s">
        <v>131</v>
      </c>
      <c r="F110" s="0" t="s">
        <v>244</v>
      </c>
      <c r="G110" s="0" t="s">
        <v>628</v>
      </c>
      <c r="H110" s="0" t="s">
        <v>625</v>
      </c>
      <c r="I110" s="0" t="s">
        <v>626</v>
      </c>
      <c r="J110" s="0" t="s">
        <v>627</v>
      </c>
      <c r="K110" s="475" t="n">
        <v>36861</v>
      </c>
      <c r="L110" s="254" t="n">
        <v>67625.3262715833</v>
      </c>
      <c r="M110" s="475" t="n">
        <v>36859</v>
      </c>
      <c r="N110" s="0" t="s">
        <v>132</v>
      </c>
      <c r="O110" s="0" t="n">
        <v>0.7</v>
      </c>
      <c r="P110" s="0" t="n">
        <v>0</v>
      </c>
      <c r="Q110" s="0" t="n">
        <v>0</v>
      </c>
      <c r="R110" s="0" t="n">
        <v>0</v>
      </c>
      <c r="S110" s="0" t="n">
        <v>0</v>
      </c>
      <c r="T110" s="0" t="s">
        <v>624</v>
      </c>
      <c r="U110" s="0" t="s">
        <v>149</v>
      </c>
      <c r="V110" s="0" t="s">
        <v>624</v>
      </c>
      <c r="W110" s="0" t="s">
        <v>569</v>
      </c>
      <c r="X110" s="0" t="s">
        <v>624</v>
      </c>
      <c r="Y110" s="0" t="s">
        <v>627</v>
      </c>
      <c r="Z110" s="0" t="s">
        <v>629</v>
      </c>
      <c r="AA110" s="0" t="s">
        <v>624</v>
      </c>
      <c r="AB110" s="0" t="s">
        <v>580</v>
      </c>
      <c r="AC110" s="254" t="n">
        <v>500000</v>
      </c>
      <c r="AD110" s="254" t="n">
        <v>26854.2626189887</v>
      </c>
      <c r="AE110" s="0" t="n">
        <v>0</v>
      </c>
      <c r="AF110" s="0" t="n">
        <v>0</v>
      </c>
      <c r="AG110" s="0" t="n">
        <v>0</v>
      </c>
      <c r="AH110" s="254" t="n">
        <v>-2764.98327624796</v>
      </c>
      <c r="AI110" s="0" t="n">
        <v>226</v>
      </c>
      <c r="AJ110" s="0" t="s">
        <v>630</v>
      </c>
      <c r="AK110" s="0" t="n">
        <v>0</v>
      </c>
      <c r="AL110" s="0" t="n">
        <v>0</v>
      </c>
      <c r="AM110" s="0" t="n">
        <v>0</v>
      </c>
    </row>
    <row r="111" customFormat="false" ht="12.75" hidden="false" customHeight="false" outlineLevel="0" collapsed="false">
      <c r="A111" s="0" t="s">
        <v>631</v>
      </c>
      <c r="B111" s="0" t="s">
        <v>245</v>
      </c>
      <c r="C111" s="0" t="s">
        <v>622</v>
      </c>
      <c r="D111" s="0" t="s">
        <v>623</v>
      </c>
      <c r="E111" s="0" t="s">
        <v>131</v>
      </c>
      <c r="F111" s="0" t="s">
        <v>244</v>
      </c>
      <c r="G111" s="0" t="s">
        <v>628</v>
      </c>
      <c r="H111" s="0" t="s">
        <v>625</v>
      </c>
      <c r="I111" s="0" t="s">
        <v>626</v>
      </c>
      <c r="J111" s="0" t="s">
        <v>627</v>
      </c>
      <c r="K111" s="475" t="n">
        <v>36831</v>
      </c>
      <c r="L111" s="254" t="n">
        <v>112243.684198816</v>
      </c>
      <c r="M111" s="475" t="n">
        <v>36829</v>
      </c>
      <c r="N111" s="0" t="s">
        <v>132</v>
      </c>
      <c r="O111" s="0" t="n">
        <v>0.7</v>
      </c>
      <c r="P111" s="0" t="n">
        <v>0</v>
      </c>
      <c r="Q111" s="0" t="n">
        <v>0</v>
      </c>
      <c r="R111" s="0" t="n">
        <v>0</v>
      </c>
      <c r="S111" s="0" t="n">
        <v>0</v>
      </c>
      <c r="T111" s="0" t="s">
        <v>624</v>
      </c>
      <c r="U111" s="0" t="s">
        <v>149</v>
      </c>
      <c r="V111" s="0" t="s">
        <v>624</v>
      </c>
      <c r="W111" s="0" t="s">
        <v>569</v>
      </c>
      <c r="X111" s="0" t="s">
        <v>624</v>
      </c>
      <c r="Y111" s="0" t="s">
        <v>627</v>
      </c>
      <c r="Z111" s="0" t="s">
        <v>629</v>
      </c>
      <c r="AA111" s="0" t="s">
        <v>624</v>
      </c>
      <c r="AB111" s="0" t="s">
        <v>580</v>
      </c>
      <c r="AC111" s="254" t="n">
        <v>500000</v>
      </c>
      <c r="AD111" s="254" t="n">
        <v>22551.2171298701</v>
      </c>
      <c r="AE111" s="0" t="n">
        <v>0</v>
      </c>
      <c r="AF111" s="0" t="n">
        <v>0</v>
      </c>
      <c r="AG111" s="0" t="n">
        <v>0</v>
      </c>
      <c r="AH111" s="254" t="n">
        <v>-7585.65487872387</v>
      </c>
      <c r="AI111" s="0" t="n">
        <v>226</v>
      </c>
      <c r="AJ111" s="0" t="s">
        <v>630</v>
      </c>
      <c r="AK111" s="0" t="n">
        <v>0</v>
      </c>
      <c r="AL111" s="0" t="n">
        <v>0</v>
      </c>
      <c r="AM111" s="0" t="n">
        <v>0</v>
      </c>
    </row>
    <row r="112" customFormat="false" ht="12.75" hidden="false" customHeight="false" outlineLevel="0" collapsed="false">
      <c r="A112" s="0" t="s">
        <v>631</v>
      </c>
      <c r="B112" s="0" t="s">
        <v>246</v>
      </c>
      <c r="C112" s="0" t="s">
        <v>622</v>
      </c>
      <c r="D112" s="0" t="s">
        <v>623</v>
      </c>
      <c r="E112" s="0" t="s">
        <v>131</v>
      </c>
      <c r="F112" s="0" t="s">
        <v>244</v>
      </c>
      <c r="G112" s="0" t="s">
        <v>628</v>
      </c>
      <c r="H112" s="0" t="s">
        <v>625</v>
      </c>
      <c r="I112" s="0" t="s">
        <v>626</v>
      </c>
      <c r="J112" s="0" t="s">
        <v>627</v>
      </c>
      <c r="K112" s="475" t="n">
        <v>36923</v>
      </c>
      <c r="L112" s="254" t="n">
        <v>-507261.235922058</v>
      </c>
      <c r="M112" s="475" t="n">
        <v>36921</v>
      </c>
      <c r="N112" s="0" t="s">
        <v>136</v>
      </c>
      <c r="O112" s="0" t="n">
        <v>1.4</v>
      </c>
      <c r="P112" s="0" t="n">
        <v>0</v>
      </c>
      <c r="Q112" s="0" t="n">
        <v>0</v>
      </c>
      <c r="R112" s="0" t="n">
        <v>0</v>
      </c>
      <c r="S112" s="0" t="n">
        <v>0</v>
      </c>
      <c r="T112" s="0" t="s">
        <v>624</v>
      </c>
      <c r="U112" s="0" t="s">
        <v>149</v>
      </c>
      <c r="V112" s="0" t="s">
        <v>624</v>
      </c>
      <c r="W112" s="0" t="s">
        <v>569</v>
      </c>
      <c r="X112" s="0" t="s">
        <v>624</v>
      </c>
      <c r="Y112" s="0" t="s">
        <v>627</v>
      </c>
      <c r="Z112" s="0" t="s">
        <v>629</v>
      </c>
      <c r="AA112" s="0" t="s">
        <v>624</v>
      </c>
      <c r="AB112" s="0" t="s">
        <v>580</v>
      </c>
      <c r="AC112" s="254" t="n">
        <v>-500000</v>
      </c>
      <c r="AD112" s="254" t="n">
        <v>-40486.0254651181</v>
      </c>
      <c r="AE112" s="0" t="n">
        <v>0</v>
      </c>
      <c r="AF112" s="0" t="n">
        <v>0</v>
      </c>
      <c r="AG112" s="0" t="n">
        <v>0</v>
      </c>
      <c r="AH112" s="254" t="n">
        <v>-25962.4589863099</v>
      </c>
      <c r="AI112" s="0" t="n">
        <v>226</v>
      </c>
      <c r="AJ112" s="0" t="s">
        <v>630</v>
      </c>
      <c r="AK112" s="0" t="n">
        <v>0</v>
      </c>
      <c r="AL112" s="0" t="n">
        <v>0</v>
      </c>
      <c r="AM112" s="0" t="n">
        <v>0</v>
      </c>
    </row>
    <row r="113" customFormat="false" ht="12.75" hidden="false" customHeight="false" outlineLevel="0" collapsed="false">
      <c r="A113" s="0" t="s">
        <v>631</v>
      </c>
      <c r="B113" s="0" t="s">
        <v>246</v>
      </c>
      <c r="C113" s="0" t="s">
        <v>622</v>
      </c>
      <c r="D113" s="0" t="s">
        <v>623</v>
      </c>
      <c r="E113" s="0" t="s">
        <v>131</v>
      </c>
      <c r="F113" s="0" t="s">
        <v>244</v>
      </c>
      <c r="G113" s="0" t="s">
        <v>628</v>
      </c>
      <c r="H113" s="0" t="s">
        <v>625</v>
      </c>
      <c r="I113" s="0" t="s">
        <v>626</v>
      </c>
      <c r="J113" s="0" t="s">
        <v>627</v>
      </c>
      <c r="K113" s="475" t="n">
        <v>36892</v>
      </c>
      <c r="L113" s="254" t="n">
        <v>-522198.685159032</v>
      </c>
      <c r="M113" s="475" t="n">
        <v>36888</v>
      </c>
      <c r="N113" s="0" t="s">
        <v>136</v>
      </c>
      <c r="O113" s="0" t="n">
        <v>1.4</v>
      </c>
      <c r="P113" s="0" t="n">
        <v>0</v>
      </c>
      <c r="Q113" s="0" t="n">
        <v>0</v>
      </c>
      <c r="R113" s="0" t="n">
        <v>0</v>
      </c>
      <c r="S113" s="0" t="n">
        <v>0</v>
      </c>
      <c r="T113" s="0" t="s">
        <v>624</v>
      </c>
      <c r="U113" s="0" t="s">
        <v>149</v>
      </c>
      <c r="V113" s="0" t="s">
        <v>624</v>
      </c>
      <c r="W113" s="0" t="s">
        <v>569</v>
      </c>
      <c r="X113" s="0" t="s">
        <v>624</v>
      </c>
      <c r="Y113" s="0" t="s">
        <v>627</v>
      </c>
      <c r="Z113" s="0" t="s">
        <v>629</v>
      </c>
      <c r="AA113" s="0" t="s">
        <v>624</v>
      </c>
      <c r="AB113" s="0" t="s">
        <v>580</v>
      </c>
      <c r="AC113" s="254" t="n">
        <v>-500000</v>
      </c>
      <c r="AD113" s="254" t="n">
        <v>-35849.3773656747</v>
      </c>
      <c r="AE113" s="0" t="n">
        <v>0</v>
      </c>
      <c r="AF113" s="0" t="n">
        <v>0</v>
      </c>
      <c r="AG113" s="0" t="n">
        <v>0</v>
      </c>
      <c r="AH113" s="254" t="n">
        <v>-23082.2891502687</v>
      </c>
      <c r="AI113" s="0" t="n">
        <v>226</v>
      </c>
      <c r="AJ113" s="0" t="s">
        <v>630</v>
      </c>
      <c r="AK113" s="0" t="n">
        <v>0</v>
      </c>
      <c r="AL113" s="0" t="n">
        <v>0</v>
      </c>
      <c r="AM113" s="0" t="n">
        <v>0</v>
      </c>
    </row>
    <row r="114" customFormat="false" ht="12.75" hidden="false" customHeight="false" outlineLevel="0" collapsed="false">
      <c r="A114" s="0" t="s">
        <v>631</v>
      </c>
      <c r="B114" s="0" t="s">
        <v>246</v>
      </c>
      <c r="C114" s="0" t="s">
        <v>622</v>
      </c>
      <c r="D114" s="0" t="s">
        <v>623</v>
      </c>
      <c r="E114" s="0" t="s">
        <v>131</v>
      </c>
      <c r="F114" s="0" t="s">
        <v>244</v>
      </c>
      <c r="G114" s="0" t="s">
        <v>628</v>
      </c>
      <c r="H114" s="0" t="s">
        <v>625</v>
      </c>
      <c r="I114" s="0" t="s">
        <v>626</v>
      </c>
      <c r="J114" s="0" t="s">
        <v>627</v>
      </c>
      <c r="K114" s="475" t="n">
        <v>36861</v>
      </c>
      <c r="L114" s="254" t="n">
        <v>-314750.305543874</v>
      </c>
      <c r="M114" s="475" t="n">
        <v>36859</v>
      </c>
      <c r="N114" s="0" t="s">
        <v>136</v>
      </c>
      <c r="O114" s="0" t="n">
        <v>1.4</v>
      </c>
      <c r="P114" s="0" t="n">
        <v>0</v>
      </c>
      <c r="Q114" s="0" t="n">
        <v>0</v>
      </c>
      <c r="R114" s="0" t="n">
        <v>0</v>
      </c>
      <c r="S114" s="0" t="n">
        <v>0</v>
      </c>
      <c r="T114" s="0" t="s">
        <v>624</v>
      </c>
      <c r="U114" s="0" t="s">
        <v>149</v>
      </c>
      <c r="V114" s="0" t="s">
        <v>624</v>
      </c>
      <c r="W114" s="0" t="s">
        <v>569</v>
      </c>
      <c r="X114" s="0" t="s">
        <v>624</v>
      </c>
      <c r="Y114" s="0" t="s">
        <v>627</v>
      </c>
      <c r="Z114" s="0" t="s">
        <v>629</v>
      </c>
      <c r="AA114" s="0" t="s">
        <v>624</v>
      </c>
      <c r="AB114" s="0" t="s">
        <v>580</v>
      </c>
      <c r="AC114" s="254" t="n">
        <v>-500000</v>
      </c>
      <c r="AD114" s="254" t="n">
        <v>-35113.3919479792</v>
      </c>
      <c r="AE114" s="0" t="n">
        <v>0</v>
      </c>
      <c r="AF114" s="0" t="n">
        <v>0</v>
      </c>
      <c r="AG114" s="0" t="n">
        <v>0</v>
      </c>
      <c r="AH114" s="254" t="n">
        <v>-15248.9689529291</v>
      </c>
      <c r="AI114" s="0" t="n">
        <v>226</v>
      </c>
      <c r="AJ114" s="0" t="s">
        <v>630</v>
      </c>
      <c r="AK114" s="0" t="n">
        <v>0</v>
      </c>
      <c r="AL114" s="0" t="n">
        <v>0</v>
      </c>
      <c r="AM114" s="0" t="n">
        <v>0</v>
      </c>
    </row>
    <row r="115" customFormat="false" ht="12.75" hidden="false" customHeight="false" outlineLevel="0" collapsed="false">
      <c r="A115" s="0" t="s">
        <v>631</v>
      </c>
      <c r="B115" s="0" t="s">
        <v>247</v>
      </c>
      <c r="C115" s="0" t="s">
        <v>622</v>
      </c>
      <c r="D115" s="0" t="s">
        <v>623</v>
      </c>
      <c r="E115" s="0" t="s">
        <v>131</v>
      </c>
      <c r="F115" s="0" t="s">
        <v>244</v>
      </c>
      <c r="G115" s="0" t="s">
        <v>628</v>
      </c>
      <c r="H115" s="0" t="s">
        <v>625</v>
      </c>
      <c r="I115" s="0" t="s">
        <v>626</v>
      </c>
      <c r="J115" s="0" t="s">
        <v>627</v>
      </c>
      <c r="K115" s="475" t="n">
        <v>36923</v>
      </c>
      <c r="L115" s="254" t="n">
        <v>-172165.655322027</v>
      </c>
      <c r="M115" s="475" t="n">
        <v>36921</v>
      </c>
      <c r="N115" s="0" t="s">
        <v>132</v>
      </c>
      <c r="O115" s="0" t="n">
        <v>1.4</v>
      </c>
      <c r="P115" s="0" t="n">
        <v>0</v>
      </c>
      <c r="Q115" s="0" t="n">
        <v>0</v>
      </c>
      <c r="R115" s="0" t="n">
        <v>0</v>
      </c>
      <c r="S115" s="0" t="n">
        <v>0</v>
      </c>
      <c r="T115" s="0" t="s">
        <v>624</v>
      </c>
      <c r="U115" s="0" t="s">
        <v>149</v>
      </c>
      <c r="V115" s="0" t="s">
        <v>624</v>
      </c>
      <c r="W115" s="0" t="s">
        <v>569</v>
      </c>
      <c r="X115" s="0" t="s">
        <v>624</v>
      </c>
      <c r="Y115" s="0" t="s">
        <v>627</v>
      </c>
      <c r="Z115" s="0" t="s">
        <v>629</v>
      </c>
      <c r="AA115" s="0" t="s">
        <v>624</v>
      </c>
      <c r="AB115" s="0" t="s">
        <v>580</v>
      </c>
      <c r="AC115" s="254" t="n">
        <v>-500000</v>
      </c>
      <c r="AD115" s="254" t="n">
        <v>-40486.0254651181</v>
      </c>
      <c r="AE115" s="0" t="n">
        <v>0</v>
      </c>
      <c r="AF115" s="0" t="n">
        <v>0</v>
      </c>
      <c r="AG115" s="0" t="n">
        <v>0</v>
      </c>
      <c r="AH115" s="254" t="n">
        <v>8015.26932346608</v>
      </c>
      <c r="AI115" s="0" t="n">
        <v>226</v>
      </c>
      <c r="AJ115" s="0" t="s">
        <v>630</v>
      </c>
      <c r="AK115" s="0" t="n">
        <v>0</v>
      </c>
      <c r="AL115" s="0" t="n">
        <v>0</v>
      </c>
      <c r="AM115" s="0" t="n">
        <v>0</v>
      </c>
    </row>
    <row r="116" customFormat="false" ht="12.75" hidden="false" customHeight="false" outlineLevel="0" collapsed="false">
      <c r="A116" s="0" t="s">
        <v>631</v>
      </c>
      <c r="B116" s="0" t="s">
        <v>247</v>
      </c>
      <c r="C116" s="0" t="s">
        <v>622</v>
      </c>
      <c r="D116" s="0" t="s">
        <v>623</v>
      </c>
      <c r="E116" s="0" t="s">
        <v>131</v>
      </c>
      <c r="F116" s="0" t="s">
        <v>244</v>
      </c>
      <c r="G116" s="0" t="s">
        <v>628</v>
      </c>
      <c r="H116" s="0" t="s">
        <v>625</v>
      </c>
      <c r="I116" s="0" t="s">
        <v>626</v>
      </c>
      <c r="J116" s="0" t="s">
        <v>627</v>
      </c>
      <c r="K116" s="475" t="n">
        <v>36892</v>
      </c>
      <c r="L116" s="254" t="n">
        <v>-145891.826545768</v>
      </c>
      <c r="M116" s="475" t="n">
        <v>36888</v>
      </c>
      <c r="N116" s="0" t="s">
        <v>132</v>
      </c>
      <c r="O116" s="0" t="n">
        <v>1.4</v>
      </c>
      <c r="P116" s="0" t="n">
        <v>0</v>
      </c>
      <c r="Q116" s="0" t="n">
        <v>0</v>
      </c>
      <c r="R116" s="0" t="n">
        <v>0</v>
      </c>
      <c r="S116" s="0" t="n">
        <v>0</v>
      </c>
      <c r="T116" s="0" t="s">
        <v>624</v>
      </c>
      <c r="U116" s="0" t="s">
        <v>149</v>
      </c>
      <c r="V116" s="0" t="s">
        <v>624</v>
      </c>
      <c r="W116" s="0" t="s">
        <v>569</v>
      </c>
      <c r="X116" s="0" t="s">
        <v>624</v>
      </c>
      <c r="Y116" s="0" t="s">
        <v>627</v>
      </c>
      <c r="Z116" s="0" t="s">
        <v>629</v>
      </c>
      <c r="AA116" s="0" t="s">
        <v>624</v>
      </c>
      <c r="AB116" s="0" t="s">
        <v>580</v>
      </c>
      <c r="AC116" s="254" t="n">
        <v>-500000</v>
      </c>
      <c r="AD116" s="254" t="n">
        <v>-35849.3773656747</v>
      </c>
      <c r="AE116" s="0" t="n">
        <v>0</v>
      </c>
      <c r="AF116" s="0" t="n">
        <v>0</v>
      </c>
      <c r="AG116" s="0" t="n">
        <v>0</v>
      </c>
      <c r="AH116" s="254" t="n">
        <v>6224.68947469955</v>
      </c>
      <c r="AI116" s="0" t="n">
        <v>226</v>
      </c>
      <c r="AJ116" s="0" t="s">
        <v>630</v>
      </c>
      <c r="AK116" s="0" t="n">
        <v>0</v>
      </c>
      <c r="AL116" s="0" t="n">
        <v>0</v>
      </c>
      <c r="AM116" s="0" t="n">
        <v>0</v>
      </c>
    </row>
    <row r="117" customFormat="false" ht="12.75" hidden="false" customHeight="false" outlineLevel="0" collapsed="false">
      <c r="A117" s="0" t="s">
        <v>631</v>
      </c>
      <c r="B117" s="0" t="s">
        <v>247</v>
      </c>
      <c r="C117" s="0" t="s">
        <v>622</v>
      </c>
      <c r="D117" s="0" t="s">
        <v>623</v>
      </c>
      <c r="E117" s="0" t="s">
        <v>131</v>
      </c>
      <c r="F117" s="0" t="s">
        <v>244</v>
      </c>
      <c r="G117" s="0" t="s">
        <v>628</v>
      </c>
      <c r="H117" s="0" t="s">
        <v>625</v>
      </c>
      <c r="I117" s="0" t="s">
        <v>626</v>
      </c>
      <c r="J117" s="0" t="s">
        <v>627</v>
      </c>
      <c r="K117" s="475" t="n">
        <v>36861</v>
      </c>
      <c r="L117" s="254" t="n">
        <v>-194362.661455349</v>
      </c>
      <c r="M117" s="475" t="n">
        <v>36859</v>
      </c>
      <c r="N117" s="0" t="s">
        <v>132</v>
      </c>
      <c r="O117" s="0" t="n">
        <v>1.4</v>
      </c>
      <c r="P117" s="0" t="n">
        <v>0</v>
      </c>
      <c r="Q117" s="0" t="n">
        <v>0</v>
      </c>
      <c r="R117" s="0" t="n">
        <v>0</v>
      </c>
      <c r="S117" s="0" t="n">
        <v>0</v>
      </c>
      <c r="T117" s="0" t="s">
        <v>624</v>
      </c>
      <c r="U117" s="0" t="s">
        <v>149</v>
      </c>
      <c r="V117" s="0" t="s">
        <v>624</v>
      </c>
      <c r="W117" s="0" t="s">
        <v>569</v>
      </c>
      <c r="X117" s="0" t="s">
        <v>624</v>
      </c>
      <c r="Y117" s="0" t="s">
        <v>627</v>
      </c>
      <c r="Z117" s="0" t="s">
        <v>629</v>
      </c>
      <c r="AA117" s="0" t="s">
        <v>624</v>
      </c>
      <c r="AB117" s="0" t="s">
        <v>580</v>
      </c>
      <c r="AC117" s="254" t="n">
        <v>-500000</v>
      </c>
      <c r="AD117" s="254" t="n">
        <v>-35113.3919479792</v>
      </c>
      <c r="AE117" s="0" t="n">
        <v>0</v>
      </c>
      <c r="AF117" s="0" t="n">
        <v>0</v>
      </c>
      <c r="AG117" s="0" t="n">
        <v>0</v>
      </c>
      <c r="AH117" s="254" t="n">
        <v>6850.88392178956</v>
      </c>
      <c r="AI117" s="0" t="n">
        <v>226</v>
      </c>
      <c r="AJ117" s="0" t="s">
        <v>630</v>
      </c>
      <c r="AK117" s="0" t="n">
        <v>0</v>
      </c>
      <c r="AL117" s="0" t="n">
        <v>0</v>
      </c>
      <c r="AM117" s="0" t="n">
        <v>0</v>
      </c>
    </row>
    <row r="118" customFormat="false" ht="12.75" hidden="false" customHeight="false" outlineLevel="0" collapsed="false">
      <c r="A118" s="0" t="s">
        <v>631</v>
      </c>
      <c r="B118" s="0" t="s">
        <v>248</v>
      </c>
      <c r="C118" s="0" t="s">
        <v>622</v>
      </c>
      <c r="D118" s="0" t="s">
        <v>623</v>
      </c>
      <c r="E118" s="0" t="s">
        <v>131</v>
      </c>
      <c r="F118" s="0" t="s">
        <v>198</v>
      </c>
      <c r="G118" s="0" t="s">
        <v>628</v>
      </c>
      <c r="H118" s="0" t="s">
        <v>625</v>
      </c>
      <c r="I118" s="0" t="s">
        <v>626</v>
      </c>
      <c r="J118" s="0" t="s">
        <v>627</v>
      </c>
      <c r="K118" s="475" t="n">
        <v>36951</v>
      </c>
      <c r="L118" s="254" t="n">
        <v>-71142.6891006748</v>
      </c>
      <c r="M118" s="475" t="n">
        <v>36949</v>
      </c>
      <c r="N118" s="0" t="s">
        <v>136</v>
      </c>
      <c r="O118" s="0" t="n">
        <v>0</v>
      </c>
      <c r="P118" s="0" t="n">
        <v>0</v>
      </c>
      <c r="Q118" s="0" t="n">
        <v>0</v>
      </c>
      <c r="R118" s="0" t="n">
        <v>0</v>
      </c>
      <c r="S118" s="0" t="n">
        <v>0</v>
      </c>
      <c r="T118" s="0" t="s">
        <v>624</v>
      </c>
      <c r="U118" s="0" t="s">
        <v>153</v>
      </c>
      <c r="V118" s="0" t="s">
        <v>624</v>
      </c>
      <c r="W118" s="0" t="s">
        <v>569</v>
      </c>
      <c r="X118" s="0" t="s">
        <v>624</v>
      </c>
      <c r="Y118" s="0" t="s">
        <v>627</v>
      </c>
      <c r="Z118" s="0" t="s">
        <v>629</v>
      </c>
      <c r="AA118" s="0" t="s">
        <v>624</v>
      </c>
      <c r="AB118" s="0" t="s">
        <v>580</v>
      </c>
      <c r="AC118" s="254" t="n">
        <v>-1000000</v>
      </c>
      <c r="AD118" s="254" t="n">
        <v>-12428.8322519676</v>
      </c>
      <c r="AE118" s="0" t="n">
        <v>0</v>
      </c>
      <c r="AF118" s="0" t="n">
        <v>0</v>
      </c>
      <c r="AG118" s="0" t="n">
        <v>0</v>
      </c>
      <c r="AH118" s="254" t="n">
        <v>-634.616227812177</v>
      </c>
      <c r="AI118" s="0" t="n">
        <v>226</v>
      </c>
      <c r="AJ118" s="0" t="s">
        <v>630</v>
      </c>
      <c r="AK118" s="0" t="n">
        <v>0</v>
      </c>
      <c r="AL118" s="0" t="n">
        <v>0</v>
      </c>
      <c r="AM118" s="0" t="n">
        <v>0</v>
      </c>
    </row>
    <row r="119" customFormat="false" ht="12.75" hidden="false" customHeight="false" outlineLevel="0" collapsed="false">
      <c r="A119" s="0" t="s">
        <v>631</v>
      </c>
      <c r="B119" s="0" t="s">
        <v>248</v>
      </c>
      <c r="C119" s="0" t="s">
        <v>622</v>
      </c>
      <c r="D119" s="0" t="s">
        <v>623</v>
      </c>
      <c r="E119" s="0" t="s">
        <v>131</v>
      </c>
      <c r="F119" s="0" t="s">
        <v>198</v>
      </c>
      <c r="G119" s="0" t="s">
        <v>628</v>
      </c>
      <c r="H119" s="0" t="s">
        <v>625</v>
      </c>
      <c r="I119" s="0" t="s">
        <v>626</v>
      </c>
      <c r="J119" s="0" t="s">
        <v>627</v>
      </c>
      <c r="K119" s="475" t="n">
        <v>36923</v>
      </c>
      <c r="L119" s="254" t="n">
        <v>-77674.7575118251</v>
      </c>
      <c r="M119" s="475" t="n">
        <v>36921</v>
      </c>
      <c r="N119" s="0" t="s">
        <v>136</v>
      </c>
      <c r="O119" s="0" t="n">
        <v>0</v>
      </c>
      <c r="P119" s="0" t="n">
        <v>0</v>
      </c>
      <c r="Q119" s="0" t="n">
        <v>0</v>
      </c>
      <c r="R119" s="0" t="n">
        <v>0</v>
      </c>
      <c r="S119" s="0" t="n">
        <v>0</v>
      </c>
      <c r="T119" s="0" t="s">
        <v>624</v>
      </c>
      <c r="U119" s="0" t="s">
        <v>153</v>
      </c>
      <c r="V119" s="0" t="s">
        <v>624</v>
      </c>
      <c r="W119" s="0" t="s">
        <v>569</v>
      </c>
      <c r="X119" s="0" t="s">
        <v>624</v>
      </c>
      <c r="Y119" s="0" t="s">
        <v>627</v>
      </c>
      <c r="Z119" s="0" t="s">
        <v>629</v>
      </c>
      <c r="AA119" s="0" t="s">
        <v>624</v>
      </c>
      <c r="AB119" s="0" t="s">
        <v>580</v>
      </c>
      <c r="AC119" s="254" t="n">
        <v>-1000000</v>
      </c>
      <c r="AD119" s="254" t="n">
        <v>-12805.7923132989</v>
      </c>
      <c r="AE119" s="0" t="n">
        <v>0</v>
      </c>
      <c r="AF119" s="0" t="n">
        <v>0</v>
      </c>
      <c r="AG119" s="0" t="n">
        <v>0</v>
      </c>
      <c r="AH119" s="254" t="n">
        <v>-616.769239987625</v>
      </c>
      <c r="AI119" s="0" t="n">
        <v>226</v>
      </c>
      <c r="AJ119" s="0" t="s">
        <v>630</v>
      </c>
      <c r="AK119" s="0" t="n">
        <v>0</v>
      </c>
      <c r="AL119" s="0" t="n">
        <v>0</v>
      </c>
      <c r="AM119" s="0" t="n">
        <v>0</v>
      </c>
    </row>
    <row r="120" customFormat="false" ht="12.75" hidden="false" customHeight="false" outlineLevel="0" collapsed="false">
      <c r="A120" s="0" t="s">
        <v>631</v>
      </c>
      <c r="B120" s="0" t="s">
        <v>248</v>
      </c>
      <c r="C120" s="0" t="s">
        <v>622</v>
      </c>
      <c r="D120" s="0" t="s">
        <v>623</v>
      </c>
      <c r="E120" s="0" t="s">
        <v>131</v>
      </c>
      <c r="F120" s="0" t="s">
        <v>198</v>
      </c>
      <c r="G120" s="0" t="s">
        <v>628</v>
      </c>
      <c r="H120" s="0" t="s">
        <v>625</v>
      </c>
      <c r="I120" s="0" t="s">
        <v>626</v>
      </c>
      <c r="J120" s="0" t="s">
        <v>627</v>
      </c>
      <c r="K120" s="475" t="n">
        <v>36892</v>
      </c>
      <c r="L120" s="254" t="n">
        <v>-72817.7541820427</v>
      </c>
      <c r="M120" s="475" t="n">
        <v>36888</v>
      </c>
      <c r="N120" s="0" t="s">
        <v>136</v>
      </c>
      <c r="O120" s="0" t="n">
        <v>0</v>
      </c>
      <c r="P120" s="0" t="n">
        <v>0</v>
      </c>
      <c r="Q120" s="0" t="n">
        <v>0</v>
      </c>
      <c r="R120" s="0" t="n">
        <v>0</v>
      </c>
      <c r="S120" s="0" t="n">
        <v>0</v>
      </c>
      <c r="T120" s="0" t="s">
        <v>624</v>
      </c>
      <c r="U120" s="0" t="s">
        <v>153</v>
      </c>
      <c r="V120" s="0" t="s">
        <v>624</v>
      </c>
      <c r="W120" s="0" t="s">
        <v>569</v>
      </c>
      <c r="X120" s="0" t="s">
        <v>624</v>
      </c>
      <c r="Y120" s="0" t="s">
        <v>627</v>
      </c>
      <c r="Z120" s="0" t="s">
        <v>629</v>
      </c>
      <c r="AA120" s="0" t="s">
        <v>624</v>
      </c>
      <c r="AB120" s="0" t="s">
        <v>580</v>
      </c>
      <c r="AC120" s="254" t="n">
        <v>-1000000</v>
      </c>
      <c r="AD120" s="254" t="n">
        <v>-11719.0730119358</v>
      </c>
      <c r="AE120" s="0" t="n">
        <v>0</v>
      </c>
      <c r="AF120" s="0" t="n">
        <v>0</v>
      </c>
      <c r="AG120" s="0" t="n">
        <v>0</v>
      </c>
      <c r="AH120" s="254" t="n">
        <v>-566.00262099893</v>
      </c>
      <c r="AI120" s="0" t="n">
        <v>226</v>
      </c>
      <c r="AJ120" s="0" t="s">
        <v>630</v>
      </c>
      <c r="AK120" s="0" t="n">
        <v>0</v>
      </c>
      <c r="AL120" s="0" t="n">
        <v>0</v>
      </c>
      <c r="AM120" s="0" t="n">
        <v>0</v>
      </c>
    </row>
    <row r="121" customFormat="false" ht="12.75" hidden="false" customHeight="false" outlineLevel="0" collapsed="false">
      <c r="A121" s="0" t="s">
        <v>631</v>
      </c>
      <c r="B121" s="0" t="s">
        <v>248</v>
      </c>
      <c r="C121" s="0" t="s">
        <v>622</v>
      </c>
      <c r="D121" s="0" t="s">
        <v>623</v>
      </c>
      <c r="E121" s="0" t="s">
        <v>131</v>
      </c>
      <c r="F121" s="0" t="s">
        <v>198</v>
      </c>
      <c r="G121" s="0" t="s">
        <v>628</v>
      </c>
      <c r="H121" s="0" t="s">
        <v>625</v>
      </c>
      <c r="I121" s="0" t="s">
        <v>626</v>
      </c>
      <c r="J121" s="0" t="s">
        <v>627</v>
      </c>
      <c r="K121" s="475" t="n">
        <v>36861</v>
      </c>
      <c r="L121" s="254" t="n">
        <v>-59315.32694897</v>
      </c>
      <c r="M121" s="475" t="n">
        <v>36859</v>
      </c>
      <c r="N121" s="0" t="s">
        <v>136</v>
      </c>
      <c r="O121" s="0" t="n">
        <v>0</v>
      </c>
      <c r="P121" s="0" t="n">
        <v>0</v>
      </c>
      <c r="Q121" s="0" t="n">
        <v>0</v>
      </c>
      <c r="R121" s="0" t="n">
        <v>0</v>
      </c>
      <c r="S121" s="0" t="n">
        <v>0</v>
      </c>
      <c r="T121" s="0" t="s">
        <v>624</v>
      </c>
      <c r="U121" s="0" t="s">
        <v>153</v>
      </c>
      <c r="V121" s="0" t="s">
        <v>624</v>
      </c>
      <c r="W121" s="0" t="s">
        <v>569</v>
      </c>
      <c r="X121" s="0" t="s">
        <v>624</v>
      </c>
      <c r="Y121" s="0" t="s">
        <v>627</v>
      </c>
      <c r="Z121" s="0" t="s">
        <v>629</v>
      </c>
      <c r="AA121" s="0" t="s">
        <v>624</v>
      </c>
      <c r="AB121" s="0" t="s">
        <v>580</v>
      </c>
      <c r="AC121" s="254" t="n">
        <v>-1000000</v>
      </c>
      <c r="AD121" s="254" t="n">
        <v>-10352.4500349388</v>
      </c>
      <c r="AE121" s="0" t="n">
        <v>0</v>
      </c>
      <c r="AF121" s="0" t="n">
        <v>0</v>
      </c>
      <c r="AG121" s="0" t="n">
        <v>0</v>
      </c>
      <c r="AH121" s="254" t="n">
        <v>-522.772353813089</v>
      </c>
      <c r="AI121" s="0" t="n">
        <v>226</v>
      </c>
      <c r="AJ121" s="0" t="s">
        <v>630</v>
      </c>
      <c r="AK121" s="0" t="n">
        <v>0</v>
      </c>
      <c r="AL121" s="0" t="n">
        <v>0</v>
      </c>
      <c r="AM121" s="0" t="n">
        <v>0</v>
      </c>
    </row>
    <row r="122" customFormat="false" ht="12.75" hidden="false" customHeight="false" outlineLevel="0" collapsed="false">
      <c r="A122" s="0" t="s">
        <v>631</v>
      </c>
      <c r="B122" s="0" t="s">
        <v>248</v>
      </c>
      <c r="C122" s="0" t="s">
        <v>622</v>
      </c>
      <c r="D122" s="0" t="s">
        <v>623</v>
      </c>
      <c r="E122" s="0" t="s">
        <v>131</v>
      </c>
      <c r="F122" s="0" t="s">
        <v>198</v>
      </c>
      <c r="G122" s="0" t="s">
        <v>628</v>
      </c>
      <c r="H122" s="0" t="s">
        <v>625</v>
      </c>
      <c r="I122" s="0" t="s">
        <v>626</v>
      </c>
      <c r="J122" s="0" t="s">
        <v>627</v>
      </c>
      <c r="K122" s="475" t="n">
        <v>36831</v>
      </c>
      <c r="L122" s="254" t="n">
        <v>-39503.0385188713</v>
      </c>
      <c r="M122" s="475" t="n">
        <v>36829</v>
      </c>
      <c r="N122" s="0" t="s">
        <v>136</v>
      </c>
      <c r="O122" s="0" t="n">
        <v>0</v>
      </c>
      <c r="P122" s="0" t="n">
        <v>0</v>
      </c>
      <c r="Q122" s="0" t="n">
        <v>0</v>
      </c>
      <c r="R122" s="0" t="n">
        <v>0</v>
      </c>
      <c r="S122" s="0" t="n">
        <v>0</v>
      </c>
      <c r="T122" s="0" t="s">
        <v>624</v>
      </c>
      <c r="U122" s="0" t="s">
        <v>153</v>
      </c>
      <c r="V122" s="0" t="s">
        <v>624</v>
      </c>
      <c r="W122" s="0" t="s">
        <v>569</v>
      </c>
      <c r="X122" s="0" t="s">
        <v>624</v>
      </c>
      <c r="Y122" s="0" t="s">
        <v>627</v>
      </c>
      <c r="Z122" s="0" t="s">
        <v>629</v>
      </c>
      <c r="AA122" s="0" t="s">
        <v>624</v>
      </c>
      <c r="AB122" s="0" t="s">
        <v>580</v>
      </c>
      <c r="AC122" s="254" t="n">
        <v>-1000000</v>
      </c>
      <c r="AD122" s="254" t="n">
        <v>-8599.09313525487</v>
      </c>
      <c r="AE122" s="0" t="n">
        <v>0</v>
      </c>
      <c r="AF122" s="0" t="n">
        <v>0</v>
      </c>
      <c r="AG122" s="0" t="n">
        <v>0</v>
      </c>
      <c r="AH122" s="254" t="n">
        <v>-463.650302859402</v>
      </c>
      <c r="AI122" s="0" t="n">
        <v>226</v>
      </c>
      <c r="AJ122" s="0" t="s">
        <v>630</v>
      </c>
      <c r="AK122" s="0" t="n">
        <v>0</v>
      </c>
      <c r="AL122" s="0" t="n">
        <v>0</v>
      </c>
      <c r="AM122" s="0" t="n">
        <v>0</v>
      </c>
    </row>
    <row r="123" customFormat="false" ht="12.75" hidden="false" customHeight="false" outlineLevel="0" collapsed="false">
      <c r="A123" s="0" t="s">
        <v>631</v>
      </c>
      <c r="B123" s="0" t="s">
        <v>248</v>
      </c>
      <c r="C123" s="0" t="s">
        <v>622</v>
      </c>
      <c r="D123" s="0" t="s">
        <v>623</v>
      </c>
      <c r="E123" s="0" t="s">
        <v>131</v>
      </c>
      <c r="F123" s="0" t="s">
        <v>198</v>
      </c>
      <c r="G123" s="0" t="s">
        <v>628</v>
      </c>
      <c r="H123" s="0" t="s">
        <v>625</v>
      </c>
      <c r="I123" s="0" t="s">
        <v>626</v>
      </c>
      <c r="J123" s="0" t="s">
        <v>627</v>
      </c>
      <c r="K123" s="475" t="n">
        <v>36800</v>
      </c>
      <c r="L123" s="254" t="n">
        <v>-1170.31335042456</v>
      </c>
      <c r="M123" s="475" t="n">
        <v>36797</v>
      </c>
      <c r="N123" s="0" t="s">
        <v>136</v>
      </c>
      <c r="O123" s="0" t="n">
        <v>0</v>
      </c>
      <c r="P123" s="0" t="n">
        <v>0</v>
      </c>
      <c r="Q123" s="0" t="n">
        <v>0</v>
      </c>
      <c r="R123" s="0" t="n">
        <v>0</v>
      </c>
      <c r="S123" s="0" t="n">
        <v>0</v>
      </c>
      <c r="T123" s="0" t="s">
        <v>624</v>
      </c>
      <c r="U123" s="0" t="s">
        <v>153</v>
      </c>
      <c r="V123" s="0" t="s">
        <v>624</v>
      </c>
      <c r="W123" s="0" t="s">
        <v>569</v>
      </c>
      <c r="X123" s="0" t="s">
        <v>624</v>
      </c>
      <c r="Y123" s="0" t="s">
        <v>627</v>
      </c>
      <c r="Z123" s="0" t="s">
        <v>629</v>
      </c>
      <c r="AA123" s="0" t="s">
        <v>624</v>
      </c>
      <c r="AB123" s="0" t="s">
        <v>580</v>
      </c>
      <c r="AC123" s="254" t="n">
        <v>-1000000</v>
      </c>
      <c r="AD123" s="254" t="n">
        <v>-1234.21302857198</v>
      </c>
      <c r="AE123" s="0" t="n">
        <v>0</v>
      </c>
      <c r="AF123" s="0" t="n">
        <v>0</v>
      </c>
      <c r="AG123" s="0" t="n">
        <v>0</v>
      </c>
      <c r="AH123" s="254" t="n">
        <v>-73.0490748787538</v>
      </c>
      <c r="AI123" s="0" t="n">
        <v>226</v>
      </c>
      <c r="AJ123" s="0" t="s">
        <v>630</v>
      </c>
      <c r="AK123" s="0" t="n">
        <v>0</v>
      </c>
      <c r="AL123" s="0" t="n">
        <v>0</v>
      </c>
      <c r="AM123" s="0" t="n">
        <v>0</v>
      </c>
    </row>
    <row r="124" customFormat="false" ht="12.75" hidden="false" customHeight="false" outlineLevel="0" collapsed="false">
      <c r="A124" s="0" t="s">
        <v>631</v>
      </c>
      <c r="B124" s="0" t="s">
        <v>248</v>
      </c>
      <c r="C124" s="0" t="s">
        <v>622</v>
      </c>
      <c r="D124" s="0" t="s">
        <v>623</v>
      </c>
      <c r="E124" s="0" t="s">
        <v>131</v>
      </c>
      <c r="F124" s="0" t="s">
        <v>198</v>
      </c>
      <c r="G124" s="0" t="s">
        <v>628</v>
      </c>
      <c r="H124" s="0" t="s">
        <v>625</v>
      </c>
      <c r="I124" s="0" t="s">
        <v>626</v>
      </c>
      <c r="J124" s="0" t="s">
        <v>627</v>
      </c>
      <c r="K124" s="475" t="n">
        <v>36770</v>
      </c>
      <c r="L124" s="254" t="n">
        <v>-2.93171904940403E-027</v>
      </c>
      <c r="M124" s="475" t="n">
        <v>36768</v>
      </c>
      <c r="N124" s="0" t="s">
        <v>136</v>
      </c>
      <c r="O124" s="0" t="n">
        <v>0</v>
      </c>
      <c r="P124" s="0" t="n">
        <v>0</v>
      </c>
      <c r="Q124" s="0" t="n">
        <v>0</v>
      </c>
      <c r="R124" s="0" t="n">
        <v>0</v>
      </c>
      <c r="S124" s="0" t="n">
        <v>0</v>
      </c>
      <c r="T124" s="0" t="s">
        <v>624</v>
      </c>
      <c r="U124" s="0" t="s">
        <v>153</v>
      </c>
      <c r="V124" s="0" t="s">
        <v>624</v>
      </c>
      <c r="W124" s="0" t="s">
        <v>569</v>
      </c>
      <c r="X124" s="0" t="s">
        <v>624</v>
      </c>
      <c r="Y124" s="0" t="s">
        <v>627</v>
      </c>
      <c r="Z124" s="0" t="s">
        <v>629</v>
      </c>
      <c r="AA124" s="0" t="s">
        <v>624</v>
      </c>
      <c r="AB124" s="0" t="s">
        <v>580</v>
      </c>
      <c r="AC124" s="254" t="n">
        <v>-1000000</v>
      </c>
      <c r="AD124" s="254" t="n">
        <v>-8.97813429773927E-026</v>
      </c>
      <c r="AE124" s="0" t="n">
        <v>0</v>
      </c>
      <c r="AF124" s="0" t="n">
        <v>0</v>
      </c>
      <c r="AG124" s="0" t="n">
        <v>0</v>
      </c>
      <c r="AH124" s="254" t="n">
        <v>-4.83934009793317E-005</v>
      </c>
      <c r="AI124" s="0" t="n">
        <v>226</v>
      </c>
      <c r="AJ124" s="0" t="s">
        <v>630</v>
      </c>
      <c r="AK124" s="0" t="n">
        <v>0</v>
      </c>
      <c r="AL124" s="0" t="n">
        <v>0</v>
      </c>
      <c r="AM124" s="0" t="n">
        <v>0</v>
      </c>
    </row>
    <row r="125" customFormat="false" ht="12.75" hidden="false" customHeight="false" outlineLevel="0" collapsed="false">
      <c r="A125" s="0" t="s">
        <v>631</v>
      </c>
      <c r="B125" s="0" t="s">
        <v>249</v>
      </c>
      <c r="C125" s="0" t="s">
        <v>622</v>
      </c>
      <c r="D125" s="0" t="s">
        <v>623</v>
      </c>
      <c r="E125" s="0" t="s">
        <v>131</v>
      </c>
      <c r="F125" s="0" t="s">
        <v>198</v>
      </c>
      <c r="G125" s="0" t="s">
        <v>628</v>
      </c>
      <c r="H125" s="0" t="s">
        <v>625</v>
      </c>
      <c r="I125" s="0" t="s">
        <v>626</v>
      </c>
      <c r="J125" s="0" t="s">
        <v>627</v>
      </c>
      <c r="K125" s="475" t="n">
        <v>36951</v>
      </c>
      <c r="L125" s="254" t="n">
        <v>-39745.1516919958</v>
      </c>
      <c r="M125" s="475" t="n">
        <v>36949</v>
      </c>
      <c r="N125" s="0" t="s">
        <v>132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v>0</v>
      </c>
      <c r="T125" s="0" t="s">
        <v>624</v>
      </c>
      <c r="U125" s="0" t="s">
        <v>153</v>
      </c>
      <c r="V125" s="0" t="s">
        <v>624</v>
      </c>
      <c r="W125" s="0" t="s">
        <v>569</v>
      </c>
      <c r="X125" s="0" t="s">
        <v>624</v>
      </c>
      <c r="Y125" s="0" t="s">
        <v>627</v>
      </c>
      <c r="Z125" s="0" t="s">
        <v>629</v>
      </c>
      <c r="AA125" s="0" t="s">
        <v>624</v>
      </c>
      <c r="AB125" s="0" t="s">
        <v>580</v>
      </c>
      <c r="AC125" s="254" t="n">
        <v>-1000000</v>
      </c>
      <c r="AD125" s="254" t="n">
        <v>-12428.8322519676</v>
      </c>
      <c r="AE125" s="0" t="n">
        <v>0</v>
      </c>
      <c r="AF125" s="0" t="n">
        <v>0</v>
      </c>
      <c r="AG125" s="0" t="n">
        <v>0</v>
      </c>
      <c r="AH125" s="254" t="n">
        <v>-634.616227811246</v>
      </c>
      <c r="AI125" s="0" t="n">
        <v>226</v>
      </c>
      <c r="AJ125" s="0" t="s">
        <v>630</v>
      </c>
      <c r="AK125" s="0" t="n">
        <v>0</v>
      </c>
      <c r="AL125" s="0" t="n">
        <v>0</v>
      </c>
      <c r="AM125" s="0" t="n">
        <v>0</v>
      </c>
    </row>
    <row r="126" customFormat="false" ht="12.75" hidden="false" customHeight="false" outlineLevel="0" collapsed="false">
      <c r="A126" s="0" t="s">
        <v>631</v>
      </c>
      <c r="B126" s="0" t="s">
        <v>249</v>
      </c>
      <c r="C126" s="0" t="s">
        <v>622</v>
      </c>
      <c r="D126" s="0" t="s">
        <v>623</v>
      </c>
      <c r="E126" s="0" t="s">
        <v>131</v>
      </c>
      <c r="F126" s="0" t="s">
        <v>198</v>
      </c>
      <c r="G126" s="0" t="s">
        <v>628</v>
      </c>
      <c r="H126" s="0" t="s">
        <v>625</v>
      </c>
      <c r="I126" s="0" t="s">
        <v>626</v>
      </c>
      <c r="J126" s="0" t="s">
        <v>627</v>
      </c>
      <c r="K126" s="475" t="n">
        <v>36923</v>
      </c>
      <c r="L126" s="254" t="n">
        <v>-43679.5536828356</v>
      </c>
      <c r="M126" s="475" t="n">
        <v>36921</v>
      </c>
      <c r="N126" s="0" t="s">
        <v>132</v>
      </c>
      <c r="O126" s="0" t="n">
        <v>0</v>
      </c>
      <c r="P126" s="0" t="n">
        <v>0</v>
      </c>
      <c r="Q126" s="0" t="n">
        <v>0</v>
      </c>
      <c r="R126" s="0" t="n">
        <v>0</v>
      </c>
      <c r="S126" s="0" t="n">
        <v>0</v>
      </c>
      <c r="T126" s="0" t="s">
        <v>624</v>
      </c>
      <c r="U126" s="0" t="s">
        <v>153</v>
      </c>
      <c r="V126" s="0" t="s">
        <v>624</v>
      </c>
      <c r="W126" s="0" t="s">
        <v>569</v>
      </c>
      <c r="X126" s="0" t="s">
        <v>624</v>
      </c>
      <c r="Y126" s="0" t="s">
        <v>627</v>
      </c>
      <c r="Z126" s="0" t="s">
        <v>629</v>
      </c>
      <c r="AA126" s="0" t="s">
        <v>624</v>
      </c>
      <c r="AB126" s="0" t="s">
        <v>580</v>
      </c>
      <c r="AC126" s="254" t="n">
        <v>-1000000</v>
      </c>
      <c r="AD126" s="254" t="n">
        <v>-12805.792313299</v>
      </c>
      <c r="AE126" s="0" t="n">
        <v>0</v>
      </c>
      <c r="AF126" s="0" t="n">
        <v>0</v>
      </c>
      <c r="AG126" s="0" t="n">
        <v>0</v>
      </c>
      <c r="AH126" s="254" t="n">
        <v>-616.76923998721</v>
      </c>
      <c r="AI126" s="0" t="n">
        <v>226</v>
      </c>
      <c r="AJ126" s="0" t="s">
        <v>630</v>
      </c>
      <c r="AK126" s="0" t="n">
        <v>0</v>
      </c>
      <c r="AL126" s="0" t="n">
        <v>0</v>
      </c>
      <c r="AM126" s="0" t="n">
        <v>0</v>
      </c>
    </row>
    <row r="127" customFormat="false" ht="12.75" hidden="false" customHeight="false" outlineLevel="0" collapsed="false">
      <c r="A127" s="0" t="s">
        <v>631</v>
      </c>
      <c r="B127" s="0" t="s">
        <v>249</v>
      </c>
      <c r="C127" s="0" t="s">
        <v>622</v>
      </c>
      <c r="D127" s="0" t="s">
        <v>623</v>
      </c>
      <c r="E127" s="0" t="s">
        <v>131</v>
      </c>
      <c r="F127" s="0" t="s">
        <v>198</v>
      </c>
      <c r="G127" s="0" t="s">
        <v>628</v>
      </c>
      <c r="H127" s="0" t="s">
        <v>625</v>
      </c>
      <c r="I127" s="0" t="s">
        <v>626</v>
      </c>
      <c r="J127" s="0" t="s">
        <v>627</v>
      </c>
      <c r="K127" s="475" t="n">
        <v>36892</v>
      </c>
      <c r="L127" s="254" t="n">
        <v>-43495.1418225671</v>
      </c>
      <c r="M127" s="475" t="n">
        <v>36888</v>
      </c>
      <c r="N127" s="0" t="s">
        <v>132</v>
      </c>
      <c r="O127" s="0" t="n">
        <v>0</v>
      </c>
      <c r="P127" s="0" t="n">
        <v>0</v>
      </c>
      <c r="Q127" s="0" t="n">
        <v>0</v>
      </c>
      <c r="R127" s="0" t="n">
        <v>0</v>
      </c>
      <c r="S127" s="0" t="n">
        <v>0</v>
      </c>
      <c r="T127" s="0" t="s">
        <v>624</v>
      </c>
      <c r="U127" s="0" t="s">
        <v>153</v>
      </c>
      <c r="V127" s="0" t="s">
        <v>624</v>
      </c>
      <c r="W127" s="0" t="s">
        <v>569</v>
      </c>
      <c r="X127" s="0" t="s">
        <v>624</v>
      </c>
      <c r="Y127" s="0" t="s">
        <v>627</v>
      </c>
      <c r="Z127" s="0" t="s">
        <v>629</v>
      </c>
      <c r="AA127" s="0" t="s">
        <v>624</v>
      </c>
      <c r="AB127" s="0" t="s">
        <v>580</v>
      </c>
      <c r="AC127" s="254" t="n">
        <v>-1000000</v>
      </c>
      <c r="AD127" s="254" t="n">
        <v>-11719.0730119359</v>
      </c>
      <c r="AE127" s="0" t="n">
        <v>0</v>
      </c>
      <c r="AF127" s="0" t="n">
        <v>0</v>
      </c>
      <c r="AG127" s="0" t="n">
        <v>0</v>
      </c>
      <c r="AH127" s="254" t="n">
        <v>-566.002620999483</v>
      </c>
      <c r="AI127" s="0" t="n">
        <v>226</v>
      </c>
      <c r="AJ127" s="0" t="s">
        <v>630</v>
      </c>
      <c r="AK127" s="0" t="n">
        <v>0</v>
      </c>
      <c r="AL127" s="0" t="n">
        <v>0</v>
      </c>
      <c r="AM127" s="0" t="n">
        <v>0</v>
      </c>
    </row>
    <row r="128" customFormat="false" ht="12.75" hidden="false" customHeight="false" outlineLevel="0" collapsed="false">
      <c r="A128" s="0" t="s">
        <v>631</v>
      </c>
      <c r="B128" s="0" t="s">
        <v>249</v>
      </c>
      <c r="C128" s="0" t="s">
        <v>622</v>
      </c>
      <c r="D128" s="0" t="s">
        <v>623</v>
      </c>
      <c r="E128" s="0" t="s">
        <v>131</v>
      </c>
      <c r="F128" s="0" t="s">
        <v>198</v>
      </c>
      <c r="G128" s="0" t="s">
        <v>628</v>
      </c>
      <c r="H128" s="0" t="s">
        <v>625</v>
      </c>
      <c r="I128" s="0" t="s">
        <v>626</v>
      </c>
      <c r="J128" s="0" t="s">
        <v>627</v>
      </c>
      <c r="K128" s="475" t="n">
        <v>36861</v>
      </c>
      <c r="L128" s="254" t="n">
        <v>-42117.0920791809</v>
      </c>
      <c r="M128" s="475" t="n">
        <v>36859</v>
      </c>
      <c r="N128" s="0" t="s">
        <v>132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v>0</v>
      </c>
      <c r="T128" s="0" t="s">
        <v>624</v>
      </c>
      <c r="U128" s="0" t="s">
        <v>153</v>
      </c>
      <c r="V128" s="0" t="s">
        <v>624</v>
      </c>
      <c r="W128" s="0" t="s">
        <v>569</v>
      </c>
      <c r="X128" s="0" t="s">
        <v>624</v>
      </c>
      <c r="Y128" s="0" t="s">
        <v>627</v>
      </c>
      <c r="Z128" s="0" t="s">
        <v>629</v>
      </c>
      <c r="AA128" s="0" t="s">
        <v>624</v>
      </c>
      <c r="AB128" s="0" t="s">
        <v>580</v>
      </c>
      <c r="AC128" s="254" t="n">
        <v>-1000000</v>
      </c>
      <c r="AD128" s="254" t="n">
        <v>-10352.4500349386</v>
      </c>
      <c r="AE128" s="0" t="n">
        <v>0</v>
      </c>
      <c r="AF128" s="0" t="n">
        <v>0</v>
      </c>
      <c r="AG128" s="0" t="n">
        <v>0</v>
      </c>
      <c r="AH128" s="254" t="n">
        <v>-522.772353812157</v>
      </c>
      <c r="AI128" s="0" t="n">
        <v>226</v>
      </c>
      <c r="AJ128" s="0" t="s">
        <v>630</v>
      </c>
      <c r="AK128" s="0" t="n">
        <v>0</v>
      </c>
      <c r="AL128" s="0" t="n">
        <v>0</v>
      </c>
      <c r="AM128" s="0" t="n">
        <v>0</v>
      </c>
    </row>
    <row r="129" customFormat="false" ht="12.75" hidden="false" customHeight="false" outlineLevel="0" collapsed="false">
      <c r="A129" s="0" t="s">
        <v>631</v>
      </c>
      <c r="B129" s="0" t="s">
        <v>249</v>
      </c>
      <c r="C129" s="0" t="s">
        <v>622</v>
      </c>
      <c r="D129" s="0" t="s">
        <v>623</v>
      </c>
      <c r="E129" s="0" t="s">
        <v>131</v>
      </c>
      <c r="F129" s="0" t="s">
        <v>198</v>
      </c>
      <c r="G129" s="0" t="s">
        <v>628</v>
      </c>
      <c r="H129" s="0" t="s">
        <v>625</v>
      </c>
      <c r="I129" s="0" t="s">
        <v>626</v>
      </c>
      <c r="J129" s="0" t="s">
        <v>627</v>
      </c>
      <c r="K129" s="475" t="n">
        <v>36831</v>
      </c>
      <c r="L129" s="254" t="n">
        <v>-41973.8419281694</v>
      </c>
      <c r="M129" s="475" t="n">
        <v>36829</v>
      </c>
      <c r="N129" s="0" t="s">
        <v>132</v>
      </c>
      <c r="O129" s="0" t="n">
        <v>0</v>
      </c>
      <c r="P129" s="0" t="n">
        <v>0</v>
      </c>
      <c r="Q129" s="0" t="n">
        <v>0</v>
      </c>
      <c r="R129" s="0" t="n">
        <v>0</v>
      </c>
      <c r="S129" s="0" t="n">
        <v>0</v>
      </c>
      <c r="T129" s="0" t="s">
        <v>624</v>
      </c>
      <c r="U129" s="0" t="s">
        <v>153</v>
      </c>
      <c r="V129" s="0" t="s">
        <v>624</v>
      </c>
      <c r="W129" s="0" t="s">
        <v>569</v>
      </c>
      <c r="X129" s="0" t="s">
        <v>624</v>
      </c>
      <c r="Y129" s="0" t="s">
        <v>627</v>
      </c>
      <c r="Z129" s="0" t="s">
        <v>629</v>
      </c>
      <c r="AA129" s="0" t="s">
        <v>624</v>
      </c>
      <c r="AB129" s="0" t="s">
        <v>580</v>
      </c>
      <c r="AC129" s="254" t="n">
        <v>-1000000</v>
      </c>
      <c r="AD129" s="254" t="n">
        <v>-8599.09313525481</v>
      </c>
      <c r="AE129" s="0" t="n">
        <v>0</v>
      </c>
      <c r="AF129" s="0" t="n">
        <v>0</v>
      </c>
      <c r="AG129" s="0" t="n">
        <v>0</v>
      </c>
      <c r="AH129" s="254" t="n">
        <v>-463.650302859445</v>
      </c>
      <c r="AI129" s="0" t="n">
        <v>226</v>
      </c>
      <c r="AJ129" s="0" t="s">
        <v>630</v>
      </c>
      <c r="AK129" s="0" t="n">
        <v>0</v>
      </c>
      <c r="AL129" s="0" t="n">
        <v>0</v>
      </c>
      <c r="AM129" s="0" t="n">
        <v>0</v>
      </c>
    </row>
    <row r="130" customFormat="false" ht="12.75" hidden="false" customHeight="false" outlineLevel="0" collapsed="false">
      <c r="A130" s="0" t="s">
        <v>631</v>
      </c>
      <c r="B130" s="0" t="s">
        <v>249</v>
      </c>
      <c r="C130" s="0" t="s">
        <v>622</v>
      </c>
      <c r="D130" s="0" t="s">
        <v>623</v>
      </c>
      <c r="E130" s="0" t="s">
        <v>131</v>
      </c>
      <c r="F130" s="0" t="s">
        <v>198</v>
      </c>
      <c r="G130" s="0" t="s">
        <v>628</v>
      </c>
      <c r="H130" s="0" t="s">
        <v>625</v>
      </c>
      <c r="I130" s="0" t="s">
        <v>626</v>
      </c>
      <c r="J130" s="0" t="s">
        <v>627</v>
      </c>
      <c r="K130" s="475" t="n">
        <v>36800</v>
      </c>
      <c r="L130" s="254" t="n">
        <v>-90651.998595038</v>
      </c>
      <c r="M130" s="475" t="n">
        <v>36797</v>
      </c>
      <c r="N130" s="0" t="s">
        <v>132</v>
      </c>
      <c r="O130" s="0" t="n">
        <v>0</v>
      </c>
      <c r="P130" s="0" t="n">
        <v>0</v>
      </c>
      <c r="Q130" s="0" t="n">
        <v>0</v>
      </c>
      <c r="R130" s="0" t="n">
        <v>0</v>
      </c>
      <c r="S130" s="0" t="n">
        <v>0</v>
      </c>
      <c r="T130" s="0" t="s">
        <v>624</v>
      </c>
      <c r="U130" s="0" t="s">
        <v>153</v>
      </c>
      <c r="V130" s="0" t="s">
        <v>624</v>
      </c>
      <c r="W130" s="0" t="s">
        <v>569</v>
      </c>
      <c r="X130" s="0" t="s">
        <v>624</v>
      </c>
      <c r="Y130" s="0" t="s">
        <v>627</v>
      </c>
      <c r="Z130" s="0" t="s">
        <v>629</v>
      </c>
      <c r="AA130" s="0" t="s">
        <v>624</v>
      </c>
      <c r="AB130" s="0" t="s">
        <v>580</v>
      </c>
      <c r="AC130" s="254" t="n">
        <v>-1000000</v>
      </c>
      <c r="AD130" s="254" t="n">
        <v>-1234.21302857203</v>
      </c>
      <c r="AE130" s="0" t="n">
        <v>0</v>
      </c>
      <c r="AF130" s="0" t="n">
        <v>0</v>
      </c>
      <c r="AG130" s="0" t="n">
        <v>0</v>
      </c>
      <c r="AH130" s="254" t="n">
        <v>-73.0490748788143</v>
      </c>
      <c r="AI130" s="0" t="n">
        <v>226</v>
      </c>
      <c r="AJ130" s="0" t="s">
        <v>630</v>
      </c>
      <c r="AK130" s="0" t="n">
        <v>0</v>
      </c>
      <c r="AL130" s="0" t="n">
        <v>0</v>
      </c>
      <c r="AM130" s="0" t="n">
        <v>0</v>
      </c>
    </row>
    <row r="131" customFormat="false" ht="12.75" hidden="false" customHeight="false" outlineLevel="0" collapsed="false">
      <c r="A131" s="0" t="s">
        <v>631</v>
      </c>
      <c r="B131" s="0" t="s">
        <v>249</v>
      </c>
      <c r="C131" s="0" t="s">
        <v>622</v>
      </c>
      <c r="D131" s="0" t="s">
        <v>623</v>
      </c>
      <c r="E131" s="0" t="s">
        <v>131</v>
      </c>
      <c r="F131" s="0" t="s">
        <v>198</v>
      </c>
      <c r="G131" s="0" t="s">
        <v>628</v>
      </c>
      <c r="H131" s="0" t="s">
        <v>625</v>
      </c>
      <c r="I131" s="0" t="s">
        <v>626</v>
      </c>
      <c r="J131" s="0" t="s">
        <v>627</v>
      </c>
      <c r="K131" s="475" t="n">
        <v>36770</v>
      </c>
      <c r="L131" s="254" t="n">
        <v>-109959.521308211</v>
      </c>
      <c r="M131" s="475" t="n">
        <v>36768</v>
      </c>
      <c r="N131" s="0" t="s">
        <v>132</v>
      </c>
      <c r="O131" s="0" t="n">
        <v>0</v>
      </c>
      <c r="P131" s="0" t="n">
        <v>0</v>
      </c>
      <c r="Q131" s="0" t="n">
        <v>0</v>
      </c>
      <c r="R131" s="0" t="n">
        <v>0</v>
      </c>
      <c r="S131" s="0" t="n">
        <v>0</v>
      </c>
      <c r="T131" s="0" t="s">
        <v>624</v>
      </c>
      <c r="U131" s="0" t="s">
        <v>153</v>
      </c>
      <c r="V131" s="0" t="s">
        <v>624</v>
      </c>
      <c r="W131" s="0" t="s">
        <v>569</v>
      </c>
      <c r="X131" s="0" t="s">
        <v>624</v>
      </c>
      <c r="Y131" s="0" t="s">
        <v>627</v>
      </c>
      <c r="Z131" s="0" t="s">
        <v>629</v>
      </c>
      <c r="AA131" s="0" t="s">
        <v>624</v>
      </c>
      <c r="AB131" s="0" t="s">
        <v>580</v>
      </c>
      <c r="AC131" s="254" t="n">
        <v>-1000000</v>
      </c>
      <c r="AD131" s="254" t="n">
        <v>0</v>
      </c>
      <c r="AE131" s="0" t="n">
        <v>0</v>
      </c>
      <c r="AF131" s="0" t="n">
        <v>0</v>
      </c>
      <c r="AG131" s="0" t="n">
        <v>0</v>
      </c>
      <c r="AH131" s="254" t="n">
        <v>4995.40477814176</v>
      </c>
      <c r="AI131" s="0" t="n">
        <v>226</v>
      </c>
      <c r="AJ131" s="0" t="s">
        <v>630</v>
      </c>
      <c r="AK131" s="0" t="n">
        <v>0</v>
      </c>
      <c r="AL131" s="0" t="n">
        <v>0</v>
      </c>
      <c r="AM131" s="0" t="n">
        <v>0</v>
      </c>
    </row>
    <row r="132" customFormat="false" ht="12.75" hidden="false" customHeight="false" outlineLevel="0" collapsed="false">
      <c r="A132" s="0" t="s">
        <v>631</v>
      </c>
      <c r="B132" s="0" t="s">
        <v>250</v>
      </c>
      <c r="C132" s="0" t="s">
        <v>622</v>
      </c>
      <c r="D132" s="0" t="s">
        <v>623</v>
      </c>
      <c r="E132" s="0" t="s">
        <v>131</v>
      </c>
      <c r="F132" s="0" t="s">
        <v>210</v>
      </c>
      <c r="G132" s="0" t="s">
        <v>628</v>
      </c>
      <c r="H132" s="0" t="s">
        <v>625</v>
      </c>
      <c r="I132" s="0" t="s">
        <v>626</v>
      </c>
      <c r="J132" s="0" t="s">
        <v>627</v>
      </c>
      <c r="K132" s="475" t="n">
        <v>36951</v>
      </c>
      <c r="L132" s="254" t="n">
        <v>62469.0598139184</v>
      </c>
      <c r="M132" s="475" t="n">
        <v>36949</v>
      </c>
      <c r="N132" s="0" t="s">
        <v>136</v>
      </c>
      <c r="O132" s="0" t="n">
        <v>2.2</v>
      </c>
      <c r="P132" s="0" t="n">
        <v>0</v>
      </c>
      <c r="Q132" s="0" t="n">
        <v>0</v>
      </c>
      <c r="R132" s="0" t="n">
        <v>0</v>
      </c>
      <c r="S132" s="0" t="n">
        <v>0</v>
      </c>
      <c r="T132" s="0" t="s">
        <v>624</v>
      </c>
      <c r="U132" s="0" t="s">
        <v>149</v>
      </c>
      <c r="V132" s="0" t="s">
        <v>624</v>
      </c>
      <c r="W132" s="0" t="s">
        <v>569</v>
      </c>
      <c r="X132" s="0" t="s">
        <v>624</v>
      </c>
      <c r="Y132" s="0" t="s">
        <v>627</v>
      </c>
      <c r="Z132" s="0" t="s">
        <v>629</v>
      </c>
      <c r="AA132" s="0" t="s">
        <v>624</v>
      </c>
      <c r="AB132" s="0" t="s">
        <v>580</v>
      </c>
      <c r="AC132" s="254" t="n">
        <v>310000</v>
      </c>
      <c r="AD132" s="254" t="n">
        <v>20293.3085535308</v>
      </c>
      <c r="AE132" s="0" t="n">
        <v>0</v>
      </c>
      <c r="AF132" s="0" t="n">
        <v>0</v>
      </c>
      <c r="AG132" s="0" t="n">
        <v>0</v>
      </c>
      <c r="AH132" s="254" t="n">
        <v>5874.0424031468</v>
      </c>
      <c r="AI132" s="0" t="n">
        <v>226</v>
      </c>
      <c r="AJ132" s="0" t="s">
        <v>630</v>
      </c>
      <c r="AK132" s="0" t="n">
        <v>0</v>
      </c>
      <c r="AL132" s="0" t="n">
        <v>0</v>
      </c>
      <c r="AM132" s="0" t="n">
        <v>0</v>
      </c>
    </row>
    <row r="133" customFormat="false" ht="12.75" hidden="false" customHeight="false" outlineLevel="0" collapsed="false">
      <c r="A133" s="0" t="s">
        <v>631</v>
      </c>
      <c r="B133" s="0" t="s">
        <v>250</v>
      </c>
      <c r="C133" s="0" t="s">
        <v>622</v>
      </c>
      <c r="D133" s="0" t="s">
        <v>623</v>
      </c>
      <c r="E133" s="0" t="s">
        <v>131</v>
      </c>
      <c r="F133" s="0" t="s">
        <v>210</v>
      </c>
      <c r="G133" s="0" t="s">
        <v>628</v>
      </c>
      <c r="H133" s="0" t="s">
        <v>625</v>
      </c>
      <c r="I133" s="0" t="s">
        <v>626</v>
      </c>
      <c r="J133" s="0" t="s">
        <v>627</v>
      </c>
      <c r="K133" s="475" t="n">
        <v>36923</v>
      </c>
      <c r="L133" s="254" t="n">
        <v>179351.393791546</v>
      </c>
      <c r="M133" s="475" t="n">
        <v>36921</v>
      </c>
      <c r="N133" s="0" t="s">
        <v>136</v>
      </c>
      <c r="O133" s="0" t="n">
        <v>2.2</v>
      </c>
      <c r="P133" s="0" t="n">
        <v>0</v>
      </c>
      <c r="Q133" s="0" t="n">
        <v>0</v>
      </c>
      <c r="R133" s="0" t="n">
        <v>0</v>
      </c>
      <c r="S133" s="0" t="n">
        <v>0</v>
      </c>
      <c r="T133" s="0" t="s">
        <v>624</v>
      </c>
      <c r="U133" s="0" t="s">
        <v>149</v>
      </c>
      <c r="V133" s="0" t="s">
        <v>624</v>
      </c>
      <c r="W133" s="0" t="s">
        <v>569</v>
      </c>
      <c r="X133" s="0" t="s">
        <v>624</v>
      </c>
      <c r="Y133" s="0" t="s">
        <v>627</v>
      </c>
      <c r="Z133" s="0" t="s">
        <v>629</v>
      </c>
      <c r="AA133" s="0" t="s">
        <v>624</v>
      </c>
      <c r="AB133" s="0" t="s">
        <v>580</v>
      </c>
      <c r="AC133" s="254" t="n">
        <v>280000</v>
      </c>
      <c r="AD133" s="254" t="n">
        <v>23898.539070236</v>
      </c>
      <c r="AE133" s="0" t="n">
        <v>0</v>
      </c>
      <c r="AF133" s="0" t="n">
        <v>0</v>
      </c>
      <c r="AG133" s="0" t="n">
        <v>0</v>
      </c>
      <c r="AH133" s="254" t="n">
        <v>11149.5579086736</v>
      </c>
      <c r="AI133" s="0" t="n">
        <v>226</v>
      </c>
      <c r="AJ133" s="0" t="s">
        <v>630</v>
      </c>
      <c r="AK133" s="0" t="n">
        <v>0</v>
      </c>
      <c r="AL133" s="0" t="n">
        <v>0</v>
      </c>
      <c r="AM133" s="0" t="n">
        <v>0</v>
      </c>
    </row>
    <row r="134" customFormat="false" ht="12.75" hidden="false" customHeight="false" outlineLevel="0" collapsed="false">
      <c r="A134" s="0" t="s">
        <v>631</v>
      </c>
      <c r="B134" s="0" t="s">
        <v>250</v>
      </c>
      <c r="C134" s="0" t="s">
        <v>622</v>
      </c>
      <c r="D134" s="0" t="s">
        <v>623</v>
      </c>
      <c r="E134" s="0" t="s">
        <v>131</v>
      </c>
      <c r="F134" s="0" t="s">
        <v>210</v>
      </c>
      <c r="G134" s="0" t="s">
        <v>628</v>
      </c>
      <c r="H134" s="0" t="s">
        <v>625</v>
      </c>
      <c r="I134" s="0" t="s">
        <v>626</v>
      </c>
      <c r="J134" s="0" t="s">
        <v>627</v>
      </c>
      <c r="K134" s="475" t="n">
        <v>36892</v>
      </c>
      <c r="L134" s="254" t="n">
        <v>199213.597466951</v>
      </c>
      <c r="M134" s="475" t="n">
        <v>36888</v>
      </c>
      <c r="N134" s="0" t="s">
        <v>136</v>
      </c>
      <c r="O134" s="0" t="n">
        <v>2.2</v>
      </c>
      <c r="P134" s="0" t="n">
        <v>0</v>
      </c>
      <c r="Q134" s="0" t="n">
        <v>0</v>
      </c>
      <c r="R134" s="0" t="n">
        <v>0</v>
      </c>
      <c r="S134" s="0" t="n">
        <v>0</v>
      </c>
      <c r="T134" s="0" t="s">
        <v>624</v>
      </c>
      <c r="U134" s="0" t="s">
        <v>149</v>
      </c>
      <c r="V134" s="0" t="s">
        <v>624</v>
      </c>
      <c r="W134" s="0" t="s">
        <v>569</v>
      </c>
      <c r="X134" s="0" t="s">
        <v>624</v>
      </c>
      <c r="Y134" s="0" t="s">
        <v>627</v>
      </c>
      <c r="Z134" s="0" t="s">
        <v>629</v>
      </c>
      <c r="AA134" s="0" t="s">
        <v>624</v>
      </c>
      <c r="AB134" s="0" t="s">
        <v>580</v>
      </c>
      <c r="AC134" s="254" t="n">
        <v>310000</v>
      </c>
      <c r="AD134" s="254" t="n">
        <v>24307.5031478081</v>
      </c>
      <c r="AE134" s="0" t="n">
        <v>0</v>
      </c>
      <c r="AF134" s="0" t="n">
        <v>0</v>
      </c>
      <c r="AG134" s="0" t="n">
        <v>0</v>
      </c>
      <c r="AH134" s="254" t="n">
        <v>10942.2877745241</v>
      </c>
      <c r="AI134" s="0" t="n">
        <v>226</v>
      </c>
      <c r="AJ134" s="0" t="s">
        <v>630</v>
      </c>
      <c r="AK134" s="0" t="n">
        <v>0</v>
      </c>
      <c r="AL134" s="0" t="n">
        <v>0</v>
      </c>
      <c r="AM134" s="0" t="n">
        <v>0</v>
      </c>
    </row>
    <row r="135" customFormat="false" ht="12.75" hidden="false" customHeight="false" outlineLevel="0" collapsed="false">
      <c r="A135" s="0" t="s">
        <v>631</v>
      </c>
      <c r="B135" s="0" t="s">
        <v>250</v>
      </c>
      <c r="C135" s="0" t="s">
        <v>622</v>
      </c>
      <c r="D135" s="0" t="s">
        <v>623</v>
      </c>
      <c r="E135" s="0" t="s">
        <v>131</v>
      </c>
      <c r="F135" s="0" t="s">
        <v>210</v>
      </c>
      <c r="G135" s="0" t="s">
        <v>628</v>
      </c>
      <c r="H135" s="0" t="s">
        <v>625</v>
      </c>
      <c r="I135" s="0" t="s">
        <v>626</v>
      </c>
      <c r="J135" s="0" t="s">
        <v>627</v>
      </c>
      <c r="K135" s="475" t="n">
        <v>36861</v>
      </c>
      <c r="L135" s="254" t="n">
        <v>99869.1452361748</v>
      </c>
      <c r="M135" s="475" t="n">
        <v>36859</v>
      </c>
      <c r="N135" s="0" t="s">
        <v>136</v>
      </c>
      <c r="O135" s="0" t="n">
        <v>2.2</v>
      </c>
      <c r="P135" s="0" t="n">
        <v>0</v>
      </c>
      <c r="Q135" s="0" t="n">
        <v>0</v>
      </c>
      <c r="R135" s="0" t="n">
        <v>0</v>
      </c>
      <c r="S135" s="0" t="n">
        <v>0</v>
      </c>
      <c r="T135" s="0" t="s">
        <v>624</v>
      </c>
      <c r="U135" s="0" t="s">
        <v>149</v>
      </c>
      <c r="V135" s="0" t="s">
        <v>624</v>
      </c>
      <c r="W135" s="0" t="s">
        <v>569</v>
      </c>
      <c r="X135" s="0" t="s">
        <v>624</v>
      </c>
      <c r="Y135" s="0" t="s">
        <v>627</v>
      </c>
      <c r="Z135" s="0" t="s">
        <v>629</v>
      </c>
      <c r="AA135" s="0" t="s">
        <v>624</v>
      </c>
      <c r="AB135" s="0" t="s">
        <v>580</v>
      </c>
      <c r="AC135" s="254" t="n">
        <v>310000</v>
      </c>
      <c r="AD135" s="254" t="n">
        <v>19894.0137295742</v>
      </c>
      <c r="AE135" s="0" t="n">
        <v>0</v>
      </c>
      <c r="AF135" s="0" t="n">
        <v>0</v>
      </c>
      <c r="AG135" s="0" t="n">
        <v>0</v>
      </c>
      <c r="AH135" s="254" t="n">
        <v>6252.92251072674</v>
      </c>
      <c r="AI135" s="0" t="n">
        <v>226</v>
      </c>
      <c r="AJ135" s="0" t="s">
        <v>630</v>
      </c>
      <c r="AK135" s="0" t="n">
        <v>0</v>
      </c>
      <c r="AL135" s="0" t="n">
        <v>0</v>
      </c>
      <c r="AM135" s="0" t="n">
        <v>0</v>
      </c>
    </row>
    <row r="136" customFormat="false" ht="12.75" hidden="false" customHeight="false" outlineLevel="0" collapsed="false">
      <c r="A136" s="0" t="s">
        <v>631</v>
      </c>
      <c r="B136" s="0" t="s">
        <v>250</v>
      </c>
      <c r="C136" s="0" t="s">
        <v>622</v>
      </c>
      <c r="D136" s="0" t="s">
        <v>623</v>
      </c>
      <c r="E136" s="0" t="s">
        <v>131</v>
      </c>
      <c r="F136" s="0" t="s">
        <v>210</v>
      </c>
      <c r="G136" s="0" t="s">
        <v>628</v>
      </c>
      <c r="H136" s="0" t="s">
        <v>625</v>
      </c>
      <c r="I136" s="0" t="s">
        <v>626</v>
      </c>
      <c r="J136" s="0" t="s">
        <v>627</v>
      </c>
      <c r="K136" s="475" t="n">
        <v>36831</v>
      </c>
      <c r="L136" s="254" t="n">
        <v>3864.0810378615</v>
      </c>
      <c r="M136" s="475" t="n">
        <v>36829</v>
      </c>
      <c r="N136" s="0" t="s">
        <v>136</v>
      </c>
      <c r="O136" s="0" t="n">
        <v>2.2</v>
      </c>
      <c r="P136" s="0" t="n">
        <v>0</v>
      </c>
      <c r="Q136" s="0" t="n">
        <v>0</v>
      </c>
      <c r="R136" s="0" t="n">
        <v>0</v>
      </c>
      <c r="S136" s="0" t="n">
        <v>0</v>
      </c>
      <c r="T136" s="0" t="s">
        <v>624</v>
      </c>
      <c r="U136" s="0" t="s">
        <v>149</v>
      </c>
      <c r="V136" s="0" t="s">
        <v>624</v>
      </c>
      <c r="W136" s="0" t="s">
        <v>569</v>
      </c>
      <c r="X136" s="0" t="s">
        <v>624</v>
      </c>
      <c r="Y136" s="0" t="s">
        <v>627</v>
      </c>
      <c r="Z136" s="0" t="s">
        <v>629</v>
      </c>
      <c r="AA136" s="0" t="s">
        <v>624</v>
      </c>
      <c r="AB136" s="0" t="s">
        <v>580</v>
      </c>
      <c r="AC136" s="254" t="n">
        <v>300000</v>
      </c>
      <c r="AD136" s="254" t="n">
        <v>2694.80816454911</v>
      </c>
      <c r="AE136" s="0" t="n">
        <v>0</v>
      </c>
      <c r="AF136" s="0" t="n">
        <v>0</v>
      </c>
      <c r="AG136" s="0" t="n">
        <v>0</v>
      </c>
      <c r="AH136" s="254" t="n">
        <v>688.906674979194</v>
      </c>
      <c r="AI136" s="0" t="n">
        <v>226</v>
      </c>
      <c r="AJ136" s="0" t="s">
        <v>630</v>
      </c>
      <c r="AK136" s="0" t="n">
        <v>0</v>
      </c>
      <c r="AL136" s="0" t="n">
        <v>0</v>
      </c>
      <c r="AM136" s="0" t="n">
        <v>0</v>
      </c>
    </row>
    <row r="137" customFormat="false" ht="12.75" hidden="false" customHeight="false" outlineLevel="0" collapsed="false">
      <c r="A137" s="0" t="s">
        <v>631</v>
      </c>
      <c r="B137" s="0" t="s">
        <v>251</v>
      </c>
      <c r="C137" s="0" t="s">
        <v>622</v>
      </c>
      <c r="D137" s="0" t="s">
        <v>623</v>
      </c>
      <c r="E137" s="0" t="s">
        <v>131</v>
      </c>
      <c r="F137" s="0" t="s">
        <v>198</v>
      </c>
      <c r="G137" s="0" t="s">
        <v>628</v>
      </c>
      <c r="H137" s="0" t="s">
        <v>625</v>
      </c>
      <c r="I137" s="0" t="s">
        <v>626</v>
      </c>
      <c r="J137" s="0" t="s">
        <v>627</v>
      </c>
      <c r="K137" s="475" t="n">
        <v>36951</v>
      </c>
      <c r="L137" s="254" t="n">
        <v>-71142.6891006748</v>
      </c>
      <c r="M137" s="475" t="n">
        <v>36949</v>
      </c>
      <c r="N137" s="0" t="s">
        <v>136</v>
      </c>
      <c r="O137" s="0" t="n">
        <v>0</v>
      </c>
      <c r="P137" s="0" t="n">
        <v>0</v>
      </c>
      <c r="Q137" s="0" t="n">
        <v>0</v>
      </c>
      <c r="R137" s="0" t="n">
        <v>0</v>
      </c>
      <c r="S137" s="0" t="n">
        <v>0</v>
      </c>
      <c r="T137" s="0" t="s">
        <v>624</v>
      </c>
      <c r="U137" s="0" t="s">
        <v>153</v>
      </c>
      <c r="V137" s="0" t="s">
        <v>624</v>
      </c>
      <c r="W137" s="0" t="s">
        <v>569</v>
      </c>
      <c r="X137" s="0" t="s">
        <v>624</v>
      </c>
      <c r="Y137" s="0" t="s">
        <v>627</v>
      </c>
      <c r="Z137" s="0" t="s">
        <v>629</v>
      </c>
      <c r="AA137" s="0" t="s">
        <v>624</v>
      </c>
      <c r="AB137" s="0" t="s">
        <v>580</v>
      </c>
      <c r="AC137" s="254" t="n">
        <v>-1000000</v>
      </c>
      <c r="AD137" s="254" t="n">
        <v>-12428.8322519676</v>
      </c>
      <c r="AE137" s="0" t="n">
        <v>0</v>
      </c>
      <c r="AF137" s="0" t="n">
        <v>0</v>
      </c>
      <c r="AG137" s="0" t="n">
        <v>0</v>
      </c>
      <c r="AH137" s="254" t="n">
        <v>-634.616227812177</v>
      </c>
      <c r="AI137" s="0" t="n">
        <v>226</v>
      </c>
      <c r="AJ137" s="0" t="s">
        <v>630</v>
      </c>
      <c r="AK137" s="0" t="n">
        <v>0</v>
      </c>
      <c r="AL137" s="0" t="n">
        <v>0</v>
      </c>
      <c r="AM137" s="0" t="n">
        <v>0</v>
      </c>
    </row>
    <row r="138" customFormat="false" ht="12.75" hidden="false" customHeight="false" outlineLevel="0" collapsed="false">
      <c r="A138" s="0" t="s">
        <v>631</v>
      </c>
      <c r="B138" s="0" t="s">
        <v>251</v>
      </c>
      <c r="C138" s="0" t="s">
        <v>622</v>
      </c>
      <c r="D138" s="0" t="s">
        <v>623</v>
      </c>
      <c r="E138" s="0" t="s">
        <v>131</v>
      </c>
      <c r="F138" s="0" t="s">
        <v>198</v>
      </c>
      <c r="G138" s="0" t="s">
        <v>628</v>
      </c>
      <c r="H138" s="0" t="s">
        <v>625</v>
      </c>
      <c r="I138" s="0" t="s">
        <v>626</v>
      </c>
      <c r="J138" s="0" t="s">
        <v>627</v>
      </c>
      <c r="K138" s="475" t="n">
        <v>36923</v>
      </c>
      <c r="L138" s="254" t="n">
        <v>-77674.7575118251</v>
      </c>
      <c r="M138" s="475" t="n">
        <v>36921</v>
      </c>
      <c r="N138" s="0" t="s">
        <v>136</v>
      </c>
      <c r="O138" s="0" t="n">
        <v>0</v>
      </c>
      <c r="P138" s="0" t="n">
        <v>0</v>
      </c>
      <c r="Q138" s="0" t="n">
        <v>0</v>
      </c>
      <c r="R138" s="0" t="n">
        <v>0</v>
      </c>
      <c r="S138" s="0" t="n">
        <v>0</v>
      </c>
      <c r="T138" s="0" t="s">
        <v>624</v>
      </c>
      <c r="U138" s="0" t="s">
        <v>153</v>
      </c>
      <c r="V138" s="0" t="s">
        <v>624</v>
      </c>
      <c r="W138" s="0" t="s">
        <v>569</v>
      </c>
      <c r="X138" s="0" t="s">
        <v>624</v>
      </c>
      <c r="Y138" s="0" t="s">
        <v>627</v>
      </c>
      <c r="Z138" s="0" t="s">
        <v>629</v>
      </c>
      <c r="AA138" s="0" t="s">
        <v>624</v>
      </c>
      <c r="AB138" s="0" t="s">
        <v>580</v>
      </c>
      <c r="AC138" s="254" t="n">
        <v>-1000000</v>
      </c>
      <c r="AD138" s="254" t="n">
        <v>-12805.7923132989</v>
      </c>
      <c r="AE138" s="0" t="n">
        <v>0</v>
      </c>
      <c r="AF138" s="0" t="n">
        <v>0</v>
      </c>
      <c r="AG138" s="0" t="n">
        <v>0</v>
      </c>
      <c r="AH138" s="254" t="n">
        <v>-616.769239987625</v>
      </c>
      <c r="AI138" s="0" t="n">
        <v>226</v>
      </c>
      <c r="AJ138" s="0" t="s">
        <v>630</v>
      </c>
      <c r="AK138" s="0" t="n">
        <v>0</v>
      </c>
      <c r="AL138" s="0" t="n">
        <v>0</v>
      </c>
      <c r="AM138" s="0" t="n">
        <v>0</v>
      </c>
    </row>
    <row r="139" customFormat="false" ht="12.75" hidden="false" customHeight="false" outlineLevel="0" collapsed="false">
      <c r="A139" s="0" t="s">
        <v>631</v>
      </c>
      <c r="B139" s="0" t="s">
        <v>251</v>
      </c>
      <c r="C139" s="0" t="s">
        <v>622</v>
      </c>
      <c r="D139" s="0" t="s">
        <v>623</v>
      </c>
      <c r="E139" s="0" t="s">
        <v>131</v>
      </c>
      <c r="F139" s="0" t="s">
        <v>198</v>
      </c>
      <c r="G139" s="0" t="s">
        <v>628</v>
      </c>
      <c r="H139" s="0" t="s">
        <v>625</v>
      </c>
      <c r="I139" s="0" t="s">
        <v>626</v>
      </c>
      <c r="J139" s="0" t="s">
        <v>627</v>
      </c>
      <c r="K139" s="475" t="n">
        <v>36892</v>
      </c>
      <c r="L139" s="254" t="n">
        <v>-72817.7541820427</v>
      </c>
      <c r="M139" s="475" t="n">
        <v>36888</v>
      </c>
      <c r="N139" s="0" t="s">
        <v>136</v>
      </c>
      <c r="O139" s="0" t="n">
        <v>0</v>
      </c>
      <c r="P139" s="0" t="n">
        <v>0</v>
      </c>
      <c r="Q139" s="0" t="n">
        <v>0</v>
      </c>
      <c r="R139" s="0" t="n">
        <v>0</v>
      </c>
      <c r="S139" s="0" t="n">
        <v>0</v>
      </c>
      <c r="T139" s="0" t="s">
        <v>624</v>
      </c>
      <c r="U139" s="0" t="s">
        <v>153</v>
      </c>
      <c r="V139" s="0" t="s">
        <v>624</v>
      </c>
      <c r="W139" s="0" t="s">
        <v>569</v>
      </c>
      <c r="X139" s="0" t="s">
        <v>624</v>
      </c>
      <c r="Y139" s="0" t="s">
        <v>627</v>
      </c>
      <c r="Z139" s="0" t="s">
        <v>629</v>
      </c>
      <c r="AA139" s="0" t="s">
        <v>624</v>
      </c>
      <c r="AB139" s="0" t="s">
        <v>580</v>
      </c>
      <c r="AC139" s="254" t="n">
        <v>-1000000</v>
      </c>
      <c r="AD139" s="254" t="n">
        <v>-11719.0730119358</v>
      </c>
      <c r="AE139" s="0" t="n">
        <v>0</v>
      </c>
      <c r="AF139" s="0" t="n">
        <v>0</v>
      </c>
      <c r="AG139" s="0" t="n">
        <v>0</v>
      </c>
      <c r="AH139" s="254" t="n">
        <v>-566.00262099893</v>
      </c>
      <c r="AI139" s="0" t="n">
        <v>226</v>
      </c>
      <c r="AJ139" s="0" t="s">
        <v>630</v>
      </c>
      <c r="AK139" s="0" t="n">
        <v>0</v>
      </c>
      <c r="AL139" s="0" t="n">
        <v>0</v>
      </c>
      <c r="AM139" s="0" t="n">
        <v>0</v>
      </c>
    </row>
    <row r="140" customFormat="false" ht="12.75" hidden="false" customHeight="false" outlineLevel="0" collapsed="false">
      <c r="A140" s="0" t="s">
        <v>631</v>
      </c>
      <c r="B140" s="0" t="s">
        <v>251</v>
      </c>
      <c r="C140" s="0" t="s">
        <v>622</v>
      </c>
      <c r="D140" s="0" t="s">
        <v>623</v>
      </c>
      <c r="E140" s="0" t="s">
        <v>131</v>
      </c>
      <c r="F140" s="0" t="s">
        <v>198</v>
      </c>
      <c r="G140" s="0" t="s">
        <v>628</v>
      </c>
      <c r="H140" s="0" t="s">
        <v>625</v>
      </c>
      <c r="I140" s="0" t="s">
        <v>626</v>
      </c>
      <c r="J140" s="0" t="s">
        <v>627</v>
      </c>
      <c r="K140" s="475" t="n">
        <v>36861</v>
      </c>
      <c r="L140" s="254" t="n">
        <v>-59315.32694897</v>
      </c>
      <c r="M140" s="475" t="n">
        <v>36859</v>
      </c>
      <c r="N140" s="0" t="s">
        <v>136</v>
      </c>
      <c r="O140" s="0" t="n">
        <v>0</v>
      </c>
      <c r="P140" s="0" t="n">
        <v>0</v>
      </c>
      <c r="Q140" s="0" t="n">
        <v>0</v>
      </c>
      <c r="R140" s="0" t="n">
        <v>0</v>
      </c>
      <c r="S140" s="0" t="n">
        <v>0</v>
      </c>
      <c r="T140" s="0" t="s">
        <v>624</v>
      </c>
      <c r="U140" s="0" t="s">
        <v>153</v>
      </c>
      <c r="V140" s="0" t="s">
        <v>624</v>
      </c>
      <c r="W140" s="0" t="s">
        <v>569</v>
      </c>
      <c r="X140" s="0" t="s">
        <v>624</v>
      </c>
      <c r="Y140" s="0" t="s">
        <v>627</v>
      </c>
      <c r="Z140" s="0" t="s">
        <v>629</v>
      </c>
      <c r="AA140" s="0" t="s">
        <v>624</v>
      </c>
      <c r="AB140" s="0" t="s">
        <v>580</v>
      </c>
      <c r="AC140" s="254" t="n">
        <v>-1000000</v>
      </c>
      <c r="AD140" s="254" t="n">
        <v>-10352.4500349388</v>
      </c>
      <c r="AE140" s="0" t="n">
        <v>0</v>
      </c>
      <c r="AF140" s="0" t="n">
        <v>0</v>
      </c>
      <c r="AG140" s="0" t="n">
        <v>0</v>
      </c>
      <c r="AH140" s="254" t="n">
        <v>-522.772353813089</v>
      </c>
      <c r="AI140" s="0" t="n">
        <v>226</v>
      </c>
      <c r="AJ140" s="0" t="s">
        <v>630</v>
      </c>
      <c r="AK140" s="0" t="n">
        <v>0</v>
      </c>
      <c r="AL140" s="0" t="n">
        <v>0</v>
      </c>
      <c r="AM140" s="0" t="n">
        <v>0</v>
      </c>
    </row>
    <row r="141" customFormat="false" ht="12.75" hidden="false" customHeight="false" outlineLevel="0" collapsed="false">
      <c r="A141" s="0" t="s">
        <v>631</v>
      </c>
      <c r="B141" s="0" t="s">
        <v>251</v>
      </c>
      <c r="C141" s="0" t="s">
        <v>622</v>
      </c>
      <c r="D141" s="0" t="s">
        <v>623</v>
      </c>
      <c r="E141" s="0" t="s">
        <v>131</v>
      </c>
      <c r="F141" s="0" t="s">
        <v>198</v>
      </c>
      <c r="G141" s="0" t="s">
        <v>628</v>
      </c>
      <c r="H141" s="0" t="s">
        <v>625</v>
      </c>
      <c r="I141" s="0" t="s">
        <v>626</v>
      </c>
      <c r="J141" s="0" t="s">
        <v>627</v>
      </c>
      <c r="K141" s="475" t="n">
        <v>36831</v>
      </c>
      <c r="L141" s="254" t="n">
        <v>-39503.0385188713</v>
      </c>
      <c r="M141" s="475" t="n">
        <v>36829</v>
      </c>
      <c r="N141" s="0" t="s">
        <v>136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v>0</v>
      </c>
      <c r="T141" s="0" t="s">
        <v>624</v>
      </c>
      <c r="U141" s="0" t="s">
        <v>153</v>
      </c>
      <c r="V141" s="0" t="s">
        <v>624</v>
      </c>
      <c r="W141" s="0" t="s">
        <v>569</v>
      </c>
      <c r="X141" s="0" t="s">
        <v>624</v>
      </c>
      <c r="Y141" s="0" t="s">
        <v>627</v>
      </c>
      <c r="Z141" s="0" t="s">
        <v>629</v>
      </c>
      <c r="AA141" s="0" t="s">
        <v>624</v>
      </c>
      <c r="AB141" s="0" t="s">
        <v>580</v>
      </c>
      <c r="AC141" s="254" t="n">
        <v>-1000000</v>
      </c>
      <c r="AD141" s="254" t="n">
        <v>-8599.09313525487</v>
      </c>
      <c r="AE141" s="0" t="n">
        <v>0</v>
      </c>
      <c r="AF141" s="0" t="n">
        <v>0</v>
      </c>
      <c r="AG141" s="0" t="n">
        <v>0</v>
      </c>
      <c r="AH141" s="254" t="n">
        <v>-463.650302859402</v>
      </c>
      <c r="AI141" s="0" t="n">
        <v>226</v>
      </c>
      <c r="AJ141" s="0" t="s">
        <v>630</v>
      </c>
      <c r="AK141" s="0" t="n">
        <v>0</v>
      </c>
      <c r="AL141" s="0" t="n">
        <v>0</v>
      </c>
      <c r="AM141" s="0" t="n">
        <v>0</v>
      </c>
    </row>
    <row r="142" customFormat="false" ht="12.75" hidden="false" customHeight="false" outlineLevel="0" collapsed="false">
      <c r="A142" s="0" t="s">
        <v>631</v>
      </c>
      <c r="B142" s="0" t="s">
        <v>251</v>
      </c>
      <c r="C142" s="0" t="s">
        <v>622</v>
      </c>
      <c r="D142" s="0" t="s">
        <v>623</v>
      </c>
      <c r="E142" s="0" t="s">
        <v>131</v>
      </c>
      <c r="F142" s="0" t="s">
        <v>198</v>
      </c>
      <c r="G142" s="0" t="s">
        <v>628</v>
      </c>
      <c r="H142" s="0" t="s">
        <v>625</v>
      </c>
      <c r="I142" s="0" t="s">
        <v>626</v>
      </c>
      <c r="J142" s="0" t="s">
        <v>627</v>
      </c>
      <c r="K142" s="475" t="n">
        <v>36800</v>
      </c>
      <c r="L142" s="254" t="n">
        <v>-1170.31335042456</v>
      </c>
      <c r="M142" s="475" t="n">
        <v>36797</v>
      </c>
      <c r="N142" s="0" t="s">
        <v>136</v>
      </c>
      <c r="O142" s="0" t="n">
        <v>0</v>
      </c>
      <c r="P142" s="0" t="n">
        <v>0</v>
      </c>
      <c r="Q142" s="0" t="n">
        <v>0</v>
      </c>
      <c r="R142" s="0" t="n">
        <v>0</v>
      </c>
      <c r="S142" s="0" t="n">
        <v>0</v>
      </c>
      <c r="T142" s="0" t="s">
        <v>624</v>
      </c>
      <c r="U142" s="0" t="s">
        <v>153</v>
      </c>
      <c r="V142" s="0" t="s">
        <v>624</v>
      </c>
      <c r="W142" s="0" t="s">
        <v>569</v>
      </c>
      <c r="X142" s="0" t="s">
        <v>624</v>
      </c>
      <c r="Y142" s="0" t="s">
        <v>627</v>
      </c>
      <c r="Z142" s="0" t="s">
        <v>629</v>
      </c>
      <c r="AA142" s="0" t="s">
        <v>624</v>
      </c>
      <c r="AB142" s="0" t="s">
        <v>580</v>
      </c>
      <c r="AC142" s="254" t="n">
        <v>-1000000</v>
      </c>
      <c r="AD142" s="254" t="n">
        <v>-1234.21302857198</v>
      </c>
      <c r="AE142" s="0" t="n">
        <v>0</v>
      </c>
      <c r="AF142" s="0" t="n">
        <v>0</v>
      </c>
      <c r="AG142" s="0" t="n">
        <v>0</v>
      </c>
      <c r="AH142" s="254" t="n">
        <v>-73.0490748787538</v>
      </c>
      <c r="AI142" s="0" t="n">
        <v>226</v>
      </c>
      <c r="AJ142" s="0" t="s">
        <v>630</v>
      </c>
      <c r="AK142" s="0" t="n">
        <v>0</v>
      </c>
      <c r="AL142" s="0" t="n">
        <v>0</v>
      </c>
      <c r="AM142" s="0" t="n">
        <v>0</v>
      </c>
    </row>
    <row r="143" customFormat="false" ht="12.75" hidden="false" customHeight="false" outlineLevel="0" collapsed="false">
      <c r="A143" s="0" t="s">
        <v>631</v>
      </c>
      <c r="B143" s="0" t="s">
        <v>251</v>
      </c>
      <c r="C143" s="0" t="s">
        <v>622</v>
      </c>
      <c r="D143" s="0" t="s">
        <v>623</v>
      </c>
      <c r="E143" s="0" t="s">
        <v>131</v>
      </c>
      <c r="F143" s="0" t="s">
        <v>198</v>
      </c>
      <c r="G143" s="0" t="s">
        <v>628</v>
      </c>
      <c r="H143" s="0" t="s">
        <v>625</v>
      </c>
      <c r="I143" s="0" t="s">
        <v>626</v>
      </c>
      <c r="J143" s="0" t="s">
        <v>627</v>
      </c>
      <c r="K143" s="475" t="n">
        <v>36770</v>
      </c>
      <c r="L143" s="254" t="n">
        <v>-2.93171904940403E-027</v>
      </c>
      <c r="M143" s="475" t="n">
        <v>36768</v>
      </c>
      <c r="N143" s="0" t="s">
        <v>136</v>
      </c>
      <c r="O143" s="0" t="n">
        <v>0</v>
      </c>
      <c r="P143" s="0" t="n">
        <v>0</v>
      </c>
      <c r="Q143" s="0" t="n">
        <v>0</v>
      </c>
      <c r="R143" s="0" t="n">
        <v>0</v>
      </c>
      <c r="S143" s="0" t="n">
        <v>0</v>
      </c>
      <c r="T143" s="0" t="s">
        <v>624</v>
      </c>
      <c r="U143" s="0" t="s">
        <v>153</v>
      </c>
      <c r="V143" s="0" t="s">
        <v>624</v>
      </c>
      <c r="W143" s="0" t="s">
        <v>569</v>
      </c>
      <c r="X143" s="0" t="s">
        <v>624</v>
      </c>
      <c r="Y143" s="0" t="s">
        <v>627</v>
      </c>
      <c r="Z143" s="0" t="s">
        <v>629</v>
      </c>
      <c r="AA143" s="0" t="s">
        <v>624</v>
      </c>
      <c r="AB143" s="0" t="s">
        <v>580</v>
      </c>
      <c r="AC143" s="254" t="n">
        <v>-1000000</v>
      </c>
      <c r="AD143" s="254" t="n">
        <v>-8.97813429773927E-026</v>
      </c>
      <c r="AE143" s="0" t="n">
        <v>0</v>
      </c>
      <c r="AF143" s="0" t="n">
        <v>0</v>
      </c>
      <c r="AG143" s="0" t="n">
        <v>0</v>
      </c>
      <c r="AH143" s="254" t="n">
        <v>-4.83934009793317E-005</v>
      </c>
      <c r="AI143" s="0" t="n">
        <v>226</v>
      </c>
      <c r="AJ143" s="0" t="s">
        <v>630</v>
      </c>
      <c r="AK143" s="0" t="n">
        <v>0</v>
      </c>
      <c r="AL143" s="0" t="n">
        <v>0</v>
      </c>
      <c r="AM143" s="0" t="n">
        <v>0</v>
      </c>
    </row>
    <row r="144" customFormat="false" ht="12.75" hidden="false" customHeight="false" outlineLevel="0" collapsed="false">
      <c r="A144" s="0" t="s">
        <v>631</v>
      </c>
      <c r="B144" s="0" t="s">
        <v>252</v>
      </c>
      <c r="C144" s="0" t="s">
        <v>622</v>
      </c>
      <c r="D144" s="0" t="s">
        <v>623</v>
      </c>
      <c r="E144" s="0" t="s">
        <v>131</v>
      </c>
      <c r="F144" s="0" t="s">
        <v>198</v>
      </c>
      <c r="G144" s="0" t="s">
        <v>628</v>
      </c>
      <c r="H144" s="0" t="s">
        <v>625</v>
      </c>
      <c r="I144" s="0" t="s">
        <v>626</v>
      </c>
      <c r="J144" s="0" t="s">
        <v>627</v>
      </c>
      <c r="K144" s="475" t="n">
        <v>36951</v>
      </c>
      <c r="L144" s="254" t="n">
        <v>-39745.1516919958</v>
      </c>
      <c r="M144" s="475" t="n">
        <v>36949</v>
      </c>
      <c r="N144" s="0" t="s">
        <v>132</v>
      </c>
      <c r="O144" s="0" t="n">
        <v>0</v>
      </c>
      <c r="P144" s="0" t="n">
        <v>0</v>
      </c>
      <c r="Q144" s="0" t="n">
        <v>0</v>
      </c>
      <c r="R144" s="0" t="n">
        <v>0</v>
      </c>
      <c r="S144" s="0" t="n">
        <v>0</v>
      </c>
      <c r="T144" s="0" t="s">
        <v>624</v>
      </c>
      <c r="U144" s="0" t="s">
        <v>153</v>
      </c>
      <c r="V144" s="0" t="s">
        <v>624</v>
      </c>
      <c r="W144" s="0" t="s">
        <v>569</v>
      </c>
      <c r="X144" s="0" t="s">
        <v>624</v>
      </c>
      <c r="Y144" s="0" t="s">
        <v>627</v>
      </c>
      <c r="Z144" s="0" t="s">
        <v>629</v>
      </c>
      <c r="AA144" s="0" t="s">
        <v>624</v>
      </c>
      <c r="AB144" s="0" t="s">
        <v>580</v>
      </c>
      <c r="AC144" s="254" t="n">
        <v>-1000000</v>
      </c>
      <c r="AD144" s="254" t="n">
        <v>-12428.8322519676</v>
      </c>
      <c r="AE144" s="0" t="n">
        <v>0</v>
      </c>
      <c r="AF144" s="0" t="n">
        <v>0</v>
      </c>
      <c r="AG144" s="0" t="n">
        <v>0</v>
      </c>
      <c r="AH144" s="254" t="n">
        <v>-634.616227811246</v>
      </c>
      <c r="AI144" s="0" t="n">
        <v>226</v>
      </c>
      <c r="AJ144" s="0" t="s">
        <v>630</v>
      </c>
      <c r="AK144" s="0" t="n">
        <v>0</v>
      </c>
      <c r="AL144" s="0" t="n">
        <v>0</v>
      </c>
      <c r="AM144" s="0" t="n">
        <v>0</v>
      </c>
    </row>
    <row r="145" customFormat="false" ht="12.75" hidden="false" customHeight="false" outlineLevel="0" collapsed="false">
      <c r="A145" s="0" t="s">
        <v>631</v>
      </c>
      <c r="B145" s="0" t="s">
        <v>252</v>
      </c>
      <c r="C145" s="0" t="s">
        <v>622</v>
      </c>
      <c r="D145" s="0" t="s">
        <v>623</v>
      </c>
      <c r="E145" s="0" t="s">
        <v>131</v>
      </c>
      <c r="F145" s="0" t="s">
        <v>198</v>
      </c>
      <c r="G145" s="0" t="s">
        <v>628</v>
      </c>
      <c r="H145" s="0" t="s">
        <v>625</v>
      </c>
      <c r="I145" s="0" t="s">
        <v>626</v>
      </c>
      <c r="J145" s="0" t="s">
        <v>627</v>
      </c>
      <c r="K145" s="475" t="n">
        <v>36923</v>
      </c>
      <c r="L145" s="254" t="n">
        <v>-43679.5536828356</v>
      </c>
      <c r="M145" s="475" t="n">
        <v>36921</v>
      </c>
      <c r="N145" s="0" t="s">
        <v>132</v>
      </c>
      <c r="O145" s="0" t="n">
        <v>0</v>
      </c>
      <c r="P145" s="0" t="n">
        <v>0</v>
      </c>
      <c r="Q145" s="0" t="n">
        <v>0</v>
      </c>
      <c r="R145" s="0" t="n">
        <v>0</v>
      </c>
      <c r="S145" s="0" t="n">
        <v>0</v>
      </c>
      <c r="T145" s="0" t="s">
        <v>624</v>
      </c>
      <c r="U145" s="0" t="s">
        <v>153</v>
      </c>
      <c r="V145" s="0" t="s">
        <v>624</v>
      </c>
      <c r="W145" s="0" t="s">
        <v>569</v>
      </c>
      <c r="X145" s="0" t="s">
        <v>624</v>
      </c>
      <c r="Y145" s="0" t="s">
        <v>627</v>
      </c>
      <c r="Z145" s="0" t="s">
        <v>629</v>
      </c>
      <c r="AA145" s="0" t="s">
        <v>624</v>
      </c>
      <c r="AB145" s="0" t="s">
        <v>580</v>
      </c>
      <c r="AC145" s="254" t="n">
        <v>-1000000</v>
      </c>
      <c r="AD145" s="254" t="n">
        <v>-12805.792313299</v>
      </c>
      <c r="AE145" s="0" t="n">
        <v>0</v>
      </c>
      <c r="AF145" s="0" t="n">
        <v>0</v>
      </c>
      <c r="AG145" s="0" t="n">
        <v>0</v>
      </c>
      <c r="AH145" s="254" t="n">
        <v>-616.76923998721</v>
      </c>
      <c r="AI145" s="0" t="n">
        <v>226</v>
      </c>
      <c r="AJ145" s="0" t="s">
        <v>630</v>
      </c>
      <c r="AK145" s="0" t="n">
        <v>0</v>
      </c>
      <c r="AL145" s="0" t="n">
        <v>0</v>
      </c>
      <c r="AM145" s="0" t="n">
        <v>0</v>
      </c>
    </row>
    <row r="146" customFormat="false" ht="12.75" hidden="false" customHeight="false" outlineLevel="0" collapsed="false">
      <c r="A146" s="0" t="s">
        <v>631</v>
      </c>
      <c r="B146" s="0" t="s">
        <v>252</v>
      </c>
      <c r="C146" s="0" t="s">
        <v>622</v>
      </c>
      <c r="D146" s="0" t="s">
        <v>623</v>
      </c>
      <c r="E146" s="0" t="s">
        <v>131</v>
      </c>
      <c r="F146" s="0" t="s">
        <v>198</v>
      </c>
      <c r="G146" s="0" t="s">
        <v>628</v>
      </c>
      <c r="H146" s="0" t="s">
        <v>625</v>
      </c>
      <c r="I146" s="0" t="s">
        <v>626</v>
      </c>
      <c r="J146" s="0" t="s">
        <v>627</v>
      </c>
      <c r="K146" s="475" t="n">
        <v>36892</v>
      </c>
      <c r="L146" s="254" t="n">
        <v>-43495.1418225671</v>
      </c>
      <c r="M146" s="475" t="n">
        <v>36888</v>
      </c>
      <c r="N146" s="0" t="s">
        <v>132</v>
      </c>
      <c r="O146" s="0" t="n">
        <v>0</v>
      </c>
      <c r="P146" s="0" t="n">
        <v>0</v>
      </c>
      <c r="Q146" s="0" t="n">
        <v>0</v>
      </c>
      <c r="R146" s="0" t="n">
        <v>0</v>
      </c>
      <c r="S146" s="0" t="n">
        <v>0</v>
      </c>
      <c r="T146" s="0" t="s">
        <v>624</v>
      </c>
      <c r="U146" s="0" t="s">
        <v>153</v>
      </c>
      <c r="V146" s="0" t="s">
        <v>624</v>
      </c>
      <c r="W146" s="0" t="s">
        <v>569</v>
      </c>
      <c r="X146" s="0" t="s">
        <v>624</v>
      </c>
      <c r="Y146" s="0" t="s">
        <v>627</v>
      </c>
      <c r="Z146" s="0" t="s">
        <v>629</v>
      </c>
      <c r="AA146" s="0" t="s">
        <v>624</v>
      </c>
      <c r="AB146" s="0" t="s">
        <v>580</v>
      </c>
      <c r="AC146" s="254" t="n">
        <v>-1000000</v>
      </c>
      <c r="AD146" s="254" t="n">
        <v>-11719.0730119359</v>
      </c>
      <c r="AE146" s="0" t="n">
        <v>0</v>
      </c>
      <c r="AF146" s="0" t="n">
        <v>0</v>
      </c>
      <c r="AG146" s="0" t="n">
        <v>0</v>
      </c>
      <c r="AH146" s="254" t="n">
        <v>-566.002620999483</v>
      </c>
      <c r="AI146" s="0" t="n">
        <v>226</v>
      </c>
      <c r="AJ146" s="0" t="s">
        <v>630</v>
      </c>
      <c r="AK146" s="0" t="n">
        <v>0</v>
      </c>
      <c r="AL146" s="0" t="n">
        <v>0</v>
      </c>
      <c r="AM146" s="0" t="n">
        <v>0</v>
      </c>
    </row>
    <row r="147" customFormat="false" ht="12.75" hidden="false" customHeight="false" outlineLevel="0" collapsed="false">
      <c r="A147" s="0" t="s">
        <v>631</v>
      </c>
      <c r="B147" s="0" t="s">
        <v>252</v>
      </c>
      <c r="C147" s="0" t="s">
        <v>622</v>
      </c>
      <c r="D147" s="0" t="s">
        <v>623</v>
      </c>
      <c r="E147" s="0" t="s">
        <v>131</v>
      </c>
      <c r="F147" s="0" t="s">
        <v>198</v>
      </c>
      <c r="G147" s="0" t="s">
        <v>628</v>
      </c>
      <c r="H147" s="0" t="s">
        <v>625</v>
      </c>
      <c r="I147" s="0" t="s">
        <v>626</v>
      </c>
      <c r="J147" s="0" t="s">
        <v>627</v>
      </c>
      <c r="K147" s="475" t="n">
        <v>36861</v>
      </c>
      <c r="L147" s="254" t="n">
        <v>-42117.0920791809</v>
      </c>
      <c r="M147" s="475" t="n">
        <v>36859</v>
      </c>
      <c r="N147" s="0" t="s">
        <v>132</v>
      </c>
      <c r="O147" s="0" t="n">
        <v>0</v>
      </c>
      <c r="P147" s="0" t="n">
        <v>0</v>
      </c>
      <c r="Q147" s="0" t="n">
        <v>0</v>
      </c>
      <c r="R147" s="0" t="n">
        <v>0</v>
      </c>
      <c r="S147" s="0" t="n">
        <v>0</v>
      </c>
      <c r="T147" s="0" t="s">
        <v>624</v>
      </c>
      <c r="U147" s="0" t="s">
        <v>153</v>
      </c>
      <c r="V147" s="0" t="s">
        <v>624</v>
      </c>
      <c r="W147" s="0" t="s">
        <v>569</v>
      </c>
      <c r="X147" s="0" t="s">
        <v>624</v>
      </c>
      <c r="Y147" s="0" t="s">
        <v>627</v>
      </c>
      <c r="Z147" s="0" t="s">
        <v>629</v>
      </c>
      <c r="AA147" s="0" t="s">
        <v>624</v>
      </c>
      <c r="AB147" s="0" t="s">
        <v>580</v>
      </c>
      <c r="AC147" s="254" t="n">
        <v>-1000000</v>
      </c>
      <c r="AD147" s="254" t="n">
        <v>-10352.4500349386</v>
      </c>
      <c r="AE147" s="0" t="n">
        <v>0</v>
      </c>
      <c r="AF147" s="0" t="n">
        <v>0</v>
      </c>
      <c r="AG147" s="0" t="n">
        <v>0</v>
      </c>
      <c r="AH147" s="254" t="n">
        <v>-522.772353812157</v>
      </c>
      <c r="AI147" s="0" t="n">
        <v>226</v>
      </c>
      <c r="AJ147" s="0" t="s">
        <v>630</v>
      </c>
      <c r="AK147" s="0" t="n">
        <v>0</v>
      </c>
      <c r="AL147" s="0" t="n">
        <v>0</v>
      </c>
      <c r="AM147" s="0" t="n">
        <v>0</v>
      </c>
    </row>
    <row r="148" customFormat="false" ht="12.75" hidden="false" customHeight="false" outlineLevel="0" collapsed="false">
      <c r="A148" s="0" t="s">
        <v>631</v>
      </c>
      <c r="B148" s="0" t="s">
        <v>252</v>
      </c>
      <c r="C148" s="0" t="s">
        <v>622</v>
      </c>
      <c r="D148" s="0" t="s">
        <v>623</v>
      </c>
      <c r="E148" s="0" t="s">
        <v>131</v>
      </c>
      <c r="F148" s="0" t="s">
        <v>198</v>
      </c>
      <c r="G148" s="0" t="s">
        <v>628</v>
      </c>
      <c r="H148" s="0" t="s">
        <v>625</v>
      </c>
      <c r="I148" s="0" t="s">
        <v>626</v>
      </c>
      <c r="J148" s="0" t="s">
        <v>627</v>
      </c>
      <c r="K148" s="475" t="n">
        <v>36831</v>
      </c>
      <c r="L148" s="254" t="n">
        <v>-41973.8419281694</v>
      </c>
      <c r="M148" s="475" t="n">
        <v>36829</v>
      </c>
      <c r="N148" s="0" t="s">
        <v>132</v>
      </c>
      <c r="O148" s="0" t="n">
        <v>0</v>
      </c>
      <c r="P148" s="0" t="n">
        <v>0</v>
      </c>
      <c r="Q148" s="0" t="n">
        <v>0</v>
      </c>
      <c r="R148" s="0" t="n">
        <v>0</v>
      </c>
      <c r="S148" s="0" t="n">
        <v>0</v>
      </c>
      <c r="T148" s="0" t="s">
        <v>624</v>
      </c>
      <c r="U148" s="0" t="s">
        <v>153</v>
      </c>
      <c r="V148" s="0" t="s">
        <v>624</v>
      </c>
      <c r="W148" s="0" t="s">
        <v>569</v>
      </c>
      <c r="X148" s="0" t="s">
        <v>624</v>
      </c>
      <c r="Y148" s="0" t="s">
        <v>627</v>
      </c>
      <c r="Z148" s="0" t="s">
        <v>629</v>
      </c>
      <c r="AA148" s="0" t="s">
        <v>624</v>
      </c>
      <c r="AB148" s="0" t="s">
        <v>580</v>
      </c>
      <c r="AC148" s="254" t="n">
        <v>-1000000</v>
      </c>
      <c r="AD148" s="254" t="n">
        <v>-8599.09313525481</v>
      </c>
      <c r="AE148" s="0" t="n">
        <v>0</v>
      </c>
      <c r="AF148" s="0" t="n">
        <v>0</v>
      </c>
      <c r="AG148" s="0" t="n">
        <v>0</v>
      </c>
      <c r="AH148" s="254" t="n">
        <v>-463.650302859445</v>
      </c>
      <c r="AI148" s="0" t="n">
        <v>226</v>
      </c>
      <c r="AJ148" s="0" t="s">
        <v>630</v>
      </c>
      <c r="AK148" s="0" t="n">
        <v>0</v>
      </c>
      <c r="AL148" s="0" t="n">
        <v>0</v>
      </c>
      <c r="AM148" s="0" t="n">
        <v>0</v>
      </c>
    </row>
    <row r="149" customFormat="false" ht="12.75" hidden="false" customHeight="false" outlineLevel="0" collapsed="false">
      <c r="A149" s="0" t="s">
        <v>631</v>
      </c>
      <c r="B149" s="0" t="s">
        <v>252</v>
      </c>
      <c r="C149" s="0" t="s">
        <v>622</v>
      </c>
      <c r="D149" s="0" t="s">
        <v>623</v>
      </c>
      <c r="E149" s="0" t="s">
        <v>131</v>
      </c>
      <c r="F149" s="0" t="s">
        <v>198</v>
      </c>
      <c r="G149" s="0" t="s">
        <v>628</v>
      </c>
      <c r="H149" s="0" t="s">
        <v>625</v>
      </c>
      <c r="I149" s="0" t="s">
        <v>626</v>
      </c>
      <c r="J149" s="0" t="s">
        <v>627</v>
      </c>
      <c r="K149" s="475" t="n">
        <v>36800</v>
      </c>
      <c r="L149" s="254" t="n">
        <v>-90651.998595038</v>
      </c>
      <c r="M149" s="475" t="n">
        <v>36797</v>
      </c>
      <c r="N149" s="0" t="s">
        <v>132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v>0</v>
      </c>
      <c r="T149" s="0" t="s">
        <v>624</v>
      </c>
      <c r="U149" s="0" t="s">
        <v>153</v>
      </c>
      <c r="V149" s="0" t="s">
        <v>624</v>
      </c>
      <c r="W149" s="0" t="s">
        <v>569</v>
      </c>
      <c r="X149" s="0" t="s">
        <v>624</v>
      </c>
      <c r="Y149" s="0" t="s">
        <v>627</v>
      </c>
      <c r="Z149" s="0" t="s">
        <v>629</v>
      </c>
      <c r="AA149" s="0" t="s">
        <v>624</v>
      </c>
      <c r="AB149" s="0" t="s">
        <v>580</v>
      </c>
      <c r="AC149" s="254" t="n">
        <v>-1000000</v>
      </c>
      <c r="AD149" s="254" t="n">
        <v>-1234.21302857203</v>
      </c>
      <c r="AE149" s="0" t="n">
        <v>0</v>
      </c>
      <c r="AF149" s="0" t="n">
        <v>0</v>
      </c>
      <c r="AG149" s="0" t="n">
        <v>0</v>
      </c>
      <c r="AH149" s="254" t="n">
        <v>-73.0490748788143</v>
      </c>
      <c r="AI149" s="0" t="n">
        <v>226</v>
      </c>
      <c r="AJ149" s="0" t="s">
        <v>630</v>
      </c>
      <c r="AK149" s="0" t="n">
        <v>0</v>
      </c>
      <c r="AL149" s="0" t="n">
        <v>0</v>
      </c>
      <c r="AM149" s="0" t="n">
        <v>0</v>
      </c>
    </row>
    <row r="150" customFormat="false" ht="12.75" hidden="false" customHeight="false" outlineLevel="0" collapsed="false">
      <c r="A150" s="0" t="s">
        <v>631</v>
      </c>
      <c r="B150" s="0" t="s">
        <v>252</v>
      </c>
      <c r="C150" s="0" t="s">
        <v>622</v>
      </c>
      <c r="D150" s="0" t="s">
        <v>623</v>
      </c>
      <c r="E150" s="0" t="s">
        <v>131</v>
      </c>
      <c r="F150" s="0" t="s">
        <v>198</v>
      </c>
      <c r="G150" s="0" t="s">
        <v>628</v>
      </c>
      <c r="H150" s="0" t="s">
        <v>625</v>
      </c>
      <c r="I150" s="0" t="s">
        <v>626</v>
      </c>
      <c r="J150" s="0" t="s">
        <v>627</v>
      </c>
      <c r="K150" s="475" t="n">
        <v>36770</v>
      </c>
      <c r="L150" s="254" t="n">
        <v>-109959.521308211</v>
      </c>
      <c r="M150" s="475" t="n">
        <v>36768</v>
      </c>
      <c r="N150" s="0" t="s">
        <v>132</v>
      </c>
      <c r="O150" s="0" t="n">
        <v>0</v>
      </c>
      <c r="P150" s="0" t="n">
        <v>0</v>
      </c>
      <c r="Q150" s="0" t="n">
        <v>0</v>
      </c>
      <c r="R150" s="0" t="n">
        <v>0</v>
      </c>
      <c r="S150" s="0" t="n">
        <v>0</v>
      </c>
      <c r="T150" s="0" t="s">
        <v>624</v>
      </c>
      <c r="U150" s="0" t="s">
        <v>153</v>
      </c>
      <c r="V150" s="0" t="s">
        <v>624</v>
      </c>
      <c r="W150" s="0" t="s">
        <v>569</v>
      </c>
      <c r="X150" s="0" t="s">
        <v>624</v>
      </c>
      <c r="Y150" s="0" t="s">
        <v>627</v>
      </c>
      <c r="Z150" s="0" t="s">
        <v>629</v>
      </c>
      <c r="AA150" s="0" t="s">
        <v>624</v>
      </c>
      <c r="AB150" s="0" t="s">
        <v>580</v>
      </c>
      <c r="AC150" s="254" t="n">
        <v>-1000000</v>
      </c>
      <c r="AD150" s="254" t="n">
        <v>0</v>
      </c>
      <c r="AE150" s="0" t="n">
        <v>0</v>
      </c>
      <c r="AF150" s="0" t="n">
        <v>0</v>
      </c>
      <c r="AG150" s="0" t="n">
        <v>0</v>
      </c>
      <c r="AH150" s="254" t="n">
        <v>4995.40477814176</v>
      </c>
      <c r="AI150" s="0" t="n">
        <v>226</v>
      </c>
      <c r="AJ150" s="0" t="s">
        <v>630</v>
      </c>
      <c r="AK150" s="0" t="n">
        <v>0</v>
      </c>
      <c r="AL150" s="0" t="n">
        <v>0</v>
      </c>
      <c r="AM150" s="0" t="n">
        <v>0</v>
      </c>
    </row>
    <row r="151" customFormat="false" ht="12.75" hidden="false" customHeight="false" outlineLevel="0" collapsed="false">
      <c r="A151" s="0" t="s">
        <v>631</v>
      </c>
      <c r="B151" s="0" t="s">
        <v>253</v>
      </c>
      <c r="C151" s="0" t="s">
        <v>622</v>
      </c>
      <c r="D151" s="0" t="s">
        <v>623</v>
      </c>
      <c r="E151" s="0" t="s">
        <v>131</v>
      </c>
      <c r="F151" s="0" t="s">
        <v>218</v>
      </c>
      <c r="G151" s="0" t="s">
        <v>628</v>
      </c>
      <c r="H151" s="0" t="s">
        <v>625</v>
      </c>
      <c r="I151" s="0" t="s">
        <v>626</v>
      </c>
      <c r="J151" s="0" t="s">
        <v>627</v>
      </c>
      <c r="K151" s="475" t="n">
        <v>36951</v>
      </c>
      <c r="L151" s="254" t="n">
        <v>51553.3105977664</v>
      </c>
      <c r="M151" s="475" t="n">
        <v>36949</v>
      </c>
      <c r="N151" s="0" t="s">
        <v>136</v>
      </c>
      <c r="O151" s="0" t="n">
        <v>-0.27</v>
      </c>
      <c r="P151" s="0" t="n">
        <v>0</v>
      </c>
      <c r="Q151" s="0" t="n">
        <v>0</v>
      </c>
      <c r="R151" s="0" t="n">
        <v>0</v>
      </c>
      <c r="S151" s="0" t="n">
        <v>0</v>
      </c>
      <c r="T151" s="0" t="s">
        <v>624</v>
      </c>
      <c r="U151" s="0" t="s">
        <v>151</v>
      </c>
      <c r="V151" s="0" t="s">
        <v>624</v>
      </c>
      <c r="W151" s="0" t="s">
        <v>569</v>
      </c>
      <c r="X151" s="0" t="s">
        <v>624</v>
      </c>
      <c r="Y151" s="0" t="s">
        <v>627</v>
      </c>
      <c r="Z151" s="0" t="s">
        <v>629</v>
      </c>
      <c r="AA151" s="0" t="s">
        <v>624</v>
      </c>
      <c r="AB151" s="0" t="s">
        <v>580</v>
      </c>
      <c r="AC151" s="254" t="n">
        <v>310000</v>
      </c>
      <c r="AD151" s="254" t="n">
        <v>15937.3366543828</v>
      </c>
      <c r="AE151" s="0" t="n">
        <v>0</v>
      </c>
      <c r="AF151" s="0" t="n">
        <v>0</v>
      </c>
      <c r="AG151" s="0" t="n">
        <v>0</v>
      </c>
      <c r="AH151" s="254" t="n">
        <v>-4597.34568025213</v>
      </c>
      <c r="AI151" s="0" t="n">
        <v>226</v>
      </c>
      <c r="AJ151" s="0" t="s">
        <v>630</v>
      </c>
      <c r="AK151" s="0" t="n">
        <v>0</v>
      </c>
      <c r="AL151" s="0" t="n">
        <v>0</v>
      </c>
      <c r="AM151" s="0" t="n">
        <v>0</v>
      </c>
    </row>
    <row r="152" customFormat="false" ht="12.75" hidden="false" customHeight="false" outlineLevel="0" collapsed="false">
      <c r="A152" s="0" t="s">
        <v>631</v>
      </c>
      <c r="B152" s="0" t="s">
        <v>253</v>
      </c>
      <c r="C152" s="0" t="s">
        <v>622</v>
      </c>
      <c r="D152" s="0" t="s">
        <v>623</v>
      </c>
      <c r="E152" s="0" t="s">
        <v>131</v>
      </c>
      <c r="F152" s="0" t="s">
        <v>218</v>
      </c>
      <c r="G152" s="0" t="s">
        <v>628</v>
      </c>
      <c r="H152" s="0" t="s">
        <v>625</v>
      </c>
      <c r="I152" s="0" t="s">
        <v>626</v>
      </c>
      <c r="J152" s="0" t="s">
        <v>627</v>
      </c>
      <c r="K152" s="475" t="n">
        <v>36923</v>
      </c>
      <c r="L152" s="254" t="n">
        <v>53469.622275923</v>
      </c>
      <c r="M152" s="475" t="n">
        <v>36921</v>
      </c>
      <c r="N152" s="0" t="s">
        <v>136</v>
      </c>
      <c r="O152" s="0" t="n">
        <v>-0.27</v>
      </c>
      <c r="P152" s="0" t="n">
        <v>0</v>
      </c>
      <c r="Q152" s="0" t="n">
        <v>0</v>
      </c>
      <c r="R152" s="0" t="n">
        <v>0</v>
      </c>
      <c r="S152" s="0" t="n">
        <v>0</v>
      </c>
      <c r="T152" s="0" t="s">
        <v>624</v>
      </c>
      <c r="U152" s="0" t="s">
        <v>151</v>
      </c>
      <c r="V152" s="0" t="s">
        <v>624</v>
      </c>
      <c r="W152" s="0" t="s">
        <v>569</v>
      </c>
      <c r="X152" s="0" t="s">
        <v>624</v>
      </c>
      <c r="Y152" s="0" t="s">
        <v>627</v>
      </c>
      <c r="Z152" s="0" t="s">
        <v>629</v>
      </c>
      <c r="AA152" s="0" t="s">
        <v>624</v>
      </c>
      <c r="AB152" s="0" t="s">
        <v>580</v>
      </c>
      <c r="AC152" s="254" t="n">
        <v>280000</v>
      </c>
      <c r="AD152" s="254" t="n">
        <v>14954.9516124029</v>
      </c>
      <c r="AE152" s="0" t="n">
        <v>0</v>
      </c>
      <c r="AF152" s="0" t="n">
        <v>0</v>
      </c>
      <c r="AG152" s="0" t="n">
        <v>0</v>
      </c>
      <c r="AH152" s="254" t="n">
        <v>-4341.4144062943</v>
      </c>
      <c r="AI152" s="0" t="n">
        <v>226</v>
      </c>
      <c r="AJ152" s="0" t="s">
        <v>630</v>
      </c>
      <c r="AK152" s="0" t="n">
        <v>0</v>
      </c>
      <c r="AL152" s="0" t="n">
        <v>0</v>
      </c>
      <c r="AM152" s="0" t="n">
        <v>0</v>
      </c>
    </row>
    <row r="153" customFormat="false" ht="12.75" hidden="false" customHeight="false" outlineLevel="0" collapsed="false">
      <c r="A153" s="0" t="s">
        <v>631</v>
      </c>
      <c r="B153" s="0" t="s">
        <v>253</v>
      </c>
      <c r="C153" s="0" t="s">
        <v>622</v>
      </c>
      <c r="D153" s="0" t="s">
        <v>623</v>
      </c>
      <c r="E153" s="0" t="s">
        <v>131</v>
      </c>
      <c r="F153" s="0" t="s">
        <v>218</v>
      </c>
      <c r="G153" s="0" t="s">
        <v>628</v>
      </c>
      <c r="H153" s="0" t="s">
        <v>625</v>
      </c>
      <c r="I153" s="0" t="s">
        <v>626</v>
      </c>
      <c r="J153" s="0" t="s">
        <v>627</v>
      </c>
      <c r="K153" s="475" t="n">
        <v>36892</v>
      </c>
      <c r="L153" s="254" t="n">
        <v>59284.0305892131</v>
      </c>
      <c r="M153" s="475" t="n">
        <v>36888</v>
      </c>
      <c r="N153" s="0" t="s">
        <v>136</v>
      </c>
      <c r="O153" s="0" t="n">
        <v>-0.27</v>
      </c>
      <c r="P153" s="0" t="n">
        <v>0</v>
      </c>
      <c r="Q153" s="0" t="n">
        <v>0</v>
      </c>
      <c r="R153" s="0" t="n">
        <v>0</v>
      </c>
      <c r="S153" s="0" t="n">
        <v>0</v>
      </c>
      <c r="T153" s="0" t="s">
        <v>624</v>
      </c>
      <c r="U153" s="0" t="s">
        <v>151</v>
      </c>
      <c r="V153" s="0" t="s">
        <v>624</v>
      </c>
      <c r="W153" s="0" t="s">
        <v>569</v>
      </c>
      <c r="X153" s="0" t="s">
        <v>624</v>
      </c>
      <c r="Y153" s="0" t="s">
        <v>627</v>
      </c>
      <c r="Z153" s="0" t="s">
        <v>629</v>
      </c>
      <c r="AA153" s="0" t="s">
        <v>624</v>
      </c>
      <c r="AB153" s="0" t="s">
        <v>580</v>
      </c>
      <c r="AC153" s="254" t="n">
        <v>310000</v>
      </c>
      <c r="AD153" s="254" t="n">
        <v>15190.7087225643</v>
      </c>
      <c r="AE153" s="0" t="n">
        <v>0</v>
      </c>
      <c r="AF153" s="0" t="n">
        <v>0</v>
      </c>
      <c r="AG153" s="0" t="n">
        <v>0</v>
      </c>
      <c r="AH153" s="254" t="n">
        <v>-5008.64377782327</v>
      </c>
      <c r="AI153" s="0" t="n">
        <v>226</v>
      </c>
      <c r="AJ153" s="0" t="s">
        <v>630</v>
      </c>
      <c r="AK153" s="0" t="n">
        <v>0</v>
      </c>
      <c r="AL153" s="0" t="n">
        <v>0</v>
      </c>
      <c r="AM153" s="0" t="n">
        <v>0</v>
      </c>
    </row>
    <row r="154" customFormat="false" ht="12.75" hidden="false" customHeight="false" outlineLevel="0" collapsed="false">
      <c r="A154" s="0" t="s">
        <v>631</v>
      </c>
      <c r="B154" s="0" t="s">
        <v>253</v>
      </c>
      <c r="C154" s="0" t="s">
        <v>622</v>
      </c>
      <c r="D154" s="0" t="s">
        <v>623</v>
      </c>
      <c r="E154" s="0" t="s">
        <v>131</v>
      </c>
      <c r="F154" s="0" t="s">
        <v>218</v>
      </c>
      <c r="G154" s="0" t="s">
        <v>628</v>
      </c>
      <c r="H154" s="0" t="s">
        <v>625</v>
      </c>
      <c r="I154" s="0" t="s">
        <v>626</v>
      </c>
      <c r="J154" s="0" t="s">
        <v>627</v>
      </c>
      <c r="K154" s="475" t="n">
        <v>36861</v>
      </c>
      <c r="L154" s="254" t="n">
        <v>52016.8632768965</v>
      </c>
      <c r="M154" s="475" t="n">
        <v>36859</v>
      </c>
      <c r="N154" s="0" t="s">
        <v>136</v>
      </c>
      <c r="O154" s="0" t="n">
        <v>-0.27</v>
      </c>
      <c r="P154" s="0" t="n">
        <v>0</v>
      </c>
      <c r="Q154" s="0" t="n">
        <v>0</v>
      </c>
      <c r="R154" s="0" t="n">
        <v>0</v>
      </c>
      <c r="S154" s="0" t="n">
        <v>0</v>
      </c>
      <c r="T154" s="0" t="s">
        <v>624</v>
      </c>
      <c r="U154" s="0" t="s">
        <v>151</v>
      </c>
      <c r="V154" s="0" t="s">
        <v>624</v>
      </c>
      <c r="W154" s="0" t="s">
        <v>569</v>
      </c>
      <c r="X154" s="0" t="s">
        <v>624</v>
      </c>
      <c r="Y154" s="0" t="s">
        <v>627</v>
      </c>
      <c r="Z154" s="0" t="s">
        <v>629</v>
      </c>
      <c r="AA154" s="0" t="s">
        <v>624</v>
      </c>
      <c r="AB154" s="0" t="s">
        <v>580</v>
      </c>
      <c r="AC154" s="254" t="n">
        <v>310000</v>
      </c>
      <c r="AD154" s="254" t="n">
        <v>13224.5699440967</v>
      </c>
      <c r="AE154" s="0" t="n">
        <v>0</v>
      </c>
      <c r="AF154" s="0" t="n">
        <v>0</v>
      </c>
      <c r="AG154" s="0" t="n">
        <v>0</v>
      </c>
      <c r="AH154" s="254" t="n">
        <v>-5072.20502984765</v>
      </c>
      <c r="AI154" s="0" t="n">
        <v>226</v>
      </c>
      <c r="AJ154" s="0" t="s">
        <v>630</v>
      </c>
      <c r="AK154" s="0" t="n">
        <v>0</v>
      </c>
      <c r="AL154" s="0" t="n">
        <v>0</v>
      </c>
      <c r="AM154" s="0" t="n">
        <v>0</v>
      </c>
    </row>
    <row r="155" customFormat="false" ht="12.75" hidden="false" customHeight="false" outlineLevel="0" collapsed="false">
      <c r="A155" s="0" t="s">
        <v>631</v>
      </c>
      <c r="B155" s="0" t="s">
        <v>253</v>
      </c>
      <c r="C155" s="0" t="s">
        <v>622</v>
      </c>
      <c r="D155" s="0" t="s">
        <v>623</v>
      </c>
      <c r="E155" s="0" t="s">
        <v>131</v>
      </c>
      <c r="F155" s="0" t="s">
        <v>218</v>
      </c>
      <c r="G155" s="0" t="s">
        <v>628</v>
      </c>
      <c r="H155" s="0" t="s">
        <v>625</v>
      </c>
      <c r="I155" s="0" t="s">
        <v>626</v>
      </c>
      <c r="J155" s="0" t="s">
        <v>627</v>
      </c>
      <c r="K155" s="475" t="n">
        <v>36831</v>
      </c>
      <c r="L155" s="254" t="n">
        <v>26038.018439555</v>
      </c>
      <c r="M155" s="475" t="n">
        <v>36829</v>
      </c>
      <c r="N155" s="0" t="s">
        <v>136</v>
      </c>
      <c r="O155" s="0" t="n">
        <v>-0.27</v>
      </c>
      <c r="P155" s="0" t="n">
        <v>0</v>
      </c>
      <c r="Q155" s="0" t="n">
        <v>0</v>
      </c>
      <c r="R155" s="0" t="n">
        <v>0</v>
      </c>
      <c r="S155" s="0" t="n">
        <v>0</v>
      </c>
      <c r="T155" s="0" t="s">
        <v>624</v>
      </c>
      <c r="U155" s="0" t="s">
        <v>151</v>
      </c>
      <c r="V155" s="0" t="s">
        <v>624</v>
      </c>
      <c r="W155" s="0" t="s">
        <v>569</v>
      </c>
      <c r="X155" s="0" t="s">
        <v>624</v>
      </c>
      <c r="Y155" s="0" t="s">
        <v>627</v>
      </c>
      <c r="Z155" s="0" t="s">
        <v>629</v>
      </c>
      <c r="AA155" s="0" t="s">
        <v>624</v>
      </c>
      <c r="AB155" s="0" t="s">
        <v>580</v>
      </c>
      <c r="AC155" s="254" t="n">
        <v>300000</v>
      </c>
      <c r="AD155" s="254" t="n">
        <v>9537.22389840745</v>
      </c>
      <c r="AE155" s="0" t="n">
        <v>0</v>
      </c>
      <c r="AF155" s="0" t="n">
        <v>0</v>
      </c>
      <c r="AG155" s="0" t="n">
        <v>0</v>
      </c>
      <c r="AH155" s="254" t="n">
        <v>-3690.40107384926</v>
      </c>
      <c r="AI155" s="0" t="n">
        <v>226</v>
      </c>
      <c r="AJ155" s="0" t="s">
        <v>630</v>
      </c>
      <c r="AK155" s="0" t="n">
        <v>0</v>
      </c>
      <c r="AL155" s="0" t="n">
        <v>0</v>
      </c>
      <c r="AM155" s="0" t="n">
        <v>0</v>
      </c>
    </row>
    <row r="156" customFormat="false" ht="12.75" hidden="false" customHeight="false" outlineLevel="0" collapsed="false">
      <c r="A156" s="0" t="s">
        <v>631</v>
      </c>
      <c r="B156" s="0" t="s">
        <v>253</v>
      </c>
      <c r="C156" s="0" t="s">
        <v>622</v>
      </c>
      <c r="D156" s="0" t="s">
        <v>623</v>
      </c>
      <c r="E156" s="0" t="s">
        <v>131</v>
      </c>
      <c r="F156" s="0" t="s">
        <v>218</v>
      </c>
      <c r="G156" s="0" t="s">
        <v>628</v>
      </c>
      <c r="H156" s="0" t="s">
        <v>625</v>
      </c>
      <c r="I156" s="0" t="s">
        <v>626</v>
      </c>
      <c r="J156" s="0" t="s">
        <v>627</v>
      </c>
      <c r="K156" s="475" t="n">
        <v>36800</v>
      </c>
      <c r="L156" s="254" t="n">
        <v>5375.63774912892</v>
      </c>
      <c r="M156" s="475" t="n">
        <v>36797</v>
      </c>
      <c r="N156" s="0" t="s">
        <v>136</v>
      </c>
      <c r="O156" s="0" t="n">
        <v>-0.27</v>
      </c>
      <c r="P156" s="0" t="n">
        <v>0</v>
      </c>
      <c r="Q156" s="0" t="n">
        <v>0</v>
      </c>
      <c r="R156" s="0" t="n">
        <v>0</v>
      </c>
      <c r="S156" s="0" t="n">
        <v>0</v>
      </c>
      <c r="T156" s="0" t="s">
        <v>624</v>
      </c>
      <c r="U156" s="0" t="s">
        <v>151</v>
      </c>
      <c r="V156" s="0" t="s">
        <v>624</v>
      </c>
      <c r="W156" s="0" t="s">
        <v>569</v>
      </c>
      <c r="X156" s="0" t="s">
        <v>624</v>
      </c>
      <c r="Y156" s="0" t="s">
        <v>627</v>
      </c>
      <c r="Z156" s="0" t="s">
        <v>629</v>
      </c>
      <c r="AA156" s="0" t="s">
        <v>624</v>
      </c>
      <c r="AB156" s="0" t="s">
        <v>580</v>
      </c>
      <c r="AC156" s="254" t="n">
        <v>310000</v>
      </c>
      <c r="AD156" s="254" t="n">
        <v>4737.92135663131</v>
      </c>
      <c r="AE156" s="0" t="n">
        <v>0</v>
      </c>
      <c r="AF156" s="0" t="n">
        <v>0</v>
      </c>
      <c r="AG156" s="0" t="n">
        <v>0</v>
      </c>
      <c r="AH156" s="254" t="n">
        <v>-2100.38019188032</v>
      </c>
      <c r="AI156" s="0" t="n">
        <v>226</v>
      </c>
      <c r="AJ156" s="0" t="s">
        <v>630</v>
      </c>
      <c r="AK156" s="0" t="n">
        <v>0</v>
      </c>
      <c r="AL156" s="0" t="n">
        <v>0</v>
      </c>
      <c r="AM156" s="0" t="n">
        <v>0</v>
      </c>
    </row>
    <row r="157" customFormat="false" ht="12.75" hidden="false" customHeight="false" outlineLevel="0" collapsed="false">
      <c r="A157" s="0" t="s">
        <v>631</v>
      </c>
      <c r="B157" s="0" t="s">
        <v>253</v>
      </c>
      <c r="C157" s="0" t="s">
        <v>622</v>
      </c>
      <c r="D157" s="0" t="s">
        <v>623</v>
      </c>
      <c r="E157" s="0" t="s">
        <v>131</v>
      </c>
      <c r="F157" s="0" t="s">
        <v>218</v>
      </c>
      <c r="G157" s="0" t="s">
        <v>628</v>
      </c>
      <c r="H157" s="0" t="s">
        <v>625</v>
      </c>
      <c r="I157" s="0" t="s">
        <v>626</v>
      </c>
      <c r="J157" s="0" t="s">
        <v>627</v>
      </c>
      <c r="K157" s="475" t="n">
        <v>36770</v>
      </c>
      <c r="L157" s="254" t="n">
        <v>0.0381393548409825</v>
      </c>
      <c r="M157" s="475" t="n">
        <v>36768</v>
      </c>
      <c r="N157" s="0" t="s">
        <v>136</v>
      </c>
      <c r="O157" s="0" t="n">
        <v>-0.27</v>
      </c>
      <c r="P157" s="0" t="n">
        <v>0</v>
      </c>
      <c r="Q157" s="0" t="n">
        <v>0</v>
      </c>
      <c r="R157" s="0" t="n">
        <v>0</v>
      </c>
      <c r="S157" s="0" t="n">
        <v>0</v>
      </c>
      <c r="T157" s="0" t="s">
        <v>624</v>
      </c>
      <c r="U157" s="0" t="s">
        <v>151</v>
      </c>
      <c r="V157" s="0" t="s">
        <v>624</v>
      </c>
      <c r="W157" s="0" t="s">
        <v>569</v>
      </c>
      <c r="X157" s="0" t="s">
        <v>624</v>
      </c>
      <c r="Y157" s="0" t="s">
        <v>627</v>
      </c>
      <c r="Z157" s="0" t="s">
        <v>629</v>
      </c>
      <c r="AA157" s="0" t="s">
        <v>624</v>
      </c>
      <c r="AB157" s="0" t="s">
        <v>580</v>
      </c>
      <c r="AC157" s="254" t="n">
        <v>300000</v>
      </c>
      <c r="AD157" s="254" t="n">
        <v>-0.0115735649730553</v>
      </c>
      <c r="AE157" s="0" t="n">
        <v>0</v>
      </c>
      <c r="AF157" s="0" t="n">
        <v>0</v>
      </c>
      <c r="AG157" s="0" t="n">
        <v>0</v>
      </c>
      <c r="AH157" s="254" t="n">
        <v>0.00235309358664892</v>
      </c>
      <c r="AI157" s="0" t="n">
        <v>226</v>
      </c>
      <c r="AJ157" s="0" t="s">
        <v>630</v>
      </c>
      <c r="AK157" s="0" t="n">
        <v>0</v>
      </c>
      <c r="AL157" s="0" t="n">
        <v>0</v>
      </c>
      <c r="AM157" s="0" t="n">
        <v>0</v>
      </c>
    </row>
    <row r="158" customFormat="false" ht="12.75" hidden="false" customHeight="false" outlineLevel="0" collapsed="false">
      <c r="A158" s="0" t="s">
        <v>631</v>
      </c>
      <c r="B158" s="0" t="s">
        <v>254</v>
      </c>
      <c r="C158" s="0" t="s">
        <v>622</v>
      </c>
      <c r="D158" s="0" t="s">
        <v>623</v>
      </c>
      <c r="E158" s="0" t="s">
        <v>131</v>
      </c>
      <c r="F158" s="0" t="s">
        <v>198</v>
      </c>
      <c r="G158" s="0" t="s">
        <v>628</v>
      </c>
      <c r="H158" s="0" t="s">
        <v>625</v>
      </c>
      <c r="I158" s="0" t="s">
        <v>626</v>
      </c>
      <c r="J158" s="0" t="s">
        <v>627</v>
      </c>
      <c r="K158" s="475" t="n">
        <v>36951</v>
      </c>
      <c r="L158" s="254" t="n">
        <v>-476658.561538917</v>
      </c>
      <c r="M158" s="475" t="n">
        <v>36949</v>
      </c>
      <c r="N158" s="0" t="s">
        <v>136</v>
      </c>
      <c r="O158" s="0" t="n">
        <v>1.15</v>
      </c>
      <c r="P158" s="0" t="n">
        <v>0</v>
      </c>
      <c r="Q158" s="0" t="n">
        <v>0</v>
      </c>
      <c r="R158" s="0" t="n">
        <v>0</v>
      </c>
      <c r="S158" s="0" t="n">
        <v>0</v>
      </c>
      <c r="T158" s="0" t="s">
        <v>624</v>
      </c>
      <c r="U158" s="0" t="s">
        <v>149</v>
      </c>
      <c r="V158" s="0" t="s">
        <v>624</v>
      </c>
      <c r="W158" s="0" t="s">
        <v>569</v>
      </c>
      <c r="X158" s="0" t="s">
        <v>624</v>
      </c>
      <c r="Y158" s="0" t="s">
        <v>627</v>
      </c>
      <c r="Z158" s="0" t="s">
        <v>629</v>
      </c>
      <c r="AA158" s="0" t="s">
        <v>624</v>
      </c>
      <c r="AB158" s="0" t="s">
        <v>580</v>
      </c>
      <c r="AC158" s="254" t="n">
        <v>-1000000</v>
      </c>
      <c r="AD158" s="254" t="n">
        <v>-88233.8861087796</v>
      </c>
      <c r="AE158" s="0" t="n">
        <v>0</v>
      </c>
      <c r="AF158" s="0" t="n">
        <v>0</v>
      </c>
      <c r="AG158" s="0" t="n">
        <v>0</v>
      </c>
      <c r="AH158" s="254" t="n">
        <v>-34589.4882006656</v>
      </c>
      <c r="AI158" s="0" t="n">
        <v>226</v>
      </c>
      <c r="AJ158" s="0" t="s">
        <v>630</v>
      </c>
      <c r="AK158" s="0" t="n">
        <v>0</v>
      </c>
      <c r="AL158" s="0" t="n">
        <v>0</v>
      </c>
      <c r="AM158" s="0" t="n">
        <v>0</v>
      </c>
    </row>
    <row r="159" customFormat="false" ht="12.75" hidden="false" customHeight="false" outlineLevel="0" collapsed="false">
      <c r="A159" s="0" t="s">
        <v>631</v>
      </c>
      <c r="B159" s="0" t="s">
        <v>254</v>
      </c>
      <c r="C159" s="0" t="s">
        <v>622</v>
      </c>
      <c r="D159" s="0" t="s">
        <v>623</v>
      </c>
      <c r="E159" s="0" t="s">
        <v>131</v>
      </c>
      <c r="F159" s="0" t="s">
        <v>198</v>
      </c>
      <c r="G159" s="0" t="s">
        <v>628</v>
      </c>
      <c r="H159" s="0" t="s">
        <v>625</v>
      </c>
      <c r="I159" s="0" t="s">
        <v>626</v>
      </c>
      <c r="J159" s="0" t="s">
        <v>627</v>
      </c>
      <c r="K159" s="475" t="n">
        <v>36923</v>
      </c>
      <c r="L159" s="254" t="n">
        <v>-1165155.34541382</v>
      </c>
      <c r="M159" s="475" t="n">
        <v>36921</v>
      </c>
      <c r="N159" s="0" t="s">
        <v>136</v>
      </c>
      <c r="O159" s="0" t="n">
        <v>1.15</v>
      </c>
      <c r="P159" s="0" t="n">
        <v>0</v>
      </c>
      <c r="Q159" s="0" t="n">
        <v>0</v>
      </c>
      <c r="R159" s="0" t="n">
        <v>0</v>
      </c>
      <c r="S159" s="0" t="n">
        <v>0</v>
      </c>
      <c r="T159" s="0" t="s">
        <v>624</v>
      </c>
      <c r="U159" s="0" t="s">
        <v>149</v>
      </c>
      <c r="V159" s="0" t="s">
        <v>624</v>
      </c>
      <c r="W159" s="0" t="s">
        <v>569</v>
      </c>
      <c r="X159" s="0" t="s">
        <v>624</v>
      </c>
      <c r="Y159" s="0" t="s">
        <v>627</v>
      </c>
      <c r="Z159" s="0" t="s">
        <v>629</v>
      </c>
      <c r="AA159" s="0" t="s">
        <v>624</v>
      </c>
      <c r="AB159" s="0" t="s">
        <v>580</v>
      </c>
      <c r="AC159" s="254" t="n">
        <v>-1000000</v>
      </c>
      <c r="AD159" s="254" t="n">
        <v>-75189.1982920127</v>
      </c>
      <c r="AE159" s="0" t="n">
        <v>0</v>
      </c>
      <c r="AF159" s="0" t="n">
        <v>0</v>
      </c>
      <c r="AG159" s="0" t="n">
        <v>0</v>
      </c>
      <c r="AH159" s="254" t="n">
        <v>-55488.6990380562</v>
      </c>
      <c r="AI159" s="0" t="n">
        <v>226</v>
      </c>
      <c r="AJ159" s="0" t="s">
        <v>630</v>
      </c>
      <c r="AK159" s="0" t="n">
        <v>0</v>
      </c>
      <c r="AL159" s="0" t="n">
        <v>0</v>
      </c>
      <c r="AM159" s="0" t="n">
        <v>0</v>
      </c>
    </row>
    <row r="160" customFormat="false" ht="12.75" hidden="false" customHeight="false" outlineLevel="0" collapsed="false">
      <c r="A160" s="0" t="s">
        <v>631</v>
      </c>
      <c r="B160" s="0" t="s">
        <v>254</v>
      </c>
      <c r="C160" s="0" t="s">
        <v>622</v>
      </c>
      <c r="D160" s="0" t="s">
        <v>623</v>
      </c>
      <c r="E160" s="0" t="s">
        <v>131</v>
      </c>
      <c r="F160" s="0" t="s">
        <v>198</v>
      </c>
      <c r="G160" s="0" t="s">
        <v>628</v>
      </c>
      <c r="H160" s="0" t="s">
        <v>625</v>
      </c>
      <c r="I160" s="0" t="s">
        <v>626</v>
      </c>
      <c r="J160" s="0" t="s">
        <v>627</v>
      </c>
      <c r="K160" s="475" t="n">
        <v>36892</v>
      </c>
      <c r="L160" s="254" t="n">
        <v>-1205445.02796951</v>
      </c>
      <c r="M160" s="475" t="n">
        <v>36888</v>
      </c>
      <c r="N160" s="0" t="s">
        <v>136</v>
      </c>
      <c r="O160" s="0" t="n">
        <v>1.15</v>
      </c>
      <c r="P160" s="0" t="n">
        <v>0</v>
      </c>
      <c r="Q160" s="0" t="n">
        <v>0</v>
      </c>
      <c r="R160" s="0" t="n">
        <v>0</v>
      </c>
      <c r="S160" s="0" t="n">
        <v>0</v>
      </c>
      <c r="T160" s="0" t="s">
        <v>624</v>
      </c>
      <c r="U160" s="0" t="s">
        <v>149</v>
      </c>
      <c r="V160" s="0" t="s">
        <v>624</v>
      </c>
      <c r="W160" s="0" t="s">
        <v>569</v>
      </c>
      <c r="X160" s="0" t="s">
        <v>624</v>
      </c>
      <c r="Y160" s="0" t="s">
        <v>627</v>
      </c>
      <c r="Z160" s="0" t="s">
        <v>629</v>
      </c>
      <c r="AA160" s="0" t="s">
        <v>624</v>
      </c>
      <c r="AB160" s="0" t="s">
        <v>580</v>
      </c>
      <c r="AC160" s="254" t="n">
        <v>-1000000</v>
      </c>
      <c r="AD160" s="254" t="n">
        <v>-65194.0596979938</v>
      </c>
      <c r="AE160" s="0" t="n">
        <v>0</v>
      </c>
      <c r="AF160" s="0" t="n">
        <v>0</v>
      </c>
      <c r="AG160" s="0" t="n">
        <v>0</v>
      </c>
      <c r="AH160" s="254" t="n">
        <v>-49213.1357103223</v>
      </c>
      <c r="AI160" s="0" t="n">
        <v>226</v>
      </c>
      <c r="AJ160" s="0" t="s">
        <v>630</v>
      </c>
      <c r="AK160" s="0" t="n">
        <v>0</v>
      </c>
      <c r="AL160" s="0" t="n">
        <v>0</v>
      </c>
      <c r="AM160" s="0" t="n">
        <v>0</v>
      </c>
    </row>
    <row r="161" customFormat="false" ht="12.75" hidden="false" customHeight="false" outlineLevel="0" collapsed="false">
      <c r="A161" s="0" t="s">
        <v>631</v>
      </c>
      <c r="B161" s="0" t="s">
        <v>254</v>
      </c>
      <c r="C161" s="0" t="s">
        <v>622</v>
      </c>
      <c r="D161" s="0" t="s">
        <v>623</v>
      </c>
      <c r="E161" s="0" t="s">
        <v>131</v>
      </c>
      <c r="F161" s="0" t="s">
        <v>198</v>
      </c>
      <c r="G161" s="0" t="s">
        <v>628</v>
      </c>
      <c r="H161" s="0" t="s">
        <v>625</v>
      </c>
      <c r="I161" s="0" t="s">
        <v>626</v>
      </c>
      <c r="J161" s="0" t="s">
        <v>627</v>
      </c>
      <c r="K161" s="475" t="n">
        <v>36861</v>
      </c>
      <c r="L161" s="254" t="n">
        <v>-765623.773351974</v>
      </c>
      <c r="M161" s="475" t="n">
        <v>36859</v>
      </c>
      <c r="N161" s="0" t="s">
        <v>136</v>
      </c>
      <c r="O161" s="0" t="n">
        <v>1.15</v>
      </c>
      <c r="P161" s="0" t="n">
        <v>0</v>
      </c>
      <c r="Q161" s="0" t="n">
        <v>0</v>
      </c>
      <c r="R161" s="0" t="n">
        <v>0</v>
      </c>
      <c r="S161" s="0" t="n">
        <v>0</v>
      </c>
      <c r="T161" s="0" t="s">
        <v>624</v>
      </c>
      <c r="U161" s="0" t="s">
        <v>149</v>
      </c>
      <c r="V161" s="0" t="s">
        <v>624</v>
      </c>
      <c r="W161" s="0" t="s">
        <v>569</v>
      </c>
      <c r="X161" s="0" t="s">
        <v>624</v>
      </c>
      <c r="Y161" s="0" t="s">
        <v>627</v>
      </c>
      <c r="Z161" s="0" t="s">
        <v>629</v>
      </c>
      <c r="AA161" s="0" t="s">
        <v>624</v>
      </c>
      <c r="AB161" s="0" t="s">
        <v>580</v>
      </c>
      <c r="AC161" s="254" t="n">
        <v>-1000000</v>
      </c>
      <c r="AD161" s="254" t="n">
        <v>-66931.729159707</v>
      </c>
      <c r="AE161" s="0" t="n">
        <v>0</v>
      </c>
      <c r="AF161" s="0" t="n">
        <v>0</v>
      </c>
      <c r="AG161" s="0" t="n">
        <v>0</v>
      </c>
      <c r="AH161" s="254" t="n">
        <v>-33706.730995018</v>
      </c>
      <c r="AI161" s="0" t="n">
        <v>226</v>
      </c>
      <c r="AJ161" s="0" t="s">
        <v>630</v>
      </c>
      <c r="AK161" s="0" t="n">
        <v>0</v>
      </c>
      <c r="AL161" s="0" t="n">
        <v>0</v>
      </c>
      <c r="AM161" s="0" t="n">
        <v>0</v>
      </c>
    </row>
    <row r="162" customFormat="false" ht="12.75" hidden="false" customHeight="false" outlineLevel="0" collapsed="false">
      <c r="A162" s="0" t="s">
        <v>631</v>
      </c>
      <c r="B162" s="0" t="s">
        <v>254</v>
      </c>
      <c r="C162" s="0" t="s">
        <v>622</v>
      </c>
      <c r="D162" s="0" t="s">
        <v>623</v>
      </c>
      <c r="E162" s="0" t="s">
        <v>131</v>
      </c>
      <c r="F162" s="0" t="s">
        <v>198</v>
      </c>
      <c r="G162" s="0" t="s">
        <v>628</v>
      </c>
      <c r="H162" s="0" t="s">
        <v>625</v>
      </c>
      <c r="I162" s="0" t="s">
        <v>626</v>
      </c>
      <c r="J162" s="0" t="s">
        <v>627</v>
      </c>
      <c r="K162" s="475" t="n">
        <v>36831</v>
      </c>
      <c r="L162" s="254" t="n">
        <v>-127130.201454886</v>
      </c>
      <c r="M162" s="475" t="n">
        <v>36829</v>
      </c>
      <c r="N162" s="0" t="s">
        <v>136</v>
      </c>
      <c r="O162" s="0" t="n">
        <v>1.15</v>
      </c>
      <c r="P162" s="0" t="n">
        <v>0</v>
      </c>
      <c r="Q162" s="0" t="n">
        <v>0</v>
      </c>
      <c r="R162" s="0" t="n">
        <v>0</v>
      </c>
      <c r="S162" s="0" t="n">
        <v>0</v>
      </c>
      <c r="T162" s="0" t="s">
        <v>624</v>
      </c>
      <c r="U162" s="0" t="s">
        <v>149</v>
      </c>
      <c r="V162" s="0" t="s">
        <v>624</v>
      </c>
      <c r="W162" s="0" t="s">
        <v>569</v>
      </c>
      <c r="X162" s="0" t="s">
        <v>624</v>
      </c>
      <c r="Y162" s="0" t="s">
        <v>627</v>
      </c>
      <c r="Z162" s="0" t="s">
        <v>629</v>
      </c>
      <c r="AA162" s="0" t="s">
        <v>624</v>
      </c>
      <c r="AB162" s="0" t="s">
        <v>580</v>
      </c>
      <c r="AC162" s="254" t="n">
        <v>-1000000</v>
      </c>
      <c r="AD162" s="254" t="n">
        <v>-37738.691429573</v>
      </c>
      <c r="AE162" s="0" t="n">
        <v>0</v>
      </c>
      <c r="AF162" s="0" t="n">
        <v>0</v>
      </c>
      <c r="AG162" s="0" t="n">
        <v>0</v>
      </c>
      <c r="AH162" s="254" t="n">
        <v>-14155.9068374242</v>
      </c>
      <c r="AI162" s="0" t="n">
        <v>226</v>
      </c>
      <c r="AJ162" s="0" t="s">
        <v>630</v>
      </c>
      <c r="AK162" s="0" t="n">
        <v>0</v>
      </c>
      <c r="AL162" s="0" t="n">
        <v>0</v>
      </c>
      <c r="AM162" s="0" t="n">
        <v>0</v>
      </c>
    </row>
    <row r="163" customFormat="false" ht="12.75" hidden="false" customHeight="false" outlineLevel="0" collapsed="false">
      <c r="A163" s="0" t="s">
        <v>631</v>
      </c>
      <c r="B163" s="0" t="s">
        <v>256</v>
      </c>
      <c r="C163" s="0" t="s">
        <v>622</v>
      </c>
      <c r="D163" s="0" t="s">
        <v>623</v>
      </c>
      <c r="E163" s="0" t="s">
        <v>131</v>
      </c>
      <c r="F163" s="0" t="s">
        <v>255</v>
      </c>
      <c r="G163" s="0" t="s">
        <v>628</v>
      </c>
      <c r="H163" s="0" t="s">
        <v>625</v>
      </c>
      <c r="I163" s="0" t="s">
        <v>626</v>
      </c>
      <c r="J163" s="0" t="s">
        <v>627</v>
      </c>
      <c r="K163" s="475" t="n">
        <v>36800</v>
      </c>
      <c r="L163" s="254" t="n">
        <v>-105361.73399091</v>
      </c>
      <c r="M163" s="475" t="n">
        <v>36797</v>
      </c>
      <c r="N163" s="0" t="s">
        <v>136</v>
      </c>
      <c r="O163" s="0" t="n">
        <v>0.32</v>
      </c>
      <c r="P163" s="0" t="n">
        <v>0</v>
      </c>
      <c r="Q163" s="0" t="n">
        <v>0</v>
      </c>
      <c r="R163" s="0" t="n">
        <v>0</v>
      </c>
      <c r="S163" s="0" t="n">
        <v>0</v>
      </c>
      <c r="T163" s="0" t="s">
        <v>624</v>
      </c>
      <c r="U163" s="0" t="s">
        <v>149</v>
      </c>
      <c r="V163" s="0" t="s">
        <v>624</v>
      </c>
      <c r="W163" s="0" t="s">
        <v>569</v>
      </c>
      <c r="X163" s="0" t="s">
        <v>624</v>
      </c>
      <c r="Y163" s="0" t="s">
        <v>627</v>
      </c>
      <c r="Z163" s="0" t="s">
        <v>629</v>
      </c>
      <c r="AA163" s="0" t="s">
        <v>624</v>
      </c>
      <c r="AB163" s="0" t="s">
        <v>580</v>
      </c>
      <c r="AC163" s="254" t="n">
        <v>-1000000</v>
      </c>
      <c r="AD163" s="254" t="n">
        <v>-4689.37628978479</v>
      </c>
      <c r="AE163" s="0" t="n">
        <v>0</v>
      </c>
      <c r="AF163" s="0" t="n">
        <v>0</v>
      </c>
      <c r="AG163" s="0" t="n">
        <v>0</v>
      </c>
      <c r="AH163" s="254" t="n">
        <v>-270.065569860759</v>
      </c>
      <c r="AI163" s="0" t="n">
        <v>226</v>
      </c>
      <c r="AJ163" s="0" t="s">
        <v>630</v>
      </c>
      <c r="AK163" s="0" t="n">
        <v>0</v>
      </c>
      <c r="AL163" s="0" t="n">
        <v>0</v>
      </c>
      <c r="AM163" s="0" t="n">
        <v>0</v>
      </c>
    </row>
    <row r="164" customFormat="false" ht="12.75" hidden="false" customHeight="false" outlineLevel="0" collapsed="false">
      <c r="A164" s="0" t="s">
        <v>631</v>
      </c>
      <c r="B164" s="0" t="s">
        <v>256</v>
      </c>
      <c r="C164" s="0" t="s">
        <v>622</v>
      </c>
      <c r="D164" s="0" t="s">
        <v>623</v>
      </c>
      <c r="E164" s="0" t="s">
        <v>131</v>
      </c>
      <c r="F164" s="0" t="s">
        <v>255</v>
      </c>
      <c r="G164" s="0" t="s">
        <v>628</v>
      </c>
      <c r="H164" s="0" t="s">
        <v>625</v>
      </c>
      <c r="I164" s="0" t="s">
        <v>626</v>
      </c>
      <c r="J164" s="0" t="s">
        <v>627</v>
      </c>
      <c r="K164" s="475" t="n">
        <v>36770</v>
      </c>
      <c r="L164" s="254" t="n">
        <v>-5163.85491293323</v>
      </c>
      <c r="M164" s="475" t="n">
        <v>36768</v>
      </c>
      <c r="N164" s="0" t="s">
        <v>136</v>
      </c>
      <c r="O164" s="0" t="n">
        <v>0.32</v>
      </c>
      <c r="P164" s="0" t="n">
        <v>0</v>
      </c>
      <c r="Q164" s="0" t="n">
        <v>0</v>
      </c>
      <c r="R164" s="0" t="n">
        <v>0</v>
      </c>
      <c r="S164" s="0" t="n">
        <v>0</v>
      </c>
      <c r="T164" s="0" t="s">
        <v>624</v>
      </c>
      <c r="U164" s="0" t="s">
        <v>149</v>
      </c>
      <c r="V164" s="0" t="s">
        <v>624</v>
      </c>
      <c r="W164" s="0" t="s">
        <v>569</v>
      </c>
      <c r="X164" s="0" t="s">
        <v>624</v>
      </c>
      <c r="Y164" s="0" t="s">
        <v>627</v>
      </c>
      <c r="Z164" s="0" t="s">
        <v>629</v>
      </c>
      <c r="AA164" s="0" t="s">
        <v>624</v>
      </c>
      <c r="AB164" s="0" t="s">
        <v>580</v>
      </c>
      <c r="AC164" s="254" t="n">
        <v>-1000000</v>
      </c>
      <c r="AD164" s="254" t="n">
        <v>-1214.27947800339</v>
      </c>
      <c r="AE164" s="0" t="n">
        <v>0</v>
      </c>
      <c r="AF164" s="0" t="n">
        <v>0</v>
      </c>
      <c r="AG164" s="0" t="n">
        <v>0</v>
      </c>
      <c r="AH164" s="254" t="n">
        <v>-145.921691534879</v>
      </c>
      <c r="AI164" s="0" t="n">
        <v>226</v>
      </c>
      <c r="AJ164" s="0" t="s">
        <v>630</v>
      </c>
      <c r="AK164" s="0" t="n">
        <v>0</v>
      </c>
      <c r="AL164" s="0" t="n">
        <v>0</v>
      </c>
      <c r="AM164" s="0" t="n">
        <v>0</v>
      </c>
    </row>
    <row r="165" customFormat="false" ht="12.75" hidden="false" customHeight="false" outlineLevel="0" collapsed="false">
      <c r="A165" s="0" t="s">
        <v>631</v>
      </c>
      <c r="B165" s="0" t="s">
        <v>257</v>
      </c>
      <c r="C165" s="0" t="s">
        <v>622</v>
      </c>
      <c r="D165" s="0" t="s">
        <v>623</v>
      </c>
      <c r="E165" s="0" t="s">
        <v>131</v>
      </c>
      <c r="F165" s="0" t="s">
        <v>255</v>
      </c>
      <c r="G165" s="0" t="s">
        <v>628</v>
      </c>
      <c r="H165" s="0" t="s">
        <v>625</v>
      </c>
      <c r="I165" s="0" t="s">
        <v>626</v>
      </c>
      <c r="J165" s="0" t="s">
        <v>627</v>
      </c>
      <c r="K165" s="475" t="n">
        <v>36800</v>
      </c>
      <c r="L165" s="254" t="n">
        <v>-10908.8440104859</v>
      </c>
      <c r="M165" s="475" t="n">
        <v>36797</v>
      </c>
      <c r="N165" s="0" t="s">
        <v>132</v>
      </c>
      <c r="O165" s="0" t="n">
        <v>0.32</v>
      </c>
      <c r="P165" s="0" t="n">
        <v>0</v>
      </c>
      <c r="Q165" s="0" t="n">
        <v>0</v>
      </c>
      <c r="R165" s="0" t="n">
        <v>0</v>
      </c>
      <c r="S165" s="0" t="n">
        <v>0</v>
      </c>
      <c r="T165" s="0" t="s">
        <v>624</v>
      </c>
      <c r="U165" s="0" t="s">
        <v>149</v>
      </c>
      <c r="V165" s="0" t="s">
        <v>624</v>
      </c>
      <c r="W165" s="0" t="s">
        <v>569</v>
      </c>
      <c r="X165" s="0" t="s">
        <v>624</v>
      </c>
      <c r="Y165" s="0" t="s">
        <v>627</v>
      </c>
      <c r="Z165" s="0" t="s">
        <v>629</v>
      </c>
      <c r="AA165" s="0" t="s">
        <v>624</v>
      </c>
      <c r="AB165" s="0" t="s">
        <v>580</v>
      </c>
      <c r="AC165" s="254" t="n">
        <v>-1000000</v>
      </c>
      <c r="AD165" s="254" t="n">
        <v>-4689.37628978482</v>
      </c>
      <c r="AE165" s="0" t="n">
        <v>0</v>
      </c>
      <c r="AF165" s="0" t="n">
        <v>0</v>
      </c>
      <c r="AG165" s="0" t="n">
        <v>0</v>
      </c>
      <c r="AH165" s="254" t="n">
        <v>-270.065569861088</v>
      </c>
      <c r="AI165" s="0" t="n">
        <v>226</v>
      </c>
      <c r="AJ165" s="0" t="s">
        <v>630</v>
      </c>
      <c r="AK165" s="0" t="n">
        <v>0</v>
      </c>
      <c r="AL165" s="0" t="n">
        <v>0</v>
      </c>
      <c r="AM165" s="0" t="n">
        <v>0</v>
      </c>
    </row>
    <row r="166" customFormat="false" ht="12.75" hidden="false" customHeight="false" outlineLevel="0" collapsed="false">
      <c r="A166" s="0" t="s">
        <v>631</v>
      </c>
      <c r="B166" s="0" t="s">
        <v>257</v>
      </c>
      <c r="C166" s="0" t="s">
        <v>622</v>
      </c>
      <c r="D166" s="0" t="s">
        <v>623</v>
      </c>
      <c r="E166" s="0" t="s">
        <v>131</v>
      </c>
      <c r="F166" s="0" t="s">
        <v>255</v>
      </c>
      <c r="G166" s="0" t="s">
        <v>628</v>
      </c>
      <c r="H166" s="0" t="s">
        <v>625</v>
      </c>
      <c r="I166" s="0" t="s">
        <v>626</v>
      </c>
      <c r="J166" s="0" t="s">
        <v>627</v>
      </c>
      <c r="K166" s="475" t="n">
        <v>36770</v>
      </c>
      <c r="L166" s="254" t="n">
        <v>-10162.0149723969</v>
      </c>
      <c r="M166" s="475" t="n">
        <v>36768</v>
      </c>
      <c r="N166" s="0" t="s">
        <v>132</v>
      </c>
      <c r="O166" s="0" t="n">
        <v>0.32</v>
      </c>
      <c r="P166" s="0" t="n">
        <v>0</v>
      </c>
      <c r="Q166" s="0" t="n">
        <v>0</v>
      </c>
      <c r="R166" s="0" t="n">
        <v>0</v>
      </c>
      <c r="S166" s="0" t="n">
        <v>0</v>
      </c>
      <c r="T166" s="0" t="s">
        <v>624</v>
      </c>
      <c r="U166" s="0" t="s">
        <v>149</v>
      </c>
      <c r="V166" s="0" t="s">
        <v>624</v>
      </c>
      <c r="W166" s="0" t="s">
        <v>569</v>
      </c>
      <c r="X166" s="0" t="s">
        <v>624</v>
      </c>
      <c r="Y166" s="0" t="s">
        <v>627</v>
      </c>
      <c r="Z166" s="0" t="s">
        <v>629</v>
      </c>
      <c r="AA166" s="0" t="s">
        <v>624</v>
      </c>
      <c r="AB166" s="0" t="s">
        <v>580</v>
      </c>
      <c r="AC166" s="254" t="n">
        <v>-1000000</v>
      </c>
      <c r="AD166" s="254" t="n">
        <v>-1214.27947800327</v>
      </c>
      <c r="AE166" s="0" t="n">
        <v>0</v>
      </c>
      <c r="AF166" s="0" t="n">
        <v>0</v>
      </c>
      <c r="AG166" s="0" t="n">
        <v>0</v>
      </c>
      <c r="AH166" s="254" t="n">
        <v>-145.921691535379</v>
      </c>
      <c r="AI166" s="0" t="n">
        <v>226</v>
      </c>
      <c r="AJ166" s="0" t="s">
        <v>630</v>
      </c>
      <c r="AK166" s="0" t="n">
        <v>0</v>
      </c>
      <c r="AL166" s="0" t="n">
        <v>0</v>
      </c>
      <c r="AM166" s="0" t="n">
        <v>0</v>
      </c>
    </row>
    <row r="167" customFormat="false" ht="12.75" hidden="false" customHeight="false" outlineLevel="0" collapsed="false">
      <c r="A167" s="0" t="s">
        <v>631</v>
      </c>
      <c r="B167" s="0" t="s">
        <v>259</v>
      </c>
      <c r="C167" s="0" t="s">
        <v>622</v>
      </c>
      <c r="D167" s="0" t="s">
        <v>623</v>
      </c>
      <c r="E167" s="0" t="s">
        <v>131</v>
      </c>
      <c r="F167" s="0" t="s">
        <v>258</v>
      </c>
      <c r="G167" s="0" t="s">
        <v>628</v>
      </c>
      <c r="H167" s="0" t="s">
        <v>625</v>
      </c>
      <c r="I167" s="0" t="s">
        <v>626</v>
      </c>
      <c r="J167" s="0" t="s">
        <v>627</v>
      </c>
      <c r="K167" s="475" t="n">
        <v>36800</v>
      </c>
      <c r="L167" s="254" t="n">
        <v>218512.978926114</v>
      </c>
      <c r="M167" s="475" t="n">
        <v>36797</v>
      </c>
      <c r="N167" s="0" t="s">
        <v>132</v>
      </c>
      <c r="O167" s="0" t="n">
        <v>-0.4</v>
      </c>
      <c r="P167" s="0" t="n">
        <v>0</v>
      </c>
      <c r="Q167" s="0" t="n">
        <v>0</v>
      </c>
      <c r="R167" s="0" t="n">
        <v>0</v>
      </c>
      <c r="S167" s="0" t="n">
        <v>0</v>
      </c>
      <c r="T167" s="0" t="s">
        <v>624</v>
      </c>
      <c r="U167" s="0" t="s">
        <v>151</v>
      </c>
      <c r="V167" s="0" t="s">
        <v>624</v>
      </c>
      <c r="W167" s="0" t="s">
        <v>569</v>
      </c>
      <c r="X167" s="0" t="s">
        <v>624</v>
      </c>
      <c r="Y167" s="0" t="s">
        <v>627</v>
      </c>
      <c r="Z167" s="0" t="s">
        <v>629</v>
      </c>
      <c r="AA167" s="0" t="s">
        <v>624</v>
      </c>
      <c r="AB167" s="0" t="s">
        <v>580</v>
      </c>
      <c r="AC167" s="254" t="n">
        <v>500000</v>
      </c>
      <c r="AD167" s="254" t="n">
        <v>11150.9575520093</v>
      </c>
      <c r="AE167" s="0" t="n">
        <v>0</v>
      </c>
      <c r="AF167" s="0" t="n">
        <v>0</v>
      </c>
      <c r="AG167" s="0" t="n">
        <v>0</v>
      </c>
      <c r="AH167" s="254" t="n">
        <v>26590.7903027635</v>
      </c>
      <c r="AI167" s="0" t="n">
        <v>226</v>
      </c>
      <c r="AJ167" s="0" t="s">
        <v>630</v>
      </c>
      <c r="AK167" s="0" t="n">
        <v>0</v>
      </c>
      <c r="AL167" s="0" t="n">
        <v>0</v>
      </c>
      <c r="AM167" s="0" t="n">
        <v>0</v>
      </c>
    </row>
    <row r="168" customFormat="false" ht="12.75" hidden="false" customHeight="false" outlineLevel="0" collapsed="false">
      <c r="A168" s="0" t="s">
        <v>631</v>
      </c>
      <c r="B168" s="0" t="s">
        <v>259</v>
      </c>
      <c r="C168" s="0" t="s">
        <v>622</v>
      </c>
      <c r="D168" s="0" t="s">
        <v>623</v>
      </c>
      <c r="E168" s="0" t="s">
        <v>131</v>
      </c>
      <c r="F168" s="0" t="s">
        <v>258</v>
      </c>
      <c r="G168" s="0" t="s">
        <v>628</v>
      </c>
      <c r="H168" s="0" t="s">
        <v>625</v>
      </c>
      <c r="I168" s="0" t="s">
        <v>626</v>
      </c>
      <c r="J168" s="0" t="s">
        <v>627</v>
      </c>
      <c r="K168" s="475" t="n">
        <v>36770</v>
      </c>
      <c r="L168" s="254" t="n">
        <v>419845.500040697</v>
      </c>
      <c r="M168" s="475" t="n">
        <v>36768</v>
      </c>
      <c r="N168" s="0" t="s">
        <v>132</v>
      </c>
      <c r="O168" s="0" t="n">
        <v>-0.4</v>
      </c>
      <c r="P168" s="0" t="n">
        <v>0</v>
      </c>
      <c r="Q168" s="0" t="n">
        <v>0</v>
      </c>
      <c r="R168" s="0" t="n">
        <v>0</v>
      </c>
      <c r="S168" s="0" t="n">
        <v>0</v>
      </c>
      <c r="T168" s="0" t="s">
        <v>624</v>
      </c>
      <c r="U168" s="0" t="s">
        <v>151</v>
      </c>
      <c r="V168" s="0" t="s">
        <v>624</v>
      </c>
      <c r="W168" s="0" t="s">
        <v>569</v>
      </c>
      <c r="X168" s="0" t="s">
        <v>624</v>
      </c>
      <c r="Y168" s="0" t="s">
        <v>627</v>
      </c>
      <c r="Z168" s="0" t="s">
        <v>629</v>
      </c>
      <c r="AA168" s="0" t="s">
        <v>624</v>
      </c>
      <c r="AB168" s="0" t="s">
        <v>580</v>
      </c>
      <c r="AC168" s="254" t="n">
        <v>500000</v>
      </c>
      <c r="AD168" s="254" t="n">
        <v>-0.0192892741179094</v>
      </c>
      <c r="AE168" s="0" t="n">
        <v>0</v>
      </c>
      <c r="AF168" s="0" t="n">
        <v>0</v>
      </c>
      <c r="AG168" s="0" t="n">
        <v>0</v>
      </c>
      <c r="AH168" s="254" t="n">
        <v>29972.4327588226</v>
      </c>
      <c r="AI168" s="0" t="n">
        <v>226</v>
      </c>
      <c r="AJ168" s="0" t="s">
        <v>630</v>
      </c>
      <c r="AK168" s="0" t="n">
        <v>0</v>
      </c>
      <c r="AL168" s="0" t="n">
        <v>0</v>
      </c>
      <c r="AM168" s="0" t="n">
        <v>0</v>
      </c>
    </row>
    <row r="169" customFormat="false" ht="12.75" hidden="false" customHeight="false" outlineLevel="0" collapsed="false">
      <c r="A169" s="0" t="s">
        <v>631</v>
      </c>
      <c r="B169" s="0" t="s">
        <v>260</v>
      </c>
      <c r="C169" s="0" t="s">
        <v>622</v>
      </c>
      <c r="D169" s="0" t="s">
        <v>623</v>
      </c>
      <c r="E169" s="0" t="s">
        <v>131</v>
      </c>
      <c r="F169" s="0" t="s">
        <v>255</v>
      </c>
      <c r="G169" s="0" t="s">
        <v>628</v>
      </c>
      <c r="H169" s="0" t="s">
        <v>625</v>
      </c>
      <c r="I169" s="0" t="s">
        <v>626</v>
      </c>
      <c r="J169" s="0" t="s">
        <v>627</v>
      </c>
      <c r="K169" s="475" t="n">
        <v>36800</v>
      </c>
      <c r="L169" s="254" t="n">
        <v>-939571.331957599</v>
      </c>
      <c r="M169" s="475" t="n">
        <v>36797</v>
      </c>
      <c r="N169" s="0" t="s">
        <v>136</v>
      </c>
      <c r="O169" s="0" t="n">
        <v>0.1</v>
      </c>
      <c r="P169" s="0" t="n">
        <v>0</v>
      </c>
      <c r="Q169" s="0" t="n">
        <v>0</v>
      </c>
      <c r="R169" s="0" t="n">
        <v>0</v>
      </c>
      <c r="S169" s="0" t="n">
        <v>0</v>
      </c>
      <c r="T169" s="0" t="s">
        <v>624</v>
      </c>
      <c r="U169" s="0" t="s">
        <v>137</v>
      </c>
      <c r="V169" s="0" t="s">
        <v>624</v>
      </c>
      <c r="W169" s="0" t="s">
        <v>569</v>
      </c>
      <c r="X169" s="0" t="s">
        <v>624</v>
      </c>
      <c r="Y169" s="0" t="s">
        <v>627</v>
      </c>
      <c r="Z169" s="0" t="s">
        <v>629</v>
      </c>
      <c r="AA169" s="0" t="s">
        <v>624</v>
      </c>
      <c r="AB169" s="0" t="s">
        <v>580</v>
      </c>
      <c r="AC169" s="254" t="n">
        <v>-500000</v>
      </c>
      <c r="AD169" s="254" t="n">
        <v>-36.8795845604036</v>
      </c>
      <c r="AE169" s="0" t="n">
        <v>0</v>
      </c>
      <c r="AF169" s="0" t="n">
        <v>0</v>
      </c>
      <c r="AG169" s="0" t="n">
        <v>0</v>
      </c>
      <c r="AH169" s="254" t="n">
        <v>19867.9628120266</v>
      </c>
      <c r="AI169" s="0" t="n">
        <v>226</v>
      </c>
      <c r="AJ169" s="0" t="s">
        <v>630</v>
      </c>
      <c r="AK169" s="0" t="n">
        <v>0</v>
      </c>
      <c r="AL169" s="0" t="n">
        <v>0</v>
      </c>
      <c r="AM169" s="0" t="n">
        <v>0</v>
      </c>
    </row>
    <row r="170" customFormat="false" ht="12.75" hidden="false" customHeight="false" outlineLevel="0" collapsed="false">
      <c r="A170" s="0" t="s">
        <v>631</v>
      </c>
      <c r="B170" s="0" t="s">
        <v>260</v>
      </c>
      <c r="C170" s="0" t="s">
        <v>622</v>
      </c>
      <c r="D170" s="0" t="s">
        <v>623</v>
      </c>
      <c r="E170" s="0" t="s">
        <v>131</v>
      </c>
      <c r="F170" s="0" t="s">
        <v>255</v>
      </c>
      <c r="G170" s="0" t="s">
        <v>628</v>
      </c>
      <c r="H170" s="0" t="s">
        <v>625</v>
      </c>
      <c r="I170" s="0" t="s">
        <v>626</v>
      </c>
      <c r="J170" s="0" t="s">
        <v>627</v>
      </c>
      <c r="K170" s="475" t="n">
        <v>36770</v>
      </c>
      <c r="L170" s="254" t="n">
        <v>-1199558.57157534</v>
      </c>
      <c r="M170" s="475" t="n">
        <v>36768</v>
      </c>
      <c r="N170" s="0" t="s">
        <v>136</v>
      </c>
      <c r="O170" s="0" t="n">
        <v>0.1</v>
      </c>
      <c r="P170" s="0" t="n">
        <v>0</v>
      </c>
      <c r="Q170" s="0" t="n">
        <v>0</v>
      </c>
      <c r="R170" s="0" t="n">
        <v>0</v>
      </c>
      <c r="S170" s="0" t="n">
        <v>0</v>
      </c>
      <c r="T170" s="0" t="s">
        <v>624</v>
      </c>
      <c r="U170" s="0" t="s">
        <v>137</v>
      </c>
      <c r="V170" s="0" t="s">
        <v>624</v>
      </c>
      <c r="W170" s="0" t="s">
        <v>569</v>
      </c>
      <c r="X170" s="0" t="s">
        <v>624</v>
      </c>
      <c r="Y170" s="0" t="s">
        <v>627</v>
      </c>
      <c r="Z170" s="0" t="s">
        <v>629</v>
      </c>
      <c r="AA170" s="0" t="s">
        <v>624</v>
      </c>
      <c r="AB170" s="0" t="s">
        <v>580</v>
      </c>
      <c r="AC170" s="254" t="n">
        <v>-500000</v>
      </c>
      <c r="AD170" s="254" t="n">
        <v>0.0199514288688079</v>
      </c>
      <c r="AE170" s="0" t="n">
        <v>0</v>
      </c>
      <c r="AF170" s="0" t="n">
        <v>0</v>
      </c>
      <c r="AG170" s="0" t="n">
        <v>0</v>
      </c>
      <c r="AH170" s="254" t="n">
        <v>-132378.245234915</v>
      </c>
      <c r="AI170" s="0" t="n">
        <v>226</v>
      </c>
      <c r="AJ170" s="0" t="s">
        <v>630</v>
      </c>
      <c r="AK170" s="0" t="n">
        <v>0</v>
      </c>
      <c r="AL170" s="0" t="n">
        <v>0</v>
      </c>
      <c r="AM170" s="0" t="n">
        <v>0</v>
      </c>
    </row>
    <row r="171" customFormat="false" ht="12.75" hidden="false" customHeight="false" outlineLevel="0" collapsed="false">
      <c r="A171" s="0" t="s">
        <v>631</v>
      </c>
      <c r="B171" s="0" t="s">
        <v>261</v>
      </c>
      <c r="C171" s="0" t="s">
        <v>622</v>
      </c>
      <c r="D171" s="0" t="s">
        <v>623</v>
      </c>
      <c r="E171" s="0" t="s">
        <v>131</v>
      </c>
      <c r="F171" s="0" t="s">
        <v>244</v>
      </c>
      <c r="G171" s="0" t="s">
        <v>628</v>
      </c>
      <c r="H171" s="0" t="s">
        <v>625</v>
      </c>
      <c r="I171" s="0" t="s">
        <v>626</v>
      </c>
      <c r="J171" s="0" t="s">
        <v>627</v>
      </c>
      <c r="K171" s="475" t="n">
        <v>36951</v>
      </c>
      <c r="L171" s="254" t="n">
        <v>147764.154077064</v>
      </c>
      <c r="M171" s="475" t="n">
        <v>36949</v>
      </c>
      <c r="N171" s="0" t="s">
        <v>136</v>
      </c>
      <c r="O171" s="0" t="n">
        <v>1.15</v>
      </c>
      <c r="P171" s="0" t="n">
        <v>0</v>
      </c>
      <c r="Q171" s="0" t="n">
        <v>0</v>
      </c>
      <c r="R171" s="0" t="n">
        <v>0</v>
      </c>
      <c r="S171" s="0" t="n">
        <v>0</v>
      </c>
      <c r="T171" s="0" t="s">
        <v>624</v>
      </c>
      <c r="U171" s="0" t="s">
        <v>149</v>
      </c>
      <c r="V171" s="0" t="s">
        <v>624</v>
      </c>
      <c r="W171" s="0" t="s">
        <v>569</v>
      </c>
      <c r="X171" s="0" t="s">
        <v>624</v>
      </c>
      <c r="Y171" s="0" t="s">
        <v>627</v>
      </c>
      <c r="Z171" s="0" t="s">
        <v>629</v>
      </c>
      <c r="AA171" s="0" t="s">
        <v>624</v>
      </c>
      <c r="AB171" s="0" t="s">
        <v>580</v>
      </c>
      <c r="AC171" s="254" t="n">
        <v>310000</v>
      </c>
      <c r="AD171" s="254" t="n">
        <v>27352.5046937217</v>
      </c>
      <c r="AE171" s="0" t="n">
        <v>0</v>
      </c>
      <c r="AF171" s="0" t="n">
        <v>0</v>
      </c>
      <c r="AG171" s="0" t="n">
        <v>0</v>
      </c>
      <c r="AH171" s="254" t="n">
        <v>10722.7413422063</v>
      </c>
      <c r="AI171" s="0" t="n">
        <v>226</v>
      </c>
      <c r="AJ171" s="0" t="s">
        <v>630</v>
      </c>
      <c r="AK171" s="0" t="n">
        <v>0</v>
      </c>
      <c r="AL171" s="0" t="n">
        <v>0</v>
      </c>
      <c r="AM171" s="0" t="n">
        <v>0</v>
      </c>
    </row>
    <row r="172" customFormat="false" ht="12.75" hidden="false" customHeight="false" outlineLevel="0" collapsed="false">
      <c r="A172" s="0" t="s">
        <v>631</v>
      </c>
      <c r="B172" s="0" t="s">
        <v>261</v>
      </c>
      <c r="C172" s="0" t="s">
        <v>622</v>
      </c>
      <c r="D172" s="0" t="s">
        <v>623</v>
      </c>
      <c r="E172" s="0" t="s">
        <v>131</v>
      </c>
      <c r="F172" s="0" t="s">
        <v>244</v>
      </c>
      <c r="G172" s="0" t="s">
        <v>628</v>
      </c>
      <c r="H172" s="0" t="s">
        <v>625</v>
      </c>
      <c r="I172" s="0" t="s">
        <v>626</v>
      </c>
      <c r="J172" s="0" t="s">
        <v>627</v>
      </c>
      <c r="K172" s="475" t="n">
        <v>36923</v>
      </c>
      <c r="L172" s="254" t="n">
        <v>326243.496715869</v>
      </c>
      <c r="M172" s="475" t="n">
        <v>36921</v>
      </c>
      <c r="N172" s="0" t="s">
        <v>136</v>
      </c>
      <c r="O172" s="0" t="n">
        <v>1.15</v>
      </c>
      <c r="P172" s="0" t="n">
        <v>0</v>
      </c>
      <c r="Q172" s="0" t="n">
        <v>0</v>
      </c>
      <c r="R172" s="0" t="n">
        <v>0</v>
      </c>
      <c r="S172" s="0" t="n">
        <v>0</v>
      </c>
      <c r="T172" s="0" t="s">
        <v>624</v>
      </c>
      <c r="U172" s="0" t="s">
        <v>149</v>
      </c>
      <c r="V172" s="0" t="s">
        <v>624</v>
      </c>
      <c r="W172" s="0" t="s">
        <v>569</v>
      </c>
      <c r="X172" s="0" t="s">
        <v>624</v>
      </c>
      <c r="Y172" s="0" t="s">
        <v>627</v>
      </c>
      <c r="Z172" s="0" t="s">
        <v>629</v>
      </c>
      <c r="AA172" s="0" t="s">
        <v>624</v>
      </c>
      <c r="AB172" s="0" t="s">
        <v>580</v>
      </c>
      <c r="AC172" s="254" t="n">
        <v>280000</v>
      </c>
      <c r="AD172" s="254" t="n">
        <v>21052.9755217636</v>
      </c>
      <c r="AE172" s="0" t="n">
        <v>0</v>
      </c>
      <c r="AF172" s="0" t="n">
        <v>0</v>
      </c>
      <c r="AG172" s="0" t="n">
        <v>0</v>
      </c>
      <c r="AH172" s="254" t="n">
        <v>15536.8357306557</v>
      </c>
      <c r="AI172" s="0" t="n">
        <v>226</v>
      </c>
      <c r="AJ172" s="0" t="s">
        <v>630</v>
      </c>
      <c r="AK172" s="0" t="n">
        <v>0</v>
      </c>
      <c r="AL172" s="0" t="n">
        <v>0</v>
      </c>
      <c r="AM172" s="0" t="n">
        <v>0</v>
      </c>
    </row>
    <row r="173" customFormat="false" ht="12.75" hidden="false" customHeight="false" outlineLevel="0" collapsed="false">
      <c r="A173" s="0" t="s">
        <v>631</v>
      </c>
      <c r="B173" s="0" t="s">
        <v>261</v>
      </c>
      <c r="C173" s="0" t="s">
        <v>622</v>
      </c>
      <c r="D173" s="0" t="s">
        <v>623</v>
      </c>
      <c r="E173" s="0" t="s">
        <v>131</v>
      </c>
      <c r="F173" s="0" t="s">
        <v>244</v>
      </c>
      <c r="G173" s="0" t="s">
        <v>628</v>
      </c>
      <c r="H173" s="0" t="s">
        <v>625</v>
      </c>
      <c r="I173" s="0" t="s">
        <v>626</v>
      </c>
      <c r="J173" s="0" t="s">
        <v>627</v>
      </c>
      <c r="K173" s="475" t="n">
        <v>36892</v>
      </c>
      <c r="L173" s="254" t="n">
        <v>373687.958670547</v>
      </c>
      <c r="M173" s="475" t="n">
        <v>36888</v>
      </c>
      <c r="N173" s="0" t="s">
        <v>136</v>
      </c>
      <c r="O173" s="0" t="n">
        <v>1.15</v>
      </c>
      <c r="P173" s="0" t="n">
        <v>0</v>
      </c>
      <c r="Q173" s="0" t="n">
        <v>0</v>
      </c>
      <c r="R173" s="0" t="n">
        <v>0</v>
      </c>
      <c r="S173" s="0" t="n">
        <v>0</v>
      </c>
      <c r="T173" s="0" t="s">
        <v>624</v>
      </c>
      <c r="U173" s="0" t="s">
        <v>149</v>
      </c>
      <c r="V173" s="0" t="s">
        <v>624</v>
      </c>
      <c r="W173" s="0" t="s">
        <v>569</v>
      </c>
      <c r="X173" s="0" t="s">
        <v>624</v>
      </c>
      <c r="Y173" s="0" t="s">
        <v>627</v>
      </c>
      <c r="Z173" s="0" t="s">
        <v>629</v>
      </c>
      <c r="AA173" s="0" t="s">
        <v>624</v>
      </c>
      <c r="AB173" s="0" t="s">
        <v>580</v>
      </c>
      <c r="AC173" s="254" t="n">
        <v>310000</v>
      </c>
      <c r="AD173" s="254" t="n">
        <v>20210.1585063781</v>
      </c>
      <c r="AE173" s="0" t="n">
        <v>0</v>
      </c>
      <c r="AF173" s="0" t="n">
        <v>0</v>
      </c>
      <c r="AG173" s="0" t="n">
        <v>0</v>
      </c>
      <c r="AH173" s="254" t="n">
        <v>15256.0720701999</v>
      </c>
      <c r="AI173" s="0" t="n">
        <v>226</v>
      </c>
      <c r="AJ173" s="0" t="s">
        <v>630</v>
      </c>
      <c r="AK173" s="0" t="n">
        <v>0</v>
      </c>
      <c r="AL173" s="0" t="n">
        <v>0</v>
      </c>
      <c r="AM173" s="0" t="n">
        <v>0</v>
      </c>
    </row>
    <row r="174" customFormat="false" ht="12.75" hidden="false" customHeight="false" outlineLevel="0" collapsed="false">
      <c r="A174" s="0" t="s">
        <v>631</v>
      </c>
      <c r="B174" s="0" t="s">
        <v>261</v>
      </c>
      <c r="C174" s="0" t="s">
        <v>622</v>
      </c>
      <c r="D174" s="0" t="s">
        <v>623</v>
      </c>
      <c r="E174" s="0" t="s">
        <v>131</v>
      </c>
      <c r="F174" s="0" t="s">
        <v>244</v>
      </c>
      <c r="G174" s="0" t="s">
        <v>628</v>
      </c>
      <c r="H174" s="0" t="s">
        <v>625</v>
      </c>
      <c r="I174" s="0" t="s">
        <v>626</v>
      </c>
      <c r="J174" s="0" t="s">
        <v>627</v>
      </c>
      <c r="K174" s="475" t="n">
        <v>36861</v>
      </c>
      <c r="L174" s="254" t="n">
        <v>237343.369739112</v>
      </c>
      <c r="M174" s="475" t="n">
        <v>36859</v>
      </c>
      <c r="N174" s="0" t="s">
        <v>136</v>
      </c>
      <c r="O174" s="0" t="n">
        <v>1.15</v>
      </c>
      <c r="P174" s="0" t="n">
        <v>0</v>
      </c>
      <c r="Q174" s="0" t="n">
        <v>0</v>
      </c>
      <c r="R174" s="0" t="n">
        <v>0</v>
      </c>
      <c r="S174" s="0" t="n">
        <v>0</v>
      </c>
      <c r="T174" s="0" t="s">
        <v>624</v>
      </c>
      <c r="U174" s="0" t="s">
        <v>149</v>
      </c>
      <c r="V174" s="0" t="s">
        <v>624</v>
      </c>
      <c r="W174" s="0" t="s">
        <v>569</v>
      </c>
      <c r="X174" s="0" t="s">
        <v>624</v>
      </c>
      <c r="Y174" s="0" t="s">
        <v>627</v>
      </c>
      <c r="Z174" s="0" t="s">
        <v>629</v>
      </c>
      <c r="AA174" s="0" t="s">
        <v>624</v>
      </c>
      <c r="AB174" s="0" t="s">
        <v>580</v>
      </c>
      <c r="AC174" s="254" t="n">
        <v>310000</v>
      </c>
      <c r="AD174" s="254" t="n">
        <v>20748.8360395092</v>
      </c>
      <c r="AE174" s="0" t="n">
        <v>0</v>
      </c>
      <c r="AF174" s="0" t="n">
        <v>0</v>
      </c>
      <c r="AG174" s="0" t="n">
        <v>0</v>
      </c>
      <c r="AH174" s="254" t="n">
        <v>10449.0866084556</v>
      </c>
      <c r="AI174" s="0" t="n">
        <v>226</v>
      </c>
      <c r="AJ174" s="0" t="s">
        <v>630</v>
      </c>
      <c r="AK174" s="0" t="n">
        <v>0</v>
      </c>
      <c r="AL174" s="0" t="n">
        <v>0</v>
      </c>
      <c r="AM174" s="0" t="n">
        <v>0</v>
      </c>
    </row>
    <row r="175" customFormat="false" ht="12.75" hidden="false" customHeight="false" outlineLevel="0" collapsed="false">
      <c r="A175" s="0" t="s">
        <v>631</v>
      </c>
      <c r="B175" s="0" t="s">
        <v>261</v>
      </c>
      <c r="C175" s="0" t="s">
        <v>622</v>
      </c>
      <c r="D175" s="0" t="s">
        <v>623</v>
      </c>
      <c r="E175" s="0" t="s">
        <v>131</v>
      </c>
      <c r="F175" s="0" t="s">
        <v>244</v>
      </c>
      <c r="G175" s="0" t="s">
        <v>628</v>
      </c>
      <c r="H175" s="0" t="s">
        <v>625</v>
      </c>
      <c r="I175" s="0" t="s">
        <v>626</v>
      </c>
      <c r="J175" s="0" t="s">
        <v>627</v>
      </c>
      <c r="K175" s="475" t="n">
        <v>36831</v>
      </c>
      <c r="L175" s="254" t="n">
        <v>38139.0604364657</v>
      </c>
      <c r="M175" s="475" t="n">
        <v>36829</v>
      </c>
      <c r="N175" s="0" t="s">
        <v>136</v>
      </c>
      <c r="O175" s="0" t="n">
        <v>1.15</v>
      </c>
      <c r="P175" s="0" t="n">
        <v>0</v>
      </c>
      <c r="Q175" s="0" t="n">
        <v>0</v>
      </c>
      <c r="R175" s="0" t="n">
        <v>0</v>
      </c>
      <c r="S175" s="0" t="n">
        <v>0</v>
      </c>
      <c r="T175" s="0" t="s">
        <v>624</v>
      </c>
      <c r="U175" s="0" t="s">
        <v>149</v>
      </c>
      <c r="V175" s="0" t="s">
        <v>624</v>
      </c>
      <c r="W175" s="0" t="s">
        <v>569</v>
      </c>
      <c r="X175" s="0" t="s">
        <v>624</v>
      </c>
      <c r="Y175" s="0" t="s">
        <v>627</v>
      </c>
      <c r="Z175" s="0" t="s">
        <v>629</v>
      </c>
      <c r="AA175" s="0" t="s">
        <v>624</v>
      </c>
      <c r="AB175" s="0" t="s">
        <v>580</v>
      </c>
      <c r="AC175" s="254" t="n">
        <v>300000</v>
      </c>
      <c r="AD175" s="254" t="n">
        <v>11321.6074288719</v>
      </c>
      <c r="AE175" s="0" t="n">
        <v>0</v>
      </c>
      <c r="AF175" s="0" t="n">
        <v>0</v>
      </c>
      <c r="AG175" s="0" t="n">
        <v>0</v>
      </c>
      <c r="AH175" s="254" t="n">
        <v>4246.77205122726</v>
      </c>
      <c r="AI175" s="0" t="n">
        <v>226</v>
      </c>
      <c r="AJ175" s="0" t="s">
        <v>630</v>
      </c>
      <c r="AK175" s="0" t="n">
        <v>0</v>
      </c>
      <c r="AL175" s="0" t="n">
        <v>0</v>
      </c>
      <c r="AM175" s="0" t="n">
        <v>0</v>
      </c>
    </row>
    <row r="176" customFormat="false" ht="12.75" hidden="false" customHeight="false" outlineLevel="0" collapsed="false">
      <c r="A176" s="0" t="s">
        <v>631</v>
      </c>
      <c r="B176" s="0" t="s">
        <v>262</v>
      </c>
      <c r="C176" s="0" t="s">
        <v>622</v>
      </c>
      <c r="D176" s="0" t="s">
        <v>623</v>
      </c>
      <c r="E176" s="0" t="s">
        <v>131</v>
      </c>
      <c r="F176" s="0" t="s">
        <v>191</v>
      </c>
      <c r="G176" s="0" t="s">
        <v>628</v>
      </c>
      <c r="H176" s="0" t="s">
        <v>625</v>
      </c>
      <c r="I176" s="0" t="s">
        <v>626</v>
      </c>
      <c r="J176" s="0" t="s">
        <v>627</v>
      </c>
      <c r="K176" s="475" t="n">
        <v>36800</v>
      </c>
      <c r="L176" s="254" t="n">
        <v>28500.2895360974</v>
      </c>
      <c r="M176" s="475" t="n">
        <v>36797</v>
      </c>
      <c r="N176" s="0" t="s">
        <v>136</v>
      </c>
      <c r="O176" s="0" t="n">
        <v>0.3375</v>
      </c>
      <c r="P176" s="0" t="n">
        <v>0</v>
      </c>
      <c r="Q176" s="0" t="n">
        <v>0</v>
      </c>
      <c r="R176" s="0" t="n">
        <v>0</v>
      </c>
      <c r="S176" s="0" t="n">
        <v>0</v>
      </c>
      <c r="T176" s="0" t="s">
        <v>624</v>
      </c>
      <c r="U176" s="0" t="s">
        <v>149</v>
      </c>
      <c r="V176" s="0" t="s">
        <v>624</v>
      </c>
      <c r="W176" s="0" t="s">
        <v>569</v>
      </c>
      <c r="X176" s="0" t="s">
        <v>624</v>
      </c>
      <c r="Y176" s="0" t="s">
        <v>627</v>
      </c>
      <c r="Z176" s="0" t="s">
        <v>629</v>
      </c>
      <c r="AA176" s="0" t="s">
        <v>624</v>
      </c>
      <c r="AB176" s="0" t="s">
        <v>580</v>
      </c>
      <c r="AC176" s="254" t="n">
        <v>310000</v>
      </c>
      <c r="AD176" s="254" t="n">
        <v>1645.63442421946</v>
      </c>
      <c r="AE176" s="0" t="n">
        <v>0</v>
      </c>
      <c r="AF176" s="0" t="n">
        <v>0</v>
      </c>
      <c r="AG176" s="0" t="n">
        <v>0</v>
      </c>
      <c r="AH176" s="254" t="n">
        <v>94.4150841041701</v>
      </c>
      <c r="AI176" s="0" t="n">
        <v>226</v>
      </c>
      <c r="AJ176" s="0" t="s">
        <v>630</v>
      </c>
      <c r="AK176" s="0" t="n">
        <v>0</v>
      </c>
      <c r="AL176" s="0" t="n">
        <v>0</v>
      </c>
      <c r="AM176" s="0" t="n">
        <v>0</v>
      </c>
    </row>
    <row r="177" customFormat="false" ht="12.75" hidden="false" customHeight="false" outlineLevel="0" collapsed="false">
      <c r="A177" s="0" t="s">
        <v>631</v>
      </c>
      <c r="B177" s="0" t="s">
        <v>262</v>
      </c>
      <c r="C177" s="0" t="s">
        <v>622</v>
      </c>
      <c r="D177" s="0" t="s">
        <v>623</v>
      </c>
      <c r="E177" s="0" t="s">
        <v>131</v>
      </c>
      <c r="F177" s="0" t="s">
        <v>191</v>
      </c>
      <c r="G177" s="0" t="s">
        <v>628</v>
      </c>
      <c r="H177" s="0" t="s">
        <v>625</v>
      </c>
      <c r="I177" s="0" t="s">
        <v>626</v>
      </c>
      <c r="J177" s="0" t="s">
        <v>627</v>
      </c>
      <c r="K177" s="475" t="n">
        <v>36770</v>
      </c>
      <c r="L177" s="254" t="n">
        <v>313.221432800159</v>
      </c>
      <c r="M177" s="475" t="n">
        <v>36768</v>
      </c>
      <c r="N177" s="0" t="s">
        <v>136</v>
      </c>
      <c r="O177" s="0" t="n">
        <v>0.3375</v>
      </c>
      <c r="P177" s="0" t="n">
        <v>0</v>
      </c>
      <c r="Q177" s="0" t="n">
        <v>0</v>
      </c>
      <c r="R177" s="0" t="n">
        <v>0</v>
      </c>
      <c r="S177" s="0" t="n">
        <v>0</v>
      </c>
      <c r="T177" s="0" t="s">
        <v>624</v>
      </c>
      <c r="U177" s="0" t="s">
        <v>149</v>
      </c>
      <c r="V177" s="0" t="s">
        <v>624</v>
      </c>
      <c r="W177" s="0" t="s">
        <v>569</v>
      </c>
      <c r="X177" s="0" t="s">
        <v>624</v>
      </c>
      <c r="Y177" s="0" t="s">
        <v>627</v>
      </c>
      <c r="Z177" s="0" t="s">
        <v>629</v>
      </c>
      <c r="AA177" s="0" t="s">
        <v>624</v>
      </c>
      <c r="AB177" s="0" t="s">
        <v>580</v>
      </c>
      <c r="AC177" s="254" t="n">
        <v>300000</v>
      </c>
      <c r="AD177" s="254" t="n">
        <v>181.311429476758</v>
      </c>
      <c r="AE177" s="0" t="n">
        <v>0</v>
      </c>
      <c r="AF177" s="0" t="n">
        <v>0</v>
      </c>
      <c r="AG177" s="0" t="n">
        <v>0</v>
      </c>
      <c r="AH177" s="254" t="n">
        <v>36.7796861625964</v>
      </c>
      <c r="AI177" s="0" t="n">
        <v>226</v>
      </c>
      <c r="AJ177" s="0" t="s">
        <v>630</v>
      </c>
      <c r="AK177" s="0" t="n">
        <v>0</v>
      </c>
      <c r="AL177" s="0" t="n">
        <v>0</v>
      </c>
      <c r="AM177" s="0" t="n">
        <v>0</v>
      </c>
    </row>
    <row r="178" customFormat="false" ht="12.75" hidden="false" customHeight="false" outlineLevel="0" collapsed="false">
      <c r="A178" s="0" t="s">
        <v>631</v>
      </c>
      <c r="B178" s="0" t="s">
        <v>263</v>
      </c>
      <c r="C178" s="0" t="s">
        <v>622</v>
      </c>
      <c r="D178" s="0" t="s">
        <v>623</v>
      </c>
      <c r="E178" s="0" t="s">
        <v>131</v>
      </c>
      <c r="F178" s="0" t="s">
        <v>255</v>
      </c>
      <c r="G178" s="0" t="s">
        <v>628</v>
      </c>
      <c r="H178" s="0" t="s">
        <v>625</v>
      </c>
      <c r="I178" s="0" t="s">
        <v>626</v>
      </c>
      <c r="J178" s="0" t="s">
        <v>627</v>
      </c>
      <c r="K178" s="475" t="n">
        <v>36800</v>
      </c>
      <c r="L178" s="254" t="n">
        <v>-939571.331957599</v>
      </c>
      <c r="M178" s="475" t="n">
        <v>36797</v>
      </c>
      <c r="N178" s="0" t="s">
        <v>136</v>
      </c>
      <c r="O178" s="0" t="n">
        <v>0.1</v>
      </c>
      <c r="P178" s="0" t="n">
        <v>0</v>
      </c>
      <c r="Q178" s="0" t="n">
        <v>0</v>
      </c>
      <c r="R178" s="0" t="n">
        <v>0</v>
      </c>
      <c r="S178" s="0" t="n">
        <v>0</v>
      </c>
      <c r="T178" s="0" t="s">
        <v>624</v>
      </c>
      <c r="U178" s="0" t="s">
        <v>137</v>
      </c>
      <c r="V178" s="0" t="s">
        <v>624</v>
      </c>
      <c r="W178" s="0" t="s">
        <v>569</v>
      </c>
      <c r="X178" s="0" t="s">
        <v>624</v>
      </c>
      <c r="Y178" s="0" t="s">
        <v>627</v>
      </c>
      <c r="Z178" s="0" t="s">
        <v>629</v>
      </c>
      <c r="AA178" s="0" t="s">
        <v>624</v>
      </c>
      <c r="AB178" s="0" t="s">
        <v>580</v>
      </c>
      <c r="AC178" s="254" t="n">
        <v>-500000</v>
      </c>
      <c r="AD178" s="254" t="n">
        <v>-36.8795845604036</v>
      </c>
      <c r="AE178" s="0" t="n">
        <v>0</v>
      </c>
      <c r="AF178" s="0" t="n">
        <v>0</v>
      </c>
      <c r="AG178" s="0" t="n">
        <v>0</v>
      </c>
      <c r="AH178" s="254" t="n">
        <v>19867.9628120266</v>
      </c>
      <c r="AI178" s="0" t="n">
        <v>226</v>
      </c>
      <c r="AJ178" s="0" t="s">
        <v>630</v>
      </c>
      <c r="AK178" s="0" t="n">
        <v>0</v>
      </c>
      <c r="AL178" s="0" t="n">
        <v>0</v>
      </c>
      <c r="AM178" s="0" t="n">
        <v>0</v>
      </c>
    </row>
    <row r="179" customFormat="false" ht="12.75" hidden="false" customHeight="false" outlineLevel="0" collapsed="false">
      <c r="A179" s="0" t="s">
        <v>631</v>
      </c>
      <c r="B179" s="0" t="s">
        <v>263</v>
      </c>
      <c r="C179" s="0" t="s">
        <v>622</v>
      </c>
      <c r="D179" s="0" t="s">
        <v>623</v>
      </c>
      <c r="E179" s="0" t="s">
        <v>131</v>
      </c>
      <c r="F179" s="0" t="s">
        <v>255</v>
      </c>
      <c r="G179" s="0" t="s">
        <v>628</v>
      </c>
      <c r="H179" s="0" t="s">
        <v>625</v>
      </c>
      <c r="I179" s="0" t="s">
        <v>626</v>
      </c>
      <c r="J179" s="0" t="s">
        <v>627</v>
      </c>
      <c r="K179" s="475" t="n">
        <v>36770</v>
      </c>
      <c r="L179" s="254" t="n">
        <v>-1199558.57157534</v>
      </c>
      <c r="M179" s="475" t="n">
        <v>36768</v>
      </c>
      <c r="N179" s="0" t="s">
        <v>136</v>
      </c>
      <c r="O179" s="0" t="n">
        <v>0.1</v>
      </c>
      <c r="P179" s="0" t="n">
        <v>0</v>
      </c>
      <c r="Q179" s="0" t="n">
        <v>0</v>
      </c>
      <c r="R179" s="0" t="n">
        <v>0</v>
      </c>
      <c r="S179" s="0" t="n">
        <v>0</v>
      </c>
      <c r="T179" s="0" t="s">
        <v>624</v>
      </c>
      <c r="U179" s="0" t="s">
        <v>137</v>
      </c>
      <c r="V179" s="0" t="s">
        <v>624</v>
      </c>
      <c r="W179" s="0" t="s">
        <v>569</v>
      </c>
      <c r="X179" s="0" t="s">
        <v>624</v>
      </c>
      <c r="Y179" s="0" t="s">
        <v>627</v>
      </c>
      <c r="Z179" s="0" t="s">
        <v>629</v>
      </c>
      <c r="AA179" s="0" t="s">
        <v>624</v>
      </c>
      <c r="AB179" s="0" t="s">
        <v>580</v>
      </c>
      <c r="AC179" s="254" t="n">
        <v>-500000</v>
      </c>
      <c r="AD179" s="254" t="n">
        <v>0.0199514288688079</v>
      </c>
      <c r="AE179" s="0" t="n">
        <v>0</v>
      </c>
      <c r="AF179" s="0" t="n">
        <v>0</v>
      </c>
      <c r="AG179" s="0" t="n">
        <v>0</v>
      </c>
      <c r="AH179" s="254" t="n">
        <v>-132378.245234915</v>
      </c>
      <c r="AI179" s="0" t="n">
        <v>226</v>
      </c>
      <c r="AJ179" s="0" t="s">
        <v>630</v>
      </c>
      <c r="AK179" s="0" t="n">
        <v>0</v>
      </c>
      <c r="AL179" s="0" t="n">
        <v>0</v>
      </c>
      <c r="AM179" s="0" t="n">
        <v>0</v>
      </c>
    </row>
    <row r="180" customFormat="false" ht="12.75" hidden="false" customHeight="false" outlineLevel="0" collapsed="false">
      <c r="A180" s="0" t="s">
        <v>631</v>
      </c>
      <c r="B180" s="0" t="s">
        <v>265</v>
      </c>
      <c r="C180" s="0" t="s">
        <v>622</v>
      </c>
      <c r="D180" s="0" t="s">
        <v>623</v>
      </c>
      <c r="E180" s="0" t="s">
        <v>131</v>
      </c>
      <c r="F180" s="0" t="s">
        <v>264</v>
      </c>
      <c r="G180" s="0" t="s">
        <v>628</v>
      </c>
      <c r="H180" s="0" t="s">
        <v>625</v>
      </c>
      <c r="I180" s="0" t="s">
        <v>626</v>
      </c>
      <c r="J180" s="0" t="s">
        <v>627</v>
      </c>
      <c r="K180" s="475" t="n">
        <v>36800</v>
      </c>
      <c r="L180" s="254" t="n">
        <v>-599483.287113711</v>
      </c>
      <c r="M180" s="475" t="n">
        <v>36797</v>
      </c>
      <c r="N180" s="0" t="s">
        <v>136</v>
      </c>
      <c r="O180" s="0" t="n">
        <v>0.045</v>
      </c>
      <c r="P180" s="0" t="n">
        <v>0</v>
      </c>
      <c r="Q180" s="0" t="n">
        <v>0</v>
      </c>
      <c r="R180" s="0" t="n">
        <v>0</v>
      </c>
      <c r="S180" s="0" t="n">
        <v>0</v>
      </c>
      <c r="T180" s="0" t="s">
        <v>624</v>
      </c>
      <c r="U180" s="0" t="s">
        <v>137</v>
      </c>
      <c r="V180" s="0" t="s">
        <v>624</v>
      </c>
      <c r="W180" s="0" t="s">
        <v>569</v>
      </c>
      <c r="X180" s="0" t="s">
        <v>624</v>
      </c>
      <c r="Y180" s="0" t="s">
        <v>627</v>
      </c>
      <c r="Z180" s="0" t="s">
        <v>629</v>
      </c>
      <c r="AA180" s="0" t="s">
        <v>624</v>
      </c>
      <c r="AB180" s="0" t="s">
        <v>580</v>
      </c>
      <c r="AC180" s="254" t="n">
        <v>-310000</v>
      </c>
      <c r="AD180" s="254" t="n">
        <v>-16.0754946860252</v>
      </c>
      <c r="AE180" s="0" t="n">
        <v>0</v>
      </c>
      <c r="AF180" s="0" t="n">
        <v>0</v>
      </c>
      <c r="AG180" s="0" t="n">
        <v>0</v>
      </c>
      <c r="AH180" s="254" t="n">
        <v>12319.2479031901</v>
      </c>
      <c r="AI180" s="0" t="n">
        <v>226</v>
      </c>
      <c r="AJ180" s="0" t="s">
        <v>630</v>
      </c>
      <c r="AK180" s="0" t="n">
        <v>0</v>
      </c>
      <c r="AL180" s="0" t="n">
        <v>0</v>
      </c>
      <c r="AM180" s="0" t="n">
        <v>0</v>
      </c>
    </row>
    <row r="181" customFormat="false" ht="12.75" hidden="false" customHeight="false" outlineLevel="0" collapsed="false">
      <c r="A181" s="0" t="s">
        <v>631</v>
      </c>
      <c r="B181" s="0" t="s">
        <v>265</v>
      </c>
      <c r="C181" s="0" t="s">
        <v>622</v>
      </c>
      <c r="D181" s="0" t="s">
        <v>623</v>
      </c>
      <c r="E181" s="0" t="s">
        <v>131</v>
      </c>
      <c r="F181" s="0" t="s">
        <v>264</v>
      </c>
      <c r="G181" s="0" t="s">
        <v>628</v>
      </c>
      <c r="H181" s="0" t="s">
        <v>625</v>
      </c>
      <c r="I181" s="0" t="s">
        <v>626</v>
      </c>
      <c r="J181" s="0" t="s">
        <v>627</v>
      </c>
      <c r="K181" s="475" t="n">
        <v>36800</v>
      </c>
      <c r="L181" s="254" t="n">
        <v>-5.70802216166462</v>
      </c>
      <c r="M181" s="475" t="n">
        <v>36797</v>
      </c>
      <c r="N181" s="0" t="s">
        <v>132</v>
      </c>
      <c r="O181" s="0" t="n">
        <v>0.045</v>
      </c>
      <c r="P181" s="0" t="n">
        <v>0</v>
      </c>
      <c r="Q181" s="0" t="n">
        <v>0</v>
      </c>
      <c r="R181" s="0" t="n">
        <v>0</v>
      </c>
      <c r="S181" s="0" t="n">
        <v>0</v>
      </c>
      <c r="T181" s="0" t="s">
        <v>624</v>
      </c>
      <c r="U181" s="0" t="s">
        <v>137</v>
      </c>
      <c r="V181" s="0" t="s">
        <v>624</v>
      </c>
      <c r="W181" s="0" t="s">
        <v>569</v>
      </c>
      <c r="X181" s="0" t="s">
        <v>624</v>
      </c>
      <c r="Y181" s="0" t="s">
        <v>627</v>
      </c>
      <c r="Z181" s="0" t="s">
        <v>629</v>
      </c>
      <c r="AA181" s="0" t="s">
        <v>624</v>
      </c>
      <c r="AB181" s="0" t="s">
        <v>580</v>
      </c>
      <c r="AC181" s="254" t="n">
        <v>-310000</v>
      </c>
      <c r="AD181" s="254" t="n">
        <v>-16.0754946860542</v>
      </c>
      <c r="AE181" s="0" t="n">
        <v>0</v>
      </c>
      <c r="AF181" s="0" t="n">
        <v>0</v>
      </c>
      <c r="AG181" s="0" t="n">
        <v>0</v>
      </c>
      <c r="AH181" s="254" t="n">
        <v>-2.54817159083487</v>
      </c>
      <c r="AI181" s="0" t="n">
        <v>226</v>
      </c>
      <c r="AJ181" s="0" t="s">
        <v>630</v>
      </c>
      <c r="AK181" s="0" t="n">
        <v>0</v>
      </c>
      <c r="AL181" s="0" t="n">
        <v>0</v>
      </c>
      <c r="AM181" s="0" t="n">
        <v>0</v>
      </c>
    </row>
    <row r="182" customFormat="false" ht="12.75" hidden="false" customHeight="false" outlineLevel="0" collapsed="false">
      <c r="A182" s="0" t="s">
        <v>631</v>
      </c>
      <c r="B182" s="0" t="s">
        <v>265</v>
      </c>
      <c r="C182" s="0" t="s">
        <v>622</v>
      </c>
      <c r="D182" s="0" t="s">
        <v>623</v>
      </c>
      <c r="E182" s="0" t="s">
        <v>131</v>
      </c>
      <c r="F182" s="0" t="s">
        <v>264</v>
      </c>
      <c r="G182" s="0" t="s">
        <v>628</v>
      </c>
      <c r="H182" s="0" t="s">
        <v>625</v>
      </c>
      <c r="I182" s="0" t="s">
        <v>626</v>
      </c>
      <c r="J182" s="0" t="s">
        <v>627</v>
      </c>
      <c r="K182" s="475" t="n">
        <v>36770</v>
      </c>
      <c r="L182" s="254" t="n">
        <v>-736229.073304176</v>
      </c>
      <c r="M182" s="475" t="n">
        <v>36768</v>
      </c>
      <c r="N182" s="0" t="s">
        <v>136</v>
      </c>
      <c r="O182" s="0" t="n">
        <v>0.045</v>
      </c>
      <c r="P182" s="0" t="n">
        <v>0</v>
      </c>
      <c r="Q182" s="0" t="n">
        <v>0</v>
      </c>
      <c r="R182" s="0" t="n">
        <v>0</v>
      </c>
      <c r="S182" s="0" t="n">
        <v>0</v>
      </c>
      <c r="T182" s="0" t="s">
        <v>624</v>
      </c>
      <c r="U182" s="0" t="s">
        <v>137</v>
      </c>
      <c r="V182" s="0" t="s">
        <v>624</v>
      </c>
      <c r="W182" s="0" t="s">
        <v>569</v>
      </c>
      <c r="X182" s="0" t="s">
        <v>624</v>
      </c>
      <c r="Y182" s="0" t="s">
        <v>627</v>
      </c>
      <c r="Z182" s="0" t="s">
        <v>629</v>
      </c>
      <c r="AA182" s="0" t="s">
        <v>624</v>
      </c>
      <c r="AB182" s="0" t="s">
        <v>580</v>
      </c>
      <c r="AC182" s="254" t="n">
        <v>-300000</v>
      </c>
      <c r="AD182" s="254" t="n">
        <v>0.0119708575657569</v>
      </c>
      <c r="AE182" s="0" t="n">
        <v>0</v>
      </c>
      <c r="AF182" s="0" t="n">
        <v>0</v>
      </c>
      <c r="AG182" s="0" t="n">
        <v>0</v>
      </c>
      <c r="AH182" s="254" t="n">
        <v>-79426.9471409485</v>
      </c>
      <c r="AI182" s="0" t="n">
        <v>226</v>
      </c>
      <c r="AJ182" s="0" t="s">
        <v>630</v>
      </c>
      <c r="AK182" s="0" t="n">
        <v>0</v>
      </c>
      <c r="AL182" s="0" t="n">
        <v>0</v>
      </c>
      <c r="AM182" s="0" t="n">
        <v>0</v>
      </c>
    </row>
    <row r="183" customFormat="false" ht="12.75" hidden="false" customHeight="false" outlineLevel="0" collapsed="false">
      <c r="A183" s="0" t="s">
        <v>631</v>
      </c>
      <c r="B183" s="0" t="s">
        <v>265</v>
      </c>
      <c r="C183" s="0" t="s">
        <v>622</v>
      </c>
      <c r="D183" s="0" t="s">
        <v>623</v>
      </c>
      <c r="E183" s="0" t="s">
        <v>131</v>
      </c>
      <c r="F183" s="0" t="s">
        <v>264</v>
      </c>
      <c r="G183" s="0" t="s">
        <v>628</v>
      </c>
      <c r="H183" s="0" t="s">
        <v>625</v>
      </c>
      <c r="I183" s="0" t="s">
        <v>626</v>
      </c>
      <c r="J183" s="0" t="s">
        <v>627</v>
      </c>
      <c r="K183" s="475" t="n">
        <v>36770</v>
      </c>
      <c r="L183" s="254" t="n">
        <v>-0.0965451120528427</v>
      </c>
      <c r="M183" s="475" t="n">
        <v>36768</v>
      </c>
      <c r="N183" s="0" t="s">
        <v>132</v>
      </c>
      <c r="O183" s="0" t="n">
        <v>0.045</v>
      </c>
      <c r="P183" s="0" t="n">
        <v>0</v>
      </c>
      <c r="Q183" s="0" t="n">
        <v>0</v>
      </c>
      <c r="R183" s="0" t="n">
        <v>0</v>
      </c>
      <c r="S183" s="0" t="n">
        <v>0</v>
      </c>
      <c r="T183" s="0" t="s">
        <v>624</v>
      </c>
      <c r="U183" s="0" t="s">
        <v>137</v>
      </c>
      <c r="V183" s="0" t="s">
        <v>624</v>
      </c>
      <c r="W183" s="0" t="s">
        <v>569</v>
      </c>
      <c r="X183" s="0" t="s">
        <v>624</v>
      </c>
      <c r="Y183" s="0" t="s">
        <v>627</v>
      </c>
      <c r="Z183" s="0" t="s">
        <v>629</v>
      </c>
      <c r="AA183" s="0" t="s">
        <v>624</v>
      </c>
      <c r="AB183" s="0" t="s">
        <v>580</v>
      </c>
      <c r="AC183" s="254" t="n">
        <v>-300000</v>
      </c>
      <c r="AD183" s="254" t="n">
        <v>0.0119708576051814</v>
      </c>
      <c r="AE183" s="0" t="n">
        <v>0</v>
      </c>
      <c r="AF183" s="0" t="n">
        <v>0</v>
      </c>
      <c r="AG183" s="0" t="n">
        <v>0</v>
      </c>
      <c r="AH183" s="254" t="n">
        <v>-0.0103990339006543</v>
      </c>
      <c r="AI183" s="0" t="n">
        <v>226</v>
      </c>
      <c r="AJ183" s="0" t="s">
        <v>630</v>
      </c>
      <c r="AK183" s="0" t="n">
        <v>0</v>
      </c>
      <c r="AL183" s="0" t="n">
        <v>0</v>
      </c>
      <c r="AM183" s="0" t="n">
        <v>0</v>
      </c>
    </row>
    <row r="184" customFormat="false" ht="12.75" hidden="false" customHeight="false" outlineLevel="0" collapsed="false">
      <c r="A184" s="0" t="s">
        <v>631</v>
      </c>
      <c r="B184" s="0" t="s">
        <v>266</v>
      </c>
      <c r="C184" s="0" t="s">
        <v>622</v>
      </c>
      <c r="D184" s="0" t="s">
        <v>623</v>
      </c>
      <c r="E184" s="0" t="s">
        <v>131</v>
      </c>
      <c r="F184" s="0" t="s">
        <v>210</v>
      </c>
      <c r="G184" s="0" t="s">
        <v>628</v>
      </c>
      <c r="H184" s="0" t="s">
        <v>625</v>
      </c>
      <c r="I184" s="0" t="s">
        <v>626</v>
      </c>
      <c r="J184" s="0" t="s">
        <v>627</v>
      </c>
      <c r="K184" s="475" t="n">
        <v>36951</v>
      </c>
      <c r="L184" s="254" t="n">
        <v>237473.556823992</v>
      </c>
      <c r="M184" s="475" t="n">
        <v>36949</v>
      </c>
      <c r="N184" s="0" t="s">
        <v>136</v>
      </c>
      <c r="O184" s="0" t="n">
        <v>2</v>
      </c>
      <c r="P184" s="0" t="n">
        <v>0</v>
      </c>
      <c r="Q184" s="0" t="n">
        <v>0</v>
      </c>
      <c r="R184" s="0" t="n">
        <v>0</v>
      </c>
      <c r="S184" s="0" t="n">
        <v>0</v>
      </c>
      <c r="T184" s="0" t="s">
        <v>624</v>
      </c>
      <c r="U184" s="0" t="s">
        <v>149</v>
      </c>
      <c r="V184" s="0" t="s">
        <v>624</v>
      </c>
      <c r="W184" s="0" t="s">
        <v>569</v>
      </c>
      <c r="X184" s="0" t="s">
        <v>624</v>
      </c>
      <c r="Y184" s="0" t="s">
        <v>627</v>
      </c>
      <c r="Z184" s="0" t="s">
        <v>629</v>
      </c>
      <c r="AA184" s="0" t="s">
        <v>624</v>
      </c>
      <c r="AB184" s="0" t="s">
        <v>580</v>
      </c>
      <c r="AC184" s="254" t="n">
        <v>1000000</v>
      </c>
      <c r="AD184" s="254" t="n">
        <v>70922.7754364059</v>
      </c>
      <c r="AE184" s="0" t="n">
        <v>0</v>
      </c>
      <c r="AF184" s="0" t="n">
        <v>0</v>
      </c>
      <c r="AG184" s="0" t="n">
        <v>0</v>
      </c>
      <c r="AH184" s="254" t="n">
        <v>21432.6769767451</v>
      </c>
      <c r="AI184" s="0" t="n">
        <v>226</v>
      </c>
      <c r="AJ184" s="0" t="s">
        <v>630</v>
      </c>
      <c r="AK184" s="0" t="n">
        <v>0</v>
      </c>
      <c r="AL184" s="0" t="n">
        <v>0</v>
      </c>
      <c r="AM184" s="0" t="n">
        <v>0</v>
      </c>
    </row>
    <row r="185" customFormat="false" ht="12.75" hidden="false" customHeight="false" outlineLevel="0" collapsed="false">
      <c r="A185" s="0" t="s">
        <v>631</v>
      </c>
      <c r="B185" s="0" t="s">
        <v>266</v>
      </c>
      <c r="C185" s="0" t="s">
        <v>622</v>
      </c>
      <c r="D185" s="0" t="s">
        <v>623</v>
      </c>
      <c r="E185" s="0" t="s">
        <v>131</v>
      </c>
      <c r="F185" s="0" t="s">
        <v>210</v>
      </c>
      <c r="G185" s="0" t="s">
        <v>628</v>
      </c>
      <c r="H185" s="0" t="s">
        <v>625</v>
      </c>
      <c r="I185" s="0" t="s">
        <v>626</v>
      </c>
      <c r="J185" s="0" t="s">
        <v>627</v>
      </c>
      <c r="K185" s="475" t="n">
        <v>36923</v>
      </c>
      <c r="L185" s="254" t="n">
        <v>719788.605198734</v>
      </c>
      <c r="M185" s="475" t="n">
        <v>36921</v>
      </c>
      <c r="N185" s="0" t="s">
        <v>136</v>
      </c>
      <c r="O185" s="0" t="n">
        <v>2</v>
      </c>
      <c r="P185" s="0" t="n">
        <v>0</v>
      </c>
      <c r="Q185" s="0" t="n">
        <v>0</v>
      </c>
      <c r="R185" s="0" t="n">
        <v>0</v>
      </c>
      <c r="S185" s="0" t="n">
        <v>0</v>
      </c>
      <c r="T185" s="0" t="s">
        <v>624</v>
      </c>
      <c r="U185" s="0" t="s">
        <v>149</v>
      </c>
      <c r="V185" s="0" t="s">
        <v>624</v>
      </c>
      <c r="W185" s="0" t="s">
        <v>569</v>
      </c>
      <c r="X185" s="0" t="s">
        <v>624</v>
      </c>
      <c r="Y185" s="0" t="s">
        <v>627</v>
      </c>
      <c r="Z185" s="0" t="s">
        <v>629</v>
      </c>
      <c r="AA185" s="0" t="s">
        <v>624</v>
      </c>
      <c r="AB185" s="0" t="s">
        <v>580</v>
      </c>
      <c r="AC185" s="254" t="n">
        <v>1000000</v>
      </c>
      <c r="AD185" s="254" t="n">
        <v>86005.9370395042</v>
      </c>
      <c r="AE185" s="0" t="n">
        <v>0</v>
      </c>
      <c r="AF185" s="0" t="n">
        <v>0</v>
      </c>
      <c r="AG185" s="0" t="n">
        <v>0</v>
      </c>
      <c r="AH185" s="254" t="n">
        <v>42824.7581526882</v>
      </c>
      <c r="AI185" s="0" t="n">
        <v>226</v>
      </c>
      <c r="AJ185" s="0" t="s">
        <v>630</v>
      </c>
      <c r="AK185" s="0" t="n">
        <v>0</v>
      </c>
      <c r="AL185" s="0" t="n">
        <v>0</v>
      </c>
      <c r="AM185" s="0" t="n">
        <v>0</v>
      </c>
    </row>
    <row r="186" customFormat="false" ht="12.75" hidden="false" customHeight="false" outlineLevel="0" collapsed="false">
      <c r="A186" s="0" t="s">
        <v>631</v>
      </c>
      <c r="B186" s="0" t="s">
        <v>266</v>
      </c>
      <c r="C186" s="0" t="s">
        <v>622</v>
      </c>
      <c r="D186" s="0" t="s">
        <v>623</v>
      </c>
      <c r="E186" s="0" t="s">
        <v>131</v>
      </c>
      <c r="F186" s="0" t="s">
        <v>210</v>
      </c>
      <c r="G186" s="0" t="s">
        <v>628</v>
      </c>
      <c r="H186" s="0" t="s">
        <v>625</v>
      </c>
      <c r="I186" s="0" t="s">
        <v>626</v>
      </c>
      <c r="J186" s="0" t="s">
        <v>627</v>
      </c>
      <c r="K186" s="475" t="n">
        <v>36892</v>
      </c>
      <c r="L186" s="254" t="n">
        <v>727744.617813771</v>
      </c>
      <c r="M186" s="475" t="n">
        <v>36888</v>
      </c>
      <c r="N186" s="0" t="s">
        <v>136</v>
      </c>
      <c r="O186" s="0" t="n">
        <v>2</v>
      </c>
      <c r="P186" s="0" t="n">
        <v>0</v>
      </c>
      <c r="Q186" s="0" t="n">
        <v>0</v>
      </c>
      <c r="R186" s="0" t="n">
        <v>0</v>
      </c>
      <c r="S186" s="0" t="n">
        <v>0</v>
      </c>
      <c r="T186" s="0" t="s">
        <v>624</v>
      </c>
      <c r="U186" s="0" t="s">
        <v>149</v>
      </c>
      <c r="V186" s="0" t="s">
        <v>624</v>
      </c>
      <c r="W186" s="0" t="s">
        <v>569</v>
      </c>
      <c r="X186" s="0" t="s">
        <v>624</v>
      </c>
      <c r="Y186" s="0" t="s">
        <v>627</v>
      </c>
      <c r="Z186" s="0" t="s">
        <v>629</v>
      </c>
      <c r="AA186" s="0" t="s">
        <v>624</v>
      </c>
      <c r="AB186" s="0" t="s">
        <v>580</v>
      </c>
      <c r="AC186" s="254" t="n">
        <v>1000000</v>
      </c>
      <c r="AD186" s="254" t="n">
        <v>78586.0264372409</v>
      </c>
      <c r="AE186" s="0" t="n">
        <v>0</v>
      </c>
      <c r="AF186" s="0" t="n">
        <v>0</v>
      </c>
      <c r="AG186" s="0" t="n">
        <v>0</v>
      </c>
      <c r="AH186" s="254" t="n">
        <v>38049.7122923492</v>
      </c>
      <c r="AI186" s="0" t="n">
        <v>226</v>
      </c>
      <c r="AJ186" s="0" t="s">
        <v>630</v>
      </c>
      <c r="AK186" s="0" t="n">
        <v>0</v>
      </c>
      <c r="AL186" s="0" t="n">
        <v>0</v>
      </c>
      <c r="AM186" s="0" t="n">
        <v>0</v>
      </c>
    </row>
    <row r="187" customFormat="false" ht="12.75" hidden="false" customHeight="false" outlineLevel="0" collapsed="false">
      <c r="A187" s="0" t="s">
        <v>631</v>
      </c>
      <c r="B187" s="0" t="s">
        <v>266</v>
      </c>
      <c r="C187" s="0" t="s">
        <v>622</v>
      </c>
      <c r="D187" s="0" t="s">
        <v>623</v>
      </c>
      <c r="E187" s="0" t="s">
        <v>131</v>
      </c>
      <c r="F187" s="0" t="s">
        <v>210</v>
      </c>
      <c r="G187" s="0" t="s">
        <v>628</v>
      </c>
      <c r="H187" s="0" t="s">
        <v>625</v>
      </c>
      <c r="I187" s="0" t="s">
        <v>626</v>
      </c>
      <c r="J187" s="0" t="s">
        <v>627</v>
      </c>
      <c r="K187" s="475" t="n">
        <v>36861</v>
      </c>
      <c r="L187" s="254" t="n">
        <v>382740.66010562</v>
      </c>
      <c r="M187" s="475" t="n">
        <v>36859</v>
      </c>
      <c r="N187" s="0" t="s">
        <v>136</v>
      </c>
      <c r="O187" s="0" t="n">
        <v>2</v>
      </c>
      <c r="P187" s="0" t="n">
        <v>0</v>
      </c>
      <c r="Q187" s="0" t="n">
        <v>0</v>
      </c>
      <c r="R187" s="0" t="n">
        <v>0</v>
      </c>
      <c r="S187" s="0" t="n">
        <v>0</v>
      </c>
      <c r="T187" s="0" t="s">
        <v>624</v>
      </c>
      <c r="U187" s="0" t="s">
        <v>149</v>
      </c>
      <c r="V187" s="0" t="s">
        <v>624</v>
      </c>
      <c r="W187" s="0" t="s">
        <v>569</v>
      </c>
      <c r="X187" s="0" t="s">
        <v>624</v>
      </c>
      <c r="Y187" s="0" t="s">
        <v>627</v>
      </c>
      <c r="Z187" s="0" t="s">
        <v>629</v>
      </c>
      <c r="AA187" s="0" t="s">
        <v>624</v>
      </c>
      <c r="AB187" s="0" t="s">
        <v>580</v>
      </c>
      <c r="AC187" s="254" t="n">
        <v>1000000</v>
      </c>
      <c r="AD187" s="254" t="n">
        <v>67471.8688627148</v>
      </c>
      <c r="AE187" s="0" t="n">
        <v>0</v>
      </c>
      <c r="AF187" s="0" t="n">
        <v>0</v>
      </c>
      <c r="AG187" s="0" t="n">
        <v>0</v>
      </c>
      <c r="AH187" s="254" t="n">
        <v>22623.1556991881</v>
      </c>
      <c r="AI187" s="0" t="n">
        <v>226</v>
      </c>
      <c r="AJ187" s="0" t="s">
        <v>630</v>
      </c>
      <c r="AK187" s="0" t="n">
        <v>0</v>
      </c>
      <c r="AL187" s="0" t="n">
        <v>0</v>
      </c>
      <c r="AM187" s="0" t="n">
        <v>0</v>
      </c>
    </row>
    <row r="188" customFormat="false" ht="12.75" hidden="false" customHeight="false" outlineLevel="0" collapsed="false">
      <c r="A188" s="0" t="s">
        <v>631</v>
      </c>
      <c r="B188" s="0" t="s">
        <v>266</v>
      </c>
      <c r="C188" s="0" t="s">
        <v>622</v>
      </c>
      <c r="D188" s="0" t="s">
        <v>623</v>
      </c>
      <c r="E188" s="0" t="s">
        <v>131</v>
      </c>
      <c r="F188" s="0" t="s">
        <v>210</v>
      </c>
      <c r="G188" s="0" t="s">
        <v>628</v>
      </c>
      <c r="H188" s="0" t="s">
        <v>625</v>
      </c>
      <c r="I188" s="0" t="s">
        <v>626</v>
      </c>
      <c r="J188" s="0" t="s">
        <v>627</v>
      </c>
      <c r="K188" s="475" t="n">
        <v>36831</v>
      </c>
      <c r="L188" s="254" t="n">
        <v>20335.2360253772</v>
      </c>
      <c r="M188" s="475" t="n">
        <v>36829</v>
      </c>
      <c r="N188" s="0" t="s">
        <v>136</v>
      </c>
      <c r="O188" s="0" t="n">
        <v>2</v>
      </c>
      <c r="P188" s="0" t="n">
        <v>0</v>
      </c>
      <c r="Q188" s="0" t="n">
        <v>0</v>
      </c>
      <c r="R188" s="0" t="n">
        <v>0</v>
      </c>
      <c r="S188" s="0" t="n">
        <v>0</v>
      </c>
      <c r="T188" s="0" t="s">
        <v>624</v>
      </c>
      <c r="U188" s="0" t="s">
        <v>149</v>
      </c>
      <c r="V188" s="0" t="s">
        <v>624</v>
      </c>
      <c r="W188" s="0" t="s">
        <v>569</v>
      </c>
      <c r="X188" s="0" t="s">
        <v>624</v>
      </c>
      <c r="Y188" s="0" t="s">
        <v>627</v>
      </c>
      <c r="Z188" s="0" t="s">
        <v>629</v>
      </c>
      <c r="AA188" s="0" t="s">
        <v>624</v>
      </c>
      <c r="AB188" s="0" t="s">
        <v>580</v>
      </c>
      <c r="AC188" s="254" t="n">
        <v>1000000</v>
      </c>
      <c r="AD188" s="254" t="n">
        <v>12601.9488466961</v>
      </c>
      <c r="AE188" s="0" t="n">
        <v>0</v>
      </c>
      <c r="AF188" s="0" t="n">
        <v>0</v>
      </c>
      <c r="AG188" s="0" t="n">
        <v>0</v>
      </c>
      <c r="AH188" s="254" t="n">
        <v>3372.00752590267</v>
      </c>
      <c r="AI188" s="0" t="n">
        <v>226</v>
      </c>
      <c r="AJ188" s="0" t="s">
        <v>630</v>
      </c>
      <c r="AK188" s="0" t="n">
        <v>0</v>
      </c>
      <c r="AL188" s="0" t="n">
        <v>0</v>
      </c>
      <c r="AM188" s="0" t="n">
        <v>0</v>
      </c>
    </row>
    <row r="189" customFormat="false" ht="12.75" hidden="false" customHeight="false" outlineLevel="0" collapsed="false">
      <c r="A189" s="0" t="s">
        <v>631</v>
      </c>
      <c r="B189" s="0" t="s">
        <v>267</v>
      </c>
      <c r="C189" s="0" t="s">
        <v>622</v>
      </c>
      <c r="D189" s="0" t="s">
        <v>623</v>
      </c>
      <c r="E189" s="0" t="s">
        <v>131</v>
      </c>
      <c r="F189" s="0" t="s">
        <v>244</v>
      </c>
      <c r="G189" s="0" t="s">
        <v>628</v>
      </c>
      <c r="H189" s="0" t="s">
        <v>625</v>
      </c>
      <c r="I189" s="0" t="s">
        <v>626</v>
      </c>
      <c r="J189" s="0" t="s">
        <v>627</v>
      </c>
      <c r="K189" s="475" t="n">
        <v>36800</v>
      </c>
      <c r="L189" s="254" t="n">
        <v>27929.2757638274</v>
      </c>
      <c r="M189" s="475" t="n">
        <v>36797</v>
      </c>
      <c r="N189" s="0" t="s">
        <v>136</v>
      </c>
      <c r="O189" s="0" t="n">
        <v>0.34</v>
      </c>
      <c r="P189" s="0" t="n">
        <v>0</v>
      </c>
      <c r="Q189" s="0" t="n">
        <v>0</v>
      </c>
      <c r="R189" s="0" t="n">
        <v>0</v>
      </c>
      <c r="S189" s="0" t="n">
        <v>0</v>
      </c>
      <c r="T189" s="0" t="s">
        <v>624</v>
      </c>
      <c r="U189" s="0" t="s">
        <v>149</v>
      </c>
      <c r="V189" s="0" t="s">
        <v>624</v>
      </c>
      <c r="W189" s="0" t="s">
        <v>569</v>
      </c>
      <c r="X189" s="0" t="s">
        <v>624</v>
      </c>
      <c r="Y189" s="0" t="s">
        <v>627</v>
      </c>
      <c r="Z189" s="0" t="s">
        <v>629</v>
      </c>
      <c r="AA189" s="0" t="s">
        <v>624</v>
      </c>
      <c r="AB189" s="0" t="s">
        <v>580</v>
      </c>
      <c r="AC189" s="254" t="n">
        <v>310000</v>
      </c>
      <c r="AD189" s="254" t="n">
        <v>1670.85156821963</v>
      </c>
      <c r="AE189" s="0" t="n">
        <v>0</v>
      </c>
      <c r="AF189" s="0" t="n">
        <v>0</v>
      </c>
      <c r="AG189" s="0" t="n">
        <v>0</v>
      </c>
      <c r="AH189" s="254" t="n">
        <v>95.8165618004896</v>
      </c>
      <c r="AI189" s="0" t="n">
        <v>226</v>
      </c>
      <c r="AJ189" s="0" t="s">
        <v>630</v>
      </c>
      <c r="AK189" s="0" t="n">
        <v>0</v>
      </c>
      <c r="AL189" s="0" t="n">
        <v>0</v>
      </c>
      <c r="AM189" s="0" t="n">
        <v>0</v>
      </c>
    </row>
    <row r="190" customFormat="false" ht="12.75" hidden="false" customHeight="false" outlineLevel="0" collapsed="false">
      <c r="A190" s="0" t="s">
        <v>631</v>
      </c>
      <c r="B190" s="0" t="s">
        <v>267</v>
      </c>
      <c r="C190" s="0" t="s">
        <v>622</v>
      </c>
      <c r="D190" s="0" t="s">
        <v>623</v>
      </c>
      <c r="E190" s="0" t="s">
        <v>131</v>
      </c>
      <c r="F190" s="0" t="s">
        <v>244</v>
      </c>
      <c r="G190" s="0" t="s">
        <v>628</v>
      </c>
      <c r="H190" s="0" t="s">
        <v>625</v>
      </c>
      <c r="I190" s="0" t="s">
        <v>626</v>
      </c>
      <c r="J190" s="0" t="s">
        <v>627</v>
      </c>
      <c r="K190" s="475" t="n">
        <v>36770</v>
      </c>
      <c r="L190" s="254" t="n">
        <v>237.686014445738</v>
      </c>
      <c r="M190" s="475" t="n">
        <v>36768</v>
      </c>
      <c r="N190" s="0" t="s">
        <v>136</v>
      </c>
      <c r="O190" s="0" t="n">
        <v>0.34</v>
      </c>
      <c r="P190" s="0" t="n">
        <v>0</v>
      </c>
      <c r="Q190" s="0" t="n">
        <v>0</v>
      </c>
      <c r="R190" s="0" t="n">
        <v>0</v>
      </c>
      <c r="S190" s="0" t="n">
        <v>0</v>
      </c>
      <c r="T190" s="0" t="s">
        <v>624</v>
      </c>
      <c r="U190" s="0" t="s">
        <v>149</v>
      </c>
      <c r="V190" s="0" t="s">
        <v>624</v>
      </c>
      <c r="W190" s="0" t="s">
        <v>569</v>
      </c>
      <c r="X190" s="0" t="s">
        <v>624</v>
      </c>
      <c r="Y190" s="0" t="s">
        <v>627</v>
      </c>
      <c r="Z190" s="0" t="s">
        <v>629</v>
      </c>
      <c r="AA190" s="0" t="s">
        <v>624</v>
      </c>
      <c r="AB190" s="0" t="s">
        <v>580</v>
      </c>
      <c r="AC190" s="254" t="n">
        <v>300000</v>
      </c>
      <c r="AD190" s="254" t="n">
        <v>153.145011662768</v>
      </c>
      <c r="AE190" s="0" t="n">
        <v>0</v>
      </c>
      <c r="AF190" s="0" t="n">
        <v>0</v>
      </c>
      <c r="AG190" s="0" t="n">
        <v>0</v>
      </c>
      <c r="AH190" s="254" t="n">
        <v>35.2924776679354</v>
      </c>
      <c r="AI190" s="0" t="n">
        <v>226</v>
      </c>
      <c r="AJ190" s="0" t="s">
        <v>630</v>
      </c>
      <c r="AK190" s="0" t="n">
        <v>0</v>
      </c>
      <c r="AL190" s="0" t="n">
        <v>0</v>
      </c>
      <c r="AM190" s="0" t="n">
        <v>0</v>
      </c>
    </row>
    <row r="191" customFormat="false" ht="12.75" hidden="false" customHeight="false" outlineLevel="0" collapsed="false">
      <c r="A191" s="0" t="s">
        <v>631</v>
      </c>
      <c r="B191" s="0" t="s">
        <v>268</v>
      </c>
      <c r="C191" s="0" t="s">
        <v>622</v>
      </c>
      <c r="D191" s="0" t="s">
        <v>623</v>
      </c>
      <c r="E191" s="0" t="s">
        <v>131</v>
      </c>
      <c r="F191" s="0" t="s">
        <v>204</v>
      </c>
      <c r="G191" s="0" t="s">
        <v>628</v>
      </c>
      <c r="H191" s="0" t="s">
        <v>625</v>
      </c>
      <c r="I191" s="0" t="s">
        <v>626</v>
      </c>
      <c r="J191" s="0" t="s">
        <v>627</v>
      </c>
      <c r="K191" s="475" t="n">
        <v>36800</v>
      </c>
      <c r="L191" s="254" t="n">
        <v>23681.2191321083</v>
      </c>
      <c r="M191" s="475" t="n">
        <v>36797</v>
      </c>
      <c r="N191" s="0" t="s">
        <v>136</v>
      </c>
      <c r="O191" s="0" t="n">
        <v>0.3025</v>
      </c>
      <c r="P191" s="0" t="n">
        <v>0</v>
      </c>
      <c r="Q191" s="0" t="n">
        <v>0</v>
      </c>
      <c r="R191" s="0" t="n">
        <v>0</v>
      </c>
      <c r="S191" s="0" t="n">
        <v>0</v>
      </c>
      <c r="T191" s="0" t="s">
        <v>624</v>
      </c>
      <c r="U191" s="0" t="s">
        <v>155</v>
      </c>
      <c r="V191" s="0" t="s">
        <v>624</v>
      </c>
      <c r="W191" s="0" t="s">
        <v>569</v>
      </c>
      <c r="X191" s="0" t="s">
        <v>624</v>
      </c>
      <c r="Y191" s="0" t="s">
        <v>627</v>
      </c>
      <c r="Z191" s="0" t="s">
        <v>629</v>
      </c>
      <c r="AA191" s="0" t="s">
        <v>624</v>
      </c>
      <c r="AB191" s="0" t="s">
        <v>580</v>
      </c>
      <c r="AC191" s="254" t="n">
        <v>310000</v>
      </c>
      <c r="AD191" s="254" t="n">
        <v>1900.63894646658</v>
      </c>
      <c r="AE191" s="0" t="n">
        <v>0</v>
      </c>
      <c r="AF191" s="0" t="n">
        <v>0</v>
      </c>
      <c r="AG191" s="0" t="n">
        <v>0</v>
      </c>
      <c r="AH191" s="254" t="n">
        <v>108.782673987109</v>
      </c>
      <c r="AI191" s="0" t="n">
        <v>226</v>
      </c>
      <c r="AJ191" s="0" t="s">
        <v>630</v>
      </c>
      <c r="AK191" s="0" t="n">
        <v>0</v>
      </c>
      <c r="AL191" s="0" t="n">
        <v>0</v>
      </c>
      <c r="AM191" s="0" t="n">
        <v>0</v>
      </c>
    </row>
    <row r="192" customFormat="false" ht="12.75" hidden="false" customHeight="false" outlineLevel="0" collapsed="false">
      <c r="A192" s="0" t="s">
        <v>631</v>
      </c>
      <c r="B192" s="0" t="s">
        <v>268</v>
      </c>
      <c r="C192" s="0" t="s">
        <v>622</v>
      </c>
      <c r="D192" s="0" t="s">
        <v>623</v>
      </c>
      <c r="E192" s="0" t="s">
        <v>131</v>
      </c>
      <c r="F192" s="0" t="s">
        <v>204</v>
      </c>
      <c r="G192" s="0" t="s">
        <v>628</v>
      </c>
      <c r="H192" s="0" t="s">
        <v>625</v>
      </c>
      <c r="I192" s="0" t="s">
        <v>626</v>
      </c>
      <c r="J192" s="0" t="s">
        <v>627</v>
      </c>
      <c r="K192" s="475" t="n">
        <v>36770</v>
      </c>
      <c r="L192" s="254" t="n">
        <v>2592.07235126287</v>
      </c>
      <c r="M192" s="475" t="n">
        <v>36768</v>
      </c>
      <c r="N192" s="0" t="s">
        <v>136</v>
      </c>
      <c r="O192" s="0" t="n">
        <v>0.3025</v>
      </c>
      <c r="P192" s="0" t="n">
        <v>0</v>
      </c>
      <c r="Q192" s="0" t="n">
        <v>0</v>
      </c>
      <c r="R192" s="0" t="n">
        <v>0</v>
      </c>
      <c r="S192" s="0" t="n">
        <v>0</v>
      </c>
      <c r="T192" s="0" t="s">
        <v>624</v>
      </c>
      <c r="U192" s="0" t="s">
        <v>155</v>
      </c>
      <c r="V192" s="0" t="s">
        <v>624</v>
      </c>
      <c r="W192" s="0" t="s">
        <v>569</v>
      </c>
      <c r="X192" s="0" t="s">
        <v>624</v>
      </c>
      <c r="Y192" s="0" t="s">
        <v>627</v>
      </c>
      <c r="Z192" s="0" t="s">
        <v>629</v>
      </c>
      <c r="AA192" s="0" t="s">
        <v>624</v>
      </c>
      <c r="AB192" s="0" t="s">
        <v>580</v>
      </c>
      <c r="AC192" s="254" t="n">
        <v>300000</v>
      </c>
      <c r="AD192" s="254" t="n">
        <v>379.132070224063</v>
      </c>
      <c r="AE192" s="0" t="n">
        <v>0</v>
      </c>
      <c r="AF192" s="0" t="n">
        <v>0</v>
      </c>
      <c r="AG192" s="0" t="n">
        <v>0</v>
      </c>
      <c r="AH192" s="254" t="n">
        <v>44.6295203698646</v>
      </c>
      <c r="AI192" s="0" t="n">
        <v>226</v>
      </c>
      <c r="AJ192" s="0" t="s">
        <v>630</v>
      </c>
      <c r="AK192" s="0" t="n">
        <v>0</v>
      </c>
      <c r="AL192" s="0" t="n">
        <v>0</v>
      </c>
      <c r="AM192" s="0" t="n">
        <v>0</v>
      </c>
    </row>
    <row r="193" customFormat="false" ht="12.75" hidden="false" customHeight="false" outlineLevel="0" collapsed="false">
      <c r="A193" s="0" t="s">
        <v>631</v>
      </c>
      <c r="B193" s="0" t="s">
        <v>269</v>
      </c>
      <c r="C193" s="0" t="s">
        <v>622</v>
      </c>
      <c r="D193" s="0" t="s">
        <v>623</v>
      </c>
      <c r="E193" s="0" t="s">
        <v>131</v>
      </c>
      <c r="F193" s="0" t="s">
        <v>204</v>
      </c>
      <c r="G193" s="0" t="s">
        <v>628</v>
      </c>
      <c r="H193" s="0" t="s">
        <v>625</v>
      </c>
      <c r="I193" s="0" t="s">
        <v>626</v>
      </c>
      <c r="J193" s="0" t="s">
        <v>627</v>
      </c>
      <c r="K193" s="475" t="n">
        <v>36800</v>
      </c>
      <c r="L193" s="254" t="n">
        <v>7423.59087630946</v>
      </c>
      <c r="M193" s="475" t="n">
        <v>36797</v>
      </c>
      <c r="N193" s="0" t="s">
        <v>132</v>
      </c>
      <c r="O193" s="0" t="n">
        <v>0.1675</v>
      </c>
      <c r="P193" s="0" t="n">
        <v>0</v>
      </c>
      <c r="Q193" s="0" t="n">
        <v>0</v>
      </c>
      <c r="R193" s="0" t="n">
        <v>0</v>
      </c>
      <c r="S193" s="0" t="n">
        <v>0</v>
      </c>
      <c r="T193" s="0" t="s">
        <v>624</v>
      </c>
      <c r="U193" s="0" t="s">
        <v>150</v>
      </c>
      <c r="V193" s="0" t="s">
        <v>624</v>
      </c>
      <c r="W193" s="0" t="s">
        <v>569</v>
      </c>
      <c r="X193" s="0" t="s">
        <v>624</v>
      </c>
      <c r="Y193" s="0" t="s">
        <v>627</v>
      </c>
      <c r="Z193" s="0" t="s">
        <v>629</v>
      </c>
      <c r="AA193" s="0" t="s">
        <v>624</v>
      </c>
      <c r="AB193" s="0" t="s">
        <v>580</v>
      </c>
      <c r="AC193" s="254" t="n">
        <v>310000</v>
      </c>
      <c r="AD193" s="254" t="n">
        <v>1905.99462164415</v>
      </c>
      <c r="AE193" s="0" t="n">
        <v>0</v>
      </c>
      <c r="AF193" s="0" t="n">
        <v>0</v>
      </c>
      <c r="AG193" s="0" t="n">
        <v>0</v>
      </c>
      <c r="AH193" s="254" t="n">
        <v>108.869881212428</v>
      </c>
      <c r="AI193" s="0" t="n">
        <v>226</v>
      </c>
      <c r="AJ193" s="0" t="s">
        <v>630</v>
      </c>
      <c r="AK193" s="0" t="n">
        <v>0</v>
      </c>
      <c r="AL193" s="0" t="n">
        <v>0</v>
      </c>
      <c r="AM193" s="0" t="n">
        <v>0</v>
      </c>
    </row>
    <row r="194" customFormat="false" ht="12.75" hidden="false" customHeight="false" outlineLevel="0" collapsed="false">
      <c r="A194" s="0" t="s">
        <v>631</v>
      </c>
      <c r="B194" s="0" t="s">
        <v>269</v>
      </c>
      <c r="C194" s="0" t="s">
        <v>622</v>
      </c>
      <c r="D194" s="0" t="s">
        <v>623</v>
      </c>
      <c r="E194" s="0" t="s">
        <v>131</v>
      </c>
      <c r="F194" s="0" t="s">
        <v>204</v>
      </c>
      <c r="G194" s="0" t="s">
        <v>628</v>
      </c>
      <c r="H194" s="0" t="s">
        <v>625</v>
      </c>
      <c r="I194" s="0" t="s">
        <v>626</v>
      </c>
      <c r="J194" s="0" t="s">
        <v>627</v>
      </c>
      <c r="K194" s="475" t="n">
        <v>36770</v>
      </c>
      <c r="L194" s="254" t="n">
        <v>1342.01653445336</v>
      </c>
      <c r="M194" s="475" t="n">
        <v>36768</v>
      </c>
      <c r="N194" s="0" t="s">
        <v>132</v>
      </c>
      <c r="O194" s="0" t="n">
        <v>0.1675</v>
      </c>
      <c r="P194" s="0" t="n">
        <v>0</v>
      </c>
      <c r="Q194" s="0" t="n">
        <v>0</v>
      </c>
      <c r="R194" s="0" t="n">
        <v>0</v>
      </c>
      <c r="S194" s="0" t="n">
        <v>0</v>
      </c>
      <c r="T194" s="0" t="s">
        <v>624</v>
      </c>
      <c r="U194" s="0" t="s">
        <v>150</v>
      </c>
      <c r="V194" s="0" t="s">
        <v>624</v>
      </c>
      <c r="W194" s="0" t="s">
        <v>569</v>
      </c>
      <c r="X194" s="0" t="s">
        <v>624</v>
      </c>
      <c r="Y194" s="0" t="s">
        <v>627</v>
      </c>
      <c r="Z194" s="0" t="s">
        <v>629</v>
      </c>
      <c r="AA194" s="0" t="s">
        <v>624</v>
      </c>
      <c r="AB194" s="0" t="s">
        <v>580</v>
      </c>
      <c r="AC194" s="254" t="n">
        <v>300000</v>
      </c>
      <c r="AD194" s="254" t="n">
        <v>331.058882162819</v>
      </c>
      <c r="AE194" s="0" t="n">
        <v>0</v>
      </c>
      <c r="AF194" s="0" t="n">
        <v>0</v>
      </c>
      <c r="AG194" s="0" t="n">
        <v>0</v>
      </c>
      <c r="AH194" s="254" t="n">
        <v>39.1546016521361</v>
      </c>
      <c r="AI194" s="0" t="n">
        <v>226</v>
      </c>
      <c r="AJ194" s="0" t="s">
        <v>630</v>
      </c>
      <c r="AK194" s="0" t="n">
        <v>0</v>
      </c>
      <c r="AL194" s="0" t="n">
        <v>0</v>
      </c>
      <c r="AM194" s="0" t="n">
        <v>0</v>
      </c>
    </row>
    <row r="195" customFormat="false" ht="12.75" hidden="false" customHeight="false" outlineLevel="0" collapsed="false">
      <c r="A195" s="0" t="s">
        <v>631</v>
      </c>
      <c r="B195" s="0" t="s">
        <v>270</v>
      </c>
      <c r="C195" s="0" t="s">
        <v>622</v>
      </c>
      <c r="D195" s="0" t="s">
        <v>623</v>
      </c>
      <c r="E195" s="0" t="s">
        <v>131</v>
      </c>
      <c r="F195" s="0" t="s">
        <v>196</v>
      </c>
      <c r="G195" s="0" t="s">
        <v>628</v>
      </c>
      <c r="H195" s="0" t="s">
        <v>625</v>
      </c>
      <c r="I195" s="0" t="s">
        <v>626</v>
      </c>
      <c r="J195" s="0" t="s">
        <v>627</v>
      </c>
      <c r="K195" s="475" t="n">
        <v>36800</v>
      </c>
      <c r="L195" s="254" t="n">
        <v>291267.112906856</v>
      </c>
      <c r="M195" s="475" t="n">
        <v>36797</v>
      </c>
      <c r="N195" s="0" t="s">
        <v>136</v>
      </c>
      <c r="O195" s="0" t="n">
        <v>0.1</v>
      </c>
      <c r="P195" s="0" t="n">
        <v>0</v>
      </c>
      <c r="Q195" s="0" t="n">
        <v>0</v>
      </c>
      <c r="R195" s="0" t="n">
        <v>0</v>
      </c>
      <c r="S195" s="0" t="n">
        <v>0</v>
      </c>
      <c r="T195" s="0" t="s">
        <v>624</v>
      </c>
      <c r="U195" s="0" t="s">
        <v>137</v>
      </c>
      <c r="V195" s="0" t="s">
        <v>624</v>
      </c>
      <c r="W195" s="0" t="s">
        <v>569</v>
      </c>
      <c r="X195" s="0" t="s">
        <v>624</v>
      </c>
      <c r="Y195" s="0" t="s">
        <v>627</v>
      </c>
      <c r="Z195" s="0" t="s">
        <v>629</v>
      </c>
      <c r="AA195" s="0" t="s">
        <v>624</v>
      </c>
      <c r="AB195" s="0" t="s">
        <v>580</v>
      </c>
      <c r="AC195" s="254" t="n">
        <v>155000</v>
      </c>
      <c r="AD195" s="254" t="n">
        <v>11.4326712136972</v>
      </c>
      <c r="AE195" s="0" t="n">
        <v>0</v>
      </c>
      <c r="AF195" s="0" t="n">
        <v>0</v>
      </c>
      <c r="AG195" s="0" t="n">
        <v>0</v>
      </c>
      <c r="AH195" s="254" t="n">
        <v>-6159.06847172824</v>
      </c>
      <c r="AI195" s="0" t="n">
        <v>226</v>
      </c>
      <c r="AJ195" s="0" t="s">
        <v>630</v>
      </c>
      <c r="AK195" s="0" t="n">
        <v>0</v>
      </c>
      <c r="AL195" s="0" t="n">
        <v>0</v>
      </c>
      <c r="AM195" s="0" t="n">
        <v>0</v>
      </c>
    </row>
    <row r="196" customFormat="false" ht="12.75" hidden="false" customHeight="false" outlineLevel="0" collapsed="false">
      <c r="A196" s="0" t="s">
        <v>631</v>
      </c>
      <c r="B196" s="0" t="s">
        <v>270</v>
      </c>
      <c r="C196" s="0" t="s">
        <v>622</v>
      </c>
      <c r="D196" s="0" t="s">
        <v>623</v>
      </c>
      <c r="E196" s="0" t="s">
        <v>131</v>
      </c>
      <c r="F196" s="0" t="s">
        <v>196</v>
      </c>
      <c r="G196" s="0" t="s">
        <v>628</v>
      </c>
      <c r="H196" s="0" t="s">
        <v>625</v>
      </c>
      <c r="I196" s="0" t="s">
        <v>626</v>
      </c>
      <c r="J196" s="0" t="s">
        <v>627</v>
      </c>
      <c r="K196" s="475" t="n">
        <v>36770</v>
      </c>
      <c r="L196" s="254" t="n">
        <v>359867.571472603</v>
      </c>
      <c r="M196" s="475" t="n">
        <v>36768</v>
      </c>
      <c r="N196" s="0" t="s">
        <v>136</v>
      </c>
      <c r="O196" s="0" t="n">
        <v>0.1</v>
      </c>
      <c r="P196" s="0" t="n">
        <v>0</v>
      </c>
      <c r="Q196" s="0" t="n">
        <v>0</v>
      </c>
      <c r="R196" s="0" t="n">
        <v>0</v>
      </c>
      <c r="S196" s="0" t="n">
        <v>0</v>
      </c>
      <c r="T196" s="0" t="s">
        <v>624</v>
      </c>
      <c r="U196" s="0" t="s">
        <v>137</v>
      </c>
      <c r="V196" s="0" t="s">
        <v>624</v>
      </c>
      <c r="W196" s="0" t="s">
        <v>569</v>
      </c>
      <c r="X196" s="0" t="s">
        <v>624</v>
      </c>
      <c r="Y196" s="0" t="s">
        <v>627</v>
      </c>
      <c r="Z196" s="0" t="s">
        <v>629</v>
      </c>
      <c r="AA196" s="0" t="s">
        <v>624</v>
      </c>
      <c r="AB196" s="0" t="s">
        <v>580</v>
      </c>
      <c r="AC196" s="254" t="n">
        <v>150000</v>
      </c>
      <c r="AD196" s="254" t="n">
        <v>-0.00598542863735929</v>
      </c>
      <c r="AE196" s="0" t="n">
        <v>0</v>
      </c>
      <c r="AF196" s="0" t="n">
        <v>0</v>
      </c>
      <c r="AG196" s="0" t="n">
        <v>0</v>
      </c>
      <c r="AH196" s="254" t="n">
        <v>39713.4735704744</v>
      </c>
      <c r="AI196" s="0" t="n">
        <v>226</v>
      </c>
      <c r="AJ196" s="0" t="s">
        <v>630</v>
      </c>
      <c r="AK196" s="0" t="n">
        <v>0</v>
      </c>
      <c r="AL196" s="0" t="n">
        <v>0</v>
      </c>
      <c r="AM196" s="0" t="n">
        <v>0</v>
      </c>
    </row>
    <row r="197" customFormat="false" ht="12.75" hidden="false" customHeight="false" outlineLevel="0" collapsed="false">
      <c r="A197" s="0" t="s">
        <v>631</v>
      </c>
      <c r="B197" s="0" t="s">
        <v>271</v>
      </c>
      <c r="C197" s="0" t="s">
        <v>622</v>
      </c>
      <c r="D197" s="0" t="s">
        <v>623</v>
      </c>
      <c r="E197" s="0" t="s">
        <v>131</v>
      </c>
      <c r="F197" s="0" t="s">
        <v>244</v>
      </c>
      <c r="G197" s="0" t="s">
        <v>628</v>
      </c>
      <c r="H197" s="0" t="s">
        <v>625</v>
      </c>
      <c r="I197" s="0" t="s">
        <v>626</v>
      </c>
      <c r="J197" s="0" t="s">
        <v>627</v>
      </c>
      <c r="K197" s="475" t="n">
        <v>36951</v>
      </c>
      <c r="L197" s="254" t="n">
        <v>-62469.0598139184</v>
      </c>
      <c r="M197" s="475" t="n">
        <v>36949</v>
      </c>
      <c r="N197" s="0" t="s">
        <v>136</v>
      </c>
      <c r="O197" s="0" t="n">
        <v>2.2</v>
      </c>
      <c r="P197" s="0" t="n">
        <v>0</v>
      </c>
      <c r="Q197" s="0" t="n">
        <v>0</v>
      </c>
      <c r="R197" s="0" t="n">
        <v>0</v>
      </c>
      <c r="S197" s="0" t="n">
        <v>0</v>
      </c>
      <c r="T197" s="0" t="s">
        <v>624</v>
      </c>
      <c r="U197" s="0" t="s">
        <v>149</v>
      </c>
      <c r="V197" s="0" t="s">
        <v>624</v>
      </c>
      <c r="W197" s="0" t="s">
        <v>569</v>
      </c>
      <c r="X197" s="0" t="s">
        <v>624</v>
      </c>
      <c r="Y197" s="0" t="s">
        <v>627</v>
      </c>
      <c r="Z197" s="0" t="s">
        <v>629</v>
      </c>
      <c r="AA197" s="0" t="s">
        <v>624</v>
      </c>
      <c r="AB197" s="0" t="s">
        <v>580</v>
      </c>
      <c r="AC197" s="254" t="n">
        <v>-310000</v>
      </c>
      <c r="AD197" s="254" t="n">
        <v>-20293.3085535308</v>
      </c>
      <c r="AE197" s="0" t="n">
        <v>0</v>
      </c>
      <c r="AF197" s="0" t="n">
        <v>0</v>
      </c>
      <c r="AG197" s="0" t="n">
        <v>0</v>
      </c>
      <c r="AH197" s="254" t="n">
        <v>-5874.0424031468</v>
      </c>
      <c r="AI197" s="0" t="n">
        <v>226</v>
      </c>
      <c r="AJ197" s="0" t="s">
        <v>630</v>
      </c>
      <c r="AK197" s="0" t="n">
        <v>0</v>
      </c>
      <c r="AL197" s="0" t="n">
        <v>0</v>
      </c>
      <c r="AM197" s="0" t="n">
        <v>0</v>
      </c>
    </row>
    <row r="198" customFormat="false" ht="12.75" hidden="false" customHeight="false" outlineLevel="0" collapsed="false">
      <c r="A198" s="0" t="s">
        <v>631</v>
      </c>
      <c r="B198" s="0" t="s">
        <v>271</v>
      </c>
      <c r="C198" s="0" t="s">
        <v>622</v>
      </c>
      <c r="D198" s="0" t="s">
        <v>623</v>
      </c>
      <c r="E198" s="0" t="s">
        <v>131</v>
      </c>
      <c r="F198" s="0" t="s">
        <v>244</v>
      </c>
      <c r="G198" s="0" t="s">
        <v>628</v>
      </c>
      <c r="H198" s="0" t="s">
        <v>625</v>
      </c>
      <c r="I198" s="0" t="s">
        <v>626</v>
      </c>
      <c r="J198" s="0" t="s">
        <v>627</v>
      </c>
      <c r="K198" s="475" t="n">
        <v>36923</v>
      </c>
      <c r="L198" s="254" t="n">
        <v>-179351.393791546</v>
      </c>
      <c r="M198" s="475" t="n">
        <v>36921</v>
      </c>
      <c r="N198" s="0" t="s">
        <v>136</v>
      </c>
      <c r="O198" s="0" t="n">
        <v>2.2</v>
      </c>
      <c r="P198" s="0" t="n">
        <v>0</v>
      </c>
      <c r="Q198" s="0" t="n">
        <v>0</v>
      </c>
      <c r="R198" s="0" t="n">
        <v>0</v>
      </c>
      <c r="S198" s="0" t="n">
        <v>0</v>
      </c>
      <c r="T198" s="0" t="s">
        <v>624</v>
      </c>
      <c r="U198" s="0" t="s">
        <v>149</v>
      </c>
      <c r="V198" s="0" t="s">
        <v>624</v>
      </c>
      <c r="W198" s="0" t="s">
        <v>569</v>
      </c>
      <c r="X198" s="0" t="s">
        <v>624</v>
      </c>
      <c r="Y198" s="0" t="s">
        <v>627</v>
      </c>
      <c r="Z198" s="0" t="s">
        <v>629</v>
      </c>
      <c r="AA198" s="0" t="s">
        <v>624</v>
      </c>
      <c r="AB198" s="0" t="s">
        <v>580</v>
      </c>
      <c r="AC198" s="254" t="n">
        <v>-280000</v>
      </c>
      <c r="AD198" s="254" t="n">
        <v>-23898.539070236</v>
      </c>
      <c r="AE198" s="0" t="n">
        <v>0</v>
      </c>
      <c r="AF198" s="0" t="n">
        <v>0</v>
      </c>
      <c r="AG198" s="0" t="n">
        <v>0</v>
      </c>
      <c r="AH198" s="254" t="n">
        <v>-11149.5579086736</v>
      </c>
      <c r="AI198" s="0" t="n">
        <v>226</v>
      </c>
      <c r="AJ198" s="0" t="s">
        <v>630</v>
      </c>
      <c r="AK198" s="0" t="n">
        <v>0</v>
      </c>
      <c r="AL198" s="0" t="n">
        <v>0</v>
      </c>
      <c r="AM198" s="0" t="n">
        <v>0</v>
      </c>
    </row>
    <row r="199" customFormat="false" ht="12.75" hidden="false" customHeight="false" outlineLevel="0" collapsed="false">
      <c r="A199" s="0" t="s">
        <v>631</v>
      </c>
      <c r="B199" s="0" t="s">
        <v>271</v>
      </c>
      <c r="C199" s="0" t="s">
        <v>622</v>
      </c>
      <c r="D199" s="0" t="s">
        <v>623</v>
      </c>
      <c r="E199" s="0" t="s">
        <v>131</v>
      </c>
      <c r="F199" s="0" t="s">
        <v>244</v>
      </c>
      <c r="G199" s="0" t="s">
        <v>628</v>
      </c>
      <c r="H199" s="0" t="s">
        <v>625</v>
      </c>
      <c r="I199" s="0" t="s">
        <v>626</v>
      </c>
      <c r="J199" s="0" t="s">
        <v>627</v>
      </c>
      <c r="K199" s="475" t="n">
        <v>36892</v>
      </c>
      <c r="L199" s="254" t="n">
        <v>-199213.597466951</v>
      </c>
      <c r="M199" s="475" t="n">
        <v>36888</v>
      </c>
      <c r="N199" s="0" t="s">
        <v>136</v>
      </c>
      <c r="O199" s="0" t="n">
        <v>2.2</v>
      </c>
      <c r="P199" s="0" t="n">
        <v>0</v>
      </c>
      <c r="Q199" s="0" t="n">
        <v>0</v>
      </c>
      <c r="R199" s="0" t="n">
        <v>0</v>
      </c>
      <c r="S199" s="0" t="n">
        <v>0</v>
      </c>
      <c r="T199" s="0" t="s">
        <v>624</v>
      </c>
      <c r="U199" s="0" t="s">
        <v>149</v>
      </c>
      <c r="V199" s="0" t="s">
        <v>624</v>
      </c>
      <c r="W199" s="0" t="s">
        <v>569</v>
      </c>
      <c r="X199" s="0" t="s">
        <v>624</v>
      </c>
      <c r="Y199" s="0" t="s">
        <v>627</v>
      </c>
      <c r="Z199" s="0" t="s">
        <v>629</v>
      </c>
      <c r="AA199" s="0" t="s">
        <v>624</v>
      </c>
      <c r="AB199" s="0" t="s">
        <v>580</v>
      </c>
      <c r="AC199" s="254" t="n">
        <v>-310000</v>
      </c>
      <c r="AD199" s="254" t="n">
        <v>-24307.5031478081</v>
      </c>
      <c r="AE199" s="0" t="n">
        <v>0</v>
      </c>
      <c r="AF199" s="0" t="n">
        <v>0</v>
      </c>
      <c r="AG199" s="0" t="n">
        <v>0</v>
      </c>
      <c r="AH199" s="254" t="n">
        <v>-10942.2877745241</v>
      </c>
      <c r="AI199" s="0" t="n">
        <v>226</v>
      </c>
      <c r="AJ199" s="0" t="s">
        <v>630</v>
      </c>
      <c r="AK199" s="0" t="n">
        <v>0</v>
      </c>
      <c r="AL199" s="0" t="n">
        <v>0</v>
      </c>
      <c r="AM199" s="0" t="n">
        <v>0</v>
      </c>
    </row>
    <row r="200" customFormat="false" ht="12.75" hidden="false" customHeight="false" outlineLevel="0" collapsed="false">
      <c r="A200" s="0" t="s">
        <v>631</v>
      </c>
      <c r="B200" s="0" t="s">
        <v>271</v>
      </c>
      <c r="C200" s="0" t="s">
        <v>622</v>
      </c>
      <c r="D200" s="0" t="s">
        <v>623</v>
      </c>
      <c r="E200" s="0" t="s">
        <v>131</v>
      </c>
      <c r="F200" s="0" t="s">
        <v>244</v>
      </c>
      <c r="G200" s="0" t="s">
        <v>628</v>
      </c>
      <c r="H200" s="0" t="s">
        <v>625</v>
      </c>
      <c r="I200" s="0" t="s">
        <v>626</v>
      </c>
      <c r="J200" s="0" t="s">
        <v>627</v>
      </c>
      <c r="K200" s="475" t="n">
        <v>36861</v>
      </c>
      <c r="L200" s="254" t="n">
        <v>-99869.1452361748</v>
      </c>
      <c r="M200" s="475" t="n">
        <v>36859</v>
      </c>
      <c r="N200" s="0" t="s">
        <v>136</v>
      </c>
      <c r="O200" s="0" t="n">
        <v>2.2</v>
      </c>
      <c r="P200" s="0" t="n">
        <v>0</v>
      </c>
      <c r="Q200" s="0" t="n">
        <v>0</v>
      </c>
      <c r="R200" s="0" t="n">
        <v>0</v>
      </c>
      <c r="S200" s="0" t="n">
        <v>0</v>
      </c>
      <c r="T200" s="0" t="s">
        <v>624</v>
      </c>
      <c r="U200" s="0" t="s">
        <v>149</v>
      </c>
      <c r="V200" s="0" t="s">
        <v>624</v>
      </c>
      <c r="W200" s="0" t="s">
        <v>569</v>
      </c>
      <c r="X200" s="0" t="s">
        <v>624</v>
      </c>
      <c r="Y200" s="0" t="s">
        <v>627</v>
      </c>
      <c r="Z200" s="0" t="s">
        <v>629</v>
      </c>
      <c r="AA200" s="0" t="s">
        <v>624</v>
      </c>
      <c r="AB200" s="0" t="s">
        <v>580</v>
      </c>
      <c r="AC200" s="254" t="n">
        <v>-310000</v>
      </c>
      <c r="AD200" s="254" t="n">
        <v>-19894.0137295742</v>
      </c>
      <c r="AE200" s="0" t="n">
        <v>0</v>
      </c>
      <c r="AF200" s="0" t="n">
        <v>0</v>
      </c>
      <c r="AG200" s="0" t="n">
        <v>0</v>
      </c>
      <c r="AH200" s="254" t="n">
        <v>-6252.92251072674</v>
      </c>
      <c r="AI200" s="0" t="n">
        <v>226</v>
      </c>
      <c r="AJ200" s="0" t="s">
        <v>630</v>
      </c>
      <c r="AK200" s="0" t="n">
        <v>0</v>
      </c>
      <c r="AL200" s="0" t="n">
        <v>0</v>
      </c>
      <c r="AM200" s="0" t="n">
        <v>0</v>
      </c>
    </row>
    <row r="201" customFormat="false" ht="12.75" hidden="false" customHeight="false" outlineLevel="0" collapsed="false">
      <c r="A201" s="0" t="s">
        <v>631</v>
      </c>
      <c r="B201" s="0" t="s">
        <v>271</v>
      </c>
      <c r="C201" s="0" t="s">
        <v>622</v>
      </c>
      <c r="D201" s="0" t="s">
        <v>623</v>
      </c>
      <c r="E201" s="0" t="s">
        <v>131</v>
      </c>
      <c r="F201" s="0" t="s">
        <v>244</v>
      </c>
      <c r="G201" s="0" t="s">
        <v>628</v>
      </c>
      <c r="H201" s="0" t="s">
        <v>625</v>
      </c>
      <c r="I201" s="0" t="s">
        <v>626</v>
      </c>
      <c r="J201" s="0" t="s">
        <v>627</v>
      </c>
      <c r="K201" s="475" t="n">
        <v>36831</v>
      </c>
      <c r="L201" s="254" t="n">
        <v>-3864.0810378615</v>
      </c>
      <c r="M201" s="475" t="n">
        <v>36829</v>
      </c>
      <c r="N201" s="0" t="s">
        <v>136</v>
      </c>
      <c r="O201" s="0" t="n">
        <v>2.2</v>
      </c>
      <c r="P201" s="0" t="n">
        <v>0</v>
      </c>
      <c r="Q201" s="0" t="n">
        <v>0</v>
      </c>
      <c r="R201" s="0" t="n">
        <v>0</v>
      </c>
      <c r="S201" s="0" t="n">
        <v>0</v>
      </c>
      <c r="T201" s="0" t="s">
        <v>624</v>
      </c>
      <c r="U201" s="0" t="s">
        <v>149</v>
      </c>
      <c r="V201" s="0" t="s">
        <v>624</v>
      </c>
      <c r="W201" s="0" t="s">
        <v>569</v>
      </c>
      <c r="X201" s="0" t="s">
        <v>624</v>
      </c>
      <c r="Y201" s="0" t="s">
        <v>627</v>
      </c>
      <c r="Z201" s="0" t="s">
        <v>629</v>
      </c>
      <c r="AA201" s="0" t="s">
        <v>624</v>
      </c>
      <c r="AB201" s="0" t="s">
        <v>580</v>
      </c>
      <c r="AC201" s="254" t="n">
        <v>-300000</v>
      </c>
      <c r="AD201" s="254" t="n">
        <v>-2694.80816454911</v>
      </c>
      <c r="AE201" s="0" t="n">
        <v>0</v>
      </c>
      <c r="AF201" s="0" t="n">
        <v>0</v>
      </c>
      <c r="AG201" s="0" t="n">
        <v>0</v>
      </c>
      <c r="AH201" s="254" t="n">
        <v>-688.906674979194</v>
      </c>
      <c r="AI201" s="0" t="n">
        <v>226</v>
      </c>
      <c r="AJ201" s="0" t="s">
        <v>630</v>
      </c>
      <c r="AK201" s="0" t="n">
        <v>0</v>
      </c>
      <c r="AL201" s="0" t="n">
        <v>0</v>
      </c>
      <c r="AM201" s="0" t="n">
        <v>0</v>
      </c>
    </row>
    <row r="202" customFormat="false" ht="12.75" hidden="false" customHeight="false" outlineLevel="0" collapsed="false">
      <c r="A202" s="0" t="s">
        <v>631</v>
      </c>
      <c r="B202" s="0" t="s">
        <v>272</v>
      </c>
      <c r="C202" s="0" t="s">
        <v>622</v>
      </c>
      <c r="D202" s="0" t="s">
        <v>623</v>
      </c>
      <c r="E202" s="0" t="s">
        <v>131</v>
      </c>
      <c r="F202" s="0" t="s">
        <v>206</v>
      </c>
      <c r="G202" s="0" t="s">
        <v>628</v>
      </c>
      <c r="H202" s="0" t="s">
        <v>625</v>
      </c>
      <c r="I202" s="0" t="s">
        <v>626</v>
      </c>
      <c r="J202" s="0" t="s">
        <v>627</v>
      </c>
      <c r="K202" s="475" t="n">
        <v>36951</v>
      </c>
      <c r="L202" s="254" t="n">
        <v>-164993.618616551</v>
      </c>
      <c r="M202" s="475" t="n">
        <v>36949</v>
      </c>
      <c r="N202" s="0" t="s">
        <v>136</v>
      </c>
      <c r="O202" s="0" t="n">
        <v>1.6</v>
      </c>
      <c r="P202" s="0" t="n">
        <v>0</v>
      </c>
      <c r="Q202" s="0" t="n">
        <v>0</v>
      </c>
      <c r="R202" s="0" t="n">
        <v>0</v>
      </c>
      <c r="S202" s="0" t="n">
        <v>0</v>
      </c>
      <c r="T202" s="0" t="s">
        <v>624</v>
      </c>
      <c r="U202" s="0" t="s">
        <v>149</v>
      </c>
      <c r="V202" s="0" t="s">
        <v>624</v>
      </c>
      <c r="W202" s="0" t="s">
        <v>569</v>
      </c>
      <c r="X202" s="0" t="s">
        <v>624</v>
      </c>
      <c r="Y202" s="0" t="s">
        <v>627</v>
      </c>
      <c r="Z202" s="0" t="s">
        <v>629</v>
      </c>
      <c r="AA202" s="0" t="s">
        <v>624</v>
      </c>
      <c r="AB202" s="0" t="s">
        <v>580</v>
      </c>
      <c r="AC202" s="254" t="n">
        <v>-500000</v>
      </c>
      <c r="AD202" s="254" t="n">
        <v>-40486.3019028012</v>
      </c>
      <c r="AE202" s="0" t="n">
        <v>0</v>
      </c>
      <c r="AF202" s="0" t="n">
        <v>0</v>
      </c>
      <c r="AG202" s="0" t="n">
        <v>0</v>
      </c>
      <c r="AH202" s="254" t="n">
        <v>-13572.421626798</v>
      </c>
      <c r="AI202" s="0" t="n">
        <v>226</v>
      </c>
      <c r="AJ202" s="0" t="s">
        <v>630</v>
      </c>
      <c r="AK202" s="0" t="n">
        <v>0</v>
      </c>
      <c r="AL202" s="0" t="n">
        <v>0</v>
      </c>
      <c r="AM202" s="0" t="n">
        <v>0</v>
      </c>
    </row>
    <row r="203" customFormat="false" ht="12.75" hidden="false" customHeight="false" outlineLevel="0" collapsed="false">
      <c r="A203" s="0" t="s">
        <v>631</v>
      </c>
      <c r="B203" s="0" t="s">
        <v>272</v>
      </c>
      <c r="C203" s="0" t="s">
        <v>622</v>
      </c>
      <c r="D203" s="0" t="s">
        <v>623</v>
      </c>
      <c r="E203" s="0" t="s">
        <v>131</v>
      </c>
      <c r="F203" s="0" t="s">
        <v>206</v>
      </c>
      <c r="G203" s="0" t="s">
        <v>628</v>
      </c>
      <c r="H203" s="0" t="s">
        <v>625</v>
      </c>
      <c r="I203" s="0" t="s">
        <v>626</v>
      </c>
      <c r="J203" s="0" t="s">
        <v>627</v>
      </c>
      <c r="K203" s="475" t="n">
        <v>36923</v>
      </c>
      <c r="L203" s="254" t="n">
        <v>-453075.250208886</v>
      </c>
      <c r="M203" s="475" t="n">
        <v>36921</v>
      </c>
      <c r="N203" s="0" t="s">
        <v>136</v>
      </c>
      <c r="O203" s="0" t="n">
        <v>1.6</v>
      </c>
      <c r="P203" s="0" t="n">
        <v>0</v>
      </c>
      <c r="Q203" s="0" t="n">
        <v>0</v>
      </c>
      <c r="R203" s="0" t="n">
        <v>0</v>
      </c>
      <c r="S203" s="0" t="n">
        <v>0</v>
      </c>
      <c r="T203" s="0" t="s">
        <v>624</v>
      </c>
      <c r="U203" s="0" t="s">
        <v>149</v>
      </c>
      <c r="V203" s="0" t="s">
        <v>624</v>
      </c>
      <c r="W203" s="0" t="s">
        <v>569</v>
      </c>
      <c r="X203" s="0" t="s">
        <v>624</v>
      </c>
      <c r="Y203" s="0" t="s">
        <v>627</v>
      </c>
      <c r="Z203" s="0" t="s">
        <v>629</v>
      </c>
      <c r="AA203" s="0" t="s">
        <v>624</v>
      </c>
      <c r="AB203" s="0" t="s">
        <v>580</v>
      </c>
      <c r="AC203" s="254" t="n">
        <v>-500000</v>
      </c>
      <c r="AD203" s="254" t="n">
        <v>-41984.3190253582</v>
      </c>
      <c r="AE203" s="0" t="n">
        <v>0</v>
      </c>
      <c r="AF203" s="0" t="n">
        <v>0</v>
      </c>
      <c r="AG203" s="0" t="n">
        <v>0</v>
      </c>
      <c r="AH203" s="254" t="n">
        <v>-24464.7308334743</v>
      </c>
      <c r="AI203" s="0" t="n">
        <v>226</v>
      </c>
      <c r="AJ203" s="0" t="s">
        <v>630</v>
      </c>
      <c r="AK203" s="0" t="n">
        <v>0</v>
      </c>
      <c r="AL203" s="0" t="n">
        <v>0</v>
      </c>
      <c r="AM203" s="0" t="n">
        <v>0</v>
      </c>
    </row>
    <row r="204" customFormat="false" ht="12.75" hidden="false" customHeight="false" outlineLevel="0" collapsed="false">
      <c r="A204" s="0" t="s">
        <v>631</v>
      </c>
      <c r="B204" s="0" t="s">
        <v>272</v>
      </c>
      <c r="C204" s="0" t="s">
        <v>622</v>
      </c>
      <c r="D204" s="0" t="s">
        <v>623</v>
      </c>
      <c r="E204" s="0" t="s">
        <v>131</v>
      </c>
      <c r="F204" s="0" t="s">
        <v>206</v>
      </c>
      <c r="G204" s="0" t="s">
        <v>628</v>
      </c>
      <c r="H204" s="0" t="s">
        <v>625</v>
      </c>
      <c r="I204" s="0" t="s">
        <v>626</v>
      </c>
      <c r="J204" s="0" t="s">
        <v>627</v>
      </c>
      <c r="K204" s="475" t="n">
        <v>36892</v>
      </c>
      <c r="L204" s="254" t="n">
        <v>-464051.028212785</v>
      </c>
      <c r="M204" s="475" t="n">
        <v>36888</v>
      </c>
      <c r="N204" s="0" t="s">
        <v>136</v>
      </c>
      <c r="O204" s="0" t="n">
        <v>1.6</v>
      </c>
      <c r="P204" s="0" t="n">
        <v>0</v>
      </c>
      <c r="Q204" s="0" t="n">
        <v>0</v>
      </c>
      <c r="R204" s="0" t="n">
        <v>0</v>
      </c>
      <c r="S204" s="0" t="n">
        <v>0</v>
      </c>
      <c r="T204" s="0" t="s">
        <v>624</v>
      </c>
      <c r="U204" s="0" t="s">
        <v>149</v>
      </c>
      <c r="V204" s="0" t="s">
        <v>624</v>
      </c>
      <c r="W204" s="0" t="s">
        <v>569</v>
      </c>
      <c r="X204" s="0" t="s">
        <v>624</v>
      </c>
      <c r="Y204" s="0" t="s">
        <v>627</v>
      </c>
      <c r="Z204" s="0" t="s">
        <v>629</v>
      </c>
      <c r="AA204" s="0" t="s">
        <v>624</v>
      </c>
      <c r="AB204" s="0" t="s">
        <v>580</v>
      </c>
      <c r="AC204" s="254" t="n">
        <v>-500000</v>
      </c>
      <c r="AD204" s="254" t="n">
        <v>-37672.5296271704</v>
      </c>
      <c r="AE204" s="0" t="n">
        <v>0</v>
      </c>
      <c r="AF204" s="0" t="n">
        <v>0</v>
      </c>
      <c r="AG204" s="0" t="n">
        <v>0</v>
      </c>
      <c r="AH204" s="254" t="n">
        <v>-21769.1083987984</v>
      </c>
      <c r="AI204" s="0" t="n">
        <v>226</v>
      </c>
      <c r="AJ204" s="0" t="s">
        <v>630</v>
      </c>
      <c r="AK204" s="0" t="n">
        <v>0</v>
      </c>
      <c r="AL204" s="0" t="n">
        <v>0</v>
      </c>
      <c r="AM204" s="0" t="n">
        <v>0</v>
      </c>
    </row>
    <row r="205" customFormat="false" ht="12.75" hidden="false" customHeight="false" outlineLevel="0" collapsed="false">
      <c r="A205" s="0" t="s">
        <v>631</v>
      </c>
      <c r="B205" s="0" t="s">
        <v>272</v>
      </c>
      <c r="C205" s="0" t="s">
        <v>622</v>
      </c>
      <c r="D205" s="0" t="s">
        <v>623</v>
      </c>
      <c r="E205" s="0" t="s">
        <v>131</v>
      </c>
      <c r="F205" s="0" t="s">
        <v>206</v>
      </c>
      <c r="G205" s="0" t="s">
        <v>628</v>
      </c>
      <c r="H205" s="0" t="s">
        <v>625</v>
      </c>
      <c r="I205" s="0" t="s">
        <v>626</v>
      </c>
      <c r="J205" s="0" t="s">
        <v>627</v>
      </c>
      <c r="K205" s="475" t="n">
        <v>36861</v>
      </c>
      <c r="L205" s="254" t="n">
        <v>-267671.475447127</v>
      </c>
      <c r="M205" s="475" t="n">
        <v>36859</v>
      </c>
      <c r="N205" s="0" t="s">
        <v>136</v>
      </c>
      <c r="O205" s="0" t="n">
        <v>1.6</v>
      </c>
      <c r="P205" s="0" t="n">
        <v>0</v>
      </c>
      <c r="Q205" s="0" t="n">
        <v>0</v>
      </c>
      <c r="R205" s="0" t="n">
        <v>0</v>
      </c>
      <c r="S205" s="0" t="n">
        <v>0</v>
      </c>
      <c r="T205" s="0" t="s">
        <v>624</v>
      </c>
      <c r="U205" s="0" t="s">
        <v>149</v>
      </c>
      <c r="V205" s="0" t="s">
        <v>624</v>
      </c>
      <c r="W205" s="0" t="s">
        <v>569</v>
      </c>
      <c r="X205" s="0" t="s">
        <v>624</v>
      </c>
      <c r="Y205" s="0" t="s">
        <v>627</v>
      </c>
      <c r="Z205" s="0" t="s">
        <v>629</v>
      </c>
      <c r="AA205" s="0" t="s">
        <v>624</v>
      </c>
      <c r="AB205" s="0" t="s">
        <v>580</v>
      </c>
      <c r="AC205" s="254" t="n">
        <v>-500000</v>
      </c>
      <c r="AD205" s="254" t="n">
        <v>-35401.2014237187</v>
      </c>
      <c r="AE205" s="0" t="n">
        <v>0</v>
      </c>
      <c r="AF205" s="0" t="n">
        <v>0</v>
      </c>
      <c r="AG205" s="0" t="n">
        <v>0</v>
      </c>
      <c r="AH205" s="254" t="n">
        <v>-13921.8512695827</v>
      </c>
      <c r="AI205" s="0" t="n">
        <v>226</v>
      </c>
      <c r="AJ205" s="0" t="s">
        <v>630</v>
      </c>
      <c r="AK205" s="0" t="n">
        <v>0</v>
      </c>
      <c r="AL205" s="0" t="n">
        <v>0</v>
      </c>
      <c r="AM205" s="0" t="n">
        <v>0</v>
      </c>
    </row>
    <row r="206" customFormat="false" ht="12.75" hidden="false" customHeight="false" outlineLevel="0" collapsed="false">
      <c r="A206" s="0" t="s">
        <v>631</v>
      </c>
      <c r="B206" s="0" t="s">
        <v>272</v>
      </c>
      <c r="C206" s="0" t="s">
        <v>622</v>
      </c>
      <c r="D206" s="0" t="s">
        <v>623</v>
      </c>
      <c r="E206" s="0" t="s">
        <v>131</v>
      </c>
      <c r="F206" s="0" t="s">
        <v>206</v>
      </c>
      <c r="G206" s="0" t="s">
        <v>628</v>
      </c>
      <c r="H206" s="0" t="s">
        <v>625</v>
      </c>
      <c r="I206" s="0" t="s">
        <v>626</v>
      </c>
      <c r="J206" s="0" t="s">
        <v>627</v>
      </c>
      <c r="K206" s="475" t="n">
        <v>36831</v>
      </c>
      <c r="L206" s="254" t="n">
        <v>-24777.4772968778</v>
      </c>
      <c r="M206" s="475" t="n">
        <v>36829</v>
      </c>
      <c r="N206" s="0" t="s">
        <v>136</v>
      </c>
      <c r="O206" s="0" t="n">
        <v>1.6</v>
      </c>
      <c r="P206" s="0" t="n">
        <v>0</v>
      </c>
      <c r="Q206" s="0" t="n">
        <v>0</v>
      </c>
      <c r="R206" s="0" t="n">
        <v>0</v>
      </c>
      <c r="S206" s="0" t="n">
        <v>0</v>
      </c>
      <c r="T206" s="0" t="s">
        <v>624</v>
      </c>
      <c r="U206" s="0" t="s">
        <v>149</v>
      </c>
      <c r="V206" s="0" t="s">
        <v>624</v>
      </c>
      <c r="W206" s="0" t="s">
        <v>569</v>
      </c>
      <c r="X206" s="0" t="s">
        <v>624</v>
      </c>
      <c r="Y206" s="0" t="s">
        <v>627</v>
      </c>
      <c r="Z206" s="0" t="s">
        <v>629</v>
      </c>
      <c r="AA206" s="0" t="s">
        <v>624</v>
      </c>
      <c r="AB206" s="0" t="s">
        <v>580</v>
      </c>
      <c r="AC206" s="254" t="n">
        <v>-500000</v>
      </c>
      <c r="AD206" s="254" t="n">
        <v>-11503.9442741136</v>
      </c>
      <c r="AE206" s="0" t="n">
        <v>0</v>
      </c>
      <c r="AF206" s="0" t="n">
        <v>0</v>
      </c>
      <c r="AG206" s="0" t="n">
        <v>0</v>
      </c>
      <c r="AH206" s="254" t="n">
        <v>-3479.1637170616</v>
      </c>
      <c r="AI206" s="0" t="n">
        <v>226</v>
      </c>
      <c r="AJ206" s="0" t="s">
        <v>630</v>
      </c>
      <c r="AK206" s="0" t="n">
        <v>0</v>
      </c>
      <c r="AL206" s="0" t="n">
        <v>0</v>
      </c>
      <c r="AM206" s="0" t="n">
        <v>0</v>
      </c>
    </row>
    <row r="207" customFormat="false" ht="12.75" hidden="false" customHeight="false" outlineLevel="0" collapsed="false">
      <c r="A207" s="0" t="s">
        <v>631</v>
      </c>
      <c r="B207" s="0" t="s">
        <v>273</v>
      </c>
      <c r="C207" s="0" t="s">
        <v>622</v>
      </c>
      <c r="D207" s="0" t="s">
        <v>623</v>
      </c>
      <c r="E207" s="0" t="s">
        <v>131</v>
      </c>
      <c r="F207" s="0" t="s">
        <v>206</v>
      </c>
      <c r="G207" s="0" t="s">
        <v>628</v>
      </c>
      <c r="H207" s="0" t="s">
        <v>625</v>
      </c>
      <c r="I207" s="0" t="s">
        <v>626</v>
      </c>
      <c r="J207" s="0" t="s">
        <v>627</v>
      </c>
      <c r="K207" s="475" t="n">
        <v>36951</v>
      </c>
      <c r="L207" s="254" t="n">
        <v>109371.689823877</v>
      </c>
      <c r="M207" s="475" t="n">
        <v>36949</v>
      </c>
      <c r="N207" s="0" t="s">
        <v>136</v>
      </c>
      <c r="O207" s="0" t="n">
        <v>2.1</v>
      </c>
      <c r="P207" s="0" t="n">
        <v>0</v>
      </c>
      <c r="Q207" s="0" t="n">
        <v>0</v>
      </c>
      <c r="R207" s="0" t="n">
        <v>0</v>
      </c>
      <c r="S207" s="0" t="n">
        <v>0</v>
      </c>
      <c r="T207" s="0" t="s">
        <v>624</v>
      </c>
      <c r="U207" s="0" t="s">
        <v>149</v>
      </c>
      <c r="V207" s="0" t="s">
        <v>624</v>
      </c>
      <c r="W207" s="0" t="s">
        <v>569</v>
      </c>
      <c r="X207" s="0" t="s">
        <v>624</v>
      </c>
      <c r="Y207" s="0" t="s">
        <v>627</v>
      </c>
      <c r="Z207" s="0" t="s">
        <v>629</v>
      </c>
      <c r="AA207" s="0" t="s">
        <v>624</v>
      </c>
      <c r="AB207" s="0" t="s">
        <v>580</v>
      </c>
      <c r="AC207" s="254" t="n">
        <v>500000</v>
      </c>
      <c r="AD207" s="254" t="n">
        <v>34102.0647356588</v>
      </c>
      <c r="AE207" s="0" t="n">
        <v>0</v>
      </c>
      <c r="AF207" s="0" t="n">
        <v>0</v>
      </c>
      <c r="AG207" s="0" t="n">
        <v>0</v>
      </c>
      <c r="AH207" s="254" t="n">
        <v>10079.6736683059</v>
      </c>
      <c r="AI207" s="0" t="n">
        <v>226</v>
      </c>
      <c r="AJ207" s="0" t="s">
        <v>630</v>
      </c>
      <c r="AK207" s="0" t="n">
        <v>0</v>
      </c>
      <c r="AL207" s="0" t="n">
        <v>0</v>
      </c>
      <c r="AM207" s="0" t="n">
        <v>0</v>
      </c>
    </row>
    <row r="208" customFormat="false" ht="12.75" hidden="false" customHeight="false" outlineLevel="0" collapsed="false">
      <c r="A208" s="0" t="s">
        <v>631</v>
      </c>
      <c r="B208" s="0" t="s">
        <v>273</v>
      </c>
      <c r="C208" s="0" t="s">
        <v>622</v>
      </c>
      <c r="D208" s="0" t="s">
        <v>623</v>
      </c>
      <c r="E208" s="0" t="s">
        <v>131</v>
      </c>
      <c r="F208" s="0" t="s">
        <v>206</v>
      </c>
      <c r="G208" s="0" t="s">
        <v>628</v>
      </c>
      <c r="H208" s="0" t="s">
        <v>625</v>
      </c>
      <c r="I208" s="0" t="s">
        <v>626</v>
      </c>
      <c r="J208" s="0" t="s">
        <v>627</v>
      </c>
      <c r="K208" s="475" t="n">
        <v>36923</v>
      </c>
      <c r="L208" s="254" t="n">
        <v>339537.882994893</v>
      </c>
      <c r="M208" s="475" t="n">
        <v>36921</v>
      </c>
      <c r="N208" s="0" t="s">
        <v>136</v>
      </c>
      <c r="O208" s="0" t="n">
        <v>2.1</v>
      </c>
      <c r="P208" s="0" t="n">
        <v>0</v>
      </c>
      <c r="Q208" s="0" t="n">
        <v>0</v>
      </c>
      <c r="R208" s="0" t="n">
        <v>0</v>
      </c>
      <c r="S208" s="0" t="n">
        <v>0</v>
      </c>
      <c r="T208" s="0" t="s">
        <v>624</v>
      </c>
      <c r="U208" s="0" t="s">
        <v>149</v>
      </c>
      <c r="V208" s="0" t="s">
        <v>624</v>
      </c>
      <c r="W208" s="0" t="s">
        <v>569</v>
      </c>
      <c r="X208" s="0" t="s">
        <v>624</v>
      </c>
      <c r="Y208" s="0" t="s">
        <v>627</v>
      </c>
      <c r="Z208" s="0" t="s">
        <v>629</v>
      </c>
      <c r="AA208" s="0" t="s">
        <v>624</v>
      </c>
      <c r="AB208" s="0" t="s">
        <v>580</v>
      </c>
      <c r="AC208" s="254" t="n">
        <v>500000</v>
      </c>
      <c r="AD208" s="254" t="n">
        <v>42900.1831108571</v>
      </c>
      <c r="AE208" s="0" t="n">
        <v>0</v>
      </c>
      <c r="AF208" s="0" t="n">
        <v>0</v>
      </c>
      <c r="AG208" s="0" t="n">
        <v>0</v>
      </c>
      <c r="AH208" s="254" t="n">
        <v>20656.9088675829</v>
      </c>
      <c r="AI208" s="0" t="n">
        <v>226</v>
      </c>
      <c r="AJ208" s="0" t="s">
        <v>630</v>
      </c>
      <c r="AK208" s="0" t="n">
        <v>0</v>
      </c>
      <c r="AL208" s="0" t="n">
        <v>0</v>
      </c>
      <c r="AM208" s="0" t="n">
        <v>0</v>
      </c>
    </row>
    <row r="209" customFormat="false" ht="12.75" hidden="false" customHeight="false" outlineLevel="0" collapsed="false">
      <c r="A209" s="0" t="s">
        <v>631</v>
      </c>
      <c r="B209" s="0" t="s">
        <v>273</v>
      </c>
      <c r="C209" s="0" t="s">
        <v>622</v>
      </c>
      <c r="D209" s="0" t="s">
        <v>623</v>
      </c>
      <c r="E209" s="0" t="s">
        <v>131</v>
      </c>
      <c r="F209" s="0" t="s">
        <v>206</v>
      </c>
      <c r="G209" s="0" t="s">
        <v>628</v>
      </c>
      <c r="H209" s="0" t="s">
        <v>625</v>
      </c>
      <c r="I209" s="0" t="s">
        <v>626</v>
      </c>
      <c r="J209" s="0" t="s">
        <v>627</v>
      </c>
      <c r="K209" s="475" t="n">
        <v>36892</v>
      </c>
      <c r="L209" s="254" t="n">
        <v>341998.20047145</v>
      </c>
      <c r="M209" s="475" t="n">
        <v>36888</v>
      </c>
      <c r="N209" s="0" t="s">
        <v>136</v>
      </c>
      <c r="O209" s="0" t="n">
        <v>2.1</v>
      </c>
      <c r="P209" s="0" t="n">
        <v>0</v>
      </c>
      <c r="Q209" s="0" t="n">
        <v>0</v>
      </c>
      <c r="R209" s="0" t="n">
        <v>0</v>
      </c>
      <c r="S209" s="0" t="n">
        <v>0</v>
      </c>
      <c r="T209" s="0" t="s">
        <v>624</v>
      </c>
      <c r="U209" s="0" t="s">
        <v>149</v>
      </c>
      <c r="V209" s="0" t="s">
        <v>624</v>
      </c>
      <c r="W209" s="0" t="s">
        <v>569</v>
      </c>
      <c r="X209" s="0" t="s">
        <v>624</v>
      </c>
      <c r="Y209" s="0" t="s">
        <v>627</v>
      </c>
      <c r="Z209" s="0" t="s">
        <v>629</v>
      </c>
      <c r="AA209" s="0" t="s">
        <v>624</v>
      </c>
      <c r="AB209" s="0" t="s">
        <v>580</v>
      </c>
      <c r="AC209" s="254" t="n">
        <v>500000</v>
      </c>
      <c r="AD209" s="254" t="n">
        <v>39316.161845856</v>
      </c>
      <c r="AE209" s="0" t="n">
        <v>0</v>
      </c>
      <c r="AF209" s="0" t="n">
        <v>0</v>
      </c>
      <c r="AG209" s="0" t="n">
        <v>0</v>
      </c>
      <c r="AH209" s="254" t="n">
        <v>18334.6741251035</v>
      </c>
      <c r="AI209" s="0" t="n">
        <v>226</v>
      </c>
      <c r="AJ209" s="0" t="s">
        <v>630</v>
      </c>
      <c r="AK209" s="0" t="n">
        <v>0</v>
      </c>
      <c r="AL209" s="0" t="n">
        <v>0</v>
      </c>
      <c r="AM209" s="0" t="n">
        <v>0</v>
      </c>
    </row>
    <row r="210" customFormat="false" ht="12.75" hidden="false" customHeight="false" outlineLevel="0" collapsed="false">
      <c r="A210" s="0" t="s">
        <v>631</v>
      </c>
      <c r="B210" s="0" t="s">
        <v>273</v>
      </c>
      <c r="C210" s="0" t="s">
        <v>622</v>
      </c>
      <c r="D210" s="0" t="s">
        <v>623</v>
      </c>
      <c r="E210" s="0" t="s">
        <v>131</v>
      </c>
      <c r="F210" s="0" t="s">
        <v>206</v>
      </c>
      <c r="G210" s="0" t="s">
        <v>628</v>
      </c>
      <c r="H210" s="0" t="s">
        <v>625</v>
      </c>
      <c r="I210" s="0" t="s">
        <v>626</v>
      </c>
      <c r="J210" s="0" t="s">
        <v>627</v>
      </c>
      <c r="K210" s="475" t="n">
        <v>36861</v>
      </c>
      <c r="L210" s="254" t="n">
        <v>175629.046216954</v>
      </c>
      <c r="M210" s="475" t="n">
        <v>36859</v>
      </c>
      <c r="N210" s="0" t="s">
        <v>136</v>
      </c>
      <c r="O210" s="0" t="n">
        <v>2.1</v>
      </c>
      <c r="P210" s="0" t="n">
        <v>0</v>
      </c>
      <c r="Q210" s="0" t="n">
        <v>0</v>
      </c>
      <c r="R210" s="0" t="n">
        <v>0</v>
      </c>
      <c r="S210" s="0" t="n">
        <v>0</v>
      </c>
      <c r="T210" s="0" t="s">
        <v>624</v>
      </c>
      <c r="U210" s="0" t="s">
        <v>149</v>
      </c>
      <c r="V210" s="0" t="s">
        <v>624</v>
      </c>
      <c r="W210" s="0" t="s">
        <v>569</v>
      </c>
      <c r="X210" s="0" t="s">
        <v>624</v>
      </c>
      <c r="Y210" s="0" t="s">
        <v>627</v>
      </c>
      <c r="Z210" s="0" t="s">
        <v>629</v>
      </c>
      <c r="AA210" s="0" t="s">
        <v>624</v>
      </c>
      <c r="AB210" s="0" t="s">
        <v>580</v>
      </c>
      <c r="AC210" s="254" t="n">
        <v>500000</v>
      </c>
      <c r="AD210" s="254" t="n">
        <v>32963.3651911817</v>
      </c>
      <c r="AE210" s="0" t="n">
        <v>0</v>
      </c>
      <c r="AF210" s="0" t="n">
        <v>0</v>
      </c>
      <c r="AG210" s="0" t="n">
        <v>0</v>
      </c>
      <c r="AH210" s="254" t="n">
        <v>10689.6237188327</v>
      </c>
      <c r="AI210" s="0" t="n">
        <v>226</v>
      </c>
      <c r="AJ210" s="0" t="s">
        <v>630</v>
      </c>
      <c r="AK210" s="0" t="n">
        <v>0</v>
      </c>
      <c r="AL210" s="0" t="n">
        <v>0</v>
      </c>
      <c r="AM210" s="0" t="n">
        <v>0</v>
      </c>
    </row>
    <row r="211" customFormat="false" ht="12.75" hidden="false" customHeight="false" outlineLevel="0" collapsed="false">
      <c r="A211" s="0" t="s">
        <v>631</v>
      </c>
      <c r="B211" s="0" t="s">
        <v>273</v>
      </c>
      <c r="C211" s="0" t="s">
        <v>622</v>
      </c>
      <c r="D211" s="0" t="s">
        <v>623</v>
      </c>
      <c r="E211" s="0" t="s">
        <v>131</v>
      </c>
      <c r="F211" s="0" t="s">
        <v>206</v>
      </c>
      <c r="G211" s="0" t="s">
        <v>628</v>
      </c>
      <c r="H211" s="0" t="s">
        <v>625</v>
      </c>
      <c r="I211" s="0" t="s">
        <v>626</v>
      </c>
      <c r="J211" s="0" t="s">
        <v>627</v>
      </c>
      <c r="K211" s="475" t="n">
        <v>36831</v>
      </c>
      <c r="L211" s="254" t="n">
        <v>8097.71272854576</v>
      </c>
      <c r="M211" s="475" t="n">
        <v>36829</v>
      </c>
      <c r="N211" s="0" t="s">
        <v>136</v>
      </c>
      <c r="O211" s="0" t="n">
        <v>2.1</v>
      </c>
      <c r="P211" s="0" t="n">
        <v>0</v>
      </c>
      <c r="Q211" s="0" t="n">
        <v>0</v>
      </c>
      <c r="R211" s="0" t="n">
        <v>0</v>
      </c>
      <c r="S211" s="0" t="n">
        <v>0</v>
      </c>
      <c r="T211" s="0" t="s">
        <v>624</v>
      </c>
      <c r="U211" s="0" t="s">
        <v>149</v>
      </c>
      <c r="V211" s="0" t="s">
        <v>624</v>
      </c>
      <c r="W211" s="0" t="s">
        <v>569</v>
      </c>
      <c r="X211" s="0" t="s">
        <v>624</v>
      </c>
      <c r="Y211" s="0" t="s">
        <v>627</v>
      </c>
      <c r="Z211" s="0" t="s">
        <v>629</v>
      </c>
      <c r="AA211" s="0" t="s">
        <v>624</v>
      </c>
      <c r="AB211" s="0" t="s">
        <v>580</v>
      </c>
      <c r="AC211" s="254" t="n">
        <v>500000</v>
      </c>
      <c r="AD211" s="254" t="n">
        <v>5333.30390995144</v>
      </c>
      <c r="AE211" s="0" t="n">
        <v>0</v>
      </c>
      <c r="AF211" s="0" t="n">
        <v>0</v>
      </c>
      <c r="AG211" s="0" t="n">
        <v>0</v>
      </c>
      <c r="AH211" s="254" t="n">
        <v>1393.40333930981</v>
      </c>
      <c r="AI211" s="0" t="n">
        <v>226</v>
      </c>
      <c r="AJ211" s="0" t="s">
        <v>630</v>
      </c>
      <c r="AK211" s="0" t="n">
        <v>0</v>
      </c>
      <c r="AL211" s="0" t="n">
        <v>0</v>
      </c>
      <c r="AM211" s="0" t="n">
        <v>0</v>
      </c>
    </row>
    <row r="212" customFormat="false" ht="12.75" hidden="false" customHeight="false" outlineLevel="0" collapsed="false">
      <c r="A212" s="0" t="s">
        <v>631</v>
      </c>
      <c r="B212" s="0" t="s">
        <v>274</v>
      </c>
      <c r="C212" s="0" t="s">
        <v>622</v>
      </c>
      <c r="D212" s="0" t="s">
        <v>623</v>
      </c>
      <c r="E212" s="0" t="s">
        <v>131</v>
      </c>
      <c r="F212" s="0" t="s">
        <v>212</v>
      </c>
      <c r="G212" s="0" t="s">
        <v>628</v>
      </c>
      <c r="H212" s="0" t="s">
        <v>625</v>
      </c>
      <c r="I212" s="0" t="s">
        <v>626</v>
      </c>
      <c r="J212" s="0" t="s">
        <v>627</v>
      </c>
      <c r="K212" s="475" t="n">
        <v>36831</v>
      </c>
      <c r="L212" s="254" t="n">
        <v>170435.563861171</v>
      </c>
      <c r="M212" s="475" t="n">
        <v>36829</v>
      </c>
      <c r="N212" s="0" t="s">
        <v>136</v>
      </c>
      <c r="O212" s="0" t="n">
        <v>1</v>
      </c>
      <c r="P212" s="0" t="n">
        <v>0</v>
      </c>
      <c r="Q212" s="0" t="n">
        <v>0</v>
      </c>
      <c r="R212" s="0" t="n">
        <v>0</v>
      </c>
      <c r="S212" s="0" t="n">
        <v>0</v>
      </c>
      <c r="T212" s="0" t="s">
        <v>624</v>
      </c>
      <c r="U212" s="0" t="s">
        <v>149</v>
      </c>
      <c r="V212" s="0" t="s">
        <v>624</v>
      </c>
      <c r="W212" s="0" t="s">
        <v>569</v>
      </c>
      <c r="X212" s="0" t="s">
        <v>624</v>
      </c>
      <c r="Y212" s="0" t="s">
        <v>627</v>
      </c>
      <c r="Z212" s="0" t="s">
        <v>629</v>
      </c>
      <c r="AA212" s="0" t="s">
        <v>624</v>
      </c>
      <c r="AB212" s="0" t="s">
        <v>580</v>
      </c>
      <c r="AC212" s="254" t="n">
        <v>1000000</v>
      </c>
      <c r="AD212" s="254" t="n">
        <v>41813.9093437454</v>
      </c>
      <c r="AE212" s="0" t="n">
        <v>0</v>
      </c>
      <c r="AF212" s="0" t="n">
        <v>0</v>
      </c>
      <c r="AG212" s="0" t="n">
        <v>0</v>
      </c>
      <c r="AH212" s="254" t="n">
        <v>17333.0733965929</v>
      </c>
      <c r="AI212" s="0" t="n">
        <v>226</v>
      </c>
      <c r="AJ212" s="0" t="s">
        <v>630</v>
      </c>
      <c r="AK212" s="0" t="n">
        <v>0</v>
      </c>
      <c r="AL212" s="0" t="n">
        <v>0</v>
      </c>
      <c r="AM212" s="0" t="n">
        <v>0</v>
      </c>
    </row>
    <row r="213" customFormat="false" ht="12.75" hidden="false" customHeight="false" outlineLevel="0" collapsed="false">
      <c r="A213" s="0" t="s">
        <v>631</v>
      </c>
      <c r="B213" s="0" t="s">
        <v>276</v>
      </c>
      <c r="C213" s="0" t="s">
        <v>622</v>
      </c>
      <c r="D213" s="0" t="s">
        <v>623</v>
      </c>
      <c r="E213" s="0" t="s">
        <v>131</v>
      </c>
      <c r="F213" s="0" t="s">
        <v>275</v>
      </c>
      <c r="G213" s="0" t="s">
        <v>628</v>
      </c>
      <c r="H213" s="0" t="s">
        <v>625</v>
      </c>
      <c r="I213" s="0" t="s">
        <v>626</v>
      </c>
      <c r="J213" s="0" t="s">
        <v>627</v>
      </c>
      <c r="K213" s="475" t="n">
        <v>36951</v>
      </c>
      <c r="L213" s="254" t="n">
        <v>-102296.043542261</v>
      </c>
      <c r="M213" s="475" t="n">
        <v>36949</v>
      </c>
      <c r="N213" s="0" t="s">
        <v>136</v>
      </c>
      <c r="O213" s="0" t="n">
        <v>1.6</v>
      </c>
      <c r="P213" s="0" t="n">
        <v>0</v>
      </c>
      <c r="Q213" s="0" t="n">
        <v>0</v>
      </c>
      <c r="R213" s="0" t="n">
        <v>0</v>
      </c>
      <c r="S213" s="0" t="n">
        <v>0</v>
      </c>
      <c r="T213" s="0" t="s">
        <v>624</v>
      </c>
      <c r="U213" s="0" t="s">
        <v>149</v>
      </c>
      <c r="V213" s="0" t="s">
        <v>624</v>
      </c>
      <c r="W213" s="0" t="s">
        <v>569</v>
      </c>
      <c r="X213" s="0" t="s">
        <v>624</v>
      </c>
      <c r="Y213" s="0" t="s">
        <v>627</v>
      </c>
      <c r="Z213" s="0" t="s">
        <v>629</v>
      </c>
      <c r="AA213" s="0" t="s">
        <v>624</v>
      </c>
      <c r="AB213" s="0" t="s">
        <v>580</v>
      </c>
      <c r="AC213" s="254" t="n">
        <v>-310000</v>
      </c>
      <c r="AD213" s="254" t="n">
        <v>-25101.5071797367</v>
      </c>
      <c r="AE213" s="0" t="n">
        <v>0</v>
      </c>
      <c r="AF213" s="0" t="n">
        <v>0</v>
      </c>
      <c r="AG213" s="0" t="n">
        <v>0</v>
      </c>
      <c r="AH213" s="254" t="n">
        <v>-8414.90140861472</v>
      </c>
      <c r="AI213" s="0" t="n">
        <v>226</v>
      </c>
      <c r="AJ213" s="0" t="s">
        <v>630</v>
      </c>
      <c r="AK213" s="0" t="n">
        <v>0</v>
      </c>
      <c r="AL213" s="0" t="n">
        <v>0</v>
      </c>
      <c r="AM213" s="0" t="n">
        <v>0</v>
      </c>
    </row>
    <row r="214" customFormat="false" ht="12.75" hidden="false" customHeight="false" outlineLevel="0" collapsed="false">
      <c r="A214" s="0" t="s">
        <v>631</v>
      </c>
      <c r="B214" s="0" t="s">
        <v>276</v>
      </c>
      <c r="C214" s="0" t="s">
        <v>622</v>
      </c>
      <c r="D214" s="0" t="s">
        <v>623</v>
      </c>
      <c r="E214" s="0" t="s">
        <v>131</v>
      </c>
      <c r="F214" s="0" t="s">
        <v>275</v>
      </c>
      <c r="G214" s="0" t="s">
        <v>628</v>
      </c>
      <c r="H214" s="0" t="s">
        <v>625</v>
      </c>
      <c r="I214" s="0" t="s">
        <v>626</v>
      </c>
      <c r="J214" s="0" t="s">
        <v>627</v>
      </c>
      <c r="K214" s="475" t="n">
        <v>36923</v>
      </c>
      <c r="L214" s="254" t="n">
        <v>-253722.140116976</v>
      </c>
      <c r="M214" s="475" t="n">
        <v>36921</v>
      </c>
      <c r="N214" s="0" t="s">
        <v>136</v>
      </c>
      <c r="O214" s="0" t="n">
        <v>1.6</v>
      </c>
      <c r="P214" s="0" t="n">
        <v>0</v>
      </c>
      <c r="Q214" s="0" t="n">
        <v>0</v>
      </c>
      <c r="R214" s="0" t="n">
        <v>0</v>
      </c>
      <c r="S214" s="0" t="n">
        <v>0</v>
      </c>
      <c r="T214" s="0" t="s">
        <v>624</v>
      </c>
      <c r="U214" s="0" t="s">
        <v>149</v>
      </c>
      <c r="V214" s="0" t="s">
        <v>624</v>
      </c>
      <c r="W214" s="0" t="s">
        <v>569</v>
      </c>
      <c r="X214" s="0" t="s">
        <v>624</v>
      </c>
      <c r="Y214" s="0" t="s">
        <v>627</v>
      </c>
      <c r="Z214" s="0" t="s">
        <v>629</v>
      </c>
      <c r="AA214" s="0" t="s">
        <v>624</v>
      </c>
      <c r="AB214" s="0" t="s">
        <v>580</v>
      </c>
      <c r="AC214" s="254" t="n">
        <v>-280000</v>
      </c>
      <c r="AD214" s="254" t="n">
        <v>-23511.2186542006</v>
      </c>
      <c r="AE214" s="0" t="n">
        <v>0</v>
      </c>
      <c r="AF214" s="0" t="n">
        <v>0</v>
      </c>
      <c r="AG214" s="0" t="n">
        <v>0</v>
      </c>
      <c r="AH214" s="254" t="n">
        <v>-13700.2492667456</v>
      </c>
      <c r="AI214" s="0" t="n">
        <v>226</v>
      </c>
      <c r="AJ214" s="0" t="s">
        <v>630</v>
      </c>
      <c r="AK214" s="0" t="n">
        <v>0</v>
      </c>
      <c r="AL214" s="0" t="n">
        <v>0</v>
      </c>
      <c r="AM214" s="0" t="n">
        <v>0</v>
      </c>
    </row>
    <row r="215" customFormat="false" ht="12.75" hidden="false" customHeight="false" outlineLevel="0" collapsed="false">
      <c r="A215" s="0" t="s">
        <v>631</v>
      </c>
      <c r="B215" s="0" t="s">
        <v>276</v>
      </c>
      <c r="C215" s="0" t="s">
        <v>622</v>
      </c>
      <c r="D215" s="0" t="s">
        <v>623</v>
      </c>
      <c r="E215" s="0" t="s">
        <v>131</v>
      </c>
      <c r="F215" s="0" t="s">
        <v>275</v>
      </c>
      <c r="G215" s="0" t="s">
        <v>628</v>
      </c>
      <c r="H215" s="0" t="s">
        <v>625</v>
      </c>
      <c r="I215" s="0" t="s">
        <v>626</v>
      </c>
      <c r="J215" s="0" t="s">
        <v>627</v>
      </c>
      <c r="K215" s="475" t="n">
        <v>36892</v>
      </c>
      <c r="L215" s="254" t="n">
        <v>-287711.637491927</v>
      </c>
      <c r="M215" s="475" t="n">
        <v>36888</v>
      </c>
      <c r="N215" s="0" t="s">
        <v>136</v>
      </c>
      <c r="O215" s="0" t="n">
        <v>1.6</v>
      </c>
      <c r="P215" s="0" t="n">
        <v>0</v>
      </c>
      <c r="Q215" s="0" t="n">
        <v>0</v>
      </c>
      <c r="R215" s="0" t="n">
        <v>0</v>
      </c>
      <c r="S215" s="0" t="n">
        <v>0</v>
      </c>
      <c r="T215" s="0" t="s">
        <v>624</v>
      </c>
      <c r="U215" s="0" t="s">
        <v>149</v>
      </c>
      <c r="V215" s="0" t="s">
        <v>624</v>
      </c>
      <c r="W215" s="0" t="s">
        <v>569</v>
      </c>
      <c r="X215" s="0" t="s">
        <v>624</v>
      </c>
      <c r="Y215" s="0" t="s">
        <v>627</v>
      </c>
      <c r="Z215" s="0" t="s">
        <v>629</v>
      </c>
      <c r="AA215" s="0" t="s">
        <v>624</v>
      </c>
      <c r="AB215" s="0" t="s">
        <v>580</v>
      </c>
      <c r="AC215" s="254" t="n">
        <v>-310000</v>
      </c>
      <c r="AD215" s="254" t="n">
        <v>-23356.9683688456</v>
      </c>
      <c r="AE215" s="0" t="n">
        <v>0</v>
      </c>
      <c r="AF215" s="0" t="n">
        <v>0</v>
      </c>
      <c r="AG215" s="0" t="n">
        <v>0</v>
      </c>
      <c r="AH215" s="254" t="n">
        <v>-13496.8472072551</v>
      </c>
      <c r="AI215" s="0" t="n">
        <v>226</v>
      </c>
      <c r="AJ215" s="0" t="s">
        <v>630</v>
      </c>
      <c r="AK215" s="0" t="n">
        <v>0</v>
      </c>
      <c r="AL215" s="0" t="n">
        <v>0</v>
      </c>
      <c r="AM215" s="0" t="n">
        <v>0</v>
      </c>
    </row>
    <row r="216" customFormat="false" ht="12.75" hidden="false" customHeight="false" outlineLevel="0" collapsed="false">
      <c r="A216" s="0" t="s">
        <v>631</v>
      </c>
      <c r="B216" s="0" t="s">
        <v>276</v>
      </c>
      <c r="C216" s="0" t="s">
        <v>622</v>
      </c>
      <c r="D216" s="0" t="s">
        <v>623</v>
      </c>
      <c r="E216" s="0" t="s">
        <v>131</v>
      </c>
      <c r="F216" s="0" t="s">
        <v>275</v>
      </c>
      <c r="G216" s="0" t="s">
        <v>628</v>
      </c>
      <c r="H216" s="0" t="s">
        <v>625</v>
      </c>
      <c r="I216" s="0" t="s">
        <v>626</v>
      </c>
      <c r="J216" s="0" t="s">
        <v>627</v>
      </c>
      <c r="K216" s="475" t="n">
        <v>36861</v>
      </c>
      <c r="L216" s="254" t="n">
        <v>-165956.314777219</v>
      </c>
      <c r="M216" s="475" t="n">
        <v>36859</v>
      </c>
      <c r="N216" s="0" t="s">
        <v>136</v>
      </c>
      <c r="O216" s="0" t="n">
        <v>1.6</v>
      </c>
      <c r="P216" s="0" t="n">
        <v>0</v>
      </c>
      <c r="Q216" s="0" t="n">
        <v>0</v>
      </c>
      <c r="R216" s="0" t="n">
        <v>0</v>
      </c>
      <c r="S216" s="0" t="n">
        <v>0</v>
      </c>
      <c r="T216" s="0" t="s">
        <v>624</v>
      </c>
      <c r="U216" s="0" t="s">
        <v>149</v>
      </c>
      <c r="V216" s="0" t="s">
        <v>624</v>
      </c>
      <c r="W216" s="0" t="s">
        <v>569</v>
      </c>
      <c r="X216" s="0" t="s">
        <v>624</v>
      </c>
      <c r="Y216" s="0" t="s">
        <v>627</v>
      </c>
      <c r="Z216" s="0" t="s">
        <v>629</v>
      </c>
      <c r="AA216" s="0" t="s">
        <v>624</v>
      </c>
      <c r="AB216" s="0" t="s">
        <v>580</v>
      </c>
      <c r="AC216" s="254" t="n">
        <v>-310000</v>
      </c>
      <c r="AD216" s="254" t="n">
        <v>-21948.7448827056</v>
      </c>
      <c r="AE216" s="0" t="n">
        <v>0</v>
      </c>
      <c r="AF216" s="0" t="n">
        <v>0</v>
      </c>
      <c r="AG216" s="0" t="n">
        <v>0</v>
      </c>
      <c r="AH216" s="254" t="n">
        <v>-8631.54778714126</v>
      </c>
      <c r="AI216" s="0" t="n">
        <v>226</v>
      </c>
      <c r="AJ216" s="0" t="s">
        <v>630</v>
      </c>
      <c r="AK216" s="0" t="n">
        <v>0</v>
      </c>
      <c r="AL216" s="0" t="n">
        <v>0</v>
      </c>
      <c r="AM216" s="0" t="n">
        <v>0</v>
      </c>
    </row>
    <row r="217" customFormat="false" ht="12.75" hidden="false" customHeight="false" outlineLevel="0" collapsed="false">
      <c r="A217" s="0" t="s">
        <v>631</v>
      </c>
      <c r="B217" s="0" t="s">
        <v>276</v>
      </c>
      <c r="C217" s="0" t="s">
        <v>622</v>
      </c>
      <c r="D217" s="0" t="s">
        <v>623</v>
      </c>
      <c r="E217" s="0" t="s">
        <v>131</v>
      </c>
      <c r="F217" s="0" t="s">
        <v>275</v>
      </c>
      <c r="G217" s="0" t="s">
        <v>628</v>
      </c>
      <c r="H217" s="0" t="s">
        <v>625</v>
      </c>
      <c r="I217" s="0" t="s">
        <v>626</v>
      </c>
      <c r="J217" s="0" t="s">
        <v>627</v>
      </c>
      <c r="K217" s="475" t="n">
        <v>36831</v>
      </c>
      <c r="L217" s="254" t="n">
        <v>-14866.4863781267</v>
      </c>
      <c r="M217" s="475" t="n">
        <v>36829</v>
      </c>
      <c r="N217" s="0" t="s">
        <v>136</v>
      </c>
      <c r="O217" s="0" t="n">
        <v>1.6</v>
      </c>
      <c r="P217" s="0" t="n">
        <v>0</v>
      </c>
      <c r="Q217" s="0" t="n">
        <v>0</v>
      </c>
      <c r="R217" s="0" t="n">
        <v>0</v>
      </c>
      <c r="S217" s="0" t="n">
        <v>0</v>
      </c>
      <c r="T217" s="0" t="s">
        <v>624</v>
      </c>
      <c r="U217" s="0" t="s">
        <v>149</v>
      </c>
      <c r="V217" s="0" t="s">
        <v>624</v>
      </c>
      <c r="W217" s="0" t="s">
        <v>569</v>
      </c>
      <c r="X217" s="0" t="s">
        <v>624</v>
      </c>
      <c r="Y217" s="0" t="s">
        <v>627</v>
      </c>
      <c r="Z217" s="0" t="s">
        <v>629</v>
      </c>
      <c r="AA217" s="0" t="s">
        <v>624</v>
      </c>
      <c r="AB217" s="0" t="s">
        <v>580</v>
      </c>
      <c r="AC217" s="254" t="n">
        <v>-300000</v>
      </c>
      <c r="AD217" s="254" t="n">
        <v>-6902.36656446816</v>
      </c>
      <c r="AE217" s="0" t="n">
        <v>0</v>
      </c>
      <c r="AF217" s="0" t="n">
        <v>0</v>
      </c>
      <c r="AG217" s="0" t="n">
        <v>0</v>
      </c>
      <c r="AH217" s="254" t="n">
        <v>-2087.49823023696</v>
      </c>
      <c r="AI217" s="0" t="n">
        <v>226</v>
      </c>
      <c r="AJ217" s="0" t="s">
        <v>630</v>
      </c>
      <c r="AK217" s="0" t="n">
        <v>0</v>
      </c>
      <c r="AL217" s="0" t="n">
        <v>0</v>
      </c>
      <c r="AM217" s="0" t="n">
        <v>0</v>
      </c>
    </row>
    <row r="218" customFormat="false" ht="12.75" hidden="false" customHeight="false" outlineLevel="0" collapsed="false">
      <c r="A218" s="0" t="s">
        <v>631</v>
      </c>
      <c r="B218" s="0" t="s">
        <v>277</v>
      </c>
      <c r="C218" s="0" t="s">
        <v>622</v>
      </c>
      <c r="D218" s="0" t="s">
        <v>623</v>
      </c>
      <c r="E218" s="0" t="s">
        <v>131</v>
      </c>
      <c r="F218" s="0" t="s">
        <v>275</v>
      </c>
      <c r="G218" s="0" t="s">
        <v>628</v>
      </c>
      <c r="H218" s="0" t="s">
        <v>625</v>
      </c>
      <c r="I218" s="0" t="s">
        <v>626</v>
      </c>
      <c r="J218" s="0" t="s">
        <v>627</v>
      </c>
      <c r="K218" s="475" t="n">
        <v>36951</v>
      </c>
      <c r="L218" s="254" t="n">
        <v>67810.4476908038</v>
      </c>
      <c r="M218" s="475" t="n">
        <v>36949</v>
      </c>
      <c r="N218" s="0" t="s">
        <v>136</v>
      </c>
      <c r="O218" s="0" t="n">
        <v>2.1</v>
      </c>
      <c r="P218" s="0" t="n">
        <v>0</v>
      </c>
      <c r="Q218" s="0" t="n">
        <v>0</v>
      </c>
      <c r="R218" s="0" t="n">
        <v>0</v>
      </c>
      <c r="S218" s="0" t="n">
        <v>0</v>
      </c>
      <c r="T218" s="0" t="s">
        <v>624</v>
      </c>
      <c r="U218" s="0" t="s">
        <v>149</v>
      </c>
      <c r="V218" s="0" t="s">
        <v>624</v>
      </c>
      <c r="W218" s="0" t="s">
        <v>569</v>
      </c>
      <c r="X218" s="0" t="s">
        <v>624</v>
      </c>
      <c r="Y218" s="0" t="s">
        <v>627</v>
      </c>
      <c r="Z218" s="0" t="s">
        <v>629</v>
      </c>
      <c r="AA218" s="0" t="s">
        <v>624</v>
      </c>
      <c r="AB218" s="0" t="s">
        <v>580</v>
      </c>
      <c r="AC218" s="254" t="n">
        <v>310000</v>
      </c>
      <c r="AD218" s="254" t="n">
        <v>21143.2801361084</v>
      </c>
      <c r="AE218" s="0" t="n">
        <v>0</v>
      </c>
      <c r="AF218" s="0" t="n">
        <v>0</v>
      </c>
      <c r="AG218" s="0" t="n">
        <v>0</v>
      </c>
      <c r="AH218" s="254" t="n">
        <v>6249.39767434967</v>
      </c>
      <c r="AI218" s="0" t="n">
        <v>226</v>
      </c>
      <c r="AJ218" s="0" t="s">
        <v>630</v>
      </c>
      <c r="AK218" s="0" t="n">
        <v>0</v>
      </c>
      <c r="AL218" s="0" t="n">
        <v>0</v>
      </c>
      <c r="AM218" s="0" t="n">
        <v>0</v>
      </c>
    </row>
    <row r="219" customFormat="false" ht="12.75" hidden="false" customHeight="false" outlineLevel="0" collapsed="false">
      <c r="A219" s="0" t="s">
        <v>631</v>
      </c>
      <c r="B219" s="0" t="s">
        <v>277</v>
      </c>
      <c r="C219" s="0" t="s">
        <v>622</v>
      </c>
      <c r="D219" s="0" t="s">
        <v>623</v>
      </c>
      <c r="E219" s="0" t="s">
        <v>131</v>
      </c>
      <c r="F219" s="0" t="s">
        <v>275</v>
      </c>
      <c r="G219" s="0" t="s">
        <v>628</v>
      </c>
      <c r="H219" s="0" t="s">
        <v>625</v>
      </c>
      <c r="I219" s="0" t="s">
        <v>626</v>
      </c>
      <c r="J219" s="0" t="s">
        <v>627</v>
      </c>
      <c r="K219" s="475" t="n">
        <v>36923</v>
      </c>
      <c r="L219" s="254" t="n">
        <v>190141.21447714</v>
      </c>
      <c r="M219" s="475" t="n">
        <v>36921</v>
      </c>
      <c r="N219" s="0" t="s">
        <v>136</v>
      </c>
      <c r="O219" s="0" t="n">
        <v>2.1</v>
      </c>
      <c r="P219" s="0" t="n">
        <v>0</v>
      </c>
      <c r="Q219" s="0" t="n">
        <v>0</v>
      </c>
      <c r="R219" s="0" t="n">
        <v>0</v>
      </c>
      <c r="S219" s="0" t="n">
        <v>0</v>
      </c>
      <c r="T219" s="0" t="s">
        <v>624</v>
      </c>
      <c r="U219" s="0" t="s">
        <v>149</v>
      </c>
      <c r="V219" s="0" t="s">
        <v>624</v>
      </c>
      <c r="W219" s="0" t="s">
        <v>569</v>
      </c>
      <c r="X219" s="0" t="s">
        <v>624</v>
      </c>
      <c r="Y219" s="0" t="s">
        <v>627</v>
      </c>
      <c r="Z219" s="0" t="s">
        <v>629</v>
      </c>
      <c r="AA219" s="0" t="s">
        <v>624</v>
      </c>
      <c r="AB219" s="0" t="s">
        <v>580</v>
      </c>
      <c r="AC219" s="254" t="n">
        <v>280000</v>
      </c>
      <c r="AD219" s="254" t="n">
        <v>24024.1025420799</v>
      </c>
      <c r="AE219" s="0" t="n">
        <v>0</v>
      </c>
      <c r="AF219" s="0" t="n">
        <v>0</v>
      </c>
      <c r="AG219" s="0" t="n">
        <v>0</v>
      </c>
      <c r="AH219" s="254" t="n">
        <v>11567.8689658464</v>
      </c>
      <c r="AI219" s="0" t="n">
        <v>226</v>
      </c>
      <c r="AJ219" s="0" t="s">
        <v>630</v>
      </c>
      <c r="AK219" s="0" t="n">
        <v>0</v>
      </c>
      <c r="AL219" s="0" t="n">
        <v>0</v>
      </c>
      <c r="AM219" s="0" t="n">
        <v>0</v>
      </c>
    </row>
    <row r="220" customFormat="false" ht="12.75" hidden="false" customHeight="false" outlineLevel="0" collapsed="false">
      <c r="A220" s="0" t="s">
        <v>631</v>
      </c>
      <c r="B220" s="0" t="s">
        <v>277</v>
      </c>
      <c r="C220" s="0" t="s">
        <v>622</v>
      </c>
      <c r="D220" s="0" t="s">
        <v>623</v>
      </c>
      <c r="E220" s="0" t="s">
        <v>131</v>
      </c>
      <c r="F220" s="0" t="s">
        <v>275</v>
      </c>
      <c r="G220" s="0" t="s">
        <v>628</v>
      </c>
      <c r="H220" s="0" t="s">
        <v>625</v>
      </c>
      <c r="I220" s="0" t="s">
        <v>626</v>
      </c>
      <c r="J220" s="0" t="s">
        <v>627</v>
      </c>
      <c r="K220" s="475" t="n">
        <v>36892</v>
      </c>
      <c r="L220" s="254" t="n">
        <v>212038.884292299</v>
      </c>
      <c r="M220" s="475" t="n">
        <v>36888</v>
      </c>
      <c r="N220" s="0" t="s">
        <v>136</v>
      </c>
      <c r="O220" s="0" t="n">
        <v>2.1</v>
      </c>
      <c r="P220" s="0" t="n">
        <v>0</v>
      </c>
      <c r="Q220" s="0" t="n">
        <v>0</v>
      </c>
      <c r="R220" s="0" t="n">
        <v>0</v>
      </c>
      <c r="S220" s="0" t="n">
        <v>0</v>
      </c>
      <c r="T220" s="0" t="s">
        <v>624</v>
      </c>
      <c r="U220" s="0" t="s">
        <v>149</v>
      </c>
      <c r="V220" s="0" t="s">
        <v>624</v>
      </c>
      <c r="W220" s="0" t="s">
        <v>569</v>
      </c>
      <c r="X220" s="0" t="s">
        <v>624</v>
      </c>
      <c r="Y220" s="0" t="s">
        <v>627</v>
      </c>
      <c r="Z220" s="0" t="s">
        <v>629</v>
      </c>
      <c r="AA220" s="0" t="s">
        <v>624</v>
      </c>
      <c r="AB220" s="0" t="s">
        <v>580</v>
      </c>
      <c r="AC220" s="254" t="n">
        <v>310000</v>
      </c>
      <c r="AD220" s="254" t="n">
        <v>24376.0203444307</v>
      </c>
      <c r="AE220" s="0" t="n">
        <v>0</v>
      </c>
      <c r="AF220" s="0" t="n">
        <v>0</v>
      </c>
      <c r="AG220" s="0" t="n">
        <v>0</v>
      </c>
      <c r="AH220" s="254" t="n">
        <v>11367.4979575642</v>
      </c>
      <c r="AI220" s="0" t="n">
        <v>226</v>
      </c>
      <c r="AJ220" s="0" t="s">
        <v>630</v>
      </c>
      <c r="AK220" s="0" t="n">
        <v>0</v>
      </c>
      <c r="AL220" s="0" t="n">
        <v>0</v>
      </c>
      <c r="AM220" s="0" t="n">
        <v>0</v>
      </c>
    </row>
    <row r="221" customFormat="false" ht="12.75" hidden="false" customHeight="false" outlineLevel="0" collapsed="false">
      <c r="A221" s="0" t="s">
        <v>631</v>
      </c>
      <c r="B221" s="0" t="s">
        <v>277</v>
      </c>
      <c r="C221" s="0" t="s">
        <v>622</v>
      </c>
      <c r="D221" s="0" t="s">
        <v>623</v>
      </c>
      <c r="E221" s="0" t="s">
        <v>131</v>
      </c>
      <c r="F221" s="0" t="s">
        <v>275</v>
      </c>
      <c r="G221" s="0" t="s">
        <v>628</v>
      </c>
      <c r="H221" s="0" t="s">
        <v>625</v>
      </c>
      <c r="I221" s="0" t="s">
        <v>626</v>
      </c>
      <c r="J221" s="0" t="s">
        <v>627</v>
      </c>
      <c r="K221" s="475" t="n">
        <v>36861</v>
      </c>
      <c r="L221" s="254" t="n">
        <v>108890.008654511</v>
      </c>
      <c r="M221" s="475" t="n">
        <v>36859</v>
      </c>
      <c r="N221" s="0" t="s">
        <v>136</v>
      </c>
      <c r="O221" s="0" t="n">
        <v>2.1</v>
      </c>
      <c r="P221" s="0" t="n">
        <v>0</v>
      </c>
      <c r="Q221" s="0" t="n">
        <v>0</v>
      </c>
      <c r="R221" s="0" t="n">
        <v>0</v>
      </c>
      <c r="S221" s="0" t="n">
        <v>0</v>
      </c>
      <c r="T221" s="0" t="s">
        <v>624</v>
      </c>
      <c r="U221" s="0" t="s">
        <v>149</v>
      </c>
      <c r="V221" s="0" t="s">
        <v>624</v>
      </c>
      <c r="W221" s="0" t="s">
        <v>569</v>
      </c>
      <c r="X221" s="0" t="s">
        <v>624</v>
      </c>
      <c r="Y221" s="0" t="s">
        <v>627</v>
      </c>
      <c r="Z221" s="0" t="s">
        <v>629</v>
      </c>
      <c r="AA221" s="0" t="s">
        <v>624</v>
      </c>
      <c r="AB221" s="0" t="s">
        <v>580</v>
      </c>
      <c r="AC221" s="254" t="n">
        <v>310000</v>
      </c>
      <c r="AD221" s="254" t="n">
        <v>20437.2864185327</v>
      </c>
      <c r="AE221" s="0" t="n">
        <v>0</v>
      </c>
      <c r="AF221" s="0" t="n">
        <v>0</v>
      </c>
      <c r="AG221" s="0" t="n">
        <v>0</v>
      </c>
      <c r="AH221" s="254" t="n">
        <v>6627.56670567629</v>
      </c>
      <c r="AI221" s="0" t="n">
        <v>226</v>
      </c>
      <c r="AJ221" s="0" t="s">
        <v>630</v>
      </c>
      <c r="AK221" s="0" t="n">
        <v>0</v>
      </c>
      <c r="AL221" s="0" t="n">
        <v>0</v>
      </c>
      <c r="AM221" s="0" t="n">
        <v>0</v>
      </c>
    </row>
    <row r="222" customFormat="false" ht="12.75" hidden="false" customHeight="false" outlineLevel="0" collapsed="false">
      <c r="A222" s="0" t="s">
        <v>631</v>
      </c>
      <c r="B222" s="0" t="s">
        <v>277</v>
      </c>
      <c r="C222" s="0" t="s">
        <v>622</v>
      </c>
      <c r="D222" s="0" t="s">
        <v>623</v>
      </c>
      <c r="E222" s="0" t="s">
        <v>131</v>
      </c>
      <c r="F222" s="0" t="s">
        <v>275</v>
      </c>
      <c r="G222" s="0" t="s">
        <v>628</v>
      </c>
      <c r="H222" s="0" t="s">
        <v>625</v>
      </c>
      <c r="I222" s="0" t="s">
        <v>626</v>
      </c>
      <c r="J222" s="0" t="s">
        <v>627</v>
      </c>
      <c r="K222" s="475" t="n">
        <v>36831</v>
      </c>
      <c r="L222" s="254" t="n">
        <v>4858.62763712746</v>
      </c>
      <c r="M222" s="475" t="n">
        <v>36829</v>
      </c>
      <c r="N222" s="0" t="s">
        <v>136</v>
      </c>
      <c r="O222" s="0" t="n">
        <v>2.1</v>
      </c>
      <c r="P222" s="0" t="n">
        <v>0</v>
      </c>
      <c r="Q222" s="0" t="n">
        <v>0</v>
      </c>
      <c r="R222" s="0" t="n">
        <v>0</v>
      </c>
      <c r="S222" s="0" t="n">
        <v>0</v>
      </c>
      <c r="T222" s="0" t="s">
        <v>624</v>
      </c>
      <c r="U222" s="0" t="s">
        <v>149</v>
      </c>
      <c r="V222" s="0" t="s">
        <v>624</v>
      </c>
      <c r="W222" s="0" t="s">
        <v>569</v>
      </c>
      <c r="X222" s="0" t="s">
        <v>624</v>
      </c>
      <c r="Y222" s="0" t="s">
        <v>627</v>
      </c>
      <c r="Z222" s="0" t="s">
        <v>629</v>
      </c>
      <c r="AA222" s="0" t="s">
        <v>624</v>
      </c>
      <c r="AB222" s="0" t="s">
        <v>580</v>
      </c>
      <c r="AC222" s="254" t="n">
        <v>300000</v>
      </c>
      <c r="AD222" s="254" t="n">
        <v>3199.98234597087</v>
      </c>
      <c r="AE222" s="0" t="n">
        <v>0</v>
      </c>
      <c r="AF222" s="0" t="n">
        <v>0</v>
      </c>
      <c r="AG222" s="0" t="n">
        <v>0</v>
      </c>
      <c r="AH222" s="254" t="n">
        <v>836.042003585889</v>
      </c>
      <c r="AI222" s="0" t="n">
        <v>226</v>
      </c>
      <c r="AJ222" s="0" t="s">
        <v>630</v>
      </c>
      <c r="AK222" s="0" t="n">
        <v>0</v>
      </c>
      <c r="AL222" s="0" t="n">
        <v>0</v>
      </c>
      <c r="AM222" s="0" t="n">
        <v>0</v>
      </c>
    </row>
    <row r="223" customFormat="false" ht="12.75" hidden="false" customHeight="false" outlineLevel="0" collapsed="false">
      <c r="A223" s="0" t="s">
        <v>631</v>
      </c>
      <c r="B223" s="0" t="s">
        <v>279</v>
      </c>
      <c r="C223" s="0" t="s">
        <v>622</v>
      </c>
      <c r="D223" s="0" t="s">
        <v>623</v>
      </c>
      <c r="E223" s="0" t="s">
        <v>131</v>
      </c>
      <c r="F223" s="0" t="s">
        <v>278</v>
      </c>
      <c r="G223" s="0" t="s">
        <v>628</v>
      </c>
      <c r="H223" s="0" t="s">
        <v>625</v>
      </c>
      <c r="I223" s="0" t="s">
        <v>626</v>
      </c>
      <c r="J223" s="0" t="s">
        <v>627</v>
      </c>
      <c r="K223" s="475" t="n">
        <v>36892</v>
      </c>
      <c r="L223" s="254" t="n">
        <v>20693.9154478533</v>
      </c>
      <c r="M223" s="475" t="n">
        <v>36888</v>
      </c>
      <c r="N223" s="0" t="s">
        <v>136</v>
      </c>
      <c r="O223" s="0" t="n">
        <v>0.15</v>
      </c>
      <c r="P223" s="0" t="n">
        <v>0</v>
      </c>
      <c r="Q223" s="0" t="n">
        <v>0</v>
      </c>
      <c r="R223" s="0" t="n">
        <v>0</v>
      </c>
      <c r="S223" s="0" t="n">
        <v>0</v>
      </c>
      <c r="T223" s="0" t="s">
        <v>624</v>
      </c>
      <c r="U223" s="0" t="s">
        <v>632</v>
      </c>
      <c r="V223" s="0" t="s">
        <v>624</v>
      </c>
      <c r="W223" s="0" t="s">
        <v>569</v>
      </c>
      <c r="X223" s="0" t="s">
        <v>624</v>
      </c>
      <c r="Y223" s="0" t="s">
        <v>627</v>
      </c>
      <c r="Z223" s="0" t="s">
        <v>629</v>
      </c>
      <c r="AA223" s="0" t="s">
        <v>624</v>
      </c>
      <c r="AB223" s="0" t="s">
        <v>580</v>
      </c>
      <c r="AC223" s="254" t="n">
        <v>465000</v>
      </c>
      <c r="AD223" s="254" t="n">
        <v>4517.18049540071</v>
      </c>
      <c r="AE223" s="0" t="n">
        <v>0</v>
      </c>
      <c r="AF223" s="0" t="n">
        <v>0</v>
      </c>
      <c r="AG223" s="0" t="n">
        <v>0</v>
      </c>
      <c r="AH223" s="254" t="n">
        <v>217.411461283391</v>
      </c>
      <c r="AI223" s="0" t="n">
        <v>226</v>
      </c>
      <c r="AJ223" s="0" t="s">
        <v>630</v>
      </c>
      <c r="AK223" s="0" t="n">
        <v>0</v>
      </c>
      <c r="AL223" s="0" t="n">
        <v>0</v>
      </c>
      <c r="AM223" s="0" t="n">
        <v>0</v>
      </c>
    </row>
    <row r="224" customFormat="false" ht="12.75" hidden="false" customHeight="false" outlineLevel="0" collapsed="false">
      <c r="A224" s="0" t="s">
        <v>631</v>
      </c>
      <c r="B224" s="0" t="s">
        <v>279</v>
      </c>
      <c r="C224" s="0" t="s">
        <v>622</v>
      </c>
      <c r="D224" s="0" t="s">
        <v>623</v>
      </c>
      <c r="E224" s="0" t="s">
        <v>131</v>
      </c>
      <c r="F224" s="0" t="s">
        <v>278</v>
      </c>
      <c r="G224" s="0" t="s">
        <v>628</v>
      </c>
      <c r="H224" s="0" t="s">
        <v>625</v>
      </c>
      <c r="I224" s="0" t="s">
        <v>626</v>
      </c>
      <c r="J224" s="0" t="s">
        <v>627</v>
      </c>
      <c r="K224" s="475" t="n">
        <v>36861</v>
      </c>
      <c r="L224" s="254" t="n">
        <v>12713.9279342649</v>
      </c>
      <c r="M224" s="475" t="n">
        <v>36859</v>
      </c>
      <c r="N224" s="0" t="s">
        <v>136</v>
      </c>
      <c r="O224" s="0" t="n">
        <v>0.15</v>
      </c>
      <c r="P224" s="0" t="n">
        <v>0</v>
      </c>
      <c r="Q224" s="0" t="n">
        <v>0</v>
      </c>
      <c r="R224" s="0" t="n">
        <v>0</v>
      </c>
      <c r="S224" s="0" t="n">
        <v>0</v>
      </c>
      <c r="T224" s="0" t="s">
        <v>624</v>
      </c>
      <c r="U224" s="0" t="s">
        <v>632</v>
      </c>
      <c r="V224" s="0" t="s">
        <v>624</v>
      </c>
      <c r="W224" s="0" t="s">
        <v>569</v>
      </c>
      <c r="X224" s="0" t="s">
        <v>624</v>
      </c>
      <c r="Y224" s="0" t="s">
        <v>627</v>
      </c>
      <c r="Z224" s="0" t="s">
        <v>629</v>
      </c>
      <c r="AA224" s="0" t="s">
        <v>624</v>
      </c>
      <c r="AB224" s="0" t="s">
        <v>580</v>
      </c>
      <c r="AC224" s="254" t="n">
        <v>465000</v>
      </c>
      <c r="AD224" s="254" t="n">
        <v>3684.86366380792</v>
      </c>
      <c r="AE224" s="0" t="n">
        <v>0</v>
      </c>
      <c r="AF224" s="0" t="n">
        <v>0</v>
      </c>
      <c r="AG224" s="0" t="n">
        <v>0</v>
      </c>
      <c r="AH224" s="254" t="n">
        <v>185.522311290153</v>
      </c>
      <c r="AI224" s="0" t="n">
        <v>226</v>
      </c>
      <c r="AJ224" s="0" t="s">
        <v>630</v>
      </c>
      <c r="AK224" s="0" t="n">
        <v>0</v>
      </c>
      <c r="AL224" s="0" t="n">
        <v>0</v>
      </c>
      <c r="AM224" s="0" t="n">
        <v>0</v>
      </c>
    </row>
    <row r="225" customFormat="false" ht="12.75" hidden="false" customHeight="false" outlineLevel="0" collapsed="false">
      <c r="A225" s="0" t="s">
        <v>631</v>
      </c>
      <c r="B225" s="0" t="s">
        <v>280</v>
      </c>
      <c r="C225" s="0" t="s">
        <v>622</v>
      </c>
      <c r="D225" s="0" t="s">
        <v>623</v>
      </c>
      <c r="E225" s="0" t="s">
        <v>131</v>
      </c>
      <c r="F225" s="0" t="s">
        <v>210</v>
      </c>
      <c r="G225" s="0" t="s">
        <v>628</v>
      </c>
      <c r="H225" s="0" t="s">
        <v>625</v>
      </c>
      <c r="I225" s="0" t="s">
        <v>626</v>
      </c>
      <c r="J225" s="0" t="s">
        <v>627</v>
      </c>
      <c r="K225" s="475" t="n">
        <v>36800</v>
      </c>
      <c r="L225" s="254" t="n">
        <v>11483.8975567405</v>
      </c>
      <c r="M225" s="475" t="n">
        <v>36797</v>
      </c>
      <c r="N225" s="0" t="s">
        <v>132</v>
      </c>
      <c r="O225" s="0" t="n">
        <v>0.3</v>
      </c>
      <c r="P225" s="0" t="n">
        <v>0</v>
      </c>
      <c r="Q225" s="0" t="n">
        <v>0</v>
      </c>
      <c r="R225" s="0" t="n">
        <v>0</v>
      </c>
      <c r="S225" s="0" t="n">
        <v>0</v>
      </c>
      <c r="T225" s="0" t="s">
        <v>624</v>
      </c>
      <c r="U225" s="0" t="s">
        <v>149</v>
      </c>
      <c r="V225" s="0" t="s">
        <v>624</v>
      </c>
      <c r="W225" s="0" t="s">
        <v>569</v>
      </c>
      <c r="X225" s="0" t="s">
        <v>624</v>
      </c>
      <c r="Y225" s="0" t="s">
        <v>627</v>
      </c>
      <c r="Z225" s="0" t="s">
        <v>629</v>
      </c>
      <c r="AA225" s="0" t="s">
        <v>624</v>
      </c>
      <c r="AB225" s="0" t="s">
        <v>580</v>
      </c>
      <c r="AC225" s="254" t="n">
        <v>1550000</v>
      </c>
      <c r="AD225" s="254" t="n">
        <v>6066.89202195377</v>
      </c>
      <c r="AE225" s="0" t="n">
        <v>0</v>
      </c>
      <c r="AF225" s="0" t="n">
        <v>0</v>
      </c>
      <c r="AG225" s="0" t="n">
        <v>0</v>
      </c>
      <c r="AH225" s="254" t="n">
        <v>351.278610356019</v>
      </c>
      <c r="AI225" s="0" t="n">
        <v>226</v>
      </c>
      <c r="AJ225" s="0" t="s">
        <v>630</v>
      </c>
      <c r="AK225" s="0" t="n">
        <v>0</v>
      </c>
      <c r="AL225" s="0" t="n">
        <v>0</v>
      </c>
      <c r="AM225" s="0" t="n">
        <v>0</v>
      </c>
    </row>
    <row r="226" customFormat="false" ht="12.75" hidden="false" customHeight="false" outlineLevel="0" collapsed="false">
      <c r="A226" s="0" t="s">
        <v>631</v>
      </c>
      <c r="B226" s="0" t="s">
        <v>280</v>
      </c>
      <c r="C226" s="0" t="s">
        <v>622</v>
      </c>
      <c r="D226" s="0" t="s">
        <v>623</v>
      </c>
      <c r="E226" s="0" t="s">
        <v>131</v>
      </c>
      <c r="F226" s="0" t="s">
        <v>210</v>
      </c>
      <c r="G226" s="0" t="s">
        <v>628</v>
      </c>
      <c r="H226" s="0" t="s">
        <v>625</v>
      </c>
      <c r="I226" s="0" t="s">
        <v>626</v>
      </c>
      <c r="J226" s="0" t="s">
        <v>627</v>
      </c>
      <c r="K226" s="475" t="n">
        <v>36770</v>
      </c>
      <c r="L226" s="254" t="n">
        <v>3212.9666252923</v>
      </c>
      <c r="M226" s="475" t="n">
        <v>36768</v>
      </c>
      <c r="N226" s="0" t="s">
        <v>132</v>
      </c>
      <c r="O226" s="0" t="n">
        <v>0.3</v>
      </c>
      <c r="P226" s="0" t="n">
        <v>0</v>
      </c>
      <c r="Q226" s="0" t="n">
        <v>0</v>
      </c>
      <c r="R226" s="0" t="n">
        <v>0</v>
      </c>
      <c r="S226" s="0" t="n">
        <v>0</v>
      </c>
      <c r="T226" s="0" t="s">
        <v>624</v>
      </c>
      <c r="U226" s="0" t="s">
        <v>149</v>
      </c>
      <c r="V226" s="0" t="s">
        <v>624</v>
      </c>
      <c r="W226" s="0" t="s">
        <v>569</v>
      </c>
      <c r="X226" s="0" t="s">
        <v>624</v>
      </c>
      <c r="Y226" s="0" t="s">
        <v>627</v>
      </c>
      <c r="Z226" s="0" t="s">
        <v>629</v>
      </c>
      <c r="AA226" s="0" t="s">
        <v>624</v>
      </c>
      <c r="AB226" s="0" t="s">
        <v>580</v>
      </c>
      <c r="AC226" s="254" t="n">
        <v>1500000</v>
      </c>
      <c r="AD226" s="254" t="n">
        <v>1370.82154917147</v>
      </c>
      <c r="AE226" s="0" t="n">
        <v>0</v>
      </c>
      <c r="AF226" s="0" t="n">
        <v>0</v>
      </c>
      <c r="AG226" s="0" t="n">
        <v>0</v>
      </c>
      <c r="AH226" s="254" t="n">
        <v>206.608673920084</v>
      </c>
      <c r="AI226" s="0" t="n">
        <v>226</v>
      </c>
      <c r="AJ226" s="0" t="s">
        <v>630</v>
      </c>
      <c r="AK226" s="0" t="n">
        <v>0</v>
      </c>
      <c r="AL226" s="0" t="n">
        <v>0</v>
      </c>
      <c r="AM226" s="0" t="n">
        <v>0</v>
      </c>
    </row>
    <row r="227" customFormat="false" ht="12.75" hidden="false" customHeight="false" outlineLevel="0" collapsed="false">
      <c r="A227" s="0" t="s">
        <v>631</v>
      </c>
      <c r="B227" s="0" t="s">
        <v>282</v>
      </c>
      <c r="C227" s="0" t="s">
        <v>622</v>
      </c>
      <c r="D227" s="0" t="s">
        <v>623</v>
      </c>
      <c r="E227" s="0" t="s">
        <v>131</v>
      </c>
      <c r="F227" s="0" t="s">
        <v>281</v>
      </c>
      <c r="G227" s="0" t="s">
        <v>628</v>
      </c>
      <c r="H227" s="0" t="s">
        <v>625</v>
      </c>
      <c r="I227" s="0" t="s">
        <v>626</v>
      </c>
      <c r="J227" s="0" t="s">
        <v>627</v>
      </c>
      <c r="K227" s="475" t="n">
        <v>36951</v>
      </c>
      <c r="L227" s="254" t="n">
        <v>12666.1475605658</v>
      </c>
      <c r="M227" s="475" t="n">
        <v>36949</v>
      </c>
      <c r="N227" s="0" t="s">
        <v>136</v>
      </c>
      <c r="O227" s="0" t="n">
        <v>0.15</v>
      </c>
      <c r="P227" s="0" t="n">
        <v>0</v>
      </c>
      <c r="Q227" s="0" t="n">
        <v>0</v>
      </c>
      <c r="R227" s="0" t="n">
        <v>0</v>
      </c>
      <c r="S227" s="0" t="n">
        <v>0</v>
      </c>
      <c r="T227" s="0" t="s">
        <v>624</v>
      </c>
      <c r="U227" s="0" t="s">
        <v>632</v>
      </c>
      <c r="V227" s="0" t="s">
        <v>624</v>
      </c>
      <c r="W227" s="0" t="s">
        <v>569</v>
      </c>
      <c r="X227" s="0" t="s">
        <v>624</v>
      </c>
      <c r="Y227" s="0" t="s">
        <v>627</v>
      </c>
      <c r="Z227" s="0" t="s">
        <v>629</v>
      </c>
      <c r="AA227" s="0" t="s">
        <v>624</v>
      </c>
      <c r="AB227" s="0" t="s">
        <v>580</v>
      </c>
      <c r="AC227" s="254" t="n">
        <v>310000</v>
      </c>
      <c r="AD227" s="254" t="n">
        <v>3147.17922765094</v>
      </c>
      <c r="AE227" s="0" t="n">
        <v>0</v>
      </c>
      <c r="AF227" s="0" t="n">
        <v>0</v>
      </c>
      <c r="AG227" s="0" t="n">
        <v>0</v>
      </c>
      <c r="AH227" s="254" t="n">
        <v>160.050336929131</v>
      </c>
      <c r="AI227" s="0" t="n">
        <v>226</v>
      </c>
      <c r="AJ227" s="0" t="s">
        <v>630</v>
      </c>
      <c r="AK227" s="0" t="n">
        <v>0</v>
      </c>
      <c r="AL227" s="0" t="n">
        <v>0</v>
      </c>
      <c r="AM227" s="0" t="n">
        <v>0</v>
      </c>
    </row>
    <row r="228" customFormat="false" ht="12.75" hidden="false" customHeight="false" outlineLevel="0" collapsed="false">
      <c r="A228" s="0" t="s">
        <v>631</v>
      </c>
      <c r="B228" s="0" t="s">
        <v>282</v>
      </c>
      <c r="C228" s="0" t="s">
        <v>622</v>
      </c>
      <c r="D228" s="0" t="s">
        <v>623</v>
      </c>
      <c r="E228" s="0" t="s">
        <v>131</v>
      </c>
      <c r="F228" s="0" t="s">
        <v>281</v>
      </c>
      <c r="G228" s="0" t="s">
        <v>628</v>
      </c>
      <c r="H228" s="0" t="s">
        <v>625</v>
      </c>
      <c r="I228" s="0" t="s">
        <v>626</v>
      </c>
      <c r="J228" s="0" t="s">
        <v>627</v>
      </c>
      <c r="K228" s="475" t="n">
        <v>36923</v>
      </c>
      <c r="L228" s="254" t="n">
        <v>14498.1025608081</v>
      </c>
      <c r="M228" s="475" t="n">
        <v>36921</v>
      </c>
      <c r="N228" s="0" t="s">
        <v>136</v>
      </c>
      <c r="O228" s="0" t="n">
        <v>0.15</v>
      </c>
      <c r="P228" s="0" t="n">
        <v>0</v>
      </c>
      <c r="Q228" s="0" t="n">
        <v>0</v>
      </c>
      <c r="R228" s="0" t="n">
        <v>0</v>
      </c>
      <c r="S228" s="0" t="n">
        <v>0</v>
      </c>
      <c r="T228" s="0" t="s">
        <v>624</v>
      </c>
      <c r="U228" s="0" t="s">
        <v>632</v>
      </c>
      <c r="V228" s="0" t="s">
        <v>624</v>
      </c>
      <c r="W228" s="0" t="s">
        <v>569</v>
      </c>
      <c r="X228" s="0" t="s">
        <v>624</v>
      </c>
      <c r="Y228" s="0" t="s">
        <v>627</v>
      </c>
      <c r="Z228" s="0" t="s">
        <v>629</v>
      </c>
      <c r="AA228" s="0" t="s">
        <v>624</v>
      </c>
      <c r="AB228" s="0" t="s">
        <v>580</v>
      </c>
      <c r="AC228" s="254" t="n">
        <v>280000</v>
      </c>
      <c r="AD228" s="254" t="n">
        <v>2988.67122489288</v>
      </c>
      <c r="AE228" s="0" t="n">
        <v>0</v>
      </c>
      <c r="AF228" s="0" t="n">
        <v>0</v>
      </c>
      <c r="AG228" s="0" t="n">
        <v>0</v>
      </c>
      <c r="AH228" s="254" t="n">
        <v>143.438397494288</v>
      </c>
      <c r="AI228" s="0" t="n">
        <v>226</v>
      </c>
      <c r="AJ228" s="0" t="s">
        <v>630</v>
      </c>
      <c r="AK228" s="0" t="n">
        <v>0</v>
      </c>
      <c r="AL228" s="0" t="n">
        <v>0</v>
      </c>
      <c r="AM228" s="0" t="n">
        <v>0</v>
      </c>
    </row>
    <row r="229" customFormat="false" ht="12.75" hidden="false" customHeight="false" outlineLevel="0" collapsed="false">
      <c r="A229" s="0" t="s">
        <v>631</v>
      </c>
      <c r="B229" s="0" t="s">
        <v>282</v>
      </c>
      <c r="C229" s="0" t="s">
        <v>622</v>
      </c>
      <c r="D229" s="0" t="s">
        <v>623</v>
      </c>
      <c r="E229" s="0" t="s">
        <v>131</v>
      </c>
      <c r="F229" s="0" t="s">
        <v>281</v>
      </c>
      <c r="G229" s="0" t="s">
        <v>628</v>
      </c>
      <c r="H229" s="0" t="s">
        <v>625</v>
      </c>
      <c r="I229" s="0" t="s">
        <v>626</v>
      </c>
      <c r="J229" s="0" t="s">
        <v>627</v>
      </c>
      <c r="K229" s="475" t="n">
        <v>36892</v>
      </c>
      <c r="L229" s="254" t="n">
        <v>13795.9436319022</v>
      </c>
      <c r="M229" s="475" t="n">
        <v>36888</v>
      </c>
      <c r="N229" s="0" t="s">
        <v>136</v>
      </c>
      <c r="O229" s="0" t="n">
        <v>0.15</v>
      </c>
      <c r="P229" s="0" t="n">
        <v>0</v>
      </c>
      <c r="Q229" s="0" t="n">
        <v>0</v>
      </c>
      <c r="R229" s="0" t="n">
        <v>0</v>
      </c>
      <c r="S229" s="0" t="n">
        <v>0</v>
      </c>
      <c r="T229" s="0" t="s">
        <v>624</v>
      </c>
      <c r="U229" s="0" t="s">
        <v>632</v>
      </c>
      <c r="V229" s="0" t="s">
        <v>624</v>
      </c>
      <c r="W229" s="0" t="s">
        <v>569</v>
      </c>
      <c r="X229" s="0" t="s">
        <v>624</v>
      </c>
      <c r="Y229" s="0" t="s">
        <v>627</v>
      </c>
      <c r="Z229" s="0" t="s">
        <v>629</v>
      </c>
      <c r="AA229" s="0" t="s">
        <v>624</v>
      </c>
      <c r="AB229" s="0" t="s">
        <v>580</v>
      </c>
      <c r="AC229" s="254" t="n">
        <v>310000</v>
      </c>
      <c r="AD229" s="254" t="n">
        <v>3011.45366360046</v>
      </c>
      <c r="AE229" s="0" t="n">
        <v>0</v>
      </c>
      <c r="AF229" s="0" t="n">
        <v>0</v>
      </c>
      <c r="AG229" s="0" t="n">
        <v>0</v>
      </c>
      <c r="AH229" s="254" t="n">
        <v>144.940974188927</v>
      </c>
      <c r="AI229" s="0" t="n">
        <v>226</v>
      </c>
      <c r="AJ229" s="0" t="s">
        <v>630</v>
      </c>
      <c r="AK229" s="0" t="n">
        <v>0</v>
      </c>
      <c r="AL229" s="0" t="n">
        <v>0</v>
      </c>
      <c r="AM229" s="0" t="n">
        <v>0</v>
      </c>
    </row>
    <row r="230" customFormat="false" ht="12.75" hidden="false" customHeight="false" outlineLevel="0" collapsed="false">
      <c r="A230" s="0" t="s">
        <v>631</v>
      </c>
      <c r="B230" s="0" t="s">
        <v>282</v>
      </c>
      <c r="C230" s="0" t="s">
        <v>622</v>
      </c>
      <c r="D230" s="0" t="s">
        <v>623</v>
      </c>
      <c r="E230" s="0" t="s">
        <v>131</v>
      </c>
      <c r="F230" s="0" t="s">
        <v>281</v>
      </c>
      <c r="G230" s="0" t="s">
        <v>628</v>
      </c>
      <c r="H230" s="0" t="s">
        <v>625</v>
      </c>
      <c r="I230" s="0" t="s">
        <v>626</v>
      </c>
      <c r="J230" s="0" t="s">
        <v>627</v>
      </c>
      <c r="K230" s="475" t="n">
        <v>36861</v>
      </c>
      <c r="L230" s="254" t="n">
        <v>8475.9519561766</v>
      </c>
      <c r="M230" s="475" t="n">
        <v>36859</v>
      </c>
      <c r="N230" s="0" t="s">
        <v>136</v>
      </c>
      <c r="O230" s="0" t="n">
        <v>0.15</v>
      </c>
      <c r="P230" s="0" t="n">
        <v>0</v>
      </c>
      <c r="Q230" s="0" t="n">
        <v>0</v>
      </c>
      <c r="R230" s="0" t="n">
        <v>0</v>
      </c>
      <c r="S230" s="0" t="n">
        <v>0</v>
      </c>
      <c r="T230" s="0" t="s">
        <v>624</v>
      </c>
      <c r="U230" s="0" t="s">
        <v>632</v>
      </c>
      <c r="V230" s="0" t="s">
        <v>624</v>
      </c>
      <c r="W230" s="0" t="s">
        <v>569</v>
      </c>
      <c r="X230" s="0" t="s">
        <v>624</v>
      </c>
      <c r="Y230" s="0" t="s">
        <v>627</v>
      </c>
      <c r="Z230" s="0" t="s">
        <v>629</v>
      </c>
      <c r="AA230" s="0" t="s">
        <v>624</v>
      </c>
      <c r="AB230" s="0" t="s">
        <v>580</v>
      </c>
      <c r="AC230" s="254" t="n">
        <v>310000</v>
      </c>
      <c r="AD230" s="254" t="n">
        <v>2456.57577587196</v>
      </c>
      <c r="AE230" s="0" t="n">
        <v>0</v>
      </c>
      <c r="AF230" s="0" t="n">
        <v>0</v>
      </c>
      <c r="AG230" s="0" t="n">
        <v>0</v>
      </c>
      <c r="AH230" s="254" t="n">
        <v>123.681540860103</v>
      </c>
      <c r="AI230" s="0" t="n">
        <v>226</v>
      </c>
      <c r="AJ230" s="0" t="s">
        <v>630</v>
      </c>
      <c r="AK230" s="0" t="n">
        <v>0</v>
      </c>
      <c r="AL230" s="0" t="n">
        <v>0</v>
      </c>
      <c r="AM230" s="0" t="n">
        <v>0</v>
      </c>
    </row>
    <row r="231" customFormat="false" ht="12.75" hidden="false" customHeight="false" outlineLevel="0" collapsed="false">
      <c r="A231" s="0" t="s">
        <v>631</v>
      </c>
      <c r="B231" s="0" t="s">
        <v>282</v>
      </c>
      <c r="C231" s="0" t="s">
        <v>622</v>
      </c>
      <c r="D231" s="0" t="s">
        <v>623</v>
      </c>
      <c r="E231" s="0" t="s">
        <v>131</v>
      </c>
      <c r="F231" s="0" t="s">
        <v>281</v>
      </c>
      <c r="G231" s="0" t="s">
        <v>628</v>
      </c>
      <c r="H231" s="0" t="s">
        <v>625</v>
      </c>
      <c r="I231" s="0" t="s">
        <v>626</v>
      </c>
      <c r="J231" s="0" t="s">
        <v>627</v>
      </c>
      <c r="K231" s="475" t="n">
        <v>36831</v>
      </c>
      <c r="L231" s="254" t="n">
        <v>4650.15755874533</v>
      </c>
      <c r="M231" s="475" t="n">
        <v>36829</v>
      </c>
      <c r="N231" s="0" t="s">
        <v>136</v>
      </c>
      <c r="O231" s="0" t="n">
        <v>0.15</v>
      </c>
      <c r="P231" s="0" t="n">
        <v>0</v>
      </c>
      <c r="Q231" s="0" t="n">
        <v>0</v>
      </c>
      <c r="R231" s="0" t="n">
        <v>0</v>
      </c>
      <c r="S231" s="0" t="n">
        <v>0</v>
      </c>
      <c r="T231" s="0" t="s">
        <v>624</v>
      </c>
      <c r="U231" s="0" t="s">
        <v>632</v>
      </c>
      <c r="V231" s="0" t="s">
        <v>624</v>
      </c>
      <c r="W231" s="0" t="s">
        <v>569</v>
      </c>
      <c r="X231" s="0" t="s">
        <v>624</v>
      </c>
      <c r="Y231" s="0" t="s">
        <v>627</v>
      </c>
      <c r="Z231" s="0" t="s">
        <v>629</v>
      </c>
      <c r="AA231" s="0" t="s">
        <v>624</v>
      </c>
      <c r="AB231" s="0" t="s">
        <v>580</v>
      </c>
      <c r="AC231" s="254" t="n">
        <v>300000</v>
      </c>
      <c r="AD231" s="254" t="n">
        <v>1734.98226946498</v>
      </c>
      <c r="AE231" s="0" t="n">
        <v>0</v>
      </c>
      <c r="AF231" s="0" t="n">
        <v>0</v>
      </c>
      <c r="AG231" s="0" t="n">
        <v>0</v>
      </c>
      <c r="AH231" s="254" t="n">
        <v>93.5962156755977</v>
      </c>
      <c r="AI231" s="0" t="n">
        <v>226</v>
      </c>
      <c r="AJ231" s="0" t="s">
        <v>630</v>
      </c>
      <c r="AK231" s="0" t="n">
        <v>0</v>
      </c>
      <c r="AL231" s="0" t="n">
        <v>0</v>
      </c>
      <c r="AM231" s="0" t="n">
        <v>0</v>
      </c>
    </row>
    <row r="232" customFormat="false" ht="12.75" hidden="false" customHeight="false" outlineLevel="0" collapsed="false">
      <c r="A232" s="0" t="s">
        <v>631</v>
      </c>
      <c r="B232" s="0" t="s">
        <v>283</v>
      </c>
      <c r="C232" s="0" t="s">
        <v>622</v>
      </c>
      <c r="D232" s="0" t="s">
        <v>623</v>
      </c>
      <c r="E232" s="0" t="s">
        <v>131</v>
      </c>
      <c r="F232" s="0" t="s">
        <v>208</v>
      </c>
      <c r="G232" s="0" t="s">
        <v>628</v>
      </c>
      <c r="H232" s="0" t="s">
        <v>625</v>
      </c>
      <c r="I232" s="0" t="s">
        <v>626</v>
      </c>
      <c r="J232" s="0" t="s">
        <v>627</v>
      </c>
      <c r="K232" s="475" t="n">
        <v>36951</v>
      </c>
      <c r="L232" s="254" t="n">
        <v>12666.1475605658</v>
      </c>
      <c r="M232" s="475" t="n">
        <v>36949</v>
      </c>
      <c r="N232" s="0" t="s">
        <v>136</v>
      </c>
      <c r="O232" s="0" t="n">
        <v>0.15</v>
      </c>
      <c r="P232" s="0" t="n">
        <v>0</v>
      </c>
      <c r="Q232" s="0" t="n">
        <v>0</v>
      </c>
      <c r="R232" s="0" t="n">
        <v>0</v>
      </c>
      <c r="S232" s="0" t="n">
        <v>0</v>
      </c>
      <c r="T232" s="0" t="s">
        <v>624</v>
      </c>
      <c r="U232" s="0" t="s">
        <v>632</v>
      </c>
      <c r="V232" s="0" t="s">
        <v>624</v>
      </c>
      <c r="W232" s="0" t="s">
        <v>569</v>
      </c>
      <c r="X232" s="0" t="s">
        <v>624</v>
      </c>
      <c r="Y232" s="0" t="s">
        <v>627</v>
      </c>
      <c r="Z232" s="0" t="s">
        <v>629</v>
      </c>
      <c r="AA232" s="0" t="s">
        <v>624</v>
      </c>
      <c r="AB232" s="0" t="s">
        <v>580</v>
      </c>
      <c r="AC232" s="254" t="n">
        <v>310000</v>
      </c>
      <c r="AD232" s="254" t="n">
        <v>3147.17922765094</v>
      </c>
      <c r="AE232" s="0" t="n">
        <v>0</v>
      </c>
      <c r="AF232" s="0" t="n">
        <v>0</v>
      </c>
      <c r="AG232" s="0" t="n">
        <v>0</v>
      </c>
      <c r="AH232" s="254" t="n">
        <v>160.050336929131</v>
      </c>
      <c r="AI232" s="0" t="n">
        <v>226</v>
      </c>
      <c r="AJ232" s="0" t="s">
        <v>630</v>
      </c>
      <c r="AK232" s="0" t="n">
        <v>0</v>
      </c>
      <c r="AL232" s="0" t="n">
        <v>0</v>
      </c>
      <c r="AM232" s="0" t="n">
        <v>0</v>
      </c>
    </row>
    <row r="233" customFormat="false" ht="12.75" hidden="false" customHeight="false" outlineLevel="0" collapsed="false">
      <c r="A233" s="0" t="s">
        <v>631</v>
      </c>
      <c r="B233" s="0" t="s">
        <v>283</v>
      </c>
      <c r="C233" s="0" t="s">
        <v>622</v>
      </c>
      <c r="D233" s="0" t="s">
        <v>623</v>
      </c>
      <c r="E233" s="0" t="s">
        <v>131</v>
      </c>
      <c r="F233" s="0" t="s">
        <v>208</v>
      </c>
      <c r="G233" s="0" t="s">
        <v>628</v>
      </c>
      <c r="H233" s="0" t="s">
        <v>625</v>
      </c>
      <c r="I233" s="0" t="s">
        <v>626</v>
      </c>
      <c r="J233" s="0" t="s">
        <v>627</v>
      </c>
      <c r="K233" s="475" t="n">
        <v>36923</v>
      </c>
      <c r="L233" s="254" t="n">
        <v>14498.1025608081</v>
      </c>
      <c r="M233" s="475" t="n">
        <v>36921</v>
      </c>
      <c r="N233" s="0" t="s">
        <v>136</v>
      </c>
      <c r="O233" s="0" t="n">
        <v>0.15</v>
      </c>
      <c r="P233" s="0" t="n">
        <v>0</v>
      </c>
      <c r="Q233" s="0" t="n">
        <v>0</v>
      </c>
      <c r="R233" s="0" t="n">
        <v>0</v>
      </c>
      <c r="S233" s="0" t="n">
        <v>0</v>
      </c>
      <c r="T233" s="0" t="s">
        <v>624</v>
      </c>
      <c r="U233" s="0" t="s">
        <v>632</v>
      </c>
      <c r="V233" s="0" t="s">
        <v>624</v>
      </c>
      <c r="W233" s="0" t="s">
        <v>569</v>
      </c>
      <c r="X233" s="0" t="s">
        <v>624</v>
      </c>
      <c r="Y233" s="0" t="s">
        <v>627</v>
      </c>
      <c r="Z233" s="0" t="s">
        <v>629</v>
      </c>
      <c r="AA233" s="0" t="s">
        <v>624</v>
      </c>
      <c r="AB233" s="0" t="s">
        <v>580</v>
      </c>
      <c r="AC233" s="254" t="n">
        <v>280000</v>
      </c>
      <c r="AD233" s="254" t="n">
        <v>2988.67122489288</v>
      </c>
      <c r="AE233" s="0" t="n">
        <v>0</v>
      </c>
      <c r="AF233" s="0" t="n">
        <v>0</v>
      </c>
      <c r="AG233" s="0" t="n">
        <v>0</v>
      </c>
      <c r="AH233" s="254" t="n">
        <v>143.438397494288</v>
      </c>
      <c r="AI233" s="0" t="n">
        <v>226</v>
      </c>
      <c r="AJ233" s="0" t="s">
        <v>630</v>
      </c>
      <c r="AK233" s="0" t="n">
        <v>0</v>
      </c>
      <c r="AL233" s="0" t="n">
        <v>0</v>
      </c>
      <c r="AM233" s="0" t="n">
        <v>0</v>
      </c>
    </row>
    <row r="234" customFormat="false" ht="12.75" hidden="false" customHeight="false" outlineLevel="0" collapsed="false">
      <c r="A234" s="0" t="s">
        <v>631</v>
      </c>
      <c r="B234" s="0" t="s">
        <v>283</v>
      </c>
      <c r="C234" s="0" t="s">
        <v>622</v>
      </c>
      <c r="D234" s="0" t="s">
        <v>623</v>
      </c>
      <c r="E234" s="0" t="s">
        <v>131</v>
      </c>
      <c r="F234" s="0" t="s">
        <v>208</v>
      </c>
      <c r="G234" s="0" t="s">
        <v>628</v>
      </c>
      <c r="H234" s="0" t="s">
        <v>625</v>
      </c>
      <c r="I234" s="0" t="s">
        <v>626</v>
      </c>
      <c r="J234" s="0" t="s">
        <v>627</v>
      </c>
      <c r="K234" s="475" t="n">
        <v>36892</v>
      </c>
      <c r="L234" s="254" t="n">
        <v>13795.9436319022</v>
      </c>
      <c r="M234" s="475" t="n">
        <v>36888</v>
      </c>
      <c r="N234" s="0" t="s">
        <v>136</v>
      </c>
      <c r="O234" s="0" t="n">
        <v>0.15</v>
      </c>
      <c r="P234" s="0" t="n">
        <v>0</v>
      </c>
      <c r="Q234" s="0" t="n">
        <v>0</v>
      </c>
      <c r="R234" s="0" t="n">
        <v>0</v>
      </c>
      <c r="S234" s="0" t="n">
        <v>0</v>
      </c>
      <c r="T234" s="0" t="s">
        <v>624</v>
      </c>
      <c r="U234" s="0" t="s">
        <v>632</v>
      </c>
      <c r="V234" s="0" t="s">
        <v>624</v>
      </c>
      <c r="W234" s="0" t="s">
        <v>569</v>
      </c>
      <c r="X234" s="0" t="s">
        <v>624</v>
      </c>
      <c r="Y234" s="0" t="s">
        <v>627</v>
      </c>
      <c r="Z234" s="0" t="s">
        <v>629</v>
      </c>
      <c r="AA234" s="0" t="s">
        <v>624</v>
      </c>
      <c r="AB234" s="0" t="s">
        <v>580</v>
      </c>
      <c r="AC234" s="254" t="n">
        <v>310000</v>
      </c>
      <c r="AD234" s="254" t="n">
        <v>3011.45366360046</v>
      </c>
      <c r="AE234" s="0" t="n">
        <v>0</v>
      </c>
      <c r="AF234" s="0" t="n">
        <v>0</v>
      </c>
      <c r="AG234" s="0" t="n">
        <v>0</v>
      </c>
      <c r="AH234" s="254" t="n">
        <v>144.940974188927</v>
      </c>
      <c r="AI234" s="0" t="n">
        <v>226</v>
      </c>
      <c r="AJ234" s="0" t="s">
        <v>630</v>
      </c>
      <c r="AK234" s="0" t="n">
        <v>0</v>
      </c>
      <c r="AL234" s="0" t="n">
        <v>0</v>
      </c>
      <c r="AM234" s="0" t="n">
        <v>0</v>
      </c>
    </row>
    <row r="235" customFormat="false" ht="12.75" hidden="false" customHeight="false" outlineLevel="0" collapsed="false">
      <c r="A235" s="0" t="s">
        <v>631</v>
      </c>
      <c r="B235" s="0" t="s">
        <v>283</v>
      </c>
      <c r="C235" s="0" t="s">
        <v>622</v>
      </c>
      <c r="D235" s="0" t="s">
        <v>623</v>
      </c>
      <c r="E235" s="0" t="s">
        <v>131</v>
      </c>
      <c r="F235" s="0" t="s">
        <v>208</v>
      </c>
      <c r="G235" s="0" t="s">
        <v>628</v>
      </c>
      <c r="H235" s="0" t="s">
        <v>625</v>
      </c>
      <c r="I235" s="0" t="s">
        <v>626</v>
      </c>
      <c r="J235" s="0" t="s">
        <v>627</v>
      </c>
      <c r="K235" s="475" t="n">
        <v>36861</v>
      </c>
      <c r="L235" s="254" t="n">
        <v>8475.9519561766</v>
      </c>
      <c r="M235" s="475" t="n">
        <v>36859</v>
      </c>
      <c r="N235" s="0" t="s">
        <v>136</v>
      </c>
      <c r="O235" s="0" t="n">
        <v>0.15</v>
      </c>
      <c r="P235" s="0" t="n">
        <v>0</v>
      </c>
      <c r="Q235" s="0" t="n">
        <v>0</v>
      </c>
      <c r="R235" s="0" t="n">
        <v>0</v>
      </c>
      <c r="S235" s="0" t="n">
        <v>0</v>
      </c>
      <c r="T235" s="0" t="s">
        <v>624</v>
      </c>
      <c r="U235" s="0" t="s">
        <v>632</v>
      </c>
      <c r="V235" s="0" t="s">
        <v>624</v>
      </c>
      <c r="W235" s="0" t="s">
        <v>569</v>
      </c>
      <c r="X235" s="0" t="s">
        <v>624</v>
      </c>
      <c r="Y235" s="0" t="s">
        <v>627</v>
      </c>
      <c r="Z235" s="0" t="s">
        <v>629</v>
      </c>
      <c r="AA235" s="0" t="s">
        <v>624</v>
      </c>
      <c r="AB235" s="0" t="s">
        <v>580</v>
      </c>
      <c r="AC235" s="254" t="n">
        <v>310000</v>
      </c>
      <c r="AD235" s="254" t="n">
        <v>2456.57577587196</v>
      </c>
      <c r="AE235" s="0" t="n">
        <v>0</v>
      </c>
      <c r="AF235" s="0" t="n">
        <v>0</v>
      </c>
      <c r="AG235" s="0" t="n">
        <v>0</v>
      </c>
      <c r="AH235" s="254" t="n">
        <v>123.681540860103</v>
      </c>
      <c r="AI235" s="0" t="n">
        <v>226</v>
      </c>
      <c r="AJ235" s="0" t="s">
        <v>630</v>
      </c>
      <c r="AK235" s="0" t="n">
        <v>0</v>
      </c>
      <c r="AL235" s="0" t="n">
        <v>0</v>
      </c>
      <c r="AM235" s="0" t="n">
        <v>0</v>
      </c>
    </row>
    <row r="236" customFormat="false" ht="12.75" hidden="false" customHeight="false" outlineLevel="0" collapsed="false">
      <c r="A236" s="0" t="s">
        <v>631</v>
      </c>
      <c r="B236" s="0" t="s">
        <v>283</v>
      </c>
      <c r="C236" s="0" t="s">
        <v>622</v>
      </c>
      <c r="D236" s="0" t="s">
        <v>623</v>
      </c>
      <c r="E236" s="0" t="s">
        <v>131</v>
      </c>
      <c r="F236" s="0" t="s">
        <v>208</v>
      </c>
      <c r="G236" s="0" t="s">
        <v>628</v>
      </c>
      <c r="H236" s="0" t="s">
        <v>625</v>
      </c>
      <c r="I236" s="0" t="s">
        <v>626</v>
      </c>
      <c r="J236" s="0" t="s">
        <v>627</v>
      </c>
      <c r="K236" s="475" t="n">
        <v>36831</v>
      </c>
      <c r="L236" s="254" t="n">
        <v>4650.15755874533</v>
      </c>
      <c r="M236" s="475" t="n">
        <v>36829</v>
      </c>
      <c r="N236" s="0" t="s">
        <v>136</v>
      </c>
      <c r="O236" s="0" t="n">
        <v>0.15</v>
      </c>
      <c r="P236" s="0" t="n">
        <v>0</v>
      </c>
      <c r="Q236" s="0" t="n">
        <v>0</v>
      </c>
      <c r="R236" s="0" t="n">
        <v>0</v>
      </c>
      <c r="S236" s="0" t="n">
        <v>0</v>
      </c>
      <c r="T236" s="0" t="s">
        <v>624</v>
      </c>
      <c r="U236" s="0" t="s">
        <v>632</v>
      </c>
      <c r="V236" s="0" t="s">
        <v>624</v>
      </c>
      <c r="W236" s="0" t="s">
        <v>569</v>
      </c>
      <c r="X236" s="0" t="s">
        <v>624</v>
      </c>
      <c r="Y236" s="0" t="s">
        <v>627</v>
      </c>
      <c r="Z236" s="0" t="s">
        <v>629</v>
      </c>
      <c r="AA236" s="0" t="s">
        <v>624</v>
      </c>
      <c r="AB236" s="0" t="s">
        <v>580</v>
      </c>
      <c r="AC236" s="254" t="n">
        <v>300000</v>
      </c>
      <c r="AD236" s="254" t="n">
        <v>1734.98226946498</v>
      </c>
      <c r="AE236" s="0" t="n">
        <v>0</v>
      </c>
      <c r="AF236" s="0" t="n">
        <v>0</v>
      </c>
      <c r="AG236" s="0" t="n">
        <v>0</v>
      </c>
      <c r="AH236" s="254" t="n">
        <v>93.5962156755977</v>
      </c>
      <c r="AI236" s="0" t="n">
        <v>226</v>
      </c>
      <c r="AJ236" s="0" t="s">
        <v>630</v>
      </c>
      <c r="AK236" s="0" t="n">
        <v>0</v>
      </c>
      <c r="AL236" s="0" t="n">
        <v>0</v>
      </c>
      <c r="AM236" s="0" t="n">
        <v>0</v>
      </c>
    </row>
    <row r="237" customFormat="false" ht="12.75" hidden="false" customHeight="false" outlineLevel="0" collapsed="false">
      <c r="A237" s="0" t="s">
        <v>631</v>
      </c>
      <c r="B237" s="0" t="s">
        <v>284</v>
      </c>
      <c r="C237" s="0" t="s">
        <v>622</v>
      </c>
      <c r="D237" s="0" t="s">
        <v>623</v>
      </c>
      <c r="E237" s="0" t="s">
        <v>131</v>
      </c>
      <c r="F237" s="0" t="s">
        <v>244</v>
      </c>
      <c r="G237" s="0" t="s">
        <v>628</v>
      </c>
      <c r="H237" s="0" t="s">
        <v>625</v>
      </c>
      <c r="I237" s="0" t="s">
        <v>626</v>
      </c>
      <c r="J237" s="0" t="s">
        <v>627</v>
      </c>
      <c r="K237" s="475" t="n">
        <v>36951</v>
      </c>
      <c r="L237" s="254" t="n">
        <v>342154.896944254</v>
      </c>
      <c r="M237" s="475" t="n">
        <v>36949</v>
      </c>
      <c r="N237" s="0" t="s">
        <v>132</v>
      </c>
      <c r="O237" s="0" t="n">
        <v>0.75</v>
      </c>
      <c r="P237" s="0" t="n">
        <v>0</v>
      </c>
      <c r="Q237" s="0" t="n">
        <v>0</v>
      </c>
      <c r="R237" s="0" t="n">
        <v>0</v>
      </c>
      <c r="S237" s="0" t="n">
        <v>0</v>
      </c>
      <c r="T237" s="0" t="s">
        <v>624</v>
      </c>
      <c r="U237" s="0" t="s">
        <v>149</v>
      </c>
      <c r="V237" s="0" t="s">
        <v>624</v>
      </c>
      <c r="W237" s="0" t="s">
        <v>569</v>
      </c>
      <c r="X237" s="0" t="s">
        <v>624</v>
      </c>
      <c r="Y237" s="0" t="s">
        <v>627</v>
      </c>
      <c r="Z237" s="0" t="s">
        <v>629</v>
      </c>
      <c r="AA237" s="0" t="s">
        <v>624</v>
      </c>
      <c r="AB237" s="0" t="s">
        <v>580</v>
      </c>
      <c r="AC237" s="254" t="n">
        <v>1000000</v>
      </c>
      <c r="AD237" s="254" t="n">
        <v>87420.3029471442</v>
      </c>
      <c r="AE237" s="0" t="n">
        <v>0</v>
      </c>
      <c r="AF237" s="0" t="n">
        <v>0</v>
      </c>
      <c r="AG237" s="0" t="n">
        <v>0</v>
      </c>
      <c r="AH237" s="254" t="n">
        <v>-16337.219424809</v>
      </c>
      <c r="AI237" s="0" t="n">
        <v>226</v>
      </c>
      <c r="AJ237" s="0" t="s">
        <v>630</v>
      </c>
      <c r="AK237" s="0" t="n">
        <v>0</v>
      </c>
      <c r="AL237" s="0" t="n">
        <v>0</v>
      </c>
      <c r="AM237" s="0" t="n">
        <v>0</v>
      </c>
    </row>
    <row r="238" customFormat="false" ht="12.75" hidden="false" customHeight="false" outlineLevel="0" collapsed="false">
      <c r="A238" s="0" t="s">
        <v>631</v>
      </c>
      <c r="B238" s="0" t="s">
        <v>284</v>
      </c>
      <c r="C238" s="0" t="s">
        <v>622</v>
      </c>
      <c r="D238" s="0" t="s">
        <v>623</v>
      </c>
      <c r="E238" s="0" t="s">
        <v>131</v>
      </c>
      <c r="F238" s="0" t="s">
        <v>244</v>
      </c>
      <c r="G238" s="0" t="s">
        <v>628</v>
      </c>
      <c r="H238" s="0" t="s">
        <v>625</v>
      </c>
      <c r="I238" s="0" t="s">
        <v>626</v>
      </c>
      <c r="J238" s="0" t="s">
        <v>627</v>
      </c>
      <c r="K238" s="475" t="n">
        <v>36923</v>
      </c>
      <c r="L238" s="254" t="n">
        <v>140248.499222317</v>
      </c>
      <c r="M238" s="475" t="n">
        <v>36921</v>
      </c>
      <c r="N238" s="0" t="s">
        <v>132</v>
      </c>
      <c r="O238" s="0" t="n">
        <v>0.75</v>
      </c>
      <c r="P238" s="0" t="n">
        <v>0</v>
      </c>
      <c r="Q238" s="0" t="n">
        <v>0</v>
      </c>
      <c r="R238" s="0" t="n">
        <v>0</v>
      </c>
      <c r="S238" s="0" t="n">
        <v>0</v>
      </c>
      <c r="T238" s="0" t="s">
        <v>624</v>
      </c>
      <c r="U238" s="0" t="s">
        <v>149</v>
      </c>
      <c r="V238" s="0" t="s">
        <v>624</v>
      </c>
      <c r="W238" s="0" t="s">
        <v>569</v>
      </c>
      <c r="X238" s="0" t="s">
        <v>624</v>
      </c>
      <c r="Y238" s="0" t="s">
        <v>627</v>
      </c>
      <c r="Z238" s="0" t="s">
        <v>629</v>
      </c>
      <c r="AA238" s="0" t="s">
        <v>624</v>
      </c>
      <c r="AB238" s="0" t="s">
        <v>580</v>
      </c>
      <c r="AC238" s="254" t="n">
        <v>1000000</v>
      </c>
      <c r="AD238" s="254" t="n">
        <v>61469.571592473</v>
      </c>
      <c r="AE238" s="0" t="n">
        <v>0</v>
      </c>
      <c r="AF238" s="0" t="n">
        <v>0</v>
      </c>
      <c r="AG238" s="0" t="n">
        <v>0</v>
      </c>
      <c r="AH238" s="254" t="n">
        <v>-7506.70212805551</v>
      </c>
      <c r="AI238" s="0" t="n">
        <v>226</v>
      </c>
      <c r="AJ238" s="0" t="s">
        <v>630</v>
      </c>
      <c r="AK238" s="0" t="n">
        <v>0</v>
      </c>
      <c r="AL238" s="0" t="n">
        <v>0</v>
      </c>
      <c r="AM238" s="0" t="n">
        <v>0</v>
      </c>
    </row>
    <row r="239" customFormat="false" ht="12.75" hidden="false" customHeight="false" outlineLevel="0" collapsed="false">
      <c r="A239" s="0" t="s">
        <v>631</v>
      </c>
      <c r="B239" s="0" t="s">
        <v>284</v>
      </c>
      <c r="C239" s="0" t="s">
        <v>622</v>
      </c>
      <c r="D239" s="0" t="s">
        <v>623</v>
      </c>
      <c r="E239" s="0" t="s">
        <v>131</v>
      </c>
      <c r="F239" s="0" t="s">
        <v>244</v>
      </c>
      <c r="G239" s="0" t="s">
        <v>628</v>
      </c>
      <c r="H239" s="0" t="s">
        <v>625</v>
      </c>
      <c r="I239" s="0" t="s">
        <v>626</v>
      </c>
      <c r="J239" s="0" t="s">
        <v>627</v>
      </c>
      <c r="K239" s="475" t="n">
        <v>36892</v>
      </c>
      <c r="L239" s="254" t="n">
        <v>110739.689449624</v>
      </c>
      <c r="M239" s="475" t="n">
        <v>36888</v>
      </c>
      <c r="N239" s="0" t="s">
        <v>132</v>
      </c>
      <c r="O239" s="0" t="n">
        <v>0.75</v>
      </c>
      <c r="P239" s="0" t="n">
        <v>0</v>
      </c>
      <c r="Q239" s="0" t="n">
        <v>0</v>
      </c>
      <c r="R239" s="0" t="n">
        <v>0</v>
      </c>
      <c r="S239" s="0" t="n">
        <v>0</v>
      </c>
      <c r="T239" s="0" t="s">
        <v>624</v>
      </c>
      <c r="U239" s="0" t="s">
        <v>149</v>
      </c>
      <c r="V239" s="0" t="s">
        <v>624</v>
      </c>
      <c r="W239" s="0" t="s">
        <v>569</v>
      </c>
      <c r="X239" s="0" t="s">
        <v>624</v>
      </c>
      <c r="Y239" s="0" t="s">
        <v>627</v>
      </c>
      <c r="Z239" s="0" t="s">
        <v>629</v>
      </c>
      <c r="AA239" s="0" t="s">
        <v>624</v>
      </c>
      <c r="AB239" s="0" t="s">
        <v>580</v>
      </c>
      <c r="AC239" s="254" t="n">
        <v>1000000</v>
      </c>
      <c r="AD239" s="254" t="n">
        <v>50977.7435338451</v>
      </c>
      <c r="AE239" s="0" t="n">
        <v>0</v>
      </c>
      <c r="AF239" s="0" t="n">
        <v>0</v>
      </c>
      <c r="AG239" s="0" t="n">
        <v>0</v>
      </c>
      <c r="AH239" s="254" t="n">
        <v>-5341.82519402116</v>
      </c>
      <c r="AI239" s="0" t="n">
        <v>226</v>
      </c>
      <c r="AJ239" s="0" t="s">
        <v>630</v>
      </c>
      <c r="AK239" s="0" t="n">
        <v>0</v>
      </c>
      <c r="AL239" s="0" t="n">
        <v>0</v>
      </c>
      <c r="AM239" s="0" t="n">
        <v>0</v>
      </c>
    </row>
    <row r="240" customFormat="false" ht="12.75" hidden="false" customHeight="false" outlineLevel="0" collapsed="false">
      <c r="A240" s="0" t="s">
        <v>631</v>
      </c>
      <c r="B240" s="0" t="s">
        <v>284</v>
      </c>
      <c r="C240" s="0" t="s">
        <v>622</v>
      </c>
      <c r="D240" s="0" t="s">
        <v>623</v>
      </c>
      <c r="E240" s="0" t="s">
        <v>131</v>
      </c>
      <c r="F240" s="0" t="s">
        <v>244</v>
      </c>
      <c r="G240" s="0" t="s">
        <v>628</v>
      </c>
      <c r="H240" s="0" t="s">
        <v>625</v>
      </c>
      <c r="I240" s="0" t="s">
        <v>626</v>
      </c>
      <c r="J240" s="0" t="s">
        <v>627</v>
      </c>
      <c r="K240" s="475" t="n">
        <v>36861</v>
      </c>
      <c r="L240" s="254" t="n">
        <v>147916.985171273</v>
      </c>
      <c r="M240" s="475" t="n">
        <v>36859</v>
      </c>
      <c r="N240" s="0" t="s">
        <v>132</v>
      </c>
      <c r="O240" s="0" t="n">
        <v>0.75</v>
      </c>
      <c r="P240" s="0" t="n">
        <v>0</v>
      </c>
      <c r="Q240" s="0" t="n">
        <v>0</v>
      </c>
      <c r="R240" s="0" t="n">
        <v>0</v>
      </c>
      <c r="S240" s="0" t="n">
        <v>0</v>
      </c>
      <c r="T240" s="0" t="s">
        <v>624</v>
      </c>
      <c r="U240" s="0" t="s">
        <v>149</v>
      </c>
      <c r="V240" s="0" t="s">
        <v>624</v>
      </c>
      <c r="W240" s="0" t="s">
        <v>569</v>
      </c>
      <c r="X240" s="0" t="s">
        <v>624</v>
      </c>
      <c r="Y240" s="0" t="s">
        <v>627</v>
      </c>
      <c r="Z240" s="0" t="s">
        <v>629</v>
      </c>
      <c r="AA240" s="0" t="s">
        <v>624</v>
      </c>
      <c r="AB240" s="0" t="s">
        <v>580</v>
      </c>
      <c r="AC240" s="254" t="n">
        <v>1000000</v>
      </c>
      <c r="AD240" s="254" t="n">
        <v>55583.0803000811</v>
      </c>
      <c r="AE240" s="0" t="n">
        <v>0</v>
      </c>
      <c r="AF240" s="0" t="n">
        <v>0</v>
      </c>
      <c r="AG240" s="0" t="n">
        <v>0</v>
      </c>
      <c r="AH240" s="254" t="n">
        <v>-6008.07526559601</v>
      </c>
      <c r="AI240" s="0" t="n">
        <v>226</v>
      </c>
      <c r="AJ240" s="0" t="s">
        <v>630</v>
      </c>
      <c r="AK240" s="0" t="n">
        <v>0</v>
      </c>
      <c r="AL240" s="0" t="n">
        <v>0</v>
      </c>
      <c r="AM240" s="0" t="n">
        <v>0</v>
      </c>
    </row>
    <row r="241" customFormat="false" ht="12.75" hidden="false" customHeight="false" outlineLevel="0" collapsed="false">
      <c r="A241" s="0" t="s">
        <v>631</v>
      </c>
      <c r="B241" s="0" t="s">
        <v>284</v>
      </c>
      <c r="C241" s="0" t="s">
        <v>622</v>
      </c>
      <c r="D241" s="0" t="s">
        <v>623</v>
      </c>
      <c r="E241" s="0" t="s">
        <v>131</v>
      </c>
      <c r="F241" s="0" t="s">
        <v>244</v>
      </c>
      <c r="G241" s="0" t="s">
        <v>628</v>
      </c>
      <c r="H241" s="0" t="s">
        <v>625</v>
      </c>
      <c r="I241" s="0" t="s">
        <v>626</v>
      </c>
      <c r="J241" s="0" t="s">
        <v>627</v>
      </c>
      <c r="K241" s="475" t="n">
        <v>36831</v>
      </c>
      <c r="L241" s="254" t="n">
        <v>249617.892584412</v>
      </c>
      <c r="M241" s="475" t="n">
        <v>36829</v>
      </c>
      <c r="N241" s="0" t="s">
        <v>132</v>
      </c>
      <c r="O241" s="0" t="n">
        <v>0.75</v>
      </c>
      <c r="P241" s="0" t="n">
        <v>0</v>
      </c>
      <c r="Q241" s="0" t="n">
        <v>0</v>
      </c>
      <c r="R241" s="0" t="n">
        <v>0</v>
      </c>
      <c r="S241" s="0" t="n">
        <v>0</v>
      </c>
      <c r="T241" s="0" t="s">
        <v>624</v>
      </c>
      <c r="U241" s="0" t="s">
        <v>149</v>
      </c>
      <c r="V241" s="0" t="s">
        <v>624</v>
      </c>
      <c r="W241" s="0" t="s">
        <v>569</v>
      </c>
      <c r="X241" s="0" t="s">
        <v>624</v>
      </c>
      <c r="Y241" s="0" t="s">
        <v>627</v>
      </c>
      <c r="Z241" s="0" t="s">
        <v>629</v>
      </c>
      <c r="AA241" s="0" t="s">
        <v>624</v>
      </c>
      <c r="AB241" s="0" t="s">
        <v>580</v>
      </c>
      <c r="AC241" s="254" t="n">
        <v>1000000</v>
      </c>
      <c r="AD241" s="254" t="n">
        <v>45150.5946831699</v>
      </c>
      <c r="AE241" s="0" t="n">
        <v>0</v>
      </c>
      <c r="AF241" s="0" t="n">
        <v>0</v>
      </c>
      <c r="AG241" s="0" t="n">
        <v>0</v>
      </c>
      <c r="AH241" s="254" t="n">
        <v>-16358.3533241631</v>
      </c>
      <c r="AI241" s="0" t="n">
        <v>226</v>
      </c>
      <c r="AJ241" s="0" t="s">
        <v>630</v>
      </c>
      <c r="AK241" s="0" t="n">
        <v>0</v>
      </c>
      <c r="AL241" s="0" t="n">
        <v>0</v>
      </c>
      <c r="AM241" s="0" t="n">
        <v>0</v>
      </c>
    </row>
    <row r="242" customFormat="false" ht="12.75" hidden="false" customHeight="false" outlineLevel="0" collapsed="false">
      <c r="A242" s="0" t="s">
        <v>631</v>
      </c>
      <c r="B242" s="0" t="s">
        <v>285</v>
      </c>
      <c r="C242" s="0" t="s">
        <v>622</v>
      </c>
      <c r="D242" s="0" t="s">
        <v>623</v>
      </c>
      <c r="E242" s="0" t="s">
        <v>131</v>
      </c>
      <c r="F242" s="0" t="s">
        <v>198</v>
      </c>
      <c r="G242" s="0" t="s">
        <v>628</v>
      </c>
      <c r="H242" s="0" t="s">
        <v>625</v>
      </c>
      <c r="I242" s="0" t="s">
        <v>626</v>
      </c>
      <c r="J242" s="0" t="s">
        <v>627</v>
      </c>
      <c r="K242" s="475" t="n">
        <v>36951</v>
      </c>
      <c r="L242" s="254" t="n">
        <v>-340450.938600392</v>
      </c>
      <c r="M242" s="475" t="n">
        <v>36949</v>
      </c>
      <c r="N242" s="0" t="s">
        <v>132</v>
      </c>
      <c r="O242" s="0" t="n">
        <v>1.15</v>
      </c>
      <c r="P242" s="0" t="n">
        <v>0</v>
      </c>
      <c r="Q242" s="0" t="n">
        <v>0</v>
      </c>
      <c r="R242" s="0" t="n">
        <v>0</v>
      </c>
      <c r="S242" s="0" t="n">
        <v>0</v>
      </c>
      <c r="T242" s="0" t="s">
        <v>624</v>
      </c>
      <c r="U242" s="0" t="s">
        <v>149</v>
      </c>
      <c r="V242" s="0" t="s">
        <v>624</v>
      </c>
      <c r="W242" s="0" t="s">
        <v>569</v>
      </c>
      <c r="X242" s="0" t="s">
        <v>624</v>
      </c>
      <c r="Y242" s="0" t="s">
        <v>627</v>
      </c>
      <c r="Z242" s="0" t="s">
        <v>629</v>
      </c>
      <c r="AA242" s="0" t="s">
        <v>624</v>
      </c>
      <c r="AB242" s="0" t="s">
        <v>580</v>
      </c>
      <c r="AC242" s="254" t="n">
        <v>-620000</v>
      </c>
      <c r="AD242" s="254" t="n">
        <v>-54705.0093874434</v>
      </c>
      <c r="AE242" s="0" t="n">
        <v>0</v>
      </c>
      <c r="AF242" s="0" t="n">
        <v>0</v>
      </c>
      <c r="AG242" s="0" t="n">
        <v>0</v>
      </c>
      <c r="AH242" s="254" t="n">
        <v>14474.9203382678</v>
      </c>
      <c r="AI242" s="0" t="n">
        <v>226</v>
      </c>
      <c r="AJ242" s="0" t="s">
        <v>630</v>
      </c>
      <c r="AK242" s="0" t="n">
        <v>0</v>
      </c>
      <c r="AL242" s="0" t="n">
        <v>0</v>
      </c>
      <c r="AM242" s="0" t="n">
        <v>0</v>
      </c>
    </row>
    <row r="243" customFormat="false" ht="12.75" hidden="false" customHeight="false" outlineLevel="0" collapsed="false">
      <c r="A243" s="0" t="s">
        <v>631</v>
      </c>
      <c r="B243" s="0" t="s">
        <v>285</v>
      </c>
      <c r="C243" s="0" t="s">
        <v>622</v>
      </c>
      <c r="D243" s="0" t="s">
        <v>623</v>
      </c>
      <c r="E243" s="0" t="s">
        <v>131</v>
      </c>
      <c r="F243" s="0" t="s">
        <v>198</v>
      </c>
      <c r="G243" s="0" t="s">
        <v>628</v>
      </c>
      <c r="H243" s="0" t="s">
        <v>625</v>
      </c>
      <c r="I243" s="0" t="s">
        <v>626</v>
      </c>
      <c r="J243" s="0" t="s">
        <v>627</v>
      </c>
      <c r="K243" s="475" t="n">
        <v>36923</v>
      </c>
      <c r="L243" s="254" t="n">
        <v>-141199.127843747</v>
      </c>
      <c r="M243" s="475" t="n">
        <v>36921</v>
      </c>
      <c r="N243" s="0" t="s">
        <v>132</v>
      </c>
      <c r="O243" s="0" t="n">
        <v>1.15</v>
      </c>
      <c r="P243" s="0" t="n">
        <v>0</v>
      </c>
      <c r="Q243" s="0" t="n">
        <v>0</v>
      </c>
      <c r="R243" s="0" t="n">
        <v>0</v>
      </c>
      <c r="S243" s="0" t="n">
        <v>0</v>
      </c>
      <c r="T243" s="0" t="s">
        <v>624</v>
      </c>
      <c r="U243" s="0" t="s">
        <v>149</v>
      </c>
      <c r="V243" s="0" t="s">
        <v>624</v>
      </c>
      <c r="W243" s="0" t="s">
        <v>569</v>
      </c>
      <c r="X243" s="0" t="s">
        <v>624</v>
      </c>
      <c r="Y243" s="0" t="s">
        <v>627</v>
      </c>
      <c r="Z243" s="0" t="s">
        <v>629</v>
      </c>
      <c r="AA243" s="0" t="s">
        <v>624</v>
      </c>
      <c r="AB243" s="0" t="s">
        <v>580</v>
      </c>
      <c r="AC243" s="254" t="n">
        <v>-560000</v>
      </c>
      <c r="AD243" s="254" t="n">
        <v>-42105.9510435271</v>
      </c>
      <c r="AE243" s="0" t="n">
        <v>0</v>
      </c>
      <c r="AF243" s="0" t="n">
        <v>0</v>
      </c>
      <c r="AG243" s="0" t="n">
        <v>0</v>
      </c>
      <c r="AH243" s="254" t="n">
        <v>6981.3842456383</v>
      </c>
      <c r="AI243" s="0" t="n">
        <v>226</v>
      </c>
      <c r="AJ243" s="0" t="s">
        <v>630</v>
      </c>
      <c r="AK243" s="0" t="n">
        <v>0</v>
      </c>
      <c r="AL243" s="0" t="n">
        <v>0</v>
      </c>
      <c r="AM243" s="0" t="n">
        <v>0</v>
      </c>
    </row>
    <row r="244" customFormat="false" ht="12.75" hidden="false" customHeight="false" outlineLevel="0" collapsed="false">
      <c r="A244" s="0" t="s">
        <v>631</v>
      </c>
      <c r="B244" s="0" t="s">
        <v>285</v>
      </c>
      <c r="C244" s="0" t="s">
        <v>622</v>
      </c>
      <c r="D244" s="0" t="s">
        <v>623</v>
      </c>
      <c r="E244" s="0" t="s">
        <v>131</v>
      </c>
      <c r="F244" s="0" t="s">
        <v>198</v>
      </c>
      <c r="G244" s="0" t="s">
        <v>628</v>
      </c>
      <c r="H244" s="0" t="s">
        <v>625</v>
      </c>
      <c r="I244" s="0" t="s">
        <v>626</v>
      </c>
      <c r="J244" s="0" t="s">
        <v>627</v>
      </c>
      <c r="K244" s="475" t="n">
        <v>36892</v>
      </c>
      <c r="L244" s="254" t="n">
        <v>-129255.248803358</v>
      </c>
      <c r="M244" s="475" t="n">
        <v>36888</v>
      </c>
      <c r="N244" s="0" t="s">
        <v>132</v>
      </c>
      <c r="O244" s="0" t="n">
        <v>1.15</v>
      </c>
      <c r="P244" s="0" t="n">
        <v>0</v>
      </c>
      <c r="Q244" s="0" t="n">
        <v>0</v>
      </c>
      <c r="R244" s="0" t="n">
        <v>0</v>
      </c>
      <c r="S244" s="0" t="n">
        <v>0</v>
      </c>
      <c r="T244" s="0" t="s">
        <v>624</v>
      </c>
      <c r="U244" s="0" t="s">
        <v>149</v>
      </c>
      <c r="V244" s="0" t="s">
        <v>624</v>
      </c>
      <c r="W244" s="0" t="s">
        <v>569</v>
      </c>
      <c r="X244" s="0" t="s">
        <v>624</v>
      </c>
      <c r="Y244" s="0" t="s">
        <v>627</v>
      </c>
      <c r="Z244" s="0" t="s">
        <v>629</v>
      </c>
      <c r="AA244" s="0" t="s">
        <v>624</v>
      </c>
      <c r="AB244" s="0" t="s">
        <v>580</v>
      </c>
      <c r="AC244" s="254" t="n">
        <v>-620000</v>
      </c>
      <c r="AD244" s="254" t="n">
        <v>-40420.3170127561</v>
      </c>
      <c r="AE244" s="0" t="n">
        <v>0</v>
      </c>
      <c r="AF244" s="0" t="n">
        <v>0</v>
      </c>
      <c r="AG244" s="0" t="n">
        <v>0</v>
      </c>
      <c r="AH244" s="254" t="n">
        <v>5828.50935456094</v>
      </c>
      <c r="AI244" s="0" t="n">
        <v>226</v>
      </c>
      <c r="AJ244" s="0" t="s">
        <v>630</v>
      </c>
      <c r="AK244" s="0" t="n">
        <v>0</v>
      </c>
      <c r="AL244" s="0" t="n">
        <v>0</v>
      </c>
      <c r="AM244" s="0" t="n">
        <v>0</v>
      </c>
    </row>
    <row r="245" customFormat="false" ht="12.75" hidden="false" customHeight="false" outlineLevel="0" collapsed="false">
      <c r="A245" s="0" t="s">
        <v>631</v>
      </c>
      <c r="B245" s="0" t="s">
        <v>285</v>
      </c>
      <c r="C245" s="0" t="s">
        <v>622</v>
      </c>
      <c r="D245" s="0" t="s">
        <v>623</v>
      </c>
      <c r="E245" s="0" t="s">
        <v>131</v>
      </c>
      <c r="F245" s="0" t="s">
        <v>198</v>
      </c>
      <c r="G245" s="0" t="s">
        <v>628</v>
      </c>
      <c r="H245" s="0" t="s">
        <v>625</v>
      </c>
      <c r="I245" s="0" t="s">
        <v>626</v>
      </c>
      <c r="J245" s="0" t="s">
        <v>627</v>
      </c>
      <c r="K245" s="475" t="n">
        <v>36861</v>
      </c>
      <c r="L245" s="254" t="n">
        <v>-173078.837676033</v>
      </c>
      <c r="M245" s="475" t="n">
        <v>36859</v>
      </c>
      <c r="N245" s="0" t="s">
        <v>132</v>
      </c>
      <c r="O245" s="0" t="n">
        <v>1.15</v>
      </c>
      <c r="P245" s="0" t="n">
        <v>0</v>
      </c>
      <c r="Q245" s="0" t="n">
        <v>0</v>
      </c>
      <c r="R245" s="0" t="n">
        <v>0</v>
      </c>
      <c r="S245" s="0" t="n">
        <v>0</v>
      </c>
      <c r="T245" s="0" t="s">
        <v>624</v>
      </c>
      <c r="U245" s="0" t="s">
        <v>149</v>
      </c>
      <c r="V245" s="0" t="s">
        <v>624</v>
      </c>
      <c r="W245" s="0" t="s">
        <v>569</v>
      </c>
      <c r="X245" s="0" t="s">
        <v>624</v>
      </c>
      <c r="Y245" s="0" t="s">
        <v>627</v>
      </c>
      <c r="Z245" s="0" t="s">
        <v>629</v>
      </c>
      <c r="AA245" s="0" t="s">
        <v>624</v>
      </c>
      <c r="AB245" s="0" t="s">
        <v>580</v>
      </c>
      <c r="AC245" s="254" t="n">
        <v>-620000</v>
      </c>
      <c r="AD245" s="254" t="n">
        <v>-41497.6720790183</v>
      </c>
      <c r="AE245" s="0" t="n">
        <v>0</v>
      </c>
      <c r="AF245" s="0" t="n">
        <v>0</v>
      </c>
      <c r="AG245" s="0" t="n">
        <v>0</v>
      </c>
      <c r="AH245" s="254" t="n">
        <v>6505.64434774013</v>
      </c>
      <c r="AI245" s="0" t="n">
        <v>226</v>
      </c>
      <c r="AJ245" s="0" t="s">
        <v>630</v>
      </c>
      <c r="AK245" s="0" t="n">
        <v>0</v>
      </c>
      <c r="AL245" s="0" t="n">
        <v>0</v>
      </c>
      <c r="AM245" s="0" t="n">
        <v>0</v>
      </c>
    </row>
    <row r="246" customFormat="false" ht="12.75" hidden="false" customHeight="false" outlineLevel="0" collapsed="false">
      <c r="A246" s="0" t="s">
        <v>631</v>
      </c>
      <c r="B246" s="0" t="s">
        <v>285</v>
      </c>
      <c r="C246" s="0" t="s">
        <v>622</v>
      </c>
      <c r="D246" s="0" t="s">
        <v>623</v>
      </c>
      <c r="E246" s="0" t="s">
        <v>131</v>
      </c>
      <c r="F246" s="0" t="s">
        <v>198</v>
      </c>
      <c r="G246" s="0" t="s">
        <v>628</v>
      </c>
      <c r="H246" s="0" t="s">
        <v>625</v>
      </c>
      <c r="I246" s="0" t="s">
        <v>626</v>
      </c>
      <c r="J246" s="0" t="s">
        <v>627</v>
      </c>
      <c r="K246" s="475" t="n">
        <v>36831</v>
      </c>
      <c r="L246" s="254" t="n">
        <v>-301615.391800875</v>
      </c>
      <c r="M246" s="475" t="n">
        <v>36829</v>
      </c>
      <c r="N246" s="0" t="s">
        <v>132</v>
      </c>
      <c r="O246" s="0" t="n">
        <v>1.15</v>
      </c>
      <c r="P246" s="0" t="n">
        <v>0</v>
      </c>
      <c r="Q246" s="0" t="n">
        <v>0</v>
      </c>
      <c r="R246" s="0" t="n">
        <v>0</v>
      </c>
      <c r="S246" s="0" t="n">
        <v>0</v>
      </c>
      <c r="T246" s="0" t="s">
        <v>624</v>
      </c>
      <c r="U246" s="0" t="s">
        <v>149</v>
      </c>
      <c r="V246" s="0" t="s">
        <v>624</v>
      </c>
      <c r="W246" s="0" t="s">
        <v>569</v>
      </c>
      <c r="X246" s="0" t="s">
        <v>624</v>
      </c>
      <c r="Y246" s="0" t="s">
        <v>627</v>
      </c>
      <c r="Z246" s="0" t="s">
        <v>629</v>
      </c>
      <c r="AA246" s="0" t="s">
        <v>624</v>
      </c>
      <c r="AB246" s="0" t="s">
        <v>580</v>
      </c>
      <c r="AC246" s="254" t="n">
        <v>-600000</v>
      </c>
      <c r="AD246" s="254" t="n">
        <v>-22643.2148577438</v>
      </c>
      <c r="AE246" s="0" t="n">
        <v>0</v>
      </c>
      <c r="AF246" s="0" t="n">
        <v>0</v>
      </c>
      <c r="AG246" s="0" t="n">
        <v>0</v>
      </c>
      <c r="AH246" s="254" t="n">
        <v>15213.1083450872</v>
      </c>
      <c r="AI246" s="0" t="n">
        <v>226</v>
      </c>
      <c r="AJ246" s="0" t="s">
        <v>630</v>
      </c>
      <c r="AK246" s="0" t="n">
        <v>0</v>
      </c>
      <c r="AL246" s="0" t="n">
        <v>0</v>
      </c>
      <c r="AM246" s="0" t="n">
        <v>0</v>
      </c>
    </row>
    <row r="247" customFormat="false" ht="12.75" hidden="false" customHeight="false" outlineLevel="0" collapsed="false">
      <c r="A247" s="0" t="s">
        <v>631</v>
      </c>
      <c r="B247" s="0" t="s">
        <v>286</v>
      </c>
      <c r="C247" s="0" t="s">
        <v>622</v>
      </c>
      <c r="D247" s="0" t="s">
        <v>623</v>
      </c>
      <c r="E247" s="0" t="s">
        <v>131</v>
      </c>
      <c r="F247" s="0" t="s">
        <v>198</v>
      </c>
      <c r="G247" s="0" t="s">
        <v>628</v>
      </c>
      <c r="H247" s="0" t="s">
        <v>625</v>
      </c>
      <c r="I247" s="0" t="s">
        <v>626</v>
      </c>
      <c r="J247" s="0" t="s">
        <v>627</v>
      </c>
      <c r="K247" s="475" t="n">
        <v>36951</v>
      </c>
      <c r="L247" s="254" t="n">
        <v>-465509.916729815</v>
      </c>
      <c r="M247" s="475" t="n">
        <v>36949</v>
      </c>
      <c r="N247" s="0" t="s">
        <v>132</v>
      </c>
      <c r="O247" s="0" t="n">
        <v>1</v>
      </c>
      <c r="P247" s="0" t="n">
        <v>0</v>
      </c>
      <c r="Q247" s="0" t="n">
        <v>0</v>
      </c>
      <c r="R247" s="0" t="n">
        <v>0</v>
      </c>
      <c r="S247" s="0" t="n">
        <v>0</v>
      </c>
      <c r="T247" s="0" t="s">
        <v>624</v>
      </c>
      <c r="U247" s="0" t="s">
        <v>149</v>
      </c>
      <c r="V247" s="0" t="s">
        <v>624</v>
      </c>
      <c r="W247" s="0" t="s">
        <v>569</v>
      </c>
      <c r="X247" s="0" t="s">
        <v>624</v>
      </c>
      <c r="Y247" s="0" t="s">
        <v>627</v>
      </c>
      <c r="Z247" s="0" t="s">
        <v>629</v>
      </c>
      <c r="AA247" s="0" t="s">
        <v>624</v>
      </c>
      <c r="AB247" s="0" t="s">
        <v>580</v>
      </c>
      <c r="AC247" s="254" t="n">
        <v>-1000000</v>
      </c>
      <c r="AD247" s="254" t="n">
        <v>-88936.8209745341</v>
      </c>
      <c r="AE247" s="0" t="n">
        <v>0</v>
      </c>
      <c r="AF247" s="0" t="n">
        <v>0</v>
      </c>
      <c r="AG247" s="0" t="n">
        <v>0</v>
      </c>
      <c r="AH247" s="254" t="n">
        <v>20719.012783803</v>
      </c>
      <c r="AI247" s="0" t="n">
        <v>226</v>
      </c>
      <c r="AJ247" s="0" t="s">
        <v>630</v>
      </c>
      <c r="AK247" s="0" t="n">
        <v>0</v>
      </c>
      <c r="AL247" s="0" t="n">
        <v>0</v>
      </c>
      <c r="AM247" s="0" t="n">
        <v>0</v>
      </c>
    </row>
    <row r="248" customFormat="false" ht="12.75" hidden="false" customHeight="false" outlineLevel="0" collapsed="false">
      <c r="A248" s="0" t="s">
        <v>631</v>
      </c>
      <c r="B248" s="0" t="s">
        <v>287</v>
      </c>
      <c r="C248" s="0" t="s">
        <v>622</v>
      </c>
      <c r="D248" s="0" t="s">
        <v>623</v>
      </c>
      <c r="E248" s="0" t="s">
        <v>131</v>
      </c>
      <c r="F248" s="0" t="s">
        <v>198</v>
      </c>
      <c r="G248" s="0" t="s">
        <v>628</v>
      </c>
      <c r="H248" s="0" t="s">
        <v>625</v>
      </c>
      <c r="I248" s="0" t="s">
        <v>626</v>
      </c>
      <c r="J248" s="0" t="s">
        <v>627</v>
      </c>
      <c r="K248" s="475" t="n">
        <v>36951</v>
      </c>
      <c r="L248" s="254" t="n">
        <v>342154.896944254</v>
      </c>
      <c r="M248" s="475" t="n">
        <v>36949</v>
      </c>
      <c r="N248" s="0" t="s">
        <v>132</v>
      </c>
      <c r="O248" s="0" t="n">
        <v>0.75</v>
      </c>
      <c r="P248" s="0" t="n">
        <v>0</v>
      </c>
      <c r="Q248" s="0" t="n">
        <v>0</v>
      </c>
      <c r="R248" s="0" t="n">
        <v>0</v>
      </c>
      <c r="S248" s="0" t="n">
        <v>0</v>
      </c>
      <c r="T248" s="0" t="s">
        <v>624</v>
      </c>
      <c r="U248" s="0" t="s">
        <v>149</v>
      </c>
      <c r="V248" s="0" t="s">
        <v>624</v>
      </c>
      <c r="W248" s="0" t="s">
        <v>569</v>
      </c>
      <c r="X248" s="0" t="s">
        <v>624</v>
      </c>
      <c r="Y248" s="0" t="s">
        <v>627</v>
      </c>
      <c r="Z248" s="0" t="s">
        <v>629</v>
      </c>
      <c r="AA248" s="0" t="s">
        <v>624</v>
      </c>
      <c r="AB248" s="0" t="s">
        <v>580</v>
      </c>
      <c r="AC248" s="254" t="n">
        <v>1000000</v>
      </c>
      <c r="AD248" s="254" t="n">
        <v>87420.3029471442</v>
      </c>
      <c r="AE248" s="0" t="n">
        <v>0</v>
      </c>
      <c r="AF248" s="0" t="n">
        <v>0</v>
      </c>
      <c r="AG248" s="0" t="n">
        <v>0</v>
      </c>
      <c r="AH248" s="254" t="n">
        <v>-16337.219424809</v>
      </c>
      <c r="AI248" s="0" t="n">
        <v>226</v>
      </c>
      <c r="AJ248" s="0" t="s">
        <v>630</v>
      </c>
      <c r="AK248" s="0" t="n">
        <v>0</v>
      </c>
      <c r="AL248" s="0" t="n">
        <v>0</v>
      </c>
      <c r="AM248" s="0" t="n">
        <v>0</v>
      </c>
    </row>
    <row r="249" customFormat="false" ht="12.75" hidden="false" customHeight="false" outlineLevel="0" collapsed="false">
      <c r="A249" s="0" t="s">
        <v>631</v>
      </c>
      <c r="B249" s="0" t="s">
        <v>287</v>
      </c>
      <c r="C249" s="0" t="s">
        <v>622</v>
      </c>
      <c r="D249" s="0" t="s">
        <v>623</v>
      </c>
      <c r="E249" s="0" t="s">
        <v>131</v>
      </c>
      <c r="F249" s="0" t="s">
        <v>198</v>
      </c>
      <c r="G249" s="0" t="s">
        <v>628</v>
      </c>
      <c r="H249" s="0" t="s">
        <v>625</v>
      </c>
      <c r="I249" s="0" t="s">
        <v>626</v>
      </c>
      <c r="J249" s="0" t="s">
        <v>627</v>
      </c>
      <c r="K249" s="475" t="n">
        <v>36923</v>
      </c>
      <c r="L249" s="254" t="n">
        <v>140248.499222317</v>
      </c>
      <c r="M249" s="475" t="n">
        <v>36921</v>
      </c>
      <c r="N249" s="0" t="s">
        <v>132</v>
      </c>
      <c r="O249" s="0" t="n">
        <v>0.75</v>
      </c>
      <c r="P249" s="0" t="n">
        <v>0</v>
      </c>
      <c r="Q249" s="0" t="n">
        <v>0</v>
      </c>
      <c r="R249" s="0" t="n">
        <v>0</v>
      </c>
      <c r="S249" s="0" t="n">
        <v>0</v>
      </c>
      <c r="T249" s="0" t="s">
        <v>624</v>
      </c>
      <c r="U249" s="0" t="s">
        <v>149</v>
      </c>
      <c r="V249" s="0" t="s">
        <v>624</v>
      </c>
      <c r="W249" s="0" t="s">
        <v>569</v>
      </c>
      <c r="X249" s="0" t="s">
        <v>624</v>
      </c>
      <c r="Y249" s="0" t="s">
        <v>627</v>
      </c>
      <c r="Z249" s="0" t="s">
        <v>629</v>
      </c>
      <c r="AA249" s="0" t="s">
        <v>624</v>
      </c>
      <c r="AB249" s="0" t="s">
        <v>580</v>
      </c>
      <c r="AC249" s="254" t="n">
        <v>1000000</v>
      </c>
      <c r="AD249" s="254" t="n">
        <v>61469.571592473</v>
      </c>
      <c r="AE249" s="0" t="n">
        <v>0</v>
      </c>
      <c r="AF249" s="0" t="n">
        <v>0</v>
      </c>
      <c r="AG249" s="0" t="n">
        <v>0</v>
      </c>
      <c r="AH249" s="254" t="n">
        <v>-7506.70212805551</v>
      </c>
      <c r="AI249" s="0" t="n">
        <v>226</v>
      </c>
      <c r="AJ249" s="0" t="s">
        <v>630</v>
      </c>
      <c r="AK249" s="0" t="n">
        <v>0</v>
      </c>
      <c r="AL249" s="0" t="n">
        <v>0</v>
      </c>
      <c r="AM249" s="0" t="n">
        <v>0</v>
      </c>
    </row>
    <row r="250" customFormat="false" ht="12.75" hidden="false" customHeight="false" outlineLevel="0" collapsed="false">
      <c r="A250" s="0" t="s">
        <v>631</v>
      </c>
      <c r="B250" s="0" t="s">
        <v>287</v>
      </c>
      <c r="C250" s="0" t="s">
        <v>622</v>
      </c>
      <c r="D250" s="0" t="s">
        <v>623</v>
      </c>
      <c r="E250" s="0" t="s">
        <v>131</v>
      </c>
      <c r="F250" s="0" t="s">
        <v>198</v>
      </c>
      <c r="G250" s="0" t="s">
        <v>628</v>
      </c>
      <c r="H250" s="0" t="s">
        <v>625</v>
      </c>
      <c r="I250" s="0" t="s">
        <v>626</v>
      </c>
      <c r="J250" s="0" t="s">
        <v>627</v>
      </c>
      <c r="K250" s="475" t="n">
        <v>36892</v>
      </c>
      <c r="L250" s="254" t="n">
        <v>110739.689449624</v>
      </c>
      <c r="M250" s="475" t="n">
        <v>36888</v>
      </c>
      <c r="N250" s="0" t="s">
        <v>132</v>
      </c>
      <c r="O250" s="0" t="n">
        <v>0.75</v>
      </c>
      <c r="P250" s="0" t="n">
        <v>0</v>
      </c>
      <c r="Q250" s="0" t="n">
        <v>0</v>
      </c>
      <c r="R250" s="0" t="n">
        <v>0</v>
      </c>
      <c r="S250" s="0" t="n">
        <v>0</v>
      </c>
      <c r="T250" s="0" t="s">
        <v>624</v>
      </c>
      <c r="U250" s="0" t="s">
        <v>149</v>
      </c>
      <c r="V250" s="0" t="s">
        <v>624</v>
      </c>
      <c r="W250" s="0" t="s">
        <v>569</v>
      </c>
      <c r="X250" s="0" t="s">
        <v>624</v>
      </c>
      <c r="Y250" s="0" t="s">
        <v>627</v>
      </c>
      <c r="Z250" s="0" t="s">
        <v>629</v>
      </c>
      <c r="AA250" s="0" t="s">
        <v>624</v>
      </c>
      <c r="AB250" s="0" t="s">
        <v>580</v>
      </c>
      <c r="AC250" s="254" t="n">
        <v>1000000</v>
      </c>
      <c r="AD250" s="254" t="n">
        <v>50977.7435338451</v>
      </c>
      <c r="AE250" s="0" t="n">
        <v>0</v>
      </c>
      <c r="AF250" s="0" t="n">
        <v>0</v>
      </c>
      <c r="AG250" s="0" t="n">
        <v>0</v>
      </c>
      <c r="AH250" s="254" t="n">
        <v>-5341.82519402116</v>
      </c>
      <c r="AI250" s="0" t="n">
        <v>226</v>
      </c>
      <c r="AJ250" s="0" t="s">
        <v>630</v>
      </c>
      <c r="AK250" s="0" t="n">
        <v>0</v>
      </c>
      <c r="AL250" s="0" t="n">
        <v>0</v>
      </c>
      <c r="AM250" s="0" t="n">
        <v>0</v>
      </c>
    </row>
    <row r="251" customFormat="false" ht="12.75" hidden="false" customHeight="false" outlineLevel="0" collapsed="false">
      <c r="A251" s="0" t="s">
        <v>631</v>
      </c>
      <c r="B251" s="0" t="s">
        <v>287</v>
      </c>
      <c r="C251" s="0" t="s">
        <v>622</v>
      </c>
      <c r="D251" s="0" t="s">
        <v>623</v>
      </c>
      <c r="E251" s="0" t="s">
        <v>131</v>
      </c>
      <c r="F251" s="0" t="s">
        <v>198</v>
      </c>
      <c r="G251" s="0" t="s">
        <v>628</v>
      </c>
      <c r="H251" s="0" t="s">
        <v>625</v>
      </c>
      <c r="I251" s="0" t="s">
        <v>626</v>
      </c>
      <c r="J251" s="0" t="s">
        <v>627</v>
      </c>
      <c r="K251" s="475" t="n">
        <v>36861</v>
      </c>
      <c r="L251" s="254" t="n">
        <v>147916.985171273</v>
      </c>
      <c r="M251" s="475" t="n">
        <v>36859</v>
      </c>
      <c r="N251" s="0" t="s">
        <v>132</v>
      </c>
      <c r="O251" s="0" t="n">
        <v>0.75</v>
      </c>
      <c r="P251" s="0" t="n">
        <v>0</v>
      </c>
      <c r="Q251" s="0" t="n">
        <v>0</v>
      </c>
      <c r="R251" s="0" t="n">
        <v>0</v>
      </c>
      <c r="S251" s="0" t="n">
        <v>0</v>
      </c>
      <c r="T251" s="0" t="s">
        <v>624</v>
      </c>
      <c r="U251" s="0" t="s">
        <v>149</v>
      </c>
      <c r="V251" s="0" t="s">
        <v>624</v>
      </c>
      <c r="W251" s="0" t="s">
        <v>569</v>
      </c>
      <c r="X251" s="0" t="s">
        <v>624</v>
      </c>
      <c r="Y251" s="0" t="s">
        <v>627</v>
      </c>
      <c r="Z251" s="0" t="s">
        <v>629</v>
      </c>
      <c r="AA251" s="0" t="s">
        <v>624</v>
      </c>
      <c r="AB251" s="0" t="s">
        <v>580</v>
      </c>
      <c r="AC251" s="254" t="n">
        <v>1000000</v>
      </c>
      <c r="AD251" s="254" t="n">
        <v>55583.0803000811</v>
      </c>
      <c r="AE251" s="0" t="n">
        <v>0</v>
      </c>
      <c r="AF251" s="0" t="n">
        <v>0</v>
      </c>
      <c r="AG251" s="0" t="n">
        <v>0</v>
      </c>
      <c r="AH251" s="254" t="n">
        <v>-6008.07526559601</v>
      </c>
      <c r="AI251" s="0" t="n">
        <v>226</v>
      </c>
      <c r="AJ251" s="0" t="s">
        <v>630</v>
      </c>
      <c r="AK251" s="0" t="n">
        <v>0</v>
      </c>
      <c r="AL251" s="0" t="n">
        <v>0</v>
      </c>
      <c r="AM251" s="0" t="n">
        <v>0</v>
      </c>
    </row>
    <row r="252" customFormat="false" ht="12.75" hidden="false" customHeight="false" outlineLevel="0" collapsed="false">
      <c r="A252" s="0" t="s">
        <v>631</v>
      </c>
      <c r="B252" s="0" t="s">
        <v>287</v>
      </c>
      <c r="C252" s="0" t="s">
        <v>622</v>
      </c>
      <c r="D252" s="0" t="s">
        <v>623</v>
      </c>
      <c r="E252" s="0" t="s">
        <v>131</v>
      </c>
      <c r="F252" s="0" t="s">
        <v>198</v>
      </c>
      <c r="G252" s="0" t="s">
        <v>628</v>
      </c>
      <c r="H252" s="0" t="s">
        <v>625</v>
      </c>
      <c r="I252" s="0" t="s">
        <v>626</v>
      </c>
      <c r="J252" s="0" t="s">
        <v>627</v>
      </c>
      <c r="K252" s="475" t="n">
        <v>36831</v>
      </c>
      <c r="L252" s="254" t="n">
        <v>249617.892584412</v>
      </c>
      <c r="M252" s="475" t="n">
        <v>36829</v>
      </c>
      <c r="N252" s="0" t="s">
        <v>132</v>
      </c>
      <c r="O252" s="0" t="n">
        <v>0.75</v>
      </c>
      <c r="P252" s="0" t="n">
        <v>0</v>
      </c>
      <c r="Q252" s="0" t="n">
        <v>0</v>
      </c>
      <c r="R252" s="0" t="n">
        <v>0</v>
      </c>
      <c r="S252" s="0" t="n">
        <v>0</v>
      </c>
      <c r="T252" s="0" t="s">
        <v>624</v>
      </c>
      <c r="U252" s="0" t="s">
        <v>149</v>
      </c>
      <c r="V252" s="0" t="s">
        <v>624</v>
      </c>
      <c r="W252" s="0" t="s">
        <v>569</v>
      </c>
      <c r="X252" s="0" t="s">
        <v>624</v>
      </c>
      <c r="Y252" s="0" t="s">
        <v>627</v>
      </c>
      <c r="Z252" s="0" t="s">
        <v>629</v>
      </c>
      <c r="AA252" s="0" t="s">
        <v>624</v>
      </c>
      <c r="AB252" s="0" t="s">
        <v>580</v>
      </c>
      <c r="AC252" s="254" t="n">
        <v>1000000</v>
      </c>
      <c r="AD252" s="254" t="n">
        <v>45150.5946831699</v>
      </c>
      <c r="AE252" s="0" t="n">
        <v>0</v>
      </c>
      <c r="AF252" s="0" t="n">
        <v>0</v>
      </c>
      <c r="AG252" s="0" t="n">
        <v>0</v>
      </c>
      <c r="AH252" s="254" t="n">
        <v>-16358.3533241631</v>
      </c>
      <c r="AI252" s="0" t="n">
        <v>226</v>
      </c>
      <c r="AJ252" s="0" t="s">
        <v>630</v>
      </c>
      <c r="AK252" s="0" t="n">
        <v>0</v>
      </c>
      <c r="AL252" s="0" t="n">
        <v>0</v>
      </c>
      <c r="AM252" s="0" t="n">
        <v>0</v>
      </c>
    </row>
    <row r="253" customFormat="false" ht="12.75" hidden="false" customHeight="false" outlineLevel="0" collapsed="false">
      <c r="A253" s="0" t="s">
        <v>631</v>
      </c>
      <c r="B253" s="0" t="s">
        <v>288</v>
      </c>
      <c r="C253" s="0" t="s">
        <v>622</v>
      </c>
      <c r="D253" s="0" t="s">
        <v>623</v>
      </c>
      <c r="E253" s="0" t="s">
        <v>131</v>
      </c>
      <c r="F253" s="0" t="s">
        <v>198</v>
      </c>
      <c r="G253" s="0" t="s">
        <v>628</v>
      </c>
      <c r="H253" s="0" t="s">
        <v>625</v>
      </c>
      <c r="I253" s="0" t="s">
        <v>626</v>
      </c>
      <c r="J253" s="0" t="s">
        <v>627</v>
      </c>
      <c r="K253" s="475" t="n">
        <v>36951</v>
      </c>
      <c r="L253" s="254" t="n">
        <v>-32635.4078562562</v>
      </c>
      <c r="M253" s="475" t="n">
        <v>36949</v>
      </c>
      <c r="N253" s="0" t="s">
        <v>136</v>
      </c>
      <c r="O253" s="0" t="n">
        <v>3</v>
      </c>
      <c r="P253" s="0" t="n">
        <v>0</v>
      </c>
      <c r="Q253" s="0" t="n">
        <v>0</v>
      </c>
      <c r="R253" s="0" t="n">
        <v>0</v>
      </c>
      <c r="S253" s="0" t="n">
        <v>0</v>
      </c>
      <c r="T253" s="0" t="s">
        <v>624</v>
      </c>
      <c r="U253" s="0" t="s">
        <v>149</v>
      </c>
      <c r="V253" s="0" t="s">
        <v>624</v>
      </c>
      <c r="W253" s="0" t="s">
        <v>569</v>
      </c>
      <c r="X253" s="0" t="s">
        <v>624</v>
      </c>
      <c r="Y253" s="0" t="s">
        <v>627</v>
      </c>
      <c r="Z253" s="0" t="s">
        <v>629</v>
      </c>
      <c r="AA253" s="0" t="s">
        <v>624</v>
      </c>
      <c r="AB253" s="0" t="s">
        <v>580</v>
      </c>
      <c r="AC253" s="254" t="n">
        <v>-310000</v>
      </c>
      <c r="AD253" s="254" t="n">
        <v>-13882.7619273472</v>
      </c>
      <c r="AE253" s="0" t="n">
        <v>0</v>
      </c>
      <c r="AF253" s="0" t="n">
        <v>0</v>
      </c>
      <c r="AG253" s="0" t="n">
        <v>0</v>
      </c>
      <c r="AH253" s="254" t="n">
        <v>-3518.48856863906</v>
      </c>
      <c r="AI253" s="0" t="n">
        <v>226</v>
      </c>
      <c r="AJ253" s="0" t="s">
        <v>630</v>
      </c>
      <c r="AK253" s="0" t="n">
        <v>0</v>
      </c>
      <c r="AL253" s="0" t="n">
        <v>0</v>
      </c>
      <c r="AM253" s="0" t="n">
        <v>0</v>
      </c>
    </row>
    <row r="254" customFormat="false" ht="12.75" hidden="false" customHeight="false" outlineLevel="0" collapsed="false">
      <c r="A254" s="0" t="s">
        <v>631</v>
      </c>
      <c r="B254" s="0" t="s">
        <v>288</v>
      </c>
      <c r="C254" s="0" t="s">
        <v>622</v>
      </c>
      <c r="D254" s="0" t="s">
        <v>623</v>
      </c>
      <c r="E254" s="0" t="s">
        <v>131</v>
      </c>
      <c r="F254" s="0" t="s">
        <v>198</v>
      </c>
      <c r="G254" s="0" t="s">
        <v>628</v>
      </c>
      <c r="H254" s="0" t="s">
        <v>625</v>
      </c>
      <c r="I254" s="0" t="s">
        <v>626</v>
      </c>
      <c r="J254" s="0" t="s">
        <v>627</v>
      </c>
      <c r="K254" s="475" t="n">
        <v>36923</v>
      </c>
      <c r="L254" s="254" t="n">
        <v>-111967.305065231</v>
      </c>
      <c r="M254" s="475" t="n">
        <v>36921</v>
      </c>
      <c r="N254" s="0" t="s">
        <v>136</v>
      </c>
      <c r="O254" s="0" t="n">
        <v>3</v>
      </c>
      <c r="P254" s="0" t="n">
        <v>0</v>
      </c>
      <c r="Q254" s="0" t="n">
        <v>0</v>
      </c>
      <c r="R254" s="0" t="n">
        <v>0</v>
      </c>
      <c r="S254" s="0" t="n">
        <v>0</v>
      </c>
      <c r="T254" s="0" t="s">
        <v>624</v>
      </c>
      <c r="U254" s="0" t="s">
        <v>149</v>
      </c>
      <c r="V254" s="0" t="s">
        <v>624</v>
      </c>
      <c r="W254" s="0" t="s">
        <v>569</v>
      </c>
      <c r="X254" s="0" t="s">
        <v>624</v>
      </c>
      <c r="Y254" s="0" t="s">
        <v>627</v>
      </c>
      <c r="Z254" s="0" t="s">
        <v>629</v>
      </c>
      <c r="AA254" s="0" t="s">
        <v>624</v>
      </c>
      <c r="AB254" s="0" t="s">
        <v>580</v>
      </c>
      <c r="AC254" s="254" t="n">
        <v>-280000</v>
      </c>
      <c r="AD254" s="254" t="n">
        <v>-21157.7991487411</v>
      </c>
      <c r="AE254" s="0" t="n">
        <v>0</v>
      </c>
      <c r="AF254" s="0" t="n">
        <v>0</v>
      </c>
      <c r="AG254" s="0" t="n">
        <v>0</v>
      </c>
      <c r="AH254" s="254" t="n">
        <v>-8089.12418325619</v>
      </c>
      <c r="AI254" s="0" t="n">
        <v>226</v>
      </c>
      <c r="AJ254" s="0" t="s">
        <v>630</v>
      </c>
      <c r="AK254" s="0" t="n">
        <v>0</v>
      </c>
      <c r="AL254" s="0" t="n">
        <v>0</v>
      </c>
      <c r="AM254" s="0" t="n">
        <v>0</v>
      </c>
    </row>
    <row r="255" customFormat="false" ht="12.75" hidden="false" customHeight="false" outlineLevel="0" collapsed="false">
      <c r="A255" s="0" t="s">
        <v>631</v>
      </c>
      <c r="B255" s="0" t="s">
        <v>288</v>
      </c>
      <c r="C255" s="0" t="s">
        <v>622</v>
      </c>
      <c r="D255" s="0" t="s">
        <v>623</v>
      </c>
      <c r="E255" s="0" t="s">
        <v>131</v>
      </c>
      <c r="F255" s="0" t="s">
        <v>198</v>
      </c>
      <c r="G255" s="0" t="s">
        <v>628</v>
      </c>
      <c r="H255" s="0" t="s">
        <v>625</v>
      </c>
      <c r="I255" s="0" t="s">
        <v>626</v>
      </c>
      <c r="J255" s="0" t="s">
        <v>627</v>
      </c>
      <c r="K255" s="475" t="n">
        <v>36892</v>
      </c>
      <c r="L255" s="254" t="n">
        <v>-119727.306902056</v>
      </c>
      <c r="M255" s="475" t="n">
        <v>36888</v>
      </c>
      <c r="N255" s="0" t="s">
        <v>136</v>
      </c>
      <c r="O255" s="0" t="n">
        <v>3</v>
      </c>
      <c r="P255" s="0" t="n">
        <v>0</v>
      </c>
      <c r="Q255" s="0" t="n">
        <v>0</v>
      </c>
      <c r="R255" s="0" t="n">
        <v>0</v>
      </c>
      <c r="S255" s="0" t="n">
        <v>0</v>
      </c>
      <c r="T255" s="0" t="s">
        <v>624</v>
      </c>
      <c r="U255" s="0" t="s">
        <v>149</v>
      </c>
      <c r="V255" s="0" t="s">
        <v>624</v>
      </c>
      <c r="W255" s="0" t="s">
        <v>569</v>
      </c>
      <c r="X255" s="0" t="s">
        <v>624</v>
      </c>
      <c r="Y255" s="0" t="s">
        <v>627</v>
      </c>
      <c r="Z255" s="0" t="s">
        <v>629</v>
      </c>
      <c r="AA255" s="0" t="s">
        <v>624</v>
      </c>
      <c r="AB255" s="0" t="s">
        <v>580</v>
      </c>
      <c r="AC255" s="254" t="n">
        <v>-310000</v>
      </c>
      <c r="AD255" s="254" t="n">
        <v>-21579.3861759901</v>
      </c>
      <c r="AE255" s="0" t="n">
        <v>0</v>
      </c>
      <c r="AF255" s="0" t="n">
        <v>0</v>
      </c>
      <c r="AG255" s="0" t="n">
        <v>0</v>
      </c>
      <c r="AH255" s="254" t="n">
        <v>-7790.53137859397</v>
      </c>
      <c r="AI255" s="0" t="n">
        <v>226</v>
      </c>
      <c r="AJ255" s="0" t="s">
        <v>630</v>
      </c>
      <c r="AK255" s="0" t="n">
        <v>0</v>
      </c>
      <c r="AL255" s="0" t="n">
        <v>0</v>
      </c>
      <c r="AM255" s="0" t="n">
        <v>0</v>
      </c>
    </row>
    <row r="256" customFormat="false" ht="12.75" hidden="false" customHeight="false" outlineLevel="0" collapsed="false">
      <c r="A256" s="0" t="s">
        <v>631</v>
      </c>
      <c r="B256" s="0" t="s">
        <v>288</v>
      </c>
      <c r="C256" s="0" t="s">
        <v>622</v>
      </c>
      <c r="D256" s="0" t="s">
        <v>623</v>
      </c>
      <c r="E256" s="0" t="s">
        <v>131</v>
      </c>
      <c r="F256" s="0" t="s">
        <v>198</v>
      </c>
      <c r="G256" s="0" t="s">
        <v>628</v>
      </c>
      <c r="H256" s="0" t="s">
        <v>625</v>
      </c>
      <c r="I256" s="0" t="s">
        <v>626</v>
      </c>
      <c r="J256" s="0" t="s">
        <v>627</v>
      </c>
      <c r="K256" s="475" t="n">
        <v>36861</v>
      </c>
      <c r="L256" s="254" t="n">
        <v>-49190.2174237988</v>
      </c>
      <c r="M256" s="475" t="n">
        <v>36859</v>
      </c>
      <c r="N256" s="0" t="s">
        <v>136</v>
      </c>
      <c r="O256" s="0" t="n">
        <v>3</v>
      </c>
      <c r="P256" s="0" t="n">
        <v>0</v>
      </c>
      <c r="Q256" s="0" t="n">
        <v>0</v>
      </c>
      <c r="R256" s="0" t="n">
        <v>0</v>
      </c>
      <c r="S256" s="0" t="n">
        <v>0</v>
      </c>
      <c r="T256" s="0" t="s">
        <v>624</v>
      </c>
      <c r="U256" s="0" t="s">
        <v>149</v>
      </c>
      <c r="V256" s="0" t="s">
        <v>624</v>
      </c>
      <c r="W256" s="0" t="s">
        <v>569</v>
      </c>
      <c r="X256" s="0" t="s">
        <v>624</v>
      </c>
      <c r="Y256" s="0" t="s">
        <v>627</v>
      </c>
      <c r="Z256" s="0" t="s">
        <v>629</v>
      </c>
      <c r="AA256" s="0" t="s">
        <v>624</v>
      </c>
      <c r="AB256" s="0" t="s">
        <v>580</v>
      </c>
      <c r="AC256" s="254" t="n">
        <v>-310000</v>
      </c>
      <c r="AD256" s="254" t="n">
        <v>-14429.3786014605</v>
      </c>
      <c r="AE256" s="0" t="n">
        <v>0</v>
      </c>
      <c r="AF256" s="0" t="n">
        <v>0</v>
      </c>
      <c r="AG256" s="0" t="n">
        <v>0</v>
      </c>
      <c r="AH256" s="254" t="n">
        <v>-3744.28853759219</v>
      </c>
      <c r="AI256" s="0" t="n">
        <v>226</v>
      </c>
      <c r="AJ256" s="0" t="s">
        <v>630</v>
      </c>
      <c r="AK256" s="0" t="n">
        <v>0</v>
      </c>
      <c r="AL256" s="0" t="n">
        <v>0</v>
      </c>
      <c r="AM256" s="0" t="n">
        <v>0</v>
      </c>
    </row>
    <row r="257" customFormat="false" ht="12.75" hidden="false" customHeight="false" outlineLevel="0" collapsed="false">
      <c r="A257" s="0" t="s">
        <v>631</v>
      </c>
      <c r="B257" s="0" t="s">
        <v>288</v>
      </c>
      <c r="C257" s="0" t="s">
        <v>622</v>
      </c>
      <c r="D257" s="0" t="s">
        <v>623</v>
      </c>
      <c r="E257" s="0" t="s">
        <v>131</v>
      </c>
      <c r="F257" s="0" t="s">
        <v>198</v>
      </c>
      <c r="G257" s="0" t="s">
        <v>628</v>
      </c>
      <c r="H257" s="0" t="s">
        <v>625</v>
      </c>
      <c r="I257" s="0" t="s">
        <v>626</v>
      </c>
      <c r="J257" s="0" t="s">
        <v>627</v>
      </c>
      <c r="K257" s="475" t="n">
        <v>36831</v>
      </c>
      <c r="L257" s="254" t="n">
        <v>-602.540323558594</v>
      </c>
      <c r="M257" s="475" t="n">
        <v>36829</v>
      </c>
      <c r="N257" s="0" t="s">
        <v>136</v>
      </c>
      <c r="O257" s="0" t="n">
        <v>3</v>
      </c>
      <c r="P257" s="0" t="n">
        <v>0</v>
      </c>
      <c r="Q257" s="0" t="n">
        <v>0</v>
      </c>
      <c r="R257" s="0" t="n">
        <v>0</v>
      </c>
      <c r="S257" s="0" t="n">
        <v>0</v>
      </c>
      <c r="T257" s="0" t="s">
        <v>624</v>
      </c>
      <c r="U257" s="0" t="s">
        <v>149</v>
      </c>
      <c r="V257" s="0" t="s">
        <v>624</v>
      </c>
      <c r="W257" s="0" t="s">
        <v>569</v>
      </c>
      <c r="X257" s="0" t="s">
        <v>624</v>
      </c>
      <c r="Y257" s="0" t="s">
        <v>627</v>
      </c>
      <c r="Z257" s="0" t="s">
        <v>629</v>
      </c>
      <c r="AA257" s="0" t="s">
        <v>624</v>
      </c>
      <c r="AB257" s="0" t="s">
        <v>580</v>
      </c>
      <c r="AC257" s="254" t="n">
        <v>-300000</v>
      </c>
      <c r="AD257" s="254" t="n">
        <v>-601.410055669589</v>
      </c>
      <c r="AE257" s="0" t="n">
        <v>0</v>
      </c>
      <c r="AF257" s="0" t="n">
        <v>0</v>
      </c>
      <c r="AG257" s="0" t="n">
        <v>0</v>
      </c>
      <c r="AH257" s="254" t="n">
        <v>-136.496853795987</v>
      </c>
      <c r="AI257" s="0" t="n">
        <v>226</v>
      </c>
      <c r="AJ257" s="0" t="s">
        <v>630</v>
      </c>
      <c r="AK257" s="0" t="n">
        <v>0</v>
      </c>
      <c r="AL257" s="0" t="n">
        <v>0</v>
      </c>
      <c r="AM257" s="0" t="n">
        <v>0</v>
      </c>
    </row>
    <row r="258" customFormat="false" ht="12.75" hidden="false" customHeight="false" outlineLevel="0" collapsed="false">
      <c r="A258" s="0" t="s">
        <v>631</v>
      </c>
      <c r="B258" s="0" t="s">
        <v>289</v>
      </c>
      <c r="C258" s="0" t="s">
        <v>622</v>
      </c>
      <c r="D258" s="0" t="s">
        <v>623</v>
      </c>
      <c r="E258" s="0" t="s">
        <v>131</v>
      </c>
      <c r="F258" s="0" t="s">
        <v>198</v>
      </c>
      <c r="G258" s="0" t="s">
        <v>628</v>
      </c>
      <c r="H258" s="0" t="s">
        <v>625</v>
      </c>
      <c r="I258" s="0" t="s">
        <v>626</v>
      </c>
      <c r="J258" s="0" t="s">
        <v>627</v>
      </c>
      <c r="K258" s="475" t="n">
        <v>36951</v>
      </c>
      <c r="L258" s="254" t="n">
        <v>171077.448472127</v>
      </c>
      <c r="M258" s="475" t="n">
        <v>36949</v>
      </c>
      <c r="N258" s="0" t="s">
        <v>132</v>
      </c>
      <c r="O258" s="0" t="n">
        <v>0.75</v>
      </c>
      <c r="P258" s="0" t="n">
        <v>0</v>
      </c>
      <c r="Q258" s="0" t="n">
        <v>0</v>
      </c>
      <c r="R258" s="0" t="n">
        <v>0</v>
      </c>
      <c r="S258" s="0" t="n">
        <v>0</v>
      </c>
      <c r="T258" s="0" t="s">
        <v>624</v>
      </c>
      <c r="U258" s="0" t="s">
        <v>149</v>
      </c>
      <c r="V258" s="0" t="s">
        <v>624</v>
      </c>
      <c r="W258" s="0" t="s">
        <v>569</v>
      </c>
      <c r="X258" s="0" t="s">
        <v>624</v>
      </c>
      <c r="Y258" s="0" t="s">
        <v>627</v>
      </c>
      <c r="Z258" s="0" t="s">
        <v>629</v>
      </c>
      <c r="AA258" s="0" t="s">
        <v>624</v>
      </c>
      <c r="AB258" s="0" t="s">
        <v>580</v>
      </c>
      <c r="AC258" s="254" t="n">
        <v>500000</v>
      </c>
      <c r="AD258" s="254" t="n">
        <v>43710.1514735721</v>
      </c>
      <c r="AE258" s="0" t="n">
        <v>0</v>
      </c>
      <c r="AF258" s="0" t="n">
        <v>0</v>
      </c>
      <c r="AG258" s="0" t="n">
        <v>0</v>
      </c>
      <c r="AH258" s="254" t="n">
        <v>-8168.60971240452</v>
      </c>
      <c r="AI258" s="0" t="n">
        <v>226</v>
      </c>
      <c r="AJ258" s="0" t="s">
        <v>630</v>
      </c>
      <c r="AK258" s="0" t="n">
        <v>0</v>
      </c>
      <c r="AL258" s="0" t="n">
        <v>0</v>
      </c>
      <c r="AM258" s="0" t="n">
        <v>0</v>
      </c>
    </row>
    <row r="259" customFormat="false" ht="12.75" hidden="false" customHeight="false" outlineLevel="0" collapsed="false">
      <c r="A259" s="0" t="s">
        <v>631</v>
      </c>
      <c r="B259" s="0" t="s">
        <v>290</v>
      </c>
      <c r="C259" s="0" t="s">
        <v>622</v>
      </c>
      <c r="D259" s="0" t="s">
        <v>623</v>
      </c>
      <c r="E259" s="0" t="s">
        <v>131</v>
      </c>
      <c r="F259" s="0" t="s">
        <v>198</v>
      </c>
      <c r="G259" s="0" t="s">
        <v>628</v>
      </c>
      <c r="H259" s="0" t="s">
        <v>625</v>
      </c>
      <c r="I259" s="0" t="s">
        <v>626</v>
      </c>
      <c r="J259" s="0" t="s">
        <v>627</v>
      </c>
      <c r="K259" s="475" t="n">
        <v>36951</v>
      </c>
      <c r="L259" s="254" t="n">
        <v>-291693.534431983</v>
      </c>
      <c r="M259" s="475" t="n">
        <v>36949</v>
      </c>
      <c r="N259" s="0" t="s">
        <v>136</v>
      </c>
      <c r="O259" s="0" t="n">
        <v>1.75</v>
      </c>
      <c r="P259" s="0" t="n">
        <v>0</v>
      </c>
      <c r="Q259" s="0" t="n">
        <v>0</v>
      </c>
      <c r="R259" s="0" t="n">
        <v>0</v>
      </c>
      <c r="S259" s="0" t="n">
        <v>0</v>
      </c>
      <c r="T259" s="0" t="s">
        <v>624</v>
      </c>
      <c r="U259" s="0" t="s">
        <v>149</v>
      </c>
      <c r="V259" s="0" t="s">
        <v>624</v>
      </c>
      <c r="W259" s="0" t="s">
        <v>569</v>
      </c>
      <c r="X259" s="0" t="s">
        <v>624</v>
      </c>
      <c r="Y259" s="0" t="s">
        <v>627</v>
      </c>
      <c r="Z259" s="0" t="s">
        <v>629</v>
      </c>
      <c r="AA259" s="0" t="s">
        <v>624</v>
      </c>
      <c r="AB259" s="0" t="s">
        <v>580</v>
      </c>
      <c r="AC259" s="254" t="n">
        <v>-1000000</v>
      </c>
      <c r="AD259" s="254" t="n">
        <v>-77433.6704544291</v>
      </c>
      <c r="AE259" s="0" t="n">
        <v>0</v>
      </c>
      <c r="AF259" s="0" t="n">
        <v>0</v>
      </c>
      <c r="AG259" s="0" t="n">
        <v>0</v>
      </c>
      <c r="AH259" s="254" t="n">
        <v>-24889.264244557</v>
      </c>
      <c r="AI259" s="0" t="n">
        <v>226</v>
      </c>
      <c r="AJ259" s="0" t="s">
        <v>630</v>
      </c>
      <c r="AK259" s="0" t="n">
        <v>0</v>
      </c>
      <c r="AL259" s="0" t="n">
        <v>0</v>
      </c>
      <c r="AM259" s="0" t="n">
        <v>0</v>
      </c>
    </row>
    <row r="260" customFormat="false" ht="12.75" hidden="false" customHeight="false" outlineLevel="0" collapsed="false">
      <c r="A260" s="0" t="s">
        <v>631</v>
      </c>
      <c r="B260" s="0" t="s">
        <v>290</v>
      </c>
      <c r="C260" s="0" t="s">
        <v>622</v>
      </c>
      <c r="D260" s="0" t="s">
        <v>623</v>
      </c>
      <c r="E260" s="0" t="s">
        <v>131</v>
      </c>
      <c r="F260" s="0" t="s">
        <v>198</v>
      </c>
      <c r="G260" s="0" t="s">
        <v>628</v>
      </c>
      <c r="H260" s="0" t="s">
        <v>625</v>
      </c>
      <c r="I260" s="0" t="s">
        <v>626</v>
      </c>
      <c r="J260" s="0" t="s">
        <v>627</v>
      </c>
      <c r="K260" s="475" t="n">
        <v>36923</v>
      </c>
      <c r="L260" s="254" t="n">
        <v>-831675.698462662</v>
      </c>
      <c r="M260" s="475" t="n">
        <v>36921</v>
      </c>
      <c r="N260" s="0" t="s">
        <v>136</v>
      </c>
      <c r="O260" s="0" t="n">
        <v>1.75</v>
      </c>
      <c r="P260" s="0" t="n">
        <v>0</v>
      </c>
      <c r="Q260" s="0" t="n">
        <v>0</v>
      </c>
      <c r="R260" s="0" t="n">
        <v>0</v>
      </c>
      <c r="S260" s="0" t="n">
        <v>0</v>
      </c>
      <c r="T260" s="0" t="s">
        <v>624</v>
      </c>
      <c r="U260" s="0" t="s">
        <v>149</v>
      </c>
      <c r="V260" s="0" t="s">
        <v>624</v>
      </c>
      <c r="W260" s="0" t="s">
        <v>569</v>
      </c>
      <c r="X260" s="0" t="s">
        <v>624</v>
      </c>
      <c r="Y260" s="0" t="s">
        <v>627</v>
      </c>
      <c r="Z260" s="0" t="s">
        <v>629</v>
      </c>
      <c r="AA260" s="0" t="s">
        <v>624</v>
      </c>
      <c r="AB260" s="0" t="s">
        <v>580</v>
      </c>
      <c r="AC260" s="254" t="n">
        <v>-1000000</v>
      </c>
      <c r="AD260" s="254" t="n">
        <v>-85313.6237185702</v>
      </c>
      <c r="AE260" s="0" t="n">
        <v>0</v>
      </c>
      <c r="AF260" s="0" t="n">
        <v>0</v>
      </c>
      <c r="AG260" s="0" t="n">
        <v>0</v>
      </c>
      <c r="AH260" s="254" t="n">
        <v>-46642.1865176343</v>
      </c>
      <c r="AI260" s="0" t="n">
        <v>226</v>
      </c>
      <c r="AJ260" s="0" t="s">
        <v>630</v>
      </c>
      <c r="AK260" s="0" t="n">
        <v>0</v>
      </c>
      <c r="AL260" s="0" t="n">
        <v>0</v>
      </c>
      <c r="AM260" s="0" t="n">
        <v>0</v>
      </c>
    </row>
    <row r="261" customFormat="false" ht="12.75" hidden="false" customHeight="false" outlineLevel="0" collapsed="false">
      <c r="A261" s="0" t="s">
        <v>631</v>
      </c>
      <c r="B261" s="0" t="s">
        <v>290</v>
      </c>
      <c r="C261" s="0" t="s">
        <v>622</v>
      </c>
      <c r="D261" s="0" t="s">
        <v>623</v>
      </c>
      <c r="E261" s="0" t="s">
        <v>131</v>
      </c>
      <c r="F261" s="0" t="s">
        <v>198</v>
      </c>
      <c r="G261" s="0" t="s">
        <v>628</v>
      </c>
      <c r="H261" s="0" t="s">
        <v>625</v>
      </c>
      <c r="I261" s="0" t="s">
        <v>626</v>
      </c>
      <c r="J261" s="0" t="s">
        <v>627</v>
      </c>
      <c r="K261" s="475" t="n">
        <v>36892</v>
      </c>
      <c r="L261" s="254" t="n">
        <v>-848053.537132032</v>
      </c>
      <c r="M261" s="475" t="n">
        <v>36888</v>
      </c>
      <c r="N261" s="0" t="s">
        <v>136</v>
      </c>
      <c r="O261" s="0" t="n">
        <v>1.75</v>
      </c>
      <c r="P261" s="0" t="n">
        <v>0</v>
      </c>
      <c r="Q261" s="0" t="n">
        <v>0</v>
      </c>
      <c r="R261" s="0" t="n">
        <v>0</v>
      </c>
      <c r="S261" s="0" t="n">
        <v>0</v>
      </c>
      <c r="T261" s="0" t="s">
        <v>624</v>
      </c>
      <c r="U261" s="0" t="s">
        <v>149</v>
      </c>
      <c r="V261" s="0" t="s">
        <v>624</v>
      </c>
      <c r="W261" s="0" t="s">
        <v>569</v>
      </c>
      <c r="X261" s="0" t="s">
        <v>624</v>
      </c>
      <c r="Y261" s="0" t="s">
        <v>627</v>
      </c>
      <c r="Z261" s="0" t="s">
        <v>629</v>
      </c>
      <c r="AA261" s="0" t="s">
        <v>624</v>
      </c>
      <c r="AB261" s="0" t="s">
        <v>580</v>
      </c>
      <c r="AC261" s="254" t="n">
        <v>-1000000</v>
      </c>
      <c r="AD261" s="254" t="n">
        <v>-77169.9854420422</v>
      </c>
      <c r="AE261" s="0" t="n">
        <v>0</v>
      </c>
      <c r="AF261" s="0" t="n">
        <v>0</v>
      </c>
      <c r="AG261" s="0" t="n">
        <v>0</v>
      </c>
      <c r="AH261" s="254" t="n">
        <v>-41500.6923286252</v>
      </c>
      <c r="AI261" s="0" t="n">
        <v>226</v>
      </c>
      <c r="AJ261" s="0" t="s">
        <v>630</v>
      </c>
      <c r="AK261" s="0" t="n">
        <v>0</v>
      </c>
      <c r="AL261" s="0" t="n">
        <v>0</v>
      </c>
      <c r="AM261" s="0" t="n">
        <v>0</v>
      </c>
    </row>
    <row r="262" customFormat="false" ht="12.75" hidden="false" customHeight="false" outlineLevel="0" collapsed="false">
      <c r="A262" s="0" t="s">
        <v>631</v>
      </c>
      <c r="B262" s="0" t="s">
        <v>290</v>
      </c>
      <c r="C262" s="0" t="s">
        <v>622</v>
      </c>
      <c r="D262" s="0" t="s">
        <v>623</v>
      </c>
      <c r="E262" s="0" t="s">
        <v>131</v>
      </c>
      <c r="F262" s="0" t="s">
        <v>198</v>
      </c>
      <c r="G262" s="0" t="s">
        <v>628</v>
      </c>
      <c r="H262" s="0" t="s">
        <v>625</v>
      </c>
      <c r="I262" s="0" t="s">
        <v>626</v>
      </c>
      <c r="J262" s="0" t="s">
        <v>627</v>
      </c>
      <c r="K262" s="475" t="n">
        <v>36861</v>
      </c>
      <c r="L262" s="254" t="n">
        <v>-472812.586155134</v>
      </c>
      <c r="M262" s="475" t="n">
        <v>36859</v>
      </c>
      <c r="N262" s="0" t="s">
        <v>136</v>
      </c>
      <c r="O262" s="0" t="n">
        <v>1.75</v>
      </c>
      <c r="P262" s="0" t="n">
        <v>0</v>
      </c>
      <c r="Q262" s="0" t="n">
        <v>0</v>
      </c>
      <c r="R262" s="0" t="n">
        <v>0</v>
      </c>
      <c r="S262" s="0" t="n">
        <v>0</v>
      </c>
      <c r="T262" s="0" t="s">
        <v>624</v>
      </c>
      <c r="U262" s="0" t="s">
        <v>149</v>
      </c>
      <c r="V262" s="0" t="s">
        <v>624</v>
      </c>
      <c r="W262" s="0" t="s">
        <v>569</v>
      </c>
      <c r="X262" s="0" t="s">
        <v>624</v>
      </c>
      <c r="Y262" s="0" t="s">
        <v>627</v>
      </c>
      <c r="Z262" s="0" t="s">
        <v>629</v>
      </c>
      <c r="AA262" s="0" t="s">
        <v>624</v>
      </c>
      <c r="AB262" s="0" t="s">
        <v>580</v>
      </c>
      <c r="AC262" s="254" t="n">
        <v>-1000000</v>
      </c>
      <c r="AD262" s="254" t="n">
        <v>-70173.6701787232</v>
      </c>
      <c r="AE262" s="0" t="n">
        <v>0</v>
      </c>
      <c r="AF262" s="0" t="n">
        <v>0</v>
      </c>
      <c r="AG262" s="0" t="n">
        <v>0</v>
      </c>
      <c r="AH262" s="254" t="n">
        <v>-25854.3119018534</v>
      </c>
      <c r="AI262" s="0" t="n">
        <v>226</v>
      </c>
      <c r="AJ262" s="0" t="s">
        <v>630</v>
      </c>
      <c r="AK262" s="0" t="n">
        <v>0</v>
      </c>
      <c r="AL262" s="0" t="n">
        <v>0</v>
      </c>
      <c r="AM262" s="0" t="n">
        <v>0</v>
      </c>
    </row>
    <row r="263" customFormat="false" ht="12.75" hidden="false" customHeight="false" outlineLevel="0" collapsed="false">
      <c r="A263" s="0" t="s">
        <v>631</v>
      </c>
      <c r="B263" s="0" t="s">
        <v>290</v>
      </c>
      <c r="C263" s="0" t="s">
        <v>622</v>
      </c>
      <c r="D263" s="0" t="s">
        <v>623</v>
      </c>
      <c r="E263" s="0" t="s">
        <v>131</v>
      </c>
      <c r="F263" s="0" t="s">
        <v>198</v>
      </c>
      <c r="G263" s="0" t="s">
        <v>628</v>
      </c>
      <c r="H263" s="0" t="s">
        <v>625</v>
      </c>
      <c r="I263" s="0" t="s">
        <v>626</v>
      </c>
      <c r="J263" s="0" t="s">
        <v>627</v>
      </c>
      <c r="K263" s="475" t="n">
        <v>36831</v>
      </c>
      <c r="L263" s="254" t="n">
        <v>-35639.8050644462</v>
      </c>
      <c r="M263" s="475" t="n">
        <v>36829</v>
      </c>
      <c r="N263" s="0" t="s">
        <v>136</v>
      </c>
      <c r="O263" s="0" t="n">
        <v>1.75</v>
      </c>
      <c r="P263" s="0" t="n">
        <v>0</v>
      </c>
      <c r="Q263" s="0" t="n">
        <v>0</v>
      </c>
      <c r="R263" s="0" t="n">
        <v>0</v>
      </c>
      <c r="S263" s="0" t="n">
        <v>0</v>
      </c>
      <c r="T263" s="0" t="s">
        <v>624</v>
      </c>
      <c r="U263" s="0" t="s">
        <v>149</v>
      </c>
      <c r="V263" s="0" t="s">
        <v>624</v>
      </c>
      <c r="W263" s="0" t="s">
        <v>569</v>
      </c>
      <c r="X263" s="0" t="s">
        <v>624</v>
      </c>
      <c r="Y263" s="0" t="s">
        <v>627</v>
      </c>
      <c r="Z263" s="0" t="s">
        <v>629</v>
      </c>
      <c r="AA263" s="0" t="s">
        <v>624</v>
      </c>
      <c r="AB263" s="0" t="s">
        <v>580</v>
      </c>
      <c r="AC263" s="254" t="n">
        <v>-1000000</v>
      </c>
      <c r="AD263" s="254" t="n">
        <v>-18615.9750221113</v>
      </c>
      <c r="AE263" s="0" t="n">
        <v>0</v>
      </c>
      <c r="AF263" s="0" t="n">
        <v>0</v>
      </c>
      <c r="AG263" s="0" t="n">
        <v>0</v>
      </c>
      <c r="AH263" s="254" t="n">
        <v>-5346.40168215353</v>
      </c>
      <c r="AI263" s="0" t="n">
        <v>226</v>
      </c>
      <c r="AJ263" s="0" t="s">
        <v>630</v>
      </c>
      <c r="AK263" s="0" t="n">
        <v>0</v>
      </c>
      <c r="AL263" s="0" t="n">
        <v>0</v>
      </c>
      <c r="AM263" s="0" t="n">
        <v>0</v>
      </c>
    </row>
    <row r="264" customFormat="false" ht="12.75" hidden="false" customHeight="false" outlineLevel="0" collapsed="false">
      <c r="A264" s="0" t="s">
        <v>631</v>
      </c>
      <c r="B264" s="0" t="s">
        <v>291</v>
      </c>
      <c r="C264" s="0" t="s">
        <v>622</v>
      </c>
      <c r="D264" s="0" t="s">
        <v>623</v>
      </c>
      <c r="E264" s="0" t="s">
        <v>131</v>
      </c>
      <c r="F264" s="0" t="s">
        <v>198</v>
      </c>
      <c r="G264" s="0" t="s">
        <v>628</v>
      </c>
      <c r="H264" s="0" t="s">
        <v>625</v>
      </c>
      <c r="I264" s="0" t="s">
        <v>626</v>
      </c>
      <c r="J264" s="0" t="s">
        <v>627</v>
      </c>
      <c r="K264" s="475" t="n">
        <v>36951</v>
      </c>
      <c r="L264" s="254" t="n">
        <v>157698.06655469</v>
      </c>
      <c r="M264" s="475" t="n">
        <v>36949</v>
      </c>
      <c r="N264" s="0" t="s">
        <v>136</v>
      </c>
      <c r="O264" s="0" t="n">
        <v>2.5</v>
      </c>
      <c r="P264" s="0" t="n">
        <v>0</v>
      </c>
      <c r="Q264" s="0" t="n">
        <v>0</v>
      </c>
      <c r="R264" s="0" t="n">
        <v>0</v>
      </c>
      <c r="S264" s="0" t="n">
        <v>0</v>
      </c>
      <c r="T264" s="0" t="s">
        <v>624</v>
      </c>
      <c r="U264" s="0" t="s">
        <v>149</v>
      </c>
      <c r="V264" s="0" t="s">
        <v>624</v>
      </c>
      <c r="W264" s="0" t="s">
        <v>569</v>
      </c>
      <c r="X264" s="0" t="s">
        <v>624</v>
      </c>
      <c r="Y264" s="0" t="s">
        <v>627</v>
      </c>
      <c r="Z264" s="0" t="s">
        <v>629</v>
      </c>
      <c r="AA264" s="0" t="s">
        <v>624</v>
      </c>
      <c r="AB264" s="0" t="s">
        <v>580</v>
      </c>
      <c r="AC264" s="254" t="n">
        <v>1000000</v>
      </c>
      <c r="AD264" s="254" t="n">
        <v>57308.5893816178</v>
      </c>
      <c r="AE264" s="0" t="n">
        <v>0</v>
      </c>
      <c r="AF264" s="0" t="n">
        <v>0</v>
      </c>
      <c r="AG264" s="0" t="n">
        <v>0</v>
      </c>
      <c r="AH264" s="254" t="n">
        <v>15681.3978731459</v>
      </c>
      <c r="AI264" s="0" t="n">
        <v>226</v>
      </c>
      <c r="AJ264" s="0" t="s">
        <v>630</v>
      </c>
      <c r="AK264" s="0" t="n">
        <v>0</v>
      </c>
      <c r="AL264" s="0" t="n">
        <v>0</v>
      </c>
      <c r="AM264" s="0" t="n">
        <v>0</v>
      </c>
    </row>
    <row r="265" customFormat="false" ht="12.75" hidden="false" customHeight="false" outlineLevel="0" collapsed="false">
      <c r="A265" s="0" t="s">
        <v>631</v>
      </c>
      <c r="B265" s="0" t="s">
        <v>291</v>
      </c>
      <c r="C265" s="0" t="s">
        <v>622</v>
      </c>
      <c r="D265" s="0" t="s">
        <v>623</v>
      </c>
      <c r="E265" s="0" t="s">
        <v>131</v>
      </c>
      <c r="F265" s="0" t="s">
        <v>198</v>
      </c>
      <c r="G265" s="0" t="s">
        <v>628</v>
      </c>
      <c r="H265" s="0" t="s">
        <v>625</v>
      </c>
      <c r="I265" s="0" t="s">
        <v>626</v>
      </c>
      <c r="J265" s="0" t="s">
        <v>627</v>
      </c>
      <c r="K265" s="475" t="n">
        <v>36923</v>
      </c>
      <c r="L265" s="254" t="n">
        <v>537096.256319671</v>
      </c>
      <c r="M265" s="475" t="n">
        <v>36921</v>
      </c>
      <c r="N265" s="0" t="s">
        <v>136</v>
      </c>
      <c r="O265" s="0" t="n">
        <v>2.5</v>
      </c>
      <c r="P265" s="0" t="n">
        <v>0</v>
      </c>
      <c r="Q265" s="0" t="n">
        <v>0</v>
      </c>
      <c r="R265" s="0" t="n">
        <v>0</v>
      </c>
      <c r="S265" s="0" t="n">
        <v>0</v>
      </c>
      <c r="T265" s="0" t="s">
        <v>624</v>
      </c>
      <c r="U265" s="0" t="s">
        <v>149</v>
      </c>
      <c r="V265" s="0" t="s">
        <v>624</v>
      </c>
      <c r="W265" s="0" t="s">
        <v>569</v>
      </c>
      <c r="X265" s="0" t="s">
        <v>624</v>
      </c>
      <c r="Y265" s="0" t="s">
        <v>627</v>
      </c>
      <c r="Z265" s="0" t="s">
        <v>629</v>
      </c>
      <c r="AA265" s="0" t="s">
        <v>624</v>
      </c>
      <c r="AB265" s="0" t="s">
        <v>580</v>
      </c>
      <c r="AC265" s="254" t="n">
        <v>1000000</v>
      </c>
      <c r="AD265" s="254" t="n">
        <v>82769.6022361999</v>
      </c>
      <c r="AE265" s="0" t="n">
        <v>0</v>
      </c>
      <c r="AF265" s="0" t="n">
        <v>0</v>
      </c>
      <c r="AG265" s="0" t="n">
        <v>0</v>
      </c>
      <c r="AH265" s="254" t="n">
        <v>35480.636620919</v>
      </c>
      <c r="AI265" s="0" t="n">
        <v>226</v>
      </c>
      <c r="AJ265" s="0" t="s">
        <v>630</v>
      </c>
      <c r="AK265" s="0" t="n">
        <v>0</v>
      </c>
      <c r="AL265" s="0" t="n">
        <v>0</v>
      </c>
      <c r="AM265" s="0" t="n">
        <v>0</v>
      </c>
    </row>
    <row r="266" customFormat="false" ht="12.75" hidden="false" customHeight="false" outlineLevel="0" collapsed="false">
      <c r="A266" s="0" t="s">
        <v>631</v>
      </c>
      <c r="B266" s="0" t="s">
        <v>291</v>
      </c>
      <c r="C266" s="0" t="s">
        <v>622</v>
      </c>
      <c r="D266" s="0" t="s">
        <v>623</v>
      </c>
      <c r="E266" s="0" t="s">
        <v>131</v>
      </c>
      <c r="F266" s="0" t="s">
        <v>198</v>
      </c>
      <c r="G266" s="0" t="s">
        <v>628</v>
      </c>
      <c r="H266" s="0" t="s">
        <v>625</v>
      </c>
      <c r="I266" s="0" t="s">
        <v>626</v>
      </c>
      <c r="J266" s="0" t="s">
        <v>627</v>
      </c>
      <c r="K266" s="475" t="n">
        <v>36892</v>
      </c>
      <c r="L266" s="254" t="n">
        <v>531866.103970933</v>
      </c>
      <c r="M266" s="475" t="n">
        <v>36888</v>
      </c>
      <c r="N266" s="0" t="s">
        <v>136</v>
      </c>
      <c r="O266" s="0" t="n">
        <v>2.5</v>
      </c>
      <c r="P266" s="0" t="n">
        <v>0</v>
      </c>
      <c r="Q266" s="0" t="n">
        <v>0</v>
      </c>
      <c r="R266" s="0" t="n">
        <v>0</v>
      </c>
      <c r="S266" s="0" t="n">
        <v>0</v>
      </c>
      <c r="T266" s="0" t="s">
        <v>624</v>
      </c>
      <c r="U266" s="0" t="s">
        <v>149</v>
      </c>
      <c r="V266" s="0" t="s">
        <v>624</v>
      </c>
      <c r="W266" s="0" t="s">
        <v>569</v>
      </c>
      <c r="X266" s="0" t="s">
        <v>624</v>
      </c>
      <c r="Y266" s="0" t="s">
        <v>627</v>
      </c>
      <c r="Z266" s="0" t="s">
        <v>629</v>
      </c>
      <c r="AA266" s="0" t="s">
        <v>624</v>
      </c>
      <c r="AB266" s="0" t="s">
        <v>580</v>
      </c>
      <c r="AC266" s="254" t="n">
        <v>1000000</v>
      </c>
      <c r="AD266" s="254" t="n">
        <v>76361.8307989009</v>
      </c>
      <c r="AE266" s="0" t="n">
        <v>0</v>
      </c>
      <c r="AF266" s="0" t="n">
        <v>0</v>
      </c>
      <c r="AG266" s="0" t="n">
        <v>0</v>
      </c>
      <c r="AH266" s="254" t="n">
        <v>31282.8318713341</v>
      </c>
      <c r="AI266" s="0" t="n">
        <v>226</v>
      </c>
      <c r="AJ266" s="0" t="s">
        <v>630</v>
      </c>
      <c r="AK266" s="0" t="n">
        <v>0</v>
      </c>
      <c r="AL266" s="0" t="n">
        <v>0</v>
      </c>
      <c r="AM266" s="0" t="n">
        <v>0</v>
      </c>
    </row>
    <row r="267" customFormat="false" ht="12.75" hidden="false" customHeight="false" outlineLevel="0" collapsed="false">
      <c r="A267" s="0" t="s">
        <v>631</v>
      </c>
      <c r="B267" s="0" t="s">
        <v>291</v>
      </c>
      <c r="C267" s="0" t="s">
        <v>622</v>
      </c>
      <c r="D267" s="0" t="s">
        <v>623</v>
      </c>
      <c r="E267" s="0" t="s">
        <v>131</v>
      </c>
      <c r="F267" s="0" t="s">
        <v>198</v>
      </c>
      <c r="G267" s="0" t="s">
        <v>628</v>
      </c>
      <c r="H267" s="0" t="s">
        <v>625</v>
      </c>
      <c r="I267" s="0" t="s">
        <v>626</v>
      </c>
      <c r="J267" s="0" t="s">
        <v>627</v>
      </c>
      <c r="K267" s="475" t="n">
        <v>36861</v>
      </c>
      <c r="L267" s="254" t="n">
        <v>247737.519800556</v>
      </c>
      <c r="M267" s="475" t="n">
        <v>36859</v>
      </c>
      <c r="N267" s="0" t="s">
        <v>136</v>
      </c>
      <c r="O267" s="0" t="n">
        <v>2.5</v>
      </c>
      <c r="P267" s="0" t="n">
        <v>0</v>
      </c>
      <c r="Q267" s="0" t="n">
        <v>0</v>
      </c>
      <c r="R267" s="0" t="n">
        <v>0</v>
      </c>
      <c r="S267" s="0" t="n">
        <v>0</v>
      </c>
      <c r="T267" s="0" t="s">
        <v>624</v>
      </c>
      <c r="U267" s="0" t="s">
        <v>149</v>
      </c>
      <c r="V267" s="0" t="s">
        <v>624</v>
      </c>
      <c r="W267" s="0" t="s">
        <v>569</v>
      </c>
      <c r="X267" s="0" t="s">
        <v>624</v>
      </c>
      <c r="Y267" s="0" t="s">
        <v>627</v>
      </c>
      <c r="Z267" s="0" t="s">
        <v>629</v>
      </c>
      <c r="AA267" s="0" t="s">
        <v>624</v>
      </c>
      <c r="AB267" s="0" t="s">
        <v>580</v>
      </c>
      <c r="AC267" s="254" t="n">
        <v>1000000</v>
      </c>
      <c r="AD267" s="254" t="n">
        <v>58026.8265372112</v>
      </c>
      <c r="AE267" s="0" t="n">
        <v>0</v>
      </c>
      <c r="AF267" s="0" t="n">
        <v>0</v>
      </c>
      <c r="AG267" s="0" t="n">
        <v>0</v>
      </c>
      <c r="AH267" s="254" t="n">
        <v>16791.5075799229</v>
      </c>
      <c r="AI267" s="0" t="n">
        <v>226</v>
      </c>
      <c r="AJ267" s="0" t="s">
        <v>630</v>
      </c>
      <c r="AK267" s="0" t="n">
        <v>0</v>
      </c>
      <c r="AL267" s="0" t="n">
        <v>0</v>
      </c>
      <c r="AM267" s="0" t="n">
        <v>0</v>
      </c>
    </row>
    <row r="268" customFormat="false" ht="12.75" hidden="false" customHeight="false" outlineLevel="0" collapsed="false">
      <c r="A268" s="0" t="s">
        <v>631</v>
      </c>
      <c r="B268" s="0" t="s">
        <v>291</v>
      </c>
      <c r="C268" s="0" t="s">
        <v>622</v>
      </c>
      <c r="D268" s="0" t="s">
        <v>623</v>
      </c>
      <c r="E268" s="0" t="s">
        <v>131</v>
      </c>
      <c r="F268" s="0" t="s">
        <v>198</v>
      </c>
      <c r="G268" s="0" t="s">
        <v>628</v>
      </c>
      <c r="H268" s="0" t="s">
        <v>625</v>
      </c>
      <c r="I268" s="0" t="s">
        <v>626</v>
      </c>
      <c r="J268" s="0" t="s">
        <v>627</v>
      </c>
      <c r="K268" s="475" t="n">
        <v>36831</v>
      </c>
      <c r="L268" s="254" t="n">
        <v>6439.54750952907</v>
      </c>
      <c r="M268" s="475" t="n">
        <v>36829</v>
      </c>
      <c r="N268" s="0" t="s">
        <v>136</v>
      </c>
      <c r="O268" s="0" t="n">
        <v>2.5</v>
      </c>
      <c r="P268" s="0" t="n">
        <v>0</v>
      </c>
      <c r="Q268" s="0" t="n">
        <v>0</v>
      </c>
      <c r="R268" s="0" t="n">
        <v>0</v>
      </c>
      <c r="S268" s="0" t="n">
        <v>0</v>
      </c>
      <c r="T268" s="0" t="s">
        <v>624</v>
      </c>
      <c r="U268" s="0" t="s">
        <v>149</v>
      </c>
      <c r="V268" s="0" t="s">
        <v>624</v>
      </c>
      <c r="W268" s="0" t="s">
        <v>569</v>
      </c>
      <c r="X268" s="0" t="s">
        <v>624</v>
      </c>
      <c r="Y268" s="0" t="s">
        <v>627</v>
      </c>
      <c r="Z268" s="0" t="s">
        <v>629</v>
      </c>
      <c r="AA268" s="0" t="s">
        <v>624</v>
      </c>
      <c r="AB268" s="0" t="s">
        <v>580</v>
      </c>
      <c r="AC268" s="254" t="n">
        <v>1000000</v>
      </c>
      <c r="AD268" s="254" t="n">
        <v>5231.9733423917</v>
      </c>
      <c r="AE268" s="0" t="n">
        <v>0</v>
      </c>
      <c r="AF268" s="0" t="n">
        <v>0</v>
      </c>
      <c r="AG268" s="0" t="n">
        <v>0</v>
      </c>
      <c r="AH268" s="254" t="n">
        <v>1266.46117401503</v>
      </c>
      <c r="AI268" s="0" t="n">
        <v>226</v>
      </c>
      <c r="AJ268" s="0" t="s">
        <v>630</v>
      </c>
      <c r="AK268" s="0" t="n">
        <v>0</v>
      </c>
      <c r="AL268" s="0" t="n">
        <v>0</v>
      </c>
      <c r="AM268" s="0" t="n">
        <v>0</v>
      </c>
    </row>
    <row r="269" customFormat="false" ht="12.75" hidden="false" customHeight="false" outlineLevel="0" collapsed="false">
      <c r="A269" s="0" t="s">
        <v>631</v>
      </c>
      <c r="B269" s="0" t="s">
        <v>292</v>
      </c>
      <c r="C269" s="0" t="s">
        <v>622</v>
      </c>
      <c r="D269" s="0" t="s">
        <v>623</v>
      </c>
      <c r="E269" s="0" t="s">
        <v>131</v>
      </c>
      <c r="F269" s="0" t="s">
        <v>198</v>
      </c>
      <c r="G269" s="0" t="s">
        <v>628</v>
      </c>
      <c r="H269" s="0" t="s">
        <v>625</v>
      </c>
      <c r="I269" s="0" t="s">
        <v>626</v>
      </c>
      <c r="J269" s="0" t="s">
        <v>627</v>
      </c>
      <c r="K269" s="475" t="n">
        <v>36800</v>
      </c>
      <c r="L269" s="254" t="n">
        <v>-100935.677539376</v>
      </c>
      <c r="M269" s="475" t="n">
        <v>36797</v>
      </c>
      <c r="N269" s="0" t="s">
        <v>132</v>
      </c>
      <c r="O269" s="0" t="n">
        <v>0.5</v>
      </c>
      <c r="P269" s="0" t="n">
        <v>0</v>
      </c>
      <c r="Q269" s="0" t="n">
        <v>0</v>
      </c>
      <c r="R269" s="0" t="n">
        <v>0</v>
      </c>
      <c r="S269" s="0" t="n">
        <v>0</v>
      </c>
      <c r="T269" s="0" t="s">
        <v>624</v>
      </c>
      <c r="U269" s="0" t="s">
        <v>149</v>
      </c>
      <c r="V269" s="0" t="s">
        <v>624</v>
      </c>
      <c r="W269" s="0" t="s">
        <v>569</v>
      </c>
      <c r="X269" s="0" t="s">
        <v>624</v>
      </c>
      <c r="Y269" s="0" t="s">
        <v>627</v>
      </c>
      <c r="Z269" s="0" t="s">
        <v>629</v>
      </c>
      <c r="AA269" s="0" t="s">
        <v>624</v>
      </c>
      <c r="AB269" s="0" t="s">
        <v>580</v>
      </c>
      <c r="AC269" s="254" t="n">
        <v>-1000000</v>
      </c>
      <c r="AD269" s="254" t="n">
        <v>-4839.68967865245</v>
      </c>
      <c r="AE269" s="0" t="n">
        <v>0</v>
      </c>
      <c r="AF269" s="0" t="n">
        <v>0</v>
      </c>
      <c r="AG269" s="0" t="n">
        <v>0</v>
      </c>
      <c r="AH269" s="254" t="n">
        <v>-277.418370541403</v>
      </c>
      <c r="AI269" s="0" t="n">
        <v>226</v>
      </c>
      <c r="AJ269" s="0" t="s">
        <v>630</v>
      </c>
      <c r="AK269" s="0" t="n">
        <v>0</v>
      </c>
      <c r="AL269" s="0" t="n">
        <v>0</v>
      </c>
      <c r="AM269" s="0" t="n">
        <v>0</v>
      </c>
    </row>
    <row r="270" customFormat="false" ht="12.75" hidden="false" customHeight="false" outlineLevel="0" collapsed="false">
      <c r="A270" s="0" t="s">
        <v>631</v>
      </c>
      <c r="B270" s="0" t="s">
        <v>292</v>
      </c>
      <c r="C270" s="0" t="s">
        <v>622</v>
      </c>
      <c r="D270" s="0" t="s">
        <v>623</v>
      </c>
      <c r="E270" s="0" t="s">
        <v>131</v>
      </c>
      <c r="F270" s="0" t="s">
        <v>198</v>
      </c>
      <c r="G270" s="0" t="s">
        <v>628</v>
      </c>
      <c r="H270" s="0" t="s">
        <v>625</v>
      </c>
      <c r="I270" s="0" t="s">
        <v>626</v>
      </c>
      <c r="J270" s="0" t="s">
        <v>627</v>
      </c>
      <c r="K270" s="475" t="n">
        <v>36770</v>
      </c>
      <c r="L270" s="254" t="n">
        <v>-184931.922200172</v>
      </c>
      <c r="M270" s="475" t="n">
        <v>36768</v>
      </c>
      <c r="N270" s="0" t="s">
        <v>132</v>
      </c>
      <c r="O270" s="0" t="n">
        <v>0.5</v>
      </c>
      <c r="P270" s="0" t="n">
        <v>0</v>
      </c>
      <c r="Q270" s="0" t="n">
        <v>0</v>
      </c>
      <c r="R270" s="0" t="n">
        <v>0</v>
      </c>
      <c r="S270" s="0" t="n">
        <v>0</v>
      </c>
      <c r="T270" s="0" t="s">
        <v>624</v>
      </c>
      <c r="U270" s="0" t="s">
        <v>149</v>
      </c>
      <c r="V270" s="0" t="s">
        <v>624</v>
      </c>
      <c r="W270" s="0" t="s">
        <v>569</v>
      </c>
      <c r="X270" s="0" t="s">
        <v>624</v>
      </c>
      <c r="Y270" s="0" t="s">
        <v>627</v>
      </c>
      <c r="Z270" s="0" t="s">
        <v>629</v>
      </c>
      <c r="AA270" s="0" t="s">
        <v>624</v>
      </c>
      <c r="AB270" s="0" t="s">
        <v>580</v>
      </c>
      <c r="AC270" s="254" t="n">
        <v>-1000000</v>
      </c>
      <c r="AD270" s="254" t="n">
        <v>0</v>
      </c>
      <c r="AE270" s="0" t="n">
        <v>0</v>
      </c>
      <c r="AF270" s="0" t="n">
        <v>0</v>
      </c>
      <c r="AG270" s="0" t="n">
        <v>0</v>
      </c>
      <c r="AH270" s="254" t="n">
        <v>-0.00837082756333984</v>
      </c>
      <c r="AI270" s="0" t="n">
        <v>226</v>
      </c>
      <c r="AJ270" s="0" t="s">
        <v>630</v>
      </c>
      <c r="AK270" s="0" t="n">
        <v>0</v>
      </c>
      <c r="AL270" s="0" t="n">
        <v>0</v>
      </c>
      <c r="AM270" s="0" t="n">
        <v>0</v>
      </c>
    </row>
    <row r="271" customFormat="false" ht="12.75" hidden="false" customHeight="false" outlineLevel="0" collapsed="false">
      <c r="A271" s="0" t="s">
        <v>631</v>
      </c>
      <c r="B271" s="0" t="s">
        <v>293</v>
      </c>
      <c r="C271" s="0" t="s">
        <v>622</v>
      </c>
      <c r="D271" s="0" t="s">
        <v>623</v>
      </c>
      <c r="E271" s="0" t="s">
        <v>131</v>
      </c>
      <c r="F271" s="0" t="s">
        <v>198</v>
      </c>
      <c r="G271" s="0" t="s">
        <v>628</v>
      </c>
      <c r="H271" s="0" t="s">
        <v>625</v>
      </c>
      <c r="I271" s="0" t="s">
        <v>626</v>
      </c>
      <c r="J271" s="0" t="s">
        <v>627</v>
      </c>
      <c r="K271" s="475" t="n">
        <v>36800</v>
      </c>
      <c r="L271" s="254" t="n">
        <v>7408.96616563902</v>
      </c>
      <c r="M271" s="475" t="n">
        <v>36797</v>
      </c>
      <c r="N271" s="0" t="s">
        <v>132</v>
      </c>
      <c r="O271" s="0" t="n">
        <v>0.3</v>
      </c>
      <c r="P271" s="0" t="n">
        <v>0</v>
      </c>
      <c r="Q271" s="0" t="n">
        <v>0</v>
      </c>
      <c r="R271" s="0" t="n">
        <v>0</v>
      </c>
      <c r="S271" s="0" t="n">
        <v>0</v>
      </c>
      <c r="T271" s="0" t="s">
        <v>624</v>
      </c>
      <c r="U271" s="0" t="s">
        <v>149</v>
      </c>
      <c r="V271" s="0" t="s">
        <v>624</v>
      </c>
      <c r="W271" s="0" t="s">
        <v>569</v>
      </c>
      <c r="X271" s="0" t="s">
        <v>624</v>
      </c>
      <c r="Y271" s="0" t="s">
        <v>627</v>
      </c>
      <c r="Z271" s="0" t="s">
        <v>629</v>
      </c>
      <c r="AA271" s="0" t="s">
        <v>624</v>
      </c>
      <c r="AB271" s="0" t="s">
        <v>580</v>
      </c>
      <c r="AC271" s="254" t="n">
        <v>1000000</v>
      </c>
      <c r="AD271" s="254" t="n">
        <v>3914.12388513144</v>
      </c>
      <c r="AE271" s="0" t="n">
        <v>0</v>
      </c>
      <c r="AF271" s="0" t="n">
        <v>0</v>
      </c>
      <c r="AG271" s="0" t="n">
        <v>0</v>
      </c>
      <c r="AH271" s="254" t="n">
        <v>226.631361520013</v>
      </c>
      <c r="AI271" s="0" t="n">
        <v>226</v>
      </c>
      <c r="AJ271" s="0" t="s">
        <v>630</v>
      </c>
      <c r="AK271" s="0" t="n">
        <v>0</v>
      </c>
      <c r="AL271" s="0" t="n">
        <v>0</v>
      </c>
      <c r="AM271" s="0" t="n">
        <v>0</v>
      </c>
    </row>
    <row r="272" customFormat="false" ht="12.75" hidden="false" customHeight="false" outlineLevel="0" collapsed="false">
      <c r="A272" s="0" t="s">
        <v>631</v>
      </c>
      <c r="B272" s="0" t="s">
        <v>293</v>
      </c>
      <c r="C272" s="0" t="s">
        <v>622</v>
      </c>
      <c r="D272" s="0" t="s">
        <v>623</v>
      </c>
      <c r="E272" s="0" t="s">
        <v>131</v>
      </c>
      <c r="F272" s="0" t="s">
        <v>198</v>
      </c>
      <c r="G272" s="0" t="s">
        <v>628</v>
      </c>
      <c r="H272" s="0" t="s">
        <v>625</v>
      </c>
      <c r="I272" s="0" t="s">
        <v>626</v>
      </c>
      <c r="J272" s="0" t="s">
        <v>627</v>
      </c>
      <c r="K272" s="475" t="n">
        <v>36770</v>
      </c>
      <c r="L272" s="254" t="n">
        <v>2141.97775019487</v>
      </c>
      <c r="M272" s="475" t="n">
        <v>36768</v>
      </c>
      <c r="N272" s="0" t="s">
        <v>132</v>
      </c>
      <c r="O272" s="0" t="n">
        <v>0.3</v>
      </c>
      <c r="P272" s="0" t="n">
        <v>0</v>
      </c>
      <c r="Q272" s="0" t="n">
        <v>0</v>
      </c>
      <c r="R272" s="0" t="n">
        <v>0</v>
      </c>
      <c r="S272" s="0" t="n">
        <v>0</v>
      </c>
      <c r="T272" s="0" t="s">
        <v>624</v>
      </c>
      <c r="U272" s="0" t="s">
        <v>149</v>
      </c>
      <c r="V272" s="0" t="s">
        <v>624</v>
      </c>
      <c r="W272" s="0" t="s">
        <v>569</v>
      </c>
      <c r="X272" s="0" t="s">
        <v>624</v>
      </c>
      <c r="Y272" s="0" t="s">
        <v>627</v>
      </c>
      <c r="Z272" s="0" t="s">
        <v>629</v>
      </c>
      <c r="AA272" s="0" t="s">
        <v>624</v>
      </c>
      <c r="AB272" s="0" t="s">
        <v>580</v>
      </c>
      <c r="AC272" s="254" t="n">
        <v>1000000</v>
      </c>
      <c r="AD272" s="254" t="n">
        <v>913.881032781006</v>
      </c>
      <c r="AE272" s="0" t="n">
        <v>0</v>
      </c>
      <c r="AF272" s="0" t="n">
        <v>0</v>
      </c>
      <c r="AG272" s="0" t="n">
        <v>0</v>
      </c>
      <c r="AH272" s="254" t="n">
        <v>137.739115946722</v>
      </c>
      <c r="AI272" s="0" t="n">
        <v>226</v>
      </c>
      <c r="AJ272" s="0" t="s">
        <v>630</v>
      </c>
      <c r="AK272" s="0" t="n">
        <v>0</v>
      </c>
      <c r="AL272" s="0" t="n">
        <v>0</v>
      </c>
      <c r="AM272" s="0" t="n">
        <v>0</v>
      </c>
    </row>
    <row r="273" customFormat="false" ht="12.75" hidden="false" customHeight="false" outlineLevel="0" collapsed="false">
      <c r="A273" s="0" t="s">
        <v>631</v>
      </c>
      <c r="B273" s="0" t="s">
        <v>294</v>
      </c>
      <c r="C273" s="0" t="s">
        <v>622</v>
      </c>
      <c r="D273" s="0" t="s">
        <v>623</v>
      </c>
      <c r="E273" s="0" t="s">
        <v>131</v>
      </c>
      <c r="F273" s="0" t="s">
        <v>198</v>
      </c>
      <c r="G273" s="0" t="s">
        <v>628</v>
      </c>
      <c r="H273" s="0" t="s">
        <v>625</v>
      </c>
      <c r="I273" s="0" t="s">
        <v>626</v>
      </c>
      <c r="J273" s="0" t="s">
        <v>627</v>
      </c>
      <c r="K273" s="475" t="n">
        <v>36951</v>
      </c>
      <c r="L273" s="254" t="n">
        <v>-105275.50921373</v>
      </c>
      <c r="M273" s="475" t="n">
        <v>36949</v>
      </c>
      <c r="N273" s="0" t="s">
        <v>136</v>
      </c>
      <c r="O273" s="0" t="n">
        <v>3</v>
      </c>
      <c r="P273" s="0" t="n">
        <v>0</v>
      </c>
      <c r="Q273" s="0" t="n">
        <v>0</v>
      </c>
      <c r="R273" s="0" t="n">
        <v>0</v>
      </c>
      <c r="S273" s="0" t="n">
        <v>0</v>
      </c>
      <c r="T273" s="0" t="s">
        <v>624</v>
      </c>
      <c r="U273" s="0" t="s">
        <v>149</v>
      </c>
      <c r="V273" s="0" t="s">
        <v>624</v>
      </c>
      <c r="W273" s="0" t="s">
        <v>569</v>
      </c>
      <c r="X273" s="0" t="s">
        <v>624</v>
      </c>
      <c r="Y273" s="0" t="s">
        <v>627</v>
      </c>
      <c r="Z273" s="0" t="s">
        <v>629</v>
      </c>
      <c r="AA273" s="0" t="s">
        <v>624</v>
      </c>
      <c r="AB273" s="0" t="s">
        <v>580</v>
      </c>
      <c r="AC273" s="254" t="n">
        <v>-1000000</v>
      </c>
      <c r="AD273" s="254" t="n">
        <v>-44783.1029914426</v>
      </c>
      <c r="AE273" s="0" t="n">
        <v>0</v>
      </c>
      <c r="AF273" s="0" t="n">
        <v>0</v>
      </c>
      <c r="AG273" s="0" t="n">
        <v>0</v>
      </c>
      <c r="AH273" s="254" t="n">
        <v>-11349.9631246421</v>
      </c>
      <c r="AI273" s="0" t="n">
        <v>226</v>
      </c>
      <c r="AJ273" s="0" t="s">
        <v>630</v>
      </c>
      <c r="AK273" s="0" t="n">
        <v>0</v>
      </c>
      <c r="AL273" s="0" t="n">
        <v>0</v>
      </c>
      <c r="AM273" s="0" t="n">
        <v>0</v>
      </c>
    </row>
    <row r="274" customFormat="false" ht="12.75" hidden="false" customHeight="false" outlineLevel="0" collapsed="false">
      <c r="A274" s="0" t="s">
        <v>631</v>
      </c>
      <c r="B274" s="0" t="s">
        <v>294</v>
      </c>
      <c r="C274" s="0" t="s">
        <v>622</v>
      </c>
      <c r="D274" s="0" t="s">
        <v>623</v>
      </c>
      <c r="E274" s="0" t="s">
        <v>131</v>
      </c>
      <c r="F274" s="0" t="s">
        <v>198</v>
      </c>
      <c r="G274" s="0" t="s">
        <v>628</v>
      </c>
      <c r="H274" s="0" t="s">
        <v>625</v>
      </c>
      <c r="I274" s="0" t="s">
        <v>626</v>
      </c>
      <c r="J274" s="0" t="s">
        <v>627</v>
      </c>
      <c r="K274" s="475" t="n">
        <v>36923</v>
      </c>
      <c r="L274" s="254" t="n">
        <v>-399883.232375825</v>
      </c>
      <c r="M274" s="475" t="n">
        <v>36921</v>
      </c>
      <c r="N274" s="0" t="s">
        <v>136</v>
      </c>
      <c r="O274" s="0" t="n">
        <v>3</v>
      </c>
      <c r="P274" s="0" t="n">
        <v>0</v>
      </c>
      <c r="Q274" s="0" t="n">
        <v>0</v>
      </c>
      <c r="R274" s="0" t="n">
        <v>0</v>
      </c>
      <c r="S274" s="0" t="n">
        <v>0</v>
      </c>
      <c r="T274" s="0" t="s">
        <v>624</v>
      </c>
      <c r="U274" s="0" t="s">
        <v>149</v>
      </c>
      <c r="V274" s="0" t="s">
        <v>624</v>
      </c>
      <c r="W274" s="0" t="s">
        <v>569</v>
      </c>
      <c r="X274" s="0" t="s">
        <v>624</v>
      </c>
      <c r="Y274" s="0" t="s">
        <v>627</v>
      </c>
      <c r="Z274" s="0" t="s">
        <v>629</v>
      </c>
      <c r="AA274" s="0" t="s">
        <v>624</v>
      </c>
      <c r="AB274" s="0" t="s">
        <v>580</v>
      </c>
      <c r="AC274" s="254" t="n">
        <v>-1000000</v>
      </c>
      <c r="AD274" s="254" t="n">
        <v>-75563.5683883611</v>
      </c>
      <c r="AE274" s="0" t="n">
        <v>0</v>
      </c>
      <c r="AF274" s="0" t="n">
        <v>0</v>
      </c>
      <c r="AG274" s="0" t="n">
        <v>0</v>
      </c>
      <c r="AH274" s="254" t="n">
        <v>-28889.729225915</v>
      </c>
      <c r="AI274" s="0" t="n">
        <v>226</v>
      </c>
      <c r="AJ274" s="0" t="s">
        <v>630</v>
      </c>
      <c r="AK274" s="0" t="n">
        <v>0</v>
      </c>
      <c r="AL274" s="0" t="n">
        <v>0</v>
      </c>
      <c r="AM274" s="0" t="n">
        <v>0</v>
      </c>
    </row>
    <row r="275" customFormat="false" ht="12.75" hidden="false" customHeight="false" outlineLevel="0" collapsed="false">
      <c r="A275" s="0" t="s">
        <v>631</v>
      </c>
      <c r="B275" s="0" t="s">
        <v>294</v>
      </c>
      <c r="C275" s="0" t="s">
        <v>622</v>
      </c>
      <c r="D275" s="0" t="s">
        <v>623</v>
      </c>
      <c r="E275" s="0" t="s">
        <v>131</v>
      </c>
      <c r="F275" s="0" t="s">
        <v>198</v>
      </c>
      <c r="G275" s="0" t="s">
        <v>628</v>
      </c>
      <c r="H275" s="0" t="s">
        <v>625</v>
      </c>
      <c r="I275" s="0" t="s">
        <v>626</v>
      </c>
      <c r="J275" s="0" t="s">
        <v>627</v>
      </c>
      <c r="K275" s="475" t="n">
        <v>36892</v>
      </c>
      <c r="L275" s="254" t="n">
        <v>-386217.11903889</v>
      </c>
      <c r="M275" s="475" t="n">
        <v>36888</v>
      </c>
      <c r="N275" s="0" t="s">
        <v>136</v>
      </c>
      <c r="O275" s="0" t="n">
        <v>3</v>
      </c>
      <c r="P275" s="0" t="n">
        <v>0</v>
      </c>
      <c r="Q275" s="0" t="n">
        <v>0</v>
      </c>
      <c r="R275" s="0" t="n">
        <v>0</v>
      </c>
      <c r="S275" s="0" t="n">
        <v>0</v>
      </c>
      <c r="T275" s="0" t="s">
        <v>624</v>
      </c>
      <c r="U275" s="0" t="s">
        <v>149</v>
      </c>
      <c r="V275" s="0" t="s">
        <v>624</v>
      </c>
      <c r="W275" s="0" t="s">
        <v>569</v>
      </c>
      <c r="X275" s="0" t="s">
        <v>624</v>
      </c>
      <c r="Y275" s="0" t="s">
        <v>627</v>
      </c>
      <c r="Z275" s="0" t="s">
        <v>629</v>
      </c>
      <c r="AA275" s="0" t="s">
        <v>624</v>
      </c>
      <c r="AB275" s="0" t="s">
        <v>580</v>
      </c>
      <c r="AC275" s="254" t="n">
        <v>-1000000</v>
      </c>
      <c r="AD275" s="254" t="n">
        <v>-69610.9231483552</v>
      </c>
      <c r="AE275" s="0" t="n">
        <v>0</v>
      </c>
      <c r="AF275" s="0" t="n">
        <v>0</v>
      </c>
      <c r="AG275" s="0" t="n">
        <v>0</v>
      </c>
      <c r="AH275" s="254" t="n">
        <v>-25130.7463825612</v>
      </c>
      <c r="AI275" s="0" t="n">
        <v>226</v>
      </c>
      <c r="AJ275" s="0" t="s">
        <v>630</v>
      </c>
      <c r="AK275" s="0" t="n">
        <v>0</v>
      </c>
      <c r="AL275" s="0" t="n">
        <v>0</v>
      </c>
      <c r="AM275" s="0" t="n">
        <v>0</v>
      </c>
    </row>
    <row r="276" customFormat="false" ht="12.75" hidden="false" customHeight="false" outlineLevel="0" collapsed="false">
      <c r="A276" s="0" t="s">
        <v>631</v>
      </c>
      <c r="B276" s="0" t="s">
        <v>294</v>
      </c>
      <c r="C276" s="0" t="s">
        <v>622</v>
      </c>
      <c r="D276" s="0" t="s">
        <v>623</v>
      </c>
      <c r="E276" s="0" t="s">
        <v>131</v>
      </c>
      <c r="F276" s="0" t="s">
        <v>198</v>
      </c>
      <c r="G276" s="0" t="s">
        <v>628</v>
      </c>
      <c r="H276" s="0" t="s">
        <v>625</v>
      </c>
      <c r="I276" s="0" t="s">
        <v>626</v>
      </c>
      <c r="J276" s="0" t="s">
        <v>627</v>
      </c>
      <c r="K276" s="475" t="n">
        <v>36861</v>
      </c>
      <c r="L276" s="254" t="n">
        <v>-158678.120721932</v>
      </c>
      <c r="M276" s="475" t="n">
        <v>36859</v>
      </c>
      <c r="N276" s="0" t="s">
        <v>136</v>
      </c>
      <c r="O276" s="0" t="n">
        <v>3</v>
      </c>
      <c r="P276" s="0" t="n">
        <v>0</v>
      </c>
      <c r="Q276" s="0" t="n">
        <v>0</v>
      </c>
      <c r="R276" s="0" t="n">
        <v>0</v>
      </c>
      <c r="S276" s="0" t="n">
        <v>0</v>
      </c>
      <c r="T276" s="0" t="s">
        <v>624</v>
      </c>
      <c r="U276" s="0" t="s">
        <v>149</v>
      </c>
      <c r="V276" s="0" t="s">
        <v>624</v>
      </c>
      <c r="W276" s="0" t="s">
        <v>569</v>
      </c>
      <c r="X276" s="0" t="s">
        <v>624</v>
      </c>
      <c r="Y276" s="0" t="s">
        <v>627</v>
      </c>
      <c r="Z276" s="0" t="s">
        <v>629</v>
      </c>
      <c r="AA276" s="0" t="s">
        <v>624</v>
      </c>
      <c r="AB276" s="0" t="s">
        <v>580</v>
      </c>
      <c r="AC276" s="254" t="n">
        <v>-1000000</v>
      </c>
      <c r="AD276" s="254" t="n">
        <v>-46546.3825853563</v>
      </c>
      <c r="AE276" s="0" t="n">
        <v>0</v>
      </c>
      <c r="AF276" s="0" t="n">
        <v>0</v>
      </c>
      <c r="AG276" s="0" t="n">
        <v>0</v>
      </c>
      <c r="AH276" s="254" t="n">
        <v>-12078.3501212652</v>
      </c>
      <c r="AI276" s="0" t="n">
        <v>226</v>
      </c>
      <c r="AJ276" s="0" t="s">
        <v>630</v>
      </c>
      <c r="AK276" s="0" t="n">
        <v>0</v>
      </c>
      <c r="AL276" s="0" t="n">
        <v>0</v>
      </c>
      <c r="AM276" s="0" t="n">
        <v>0</v>
      </c>
    </row>
    <row r="277" customFormat="false" ht="12.75" hidden="false" customHeight="false" outlineLevel="0" collapsed="false">
      <c r="A277" s="0" t="s">
        <v>631</v>
      </c>
      <c r="B277" s="0" t="s">
        <v>294</v>
      </c>
      <c r="C277" s="0" t="s">
        <v>622</v>
      </c>
      <c r="D277" s="0" t="s">
        <v>623</v>
      </c>
      <c r="E277" s="0" t="s">
        <v>131</v>
      </c>
      <c r="F277" s="0" t="s">
        <v>198</v>
      </c>
      <c r="G277" s="0" t="s">
        <v>628</v>
      </c>
      <c r="H277" s="0" t="s">
        <v>625</v>
      </c>
      <c r="I277" s="0" t="s">
        <v>626</v>
      </c>
      <c r="J277" s="0" t="s">
        <v>627</v>
      </c>
      <c r="K277" s="475" t="n">
        <v>36831</v>
      </c>
      <c r="L277" s="254" t="n">
        <v>-2008.46774519531</v>
      </c>
      <c r="M277" s="475" t="n">
        <v>36829</v>
      </c>
      <c r="N277" s="0" t="s">
        <v>136</v>
      </c>
      <c r="O277" s="0" t="n">
        <v>3</v>
      </c>
      <c r="P277" s="0" t="n">
        <v>0</v>
      </c>
      <c r="Q277" s="0" t="n">
        <v>0</v>
      </c>
      <c r="R277" s="0" t="n">
        <v>0</v>
      </c>
      <c r="S277" s="0" t="n">
        <v>0</v>
      </c>
      <c r="T277" s="0" t="s">
        <v>624</v>
      </c>
      <c r="U277" s="0" t="s">
        <v>149</v>
      </c>
      <c r="V277" s="0" t="s">
        <v>624</v>
      </c>
      <c r="W277" s="0" t="s">
        <v>569</v>
      </c>
      <c r="X277" s="0" t="s">
        <v>624</v>
      </c>
      <c r="Y277" s="0" t="s">
        <v>627</v>
      </c>
      <c r="Z277" s="0" t="s">
        <v>629</v>
      </c>
      <c r="AA277" s="0" t="s">
        <v>624</v>
      </c>
      <c r="AB277" s="0" t="s">
        <v>580</v>
      </c>
      <c r="AC277" s="254" t="n">
        <v>-1000000</v>
      </c>
      <c r="AD277" s="254" t="n">
        <v>-2004.7001855653</v>
      </c>
      <c r="AE277" s="0" t="n">
        <v>0</v>
      </c>
      <c r="AF277" s="0" t="n">
        <v>0</v>
      </c>
      <c r="AG277" s="0" t="n">
        <v>0</v>
      </c>
      <c r="AH277" s="254" t="n">
        <v>-454.989512653291</v>
      </c>
      <c r="AI277" s="0" t="n">
        <v>226</v>
      </c>
      <c r="AJ277" s="0" t="s">
        <v>630</v>
      </c>
      <c r="AK277" s="0" t="n">
        <v>0</v>
      </c>
      <c r="AL277" s="0" t="n">
        <v>0</v>
      </c>
      <c r="AM277" s="0" t="n">
        <v>0</v>
      </c>
    </row>
    <row r="278" customFormat="false" ht="12.75" hidden="false" customHeight="false" outlineLevel="0" collapsed="false">
      <c r="A278" s="0" t="s">
        <v>631</v>
      </c>
      <c r="B278" s="0" t="s">
        <v>295</v>
      </c>
      <c r="C278" s="0" t="s">
        <v>622</v>
      </c>
      <c r="D278" s="0" t="s">
        <v>623</v>
      </c>
      <c r="E278" s="0" t="s">
        <v>131</v>
      </c>
      <c r="F278" s="0" t="s">
        <v>206</v>
      </c>
      <c r="G278" s="0" t="s">
        <v>628</v>
      </c>
      <c r="H278" s="0" t="s">
        <v>625</v>
      </c>
      <c r="I278" s="0" t="s">
        <v>626</v>
      </c>
      <c r="J278" s="0" t="s">
        <v>627</v>
      </c>
      <c r="K278" s="475" t="n">
        <v>36951</v>
      </c>
      <c r="L278" s="254" t="n">
        <v>120184.926412551</v>
      </c>
      <c r="M278" s="475" t="n">
        <v>36949</v>
      </c>
      <c r="N278" s="0" t="s">
        <v>132</v>
      </c>
      <c r="O278" s="0" t="n">
        <v>0.5</v>
      </c>
      <c r="P278" s="0" t="n">
        <v>0</v>
      </c>
      <c r="Q278" s="0" t="n">
        <v>0</v>
      </c>
      <c r="R278" s="0" t="n">
        <v>0</v>
      </c>
      <c r="S278" s="0" t="n">
        <v>0</v>
      </c>
      <c r="T278" s="0" t="s">
        <v>624</v>
      </c>
      <c r="U278" s="0" t="s">
        <v>149</v>
      </c>
      <c r="V278" s="0" t="s">
        <v>624</v>
      </c>
      <c r="W278" s="0" t="s">
        <v>569</v>
      </c>
      <c r="X278" s="0" t="s">
        <v>624</v>
      </c>
      <c r="Y278" s="0" t="s">
        <v>627</v>
      </c>
      <c r="Z278" s="0" t="s">
        <v>629</v>
      </c>
      <c r="AA278" s="0" t="s">
        <v>624</v>
      </c>
      <c r="AB278" s="0" t="s">
        <v>580</v>
      </c>
      <c r="AC278" s="254" t="n">
        <v>500000</v>
      </c>
      <c r="AD278" s="254" t="n">
        <v>40998.0249985839</v>
      </c>
      <c r="AE278" s="0" t="n">
        <v>0</v>
      </c>
      <c r="AF278" s="0" t="n">
        <v>0</v>
      </c>
      <c r="AG278" s="0" t="n">
        <v>0</v>
      </c>
      <c r="AH278" s="254" t="n">
        <v>-6083.16062452464</v>
      </c>
      <c r="AI278" s="0" t="n">
        <v>226</v>
      </c>
      <c r="AJ278" s="0" t="s">
        <v>630</v>
      </c>
      <c r="AK278" s="0" t="n">
        <v>0</v>
      </c>
      <c r="AL278" s="0" t="n">
        <v>0</v>
      </c>
      <c r="AM278" s="0" t="n">
        <v>0</v>
      </c>
    </row>
    <row r="279" customFormat="false" ht="12.75" hidden="false" customHeight="false" outlineLevel="0" collapsed="false">
      <c r="A279" s="0" t="s">
        <v>631</v>
      </c>
      <c r="B279" s="0" t="s">
        <v>633</v>
      </c>
      <c r="C279" s="0" t="s">
        <v>622</v>
      </c>
      <c r="D279" s="0" t="s">
        <v>623</v>
      </c>
      <c r="E279" s="0" t="s">
        <v>131</v>
      </c>
      <c r="F279" s="0" t="s">
        <v>206</v>
      </c>
      <c r="G279" s="0" t="s">
        <v>628</v>
      </c>
      <c r="H279" s="0" t="s">
        <v>625</v>
      </c>
      <c r="I279" s="0" t="s">
        <v>626</v>
      </c>
      <c r="J279" s="0" t="s">
        <v>627</v>
      </c>
      <c r="K279" s="475" t="n">
        <v>36951</v>
      </c>
      <c r="L279" s="254" t="n">
        <v>169110.836079318</v>
      </c>
      <c r="M279" s="475" t="n">
        <v>36949</v>
      </c>
      <c r="N279" s="0" t="s">
        <v>136</v>
      </c>
      <c r="O279" s="0" t="n">
        <v>1.57</v>
      </c>
      <c r="P279" s="0" t="n">
        <v>0</v>
      </c>
      <c r="Q279" s="0" t="n">
        <v>0</v>
      </c>
      <c r="R279" s="0" t="n">
        <v>0</v>
      </c>
      <c r="S279" s="0" t="n">
        <v>0</v>
      </c>
      <c r="T279" s="0" t="s">
        <v>624</v>
      </c>
      <c r="U279" s="0" t="s">
        <v>149</v>
      </c>
      <c r="V279" s="0" t="s">
        <v>624</v>
      </c>
      <c r="W279" s="0" t="s">
        <v>569</v>
      </c>
      <c r="X279" s="0" t="s">
        <v>624</v>
      </c>
      <c r="Y279" s="0" t="s">
        <v>627</v>
      </c>
      <c r="Z279" s="0" t="s">
        <v>629</v>
      </c>
      <c r="AA279" s="0" t="s">
        <v>624</v>
      </c>
      <c r="AB279" s="0" t="s">
        <v>580</v>
      </c>
      <c r="AC279" s="254" t="n">
        <v>500000</v>
      </c>
      <c r="AD279" s="254" t="n">
        <v>40815.8908133721</v>
      </c>
      <c r="AE279" s="0" t="n">
        <v>0</v>
      </c>
      <c r="AF279" s="0" t="n">
        <v>0</v>
      </c>
      <c r="AG279" s="0" t="n">
        <v>0</v>
      </c>
      <c r="AH279" s="254" t="n">
        <v>13805.6938619375</v>
      </c>
      <c r="AI279" s="0" t="n">
        <v>226</v>
      </c>
      <c r="AJ279" s="0" t="s">
        <v>630</v>
      </c>
      <c r="AK279" s="0" t="n">
        <v>0</v>
      </c>
      <c r="AL279" s="0" t="n">
        <v>0</v>
      </c>
      <c r="AM279" s="0" t="n">
        <v>0</v>
      </c>
    </row>
    <row r="280" customFormat="false" ht="12.75" hidden="false" customHeight="false" outlineLevel="0" collapsed="false">
      <c r="A280" s="0" t="s">
        <v>631</v>
      </c>
      <c r="B280" s="0" t="s">
        <v>633</v>
      </c>
      <c r="C280" s="0" t="s">
        <v>622</v>
      </c>
      <c r="D280" s="0" t="s">
        <v>623</v>
      </c>
      <c r="E280" s="0" t="s">
        <v>131</v>
      </c>
      <c r="F280" s="0" t="s">
        <v>206</v>
      </c>
      <c r="G280" s="0" t="s">
        <v>628</v>
      </c>
      <c r="H280" s="0" t="s">
        <v>625</v>
      </c>
      <c r="I280" s="0" t="s">
        <v>626</v>
      </c>
      <c r="J280" s="0" t="s">
        <v>627</v>
      </c>
      <c r="K280" s="475" t="n">
        <v>36923</v>
      </c>
      <c r="L280" s="254" t="n">
        <v>460867.77246677</v>
      </c>
      <c r="M280" s="475" t="n">
        <v>36921</v>
      </c>
      <c r="N280" s="0" t="s">
        <v>136</v>
      </c>
      <c r="O280" s="0" t="n">
        <v>1.57</v>
      </c>
      <c r="P280" s="0" t="n">
        <v>0</v>
      </c>
      <c r="Q280" s="0" t="n">
        <v>0</v>
      </c>
      <c r="R280" s="0" t="n">
        <v>0</v>
      </c>
      <c r="S280" s="0" t="n">
        <v>0</v>
      </c>
      <c r="T280" s="0" t="s">
        <v>624</v>
      </c>
      <c r="U280" s="0" t="s">
        <v>149</v>
      </c>
      <c r="V280" s="0" t="s">
        <v>624</v>
      </c>
      <c r="W280" s="0" t="s">
        <v>569</v>
      </c>
      <c r="X280" s="0" t="s">
        <v>624</v>
      </c>
      <c r="Y280" s="0" t="s">
        <v>627</v>
      </c>
      <c r="Z280" s="0" t="s">
        <v>629</v>
      </c>
      <c r="AA280" s="0" t="s">
        <v>624</v>
      </c>
      <c r="AB280" s="0" t="s">
        <v>580</v>
      </c>
      <c r="AC280" s="254" t="n">
        <v>500000</v>
      </c>
      <c r="AD280" s="254" t="n">
        <v>41804.4695281941</v>
      </c>
      <c r="AE280" s="0" t="n">
        <v>0</v>
      </c>
      <c r="AF280" s="0" t="n">
        <v>0</v>
      </c>
      <c r="AG280" s="0" t="n">
        <v>0</v>
      </c>
      <c r="AH280" s="254" t="n">
        <v>24691.972599182</v>
      </c>
      <c r="AI280" s="0" t="n">
        <v>226</v>
      </c>
      <c r="AJ280" s="0" t="s">
        <v>630</v>
      </c>
      <c r="AK280" s="0" t="n">
        <v>0</v>
      </c>
      <c r="AL280" s="0" t="n">
        <v>0</v>
      </c>
      <c r="AM280" s="0" t="n">
        <v>0</v>
      </c>
    </row>
    <row r="281" customFormat="false" ht="12.75" hidden="false" customHeight="false" outlineLevel="0" collapsed="false">
      <c r="A281" s="0" t="s">
        <v>631</v>
      </c>
      <c r="B281" s="0" t="s">
        <v>633</v>
      </c>
      <c r="C281" s="0" t="s">
        <v>622</v>
      </c>
      <c r="D281" s="0" t="s">
        <v>623</v>
      </c>
      <c r="E281" s="0" t="s">
        <v>131</v>
      </c>
      <c r="F281" s="0" t="s">
        <v>206</v>
      </c>
      <c r="G281" s="0" t="s">
        <v>628</v>
      </c>
      <c r="H281" s="0" t="s">
        <v>625</v>
      </c>
      <c r="I281" s="0" t="s">
        <v>626</v>
      </c>
      <c r="J281" s="0" t="s">
        <v>627</v>
      </c>
      <c r="K281" s="475" t="n">
        <v>36892</v>
      </c>
      <c r="L281" s="254" t="n">
        <v>472421.46868014</v>
      </c>
      <c r="M281" s="475" t="n">
        <v>36888</v>
      </c>
      <c r="N281" s="0" t="s">
        <v>136</v>
      </c>
      <c r="O281" s="0" t="n">
        <v>1.57</v>
      </c>
      <c r="P281" s="0" t="n">
        <v>0</v>
      </c>
      <c r="Q281" s="0" t="n">
        <v>0</v>
      </c>
      <c r="R281" s="0" t="n">
        <v>0</v>
      </c>
      <c r="S281" s="0" t="n">
        <v>0</v>
      </c>
      <c r="T281" s="0" t="s">
        <v>624</v>
      </c>
      <c r="U281" s="0" t="s">
        <v>149</v>
      </c>
      <c r="V281" s="0" t="s">
        <v>624</v>
      </c>
      <c r="W281" s="0" t="s">
        <v>569</v>
      </c>
      <c r="X281" s="0" t="s">
        <v>624</v>
      </c>
      <c r="Y281" s="0" t="s">
        <v>627</v>
      </c>
      <c r="Z281" s="0" t="s">
        <v>629</v>
      </c>
      <c r="AA281" s="0" t="s">
        <v>624</v>
      </c>
      <c r="AB281" s="0" t="s">
        <v>580</v>
      </c>
      <c r="AC281" s="254" t="n">
        <v>500000</v>
      </c>
      <c r="AD281" s="254" t="n">
        <v>37443.7092389034</v>
      </c>
      <c r="AE281" s="0" t="n">
        <v>0</v>
      </c>
      <c r="AF281" s="0" t="n">
        <v>0</v>
      </c>
      <c r="AG281" s="0" t="n">
        <v>0</v>
      </c>
      <c r="AH281" s="254" t="n">
        <v>21969.9741266863</v>
      </c>
      <c r="AI281" s="0" t="n">
        <v>226</v>
      </c>
      <c r="AJ281" s="0" t="s">
        <v>630</v>
      </c>
      <c r="AK281" s="0" t="n">
        <v>0</v>
      </c>
      <c r="AL281" s="0" t="n">
        <v>0</v>
      </c>
      <c r="AM281" s="0" t="n">
        <v>0</v>
      </c>
    </row>
    <row r="282" customFormat="false" ht="12.75" hidden="false" customHeight="false" outlineLevel="0" collapsed="false">
      <c r="A282" s="0" t="s">
        <v>631</v>
      </c>
      <c r="B282" s="0" t="s">
        <v>633</v>
      </c>
      <c r="C282" s="0" t="s">
        <v>622</v>
      </c>
      <c r="D282" s="0" t="s">
        <v>623</v>
      </c>
      <c r="E282" s="0" t="s">
        <v>131</v>
      </c>
      <c r="F282" s="0" t="s">
        <v>206</v>
      </c>
      <c r="G282" s="0" t="s">
        <v>628</v>
      </c>
      <c r="H282" s="0" t="s">
        <v>625</v>
      </c>
      <c r="I282" s="0" t="s">
        <v>626</v>
      </c>
      <c r="J282" s="0" t="s">
        <v>627</v>
      </c>
      <c r="K282" s="475" t="n">
        <v>36861</v>
      </c>
      <c r="L282" s="254" t="n">
        <v>274331.681115403</v>
      </c>
      <c r="M282" s="475" t="n">
        <v>36859</v>
      </c>
      <c r="N282" s="0" t="s">
        <v>136</v>
      </c>
      <c r="O282" s="0" t="n">
        <v>1.57</v>
      </c>
      <c r="P282" s="0" t="n">
        <v>0</v>
      </c>
      <c r="Q282" s="0" t="n">
        <v>0</v>
      </c>
      <c r="R282" s="0" t="n">
        <v>0</v>
      </c>
      <c r="S282" s="0" t="n">
        <v>0</v>
      </c>
      <c r="T282" s="0" t="s">
        <v>624</v>
      </c>
      <c r="U282" s="0" t="s">
        <v>149</v>
      </c>
      <c r="V282" s="0" t="s">
        <v>624</v>
      </c>
      <c r="W282" s="0" t="s">
        <v>569</v>
      </c>
      <c r="X282" s="0" t="s">
        <v>624</v>
      </c>
      <c r="Y282" s="0" t="s">
        <v>627</v>
      </c>
      <c r="Z282" s="0" t="s">
        <v>629</v>
      </c>
      <c r="AA282" s="0" t="s">
        <v>624</v>
      </c>
      <c r="AB282" s="0" t="s">
        <v>580</v>
      </c>
      <c r="AC282" s="254" t="n">
        <v>500000</v>
      </c>
      <c r="AD282" s="254" t="n">
        <v>35412.0882569489</v>
      </c>
      <c r="AE282" s="0" t="n">
        <v>0</v>
      </c>
      <c r="AF282" s="0" t="n">
        <v>0</v>
      </c>
      <c r="AG282" s="0" t="n">
        <v>0</v>
      </c>
      <c r="AH282" s="254" t="n">
        <v>14121.5520101192</v>
      </c>
      <c r="AI282" s="0" t="n">
        <v>226</v>
      </c>
      <c r="AJ282" s="0" t="s">
        <v>630</v>
      </c>
      <c r="AK282" s="0" t="n">
        <v>0</v>
      </c>
      <c r="AL282" s="0" t="n">
        <v>0</v>
      </c>
      <c r="AM282" s="0" t="n">
        <v>0</v>
      </c>
    </row>
    <row r="283" customFormat="false" ht="12.75" hidden="false" customHeight="false" outlineLevel="0" collapsed="false">
      <c r="A283" s="0" t="s">
        <v>631</v>
      </c>
      <c r="B283" s="0" t="s">
        <v>633</v>
      </c>
      <c r="C283" s="0" t="s">
        <v>622</v>
      </c>
      <c r="D283" s="0" t="s">
        <v>623</v>
      </c>
      <c r="E283" s="0" t="s">
        <v>131</v>
      </c>
      <c r="F283" s="0" t="s">
        <v>206</v>
      </c>
      <c r="G283" s="0" t="s">
        <v>628</v>
      </c>
      <c r="H283" s="0" t="s">
        <v>625</v>
      </c>
      <c r="I283" s="0" t="s">
        <v>626</v>
      </c>
      <c r="J283" s="0" t="s">
        <v>627</v>
      </c>
      <c r="K283" s="475" t="n">
        <v>36831</v>
      </c>
      <c r="L283" s="254" t="n">
        <v>26445.5025699939</v>
      </c>
      <c r="M283" s="475" t="n">
        <v>36829</v>
      </c>
      <c r="N283" s="0" t="s">
        <v>136</v>
      </c>
      <c r="O283" s="0" t="n">
        <v>1.57</v>
      </c>
      <c r="P283" s="0" t="n">
        <v>0</v>
      </c>
      <c r="Q283" s="0" t="n">
        <v>0</v>
      </c>
      <c r="R283" s="0" t="n">
        <v>0</v>
      </c>
      <c r="S283" s="0" t="n">
        <v>0</v>
      </c>
      <c r="T283" s="0" t="s">
        <v>624</v>
      </c>
      <c r="U283" s="0" t="s">
        <v>149</v>
      </c>
      <c r="V283" s="0" t="s">
        <v>624</v>
      </c>
      <c r="W283" s="0" t="s">
        <v>569</v>
      </c>
      <c r="X283" s="0" t="s">
        <v>624</v>
      </c>
      <c r="Y283" s="0" t="s">
        <v>627</v>
      </c>
      <c r="Z283" s="0" t="s">
        <v>629</v>
      </c>
      <c r="AA283" s="0" t="s">
        <v>624</v>
      </c>
      <c r="AB283" s="0" t="s">
        <v>580</v>
      </c>
      <c r="AC283" s="254" t="n">
        <v>500000</v>
      </c>
      <c r="AD283" s="254" t="n">
        <v>11973.4081913113</v>
      </c>
      <c r="AE283" s="0" t="n">
        <v>0</v>
      </c>
      <c r="AF283" s="0" t="n">
        <v>0</v>
      </c>
      <c r="AG283" s="0" t="n">
        <v>0</v>
      </c>
      <c r="AH283" s="254" t="n">
        <v>3662.40462719349</v>
      </c>
      <c r="AI283" s="0" t="n">
        <v>226</v>
      </c>
      <c r="AJ283" s="0" t="s">
        <v>630</v>
      </c>
      <c r="AK283" s="0" t="n">
        <v>0</v>
      </c>
      <c r="AL283" s="0" t="n">
        <v>0</v>
      </c>
      <c r="AM283" s="0" t="n">
        <v>0</v>
      </c>
    </row>
    <row r="284" customFormat="false" ht="12.75" hidden="false" customHeight="false" outlineLevel="0" collapsed="false">
      <c r="A284" s="0" t="s">
        <v>631</v>
      </c>
      <c r="B284" s="0" t="s">
        <v>634</v>
      </c>
      <c r="C284" s="0" t="s">
        <v>622</v>
      </c>
      <c r="D284" s="0" t="s">
        <v>623</v>
      </c>
      <c r="E284" s="0" t="s">
        <v>131</v>
      </c>
      <c r="F284" s="0" t="s">
        <v>206</v>
      </c>
      <c r="G284" s="0" t="s">
        <v>628</v>
      </c>
      <c r="H284" s="0" t="s">
        <v>625</v>
      </c>
      <c r="I284" s="0" t="s">
        <v>626</v>
      </c>
      <c r="J284" s="0" t="s">
        <v>627</v>
      </c>
      <c r="K284" s="475" t="n">
        <v>36951</v>
      </c>
      <c r="L284" s="254" t="n">
        <v>408215.159422334</v>
      </c>
      <c r="M284" s="475" t="n">
        <v>36949</v>
      </c>
      <c r="N284" s="0" t="s">
        <v>132</v>
      </c>
      <c r="O284" s="0" t="n">
        <v>1.57</v>
      </c>
      <c r="P284" s="0" t="n">
        <v>0</v>
      </c>
      <c r="Q284" s="0" t="n">
        <v>0</v>
      </c>
      <c r="R284" s="0" t="n">
        <v>0</v>
      </c>
      <c r="S284" s="0" t="n">
        <v>0</v>
      </c>
      <c r="T284" s="0" t="s">
        <v>624</v>
      </c>
      <c r="U284" s="0" t="s">
        <v>149</v>
      </c>
      <c r="V284" s="0" t="s">
        <v>624</v>
      </c>
      <c r="W284" s="0" t="s">
        <v>569</v>
      </c>
      <c r="X284" s="0" t="s">
        <v>624</v>
      </c>
      <c r="Y284" s="0" t="s">
        <v>627</v>
      </c>
      <c r="Z284" s="0" t="s">
        <v>629</v>
      </c>
      <c r="AA284" s="0" t="s">
        <v>624</v>
      </c>
      <c r="AB284" s="0" t="s">
        <v>580</v>
      </c>
      <c r="AC284" s="254" t="n">
        <v>500000</v>
      </c>
      <c r="AD284" s="254" t="n">
        <v>40815.890813372</v>
      </c>
      <c r="AE284" s="0" t="n">
        <v>0</v>
      </c>
      <c r="AF284" s="0" t="n">
        <v>0</v>
      </c>
      <c r="AG284" s="0" t="n">
        <v>0</v>
      </c>
      <c r="AH284" s="254" t="n">
        <v>-15162.3730918366</v>
      </c>
      <c r="AI284" s="0" t="n">
        <v>226</v>
      </c>
      <c r="AJ284" s="0" t="s">
        <v>630</v>
      </c>
      <c r="AK284" s="0" t="n">
        <v>0</v>
      </c>
      <c r="AL284" s="0" t="n">
        <v>0</v>
      </c>
      <c r="AM284" s="0" t="n">
        <v>0</v>
      </c>
    </row>
    <row r="285" customFormat="false" ht="12.75" hidden="false" customHeight="false" outlineLevel="0" collapsed="false">
      <c r="A285" s="0" t="s">
        <v>631</v>
      </c>
      <c r="B285" s="0" t="s">
        <v>634</v>
      </c>
      <c r="C285" s="0" t="s">
        <v>622</v>
      </c>
      <c r="D285" s="0" t="s">
        <v>623</v>
      </c>
      <c r="E285" s="0" t="s">
        <v>131</v>
      </c>
      <c r="F285" s="0" t="s">
        <v>206</v>
      </c>
      <c r="G285" s="0" t="s">
        <v>628</v>
      </c>
      <c r="H285" s="0" t="s">
        <v>625</v>
      </c>
      <c r="I285" s="0" t="s">
        <v>626</v>
      </c>
      <c r="J285" s="0" t="s">
        <v>627</v>
      </c>
      <c r="K285" s="475" t="n">
        <v>36923</v>
      </c>
      <c r="L285" s="254" t="n">
        <v>208331.972594283</v>
      </c>
      <c r="M285" s="475" t="n">
        <v>36921</v>
      </c>
      <c r="N285" s="0" t="s">
        <v>132</v>
      </c>
      <c r="O285" s="0" t="n">
        <v>1.57</v>
      </c>
      <c r="P285" s="0" t="n">
        <v>0</v>
      </c>
      <c r="Q285" s="0" t="n">
        <v>0</v>
      </c>
      <c r="R285" s="0" t="n">
        <v>0</v>
      </c>
      <c r="S285" s="0" t="n">
        <v>0</v>
      </c>
      <c r="T285" s="0" t="s">
        <v>624</v>
      </c>
      <c r="U285" s="0" t="s">
        <v>149</v>
      </c>
      <c r="V285" s="0" t="s">
        <v>624</v>
      </c>
      <c r="W285" s="0" t="s">
        <v>569</v>
      </c>
      <c r="X285" s="0" t="s">
        <v>624</v>
      </c>
      <c r="Y285" s="0" t="s">
        <v>627</v>
      </c>
      <c r="Z285" s="0" t="s">
        <v>629</v>
      </c>
      <c r="AA285" s="0" t="s">
        <v>624</v>
      </c>
      <c r="AB285" s="0" t="s">
        <v>580</v>
      </c>
      <c r="AC285" s="254" t="n">
        <v>500000</v>
      </c>
      <c r="AD285" s="254" t="n">
        <v>41804.4695281941</v>
      </c>
      <c r="AE285" s="0" t="n">
        <v>0</v>
      </c>
      <c r="AF285" s="0" t="n">
        <v>0</v>
      </c>
      <c r="AG285" s="0" t="n">
        <v>0</v>
      </c>
      <c r="AH285" s="254" t="n">
        <v>-9285.75571059433</v>
      </c>
      <c r="AI285" s="0" t="n">
        <v>226</v>
      </c>
      <c r="AJ285" s="0" t="s">
        <v>630</v>
      </c>
      <c r="AK285" s="0" t="n">
        <v>0</v>
      </c>
      <c r="AL285" s="0" t="n">
        <v>0</v>
      </c>
      <c r="AM285" s="0" t="n">
        <v>0</v>
      </c>
    </row>
    <row r="286" customFormat="false" ht="12.75" hidden="false" customHeight="false" outlineLevel="0" collapsed="false">
      <c r="A286" s="0" t="s">
        <v>631</v>
      </c>
      <c r="B286" s="0" t="s">
        <v>634</v>
      </c>
      <c r="C286" s="0" t="s">
        <v>622</v>
      </c>
      <c r="D286" s="0" t="s">
        <v>623</v>
      </c>
      <c r="E286" s="0" t="s">
        <v>131</v>
      </c>
      <c r="F286" s="0" t="s">
        <v>206</v>
      </c>
      <c r="G286" s="0" t="s">
        <v>628</v>
      </c>
      <c r="H286" s="0" t="s">
        <v>625</v>
      </c>
      <c r="I286" s="0" t="s">
        <v>626</v>
      </c>
      <c r="J286" s="0" t="s">
        <v>627</v>
      </c>
      <c r="K286" s="475" t="n">
        <v>36892</v>
      </c>
      <c r="L286" s="254" t="n">
        <v>179195.345085389</v>
      </c>
      <c r="M286" s="475" t="n">
        <v>36888</v>
      </c>
      <c r="N286" s="0" t="s">
        <v>132</v>
      </c>
      <c r="O286" s="0" t="n">
        <v>1.57</v>
      </c>
      <c r="P286" s="0" t="n">
        <v>0</v>
      </c>
      <c r="Q286" s="0" t="n">
        <v>0</v>
      </c>
      <c r="R286" s="0" t="n">
        <v>0</v>
      </c>
      <c r="S286" s="0" t="n">
        <v>0</v>
      </c>
      <c r="T286" s="0" t="s">
        <v>624</v>
      </c>
      <c r="U286" s="0" t="s">
        <v>149</v>
      </c>
      <c r="V286" s="0" t="s">
        <v>624</v>
      </c>
      <c r="W286" s="0" t="s">
        <v>569</v>
      </c>
      <c r="X286" s="0" t="s">
        <v>624</v>
      </c>
      <c r="Y286" s="0" t="s">
        <v>627</v>
      </c>
      <c r="Z286" s="0" t="s">
        <v>629</v>
      </c>
      <c r="AA286" s="0" t="s">
        <v>624</v>
      </c>
      <c r="AB286" s="0" t="s">
        <v>580</v>
      </c>
      <c r="AC286" s="254" t="n">
        <v>500000</v>
      </c>
      <c r="AD286" s="254" t="n">
        <v>37443.7092389034</v>
      </c>
      <c r="AE286" s="0" t="n">
        <v>0</v>
      </c>
      <c r="AF286" s="0" t="n">
        <v>0</v>
      </c>
      <c r="AG286" s="0" t="n">
        <v>0</v>
      </c>
      <c r="AH286" s="254" t="n">
        <v>-7337.00449828189</v>
      </c>
      <c r="AI286" s="0" t="n">
        <v>226</v>
      </c>
      <c r="AJ286" s="0" t="s">
        <v>630</v>
      </c>
      <c r="AK286" s="0" t="n">
        <v>0</v>
      </c>
      <c r="AL286" s="0" t="n">
        <v>0</v>
      </c>
      <c r="AM286" s="0" t="n">
        <v>0</v>
      </c>
    </row>
    <row r="287" customFormat="false" ht="12.75" hidden="false" customHeight="false" outlineLevel="0" collapsed="false">
      <c r="A287" s="0" t="s">
        <v>631</v>
      </c>
      <c r="B287" s="0" t="s">
        <v>634</v>
      </c>
      <c r="C287" s="0" t="s">
        <v>622</v>
      </c>
      <c r="D287" s="0" t="s">
        <v>623</v>
      </c>
      <c r="E287" s="0" t="s">
        <v>131</v>
      </c>
      <c r="F287" s="0" t="s">
        <v>206</v>
      </c>
      <c r="G287" s="0" t="s">
        <v>628</v>
      </c>
      <c r="H287" s="0" t="s">
        <v>625</v>
      </c>
      <c r="I287" s="0" t="s">
        <v>626</v>
      </c>
      <c r="J287" s="0" t="s">
        <v>627</v>
      </c>
      <c r="K287" s="475" t="n">
        <v>36861</v>
      </c>
      <c r="L287" s="254" t="n">
        <v>237478.32068014</v>
      </c>
      <c r="M287" s="475" t="n">
        <v>36859</v>
      </c>
      <c r="N287" s="0" t="s">
        <v>132</v>
      </c>
      <c r="O287" s="0" t="n">
        <v>1.57</v>
      </c>
      <c r="P287" s="0" t="n">
        <v>0</v>
      </c>
      <c r="Q287" s="0" t="n">
        <v>0</v>
      </c>
      <c r="R287" s="0" t="n">
        <v>0</v>
      </c>
      <c r="S287" s="0" t="n">
        <v>0</v>
      </c>
      <c r="T287" s="0" t="s">
        <v>624</v>
      </c>
      <c r="U287" s="0" t="s">
        <v>149</v>
      </c>
      <c r="V287" s="0" t="s">
        <v>624</v>
      </c>
      <c r="W287" s="0" t="s">
        <v>569</v>
      </c>
      <c r="X287" s="0" t="s">
        <v>624</v>
      </c>
      <c r="Y287" s="0" t="s">
        <v>627</v>
      </c>
      <c r="Z287" s="0" t="s">
        <v>629</v>
      </c>
      <c r="AA287" s="0" t="s">
        <v>624</v>
      </c>
      <c r="AB287" s="0" t="s">
        <v>580</v>
      </c>
      <c r="AC287" s="254" t="n">
        <v>500000</v>
      </c>
      <c r="AD287" s="254" t="n">
        <v>35412.0882569489</v>
      </c>
      <c r="AE287" s="0" t="n">
        <v>0</v>
      </c>
      <c r="AF287" s="0" t="n">
        <v>0</v>
      </c>
      <c r="AG287" s="0" t="n">
        <v>0</v>
      </c>
      <c r="AH287" s="254" t="n">
        <v>-7978.3008645995</v>
      </c>
      <c r="AI287" s="0" t="n">
        <v>226</v>
      </c>
      <c r="AJ287" s="0" t="s">
        <v>630</v>
      </c>
      <c r="AK287" s="0" t="n">
        <v>0</v>
      </c>
      <c r="AL287" s="0" t="n">
        <v>0</v>
      </c>
      <c r="AM287" s="0" t="n">
        <v>0</v>
      </c>
    </row>
    <row r="288" customFormat="false" ht="12.75" hidden="false" customHeight="false" outlineLevel="0" collapsed="false">
      <c r="A288" s="0" t="s">
        <v>631</v>
      </c>
      <c r="B288" s="0" t="s">
        <v>634</v>
      </c>
      <c r="C288" s="0" t="s">
        <v>622</v>
      </c>
      <c r="D288" s="0" t="s">
        <v>623</v>
      </c>
      <c r="E288" s="0" t="s">
        <v>131</v>
      </c>
      <c r="F288" s="0" t="s">
        <v>206</v>
      </c>
      <c r="G288" s="0" t="s">
        <v>628</v>
      </c>
      <c r="H288" s="0" t="s">
        <v>625</v>
      </c>
      <c r="I288" s="0" t="s">
        <v>626</v>
      </c>
      <c r="J288" s="0" t="s">
        <v>627</v>
      </c>
      <c r="K288" s="475" t="n">
        <v>36831</v>
      </c>
      <c r="L288" s="254" t="n">
        <v>421774.048057614</v>
      </c>
      <c r="M288" s="475" t="n">
        <v>36829</v>
      </c>
      <c r="N288" s="0" t="s">
        <v>132</v>
      </c>
      <c r="O288" s="0" t="n">
        <v>1.57</v>
      </c>
      <c r="P288" s="0" t="n">
        <v>0</v>
      </c>
      <c r="Q288" s="0" t="n">
        <v>0</v>
      </c>
      <c r="R288" s="0" t="n">
        <v>0</v>
      </c>
      <c r="S288" s="0" t="n">
        <v>0</v>
      </c>
      <c r="T288" s="0" t="s">
        <v>624</v>
      </c>
      <c r="U288" s="0" t="s">
        <v>149</v>
      </c>
      <c r="V288" s="0" t="s">
        <v>624</v>
      </c>
      <c r="W288" s="0" t="s">
        <v>569</v>
      </c>
      <c r="X288" s="0" t="s">
        <v>624</v>
      </c>
      <c r="Y288" s="0" t="s">
        <v>627</v>
      </c>
      <c r="Z288" s="0" t="s">
        <v>629</v>
      </c>
      <c r="AA288" s="0" t="s">
        <v>624</v>
      </c>
      <c r="AB288" s="0" t="s">
        <v>580</v>
      </c>
      <c r="AC288" s="254" t="n">
        <v>500000</v>
      </c>
      <c r="AD288" s="254" t="n">
        <v>11973.4081913113</v>
      </c>
      <c r="AE288" s="0" t="n">
        <v>0</v>
      </c>
      <c r="AF288" s="0" t="n">
        <v>0</v>
      </c>
      <c r="AG288" s="0" t="n">
        <v>0</v>
      </c>
      <c r="AH288" s="254" t="n">
        <v>-16093.139079091</v>
      </c>
      <c r="AI288" s="0" t="n">
        <v>226</v>
      </c>
      <c r="AJ288" s="0" t="s">
        <v>630</v>
      </c>
      <c r="AK288" s="0" t="n">
        <v>0</v>
      </c>
      <c r="AL288" s="0" t="n">
        <v>0</v>
      </c>
      <c r="AM288" s="0" t="n">
        <v>0</v>
      </c>
    </row>
    <row r="289" customFormat="false" ht="12.75" hidden="false" customHeight="false" outlineLevel="0" collapsed="false">
      <c r="A289" s="0" t="s">
        <v>631</v>
      </c>
      <c r="B289" s="0" t="s">
        <v>298</v>
      </c>
      <c r="C289" s="0" t="s">
        <v>622</v>
      </c>
      <c r="D289" s="0" t="s">
        <v>623</v>
      </c>
      <c r="E289" s="0" t="s">
        <v>131</v>
      </c>
      <c r="F289" s="0" t="s">
        <v>198</v>
      </c>
      <c r="G289" s="0" t="s">
        <v>628</v>
      </c>
      <c r="H289" s="0" t="s">
        <v>625</v>
      </c>
      <c r="I289" s="0" t="s">
        <v>626</v>
      </c>
      <c r="J289" s="0" t="s">
        <v>627</v>
      </c>
      <c r="K289" s="475" t="n">
        <v>36831</v>
      </c>
      <c r="L289" s="254" t="n">
        <v>-123011.946510946</v>
      </c>
      <c r="M289" s="475" t="n">
        <v>36829</v>
      </c>
      <c r="N289" s="0" t="s">
        <v>136</v>
      </c>
      <c r="O289" s="0" t="n">
        <v>1.5</v>
      </c>
      <c r="P289" s="0" t="n">
        <v>0</v>
      </c>
      <c r="Q289" s="0" t="n">
        <v>0</v>
      </c>
      <c r="R289" s="0" t="n">
        <v>0</v>
      </c>
      <c r="S289" s="0" t="n">
        <v>0</v>
      </c>
      <c r="T289" s="0" t="s">
        <v>624</v>
      </c>
      <c r="U289" s="0" t="s">
        <v>149</v>
      </c>
      <c r="V289" s="0" t="s">
        <v>624</v>
      </c>
      <c r="W289" s="0" t="s">
        <v>569</v>
      </c>
      <c r="X289" s="0" t="s">
        <v>624</v>
      </c>
      <c r="Y289" s="0" t="s">
        <v>627</v>
      </c>
      <c r="Z289" s="0" t="s">
        <v>629</v>
      </c>
      <c r="AA289" s="0" t="s">
        <v>624</v>
      </c>
      <c r="AB289" s="0" t="s">
        <v>580</v>
      </c>
      <c r="AC289" s="254" t="n">
        <v>-2000000</v>
      </c>
      <c r="AD289" s="254" t="n">
        <v>-52401.4551775209</v>
      </c>
      <c r="AE289" s="0" t="n">
        <v>0</v>
      </c>
      <c r="AF289" s="0" t="n">
        <v>0</v>
      </c>
      <c r="AG289" s="0" t="n">
        <v>0</v>
      </c>
      <c r="AH289" s="254" t="n">
        <v>-16481.3373155915</v>
      </c>
      <c r="AI289" s="0" t="n">
        <v>226</v>
      </c>
      <c r="AJ289" s="0" t="s">
        <v>630</v>
      </c>
      <c r="AK289" s="0" t="n">
        <v>0</v>
      </c>
      <c r="AL289" s="0" t="n">
        <v>0</v>
      </c>
      <c r="AM289" s="0" t="n">
        <v>0</v>
      </c>
    </row>
    <row r="290" customFormat="false" ht="12.75" hidden="false" customHeight="false" outlineLevel="0" collapsed="false">
      <c r="A290" s="0" t="s">
        <v>631</v>
      </c>
      <c r="B290" s="0" t="s">
        <v>299</v>
      </c>
      <c r="C290" s="0" t="s">
        <v>622</v>
      </c>
      <c r="D290" s="0" t="s">
        <v>623</v>
      </c>
      <c r="E290" s="0" t="s">
        <v>131</v>
      </c>
      <c r="F290" s="0" t="s">
        <v>216</v>
      </c>
      <c r="G290" s="0" t="s">
        <v>628</v>
      </c>
      <c r="H290" s="0" t="s">
        <v>625</v>
      </c>
      <c r="I290" s="0" t="s">
        <v>626</v>
      </c>
      <c r="J290" s="0" t="s">
        <v>627</v>
      </c>
      <c r="K290" s="475" t="n">
        <v>36831</v>
      </c>
      <c r="L290" s="254" t="n">
        <v>61505.9732554729</v>
      </c>
      <c r="M290" s="475" t="n">
        <v>36829</v>
      </c>
      <c r="N290" s="0" t="s">
        <v>136</v>
      </c>
      <c r="O290" s="0" t="n">
        <v>1.5</v>
      </c>
      <c r="P290" s="0" t="n">
        <v>0</v>
      </c>
      <c r="Q290" s="0" t="n">
        <v>0</v>
      </c>
      <c r="R290" s="0" t="n">
        <v>0</v>
      </c>
      <c r="S290" s="0" t="n">
        <v>0</v>
      </c>
      <c r="T290" s="0" t="s">
        <v>624</v>
      </c>
      <c r="U290" s="0" t="s">
        <v>149</v>
      </c>
      <c r="V290" s="0" t="s">
        <v>624</v>
      </c>
      <c r="W290" s="0" t="s">
        <v>569</v>
      </c>
      <c r="X290" s="0" t="s">
        <v>624</v>
      </c>
      <c r="Y290" s="0" t="s">
        <v>627</v>
      </c>
      <c r="Z290" s="0" t="s">
        <v>629</v>
      </c>
      <c r="AA290" s="0" t="s">
        <v>624</v>
      </c>
      <c r="AB290" s="0" t="s">
        <v>580</v>
      </c>
      <c r="AC290" s="254" t="n">
        <v>1000000</v>
      </c>
      <c r="AD290" s="254" t="n">
        <v>26200.7275887605</v>
      </c>
      <c r="AE290" s="0" t="n">
        <v>0</v>
      </c>
      <c r="AF290" s="0" t="n">
        <v>0</v>
      </c>
      <c r="AG290" s="0" t="n">
        <v>0</v>
      </c>
      <c r="AH290" s="254" t="n">
        <v>8240.66865779577</v>
      </c>
      <c r="AI290" s="0" t="n">
        <v>226</v>
      </c>
      <c r="AJ290" s="0" t="s">
        <v>630</v>
      </c>
      <c r="AK290" s="0" t="n">
        <v>0</v>
      </c>
      <c r="AL290" s="0" t="n">
        <v>0</v>
      </c>
      <c r="AM290" s="0" t="n">
        <v>0</v>
      </c>
    </row>
    <row r="291" customFormat="false" ht="12.75" hidden="false" customHeight="false" outlineLevel="0" collapsed="false">
      <c r="A291" s="0" t="s">
        <v>631</v>
      </c>
      <c r="B291" s="0" t="s">
        <v>300</v>
      </c>
      <c r="C291" s="0" t="s">
        <v>622</v>
      </c>
      <c r="D291" s="0" t="s">
        <v>623</v>
      </c>
      <c r="E291" s="0" t="s">
        <v>131</v>
      </c>
      <c r="F291" s="0" t="s">
        <v>198</v>
      </c>
      <c r="G291" s="0" t="s">
        <v>628</v>
      </c>
      <c r="H291" s="0" t="s">
        <v>625</v>
      </c>
      <c r="I291" s="0" t="s">
        <v>626</v>
      </c>
      <c r="J291" s="0" t="s">
        <v>627</v>
      </c>
      <c r="K291" s="475" t="n">
        <v>36982</v>
      </c>
      <c r="L291" s="254" t="n">
        <v>-74548.0841619564</v>
      </c>
      <c r="M291" s="475" t="n">
        <v>36979</v>
      </c>
      <c r="N291" s="0" t="s">
        <v>136</v>
      </c>
      <c r="O291" s="0" t="n">
        <v>0.7</v>
      </c>
      <c r="P291" s="0" t="n">
        <v>0</v>
      </c>
      <c r="Q291" s="0" t="n">
        <v>0</v>
      </c>
      <c r="R291" s="0" t="n">
        <v>0</v>
      </c>
      <c r="S291" s="0" t="n">
        <v>0</v>
      </c>
      <c r="T291" s="0" t="s">
        <v>624</v>
      </c>
      <c r="U291" s="0" t="s">
        <v>149</v>
      </c>
      <c r="V291" s="0" t="s">
        <v>624</v>
      </c>
      <c r="W291" s="0" t="s">
        <v>569</v>
      </c>
      <c r="X291" s="0" t="s">
        <v>624</v>
      </c>
      <c r="Y291" s="0" t="s">
        <v>627</v>
      </c>
      <c r="Z291" s="0" t="s">
        <v>629</v>
      </c>
      <c r="AA291" s="0" t="s">
        <v>624</v>
      </c>
      <c r="AB291" s="0" t="s">
        <v>580</v>
      </c>
      <c r="AC291" s="254" t="n">
        <v>-1000000</v>
      </c>
      <c r="AD291" s="254" t="n">
        <v>-21902.4850963094</v>
      </c>
      <c r="AE291" s="0" t="n">
        <v>0</v>
      </c>
      <c r="AF291" s="0" t="n">
        <v>0</v>
      </c>
      <c r="AG291" s="0" t="n">
        <v>0</v>
      </c>
      <c r="AH291" s="254" t="n">
        <v>-1042.24908708215</v>
      </c>
      <c r="AI291" s="0" t="n">
        <v>226</v>
      </c>
      <c r="AJ291" s="0" t="s">
        <v>630</v>
      </c>
      <c r="AK291" s="0" t="n">
        <v>0</v>
      </c>
      <c r="AL291" s="0" t="n">
        <v>0</v>
      </c>
      <c r="AM291" s="0" t="n">
        <v>0</v>
      </c>
    </row>
    <row r="292" customFormat="false" ht="12.75" hidden="false" customHeight="false" outlineLevel="0" collapsed="false">
      <c r="A292" s="0" t="s">
        <v>631</v>
      </c>
      <c r="B292" s="0" t="s">
        <v>302</v>
      </c>
      <c r="C292" s="0" t="s">
        <v>622</v>
      </c>
      <c r="D292" s="0" t="s">
        <v>623</v>
      </c>
      <c r="E292" s="0" t="s">
        <v>131</v>
      </c>
      <c r="F292" s="0" t="s">
        <v>301</v>
      </c>
      <c r="G292" s="0" t="s">
        <v>628</v>
      </c>
      <c r="H292" s="0" t="s">
        <v>625</v>
      </c>
      <c r="I292" s="0" t="s">
        <v>626</v>
      </c>
      <c r="J292" s="0" t="s">
        <v>627</v>
      </c>
      <c r="K292" s="475" t="n">
        <v>36982</v>
      </c>
      <c r="L292" s="254" t="n">
        <v>-156550.976740108</v>
      </c>
      <c r="M292" s="475" t="n">
        <v>36979</v>
      </c>
      <c r="N292" s="0" t="s">
        <v>136</v>
      </c>
      <c r="O292" s="0" t="n">
        <v>0.7</v>
      </c>
      <c r="P292" s="0" t="n">
        <v>0</v>
      </c>
      <c r="Q292" s="0" t="n">
        <v>0</v>
      </c>
      <c r="R292" s="0" t="n">
        <v>0</v>
      </c>
      <c r="S292" s="0" t="n">
        <v>0</v>
      </c>
      <c r="T292" s="0" t="s">
        <v>624</v>
      </c>
      <c r="U292" s="0" t="s">
        <v>149</v>
      </c>
      <c r="V292" s="0" t="s">
        <v>624</v>
      </c>
      <c r="W292" s="0" t="s">
        <v>569</v>
      </c>
      <c r="X292" s="0" t="s">
        <v>624</v>
      </c>
      <c r="Y292" s="0" t="s">
        <v>627</v>
      </c>
      <c r="Z292" s="0" t="s">
        <v>629</v>
      </c>
      <c r="AA292" s="0" t="s">
        <v>624</v>
      </c>
      <c r="AB292" s="0" t="s">
        <v>580</v>
      </c>
      <c r="AC292" s="254" t="n">
        <v>-2100000</v>
      </c>
      <c r="AD292" s="254" t="n">
        <v>-45995.2187022497</v>
      </c>
      <c r="AE292" s="0" t="n">
        <v>0</v>
      </c>
      <c r="AF292" s="0" t="n">
        <v>0</v>
      </c>
      <c r="AG292" s="0" t="n">
        <v>0</v>
      </c>
      <c r="AH292" s="254" t="n">
        <v>-2188.72308287252</v>
      </c>
      <c r="AI292" s="0" t="n">
        <v>226</v>
      </c>
      <c r="AJ292" s="0" t="s">
        <v>630</v>
      </c>
      <c r="AK292" s="0" t="n">
        <v>0</v>
      </c>
      <c r="AL292" s="0" t="n">
        <v>0</v>
      </c>
      <c r="AM292" s="0" t="n">
        <v>0</v>
      </c>
    </row>
    <row r="293" customFormat="false" ht="12.75" hidden="false" customHeight="false" outlineLevel="0" collapsed="false">
      <c r="A293" s="0" t="s">
        <v>631</v>
      </c>
      <c r="B293" s="0" t="s">
        <v>303</v>
      </c>
      <c r="C293" s="0" t="s">
        <v>622</v>
      </c>
      <c r="D293" s="0" t="s">
        <v>623</v>
      </c>
      <c r="E293" s="0" t="s">
        <v>131</v>
      </c>
      <c r="F293" s="0" t="s">
        <v>210</v>
      </c>
      <c r="G293" s="0" t="s">
        <v>628</v>
      </c>
      <c r="H293" s="0" t="s">
        <v>625</v>
      </c>
      <c r="I293" s="0" t="s">
        <v>626</v>
      </c>
      <c r="J293" s="0" t="s">
        <v>627</v>
      </c>
      <c r="K293" s="475" t="n">
        <v>36951</v>
      </c>
      <c r="L293" s="254" t="n">
        <v>318204.054158156</v>
      </c>
      <c r="M293" s="475" t="n">
        <v>36949</v>
      </c>
      <c r="N293" s="0" t="s">
        <v>132</v>
      </c>
      <c r="O293" s="0" t="n">
        <v>0.75</v>
      </c>
      <c r="P293" s="0" t="n">
        <v>0</v>
      </c>
      <c r="Q293" s="0" t="n">
        <v>0</v>
      </c>
      <c r="R293" s="0" t="n">
        <v>0</v>
      </c>
      <c r="S293" s="0" t="n">
        <v>0</v>
      </c>
      <c r="T293" s="0" t="s">
        <v>624</v>
      </c>
      <c r="U293" s="0" t="s">
        <v>149</v>
      </c>
      <c r="V293" s="0" t="s">
        <v>624</v>
      </c>
      <c r="W293" s="0" t="s">
        <v>569</v>
      </c>
      <c r="X293" s="0" t="s">
        <v>624</v>
      </c>
      <c r="Y293" s="0" t="s">
        <v>627</v>
      </c>
      <c r="Z293" s="0" t="s">
        <v>629</v>
      </c>
      <c r="AA293" s="0" t="s">
        <v>624</v>
      </c>
      <c r="AB293" s="0" t="s">
        <v>580</v>
      </c>
      <c r="AC293" s="254" t="n">
        <v>930000</v>
      </c>
      <c r="AD293" s="254" t="n">
        <v>81300.8817408441</v>
      </c>
      <c r="AE293" s="0" t="n">
        <v>0</v>
      </c>
      <c r="AF293" s="0" t="n">
        <v>0</v>
      </c>
      <c r="AG293" s="0" t="n">
        <v>0</v>
      </c>
      <c r="AH293" s="254" t="n">
        <v>-15193.6140650724</v>
      </c>
      <c r="AI293" s="0" t="n">
        <v>226</v>
      </c>
      <c r="AJ293" s="0" t="s">
        <v>630</v>
      </c>
      <c r="AK293" s="0" t="n">
        <v>0</v>
      </c>
      <c r="AL293" s="0" t="n">
        <v>0</v>
      </c>
      <c r="AM293" s="0" t="n">
        <v>0</v>
      </c>
    </row>
    <row r="294" customFormat="false" ht="12.75" hidden="false" customHeight="false" outlineLevel="0" collapsed="false">
      <c r="A294" s="0" t="s">
        <v>631</v>
      </c>
      <c r="B294" s="0" t="s">
        <v>303</v>
      </c>
      <c r="C294" s="0" t="s">
        <v>622</v>
      </c>
      <c r="D294" s="0" t="s">
        <v>623</v>
      </c>
      <c r="E294" s="0" t="s">
        <v>131</v>
      </c>
      <c r="F294" s="0" t="s">
        <v>210</v>
      </c>
      <c r="G294" s="0" t="s">
        <v>628</v>
      </c>
      <c r="H294" s="0" t="s">
        <v>625</v>
      </c>
      <c r="I294" s="0" t="s">
        <v>626</v>
      </c>
      <c r="J294" s="0" t="s">
        <v>627</v>
      </c>
      <c r="K294" s="475" t="n">
        <v>36923</v>
      </c>
      <c r="L294" s="254" t="n">
        <v>117808.739346746</v>
      </c>
      <c r="M294" s="475" t="n">
        <v>36921</v>
      </c>
      <c r="N294" s="0" t="s">
        <v>132</v>
      </c>
      <c r="O294" s="0" t="n">
        <v>0.75</v>
      </c>
      <c r="P294" s="0" t="n">
        <v>0</v>
      </c>
      <c r="Q294" s="0" t="n">
        <v>0</v>
      </c>
      <c r="R294" s="0" t="n">
        <v>0</v>
      </c>
      <c r="S294" s="0" t="n">
        <v>0</v>
      </c>
      <c r="T294" s="0" t="s">
        <v>624</v>
      </c>
      <c r="U294" s="0" t="s">
        <v>149</v>
      </c>
      <c r="V294" s="0" t="s">
        <v>624</v>
      </c>
      <c r="W294" s="0" t="s">
        <v>569</v>
      </c>
      <c r="X294" s="0" t="s">
        <v>624</v>
      </c>
      <c r="Y294" s="0" t="s">
        <v>627</v>
      </c>
      <c r="Z294" s="0" t="s">
        <v>629</v>
      </c>
      <c r="AA294" s="0" t="s">
        <v>624</v>
      </c>
      <c r="AB294" s="0" t="s">
        <v>580</v>
      </c>
      <c r="AC294" s="254" t="n">
        <v>840000</v>
      </c>
      <c r="AD294" s="254" t="n">
        <v>51634.4401376773</v>
      </c>
      <c r="AE294" s="0" t="n">
        <v>0</v>
      </c>
      <c r="AF294" s="0" t="n">
        <v>0</v>
      </c>
      <c r="AG294" s="0" t="n">
        <v>0</v>
      </c>
      <c r="AH294" s="254" t="n">
        <v>-6305.62978756661</v>
      </c>
      <c r="AI294" s="0" t="n">
        <v>226</v>
      </c>
      <c r="AJ294" s="0" t="s">
        <v>630</v>
      </c>
      <c r="AK294" s="0" t="n">
        <v>0</v>
      </c>
      <c r="AL294" s="0" t="n">
        <v>0</v>
      </c>
      <c r="AM294" s="0" t="n">
        <v>0</v>
      </c>
    </row>
    <row r="295" customFormat="false" ht="12.75" hidden="false" customHeight="false" outlineLevel="0" collapsed="false">
      <c r="A295" s="0" t="s">
        <v>631</v>
      </c>
      <c r="B295" s="0" t="s">
        <v>303</v>
      </c>
      <c r="C295" s="0" t="s">
        <v>622</v>
      </c>
      <c r="D295" s="0" t="s">
        <v>623</v>
      </c>
      <c r="E295" s="0" t="s">
        <v>131</v>
      </c>
      <c r="F295" s="0" t="s">
        <v>210</v>
      </c>
      <c r="G295" s="0" t="s">
        <v>628</v>
      </c>
      <c r="H295" s="0" t="s">
        <v>625</v>
      </c>
      <c r="I295" s="0" t="s">
        <v>626</v>
      </c>
      <c r="J295" s="0" t="s">
        <v>627</v>
      </c>
      <c r="K295" s="475" t="n">
        <v>36892</v>
      </c>
      <c r="L295" s="254" t="n">
        <v>102987.91118815</v>
      </c>
      <c r="M295" s="475" t="n">
        <v>36888</v>
      </c>
      <c r="N295" s="0" t="s">
        <v>132</v>
      </c>
      <c r="O295" s="0" t="n">
        <v>0.75</v>
      </c>
      <c r="P295" s="0" t="n">
        <v>0</v>
      </c>
      <c r="Q295" s="0" t="n">
        <v>0</v>
      </c>
      <c r="R295" s="0" t="n">
        <v>0</v>
      </c>
      <c r="S295" s="0" t="n">
        <v>0</v>
      </c>
      <c r="T295" s="0" t="s">
        <v>624</v>
      </c>
      <c r="U295" s="0" t="s">
        <v>149</v>
      </c>
      <c r="V295" s="0" t="s">
        <v>624</v>
      </c>
      <c r="W295" s="0" t="s">
        <v>569</v>
      </c>
      <c r="X295" s="0" t="s">
        <v>624</v>
      </c>
      <c r="Y295" s="0" t="s">
        <v>627</v>
      </c>
      <c r="Z295" s="0" t="s">
        <v>629</v>
      </c>
      <c r="AA295" s="0" t="s">
        <v>624</v>
      </c>
      <c r="AB295" s="0" t="s">
        <v>580</v>
      </c>
      <c r="AC295" s="254" t="n">
        <v>930000</v>
      </c>
      <c r="AD295" s="254" t="n">
        <v>47409.3014864759</v>
      </c>
      <c r="AE295" s="0" t="n">
        <v>0</v>
      </c>
      <c r="AF295" s="0" t="n">
        <v>0</v>
      </c>
      <c r="AG295" s="0" t="n">
        <v>0</v>
      </c>
      <c r="AH295" s="254" t="n">
        <v>-4967.89743043967</v>
      </c>
      <c r="AI295" s="0" t="n">
        <v>226</v>
      </c>
      <c r="AJ295" s="0" t="s">
        <v>630</v>
      </c>
      <c r="AK295" s="0" t="n">
        <v>0</v>
      </c>
      <c r="AL295" s="0" t="n">
        <v>0</v>
      </c>
      <c r="AM295" s="0" t="n">
        <v>0</v>
      </c>
    </row>
    <row r="296" customFormat="false" ht="12.75" hidden="false" customHeight="false" outlineLevel="0" collapsed="false">
      <c r="A296" s="0" t="s">
        <v>631</v>
      </c>
      <c r="B296" s="0" t="s">
        <v>303</v>
      </c>
      <c r="C296" s="0" t="s">
        <v>622</v>
      </c>
      <c r="D296" s="0" t="s">
        <v>623</v>
      </c>
      <c r="E296" s="0" t="s">
        <v>131</v>
      </c>
      <c r="F296" s="0" t="s">
        <v>210</v>
      </c>
      <c r="G296" s="0" t="s">
        <v>628</v>
      </c>
      <c r="H296" s="0" t="s">
        <v>625</v>
      </c>
      <c r="I296" s="0" t="s">
        <v>626</v>
      </c>
      <c r="J296" s="0" t="s">
        <v>627</v>
      </c>
      <c r="K296" s="475" t="n">
        <v>36861</v>
      </c>
      <c r="L296" s="254" t="n">
        <v>137562.796209284</v>
      </c>
      <c r="M296" s="475" t="n">
        <v>36859</v>
      </c>
      <c r="N296" s="0" t="s">
        <v>132</v>
      </c>
      <c r="O296" s="0" t="n">
        <v>0.75</v>
      </c>
      <c r="P296" s="0" t="n">
        <v>0</v>
      </c>
      <c r="Q296" s="0" t="n">
        <v>0</v>
      </c>
      <c r="R296" s="0" t="n">
        <v>0</v>
      </c>
      <c r="S296" s="0" t="n">
        <v>0</v>
      </c>
      <c r="T296" s="0" t="s">
        <v>624</v>
      </c>
      <c r="U296" s="0" t="s">
        <v>149</v>
      </c>
      <c r="V296" s="0" t="s">
        <v>624</v>
      </c>
      <c r="W296" s="0" t="s">
        <v>569</v>
      </c>
      <c r="X296" s="0" t="s">
        <v>624</v>
      </c>
      <c r="Y296" s="0" t="s">
        <v>627</v>
      </c>
      <c r="Z296" s="0" t="s">
        <v>629</v>
      </c>
      <c r="AA296" s="0" t="s">
        <v>624</v>
      </c>
      <c r="AB296" s="0" t="s">
        <v>580</v>
      </c>
      <c r="AC296" s="254" t="n">
        <v>930000</v>
      </c>
      <c r="AD296" s="254" t="n">
        <v>51692.2646790754</v>
      </c>
      <c r="AE296" s="0" t="n">
        <v>0</v>
      </c>
      <c r="AF296" s="0" t="n">
        <v>0</v>
      </c>
      <c r="AG296" s="0" t="n">
        <v>0</v>
      </c>
      <c r="AH296" s="254" t="n">
        <v>-5587.50999700427</v>
      </c>
      <c r="AI296" s="0" t="n">
        <v>226</v>
      </c>
      <c r="AJ296" s="0" t="s">
        <v>630</v>
      </c>
      <c r="AK296" s="0" t="n">
        <v>0</v>
      </c>
      <c r="AL296" s="0" t="n">
        <v>0</v>
      </c>
      <c r="AM296" s="0" t="n">
        <v>0</v>
      </c>
    </row>
    <row r="297" customFormat="false" ht="12.75" hidden="false" customHeight="false" outlineLevel="0" collapsed="false">
      <c r="A297" s="0" t="s">
        <v>631</v>
      </c>
      <c r="B297" s="0" t="s">
        <v>303</v>
      </c>
      <c r="C297" s="0" t="s">
        <v>622</v>
      </c>
      <c r="D297" s="0" t="s">
        <v>623</v>
      </c>
      <c r="E297" s="0" t="s">
        <v>131</v>
      </c>
      <c r="F297" s="0" t="s">
        <v>210</v>
      </c>
      <c r="G297" s="0" t="s">
        <v>628</v>
      </c>
      <c r="H297" s="0" t="s">
        <v>625</v>
      </c>
      <c r="I297" s="0" t="s">
        <v>626</v>
      </c>
      <c r="J297" s="0" t="s">
        <v>627</v>
      </c>
      <c r="K297" s="475" t="n">
        <v>36831</v>
      </c>
      <c r="L297" s="254" t="n">
        <v>224656.10332597</v>
      </c>
      <c r="M297" s="475" t="n">
        <v>36829</v>
      </c>
      <c r="N297" s="0" t="s">
        <v>132</v>
      </c>
      <c r="O297" s="0" t="n">
        <v>0.75</v>
      </c>
      <c r="P297" s="0" t="n">
        <v>0</v>
      </c>
      <c r="Q297" s="0" t="n">
        <v>0</v>
      </c>
      <c r="R297" s="0" t="n">
        <v>0</v>
      </c>
      <c r="S297" s="0" t="n">
        <v>0</v>
      </c>
      <c r="T297" s="0" t="s">
        <v>624</v>
      </c>
      <c r="U297" s="0" t="s">
        <v>149</v>
      </c>
      <c r="V297" s="0" t="s">
        <v>624</v>
      </c>
      <c r="W297" s="0" t="s">
        <v>569</v>
      </c>
      <c r="X297" s="0" t="s">
        <v>624</v>
      </c>
      <c r="Y297" s="0" t="s">
        <v>627</v>
      </c>
      <c r="Z297" s="0" t="s">
        <v>629</v>
      </c>
      <c r="AA297" s="0" t="s">
        <v>624</v>
      </c>
      <c r="AB297" s="0" t="s">
        <v>580</v>
      </c>
      <c r="AC297" s="254" t="n">
        <v>900000</v>
      </c>
      <c r="AD297" s="254" t="n">
        <v>40635.5352148529</v>
      </c>
      <c r="AE297" s="0" t="n">
        <v>0</v>
      </c>
      <c r="AF297" s="0" t="n">
        <v>0</v>
      </c>
      <c r="AG297" s="0" t="n">
        <v>0</v>
      </c>
      <c r="AH297" s="254" t="n">
        <v>-14722.5179917468</v>
      </c>
      <c r="AI297" s="0" t="n">
        <v>226</v>
      </c>
      <c r="AJ297" s="0" t="s">
        <v>630</v>
      </c>
      <c r="AK297" s="0" t="n">
        <v>0</v>
      </c>
      <c r="AL297" s="0" t="n">
        <v>0</v>
      </c>
      <c r="AM297" s="0" t="n">
        <v>0</v>
      </c>
    </row>
    <row r="298" customFormat="false" ht="12.75" hidden="false" customHeight="false" outlineLevel="0" collapsed="false">
      <c r="A298" s="0" t="s">
        <v>631</v>
      </c>
      <c r="B298" s="0" t="s">
        <v>304</v>
      </c>
      <c r="C298" s="0" t="s">
        <v>622</v>
      </c>
      <c r="D298" s="0" t="s">
        <v>623</v>
      </c>
      <c r="E298" s="0" t="s">
        <v>131</v>
      </c>
      <c r="F298" s="0" t="s">
        <v>198</v>
      </c>
      <c r="G298" s="0" t="s">
        <v>628</v>
      </c>
      <c r="H298" s="0" t="s">
        <v>625</v>
      </c>
      <c r="I298" s="0" t="s">
        <v>626</v>
      </c>
      <c r="J298" s="0" t="s">
        <v>627</v>
      </c>
      <c r="K298" s="475" t="n">
        <v>36800</v>
      </c>
      <c r="L298" s="254" t="n">
        <v>-758.923880181394</v>
      </c>
      <c r="M298" s="475" t="n">
        <v>36797</v>
      </c>
      <c r="N298" s="0" t="s">
        <v>136</v>
      </c>
      <c r="O298" s="0" t="n">
        <v>0.7</v>
      </c>
      <c r="P298" s="0" t="n">
        <v>0</v>
      </c>
      <c r="Q298" s="0" t="n">
        <v>0</v>
      </c>
      <c r="R298" s="0" t="n">
        <v>0</v>
      </c>
      <c r="S298" s="0" t="n">
        <v>0</v>
      </c>
      <c r="T298" s="0" t="s">
        <v>624</v>
      </c>
      <c r="U298" s="0" t="s">
        <v>149</v>
      </c>
      <c r="V298" s="0" t="s">
        <v>624</v>
      </c>
      <c r="W298" s="0" t="s">
        <v>569</v>
      </c>
      <c r="X298" s="0" t="s">
        <v>624</v>
      </c>
      <c r="Y298" s="0" t="s">
        <v>627</v>
      </c>
      <c r="Z298" s="0" t="s">
        <v>629</v>
      </c>
      <c r="AA298" s="0" t="s">
        <v>624</v>
      </c>
      <c r="AB298" s="0" t="s">
        <v>580</v>
      </c>
      <c r="AC298" s="254" t="n">
        <v>-1000000</v>
      </c>
      <c r="AD298" s="254" t="n">
        <v>-593.531025558143</v>
      </c>
      <c r="AE298" s="0" t="n">
        <v>0</v>
      </c>
      <c r="AF298" s="0" t="n">
        <v>0</v>
      </c>
      <c r="AG298" s="0" t="n">
        <v>0</v>
      </c>
      <c r="AH298" s="254" t="n">
        <v>-36.0331437836036</v>
      </c>
      <c r="AI298" s="0" t="n">
        <v>226</v>
      </c>
      <c r="AJ298" s="0" t="s">
        <v>630</v>
      </c>
      <c r="AK298" s="0" t="n">
        <v>0</v>
      </c>
      <c r="AL298" s="0" t="n">
        <v>0</v>
      </c>
      <c r="AM298" s="0" t="n">
        <v>0</v>
      </c>
    </row>
    <row r="299" customFormat="false" ht="12.75" hidden="false" customHeight="false" outlineLevel="0" collapsed="false">
      <c r="A299" s="0" t="s">
        <v>631</v>
      </c>
      <c r="B299" s="0" t="s">
        <v>305</v>
      </c>
      <c r="C299" s="0" t="s">
        <v>622</v>
      </c>
      <c r="D299" s="0" t="s">
        <v>623</v>
      </c>
      <c r="E299" s="0" t="s">
        <v>131</v>
      </c>
      <c r="F299" s="0" t="s">
        <v>198</v>
      </c>
      <c r="G299" s="0" t="s">
        <v>628</v>
      </c>
      <c r="H299" s="0" t="s">
        <v>625</v>
      </c>
      <c r="I299" s="0" t="s">
        <v>626</v>
      </c>
      <c r="J299" s="0" t="s">
        <v>627</v>
      </c>
      <c r="K299" s="475" t="n">
        <v>36800</v>
      </c>
      <c r="L299" s="254" t="n">
        <v>-758.923880181394</v>
      </c>
      <c r="M299" s="475" t="n">
        <v>36797</v>
      </c>
      <c r="N299" s="0" t="s">
        <v>136</v>
      </c>
      <c r="O299" s="0" t="n">
        <v>0.7</v>
      </c>
      <c r="P299" s="0" t="n">
        <v>0</v>
      </c>
      <c r="Q299" s="0" t="n">
        <v>0</v>
      </c>
      <c r="R299" s="0" t="n">
        <v>0</v>
      </c>
      <c r="S299" s="0" t="n">
        <v>0</v>
      </c>
      <c r="T299" s="0" t="s">
        <v>624</v>
      </c>
      <c r="U299" s="0" t="s">
        <v>149</v>
      </c>
      <c r="V299" s="0" t="s">
        <v>624</v>
      </c>
      <c r="W299" s="0" t="s">
        <v>569</v>
      </c>
      <c r="X299" s="0" t="s">
        <v>624</v>
      </c>
      <c r="Y299" s="0" t="s">
        <v>627</v>
      </c>
      <c r="Z299" s="0" t="s">
        <v>629</v>
      </c>
      <c r="AA299" s="0" t="s">
        <v>624</v>
      </c>
      <c r="AB299" s="0" t="s">
        <v>580</v>
      </c>
      <c r="AC299" s="254" t="n">
        <v>-1000000</v>
      </c>
      <c r="AD299" s="254" t="n">
        <v>-593.531025558143</v>
      </c>
      <c r="AE299" s="0" t="n">
        <v>0</v>
      </c>
      <c r="AF299" s="0" t="n">
        <v>0</v>
      </c>
      <c r="AG299" s="0" t="n">
        <v>0</v>
      </c>
      <c r="AH299" s="254" t="n">
        <v>-36.0331437836036</v>
      </c>
      <c r="AI299" s="0" t="n">
        <v>226</v>
      </c>
      <c r="AJ299" s="0" t="s">
        <v>630</v>
      </c>
      <c r="AK299" s="0" t="n">
        <v>0</v>
      </c>
      <c r="AL299" s="0" t="n">
        <v>0</v>
      </c>
      <c r="AM299" s="0" t="n">
        <v>0</v>
      </c>
    </row>
    <row r="300" customFormat="false" ht="12.75" hidden="false" customHeight="false" outlineLevel="0" collapsed="false">
      <c r="A300" s="0" t="s">
        <v>631</v>
      </c>
      <c r="B300" s="0" t="s">
        <v>306</v>
      </c>
      <c r="C300" s="0" t="s">
        <v>622</v>
      </c>
      <c r="D300" s="0" t="s">
        <v>623</v>
      </c>
      <c r="E300" s="0" t="s">
        <v>131</v>
      </c>
      <c r="F300" s="0" t="s">
        <v>198</v>
      </c>
      <c r="G300" s="0" t="s">
        <v>628</v>
      </c>
      <c r="H300" s="0" t="s">
        <v>625</v>
      </c>
      <c r="I300" s="0" t="s">
        <v>626</v>
      </c>
      <c r="J300" s="0" t="s">
        <v>627</v>
      </c>
      <c r="K300" s="475" t="n">
        <v>36800</v>
      </c>
      <c r="L300" s="254" t="n">
        <v>-758.923880181394</v>
      </c>
      <c r="M300" s="475" t="n">
        <v>36797</v>
      </c>
      <c r="N300" s="0" t="s">
        <v>136</v>
      </c>
      <c r="O300" s="0" t="n">
        <v>0.7</v>
      </c>
      <c r="P300" s="0" t="n">
        <v>0</v>
      </c>
      <c r="Q300" s="0" t="n">
        <v>0</v>
      </c>
      <c r="R300" s="0" t="n">
        <v>0</v>
      </c>
      <c r="S300" s="0" t="n">
        <v>0</v>
      </c>
      <c r="T300" s="0" t="s">
        <v>624</v>
      </c>
      <c r="U300" s="0" t="s">
        <v>149</v>
      </c>
      <c r="V300" s="0" t="s">
        <v>624</v>
      </c>
      <c r="W300" s="0" t="s">
        <v>569</v>
      </c>
      <c r="X300" s="0" t="s">
        <v>624</v>
      </c>
      <c r="Y300" s="0" t="s">
        <v>627</v>
      </c>
      <c r="Z300" s="0" t="s">
        <v>629</v>
      </c>
      <c r="AA300" s="0" t="s">
        <v>624</v>
      </c>
      <c r="AB300" s="0" t="s">
        <v>580</v>
      </c>
      <c r="AC300" s="254" t="n">
        <v>-1000000</v>
      </c>
      <c r="AD300" s="254" t="n">
        <v>-593.531025558143</v>
      </c>
      <c r="AE300" s="0" t="n">
        <v>0</v>
      </c>
      <c r="AF300" s="0" t="n">
        <v>0</v>
      </c>
      <c r="AG300" s="0" t="n">
        <v>0</v>
      </c>
      <c r="AH300" s="254" t="n">
        <v>-36.0331437836036</v>
      </c>
      <c r="AI300" s="0" t="n">
        <v>226</v>
      </c>
      <c r="AJ300" s="0" t="s">
        <v>630</v>
      </c>
      <c r="AK300" s="0" t="n">
        <v>0</v>
      </c>
      <c r="AL300" s="0" t="n">
        <v>0</v>
      </c>
      <c r="AM300" s="0" t="n">
        <v>0</v>
      </c>
    </row>
    <row r="301" customFormat="false" ht="12.75" hidden="false" customHeight="false" outlineLevel="0" collapsed="false">
      <c r="A301" s="0" t="s">
        <v>631</v>
      </c>
      <c r="B301" s="0" t="s">
        <v>307</v>
      </c>
      <c r="C301" s="0" t="s">
        <v>622</v>
      </c>
      <c r="D301" s="0" t="s">
        <v>623</v>
      </c>
      <c r="E301" s="0" t="s">
        <v>131</v>
      </c>
      <c r="F301" s="0" t="s">
        <v>212</v>
      </c>
      <c r="G301" s="0" t="s">
        <v>628</v>
      </c>
      <c r="H301" s="0" t="s">
        <v>625</v>
      </c>
      <c r="I301" s="0" t="s">
        <v>626</v>
      </c>
      <c r="J301" s="0" t="s">
        <v>627</v>
      </c>
      <c r="K301" s="475" t="n">
        <v>36951</v>
      </c>
      <c r="L301" s="254" t="n">
        <v>-90424.9956739147</v>
      </c>
      <c r="M301" s="475" t="n">
        <v>36949</v>
      </c>
      <c r="N301" s="0" t="s">
        <v>136</v>
      </c>
      <c r="O301" s="0" t="n">
        <v>1.75</v>
      </c>
      <c r="P301" s="0" t="n">
        <v>0</v>
      </c>
      <c r="Q301" s="0" t="n">
        <v>0</v>
      </c>
      <c r="R301" s="0" t="n">
        <v>0</v>
      </c>
      <c r="S301" s="0" t="n">
        <v>0</v>
      </c>
      <c r="T301" s="0" t="s">
        <v>624</v>
      </c>
      <c r="U301" s="0" t="s">
        <v>149</v>
      </c>
      <c r="V301" s="0" t="s">
        <v>624</v>
      </c>
      <c r="W301" s="0" t="s">
        <v>569</v>
      </c>
      <c r="X301" s="0" t="s">
        <v>624</v>
      </c>
      <c r="Y301" s="0" t="s">
        <v>627</v>
      </c>
      <c r="Z301" s="0" t="s">
        <v>629</v>
      </c>
      <c r="AA301" s="0" t="s">
        <v>624</v>
      </c>
      <c r="AB301" s="0" t="s">
        <v>580</v>
      </c>
      <c r="AC301" s="254" t="n">
        <v>-310000</v>
      </c>
      <c r="AD301" s="254" t="n">
        <v>-24004.437840873</v>
      </c>
      <c r="AE301" s="0" t="n">
        <v>0</v>
      </c>
      <c r="AF301" s="0" t="n">
        <v>0</v>
      </c>
      <c r="AG301" s="0" t="n">
        <v>0</v>
      </c>
      <c r="AH301" s="254" t="n">
        <v>-7715.67191581268</v>
      </c>
      <c r="AI301" s="0" t="n">
        <v>226</v>
      </c>
      <c r="AJ301" s="0" t="s">
        <v>630</v>
      </c>
      <c r="AK301" s="0" t="n">
        <v>0</v>
      </c>
      <c r="AL301" s="0" t="n">
        <v>0</v>
      </c>
      <c r="AM301" s="0" t="n">
        <v>0</v>
      </c>
    </row>
    <row r="302" customFormat="false" ht="12.75" hidden="false" customHeight="false" outlineLevel="0" collapsed="false">
      <c r="A302" s="0" t="s">
        <v>631</v>
      </c>
      <c r="B302" s="0" t="s">
        <v>307</v>
      </c>
      <c r="C302" s="0" t="s">
        <v>622</v>
      </c>
      <c r="D302" s="0" t="s">
        <v>623</v>
      </c>
      <c r="E302" s="0" t="s">
        <v>131</v>
      </c>
      <c r="F302" s="0" t="s">
        <v>212</v>
      </c>
      <c r="G302" s="0" t="s">
        <v>628</v>
      </c>
      <c r="H302" s="0" t="s">
        <v>625</v>
      </c>
      <c r="I302" s="0" t="s">
        <v>626</v>
      </c>
      <c r="J302" s="0" t="s">
        <v>627</v>
      </c>
      <c r="K302" s="475" t="n">
        <v>36923</v>
      </c>
      <c r="L302" s="254" t="n">
        <v>-232869.195569545</v>
      </c>
      <c r="M302" s="475" t="n">
        <v>36921</v>
      </c>
      <c r="N302" s="0" t="s">
        <v>136</v>
      </c>
      <c r="O302" s="0" t="n">
        <v>1.75</v>
      </c>
      <c r="P302" s="0" t="n">
        <v>0</v>
      </c>
      <c r="Q302" s="0" t="n">
        <v>0</v>
      </c>
      <c r="R302" s="0" t="n">
        <v>0</v>
      </c>
      <c r="S302" s="0" t="n">
        <v>0</v>
      </c>
      <c r="T302" s="0" t="s">
        <v>624</v>
      </c>
      <c r="U302" s="0" t="s">
        <v>149</v>
      </c>
      <c r="V302" s="0" t="s">
        <v>624</v>
      </c>
      <c r="W302" s="0" t="s">
        <v>569</v>
      </c>
      <c r="X302" s="0" t="s">
        <v>624</v>
      </c>
      <c r="Y302" s="0" t="s">
        <v>627</v>
      </c>
      <c r="Z302" s="0" t="s">
        <v>629</v>
      </c>
      <c r="AA302" s="0" t="s">
        <v>624</v>
      </c>
      <c r="AB302" s="0" t="s">
        <v>580</v>
      </c>
      <c r="AC302" s="254" t="n">
        <v>-280000</v>
      </c>
      <c r="AD302" s="254" t="n">
        <v>-23887.8146411997</v>
      </c>
      <c r="AE302" s="0" t="n">
        <v>0</v>
      </c>
      <c r="AF302" s="0" t="n">
        <v>0</v>
      </c>
      <c r="AG302" s="0" t="n">
        <v>0</v>
      </c>
      <c r="AH302" s="254" t="n">
        <v>-13059.8122249376</v>
      </c>
      <c r="AI302" s="0" t="n">
        <v>226</v>
      </c>
      <c r="AJ302" s="0" t="s">
        <v>630</v>
      </c>
      <c r="AK302" s="0" t="n">
        <v>0</v>
      </c>
      <c r="AL302" s="0" t="n">
        <v>0</v>
      </c>
      <c r="AM302" s="0" t="n">
        <v>0</v>
      </c>
    </row>
    <row r="303" customFormat="false" ht="12.75" hidden="false" customHeight="false" outlineLevel="0" collapsed="false">
      <c r="A303" s="0" t="s">
        <v>631</v>
      </c>
      <c r="B303" s="0" t="s">
        <v>307</v>
      </c>
      <c r="C303" s="0" t="s">
        <v>622</v>
      </c>
      <c r="D303" s="0" t="s">
        <v>623</v>
      </c>
      <c r="E303" s="0" t="s">
        <v>131</v>
      </c>
      <c r="F303" s="0" t="s">
        <v>212</v>
      </c>
      <c r="G303" s="0" t="s">
        <v>628</v>
      </c>
      <c r="H303" s="0" t="s">
        <v>625</v>
      </c>
      <c r="I303" s="0" t="s">
        <v>626</v>
      </c>
      <c r="J303" s="0" t="s">
        <v>627</v>
      </c>
      <c r="K303" s="475" t="n">
        <v>36892</v>
      </c>
      <c r="L303" s="254" t="n">
        <v>-262896.59651093</v>
      </c>
      <c r="M303" s="475" t="n">
        <v>36888</v>
      </c>
      <c r="N303" s="0" t="s">
        <v>136</v>
      </c>
      <c r="O303" s="0" t="n">
        <v>1.75</v>
      </c>
      <c r="P303" s="0" t="n">
        <v>0</v>
      </c>
      <c r="Q303" s="0" t="n">
        <v>0</v>
      </c>
      <c r="R303" s="0" t="n">
        <v>0</v>
      </c>
      <c r="S303" s="0" t="n">
        <v>0</v>
      </c>
      <c r="T303" s="0" t="s">
        <v>624</v>
      </c>
      <c r="U303" s="0" t="s">
        <v>149</v>
      </c>
      <c r="V303" s="0" t="s">
        <v>624</v>
      </c>
      <c r="W303" s="0" t="s">
        <v>569</v>
      </c>
      <c r="X303" s="0" t="s">
        <v>624</v>
      </c>
      <c r="Y303" s="0" t="s">
        <v>627</v>
      </c>
      <c r="Z303" s="0" t="s">
        <v>629</v>
      </c>
      <c r="AA303" s="0" t="s">
        <v>624</v>
      </c>
      <c r="AB303" s="0" t="s">
        <v>580</v>
      </c>
      <c r="AC303" s="254" t="n">
        <v>-310000</v>
      </c>
      <c r="AD303" s="254" t="n">
        <v>-23922.6954870331</v>
      </c>
      <c r="AE303" s="0" t="n">
        <v>0</v>
      </c>
      <c r="AF303" s="0" t="n">
        <v>0</v>
      </c>
      <c r="AG303" s="0" t="n">
        <v>0</v>
      </c>
      <c r="AH303" s="254" t="n">
        <v>-12865.2146218738</v>
      </c>
      <c r="AI303" s="0" t="n">
        <v>226</v>
      </c>
      <c r="AJ303" s="0" t="s">
        <v>630</v>
      </c>
      <c r="AK303" s="0" t="n">
        <v>0</v>
      </c>
      <c r="AL303" s="0" t="n">
        <v>0</v>
      </c>
      <c r="AM303" s="0" t="n">
        <v>0</v>
      </c>
    </row>
    <row r="304" customFormat="false" ht="12.75" hidden="false" customHeight="false" outlineLevel="0" collapsed="false">
      <c r="A304" s="0" t="s">
        <v>631</v>
      </c>
      <c r="B304" s="0" t="s">
        <v>307</v>
      </c>
      <c r="C304" s="0" t="s">
        <v>622</v>
      </c>
      <c r="D304" s="0" t="s">
        <v>623</v>
      </c>
      <c r="E304" s="0" t="s">
        <v>131</v>
      </c>
      <c r="F304" s="0" t="s">
        <v>212</v>
      </c>
      <c r="G304" s="0" t="s">
        <v>628</v>
      </c>
      <c r="H304" s="0" t="s">
        <v>625</v>
      </c>
      <c r="I304" s="0" t="s">
        <v>626</v>
      </c>
      <c r="J304" s="0" t="s">
        <v>627</v>
      </c>
      <c r="K304" s="475" t="n">
        <v>36861</v>
      </c>
      <c r="L304" s="254" t="n">
        <v>-146571.901708092</v>
      </c>
      <c r="M304" s="475" t="n">
        <v>36859</v>
      </c>
      <c r="N304" s="0" t="s">
        <v>136</v>
      </c>
      <c r="O304" s="0" t="n">
        <v>1.75</v>
      </c>
      <c r="P304" s="0" t="n">
        <v>0</v>
      </c>
      <c r="Q304" s="0" t="n">
        <v>0</v>
      </c>
      <c r="R304" s="0" t="n">
        <v>0</v>
      </c>
      <c r="S304" s="0" t="n">
        <v>0</v>
      </c>
      <c r="T304" s="0" t="s">
        <v>624</v>
      </c>
      <c r="U304" s="0" t="s">
        <v>149</v>
      </c>
      <c r="V304" s="0" t="s">
        <v>624</v>
      </c>
      <c r="W304" s="0" t="s">
        <v>569</v>
      </c>
      <c r="X304" s="0" t="s">
        <v>624</v>
      </c>
      <c r="Y304" s="0" t="s">
        <v>627</v>
      </c>
      <c r="Z304" s="0" t="s">
        <v>629</v>
      </c>
      <c r="AA304" s="0" t="s">
        <v>624</v>
      </c>
      <c r="AB304" s="0" t="s">
        <v>580</v>
      </c>
      <c r="AC304" s="254" t="n">
        <v>-310000</v>
      </c>
      <c r="AD304" s="254" t="n">
        <v>-21753.8377554042</v>
      </c>
      <c r="AE304" s="0" t="n">
        <v>0</v>
      </c>
      <c r="AF304" s="0" t="n">
        <v>0</v>
      </c>
      <c r="AG304" s="0" t="n">
        <v>0</v>
      </c>
      <c r="AH304" s="254" t="n">
        <v>-8014.83668957453</v>
      </c>
      <c r="AI304" s="0" t="n">
        <v>226</v>
      </c>
      <c r="AJ304" s="0" t="s">
        <v>630</v>
      </c>
      <c r="AK304" s="0" t="n">
        <v>0</v>
      </c>
      <c r="AL304" s="0" t="n">
        <v>0</v>
      </c>
      <c r="AM304" s="0" t="n">
        <v>0</v>
      </c>
    </row>
    <row r="305" customFormat="false" ht="12.75" hidden="false" customHeight="false" outlineLevel="0" collapsed="false">
      <c r="A305" s="0" t="s">
        <v>631</v>
      </c>
      <c r="B305" s="0" t="s">
        <v>307</v>
      </c>
      <c r="C305" s="0" t="s">
        <v>622</v>
      </c>
      <c r="D305" s="0" t="s">
        <v>623</v>
      </c>
      <c r="E305" s="0" t="s">
        <v>131</v>
      </c>
      <c r="F305" s="0" t="s">
        <v>212</v>
      </c>
      <c r="G305" s="0" t="s">
        <v>628</v>
      </c>
      <c r="H305" s="0" t="s">
        <v>625</v>
      </c>
      <c r="I305" s="0" t="s">
        <v>626</v>
      </c>
      <c r="J305" s="0" t="s">
        <v>627</v>
      </c>
      <c r="K305" s="475" t="n">
        <v>36831</v>
      </c>
      <c r="L305" s="254" t="n">
        <v>-10691.9415193339</v>
      </c>
      <c r="M305" s="475" t="n">
        <v>36829</v>
      </c>
      <c r="N305" s="0" t="s">
        <v>136</v>
      </c>
      <c r="O305" s="0" t="n">
        <v>1.75</v>
      </c>
      <c r="P305" s="0" t="n">
        <v>0</v>
      </c>
      <c r="Q305" s="0" t="n">
        <v>0</v>
      </c>
      <c r="R305" s="0" t="n">
        <v>0</v>
      </c>
      <c r="S305" s="0" t="n">
        <v>0</v>
      </c>
      <c r="T305" s="0" t="s">
        <v>624</v>
      </c>
      <c r="U305" s="0" t="s">
        <v>149</v>
      </c>
      <c r="V305" s="0" t="s">
        <v>624</v>
      </c>
      <c r="W305" s="0" t="s">
        <v>569</v>
      </c>
      <c r="X305" s="0" t="s">
        <v>624</v>
      </c>
      <c r="Y305" s="0" t="s">
        <v>627</v>
      </c>
      <c r="Z305" s="0" t="s">
        <v>629</v>
      </c>
      <c r="AA305" s="0" t="s">
        <v>624</v>
      </c>
      <c r="AB305" s="0" t="s">
        <v>580</v>
      </c>
      <c r="AC305" s="254" t="n">
        <v>-300000</v>
      </c>
      <c r="AD305" s="254" t="n">
        <v>-5584.79250663339</v>
      </c>
      <c r="AE305" s="0" t="n">
        <v>0</v>
      </c>
      <c r="AF305" s="0" t="n">
        <v>0</v>
      </c>
      <c r="AG305" s="0" t="n">
        <v>0</v>
      </c>
      <c r="AH305" s="254" t="n">
        <v>-1603.92050464606</v>
      </c>
      <c r="AI305" s="0" t="n">
        <v>226</v>
      </c>
      <c r="AJ305" s="0" t="s">
        <v>630</v>
      </c>
      <c r="AK305" s="0" t="n">
        <v>0</v>
      </c>
      <c r="AL305" s="0" t="n">
        <v>0</v>
      </c>
      <c r="AM305" s="0" t="n">
        <v>0</v>
      </c>
    </row>
    <row r="306" customFormat="false" ht="12.75" hidden="false" customHeight="false" outlineLevel="0" collapsed="false">
      <c r="A306" s="0" t="s">
        <v>631</v>
      </c>
      <c r="B306" s="0" t="s">
        <v>308</v>
      </c>
      <c r="C306" s="0" t="s">
        <v>622</v>
      </c>
      <c r="D306" s="0" t="s">
        <v>623</v>
      </c>
      <c r="E306" s="0" t="s">
        <v>131</v>
      </c>
      <c r="F306" s="0" t="s">
        <v>212</v>
      </c>
      <c r="G306" s="0" t="s">
        <v>628</v>
      </c>
      <c r="H306" s="0" t="s">
        <v>625</v>
      </c>
      <c r="I306" s="0" t="s">
        <v>626</v>
      </c>
      <c r="J306" s="0" t="s">
        <v>627</v>
      </c>
      <c r="K306" s="475" t="n">
        <v>36951</v>
      </c>
      <c r="L306" s="254" t="n">
        <v>48886.4006319538</v>
      </c>
      <c r="M306" s="475" t="n">
        <v>36949</v>
      </c>
      <c r="N306" s="0" t="s">
        <v>136</v>
      </c>
      <c r="O306" s="0" t="n">
        <v>2.5</v>
      </c>
      <c r="P306" s="0" t="n">
        <v>0</v>
      </c>
      <c r="Q306" s="0" t="n">
        <v>0</v>
      </c>
      <c r="R306" s="0" t="n">
        <v>0</v>
      </c>
      <c r="S306" s="0" t="n">
        <v>0</v>
      </c>
      <c r="T306" s="0" t="s">
        <v>624</v>
      </c>
      <c r="U306" s="0" t="s">
        <v>149</v>
      </c>
      <c r="V306" s="0" t="s">
        <v>624</v>
      </c>
      <c r="W306" s="0" t="s">
        <v>569</v>
      </c>
      <c r="X306" s="0" t="s">
        <v>624</v>
      </c>
      <c r="Y306" s="0" t="s">
        <v>627</v>
      </c>
      <c r="Z306" s="0" t="s">
        <v>629</v>
      </c>
      <c r="AA306" s="0" t="s">
        <v>624</v>
      </c>
      <c r="AB306" s="0" t="s">
        <v>580</v>
      </c>
      <c r="AC306" s="254" t="n">
        <v>310000</v>
      </c>
      <c r="AD306" s="254" t="n">
        <v>17765.6627083015</v>
      </c>
      <c r="AE306" s="0" t="n">
        <v>0</v>
      </c>
      <c r="AF306" s="0" t="n">
        <v>0</v>
      </c>
      <c r="AG306" s="0" t="n">
        <v>0</v>
      </c>
      <c r="AH306" s="254" t="n">
        <v>4861.23334067523</v>
      </c>
      <c r="AI306" s="0" t="n">
        <v>226</v>
      </c>
      <c r="AJ306" s="0" t="s">
        <v>630</v>
      </c>
      <c r="AK306" s="0" t="n">
        <v>0</v>
      </c>
      <c r="AL306" s="0" t="n">
        <v>0</v>
      </c>
      <c r="AM306" s="0" t="n">
        <v>0</v>
      </c>
    </row>
    <row r="307" customFormat="false" ht="12.75" hidden="false" customHeight="false" outlineLevel="0" collapsed="false">
      <c r="A307" s="0" t="s">
        <v>631</v>
      </c>
      <c r="B307" s="0" t="s">
        <v>308</v>
      </c>
      <c r="C307" s="0" t="s">
        <v>622</v>
      </c>
      <c r="D307" s="0" t="s">
        <v>623</v>
      </c>
      <c r="E307" s="0" t="s">
        <v>131</v>
      </c>
      <c r="F307" s="0" t="s">
        <v>212</v>
      </c>
      <c r="G307" s="0" t="s">
        <v>628</v>
      </c>
      <c r="H307" s="0" t="s">
        <v>625</v>
      </c>
      <c r="I307" s="0" t="s">
        <v>626</v>
      </c>
      <c r="J307" s="0" t="s">
        <v>627</v>
      </c>
      <c r="K307" s="475" t="n">
        <v>36923</v>
      </c>
      <c r="L307" s="254" t="n">
        <v>150386.951769508</v>
      </c>
      <c r="M307" s="475" t="n">
        <v>36921</v>
      </c>
      <c r="N307" s="0" t="s">
        <v>136</v>
      </c>
      <c r="O307" s="0" t="n">
        <v>2.5</v>
      </c>
      <c r="P307" s="0" t="n">
        <v>0</v>
      </c>
      <c r="Q307" s="0" t="n">
        <v>0</v>
      </c>
      <c r="R307" s="0" t="n">
        <v>0</v>
      </c>
      <c r="S307" s="0" t="n">
        <v>0</v>
      </c>
      <c r="T307" s="0" t="s">
        <v>624</v>
      </c>
      <c r="U307" s="0" t="s">
        <v>149</v>
      </c>
      <c r="V307" s="0" t="s">
        <v>624</v>
      </c>
      <c r="W307" s="0" t="s">
        <v>569</v>
      </c>
      <c r="X307" s="0" t="s">
        <v>624</v>
      </c>
      <c r="Y307" s="0" t="s">
        <v>627</v>
      </c>
      <c r="Z307" s="0" t="s">
        <v>629</v>
      </c>
      <c r="AA307" s="0" t="s">
        <v>624</v>
      </c>
      <c r="AB307" s="0" t="s">
        <v>580</v>
      </c>
      <c r="AC307" s="254" t="n">
        <v>280000</v>
      </c>
      <c r="AD307" s="254" t="n">
        <v>23175.488626136</v>
      </c>
      <c r="AE307" s="0" t="n">
        <v>0</v>
      </c>
      <c r="AF307" s="0" t="n">
        <v>0</v>
      </c>
      <c r="AG307" s="0" t="n">
        <v>0</v>
      </c>
      <c r="AH307" s="254" t="n">
        <v>9934.57825385733</v>
      </c>
      <c r="AI307" s="0" t="n">
        <v>226</v>
      </c>
      <c r="AJ307" s="0" t="s">
        <v>630</v>
      </c>
      <c r="AK307" s="0" t="n">
        <v>0</v>
      </c>
      <c r="AL307" s="0" t="n">
        <v>0</v>
      </c>
      <c r="AM307" s="0" t="n">
        <v>0</v>
      </c>
    </row>
    <row r="308" customFormat="false" ht="12.75" hidden="false" customHeight="false" outlineLevel="0" collapsed="false">
      <c r="A308" s="0" t="s">
        <v>631</v>
      </c>
      <c r="B308" s="0" t="s">
        <v>308</v>
      </c>
      <c r="C308" s="0" t="s">
        <v>622</v>
      </c>
      <c r="D308" s="0" t="s">
        <v>623</v>
      </c>
      <c r="E308" s="0" t="s">
        <v>131</v>
      </c>
      <c r="F308" s="0" t="s">
        <v>212</v>
      </c>
      <c r="G308" s="0" t="s">
        <v>628</v>
      </c>
      <c r="H308" s="0" t="s">
        <v>625</v>
      </c>
      <c r="I308" s="0" t="s">
        <v>626</v>
      </c>
      <c r="J308" s="0" t="s">
        <v>627</v>
      </c>
      <c r="K308" s="475" t="n">
        <v>36892</v>
      </c>
      <c r="L308" s="254" t="n">
        <v>164878.492230989</v>
      </c>
      <c r="M308" s="475" t="n">
        <v>36888</v>
      </c>
      <c r="N308" s="0" t="s">
        <v>136</v>
      </c>
      <c r="O308" s="0" t="n">
        <v>2.5</v>
      </c>
      <c r="P308" s="0" t="n">
        <v>0</v>
      </c>
      <c r="Q308" s="0" t="n">
        <v>0</v>
      </c>
      <c r="R308" s="0" t="n">
        <v>0</v>
      </c>
      <c r="S308" s="0" t="n">
        <v>0</v>
      </c>
      <c r="T308" s="0" t="s">
        <v>624</v>
      </c>
      <c r="U308" s="0" t="s">
        <v>149</v>
      </c>
      <c r="V308" s="0" t="s">
        <v>624</v>
      </c>
      <c r="W308" s="0" t="s">
        <v>569</v>
      </c>
      <c r="X308" s="0" t="s">
        <v>624</v>
      </c>
      <c r="Y308" s="0" t="s">
        <v>627</v>
      </c>
      <c r="Z308" s="0" t="s">
        <v>629</v>
      </c>
      <c r="AA308" s="0" t="s">
        <v>624</v>
      </c>
      <c r="AB308" s="0" t="s">
        <v>580</v>
      </c>
      <c r="AC308" s="254" t="n">
        <v>310000</v>
      </c>
      <c r="AD308" s="254" t="n">
        <v>23672.1675476593</v>
      </c>
      <c r="AE308" s="0" t="n">
        <v>0</v>
      </c>
      <c r="AF308" s="0" t="n">
        <v>0</v>
      </c>
      <c r="AG308" s="0" t="n">
        <v>0</v>
      </c>
      <c r="AH308" s="254" t="n">
        <v>9697.6778801136</v>
      </c>
      <c r="AI308" s="0" t="n">
        <v>226</v>
      </c>
      <c r="AJ308" s="0" t="s">
        <v>630</v>
      </c>
      <c r="AK308" s="0" t="n">
        <v>0</v>
      </c>
      <c r="AL308" s="0" t="n">
        <v>0</v>
      </c>
      <c r="AM308" s="0" t="n">
        <v>0</v>
      </c>
    </row>
    <row r="309" customFormat="false" ht="12.75" hidden="false" customHeight="false" outlineLevel="0" collapsed="false">
      <c r="A309" s="0" t="s">
        <v>631</v>
      </c>
      <c r="B309" s="0" t="s">
        <v>308</v>
      </c>
      <c r="C309" s="0" t="s">
        <v>622</v>
      </c>
      <c r="D309" s="0" t="s">
        <v>623</v>
      </c>
      <c r="E309" s="0" t="s">
        <v>131</v>
      </c>
      <c r="F309" s="0" t="s">
        <v>212</v>
      </c>
      <c r="G309" s="0" t="s">
        <v>628</v>
      </c>
      <c r="H309" s="0" t="s">
        <v>625</v>
      </c>
      <c r="I309" s="0" t="s">
        <v>626</v>
      </c>
      <c r="J309" s="0" t="s">
        <v>627</v>
      </c>
      <c r="K309" s="475" t="n">
        <v>36861</v>
      </c>
      <c r="L309" s="254" t="n">
        <v>76798.6311381724</v>
      </c>
      <c r="M309" s="475" t="n">
        <v>36859</v>
      </c>
      <c r="N309" s="0" t="s">
        <v>136</v>
      </c>
      <c r="O309" s="0" t="n">
        <v>2.5</v>
      </c>
      <c r="P309" s="0" t="n">
        <v>0</v>
      </c>
      <c r="Q309" s="0" t="n">
        <v>0</v>
      </c>
      <c r="R309" s="0" t="n">
        <v>0</v>
      </c>
      <c r="S309" s="0" t="n">
        <v>0</v>
      </c>
      <c r="T309" s="0" t="s">
        <v>624</v>
      </c>
      <c r="U309" s="0" t="s">
        <v>149</v>
      </c>
      <c r="V309" s="0" t="s">
        <v>624</v>
      </c>
      <c r="W309" s="0" t="s">
        <v>569</v>
      </c>
      <c r="X309" s="0" t="s">
        <v>624</v>
      </c>
      <c r="Y309" s="0" t="s">
        <v>627</v>
      </c>
      <c r="Z309" s="0" t="s">
        <v>629</v>
      </c>
      <c r="AA309" s="0" t="s">
        <v>624</v>
      </c>
      <c r="AB309" s="0" t="s">
        <v>580</v>
      </c>
      <c r="AC309" s="254" t="n">
        <v>310000</v>
      </c>
      <c r="AD309" s="254" t="n">
        <v>17988.3162265355</v>
      </c>
      <c r="AE309" s="0" t="n">
        <v>0</v>
      </c>
      <c r="AF309" s="0" t="n">
        <v>0</v>
      </c>
      <c r="AG309" s="0" t="n">
        <v>0</v>
      </c>
      <c r="AH309" s="254" t="n">
        <v>5205.36734977608</v>
      </c>
      <c r="AI309" s="0" t="n">
        <v>226</v>
      </c>
      <c r="AJ309" s="0" t="s">
        <v>630</v>
      </c>
      <c r="AK309" s="0" t="n">
        <v>0</v>
      </c>
      <c r="AL309" s="0" t="n">
        <v>0</v>
      </c>
      <c r="AM309" s="0" t="n">
        <v>0</v>
      </c>
    </row>
    <row r="310" customFormat="false" ht="12.75" hidden="false" customHeight="false" outlineLevel="0" collapsed="false">
      <c r="A310" s="0" t="s">
        <v>631</v>
      </c>
      <c r="B310" s="0" t="s">
        <v>308</v>
      </c>
      <c r="C310" s="0" t="s">
        <v>622</v>
      </c>
      <c r="D310" s="0" t="s">
        <v>623</v>
      </c>
      <c r="E310" s="0" t="s">
        <v>131</v>
      </c>
      <c r="F310" s="0" t="s">
        <v>212</v>
      </c>
      <c r="G310" s="0" t="s">
        <v>628</v>
      </c>
      <c r="H310" s="0" t="s">
        <v>625</v>
      </c>
      <c r="I310" s="0" t="s">
        <v>626</v>
      </c>
      <c r="J310" s="0" t="s">
        <v>627</v>
      </c>
      <c r="K310" s="475" t="n">
        <v>36831</v>
      </c>
      <c r="L310" s="254" t="n">
        <v>1931.86425285872</v>
      </c>
      <c r="M310" s="475" t="n">
        <v>36829</v>
      </c>
      <c r="N310" s="0" t="s">
        <v>136</v>
      </c>
      <c r="O310" s="0" t="n">
        <v>2.5</v>
      </c>
      <c r="P310" s="0" t="n">
        <v>0</v>
      </c>
      <c r="Q310" s="0" t="n">
        <v>0</v>
      </c>
      <c r="R310" s="0" t="n">
        <v>0</v>
      </c>
      <c r="S310" s="0" t="n">
        <v>0</v>
      </c>
      <c r="T310" s="0" t="s">
        <v>624</v>
      </c>
      <c r="U310" s="0" t="s">
        <v>149</v>
      </c>
      <c r="V310" s="0" t="s">
        <v>624</v>
      </c>
      <c r="W310" s="0" t="s">
        <v>569</v>
      </c>
      <c r="X310" s="0" t="s">
        <v>624</v>
      </c>
      <c r="Y310" s="0" t="s">
        <v>627</v>
      </c>
      <c r="Z310" s="0" t="s">
        <v>629</v>
      </c>
      <c r="AA310" s="0" t="s">
        <v>624</v>
      </c>
      <c r="AB310" s="0" t="s">
        <v>580</v>
      </c>
      <c r="AC310" s="254" t="n">
        <v>300000</v>
      </c>
      <c r="AD310" s="254" t="n">
        <v>1569.59200271751</v>
      </c>
      <c r="AE310" s="0" t="n">
        <v>0</v>
      </c>
      <c r="AF310" s="0" t="n">
        <v>0</v>
      </c>
      <c r="AG310" s="0" t="n">
        <v>0</v>
      </c>
      <c r="AH310" s="254" t="n">
        <v>379.938352204508</v>
      </c>
      <c r="AI310" s="0" t="n">
        <v>226</v>
      </c>
      <c r="AJ310" s="0" t="s">
        <v>630</v>
      </c>
      <c r="AK310" s="0" t="n">
        <v>0</v>
      </c>
      <c r="AL310" s="0" t="n">
        <v>0</v>
      </c>
      <c r="AM310" s="0" t="n">
        <v>0</v>
      </c>
    </row>
    <row r="311" customFormat="false" ht="12.75" hidden="false" customHeight="false" outlineLevel="0" collapsed="false">
      <c r="A311" s="0" t="s">
        <v>631</v>
      </c>
      <c r="B311" s="0" t="s">
        <v>310</v>
      </c>
      <c r="C311" s="0" t="s">
        <v>622</v>
      </c>
      <c r="D311" s="0" t="s">
        <v>623</v>
      </c>
      <c r="E311" s="0" t="s">
        <v>131</v>
      </c>
      <c r="F311" s="0" t="s">
        <v>309</v>
      </c>
      <c r="G311" s="0" t="s">
        <v>628</v>
      </c>
      <c r="H311" s="0" t="s">
        <v>625</v>
      </c>
      <c r="I311" s="0" t="s">
        <v>626</v>
      </c>
      <c r="J311" s="0" t="s">
        <v>627</v>
      </c>
      <c r="K311" s="475" t="n">
        <v>36951</v>
      </c>
      <c r="L311" s="254" t="n">
        <v>102961.737936264</v>
      </c>
      <c r="M311" s="475" t="n">
        <v>36949</v>
      </c>
      <c r="N311" s="0" t="s">
        <v>132</v>
      </c>
      <c r="O311" s="0" t="n">
        <v>0.4</v>
      </c>
      <c r="P311" s="0" t="n">
        <v>0</v>
      </c>
      <c r="Q311" s="0" t="n">
        <v>0</v>
      </c>
      <c r="R311" s="0" t="n">
        <v>0</v>
      </c>
      <c r="S311" s="0" t="n">
        <v>0</v>
      </c>
      <c r="T311" s="0" t="s">
        <v>624</v>
      </c>
      <c r="U311" s="0" t="s">
        <v>149</v>
      </c>
      <c r="V311" s="0" t="s">
        <v>624</v>
      </c>
      <c r="W311" s="0" t="s">
        <v>569</v>
      </c>
      <c r="X311" s="0" t="s">
        <v>624</v>
      </c>
      <c r="Y311" s="0" t="s">
        <v>627</v>
      </c>
      <c r="Z311" s="0" t="s">
        <v>629</v>
      </c>
      <c r="AA311" s="0" t="s">
        <v>624</v>
      </c>
      <c r="AB311" s="0" t="s">
        <v>580</v>
      </c>
      <c r="AC311" s="254" t="n">
        <v>500000</v>
      </c>
      <c r="AD311" s="254" t="n">
        <v>39342.6885239331</v>
      </c>
      <c r="AE311" s="0" t="n">
        <v>0</v>
      </c>
      <c r="AF311" s="0" t="n">
        <v>0</v>
      </c>
      <c r="AG311" s="0" t="n">
        <v>0</v>
      </c>
      <c r="AH311" s="254" t="n">
        <v>-5309.3776694686</v>
      </c>
      <c r="AI311" s="0" t="n">
        <v>226</v>
      </c>
      <c r="AJ311" s="0" t="s">
        <v>630</v>
      </c>
      <c r="AK311" s="0" t="n">
        <v>0</v>
      </c>
      <c r="AL311" s="0" t="n">
        <v>0</v>
      </c>
      <c r="AM311" s="0" t="n">
        <v>0</v>
      </c>
    </row>
    <row r="312" customFormat="false" ht="12.75" hidden="false" customHeight="false" outlineLevel="0" collapsed="false">
      <c r="A312" s="0" t="s">
        <v>631</v>
      </c>
      <c r="B312" s="0" t="s">
        <v>310</v>
      </c>
      <c r="C312" s="0" t="s">
        <v>622</v>
      </c>
      <c r="D312" s="0" t="s">
        <v>623</v>
      </c>
      <c r="E312" s="0" t="s">
        <v>131</v>
      </c>
      <c r="F312" s="0" t="s">
        <v>309</v>
      </c>
      <c r="G312" s="0" t="s">
        <v>628</v>
      </c>
      <c r="H312" s="0" t="s">
        <v>625</v>
      </c>
      <c r="I312" s="0" t="s">
        <v>626</v>
      </c>
      <c r="J312" s="0" t="s">
        <v>627</v>
      </c>
      <c r="K312" s="475" t="n">
        <v>36923</v>
      </c>
      <c r="L312" s="254" t="n">
        <v>38128.1494972453</v>
      </c>
      <c r="M312" s="475" t="n">
        <v>36921</v>
      </c>
      <c r="N312" s="0" t="s">
        <v>132</v>
      </c>
      <c r="O312" s="0" t="n">
        <v>0.4</v>
      </c>
      <c r="P312" s="0" t="n">
        <v>0</v>
      </c>
      <c r="Q312" s="0" t="n">
        <v>0</v>
      </c>
      <c r="R312" s="0" t="n">
        <v>0</v>
      </c>
      <c r="S312" s="0" t="n">
        <v>0</v>
      </c>
      <c r="T312" s="0" t="s">
        <v>624</v>
      </c>
      <c r="U312" s="0" t="s">
        <v>149</v>
      </c>
      <c r="V312" s="0" t="s">
        <v>624</v>
      </c>
      <c r="W312" s="0" t="s">
        <v>569</v>
      </c>
      <c r="X312" s="0" t="s">
        <v>624</v>
      </c>
      <c r="Y312" s="0" t="s">
        <v>627</v>
      </c>
      <c r="Z312" s="0" t="s">
        <v>629</v>
      </c>
      <c r="AA312" s="0" t="s">
        <v>624</v>
      </c>
      <c r="AB312" s="0" t="s">
        <v>580</v>
      </c>
      <c r="AC312" s="254" t="n">
        <v>500000</v>
      </c>
      <c r="AD312" s="254" t="n">
        <v>23201.0259799129</v>
      </c>
      <c r="AE312" s="0" t="n">
        <v>0</v>
      </c>
      <c r="AF312" s="0" t="n">
        <v>0</v>
      </c>
      <c r="AG312" s="0" t="n">
        <v>0</v>
      </c>
      <c r="AH312" s="254" t="n">
        <v>-2123.68239825755</v>
      </c>
      <c r="AI312" s="0" t="n">
        <v>226</v>
      </c>
      <c r="AJ312" s="0" t="s">
        <v>630</v>
      </c>
      <c r="AK312" s="0" t="n">
        <v>0</v>
      </c>
      <c r="AL312" s="0" t="n">
        <v>0</v>
      </c>
      <c r="AM312" s="0" t="n">
        <v>0</v>
      </c>
    </row>
    <row r="313" customFormat="false" ht="12.75" hidden="false" customHeight="false" outlineLevel="0" collapsed="false">
      <c r="A313" s="0" t="s">
        <v>631</v>
      </c>
      <c r="B313" s="0" t="s">
        <v>310</v>
      </c>
      <c r="C313" s="0" t="s">
        <v>622</v>
      </c>
      <c r="D313" s="0" t="s">
        <v>623</v>
      </c>
      <c r="E313" s="0" t="s">
        <v>131</v>
      </c>
      <c r="F313" s="0" t="s">
        <v>309</v>
      </c>
      <c r="G313" s="0" t="s">
        <v>628</v>
      </c>
      <c r="H313" s="0" t="s">
        <v>625</v>
      </c>
      <c r="I313" s="0" t="s">
        <v>626</v>
      </c>
      <c r="J313" s="0" t="s">
        <v>627</v>
      </c>
      <c r="K313" s="475" t="n">
        <v>36892</v>
      </c>
      <c r="L313" s="254" t="n">
        <v>28714.1137368078</v>
      </c>
      <c r="M313" s="475" t="n">
        <v>36888</v>
      </c>
      <c r="N313" s="0" t="s">
        <v>132</v>
      </c>
      <c r="O313" s="0" t="n">
        <v>0.4</v>
      </c>
      <c r="P313" s="0" t="n">
        <v>0</v>
      </c>
      <c r="Q313" s="0" t="n">
        <v>0</v>
      </c>
      <c r="R313" s="0" t="n">
        <v>0</v>
      </c>
      <c r="S313" s="0" t="n">
        <v>0</v>
      </c>
      <c r="T313" s="0" t="s">
        <v>624</v>
      </c>
      <c r="U313" s="0" t="s">
        <v>149</v>
      </c>
      <c r="V313" s="0" t="s">
        <v>624</v>
      </c>
      <c r="W313" s="0" t="s">
        <v>569</v>
      </c>
      <c r="X313" s="0" t="s">
        <v>624</v>
      </c>
      <c r="Y313" s="0" t="s">
        <v>627</v>
      </c>
      <c r="Z313" s="0" t="s">
        <v>629</v>
      </c>
      <c r="AA313" s="0" t="s">
        <v>624</v>
      </c>
      <c r="AB313" s="0" t="s">
        <v>580</v>
      </c>
      <c r="AC313" s="254" t="n">
        <v>500000</v>
      </c>
      <c r="AD313" s="254" t="n">
        <v>18311.6357576736</v>
      </c>
      <c r="AE313" s="0" t="n">
        <v>0</v>
      </c>
      <c r="AF313" s="0" t="n">
        <v>0</v>
      </c>
      <c r="AG313" s="0" t="n">
        <v>0</v>
      </c>
      <c r="AH313" s="254" t="n">
        <v>-1420.43640349909</v>
      </c>
      <c r="AI313" s="0" t="n">
        <v>226</v>
      </c>
      <c r="AJ313" s="0" t="s">
        <v>630</v>
      </c>
      <c r="AK313" s="0" t="n">
        <v>0</v>
      </c>
      <c r="AL313" s="0" t="n">
        <v>0</v>
      </c>
      <c r="AM313" s="0" t="n">
        <v>0</v>
      </c>
    </row>
    <row r="314" customFormat="false" ht="12.75" hidden="false" customHeight="false" outlineLevel="0" collapsed="false">
      <c r="A314" s="0" t="s">
        <v>631</v>
      </c>
      <c r="B314" s="0" t="s">
        <v>310</v>
      </c>
      <c r="C314" s="0" t="s">
        <v>622</v>
      </c>
      <c r="D314" s="0" t="s">
        <v>623</v>
      </c>
      <c r="E314" s="0" t="s">
        <v>131</v>
      </c>
      <c r="F314" s="0" t="s">
        <v>309</v>
      </c>
      <c r="G314" s="0" t="s">
        <v>628</v>
      </c>
      <c r="H314" s="0" t="s">
        <v>625</v>
      </c>
      <c r="I314" s="0" t="s">
        <v>626</v>
      </c>
      <c r="J314" s="0" t="s">
        <v>627</v>
      </c>
      <c r="K314" s="475" t="n">
        <v>36861</v>
      </c>
      <c r="L314" s="254" t="n">
        <v>37579.7925554042</v>
      </c>
      <c r="M314" s="475" t="n">
        <v>36859</v>
      </c>
      <c r="N314" s="0" t="s">
        <v>132</v>
      </c>
      <c r="O314" s="0" t="n">
        <v>0.4</v>
      </c>
      <c r="P314" s="0" t="n">
        <v>0</v>
      </c>
      <c r="Q314" s="0" t="n">
        <v>0</v>
      </c>
      <c r="R314" s="0" t="n">
        <v>0</v>
      </c>
      <c r="S314" s="0" t="n">
        <v>0</v>
      </c>
      <c r="T314" s="0" t="s">
        <v>624</v>
      </c>
      <c r="U314" s="0" t="s">
        <v>149</v>
      </c>
      <c r="V314" s="0" t="s">
        <v>624</v>
      </c>
      <c r="W314" s="0" t="s">
        <v>569</v>
      </c>
      <c r="X314" s="0" t="s">
        <v>624</v>
      </c>
      <c r="Y314" s="0" t="s">
        <v>627</v>
      </c>
      <c r="Z314" s="0" t="s">
        <v>629</v>
      </c>
      <c r="AA314" s="0" t="s">
        <v>624</v>
      </c>
      <c r="AB314" s="0" t="s">
        <v>580</v>
      </c>
      <c r="AC314" s="254" t="n">
        <v>500000</v>
      </c>
      <c r="AD314" s="254" t="n">
        <v>20590.9597569027</v>
      </c>
      <c r="AE314" s="0" t="n">
        <v>0</v>
      </c>
      <c r="AF314" s="0" t="n">
        <v>0</v>
      </c>
      <c r="AG314" s="0" t="n">
        <v>0</v>
      </c>
      <c r="AH314" s="254" t="n">
        <v>-1567.23128319092</v>
      </c>
      <c r="AI314" s="0" t="n">
        <v>226</v>
      </c>
      <c r="AJ314" s="0" t="s">
        <v>630</v>
      </c>
      <c r="AK314" s="0" t="n">
        <v>0</v>
      </c>
      <c r="AL314" s="0" t="n">
        <v>0</v>
      </c>
      <c r="AM314" s="0" t="n">
        <v>0</v>
      </c>
    </row>
    <row r="315" customFormat="false" ht="12.75" hidden="false" customHeight="false" outlineLevel="0" collapsed="false">
      <c r="A315" s="0" t="s">
        <v>631</v>
      </c>
      <c r="B315" s="0" t="s">
        <v>310</v>
      </c>
      <c r="C315" s="0" t="s">
        <v>622</v>
      </c>
      <c r="D315" s="0" t="s">
        <v>623</v>
      </c>
      <c r="E315" s="0" t="s">
        <v>131</v>
      </c>
      <c r="F315" s="0" t="s">
        <v>309</v>
      </c>
      <c r="G315" s="0" t="s">
        <v>628</v>
      </c>
      <c r="H315" s="0" t="s">
        <v>625</v>
      </c>
      <c r="I315" s="0" t="s">
        <v>626</v>
      </c>
      <c r="J315" s="0" t="s">
        <v>627</v>
      </c>
      <c r="K315" s="475" t="n">
        <v>36831</v>
      </c>
      <c r="L315" s="254" t="n">
        <v>53535.9340440782</v>
      </c>
      <c r="M315" s="475" t="n">
        <v>36829</v>
      </c>
      <c r="N315" s="0" t="s">
        <v>132</v>
      </c>
      <c r="O315" s="0" t="n">
        <v>0.4</v>
      </c>
      <c r="P315" s="0" t="n">
        <v>0</v>
      </c>
      <c r="Q315" s="0" t="n">
        <v>0</v>
      </c>
      <c r="R315" s="0" t="n">
        <v>0</v>
      </c>
      <c r="S315" s="0" t="n">
        <v>0</v>
      </c>
      <c r="T315" s="0" t="s">
        <v>624</v>
      </c>
      <c r="U315" s="0" t="s">
        <v>149</v>
      </c>
      <c r="V315" s="0" t="s">
        <v>624</v>
      </c>
      <c r="W315" s="0" t="s">
        <v>569</v>
      </c>
      <c r="X315" s="0" t="s">
        <v>624</v>
      </c>
      <c r="Y315" s="0" t="s">
        <v>627</v>
      </c>
      <c r="Z315" s="0" t="s">
        <v>629</v>
      </c>
      <c r="AA315" s="0" t="s">
        <v>624</v>
      </c>
      <c r="AB315" s="0" t="s">
        <v>580</v>
      </c>
      <c r="AC315" s="254" t="n">
        <v>500000</v>
      </c>
      <c r="AD315" s="254" t="n">
        <v>19539.2085933835</v>
      </c>
      <c r="AE315" s="0" t="n">
        <v>0</v>
      </c>
      <c r="AF315" s="0" t="n">
        <v>0</v>
      </c>
      <c r="AG315" s="0" t="n">
        <v>0</v>
      </c>
      <c r="AH315" s="254" t="n">
        <v>-4273.70471593802</v>
      </c>
      <c r="AI315" s="0" t="n">
        <v>226</v>
      </c>
      <c r="AJ315" s="0" t="s">
        <v>630</v>
      </c>
      <c r="AK315" s="0" t="n">
        <v>0</v>
      </c>
      <c r="AL315" s="0" t="n">
        <v>0</v>
      </c>
      <c r="AM315" s="0" t="n">
        <v>0</v>
      </c>
    </row>
    <row r="316" customFormat="false" ht="12.75" hidden="false" customHeight="false" outlineLevel="0" collapsed="false">
      <c r="A316" s="0" t="s">
        <v>631</v>
      </c>
      <c r="B316" s="0" t="s">
        <v>311</v>
      </c>
      <c r="C316" s="0" t="s">
        <v>622</v>
      </c>
      <c r="D316" s="0" t="s">
        <v>623</v>
      </c>
      <c r="E316" s="0" t="s">
        <v>131</v>
      </c>
      <c r="F316" s="0" t="s">
        <v>198</v>
      </c>
      <c r="G316" s="0" t="s">
        <v>628</v>
      </c>
      <c r="H316" s="0" t="s">
        <v>625</v>
      </c>
      <c r="I316" s="0" t="s">
        <v>626</v>
      </c>
      <c r="J316" s="0" t="s">
        <v>627</v>
      </c>
      <c r="K316" s="475" t="n">
        <v>36951</v>
      </c>
      <c r="L316" s="254" t="n">
        <v>-151970.792485802</v>
      </c>
      <c r="M316" s="475" t="n">
        <v>36949</v>
      </c>
      <c r="N316" s="0" t="s">
        <v>136</v>
      </c>
      <c r="O316" s="0" t="n">
        <v>1.7</v>
      </c>
      <c r="P316" s="0" t="n">
        <v>0</v>
      </c>
      <c r="Q316" s="0" t="n">
        <v>0</v>
      </c>
      <c r="R316" s="0" t="n">
        <v>0</v>
      </c>
      <c r="S316" s="0" t="n">
        <v>0</v>
      </c>
      <c r="T316" s="0" t="s">
        <v>624</v>
      </c>
      <c r="U316" s="0" t="s">
        <v>149</v>
      </c>
      <c r="V316" s="0" t="s">
        <v>624</v>
      </c>
      <c r="W316" s="0" t="s">
        <v>569</v>
      </c>
      <c r="X316" s="0" t="s">
        <v>624</v>
      </c>
      <c r="Y316" s="0" t="s">
        <v>627</v>
      </c>
      <c r="Z316" s="0" t="s">
        <v>629</v>
      </c>
      <c r="AA316" s="0" t="s">
        <v>624</v>
      </c>
      <c r="AB316" s="0" t="s">
        <v>580</v>
      </c>
      <c r="AC316" s="254" t="n">
        <v>-500000</v>
      </c>
      <c r="AD316" s="254" t="n">
        <v>-39326.8091706637</v>
      </c>
      <c r="AE316" s="0" t="n">
        <v>0</v>
      </c>
      <c r="AF316" s="0" t="n">
        <v>0</v>
      </c>
      <c r="AG316" s="0" t="n">
        <v>0</v>
      </c>
      <c r="AH316" s="254" t="n">
        <v>-12813.247177282</v>
      </c>
      <c r="AI316" s="0" t="n">
        <v>226</v>
      </c>
      <c r="AJ316" s="0" t="s">
        <v>630</v>
      </c>
      <c r="AK316" s="0" t="n">
        <v>0</v>
      </c>
      <c r="AL316" s="0" t="n">
        <v>0</v>
      </c>
      <c r="AM316" s="0" t="n">
        <v>0</v>
      </c>
    </row>
    <row r="317" customFormat="false" ht="12.75" hidden="false" customHeight="false" outlineLevel="0" collapsed="false">
      <c r="A317" s="0" t="s">
        <v>631</v>
      </c>
      <c r="B317" s="0" t="s">
        <v>312</v>
      </c>
      <c r="C317" s="0" t="s">
        <v>622</v>
      </c>
      <c r="D317" s="0" t="s">
        <v>623</v>
      </c>
      <c r="E317" s="0" t="s">
        <v>131</v>
      </c>
      <c r="F317" s="0" t="s">
        <v>198</v>
      </c>
      <c r="G317" s="0" t="s">
        <v>628</v>
      </c>
      <c r="H317" s="0" t="s">
        <v>625</v>
      </c>
      <c r="I317" s="0" t="s">
        <v>626</v>
      </c>
      <c r="J317" s="0" t="s">
        <v>627</v>
      </c>
      <c r="K317" s="475" t="n">
        <v>36951</v>
      </c>
      <c r="L317" s="254" t="n">
        <v>157698.06655469</v>
      </c>
      <c r="M317" s="475" t="n">
        <v>36949</v>
      </c>
      <c r="N317" s="0" t="s">
        <v>136</v>
      </c>
      <c r="O317" s="0" t="n">
        <v>2.5</v>
      </c>
      <c r="P317" s="0" t="n">
        <v>0</v>
      </c>
      <c r="Q317" s="0" t="n">
        <v>0</v>
      </c>
      <c r="R317" s="0" t="n">
        <v>0</v>
      </c>
      <c r="S317" s="0" t="n">
        <v>0</v>
      </c>
      <c r="T317" s="0" t="s">
        <v>624</v>
      </c>
      <c r="U317" s="0" t="s">
        <v>149</v>
      </c>
      <c r="V317" s="0" t="s">
        <v>624</v>
      </c>
      <c r="W317" s="0" t="s">
        <v>569</v>
      </c>
      <c r="X317" s="0" t="s">
        <v>624</v>
      </c>
      <c r="Y317" s="0" t="s">
        <v>627</v>
      </c>
      <c r="Z317" s="0" t="s">
        <v>629</v>
      </c>
      <c r="AA317" s="0" t="s">
        <v>624</v>
      </c>
      <c r="AB317" s="0" t="s">
        <v>580</v>
      </c>
      <c r="AC317" s="254" t="n">
        <v>1000000</v>
      </c>
      <c r="AD317" s="254" t="n">
        <v>57308.5893816178</v>
      </c>
      <c r="AE317" s="0" t="n">
        <v>0</v>
      </c>
      <c r="AF317" s="0" t="n">
        <v>0</v>
      </c>
      <c r="AG317" s="0" t="n">
        <v>0</v>
      </c>
      <c r="AH317" s="254" t="n">
        <v>15681.3978731459</v>
      </c>
      <c r="AI317" s="0" t="n">
        <v>226</v>
      </c>
      <c r="AJ317" s="0" t="s">
        <v>630</v>
      </c>
      <c r="AK317" s="0" t="n">
        <v>0</v>
      </c>
      <c r="AL317" s="0" t="n">
        <v>0</v>
      </c>
      <c r="AM317" s="0" t="n">
        <v>0</v>
      </c>
    </row>
    <row r="318" customFormat="false" ht="12.75" hidden="false" customHeight="false" outlineLevel="0" collapsed="false">
      <c r="A318" s="0" t="s">
        <v>631</v>
      </c>
      <c r="B318" s="0" t="s">
        <v>313</v>
      </c>
      <c r="C318" s="0" t="s">
        <v>622</v>
      </c>
      <c r="D318" s="0" t="s">
        <v>623</v>
      </c>
      <c r="E318" s="0" t="s">
        <v>131</v>
      </c>
      <c r="F318" s="0" t="s">
        <v>198</v>
      </c>
      <c r="G318" s="0" t="s">
        <v>628</v>
      </c>
      <c r="H318" s="0" t="s">
        <v>625</v>
      </c>
      <c r="I318" s="0" t="s">
        <v>626</v>
      </c>
      <c r="J318" s="0" t="s">
        <v>627</v>
      </c>
      <c r="K318" s="475" t="n">
        <v>36951</v>
      </c>
      <c r="L318" s="254" t="n">
        <v>-907740.381292351</v>
      </c>
      <c r="M318" s="475" t="n">
        <v>36949</v>
      </c>
      <c r="N318" s="0" t="s">
        <v>132</v>
      </c>
      <c r="O318" s="0" t="n">
        <v>1.7</v>
      </c>
      <c r="P318" s="0" t="n">
        <v>0</v>
      </c>
      <c r="Q318" s="0" t="n">
        <v>0</v>
      </c>
      <c r="R318" s="0" t="n">
        <v>0</v>
      </c>
      <c r="S318" s="0" t="n">
        <v>0</v>
      </c>
      <c r="T318" s="0" t="s">
        <v>624</v>
      </c>
      <c r="U318" s="0" t="s">
        <v>149</v>
      </c>
      <c r="V318" s="0" t="s">
        <v>624</v>
      </c>
      <c r="W318" s="0" t="s">
        <v>569</v>
      </c>
      <c r="X318" s="0" t="s">
        <v>624</v>
      </c>
      <c r="Y318" s="0" t="s">
        <v>627</v>
      </c>
      <c r="Z318" s="0" t="s">
        <v>629</v>
      </c>
      <c r="AA318" s="0" t="s">
        <v>624</v>
      </c>
      <c r="AB318" s="0" t="s">
        <v>580</v>
      </c>
      <c r="AC318" s="254" t="n">
        <v>-1000000</v>
      </c>
      <c r="AD318" s="254" t="n">
        <v>-78653.6183413273</v>
      </c>
      <c r="AE318" s="0" t="n">
        <v>0</v>
      </c>
      <c r="AF318" s="0" t="n">
        <v>0</v>
      </c>
      <c r="AG318" s="0" t="n">
        <v>0</v>
      </c>
      <c r="AH318" s="254" t="n">
        <v>32309.6395529845</v>
      </c>
      <c r="AI318" s="0" t="n">
        <v>226</v>
      </c>
      <c r="AJ318" s="0" t="s">
        <v>630</v>
      </c>
      <c r="AK318" s="0" t="n">
        <v>0</v>
      </c>
      <c r="AL318" s="0" t="n">
        <v>0</v>
      </c>
      <c r="AM318" s="0" t="n">
        <v>0</v>
      </c>
    </row>
    <row r="319" customFormat="false" ht="12.75" hidden="false" customHeight="false" outlineLevel="0" collapsed="false">
      <c r="A319" s="0" t="s">
        <v>631</v>
      </c>
      <c r="B319" s="0" t="s">
        <v>313</v>
      </c>
      <c r="C319" s="0" t="s">
        <v>622</v>
      </c>
      <c r="D319" s="0" t="s">
        <v>623</v>
      </c>
      <c r="E319" s="0" t="s">
        <v>131</v>
      </c>
      <c r="F319" s="0" t="s">
        <v>198</v>
      </c>
      <c r="G319" s="0" t="s">
        <v>628</v>
      </c>
      <c r="H319" s="0" t="s">
        <v>625</v>
      </c>
      <c r="I319" s="0" t="s">
        <v>626</v>
      </c>
      <c r="J319" s="0" t="s">
        <v>627</v>
      </c>
      <c r="K319" s="475" t="n">
        <v>36923</v>
      </c>
      <c r="L319" s="254" t="n">
        <v>-477065.632907757</v>
      </c>
      <c r="M319" s="475" t="n">
        <v>36921</v>
      </c>
      <c r="N319" s="0" t="s">
        <v>132</v>
      </c>
      <c r="O319" s="0" t="n">
        <v>1.7</v>
      </c>
      <c r="P319" s="0" t="n">
        <v>0</v>
      </c>
      <c r="Q319" s="0" t="n">
        <v>0</v>
      </c>
      <c r="R319" s="0" t="n">
        <v>0</v>
      </c>
      <c r="S319" s="0" t="n">
        <v>0</v>
      </c>
      <c r="T319" s="0" t="s">
        <v>624</v>
      </c>
      <c r="U319" s="0" t="s">
        <v>149</v>
      </c>
      <c r="V319" s="0" t="s">
        <v>624</v>
      </c>
      <c r="W319" s="0" t="s">
        <v>569</v>
      </c>
      <c r="X319" s="0" t="s">
        <v>624</v>
      </c>
      <c r="Y319" s="0" t="s">
        <v>627</v>
      </c>
      <c r="Z319" s="0" t="s">
        <v>629</v>
      </c>
      <c r="AA319" s="0" t="s">
        <v>624</v>
      </c>
      <c r="AB319" s="0" t="s">
        <v>580</v>
      </c>
      <c r="AC319" s="254" t="n">
        <v>-1000000</v>
      </c>
      <c r="AD319" s="254" t="n">
        <v>-84947.4916668227</v>
      </c>
      <c r="AE319" s="0" t="n">
        <v>0</v>
      </c>
      <c r="AF319" s="0" t="n">
        <v>0</v>
      </c>
      <c r="AG319" s="0" t="n">
        <v>0</v>
      </c>
      <c r="AH319" s="254" t="n">
        <v>20548.859436377</v>
      </c>
      <c r="AI319" s="0" t="n">
        <v>226</v>
      </c>
      <c r="AJ319" s="0" t="s">
        <v>630</v>
      </c>
      <c r="AK319" s="0" t="n">
        <v>0</v>
      </c>
      <c r="AL319" s="0" t="n">
        <v>0</v>
      </c>
      <c r="AM319" s="0" t="n">
        <v>0</v>
      </c>
    </row>
    <row r="320" customFormat="false" ht="12.75" hidden="false" customHeight="false" outlineLevel="0" collapsed="false">
      <c r="A320" s="0" t="s">
        <v>631</v>
      </c>
      <c r="B320" s="0" t="s">
        <v>313</v>
      </c>
      <c r="C320" s="0" t="s">
        <v>622</v>
      </c>
      <c r="D320" s="0" t="s">
        <v>623</v>
      </c>
      <c r="E320" s="0" t="s">
        <v>131</v>
      </c>
      <c r="F320" s="0" t="s">
        <v>198</v>
      </c>
      <c r="G320" s="0" t="s">
        <v>628</v>
      </c>
      <c r="H320" s="0" t="s">
        <v>625</v>
      </c>
      <c r="I320" s="0" t="s">
        <v>626</v>
      </c>
      <c r="J320" s="0" t="s">
        <v>627</v>
      </c>
      <c r="K320" s="475" t="n">
        <v>36892</v>
      </c>
      <c r="L320" s="254" t="n">
        <v>-414677.501556948</v>
      </c>
      <c r="M320" s="475" t="n">
        <v>36888</v>
      </c>
      <c r="N320" s="0" t="s">
        <v>132</v>
      </c>
      <c r="O320" s="0" t="n">
        <v>1.7</v>
      </c>
      <c r="P320" s="0" t="n">
        <v>0</v>
      </c>
      <c r="Q320" s="0" t="n">
        <v>0</v>
      </c>
      <c r="R320" s="0" t="n">
        <v>0</v>
      </c>
      <c r="S320" s="0" t="n">
        <v>0</v>
      </c>
      <c r="T320" s="0" t="s">
        <v>624</v>
      </c>
      <c r="U320" s="0" t="s">
        <v>149</v>
      </c>
      <c r="V320" s="0" t="s">
        <v>624</v>
      </c>
      <c r="W320" s="0" t="s">
        <v>569</v>
      </c>
      <c r="X320" s="0" t="s">
        <v>624</v>
      </c>
      <c r="Y320" s="0" t="s">
        <v>627</v>
      </c>
      <c r="Z320" s="0" t="s">
        <v>629</v>
      </c>
      <c r="AA320" s="0" t="s">
        <v>624</v>
      </c>
      <c r="AB320" s="0" t="s">
        <v>580</v>
      </c>
      <c r="AC320" s="254" t="n">
        <v>-1000000</v>
      </c>
      <c r="AD320" s="254" t="n">
        <v>-76646.4115827656</v>
      </c>
      <c r="AE320" s="0" t="n">
        <v>0</v>
      </c>
      <c r="AF320" s="0" t="n">
        <v>0</v>
      </c>
      <c r="AG320" s="0" t="n">
        <v>0</v>
      </c>
      <c r="AH320" s="254" t="n">
        <v>16429.5482475812</v>
      </c>
      <c r="AI320" s="0" t="n">
        <v>226</v>
      </c>
      <c r="AJ320" s="0" t="s">
        <v>630</v>
      </c>
      <c r="AK320" s="0" t="n">
        <v>0</v>
      </c>
      <c r="AL320" s="0" t="n">
        <v>0</v>
      </c>
      <c r="AM320" s="0" t="n">
        <v>0</v>
      </c>
    </row>
    <row r="321" customFormat="false" ht="12.75" hidden="false" customHeight="false" outlineLevel="0" collapsed="false">
      <c r="A321" s="0" t="s">
        <v>631</v>
      </c>
      <c r="B321" s="0" t="s">
        <v>314</v>
      </c>
      <c r="C321" s="0" t="s">
        <v>622</v>
      </c>
      <c r="D321" s="0" t="s">
        <v>623</v>
      </c>
      <c r="E321" s="0" t="s">
        <v>131</v>
      </c>
      <c r="F321" s="0" t="s">
        <v>198</v>
      </c>
      <c r="G321" s="0" t="s">
        <v>628</v>
      </c>
      <c r="H321" s="0" t="s">
        <v>625</v>
      </c>
      <c r="I321" s="0" t="s">
        <v>626</v>
      </c>
      <c r="J321" s="0" t="s">
        <v>627</v>
      </c>
      <c r="K321" s="475" t="n">
        <v>36951</v>
      </c>
      <c r="L321" s="254" t="n">
        <v>465509.916729815</v>
      </c>
      <c r="M321" s="475" t="n">
        <v>36949</v>
      </c>
      <c r="N321" s="0" t="s">
        <v>132</v>
      </c>
      <c r="O321" s="0" t="n">
        <v>1</v>
      </c>
      <c r="P321" s="0" t="n">
        <v>0</v>
      </c>
      <c r="Q321" s="0" t="n">
        <v>0</v>
      </c>
      <c r="R321" s="0" t="n">
        <v>0</v>
      </c>
      <c r="S321" s="0" t="n">
        <v>0</v>
      </c>
      <c r="T321" s="0" t="s">
        <v>624</v>
      </c>
      <c r="U321" s="0" t="s">
        <v>149</v>
      </c>
      <c r="V321" s="0" t="s">
        <v>624</v>
      </c>
      <c r="W321" s="0" t="s">
        <v>569</v>
      </c>
      <c r="X321" s="0" t="s">
        <v>624</v>
      </c>
      <c r="Y321" s="0" t="s">
        <v>627</v>
      </c>
      <c r="Z321" s="0" t="s">
        <v>629</v>
      </c>
      <c r="AA321" s="0" t="s">
        <v>624</v>
      </c>
      <c r="AB321" s="0" t="s">
        <v>580</v>
      </c>
      <c r="AC321" s="254" t="n">
        <v>1000000</v>
      </c>
      <c r="AD321" s="254" t="n">
        <v>88936.8209745341</v>
      </c>
      <c r="AE321" s="0" t="n">
        <v>0</v>
      </c>
      <c r="AF321" s="0" t="n">
        <v>0</v>
      </c>
      <c r="AG321" s="0" t="n">
        <v>0</v>
      </c>
      <c r="AH321" s="254" t="n">
        <v>-20719.012783803</v>
      </c>
      <c r="AI321" s="0" t="n">
        <v>226</v>
      </c>
      <c r="AJ321" s="0" t="s">
        <v>630</v>
      </c>
      <c r="AK321" s="0" t="n">
        <v>0</v>
      </c>
      <c r="AL321" s="0" t="n">
        <v>0</v>
      </c>
      <c r="AM321" s="0" t="n">
        <v>0</v>
      </c>
    </row>
    <row r="322" customFormat="false" ht="12.75" hidden="false" customHeight="false" outlineLevel="0" collapsed="false">
      <c r="A322" s="0" t="s">
        <v>631</v>
      </c>
      <c r="B322" s="0" t="s">
        <v>314</v>
      </c>
      <c r="C322" s="0" t="s">
        <v>622</v>
      </c>
      <c r="D322" s="0" t="s">
        <v>623</v>
      </c>
      <c r="E322" s="0" t="s">
        <v>131</v>
      </c>
      <c r="F322" s="0" t="s">
        <v>198</v>
      </c>
      <c r="G322" s="0" t="s">
        <v>628</v>
      </c>
      <c r="H322" s="0" t="s">
        <v>625</v>
      </c>
      <c r="I322" s="0" t="s">
        <v>626</v>
      </c>
      <c r="J322" s="0" t="s">
        <v>627</v>
      </c>
      <c r="K322" s="475" t="n">
        <v>36923</v>
      </c>
      <c r="L322" s="254" t="n">
        <v>205076.007372132</v>
      </c>
      <c r="M322" s="475" t="n">
        <v>36921</v>
      </c>
      <c r="N322" s="0" t="s">
        <v>132</v>
      </c>
      <c r="O322" s="0" t="n">
        <v>1</v>
      </c>
      <c r="P322" s="0" t="n">
        <v>0</v>
      </c>
      <c r="Q322" s="0" t="n">
        <v>0</v>
      </c>
      <c r="R322" s="0" t="n">
        <v>0</v>
      </c>
      <c r="S322" s="0" t="n">
        <v>0</v>
      </c>
      <c r="T322" s="0" t="s">
        <v>624</v>
      </c>
      <c r="U322" s="0" t="s">
        <v>149</v>
      </c>
      <c r="V322" s="0" t="s">
        <v>624</v>
      </c>
      <c r="W322" s="0" t="s">
        <v>569</v>
      </c>
      <c r="X322" s="0" t="s">
        <v>624</v>
      </c>
      <c r="Y322" s="0" t="s">
        <v>627</v>
      </c>
      <c r="Z322" s="0" t="s">
        <v>629</v>
      </c>
      <c r="AA322" s="0" t="s">
        <v>624</v>
      </c>
      <c r="AB322" s="0" t="s">
        <v>580</v>
      </c>
      <c r="AC322" s="254" t="n">
        <v>1000000</v>
      </c>
      <c r="AD322" s="254" t="n">
        <v>70642.5084101445</v>
      </c>
      <c r="AE322" s="0" t="n">
        <v>0</v>
      </c>
      <c r="AF322" s="0" t="n">
        <v>0</v>
      </c>
      <c r="AG322" s="0" t="n">
        <v>0</v>
      </c>
      <c r="AH322" s="254" t="n">
        <v>-10477.9702197861</v>
      </c>
      <c r="AI322" s="0" t="n">
        <v>226</v>
      </c>
      <c r="AJ322" s="0" t="s">
        <v>630</v>
      </c>
      <c r="AK322" s="0" t="n">
        <v>0</v>
      </c>
      <c r="AL322" s="0" t="n">
        <v>0</v>
      </c>
      <c r="AM322" s="0" t="n">
        <v>0</v>
      </c>
    </row>
    <row r="323" customFormat="false" ht="12.75" hidden="false" customHeight="false" outlineLevel="0" collapsed="false">
      <c r="A323" s="0" t="s">
        <v>631</v>
      </c>
      <c r="B323" s="0" t="s">
        <v>314</v>
      </c>
      <c r="C323" s="0" t="s">
        <v>622</v>
      </c>
      <c r="D323" s="0" t="s">
        <v>623</v>
      </c>
      <c r="E323" s="0" t="s">
        <v>131</v>
      </c>
      <c r="F323" s="0" t="s">
        <v>198</v>
      </c>
      <c r="G323" s="0" t="s">
        <v>628</v>
      </c>
      <c r="H323" s="0" t="s">
        <v>625</v>
      </c>
      <c r="I323" s="0" t="s">
        <v>626</v>
      </c>
      <c r="J323" s="0" t="s">
        <v>627</v>
      </c>
      <c r="K323" s="475" t="n">
        <v>36892</v>
      </c>
      <c r="L323" s="254" t="n">
        <v>166821.608721801</v>
      </c>
      <c r="M323" s="475" t="n">
        <v>36888</v>
      </c>
      <c r="N323" s="0" t="s">
        <v>132</v>
      </c>
      <c r="O323" s="0" t="n">
        <v>1</v>
      </c>
      <c r="P323" s="0" t="n">
        <v>0</v>
      </c>
      <c r="Q323" s="0" t="n">
        <v>0</v>
      </c>
      <c r="R323" s="0" t="n">
        <v>0</v>
      </c>
      <c r="S323" s="0" t="n">
        <v>0</v>
      </c>
      <c r="T323" s="0" t="s">
        <v>624</v>
      </c>
      <c r="U323" s="0" t="s">
        <v>149</v>
      </c>
      <c r="V323" s="0" t="s">
        <v>624</v>
      </c>
      <c r="W323" s="0" t="s">
        <v>569</v>
      </c>
      <c r="X323" s="0" t="s">
        <v>624</v>
      </c>
      <c r="Y323" s="0" t="s">
        <v>627</v>
      </c>
      <c r="Z323" s="0" t="s">
        <v>629</v>
      </c>
      <c r="AA323" s="0" t="s">
        <v>624</v>
      </c>
      <c r="AB323" s="0" t="s">
        <v>580</v>
      </c>
      <c r="AC323" s="254" t="n">
        <v>1000000</v>
      </c>
      <c r="AD323" s="254" t="n">
        <v>60333.6630850588</v>
      </c>
      <c r="AE323" s="0" t="n">
        <v>0</v>
      </c>
      <c r="AF323" s="0" t="n">
        <v>0</v>
      </c>
      <c r="AG323" s="0" t="n">
        <v>0</v>
      </c>
      <c r="AH323" s="254" t="n">
        <v>-7743.66148079775</v>
      </c>
      <c r="AI323" s="0" t="n">
        <v>226</v>
      </c>
      <c r="AJ323" s="0" t="s">
        <v>630</v>
      </c>
      <c r="AK323" s="0" t="n">
        <v>0</v>
      </c>
      <c r="AL323" s="0" t="n">
        <v>0</v>
      </c>
      <c r="AM323" s="0" t="n">
        <v>0</v>
      </c>
    </row>
    <row r="324" customFormat="false" ht="12.75" hidden="false" customHeight="false" outlineLevel="0" collapsed="false">
      <c r="A324" s="0" t="s">
        <v>631</v>
      </c>
      <c r="B324" s="0" t="s">
        <v>315</v>
      </c>
      <c r="C324" s="0" t="s">
        <v>622</v>
      </c>
      <c r="D324" s="0" t="s">
        <v>623</v>
      </c>
      <c r="E324" s="0" t="s">
        <v>131</v>
      </c>
      <c r="F324" s="0" t="s">
        <v>198</v>
      </c>
      <c r="G324" s="0" t="s">
        <v>628</v>
      </c>
      <c r="H324" s="0" t="s">
        <v>625</v>
      </c>
      <c r="I324" s="0" t="s">
        <v>626</v>
      </c>
      <c r="J324" s="0" t="s">
        <v>627</v>
      </c>
      <c r="K324" s="475" t="n">
        <v>36800</v>
      </c>
      <c r="L324" s="254" t="n">
        <v>-758.923880181394</v>
      </c>
      <c r="M324" s="475" t="n">
        <v>36797</v>
      </c>
      <c r="N324" s="0" t="s">
        <v>136</v>
      </c>
      <c r="O324" s="0" t="n">
        <v>0.7</v>
      </c>
      <c r="P324" s="0" t="n">
        <v>0</v>
      </c>
      <c r="Q324" s="0" t="n">
        <v>0</v>
      </c>
      <c r="R324" s="0" t="n">
        <v>0</v>
      </c>
      <c r="S324" s="0" t="n">
        <v>0</v>
      </c>
      <c r="T324" s="0" t="s">
        <v>624</v>
      </c>
      <c r="U324" s="0" t="s">
        <v>149</v>
      </c>
      <c r="V324" s="0" t="s">
        <v>624</v>
      </c>
      <c r="W324" s="0" t="s">
        <v>569</v>
      </c>
      <c r="X324" s="0" t="s">
        <v>624</v>
      </c>
      <c r="Y324" s="0" t="s">
        <v>627</v>
      </c>
      <c r="Z324" s="0" t="s">
        <v>629</v>
      </c>
      <c r="AA324" s="0" t="s">
        <v>624</v>
      </c>
      <c r="AB324" s="0" t="s">
        <v>580</v>
      </c>
      <c r="AC324" s="254" t="n">
        <v>-1000000</v>
      </c>
      <c r="AD324" s="254" t="n">
        <v>-593.531025558143</v>
      </c>
      <c r="AE324" s="0" t="n">
        <v>0</v>
      </c>
      <c r="AF324" s="0" t="n">
        <v>0</v>
      </c>
      <c r="AG324" s="0" t="n">
        <v>0</v>
      </c>
      <c r="AH324" s="254" t="n">
        <v>-36.0331437836036</v>
      </c>
      <c r="AI324" s="0" t="n">
        <v>226</v>
      </c>
      <c r="AJ324" s="0" t="s">
        <v>630</v>
      </c>
      <c r="AK324" s="0" t="n">
        <v>0</v>
      </c>
      <c r="AL324" s="0" t="n">
        <v>0</v>
      </c>
      <c r="AM324" s="0" t="n">
        <v>0</v>
      </c>
    </row>
    <row r="325" customFormat="false" ht="12.75" hidden="false" customHeight="false" outlineLevel="0" collapsed="false">
      <c r="A325" s="0" t="s">
        <v>631</v>
      </c>
      <c r="B325" s="0" t="s">
        <v>316</v>
      </c>
      <c r="C325" s="0" t="s">
        <v>622</v>
      </c>
      <c r="D325" s="0" t="s">
        <v>623</v>
      </c>
      <c r="E325" s="0" t="s">
        <v>131</v>
      </c>
      <c r="F325" s="0" t="s">
        <v>198</v>
      </c>
      <c r="G325" s="0" t="s">
        <v>628</v>
      </c>
      <c r="H325" s="0" t="s">
        <v>625</v>
      </c>
      <c r="I325" s="0" t="s">
        <v>626</v>
      </c>
      <c r="J325" s="0" t="s">
        <v>627</v>
      </c>
      <c r="K325" s="475" t="n">
        <v>36800</v>
      </c>
      <c r="L325" s="254" t="n">
        <v>-758.923880181394</v>
      </c>
      <c r="M325" s="475" t="n">
        <v>36797</v>
      </c>
      <c r="N325" s="0" t="s">
        <v>136</v>
      </c>
      <c r="O325" s="0" t="n">
        <v>0.7</v>
      </c>
      <c r="P325" s="0" t="n">
        <v>0</v>
      </c>
      <c r="Q325" s="0" t="n">
        <v>0</v>
      </c>
      <c r="R325" s="0" t="n">
        <v>0</v>
      </c>
      <c r="S325" s="0" t="n">
        <v>0</v>
      </c>
      <c r="T325" s="0" t="s">
        <v>624</v>
      </c>
      <c r="U325" s="0" t="s">
        <v>149</v>
      </c>
      <c r="V325" s="0" t="s">
        <v>624</v>
      </c>
      <c r="W325" s="0" t="s">
        <v>569</v>
      </c>
      <c r="X325" s="0" t="s">
        <v>624</v>
      </c>
      <c r="Y325" s="0" t="s">
        <v>627</v>
      </c>
      <c r="Z325" s="0" t="s">
        <v>629</v>
      </c>
      <c r="AA325" s="0" t="s">
        <v>624</v>
      </c>
      <c r="AB325" s="0" t="s">
        <v>580</v>
      </c>
      <c r="AC325" s="254" t="n">
        <v>-1000000</v>
      </c>
      <c r="AD325" s="254" t="n">
        <v>-593.531025558143</v>
      </c>
      <c r="AE325" s="0" t="n">
        <v>0</v>
      </c>
      <c r="AF325" s="0" t="n">
        <v>0</v>
      </c>
      <c r="AG325" s="0" t="n">
        <v>0</v>
      </c>
      <c r="AH325" s="254" t="n">
        <v>-36.0331437836036</v>
      </c>
      <c r="AI325" s="0" t="n">
        <v>226</v>
      </c>
      <c r="AJ325" s="0" t="s">
        <v>630</v>
      </c>
      <c r="AK325" s="0" t="n">
        <v>0</v>
      </c>
      <c r="AL325" s="0" t="n">
        <v>0</v>
      </c>
      <c r="AM325" s="0" t="n">
        <v>0</v>
      </c>
    </row>
    <row r="326" customFormat="false" ht="12.75" hidden="false" customHeight="false" outlineLevel="0" collapsed="false">
      <c r="A326" s="0" t="s">
        <v>631</v>
      </c>
      <c r="B326" s="0" t="s">
        <v>317</v>
      </c>
      <c r="C326" s="0" t="s">
        <v>622</v>
      </c>
      <c r="D326" s="0" t="s">
        <v>623</v>
      </c>
      <c r="E326" s="0" t="s">
        <v>131</v>
      </c>
      <c r="F326" s="0" t="s">
        <v>210</v>
      </c>
      <c r="G326" s="0" t="s">
        <v>628</v>
      </c>
      <c r="H326" s="0" t="s">
        <v>625</v>
      </c>
      <c r="I326" s="0" t="s">
        <v>626</v>
      </c>
      <c r="J326" s="0" t="s">
        <v>627</v>
      </c>
      <c r="K326" s="475" t="n">
        <v>36800</v>
      </c>
      <c r="L326" s="254" t="n">
        <v>115742.623955223</v>
      </c>
      <c r="M326" s="475" t="n">
        <v>36797</v>
      </c>
      <c r="N326" s="0" t="s">
        <v>132</v>
      </c>
      <c r="O326" s="0" t="n">
        <v>0.4</v>
      </c>
      <c r="P326" s="0" t="n">
        <v>0</v>
      </c>
      <c r="Q326" s="0" t="n">
        <v>0</v>
      </c>
      <c r="R326" s="0" t="n">
        <v>0</v>
      </c>
      <c r="S326" s="0" t="n">
        <v>0</v>
      </c>
      <c r="T326" s="0" t="s">
        <v>624</v>
      </c>
      <c r="U326" s="0" t="s">
        <v>149</v>
      </c>
      <c r="V326" s="0" t="s">
        <v>624</v>
      </c>
      <c r="W326" s="0" t="s">
        <v>569</v>
      </c>
      <c r="X326" s="0" t="s">
        <v>624</v>
      </c>
      <c r="Y326" s="0" t="s">
        <v>627</v>
      </c>
      <c r="Z326" s="0" t="s">
        <v>629</v>
      </c>
      <c r="AA326" s="0" t="s">
        <v>624</v>
      </c>
      <c r="AB326" s="0" t="s">
        <v>580</v>
      </c>
      <c r="AC326" s="254" t="n">
        <v>3100000</v>
      </c>
      <c r="AD326" s="254" t="n">
        <v>20232.8551050494</v>
      </c>
      <c r="AE326" s="0" t="n">
        <v>0</v>
      </c>
      <c r="AF326" s="0" t="n">
        <v>0</v>
      </c>
      <c r="AG326" s="0" t="n">
        <v>0</v>
      </c>
      <c r="AH326" s="254" t="n">
        <v>1152.55547557531</v>
      </c>
      <c r="AI326" s="0" t="n">
        <v>226</v>
      </c>
      <c r="AJ326" s="0" t="s">
        <v>630</v>
      </c>
      <c r="AK326" s="0" t="n">
        <v>0</v>
      </c>
      <c r="AL326" s="0" t="n">
        <v>0</v>
      </c>
      <c r="AM326" s="0" t="n">
        <v>0</v>
      </c>
    </row>
    <row r="327" customFormat="false" ht="12.75" hidden="false" customHeight="false" outlineLevel="0" collapsed="false">
      <c r="A327" s="0" t="s">
        <v>631</v>
      </c>
      <c r="B327" s="0" t="s">
        <v>318</v>
      </c>
      <c r="C327" s="0" t="s">
        <v>622</v>
      </c>
      <c r="D327" s="0" t="s">
        <v>623</v>
      </c>
      <c r="E327" s="0" t="s">
        <v>131</v>
      </c>
      <c r="F327" s="0" t="s">
        <v>198</v>
      </c>
      <c r="G327" s="0" t="s">
        <v>628</v>
      </c>
      <c r="H327" s="0" t="s">
        <v>625</v>
      </c>
      <c r="I327" s="0" t="s">
        <v>626</v>
      </c>
      <c r="J327" s="0" t="s">
        <v>627</v>
      </c>
      <c r="K327" s="475" t="n">
        <v>36831</v>
      </c>
      <c r="L327" s="254" t="n">
        <v>-53535.9340440782</v>
      </c>
      <c r="M327" s="475" t="n">
        <v>36829</v>
      </c>
      <c r="N327" s="0" t="s">
        <v>132</v>
      </c>
      <c r="O327" s="0" t="n">
        <v>0.4</v>
      </c>
      <c r="P327" s="0" t="n">
        <v>0</v>
      </c>
      <c r="Q327" s="0" t="n">
        <v>0</v>
      </c>
      <c r="R327" s="0" t="n">
        <v>0</v>
      </c>
      <c r="S327" s="0" t="n">
        <v>0</v>
      </c>
      <c r="T327" s="0" t="s">
        <v>624</v>
      </c>
      <c r="U327" s="0" t="s">
        <v>149</v>
      </c>
      <c r="V327" s="0" t="s">
        <v>624</v>
      </c>
      <c r="W327" s="0" t="s">
        <v>569</v>
      </c>
      <c r="X327" s="0" t="s">
        <v>624</v>
      </c>
      <c r="Y327" s="0" t="s">
        <v>627</v>
      </c>
      <c r="Z327" s="0" t="s">
        <v>629</v>
      </c>
      <c r="AA327" s="0" t="s">
        <v>624</v>
      </c>
      <c r="AB327" s="0" t="s">
        <v>580</v>
      </c>
      <c r="AC327" s="254" t="n">
        <v>-500000</v>
      </c>
      <c r="AD327" s="254" t="n">
        <v>-19539.2085933835</v>
      </c>
      <c r="AE327" s="0" t="n">
        <v>0</v>
      </c>
      <c r="AF327" s="0" t="n">
        <v>0</v>
      </c>
      <c r="AG327" s="0" t="n">
        <v>0</v>
      </c>
      <c r="AH327" s="254" t="n">
        <v>4273.70471593802</v>
      </c>
      <c r="AI327" s="0" t="n">
        <v>226</v>
      </c>
      <c r="AJ327" s="0" t="s">
        <v>630</v>
      </c>
      <c r="AK327" s="0" t="n">
        <v>0</v>
      </c>
      <c r="AL327" s="0" t="n">
        <v>0</v>
      </c>
      <c r="AM327" s="0" t="n">
        <v>0</v>
      </c>
    </row>
    <row r="328" customFormat="false" ht="12.75" hidden="false" customHeight="false" outlineLevel="0" collapsed="false">
      <c r="A328" s="0" t="s">
        <v>631</v>
      </c>
      <c r="B328" s="0" t="s">
        <v>319</v>
      </c>
      <c r="C328" s="0" t="s">
        <v>622</v>
      </c>
      <c r="D328" s="0" t="s">
        <v>623</v>
      </c>
      <c r="E328" s="0" t="s">
        <v>131</v>
      </c>
      <c r="F328" s="0" t="s">
        <v>309</v>
      </c>
      <c r="G328" s="0" t="s">
        <v>628</v>
      </c>
      <c r="H328" s="0" t="s">
        <v>625</v>
      </c>
      <c r="I328" s="0" t="s">
        <v>626</v>
      </c>
      <c r="J328" s="0" t="s">
        <v>627</v>
      </c>
      <c r="K328" s="475" t="n">
        <v>36831</v>
      </c>
      <c r="L328" s="254" t="n">
        <v>53535.9340440782</v>
      </c>
      <c r="M328" s="475" t="n">
        <v>36829</v>
      </c>
      <c r="N328" s="0" t="s">
        <v>132</v>
      </c>
      <c r="O328" s="0" t="n">
        <v>0.4</v>
      </c>
      <c r="P328" s="0" t="n">
        <v>0</v>
      </c>
      <c r="Q328" s="0" t="n">
        <v>0</v>
      </c>
      <c r="R328" s="0" t="n">
        <v>0</v>
      </c>
      <c r="S328" s="0" t="n">
        <v>0</v>
      </c>
      <c r="T328" s="0" t="s">
        <v>624</v>
      </c>
      <c r="U328" s="0" t="s">
        <v>149</v>
      </c>
      <c r="V328" s="0" t="s">
        <v>624</v>
      </c>
      <c r="W328" s="0" t="s">
        <v>569</v>
      </c>
      <c r="X328" s="0" t="s">
        <v>624</v>
      </c>
      <c r="Y328" s="0" t="s">
        <v>627</v>
      </c>
      <c r="Z328" s="0" t="s">
        <v>629</v>
      </c>
      <c r="AA328" s="0" t="s">
        <v>624</v>
      </c>
      <c r="AB328" s="0" t="s">
        <v>580</v>
      </c>
      <c r="AC328" s="254" t="n">
        <v>500000</v>
      </c>
      <c r="AD328" s="254" t="n">
        <v>19539.2085933835</v>
      </c>
      <c r="AE328" s="0" t="n">
        <v>0</v>
      </c>
      <c r="AF328" s="0" t="n">
        <v>0</v>
      </c>
      <c r="AG328" s="0" t="n">
        <v>0</v>
      </c>
      <c r="AH328" s="254" t="n">
        <v>-4273.70471593802</v>
      </c>
      <c r="AI328" s="0" t="n">
        <v>226</v>
      </c>
      <c r="AJ328" s="0" t="s">
        <v>630</v>
      </c>
      <c r="AK328" s="0" t="n">
        <v>0</v>
      </c>
      <c r="AL328" s="0" t="n">
        <v>0</v>
      </c>
      <c r="AM328" s="0" t="n">
        <v>0</v>
      </c>
    </row>
    <row r="329" customFormat="false" ht="12.75" hidden="false" customHeight="false" outlineLevel="0" collapsed="false">
      <c r="A329" s="0" t="s">
        <v>631</v>
      </c>
      <c r="B329" s="0" t="s">
        <v>320</v>
      </c>
      <c r="C329" s="0" t="s">
        <v>622</v>
      </c>
      <c r="D329" s="0" t="s">
        <v>623</v>
      </c>
      <c r="E329" s="0" t="s">
        <v>131</v>
      </c>
      <c r="F329" s="0" t="s">
        <v>198</v>
      </c>
      <c r="G329" s="0" t="s">
        <v>628</v>
      </c>
      <c r="H329" s="0" t="s">
        <v>625</v>
      </c>
      <c r="I329" s="0" t="s">
        <v>626</v>
      </c>
      <c r="J329" s="0" t="s">
        <v>627</v>
      </c>
      <c r="K329" s="475" t="n">
        <v>36800</v>
      </c>
      <c r="L329" s="254" t="n">
        <v>-470.532805712465</v>
      </c>
      <c r="M329" s="475" t="n">
        <v>36797</v>
      </c>
      <c r="N329" s="0" t="s">
        <v>136</v>
      </c>
      <c r="O329" s="0" t="n">
        <v>0.7</v>
      </c>
      <c r="P329" s="0" t="n">
        <v>0</v>
      </c>
      <c r="Q329" s="0" t="n">
        <v>0</v>
      </c>
      <c r="R329" s="0" t="n">
        <v>0</v>
      </c>
      <c r="S329" s="0" t="n">
        <v>0</v>
      </c>
      <c r="T329" s="0" t="s">
        <v>624</v>
      </c>
      <c r="U329" s="0" t="s">
        <v>149</v>
      </c>
      <c r="V329" s="0" t="s">
        <v>624</v>
      </c>
      <c r="W329" s="0" t="s">
        <v>569</v>
      </c>
      <c r="X329" s="0" t="s">
        <v>624</v>
      </c>
      <c r="Y329" s="0" t="s">
        <v>627</v>
      </c>
      <c r="Z329" s="0" t="s">
        <v>629</v>
      </c>
      <c r="AA329" s="0" t="s">
        <v>624</v>
      </c>
      <c r="AB329" s="0" t="s">
        <v>580</v>
      </c>
      <c r="AC329" s="254" t="n">
        <v>-620000</v>
      </c>
      <c r="AD329" s="254" t="n">
        <v>-367.989235846047</v>
      </c>
      <c r="AE329" s="0" t="n">
        <v>0</v>
      </c>
      <c r="AF329" s="0" t="n">
        <v>0</v>
      </c>
      <c r="AG329" s="0" t="n">
        <v>0</v>
      </c>
      <c r="AH329" s="254" t="n">
        <v>-22.3405491458342</v>
      </c>
      <c r="AI329" s="0" t="n">
        <v>226</v>
      </c>
      <c r="AJ329" s="0" t="s">
        <v>630</v>
      </c>
      <c r="AK329" s="0" t="n">
        <v>0</v>
      </c>
      <c r="AL329" s="0" t="n">
        <v>0</v>
      </c>
      <c r="AM329" s="0" t="n">
        <v>0</v>
      </c>
    </row>
    <row r="330" customFormat="false" ht="12.75" hidden="false" customHeight="false" outlineLevel="0" collapsed="false">
      <c r="A330" s="0" t="s">
        <v>631</v>
      </c>
      <c r="B330" s="0" t="s">
        <v>321</v>
      </c>
      <c r="C330" s="0" t="s">
        <v>622</v>
      </c>
      <c r="D330" s="0" t="s">
        <v>623</v>
      </c>
      <c r="E330" s="0" t="s">
        <v>131</v>
      </c>
      <c r="F330" s="0" t="s">
        <v>198</v>
      </c>
      <c r="G330" s="0" t="s">
        <v>628</v>
      </c>
      <c r="H330" s="0" t="s">
        <v>625</v>
      </c>
      <c r="I330" s="0" t="s">
        <v>626</v>
      </c>
      <c r="J330" s="0" t="s">
        <v>627</v>
      </c>
      <c r="K330" s="475" t="n">
        <v>36951</v>
      </c>
      <c r="L330" s="254" t="n">
        <v>-11320.7577196799</v>
      </c>
      <c r="M330" s="475" t="n">
        <v>36949</v>
      </c>
      <c r="N330" s="0" t="s">
        <v>136</v>
      </c>
      <c r="O330" s="0" t="n">
        <v>5</v>
      </c>
      <c r="P330" s="0" t="n">
        <v>0</v>
      </c>
      <c r="Q330" s="0" t="n">
        <v>0</v>
      </c>
      <c r="R330" s="0" t="n">
        <v>0</v>
      </c>
      <c r="S330" s="0" t="n">
        <v>0</v>
      </c>
      <c r="T330" s="0" t="s">
        <v>624</v>
      </c>
      <c r="U330" s="0" t="s">
        <v>149</v>
      </c>
      <c r="V330" s="0" t="s">
        <v>624</v>
      </c>
      <c r="W330" s="0" t="s">
        <v>569</v>
      </c>
      <c r="X330" s="0" t="s">
        <v>624</v>
      </c>
      <c r="Y330" s="0" t="s">
        <v>627</v>
      </c>
      <c r="Z330" s="0" t="s">
        <v>629</v>
      </c>
      <c r="AA330" s="0" t="s">
        <v>624</v>
      </c>
      <c r="AB330" s="0" t="s">
        <v>580</v>
      </c>
      <c r="AC330" s="254" t="n">
        <v>-500000</v>
      </c>
      <c r="AD330" s="254" t="n">
        <v>-7288.86333437969</v>
      </c>
      <c r="AE330" s="0" t="n">
        <v>0</v>
      </c>
      <c r="AF330" s="0" t="n">
        <v>0</v>
      </c>
      <c r="AG330" s="0" t="n">
        <v>0</v>
      </c>
      <c r="AH330" s="254" t="n">
        <v>-1528.47754330655</v>
      </c>
      <c r="AI330" s="0" t="n">
        <v>226</v>
      </c>
      <c r="AJ330" s="0" t="s">
        <v>630</v>
      </c>
      <c r="AK330" s="0" t="n">
        <v>0</v>
      </c>
      <c r="AL330" s="0" t="n">
        <v>0</v>
      </c>
      <c r="AM330" s="0" t="n">
        <v>0</v>
      </c>
    </row>
    <row r="331" customFormat="false" ht="12.75" hidden="false" customHeight="false" outlineLevel="0" collapsed="false">
      <c r="A331" s="0" t="s">
        <v>631</v>
      </c>
      <c r="B331" s="0" t="s">
        <v>321</v>
      </c>
      <c r="C331" s="0" t="s">
        <v>622</v>
      </c>
      <c r="D331" s="0" t="s">
        <v>623</v>
      </c>
      <c r="E331" s="0" t="s">
        <v>131</v>
      </c>
      <c r="F331" s="0" t="s">
        <v>198</v>
      </c>
      <c r="G331" s="0" t="s">
        <v>628</v>
      </c>
      <c r="H331" s="0" t="s">
        <v>625</v>
      </c>
      <c r="I331" s="0" t="s">
        <v>626</v>
      </c>
      <c r="J331" s="0" t="s">
        <v>627</v>
      </c>
      <c r="K331" s="475" t="n">
        <v>36923</v>
      </c>
      <c r="L331" s="254" t="n">
        <v>-62428.7196163354</v>
      </c>
      <c r="M331" s="475" t="n">
        <v>36921</v>
      </c>
      <c r="N331" s="0" t="s">
        <v>136</v>
      </c>
      <c r="O331" s="0" t="n">
        <v>5</v>
      </c>
      <c r="P331" s="0" t="n">
        <v>0</v>
      </c>
      <c r="Q331" s="0" t="n">
        <v>0</v>
      </c>
      <c r="R331" s="0" t="n">
        <v>0</v>
      </c>
      <c r="S331" s="0" t="n">
        <v>0</v>
      </c>
      <c r="T331" s="0" t="s">
        <v>624</v>
      </c>
      <c r="U331" s="0" t="s">
        <v>149</v>
      </c>
      <c r="V331" s="0" t="s">
        <v>624</v>
      </c>
      <c r="W331" s="0" t="s">
        <v>569</v>
      </c>
      <c r="X331" s="0" t="s">
        <v>624</v>
      </c>
      <c r="Y331" s="0" t="s">
        <v>627</v>
      </c>
      <c r="Z331" s="0" t="s">
        <v>629</v>
      </c>
      <c r="AA331" s="0" t="s">
        <v>624</v>
      </c>
      <c r="AB331" s="0" t="s">
        <v>580</v>
      </c>
      <c r="AC331" s="254" t="n">
        <v>-500000</v>
      </c>
      <c r="AD331" s="254" t="n">
        <v>-20082.8624809745</v>
      </c>
      <c r="AE331" s="0" t="n">
        <v>0</v>
      </c>
      <c r="AF331" s="0" t="n">
        <v>0</v>
      </c>
      <c r="AG331" s="0" t="n">
        <v>0</v>
      </c>
      <c r="AH331" s="254" t="n">
        <v>-5834.98999834767</v>
      </c>
      <c r="AI331" s="0" t="n">
        <v>226</v>
      </c>
      <c r="AJ331" s="0" t="s">
        <v>630</v>
      </c>
      <c r="AK331" s="0" t="n">
        <v>0</v>
      </c>
      <c r="AL331" s="0" t="n">
        <v>0</v>
      </c>
      <c r="AM331" s="0" t="n">
        <v>0</v>
      </c>
    </row>
    <row r="332" customFormat="false" ht="12.75" hidden="false" customHeight="false" outlineLevel="0" collapsed="false">
      <c r="A332" s="0" t="s">
        <v>631</v>
      </c>
      <c r="B332" s="0" t="s">
        <v>321</v>
      </c>
      <c r="C332" s="0" t="s">
        <v>622</v>
      </c>
      <c r="D332" s="0" t="s">
        <v>623</v>
      </c>
      <c r="E332" s="0" t="s">
        <v>131</v>
      </c>
      <c r="F332" s="0" t="s">
        <v>198</v>
      </c>
      <c r="G332" s="0" t="s">
        <v>628</v>
      </c>
      <c r="H332" s="0" t="s">
        <v>625</v>
      </c>
      <c r="I332" s="0" t="s">
        <v>626</v>
      </c>
      <c r="J332" s="0" t="s">
        <v>627</v>
      </c>
      <c r="K332" s="475" t="n">
        <v>36892</v>
      </c>
      <c r="L332" s="254" t="n">
        <v>-53134.9549225536</v>
      </c>
      <c r="M332" s="475" t="n">
        <v>36888</v>
      </c>
      <c r="N332" s="0" t="s">
        <v>136</v>
      </c>
      <c r="O332" s="0" t="n">
        <v>5</v>
      </c>
      <c r="P332" s="0" t="n">
        <v>0</v>
      </c>
      <c r="Q332" s="0" t="n">
        <v>0</v>
      </c>
      <c r="R332" s="0" t="n">
        <v>0</v>
      </c>
      <c r="S332" s="0" t="n">
        <v>0</v>
      </c>
      <c r="T332" s="0" t="s">
        <v>624</v>
      </c>
      <c r="U332" s="0" t="s">
        <v>149</v>
      </c>
      <c r="V332" s="0" t="s">
        <v>624</v>
      </c>
      <c r="W332" s="0" t="s">
        <v>569</v>
      </c>
      <c r="X332" s="0" t="s">
        <v>624</v>
      </c>
      <c r="Y332" s="0" t="s">
        <v>627</v>
      </c>
      <c r="Z332" s="0" t="s">
        <v>629</v>
      </c>
      <c r="AA332" s="0" t="s">
        <v>624</v>
      </c>
      <c r="AB332" s="0" t="s">
        <v>580</v>
      </c>
      <c r="AC332" s="254" t="n">
        <v>-500000</v>
      </c>
      <c r="AD332" s="254" t="n">
        <v>-17238.7530669763</v>
      </c>
      <c r="AE332" s="0" t="n">
        <v>0</v>
      </c>
      <c r="AF332" s="0" t="n">
        <v>0</v>
      </c>
      <c r="AG332" s="0" t="n">
        <v>0</v>
      </c>
      <c r="AH332" s="254" t="n">
        <v>-4623.9531420781</v>
      </c>
      <c r="AI332" s="0" t="n">
        <v>226</v>
      </c>
      <c r="AJ332" s="0" t="s">
        <v>630</v>
      </c>
      <c r="AK332" s="0" t="n">
        <v>0</v>
      </c>
      <c r="AL332" s="0" t="n">
        <v>0</v>
      </c>
      <c r="AM332" s="0" t="n">
        <v>0</v>
      </c>
    </row>
    <row r="333" customFormat="false" ht="12.75" hidden="false" customHeight="false" outlineLevel="0" collapsed="false">
      <c r="A333" s="0" t="s">
        <v>631</v>
      </c>
      <c r="B333" s="0" t="s">
        <v>321</v>
      </c>
      <c r="C333" s="0" t="s">
        <v>622</v>
      </c>
      <c r="D333" s="0" t="s">
        <v>623</v>
      </c>
      <c r="E333" s="0" t="s">
        <v>131</v>
      </c>
      <c r="F333" s="0" t="s">
        <v>198</v>
      </c>
      <c r="G333" s="0" t="s">
        <v>628</v>
      </c>
      <c r="H333" s="0" t="s">
        <v>625</v>
      </c>
      <c r="I333" s="0" t="s">
        <v>626</v>
      </c>
      <c r="J333" s="0" t="s">
        <v>627</v>
      </c>
      <c r="K333" s="475" t="n">
        <v>36861</v>
      </c>
      <c r="L333" s="254" t="n">
        <v>-13094.2650736354</v>
      </c>
      <c r="M333" s="475" t="n">
        <v>36859</v>
      </c>
      <c r="N333" s="0" t="s">
        <v>136</v>
      </c>
      <c r="O333" s="0" t="n">
        <v>5</v>
      </c>
      <c r="P333" s="0" t="n">
        <v>0</v>
      </c>
      <c r="Q333" s="0" t="n">
        <v>0</v>
      </c>
      <c r="R333" s="0" t="n">
        <v>0</v>
      </c>
      <c r="S333" s="0" t="n">
        <v>0</v>
      </c>
      <c r="T333" s="0" t="s">
        <v>624</v>
      </c>
      <c r="U333" s="0" t="s">
        <v>149</v>
      </c>
      <c r="V333" s="0" t="s">
        <v>624</v>
      </c>
      <c r="W333" s="0" t="s">
        <v>569</v>
      </c>
      <c r="X333" s="0" t="s">
        <v>624</v>
      </c>
      <c r="Y333" s="0" t="s">
        <v>627</v>
      </c>
      <c r="Z333" s="0" t="s">
        <v>629</v>
      </c>
      <c r="AA333" s="0" t="s">
        <v>624</v>
      </c>
      <c r="AB333" s="0" t="s">
        <v>580</v>
      </c>
      <c r="AC333" s="254" t="n">
        <v>-500000</v>
      </c>
      <c r="AD333" s="254" t="n">
        <v>-6824.57105527569</v>
      </c>
      <c r="AE333" s="0" t="n">
        <v>0</v>
      </c>
      <c r="AF333" s="0" t="n">
        <v>0</v>
      </c>
      <c r="AG333" s="0" t="n">
        <v>0</v>
      </c>
      <c r="AH333" s="254" t="n">
        <v>-1385.40975674192</v>
      </c>
      <c r="AI333" s="0" t="n">
        <v>226</v>
      </c>
      <c r="AJ333" s="0" t="s">
        <v>630</v>
      </c>
      <c r="AK333" s="0" t="n">
        <v>0</v>
      </c>
      <c r="AL333" s="0" t="n">
        <v>0</v>
      </c>
      <c r="AM333" s="0" t="n">
        <v>0</v>
      </c>
    </row>
    <row r="334" customFormat="false" ht="12.75" hidden="false" customHeight="false" outlineLevel="0" collapsed="false">
      <c r="A334" s="0" t="s">
        <v>631</v>
      </c>
      <c r="B334" s="0" t="s">
        <v>321</v>
      </c>
      <c r="C334" s="0" t="s">
        <v>622</v>
      </c>
      <c r="D334" s="0" t="s">
        <v>623</v>
      </c>
      <c r="E334" s="0" t="s">
        <v>131</v>
      </c>
      <c r="F334" s="0" t="s">
        <v>198</v>
      </c>
      <c r="G334" s="0" t="s">
        <v>628</v>
      </c>
      <c r="H334" s="0" t="s">
        <v>625</v>
      </c>
      <c r="I334" s="0" t="s">
        <v>626</v>
      </c>
      <c r="J334" s="0" t="s">
        <v>627</v>
      </c>
      <c r="K334" s="475" t="n">
        <v>36831</v>
      </c>
      <c r="L334" s="254" t="n">
        <v>-10.4741665738138</v>
      </c>
      <c r="M334" s="475" t="n">
        <v>36829</v>
      </c>
      <c r="N334" s="0" t="s">
        <v>136</v>
      </c>
      <c r="O334" s="0" t="n">
        <v>5</v>
      </c>
      <c r="P334" s="0" t="n">
        <v>0</v>
      </c>
      <c r="Q334" s="0" t="n">
        <v>0</v>
      </c>
      <c r="R334" s="0" t="n">
        <v>0</v>
      </c>
      <c r="S334" s="0" t="n">
        <v>0</v>
      </c>
      <c r="T334" s="0" t="s">
        <v>624</v>
      </c>
      <c r="U334" s="0" t="s">
        <v>149</v>
      </c>
      <c r="V334" s="0" t="s">
        <v>624</v>
      </c>
      <c r="W334" s="0" t="s">
        <v>569</v>
      </c>
      <c r="X334" s="0" t="s">
        <v>624</v>
      </c>
      <c r="Y334" s="0" t="s">
        <v>627</v>
      </c>
      <c r="Z334" s="0" t="s">
        <v>629</v>
      </c>
      <c r="AA334" s="0" t="s">
        <v>624</v>
      </c>
      <c r="AB334" s="0" t="s">
        <v>580</v>
      </c>
      <c r="AC334" s="254" t="n">
        <v>-500000</v>
      </c>
      <c r="AD334" s="254" t="n">
        <v>-17.2368308730049</v>
      </c>
      <c r="AE334" s="0" t="n">
        <v>0</v>
      </c>
      <c r="AF334" s="0" t="n">
        <v>0</v>
      </c>
      <c r="AG334" s="0" t="n">
        <v>0</v>
      </c>
      <c r="AH334" s="254" t="n">
        <v>-3.55446351211168</v>
      </c>
      <c r="AI334" s="0" t="n">
        <v>226</v>
      </c>
      <c r="AJ334" s="0" t="s">
        <v>630</v>
      </c>
      <c r="AK334" s="0" t="n">
        <v>0</v>
      </c>
      <c r="AL334" s="0" t="n">
        <v>0</v>
      </c>
      <c r="AM334" s="0" t="n">
        <v>0</v>
      </c>
    </row>
    <row r="335" customFormat="false" ht="12.75" hidden="false" customHeight="false" outlineLevel="0" collapsed="false">
      <c r="A335" s="0" t="s">
        <v>631</v>
      </c>
      <c r="B335" s="0" t="s">
        <v>322</v>
      </c>
      <c r="C335" s="0" t="s">
        <v>622</v>
      </c>
      <c r="D335" s="0" t="s">
        <v>623</v>
      </c>
      <c r="E335" s="0" t="s">
        <v>131</v>
      </c>
      <c r="F335" s="0" t="s">
        <v>198</v>
      </c>
      <c r="G335" s="0" t="s">
        <v>628</v>
      </c>
      <c r="H335" s="0" t="s">
        <v>625</v>
      </c>
      <c r="I335" s="0" t="s">
        <v>626</v>
      </c>
      <c r="J335" s="0" t="s">
        <v>627</v>
      </c>
      <c r="K335" s="475" t="n">
        <v>36982</v>
      </c>
      <c r="L335" s="254" t="n">
        <v>-80776.2328483606</v>
      </c>
      <c r="M335" s="475" t="n">
        <v>36979</v>
      </c>
      <c r="N335" s="0" t="s">
        <v>132</v>
      </c>
      <c r="O335" s="0" t="n">
        <v>0.4</v>
      </c>
      <c r="P335" s="0" t="n">
        <v>0</v>
      </c>
      <c r="Q335" s="0" t="n">
        <v>0</v>
      </c>
      <c r="R335" s="0" t="n">
        <v>0</v>
      </c>
      <c r="S335" s="0" t="n">
        <v>0</v>
      </c>
      <c r="T335" s="0" t="s">
        <v>624</v>
      </c>
      <c r="U335" s="0" t="s">
        <v>149</v>
      </c>
      <c r="V335" s="0" t="s">
        <v>624</v>
      </c>
      <c r="W335" s="0" t="s">
        <v>569</v>
      </c>
      <c r="X335" s="0" t="s">
        <v>624</v>
      </c>
      <c r="Y335" s="0" t="s">
        <v>627</v>
      </c>
      <c r="Z335" s="0" t="s">
        <v>629</v>
      </c>
      <c r="AA335" s="0" t="s">
        <v>624</v>
      </c>
      <c r="AB335" s="0" t="s">
        <v>580</v>
      </c>
      <c r="AC335" s="254" t="n">
        <v>-1000000</v>
      </c>
      <c r="AD335" s="254" t="n">
        <v>-25230.051973363</v>
      </c>
      <c r="AE335" s="0" t="n">
        <v>0</v>
      </c>
      <c r="AF335" s="0" t="n">
        <v>0</v>
      </c>
      <c r="AG335" s="0" t="n">
        <v>0</v>
      </c>
      <c r="AH335" s="254" t="n">
        <v>-1202.35417190085</v>
      </c>
      <c r="AI335" s="0" t="n">
        <v>226</v>
      </c>
      <c r="AJ335" s="0" t="s">
        <v>630</v>
      </c>
      <c r="AK335" s="0" t="n">
        <v>0</v>
      </c>
      <c r="AL335" s="0" t="n">
        <v>0</v>
      </c>
      <c r="AM335" s="0" t="n">
        <v>0</v>
      </c>
    </row>
    <row r="336" customFormat="false" ht="12.75" hidden="false" customHeight="false" outlineLevel="0" collapsed="false">
      <c r="A336" s="0" t="s">
        <v>631</v>
      </c>
      <c r="B336" s="0" t="s">
        <v>323</v>
      </c>
      <c r="C336" s="0" t="s">
        <v>622</v>
      </c>
      <c r="D336" s="0" t="s">
        <v>623</v>
      </c>
      <c r="E336" s="0" t="s">
        <v>131</v>
      </c>
      <c r="F336" s="0" t="s">
        <v>198</v>
      </c>
      <c r="G336" s="0" t="s">
        <v>628</v>
      </c>
      <c r="H336" s="0" t="s">
        <v>625</v>
      </c>
      <c r="I336" s="0" t="s">
        <v>626</v>
      </c>
      <c r="J336" s="0" t="s">
        <v>627</v>
      </c>
      <c r="K336" s="475" t="n">
        <v>36982</v>
      </c>
      <c r="L336" s="254" t="n">
        <v>-74548.0841619564</v>
      </c>
      <c r="M336" s="475" t="n">
        <v>36979</v>
      </c>
      <c r="N336" s="0" t="s">
        <v>136</v>
      </c>
      <c r="O336" s="0" t="n">
        <v>0.7</v>
      </c>
      <c r="P336" s="0" t="n">
        <v>0</v>
      </c>
      <c r="Q336" s="0" t="n">
        <v>0</v>
      </c>
      <c r="R336" s="0" t="n">
        <v>0</v>
      </c>
      <c r="S336" s="0" t="n">
        <v>0</v>
      </c>
      <c r="T336" s="0" t="s">
        <v>624</v>
      </c>
      <c r="U336" s="0" t="s">
        <v>149</v>
      </c>
      <c r="V336" s="0" t="s">
        <v>624</v>
      </c>
      <c r="W336" s="0" t="s">
        <v>569</v>
      </c>
      <c r="X336" s="0" t="s">
        <v>624</v>
      </c>
      <c r="Y336" s="0" t="s">
        <v>627</v>
      </c>
      <c r="Z336" s="0" t="s">
        <v>629</v>
      </c>
      <c r="AA336" s="0" t="s">
        <v>624</v>
      </c>
      <c r="AB336" s="0" t="s">
        <v>580</v>
      </c>
      <c r="AC336" s="254" t="n">
        <v>-1000000</v>
      </c>
      <c r="AD336" s="254" t="n">
        <v>-21902.4850963094</v>
      </c>
      <c r="AE336" s="0" t="n">
        <v>0</v>
      </c>
      <c r="AF336" s="0" t="n">
        <v>0</v>
      </c>
      <c r="AG336" s="0" t="n">
        <v>0</v>
      </c>
      <c r="AH336" s="254" t="n">
        <v>-1042.24908708215</v>
      </c>
      <c r="AI336" s="0" t="n">
        <v>226</v>
      </c>
      <c r="AJ336" s="0" t="s">
        <v>630</v>
      </c>
      <c r="AK336" s="0" t="n">
        <v>0</v>
      </c>
      <c r="AL336" s="0" t="n">
        <v>0</v>
      </c>
      <c r="AM336" s="0" t="n">
        <v>0</v>
      </c>
    </row>
    <row r="337" customFormat="false" ht="12.75" hidden="false" customHeight="false" outlineLevel="0" collapsed="false">
      <c r="A337" s="0" t="s">
        <v>631</v>
      </c>
      <c r="B337" s="0" t="s">
        <v>324</v>
      </c>
      <c r="C337" s="0" t="s">
        <v>622</v>
      </c>
      <c r="D337" s="0" t="s">
        <v>623</v>
      </c>
      <c r="E337" s="0" t="s">
        <v>131</v>
      </c>
      <c r="F337" s="0" t="s">
        <v>198</v>
      </c>
      <c r="G337" s="0" t="s">
        <v>628</v>
      </c>
      <c r="H337" s="0" t="s">
        <v>625</v>
      </c>
      <c r="I337" s="0" t="s">
        <v>626</v>
      </c>
      <c r="J337" s="0" t="s">
        <v>627</v>
      </c>
      <c r="K337" s="475" t="n">
        <v>36951</v>
      </c>
      <c r="L337" s="254" t="n">
        <v>-164993.618616551</v>
      </c>
      <c r="M337" s="475" t="n">
        <v>36949</v>
      </c>
      <c r="N337" s="0" t="s">
        <v>136</v>
      </c>
      <c r="O337" s="0" t="n">
        <v>1.6</v>
      </c>
      <c r="P337" s="0" t="n">
        <v>0</v>
      </c>
      <c r="Q337" s="0" t="n">
        <v>0</v>
      </c>
      <c r="R337" s="0" t="n">
        <v>0</v>
      </c>
      <c r="S337" s="0" t="n">
        <v>0</v>
      </c>
      <c r="T337" s="0" t="s">
        <v>624</v>
      </c>
      <c r="U337" s="0" t="s">
        <v>149</v>
      </c>
      <c r="V337" s="0" t="s">
        <v>624</v>
      </c>
      <c r="W337" s="0" t="s">
        <v>569</v>
      </c>
      <c r="X337" s="0" t="s">
        <v>624</v>
      </c>
      <c r="Y337" s="0" t="s">
        <v>627</v>
      </c>
      <c r="Z337" s="0" t="s">
        <v>629</v>
      </c>
      <c r="AA337" s="0" t="s">
        <v>624</v>
      </c>
      <c r="AB337" s="0" t="s">
        <v>580</v>
      </c>
      <c r="AC337" s="254" t="n">
        <v>-500000</v>
      </c>
      <c r="AD337" s="254" t="n">
        <v>-40486.3019028012</v>
      </c>
      <c r="AE337" s="0" t="n">
        <v>0</v>
      </c>
      <c r="AF337" s="0" t="n">
        <v>0</v>
      </c>
      <c r="AG337" s="0" t="n">
        <v>0</v>
      </c>
      <c r="AH337" s="254" t="n">
        <v>-13572.421626798</v>
      </c>
      <c r="AI337" s="0" t="n">
        <v>226</v>
      </c>
      <c r="AJ337" s="0" t="s">
        <v>630</v>
      </c>
      <c r="AK337" s="0" t="n">
        <v>0</v>
      </c>
      <c r="AL337" s="0" t="n">
        <v>0</v>
      </c>
      <c r="AM337" s="0" t="n">
        <v>0</v>
      </c>
    </row>
    <row r="338" customFormat="false" ht="12.75" hidden="false" customHeight="false" outlineLevel="0" collapsed="false">
      <c r="A338" s="0" t="s">
        <v>631</v>
      </c>
      <c r="B338" s="0" t="s">
        <v>324</v>
      </c>
      <c r="C338" s="0" t="s">
        <v>622</v>
      </c>
      <c r="D338" s="0" t="s">
        <v>623</v>
      </c>
      <c r="E338" s="0" t="s">
        <v>131</v>
      </c>
      <c r="F338" s="0" t="s">
        <v>198</v>
      </c>
      <c r="G338" s="0" t="s">
        <v>628</v>
      </c>
      <c r="H338" s="0" t="s">
        <v>625</v>
      </c>
      <c r="I338" s="0" t="s">
        <v>626</v>
      </c>
      <c r="J338" s="0" t="s">
        <v>627</v>
      </c>
      <c r="K338" s="475" t="n">
        <v>36923</v>
      </c>
      <c r="L338" s="254" t="n">
        <v>-453075.250208886</v>
      </c>
      <c r="M338" s="475" t="n">
        <v>36921</v>
      </c>
      <c r="N338" s="0" t="s">
        <v>136</v>
      </c>
      <c r="O338" s="0" t="n">
        <v>1.6</v>
      </c>
      <c r="P338" s="0" t="n">
        <v>0</v>
      </c>
      <c r="Q338" s="0" t="n">
        <v>0</v>
      </c>
      <c r="R338" s="0" t="n">
        <v>0</v>
      </c>
      <c r="S338" s="0" t="n">
        <v>0</v>
      </c>
      <c r="T338" s="0" t="s">
        <v>624</v>
      </c>
      <c r="U338" s="0" t="s">
        <v>149</v>
      </c>
      <c r="V338" s="0" t="s">
        <v>624</v>
      </c>
      <c r="W338" s="0" t="s">
        <v>569</v>
      </c>
      <c r="X338" s="0" t="s">
        <v>624</v>
      </c>
      <c r="Y338" s="0" t="s">
        <v>627</v>
      </c>
      <c r="Z338" s="0" t="s">
        <v>629</v>
      </c>
      <c r="AA338" s="0" t="s">
        <v>624</v>
      </c>
      <c r="AB338" s="0" t="s">
        <v>580</v>
      </c>
      <c r="AC338" s="254" t="n">
        <v>-500000</v>
      </c>
      <c r="AD338" s="254" t="n">
        <v>-41984.3190253582</v>
      </c>
      <c r="AE338" s="0" t="n">
        <v>0</v>
      </c>
      <c r="AF338" s="0" t="n">
        <v>0</v>
      </c>
      <c r="AG338" s="0" t="n">
        <v>0</v>
      </c>
      <c r="AH338" s="254" t="n">
        <v>-24464.7308334743</v>
      </c>
      <c r="AI338" s="0" t="n">
        <v>226</v>
      </c>
      <c r="AJ338" s="0" t="s">
        <v>630</v>
      </c>
      <c r="AK338" s="0" t="n">
        <v>0</v>
      </c>
      <c r="AL338" s="0" t="n">
        <v>0</v>
      </c>
      <c r="AM338" s="0" t="n">
        <v>0</v>
      </c>
    </row>
    <row r="339" customFormat="false" ht="12.75" hidden="false" customHeight="false" outlineLevel="0" collapsed="false">
      <c r="A339" s="0" t="s">
        <v>631</v>
      </c>
      <c r="B339" s="0" t="s">
        <v>324</v>
      </c>
      <c r="C339" s="0" t="s">
        <v>622</v>
      </c>
      <c r="D339" s="0" t="s">
        <v>623</v>
      </c>
      <c r="E339" s="0" t="s">
        <v>131</v>
      </c>
      <c r="F339" s="0" t="s">
        <v>198</v>
      </c>
      <c r="G339" s="0" t="s">
        <v>628</v>
      </c>
      <c r="H339" s="0" t="s">
        <v>625</v>
      </c>
      <c r="I339" s="0" t="s">
        <v>626</v>
      </c>
      <c r="J339" s="0" t="s">
        <v>627</v>
      </c>
      <c r="K339" s="475" t="n">
        <v>36892</v>
      </c>
      <c r="L339" s="254" t="n">
        <v>-464051.028212785</v>
      </c>
      <c r="M339" s="475" t="n">
        <v>36888</v>
      </c>
      <c r="N339" s="0" t="s">
        <v>136</v>
      </c>
      <c r="O339" s="0" t="n">
        <v>1.6</v>
      </c>
      <c r="P339" s="0" t="n">
        <v>0</v>
      </c>
      <c r="Q339" s="0" t="n">
        <v>0</v>
      </c>
      <c r="R339" s="0" t="n">
        <v>0</v>
      </c>
      <c r="S339" s="0" t="n">
        <v>0</v>
      </c>
      <c r="T339" s="0" t="s">
        <v>624</v>
      </c>
      <c r="U339" s="0" t="s">
        <v>149</v>
      </c>
      <c r="V339" s="0" t="s">
        <v>624</v>
      </c>
      <c r="W339" s="0" t="s">
        <v>569</v>
      </c>
      <c r="X339" s="0" t="s">
        <v>624</v>
      </c>
      <c r="Y339" s="0" t="s">
        <v>627</v>
      </c>
      <c r="Z339" s="0" t="s">
        <v>629</v>
      </c>
      <c r="AA339" s="0" t="s">
        <v>624</v>
      </c>
      <c r="AB339" s="0" t="s">
        <v>580</v>
      </c>
      <c r="AC339" s="254" t="n">
        <v>-500000</v>
      </c>
      <c r="AD339" s="254" t="n">
        <v>-37672.5296271704</v>
      </c>
      <c r="AE339" s="0" t="n">
        <v>0</v>
      </c>
      <c r="AF339" s="0" t="n">
        <v>0</v>
      </c>
      <c r="AG339" s="0" t="n">
        <v>0</v>
      </c>
      <c r="AH339" s="254" t="n">
        <v>-21769.1083987984</v>
      </c>
      <c r="AI339" s="0" t="n">
        <v>226</v>
      </c>
      <c r="AJ339" s="0" t="s">
        <v>630</v>
      </c>
      <c r="AK339" s="0" t="n">
        <v>0</v>
      </c>
      <c r="AL339" s="0" t="n">
        <v>0</v>
      </c>
      <c r="AM339" s="0" t="n">
        <v>0</v>
      </c>
    </row>
    <row r="340" customFormat="false" ht="12.75" hidden="false" customHeight="false" outlineLevel="0" collapsed="false">
      <c r="A340" s="0" t="s">
        <v>631</v>
      </c>
      <c r="B340" s="0" t="s">
        <v>324</v>
      </c>
      <c r="C340" s="0" t="s">
        <v>622</v>
      </c>
      <c r="D340" s="0" t="s">
        <v>623</v>
      </c>
      <c r="E340" s="0" t="s">
        <v>131</v>
      </c>
      <c r="F340" s="0" t="s">
        <v>198</v>
      </c>
      <c r="G340" s="0" t="s">
        <v>628</v>
      </c>
      <c r="H340" s="0" t="s">
        <v>625</v>
      </c>
      <c r="I340" s="0" t="s">
        <v>626</v>
      </c>
      <c r="J340" s="0" t="s">
        <v>627</v>
      </c>
      <c r="K340" s="475" t="n">
        <v>36861</v>
      </c>
      <c r="L340" s="254" t="n">
        <v>-267671.475447127</v>
      </c>
      <c r="M340" s="475" t="n">
        <v>36859</v>
      </c>
      <c r="N340" s="0" t="s">
        <v>136</v>
      </c>
      <c r="O340" s="0" t="n">
        <v>1.6</v>
      </c>
      <c r="P340" s="0" t="n">
        <v>0</v>
      </c>
      <c r="Q340" s="0" t="n">
        <v>0</v>
      </c>
      <c r="R340" s="0" t="n">
        <v>0</v>
      </c>
      <c r="S340" s="0" t="n">
        <v>0</v>
      </c>
      <c r="T340" s="0" t="s">
        <v>624</v>
      </c>
      <c r="U340" s="0" t="s">
        <v>149</v>
      </c>
      <c r="V340" s="0" t="s">
        <v>624</v>
      </c>
      <c r="W340" s="0" t="s">
        <v>569</v>
      </c>
      <c r="X340" s="0" t="s">
        <v>624</v>
      </c>
      <c r="Y340" s="0" t="s">
        <v>627</v>
      </c>
      <c r="Z340" s="0" t="s">
        <v>629</v>
      </c>
      <c r="AA340" s="0" t="s">
        <v>624</v>
      </c>
      <c r="AB340" s="0" t="s">
        <v>580</v>
      </c>
      <c r="AC340" s="254" t="n">
        <v>-500000</v>
      </c>
      <c r="AD340" s="254" t="n">
        <v>-35401.2014237187</v>
      </c>
      <c r="AE340" s="0" t="n">
        <v>0</v>
      </c>
      <c r="AF340" s="0" t="n">
        <v>0</v>
      </c>
      <c r="AG340" s="0" t="n">
        <v>0</v>
      </c>
      <c r="AH340" s="254" t="n">
        <v>-13921.8512695827</v>
      </c>
      <c r="AI340" s="0" t="n">
        <v>226</v>
      </c>
      <c r="AJ340" s="0" t="s">
        <v>630</v>
      </c>
      <c r="AK340" s="0" t="n">
        <v>0</v>
      </c>
      <c r="AL340" s="0" t="n">
        <v>0</v>
      </c>
      <c r="AM340" s="0" t="n">
        <v>0</v>
      </c>
    </row>
    <row r="341" customFormat="false" ht="12.75" hidden="false" customHeight="false" outlineLevel="0" collapsed="false">
      <c r="A341" s="0" t="s">
        <v>631</v>
      </c>
      <c r="B341" s="0" t="s">
        <v>324</v>
      </c>
      <c r="C341" s="0" t="s">
        <v>622</v>
      </c>
      <c r="D341" s="0" t="s">
        <v>623</v>
      </c>
      <c r="E341" s="0" t="s">
        <v>131</v>
      </c>
      <c r="F341" s="0" t="s">
        <v>198</v>
      </c>
      <c r="G341" s="0" t="s">
        <v>628</v>
      </c>
      <c r="H341" s="0" t="s">
        <v>625</v>
      </c>
      <c r="I341" s="0" t="s">
        <v>626</v>
      </c>
      <c r="J341" s="0" t="s">
        <v>627</v>
      </c>
      <c r="K341" s="475" t="n">
        <v>36831</v>
      </c>
      <c r="L341" s="254" t="n">
        <v>-24777.4772968778</v>
      </c>
      <c r="M341" s="475" t="n">
        <v>36829</v>
      </c>
      <c r="N341" s="0" t="s">
        <v>136</v>
      </c>
      <c r="O341" s="0" t="n">
        <v>1.6</v>
      </c>
      <c r="P341" s="0" t="n">
        <v>0</v>
      </c>
      <c r="Q341" s="0" t="n">
        <v>0</v>
      </c>
      <c r="R341" s="0" t="n">
        <v>0</v>
      </c>
      <c r="S341" s="0" t="n">
        <v>0</v>
      </c>
      <c r="T341" s="0" t="s">
        <v>624</v>
      </c>
      <c r="U341" s="0" t="s">
        <v>149</v>
      </c>
      <c r="V341" s="0" t="s">
        <v>624</v>
      </c>
      <c r="W341" s="0" t="s">
        <v>569</v>
      </c>
      <c r="X341" s="0" t="s">
        <v>624</v>
      </c>
      <c r="Y341" s="0" t="s">
        <v>627</v>
      </c>
      <c r="Z341" s="0" t="s">
        <v>629</v>
      </c>
      <c r="AA341" s="0" t="s">
        <v>624</v>
      </c>
      <c r="AB341" s="0" t="s">
        <v>580</v>
      </c>
      <c r="AC341" s="254" t="n">
        <v>-500000</v>
      </c>
      <c r="AD341" s="254" t="n">
        <v>-11503.9442741136</v>
      </c>
      <c r="AE341" s="0" t="n">
        <v>0</v>
      </c>
      <c r="AF341" s="0" t="n">
        <v>0</v>
      </c>
      <c r="AG341" s="0" t="n">
        <v>0</v>
      </c>
      <c r="AH341" s="254" t="n">
        <v>-3479.1637170616</v>
      </c>
      <c r="AI341" s="0" t="n">
        <v>226</v>
      </c>
      <c r="AJ341" s="0" t="s">
        <v>630</v>
      </c>
      <c r="AK341" s="0" t="n">
        <v>0</v>
      </c>
      <c r="AL341" s="0" t="n">
        <v>0</v>
      </c>
      <c r="AM341" s="0" t="n">
        <v>0</v>
      </c>
    </row>
    <row r="342" customFormat="false" ht="12.75" hidden="false" customHeight="false" outlineLevel="0" collapsed="false">
      <c r="A342" s="0" t="s">
        <v>631</v>
      </c>
      <c r="B342" s="0" t="s">
        <v>325</v>
      </c>
      <c r="C342" s="0" t="s">
        <v>622</v>
      </c>
      <c r="D342" s="0" t="s">
        <v>623</v>
      </c>
      <c r="E342" s="0" t="s">
        <v>131</v>
      </c>
      <c r="F342" s="0" t="s">
        <v>198</v>
      </c>
      <c r="G342" s="0" t="s">
        <v>628</v>
      </c>
      <c r="H342" s="0" t="s">
        <v>625</v>
      </c>
      <c r="I342" s="0" t="s">
        <v>626</v>
      </c>
      <c r="J342" s="0" t="s">
        <v>627</v>
      </c>
      <c r="K342" s="475" t="n">
        <v>36951</v>
      </c>
      <c r="L342" s="254" t="n">
        <v>-418589.113071264</v>
      </c>
      <c r="M342" s="475" t="n">
        <v>36949</v>
      </c>
      <c r="N342" s="0" t="s">
        <v>132</v>
      </c>
      <c r="O342" s="0" t="n">
        <v>1.6</v>
      </c>
      <c r="P342" s="0" t="n">
        <v>0</v>
      </c>
      <c r="Q342" s="0" t="n">
        <v>0</v>
      </c>
      <c r="R342" s="0" t="n">
        <v>0</v>
      </c>
      <c r="S342" s="0" t="n">
        <v>0</v>
      </c>
      <c r="T342" s="0" t="s">
        <v>624</v>
      </c>
      <c r="U342" s="0" t="s">
        <v>149</v>
      </c>
      <c r="V342" s="0" t="s">
        <v>624</v>
      </c>
      <c r="W342" s="0" t="s">
        <v>569</v>
      </c>
      <c r="X342" s="0" t="s">
        <v>624</v>
      </c>
      <c r="Y342" s="0" t="s">
        <v>627</v>
      </c>
      <c r="Z342" s="0" t="s">
        <v>629</v>
      </c>
      <c r="AA342" s="0" t="s">
        <v>624</v>
      </c>
      <c r="AB342" s="0" t="s">
        <v>580</v>
      </c>
      <c r="AC342" s="254" t="n">
        <v>-500000</v>
      </c>
      <c r="AD342" s="254" t="n">
        <v>-40486.3019028012</v>
      </c>
      <c r="AE342" s="0" t="n">
        <v>0</v>
      </c>
      <c r="AF342" s="0" t="n">
        <v>0</v>
      </c>
      <c r="AG342" s="0" t="n">
        <v>0</v>
      </c>
      <c r="AH342" s="254" t="n">
        <v>15395.6453269765</v>
      </c>
      <c r="AI342" s="0" t="n">
        <v>226</v>
      </c>
      <c r="AJ342" s="0" t="s">
        <v>630</v>
      </c>
      <c r="AK342" s="0" t="n">
        <v>0</v>
      </c>
      <c r="AL342" s="0" t="n">
        <v>0</v>
      </c>
      <c r="AM342" s="0" t="n">
        <v>0</v>
      </c>
    </row>
    <row r="343" customFormat="false" ht="12.75" hidden="false" customHeight="false" outlineLevel="0" collapsed="false">
      <c r="A343" s="0" t="s">
        <v>631</v>
      </c>
      <c r="B343" s="0" t="s">
        <v>325</v>
      </c>
      <c r="C343" s="0" t="s">
        <v>622</v>
      </c>
      <c r="D343" s="0" t="s">
        <v>623</v>
      </c>
      <c r="E343" s="0" t="s">
        <v>131</v>
      </c>
      <c r="F343" s="0" t="s">
        <v>198</v>
      </c>
      <c r="G343" s="0" t="s">
        <v>628</v>
      </c>
      <c r="H343" s="0" t="s">
        <v>625</v>
      </c>
      <c r="I343" s="0" t="s">
        <v>626</v>
      </c>
      <c r="J343" s="0" t="s">
        <v>627</v>
      </c>
      <c r="K343" s="475" t="n">
        <v>36923</v>
      </c>
      <c r="L343" s="254" t="n">
        <v>-215108.823405965</v>
      </c>
      <c r="M343" s="475" t="n">
        <v>36921</v>
      </c>
      <c r="N343" s="0" t="s">
        <v>132</v>
      </c>
      <c r="O343" s="0" t="n">
        <v>1.6</v>
      </c>
      <c r="P343" s="0" t="n">
        <v>0</v>
      </c>
      <c r="Q343" s="0" t="n">
        <v>0</v>
      </c>
      <c r="R343" s="0" t="n">
        <v>0</v>
      </c>
      <c r="S343" s="0" t="n">
        <v>0</v>
      </c>
      <c r="T343" s="0" t="s">
        <v>624</v>
      </c>
      <c r="U343" s="0" t="s">
        <v>149</v>
      </c>
      <c r="V343" s="0" t="s">
        <v>624</v>
      </c>
      <c r="W343" s="0" t="s">
        <v>569</v>
      </c>
      <c r="X343" s="0" t="s">
        <v>624</v>
      </c>
      <c r="Y343" s="0" t="s">
        <v>627</v>
      </c>
      <c r="Z343" s="0" t="s">
        <v>629</v>
      </c>
      <c r="AA343" s="0" t="s">
        <v>624</v>
      </c>
      <c r="AB343" s="0" t="s">
        <v>580</v>
      </c>
      <c r="AC343" s="254" t="n">
        <v>-500000</v>
      </c>
      <c r="AD343" s="254" t="n">
        <v>-41984.3190253582</v>
      </c>
      <c r="AE343" s="0" t="n">
        <v>0</v>
      </c>
      <c r="AF343" s="0" t="n">
        <v>0</v>
      </c>
      <c r="AG343" s="0" t="n">
        <v>0</v>
      </c>
      <c r="AH343" s="254" t="n">
        <v>9512.99747630197</v>
      </c>
      <c r="AI343" s="0" t="n">
        <v>226</v>
      </c>
      <c r="AJ343" s="0" t="s">
        <v>630</v>
      </c>
      <c r="AK343" s="0" t="n">
        <v>0</v>
      </c>
      <c r="AL343" s="0" t="n">
        <v>0</v>
      </c>
      <c r="AM343" s="0" t="n">
        <v>0</v>
      </c>
    </row>
    <row r="344" customFormat="false" ht="12.75" hidden="false" customHeight="false" outlineLevel="0" collapsed="false">
      <c r="A344" s="0" t="s">
        <v>631</v>
      </c>
      <c r="B344" s="0" t="s">
        <v>325</v>
      </c>
      <c r="C344" s="0" t="s">
        <v>622</v>
      </c>
      <c r="D344" s="0" t="s">
        <v>623</v>
      </c>
      <c r="E344" s="0" t="s">
        <v>131</v>
      </c>
      <c r="F344" s="0" t="s">
        <v>198</v>
      </c>
      <c r="G344" s="0" t="s">
        <v>628</v>
      </c>
      <c r="H344" s="0" t="s">
        <v>625</v>
      </c>
      <c r="I344" s="0" t="s">
        <v>626</v>
      </c>
      <c r="J344" s="0" t="s">
        <v>627</v>
      </c>
      <c r="K344" s="475" t="n">
        <v>36892</v>
      </c>
      <c r="L344" s="254" t="n">
        <v>-185486.210797771</v>
      </c>
      <c r="M344" s="475" t="n">
        <v>36888</v>
      </c>
      <c r="N344" s="0" t="s">
        <v>132</v>
      </c>
      <c r="O344" s="0" t="n">
        <v>1.6</v>
      </c>
      <c r="P344" s="0" t="n">
        <v>0</v>
      </c>
      <c r="Q344" s="0" t="n">
        <v>0</v>
      </c>
      <c r="R344" s="0" t="n">
        <v>0</v>
      </c>
      <c r="S344" s="0" t="n">
        <v>0</v>
      </c>
      <c r="T344" s="0" t="s">
        <v>624</v>
      </c>
      <c r="U344" s="0" t="s">
        <v>149</v>
      </c>
      <c r="V344" s="0" t="s">
        <v>624</v>
      </c>
      <c r="W344" s="0" t="s">
        <v>569</v>
      </c>
      <c r="X344" s="0" t="s">
        <v>624</v>
      </c>
      <c r="Y344" s="0" t="s">
        <v>627</v>
      </c>
      <c r="Z344" s="0" t="s">
        <v>629</v>
      </c>
      <c r="AA344" s="0" t="s">
        <v>624</v>
      </c>
      <c r="AB344" s="0" t="s">
        <v>580</v>
      </c>
      <c r="AC344" s="254" t="n">
        <v>-500000</v>
      </c>
      <c r="AD344" s="254" t="n">
        <v>-37672.5296271704</v>
      </c>
      <c r="AE344" s="0" t="n">
        <v>0</v>
      </c>
      <c r="AF344" s="0" t="n">
        <v>0</v>
      </c>
      <c r="AG344" s="0" t="n">
        <v>0</v>
      </c>
      <c r="AH344" s="254" t="n">
        <v>7537.87022616947</v>
      </c>
      <c r="AI344" s="0" t="n">
        <v>226</v>
      </c>
      <c r="AJ344" s="0" t="s">
        <v>630</v>
      </c>
      <c r="AK344" s="0" t="n">
        <v>0</v>
      </c>
      <c r="AL344" s="0" t="n">
        <v>0</v>
      </c>
      <c r="AM344" s="0" t="n">
        <v>0</v>
      </c>
    </row>
    <row r="345" customFormat="false" ht="12.75" hidden="false" customHeight="false" outlineLevel="0" collapsed="false">
      <c r="A345" s="0" t="s">
        <v>631</v>
      </c>
      <c r="B345" s="0" t="s">
        <v>325</v>
      </c>
      <c r="C345" s="0" t="s">
        <v>622</v>
      </c>
      <c r="D345" s="0" t="s">
        <v>623</v>
      </c>
      <c r="E345" s="0" t="s">
        <v>131</v>
      </c>
      <c r="F345" s="0" t="s">
        <v>198</v>
      </c>
      <c r="G345" s="0" t="s">
        <v>628</v>
      </c>
      <c r="H345" s="0" t="s">
        <v>625</v>
      </c>
      <c r="I345" s="0" t="s">
        <v>626</v>
      </c>
      <c r="J345" s="0" t="s">
        <v>627</v>
      </c>
      <c r="K345" s="475" t="n">
        <v>36861</v>
      </c>
      <c r="L345" s="254" t="n">
        <v>-245559.459185969</v>
      </c>
      <c r="M345" s="475" t="n">
        <v>36859</v>
      </c>
      <c r="N345" s="0" t="s">
        <v>132</v>
      </c>
      <c r="O345" s="0" t="n">
        <v>1.6</v>
      </c>
      <c r="P345" s="0" t="n">
        <v>0</v>
      </c>
      <c r="Q345" s="0" t="n">
        <v>0</v>
      </c>
      <c r="R345" s="0" t="n">
        <v>0</v>
      </c>
      <c r="S345" s="0" t="n">
        <v>0</v>
      </c>
      <c r="T345" s="0" t="s">
        <v>624</v>
      </c>
      <c r="U345" s="0" t="s">
        <v>149</v>
      </c>
      <c r="V345" s="0" t="s">
        <v>624</v>
      </c>
      <c r="W345" s="0" t="s">
        <v>569</v>
      </c>
      <c r="X345" s="0" t="s">
        <v>624</v>
      </c>
      <c r="Y345" s="0" t="s">
        <v>627</v>
      </c>
      <c r="Z345" s="0" t="s">
        <v>629</v>
      </c>
      <c r="AA345" s="0" t="s">
        <v>624</v>
      </c>
      <c r="AB345" s="0" t="s">
        <v>580</v>
      </c>
      <c r="AC345" s="254" t="n">
        <v>-500000</v>
      </c>
      <c r="AD345" s="254" t="n">
        <v>-35401.2014237187</v>
      </c>
      <c r="AE345" s="0" t="n">
        <v>0</v>
      </c>
      <c r="AF345" s="0" t="n">
        <v>0</v>
      </c>
      <c r="AG345" s="0" t="n">
        <v>0</v>
      </c>
      <c r="AH345" s="254" t="n">
        <v>8178.00160513603</v>
      </c>
      <c r="AI345" s="0" t="n">
        <v>226</v>
      </c>
      <c r="AJ345" s="0" t="s">
        <v>630</v>
      </c>
      <c r="AK345" s="0" t="n">
        <v>0</v>
      </c>
      <c r="AL345" s="0" t="n">
        <v>0</v>
      </c>
      <c r="AM345" s="0" t="n">
        <v>0</v>
      </c>
    </row>
    <row r="346" customFormat="false" ht="12.75" hidden="false" customHeight="false" outlineLevel="0" collapsed="false">
      <c r="A346" s="0" t="s">
        <v>631</v>
      </c>
      <c r="B346" s="0" t="s">
        <v>325</v>
      </c>
      <c r="C346" s="0" t="s">
        <v>622</v>
      </c>
      <c r="D346" s="0" t="s">
        <v>623</v>
      </c>
      <c r="E346" s="0" t="s">
        <v>131</v>
      </c>
      <c r="F346" s="0" t="s">
        <v>198</v>
      </c>
      <c r="G346" s="0" t="s">
        <v>628</v>
      </c>
      <c r="H346" s="0" t="s">
        <v>625</v>
      </c>
      <c r="I346" s="0" t="s">
        <v>626</v>
      </c>
      <c r="J346" s="0" t="s">
        <v>627</v>
      </c>
      <c r="K346" s="475" t="n">
        <v>36831</v>
      </c>
      <c r="L346" s="254" t="n">
        <v>-434930.843240284</v>
      </c>
      <c r="M346" s="475" t="n">
        <v>36829</v>
      </c>
      <c r="N346" s="0" t="s">
        <v>132</v>
      </c>
      <c r="O346" s="0" t="n">
        <v>1.6</v>
      </c>
      <c r="P346" s="0" t="n">
        <v>0</v>
      </c>
      <c r="Q346" s="0" t="n">
        <v>0</v>
      </c>
      <c r="R346" s="0" t="n">
        <v>0</v>
      </c>
      <c r="S346" s="0" t="n">
        <v>0</v>
      </c>
      <c r="T346" s="0" t="s">
        <v>624</v>
      </c>
      <c r="U346" s="0" t="s">
        <v>149</v>
      </c>
      <c r="V346" s="0" t="s">
        <v>624</v>
      </c>
      <c r="W346" s="0" t="s">
        <v>569</v>
      </c>
      <c r="X346" s="0" t="s">
        <v>624</v>
      </c>
      <c r="Y346" s="0" t="s">
        <v>627</v>
      </c>
      <c r="Z346" s="0" t="s">
        <v>629</v>
      </c>
      <c r="AA346" s="0" t="s">
        <v>624</v>
      </c>
      <c r="AB346" s="0" t="s">
        <v>580</v>
      </c>
      <c r="AC346" s="254" t="n">
        <v>-500000</v>
      </c>
      <c r="AD346" s="254" t="n">
        <v>-11503.9442741136</v>
      </c>
      <c r="AE346" s="0" t="n">
        <v>0</v>
      </c>
      <c r="AF346" s="0" t="n">
        <v>0</v>
      </c>
      <c r="AG346" s="0" t="n">
        <v>0</v>
      </c>
      <c r="AH346" s="254" t="n">
        <v>16276.3799892231</v>
      </c>
      <c r="AI346" s="0" t="n">
        <v>226</v>
      </c>
      <c r="AJ346" s="0" t="s">
        <v>630</v>
      </c>
      <c r="AK346" s="0" t="n">
        <v>0</v>
      </c>
      <c r="AL346" s="0" t="n">
        <v>0</v>
      </c>
      <c r="AM346" s="0" t="n">
        <v>0</v>
      </c>
    </row>
    <row r="347" customFormat="false" ht="12.75" hidden="false" customHeight="false" outlineLevel="0" collapsed="false">
      <c r="A347" s="0" t="s">
        <v>631</v>
      </c>
      <c r="B347" s="0" t="s">
        <v>326</v>
      </c>
      <c r="C347" s="0" t="s">
        <v>622</v>
      </c>
      <c r="D347" s="0" t="s">
        <v>623</v>
      </c>
      <c r="E347" s="0" t="s">
        <v>131</v>
      </c>
      <c r="F347" s="0" t="s">
        <v>198</v>
      </c>
      <c r="G347" s="0" t="s">
        <v>628</v>
      </c>
      <c r="H347" s="0" t="s">
        <v>625</v>
      </c>
      <c r="I347" s="0" t="s">
        <v>626</v>
      </c>
      <c r="J347" s="0" t="s">
        <v>627</v>
      </c>
      <c r="K347" s="475" t="n">
        <v>36923</v>
      </c>
      <c r="L347" s="254" t="n">
        <v>-268548.128159836</v>
      </c>
      <c r="M347" s="475" t="n">
        <v>36921</v>
      </c>
      <c r="N347" s="0" t="s">
        <v>136</v>
      </c>
      <c r="O347" s="0" t="n">
        <v>2.5</v>
      </c>
      <c r="P347" s="0" t="n">
        <v>0</v>
      </c>
      <c r="Q347" s="0" t="n">
        <v>0</v>
      </c>
      <c r="R347" s="0" t="n">
        <v>0</v>
      </c>
      <c r="S347" s="0" t="n">
        <v>0</v>
      </c>
      <c r="T347" s="0" t="s">
        <v>624</v>
      </c>
      <c r="U347" s="0" t="s">
        <v>149</v>
      </c>
      <c r="V347" s="0" t="s">
        <v>624</v>
      </c>
      <c r="W347" s="0" t="s">
        <v>569</v>
      </c>
      <c r="X347" s="0" t="s">
        <v>624</v>
      </c>
      <c r="Y347" s="0" t="s">
        <v>627</v>
      </c>
      <c r="Z347" s="0" t="s">
        <v>629</v>
      </c>
      <c r="AA347" s="0" t="s">
        <v>624</v>
      </c>
      <c r="AB347" s="0" t="s">
        <v>580</v>
      </c>
      <c r="AC347" s="254" t="n">
        <v>-500000</v>
      </c>
      <c r="AD347" s="254" t="n">
        <v>-41384.8011180999</v>
      </c>
      <c r="AE347" s="0" t="n">
        <v>0</v>
      </c>
      <c r="AF347" s="0" t="n">
        <v>0</v>
      </c>
      <c r="AG347" s="0" t="n">
        <v>0</v>
      </c>
      <c r="AH347" s="254" t="n">
        <v>-17740.3183104595</v>
      </c>
      <c r="AI347" s="0" t="n">
        <v>226</v>
      </c>
      <c r="AJ347" s="0" t="s">
        <v>630</v>
      </c>
      <c r="AK347" s="0" t="n">
        <v>0</v>
      </c>
      <c r="AL347" s="0" t="n">
        <v>0</v>
      </c>
      <c r="AM347" s="0" t="n">
        <v>0</v>
      </c>
    </row>
    <row r="348" customFormat="false" ht="12.75" hidden="false" customHeight="false" outlineLevel="0" collapsed="false">
      <c r="A348" s="0" t="s">
        <v>631</v>
      </c>
      <c r="B348" s="0" t="s">
        <v>326</v>
      </c>
      <c r="C348" s="0" t="s">
        <v>622</v>
      </c>
      <c r="D348" s="0" t="s">
        <v>623</v>
      </c>
      <c r="E348" s="0" t="s">
        <v>131</v>
      </c>
      <c r="F348" s="0" t="s">
        <v>198</v>
      </c>
      <c r="G348" s="0" t="s">
        <v>628</v>
      </c>
      <c r="H348" s="0" t="s">
        <v>625</v>
      </c>
      <c r="I348" s="0" t="s">
        <v>626</v>
      </c>
      <c r="J348" s="0" t="s">
        <v>627</v>
      </c>
      <c r="K348" s="475" t="n">
        <v>36892</v>
      </c>
      <c r="L348" s="254" t="n">
        <v>-265933.051985466</v>
      </c>
      <c r="M348" s="475" t="n">
        <v>36888</v>
      </c>
      <c r="N348" s="0" t="s">
        <v>136</v>
      </c>
      <c r="O348" s="0" t="n">
        <v>2.5</v>
      </c>
      <c r="P348" s="0" t="n">
        <v>0</v>
      </c>
      <c r="Q348" s="0" t="n">
        <v>0</v>
      </c>
      <c r="R348" s="0" t="n">
        <v>0</v>
      </c>
      <c r="S348" s="0" t="n">
        <v>0</v>
      </c>
      <c r="T348" s="0" t="s">
        <v>624</v>
      </c>
      <c r="U348" s="0" t="s">
        <v>149</v>
      </c>
      <c r="V348" s="0" t="s">
        <v>624</v>
      </c>
      <c r="W348" s="0" t="s">
        <v>569</v>
      </c>
      <c r="X348" s="0" t="s">
        <v>624</v>
      </c>
      <c r="Y348" s="0" t="s">
        <v>627</v>
      </c>
      <c r="Z348" s="0" t="s">
        <v>629</v>
      </c>
      <c r="AA348" s="0" t="s">
        <v>624</v>
      </c>
      <c r="AB348" s="0" t="s">
        <v>580</v>
      </c>
      <c r="AC348" s="254" t="n">
        <v>-500000</v>
      </c>
      <c r="AD348" s="254" t="n">
        <v>-38180.9153994505</v>
      </c>
      <c r="AE348" s="0" t="n">
        <v>0</v>
      </c>
      <c r="AF348" s="0" t="n">
        <v>0</v>
      </c>
      <c r="AG348" s="0" t="n">
        <v>0</v>
      </c>
      <c r="AH348" s="254" t="n">
        <v>-15641.4159356671</v>
      </c>
      <c r="AI348" s="0" t="n">
        <v>226</v>
      </c>
      <c r="AJ348" s="0" t="s">
        <v>630</v>
      </c>
      <c r="AK348" s="0" t="n">
        <v>0</v>
      </c>
      <c r="AL348" s="0" t="n">
        <v>0</v>
      </c>
      <c r="AM348" s="0" t="n">
        <v>0</v>
      </c>
    </row>
    <row r="349" customFormat="false" ht="12.75" hidden="false" customHeight="false" outlineLevel="0" collapsed="false">
      <c r="A349" s="0" t="s">
        <v>631</v>
      </c>
      <c r="B349" s="0" t="s">
        <v>326</v>
      </c>
      <c r="C349" s="0" t="s">
        <v>622</v>
      </c>
      <c r="D349" s="0" t="s">
        <v>623</v>
      </c>
      <c r="E349" s="0" t="s">
        <v>131</v>
      </c>
      <c r="F349" s="0" t="s">
        <v>198</v>
      </c>
      <c r="G349" s="0" t="s">
        <v>628</v>
      </c>
      <c r="H349" s="0" t="s">
        <v>625</v>
      </c>
      <c r="I349" s="0" t="s">
        <v>626</v>
      </c>
      <c r="J349" s="0" t="s">
        <v>627</v>
      </c>
      <c r="K349" s="475" t="n">
        <v>36861</v>
      </c>
      <c r="L349" s="254" t="n">
        <v>-123868.759900278</v>
      </c>
      <c r="M349" s="475" t="n">
        <v>36859</v>
      </c>
      <c r="N349" s="0" t="s">
        <v>136</v>
      </c>
      <c r="O349" s="0" t="n">
        <v>2.5</v>
      </c>
      <c r="P349" s="0" t="n">
        <v>0</v>
      </c>
      <c r="Q349" s="0" t="n">
        <v>0</v>
      </c>
      <c r="R349" s="0" t="n">
        <v>0</v>
      </c>
      <c r="S349" s="0" t="n">
        <v>0</v>
      </c>
      <c r="T349" s="0" t="s">
        <v>624</v>
      </c>
      <c r="U349" s="0" t="s">
        <v>149</v>
      </c>
      <c r="V349" s="0" t="s">
        <v>624</v>
      </c>
      <c r="W349" s="0" t="s">
        <v>569</v>
      </c>
      <c r="X349" s="0" t="s">
        <v>624</v>
      </c>
      <c r="Y349" s="0" t="s">
        <v>627</v>
      </c>
      <c r="Z349" s="0" t="s">
        <v>629</v>
      </c>
      <c r="AA349" s="0" t="s">
        <v>624</v>
      </c>
      <c r="AB349" s="0" t="s">
        <v>580</v>
      </c>
      <c r="AC349" s="254" t="n">
        <v>-500000</v>
      </c>
      <c r="AD349" s="254" t="n">
        <v>-29013.4132686056</v>
      </c>
      <c r="AE349" s="0" t="n">
        <v>0</v>
      </c>
      <c r="AF349" s="0" t="n">
        <v>0</v>
      </c>
      <c r="AG349" s="0" t="n">
        <v>0</v>
      </c>
      <c r="AH349" s="254" t="n">
        <v>-8395.75378996143</v>
      </c>
      <c r="AI349" s="0" t="n">
        <v>226</v>
      </c>
      <c r="AJ349" s="0" t="s">
        <v>630</v>
      </c>
      <c r="AK349" s="0" t="n">
        <v>0</v>
      </c>
      <c r="AL349" s="0" t="n">
        <v>0</v>
      </c>
      <c r="AM349" s="0" t="n">
        <v>0</v>
      </c>
    </row>
    <row r="350" customFormat="false" ht="12.75" hidden="false" customHeight="false" outlineLevel="0" collapsed="false">
      <c r="A350" s="0" t="s">
        <v>631</v>
      </c>
      <c r="B350" s="0" t="s">
        <v>327</v>
      </c>
      <c r="C350" s="0" t="s">
        <v>622</v>
      </c>
      <c r="D350" s="0" t="s">
        <v>623</v>
      </c>
      <c r="E350" s="0" t="s">
        <v>131</v>
      </c>
      <c r="F350" s="0" t="s">
        <v>198</v>
      </c>
      <c r="G350" s="0" t="s">
        <v>628</v>
      </c>
      <c r="H350" s="0" t="s">
        <v>625</v>
      </c>
      <c r="I350" s="0" t="s">
        <v>626</v>
      </c>
      <c r="J350" s="0" t="s">
        <v>627</v>
      </c>
      <c r="K350" s="475" t="n">
        <v>36951</v>
      </c>
      <c r="L350" s="254" t="n">
        <v>171077.448472127</v>
      </c>
      <c r="M350" s="475" t="n">
        <v>36949</v>
      </c>
      <c r="N350" s="0" t="s">
        <v>132</v>
      </c>
      <c r="O350" s="0" t="n">
        <v>0.75</v>
      </c>
      <c r="P350" s="0" t="n">
        <v>0</v>
      </c>
      <c r="Q350" s="0" t="n">
        <v>0</v>
      </c>
      <c r="R350" s="0" t="n">
        <v>0</v>
      </c>
      <c r="S350" s="0" t="n">
        <v>0</v>
      </c>
      <c r="T350" s="0" t="s">
        <v>624</v>
      </c>
      <c r="U350" s="0" t="s">
        <v>149</v>
      </c>
      <c r="V350" s="0" t="s">
        <v>624</v>
      </c>
      <c r="W350" s="0" t="s">
        <v>569</v>
      </c>
      <c r="X350" s="0" t="s">
        <v>624</v>
      </c>
      <c r="Y350" s="0" t="s">
        <v>627</v>
      </c>
      <c r="Z350" s="0" t="s">
        <v>629</v>
      </c>
      <c r="AA350" s="0" t="s">
        <v>624</v>
      </c>
      <c r="AB350" s="0" t="s">
        <v>580</v>
      </c>
      <c r="AC350" s="254" t="n">
        <v>500000</v>
      </c>
      <c r="AD350" s="254" t="n">
        <v>43710.1514735721</v>
      </c>
      <c r="AE350" s="0" t="n">
        <v>0</v>
      </c>
      <c r="AF350" s="0" t="n">
        <v>0</v>
      </c>
      <c r="AG350" s="0" t="n">
        <v>0</v>
      </c>
      <c r="AH350" s="254" t="n">
        <v>-8168.60971240452</v>
      </c>
      <c r="AI350" s="0" t="n">
        <v>226</v>
      </c>
      <c r="AJ350" s="0" t="s">
        <v>630</v>
      </c>
      <c r="AK350" s="0" t="n">
        <v>0</v>
      </c>
      <c r="AL350" s="0" t="n">
        <v>0</v>
      </c>
      <c r="AM350" s="0" t="n">
        <v>0</v>
      </c>
    </row>
    <row r="351" customFormat="false" ht="12.75" hidden="false" customHeight="false" outlineLevel="0" collapsed="false">
      <c r="A351" s="0" t="s">
        <v>631</v>
      </c>
      <c r="B351" s="0" t="s">
        <v>327</v>
      </c>
      <c r="C351" s="0" t="s">
        <v>622</v>
      </c>
      <c r="D351" s="0" t="s">
        <v>623</v>
      </c>
      <c r="E351" s="0" t="s">
        <v>131</v>
      </c>
      <c r="F351" s="0" t="s">
        <v>198</v>
      </c>
      <c r="G351" s="0" t="s">
        <v>628</v>
      </c>
      <c r="H351" s="0" t="s">
        <v>625</v>
      </c>
      <c r="I351" s="0" t="s">
        <v>626</v>
      </c>
      <c r="J351" s="0" t="s">
        <v>627</v>
      </c>
      <c r="K351" s="475" t="n">
        <v>36923</v>
      </c>
      <c r="L351" s="254" t="n">
        <v>70124.2496111585</v>
      </c>
      <c r="M351" s="475" t="n">
        <v>36921</v>
      </c>
      <c r="N351" s="0" t="s">
        <v>132</v>
      </c>
      <c r="O351" s="0" t="n">
        <v>0.75</v>
      </c>
      <c r="P351" s="0" t="n">
        <v>0</v>
      </c>
      <c r="Q351" s="0" t="n">
        <v>0</v>
      </c>
      <c r="R351" s="0" t="n">
        <v>0</v>
      </c>
      <c r="S351" s="0" t="n">
        <v>0</v>
      </c>
      <c r="T351" s="0" t="s">
        <v>624</v>
      </c>
      <c r="U351" s="0" t="s">
        <v>149</v>
      </c>
      <c r="V351" s="0" t="s">
        <v>624</v>
      </c>
      <c r="W351" s="0" t="s">
        <v>569</v>
      </c>
      <c r="X351" s="0" t="s">
        <v>624</v>
      </c>
      <c r="Y351" s="0" t="s">
        <v>627</v>
      </c>
      <c r="Z351" s="0" t="s">
        <v>629</v>
      </c>
      <c r="AA351" s="0" t="s">
        <v>624</v>
      </c>
      <c r="AB351" s="0" t="s">
        <v>580</v>
      </c>
      <c r="AC351" s="254" t="n">
        <v>500000</v>
      </c>
      <c r="AD351" s="254" t="n">
        <v>30734.7857962365</v>
      </c>
      <c r="AE351" s="0" t="n">
        <v>0</v>
      </c>
      <c r="AF351" s="0" t="n">
        <v>0</v>
      </c>
      <c r="AG351" s="0" t="n">
        <v>0</v>
      </c>
      <c r="AH351" s="254" t="n">
        <v>-3753.35106402775</v>
      </c>
      <c r="AI351" s="0" t="n">
        <v>226</v>
      </c>
      <c r="AJ351" s="0" t="s">
        <v>630</v>
      </c>
      <c r="AK351" s="0" t="n">
        <v>0</v>
      </c>
      <c r="AL351" s="0" t="n">
        <v>0</v>
      </c>
      <c r="AM351" s="0" t="n">
        <v>0</v>
      </c>
    </row>
    <row r="352" customFormat="false" ht="12.75" hidden="false" customHeight="false" outlineLevel="0" collapsed="false">
      <c r="A352" s="0" t="s">
        <v>631</v>
      </c>
      <c r="B352" s="0" t="s">
        <v>327</v>
      </c>
      <c r="C352" s="0" t="s">
        <v>622</v>
      </c>
      <c r="D352" s="0" t="s">
        <v>623</v>
      </c>
      <c r="E352" s="0" t="s">
        <v>131</v>
      </c>
      <c r="F352" s="0" t="s">
        <v>198</v>
      </c>
      <c r="G352" s="0" t="s">
        <v>628</v>
      </c>
      <c r="H352" s="0" t="s">
        <v>625</v>
      </c>
      <c r="I352" s="0" t="s">
        <v>626</v>
      </c>
      <c r="J352" s="0" t="s">
        <v>627</v>
      </c>
      <c r="K352" s="475" t="n">
        <v>36892</v>
      </c>
      <c r="L352" s="254" t="n">
        <v>55369.8447248119</v>
      </c>
      <c r="M352" s="475" t="n">
        <v>36888</v>
      </c>
      <c r="N352" s="0" t="s">
        <v>132</v>
      </c>
      <c r="O352" s="0" t="n">
        <v>0.75</v>
      </c>
      <c r="P352" s="0" t="n">
        <v>0</v>
      </c>
      <c r="Q352" s="0" t="n">
        <v>0</v>
      </c>
      <c r="R352" s="0" t="n">
        <v>0</v>
      </c>
      <c r="S352" s="0" t="n">
        <v>0</v>
      </c>
      <c r="T352" s="0" t="s">
        <v>624</v>
      </c>
      <c r="U352" s="0" t="s">
        <v>149</v>
      </c>
      <c r="V352" s="0" t="s">
        <v>624</v>
      </c>
      <c r="W352" s="0" t="s">
        <v>569</v>
      </c>
      <c r="X352" s="0" t="s">
        <v>624</v>
      </c>
      <c r="Y352" s="0" t="s">
        <v>627</v>
      </c>
      <c r="Z352" s="0" t="s">
        <v>629</v>
      </c>
      <c r="AA352" s="0" t="s">
        <v>624</v>
      </c>
      <c r="AB352" s="0" t="s">
        <v>580</v>
      </c>
      <c r="AC352" s="254" t="n">
        <v>500000</v>
      </c>
      <c r="AD352" s="254" t="n">
        <v>25488.8717669226</v>
      </c>
      <c r="AE352" s="0" t="n">
        <v>0</v>
      </c>
      <c r="AF352" s="0" t="n">
        <v>0</v>
      </c>
      <c r="AG352" s="0" t="n">
        <v>0</v>
      </c>
      <c r="AH352" s="254" t="n">
        <v>-2670.91259701058</v>
      </c>
      <c r="AI352" s="0" t="n">
        <v>226</v>
      </c>
      <c r="AJ352" s="0" t="s">
        <v>630</v>
      </c>
      <c r="AK352" s="0" t="n">
        <v>0</v>
      </c>
      <c r="AL352" s="0" t="n">
        <v>0</v>
      </c>
      <c r="AM352" s="0" t="n">
        <v>0</v>
      </c>
    </row>
    <row r="353" customFormat="false" ht="12.75" hidden="false" customHeight="false" outlineLevel="0" collapsed="false">
      <c r="A353" s="0" t="s">
        <v>631</v>
      </c>
      <c r="B353" s="0" t="s">
        <v>327</v>
      </c>
      <c r="C353" s="0" t="s">
        <v>622</v>
      </c>
      <c r="D353" s="0" t="s">
        <v>623</v>
      </c>
      <c r="E353" s="0" t="s">
        <v>131</v>
      </c>
      <c r="F353" s="0" t="s">
        <v>198</v>
      </c>
      <c r="G353" s="0" t="s">
        <v>628</v>
      </c>
      <c r="H353" s="0" t="s">
        <v>625</v>
      </c>
      <c r="I353" s="0" t="s">
        <v>626</v>
      </c>
      <c r="J353" s="0" t="s">
        <v>627</v>
      </c>
      <c r="K353" s="475" t="n">
        <v>36861</v>
      </c>
      <c r="L353" s="254" t="n">
        <v>73958.4925856365</v>
      </c>
      <c r="M353" s="475" t="n">
        <v>36859</v>
      </c>
      <c r="N353" s="0" t="s">
        <v>132</v>
      </c>
      <c r="O353" s="0" t="n">
        <v>0.75</v>
      </c>
      <c r="P353" s="0" t="n">
        <v>0</v>
      </c>
      <c r="Q353" s="0" t="n">
        <v>0</v>
      </c>
      <c r="R353" s="0" t="n">
        <v>0</v>
      </c>
      <c r="S353" s="0" t="n">
        <v>0</v>
      </c>
      <c r="T353" s="0" t="s">
        <v>624</v>
      </c>
      <c r="U353" s="0" t="s">
        <v>149</v>
      </c>
      <c r="V353" s="0" t="s">
        <v>624</v>
      </c>
      <c r="W353" s="0" t="s">
        <v>569</v>
      </c>
      <c r="X353" s="0" t="s">
        <v>624</v>
      </c>
      <c r="Y353" s="0" t="s">
        <v>627</v>
      </c>
      <c r="Z353" s="0" t="s">
        <v>629</v>
      </c>
      <c r="AA353" s="0" t="s">
        <v>624</v>
      </c>
      <c r="AB353" s="0" t="s">
        <v>580</v>
      </c>
      <c r="AC353" s="254" t="n">
        <v>500000</v>
      </c>
      <c r="AD353" s="254" t="n">
        <v>27791.5401500405</v>
      </c>
      <c r="AE353" s="0" t="n">
        <v>0</v>
      </c>
      <c r="AF353" s="0" t="n">
        <v>0</v>
      </c>
      <c r="AG353" s="0" t="n">
        <v>0</v>
      </c>
      <c r="AH353" s="254" t="n">
        <v>-3004.03763279801</v>
      </c>
      <c r="AI353" s="0" t="n">
        <v>226</v>
      </c>
      <c r="AJ353" s="0" t="s">
        <v>630</v>
      </c>
      <c r="AK353" s="0" t="n">
        <v>0</v>
      </c>
      <c r="AL353" s="0" t="n">
        <v>0</v>
      </c>
      <c r="AM353" s="0" t="n">
        <v>0</v>
      </c>
    </row>
    <row r="354" customFormat="false" ht="12.75" hidden="false" customHeight="false" outlineLevel="0" collapsed="false">
      <c r="A354" s="0" t="s">
        <v>631</v>
      </c>
      <c r="B354" s="0" t="s">
        <v>327</v>
      </c>
      <c r="C354" s="0" t="s">
        <v>622</v>
      </c>
      <c r="D354" s="0" t="s">
        <v>623</v>
      </c>
      <c r="E354" s="0" t="s">
        <v>131</v>
      </c>
      <c r="F354" s="0" t="s">
        <v>198</v>
      </c>
      <c r="G354" s="0" t="s">
        <v>628</v>
      </c>
      <c r="H354" s="0" t="s">
        <v>625</v>
      </c>
      <c r="I354" s="0" t="s">
        <v>626</v>
      </c>
      <c r="J354" s="0" t="s">
        <v>627</v>
      </c>
      <c r="K354" s="475" t="n">
        <v>36831</v>
      </c>
      <c r="L354" s="254" t="n">
        <v>124808.946292206</v>
      </c>
      <c r="M354" s="475" t="n">
        <v>36829</v>
      </c>
      <c r="N354" s="0" t="s">
        <v>132</v>
      </c>
      <c r="O354" s="0" t="n">
        <v>0.75</v>
      </c>
      <c r="P354" s="0" t="n">
        <v>0</v>
      </c>
      <c r="Q354" s="0" t="n">
        <v>0</v>
      </c>
      <c r="R354" s="0" t="n">
        <v>0</v>
      </c>
      <c r="S354" s="0" t="n">
        <v>0</v>
      </c>
      <c r="T354" s="0" t="s">
        <v>624</v>
      </c>
      <c r="U354" s="0" t="s">
        <v>149</v>
      </c>
      <c r="V354" s="0" t="s">
        <v>624</v>
      </c>
      <c r="W354" s="0" t="s">
        <v>569</v>
      </c>
      <c r="X354" s="0" t="s">
        <v>624</v>
      </c>
      <c r="Y354" s="0" t="s">
        <v>627</v>
      </c>
      <c r="Z354" s="0" t="s">
        <v>629</v>
      </c>
      <c r="AA354" s="0" t="s">
        <v>624</v>
      </c>
      <c r="AB354" s="0" t="s">
        <v>580</v>
      </c>
      <c r="AC354" s="254" t="n">
        <v>500000</v>
      </c>
      <c r="AD354" s="254" t="n">
        <v>22575.2973415849</v>
      </c>
      <c r="AE354" s="0" t="n">
        <v>0</v>
      </c>
      <c r="AF354" s="0" t="n">
        <v>0</v>
      </c>
      <c r="AG354" s="0" t="n">
        <v>0</v>
      </c>
      <c r="AH354" s="254" t="n">
        <v>-8179.17666208156</v>
      </c>
      <c r="AI354" s="0" t="n">
        <v>226</v>
      </c>
      <c r="AJ354" s="0" t="s">
        <v>630</v>
      </c>
      <c r="AK354" s="0" t="n">
        <v>0</v>
      </c>
      <c r="AL354" s="0" t="n">
        <v>0</v>
      </c>
      <c r="AM354" s="0" t="n">
        <v>0</v>
      </c>
    </row>
    <row r="355" customFormat="false" ht="12.75" hidden="false" customHeight="false" outlineLevel="0" collapsed="false">
      <c r="A355" s="0" t="s">
        <v>631</v>
      </c>
      <c r="B355" s="0" t="s">
        <v>328</v>
      </c>
      <c r="C355" s="0" t="s">
        <v>622</v>
      </c>
      <c r="D355" s="0" t="s">
        <v>623</v>
      </c>
      <c r="E355" s="0" t="s">
        <v>131</v>
      </c>
      <c r="F355" s="0" t="s">
        <v>198</v>
      </c>
      <c r="G355" s="0" t="s">
        <v>628</v>
      </c>
      <c r="H355" s="0" t="s">
        <v>625</v>
      </c>
      <c r="I355" s="0" t="s">
        <v>626</v>
      </c>
      <c r="J355" s="0" t="s">
        <v>627</v>
      </c>
      <c r="K355" s="475" t="n">
        <v>37316</v>
      </c>
      <c r="L355" s="254" t="n">
        <v>109370.950404371</v>
      </c>
      <c r="M355" s="475" t="n">
        <v>37314</v>
      </c>
      <c r="N355" s="0" t="s">
        <v>136</v>
      </c>
      <c r="O355" s="0" t="n">
        <v>1.33</v>
      </c>
      <c r="P355" s="0" t="n">
        <v>0</v>
      </c>
      <c r="Q355" s="0" t="n">
        <v>0</v>
      </c>
      <c r="R355" s="0" t="n">
        <v>0</v>
      </c>
      <c r="S355" s="0" t="n">
        <v>0</v>
      </c>
      <c r="T355" s="0" t="s">
        <v>624</v>
      </c>
      <c r="U355" s="0" t="s">
        <v>149</v>
      </c>
      <c r="V355" s="0" t="s">
        <v>624</v>
      </c>
      <c r="W355" s="0" t="s">
        <v>569</v>
      </c>
      <c r="X355" s="0" t="s">
        <v>624</v>
      </c>
      <c r="Y355" s="0" t="s">
        <v>627</v>
      </c>
      <c r="Z355" s="0" t="s">
        <v>629</v>
      </c>
      <c r="AA355" s="0" t="s">
        <v>624</v>
      </c>
      <c r="AB355" s="0" t="s">
        <v>580</v>
      </c>
      <c r="AC355" s="254" t="n">
        <v>500000</v>
      </c>
      <c r="AD355" s="254" t="n">
        <v>22787.9654282166</v>
      </c>
      <c r="AE355" s="0" t="n">
        <v>0</v>
      </c>
      <c r="AF355" s="0" t="n">
        <v>0</v>
      </c>
      <c r="AG355" s="0" t="n">
        <v>0</v>
      </c>
      <c r="AH355" s="254" t="n">
        <v>6500.70354078471</v>
      </c>
      <c r="AI355" s="0" t="n">
        <v>226</v>
      </c>
      <c r="AJ355" s="0" t="s">
        <v>630</v>
      </c>
      <c r="AK355" s="0" t="n">
        <v>0</v>
      </c>
      <c r="AL355" s="0" t="n">
        <v>0</v>
      </c>
      <c r="AM355" s="0" t="n">
        <v>0</v>
      </c>
    </row>
    <row r="356" customFormat="false" ht="12.75" hidden="false" customHeight="false" outlineLevel="0" collapsed="false">
      <c r="A356" s="0" t="s">
        <v>631</v>
      </c>
      <c r="B356" s="0" t="s">
        <v>328</v>
      </c>
      <c r="C356" s="0" t="s">
        <v>622</v>
      </c>
      <c r="D356" s="0" t="s">
        <v>623</v>
      </c>
      <c r="E356" s="0" t="s">
        <v>131</v>
      </c>
      <c r="F356" s="0" t="s">
        <v>198</v>
      </c>
      <c r="G356" s="0" t="s">
        <v>628</v>
      </c>
      <c r="H356" s="0" t="s">
        <v>625</v>
      </c>
      <c r="I356" s="0" t="s">
        <v>626</v>
      </c>
      <c r="J356" s="0" t="s">
        <v>627</v>
      </c>
      <c r="K356" s="475" t="n">
        <v>37288</v>
      </c>
      <c r="L356" s="254" t="n">
        <v>261739.461605564</v>
      </c>
      <c r="M356" s="475" t="n">
        <v>37286</v>
      </c>
      <c r="N356" s="0" t="s">
        <v>136</v>
      </c>
      <c r="O356" s="0" t="n">
        <v>1.33</v>
      </c>
      <c r="P356" s="0" t="n">
        <v>0</v>
      </c>
      <c r="Q356" s="0" t="n">
        <v>0</v>
      </c>
      <c r="R356" s="0" t="n">
        <v>0</v>
      </c>
      <c r="S356" s="0" t="n">
        <v>0</v>
      </c>
      <c r="T356" s="0" t="s">
        <v>624</v>
      </c>
      <c r="U356" s="0" t="s">
        <v>149</v>
      </c>
      <c r="V356" s="0" t="s">
        <v>624</v>
      </c>
      <c r="W356" s="0" t="s">
        <v>569</v>
      </c>
      <c r="X356" s="0" t="s">
        <v>624</v>
      </c>
      <c r="Y356" s="0" t="s">
        <v>627</v>
      </c>
      <c r="Z356" s="0" t="s">
        <v>629</v>
      </c>
      <c r="AA356" s="0" t="s">
        <v>624</v>
      </c>
      <c r="AB356" s="0" t="s">
        <v>580</v>
      </c>
      <c r="AC356" s="254" t="n">
        <v>500000</v>
      </c>
      <c r="AD356" s="254" t="n">
        <v>23535.213376363</v>
      </c>
      <c r="AE356" s="0" t="n">
        <v>0</v>
      </c>
      <c r="AF356" s="0" t="n">
        <v>0</v>
      </c>
      <c r="AG356" s="0" t="n">
        <v>0</v>
      </c>
      <c r="AH356" s="254" t="n">
        <v>9611.39798904886</v>
      </c>
      <c r="AI356" s="0" t="n">
        <v>226</v>
      </c>
      <c r="AJ356" s="0" t="s">
        <v>630</v>
      </c>
      <c r="AK356" s="0" t="n">
        <v>0</v>
      </c>
      <c r="AL356" s="0" t="n">
        <v>0</v>
      </c>
      <c r="AM356" s="0" t="n">
        <v>0</v>
      </c>
    </row>
    <row r="357" customFormat="false" ht="12.75" hidden="false" customHeight="false" outlineLevel="0" collapsed="false">
      <c r="A357" s="0" t="s">
        <v>631</v>
      </c>
      <c r="B357" s="0" t="s">
        <v>328</v>
      </c>
      <c r="C357" s="0" t="s">
        <v>622</v>
      </c>
      <c r="D357" s="0" t="s">
        <v>623</v>
      </c>
      <c r="E357" s="0" t="s">
        <v>131</v>
      </c>
      <c r="F357" s="0" t="s">
        <v>198</v>
      </c>
      <c r="G357" s="0" t="s">
        <v>628</v>
      </c>
      <c r="H357" s="0" t="s">
        <v>625</v>
      </c>
      <c r="I357" s="0" t="s">
        <v>626</v>
      </c>
      <c r="J357" s="0" t="s">
        <v>627</v>
      </c>
      <c r="K357" s="475" t="n">
        <v>37257</v>
      </c>
      <c r="L357" s="254" t="n">
        <v>269378.575619115</v>
      </c>
      <c r="M357" s="475" t="n">
        <v>37253</v>
      </c>
      <c r="N357" s="0" t="s">
        <v>136</v>
      </c>
      <c r="O357" s="0" t="n">
        <v>1.33</v>
      </c>
      <c r="P357" s="0" t="n">
        <v>0</v>
      </c>
      <c r="Q357" s="0" t="n">
        <v>0</v>
      </c>
      <c r="R357" s="0" t="n">
        <v>0</v>
      </c>
      <c r="S357" s="0" t="n">
        <v>0</v>
      </c>
      <c r="T357" s="0" t="s">
        <v>624</v>
      </c>
      <c r="U357" s="0" t="s">
        <v>149</v>
      </c>
      <c r="V357" s="0" t="s">
        <v>624</v>
      </c>
      <c r="W357" s="0" t="s">
        <v>569</v>
      </c>
      <c r="X357" s="0" t="s">
        <v>624</v>
      </c>
      <c r="Y357" s="0" t="s">
        <v>627</v>
      </c>
      <c r="Z357" s="0" t="s">
        <v>629</v>
      </c>
      <c r="AA357" s="0" t="s">
        <v>624</v>
      </c>
      <c r="AB357" s="0" t="s">
        <v>580</v>
      </c>
      <c r="AC357" s="254" t="n">
        <v>500000</v>
      </c>
      <c r="AD357" s="254" t="n">
        <v>24192.4395296326</v>
      </c>
      <c r="AE357" s="0" t="n">
        <v>0</v>
      </c>
      <c r="AF357" s="0" t="n">
        <v>0</v>
      </c>
      <c r="AG357" s="0" t="n">
        <v>0</v>
      </c>
      <c r="AH357" s="254" t="n">
        <v>9730.09496174089</v>
      </c>
      <c r="AI357" s="0" t="n">
        <v>226</v>
      </c>
      <c r="AJ357" s="0" t="s">
        <v>630</v>
      </c>
      <c r="AK357" s="0" t="n">
        <v>0</v>
      </c>
      <c r="AL357" s="0" t="n">
        <v>0</v>
      </c>
      <c r="AM357" s="0" t="n">
        <v>0</v>
      </c>
    </row>
    <row r="358" customFormat="false" ht="12.75" hidden="false" customHeight="false" outlineLevel="0" collapsed="false">
      <c r="A358" s="0" t="s">
        <v>631</v>
      </c>
      <c r="B358" s="0" t="s">
        <v>328</v>
      </c>
      <c r="C358" s="0" t="s">
        <v>622</v>
      </c>
      <c r="D358" s="0" t="s">
        <v>623</v>
      </c>
      <c r="E358" s="0" t="s">
        <v>131</v>
      </c>
      <c r="F358" s="0" t="s">
        <v>198</v>
      </c>
      <c r="G358" s="0" t="s">
        <v>628</v>
      </c>
      <c r="H358" s="0" t="s">
        <v>625</v>
      </c>
      <c r="I358" s="0" t="s">
        <v>626</v>
      </c>
      <c r="J358" s="0" t="s">
        <v>627</v>
      </c>
      <c r="K358" s="475" t="n">
        <v>37226</v>
      </c>
      <c r="L358" s="254" t="n">
        <v>194330.318778541</v>
      </c>
      <c r="M358" s="475" t="n">
        <v>37224</v>
      </c>
      <c r="N358" s="0" t="s">
        <v>136</v>
      </c>
      <c r="O358" s="0" t="n">
        <v>1.33</v>
      </c>
      <c r="P358" s="0" t="n">
        <v>0</v>
      </c>
      <c r="Q358" s="0" t="n">
        <v>0</v>
      </c>
      <c r="R358" s="0" t="n">
        <v>0</v>
      </c>
      <c r="S358" s="0" t="n">
        <v>0</v>
      </c>
      <c r="T358" s="0" t="s">
        <v>624</v>
      </c>
      <c r="U358" s="0" t="s">
        <v>149</v>
      </c>
      <c r="V358" s="0" t="s">
        <v>624</v>
      </c>
      <c r="W358" s="0" t="s">
        <v>569</v>
      </c>
      <c r="X358" s="0" t="s">
        <v>624</v>
      </c>
      <c r="Y358" s="0" t="s">
        <v>627</v>
      </c>
      <c r="Z358" s="0" t="s">
        <v>629</v>
      </c>
      <c r="AA358" s="0" t="s">
        <v>624</v>
      </c>
      <c r="AB358" s="0" t="s">
        <v>580</v>
      </c>
      <c r="AC358" s="254" t="n">
        <v>500000</v>
      </c>
      <c r="AD358" s="254" t="n">
        <v>24440.5937083041</v>
      </c>
      <c r="AE358" s="0" t="n">
        <v>0</v>
      </c>
      <c r="AF358" s="0" t="n">
        <v>0</v>
      </c>
      <c r="AG358" s="0" t="n">
        <v>0</v>
      </c>
      <c r="AH358" s="254" t="n">
        <v>8654.2372288765</v>
      </c>
      <c r="AI358" s="0" t="n">
        <v>226</v>
      </c>
      <c r="AJ358" s="0" t="s">
        <v>630</v>
      </c>
      <c r="AK358" s="0" t="n">
        <v>0</v>
      </c>
      <c r="AL358" s="0" t="n">
        <v>0</v>
      </c>
      <c r="AM358" s="0" t="n">
        <v>0</v>
      </c>
    </row>
    <row r="359" customFormat="false" ht="12.75" hidden="false" customHeight="false" outlineLevel="0" collapsed="false">
      <c r="A359" s="0" t="s">
        <v>631</v>
      </c>
      <c r="B359" s="0" t="s">
        <v>328</v>
      </c>
      <c r="C359" s="0" t="s">
        <v>622</v>
      </c>
      <c r="D359" s="0" t="s">
        <v>623</v>
      </c>
      <c r="E359" s="0" t="s">
        <v>131</v>
      </c>
      <c r="F359" s="0" t="s">
        <v>198</v>
      </c>
      <c r="G359" s="0" t="s">
        <v>628</v>
      </c>
      <c r="H359" s="0" t="s">
        <v>625</v>
      </c>
      <c r="I359" s="0" t="s">
        <v>626</v>
      </c>
      <c r="J359" s="0" t="s">
        <v>627</v>
      </c>
      <c r="K359" s="475" t="n">
        <v>37196</v>
      </c>
      <c r="L359" s="254" t="n">
        <v>95420.9962929732</v>
      </c>
      <c r="M359" s="475" t="n">
        <v>37194</v>
      </c>
      <c r="N359" s="0" t="s">
        <v>136</v>
      </c>
      <c r="O359" s="0" t="n">
        <v>1.33</v>
      </c>
      <c r="P359" s="0" t="n">
        <v>0</v>
      </c>
      <c r="Q359" s="0" t="n">
        <v>0</v>
      </c>
      <c r="R359" s="0" t="n">
        <v>0</v>
      </c>
      <c r="S359" s="0" t="n">
        <v>0</v>
      </c>
      <c r="T359" s="0" t="s">
        <v>624</v>
      </c>
      <c r="U359" s="0" t="s">
        <v>149</v>
      </c>
      <c r="V359" s="0" t="s">
        <v>624</v>
      </c>
      <c r="W359" s="0" t="s">
        <v>569</v>
      </c>
      <c r="X359" s="0" t="s">
        <v>624</v>
      </c>
      <c r="Y359" s="0" t="s">
        <v>627</v>
      </c>
      <c r="Z359" s="0" t="s">
        <v>629</v>
      </c>
      <c r="AA359" s="0" t="s">
        <v>624</v>
      </c>
      <c r="AB359" s="0" t="s">
        <v>580</v>
      </c>
      <c r="AC359" s="254" t="n">
        <v>500000</v>
      </c>
      <c r="AD359" s="254" t="n">
        <v>22239.8549820322</v>
      </c>
      <c r="AE359" s="0" t="n">
        <v>0</v>
      </c>
      <c r="AF359" s="0" t="n">
        <v>0</v>
      </c>
      <c r="AG359" s="0" t="n">
        <v>0</v>
      </c>
      <c r="AH359" s="254" t="n">
        <v>6160.72318916224</v>
      </c>
      <c r="AI359" s="0" t="n">
        <v>226</v>
      </c>
      <c r="AJ359" s="0" t="s">
        <v>630</v>
      </c>
      <c r="AK359" s="0" t="n">
        <v>0</v>
      </c>
      <c r="AL359" s="0" t="n">
        <v>0</v>
      </c>
      <c r="AM359" s="0" t="n">
        <v>0</v>
      </c>
    </row>
    <row r="360" customFormat="false" ht="12.75" hidden="false" customHeight="false" outlineLevel="0" collapsed="false">
      <c r="A360" s="0" t="s">
        <v>631</v>
      </c>
      <c r="B360" s="0" t="s">
        <v>329</v>
      </c>
      <c r="C360" s="0" t="s">
        <v>622</v>
      </c>
      <c r="D360" s="0" t="s">
        <v>623</v>
      </c>
      <c r="E360" s="0" t="s">
        <v>131</v>
      </c>
      <c r="F360" s="0" t="s">
        <v>198</v>
      </c>
      <c r="G360" s="0" t="s">
        <v>628</v>
      </c>
      <c r="H360" s="0" t="s">
        <v>625</v>
      </c>
      <c r="I360" s="0" t="s">
        <v>626</v>
      </c>
      <c r="J360" s="0" t="s">
        <v>627</v>
      </c>
      <c r="K360" s="475" t="n">
        <v>37316</v>
      </c>
      <c r="L360" s="254" t="n">
        <v>262537.34188407</v>
      </c>
      <c r="M360" s="475" t="n">
        <v>37314</v>
      </c>
      <c r="N360" s="0" t="s">
        <v>132</v>
      </c>
      <c r="O360" s="0" t="n">
        <v>1.33</v>
      </c>
      <c r="P360" s="0" t="n">
        <v>0</v>
      </c>
      <c r="Q360" s="0" t="n">
        <v>0</v>
      </c>
      <c r="R360" s="0" t="n">
        <v>0</v>
      </c>
      <c r="S360" s="0" t="n">
        <v>0</v>
      </c>
      <c r="T360" s="0" t="s">
        <v>624</v>
      </c>
      <c r="U360" s="0" t="s">
        <v>149</v>
      </c>
      <c r="V360" s="0" t="s">
        <v>624</v>
      </c>
      <c r="W360" s="0" t="s">
        <v>569</v>
      </c>
      <c r="X360" s="0" t="s">
        <v>624</v>
      </c>
      <c r="Y360" s="0" t="s">
        <v>627</v>
      </c>
      <c r="Z360" s="0" t="s">
        <v>629</v>
      </c>
      <c r="AA360" s="0" t="s">
        <v>624</v>
      </c>
      <c r="AB360" s="0" t="s">
        <v>580</v>
      </c>
      <c r="AC360" s="254" t="n">
        <v>500000</v>
      </c>
      <c r="AD360" s="254" t="n">
        <v>22787.9654282166</v>
      </c>
      <c r="AE360" s="0" t="n">
        <v>0</v>
      </c>
      <c r="AF360" s="0" t="n">
        <v>0</v>
      </c>
      <c r="AG360" s="0" t="n">
        <v>0</v>
      </c>
      <c r="AH360" s="254" t="n">
        <v>-7014.25388373231</v>
      </c>
      <c r="AI360" s="0" t="n">
        <v>226</v>
      </c>
      <c r="AJ360" s="0" t="s">
        <v>630</v>
      </c>
      <c r="AK360" s="0" t="n">
        <v>0</v>
      </c>
      <c r="AL360" s="0" t="n">
        <v>0</v>
      </c>
      <c r="AM360" s="0" t="n">
        <v>0</v>
      </c>
    </row>
    <row r="361" customFormat="false" ht="12.75" hidden="false" customHeight="false" outlineLevel="0" collapsed="false">
      <c r="A361" s="0" t="s">
        <v>631</v>
      </c>
      <c r="B361" s="0" t="s">
        <v>329</v>
      </c>
      <c r="C361" s="0" t="s">
        <v>622</v>
      </c>
      <c r="D361" s="0" t="s">
        <v>623</v>
      </c>
      <c r="E361" s="0" t="s">
        <v>131</v>
      </c>
      <c r="F361" s="0" t="s">
        <v>198</v>
      </c>
      <c r="G361" s="0" t="s">
        <v>628</v>
      </c>
      <c r="H361" s="0" t="s">
        <v>625</v>
      </c>
      <c r="I361" s="0" t="s">
        <v>626</v>
      </c>
      <c r="J361" s="0" t="s">
        <v>627</v>
      </c>
      <c r="K361" s="475" t="n">
        <v>37288</v>
      </c>
      <c r="L361" s="254" t="n">
        <v>157566.549637886</v>
      </c>
      <c r="M361" s="475" t="n">
        <v>37286</v>
      </c>
      <c r="N361" s="0" t="s">
        <v>132</v>
      </c>
      <c r="O361" s="0" t="n">
        <v>1.33</v>
      </c>
      <c r="P361" s="0" t="n">
        <v>0</v>
      </c>
      <c r="Q361" s="0" t="n">
        <v>0</v>
      </c>
      <c r="R361" s="0" t="n">
        <v>0</v>
      </c>
      <c r="S361" s="0" t="n">
        <v>0</v>
      </c>
      <c r="T361" s="0" t="s">
        <v>624</v>
      </c>
      <c r="U361" s="0" t="s">
        <v>149</v>
      </c>
      <c r="V361" s="0" t="s">
        <v>624</v>
      </c>
      <c r="W361" s="0" t="s">
        <v>569</v>
      </c>
      <c r="X361" s="0" t="s">
        <v>624</v>
      </c>
      <c r="Y361" s="0" t="s">
        <v>627</v>
      </c>
      <c r="Z361" s="0" t="s">
        <v>629</v>
      </c>
      <c r="AA361" s="0" t="s">
        <v>624</v>
      </c>
      <c r="AB361" s="0" t="s">
        <v>580</v>
      </c>
      <c r="AC361" s="254" t="n">
        <v>500000</v>
      </c>
      <c r="AD361" s="254" t="n">
        <v>23535.2133763631</v>
      </c>
      <c r="AE361" s="0" t="n">
        <v>0</v>
      </c>
      <c r="AF361" s="0" t="n">
        <v>0</v>
      </c>
      <c r="AG361" s="0" t="n">
        <v>0</v>
      </c>
      <c r="AH361" s="254" t="n">
        <v>-3976.04997671253</v>
      </c>
      <c r="AI361" s="0" t="n">
        <v>226</v>
      </c>
      <c r="AJ361" s="0" t="s">
        <v>630</v>
      </c>
      <c r="AK361" s="0" t="n">
        <v>0</v>
      </c>
      <c r="AL361" s="0" t="n">
        <v>0</v>
      </c>
      <c r="AM361" s="0" t="n">
        <v>0</v>
      </c>
    </row>
    <row r="362" customFormat="false" ht="12.75" hidden="false" customHeight="false" outlineLevel="0" collapsed="false">
      <c r="A362" s="0" t="s">
        <v>631</v>
      </c>
      <c r="B362" s="0" t="s">
        <v>329</v>
      </c>
      <c r="C362" s="0" t="s">
        <v>622</v>
      </c>
      <c r="D362" s="0" t="s">
        <v>623</v>
      </c>
      <c r="E362" s="0" t="s">
        <v>131</v>
      </c>
      <c r="F362" s="0" t="s">
        <v>198</v>
      </c>
      <c r="G362" s="0" t="s">
        <v>628</v>
      </c>
      <c r="H362" s="0" t="s">
        <v>625</v>
      </c>
      <c r="I362" s="0" t="s">
        <v>626</v>
      </c>
      <c r="J362" s="0" t="s">
        <v>627</v>
      </c>
      <c r="K362" s="475" t="n">
        <v>37257</v>
      </c>
      <c r="L362" s="254" t="n">
        <v>164542.769666932</v>
      </c>
      <c r="M362" s="475" t="n">
        <v>37253</v>
      </c>
      <c r="N362" s="0" t="s">
        <v>132</v>
      </c>
      <c r="O362" s="0" t="n">
        <v>1.33</v>
      </c>
      <c r="P362" s="0" t="n">
        <v>0</v>
      </c>
      <c r="Q362" s="0" t="n">
        <v>0</v>
      </c>
      <c r="R362" s="0" t="n">
        <v>0</v>
      </c>
      <c r="S362" s="0" t="n">
        <v>0</v>
      </c>
      <c r="T362" s="0" t="s">
        <v>624</v>
      </c>
      <c r="U362" s="0" t="s">
        <v>149</v>
      </c>
      <c r="V362" s="0" t="s">
        <v>624</v>
      </c>
      <c r="W362" s="0" t="s">
        <v>569</v>
      </c>
      <c r="X362" s="0" t="s">
        <v>624</v>
      </c>
      <c r="Y362" s="0" t="s">
        <v>627</v>
      </c>
      <c r="Z362" s="0" t="s">
        <v>629</v>
      </c>
      <c r="AA362" s="0" t="s">
        <v>624</v>
      </c>
      <c r="AB362" s="0" t="s">
        <v>580</v>
      </c>
      <c r="AC362" s="254" t="n">
        <v>500000</v>
      </c>
      <c r="AD362" s="254" t="n">
        <v>24192.4395296326</v>
      </c>
      <c r="AE362" s="0" t="n">
        <v>0</v>
      </c>
      <c r="AF362" s="0" t="n">
        <v>0</v>
      </c>
      <c r="AG362" s="0" t="n">
        <v>0</v>
      </c>
      <c r="AH362" s="254" t="n">
        <v>-3943.14343266489</v>
      </c>
      <c r="AI362" s="0" t="n">
        <v>226</v>
      </c>
      <c r="AJ362" s="0" t="s">
        <v>630</v>
      </c>
      <c r="AK362" s="0" t="n">
        <v>0</v>
      </c>
      <c r="AL362" s="0" t="n">
        <v>0</v>
      </c>
      <c r="AM362" s="0" t="n">
        <v>0</v>
      </c>
    </row>
    <row r="363" customFormat="false" ht="12.75" hidden="false" customHeight="false" outlineLevel="0" collapsed="false">
      <c r="A363" s="0" t="s">
        <v>631</v>
      </c>
      <c r="B363" s="0" t="s">
        <v>329</v>
      </c>
      <c r="C363" s="0" t="s">
        <v>622</v>
      </c>
      <c r="D363" s="0" t="s">
        <v>623</v>
      </c>
      <c r="E363" s="0" t="s">
        <v>131</v>
      </c>
      <c r="F363" s="0" t="s">
        <v>198</v>
      </c>
      <c r="G363" s="0" t="s">
        <v>628</v>
      </c>
      <c r="H363" s="0" t="s">
        <v>625</v>
      </c>
      <c r="I363" s="0" t="s">
        <v>626</v>
      </c>
      <c r="J363" s="0" t="s">
        <v>627</v>
      </c>
      <c r="K363" s="475" t="n">
        <v>37226</v>
      </c>
      <c r="L363" s="254" t="n">
        <v>203497.304593505</v>
      </c>
      <c r="M363" s="475" t="n">
        <v>37224</v>
      </c>
      <c r="N363" s="0" t="s">
        <v>132</v>
      </c>
      <c r="O363" s="0" t="n">
        <v>1.33</v>
      </c>
      <c r="P363" s="0" t="n">
        <v>0</v>
      </c>
      <c r="Q363" s="0" t="n">
        <v>0</v>
      </c>
      <c r="R363" s="0" t="n">
        <v>0</v>
      </c>
      <c r="S363" s="0" t="n">
        <v>0</v>
      </c>
      <c r="T363" s="0" t="s">
        <v>624</v>
      </c>
      <c r="U363" s="0" t="s">
        <v>149</v>
      </c>
      <c r="V363" s="0" t="s">
        <v>624</v>
      </c>
      <c r="W363" s="0" t="s">
        <v>569</v>
      </c>
      <c r="X363" s="0" t="s">
        <v>624</v>
      </c>
      <c r="Y363" s="0" t="s">
        <v>627</v>
      </c>
      <c r="Z363" s="0" t="s">
        <v>629</v>
      </c>
      <c r="AA363" s="0" t="s">
        <v>624</v>
      </c>
      <c r="AB363" s="0" t="s">
        <v>580</v>
      </c>
      <c r="AC363" s="254" t="n">
        <v>500000</v>
      </c>
      <c r="AD363" s="254" t="n">
        <v>24440.5937083041</v>
      </c>
      <c r="AE363" s="0" t="n">
        <v>0</v>
      </c>
      <c r="AF363" s="0" t="n">
        <v>0</v>
      </c>
      <c r="AG363" s="0" t="n">
        <v>0</v>
      </c>
      <c r="AH363" s="254" t="n">
        <v>-5094.59336835015</v>
      </c>
      <c r="AI363" s="0" t="n">
        <v>226</v>
      </c>
      <c r="AJ363" s="0" t="s">
        <v>630</v>
      </c>
      <c r="AK363" s="0" t="n">
        <v>0</v>
      </c>
      <c r="AL363" s="0" t="n">
        <v>0</v>
      </c>
      <c r="AM363" s="0" t="n">
        <v>0</v>
      </c>
    </row>
    <row r="364" customFormat="false" ht="12.75" hidden="false" customHeight="false" outlineLevel="0" collapsed="false">
      <c r="A364" s="0" t="s">
        <v>631</v>
      </c>
      <c r="B364" s="0" t="s">
        <v>329</v>
      </c>
      <c r="C364" s="0" t="s">
        <v>622</v>
      </c>
      <c r="D364" s="0" t="s">
        <v>623</v>
      </c>
      <c r="E364" s="0" t="s">
        <v>131</v>
      </c>
      <c r="F364" s="0" t="s">
        <v>198</v>
      </c>
      <c r="G364" s="0" t="s">
        <v>628</v>
      </c>
      <c r="H364" s="0" t="s">
        <v>625</v>
      </c>
      <c r="I364" s="0" t="s">
        <v>626</v>
      </c>
      <c r="J364" s="0" t="s">
        <v>627</v>
      </c>
      <c r="K364" s="475" t="n">
        <v>37196</v>
      </c>
      <c r="L364" s="254" t="n">
        <v>298254.166629302</v>
      </c>
      <c r="M364" s="475" t="n">
        <v>37194</v>
      </c>
      <c r="N364" s="0" t="s">
        <v>132</v>
      </c>
      <c r="O364" s="0" t="n">
        <v>1.33</v>
      </c>
      <c r="P364" s="0" t="n">
        <v>0</v>
      </c>
      <c r="Q364" s="0" t="n">
        <v>0</v>
      </c>
      <c r="R364" s="0" t="n">
        <v>0</v>
      </c>
      <c r="S364" s="0" t="n">
        <v>0</v>
      </c>
      <c r="T364" s="0" t="s">
        <v>624</v>
      </c>
      <c r="U364" s="0" t="s">
        <v>149</v>
      </c>
      <c r="V364" s="0" t="s">
        <v>624</v>
      </c>
      <c r="W364" s="0" t="s">
        <v>569</v>
      </c>
      <c r="X364" s="0" t="s">
        <v>624</v>
      </c>
      <c r="Y364" s="0" t="s">
        <v>627</v>
      </c>
      <c r="Z364" s="0" t="s">
        <v>629</v>
      </c>
      <c r="AA364" s="0" t="s">
        <v>624</v>
      </c>
      <c r="AB364" s="0" t="s">
        <v>580</v>
      </c>
      <c r="AC364" s="254" t="n">
        <v>500000</v>
      </c>
      <c r="AD364" s="254" t="n">
        <v>22239.8549820322</v>
      </c>
      <c r="AE364" s="0" t="n">
        <v>0</v>
      </c>
      <c r="AF364" s="0" t="n">
        <v>0</v>
      </c>
      <c r="AG364" s="0" t="n">
        <v>0</v>
      </c>
      <c r="AH364" s="254" t="n">
        <v>-7666.49579026614</v>
      </c>
      <c r="AI364" s="0" t="n">
        <v>226</v>
      </c>
      <c r="AJ364" s="0" t="s">
        <v>630</v>
      </c>
      <c r="AK364" s="0" t="n">
        <v>0</v>
      </c>
      <c r="AL364" s="0" t="n">
        <v>0</v>
      </c>
      <c r="AM364" s="0" t="n">
        <v>0</v>
      </c>
    </row>
    <row r="365" customFormat="false" ht="12.75" hidden="false" customHeight="false" outlineLevel="0" collapsed="false">
      <c r="A365" s="0" t="s">
        <v>631</v>
      </c>
      <c r="B365" s="0" t="s">
        <v>330</v>
      </c>
      <c r="C365" s="0" t="s">
        <v>622</v>
      </c>
      <c r="D365" s="0" t="s">
        <v>623</v>
      </c>
      <c r="E365" s="0" t="s">
        <v>131</v>
      </c>
      <c r="F365" s="0" t="s">
        <v>198</v>
      </c>
      <c r="G365" s="0" t="s">
        <v>628</v>
      </c>
      <c r="H365" s="0" t="s">
        <v>625</v>
      </c>
      <c r="I365" s="0" t="s">
        <v>626</v>
      </c>
      <c r="J365" s="0" t="s">
        <v>627</v>
      </c>
      <c r="K365" s="475" t="n">
        <v>36951</v>
      </c>
      <c r="L365" s="254" t="n">
        <v>-78849.0332773449</v>
      </c>
      <c r="M365" s="475" t="n">
        <v>36949</v>
      </c>
      <c r="N365" s="0" t="s">
        <v>136</v>
      </c>
      <c r="O365" s="0" t="n">
        <v>2.5</v>
      </c>
      <c r="P365" s="0" t="n">
        <v>0</v>
      </c>
      <c r="Q365" s="0" t="n">
        <v>0</v>
      </c>
      <c r="R365" s="0" t="n">
        <v>0</v>
      </c>
      <c r="S365" s="0" t="n">
        <v>0</v>
      </c>
      <c r="T365" s="0" t="s">
        <v>624</v>
      </c>
      <c r="U365" s="0" t="s">
        <v>149</v>
      </c>
      <c r="V365" s="0" t="s">
        <v>624</v>
      </c>
      <c r="W365" s="0" t="s">
        <v>569</v>
      </c>
      <c r="X365" s="0" t="s">
        <v>624</v>
      </c>
      <c r="Y365" s="0" t="s">
        <v>627</v>
      </c>
      <c r="Z365" s="0" t="s">
        <v>629</v>
      </c>
      <c r="AA365" s="0" t="s">
        <v>624</v>
      </c>
      <c r="AB365" s="0" t="s">
        <v>580</v>
      </c>
      <c r="AC365" s="254" t="n">
        <v>-500000</v>
      </c>
      <c r="AD365" s="254" t="n">
        <v>-28654.2946908089</v>
      </c>
      <c r="AE365" s="0" t="n">
        <v>0</v>
      </c>
      <c r="AF365" s="0" t="n">
        <v>0</v>
      </c>
      <c r="AG365" s="0" t="n">
        <v>0</v>
      </c>
      <c r="AH365" s="254" t="n">
        <v>-7840.69893657295</v>
      </c>
      <c r="AI365" s="0" t="n">
        <v>226</v>
      </c>
      <c r="AJ365" s="0" t="s">
        <v>630</v>
      </c>
      <c r="AK365" s="0" t="n">
        <v>0</v>
      </c>
      <c r="AL365" s="0" t="n">
        <v>0</v>
      </c>
      <c r="AM365" s="0" t="n">
        <v>0</v>
      </c>
    </row>
    <row r="366" customFormat="false" ht="12.75" hidden="false" customHeight="false" outlineLevel="0" collapsed="false">
      <c r="A366" s="0" t="s">
        <v>631</v>
      </c>
      <c r="B366" s="0" t="s">
        <v>330</v>
      </c>
      <c r="C366" s="0" t="s">
        <v>622</v>
      </c>
      <c r="D366" s="0" t="s">
        <v>623</v>
      </c>
      <c r="E366" s="0" t="s">
        <v>131</v>
      </c>
      <c r="F366" s="0" t="s">
        <v>198</v>
      </c>
      <c r="G366" s="0" t="s">
        <v>628</v>
      </c>
      <c r="H366" s="0" t="s">
        <v>625</v>
      </c>
      <c r="I366" s="0" t="s">
        <v>626</v>
      </c>
      <c r="J366" s="0" t="s">
        <v>627</v>
      </c>
      <c r="K366" s="475" t="n">
        <v>36923</v>
      </c>
      <c r="L366" s="254" t="n">
        <v>-268548.128159836</v>
      </c>
      <c r="M366" s="475" t="n">
        <v>36921</v>
      </c>
      <c r="N366" s="0" t="s">
        <v>136</v>
      </c>
      <c r="O366" s="0" t="n">
        <v>2.5</v>
      </c>
      <c r="P366" s="0" t="n">
        <v>0</v>
      </c>
      <c r="Q366" s="0" t="n">
        <v>0</v>
      </c>
      <c r="R366" s="0" t="n">
        <v>0</v>
      </c>
      <c r="S366" s="0" t="n">
        <v>0</v>
      </c>
      <c r="T366" s="0" t="s">
        <v>624</v>
      </c>
      <c r="U366" s="0" t="s">
        <v>149</v>
      </c>
      <c r="V366" s="0" t="s">
        <v>624</v>
      </c>
      <c r="W366" s="0" t="s">
        <v>569</v>
      </c>
      <c r="X366" s="0" t="s">
        <v>624</v>
      </c>
      <c r="Y366" s="0" t="s">
        <v>627</v>
      </c>
      <c r="Z366" s="0" t="s">
        <v>629</v>
      </c>
      <c r="AA366" s="0" t="s">
        <v>624</v>
      </c>
      <c r="AB366" s="0" t="s">
        <v>580</v>
      </c>
      <c r="AC366" s="254" t="n">
        <v>-500000</v>
      </c>
      <c r="AD366" s="254" t="n">
        <v>-41384.8011180999</v>
      </c>
      <c r="AE366" s="0" t="n">
        <v>0</v>
      </c>
      <c r="AF366" s="0" t="n">
        <v>0</v>
      </c>
      <c r="AG366" s="0" t="n">
        <v>0</v>
      </c>
      <c r="AH366" s="254" t="n">
        <v>-17740.3183104595</v>
      </c>
      <c r="AI366" s="0" t="n">
        <v>226</v>
      </c>
      <c r="AJ366" s="0" t="s">
        <v>630</v>
      </c>
      <c r="AK366" s="0" t="n">
        <v>0</v>
      </c>
      <c r="AL366" s="0" t="n">
        <v>0</v>
      </c>
      <c r="AM366" s="0" t="n">
        <v>0</v>
      </c>
    </row>
    <row r="367" customFormat="false" ht="12.75" hidden="false" customHeight="false" outlineLevel="0" collapsed="false">
      <c r="A367" s="0" t="s">
        <v>631</v>
      </c>
      <c r="B367" s="0" t="s">
        <v>330</v>
      </c>
      <c r="C367" s="0" t="s">
        <v>622</v>
      </c>
      <c r="D367" s="0" t="s">
        <v>623</v>
      </c>
      <c r="E367" s="0" t="s">
        <v>131</v>
      </c>
      <c r="F367" s="0" t="s">
        <v>198</v>
      </c>
      <c r="G367" s="0" t="s">
        <v>628</v>
      </c>
      <c r="H367" s="0" t="s">
        <v>625</v>
      </c>
      <c r="I367" s="0" t="s">
        <v>626</v>
      </c>
      <c r="J367" s="0" t="s">
        <v>627</v>
      </c>
      <c r="K367" s="475" t="n">
        <v>36892</v>
      </c>
      <c r="L367" s="254" t="n">
        <v>-265933.051985466</v>
      </c>
      <c r="M367" s="475" t="n">
        <v>36888</v>
      </c>
      <c r="N367" s="0" t="s">
        <v>136</v>
      </c>
      <c r="O367" s="0" t="n">
        <v>2.5</v>
      </c>
      <c r="P367" s="0" t="n">
        <v>0</v>
      </c>
      <c r="Q367" s="0" t="n">
        <v>0</v>
      </c>
      <c r="R367" s="0" t="n">
        <v>0</v>
      </c>
      <c r="S367" s="0" t="n">
        <v>0</v>
      </c>
      <c r="T367" s="0" t="s">
        <v>624</v>
      </c>
      <c r="U367" s="0" t="s">
        <v>149</v>
      </c>
      <c r="V367" s="0" t="s">
        <v>624</v>
      </c>
      <c r="W367" s="0" t="s">
        <v>569</v>
      </c>
      <c r="X367" s="0" t="s">
        <v>624</v>
      </c>
      <c r="Y367" s="0" t="s">
        <v>627</v>
      </c>
      <c r="Z367" s="0" t="s">
        <v>629</v>
      </c>
      <c r="AA367" s="0" t="s">
        <v>624</v>
      </c>
      <c r="AB367" s="0" t="s">
        <v>580</v>
      </c>
      <c r="AC367" s="254" t="n">
        <v>-500000</v>
      </c>
      <c r="AD367" s="254" t="n">
        <v>-38180.9153994505</v>
      </c>
      <c r="AE367" s="0" t="n">
        <v>0</v>
      </c>
      <c r="AF367" s="0" t="n">
        <v>0</v>
      </c>
      <c r="AG367" s="0" t="n">
        <v>0</v>
      </c>
      <c r="AH367" s="254" t="n">
        <v>-15641.4159356671</v>
      </c>
      <c r="AI367" s="0" t="n">
        <v>226</v>
      </c>
      <c r="AJ367" s="0" t="s">
        <v>630</v>
      </c>
      <c r="AK367" s="0" t="n">
        <v>0</v>
      </c>
      <c r="AL367" s="0" t="n">
        <v>0</v>
      </c>
      <c r="AM367" s="0" t="n">
        <v>0</v>
      </c>
    </row>
    <row r="368" customFormat="false" ht="12.75" hidden="false" customHeight="false" outlineLevel="0" collapsed="false">
      <c r="A368" s="0" t="s">
        <v>631</v>
      </c>
      <c r="B368" s="0" t="s">
        <v>330</v>
      </c>
      <c r="C368" s="0" t="s">
        <v>622</v>
      </c>
      <c r="D368" s="0" t="s">
        <v>623</v>
      </c>
      <c r="E368" s="0" t="s">
        <v>131</v>
      </c>
      <c r="F368" s="0" t="s">
        <v>198</v>
      </c>
      <c r="G368" s="0" t="s">
        <v>628</v>
      </c>
      <c r="H368" s="0" t="s">
        <v>625</v>
      </c>
      <c r="I368" s="0" t="s">
        <v>626</v>
      </c>
      <c r="J368" s="0" t="s">
        <v>627</v>
      </c>
      <c r="K368" s="475" t="n">
        <v>36861</v>
      </c>
      <c r="L368" s="254" t="n">
        <v>-123868.759900278</v>
      </c>
      <c r="M368" s="475" t="n">
        <v>36859</v>
      </c>
      <c r="N368" s="0" t="s">
        <v>136</v>
      </c>
      <c r="O368" s="0" t="n">
        <v>2.5</v>
      </c>
      <c r="P368" s="0" t="n">
        <v>0</v>
      </c>
      <c r="Q368" s="0" t="n">
        <v>0</v>
      </c>
      <c r="R368" s="0" t="n">
        <v>0</v>
      </c>
      <c r="S368" s="0" t="n">
        <v>0</v>
      </c>
      <c r="T368" s="0" t="s">
        <v>624</v>
      </c>
      <c r="U368" s="0" t="s">
        <v>149</v>
      </c>
      <c r="V368" s="0" t="s">
        <v>624</v>
      </c>
      <c r="W368" s="0" t="s">
        <v>569</v>
      </c>
      <c r="X368" s="0" t="s">
        <v>624</v>
      </c>
      <c r="Y368" s="0" t="s">
        <v>627</v>
      </c>
      <c r="Z368" s="0" t="s">
        <v>629</v>
      </c>
      <c r="AA368" s="0" t="s">
        <v>624</v>
      </c>
      <c r="AB368" s="0" t="s">
        <v>580</v>
      </c>
      <c r="AC368" s="254" t="n">
        <v>-500000</v>
      </c>
      <c r="AD368" s="254" t="n">
        <v>-29013.4132686056</v>
      </c>
      <c r="AE368" s="0" t="n">
        <v>0</v>
      </c>
      <c r="AF368" s="0" t="n">
        <v>0</v>
      </c>
      <c r="AG368" s="0" t="n">
        <v>0</v>
      </c>
      <c r="AH368" s="254" t="n">
        <v>-8395.75378996143</v>
      </c>
      <c r="AI368" s="0" t="n">
        <v>226</v>
      </c>
      <c r="AJ368" s="0" t="s">
        <v>630</v>
      </c>
      <c r="AK368" s="0" t="n">
        <v>0</v>
      </c>
      <c r="AL368" s="0" t="n">
        <v>0</v>
      </c>
      <c r="AM368" s="0" t="n">
        <v>0</v>
      </c>
    </row>
    <row r="369" customFormat="false" ht="12.75" hidden="false" customHeight="false" outlineLevel="0" collapsed="false">
      <c r="A369" s="0" t="s">
        <v>631</v>
      </c>
      <c r="B369" s="0" t="s">
        <v>330</v>
      </c>
      <c r="C369" s="0" t="s">
        <v>622</v>
      </c>
      <c r="D369" s="0" t="s">
        <v>623</v>
      </c>
      <c r="E369" s="0" t="s">
        <v>131</v>
      </c>
      <c r="F369" s="0" t="s">
        <v>198</v>
      </c>
      <c r="G369" s="0" t="s">
        <v>628</v>
      </c>
      <c r="H369" s="0" t="s">
        <v>625</v>
      </c>
      <c r="I369" s="0" t="s">
        <v>626</v>
      </c>
      <c r="J369" s="0" t="s">
        <v>627</v>
      </c>
      <c r="K369" s="475" t="n">
        <v>36831</v>
      </c>
      <c r="L369" s="254" t="n">
        <v>-3219.77375476454</v>
      </c>
      <c r="M369" s="475" t="n">
        <v>36829</v>
      </c>
      <c r="N369" s="0" t="s">
        <v>136</v>
      </c>
      <c r="O369" s="0" t="n">
        <v>2.5</v>
      </c>
      <c r="P369" s="0" t="n">
        <v>0</v>
      </c>
      <c r="Q369" s="0" t="n">
        <v>0</v>
      </c>
      <c r="R369" s="0" t="n">
        <v>0</v>
      </c>
      <c r="S369" s="0" t="n">
        <v>0</v>
      </c>
      <c r="T369" s="0" t="s">
        <v>624</v>
      </c>
      <c r="U369" s="0" t="s">
        <v>149</v>
      </c>
      <c r="V369" s="0" t="s">
        <v>624</v>
      </c>
      <c r="W369" s="0" t="s">
        <v>569</v>
      </c>
      <c r="X369" s="0" t="s">
        <v>624</v>
      </c>
      <c r="Y369" s="0" t="s">
        <v>627</v>
      </c>
      <c r="Z369" s="0" t="s">
        <v>629</v>
      </c>
      <c r="AA369" s="0" t="s">
        <v>624</v>
      </c>
      <c r="AB369" s="0" t="s">
        <v>580</v>
      </c>
      <c r="AC369" s="254" t="n">
        <v>-500000</v>
      </c>
      <c r="AD369" s="254" t="n">
        <v>-2615.98667119585</v>
      </c>
      <c r="AE369" s="0" t="n">
        <v>0</v>
      </c>
      <c r="AF369" s="0" t="n">
        <v>0</v>
      </c>
      <c r="AG369" s="0" t="n">
        <v>0</v>
      </c>
      <c r="AH369" s="254" t="n">
        <v>-633.230587007514</v>
      </c>
      <c r="AI369" s="0" t="n">
        <v>226</v>
      </c>
      <c r="AJ369" s="0" t="s">
        <v>630</v>
      </c>
      <c r="AK369" s="0" t="n">
        <v>0</v>
      </c>
      <c r="AL369" s="0" t="n">
        <v>0</v>
      </c>
      <c r="AM369" s="0" t="n">
        <v>0</v>
      </c>
    </row>
    <row r="370" customFormat="false" ht="12.75" hidden="false" customHeight="false" outlineLevel="0" collapsed="false">
      <c r="A370" s="0" t="s">
        <v>631</v>
      </c>
      <c r="B370" s="0" t="s">
        <v>331</v>
      </c>
      <c r="C370" s="0" t="s">
        <v>622</v>
      </c>
      <c r="D370" s="0" t="s">
        <v>623</v>
      </c>
      <c r="E370" s="0" t="s">
        <v>131</v>
      </c>
      <c r="F370" s="0" t="s">
        <v>218</v>
      </c>
      <c r="G370" s="0" t="s">
        <v>628</v>
      </c>
      <c r="H370" s="0" t="s">
        <v>625</v>
      </c>
      <c r="I370" s="0" t="s">
        <v>626</v>
      </c>
      <c r="J370" s="0" t="s">
        <v>627</v>
      </c>
      <c r="K370" s="475" t="n">
        <v>36951</v>
      </c>
      <c r="L370" s="254" t="n">
        <v>160013.494654283</v>
      </c>
      <c r="M370" s="475" t="n">
        <v>36949</v>
      </c>
      <c r="N370" s="0" t="s">
        <v>132</v>
      </c>
      <c r="O370" s="0" t="n">
        <v>0.7</v>
      </c>
      <c r="P370" s="0" t="n">
        <v>0</v>
      </c>
      <c r="Q370" s="0" t="n">
        <v>0</v>
      </c>
      <c r="R370" s="0" t="n">
        <v>0</v>
      </c>
      <c r="S370" s="0" t="n">
        <v>0</v>
      </c>
      <c r="T370" s="0" t="s">
        <v>624</v>
      </c>
      <c r="U370" s="0" t="s">
        <v>149</v>
      </c>
      <c r="V370" s="0" t="s">
        <v>624</v>
      </c>
      <c r="W370" s="0" t="s">
        <v>569</v>
      </c>
      <c r="X370" s="0" t="s">
        <v>624</v>
      </c>
      <c r="Y370" s="0" t="s">
        <v>627</v>
      </c>
      <c r="Z370" s="0" t="s">
        <v>629</v>
      </c>
      <c r="AA370" s="0" t="s">
        <v>624</v>
      </c>
      <c r="AB370" s="0" t="s">
        <v>580</v>
      </c>
      <c r="AC370" s="254" t="n">
        <v>500000</v>
      </c>
      <c r="AD370" s="254" t="n">
        <v>43330.8707097487</v>
      </c>
      <c r="AE370" s="0" t="n">
        <v>0</v>
      </c>
      <c r="AF370" s="0" t="n">
        <v>0</v>
      </c>
      <c r="AG370" s="0" t="n">
        <v>0</v>
      </c>
      <c r="AH370" s="254" t="n">
        <v>-7738.76991280532</v>
      </c>
      <c r="AI370" s="0" t="n">
        <v>226</v>
      </c>
      <c r="AJ370" s="0" t="s">
        <v>630</v>
      </c>
      <c r="AK370" s="0" t="n">
        <v>0</v>
      </c>
      <c r="AL370" s="0" t="n">
        <v>0</v>
      </c>
      <c r="AM370" s="0" t="n">
        <v>0</v>
      </c>
    </row>
    <row r="371" customFormat="false" ht="12.75" hidden="false" customHeight="false" outlineLevel="0" collapsed="false">
      <c r="A371" s="0" t="s">
        <v>631</v>
      </c>
      <c r="B371" s="0" t="s">
        <v>331</v>
      </c>
      <c r="C371" s="0" t="s">
        <v>622</v>
      </c>
      <c r="D371" s="0" t="s">
        <v>623</v>
      </c>
      <c r="E371" s="0" t="s">
        <v>131</v>
      </c>
      <c r="F371" s="0" t="s">
        <v>218</v>
      </c>
      <c r="G371" s="0" t="s">
        <v>628</v>
      </c>
      <c r="H371" s="0" t="s">
        <v>625</v>
      </c>
      <c r="I371" s="0" t="s">
        <v>626</v>
      </c>
      <c r="J371" s="0" t="s">
        <v>627</v>
      </c>
      <c r="K371" s="475" t="n">
        <v>36923</v>
      </c>
      <c r="L371" s="254" t="n">
        <v>64633.941476257</v>
      </c>
      <c r="M371" s="475" t="n">
        <v>36921</v>
      </c>
      <c r="N371" s="0" t="s">
        <v>132</v>
      </c>
      <c r="O371" s="0" t="n">
        <v>0.7</v>
      </c>
      <c r="P371" s="0" t="n">
        <v>0</v>
      </c>
      <c r="Q371" s="0" t="n">
        <v>0</v>
      </c>
      <c r="R371" s="0" t="n">
        <v>0</v>
      </c>
      <c r="S371" s="0" t="n">
        <v>0</v>
      </c>
      <c r="T371" s="0" t="s">
        <v>624</v>
      </c>
      <c r="U371" s="0" t="s">
        <v>149</v>
      </c>
      <c r="V371" s="0" t="s">
        <v>624</v>
      </c>
      <c r="W371" s="0" t="s">
        <v>569</v>
      </c>
      <c r="X371" s="0" t="s">
        <v>624</v>
      </c>
      <c r="Y371" s="0" t="s">
        <v>627</v>
      </c>
      <c r="Z371" s="0" t="s">
        <v>629</v>
      </c>
      <c r="AA371" s="0" t="s">
        <v>624</v>
      </c>
      <c r="AB371" s="0" t="s">
        <v>580</v>
      </c>
      <c r="AC371" s="254" t="n">
        <v>500000</v>
      </c>
      <c r="AD371" s="254" t="n">
        <v>29717.6874512879</v>
      </c>
      <c r="AE371" s="0" t="n">
        <v>0</v>
      </c>
      <c r="AF371" s="0" t="n">
        <v>0</v>
      </c>
      <c r="AG371" s="0" t="n">
        <v>0</v>
      </c>
      <c r="AH371" s="254" t="n">
        <v>-3486.33141220711</v>
      </c>
      <c r="AI371" s="0" t="n">
        <v>226</v>
      </c>
      <c r="AJ371" s="0" t="s">
        <v>630</v>
      </c>
      <c r="AK371" s="0" t="n">
        <v>0</v>
      </c>
      <c r="AL371" s="0" t="n">
        <v>0</v>
      </c>
      <c r="AM371" s="0" t="n">
        <v>0</v>
      </c>
    </row>
    <row r="372" customFormat="false" ht="12.75" hidden="false" customHeight="false" outlineLevel="0" collapsed="false">
      <c r="A372" s="0" t="s">
        <v>631</v>
      </c>
      <c r="B372" s="0" t="s">
        <v>331</v>
      </c>
      <c r="C372" s="0" t="s">
        <v>622</v>
      </c>
      <c r="D372" s="0" t="s">
        <v>623</v>
      </c>
      <c r="E372" s="0" t="s">
        <v>131</v>
      </c>
      <c r="F372" s="0" t="s">
        <v>218</v>
      </c>
      <c r="G372" s="0" t="s">
        <v>628</v>
      </c>
      <c r="H372" s="0" t="s">
        <v>625</v>
      </c>
      <c r="I372" s="0" t="s">
        <v>626</v>
      </c>
      <c r="J372" s="0" t="s">
        <v>627</v>
      </c>
      <c r="K372" s="475" t="n">
        <v>36892</v>
      </c>
      <c r="L372" s="254" t="n">
        <v>50711.5763740942</v>
      </c>
      <c r="M372" s="475" t="n">
        <v>36888</v>
      </c>
      <c r="N372" s="0" t="s">
        <v>132</v>
      </c>
      <c r="O372" s="0" t="n">
        <v>0.7</v>
      </c>
      <c r="P372" s="0" t="n">
        <v>0</v>
      </c>
      <c r="Q372" s="0" t="n">
        <v>0</v>
      </c>
      <c r="R372" s="0" t="n">
        <v>0</v>
      </c>
      <c r="S372" s="0" t="n">
        <v>0</v>
      </c>
      <c r="T372" s="0" t="s">
        <v>624</v>
      </c>
      <c r="U372" s="0" t="s">
        <v>149</v>
      </c>
      <c r="V372" s="0" t="s">
        <v>624</v>
      </c>
      <c r="W372" s="0" t="s">
        <v>569</v>
      </c>
      <c r="X372" s="0" t="s">
        <v>624</v>
      </c>
      <c r="Y372" s="0" t="s">
        <v>627</v>
      </c>
      <c r="Z372" s="0" t="s">
        <v>629</v>
      </c>
      <c r="AA372" s="0" t="s">
        <v>624</v>
      </c>
      <c r="AB372" s="0" t="s">
        <v>580</v>
      </c>
      <c r="AC372" s="254" t="n">
        <v>500000</v>
      </c>
      <c r="AD372" s="254" t="n">
        <v>24485.5777553611</v>
      </c>
      <c r="AE372" s="0" t="n">
        <v>0</v>
      </c>
      <c r="AF372" s="0" t="n">
        <v>0</v>
      </c>
      <c r="AG372" s="0" t="n">
        <v>0</v>
      </c>
      <c r="AH372" s="254" t="n">
        <v>-2460.61232077333</v>
      </c>
      <c r="AI372" s="0" t="n">
        <v>226</v>
      </c>
      <c r="AJ372" s="0" t="s">
        <v>630</v>
      </c>
      <c r="AK372" s="0" t="n">
        <v>0</v>
      </c>
      <c r="AL372" s="0" t="n">
        <v>0</v>
      </c>
      <c r="AM372" s="0" t="n">
        <v>0</v>
      </c>
    </row>
    <row r="373" customFormat="false" ht="12.75" hidden="false" customHeight="false" outlineLevel="0" collapsed="false">
      <c r="A373" s="0" t="s">
        <v>631</v>
      </c>
      <c r="B373" s="0" t="s">
        <v>331</v>
      </c>
      <c r="C373" s="0" t="s">
        <v>622</v>
      </c>
      <c r="D373" s="0" t="s">
        <v>623</v>
      </c>
      <c r="E373" s="0" t="s">
        <v>131</v>
      </c>
      <c r="F373" s="0" t="s">
        <v>218</v>
      </c>
      <c r="G373" s="0" t="s">
        <v>628</v>
      </c>
      <c r="H373" s="0" t="s">
        <v>625</v>
      </c>
      <c r="I373" s="0" t="s">
        <v>626</v>
      </c>
      <c r="J373" s="0" t="s">
        <v>627</v>
      </c>
      <c r="K373" s="475" t="n">
        <v>36861</v>
      </c>
      <c r="L373" s="254" t="n">
        <v>67625.3262715833</v>
      </c>
      <c r="M373" s="475" t="n">
        <v>36859</v>
      </c>
      <c r="N373" s="0" t="s">
        <v>132</v>
      </c>
      <c r="O373" s="0" t="n">
        <v>0.7</v>
      </c>
      <c r="P373" s="0" t="n">
        <v>0</v>
      </c>
      <c r="Q373" s="0" t="n">
        <v>0</v>
      </c>
      <c r="R373" s="0" t="n">
        <v>0</v>
      </c>
      <c r="S373" s="0" t="n">
        <v>0</v>
      </c>
      <c r="T373" s="0" t="s">
        <v>624</v>
      </c>
      <c r="U373" s="0" t="s">
        <v>149</v>
      </c>
      <c r="V373" s="0" t="s">
        <v>624</v>
      </c>
      <c r="W373" s="0" t="s">
        <v>569</v>
      </c>
      <c r="X373" s="0" t="s">
        <v>624</v>
      </c>
      <c r="Y373" s="0" t="s">
        <v>627</v>
      </c>
      <c r="Z373" s="0" t="s">
        <v>629</v>
      </c>
      <c r="AA373" s="0" t="s">
        <v>624</v>
      </c>
      <c r="AB373" s="0" t="s">
        <v>580</v>
      </c>
      <c r="AC373" s="254" t="n">
        <v>500000</v>
      </c>
      <c r="AD373" s="254" t="n">
        <v>26854.2626189887</v>
      </c>
      <c r="AE373" s="0" t="n">
        <v>0</v>
      </c>
      <c r="AF373" s="0" t="n">
        <v>0</v>
      </c>
      <c r="AG373" s="0" t="n">
        <v>0</v>
      </c>
      <c r="AH373" s="254" t="n">
        <v>-2764.98327624796</v>
      </c>
      <c r="AI373" s="0" t="n">
        <v>226</v>
      </c>
      <c r="AJ373" s="0" t="s">
        <v>630</v>
      </c>
      <c r="AK373" s="0" t="n">
        <v>0</v>
      </c>
      <c r="AL373" s="0" t="n">
        <v>0</v>
      </c>
      <c r="AM373" s="0" t="n">
        <v>0</v>
      </c>
    </row>
    <row r="374" customFormat="false" ht="12.75" hidden="false" customHeight="false" outlineLevel="0" collapsed="false">
      <c r="A374" s="0" t="s">
        <v>631</v>
      </c>
      <c r="B374" s="0" t="s">
        <v>331</v>
      </c>
      <c r="C374" s="0" t="s">
        <v>622</v>
      </c>
      <c r="D374" s="0" t="s">
        <v>623</v>
      </c>
      <c r="E374" s="0" t="s">
        <v>131</v>
      </c>
      <c r="F374" s="0" t="s">
        <v>218</v>
      </c>
      <c r="G374" s="0" t="s">
        <v>628</v>
      </c>
      <c r="H374" s="0" t="s">
        <v>625</v>
      </c>
      <c r="I374" s="0" t="s">
        <v>626</v>
      </c>
      <c r="J374" s="0" t="s">
        <v>627</v>
      </c>
      <c r="K374" s="475" t="n">
        <v>36831</v>
      </c>
      <c r="L374" s="254" t="n">
        <v>112243.684198816</v>
      </c>
      <c r="M374" s="475" t="n">
        <v>36829</v>
      </c>
      <c r="N374" s="0" t="s">
        <v>132</v>
      </c>
      <c r="O374" s="0" t="n">
        <v>0.7</v>
      </c>
      <c r="P374" s="0" t="n">
        <v>0</v>
      </c>
      <c r="Q374" s="0" t="n">
        <v>0</v>
      </c>
      <c r="R374" s="0" t="n">
        <v>0</v>
      </c>
      <c r="S374" s="0" t="n">
        <v>0</v>
      </c>
      <c r="T374" s="0" t="s">
        <v>624</v>
      </c>
      <c r="U374" s="0" t="s">
        <v>149</v>
      </c>
      <c r="V374" s="0" t="s">
        <v>624</v>
      </c>
      <c r="W374" s="0" t="s">
        <v>569</v>
      </c>
      <c r="X374" s="0" t="s">
        <v>624</v>
      </c>
      <c r="Y374" s="0" t="s">
        <v>627</v>
      </c>
      <c r="Z374" s="0" t="s">
        <v>629</v>
      </c>
      <c r="AA374" s="0" t="s">
        <v>624</v>
      </c>
      <c r="AB374" s="0" t="s">
        <v>580</v>
      </c>
      <c r="AC374" s="254" t="n">
        <v>500000</v>
      </c>
      <c r="AD374" s="254" t="n">
        <v>22551.2171298701</v>
      </c>
      <c r="AE374" s="0" t="n">
        <v>0</v>
      </c>
      <c r="AF374" s="0" t="n">
        <v>0</v>
      </c>
      <c r="AG374" s="0" t="n">
        <v>0</v>
      </c>
      <c r="AH374" s="254" t="n">
        <v>-7585.65487872387</v>
      </c>
      <c r="AI374" s="0" t="n">
        <v>226</v>
      </c>
      <c r="AJ374" s="0" t="s">
        <v>630</v>
      </c>
      <c r="AK374" s="0" t="n">
        <v>0</v>
      </c>
      <c r="AL374" s="0" t="n">
        <v>0</v>
      </c>
      <c r="AM374" s="0" t="n">
        <v>0</v>
      </c>
    </row>
    <row r="375" customFormat="false" ht="12.75" hidden="false" customHeight="false" outlineLevel="0" collapsed="false">
      <c r="A375" s="0" t="s">
        <v>631</v>
      </c>
      <c r="B375" s="0" t="s">
        <v>332</v>
      </c>
      <c r="C375" s="0" t="s">
        <v>622</v>
      </c>
      <c r="D375" s="0" t="s">
        <v>623</v>
      </c>
      <c r="E375" s="0" t="s">
        <v>131</v>
      </c>
      <c r="F375" s="0" t="s">
        <v>210</v>
      </c>
      <c r="G375" s="0" t="s">
        <v>628</v>
      </c>
      <c r="H375" s="0" t="s">
        <v>625</v>
      </c>
      <c r="I375" s="0" t="s">
        <v>626</v>
      </c>
      <c r="J375" s="0" t="s">
        <v>627</v>
      </c>
      <c r="K375" s="475" t="n">
        <v>36951</v>
      </c>
      <c r="L375" s="254" t="n">
        <v>513232.345416381</v>
      </c>
      <c r="M375" s="475" t="n">
        <v>36949</v>
      </c>
      <c r="N375" s="0" t="s">
        <v>132</v>
      </c>
      <c r="O375" s="0" t="n">
        <v>0.75</v>
      </c>
      <c r="P375" s="0" t="n">
        <v>0</v>
      </c>
      <c r="Q375" s="0" t="n">
        <v>0</v>
      </c>
      <c r="R375" s="0" t="n">
        <v>0</v>
      </c>
      <c r="S375" s="0" t="n">
        <v>0</v>
      </c>
      <c r="T375" s="0" t="s">
        <v>624</v>
      </c>
      <c r="U375" s="0" t="s">
        <v>149</v>
      </c>
      <c r="V375" s="0" t="s">
        <v>624</v>
      </c>
      <c r="W375" s="0" t="s">
        <v>569</v>
      </c>
      <c r="X375" s="0" t="s">
        <v>624</v>
      </c>
      <c r="Y375" s="0" t="s">
        <v>627</v>
      </c>
      <c r="Z375" s="0" t="s">
        <v>629</v>
      </c>
      <c r="AA375" s="0" t="s">
        <v>624</v>
      </c>
      <c r="AB375" s="0" t="s">
        <v>580</v>
      </c>
      <c r="AC375" s="254" t="n">
        <v>1500000</v>
      </c>
      <c r="AD375" s="254" t="n">
        <v>131130.454420716</v>
      </c>
      <c r="AE375" s="0" t="n">
        <v>0</v>
      </c>
      <c r="AF375" s="0" t="n">
        <v>0</v>
      </c>
      <c r="AG375" s="0" t="n">
        <v>0</v>
      </c>
      <c r="AH375" s="254" t="n">
        <v>-24505.8291372136</v>
      </c>
      <c r="AI375" s="0" t="n">
        <v>226</v>
      </c>
      <c r="AJ375" s="0" t="s">
        <v>630</v>
      </c>
      <c r="AK375" s="0" t="n">
        <v>0</v>
      </c>
      <c r="AL375" s="0" t="n">
        <v>0</v>
      </c>
      <c r="AM375" s="0" t="n">
        <v>0</v>
      </c>
    </row>
    <row r="376" customFormat="false" ht="12.75" hidden="false" customHeight="false" outlineLevel="0" collapsed="false">
      <c r="A376" s="0" t="s">
        <v>631</v>
      </c>
      <c r="B376" s="0" t="s">
        <v>332</v>
      </c>
      <c r="C376" s="0" t="s">
        <v>622</v>
      </c>
      <c r="D376" s="0" t="s">
        <v>623</v>
      </c>
      <c r="E376" s="0" t="s">
        <v>131</v>
      </c>
      <c r="F376" s="0" t="s">
        <v>210</v>
      </c>
      <c r="G376" s="0" t="s">
        <v>628</v>
      </c>
      <c r="H376" s="0" t="s">
        <v>625</v>
      </c>
      <c r="I376" s="0" t="s">
        <v>626</v>
      </c>
      <c r="J376" s="0" t="s">
        <v>627</v>
      </c>
      <c r="K376" s="475" t="n">
        <v>36923</v>
      </c>
      <c r="L376" s="254" t="n">
        <v>210372.748833476</v>
      </c>
      <c r="M376" s="475" t="n">
        <v>36921</v>
      </c>
      <c r="N376" s="0" t="s">
        <v>132</v>
      </c>
      <c r="O376" s="0" t="n">
        <v>0.75</v>
      </c>
      <c r="P376" s="0" t="n">
        <v>0</v>
      </c>
      <c r="Q376" s="0" t="n">
        <v>0</v>
      </c>
      <c r="R376" s="0" t="n">
        <v>0</v>
      </c>
      <c r="S376" s="0" t="n">
        <v>0</v>
      </c>
      <c r="T376" s="0" t="s">
        <v>624</v>
      </c>
      <c r="U376" s="0" t="s">
        <v>149</v>
      </c>
      <c r="V376" s="0" t="s">
        <v>624</v>
      </c>
      <c r="W376" s="0" t="s">
        <v>569</v>
      </c>
      <c r="X376" s="0" t="s">
        <v>624</v>
      </c>
      <c r="Y376" s="0" t="s">
        <v>627</v>
      </c>
      <c r="Z376" s="0" t="s">
        <v>629</v>
      </c>
      <c r="AA376" s="0" t="s">
        <v>624</v>
      </c>
      <c r="AB376" s="0" t="s">
        <v>580</v>
      </c>
      <c r="AC376" s="254" t="n">
        <v>1500000</v>
      </c>
      <c r="AD376" s="254" t="n">
        <v>92204.3573887095</v>
      </c>
      <c r="AE376" s="0" t="n">
        <v>0</v>
      </c>
      <c r="AF376" s="0" t="n">
        <v>0</v>
      </c>
      <c r="AG376" s="0" t="n">
        <v>0</v>
      </c>
      <c r="AH376" s="254" t="n">
        <v>-11260.0531920832</v>
      </c>
      <c r="AI376" s="0" t="n">
        <v>226</v>
      </c>
      <c r="AJ376" s="0" t="s">
        <v>630</v>
      </c>
      <c r="AK376" s="0" t="n">
        <v>0</v>
      </c>
      <c r="AL376" s="0" t="n">
        <v>0</v>
      </c>
      <c r="AM376" s="0" t="n">
        <v>0</v>
      </c>
    </row>
    <row r="377" customFormat="false" ht="12.75" hidden="false" customHeight="false" outlineLevel="0" collapsed="false">
      <c r="A377" s="0" t="s">
        <v>631</v>
      </c>
      <c r="B377" s="0" t="s">
        <v>332</v>
      </c>
      <c r="C377" s="0" t="s">
        <v>622</v>
      </c>
      <c r="D377" s="0" t="s">
        <v>623</v>
      </c>
      <c r="E377" s="0" t="s">
        <v>131</v>
      </c>
      <c r="F377" s="0" t="s">
        <v>210</v>
      </c>
      <c r="G377" s="0" t="s">
        <v>628</v>
      </c>
      <c r="H377" s="0" t="s">
        <v>625</v>
      </c>
      <c r="I377" s="0" t="s">
        <v>626</v>
      </c>
      <c r="J377" s="0" t="s">
        <v>627</v>
      </c>
      <c r="K377" s="475" t="n">
        <v>36892</v>
      </c>
      <c r="L377" s="254" t="n">
        <v>166109.534174436</v>
      </c>
      <c r="M377" s="475" t="n">
        <v>36888</v>
      </c>
      <c r="N377" s="0" t="s">
        <v>132</v>
      </c>
      <c r="O377" s="0" t="n">
        <v>0.75</v>
      </c>
      <c r="P377" s="0" t="n">
        <v>0</v>
      </c>
      <c r="Q377" s="0" t="n">
        <v>0</v>
      </c>
      <c r="R377" s="0" t="n">
        <v>0</v>
      </c>
      <c r="S377" s="0" t="n">
        <v>0</v>
      </c>
      <c r="T377" s="0" t="s">
        <v>624</v>
      </c>
      <c r="U377" s="0" t="s">
        <v>149</v>
      </c>
      <c r="V377" s="0" t="s">
        <v>624</v>
      </c>
      <c r="W377" s="0" t="s">
        <v>569</v>
      </c>
      <c r="X377" s="0" t="s">
        <v>624</v>
      </c>
      <c r="Y377" s="0" t="s">
        <v>627</v>
      </c>
      <c r="Z377" s="0" t="s">
        <v>629</v>
      </c>
      <c r="AA377" s="0" t="s">
        <v>624</v>
      </c>
      <c r="AB377" s="0" t="s">
        <v>580</v>
      </c>
      <c r="AC377" s="254" t="n">
        <v>1500000</v>
      </c>
      <c r="AD377" s="254" t="n">
        <v>76466.6153007676</v>
      </c>
      <c r="AE377" s="0" t="n">
        <v>0</v>
      </c>
      <c r="AF377" s="0" t="n">
        <v>0</v>
      </c>
      <c r="AG377" s="0" t="n">
        <v>0</v>
      </c>
      <c r="AH377" s="254" t="n">
        <v>-8012.73779103175</v>
      </c>
      <c r="AI377" s="0" t="n">
        <v>226</v>
      </c>
      <c r="AJ377" s="0" t="s">
        <v>630</v>
      </c>
      <c r="AK377" s="0" t="n">
        <v>0</v>
      </c>
      <c r="AL377" s="0" t="n">
        <v>0</v>
      </c>
      <c r="AM377" s="0" t="n">
        <v>0</v>
      </c>
    </row>
    <row r="378" customFormat="false" ht="12.75" hidden="false" customHeight="false" outlineLevel="0" collapsed="false">
      <c r="A378" s="0" t="s">
        <v>631</v>
      </c>
      <c r="B378" s="0" t="s">
        <v>332</v>
      </c>
      <c r="C378" s="0" t="s">
        <v>622</v>
      </c>
      <c r="D378" s="0" t="s">
        <v>623</v>
      </c>
      <c r="E378" s="0" t="s">
        <v>131</v>
      </c>
      <c r="F378" s="0" t="s">
        <v>210</v>
      </c>
      <c r="G378" s="0" t="s">
        <v>628</v>
      </c>
      <c r="H378" s="0" t="s">
        <v>625</v>
      </c>
      <c r="I378" s="0" t="s">
        <v>626</v>
      </c>
      <c r="J378" s="0" t="s">
        <v>627</v>
      </c>
      <c r="K378" s="475" t="n">
        <v>36861</v>
      </c>
      <c r="L378" s="254" t="n">
        <v>221875.477756909</v>
      </c>
      <c r="M378" s="475" t="n">
        <v>36859</v>
      </c>
      <c r="N378" s="0" t="s">
        <v>132</v>
      </c>
      <c r="O378" s="0" t="n">
        <v>0.75</v>
      </c>
      <c r="P378" s="0" t="n">
        <v>0</v>
      </c>
      <c r="Q378" s="0" t="n">
        <v>0</v>
      </c>
      <c r="R378" s="0" t="n">
        <v>0</v>
      </c>
      <c r="S378" s="0" t="n">
        <v>0</v>
      </c>
      <c r="T378" s="0" t="s">
        <v>624</v>
      </c>
      <c r="U378" s="0" t="s">
        <v>149</v>
      </c>
      <c r="V378" s="0" t="s">
        <v>624</v>
      </c>
      <c r="W378" s="0" t="s">
        <v>569</v>
      </c>
      <c r="X378" s="0" t="s">
        <v>624</v>
      </c>
      <c r="Y378" s="0" t="s">
        <v>627</v>
      </c>
      <c r="Z378" s="0" t="s">
        <v>629</v>
      </c>
      <c r="AA378" s="0" t="s">
        <v>624</v>
      </c>
      <c r="AB378" s="0" t="s">
        <v>580</v>
      </c>
      <c r="AC378" s="254" t="n">
        <v>1500000</v>
      </c>
      <c r="AD378" s="254" t="n">
        <v>83374.6204501216</v>
      </c>
      <c r="AE378" s="0" t="n">
        <v>0</v>
      </c>
      <c r="AF378" s="0" t="n">
        <v>0</v>
      </c>
      <c r="AG378" s="0" t="n">
        <v>0</v>
      </c>
      <c r="AH378" s="254" t="n">
        <v>-9012.112898394</v>
      </c>
      <c r="AI378" s="0" t="n">
        <v>226</v>
      </c>
      <c r="AJ378" s="0" t="s">
        <v>630</v>
      </c>
      <c r="AK378" s="0" t="n">
        <v>0</v>
      </c>
      <c r="AL378" s="0" t="n">
        <v>0</v>
      </c>
      <c r="AM378" s="0" t="n">
        <v>0</v>
      </c>
    </row>
    <row r="379" customFormat="false" ht="12.75" hidden="false" customHeight="false" outlineLevel="0" collapsed="false">
      <c r="A379" s="0" t="s">
        <v>631</v>
      </c>
      <c r="B379" s="0" t="s">
        <v>332</v>
      </c>
      <c r="C379" s="0" t="s">
        <v>622</v>
      </c>
      <c r="D379" s="0" t="s">
        <v>623</v>
      </c>
      <c r="E379" s="0" t="s">
        <v>131</v>
      </c>
      <c r="F379" s="0" t="s">
        <v>210</v>
      </c>
      <c r="G379" s="0" t="s">
        <v>628</v>
      </c>
      <c r="H379" s="0" t="s">
        <v>625</v>
      </c>
      <c r="I379" s="0" t="s">
        <v>626</v>
      </c>
      <c r="J379" s="0" t="s">
        <v>627</v>
      </c>
      <c r="K379" s="475" t="n">
        <v>36831</v>
      </c>
      <c r="L379" s="254" t="n">
        <v>374426.838876617</v>
      </c>
      <c r="M379" s="475" t="n">
        <v>36829</v>
      </c>
      <c r="N379" s="0" t="s">
        <v>132</v>
      </c>
      <c r="O379" s="0" t="n">
        <v>0.75</v>
      </c>
      <c r="P379" s="0" t="n">
        <v>0</v>
      </c>
      <c r="Q379" s="0" t="n">
        <v>0</v>
      </c>
      <c r="R379" s="0" t="n">
        <v>0</v>
      </c>
      <c r="S379" s="0" t="n">
        <v>0</v>
      </c>
      <c r="T379" s="0" t="s">
        <v>624</v>
      </c>
      <c r="U379" s="0" t="s">
        <v>149</v>
      </c>
      <c r="V379" s="0" t="s">
        <v>624</v>
      </c>
      <c r="W379" s="0" t="s">
        <v>569</v>
      </c>
      <c r="X379" s="0" t="s">
        <v>624</v>
      </c>
      <c r="Y379" s="0" t="s">
        <v>627</v>
      </c>
      <c r="Z379" s="0" t="s">
        <v>629</v>
      </c>
      <c r="AA379" s="0" t="s">
        <v>624</v>
      </c>
      <c r="AB379" s="0" t="s">
        <v>580</v>
      </c>
      <c r="AC379" s="254" t="n">
        <v>1500000</v>
      </c>
      <c r="AD379" s="254" t="n">
        <v>67725.8920247548</v>
      </c>
      <c r="AE379" s="0" t="n">
        <v>0</v>
      </c>
      <c r="AF379" s="0" t="n">
        <v>0</v>
      </c>
      <c r="AG379" s="0" t="n">
        <v>0</v>
      </c>
      <c r="AH379" s="254" t="n">
        <v>-24537.5299862447</v>
      </c>
      <c r="AI379" s="0" t="n">
        <v>226</v>
      </c>
      <c r="AJ379" s="0" t="s">
        <v>630</v>
      </c>
      <c r="AK379" s="0" t="n">
        <v>0</v>
      </c>
      <c r="AL379" s="0" t="n">
        <v>0</v>
      </c>
      <c r="AM379" s="0" t="n">
        <v>0</v>
      </c>
    </row>
    <row r="380" customFormat="false" ht="12.75" hidden="false" customHeight="false" outlineLevel="0" collapsed="false">
      <c r="A380" s="0" t="s">
        <v>631</v>
      </c>
      <c r="B380" s="0" t="s">
        <v>333</v>
      </c>
      <c r="C380" s="0" t="s">
        <v>622</v>
      </c>
      <c r="D380" s="0" t="s">
        <v>623</v>
      </c>
      <c r="E380" s="0" t="s">
        <v>131</v>
      </c>
      <c r="F380" s="0" t="s">
        <v>198</v>
      </c>
      <c r="G380" s="0" t="s">
        <v>628</v>
      </c>
      <c r="H380" s="0" t="s">
        <v>625</v>
      </c>
      <c r="I380" s="0" t="s">
        <v>626</v>
      </c>
      <c r="J380" s="0" t="s">
        <v>627</v>
      </c>
      <c r="K380" s="475" t="n">
        <v>36800</v>
      </c>
      <c r="L380" s="254" t="n">
        <v>-117705.961121822</v>
      </c>
      <c r="M380" s="475" t="n">
        <v>36797</v>
      </c>
      <c r="N380" s="0" t="s">
        <v>132</v>
      </c>
      <c r="O380" s="0" t="n">
        <v>0.65</v>
      </c>
      <c r="P380" s="0" t="n">
        <v>0</v>
      </c>
      <c r="Q380" s="0" t="n">
        <v>0</v>
      </c>
      <c r="R380" s="0" t="n">
        <v>0</v>
      </c>
      <c r="S380" s="0" t="n">
        <v>0</v>
      </c>
      <c r="T380" s="0" t="s">
        <v>624</v>
      </c>
      <c r="U380" s="0" t="s">
        <v>149</v>
      </c>
      <c r="V380" s="0" t="s">
        <v>624</v>
      </c>
      <c r="W380" s="0" t="s">
        <v>569</v>
      </c>
      <c r="X380" s="0" t="s">
        <v>624</v>
      </c>
      <c r="Y380" s="0" t="s">
        <v>627</v>
      </c>
      <c r="Z380" s="0" t="s">
        <v>629</v>
      </c>
      <c r="AA380" s="0" t="s">
        <v>624</v>
      </c>
      <c r="AB380" s="0" t="s">
        <v>580</v>
      </c>
      <c r="AC380" s="254" t="n">
        <v>-500000</v>
      </c>
      <c r="AD380" s="254" t="n">
        <v>-573.012660689419</v>
      </c>
      <c r="AE380" s="0" t="n">
        <v>0</v>
      </c>
      <c r="AF380" s="0" t="n">
        <v>0</v>
      </c>
      <c r="AG380" s="0" t="n">
        <v>0</v>
      </c>
      <c r="AH380" s="254" t="n">
        <v>-34.1483047203656</v>
      </c>
      <c r="AI380" s="0" t="n">
        <v>226</v>
      </c>
      <c r="AJ380" s="0" t="s">
        <v>630</v>
      </c>
      <c r="AK380" s="0" t="n">
        <v>0</v>
      </c>
      <c r="AL380" s="0" t="n">
        <v>0</v>
      </c>
      <c r="AM380" s="0" t="n">
        <v>0</v>
      </c>
    </row>
    <row r="381" customFormat="false" ht="12.75" hidden="false" customHeight="false" outlineLevel="0" collapsed="false">
      <c r="A381" s="0" t="s">
        <v>631</v>
      </c>
      <c r="B381" s="0" t="s">
        <v>334</v>
      </c>
      <c r="C381" s="0" t="s">
        <v>622</v>
      </c>
      <c r="D381" s="0" t="s">
        <v>623</v>
      </c>
      <c r="E381" s="0" t="s">
        <v>131</v>
      </c>
      <c r="F381" s="0" t="s">
        <v>198</v>
      </c>
      <c r="G381" s="0" t="s">
        <v>628</v>
      </c>
      <c r="H381" s="0" t="s">
        <v>625</v>
      </c>
      <c r="I381" s="0" t="s">
        <v>626</v>
      </c>
      <c r="J381" s="0" t="s">
        <v>627</v>
      </c>
      <c r="K381" s="475" t="n">
        <v>36800</v>
      </c>
      <c r="L381" s="254" t="n">
        <v>9150.58265996055</v>
      </c>
      <c r="M381" s="475" t="n">
        <v>36797</v>
      </c>
      <c r="N381" s="0" t="s">
        <v>132</v>
      </c>
      <c r="O381" s="0" t="n">
        <v>0.35</v>
      </c>
      <c r="P381" s="0" t="n">
        <v>0</v>
      </c>
      <c r="Q381" s="0" t="n">
        <v>0</v>
      </c>
      <c r="R381" s="0" t="n">
        <v>0</v>
      </c>
      <c r="S381" s="0" t="n">
        <v>0</v>
      </c>
      <c r="T381" s="0" t="s">
        <v>624</v>
      </c>
      <c r="U381" s="0" t="s">
        <v>149</v>
      </c>
      <c r="V381" s="0" t="s">
        <v>624</v>
      </c>
      <c r="W381" s="0" t="s">
        <v>569</v>
      </c>
      <c r="X381" s="0" t="s">
        <v>624</v>
      </c>
      <c r="Y381" s="0" t="s">
        <v>627</v>
      </c>
      <c r="Z381" s="0" t="s">
        <v>629</v>
      </c>
      <c r="AA381" s="0" t="s">
        <v>624</v>
      </c>
      <c r="AB381" s="0" t="s">
        <v>580</v>
      </c>
      <c r="AC381" s="254" t="n">
        <v>500000</v>
      </c>
      <c r="AD381" s="254" t="n">
        <v>2846.55896524034</v>
      </c>
      <c r="AE381" s="0" t="n">
        <v>0</v>
      </c>
      <c r="AF381" s="0" t="n">
        <v>0</v>
      </c>
      <c r="AG381" s="0" t="n">
        <v>0</v>
      </c>
      <c r="AH381" s="254" t="n">
        <v>162.955890573357</v>
      </c>
      <c r="AI381" s="0" t="n">
        <v>226</v>
      </c>
      <c r="AJ381" s="0" t="s">
        <v>630</v>
      </c>
      <c r="AK381" s="0" t="n">
        <v>0</v>
      </c>
      <c r="AL381" s="0" t="n">
        <v>0</v>
      </c>
      <c r="AM381" s="0" t="n">
        <v>0</v>
      </c>
    </row>
    <row r="382" customFormat="false" ht="12.75" hidden="false" customHeight="false" outlineLevel="0" collapsed="false">
      <c r="A382" s="0" t="s">
        <v>631</v>
      </c>
      <c r="B382" s="0" t="s">
        <v>335</v>
      </c>
      <c r="C382" s="0" t="s">
        <v>622</v>
      </c>
      <c r="D382" s="0" t="s">
        <v>623</v>
      </c>
      <c r="E382" s="0" t="s">
        <v>131</v>
      </c>
      <c r="F382" s="0" t="s">
        <v>198</v>
      </c>
      <c r="G382" s="0" t="s">
        <v>628</v>
      </c>
      <c r="H382" s="0" t="s">
        <v>625</v>
      </c>
      <c r="I382" s="0" t="s">
        <v>626</v>
      </c>
      <c r="J382" s="0" t="s">
        <v>627</v>
      </c>
      <c r="K382" s="475" t="n">
        <v>36951</v>
      </c>
      <c r="L382" s="254" t="n">
        <v>465509.916729815</v>
      </c>
      <c r="M382" s="475" t="n">
        <v>36949</v>
      </c>
      <c r="N382" s="0" t="s">
        <v>132</v>
      </c>
      <c r="O382" s="0" t="n">
        <v>1</v>
      </c>
      <c r="P382" s="0" t="n">
        <v>0</v>
      </c>
      <c r="Q382" s="0" t="n">
        <v>0</v>
      </c>
      <c r="R382" s="0" t="n">
        <v>0</v>
      </c>
      <c r="S382" s="0" t="n">
        <v>0</v>
      </c>
      <c r="T382" s="0" t="s">
        <v>624</v>
      </c>
      <c r="U382" s="0" t="s">
        <v>149</v>
      </c>
      <c r="V382" s="0" t="s">
        <v>624</v>
      </c>
      <c r="W382" s="0" t="s">
        <v>569</v>
      </c>
      <c r="X382" s="0" t="s">
        <v>624</v>
      </c>
      <c r="Y382" s="0" t="s">
        <v>627</v>
      </c>
      <c r="Z382" s="0" t="s">
        <v>629</v>
      </c>
      <c r="AA382" s="0" t="s">
        <v>624</v>
      </c>
      <c r="AB382" s="0" t="s">
        <v>580</v>
      </c>
      <c r="AC382" s="254" t="n">
        <v>1000000</v>
      </c>
      <c r="AD382" s="254" t="n">
        <v>88936.8209745341</v>
      </c>
      <c r="AE382" s="0" t="n">
        <v>0</v>
      </c>
      <c r="AF382" s="0" t="n">
        <v>0</v>
      </c>
      <c r="AG382" s="0" t="n">
        <v>0</v>
      </c>
      <c r="AH382" s="254" t="n">
        <v>-20719.012783803</v>
      </c>
      <c r="AI382" s="0" t="n">
        <v>226</v>
      </c>
      <c r="AJ382" s="0" t="s">
        <v>630</v>
      </c>
      <c r="AK382" s="0" t="n">
        <v>0</v>
      </c>
      <c r="AL382" s="0" t="n">
        <v>0</v>
      </c>
      <c r="AM382" s="0" t="n">
        <v>0</v>
      </c>
    </row>
    <row r="383" customFormat="false" ht="12.75" hidden="false" customHeight="false" outlineLevel="0" collapsed="false">
      <c r="A383" s="0" t="s">
        <v>631</v>
      </c>
      <c r="B383" s="0" t="s">
        <v>336</v>
      </c>
      <c r="C383" s="0" t="s">
        <v>622</v>
      </c>
      <c r="D383" s="0" t="s">
        <v>623</v>
      </c>
      <c r="E383" s="0" t="s">
        <v>131</v>
      </c>
      <c r="F383" s="0" t="s">
        <v>198</v>
      </c>
      <c r="G383" s="0" t="s">
        <v>628</v>
      </c>
      <c r="H383" s="0" t="s">
        <v>625</v>
      </c>
      <c r="I383" s="0" t="s">
        <v>626</v>
      </c>
      <c r="J383" s="0" t="s">
        <v>627</v>
      </c>
      <c r="K383" s="475" t="n">
        <v>36951</v>
      </c>
      <c r="L383" s="254" t="n">
        <v>549114.417097407</v>
      </c>
      <c r="M383" s="475" t="n">
        <v>36949</v>
      </c>
      <c r="N383" s="0" t="s">
        <v>132</v>
      </c>
      <c r="O383" s="0" t="n">
        <v>1.15</v>
      </c>
      <c r="P383" s="0" t="n">
        <v>0</v>
      </c>
      <c r="Q383" s="0" t="n">
        <v>0</v>
      </c>
      <c r="R383" s="0" t="n">
        <v>0</v>
      </c>
      <c r="S383" s="0" t="n">
        <v>0</v>
      </c>
      <c r="T383" s="0" t="s">
        <v>624</v>
      </c>
      <c r="U383" s="0" t="s">
        <v>149</v>
      </c>
      <c r="V383" s="0" t="s">
        <v>624</v>
      </c>
      <c r="W383" s="0" t="s">
        <v>569</v>
      </c>
      <c r="X383" s="0" t="s">
        <v>624</v>
      </c>
      <c r="Y383" s="0" t="s">
        <v>627</v>
      </c>
      <c r="Z383" s="0" t="s">
        <v>629</v>
      </c>
      <c r="AA383" s="0" t="s">
        <v>624</v>
      </c>
      <c r="AB383" s="0" t="s">
        <v>580</v>
      </c>
      <c r="AC383" s="254" t="n">
        <v>1000000</v>
      </c>
      <c r="AD383" s="254" t="n">
        <v>88233.8861087795</v>
      </c>
      <c r="AE383" s="0" t="n">
        <v>0</v>
      </c>
      <c r="AF383" s="0" t="n">
        <v>0</v>
      </c>
      <c r="AG383" s="0" t="n">
        <v>0</v>
      </c>
      <c r="AH383" s="254" t="n">
        <v>-23346.6457068836</v>
      </c>
      <c r="AI383" s="0" t="n">
        <v>226</v>
      </c>
      <c r="AJ383" s="0" t="s">
        <v>630</v>
      </c>
      <c r="AK383" s="0" t="n">
        <v>0</v>
      </c>
      <c r="AL383" s="0" t="n">
        <v>0</v>
      </c>
      <c r="AM383" s="0" t="n">
        <v>0</v>
      </c>
    </row>
    <row r="384" customFormat="false" ht="12.75" hidden="false" customHeight="false" outlineLevel="0" collapsed="false">
      <c r="A384" s="0" t="s">
        <v>631</v>
      </c>
      <c r="B384" s="0" t="s">
        <v>337</v>
      </c>
      <c r="C384" s="0" t="s">
        <v>622</v>
      </c>
      <c r="D384" s="0" t="s">
        <v>623</v>
      </c>
      <c r="E384" s="0" t="s">
        <v>131</v>
      </c>
      <c r="F384" s="0" t="s">
        <v>198</v>
      </c>
      <c r="G384" s="0" t="s">
        <v>628</v>
      </c>
      <c r="H384" s="0" t="s">
        <v>625</v>
      </c>
      <c r="I384" s="0" t="s">
        <v>626</v>
      </c>
      <c r="J384" s="0" t="s">
        <v>627</v>
      </c>
      <c r="K384" s="475" t="n">
        <v>36800</v>
      </c>
      <c r="L384" s="254" t="n">
        <v>-758.923880181394</v>
      </c>
      <c r="M384" s="475" t="n">
        <v>36797</v>
      </c>
      <c r="N384" s="0" t="s">
        <v>136</v>
      </c>
      <c r="O384" s="0" t="n">
        <v>0.7</v>
      </c>
      <c r="P384" s="0" t="n">
        <v>0</v>
      </c>
      <c r="Q384" s="0" t="n">
        <v>0</v>
      </c>
      <c r="R384" s="0" t="n">
        <v>0</v>
      </c>
      <c r="S384" s="0" t="n">
        <v>0</v>
      </c>
      <c r="T384" s="0" t="s">
        <v>624</v>
      </c>
      <c r="U384" s="0" t="s">
        <v>149</v>
      </c>
      <c r="V384" s="0" t="s">
        <v>624</v>
      </c>
      <c r="W384" s="0" t="s">
        <v>569</v>
      </c>
      <c r="X384" s="0" t="s">
        <v>624</v>
      </c>
      <c r="Y384" s="0" t="s">
        <v>627</v>
      </c>
      <c r="Z384" s="0" t="s">
        <v>629</v>
      </c>
      <c r="AA384" s="0" t="s">
        <v>624</v>
      </c>
      <c r="AB384" s="0" t="s">
        <v>580</v>
      </c>
      <c r="AC384" s="254" t="n">
        <v>-1000000</v>
      </c>
      <c r="AD384" s="254" t="n">
        <v>-593.531025558143</v>
      </c>
      <c r="AE384" s="0" t="n">
        <v>0</v>
      </c>
      <c r="AF384" s="0" t="n">
        <v>0</v>
      </c>
      <c r="AG384" s="0" t="n">
        <v>0</v>
      </c>
      <c r="AH384" s="254" t="n">
        <v>-36.0331437836036</v>
      </c>
      <c r="AI384" s="0" t="n">
        <v>226</v>
      </c>
      <c r="AJ384" s="0" t="s">
        <v>630</v>
      </c>
      <c r="AK384" s="0" t="n">
        <v>0</v>
      </c>
      <c r="AL384" s="0" t="n">
        <v>0</v>
      </c>
      <c r="AM384" s="0" t="n">
        <v>0</v>
      </c>
    </row>
    <row r="385" customFormat="false" ht="12.75" hidden="false" customHeight="false" outlineLevel="0" collapsed="false">
      <c r="A385" s="0" t="s">
        <v>631</v>
      </c>
      <c r="B385" s="0" t="s">
        <v>338</v>
      </c>
      <c r="C385" s="0" t="s">
        <v>622</v>
      </c>
      <c r="D385" s="0" t="s">
        <v>623</v>
      </c>
      <c r="E385" s="0" t="s">
        <v>131</v>
      </c>
      <c r="F385" s="0" t="s">
        <v>198</v>
      </c>
      <c r="G385" s="0" t="s">
        <v>628</v>
      </c>
      <c r="H385" s="0" t="s">
        <v>625</v>
      </c>
      <c r="I385" s="0" t="s">
        <v>626</v>
      </c>
      <c r="J385" s="0" t="s">
        <v>627</v>
      </c>
      <c r="K385" s="475" t="n">
        <v>36831</v>
      </c>
      <c r="L385" s="254" t="n">
        <v>-170435.563861171</v>
      </c>
      <c r="M385" s="475" t="n">
        <v>36829</v>
      </c>
      <c r="N385" s="0" t="s">
        <v>136</v>
      </c>
      <c r="O385" s="0" t="n">
        <v>1</v>
      </c>
      <c r="P385" s="0" t="n">
        <v>0</v>
      </c>
      <c r="Q385" s="0" t="n">
        <v>0</v>
      </c>
      <c r="R385" s="0" t="n">
        <v>0</v>
      </c>
      <c r="S385" s="0" t="n">
        <v>0</v>
      </c>
      <c r="T385" s="0" t="s">
        <v>624</v>
      </c>
      <c r="U385" s="0" t="s">
        <v>149</v>
      </c>
      <c r="V385" s="0" t="s">
        <v>624</v>
      </c>
      <c r="W385" s="0" t="s">
        <v>569</v>
      </c>
      <c r="X385" s="0" t="s">
        <v>624</v>
      </c>
      <c r="Y385" s="0" t="s">
        <v>627</v>
      </c>
      <c r="Z385" s="0" t="s">
        <v>629</v>
      </c>
      <c r="AA385" s="0" t="s">
        <v>624</v>
      </c>
      <c r="AB385" s="0" t="s">
        <v>580</v>
      </c>
      <c r="AC385" s="254" t="n">
        <v>-1000000</v>
      </c>
      <c r="AD385" s="254" t="n">
        <v>-41813.9093437454</v>
      </c>
      <c r="AE385" s="0" t="n">
        <v>0</v>
      </c>
      <c r="AF385" s="0" t="n">
        <v>0</v>
      </c>
      <c r="AG385" s="0" t="n">
        <v>0</v>
      </c>
      <c r="AH385" s="254" t="n">
        <v>-17333.0733965929</v>
      </c>
      <c r="AI385" s="0" t="n">
        <v>226</v>
      </c>
      <c r="AJ385" s="0" t="s">
        <v>630</v>
      </c>
      <c r="AK385" s="0" t="n">
        <v>0</v>
      </c>
      <c r="AL385" s="0" t="n">
        <v>0</v>
      </c>
      <c r="AM385" s="0" t="n">
        <v>0</v>
      </c>
    </row>
    <row r="386" customFormat="false" ht="12.75" hidden="false" customHeight="false" outlineLevel="0" collapsed="false">
      <c r="A386" s="0" t="s">
        <v>631</v>
      </c>
      <c r="B386" s="0" t="s">
        <v>339</v>
      </c>
      <c r="C386" s="0" t="s">
        <v>622</v>
      </c>
      <c r="D386" s="0" t="s">
        <v>623</v>
      </c>
      <c r="E386" s="0" t="s">
        <v>131</v>
      </c>
      <c r="F386" s="0" t="s">
        <v>198</v>
      </c>
      <c r="G386" s="0" t="s">
        <v>628</v>
      </c>
      <c r="H386" s="0" t="s">
        <v>625</v>
      </c>
      <c r="I386" s="0" t="s">
        <v>626</v>
      </c>
      <c r="J386" s="0" t="s">
        <v>627</v>
      </c>
      <c r="K386" s="475" t="n">
        <v>36951</v>
      </c>
      <c r="L386" s="254" t="n">
        <v>-16003.7973169964</v>
      </c>
      <c r="M386" s="475" t="n">
        <v>36949</v>
      </c>
      <c r="N386" s="0" t="s">
        <v>136</v>
      </c>
      <c r="O386" s="0" t="n">
        <v>0.3</v>
      </c>
      <c r="P386" s="0" t="n">
        <v>0</v>
      </c>
      <c r="Q386" s="0" t="n">
        <v>0</v>
      </c>
      <c r="R386" s="0" t="n">
        <v>0</v>
      </c>
      <c r="S386" s="0" t="n">
        <v>0</v>
      </c>
      <c r="T386" s="0" t="s">
        <v>624</v>
      </c>
      <c r="U386" s="0" t="s">
        <v>632</v>
      </c>
      <c r="V386" s="0" t="s">
        <v>624</v>
      </c>
      <c r="W386" s="0" t="s">
        <v>569</v>
      </c>
      <c r="X386" s="0" t="s">
        <v>624</v>
      </c>
      <c r="Y386" s="0" t="s">
        <v>627</v>
      </c>
      <c r="Z386" s="0" t="s">
        <v>629</v>
      </c>
      <c r="AA386" s="0" t="s">
        <v>624</v>
      </c>
      <c r="AB386" s="0" t="s">
        <v>580</v>
      </c>
      <c r="AC386" s="254" t="n">
        <v>-1500000</v>
      </c>
      <c r="AD386" s="254" t="n">
        <v>-7929.63543985295</v>
      </c>
      <c r="AE386" s="0" t="n">
        <v>0</v>
      </c>
      <c r="AF386" s="0" t="n">
        <v>0</v>
      </c>
      <c r="AG386" s="0" t="n">
        <v>0</v>
      </c>
      <c r="AH386" s="254" t="n">
        <v>-400.801877960153</v>
      </c>
      <c r="AI386" s="0" t="n">
        <v>226</v>
      </c>
      <c r="AJ386" s="0" t="s">
        <v>630</v>
      </c>
      <c r="AK386" s="0" t="n">
        <v>0</v>
      </c>
      <c r="AL386" s="0" t="n">
        <v>0</v>
      </c>
      <c r="AM386" s="0" t="n">
        <v>0</v>
      </c>
    </row>
    <row r="387" customFormat="false" ht="12.75" hidden="false" customHeight="false" outlineLevel="0" collapsed="false">
      <c r="A387" s="0" t="s">
        <v>631</v>
      </c>
      <c r="B387" s="0" t="s">
        <v>339</v>
      </c>
      <c r="C387" s="0" t="s">
        <v>622</v>
      </c>
      <c r="D387" s="0" t="s">
        <v>623</v>
      </c>
      <c r="E387" s="0" t="s">
        <v>131</v>
      </c>
      <c r="F387" s="0" t="s">
        <v>198</v>
      </c>
      <c r="G387" s="0" t="s">
        <v>628</v>
      </c>
      <c r="H387" s="0" t="s">
        <v>625</v>
      </c>
      <c r="I387" s="0" t="s">
        <v>626</v>
      </c>
      <c r="J387" s="0" t="s">
        <v>627</v>
      </c>
      <c r="K387" s="475" t="n">
        <v>36923</v>
      </c>
      <c r="L387" s="254" t="n">
        <v>-23423.3568076572</v>
      </c>
      <c r="M387" s="475" t="n">
        <v>36921</v>
      </c>
      <c r="N387" s="0" t="s">
        <v>136</v>
      </c>
      <c r="O387" s="0" t="n">
        <v>0.3</v>
      </c>
      <c r="P387" s="0" t="n">
        <v>0</v>
      </c>
      <c r="Q387" s="0" t="n">
        <v>0</v>
      </c>
      <c r="R387" s="0" t="n">
        <v>0</v>
      </c>
      <c r="S387" s="0" t="n">
        <v>0</v>
      </c>
      <c r="T387" s="0" t="s">
        <v>624</v>
      </c>
      <c r="U387" s="0" t="s">
        <v>632</v>
      </c>
      <c r="V387" s="0" t="s">
        <v>624</v>
      </c>
      <c r="W387" s="0" t="s">
        <v>569</v>
      </c>
      <c r="X387" s="0" t="s">
        <v>624</v>
      </c>
      <c r="Y387" s="0" t="s">
        <v>627</v>
      </c>
      <c r="Z387" s="0" t="s">
        <v>629</v>
      </c>
      <c r="AA387" s="0" t="s">
        <v>624</v>
      </c>
      <c r="AB387" s="0" t="s">
        <v>580</v>
      </c>
      <c r="AC387" s="254" t="n">
        <v>-1500000</v>
      </c>
      <c r="AD387" s="254" t="n">
        <v>-9620.13723780165</v>
      </c>
      <c r="AE387" s="0" t="n">
        <v>0</v>
      </c>
      <c r="AF387" s="0" t="n">
        <v>0</v>
      </c>
      <c r="AG387" s="0" t="n">
        <v>0</v>
      </c>
      <c r="AH387" s="254" t="n">
        <v>-460.707765170289</v>
      </c>
      <c r="AI387" s="0" t="n">
        <v>226</v>
      </c>
      <c r="AJ387" s="0" t="s">
        <v>630</v>
      </c>
      <c r="AK387" s="0" t="n">
        <v>0</v>
      </c>
      <c r="AL387" s="0" t="n">
        <v>0</v>
      </c>
      <c r="AM387" s="0" t="n">
        <v>0</v>
      </c>
    </row>
    <row r="388" customFormat="false" ht="12.75" hidden="false" customHeight="false" outlineLevel="0" collapsed="false">
      <c r="A388" s="0" t="s">
        <v>631</v>
      </c>
      <c r="B388" s="0" t="s">
        <v>339</v>
      </c>
      <c r="C388" s="0" t="s">
        <v>622</v>
      </c>
      <c r="D388" s="0" t="s">
        <v>623</v>
      </c>
      <c r="E388" s="0" t="s">
        <v>131</v>
      </c>
      <c r="F388" s="0" t="s">
        <v>198</v>
      </c>
      <c r="G388" s="0" t="s">
        <v>628</v>
      </c>
      <c r="H388" s="0" t="s">
        <v>625</v>
      </c>
      <c r="I388" s="0" t="s">
        <v>626</v>
      </c>
      <c r="J388" s="0" t="s">
        <v>627</v>
      </c>
      <c r="K388" s="475" t="n">
        <v>36892</v>
      </c>
      <c r="L388" s="254" t="n">
        <v>-17218.7413631534</v>
      </c>
      <c r="M388" s="475" t="n">
        <v>36888</v>
      </c>
      <c r="N388" s="0" t="s">
        <v>136</v>
      </c>
      <c r="O388" s="0" t="n">
        <v>0.3</v>
      </c>
      <c r="P388" s="0" t="n">
        <v>0</v>
      </c>
      <c r="Q388" s="0" t="n">
        <v>0</v>
      </c>
      <c r="R388" s="0" t="n">
        <v>0</v>
      </c>
      <c r="S388" s="0" t="n">
        <v>0</v>
      </c>
      <c r="T388" s="0" t="s">
        <v>624</v>
      </c>
      <c r="U388" s="0" t="s">
        <v>632</v>
      </c>
      <c r="V388" s="0" t="s">
        <v>624</v>
      </c>
      <c r="W388" s="0" t="s">
        <v>569</v>
      </c>
      <c r="X388" s="0" t="s">
        <v>624</v>
      </c>
      <c r="Y388" s="0" t="s">
        <v>627</v>
      </c>
      <c r="Z388" s="0" t="s">
        <v>629</v>
      </c>
      <c r="AA388" s="0" t="s">
        <v>624</v>
      </c>
      <c r="AB388" s="0" t="s">
        <v>580</v>
      </c>
      <c r="AC388" s="254" t="n">
        <v>-1500000</v>
      </c>
      <c r="AD388" s="254" t="n">
        <v>-7767.6696147458</v>
      </c>
      <c r="AE388" s="0" t="n">
        <v>0</v>
      </c>
      <c r="AF388" s="0" t="n">
        <v>0</v>
      </c>
      <c r="AG388" s="0" t="n">
        <v>0</v>
      </c>
      <c r="AH388" s="254" t="n">
        <v>-373.992032364251</v>
      </c>
      <c r="AI388" s="0" t="n">
        <v>226</v>
      </c>
      <c r="AJ388" s="0" t="s">
        <v>630</v>
      </c>
      <c r="AK388" s="0" t="n">
        <v>0</v>
      </c>
      <c r="AL388" s="0" t="n">
        <v>0</v>
      </c>
      <c r="AM388" s="0" t="n">
        <v>0</v>
      </c>
    </row>
    <row r="389" customFormat="false" ht="12.75" hidden="false" customHeight="false" outlineLevel="0" collapsed="false">
      <c r="A389" s="0" t="s">
        <v>631</v>
      </c>
      <c r="B389" s="0" t="s">
        <v>339</v>
      </c>
      <c r="C389" s="0" t="s">
        <v>622</v>
      </c>
      <c r="D389" s="0" t="s">
        <v>623</v>
      </c>
      <c r="E389" s="0" t="s">
        <v>131</v>
      </c>
      <c r="F389" s="0" t="s">
        <v>198</v>
      </c>
      <c r="G389" s="0" t="s">
        <v>628</v>
      </c>
      <c r="H389" s="0" t="s">
        <v>625</v>
      </c>
      <c r="I389" s="0" t="s">
        <v>626</v>
      </c>
      <c r="J389" s="0" t="s">
        <v>627</v>
      </c>
      <c r="K389" s="475" t="n">
        <v>36861</v>
      </c>
      <c r="L389" s="254" t="n">
        <v>-7040.64499756235</v>
      </c>
      <c r="M389" s="475" t="n">
        <v>36859</v>
      </c>
      <c r="N389" s="0" t="s">
        <v>136</v>
      </c>
      <c r="O389" s="0" t="n">
        <v>0.3</v>
      </c>
      <c r="P389" s="0" t="n">
        <v>0</v>
      </c>
      <c r="Q389" s="0" t="n">
        <v>0</v>
      </c>
      <c r="R389" s="0" t="n">
        <v>0</v>
      </c>
      <c r="S389" s="0" t="n">
        <v>0</v>
      </c>
      <c r="T389" s="0" t="s">
        <v>624</v>
      </c>
      <c r="U389" s="0" t="s">
        <v>632</v>
      </c>
      <c r="V389" s="0" t="s">
        <v>624</v>
      </c>
      <c r="W389" s="0" t="s">
        <v>569</v>
      </c>
      <c r="X389" s="0" t="s">
        <v>624</v>
      </c>
      <c r="Y389" s="0" t="s">
        <v>627</v>
      </c>
      <c r="Z389" s="0" t="s">
        <v>629</v>
      </c>
      <c r="AA389" s="0" t="s">
        <v>624</v>
      </c>
      <c r="AB389" s="0" t="s">
        <v>580</v>
      </c>
      <c r="AC389" s="254" t="n">
        <v>-1500000</v>
      </c>
      <c r="AD389" s="254" t="n">
        <v>-4349.44486372898</v>
      </c>
      <c r="AE389" s="0" t="n">
        <v>0</v>
      </c>
      <c r="AF389" s="0" t="n">
        <v>0</v>
      </c>
      <c r="AG389" s="0" t="n">
        <v>0</v>
      </c>
      <c r="AH389" s="254" t="n">
        <v>-220.592774549132</v>
      </c>
      <c r="AI389" s="0" t="n">
        <v>226</v>
      </c>
      <c r="AJ389" s="0" t="s">
        <v>630</v>
      </c>
      <c r="AK389" s="0" t="n">
        <v>0</v>
      </c>
      <c r="AL389" s="0" t="n">
        <v>0</v>
      </c>
      <c r="AM389" s="0" t="n">
        <v>0</v>
      </c>
    </row>
    <row r="390" customFormat="false" ht="12.75" hidden="false" customHeight="false" outlineLevel="0" collapsed="false">
      <c r="A390" s="0" t="s">
        <v>631</v>
      </c>
      <c r="B390" s="0" t="s">
        <v>339</v>
      </c>
      <c r="C390" s="0" t="s">
        <v>622</v>
      </c>
      <c r="D390" s="0" t="s">
        <v>623</v>
      </c>
      <c r="E390" s="0" t="s">
        <v>131</v>
      </c>
      <c r="F390" s="0" t="s">
        <v>198</v>
      </c>
      <c r="G390" s="0" t="s">
        <v>628</v>
      </c>
      <c r="H390" s="0" t="s">
        <v>625</v>
      </c>
      <c r="I390" s="0" t="s">
        <v>626</v>
      </c>
      <c r="J390" s="0" t="s">
        <v>627</v>
      </c>
      <c r="K390" s="475" t="n">
        <v>36831</v>
      </c>
      <c r="L390" s="254" t="n">
        <v>-1899.08722885814</v>
      </c>
      <c r="M390" s="475" t="n">
        <v>36829</v>
      </c>
      <c r="N390" s="0" t="s">
        <v>136</v>
      </c>
      <c r="O390" s="0" t="n">
        <v>0.3</v>
      </c>
      <c r="P390" s="0" t="n">
        <v>0</v>
      </c>
      <c r="Q390" s="0" t="n">
        <v>0</v>
      </c>
      <c r="R390" s="0" t="n">
        <v>0</v>
      </c>
      <c r="S390" s="0" t="n">
        <v>0</v>
      </c>
      <c r="T390" s="0" t="s">
        <v>624</v>
      </c>
      <c r="U390" s="0" t="s">
        <v>632</v>
      </c>
      <c r="V390" s="0" t="s">
        <v>624</v>
      </c>
      <c r="W390" s="0" t="s">
        <v>569</v>
      </c>
      <c r="X390" s="0" t="s">
        <v>624</v>
      </c>
      <c r="Y390" s="0" t="s">
        <v>627</v>
      </c>
      <c r="Z390" s="0" t="s">
        <v>629</v>
      </c>
      <c r="AA390" s="0" t="s">
        <v>624</v>
      </c>
      <c r="AB390" s="0" t="s">
        <v>580</v>
      </c>
      <c r="AC390" s="254" t="n">
        <v>-1500000</v>
      </c>
      <c r="AD390" s="254" t="n">
        <v>-1675.32291695227</v>
      </c>
      <c r="AE390" s="0" t="n">
        <v>0</v>
      </c>
      <c r="AF390" s="0" t="n">
        <v>0</v>
      </c>
      <c r="AG390" s="0" t="n">
        <v>0</v>
      </c>
      <c r="AH390" s="254" t="n">
        <v>-93.5451020250309</v>
      </c>
      <c r="AI390" s="0" t="n">
        <v>226</v>
      </c>
      <c r="AJ390" s="0" t="s">
        <v>630</v>
      </c>
      <c r="AK390" s="0" t="n">
        <v>0</v>
      </c>
      <c r="AL390" s="0" t="n">
        <v>0</v>
      </c>
      <c r="AM390" s="0" t="n">
        <v>0</v>
      </c>
    </row>
    <row r="391" customFormat="false" ht="12.75" hidden="false" customHeight="false" outlineLevel="0" collapsed="false">
      <c r="A391" s="0" t="s">
        <v>631</v>
      </c>
      <c r="B391" s="0" t="s">
        <v>340</v>
      </c>
      <c r="C391" s="0" t="s">
        <v>622</v>
      </c>
      <c r="D391" s="0" t="s">
        <v>623</v>
      </c>
      <c r="E391" s="0" t="s">
        <v>131</v>
      </c>
      <c r="F391" s="0" t="s">
        <v>210</v>
      </c>
      <c r="G391" s="0" t="s">
        <v>628</v>
      </c>
      <c r="H391" s="0" t="s">
        <v>625</v>
      </c>
      <c r="I391" s="0" t="s">
        <v>626</v>
      </c>
      <c r="J391" s="0" t="s">
        <v>627</v>
      </c>
      <c r="K391" s="475" t="n">
        <v>36800</v>
      </c>
      <c r="L391" s="254" t="n">
        <v>66262.8070872727</v>
      </c>
      <c r="M391" s="475" t="n">
        <v>36797</v>
      </c>
      <c r="N391" s="0" t="s">
        <v>132</v>
      </c>
      <c r="O391" s="0" t="n">
        <v>0.55</v>
      </c>
      <c r="P391" s="0" t="n">
        <v>0</v>
      </c>
      <c r="Q391" s="0" t="n">
        <v>0</v>
      </c>
      <c r="R391" s="0" t="n">
        <v>0</v>
      </c>
      <c r="S391" s="0" t="n">
        <v>0</v>
      </c>
      <c r="T391" s="0" t="s">
        <v>624</v>
      </c>
      <c r="U391" s="0" t="s">
        <v>149</v>
      </c>
      <c r="V391" s="0" t="s">
        <v>624</v>
      </c>
      <c r="W391" s="0" t="s">
        <v>569</v>
      </c>
      <c r="X391" s="0" t="s">
        <v>624</v>
      </c>
      <c r="Y391" s="0" t="s">
        <v>627</v>
      </c>
      <c r="Z391" s="0" t="s">
        <v>629</v>
      </c>
      <c r="AA391" s="0" t="s">
        <v>624</v>
      </c>
      <c r="AB391" s="0" t="s">
        <v>580</v>
      </c>
      <c r="AC391" s="254" t="n">
        <v>465000</v>
      </c>
      <c r="AD391" s="254" t="n">
        <v>1550.29193364398</v>
      </c>
      <c r="AE391" s="0" t="n">
        <v>0</v>
      </c>
      <c r="AF391" s="0" t="n">
        <v>0</v>
      </c>
      <c r="AG391" s="0" t="n">
        <v>0</v>
      </c>
      <c r="AH391" s="254" t="n">
        <v>89.7281450146256</v>
      </c>
      <c r="AI391" s="0" t="n">
        <v>226</v>
      </c>
      <c r="AJ391" s="0" t="s">
        <v>630</v>
      </c>
      <c r="AK391" s="0" t="n">
        <v>0</v>
      </c>
      <c r="AL391" s="0" t="n">
        <v>0</v>
      </c>
      <c r="AM391" s="0" t="n">
        <v>0</v>
      </c>
    </row>
    <row r="392" customFormat="false" ht="12.75" hidden="false" customHeight="false" outlineLevel="0" collapsed="false">
      <c r="A392" s="0" t="s">
        <v>631</v>
      </c>
      <c r="B392" s="0" t="s">
        <v>341</v>
      </c>
      <c r="C392" s="0" t="s">
        <v>622</v>
      </c>
      <c r="D392" s="0" t="s">
        <v>623</v>
      </c>
      <c r="E392" s="0" t="s">
        <v>131</v>
      </c>
      <c r="F392" s="0" t="s">
        <v>198</v>
      </c>
      <c r="G392" s="0" t="s">
        <v>628</v>
      </c>
      <c r="H392" s="0" t="s">
        <v>625</v>
      </c>
      <c r="I392" s="0" t="s">
        <v>626</v>
      </c>
      <c r="J392" s="0" t="s">
        <v>627</v>
      </c>
      <c r="K392" s="475" t="n">
        <v>36831</v>
      </c>
      <c r="L392" s="254" t="n">
        <v>-85217.7819305855</v>
      </c>
      <c r="M392" s="475" t="n">
        <v>36829</v>
      </c>
      <c r="N392" s="0" t="s">
        <v>136</v>
      </c>
      <c r="O392" s="0" t="n">
        <v>1</v>
      </c>
      <c r="P392" s="0" t="n">
        <v>0</v>
      </c>
      <c r="Q392" s="0" t="n">
        <v>0</v>
      </c>
      <c r="R392" s="0" t="n">
        <v>0</v>
      </c>
      <c r="S392" s="0" t="n">
        <v>0</v>
      </c>
      <c r="T392" s="0" t="s">
        <v>624</v>
      </c>
      <c r="U392" s="0" t="s">
        <v>149</v>
      </c>
      <c r="V392" s="0" t="s">
        <v>624</v>
      </c>
      <c r="W392" s="0" t="s">
        <v>569</v>
      </c>
      <c r="X392" s="0" t="s">
        <v>624</v>
      </c>
      <c r="Y392" s="0" t="s">
        <v>627</v>
      </c>
      <c r="Z392" s="0" t="s">
        <v>629</v>
      </c>
      <c r="AA392" s="0" t="s">
        <v>624</v>
      </c>
      <c r="AB392" s="0" t="s">
        <v>580</v>
      </c>
      <c r="AC392" s="254" t="n">
        <v>-500000</v>
      </c>
      <c r="AD392" s="254" t="n">
        <v>-20906.9546718727</v>
      </c>
      <c r="AE392" s="0" t="n">
        <v>0</v>
      </c>
      <c r="AF392" s="0" t="n">
        <v>0</v>
      </c>
      <c r="AG392" s="0" t="n">
        <v>0</v>
      </c>
      <c r="AH392" s="254" t="n">
        <v>-8666.53669829646</v>
      </c>
      <c r="AI392" s="0" t="n">
        <v>226</v>
      </c>
      <c r="AJ392" s="0" t="s">
        <v>630</v>
      </c>
      <c r="AK392" s="0" t="n">
        <v>0</v>
      </c>
      <c r="AL392" s="0" t="n">
        <v>0</v>
      </c>
      <c r="AM392" s="0" t="n">
        <v>0</v>
      </c>
    </row>
    <row r="393" customFormat="false" ht="12.75" hidden="false" customHeight="false" outlineLevel="0" collapsed="false">
      <c r="A393" s="0" t="s">
        <v>631</v>
      </c>
      <c r="B393" s="0" t="s">
        <v>342</v>
      </c>
      <c r="C393" s="0" t="s">
        <v>622</v>
      </c>
      <c r="D393" s="0" t="s">
        <v>623</v>
      </c>
      <c r="E393" s="0" t="s">
        <v>131</v>
      </c>
      <c r="F393" s="0" t="s">
        <v>210</v>
      </c>
      <c r="G393" s="0" t="s">
        <v>628</v>
      </c>
      <c r="H393" s="0" t="s">
        <v>625</v>
      </c>
      <c r="I393" s="0" t="s">
        <v>626</v>
      </c>
      <c r="J393" s="0" t="s">
        <v>627</v>
      </c>
      <c r="K393" s="475" t="n">
        <v>36923</v>
      </c>
      <c r="L393" s="254" t="n">
        <v>117808.739346746</v>
      </c>
      <c r="M393" s="475" t="n">
        <v>36921</v>
      </c>
      <c r="N393" s="0" t="s">
        <v>132</v>
      </c>
      <c r="O393" s="0" t="n">
        <v>0.75</v>
      </c>
      <c r="P393" s="0" t="n">
        <v>0</v>
      </c>
      <c r="Q393" s="0" t="n">
        <v>0</v>
      </c>
      <c r="R393" s="0" t="n">
        <v>0</v>
      </c>
      <c r="S393" s="0" t="n">
        <v>0</v>
      </c>
      <c r="T393" s="0" t="s">
        <v>624</v>
      </c>
      <c r="U393" s="0" t="s">
        <v>149</v>
      </c>
      <c r="V393" s="0" t="s">
        <v>624</v>
      </c>
      <c r="W393" s="0" t="s">
        <v>569</v>
      </c>
      <c r="X393" s="0" t="s">
        <v>624</v>
      </c>
      <c r="Y393" s="0" t="s">
        <v>627</v>
      </c>
      <c r="Z393" s="0" t="s">
        <v>629</v>
      </c>
      <c r="AA393" s="0" t="s">
        <v>624</v>
      </c>
      <c r="AB393" s="0" t="s">
        <v>580</v>
      </c>
      <c r="AC393" s="254" t="n">
        <v>840000</v>
      </c>
      <c r="AD393" s="254" t="n">
        <v>51634.4401376773</v>
      </c>
      <c r="AE393" s="0" t="n">
        <v>0</v>
      </c>
      <c r="AF393" s="0" t="n">
        <v>0</v>
      </c>
      <c r="AG393" s="0" t="n">
        <v>0</v>
      </c>
      <c r="AH393" s="254" t="n">
        <v>-6305.62978756661</v>
      </c>
      <c r="AI393" s="0" t="n">
        <v>226</v>
      </c>
      <c r="AJ393" s="0" t="s">
        <v>630</v>
      </c>
      <c r="AK393" s="0" t="n">
        <v>0</v>
      </c>
      <c r="AL393" s="0" t="n">
        <v>0</v>
      </c>
      <c r="AM393" s="0" t="n">
        <v>0</v>
      </c>
    </row>
    <row r="394" customFormat="false" ht="12.75" hidden="false" customHeight="false" outlineLevel="0" collapsed="false">
      <c r="A394" s="0" t="s">
        <v>631</v>
      </c>
      <c r="B394" s="0" t="s">
        <v>342</v>
      </c>
      <c r="C394" s="0" t="s">
        <v>622</v>
      </c>
      <c r="D394" s="0" t="s">
        <v>623</v>
      </c>
      <c r="E394" s="0" t="s">
        <v>131</v>
      </c>
      <c r="F394" s="0" t="s">
        <v>210</v>
      </c>
      <c r="G394" s="0" t="s">
        <v>628</v>
      </c>
      <c r="H394" s="0" t="s">
        <v>625</v>
      </c>
      <c r="I394" s="0" t="s">
        <v>626</v>
      </c>
      <c r="J394" s="0" t="s">
        <v>627</v>
      </c>
      <c r="K394" s="475" t="n">
        <v>36892</v>
      </c>
      <c r="L394" s="254" t="n">
        <v>102987.91118815</v>
      </c>
      <c r="M394" s="475" t="n">
        <v>36888</v>
      </c>
      <c r="N394" s="0" t="s">
        <v>132</v>
      </c>
      <c r="O394" s="0" t="n">
        <v>0.75</v>
      </c>
      <c r="P394" s="0" t="n">
        <v>0</v>
      </c>
      <c r="Q394" s="0" t="n">
        <v>0</v>
      </c>
      <c r="R394" s="0" t="n">
        <v>0</v>
      </c>
      <c r="S394" s="0" t="n">
        <v>0</v>
      </c>
      <c r="T394" s="0" t="s">
        <v>624</v>
      </c>
      <c r="U394" s="0" t="s">
        <v>149</v>
      </c>
      <c r="V394" s="0" t="s">
        <v>624</v>
      </c>
      <c r="W394" s="0" t="s">
        <v>569</v>
      </c>
      <c r="X394" s="0" t="s">
        <v>624</v>
      </c>
      <c r="Y394" s="0" t="s">
        <v>627</v>
      </c>
      <c r="Z394" s="0" t="s">
        <v>629</v>
      </c>
      <c r="AA394" s="0" t="s">
        <v>624</v>
      </c>
      <c r="AB394" s="0" t="s">
        <v>580</v>
      </c>
      <c r="AC394" s="254" t="n">
        <v>930000</v>
      </c>
      <c r="AD394" s="254" t="n">
        <v>47409.3014864759</v>
      </c>
      <c r="AE394" s="0" t="n">
        <v>0</v>
      </c>
      <c r="AF394" s="0" t="n">
        <v>0</v>
      </c>
      <c r="AG394" s="0" t="n">
        <v>0</v>
      </c>
      <c r="AH394" s="254" t="n">
        <v>-4967.89743043967</v>
      </c>
      <c r="AI394" s="0" t="n">
        <v>226</v>
      </c>
      <c r="AJ394" s="0" t="s">
        <v>630</v>
      </c>
      <c r="AK394" s="0" t="n">
        <v>0</v>
      </c>
      <c r="AL394" s="0" t="n">
        <v>0</v>
      </c>
      <c r="AM394" s="0" t="n">
        <v>0</v>
      </c>
    </row>
    <row r="395" customFormat="false" ht="12.75" hidden="false" customHeight="false" outlineLevel="0" collapsed="false">
      <c r="A395" s="0" t="s">
        <v>631</v>
      </c>
      <c r="B395" s="0" t="s">
        <v>342</v>
      </c>
      <c r="C395" s="0" t="s">
        <v>622</v>
      </c>
      <c r="D395" s="0" t="s">
        <v>623</v>
      </c>
      <c r="E395" s="0" t="s">
        <v>131</v>
      </c>
      <c r="F395" s="0" t="s">
        <v>210</v>
      </c>
      <c r="G395" s="0" t="s">
        <v>628</v>
      </c>
      <c r="H395" s="0" t="s">
        <v>625</v>
      </c>
      <c r="I395" s="0" t="s">
        <v>626</v>
      </c>
      <c r="J395" s="0" t="s">
        <v>627</v>
      </c>
      <c r="K395" s="475" t="n">
        <v>36861</v>
      </c>
      <c r="L395" s="254" t="n">
        <v>137562.796209284</v>
      </c>
      <c r="M395" s="475" t="n">
        <v>36859</v>
      </c>
      <c r="N395" s="0" t="s">
        <v>132</v>
      </c>
      <c r="O395" s="0" t="n">
        <v>0.75</v>
      </c>
      <c r="P395" s="0" t="n">
        <v>0</v>
      </c>
      <c r="Q395" s="0" t="n">
        <v>0</v>
      </c>
      <c r="R395" s="0" t="n">
        <v>0</v>
      </c>
      <c r="S395" s="0" t="n">
        <v>0</v>
      </c>
      <c r="T395" s="0" t="s">
        <v>624</v>
      </c>
      <c r="U395" s="0" t="s">
        <v>149</v>
      </c>
      <c r="V395" s="0" t="s">
        <v>624</v>
      </c>
      <c r="W395" s="0" t="s">
        <v>569</v>
      </c>
      <c r="X395" s="0" t="s">
        <v>624</v>
      </c>
      <c r="Y395" s="0" t="s">
        <v>627</v>
      </c>
      <c r="Z395" s="0" t="s">
        <v>629</v>
      </c>
      <c r="AA395" s="0" t="s">
        <v>624</v>
      </c>
      <c r="AB395" s="0" t="s">
        <v>580</v>
      </c>
      <c r="AC395" s="254" t="n">
        <v>930000</v>
      </c>
      <c r="AD395" s="254" t="n">
        <v>51692.2646790754</v>
      </c>
      <c r="AE395" s="0" t="n">
        <v>0</v>
      </c>
      <c r="AF395" s="0" t="n">
        <v>0</v>
      </c>
      <c r="AG395" s="0" t="n">
        <v>0</v>
      </c>
      <c r="AH395" s="254" t="n">
        <v>-5587.50999700427</v>
      </c>
      <c r="AI395" s="0" t="n">
        <v>226</v>
      </c>
      <c r="AJ395" s="0" t="s">
        <v>630</v>
      </c>
      <c r="AK395" s="0" t="n">
        <v>0</v>
      </c>
      <c r="AL395" s="0" t="n">
        <v>0</v>
      </c>
      <c r="AM395" s="0" t="n">
        <v>0</v>
      </c>
    </row>
    <row r="396" customFormat="false" ht="12.75" hidden="false" customHeight="false" outlineLevel="0" collapsed="false">
      <c r="A396" s="0" t="s">
        <v>631</v>
      </c>
      <c r="B396" s="0" t="s">
        <v>343</v>
      </c>
      <c r="C396" s="0" t="s">
        <v>622</v>
      </c>
      <c r="D396" s="0" t="s">
        <v>623</v>
      </c>
      <c r="E396" s="0" t="s">
        <v>131</v>
      </c>
      <c r="F396" s="0" t="s">
        <v>198</v>
      </c>
      <c r="G396" s="0" t="s">
        <v>628</v>
      </c>
      <c r="H396" s="0" t="s">
        <v>625</v>
      </c>
      <c r="I396" s="0" t="s">
        <v>626</v>
      </c>
      <c r="J396" s="0" t="s">
        <v>627</v>
      </c>
      <c r="K396" s="475" t="n">
        <v>36951</v>
      </c>
      <c r="L396" s="254" t="n">
        <v>-164993.618616551</v>
      </c>
      <c r="M396" s="475" t="n">
        <v>36949</v>
      </c>
      <c r="N396" s="0" t="s">
        <v>136</v>
      </c>
      <c r="O396" s="0" t="n">
        <v>1.6</v>
      </c>
      <c r="P396" s="0" t="n">
        <v>0</v>
      </c>
      <c r="Q396" s="0" t="n">
        <v>0</v>
      </c>
      <c r="R396" s="0" t="n">
        <v>0</v>
      </c>
      <c r="S396" s="0" t="n">
        <v>0</v>
      </c>
      <c r="T396" s="0" t="s">
        <v>624</v>
      </c>
      <c r="U396" s="0" t="s">
        <v>149</v>
      </c>
      <c r="V396" s="0" t="s">
        <v>624</v>
      </c>
      <c r="W396" s="0" t="s">
        <v>569</v>
      </c>
      <c r="X396" s="0" t="s">
        <v>624</v>
      </c>
      <c r="Y396" s="0" t="s">
        <v>627</v>
      </c>
      <c r="Z396" s="0" t="s">
        <v>629</v>
      </c>
      <c r="AA396" s="0" t="s">
        <v>624</v>
      </c>
      <c r="AB396" s="0" t="s">
        <v>580</v>
      </c>
      <c r="AC396" s="254" t="n">
        <v>-500000</v>
      </c>
      <c r="AD396" s="254" t="n">
        <v>-40486.3019028012</v>
      </c>
      <c r="AE396" s="0" t="n">
        <v>0</v>
      </c>
      <c r="AF396" s="0" t="n">
        <v>0</v>
      </c>
      <c r="AG396" s="0" t="n">
        <v>0</v>
      </c>
      <c r="AH396" s="254" t="n">
        <v>-13572.421626798</v>
      </c>
      <c r="AI396" s="0" t="n">
        <v>226</v>
      </c>
      <c r="AJ396" s="0" t="s">
        <v>630</v>
      </c>
      <c r="AK396" s="0" t="n">
        <v>0</v>
      </c>
      <c r="AL396" s="0" t="n">
        <v>0</v>
      </c>
      <c r="AM396" s="0" t="n">
        <v>0</v>
      </c>
    </row>
    <row r="397" customFormat="false" ht="12.75" hidden="false" customHeight="false" outlineLevel="0" collapsed="false">
      <c r="A397" s="0" t="s">
        <v>631</v>
      </c>
      <c r="B397" s="0" t="s">
        <v>343</v>
      </c>
      <c r="C397" s="0" t="s">
        <v>622</v>
      </c>
      <c r="D397" s="0" t="s">
        <v>623</v>
      </c>
      <c r="E397" s="0" t="s">
        <v>131</v>
      </c>
      <c r="F397" s="0" t="s">
        <v>198</v>
      </c>
      <c r="G397" s="0" t="s">
        <v>628</v>
      </c>
      <c r="H397" s="0" t="s">
        <v>625</v>
      </c>
      <c r="I397" s="0" t="s">
        <v>626</v>
      </c>
      <c r="J397" s="0" t="s">
        <v>627</v>
      </c>
      <c r="K397" s="475" t="n">
        <v>36923</v>
      </c>
      <c r="L397" s="254" t="n">
        <v>-453075.250208886</v>
      </c>
      <c r="M397" s="475" t="n">
        <v>36921</v>
      </c>
      <c r="N397" s="0" t="s">
        <v>136</v>
      </c>
      <c r="O397" s="0" t="n">
        <v>1.6</v>
      </c>
      <c r="P397" s="0" t="n">
        <v>0</v>
      </c>
      <c r="Q397" s="0" t="n">
        <v>0</v>
      </c>
      <c r="R397" s="0" t="n">
        <v>0</v>
      </c>
      <c r="S397" s="0" t="n">
        <v>0</v>
      </c>
      <c r="T397" s="0" t="s">
        <v>624</v>
      </c>
      <c r="U397" s="0" t="s">
        <v>149</v>
      </c>
      <c r="V397" s="0" t="s">
        <v>624</v>
      </c>
      <c r="W397" s="0" t="s">
        <v>569</v>
      </c>
      <c r="X397" s="0" t="s">
        <v>624</v>
      </c>
      <c r="Y397" s="0" t="s">
        <v>627</v>
      </c>
      <c r="Z397" s="0" t="s">
        <v>629</v>
      </c>
      <c r="AA397" s="0" t="s">
        <v>624</v>
      </c>
      <c r="AB397" s="0" t="s">
        <v>580</v>
      </c>
      <c r="AC397" s="254" t="n">
        <v>-500000</v>
      </c>
      <c r="AD397" s="254" t="n">
        <v>-41984.3190253582</v>
      </c>
      <c r="AE397" s="0" t="n">
        <v>0</v>
      </c>
      <c r="AF397" s="0" t="n">
        <v>0</v>
      </c>
      <c r="AG397" s="0" t="n">
        <v>0</v>
      </c>
      <c r="AH397" s="254" t="n">
        <v>-24464.7308334743</v>
      </c>
      <c r="AI397" s="0" t="n">
        <v>226</v>
      </c>
      <c r="AJ397" s="0" t="s">
        <v>630</v>
      </c>
      <c r="AK397" s="0" t="n">
        <v>0</v>
      </c>
      <c r="AL397" s="0" t="n">
        <v>0</v>
      </c>
      <c r="AM397" s="0" t="n">
        <v>0</v>
      </c>
    </row>
    <row r="398" customFormat="false" ht="12.75" hidden="false" customHeight="false" outlineLevel="0" collapsed="false">
      <c r="A398" s="0" t="s">
        <v>631</v>
      </c>
      <c r="B398" s="0" t="s">
        <v>343</v>
      </c>
      <c r="C398" s="0" t="s">
        <v>622</v>
      </c>
      <c r="D398" s="0" t="s">
        <v>623</v>
      </c>
      <c r="E398" s="0" t="s">
        <v>131</v>
      </c>
      <c r="F398" s="0" t="s">
        <v>198</v>
      </c>
      <c r="G398" s="0" t="s">
        <v>628</v>
      </c>
      <c r="H398" s="0" t="s">
        <v>625</v>
      </c>
      <c r="I398" s="0" t="s">
        <v>626</v>
      </c>
      <c r="J398" s="0" t="s">
        <v>627</v>
      </c>
      <c r="K398" s="475" t="n">
        <v>36892</v>
      </c>
      <c r="L398" s="254" t="n">
        <v>-464051.028212785</v>
      </c>
      <c r="M398" s="475" t="n">
        <v>36888</v>
      </c>
      <c r="N398" s="0" t="s">
        <v>136</v>
      </c>
      <c r="O398" s="0" t="n">
        <v>1.6</v>
      </c>
      <c r="P398" s="0" t="n">
        <v>0</v>
      </c>
      <c r="Q398" s="0" t="n">
        <v>0</v>
      </c>
      <c r="R398" s="0" t="n">
        <v>0</v>
      </c>
      <c r="S398" s="0" t="n">
        <v>0</v>
      </c>
      <c r="T398" s="0" t="s">
        <v>624</v>
      </c>
      <c r="U398" s="0" t="s">
        <v>149</v>
      </c>
      <c r="V398" s="0" t="s">
        <v>624</v>
      </c>
      <c r="W398" s="0" t="s">
        <v>569</v>
      </c>
      <c r="X398" s="0" t="s">
        <v>624</v>
      </c>
      <c r="Y398" s="0" t="s">
        <v>627</v>
      </c>
      <c r="Z398" s="0" t="s">
        <v>629</v>
      </c>
      <c r="AA398" s="0" t="s">
        <v>624</v>
      </c>
      <c r="AB398" s="0" t="s">
        <v>580</v>
      </c>
      <c r="AC398" s="254" t="n">
        <v>-500000</v>
      </c>
      <c r="AD398" s="254" t="n">
        <v>-37672.5296271704</v>
      </c>
      <c r="AE398" s="0" t="n">
        <v>0</v>
      </c>
      <c r="AF398" s="0" t="n">
        <v>0</v>
      </c>
      <c r="AG398" s="0" t="n">
        <v>0</v>
      </c>
      <c r="AH398" s="254" t="n">
        <v>-21769.1083987984</v>
      </c>
      <c r="AI398" s="0" t="n">
        <v>226</v>
      </c>
      <c r="AJ398" s="0" t="s">
        <v>630</v>
      </c>
      <c r="AK398" s="0" t="n">
        <v>0</v>
      </c>
      <c r="AL398" s="0" t="n">
        <v>0</v>
      </c>
      <c r="AM398" s="0" t="n">
        <v>0</v>
      </c>
    </row>
    <row r="399" customFormat="false" ht="12.75" hidden="false" customHeight="false" outlineLevel="0" collapsed="false">
      <c r="A399" s="0" t="s">
        <v>631</v>
      </c>
      <c r="B399" s="0" t="s">
        <v>343</v>
      </c>
      <c r="C399" s="0" t="s">
        <v>622</v>
      </c>
      <c r="D399" s="0" t="s">
        <v>623</v>
      </c>
      <c r="E399" s="0" t="s">
        <v>131</v>
      </c>
      <c r="F399" s="0" t="s">
        <v>198</v>
      </c>
      <c r="G399" s="0" t="s">
        <v>628</v>
      </c>
      <c r="H399" s="0" t="s">
        <v>625</v>
      </c>
      <c r="I399" s="0" t="s">
        <v>626</v>
      </c>
      <c r="J399" s="0" t="s">
        <v>627</v>
      </c>
      <c r="K399" s="475" t="n">
        <v>36861</v>
      </c>
      <c r="L399" s="254" t="n">
        <v>-267671.475447127</v>
      </c>
      <c r="M399" s="475" t="n">
        <v>36859</v>
      </c>
      <c r="N399" s="0" t="s">
        <v>136</v>
      </c>
      <c r="O399" s="0" t="n">
        <v>1.6</v>
      </c>
      <c r="P399" s="0" t="n">
        <v>0</v>
      </c>
      <c r="Q399" s="0" t="n">
        <v>0</v>
      </c>
      <c r="R399" s="0" t="n">
        <v>0</v>
      </c>
      <c r="S399" s="0" t="n">
        <v>0</v>
      </c>
      <c r="T399" s="0" t="s">
        <v>624</v>
      </c>
      <c r="U399" s="0" t="s">
        <v>149</v>
      </c>
      <c r="V399" s="0" t="s">
        <v>624</v>
      </c>
      <c r="W399" s="0" t="s">
        <v>569</v>
      </c>
      <c r="X399" s="0" t="s">
        <v>624</v>
      </c>
      <c r="Y399" s="0" t="s">
        <v>627</v>
      </c>
      <c r="Z399" s="0" t="s">
        <v>629</v>
      </c>
      <c r="AA399" s="0" t="s">
        <v>624</v>
      </c>
      <c r="AB399" s="0" t="s">
        <v>580</v>
      </c>
      <c r="AC399" s="254" t="n">
        <v>-500000</v>
      </c>
      <c r="AD399" s="254" t="n">
        <v>-35401.2014237187</v>
      </c>
      <c r="AE399" s="0" t="n">
        <v>0</v>
      </c>
      <c r="AF399" s="0" t="n">
        <v>0</v>
      </c>
      <c r="AG399" s="0" t="n">
        <v>0</v>
      </c>
      <c r="AH399" s="254" t="n">
        <v>-13921.8512695827</v>
      </c>
      <c r="AI399" s="0" t="n">
        <v>226</v>
      </c>
      <c r="AJ399" s="0" t="s">
        <v>630</v>
      </c>
      <c r="AK399" s="0" t="n">
        <v>0</v>
      </c>
      <c r="AL399" s="0" t="n">
        <v>0</v>
      </c>
      <c r="AM399" s="0" t="n">
        <v>0</v>
      </c>
    </row>
    <row r="400" customFormat="false" ht="12.75" hidden="false" customHeight="false" outlineLevel="0" collapsed="false">
      <c r="A400" s="0" t="s">
        <v>631</v>
      </c>
      <c r="B400" s="0" t="s">
        <v>343</v>
      </c>
      <c r="C400" s="0" t="s">
        <v>622</v>
      </c>
      <c r="D400" s="0" t="s">
        <v>623</v>
      </c>
      <c r="E400" s="0" t="s">
        <v>131</v>
      </c>
      <c r="F400" s="0" t="s">
        <v>198</v>
      </c>
      <c r="G400" s="0" t="s">
        <v>628</v>
      </c>
      <c r="H400" s="0" t="s">
        <v>625</v>
      </c>
      <c r="I400" s="0" t="s">
        <v>626</v>
      </c>
      <c r="J400" s="0" t="s">
        <v>627</v>
      </c>
      <c r="K400" s="475" t="n">
        <v>36831</v>
      </c>
      <c r="L400" s="254" t="n">
        <v>-24777.4772968778</v>
      </c>
      <c r="M400" s="475" t="n">
        <v>36829</v>
      </c>
      <c r="N400" s="0" t="s">
        <v>136</v>
      </c>
      <c r="O400" s="0" t="n">
        <v>1.6</v>
      </c>
      <c r="P400" s="0" t="n">
        <v>0</v>
      </c>
      <c r="Q400" s="0" t="n">
        <v>0</v>
      </c>
      <c r="R400" s="0" t="n">
        <v>0</v>
      </c>
      <c r="S400" s="0" t="n">
        <v>0</v>
      </c>
      <c r="T400" s="0" t="s">
        <v>624</v>
      </c>
      <c r="U400" s="0" t="s">
        <v>149</v>
      </c>
      <c r="V400" s="0" t="s">
        <v>624</v>
      </c>
      <c r="W400" s="0" t="s">
        <v>569</v>
      </c>
      <c r="X400" s="0" t="s">
        <v>624</v>
      </c>
      <c r="Y400" s="0" t="s">
        <v>627</v>
      </c>
      <c r="Z400" s="0" t="s">
        <v>629</v>
      </c>
      <c r="AA400" s="0" t="s">
        <v>624</v>
      </c>
      <c r="AB400" s="0" t="s">
        <v>580</v>
      </c>
      <c r="AC400" s="254" t="n">
        <v>-500000</v>
      </c>
      <c r="AD400" s="254" t="n">
        <v>-11503.9442741136</v>
      </c>
      <c r="AE400" s="0" t="n">
        <v>0</v>
      </c>
      <c r="AF400" s="0" t="n">
        <v>0</v>
      </c>
      <c r="AG400" s="0" t="n">
        <v>0</v>
      </c>
      <c r="AH400" s="254" t="n">
        <v>-3479.1637170616</v>
      </c>
      <c r="AI400" s="0" t="n">
        <v>226</v>
      </c>
      <c r="AJ400" s="0" t="s">
        <v>630</v>
      </c>
      <c r="AK400" s="0" t="n">
        <v>0</v>
      </c>
      <c r="AL400" s="0" t="n">
        <v>0</v>
      </c>
      <c r="AM400" s="0" t="n">
        <v>0</v>
      </c>
    </row>
    <row r="401" customFormat="false" ht="12.75" hidden="false" customHeight="false" outlineLevel="0" collapsed="false">
      <c r="A401" s="0" t="s">
        <v>631</v>
      </c>
      <c r="B401" s="0" t="s">
        <v>344</v>
      </c>
      <c r="C401" s="0" t="s">
        <v>622</v>
      </c>
      <c r="D401" s="0" t="s">
        <v>623</v>
      </c>
      <c r="E401" s="0" t="s">
        <v>131</v>
      </c>
      <c r="F401" s="0" t="s">
        <v>198</v>
      </c>
      <c r="G401" s="0" t="s">
        <v>628</v>
      </c>
      <c r="H401" s="0" t="s">
        <v>625</v>
      </c>
      <c r="I401" s="0" t="s">
        <v>626</v>
      </c>
      <c r="J401" s="0" t="s">
        <v>627</v>
      </c>
      <c r="K401" s="475" t="n">
        <v>36951</v>
      </c>
      <c r="L401" s="254" t="n">
        <v>-418589.113071264</v>
      </c>
      <c r="M401" s="475" t="n">
        <v>36949</v>
      </c>
      <c r="N401" s="0" t="s">
        <v>132</v>
      </c>
      <c r="O401" s="0" t="n">
        <v>1.6</v>
      </c>
      <c r="P401" s="0" t="n">
        <v>0</v>
      </c>
      <c r="Q401" s="0" t="n">
        <v>0</v>
      </c>
      <c r="R401" s="0" t="n">
        <v>0</v>
      </c>
      <c r="S401" s="0" t="n">
        <v>0</v>
      </c>
      <c r="T401" s="0" t="s">
        <v>624</v>
      </c>
      <c r="U401" s="0" t="s">
        <v>149</v>
      </c>
      <c r="V401" s="0" t="s">
        <v>624</v>
      </c>
      <c r="W401" s="0" t="s">
        <v>569</v>
      </c>
      <c r="X401" s="0" t="s">
        <v>624</v>
      </c>
      <c r="Y401" s="0" t="s">
        <v>627</v>
      </c>
      <c r="Z401" s="0" t="s">
        <v>629</v>
      </c>
      <c r="AA401" s="0" t="s">
        <v>624</v>
      </c>
      <c r="AB401" s="0" t="s">
        <v>580</v>
      </c>
      <c r="AC401" s="254" t="n">
        <v>-500000</v>
      </c>
      <c r="AD401" s="254" t="n">
        <v>-40486.3019028012</v>
      </c>
      <c r="AE401" s="0" t="n">
        <v>0</v>
      </c>
      <c r="AF401" s="0" t="n">
        <v>0</v>
      </c>
      <c r="AG401" s="0" t="n">
        <v>0</v>
      </c>
      <c r="AH401" s="254" t="n">
        <v>15395.6453269765</v>
      </c>
      <c r="AI401" s="0" t="n">
        <v>226</v>
      </c>
      <c r="AJ401" s="0" t="s">
        <v>630</v>
      </c>
      <c r="AK401" s="0" t="n">
        <v>0</v>
      </c>
      <c r="AL401" s="0" t="n">
        <v>0</v>
      </c>
      <c r="AM401" s="0" t="n">
        <v>0</v>
      </c>
    </row>
    <row r="402" customFormat="false" ht="12.75" hidden="false" customHeight="false" outlineLevel="0" collapsed="false">
      <c r="A402" s="0" t="s">
        <v>631</v>
      </c>
      <c r="B402" s="0" t="s">
        <v>344</v>
      </c>
      <c r="C402" s="0" t="s">
        <v>622</v>
      </c>
      <c r="D402" s="0" t="s">
        <v>623</v>
      </c>
      <c r="E402" s="0" t="s">
        <v>131</v>
      </c>
      <c r="F402" s="0" t="s">
        <v>198</v>
      </c>
      <c r="G402" s="0" t="s">
        <v>628</v>
      </c>
      <c r="H402" s="0" t="s">
        <v>625</v>
      </c>
      <c r="I402" s="0" t="s">
        <v>626</v>
      </c>
      <c r="J402" s="0" t="s">
        <v>627</v>
      </c>
      <c r="K402" s="475" t="n">
        <v>36923</v>
      </c>
      <c r="L402" s="254" t="n">
        <v>-215108.823405965</v>
      </c>
      <c r="M402" s="475" t="n">
        <v>36921</v>
      </c>
      <c r="N402" s="0" t="s">
        <v>132</v>
      </c>
      <c r="O402" s="0" t="n">
        <v>1.6</v>
      </c>
      <c r="P402" s="0" t="n">
        <v>0</v>
      </c>
      <c r="Q402" s="0" t="n">
        <v>0</v>
      </c>
      <c r="R402" s="0" t="n">
        <v>0</v>
      </c>
      <c r="S402" s="0" t="n">
        <v>0</v>
      </c>
      <c r="T402" s="0" t="s">
        <v>624</v>
      </c>
      <c r="U402" s="0" t="s">
        <v>149</v>
      </c>
      <c r="V402" s="0" t="s">
        <v>624</v>
      </c>
      <c r="W402" s="0" t="s">
        <v>569</v>
      </c>
      <c r="X402" s="0" t="s">
        <v>624</v>
      </c>
      <c r="Y402" s="0" t="s">
        <v>627</v>
      </c>
      <c r="Z402" s="0" t="s">
        <v>629</v>
      </c>
      <c r="AA402" s="0" t="s">
        <v>624</v>
      </c>
      <c r="AB402" s="0" t="s">
        <v>580</v>
      </c>
      <c r="AC402" s="254" t="n">
        <v>-500000</v>
      </c>
      <c r="AD402" s="254" t="n">
        <v>-41984.3190253582</v>
      </c>
      <c r="AE402" s="0" t="n">
        <v>0</v>
      </c>
      <c r="AF402" s="0" t="n">
        <v>0</v>
      </c>
      <c r="AG402" s="0" t="n">
        <v>0</v>
      </c>
      <c r="AH402" s="254" t="n">
        <v>9512.99747630197</v>
      </c>
      <c r="AI402" s="0" t="n">
        <v>226</v>
      </c>
      <c r="AJ402" s="0" t="s">
        <v>630</v>
      </c>
      <c r="AK402" s="0" t="n">
        <v>0</v>
      </c>
      <c r="AL402" s="0" t="n">
        <v>0</v>
      </c>
      <c r="AM402" s="0" t="n">
        <v>0</v>
      </c>
    </row>
    <row r="403" customFormat="false" ht="12.75" hidden="false" customHeight="false" outlineLevel="0" collapsed="false">
      <c r="A403" s="0" t="s">
        <v>631</v>
      </c>
      <c r="B403" s="0" t="s">
        <v>344</v>
      </c>
      <c r="C403" s="0" t="s">
        <v>622</v>
      </c>
      <c r="D403" s="0" t="s">
        <v>623</v>
      </c>
      <c r="E403" s="0" t="s">
        <v>131</v>
      </c>
      <c r="F403" s="0" t="s">
        <v>198</v>
      </c>
      <c r="G403" s="0" t="s">
        <v>628</v>
      </c>
      <c r="H403" s="0" t="s">
        <v>625</v>
      </c>
      <c r="I403" s="0" t="s">
        <v>626</v>
      </c>
      <c r="J403" s="0" t="s">
        <v>627</v>
      </c>
      <c r="K403" s="475" t="n">
        <v>36892</v>
      </c>
      <c r="L403" s="254" t="n">
        <v>-185486.210797771</v>
      </c>
      <c r="M403" s="475" t="n">
        <v>36888</v>
      </c>
      <c r="N403" s="0" t="s">
        <v>132</v>
      </c>
      <c r="O403" s="0" t="n">
        <v>1.6</v>
      </c>
      <c r="P403" s="0" t="n">
        <v>0</v>
      </c>
      <c r="Q403" s="0" t="n">
        <v>0</v>
      </c>
      <c r="R403" s="0" t="n">
        <v>0</v>
      </c>
      <c r="S403" s="0" t="n">
        <v>0</v>
      </c>
      <c r="T403" s="0" t="s">
        <v>624</v>
      </c>
      <c r="U403" s="0" t="s">
        <v>149</v>
      </c>
      <c r="V403" s="0" t="s">
        <v>624</v>
      </c>
      <c r="W403" s="0" t="s">
        <v>569</v>
      </c>
      <c r="X403" s="0" t="s">
        <v>624</v>
      </c>
      <c r="Y403" s="0" t="s">
        <v>627</v>
      </c>
      <c r="Z403" s="0" t="s">
        <v>629</v>
      </c>
      <c r="AA403" s="0" t="s">
        <v>624</v>
      </c>
      <c r="AB403" s="0" t="s">
        <v>580</v>
      </c>
      <c r="AC403" s="254" t="n">
        <v>-500000</v>
      </c>
      <c r="AD403" s="254" t="n">
        <v>-37672.5296271704</v>
      </c>
      <c r="AE403" s="0" t="n">
        <v>0</v>
      </c>
      <c r="AF403" s="0" t="n">
        <v>0</v>
      </c>
      <c r="AG403" s="0" t="n">
        <v>0</v>
      </c>
      <c r="AH403" s="254" t="n">
        <v>7537.87022616947</v>
      </c>
      <c r="AI403" s="0" t="n">
        <v>226</v>
      </c>
      <c r="AJ403" s="0" t="s">
        <v>630</v>
      </c>
      <c r="AK403" s="0" t="n">
        <v>0</v>
      </c>
      <c r="AL403" s="0" t="n">
        <v>0</v>
      </c>
      <c r="AM403" s="0" t="n">
        <v>0</v>
      </c>
    </row>
    <row r="404" customFormat="false" ht="12.75" hidden="false" customHeight="false" outlineLevel="0" collapsed="false">
      <c r="A404" s="0" t="s">
        <v>631</v>
      </c>
      <c r="B404" s="0" t="s">
        <v>344</v>
      </c>
      <c r="C404" s="0" t="s">
        <v>622</v>
      </c>
      <c r="D404" s="0" t="s">
        <v>623</v>
      </c>
      <c r="E404" s="0" t="s">
        <v>131</v>
      </c>
      <c r="F404" s="0" t="s">
        <v>198</v>
      </c>
      <c r="G404" s="0" t="s">
        <v>628</v>
      </c>
      <c r="H404" s="0" t="s">
        <v>625</v>
      </c>
      <c r="I404" s="0" t="s">
        <v>626</v>
      </c>
      <c r="J404" s="0" t="s">
        <v>627</v>
      </c>
      <c r="K404" s="475" t="n">
        <v>36861</v>
      </c>
      <c r="L404" s="254" t="n">
        <v>-245559.459185969</v>
      </c>
      <c r="M404" s="475" t="n">
        <v>36859</v>
      </c>
      <c r="N404" s="0" t="s">
        <v>132</v>
      </c>
      <c r="O404" s="0" t="n">
        <v>1.6</v>
      </c>
      <c r="P404" s="0" t="n">
        <v>0</v>
      </c>
      <c r="Q404" s="0" t="n">
        <v>0</v>
      </c>
      <c r="R404" s="0" t="n">
        <v>0</v>
      </c>
      <c r="S404" s="0" t="n">
        <v>0</v>
      </c>
      <c r="T404" s="0" t="s">
        <v>624</v>
      </c>
      <c r="U404" s="0" t="s">
        <v>149</v>
      </c>
      <c r="V404" s="0" t="s">
        <v>624</v>
      </c>
      <c r="W404" s="0" t="s">
        <v>569</v>
      </c>
      <c r="X404" s="0" t="s">
        <v>624</v>
      </c>
      <c r="Y404" s="0" t="s">
        <v>627</v>
      </c>
      <c r="Z404" s="0" t="s">
        <v>629</v>
      </c>
      <c r="AA404" s="0" t="s">
        <v>624</v>
      </c>
      <c r="AB404" s="0" t="s">
        <v>580</v>
      </c>
      <c r="AC404" s="254" t="n">
        <v>-500000</v>
      </c>
      <c r="AD404" s="254" t="n">
        <v>-35401.2014237187</v>
      </c>
      <c r="AE404" s="0" t="n">
        <v>0</v>
      </c>
      <c r="AF404" s="0" t="n">
        <v>0</v>
      </c>
      <c r="AG404" s="0" t="n">
        <v>0</v>
      </c>
      <c r="AH404" s="254" t="n">
        <v>8178.00160513603</v>
      </c>
      <c r="AI404" s="0" t="n">
        <v>226</v>
      </c>
      <c r="AJ404" s="0" t="s">
        <v>630</v>
      </c>
      <c r="AK404" s="0" t="n">
        <v>0</v>
      </c>
      <c r="AL404" s="0" t="n">
        <v>0</v>
      </c>
      <c r="AM404" s="0" t="n">
        <v>0</v>
      </c>
    </row>
    <row r="405" customFormat="false" ht="12.75" hidden="false" customHeight="false" outlineLevel="0" collapsed="false">
      <c r="A405" s="0" t="s">
        <v>631</v>
      </c>
      <c r="B405" s="0" t="s">
        <v>344</v>
      </c>
      <c r="C405" s="0" t="s">
        <v>622</v>
      </c>
      <c r="D405" s="0" t="s">
        <v>623</v>
      </c>
      <c r="E405" s="0" t="s">
        <v>131</v>
      </c>
      <c r="F405" s="0" t="s">
        <v>198</v>
      </c>
      <c r="G405" s="0" t="s">
        <v>628</v>
      </c>
      <c r="H405" s="0" t="s">
        <v>625</v>
      </c>
      <c r="I405" s="0" t="s">
        <v>626</v>
      </c>
      <c r="J405" s="0" t="s">
        <v>627</v>
      </c>
      <c r="K405" s="475" t="n">
        <v>36831</v>
      </c>
      <c r="L405" s="254" t="n">
        <v>-434930.843240284</v>
      </c>
      <c r="M405" s="475" t="n">
        <v>36829</v>
      </c>
      <c r="N405" s="0" t="s">
        <v>132</v>
      </c>
      <c r="O405" s="0" t="n">
        <v>1.6</v>
      </c>
      <c r="P405" s="0" t="n">
        <v>0</v>
      </c>
      <c r="Q405" s="0" t="n">
        <v>0</v>
      </c>
      <c r="R405" s="0" t="n">
        <v>0</v>
      </c>
      <c r="S405" s="0" t="n">
        <v>0</v>
      </c>
      <c r="T405" s="0" t="s">
        <v>624</v>
      </c>
      <c r="U405" s="0" t="s">
        <v>149</v>
      </c>
      <c r="V405" s="0" t="s">
        <v>624</v>
      </c>
      <c r="W405" s="0" t="s">
        <v>569</v>
      </c>
      <c r="X405" s="0" t="s">
        <v>624</v>
      </c>
      <c r="Y405" s="0" t="s">
        <v>627</v>
      </c>
      <c r="Z405" s="0" t="s">
        <v>629</v>
      </c>
      <c r="AA405" s="0" t="s">
        <v>624</v>
      </c>
      <c r="AB405" s="0" t="s">
        <v>580</v>
      </c>
      <c r="AC405" s="254" t="n">
        <v>-500000</v>
      </c>
      <c r="AD405" s="254" t="n">
        <v>-11503.9442741136</v>
      </c>
      <c r="AE405" s="0" t="n">
        <v>0</v>
      </c>
      <c r="AF405" s="0" t="n">
        <v>0</v>
      </c>
      <c r="AG405" s="0" t="n">
        <v>0</v>
      </c>
      <c r="AH405" s="254" t="n">
        <v>16276.3799892231</v>
      </c>
      <c r="AI405" s="0" t="n">
        <v>226</v>
      </c>
      <c r="AJ405" s="0" t="s">
        <v>630</v>
      </c>
      <c r="AK405" s="0" t="n">
        <v>0</v>
      </c>
      <c r="AL405" s="0" t="n">
        <v>0</v>
      </c>
      <c r="AM405" s="0" t="n">
        <v>0</v>
      </c>
    </row>
    <row r="406" customFormat="false" ht="12.75" hidden="false" customHeight="false" outlineLevel="0" collapsed="false">
      <c r="A406" s="0" t="s">
        <v>631</v>
      </c>
      <c r="B406" s="0" t="s">
        <v>346</v>
      </c>
      <c r="C406" s="0" t="s">
        <v>622</v>
      </c>
      <c r="D406" s="0" t="s">
        <v>623</v>
      </c>
      <c r="E406" s="0" t="s">
        <v>131</v>
      </c>
      <c r="F406" s="0" t="s">
        <v>345</v>
      </c>
      <c r="G406" s="0" t="s">
        <v>628</v>
      </c>
      <c r="H406" s="0" t="s">
        <v>625</v>
      </c>
      <c r="I406" s="0" t="s">
        <v>626</v>
      </c>
      <c r="J406" s="0" t="s">
        <v>627</v>
      </c>
      <c r="K406" s="475" t="n">
        <v>36800</v>
      </c>
      <c r="L406" s="254" t="n">
        <v>-309226.433073939</v>
      </c>
      <c r="M406" s="475" t="n">
        <v>36797</v>
      </c>
      <c r="N406" s="0" t="s">
        <v>132</v>
      </c>
      <c r="O406" s="0" t="n">
        <v>0.55</v>
      </c>
      <c r="P406" s="0" t="n">
        <v>0</v>
      </c>
      <c r="Q406" s="0" t="n">
        <v>0</v>
      </c>
      <c r="R406" s="0" t="n">
        <v>0</v>
      </c>
      <c r="S406" s="0" t="n">
        <v>0</v>
      </c>
      <c r="T406" s="0" t="s">
        <v>624</v>
      </c>
      <c r="U406" s="0" t="s">
        <v>149</v>
      </c>
      <c r="V406" s="0" t="s">
        <v>624</v>
      </c>
      <c r="W406" s="0" t="s">
        <v>569</v>
      </c>
      <c r="X406" s="0" t="s">
        <v>624</v>
      </c>
      <c r="Y406" s="0" t="s">
        <v>627</v>
      </c>
      <c r="Z406" s="0" t="s">
        <v>629</v>
      </c>
      <c r="AA406" s="0" t="s">
        <v>624</v>
      </c>
      <c r="AB406" s="0" t="s">
        <v>580</v>
      </c>
      <c r="AC406" s="254" t="n">
        <v>-2170000</v>
      </c>
      <c r="AD406" s="254" t="n">
        <v>-7234.69569033873</v>
      </c>
      <c r="AE406" s="0" t="n">
        <v>0</v>
      </c>
      <c r="AF406" s="0" t="n">
        <v>0</v>
      </c>
      <c r="AG406" s="0" t="n">
        <v>0</v>
      </c>
      <c r="AH406" s="254" t="n">
        <v>-418.731343401538</v>
      </c>
      <c r="AI406" s="0" t="n">
        <v>226</v>
      </c>
      <c r="AJ406" s="0" t="s">
        <v>630</v>
      </c>
      <c r="AK406" s="0" t="n">
        <v>0</v>
      </c>
      <c r="AL406" s="0" t="n">
        <v>0</v>
      </c>
      <c r="AM406" s="0" t="n">
        <v>0</v>
      </c>
    </row>
    <row r="407" customFormat="false" ht="12.75" hidden="false" customHeight="false" outlineLevel="0" collapsed="false">
      <c r="A407" s="0" t="s">
        <v>631</v>
      </c>
      <c r="B407" s="0" t="s">
        <v>347</v>
      </c>
      <c r="C407" s="0" t="s">
        <v>622</v>
      </c>
      <c r="D407" s="0" t="s">
        <v>623</v>
      </c>
      <c r="E407" s="0" t="s">
        <v>131</v>
      </c>
      <c r="F407" s="0" t="s">
        <v>345</v>
      </c>
      <c r="G407" s="0" t="s">
        <v>628</v>
      </c>
      <c r="H407" s="0" t="s">
        <v>625</v>
      </c>
      <c r="I407" s="0" t="s">
        <v>626</v>
      </c>
      <c r="J407" s="0" t="s">
        <v>627</v>
      </c>
      <c r="K407" s="475" t="n">
        <v>36800</v>
      </c>
      <c r="L407" s="254" t="n">
        <v>-132525.614174545</v>
      </c>
      <c r="M407" s="475" t="n">
        <v>36797</v>
      </c>
      <c r="N407" s="0" t="s">
        <v>132</v>
      </c>
      <c r="O407" s="0" t="n">
        <v>0.55</v>
      </c>
      <c r="P407" s="0" t="n">
        <v>0</v>
      </c>
      <c r="Q407" s="0" t="n">
        <v>0</v>
      </c>
      <c r="R407" s="0" t="n">
        <v>0</v>
      </c>
      <c r="S407" s="0" t="n">
        <v>0</v>
      </c>
      <c r="T407" s="0" t="s">
        <v>624</v>
      </c>
      <c r="U407" s="0" t="s">
        <v>149</v>
      </c>
      <c r="V407" s="0" t="s">
        <v>624</v>
      </c>
      <c r="W407" s="0" t="s">
        <v>569</v>
      </c>
      <c r="X407" s="0" t="s">
        <v>624</v>
      </c>
      <c r="Y407" s="0" t="s">
        <v>627</v>
      </c>
      <c r="Z407" s="0" t="s">
        <v>629</v>
      </c>
      <c r="AA407" s="0" t="s">
        <v>624</v>
      </c>
      <c r="AB407" s="0" t="s">
        <v>580</v>
      </c>
      <c r="AC407" s="254" t="n">
        <v>-930000</v>
      </c>
      <c r="AD407" s="254" t="n">
        <v>-3100.58386728796</v>
      </c>
      <c r="AE407" s="0" t="n">
        <v>0</v>
      </c>
      <c r="AF407" s="0" t="n">
        <v>0</v>
      </c>
      <c r="AG407" s="0" t="n">
        <v>0</v>
      </c>
      <c r="AH407" s="254" t="n">
        <v>-179.456290029251</v>
      </c>
      <c r="AI407" s="0" t="n">
        <v>226</v>
      </c>
      <c r="AJ407" s="0" t="s">
        <v>630</v>
      </c>
      <c r="AK407" s="0" t="n">
        <v>0</v>
      </c>
      <c r="AL407" s="0" t="n">
        <v>0</v>
      </c>
      <c r="AM407" s="0" t="n">
        <v>0</v>
      </c>
    </row>
    <row r="408" customFormat="false" ht="12.75" hidden="false" customHeight="false" outlineLevel="0" collapsed="false">
      <c r="A408" s="0" t="s">
        <v>631</v>
      </c>
      <c r="B408" s="0" t="s">
        <v>348</v>
      </c>
      <c r="C408" s="0" t="s">
        <v>622</v>
      </c>
      <c r="D408" s="0" t="s">
        <v>623</v>
      </c>
      <c r="E408" s="0" t="s">
        <v>131</v>
      </c>
      <c r="F408" s="0" t="s">
        <v>210</v>
      </c>
      <c r="G408" s="0" t="s">
        <v>628</v>
      </c>
      <c r="H408" s="0" t="s">
        <v>625</v>
      </c>
      <c r="I408" s="0" t="s">
        <v>626</v>
      </c>
      <c r="J408" s="0" t="s">
        <v>627</v>
      </c>
      <c r="K408" s="475" t="n">
        <v>36951</v>
      </c>
      <c r="L408" s="254" t="n">
        <v>-11963.2500377898</v>
      </c>
      <c r="M408" s="475" t="n">
        <v>36949</v>
      </c>
      <c r="N408" s="0" t="s">
        <v>132</v>
      </c>
      <c r="O408" s="0" t="n">
        <v>-0.3</v>
      </c>
      <c r="P408" s="0" t="n">
        <v>0</v>
      </c>
      <c r="Q408" s="0" t="n">
        <v>0</v>
      </c>
      <c r="R408" s="0" t="n">
        <v>0</v>
      </c>
      <c r="S408" s="0" t="n">
        <v>0</v>
      </c>
      <c r="T408" s="0" t="s">
        <v>624</v>
      </c>
      <c r="U408" s="0" t="s">
        <v>68</v>
      </c>
      <c r="V408" s="0" t="s">
        <v>624</v>
      </c>
      <c r="W408" s="0" t="s">
        <v>569</v>
      </c>
      <c r="X408" s="0" t="s">
        <v>624</v>
      </c>
      <c r="Y408" s="0" t="s">
        <v>627</v>
      </c>
      <c r="Z408" s="0" t="s">
        <v>629</v>
      </c>
      <c r="AA408" s="0" t="s">
        <v>624</v>
      </c>
      <c r="AB408" s="0" t="s">
        <v>580</v>
      </c>
      <c r="AC408" s="254" t="n">
        <v>-620000</v>
      </c>
      <c r="AD408" s="254" t="n">
        <v>-5428.57161405004</v>
      </c>
      <c r="AE408" s="0" t="n">
        <v>0</v>
      </c>
      <c r="AF408" s="0" t="n">
        <v>0</v>
      </c>
      <c r="AG408" s="0" t="n">
        <v>0</v>
      </c>
      <c r="AH408" s="254" t="n">
        <v>-561.917697721348</v>
      </c>
      <c r="AI408" s="0" t="n">
        <v>226</v>
      </c>
      <c r="AJ408" s="0" t="s">
        <v>630</v>
      </c>
      <c r="AK408" s="0" t="n">
        <v>0</v>
      </c>
      <c r="AL408" s="0" t="n">
        <v>0</v>
      </c>
      <c r="AM408" s="0" t="n">
        <v>0</v>
      </c>
    </row>
    <row r="409" customFormat="false" ht="12.75" hidden="false" customHeight="false" outlineLevel="0" collapsed="false">
      <c r="A409" s="0" t="s">
        <v>631</v>
      </c>
      <c r="B409" s="0" t="s">
        <v>348</v>
      </c>
      <c r="C409" s="0" t="s">
        <v>622</v>
      </c>
      <c r="D409" s="0" t="s">
        <v>623</v>
      </c>
      <c r="E409" s="0" t="s">
        <v>131</v>
      </c>
      <c r="F409" s="0" t="s">
        <v>210</v>
      </c>
      <c r="G409" s="0" t="s">
        <v>628</v>
      </c>
      <c r="H409" s="0" t="s">
        <v>625</v>
      </c>
      <c r="I409" s="0" t="s">
        <v>626</v>
      </c>
      <c r="J409" s="0" t="s">
        <v>627</v>
      </c>
      <c r="K409" s="475" t="n">
        <v>36923</v>
      </c>
      <c r="L409" s="254" t="n">
        <v>-13843.4340339551</v>
      </c>
      <c r="M409" s="475" t="n">
        <v>36921</v>
      </c>
      <c r="N409" s="0" t="s">
        <v>132</v>
      </c>
      <c r="O409" s="0" t="n">
        <v>-0.3</v>
      </c>
      <c r="P409" s="0" t="n">
        <v>0</v>
      </c>
      <c r="Q409" s="0" t="n">
        <v>0</v>
      </c>
      <c r="R409" s="0" t="n">
        <v>0</v>
      </c>
      <c r="S409" s="0" t="n">
        <v>0</v>
      </c>
      <c r="T409" s="0" t="s">
        <v>624</v>
      </c>
      <c r="U409" s="0" t="s">
        <v>68</v>
      </c>
      <c r="V409" s="0" t="s">
        <v>624</v>
      </c>
      <c r="W409" s="0" t="s">
        <v>569</v>
      </c>
      <c r="X409" s="0" t="s">
        <v>624</v>
      </c>
      <c r="Y409" s="0" t="s">
        <v>627</v>
      </c>
      <c r="Z409" s="0" t="s">
        <v>629</v>
      </c>
      <c r="AA409" s="0" t="s">
        <v>624</v>
      </c>
      <c r="AB409" s="0" t="s">
        <v>580</v>
      </c>
      <c r="AC409" s="254" t="n">
        <v>-560000</v>
      </c>
      <c r="AD409" s="254" t="n">
        <v>-5500.48814725703</v>
      </c>
      <c r="AE409" s="0" t="n">
        <v>0</v>
      </c>
      <c r="AF409" s="0" t="n">
        <v>0</v>
      </c>
      <c r="AG409" s="0" t="n">
        <v>0</v>
      </c>
      <c r="AH409" s="254" t="n">
        <v>-562.141179178483</v>
      </c>
      <c r="AI409" s="0" t="n">
        <v>226</v>
      </c>
      <c r="AJ409" s="0" t="s">
        <v>630</v>
      </c>
      <c r="AK409" s="0" t="n">
        <v>0</v>
      </c>
      <c r="AL409" s="0" t="n">
        <v>0</v>
      </c>
      <c r="AM409" s="0" t="n">
        <v>0</v>
      </c>
    </row>
    <row r="410" customFormat="false" ht="12.75" hidden="false" customHeight="false" outlineLevel="0" collapsed="false">
      <c r="A410" s="0" t="s">
        <v>631</v>
      </c>
      <c r="B410" s="0" t="s">
        <v>348</v>
      </c>
      <c r="C410" s="0" t="s">
        <v>622</v>
      </c>
      <c r="D410" s="0" t="s">
        <v>623</v>
      </c>
      <c r="E410" s="0" t="s">
        <v>131</v>
      </c>
      <c r="F410" s="0" t="s">
        <v>210</v>
      </c>
      <c r="G410" s="0" t="s">
        <v>628</v>
      </c>
      <c r="H410" s="0" t="s">
        <v>625</v>
      </c>
      <c r="I410" s="0" t="s">
        <v>626</v>
      </c>
      <c r="J410" s="0" t="s">
        <v>627</v>
      </c>
      <c r="K410" s="475" t="n">
        <v>36892</v>
      </c>
      <c r="L410" s="254" t="n">
        <v>-15624.1568485408</v>
      </c>
      <c r="M410" s="475" t="n">
        <v>36888</v>
      </c>
      <c r="N410" s="0" t="s">
        <v>132</v>
      </c>
      <c r="O410" s="0" t="n">
        <v>-0.3</v>
      </c>
      <c r="P410" s="0" t="n">
        <v>0</v>
      </c>
      <c r="Q410" s="0" t="n">
        <v>0</v>
      </c>
      <c r="R410" s="0" t="n">
        <v>0</v>
      </c>
      <c r="S410" s="0" t="n">
        <v>0</v>
      </c>
      <c r="T410" s="0" t="s">
        <v>624</v>
      </c>
      <c r="U410" s="0" t="s">
        <v>68</v>
      </c>
      <c r="V410" s="0" t="s">
        <v>624</v>
      </c>
      <c r="W410" s="0" t="s">
        <v>569</v>
      </c>
      <c r="X410" s="0" t="s">
        <v>624</v>
      </c>
      <c r="Y410" s="0" t="s">
        <v>627</v>
      </c>
      <c r="Z410" s="0" t="s">
        <v>629</v>
      </c>
      <c r="AA410" s="0" t="s">
        <v>624</v>
      </c>
      <c r="AB410" s="0" t="s">
        <v>580</v>
      </c>
      <c r="AC410" s="254" t="n">
        <v>-620000</v>
      </c>
      <c r="AD410" s="254" t="n">
        <v>-5733.934601427</v>
      </c>
      <c r="AE410" s="0" t="n">
        <v>0</v>
      </c>
      <c r="AF410" s="0" t="n">
        <v>0</v>
      </c>
      <c r="AG410" s="0" t="n">
        <v>0</v>
      </c>
      <c r="AH410" s="254" t="n">
        <v>-625.599760855468</v>
      </c>
      <c r="AI410" s="0" t="n">
        <v>226</v>
      </c>
      <c r="AJ410" s="0" t="s">
        <v>630</v>
      </c>
      <c r="AK410" s="0" t="n">
        <v>0</v>
      </c>
      <c r="AL410" s="0" t="n">
        <v>0</v>
      </c>
      <c r="AM410" s="0" t="n">
        <v>0</v>
      </c>
    </row>
    <row r="411" customFormat="false" ht="12.75" hidden="false" customHeight="false" outlineLevel="0" collapsed="false">
      <c r="A411" s="0" t="s">
        <v>631</v>
      </c>
      <c r="B411" s="0" t="s">
        <v>348</v>
      </c>
      <c r="C411" s="0" t="s">
        <v>622</v>
      </c>
      <c r="D411" s="0" t="s">
        <v>623</v>
      </c>
      <c r="E411" s="0" t="s">
        <v>131</v>
      </c>
      <c r="F411" s="0" t="s">
        <v>210</v>
      </c>
      <c r="G411" s="0" t="s">
        <v>628</v>
      </c>
      <c r="H411" s="0" t="s">
        <v>625</v>
      </c>
      <c r="I411" s="0" t="s">
        <v>626</v>
      </c>
      <c r="J411" s="0" t="s">
        <v>627</v>
      </c>
      <c r="K411" s="475" t="n">
        <v>36861</v>
      </c>
      <c r="L411" s="254" t="n">
        <v>-10486.9643957097</v>
      </c>
      <c r="M411" s="475" t="n">
        <v>36859</v>
      </c>
      <c r="N411" s="0" t="s">
        <v>132</v>
      </c>
      <c r="O411" s="0" t="n">
        <v>-0.3</v>
      </c>
      <c r="P411" s="0" t="n">
        <v>0</v>
      </c>
      <c r="Q411" s="0" t="n">
        <v>0</v>
      </c>
      <c r="R411" s="0" t="n">
        <v>0</v>
      </c>
      <c r="S411" s="0" t="n">
        <v>0</v>
      </c>
      <c r="T411" s="0" t="s">
        <v>624</v>
      </c>
      <c r="U411" s="0" t="s">
        <v>68</v>
      </c>
      <c r="V411" s="0" t="s">
        <v>624</v>
      </c>
      <c r="W411" s="0" t="s">
        <v>569</v>
      </c>
      <c r="X411" s="0" t="s">
        <v>624</v>
      </c>
      <c r="Y411" s="0" t="s">
        <v>627</v>
      </c>
      <c r="Z411" s="0" t="s">
        <v>629</v>
      </c>
      <c r="AA411" s="0" t="s">
        <v>624</v>
      </c>
      <c r="AB411" s="0" t="s">
        <v>580</v>
      </c>
      <c r="AC411" s="254" t="n">
        <v>-620000</v>
      </c>
      <c r="AD411" s="254" t="n">
        <v>-4428.88933603754</v>
      </c>
      <c r="AE411" s="0" t="n">
        <v>0</v>
      </c>
      <c r="AF411" s="0" t="n">
        <v>0</v>
      </c>
      <c r="AG411" s="0" t="n">
        <v>0</v>
      </c>
      <c r="AH411" s="254" t="n">
        <v>-508.682900167925</v>
      </c>
      <c r="AI411" s="0" t="n">
        <v>226</v>
      </c>
      <c r="AJ411" s="0" t="s">
        <v>630</v>
      </c>
      <c r="AK411" s="0" t="n">
        <v>0</v>
      </c>
      <c r="AL411" s="0" t="n">
        <v>0</v>
      </c>
      <c r="AM411" s="0" t="n">
        <v>0</v>
      </c>
    </row>
    <row r="412" customFormat="false" ht="12.75" hidden="false" customHeight="false" outlineLevel="0" collapsed="false">
      <c r="A412" s="0" t="s">
        <v>631</v>
      </c>
      <c r="B412" s="0" t="s">
        <v>348</v>
      </c>
      <c r="C412" s="0" t="s">
        <v>622</v>
      </c>
      <c r="D412" s="0" t="s">
        <v>623</v>
      </c>
      <c r="E412" s="0" t="s">
        <v>131</v>
      </c>
      <c r="F412" s="0" t="s">
        <v>210</v>
      </c>
      <c r="G412" s="0" t="s">
        <v>628</v>
      </c>
      <c r="H412" s="0" t="s">
        <v>625</v>
      </c>
      <c r="I412" s="0" t="s">
        <v>626</v>
      </c>
      <c r="J412" s="0" t="s">
        <v>627</v>
      </c>
      <c r="K412" s="475" t="n">
        <v>36831</v>
      </c>
      <c r="L412" s="254" t="n">
        <v>-4748.99608570411</v>
      </c>
      <c r="M412" s="475" t="n">
        <v>36829</v>
      </c>
      <c r="N412" s="0" t="s">
        <v>132</v>
      </c>
      <c r="O412" s="0" t="n">
        <v>-0.3</v>
      </c>
      <c r="P412" s="0" t="n">
        <v>0</v>
      </c>
      <c r="Q412" s="0" t="n">
        <v>0</v>
      </c>
      <c r="R412" s="0" t="n">
        <v>0</v>
      </c>
      <c r="S412" s="0" t="n">
        <v>0</v>
      </c>
      <c r="T412" s="0" t="s">
        <v>624</v>
      </c>
      <c r="U412" s="0" t="s">
        <v>68</v>
      </c>
      <c r="V412" s="0" t="s">
        <v>624</v>
      </c>
      <c r="W412" s="0" t="s">
        <v>569</v>
      </c>
      <c r="X412" s="0" t="s">
        <v>624</v>
      </c>
      <c r="Y412" s="0" t="s">
        <v>627</v>
      </c>
      <c r="Z412" s="0" t="s">
        <v>629</v>
      </c>
      <c r="AA412" s="0" t="s">
        <v>624</v>
      </c>
      <c r="AB412" s="0" t="s">
        <v>580</v>
      </c>
      <c r="AC412" s="254" t="n">
        <v>-600000</v>
      </c>
      <c r="AD412" s="254" t="n">
        <v>-2622.05052156077</v>
      </c>
      <c r="AE412" s="0" t="n">
        <v>0</v>
      </c>
      <c r="AF412" s="0" t="n">
        <v>0</v>
      </c>
      <c r="AG412" s="0" t="n">
        <v>0</v>
      </c>
      <c r="AH412" s="254" t="n">
        <v>-322.599695062495</v>
      </c>
      <c r="AI412" s="0" t="n">
        <v>226</v>
      </c>
      <c r="AJ412" s="0" t="s">
        <v>630</v>
      </c>
      <c r="AK412" s="0" t="n">
        <v>0</v>
      </c>
      <c r="AL412" s="0" t="n">
        <v>0</v>
      </c>
      <c r="AM412" s="0" t="n">
        <v>0</v>
      </c>
    </row>
    <row r="413" customFormat="false" ht="12.75" hidden="false" customHeight="false" outlineLevel="0" collapsed="false">
      <c r="A413" s="0" t="s">
        <v>631</v>
      </c>
      <c r="B413" s="0" t="s">
        <v>349</v>
      </c>
      <c r="C413" s="0" t="s">
        <v>622</v>
      </c>
      <c r="D413" s="0" t="s">
        <v>623</v>
      </c>
      <c r="E413" s="0" t="s">
        <v>131</v>
      </c>
      <c r="F413" s="0" t="s">
        <v>196</v>
      </c>
      <c r="G413" s="0" t="s">
        <v>628</v>
      </c>
      <c r="H413" s="0" t="s">
        <v>625</v>
      </c>
      <c r="I413" s="0" t="s">
        <v>626</v>
      </c>
      <c r="J413" s="0" t="s">
        <v>627</v>
      </c>
      <c r="K413" s="475" t="n">
        <v>36951</v>
      </c>
      <c r="L413" s="254" t="n">
        <v>-5981.62501889489</v>
      </c>
      <c r="M413" s="475" t="n">
        <v>36949</v>
      </c>
      <c r="N413" s="0" t="s">
        <v>132</v>
      </c>
      <c r="O413" s="0" t="n">
        <v>-0.3</v>
      </c>
      <c r="P413" s="0" t="n">
        <v>0</v>
      </c>
      <c r="Q413" s="0" t="n">
        <v>0</v>
      </c>
      <c r="R413" s="0" t="n">
        <v>0</v>
      </c>
      <c r="S413" s="0" t="n">
        <v>0</v>
      </c>
      <c r="T413" s="0" t="s">
        <v>624</v>
      </c>
      <c r="U413" s="0" t="s">
        <v>68</v>
      </c>
      <c r="V413" s="0" t="s">
        <v>624</v>
      </c>
      <c r="W413" s="0" t="s">
        <v>569</v>
      </c>
      <c r="X413" s="0" t="s">
        <v>624</v>
      </c>
      <c r="Y413" s="0" t="s">
        <v>627</v>
      </c>
      <c r="Z413" s="0" t="s">
        <v>629</v>
      </c>
      <c r="AA413" s="0" t="s">
        <v>624</v>
      </c>
      <c r="AB413" s="0" t="s">
        <v>580</v>
      </c>
      <c r="AC413" s="254" t="n">
        <v>-310000</v>
      </c>
      <c r="AD413" s="254" t="n">
        <v>-2714.28580702502</v>
      </c>
      <c r="AE413" s="0" t="n">
        <v>0</v>
      </c>
      <c r="AF413" s="0" t="n">
        <v>0</v>
      </c>
      <c r="AG413" s="0" t="n">
        <v>0</v>
      </c>
      <c r="AH413" s="254" t="n">
        <v>-280.958848860674</v>
      </c>
      <c r="AI413" s="0" t="n">
        <v>226</v>
      </c>
      <c r="AJ413" s="0" t="s">
        <v>630</v>
      </c>
      <c r="AK413" s="0" t="n">
        <v>0</v>
      </c>
      <c r="AL413" s="0" t="n">
        <v>0</v>
      </c>
      <c r="AM413" s="0" t="n">
        <v>0</v>
      </c>
    </row>
    <row r="414" customFormat="false" ht="12.75" hidden="false" customHeight="false" outlineLevel="0" collapsed="false">
      <c r="A414" s="0" t="s">
        <v>631</v>
      </c>
      <c r="B414" s="0" t="s">
        <v>349</v>
      </c>
      <c r="C414" s="0" t="s">
        <v>622</v>
      </c>
      <c r="D414" s="0" t="s">
        <v>623</v>
      </c>
      <c r="E414" s="0" t="s">
        <v>131</v>
      </c>
      <c r="F414" s="0" t="s">
        <v>196</v>
      </c>
      <c r="G414" s="0" t="s">
        <v>628</v>
      </c>
      <c r="H414" s="0" t="s">
        <v>625</v>
      </c>
      <c r="I414" s="0" t="s">
        <v>626</v>
      </c>
      <c r="J414" s="0" t="s">
        <v>627</v>
      </c>
      <c r="K414" s="475" t="n">
        <v>36923</v>
      </c>
      <c r="L414" s="254" t="n">
        <v>-6921.71701697757</v>
      </c>
      <c r="M414" s="475" t="n">
        <v>36921</v>
      </c>
      <c r="N414" s="0" t="s">
        <v>132</v>
      </c>
      <c r="O414" s="0" t="n">
        <v>-0.3</v>
      </c>
      <c r="P414" s="0" t="n">
        <v>0</v>
      </c>
      <c r="Q414" s="0" t="n">
        <v>0</v>
      </c>
      <c r="R414" s="0" t="n">
        <v>0</v>
      </c>
      <c r="S414" s="0" t="n">
        <v>0</v>
      </c>
      <c r="T414" s="0" t="s">
        <v>624</v>
      </c>
      <c r="U414" s="0" t="s">
        <v>68</v>
      </c>
      <c r="V414" s="0" t="s">
        <v>624</v>
      </c>
      <c r="W414" s="0" t="s">
        <v>569</v>
      </c>
      <c r="X414" s="0" t="s">
        <v>624</v>
      </c>
      <c r="Y414" s="0" t="s">
        <v>627</v>
      </c>
      <c r="Z414" s="0" t="s">
        <v>629</v>
      </c>
      <c r="AA414" s="0" t="s">
        <v>624</v>
      </c>
      <c r="AB414" s="0" t="s">
        <v>580</v>
      </c>
      <c r="AC414" s="254" t="n">
        <v>-280000</v>
      </c>
      <c r="AD414" s="254" t="n">
        <v>-2750.24407362851</v>
      </c>
      <c r="AE414" s="0" t="n">
        <v>0</v>
      </c>
      <c r="AF414" s="0" t="n">
        <v>0</v>
      </c>
      <c r="AG414" s="0" t="n">
        <v>0</v>
      </c>
      <c r="AH414" s="254" t="n">
        <v>-281.070589589242</v>
      </c>
      <c r="AI414" s="0" t="n">
        <v>226</v>
      </c>
      <c r="AJ414" s="0" t="s">
        <v>630</v>
      </c>
      <c r="AK414" s="0" t="n">
        <v>0</v>
      </c>
      <c r="AL414" s="0" t="n">
        <v>0</v>
      </c>
      <c r="AM414" s="0" t="n">
        <v>0</v>
      </c>
    </row>
    <row r="415" customFormat="false" ht="12.75" hidden="false" customHeight="false" outlineLevel="0" collapsed="false">
      <c r="A415" s="0" t="s">
        <v>631</v>
      </c>
      <c r="B415" s="0" t="s">
        <v>349</v>
      </c>
      <c r="C415" s="0" t="s">
        <v>622</v>
      </c>
      <c r="D415" s="0" t="s">
        <v>623</v>
      </c>
      <c r="E415" s="0" t="s">
        <v>131</v>
      </c>
      <c r="F415" s="0" t="s">
        <v>196</v>
      </c>
      <c r="G415" s="0" t="s">
        <v>628</v>
      </c>
      <c r="H415" s="0" t="s">
        <v>625</v>
      </c>
      <c r="I415" s="0" t="s">
        <v>626</v>
      </c>
      <c r="J415" s="0" t="s">
        <v>627</v>
      </c>
      <c r="K415" s="475" t="n">
        <v>36892</v>
      </c>
      <c r="L415" s="254" t="n">
        <v>-7812.07842427039</v>
      </c>
      <c r="M415" s="475" t="n">
        <v>36888</v>
      </c>
      <c r="N415" s="0" t="s">
        <v>132</v>
      </c>
      <c r="O415" s="0" t="n">
        <v>-0.3</v>
      </c>
      <c r="P415" s="0" t="n">
        <v>0</v>
      </c>
      <c r="Q415" s="0" t="n">
        <v>0</v>
      </c>
      <c r="R415" s="0" t="n">
        <v>0</v>
      </c>
      <c r="S415" s="0" t="n">
        <v>0</v>
      </c>
      <c r="T415" s="0" t="s">
        <v>624</v>
      </c>
      <c r="U415" s="0" t="s">
        <v>68</v>
      </c>
      <c r="V415" s="0" t="s">
        <v>624</v>
      </c>
      <c r="W415" s="0" t="s">
        <v>569</v>
      </c>
      <c r="X415" s="0" t="s">
        <v>624</v>
      </c>
      <c r="Y415" s="0" t="s">
        <v>627</v>
      </c>
      <c r="Z415" s="0" t="s">
        <v>629</v>
      </c>
      <c r="AA415" s="0" t="s">
        <v>624</v>
      </c>
      <c r="AB415" s="0" t="s">
        <v>580</v>
      </c>
      <c r="AC415" s="254" t="n">
        <v>-310000</v>
      </c>
      <c r="AD415" s="254" t="n">
        <v>-2866.9673007135</v>
      </c>
      <c r="AE415" s="0" t="n">
        <v>0</v>
      </c>
      <c r="AF415" s="0" t="n">
        <v>0</v>
      </c>
      <c r="AG415" s="0" t="n">
        <v>0</v>
      </c>
      <c r="AH415" s="254" t="n">
        <v>-312.799880427734</v>
      </c>
      <c r="AI415" s="0" t="n">
        <v>226</v>
      </c>
      <c r="AJ415" s="0" t="s">
        <v>630</v>
      </c>
      <c r="AK415" s="0" t="n">
        <v>0</v>
      </c>
      <c r="AL415" s="0" t="n">
        <v>0</v>
      </c>
      <c r="AM415" s="0" t="n">
        <v>0</v>
      </c>
    </row>
    <row r="416" customFormat="false" ht="12.75" hidden="false" customHeight="false" outlineLevel="0" collapsed="false">
      <c r="A416" s="0" t="s">
        <v>631</v>
      </c>
      <c r="B416" s="0" t="s">
        <v>349</v>
      </c>
      <c r="C416" s="0" t="s">
        <v>622</v>
      </c>
      <c r="D416" s="0" t="s">
        <v>623</v>
      </c>
      <c r="E416" s="0" t="s">
        <v>131</v>
      </c>
      <c r="F416" s="0" t="s">
        <v>196</v>
      </c>
      <c r="G416" s="0" t="s">
        <v>628</v>
      </c>
      <c r="H416" s="0" t="s">
        <v>625</v>
      </c>
      <c r="I416" s="0" t="s">
        <v>626</v>
      </c>
      <c r="J416" s="0" t="s">
        <v>627</v>
      </c>
      <c r="K416" s="475" t="n">
        <v>36861</v>
      </c>
      <c r="L416" s="254" t="n">
        <v>-5243.48219785483</v>
      </c>
      <c r="M416" s="475" t="n">
        <v>36859</v>
      </c>
      <c r="N416" s="0" t="s">
        <v>132</v>
      </c>
      <c r="O416" s="0" t="n">
        <v>-0.3</v>
      </c>
      <c r="P416" s="0" t="n">
        <v>0</v>
      </c>
      <c r="Q416" s="0" t="n">
        <v>0</v>
      </c>
      <c r="R416" s="0" t="n">
        <v>0</v>
      </c>
      <c r="S416" s="0" t="n">
        <v>0</v>
      </c>
      <c r="T416" s="0" t="s">
        <v>624</v>
      </c>
      <c r="U416" s="0" t="s">
        <v>68</v>
      </c>
      <c r="V416" s="0" t="s">
        <v>624</v>
      </c>
      <c r="W416" s="0" t="s">
        <v>569</v>
      </c>
      <c r="X416" s="0" t="s">
        <v>624</v>
      </c>
      <c r="Y416" s="0" t="s">
        <v>627</v>
      </c>
      <c r="Z416" s="0" t="s">
        <v>629</v>
      </c>
      <c r="AA416" s="0" t="s">
        <v>624</v>
      </c>
      <c r="AB416" s="0" t="s">
        <v>580</v>
      </c>
      <c r="AC416" s="254" t="n">
        <v>-310000</v>
      </c>
      <c r="AD416" s="254" t="n">
        <v>-2214.44466801877</v>
      </c>
      <c r="AE416" s="0" t="n">
        <v>0</v>
      </c>
      <c r="AF416" s="0" t="n">
        <v>0</v>
      </c>
      <c r="AG416" s="0" t="n">
        <v>0</v>
      </c>
      <c r="AH416" s="254" t="n">
        <v>-254.341450083963</v>
      </c>
      <c r="AI416" s="0" t="n">
        <v>226</v>
      </c>
      <c r="AJ416" s="0" t="s">
        <v>630</v>
      </c>
      <c r="AK416" s="0" t="n">
        <v>0</v>
      </c>
      <c r="AL416" s="0" t="n">
        <v>0</v>
      </c>
      <c r="AM416" s="0" t="n">
        <v>0</v>
      </c>
    </row>
    <row r="417" customFormat="false" ht="12.75" hidden="false" customHeight="false" outlineLevel="0" collapsed="false">
      <c r="A417" s="0" t="s">
        <v>631</v>
      </c>
      <c r="B417" s="0" t="s">
        <v>349</v>
      </c>
      <c r="C417" s="0" t="s">
        <v>622</v>
      </c>
      <c r="D417" s="0" t="s">
        <v>623</v>
      </c>
      <c r="E417" s="0" t="s">
        <v>131</v>
      </c>
      <c r="F417" s="0" t="s">
        <v>196</v>
      </c>
      <c r="G417" s="0" t="s">
        <v>628</v>
      </c>
      <c r="H417" s="0" t="s">
        <v>625</v>
      </c>
      <c r="I417" s="0" t="s">
        <v>626</v>
      </c>
      <c r="J417" s="0" t="s">
        <v>627</v>
      </c>
      <c r="K417" s="475" t="n">
        <v>36831</v>
      </c>
      <c r="L417" s="254" t="n">
        <v>-2374.49804285206</v>
      </c>
      <c r="M417" s="475" t="n">
        <v>36829</v>
      </c>
      <c r="N417" s="0" t="s">
        <v>132</v>
      </c>
      <c r="O417" s="0" t="n">
        <v>-0.3</v>
      </c>
      <c r="P417" s="0" t="n">
        <v>0</v>
      </c>
      <c r="Q417" s="0" t="n">
        <v>0</v>
      </c>
      <c r="R417" s="0" t="n">
        <v>0</v>
      </c>
      <c r="S417" s="0" t="n">
        <v>0</v>
      </c>
      <c r="T417" s="0" t="s">
        <v>624</v>
      </c>
      <c r="U417" s="0" t="s">
        <v>68</v>
      </c>
      <c r="V417" s="0" t="s">
        <v>624</v>
      </c>
      <c r="W417" s="0" t="s">
        <v>569</v>
      </c>
      <c r="X417" s="0" t="s">
        <v>624</v>
      </c>
      <c r="Y417" s="0" t="s">
        <v>627</v>
      </c>
      <c r="Z417" s="0" t="s">
        <v>629</v>
      </c>
      <c r="AA417" s="0" t="s">
        <v>624</v>
      </c>
      <c r="AB417" s="0" t="s">
        <v>580</v>
      </c>
      <c r="AC417" s="254" t="n">
        <v>-300000</v>
      </c>
      <c r="AD417" s="254" t="n">
        <v>-1311.02526078039</v>
      </c>
      <c r="AE417" s="0" t="n">
        <v>0</v>
      </c>
      <c r="AF417" s="0" t="n">
        <v>0</v>
      </c>
      <c r="AG417" s="0" t="n">
        <v>0</v>
      </c>
      <c r="AH417" s="254" t="n">
        <v>-161.299847531247</v>
      </c>
      <c r="AI417" s="0" t="n">
        <v>226</v>
      </c>
      <c r="AJ417" s="0" t="s">
        <v>630</v>
      </c>
      <c r="AK417" s="0" t="n">
        <v>0</v>
      </c>
      <c r="AL417" s="0" t="n">
        <v>0</v>
      </c>
      <c r="AM417" s="0" t="n">
        <v>0</v>
      </c>
    </row>
    <row r="418" customFormat="false" ht="12.75" hidden="false" customHeight="false" outlineLevel="0" collapsed="false">
      <c r="A418" s="0" t="s">
        <v>631</v>
      </c>
      <c r="B418" s="0" t="s">
        <v>350</v>
      </c>
      <c r="C418" s="0" t="s">
        <v>622</v>
      </c>
      <c r="D418" s="0" t="s">
        <v>623</v>
      </c>
      <c r="E418" s="0" t="s">
        <v>131</v>
      </c>
      <c r="F418" s="0" t="s">
        <v>345</v>
      </c>
      <c r="G418" s="0" t="s">
        <v>628</v>
      </c>
      <c r="H418" s="0" t="s">
        <v>625</v>
      </c>
      <c r="I418" s="0" t="s">
        <v>626</v>
      </c>
      <c r="J418" s="0" t="s">
        <v>627</v>
      </c>
      <c r="K418" s="475" t="n">
        <v>36800</v>
      </c>
      <c r="L418" s="254" t="n">
        <v>-220876.023624242</v>
      </c>
      <c r="M418" s="475" t="n">
        <v>36797</v>
      </c>
      <c r="N418" s="0" t="s">
        <v>132</v>
      </c>
      <c r="O418" s="0" t="n">
        <v>0.55</v>
      </c>
      <c r="P418" s="0" t="n">
        <v>0</v>
      </c>
      <c r="Q418" s="0" t="n">
        <v>0</v>
      </c>
      <c r="R418" s="0" t="n">
        <v>0</v>
      </c>
      <c r="S418" s="0" t="n">
        <v>0</v>
      </c>
      <c r="T418" s="0" t="s">
        <v>624</v>
      </c>
      <c r="U418" s="0" t="s">
        <v>149</v>
      </c>
      <c r="V418" s="0" t="s">
        <v>624</v>
      </c>
      <c r="W418" s="0" t="s">
        <v>569</v>
      </c>
      <c r="X418" s="0" t="s">
        <v>624</v>
      </c>
      <c r="Y418" s="0" t="s">
        <v>627</v>
      </c>
      <c r="Z418" s="0" t="s">
        <v>629</v>
      </c>
      <c r="AA418" s="0" t="s">
        <v>624</v>
      </c>
      <c r="AB418" s="0" t="s">
        <v>580</v>
      </c>
      <c r="AC418" s="254" t="n">
        <v>-1550000</v>
      </c>
      <c r="AD418" s="254" t="n">
        <v>-5167.63977881335</v>
      </c>
      <c r="AE418" s="0" t="n">
        <v>0</v>
      </c>
      <c r="AF418" s="0" t="n">
        <v>0</v>
      </c>
      <c r="AG418" s="0" t="n">
        <v>0</v>
      </c>
      <c r="AH418" s="254" t="n">
        <v>-299.09381671538</v>
      </c>
      <c r="AI418" s="0" t="n">
        <v>226</v>
      </c>
      <c r="AJ418" s="0" t="s">
        <v>630</v>
      </c>
      <c r="AK418" s="0" t="n">
        <v>0</v>
      </c>
      <c r="AL418" s="0" t="n">
        <v>0</v>
      </c>
      <c r="AM418" s="0" t="n">
        <v>0</v>
      </c>
    </row>
    <row r="419" customFormat="false" ht="12.75" hidden="false" customHeight="false" outlineLevel="0" collapsed="false">
      <c r="A419" s="0" t="s">
        <v>631</v>
      </c>
      <c r="B419" s="0" t="s">
        <v>351</v>
      </c>
      <c r="C419" s="0" t="s">
        <v>622</v>
      </c>
      <c r="D419" s="0" t="s">
        <v>623</v>
      </c>
      <c r="E419" s="0" t="s">
        <v>131</v>
      </c>
      <c r="F419" s="0" t="s">
        <v>198</v>
      </c>
      <c r="G419" s="0" t="s">
        <v>628</v>
      </c>
      <c r="H419" s="0" t="s">
        <v>625</v>
      </c>
      <c r="I419" s="0" t="s">
        <v>626</v>
      </c>
      <c r="J419" s="0" t="s">
        <v>627</v>
      </c>
      <c r="K419" s="475" t="n">
        <v>36951</v>
      </c>
      <c r="L419" s="254" t="n">
        <v>92833.2657534454</v>
      </c>
      <c r="M419" s="475" t="n">
        <v>36949</v>
      </c>
      <c r="N419" s="0" t="s">
        <v>136</v>
      </c>
      <c r="O419" s="0" t="n">
        <v>2.3</v>
      </c>
      <c r="P419" s="0" t="n">
        <v>0</v>
      </c>
      <c r="Q419" s="0" t="n">
        <v>0</v>
      </c>
      <c r="R419" s="0" t="n">
        <v>0</v>
      </c>
      <c r="S419" s="0" t="n">
        <v>0</v>
      </c>
      <c r="T419" s="0" t="s">
        <v>624</v>
      </c>
      <c r="U419" s="0" t="s">
        <v>149</v>
      </c>
      <c r="V419" s="0" t="s">
        <v>624</v>
      </c>
      <c r="W419" s="0" t="s">
        <v>569</v>
      </c>
      <c r="X419" s="0" t="s">
        <v>624</v>
      </c>
      <c r="Y419" s="0" t="s">
        <v>627</v>
      </c>
      <c r="Z419" s="0" t="s">
        <v>629</v>
      </c>
      <c r="AA419" s="0" t="s">
        <v>624</v>
      </c>
      <c r="AB419" s="0" t="s">
        <v>580</v>
      </c>
      <c r="AC419" s="254" t="n">
        <v>500000</v>
      </c>
      <c r="AD419" s="254" t="n">
        <v>31360.0183179755</v>
      </c>
      <c r="AE419" s="0" t="n">
        <v>0</v>
      </c>
      <c r="AF419" s="0" t="n">
        <v>0</v>
      </c>
      <c r="AG419" s="0" t="n">
        <v>0</v>
      </c>
      <c r="AH419" s="254" t="n">
        <v>8899.72213042676</v>
      </c>
      <c r="AI419" s="0" t="n">
        <v>226</v>
      </c>
      <c r="AJ419" s="0" t="s">
        <v>630</v>
      </c>
      <c r="AK419" s="0" t="n">
        <v>0</v>
      </c>
      <c r="AL419" s="0" t="n">
        <v>0</v>
      </c>
      <c r="AM419" s="0" t="n">
        <v>0</v>
      </c>
    </row>
    <row r="420" customFormat="false" ht="12.75" hidden="false" customHeight="false" outlineLevel="0" collapsed="false">
      <c r="A420" s="0" t="s">
        <v>631</v>
      </c>
      <c r="B420" s="0" t="s">
        <v>351</v>
      </c>
      <c r="C420" s="0" t="s">
        <v>622</v>
      </c>
      <c r="D420" s="0" t="s">
        <v>623</v>
      </c>
      <c r="E420" s="0" t="s">
        <v>131</v>
      </c>
      <c r="F420" s="0" t="s">
        <v>198</v>
      </c>
      <c r="G420" s="0" t="s">
        <v>628</v>
      </c>
      <c r="H420" s="0" t="s">
        <v>625</v>
      </c>
      <c r="I420" s="0" t="s">
        <v>626</v>
      </c>
      <c r="J420" s="0" t="s">
        <v>627</v>
      </c>
      <c r="K420" s="475" t="n">
        <v>36923</v>
      </c>
      <c r="L420" s="254" t="n">
        <v>302046.498624199</v>
      </c>
      <c r="M420" s="475" t="n">
        <v>36921</v>
      </c>
      <c r="N420" s="0" t="s">
        <v>136</v>
      </c>
      <c r="O420" s="0" t="n">
        <v>2.3</v>
      </c>
      <c r="P420" s="0" t="n">
        <v>0</v>
      </c>
      <c r="Q420" s="0" t="n">
        <v>0</v>
      </c>
      <c r="R420" s="0" t="n">
        <v>0</v>
      </c>
      <c r="S420" s="0" t="n">
        <v>0</v>
      </c>
      <c r="T420" s="0" t="s">
        <v>624</v>
      </c>
      <c r="U420" s="0" t="s">
        <v>149</v>
      </c>
      <c r="V420" s="0" t="s">
        <v>624</v>
      </c>
      <c r="W420" s="0" t="s">
        <v>569</v>
      </c>
      <c r="X420" s="0" t="s">
        <v>624</v>
      </c>
      <c r="Y420" s="0" t="s">
        <v>627</v>
      </c>
      <c r="Z420" s="0" t="s">
        <v>629</v>
      </c>
      <c r="AA420" s="0" t="s">
        <v>624</v>
      </c>
      <c r="AB420" s="0" t="s">
        <v>580</v>
      </c>
      <c r="AC420" s="254" t="n">
        <v>500000</v>
      </c>
      <c r="AD420" s="254" t="n">
        <v>42341.408086504</v>
      </c>
      <c r="AE420" s="0" t="n">
        <v>0</v>
      </c>
      <c r="AF420" s="0" t="n">
        <v>0</v>
      </c>
      <c r="AG420" s="0" t="n">
        <v>0</v>
      </c>
      <c r="AH420" s="254" t="n">
        <v>19173.6349035173</v>
      </c>
      <c r="AI420" s="0" t="n">
        <v>226</v>
      </c>
      <c r="AJ420" s="0" t="s">
        <v>630</v>
      </c>
      <c r="AK420" s="0" t="n">
        <v>0</v>
      </c>
      <c r="AL420" s="0" t="n">
        <v>0</v>
      </c>
      <c r="AM420" s="0" t="n">
        <v>0</v>
      </c>
    </row>
    <row r="421" customFormat="false" ht="12.75" hidden="false" customHeight="false" outlineLevel="0" collapsed="false">
      <c r="A421" s="0" t="s">
        <v>631</v>
      </c>
      <c r="B421" s="0" t="s">
        <v>351</v>
      </c>
      <c r="C421" s="0" t="s">
        <v>622</v>
      </c>
      <c r="D421" s="0" t="s">
        <v>623</v>
      </c>
      <c r="E421" s="0" t="s">
        <v>131</v>
      </c>
      <c r="F421" s="0" t="s">
        <v>198</v>
      </c>
      <c r="G421" s="0" t="s">
        <v>628</v>
      </c>
      <c r="H421" s="0" t="s">
        <v>625</v>
      </c>
      <c r="I421" s="0" t="s">
        <v>626</v>
      </c>
      <c r="J421" s="0" t="s">
        <v>627</v>
      </c>
      <c r="K421" s="475" t="n">
        <v>36892</v>
      </c>
      <c r="L421" s="254" t="n">
        <v>301770.064329813</v>
      </c>
      <c r="M421" s="475" t="n">
        <v>36888</v>
      </c>
      <c r="N421" s="0" t="s">
        <v>136</v>
      </c>
      <c r="O421" s="0" t="n">
        <v>2.3</v>
      </c>
      <c r="P421" s="0" t="n">
        <v>0</v>
      </c>
      <c r="Q421" s="0" t="n">
        <v>0</v>
      </c>
      <c r="R421" s="0" t="n">
        <v>0</v>
      </c>
      <c r="S421" s="0" t="n">
        <v>0</v>
      </c>
      <c r="T421" s="0" t="s">
        <v>624</v>
      </c>
      <c r="U421" s="0" t="s">
        <v>149</v>
      </c>
      <c r="V421" s="0" t="s">
        <v>624</v>
      </c>
      <c r="W421" s="0" t="s">
        <v>569</v>
      </c>
      <c r="X421" s="0" t="s">
        <v>624</v>
      </c>
      <c r="Y421" s="0" t="s">
        <v>627</v>
      </c>
      <c r="Z421" s="0" t="s">
        <v>629</v>
      </c>
      <c r="AA421" s="0" t="s">
        <v>624</v>
      </c>
      <c r="AB421" s="0" t="s">
        <v>580</v>
      </c>
      <c r="AC421" s="254" t="n">
        <v>500000</v>
      </c>
      <c r="AD421" s="254" t="n">
        <v>38972.259944287</v>
      </c>
      <c r="AE421" s="0" t="n">
        <v>0</v>
      </c>
      <c r="AF421" s="0" t="n">
        <v>0</v>
      </c>
      <c r="AG421" s="0" t="n">
        <v>0</v>
      </c>
      <c r="AH421" s="254" t="n">
        <v>16969.9094300178</v>
      </c>
      <c r="AI421" s="0" t="n">
        <v>226</v>
      </c>
      <c r="AJ421" s="0" t="s">
        <v>630</v>
      </c>
      <c r="AK421" s="0" t="n">
        <v>0</v>
      </c>
      <c r="AL421" s="0" t="n">
        <v>0</v>
      </c>
      <c r="AM421" s="0" t="n">
        <v>0</v>
      </c>
    </row>
    <row r="422" customFormat="false" ht="12.75" hidden="false" customHeight="false" outlineLevel="0" collapsed="false">
      <c r="A422" s="0" t="s">
        <v>631</v>
      </c>
      <c r="B422" s="0" t="s">
        <v>351</v>
      </c>
      <c r="C422" s="0" t="s">
        <v>622</v>
      </c>
      <c r="D422" s="0" t="s">
        <v>623</v>
      </c>
      <c r="E422" s="0" t="s">
        <v>131</v>
      </c>
      <c r="F422" s="0" t="s">
        <v>198</v>
      </c>
      <c r="G422" s="0" t="s">
        <v>628</v>
      </c>
      <c r="H422" s="0" t="s">
        <v>625</v>
      </c>
      <c r="I422" s="0" t="s">
        <v>626</v>
      </c>
      <c r="J422" s="0" t="s">
        <v>627</v>
      </c>
      <c r="K422" s="475" t="n">
        <v>36861</v>
      </c>
      <c r="L422" s="254" t="n">
        <v>147649.374861499</v>
      </c>
      <c r="M422" s="475" t="n">
        <v>36859</v>
      </c>
      <c r="N422" s="0" t="s">
        <v>136</v>
      </c>
      <c r="O422" s="0" t="n">
        <v>2.3</v>
      </c>
      <c r="P422" s="0" t="n">
        <v>0</v>
      </c>
      <c r="Q422" s="0" t="n">
        <v>0</v>
      </c>
      <c r="R422" s="0" t="n">
        <v>0</v>
      </c>
      <c r="S422" s="0" t="n">
        <v>0</v>
      </c>
      <c r="T422" s="0" t="s">
        <v>624</v>
      </c>
      <c r="U422" s="0" t="s">
        <v>149</v>
      </c>
      <c r="V422" s="0" t="s">
        <v>624</v>
      </c>
      <c r="W422" s="0" t="s">
        <v>569</v>
      </c>
      <c r="X422" s="0" t="s">
        <v>624</v>
      </c>
      <c r="Y422" s="0" t="s">
        <v>627</v>
      </c>
      <c r="Z422" s="0" t="s">
        <v>629</v>
      </c>
      <c r="AA422" s="0" t="s">
        <v>624</v>
      </c>
      <c r="AB422" s="0" t="s">
        <v>580</v>
      </c>
      <c r="AC422" s="254" t="n">
        <v>500000</v>
      </c>
      <c r="AD422" s="254" t="n">
        <v>31125.4881004667</v>
      </c>
      <c r="AE422" s="0" t="n">
        <v>0</v>
      </c>
      <c r="AF422" s="0" t="n">
        <v>0</v>
      </c>
      <c r="AG422" s="0" t="n">
        <v>0</v>
      </c>
      <c r="AH422" s="254" t="n">
        <v>9500.69631180327</v>
      </c>
      <c r="AI422" s="0" t="n">
        <v>226</v>
      </c>
      <c r="AJ422" s="0" t="s">
        <v>630</v>
      </c>
      <c r="AK422" s="0" t="n">
        <v>0</v>
      </c>
      <c r="AL422" s="0" t="n">
        <v>0</v>
      </c>
      <c r="AM422" s="0" t="n">
        <v>0</v>
      </c>
    </row>
    <row r="423" customFormat="false" ht="12.75" hidden="false" customHeight="false" outlineLevel="0" collapsed="false">
      <c r="A423" s="0" t="s">
        <v>631</v>
      </c>
      <c r="B423" s="0" t="s">
        <v>351</v>
      </c>
      <c r="C423" s="0" t="s">
        <v>622</v>
      </c>
      <c r="D423" s="0" t="s">
        <v>623</v>
      </c>
      <c r="E423" s="0" t="s">
        <v>131</v>
      </c>
      <c r="F423" s="0" t="s">
        <v>198</v>
      </c>
      <c r="G423" s="0" t="s">
        <v>628</v>
      </c>
      <c r="H423" s="0" t="s">
        <v>625</v>
      </c>
      <c r="I423" s="0" t="s">
        <v>626</v>
      </c>
      <c r="J423" s="0" t="s">
        <v>627</v>
      </c>
      <c r="K423" s="475" t="n">
        <v>36831</v>
      </c>
      <c r="L423" s="254" t="n">
        <v>5115.89340475928</v>
      </c>
      <c r="M423" s="475" t="n">
        <v>36829</v>
      </c>
      <c r="N423" s="0" t="s">
        <v>136</v>
      </c>
      <c r="O423" s="0" t="n">
        <v>2.3</v>
      </c>
      <c r="P423" s="0" t="n">
        <v>0</v>
      </c>
      <c r="Q423" s="0" t="n">
        <v>0</v>
      </c>
      <c r="R423" s="0" t="n">
        <v>0</v>
      </c>
      <c r="S423" s="0" t="n">
        <v>0</v>
      </c>
      <c r="T423" s="0" t="s">
        <v>624</v>
      </c>
      <c r="U423" s="0" t="s">
        <v>149</v>
      </c>
      <c r="V423" s="0" t="s">
        <v>624</v>
      </c>
      <c r="W423" s="0" t="s">
        <v>569</v>
      </c>
      <c r="X423" s="0" t="s">
        <v>624</v>
      </c>
      <c r="Y423" s="0" t="s">
        <v>627</v>
      </c>
      <c r="Z423" s="0" t="s">
        <v>629</v>
      </c>
      <c r="AA423" s="0" t="s">
        <v>624</v>
      </c>
      <c r="AB423" s="0" t="s">
        <v>580</v>
      </c>
      <c r="AC423" s="254" t="n">
        <v>500000</v>
      </c>
      <c r="AD423" s="254" t="n">
        <v>3765.28873848871</v>
      </c>
      <c r="AE423" s="0" t="n">
        <v>0</v>
      </c>
      <c r="AF423" s="0" t="n">
        <v>0</v>
      </c>
      <c r="AG423" s="0" t="n">
        <v>0</v>
      </c>
      <c r="AH423" s="254" t="n">
        <v>943.647138091983</v>
      </c>
      <c r="AI423" s="0" t="n">
        <v>226</v>
      </c>
      <c r="AJ423" s="0" t="s">
        <v>630</v>
      </c>
      <c r="AK423" s="0" t="n">
        <v>0</v>
      </c>
      <c r="AL423" s="0" t="n">
        <v>0</v>
      </c>
      <c r="AM423" s="0" t="n">
        <v>0</v>
      </c>
    </row>
    <row r="424" customFormat="false" ht="12.75" hidden="false" customHeight="false" outlineLevel="0" collapsed="false">
      <c r="A424" s="0" t="s">
        <v>631</v>
      </c>
      <c r="B424" s="0" t="s">
        <v>352</v>
      </c>
      <c r="C424" s="0" t="s">
        <v>622</v>
      </c>
      <c r="D424" s="0" t="s">
        <v>623</v>
      </c>
      <c r="E424" s="0" t="s">
        <v>131</v>
      </c>
      <c r="F424" s="0" t="s">
        <v>244</v>
      </c>
      <c r="G424" s="0" t="s">
        <v>628</v>
      </c>
      <c r="H424" s="0" t="s">
        <v>625</v>
      </c>
      <c r="I424" s="0" t="s">
        <v>626</v>
      </c>
      <c r="J424" s="0" t="s">
        <v>627</v>
      </c>
      <c r="K424" s="475" t="n">
        <v>36951</v>
      </c>
      <c r="L424" s="254" t="n">
        <v>439193.574841963</v>
      </c>
      <c r="M424" s="475" t="n">
        <v>36949</v>
      </c>
      <c r="N424" s="0" t="s">
        <v>132</v>
      </c>
      <c r="O424" s="0" t="n">
        <v>0.95</v>
      </c>
      <c r="P424" s="0" t="n">
        <v>0</v>
      </c>
      <c r="Q424" s="0" t="n">
        <v>0</v>
      </c>
      <c r="R424" s="0" t="n">
        <v>0</v>
      </c>
      <c r="S424" s="0" t="n">
        <v>0</v>
      </c>
      <c r="T424" s="0" t="s">
        <v>624</v>
      </c>
      <c r="U424" s="0" t="s">
        <v>149</v>
      </c>
      <c r="V424" s="0" t="s">
        <v>624</v>
      </c>
      <c r="W424" s="0" t="s">
        <v>569</v>
      </c>
      <c r="X424" s="0" t="s">
        <v>624</v>
      </c>
      <c r="Y424" s="0" t="s">
        <v>627</v>
      </c>
      <c r="Z424" s="0" t="s">
        <v>629</v>
      </c>
      <c r="AA424" s="0" t="s">
        <v>624</v>
      </c>
      <c r="AB424" s="0" t="s">
        <v>580</v>
      </c>
      <c r="AC424" s="254" t="n">
        <v>1000000</v>
      </c>
      <c r="AD424" s="254" t="n">
        <v>88919.3778648612</v>
      </c>
      <c r="AE424" s="0" t="n">
        <v>0</v>
      </c>
      <c r="AF424" s="0" t="n">
        <v>0</v>
      </c>
      <c r="AG424" s="0" t="n">
        <v>0</v>
      </c>
      <c r="AH424" s="254" t="n">
        <v>-19838.1830838166</v>
      </c>
      <c r="AI424" s="0" t="n">
        <v>226</v>
      </c>
      <c r="AJ424" s="0" t="s">
        <v>630</v>
      </c>
      <c r="AK424" s="0" t="n">
        <v>0</v>
      </c>
      <c r="AL424" s="0" t="n">
        <v>0</v>
      </c>
      <c r="AM424" s="0" t="n">
        <v>0</v>
      </c>
    </row>
    <row r="425" customFormat="false" ht="12.75" hidden="false" customHeight="false" outlineLevel="0" collapsed="false">
      <c r="A425" s="0" t="s">
        <v>631</v>
      </c>
      <c r="B425" s="0" t="s">
        <v>352</v>
      </c>
      <c r="C425" s="0" t="s">
        <v>622</v>
      </c>
      <c r="D425" s="0" t="s">
        <v>623</v>
      </c>
      <c r="E425" s="0" t="s">
        <v>131</v>
      </c>
      <c r="F425" s="0" t="s">
        <v>244</v>
      </c>
      <c r="G425" s="0" t="s">
        <v>628</v>
      </c>
      <c r="H425" s="0" t="s">
        <v>625</v>
      </c>
      <c r="I425" s="0" t="s">
        <v>626</v>
      </c>
      <c r="J425" s="0" t="s">
        <v>627</v>
      </c>
      <c r="K425" s="475" t="n">
        <v>36923</v>
      </c>
      <c r="L425" s="254" t="n">
        <v>190761.07387738</v>
      </c>
      <c r="M425" s="475" t="n">
        <v>36921</v>
      </c>
      <c r="N425" s="0" t="s">
        <v>132</v>
      </c>
      <c r="O425" s="0" t="n">
        <v>0.95</v>
      </c>
      <c r="P425" s="0" t="n">
        <v>0</v>
      </c>
      <c r="Q425" s="0" t="n">
        <v>0</v>
      </c>
      <c r="R425" s="0" t="n">
        <v>0</v>
      </c>
      <c r="S425" s="0" t="n">
        <v>0</v>
      </c>
      <c r="T425" s="0" t="s">
        <v>624</v>
      </c>
      <c r="U425" s="0" t="s">
        <v>149</v>
      </c>
      <c r="V425" s="0" t="s">
        <v>624</v>
      </c>
      <c r="W425" s="0" t="s">
        <v>569</v>
      </c>
      <c r="X425" s="0" t="s">
        <v>624</v>
      </c>
      <c r="Y425" s="0" t="s">
        <v>627</v>
      </c>
      <c r="Z425" s="0" t="s">
        <v>629</v>
      </c>
      <c r="AA425" s="0" t="s">
        <v>624</v>
      </c>
      <c r="AB425" s="0" t="s">
        <v>580</v>
      </c>
      <c r="AC425" s="254" t="n">
        <v>1000000</v>
      </c>
      <c r="AD425" s="254" t="n">
        <v>68957.8119889388</v>
      </c>
      <c r="AE425" s="0" t="n">
        <v>0</v>
      </c>
      <c r="AF425" s="0" t="n">
        <v>0</v>
      </c>
      <c r="AG425" s="0" t="n">
        <v>0</v>
      </c>
      <c r="AH425" s="254" t="n">
        <v>-9846.62615787357</v>
      </c>
      <c r="AI425" s="0" t="n">
        <v>226</v>
      </c>
      <c r="AJ425" s="0" t="s">
        <v>630</v>
      </c>
      <c r="AK425" s="0" t="n">
        <v>0</v>
      </c>
      <c r="AL425" s="0" t="n">
        <v>0</v>
      </c>
      <c r="AM425" s="0" t="n">
        <v>0</v>
      </c>
    </row>
    <row r="426" customFormat="false" ht="12.75" hidden="false" customHeight="false" outlineLevel="0" collapsed="false">
      <c r="A426" s="0" t="s">
        <v>631</v>
      </c>
      <c r="B426" s="0" t="s">
        <v>352</v>
      </c>
      <c r="C426" s="0" t="s">
        <v>622</v>
      </c>
      <c r="D426" s="0" t="s">
        <v>623</v>
      </c>
      <c r="E426" s="0" t="s">
        <v>131</v>
      </c>
      <c r="F426" s="0" t="s">
        <v>244</v>
      </c>
      <c r="G426" s="0" t="s">
        <v>628</v>
      </c>
      <c r="H426" s="0" t="s">
        <v>625</v>
      </c>
      <c r="I426" s="0" t="s">
        <v>626</v>
      </c>
      <c r="J426" s="0" t="s">
        <v>627</v>
      </c>
      <c r="K426" s="475" t="n">
        <v>36892</v>
      </c>
      <c r="L426" s="254" t="n">
        <v>154296.153120931</v>
      </c>
      <c r="M426" s="475" t="n">
        <v>36888</v>
      </c>
      <c r="N426" s="0" t="s">
        <v>132</v>
      </c>
      <c r="O426" s="0" t="n">
        <v>0.95</v>
      </c>
      <c r="P426" s="0" t="n">
        <v>0</v>
      </c>
      <c r="Q426" s="0" t="n">
        <v>0</v>
      </c>
      <c r="R426" s="0" t="n">
        <v>0</v>
      </c>
      <c r="S426" s="0" t="n">
        <v>0</v>
      </c>
      <c r="T426" s="0" t="s">
        <v>624</v>
      </c>
      <c r="U426" s="0" t="s">
        <v>149</v>
      </c>
      <c r="V426" s="0" t="s">
        <v>624</v>
      </c>
      <c r="W426" s="0" t="s">
        <v>569</v>
      </c>
      <c r="X426" s="0" t="s">
        <v>624</v>
      </c>
      <c r="Y426" s="0" t="s">
        <v>627</v>
      </c>
      <c r="Z426" s="0" t="s">
        <v>629</v>
      </c>
      <c r="AA426" s="0" t="s">
        <v>624</v>
      </c>
      <c r="AB426" s="0" t="s">
        <v>580</v>
      </c>
      <c r="AC426" s="254" t="n">
        <v>1000000</v>
      </c>
      <c r="AD426" s="254" t="n">
        <v>58574.1506508834</v>
      </c>
      <c r="AE426" s="0" t="n">
        <v>0</v>
      </c>
      <c r="AF426" s="0" t="n">
        <v>0</v>
      </c>
      <c r="AG426" s="0" t="n">
        <v>0</v>
      </c>
      <c r="AH426" s="254" t="n">
        <v>-7225.33047493725</v>
      </c>
      <c r="AI426" s="0" t="n">
        <v>226</v>
      </c>
      <c r="AJ426" s="0" t="s">
        <v>630</v>
      </c>
      <c r="AK426" s="0" t="n">
        <v>0</v>
      </c>
      <c r="AL426" s="0" t="n">
        <v>0</v>
      </c>
      <c r="AM426" s="0" t="n">
        <v>0</v>
      </c>
    </row>
    <row r="427" customFormat="false" ht="12.75" hidden="false" customHeight="false" outlineLevel="0" collapsed="false">
      <c r="A427" s="0" t="s">
        <v>631</v>
      </c>
      <c r="B427" s="0" t="s">
        <v>352</v>
      </c>
      <c r="C427" s="0" t="s">
        <v>622</v>
      </c>
      <c r="D427" s="0" t="s">
        <v>623</v>
      </c>
      <c r="E427" s="0" t="s">
        <v>131</v>
      </c>
      <c r="F427" s="0" t="s">
        <v>244</v>
      </c>
      <c r="G427" s="0" t="s">
        <v>628</v>
      </c>
      <c r="H427" s="0" t="s">
        <v>625</v>
      </c>
      <c r="I427" s="0" t="s">
        <v>626</v>
      </c>
      <c r="J427" s="0" t="s">
        <v>627</v>
      </c>
      <c r="K427" s="475" t="n">
        <v>36861</v>
      </c>
      <c r="L427" s="254" t="n">
        <v>206779.590233654</v>
      </c>
      <c r="M427" s="475" t="n">
        <v>36859</v>
      </c>
      <c r="N427" s="0" t="s">
        <v>132</v>
      </c>
      <c r="O427" s="0" t="n">
        <v>0.95</v>
      </c>
      <c r="P427" s="0" t="n">
        <v>0</v>
      </c>
      <c r="Q427" s="0" t="n">
        <v>0</v>
      </c>
      <c r="R427" s="0" t="n">
        <v>0</v>
      </c>
      <c r="S427" s="0" t="n">
        <v>0</v>
      </c>
      <c r="T427" s="0" t="s">
        <v>624</v>
      </c>
      <c r="U427" s="0" t="s">
        <v>149</v>
      </c>
      <c r="V427" s="0" t="s">
        <v>624</v>
      </c>
      <c r="W427" s="0" t="s">
        <v>569</v>
      </c>
      <c r="X427" s="0" t="s">
        <v>624</v>
      </c>
      <c r="Y427" s="0" t="s">
        <v>627</v>
      </c>
      <c r="Z427" s="0" t="s">
        <v>629</v>
      </c>
      <c r="AA427" s="0" t="s">
        <v>624</v>
      </c>
      <c r="AB427" s="0" t="s">
        <v>580</v>
      </c>
      <c r="AC427" s="254" t="n">
        <v>1000000</v>
      </c>
      <c r="AD427" s="254" t="n">
        <v>62140.9663420027</v>
      </c>
      <c r="AE427" s="0" t="n">
        <v>0</v>
      </c>
      <c r="AF427" s="0" t="n">
        <v>0</v>
      </c>
      <c r="AG427" s="0" t="n">
        <v>0</v>
      </c>
      <c r="AH427" s="254" t="n">
        <v>-8118.97310446328</v>
      </c>
      <c r="AI427" s="0" t="n">
        <v>226</v>
      </c>
      <c r="AJ427" s="0" t="s">
        <v>630</v>
      </c>
      <c r="AK427" s="0" t="n">
        <v>0</v>
      </c>
      <c r="AL427" s="0" t="n">
        <v>0</v>
      </c>
      <c r="AM427" s="0" t="n">
        <v>0</v>
      </c>
    </row>
    <row r="428" customFormat="false" ht="12.75" hidden="false" customHeight="false" outlineLevel="0" collapsed="false">
      <c r="A428" s="0" t="s">
        <v>631</v>
      </c>
      <c r="B428" s="0" t="s">
        <v>352</v>
      </c>
      <c r="C428" s="0" t="s">
        <v>622</v>
      </c>
      <c r="D428" s="0" t="s">
        <v>623</v>
      </c>
      <c r="E428" s="0" t="s">
        <v>131</v>
      </c>
      <c r="F428" s="0" t="s">
        <v>244</v>
      </c>
      <c r="G428" s="0" t="s">
        <v>628</v>
      </c>
      <c r="H428" s="0" t="s">
        <v>625</v>
      </c>
      <c r="I428" s="0" t="s">
        <v>626</v>
      </c>
      <c r="J428" s="0" t="s">
        <v>627</v>
      </c>
      <c r="K428" s="475" t="n">
        <v>36831</v>
      </c>
      <c r="L428" s="254" t="n">
        <v>365285.37794141</v>
      </c>
      <c r="M428" s="475" t="n">
        <v>36829</v>
      </c>
      <c r="N428" s="0" t="s">
        <v>132</v>
      </c>
      <c r="O428" s="0" t="n">
        <v>0.95</v>
      </c>
      <c r="P428" s="0" t="n">
        <v>0</v>
      </c>
      <c r="Q428" s="0" t="n">
        <v>0</v>
      </c>
      <c r="R428" s="0" t="n">
        <v>0</v>
      </c>
      <c r="S428" s="0" t="n">
        <v>0</v>
      </c>
      <c r="T428" s="0" t="s">
        <v>624</v>
      </c>
      <c r="U428" s="0" t="s">
        <v>149</v>
      </c>
      <c r="V428" s="0" t="s">
        <v>624</v>
      </c>
      <c r="W428" s="0" t="s">
        <v>569</v>
      </c>
      <c r="X428" s="0" t="s">
        <v>624</v>
      </c>
      <c r="Y428" s="0" t="s">
        <v>627</v>
      </c>
      <c r="Z428" s="0" t="s">
        <v>629</v>
      </c>
      <c r="AA428" s="0" t="s">
        <v>624</v>
      </c>
      <c r="AB428" s="0" t="s">
        <v>580</v>
      </c>
      <c r="AC428" s="254" t="n">
        <v>1000000</v>
      </c>
      <c r="AD428" s="254" t="n">
        <v>42890.9042801451</v>
      </c>
      <c r="AE428" s="0" t="n">
        <v>0</v>
      </c>
      <c r="AF428" s="0" t="n">
        <v>0</v>
      </c>
      <c r="AG428" s="0" t="n">
        <v>0</v>
      </c>
      <c r="AH428" s="254" t="n">
        <v>-21052.3130909106</v>
      </c>
      <c r="AI428" s="0" t="n">
        <v>226</v>
      </c>
      <c r="AJ428" s="0" t="s">
        <v>630</v>
      </c>
      <c r="AK428" s="0" t="n">
        <v>0</v>
      </c>
      <c r="AL428" s="0" t="n">
        <v>0</v>
      </c>
      <c r="AM428" s="0" t="n">
        <v>0</v>
      </c>
    </row>
    <row r="429" customFormat="false" ht="12.75" hidden="false" customHeight="false" outlineLevel="0" collapsed="false">
      <c r="A429" s="0" t="s">
        <v>631</v>
      </c>
      <c r="B429" s="0" t="s">
        <v>353</v>
      </c>
      <c r="C429" s="0" t="s">
        <v>622</v>
      </c>
      <c r="D429" s="0" t="s">
        <v>623</v>
      </c>
      <c r="E429" s="0" t="s">
        <v>131</v>
      </c>
      <c r="F429" s="0" t="s">
        <v>208</v>
      </c>
      <c r="G429" s="0" t="s">
        <v>628</v>
      </c>
      <c r="H429" s="0" t="s">
        <v>625</v>
      </c>
      <c r="I429" s="0" t="s">
        <v>626</v>
      </c>
      <c r="J429" s="0" t="s">
        <v>627</v>
      </c>
      <c r="K429" s="475" t="n">
        <v>36951</v>
      </c>
      <c r="L429" s="254" t="n">
        <v>-16936.1370965257</v>
      </c>
      <c r="M429" s="475" t="n">
        <v>36949</v>
      </c>
      <c r="N429" s="0" t="s">
        <v>136</v>
      </c>
      <c r="O429" s="0" t="n">
        <v>0.35</v>
      </c>
      <c r="P429" s="0" t="n">
        <v>0</v>
      </c>
      <c r="Q429" s="0" t="n">
        <v>0</v>
      </c>
      <c r="R429" s="0" t="n">
        <v>0</v>
      </c>
      <c r="S429" s="0" t="n">
        <v>0</v>
      </c>
      <c r="T429" s="0" t="s">
        <v>624</v>
      </c>
      <c r="U429" s="0" t="s">
        <v>156</v>
      </c>
      <c r="V429" s="0" t="s">
        <v>624</v>
      </c>
      <c r="W429" s="0" t="s">
        <v>569</v>
      </c>
      <c r="X429" s="0" t="s">
        <v>624</v>
      </c>
      <c r="Y429" s="0" t="s">
        <v>627</v>
      </c>
      <c r="Z429" s="0" t="s">
        <v>629</v>
      </c>
      <c r="AA429" s="0" t="s">
        <v>624</v>
      </c>
      <c r="AB429" s="0" t="s">
        <v>580</v>
      </c>
      <c r="AC429" s="254" t="n">
        <v>-500000</v>
      </c>
      <c r="AD429" s="254" t="n">
        <v>-5136.07450374053</v>
      </c>
      <c r="AE429" s="0" t="n">
        <v>0</v>
      </c>
      <c r="AF429" s="0" t="n">
        <v>0</v>
      </c>
      <c r="AG429" s="0" t="n">
        <v>0</v>
      </c>
      <c r="AH429" s="254" t="n">
        <v>-956.102642544616</v>
      </c>
      <c r="AI429" s="0" t="n">
        <v>226</v>
      </c>
      <c r="AJ429" s="0" t="s">
        <v>630</v>
      </c>
      <c r="AK429" s="0" t="n">
        <v>0</v>
      </c>
      <c r="AL429" s="0" t="n">
        <v>0</v>
      </c>
      <c r="AM429" s="0" t="n">
        <v>0</v>
      </c>
    </row>
    <row r="430" customFormat="false" ht="12.75" hidden="false" customHeight="false" outlineLevel="0" collapsed="false">
      <c r="A430" s="0" t="s">
        <v>631</v>
      </c>
      <c r="B430" s="0" t="s">
        <v>353</v>
      </c>
      <c r="C430" s="0" t="s">
        <v>622</v>
      </c>
      <c r="D430" s="0" t="s">
        <v>623</v>
      </c>
      <c r="E430" s="0" t="s">
        <v>131</v>
      </c>
      <c r="F430" s="0" t="s">
        <v>208</v>
      </c>
      <c r="G430" s="0" t="s">
        <v>628</v>
      </c>
      <c r="H430" s="0" t="s">
        <v>625</v>
      </c>
      <c r="I430" s="0" t="s">
        <v>626</v>
      </c>
      <c r="J430" s="0" t="s">
        <v>627</v>
      </c>
      <c r="K430" s="475" t="n">
        <v>36923</v>
      </c>
      <c r="L430" s="254" t="n">
        <v>-21185.9096396066</v>
      </c>
      <c r="M430" s="475" t="n">
        <v>36921</v>
      </c>
      <c r="N430" s="0" t="s">
        <v>136</v>
      </c>
      <c r="O430" s="0" t="n">
        <v>0.35</v>
      </c>
      <c r="P430" s="0" t="n">
        <v>0</v>
      </c>
      <c r="Q430" s="0" t="n">
        <v>0</v>
      </c>
      <c r="R430" s="0" t="n">
        <v>0</v>
      </c>
      <c r="S430" s="0" t="n">
        <v>0</v>
      </c>
      <c r="T430" s="0" t="s">
        <v>624</v>
      </c>
      <c r="U430" s="0" t="s">
        <v>156</v>
      </c>
      <c r="V430" s="0" t="s">
        <v>624</v>
      </c>
      <c r="W430" s="0" t="s">
        <v>569</v>
      </c>
      <c r="X430" s="0" t="s">
        <v>624</v>
      </c>
      <c r="Y430" s="0" t="s">
        <v>627</v>
      </c>
      <c r="Z430" s="0" t="s">
        <v>629</v>
      </c>
      <c r="AA430" s="0" t="s">
        <v>624</v>
      </c>
      <c r="AB430" s="0" t="s">
        <v>580</v>
      </c>
      <c r="AC430" s="254" t="n">
        <v>-500000</v>
      </c>
      <c r="AD430" s="254" t="n">
        <v>-5612.11087900351</v>
      </c>
      <c r="AE430" s="0" t="n">
        <v>0</v>
      </c>
      <c r="AF430" s="0" t="n">
        <v>0</v>
      </c>
      <c r="AG430" s="0" t="n">
        <v>0</v>
      </c>
      <c r="AH430" s="254" t="n">
        <v>-1050.76452710847</v>
      </c>
      <c r="AI430" s="0" t="n">
        <v>226</v>
      </c>
      <c r="AJ430" s="0" t="s">
        <v>630</v>
      </c>
      <c r="AK430" s="0" t="n">
        <v>0</v>
      </c>
      <c r="AL430" s="0" t="n">
        <v>0</v>
      </c>
      <c r="AM430" s="0" t="n">
        <v>0</v>
      </c>
    </row>
    <row r="431" customFormat="false" ht="12.75" hidden="false" customHeight="false" outlineLevel="0" collapsed="false">
      <c r="A431" s="0" t="s">
        <v>631</v>
      </c>
      <c r="B431" s="0" t="s">
        <v>353</v>
      </c>
      <c r="C431" s="0" t="s">
        <v>622</v>
      </c>
      <c r="D431" s="0" t="s">
        <v>623</v>
      </c>
      <c r="E431" s="0" t="s">
        <v>131</v>
      </c>
      <c r="F431" s="0" t="s">
        <v>208</v>
      </c>
      <c r="G431" s="0" t="s">
        <v>628</v>
      </c>
      <c r="H431" s="0" t="s">
        <v>625</v>
      </c>
      <c r="I431" s="0" t="s">
        <v>626</v>
      </c>
      <c r="J431" s="0" t="s">
        <v>627</v>
      </c>
      <c r="K431" s="475" t="n">
        <v>36892</v>
      </c>
      <c r="L431" s="254" t="n">
        <v>-16079.445464358</v>
      </c>
      <c r="M431" s="475" t="n">
        <v>36888</v>
      </c>
      <c r="N431" s="0" t="s">
        <v>136</v>
      </c>
      <c r="O431" s="0" t="n">
        <v>0.35</v>
      </c>
      <c r="P431" s="0" t="n">
        <v>0</v>
      </c>
      <c r="Q431" s="0" t="n">
        <v>0</v>
      </c>
      <c r="R431" s="0" t="n">
        <v>0</v>
      </c>
      <c r="S431" s="0" t="n">
        <v>0</v>
      </c>
      <c r="T431" s="0" t="s">
        <v>624</v>
      </c>
      <c r="U431" s="0" t="s">
        <v>156</v>
      </c>
      <c r="V431" s="0" t="s">
        <v>624</v>
      </c>
      <c r="W431" s="0" t="s">
        <v>569</v>
      </c>
      <c r="X431" s="0" t="s">
        <v>624</v>
      </c>
      <c r="Y431" s="0" t="s">
        <v>627</v>
      </c>
      <c r="Z431" s="0" t="s">
        <v>629</v>
      </c>
      <c r="AA431" s="0" t="s">
        <v>624</v>
      </c>
      <c r="AB431" s="0" t="s">
        <v>580</v>
      </c>
      <c r="AC431" s="254" t="n">
        <v>-500000</v>
      </c>
      <c r="AD431" s="254" t="n">
        <v>-4814.42232622665</v>
      </c>
      <c r="AE431" s="0" t="n">
        <v>0</v>
      </c>
      <c r="AF431" s="0" t="n">
        <v>0</v>
      </c>
      <c r="AG431" s="0" t="n">
        <v>0</v>
      </c>
      <c r="AH431" s="254" t="n">
        <v>-898.734673575755</v>
      </c>
      <c r="AI431" s="0" t="n">
        <v>226</v>
      </c>
      <c r="AJ431" s="0" t="s">
        <v>630</v>
      </c>
      <c r="AK431" s="0" t="n">
        <v>0</v>
      </c>
      <c r="AL431" s="0" t="n">
        <v>0</v>
      </c>
      <c r="AM431" s="0" t="n">
        <v>0</v>
      </c>
    </row>
    <row r="432" customFormat="false" ht="12.75" hidden="false" customHeight="false" outlineLevel="0" collapsed="false">
      <c r="A432" s="0" t="s">
        <v>631</v>
      </c>
      <c r="B432" s="0" t="s">
        <v>353</v>
      </c>
      <c r="C432" s="0" t="s">
        <v>622</v>
      </c>
      <c r="D432" s="0" t="s">
        <v>623</v>
      </c>
      <c r="E432" s="0" t="s">
        <v>131</v>
      </c>
      <c r="F432" s="0" t="s">
        <v>208</v>
      </c>
      <c r="G432" s="0" t="s">
        <v>628</v>
      </c>
      <c r="H432" s="0" t="s">
        <v>625</v>
      </c>
      <c r="I432" s="0" t="s">
        <v>626</v>
      </c>
      <c r="J432" s="0" t="s">
        <v>627</v>
      </c>
      <c r="K432" s="475" t="n">
        <v>36861</v>
      </c>
      <c r="L432" s="254" t="n">
        <v>-9082.04102239183</v>
      </c>
      <c r="M432" s="475" t="n">
        <v>36859</v>
      </c>
      <c r="N432" s="0" t="s">
        <v>136</v>
      </c>
      <c r="O432" s="0" t="n">
        <v>0.35</v>
      </c>
      <c r="P432" s="0" t="n">
        <v>0</v>
      </c>
      <c r="Q432" s="0" t="n">
        <v>0</v>
      </c>
      <c r="R432" s="0" t="n">
        <v>0</v>
      </c>
      <c r="S432" s="0" t="n">
        <v>0</v>
      </c>
      <c r="T432" s="0" t="s">
        <v>624</v>
      </c>
      <c r="U432" s="0" t="s">
        <v>156</v>
      </c>
      <c r="V432" s="0" t="s">
        <v>624</v>
      </c>
      <c r="W432" s="0" t="s">
        <v>569</v>
      </c>
      <c r="X432" s="0" t="s">
        <v>624</v>
      </c>
      <c r="Y432" s="0" t="s">
        <v>627</v>
      </c>
      <c r="Z432" s="0" t="s">
        <v>629</v>
      </c>
      <c r="AA432" s="0" t="s">
        <v>624</v>
      </c>
      <c r="AB432" s="0" t="s">
        <v>580</v>
      </c>
      <c r="AC432" s="254" t="n">
        <v>-500000</v>
      </c>
      <c r="AD432" s="254" t="n">
        <v>-3499.09851369813</v>
      </c>
      <c r="AE432" s="0" t="n">
        <v>0</v>
      </c>
      <c r="AF432" s="0" t="n">
        <v>0</v>
      </c>
      <c r="AG432" s="0" t="n">
        <v>0</v>
      </c>
      <c r="AH432" s="254" t="n">
        <v>-654.557036283002</v>
      </c>
      <c r="AI432" s="0" t="n">
        <v>226</v>
      </c>
      <c r="AJ432" s="0" t="s">
        <v>630</v>
      </c>
      <c r="AK432" s="0" t="n">
        <v>0</v>
      </c>
      <c r="AL432" s="0" t="n">
        <v>0</v>
      </c>
      <c r="AM432" s="0" t="n">
        <v>0</v>
      </c>
    </row>
    <row r="433" customFormat="false" ht="12.75" hidden="false" customHeight="false" outlineLevel="0" collapsed="false">
      <c r="A433" s="0" t="s">
        <v>631</v>
      </c>
      <c r="B433" s="0" t="s">
        <v>353</v>
      </c>
      <c r="C433" s="0" t="s">
        <v>622</v>
      </c>
      <c r="D433" s="0" t="s">
        <v>623</v>
      </c>
      <c r="E433" s="0" t="s">
        <v>131</v>
      </c>
      <c r="F433" s="0" t="s">
        <v>208</v>
      </c>
      <c r="G433" s="0" t="s">
        <v>628</v>
      </c>
      <c r="H433" s="0" t="s">
        <v>625</v>
      </c>
      <c r="I433" s="0" t="s">
        <v>626</v>
      </c>
      <c r="J433" s="0" t="s">
        <v>627</v>
      </c>
      <c r="K433" s="475" t="n">
        <v>36831</v>
      </c>
      <c r="L433" s="254" t="n">
        <v>-3550.60946449833</v>
      </c>
      <c r="M433" s="475" t="n">
        <v>36829</v>
      </c>
      <c r="N433" s="0" t="s">
        <v>136</v>
      </c>
      <c r="O433" s="0" t="n">
        <v>0.35</v>
      </c>
      <c r="P433" s="0" t="n">
        <v>0</v>
      </c>
      <c r="Q433" s="0" t="n">
        <v>0</v>
      </c>
      <c r="R433" s="0" t="n">
        <v>0</v>
      </c>
      <c r="S433" s="0" t="n">
        <v>0</v>
      </c>
      <c r="T433" s="0" t="s">
        <v>624</v>
      </c>
      <c r="U433" s="0" t="s">
        <v>156</v>
      </c>
      <c r="V433" s="0" t="s">
        <v>624</v>
      </c>
      <c r="W433" s="0" t="s">
        <v>569</v>
      </c>
      <c r="X433" s="0" t="s">
        <v>624</v>
      </c>
      <c r="Y433" s="0" t="s">
        <v>627</v>
      </c>
      <c r="Z433" s="0" t="s">
        <v>629</v>
      </c>
      <c r="AA433" s="0" t="s">
        <v>624</v>
      </c>
      <c r="AB433" s="0" t="s">
        <v>580</v>
      </c>
      <c r="AC433" s="254" t="n">
        <v>-500000</v>
      </c>
      <c r="AD433" s="254" t="n">
        <v>-1936.91219841251</v>
      </c>
      <c r="AE433" s="0" t="n">
        <v>0</v>
      </c>
      <c r="AF433" s="0" t="n">
        <v>0</v>
      </c>
      <c r="AG433" s="0" t="n">
        <v>0</v>
      </c>
      <c r="AH433" s="254" t="n">
        <v>-373.88152103667</v>
      </c>
      <c r="AI433" s="0" t="n">
        <v>226</v>
      </c>
      <c r="AJ433" s="0" t="s">
        <v>630</v>
      </c>
      <c r="AK433" s="0" t="n">
        <v>0</v>
      </c>
      <c r="AL433" s="0" t="n">
        <v>0</v>
      </c>
      <c r="AM433" s="0" t="n">
        <v>0</v>
      </c>
    </row>
    <row r="434" customFormat="false" ht="12.75" hidden="false" customHeight="false" outlineLevel="0" collapsed="false">
      <c r="A434" s="0" t="s">
        <v>631</v>
      </c>
      <c r="B434" s="0" t="s">
        <v>354</v>
      </c>
      <c r="C434" s="0" t="s">
        <v>622</v>
      </c>
      <c r="D434" s="0" t="s">
        <v>623</v>
      </c>
      <c r="E434" s="0" t="s">
        <v>131</v>
      </c>
      <c r="F434" s="0" t="s">
        <v>196</v>
      </c>
      <c r="G434" s="0" t="s">
        <v>628</v>
      </c>
      <c r="H434" s="0" t="s">
        <v>625</v>
      </c>
      <c r="I434" s="0" t="s">
        <v>626</v>
      </c>
      <c r="J434" s="0" t="s">
        <v>627</v>
      </c>
      <c r="K434" s="475" t="n">
        <v>36951</v>
      </c>
      <c r="L434" s="254" t="n">
        <v>-70390.601302093</v>
      </c>
      <c r="M434" s="475" t="n">
        <v>36949</v>
      </c>
      <c r="N434" s="0" t="s">
        <v>132</v>
      </c>
      <c r="O434" s="0" t="n">
        <v>-0.4</v>
      </c>
      <c r="P434" s="0" t="n">
        <v>0</v>
      </c>
      <c r="Q434" s="0" t="n">
        <v>0</v>
      </c>
      <c r="R434" s="0" t="n">
        <v>0</v>
      </c>
      <c r="S434" s="0" t="n">
        <v>0</v>
      </c>
      <c r="T434" s="0" t="s">
        <v>624</v>
      </c>
      <c r="U434" s="0" t="s">
        <v>151</v>
      </c>
      <c r="V434" s="0" t="s">
        <v>624</v>
      </c>
      <c r="W434" s="0" t="s">
        <v>569</v>
      </c>
      <c r="X434" s="0" t="s">
        <v>624</v>
      </c>
      <c r="Y434" s="0" t="s">
        <v>627</v>
      </c>
      <c r="Z434" s="0" t="s">
        <v>629</v>
      </c>
      <c r="AA434" s="0" t="s">
        <v>624</v>
      </c>
      <c r="AB434" s="0" t="s">
        <v>580</v>
      </c>
      <c r="AC434" s="254" t="n">
        <v>-310000</v>
      </c>
      <c r="AD434" s="254" t="n">
        <v>-16085.7129867453</v>
      </c>
      <c r="AE434" s="0" t="n">
        <v>0</v>
      </c>
      <c r="AF434" s="0" t="n">
        <v>0</v>
      </c>
      <c r="AG434" s="0" t="n">
        <v>0</v>
      </c>
      <c r="AH434" s="254" t="n">
        <v>-6322.40408956285</v>
      </c>
      <c r="AI434" s="0" t="n">
        <v>226</v>
      </c>
      <c r="AJ434" s="0" t="s">
        <v>630</v>
      </c>
      <c r="AK434" s="0" t="n">
        <v>0</v>
      </c>
      <c r="AL434" s="0" t="n">
        <v>0</v>
      </c>
      <c r="AM434" s="0" t="n">
        <v>0</v>
      </c>
    </row>
    <row r="435" customFormat="false" ht="12.75" hidden="false" customHeight="false" outlineLevel="0" collapsed="false">
      <c r="A435" s="0" t="s">
        <v>631</v>
      </c>
      <c r="B435" s="0" t="s">
        <v>354</v>
      </c>
      <c r="C435" s="0" t="s">
        <v>622</v>
      </c>
      <c r="D435" s="0" t="s">
        <v>623</v>
      </c>
      <c r="E435" s="0" t="s">
        <v>131</v>
      </c>
      <c r="F435" s="0" t="s">
        <v>196</v>
      </c>
      <c r="G435" s="0" t="s">
        <v>628</v>
      </c>
      <c r="H435" s="0" t="s">
        <v>625</v>
      </c>
      <c r="I435" s="0" t="s">
        <v>626</v>
      </c>
      <c r="J435" s="0" t="s">
        <v>627</v>
      </c>
      <c r="K435" s="475" t="n">
        <v>36923</v>
      </c>
      <c r="L435" s="254" t="n">
        <v>-68174.180278968</v>
      </c>
      <c r="M435" s="475" t="n">
        <v>36921</v>
      </c>
      <c r="N435" s="0" t="s">
        <v>132</v>
      </c>
      <c r="O435" s="0" t="n">
        <v>-0.4</v>
      </c>
      <c r="P435" s="0" t="n">
        <v>0</v>
      </c>
      <c r="Q435" s="0" t="n">
        <v>0</v>
      </c>
      <c r="R435" s="0" t="n">
        <v>0</v>
      </c>
      <c r="S435" s="0" t="n">
        <v>0</v>
      </c>
      <c r="T435" s="0" t="s">
        <v>624</v>
      </c>
      <c r="U435" s="0" t="s">
        <v>151</v>
      </c>
      <c r="V435" s="0" t="s">
        <v>624</v>
      </c>
      <c r="W435" s="0" t="s">
        <v>569</v>
      </c>
      <c r="X435" s="0" t="s">
        <v>624</v>
      </c>
      <c r="Y435" s="0" t="s">
        <v>627</v>
      </c>
      <c r="Z435" s="0" t="s">
        <v>629</v>
      </c>
      <c r="AA435" s="0" t="s">
        <v>624</v>
      </c>
      <c r="AB435" s="0" t="s">
        <v>580</v>
      </c>
      <c r="AC435" s="254" t="n">
        <v>-280000</v>
      </c>
      <c r="AD435" s="254" t="n">
        <v>-15011.2467873842</v>
      </c>
      <c r="AE435" s="0" t="n">
        <v>0</v>
      </c>
      <c r="AF435" s="0" t="n">
        <v>0</v>
      </c>
      <c r="AG435" s="0" t="n">
        <v>0</v>
      </c>
      <c r="AH435" s="254" t="n">
        <v>-5653.52234668901</v>
      </c>
      <c r="AI435" s="0" t="n">
        <v>226</v>
      </c>
      <c r="AJ435" s="0" t="s">
        <v>630</v>
      </c>
      <c r="AK435" s="0" t="n">
        <v>0</v>
      </c>
      <c r="AL435" s="0" t="n">
        <v>0</v>
      </c>
      <c r="AM435" s="0" t="n">
        <v>0</v>
      </c>
    </row>
    <row r="436" customFormat="false" ht="12.75" hidden="false" customHeight="false" outlineLevel="0" collapsed="false">
      <c r="A436" s="0" t="s">
        <v>631</v>
      </c>
      <c r="B436" s="0" t="s">
        <v>354</v>
      </c>
      <c r="C436" s="0" t="s">
        <v>622</v>
      </c>
      <c r="D436" s="0" t="s">
        <v>623</v>
      </c>
      <c r="E436" s="0" t="s">
        <v>131</v>
      </c>
      <c r="F436" s="0" t="s">
        <v>196</v>
      </c>
      <c r="G436" s="0" t="s">
        <v>628</v>
      </c>
      <c r="H436" s="0" t="s">
        <v>625</v>
      </c>
      <c r="I436" s="0" t="s">
        <v>626</v>
      </c>
      <c r="J436" s="0" t="s">
        <v>627</v>
      </c>
      <c r="K436" s="475" t="n">
        <v>36892</v>
      </c>
      <c r="L436" s="254" t="n">
        <v>-69836.1273455073</v>
      </c>
      <c r="M436" s="475" t="n">
        <v>36888</v>
      </c>
      <c r="N436" s="0" t="s">
        <v>132</v>
      </c>
      <c r="O436" s="0" t="n">
        <v>-0.4</v>
      </c>
      <c r="P436" s="0" t="n">
        <v>0</v>
      </c>
      <c r="Q436" s="0" t="n">
        <v>0</v>
      </c>
      <c r="R436" s="0" t="n">
        <v>0</v>
      </c>
      <c r="S436" s="0" t="n">
        <v>0</v>
      </c>
      <c r="T436" s="0" t="s">
        <v>624</v>
      </c>
      <c r="U436" s="0" t="s">
        <v>151</v>
      </c>
      <c r="V436" s="0" t="s">
        <v>624</v>
      </c>
      <c r="W436" s="0" t="s">
        <v>569</v>
      </c>
      <c r="X436" s="0" t="s">
        <v>624</v>
      </c>
      <c r="Y436" s="0" t="s">
        <v>627</v>
      </c>
      <c r="Z436" s="0" t="s">
        <v>629</v>
      </c>
      <c r="AA436" s="0" t="s">
        <v>624</v>
      </c>
      <c r="AB436" s="0" t="s">
        <v>580</v>
      </c>
      <c r="AC436" s="254" t="n">
        <v>-310000</v>
      </c>
      <c r="AD436" s="254" t="n">
        <v>-15184.8467368387</v>
      </c>
      <c r="AE436" s="0" t="n">
        <v>0</v>
      </c>
      <c r="AF436" s="0" t="n">
        <v>0</v>
      </c>
      <c r="AG436" s="0" t="n">
        <v>0</v>
      </c>
      <c r="AH436" s="254" t="n">
        <v>-6086.61355706946</v>
      </c>
      <c r="AI436" s="0" t="n">
        <v>226</v>
      </c>
      <c r="AJ436" s="0" t="s">
        <v>630</v>
      </c>
      <c r="AK436" s="0" t="n">
        <v>0</v>
      </c>
      <c r="AL436" s="0" t="n">
        <v>0</v>
      </c>
      <c r="AM436" s="0" t="n">
        <v>0</v>
      </c>
    </row>
    <row r="437" customFormat="false" ht="12.75" hidden="false" customHeight="false" outlineLevel="0" collapsed="false">
      <c r="A437" s="0" t="s">
        <v>631</v>
      </c>
      <c r="B437" s="0" t="s">
        <v>354</v>
      </c>
      <c r="C437" s="0" t="s">
        <v>622</v>
      </c>
      <c r="D437" s="0" t="s">
        <v>623</v>
      </c>
      <c r="E437" s="0" t="s">
        <v>131</v>
      </c>
      <c r="F437" s="0" t="s">
        <v>196</v>
      </c>
      <c r="G437" s="0" t="s">
        <v>628</v>
      </c>
      <c r="H437" s="0" t="s">
        <v>625</v>
      </c>
      <c r="I437" s="0" t="s">
        <v>626</v>
      </c>
      <c r="J437" s="0" t="s">
        <v>627</v>
      </c>
      <c r="K437" s="475" t="n">
        <v>36861</v>
      </c>
      <c r="L437" s="254" t="n">
        <v>-59532.2539056527</v>
      </c>
      <c r="M437" s="475" t="n">
        <v>36859</v>
      </c>
      <c r="N437" s="0" t="s">
        <v>132</v>
      </c>
      <c r="O437" s="0" t="n">
        <v>-0.4</v>
      </c>
      <c r="P437" s="0" t="n">
        <v>0</v>
      </c>
      <c r="Q437" s="0" t="n">
        <v>0</v>
      </c>
      <c r="R437" s="0" t="n">
        <v>0</v>
      </c>
      <c r="S437" s="0" t="n">
        <v>0</v>
      </c>
      <c r="T437" s="0" t="s">
        <v>624</v>
      </c>
      <c r="U437" s="0" t="s">
        <v>151</v>
      </c>
      <c r="V437" s="0" t="s">
        <v>624</v>
      </c>
      <c r="W437" s="0" t="s">
        <v>569</v>
      </c>
      <c r="X437" s="0" t="s">
        <v>624</v>
      </c>
      <c r="Y437" s="0" t="s">
        <v>627</v>
      </c>
      <c r="Z437" s="0" t="s">
        <v>629</v>
      </c>
      <c r="AA437" s="0" t="s">
        <v>624</v>
      </c>
      <c r="AB437" s="0" t="s">
        <v>580</v>
      </c>
      <c r="AC437" s="254" t="n">
        <v>-310000</v>
      </c>
      <c r="AD437" s="254" t="n">
        <v>-13209.9669929481</v>
      </c>
      <c r="AE437" s="0" t="n">
        <v>0</v>
      </c>
      <c r="AF437" s="0" t="n">
        <v>0</v>
      </c>
      <c r="AG437" s="0" t="n">
        <v>0</v>
      </c>
      <c r="AH437" s="254" t="n">
        <v>-5942.1145726394</v>
      </c>
      <c r="AI437" s="0" t="n">
        <v>226</v>
      </c>
      <c r="AJ437" s="0" t="s">
        <v>630</v>
      </c>
      <c r="AK437" s="0" t="n">
        <v>0</v>
      </c>
      <c r="AL437" s="0" t="n">
        <v>0</v>
      </c>
      <c r="AM437" s="0" t="n">
        <v>0</v>
      </c>
    </row>
    <row r="438" customFormat="false" ht="12.75" hidden="false" customHeight="false" outlineLevel="0" collapsed="false">
      <c r="A438" s="0" t="s">
        <v>631</v>
      </c>
      <c r="B438" s="0" t="s">
        <v>354</v>
      </c>
      <c r="C438" s="0" t="s">
        <v>622</v>
      </c>
      <c r="D438" s="0" t="s">
        <v>623</v>
      </c>
      <c r="E438" s="0" t="s">
        <v>131</v>
      </c>
      <c r="F438" s="0" t="s">
        <v>196</v>
      </c>
      <c r="G438" s="0" t="s">
        <v>628</v>
      </c>
      <c r="H438" s="0" t="s">
        <v>625</v>
      </c>
      <c r="I438" s="0" t="s">
        <v>626</v>
      </c>
      <c r="J438" s="0" t="s">
        <v>627</v>
      </c>
      <c r="K438" s="475" t="n">
        <v>36831</v>
      </c>
      <c r="L438" s="254" t="n">
        <v>-61675.1100863393</v>
      </c>
      <c r="M438" s="475" t="n">
        <v>36829</v>
      </c>
      <c r="N438" s="0" t="s">
        <v>132</v>
      </c>
      <c r="O438" s="0" t="n">
        <v>-0.4</v>
      </c>
      <c r="P438" s="0" t="n">
        <v>0</v>
      </c>
      <c r="Q438" s="0" t="n">
        <v>0</v>
      </c>
      <c r="R438" s="0" t="n">
        <v>0</v>
      </c>
      <c r="S438" s="0" t="n">
        <v>0</v>
      </c>
      <c r="T438" s="0" t="s">
        <v>624</v>
      </c>
      <c r="U438" s="0" t="s">
        <v>151</v>
      </c>
      <c r="V438" s="0" t="s">
        <v>624</v>
      </c>
      <c r="W438" s="0" t="s">
        <v>569</v>
      </c>
      <c r="X438" s="0" t="s">
        <v>624</v>
      </c>
      <c r="Y438" s="0" t="s">
        <v>627</v>
      </c>
      <c r="Z438" s="0" t="s">
        <v>629</v>
      </c>
      <c r="AA438" s="0" t="s">
        <v>624</v>
      </c>
      <c r="AB438" s="0" t="s">
        <v>580</v>
      </c>
      <c r="AC438" s="254" t="n">
        <v>-300000</v>
      </c>
      <c r="AD438" s="254" t="n">
        <v>-10372.8835157203</v>
      </c>
      <c r="AE438" s="0" t="n">
        <v>0</v>
      </c>
      <c r="AF438" s="0" t="n">
        <v>0</v>
      </c>
      <c r="AG438" s="0" t="n">
        <v>0</v>
      </c>
      <c r="AH438" s="254" t="n">
        <v>-6798.10498756394</v>
      </c>
      <c r="AI438" s="0" t="n">
        <v>226</v>
      </c>
      <c r="AJ438" s="0" t="s">
        <v>630</v>
      </c>
      <c r="AK438" s="0" t="n">
        <v>0</v>
      </c>
      <c r="AL438" s="0" t="n">
        <v>0</v>
      </c>
      <c r="AM438" s="0" t="n">
        <v>0</v>
      </c>
    </row>
    <row r="439" customFormat="false" ht="12.75" hidden="false" customHeight="false" outlineLevel="0" collapsed="false">
      <c r="A439" s="0" t="s">
        <v>631</v>
      </c>
      <c r="B439" s="0" t="s">
        <v>355</v>
      </c>
      <c r="C439" s="0" t="s">
        <v>622</v>
      </c>
      <c r="D439" s="0" t="s">
        <v>623</v>
      </c>
      <c r="E439" s="0" t="s">
        <v>131</v>
      </c>
      <c r="F439" s="0" t="s">
        <v>196</v>
      </c>
      <c r="G439" s="0" t="s">
        <v>628</v>
      </c>
      <c r="H439" s="0" t="s">
        <v>625</v>
      </c>
      <c r="I439" s="0" t="s">
        <v>626</v>
      </c>
      <c r="J439" s="0" t="s">
        <v>627</v>
      </c>
      <c r="K439" s="475" t="n">
        <v>36951</v>
      </c>
      <c r="L439" s="254" t="n">
        <v>31843.8659561137</v>
      </c>
      <c r="M439" s="475" t="n">
        <v>36949</v>
      </c>
      <c r="N439" s="0" t="s">
        <v>136</v>
      </c>
      <c r="O439" s="0" t="n">
        <v>-0.1</v>
      </c>
      <c r="P439" s="0" t="n">
        <v>0</v>
      </c>
      <c r="Q439" s="0" t="n">
        <v>0</v>
      </c>
      <c r="R439" s="0" t="n">
        <v>0</v>
      </c>
      <c r="S439" s="0" t="n">
        <v>0</v>
      </c>
      <c r="T439" s="0" t="s">
        <v>624</v>
      </c>
      <c r="U439" s="0" t="s">
        <v>151</v>
      </c>
      <c r="V439" s="0" t="s">
        <v>624</v>
      </c>
      <c r="W439" s="0" t="s">
        <v>569</v>
      </c>
      <c r="X439" s="0" t="s">
        <v>624</v>
      </c>
      <c r="Y439" s="0" t="s">
        <v>627</v>
      </c>
      <c r="Z439" s="0" t="s">
        <v>629</v>
      </c>
      <c r="AA439" s="0" t="s">
        <v>624</v>
      </c>
      <c r="AB439" s="0" t="s">
        <v>580</v>
      </c>
      <c r="AC439" s="254" t="n">
        <v>310000</v>
      </c>
      <c r="AD439" s="254" t="n">
        <v>14400.0920723579</v>
      </c>
      <c r="AE439" s="0" t="n">
        <v>0</v>
      </c>
      <c r="AF439" s="0" t="n">
        <v>0</v>
      </c>
      <c r="AG439" s="0" t="n">
        <v>0</v>
      </c>
      <c r="AH439" s="254" t="n">
        <v>-3266.10678429814</v>
      </c>
      <c r="AI439" s="0" t="n">
        <v>226</v>
      </c>
      <c r="AJ439" s="0" t="s">
        <v>630</v>
      </c>
      <c r="AK439" s="0" t="n">
        <v>0</v>
      </c>
      <c r="AL439" s="0" t="n">
        <v>0</v>
      </c>
      <c r="AM439" s="0" t="n">
        <v>0</v>
      </c>
    </row>
    <row r="440" customFormat="false" ht="12.75" hidden="false" customHeight="false" outlineLevel="0" collapsed="false">
      <c r="A440" s="0" t="s">
        <v>631</v>
      </c>
      <c r="B440" s="0" t="s">
        <v>355</v>
      </c>
      <c r="C440" s="0" t="s">
        <v>622</v>
      </c>
      <c r="D440" s="0" t="s">
        <v>623</v>
      </c>
      <c r="E440" s="0" t="s">
        <v>131</v>
      </c>
      <c r="F440" s="0" t="s">
        <v>196</v>
      </c>
      <c r="G440" s="0" t="s">
        <v>628</v>
      </c>
      <c r="H440" s="0" t="s">
        <v>625</v>
      </c>
      <c r="I440" s="0" t="s">
        <v>626</v>
      </c>
      <c r="J440" s="0" t="s">
        <v>627</v>
      </c>
      <c r="K440" s="475" t="n">
        <v>36923</v>
      </c>
      <c r="L440" s="254" t="n">
        <v>34757.8552239947</v>
      </c>
      <c r="M440" s="475" t="n">
        <v>36921</v>
      </c>
      <c r="N440" s="0" t="s">
        <v>136</v>
      </c>
      <c r="O440" s="0" t="n">
        <v>-0.1</v>
      </c>
      <c r="P440" s="0" t="n">
        <v>0</v>
      </c>
      <c r="Q440" s="0" t="n">
        <v>0</v>
      </c>
      <c r="R440" s="0" t="n">
        <v>0</v>
      </c>
      <c r="S440" s="0" t="n">
        <v>0</v>
      </c>
      <c r="T440" s="0" t="s">
        <v>624</v>
      </c>
      <c r="U440" s="0" t="s">
        <v>151</v>
      </c>
      <c r="V440" s="0" t="s">
        <v>624</v>
      </c>
      <c r="W440" s="0" t="s">
        <v>569</v>
      </c>
      <c r="X440" s="0" t="s">
        <v>624</v>
      </c>
      <c r="Y440" s="0" t="s">
        <v>627</v>
      </c>
      <c r="Z440" s="0" t="s">
        <v>629</v>
      </c>
      <c r="AA440" s="0" t="s">
        <v>624</v>
      </c>
      <c r="AB440" s="0" t="s">
        <v>580</v>
      </c>
      <c r="AC440" s="254" t="n">
        <v>280000</v>
      </c>
      <c r="AD440" s="254" t="n">
        <v>13809.8043027162</v>
      </c>
      <c r="AE440" s="0" t="n">
        <v>0</v>
      </c>
      <c r="AF440" s="0" t="n">
        <v>0</v>
      </c>
      <c r="AG440" s="0" t="n">
        <v>0</v>
      </c>
      <c r="AH440" s="254" t="n">
        <v>-3217.02055867565</v>
      </c>
      <c r="AI440" s="0" t="n">
        <v>226</v>
      </c>
      <c r="AJ440" s="0" t="s">
        <v>630</v>
      </c>
      <c r="AK440" s="0" t="n">
        <v>0</v>
      </c>
      <c r="AL440" s="0" t="n">
        <v>0</v>
      </c>
      <c r="AM440" s="0" t="n">
        <v>0</v>
      </c>
    </row>
    <row r="441" customFormat="false" ht="12.75" hidden="false" customHeight="false" outlineLevel="0" collapsed="false">
      <c r="A441" s="0" t="s">
        <v>631</v>
      </c>
      <c r="B441" s="0" t="s">
        <v>355</v>
      </c>
      <c r="C441" s="0" t="s">
        <v>622</v>
      </c>
      <c r="D441" s="0" t="s">
        <v>623</v>
      </c>
      <c r="E441" s="0" t="s">
        <v>131</v>
      </c>
      <c r="F441" s="0" t="s">
        <v>196</v>
      </c>
      <c r="G441" s="0" t="s">
        <v>628</v>
      </c>
      <c r="H441" s="0" t="s">
        <v>625</v>
      </c>
      <c r="I441" s="0" t="s">
        <v>626</v>
      </c>
      <c r="J441" s="0" t="s">
        <v>627</v>
      </c>
      <c r="K441" s="475" t="n">
        <v>36892</v>
      </c>
      <c r="L441" s="254" t="n">
        <v>38235.8529345907</v>
      </c>
      <c r="M441" s="475" t="n">
        <v>36888</v>
      </c>
      <c r="N441" s="0" t="s">
        <v>136</v>
      </c>
      <c r="O441" s="0" t="n">
        <v>-0.1</v>
      </c>
      <c r="P441" s="0" t="n">
        <v>0</v>
      </c>
      <c r="Q441" s="0" t="n">
        <v>0</v>
      </c>
      <c r="R441" s="0" t="n">
        <v>0</v>
      </c>
      <c r="S441" s="0" t="n">
        <v>0</v>
      </c>
      <c r="T441" s="0" t="s">
        <v>624</v>
      </c>
      <c r="U441" s="0" t="s">
        <v>151</v>
      </c>
      <c r="V441" s="0" t="s">
        <v>624</v>
      </c>
      <c r="W441" s="0" t="s">
        <v>569</v>
      </c>
      <c r="X441" s="0" t="s">
        <v>624</v>
      </c>
      <c r="Y441" s="0" t="s">
        <v>627</v>
      </c>
      <c r="Z441" s="0" t="s">
        <v>629</v>
      </c>
      <c r="AA441" s="0" t="s">
        <v>624</v>
      </c>
      <c r="AB441" s="0" t="s">
        <v>580</v>
      </c>
      <c r="AC441" s="254" t="n">
        <v>310000</v>
      </c>
      <c r="AD441" s="254" t="n">
        <v>14045.8682237634</v>
      </c>
      <c r="AE441" s="0" t="n">
        <v>0</v>
      </c>
      <c r="AF441" s="0" t="n">
        <v>0</v>
      </c>
      <c r="AG441" s="0" t="n">
        <v>0</v>
      </c>
      <c r="AH441" s="254" t="n">
        <v>-3701.25085748627</v>
      </c>
      <c r="AI441" s="0" t="n">
        <v>226</v>
      </c>
      <c r="AJ441" s="0" t="s">
        <v>630</v>
      </c>
      <c r="AK441" s="0" t="n">
        <v>0</v>
      </c>
      <c r="AL441" s="0" t="n">
        <v>0</v>
      </c>
      <c r="AM441" s="0" t="n">
        <v>0</v>
      </c>
    </row>
    <row r="442" customFormat="false" ht="12.75" hidden="false" customHeight="false" outlineLevel="0" collapsed="false">
      <c r="A442" s="0" t="s">
        <v>631</v>
      </c>
      <c r="B442" s="0" t="s">
        <v>355</v>
      </c>
      <c r="C442" s="0" t="s">
        <v>622</v>
      </c>
      <c r="D442" s="0" t="s">
        <v>623</v>
      </c>
      <c r="E442" s="0" t="s">
        <v>131</v>
      </c>
      <c r="F442" s="0" t="s">
        <v>196</v>
      </c>
      <c r="G442" s="0" t="s">
        <v>628</v>
      </c>
      <c r="H442" s="0" t="s">
        <v>625</v>
      </c>
      <c r="I442" s="0" t="s">
        <v>626</v>
      </c>
      <c r="J442" s="0" t="s">
        <v>627</v>
      </c>
      <c r="K442" s="475" t="n">
        <v>36861</v>
      </c>
      <c r="L442" s="254" t="n">
        <v>31529.2595891774</v>
      </c>
      <c r="M442" s="475" t="n">
        <v>36859</v>
      </c>
      <c r="N442" s="0" t="s">
        <v>136</v>
      </c>
      <c r="O442" s="0" t="n">
        <v>-0.1</v>
      </c>
      <c r="P442" s="0" t="n">
        <v>0</v>
      </c>
      <c r="Q442" s="0" t="n">
        <v>0</v>
      </c>
      <c r="R442" s="0" t="n">
        <v>0</v>
      </c>
      <c r="S442" s="0" t="n">
        <v>0</v>
      </c>
      <c r="T442" s="0" t="s">
        <v>624</v>
      </c>
      <c r="U442" s="0" t="s">
        <v>151</v>
      </c>
      <c r="V442" s="0" t="s">
        <v>624</v>
      </c>
      <c r="W442" s="0" t="s">
        <v>569</v>
      </c>
      <c r="X442" s="0" t="s">
        <v>624</v>
      </c>
      <c r="Y442" s="0" t="s">
        <v>627</v>
      </c>
      <c r="Z442" s="0" t="s">
        <v>629</v>
      </c>
      <c r="AA442" s="0" t="s">
        <v>624</v>
      </c>
      <c r="AB442" s="0" t="s">
        <v>580</v>
      </c>
      <c r="AC442" s="254" t="n">
        <v>310000</v>
      </c>
      <c r="AD442" s="254" t="n">
        <v>11978.9615178875</v>
      </c>
      <c r="AE442" s="0" t="n">
        <v>0</v>
      </c>
      <c r="AF442" s="0" t="n">
        <v>0</v>
      </c>
      <c r="AG442" s="0" t="n">
        <v>0</v>
      </c>
      <c r="AH442" s="254" t="n">
        <v>-3588.68859913165</v>
      </c>
      <c r="AI442" s="0" t="n">
        <v>226</v>
      </c>
      <c r="AJ442" s="0" t="s">
        <v>630</v>
      </c>
      <c r="AK442" s="0" t="n">
        <v>0</v>
      </c>
      <c r="AL442" s="0" t="n">
        <v>0</v>
      </c>
      <c r="AM442" s="0" t="n">
        <v>0</v>
      </c>
    </row>
    <row r="443" customFormat="false" ht="12.75" hidden="false" customHeight="false" outlineLevel="0" collapsed="false">
      <c r="A443" s="0" t="s">
        <v>631</v>
      </c>
      <c r="B443" s="0" t="s">
        <v>355</v>
      </c>
      <c r="C443" s="0" t="s">
        <v>622</v>
      </c>
      <c r="D443" s="0" t="s">
        <v>623</v>
      </c>
      <c r="E443" s="0" t="s">
        <v>131</v>
      </c>
      <c r="F443" s="0" t="s">
        <v>196</v>
      </c>
      <c r="G443" s="0" t="s">
        <v>628</v>
      </c>
      <c r="H443" s="0" t="s">
        <v>625</v>
      </c>
      <c r="I443" s="0" t="s">
        <v>626</v>
      </c>
      <c r="J443" s="0" t="s">
        <v>627</v>
      </c>
      <c r="K443" s="475" t="n">
        <v>36831</v>
      </c>
      <c r="L443" s="254" t="n">
        <v>12546.2341276636</v>
      </c>
      <c r="M443" s="475" t="n">
        <v>36829</v>
      </c>
      <c r="N443" s="0" t="s">
        <v>136</v>
      </c>
      <c r="O443" s="0" t="n">
        <v>-0.1</v>
      </c>
      <c r="P443" s="0" t="n">
        <v>0</v>
      </c>
      <c r="Q443" s="0" t="n">
        <v>0</v>
      </c>
      <c r="R443" s="0" t="n">
        <v>0</v>
      </c>
      <c r="S443" s="0" t="n">
        <v>0</v>
      </c>
      <c r="T443" s="0" t="s">
        <v>624</v>
      </c>
      <c r="U443" s="0" t="s">
        <v>151</v>
      </c>
      <c r="V443" s="0" t="s">
        <v>624</v>
      </c>
      <c r="W443" s="0" t="s">
        <v>569</v>
      </c>
      <c r="X443" s="0" t="s">
        <v>624</v>
      </c>
      <c r="Y443" s="0" t="s">
        <v>627</v>
      </c>
      <c r="Z443" s="0" t="s">
        <v>629</v>
      </c>
      <c r="AA443" s="0" t="s">
        <v>624</v>
      </c>
      <c r="AB443" s="0" t="s">
        <v>580</v>
      </c>
      <c r="AC443" s="254" t="n">
        <v>300000</v>
      </c>
      <c r="AD443" s="254" t="n">
        <v>7246.39153216596</v>
      </c>
      <c r="AE443" s="0" t="n">
        <v>0</v>
      </c>
      <c r="AF443" s="0" t="n">
        <v>0</v>
      </c>
      <c r="AG443" s="0" t="n">
        <v>0</v>
      </c>
      <c r="AH443" s="254" t="n">
        <v>-2154.47139196279</v>
      </c>
      <c r="AI443" s="0" t="n">
        <v>226</v>
      </c>
      <c r="AJ443" s="0" t="s">
        <v>630</v>
      </c>
      <c r="AK443" s="0" t="n">
        <v>0</v>
      </c>
      <c r="AL443" s="0" t="n">
        <v>0</v>
      </c>
      <c r="AM443" s="0" t="n">
        <v>0</v>
      </c>
    </row>
    <row r="444" customFormat="false" ht="12.75" hidden="false" customHeight="false" outlineLevel="0" collapsed="false">
      <c r="A444" s="0" t="s">
        <v>631</v>
      </c>
      <c r="B444" s="0" t="s">
        <v>356</v>
      </c>
      <c r="C444" s="0" t="s">
        <v>622</v>
      </c>
      <c r="D444" s="0" t="s">
        <v>623</v>
      </c>
      <c r="E444" s="0" t="s">
        <v>131</v>
      </c>
      <c r="F444" s="0" t="s">
        <v>210</v>
      </c>
      <c r="G444" s="0" t="s">
        <v>628</v>
      </c>
      <c r="H444" s="0" t="s">
        <v>625</v>
      </c>
      <c r="I444" s="0" t="s">
        <v>626</v>
      </c>
      <c r="J444" s="0" t="s">
        <v>627</v>
      </c>
      <c r="K444" s="475" t="n">
        <v>36951</v>
      </c>
      <c r="L444" s="254" t="n">
        <v>89526.2332422603</v>
      </c>
      <c r="M444" s="475" t="n">
        <v>36949</v>
      </c>
      <c r="N444" s="0" t="s">
        <v>136</v>
      </c>
      <c r="O444" s="0" t="n">
        <v>0.2</v>
      </c>
      <c r="P444" s="0" t="n">
        <v>0</v>
      </c>
      <c r="Q444" s="0" t="n">
        <v>0</v>
      </c>
      <c r="R444" s="0" t="n">
        <v>0</v>
      </c>
      <c r="S444" s="0" t="n">
        <v>0</v>
      </c>
      <c r="T444" s="0" t="s">
        <v>624</v>
      </c>
      <c r="U444" s="0" t="s">
        <v>137</v>
      </c>
      <c r="V444" s="0" t="s">
        <v>624</v>
      </c>
      <c r="W444" s="0" t="s">
        <v>569</v>
      </c>
      <c r="X444" s="0" t="s">
        <v>624</v>
      </c>
      <c r="Y444" s="0" t="s">
        <v>627</v>
      </c>
      <c r="Z444" s="0" t="s">
        <v>629</v>
      </c>
      <c r="AA444" s="0" t="s">
        <v>624</v>
      </c>
      <c r="AB444" s="0" t="s">
        <v>580</v>
      </c>
      <c r="AC444" s="254" t="n">
        <v>155000</v>
      </c>
      <c r="AD444" s="254" t="n">
        <v>11031.9075490926</v>
      </c>
      <c r="AE444" s="0" t="n">
        <v>0</v>
      </c>
      <c r="AF444" s="0" t="n">
        <v>0</v>
      </c>
      <c r="AG444" s="0" t="n">
        <v>0</v>
      </c>
      <c r="AH444" s="254" t="n">
        <v>-5325.30385950295</v>
      </c>
      <c r="AI444" s="0" t="n">
        <v>226</v>
      </c>
      <c r="AJ444" s="0" t="s">
        <v>630</v>
      </c>
      <c r="AK444" s="0" t="n">
        <v>0</v>
      </c>
      <c r="AL444" s="0" t="n">
        <v>0</v>
      </c>
      <c r="AM444" s="0" t="n">
        <v>0</v>
      </c>
    </row>
    <row r="445" customFormat="false" ht="12.75" hidden="false" customHeight="false" outlineLevel="0" collapsed="false">
      <c r="A445" s="0" t="s">
        <v>631</v>
      </c>
      <c r="B445" s="0" t="s">
        <v>356</v>
      </c>
      <c r="C445" s="0" t="s">
        <v>622</v>
      </c>
      <c r="D445" s="0" t="s">
        <v>623</v>
      </c>
      <c r="E445" s="0" t="s">
        <v>131</v>
      </c>
      <c r="F445" s="0" t="s">
        <v>210</v>
      </c>
      <c r="G445" s="0" t="s">
        <v>628</v>
      </c>
      <c r="H445" s="0" t="s">
        <v>625</v>
      </c>
      <c r="I445" s="0" t="s">
        <v>626</v>
      </c>
      <c r="J445" s="0" t="s">
        <v>627</v>
      </c>
      <c r="K445" s="475" t="n">
        <v>36923</v>
      </c>
      <c r="L445" s="254" t="n">
        <v>87028.8445743503</v>
      </c>
      <c r="M445" s="475" t="n">
        <v>36921</v>
      </c>
      <c r="N445" s="0" t="s">
        <v>136</v>
      </c>
      <c r="O445" s="0" t="n">
        <v>0.2</v>
      </c>
      <c r="P445" s="0" t="n">
        <v>0</v>
      </c>
      <c r="Q445" s="0" t="n">
        <v>0</v>
      </c>
      <c r="R445" s="0" t="n">
        <v>0</v>
      </c>
      <c r="S445" s="0" t="n">
        <v>0</v>
      </c>
      <c r="T445" s="0" t="s">
        <v>624</v>
      </c>
      <c r="U445" s="0" t="s">
        <v>137</v>
      </c>
      <c r="V445" s="0" t="s">
        <v>624</v>
      </c>
      <c r="W445" s="0" t="s">
        <v>569</v>
      </c>
      <c r="X445" s="0" t="s">
        <v>624</v>
      </c>
      <c r="Y445" s="0" t="s">
        <v>627</v>
      </c>
      <c r="Z445" s="0" t="s">
        <v>629</v>
      </c>
      <c r="AA445" s="0" t="s">
        <v>624</v>
      </c>
      <c r="AB445" s="0" t="s">
        <v>580</v>
      </c>
      <c r="AC445" s="254" t="n">
        <v>140000</v>
      </c>
      <c r="AD445" s="254" t="n">
        <v>10322.8620320313</v>
      </c>
      <c r="AE445" s="0" t="n">
        <v>0</v>
      </c>
      <c r="AF445" s="0" t="n">
        <v>0</v>
      </c>
      <c r="AG445" s="0" t="n">
        <v>0</v>
      </c>
      <c r="AH445" s="254" t="n">
        <v>-4809.24525445598</v>
      </c>
      <c r="AI445" s="0" t="n">
        <v>226</v>
      </c>
      <c r="AJ445" s="0" t="s">
        <v>630</v>
      </c>
      <c r="AK445" s="0" t="n">
        <v>0</v>
      </c>
      <c r="AL445" s="0" t="n">
        <v>0</v>
      </c>
      <c r="AM445" s="0" t="n">
        <v>0</v>
      </c>
    </row>
    <row r="446" customFormat="false" ht="12.75" hidden="false" customHeight="false" outlineLevel="0" collapsed="false">
      <c r="A446" s="0" t="s">
        <v>631</v>
      </c>
      <c r="B446" s="0" t="s">
        <v>356</v>
      </c>
      <c r="C446" s="0" t="s">
        <v>622</v>
      </c>
      <c r="D446" s="0" t="s">
        <v>623</v>
      </c>
      <c r="E446" s="0" t="s">
        <v>131</v>
      </c>
      <c r="F446" s="0" t="s">
        <v>210</v>
      </c>
      <c r="G446" s="0" t="s">
        <v>628</v>
      </c>
      <c r="H446" s="0" t="s">
        <v>625</v>
      </c>
      <c r="I446" s="0" t="s">
        <v>626</v>
      </c>
      <c r="J446" s="0" t="s">
        <v>627</v>
      </c>
      <c r="K446" s="475" t="n">
        <v>36892</v>
      </c>
      <c r="L446" s="254" t="n">
        <v>111089.578138219</v>
      </c>
      <c r="M446" s="475" t="n">
        <v>36888</v>
      </c>
      <c r="N446" s="0" t="s">
        <v>136</v>
      </c>
      <c r="O446" s="0" t="n">
        <v>0.2</v>
      </c>
      <c r="P446" s="0" t="n">
        <v>0</v>
      </c>
      <c r="Q446" s="0" t="n">
        <v>0</v>
      </c>
      <c r="R446" s="0" t="n">
        <v>0</v>
      </c>
      <c r="S446" s="0" t="n">
        <v>0</v>
      </c>
      <c r="T446" s="0" t="s">
        <v>624</v>
      </c>
      <c r="U446" s="0" t="s">
        <v>137</v>
      </c>
      <c r="V446" s="0" t="s">
        <v>624</v>
      </c>
      <c r="W446" s="0" t="s">
        <v>569</v>
      </c>
      <c r="X446" s="0" t="s">
        <v>624</v>
      </c>
      <c r="Y446" s="0" t="s">
        <v>627</v>
      </c>
      <c r="Z446" s="0" t="s">
        <v>629</v>
      </c>
      <c r="AA446" s="0" t="s">
        <v>624</v>
      </c>
      <c r="AB446" s="0" t="s">
        <v>580</v>
      </c>
      <c r="AC446" s="254" t="n">
        <v>155000</v>
      </c>
      <c r="AD446" s="254" t="n">
        <v>9580.28109114706</v>
      </c>
      <c r="AE446" s="0" t="n">
        <v>0</v>
      </c>
      <c r="AF446" s="0" t="n">
        <v>0</v>
      </c>
      <c r="AG446" s="0" t="n">
        <v>0</v>
      </c>
      <c r="AH446" s="254" t="n">
        <v>-5881.56510644702</v>
      </c>
      <c r="AI446" s="0" t="n">
        <v>226</v>
      </c>
      <c r="AJ446" s="0" t="s">
        <v>630</v>
      </c>
      <c r="AK446" s="0" t="n">
        <v>0</v>
      </c>
      <c r="AL446" s="0" t="n">
        <v>0</v>
      </c>
      <c r="AM446" s="0" t="n">
        <v>0</v>
      </c>
    </row>
    <row r="447" customFormat="false" ht="12.75" hidden="false" customHeight="false" outlineLevel="0" collapsed="false">
      <c r="A447" s="0" t="s">
        <v>631</v>
      </c>
      <c r="B447" s="0" t="s">
        <v>356</v>
      </c>
      <c r="C447" s="0" t="s">
        <v>622</v>
      </c>
      <c r="D447" s="0" t="s">
        <v>623</v>
      </c>
      <c r="E447" s="0" t="s">
        <v>131</v>
      </c>
      <c r="F447" s="0" t="s">
        <v>210</v>
      </c>
      <c r="G447" s="0" t="s">
        <v>628</v>
      </c>
      <c r="H447" s="0" t="s">
        <v>625</v>
      </c>
      <c r="I447" s="0" t="s">
        <v>626</v>
      </c>
      <c r="J447" s="0" t="s">
        <v>627</v>
      </c>
      <c r="K447" s="475" t="n">
        <v>36861</v>
      </c>
      <c r="L447" s="254" t="n">
        <v>135042.316930396</v>
      </c>
      <c r="M447" s="475" t="n">
        <v>36859</v>
      </c>
      <c r="N447" s="0" t="s">
        <v>136</v>
      </c>
      <c r="O447" s="0" t="n">
        <v>0.2</v>
      </c>
      <c r="P447" s="0" t="n">
        <v>0</v>
      </c>
      <c r="Q447" s="0" t="n">
        <v>0</v>
      </c>
      <c r="R447" s="0" t="n">
        <v>0</v>
      </c>
      <c r="S447" s="0" t="n">
        <v>0</v>
      </c>
      <c r="T447" s="0" t="s">
        <v>624</v>
      </c>
      <c r="U447" s="0" t="s">
        <v>137</v>
      </c>
      <c r="V447" s="0" t="s">
        <v>624</v>
      </c>
      <c r="W447" s="0" t="s">
        <v>569</v>
      </c>
      <c r="X447" s="0" t="s">
        <v>624</v>
      </c>
      <c r="Y447" s="0" t="s">
        <v>627</v>
      </c>
      <c r="Z447" s="0" t="s">
        <v>629</v>
      </c>
      <c r="AA447" s="0" t="s">
        <v>624</v>
      </c>
      <c r="AB447" s="0" t="s">
        <v>580</v>
      </c>
      <c r="AC447" s="254" t="n">
        <v>155000</v>
      </c>
      <c r="AD447" s="254" t="n">
        <v>6427.12057582635</v>
      </c>
      <c r="AE447" s="0" t="n">
        <v>0</v>
      </c>
      <c r="AF447" s="0" t="n">
        <v>0</v>
      </c>
      <c r="AG447" s="0" t="n">
        <v>0</v>
      </c>
      <c r="AH447" s="254" t="n">
        <v>18542.8905478364</v>
      </c>
      <c r="AI447" s="0" t="n">
        <v>226</v>
      </c>
      <c r="AJ447" s="0" t="s">
        <v>630</v>
      </c>
      <c r="AK447" s="0" t="n">
        <v>0</v>
      </c>
      <c r="AL447" s="0" t="n">
        <v>0</v>
      </c>
      <c r="AM447" s="0" t="n">
        <v>0</v>
      </c>
    </row>
    <row r="448" customFormat="false" ht="12.75" hidden="false" customHeight="false" outlineLevel="0" collapsed="false">
      <c r="A448" s="0" t="s">
        <v>631</v>
      </c>
      <c r="B448" s="0" t="s">
        <v>356</v>
      </c>
      <c r="C448" s="0" t="s">
        <v>622</v>
      </c>
      <c r="D448" s="0" t="s">
        <v>623</v>
      </c>
      <c r="E448" s="0" t="s">
        <v>131</v>
      </c>
      <c r="F448" s="0" t="s">
        <v>210</v>
      </c>
      <c r="G448" s="0" t="s">
        <v>628</v>
      </c>
      <c r="H448" s="0" t="s">
        <v>625</v>
      </c>
      <c r="I448" s="0" t="s">
        <v>626</v>
      </c>
      <c r="J448" s="0" t="s">
        <v>627</v>
      </c>
      <c r="K448" s="475" t="n">
        <v>36831</v>
      </c>
      <c r="L448" s="254" t="n">
        <v>200771.926062902</v>
      </c>
      <c r="M448" s="475" t="n">
        <v>36829</v>
      </c>
      <c r="N448" s="0" t="s">
        <v>136</v>
      </c>
      <c r="O448" s="0" t="n">
        <v>0.2</v>
      </c>
      <c r="P448" s="0" t="n">
        <v>0</v>
      </c>
      <c r="Q448" s="0" t="n">
        <v>0</v>
      </c>
      <c r="R448" s="0" t="n">
        <v>0</v>
      </c>
      <c r="S448" s="0" t="n">
        <v>0</v>
      </c>
      <c r="T448" s="0" t="s">
        <v>624</v>
      </c>
      <c r="U448" s="0" t="s">
        <v>137</v>
      </c>
      <c r="V448" s="0" t="s">
        <v>624</v>
      </c>
      <c r="W448" s="0" t="s">
        <v>569</v>
      </c>
      <c r="X448" s="0" t="s">
        <v>624</v>
      </c>
      <c r="Y448" s="0" t="s">
        <v>627</v>
      </c>
      <c r="Z448" s="0" t="s">
        <v>629</v>
      </c>
      <c r="AA448" s="0" t="s">
        <v>624</v>
      </c>
      <c r="AB448" s="0" t="s">
        <v>580</v>
      </c>
      <c r="AC448" s="254" t="n">
        <v>150000</v>
      </c>
      <c r="AD448" s="254" t="n">
        <v>1445.10823419015</v>
      </c>
      <c r="AE448" s="0" t="n">
        <v>0</v>
      </c>
      <c r="AF448" s="0" t="n">
        <v>0</v>
      </c>
      <c r="AG448" s="0" t="n">
        <v>0</v>
      </c>
      <c r="AH448" s="254" t="n">
        <v>29996.042094219</v>
      </c>
      <c r="AI448" s="0" t="n">
        <v>226</v>
      </c>
      <c r="AJ448" s="0" t="s">
        <v>630</v>
      </c>
      <c r="AK448" s="0" t="n">
        <v>0</v>
      </c>
      <c r="AL448" s="0" t="n">
        <v>0</v>
      </c>
      <c r="AM448" s="0" t="n">
        <v>0</v>
      </c>
    </row>
    <row r="449" customFormat="false" ht="12.75" hidden="false" customHeight="false" outlineLevel="0" collapsed="false">
      <c r="A449" s="0" t="s">
        <v>631</v>
      </c>
      <c r="B449" s="0" t="s">
        <v>357</v>
      </c>
      <c r="C449" s="0" t="s">
        <v>622</v>
      </c>
      <c r="D449" s="0" t="s">
        <v>623</v>
      </c>
      <c r="E449" s="0" t="s">
        <v>131</v>
      </c>
      <c r="F449" s="0" t="s">
        <v>244</v>
      </c>
      <c r="G449" s="0" t="s">
        <v>628</v>
      </c>
      <c r="H449" s="0" t="s">
        <v>625</v>
      </c>
      <c r="I449" s="0" t="s">
        <v>626</v>
      </c>
      <c r="J449" s="0" t="s">
        <v>627</v>
      </c>
      <c r="K449" s="475" t="n">
        <v>36951</v>
      </c>
      <c r="L449" s="254" t="n">
        <v>219596.787420982</v>
      </c>
      <c r="M449" s="475" t="n">
        <v>36949</v>
      </c>
      <c r="N449" s="0" t="s">
        <v>132</v>
      </c>
      <c r="O449" s="0" t="n">
        <v>0.95</v>
      </c>
      <c r="P449" s="0" t="n">
        <v>0</v>
      </c>
      <c r="Q449" s="0" t="n">
        <v>0</v>
      </c>
      <c r="R449" s="0" t="n">
        <v>0</v>
      </c>
      <c r="S449" s="0" t="n">
        <v>0</v>
      </c>
      <c r="T449" s="0" t="s">
        <v>624</v>
      </c>
      <c r="U449" s="0" t="s">
        <v>149</v>
      </c>
      <c r="V449" s="0" t="s">
        <v>624</v>
      </c>
      <c r="W449" s="0" t="s">
        <v>569</v>
      </c>
      <c r="X449" s="0" t="s">
        <v>624</v>
      </c>
      <c r="Y449" s="0" t="s">
        <v>627</v>
      </c>
      <c r="Z449" s="0" t="s">
        <v>629</v>
      </c>
      <c r="AA449" s="0" t="s">
        <v>624</v>
      </c>
      <c r="AB449" s="0" t="s">
        <v>580</v>
      </c>
      <c r="AC449" s="254" t="n">
        <v>500000</v>
      </c>
      <c r="AD449" s="254" t="n">
        <v>44459.6889324306</v>
      </c>
      <c r="AE449" s="0" t="n">
        <v>0</v>
      </c>
      <c r="AF449" s="0" t="n">
        <v>0</v>
      </c>
      <c r="AG449" s="0" t="n">
        <v>0</v>
      </c>
      <c r="AH449" s="254" t="n">
        <v>-9919.0915419083</v>
      </c>
      <c r="AI449" s="0" t="n">
        <v>226</v>
      </c>
      <c r="AJ449" s="0" t="s">
        <v>630</v>
      </c>
      <c r="AK449" s="0" t="n">
        <v>0</v>
      </c>
      <c r="AL449" s="0" t="n">
        <v>0</v>
      </c>
      <c r="AM449" s="0" t="n">
        <v>0</v>
      </c>
    </row>
    <row r="450" customFormat="false" ht="12.75" hidden="false" customHeight="false" outlineLevel="0" collapsed="false">
      <c r="A450" s="0" t="s">
        <v>631</v>
      </c>
      <c r="B450" s="0" t="s">
        <v>357</v>
      </c>
      <c r="C450" s="0" t="s">
        <v>622</v>
      </c>
      <c r="D450" s="0" t="s">
        <v>623</v>
      </c>
      <c r="E450" s="0" t="s">
        <v>131</v>
      </c>
      <c r="F450" s="0" t="s">
        <v>244</v>
      </c>
      <c r="G450" s="0" t="s">
        <v>628</v>
      </c>
      <c r="H450" s="0" t="s">
        <v>625</v>
      </c>
      <c r="I450" s="0" t="s">
        <v>626</v>
      </c>
      <c r="J450" s="0" t="s">
        <v>627</v>
      </c>
      <c r="K450" s="475" t="n">
        <v>36923</v>
      </c>
      <c r="L450" s="254" t="n">
        <v>95380.5369386898</v>
      </c>
      <c r="M450" s="475" t="n">
        <v>36921</v>
      </c>
      <c r="N450" s="0" t="s">
        <v>132</v>
      </c>
      <c r="O450" s="0" t="n">
        <v>0.95</v>
      </c>
      <c r="P450" s="0" t="n">
        <v>0</v>
      </c>
      <c r="Q450" s="0" t="n">
        <v>0</v>
      </c>
      <c r="R450" s="0" t="n">
        <v>0</v>
      </c>
      <c r="S450" s="0" t="n">
        <v>0</v>
      </c>
      <c r="T450" s="0" t="s">
        <v>624</v>
      </c>
      <c r="U450" s="0" t="s">
        <v>149</v>
      </c>
      <c r="V450" s="0" t="s">
        <v>624</v>
      </c>
      <c r="W450" s="0" t="s">
        <v>569</v>
      </c>
      <c r="X450" s="0" t="s">
        <v>624</v>
      </c>
      <c r="Y450" s="0" t="s">
        <v>627</v>
      </c>
      <c r="Z450" s="0" t="s">
        <v>629</v>
      </c>
      <c r="AA450" s="0" t="s">
        <v>624</v>
      </c>
      <c r="AB450" s="0" t="s">
        <v>580</v>
      </c>
      <c r="AC450" s="254" t="n">
        <v>500000</v>
      </c>
      <c r="AD450" s="254" t="n">
        <v>34478.9059944694</v>
      </c>
      <c r="AE450" s="0" t="n">
        <v>0</v>
      </c>
      <c r="AF450" s="0" t="n">
        <v>0</v>
      </c>
      <c r="AG450" s="0" t="n">
        <v>0</v>
      </c>
      <c r="AH450" s="254" t="n">
        <v>-4923.31307893679</v>
      </c>
      <c r="AI450" s="0" t="n">
        <v>226</v>
      </c>
      <c r="AJ450" s="0" t="s">
        <v>630</v>
      </c>
      <c r="AK450" s="0" t="n">
        <v>0</v>
      </c>
      <c r="AL450" s="0" t="n">
        <v>0</v>
      </c>
      <c r="AM450" s="0" t="n">
        <v>0</v>
      </c>
    </row>
    <row r="451" customFormat="false" ht="12.75" hidden="false" customHeight="false" outlineLevel="0" collapsed="false">
      <c r="A451" s="0" t="s">
        <v>631</v>
      </c>
      <c r="B451" s="0" t="s">
        <v>357</v>
      </c>
      <c r="C451" s="0" t="s">
        <v>622</v>
      </c>
      <c r="D451" s="0" t="s">
        <v>623</v>
      </c>
      <c r="E451" s="0" t="s">
        <v>131</v>
      </c>
      <c r="F451" s="0" t="s">
        <v>244</v>
      </c>
      <c r="G451" s="0" t="s">
        <v>628</v>
      </c>
      <c r="H451" s="0" t="s">
        <v>625</v>
      </c>
      <c r="I451" s="0" t="s">
        <v>626</v>
      </c>
      <c r="J451" s="0" t="s">
        <v>627</v>
      </c>
      <c r="K451" s="475" t="n">
        <v>36892</v>
      </c>
      <c r="L451" s="254" t="n">
        <v>77148.0765604655</v>
      </c>
      <c r="M451" s="475" t="n">
        <v>36888</v>
      </c>
      <c r="N451" s="0" t="s">
        <v>132</v>
      </c>
      <c r="O451" s="0" t="n">
        <v>0.95</v>
      </c>
      <c r="P451" s="0" t="n">
        <v>0</v>
      </c>
      <c r="Q451" s="0" t="n">
        <v>0</v>
      </c>
      <c r="R451" s="0" t="n">
        <v>0</v>
      </c>
      <c r="S451" s="0" t="n">
        <v>0</v>
      </c>
      <c r="T451" s="0" t="s">
        <v>624</v>
      </c>
      <c r="U451" s="0" t="s">
        <v>149</v>
      </c>
      <c r="V451" s="0" t="s">
        <v>624</v>
      </c>
      <c r="W451" s="0" t="s">
        <v>569</v>
      </c>
      <c r="X451" s="0" t="s">
        <v>624</v>
      </c>
      <c r="Y451" s="0" t="s">
        <v>627</v>
      </c>
      <c r="Z451" s="0" t="s">
        <v>629</v>
      </c>
      <c r="AA451" s="0" t="s">
        <v>624</v>
      </c>
      <c r="AB451" s="0" t="s">
        <v>580</v>
      </c>
      <c r="AC451" s="254" t="n">
        <v>500000</v>
      </c>
      <c r="AD451" s="254" t="n">
        <v>29287.0753254417</v>
      </c>
      <c r="AE451" s="0" t="n">
        <v>0</v>
      </c>
      <c r="AF451" s="0" t="n">
        <v>0</v>
      </c>
      <c r="AG451" s="0" t="n">
        <v>0</v>
      </c>
      <c r="AH451" s="254" t="n">
        <v>-3612.66523746862</v>
      </c>
      <c r="AI451" s="0" t="n">
        <v>226</v>
      </c>
      <c r="AJ451" s="0" t="s">
        <v>630</v>
      </c>
      <c r="AK451" s="0" t="n">
        <v>0</v>
      </c>
      <c r="AL451" s="0" t="n">
        <v>0</v>
      </c>
      <c r="AM451" s="0" t="n">
        <v>0</v>
      </c>
    </row>
    <row r="452" customFormat="false" ht="12.75" hidden="false" customHeight="false" outlineLevel="0" collapsed="false">
      <c r="A452" s="0" t="s">
        <v>631</v>
      </c>
      <c r="B452" s="0" t="s">
        <v>357</v>
      </c>
      <c r="C452" s="0" t="s">
        <v>622</v>
      </c>
      <c r="D452" s="0" t="s">
        <v>623</v>
      </c>
      <c r="E452" s="0" t="s">
        <v>131</v>
      </c>
      <c r="F452" s="0" t="s">
        <v>244</v>
      </c>
      <c r="G452" s="0" t="s">
        <v>628</v>
      </c>
      <c r="H452" s="0" t="s">
        <v>625</v>
      </c>
      <c r="I452" s="0" t="s">
        <v>626</v>
      </c>
      <c r="J452" s="0" t="s">
        <v>627</v>
      </c>
      <c r="K452" s="475" t="n">
        <v>36861</v>
      </c>
      <c r="L452" s="254" t="n">
        <v>103389.795116827</v>
      </c>
      <c r="M452" s="475" t="n">
        <v>36859</v>
      </c>
      <c r="N452" s="0" t="s">
        <v>132</v>
      </c>
      <c r="O452" s="0" t="n">
        <v>0.95</v>
      </c>
      <c r="P452" s="0" t="n">
        <v>0</v>
      </c>
      <c r="Q452" s="0" t="n">
        <v>0</v>
      </c>
      <c r="R452" s="0" t="n">
        <v>0</v>
      </c>
      <c r="S452" s="0" t="n">
        <v>0</v>
      </c>
      <c r="T452" s="0" t="s">
        <v>624</v>
      </c>
      <c r="U452" s="0" t="s">
        <v>149</v>
      </c>
      <c r="V452" s="0" t="s">
        <v>624</v>
      </c>
      <c r="W452" s="0" t="s">
        <v>569</v>
      </c>
      <c r="X452" s="0" t="s">
        <v>624</v>
      </c>
      <c r="Y452" s="0" t="s">
        <v>627</v>
      </c>
      <c r="Z452" s="0" t="s">
        <v>629</v>
      </c>
      <c r="AA452" s="0" t="s">
        <v>624</v>
      </c>
      <c r="AB452" s="0" t="s">
        <v>580</v>
      </c>
      <c r="AC452" s="254" t="n">
        <v>500000</v>
      </c>
      <c r="AD452" s="254" t="n">
        <v>31070.4831710014</v>
      </c>
      <c r="AE452" s="0" t="n">
        <v>0</v>
      </c>
      <c r="AF452" s="0" t="n">
        <v>0</v>
      </c>
      <c r="AG452" s="0" t="n">
        <v>0</v>
      </c>
      <c r="AH452" s="254" t="n">
        <v>-4059.48655223164</v>
      </c>
      <c r="AI452" s="0" t="n">
        <v>226</v>
      </c>
      <c r="AJ452" s="0" t="s">
        <v>630</v>
      </c>
      <c r="AK452" s="0" t="n">
        <v>0</v>
      </c>
      <c r="AL452" s="0" t="n">
        <v>0</v>
      </c>
      <c r="AM452" s="0" t="n">
        <v>0</v>
      </c>
    </row>
    <row r="453" customFormat="false" ht="12.75" hidden="false" customHeight="false" outlineLevel="0" collapsed="false">
      <c r="A453" s="0" t="s">
        <v>631</v>
      </c>
      <c r="B453" s="0" t="s">
        <v>357</v>
      </c>
      <c r="C453" s="0" t="s">
        <v>622</v>
      </c>
      <c r="D453" s="0" t="s">
        <v>623</v>
      </c>
      <c r="E453" s="0" t="s">
        <v>131</v>
      </c>
      <c r="F453" s="0" t="s">
        <v>244</v>
      </c>
      <c r="G453" s="0" t="s">
        <v>628</v>
      </c>
      <c r="H453" s="0" t="s">
        <v>625</v>
      </c>
      <c r="I453" s="0" t="s">
        <v>626</v>
      </c>
      <c r="J453" s="0" t="s">
        <v>627</v>
      </c>
      <c r="K453" s="475" t="n">
        <v>36831</v>
      </c>
      <c r="L453" s="254" t="n">
        <v>182642.688970705</v>
      </c>
      <c r="M453" s="475" t="n">
        <v>36829</v>
      </c>
      <c r="N453" s="0" t="s">
        <v>132</v>
      </c>
      <c r="O453" s="0" t="n">
        <v>0.95</v>
      </c>
      <c r="P453" s="0" t="n">
        <v>0</v>
      </c>
      <c r="Q453" s="0" t="n">
        <v>0</v>
      </c>
      <c r="R453" s="0" t="n">
        <v>0</v>
      </c>
      <c r="S453" s="0" t="n">
        <v>0</v>
      </c>
      <c r="T453" s="0" t="s">
        <v>624</v>
      </c>
      <c r="U453" s="0" t="s">
        <v>149</v>
      </c>
      <c r="V453" s="0" t="s">
        <v>624</v>
      </c>
      <c r="W453" s="0" t="s">
        <v>569</v>
      </c>
      <c r="X453" s="0" t="s">
        <v>624</v>
      </c>
      <c r="Y453" s="0" t="s">
        <v>627</v>
      </c>
      <c r="Z453" s="0" t="s">
        <v>629</v>
      </c>
      <c r="AA453" s="0" t="s">
        <v>624</v>
      </c>
      <c r="AB453" s="0" t="s">
        <v>580</v>
      </c>
      <c r="AC453" s="254" t="n">
        <v>500000</v>
      </c>
      <c r="AD453" s="254" t="n">
        <v>21445.4521400725</v>
      </c>
      <c r="AE453" s="0" t="n">
        <v>0</v>
      </c>
      <c r="AF453" s="0" t="n">
        <v>0</v>
      </c>
      <c r="AG453" s="0" t="n">
        <v>0</v>
      </c>
      <c r="AH453" s="254" t="n">
        <v>-10526.1565454553</v>
      </c>
      <c r="AI453" s="0" t="n">
        <v>226</v>
      </c>
      <c r="AJ453" s="0" t="s">
        <v>630</v>
      </c>
      <c r="AK453" s="0" t="n">
        <v>0</v>
      </c>
      <c r="AL453" s="0" t="n">
        <v>0</v>
      </c>
      <c r="AM453" s="0" t="n">
        <v>0</v>
      </c>
    </row>
    <row r="454" customFormat="false" ht="12.75" hidden="false" customHeight="false" outlineLevel="0" collapsed="false">
      <c r="A454" s="0" t="s">
        <v>631</v>
      </c>
      <c r="B454" s="0" t="s">
        <v>358</v>
      </c>
      <c r="C454" s="0" t="s">
        <v>622</v>
      </c>
      <c r="D454" s="0" t="s">
        <v>623</v>
      </c>
      <c r="E454" s="0" t="s">
        <v>131</v>
      </c>
      <c r="F454" s="0" t="s">
        <v>255</v>
      </c>
      <c r="G454" s="0" t="s">
        <v>628</v>
      </c>
      <c r="H454" s="0" t="s">
        <v>625</v>
      </c>
      <c r="I454" s="0" t="s">
        <v>626</v>
      </c>
      <c r="J454" s="0" t="s">
        <v>627</v>
      </c>
      <c r="K454" s="475" t="n">
        <v>37316</v>
      </c>
      <c r="L454" s="254" t="n">
        <v>-296642.247980018</v>
      </c>
      <c r="M454" s="475" t="n">
        <v>37314</v>
      </c>
      <c r="N454" s="0" t="s">
        <v>132</v>
      </c>
      <c r="O454" s="0" t="n">
        <v>0.95</v>
      </c>
      <c r="P454" s="0" t="n">
        <v>0</v>
      </c>
      <c r="Q454" s="0" t="n">
        <v>0</v>
      </c>
      <c r="R454" s="0" t="n">
        <v>0</v>
      </c>
      <c r="S454" s="0" t="n">
        <v>0</v>
      </c>
      <c r="T454" s="0" t="s">
        <v>624</v>
      </c>
      <c r="U454" s="0" t="s">
        <v>149</v>
      </c>
      <c r="V454" s="0" t="s">
        <v>624</v>
      </c>
      <c r="W454" s="0" t="s">
        <v>569</v>
      </c>
      <c r="X454" s="0" t="s">
        <v>624</v>
      </c>
      <c r="Y454" s="0" t="s">
        <v>627</v>
      </c>
      <c r="Z454" s="0" t="s">
        <v>629</v>
      </c>
      <c r="AA454" s="0" t="s">
        <v>624</v>
      </c>
      <c r="AB454" s="0" t="s">
        <v>580</v>
      </c>
      <c r="AC454" s="254" t="n">
        <v>-1000000</v>
      </c>
      <c r="AD454" s="254" t="n">
        <v>-48929.7139680469</v>
      </c>
      <c r="AE454" s="0" t="n">
        <v>0</v>
      </c>
      <c r="AF454" s="0" t="n">
        <v>0</v>
      </c>
      <c r="AG454" s="0" t="n">
        <v>0</v>
      </c>
      <c r="AH454" s="254" t="n">
        <v>9838.85823520669</v>
      </c>
      <c r="AI454" s="0" t="n">
        <v>226</v>
      </c>
      <c r="AJ454" s="0" t="s">
        <v>630</v>
      </c>
      <c r="AK454" s="0" t="n">
        <v>0</v>
      </c>
      <c r="AL454" s="0" t="n">
        <v>0</v>
      </c>
      <c r="AM454" s="0" t="n">
        <v>0</v>
      </c>
    </row>
    <row r="455" customFormat="false" ht="12.75" hidden="false" customHeight="false" outlineLevel="0" collapsed="false">
      <c r="A455" s="0" t="s">
        <v>631</v>
      </c>
      <c r="B455" s="0" t="s">
        <v>358</v>
      </c>
      <c r="C455" s="0" t="s">
        <v>622</v>
      </c>
      <c r="D455" s="0" t="s">
        <v>623</v>
      </c>
      <c r="E455" s="0" t="s">
        <v>131</v>
      </c>
      <c r="F455" s="0" t="s">
        <v>255</v>
      </c>
      <c r="G455" s="0" t="s">
        <v>628</v>
      </c>
      <c r="H455" s="0" t="s">
        <v>625</v>
      </c>
      <c r="I455" s="0" t="s">
        <v>626</v>
      </c>
      <c r="J455" s="0" t="s">
        <v>627</v>
      </c>
      <c r="K455" s="475" t="n">
        <v>37288</v>
      </c>
      <c r="L455" s="254" t="n">
        <v>-156044.618022908</v>
      </c>
      <c r="M455" s="475" t="n">
        <v>37286</v>
      </c>
      <c r="N455" s="0" t="s">
        <v>132</v>
      </c>
      <c r="O455" s="0" t="n">
        <v>0.95</v>
      </c>
      <c r="P455" s="0" t="n">
        <v>0</v>
      </c>
      <c r="Q455" s="0" t="n">
        <v>0</v>
      </c>
      <c r="R455" s="0" t="n">
        <v>0</v>
      </c>
      <c r="S455" s="0" t="n">
        <v>0</v>
      </c>
      <c r="T455" s="0" t="s">
        <v>624</v>
      </c>
      <c r="U455" s="0" t="s">
        <v>149</v>
      </c>
      <c r="V455" s="0" t="s">
        <v>624</v>
      </c>
      <c r="W455" s="0" t="s">
        <v>569</v>
      </c>
      <c r="X455" s="0" t="s">
        <v>624</v>
      </c>
      <c r="Y455" s="0" t="s">
        <v>627</v>
      </c>
      <c r="Z455" s="0" t="s">
        <v>629</v>
      </c>
      <c r="AA455" s="0" t="s">
        <v>624</v>
      </c>
      <c r="AB455" s="0" t="s">
        <v>580</v>
      </c>
      <c r="AC455" s="254" t="n">
        <v>-1000000</v>
      </c>
      <c r="AD455" s="254" t="n">
        <v>-41105.3251797784</v>
      </c>
      <c r="AE455" s="0" t="n">
        <v>0</v>
      </c>
      <c r="AF455" s="0" t="n">
        <v>0</v>
      </c>
      <c r="AG455" s="0" t="n">
        <v>0</v>
      </c>
      <c r="AH455" s="254" t="n">
        <v>4650.67626417292</v>
      </c>
      <c r="AI455" s="0" t="n">
        <v>226</v>
      </c>
      <c r="AJ455" s="0" t="s">
        <v>630</v>
      </c>
      <c r="AK455" s="0" t="n">
        <v>0</v>
      </c>
      <c r="AL455" s="0" t="n">
        <v>0</v>
      </c>
      <c r="AM455" s="0" t="n">
        <v>0</v>
      </c>
    </row>
    <row r="456" customFormat="false" ht="12.75" hidden="false" customHeight="false" outlineLevel="0" collapsed="false">
      <c r="A456" s="0" t="s">
        <v>631</v>
      </c>
      <c r="B456" s="0" t="s">
        <v>358</v>
      </c>
      <c r="C456" s="0" t="s">
        <v>622</v>
      </c>
      <c r="D456" s="0" t="s">
        <v>623</v>
      </c>
      <c r="E456" s="0" t="s">
        <v>131</v>
      </c>
      <c r="F456" s="0" t="s">
        <v>255</v>
      </c>
      <c r="G456" s="0" t="s">
        <v>628</v>
      </c>
      <c r="H456" s="0" t="s">
        <v>625</v>
      </c>
      <c r="I456" s="0" t="s">
        <v>626</v>
      </c>
      <c r="J456" s="0" t="s">
        <v>627</v>
      </c>
      <c r="K456" s="475" t="n">
        <v>37257</v>
      </c>
      <c r="L456" s="254" t="n">
        <v>-167122.470763814</v>
      </c>
      <c r="M456" s="475" t="n">
        <v>37253</v>
      </c>
      <c r="N456" s="0" t="s">
        <v>132</v>
      </c>
      <c r="O456" s="0" t="n">
        <v>0.95</v>
      </c>
      <c r="P456" s="0" t="n">
        <v>0</v>
      </c>
      <c r="Q456" s="0" t="n">
        <v>0</v>
      </c>
      <c r="R456" s="0" t="n">
        <v>0</v>
      </c>
      <c r="S456" s="0" t="n">
        <v>0</v>
      </c>
      <c r="T456" s="0" t="s">
        <v>624</v>
      </c>
      <c r="U456" s="0" t="s">
        <v>149</v>
      </c>
      <c r="V456" s="0" t="s">
        <v>624</v>
      </c>
      <c r="W456" s="0" t="s">
        <v>569</v>
      </c>
      <c r="X456" s="0" t="s">
        <v>624</v>
      </c>
      <c r="Y456" s="0" t="s">
        <v>627</v>
      </c>
      <c r="Z456" s="0" t="s">
        <v>629</v>
      </c>
      <c r="AA456" s="0" t="s">
        <v>624</v>
      </c>
      <c r="AB456" s="0" t="s">
        <v>580</v>
      </c>
      <c r="AC456" s="254" t="n">
        <v>-1000000</v>
      </c>
      <c r="AD456" s="254" t="n">
        <v>-42724.8331510956</v>
      </c>
      <c r="AE456" s="0" t="n">
        <v>0</v>
      </c>
      <c r="AF456" s="0" t="n">
        <v>0</v>
      </c>
      <c r="AG456" s="0" t="n">
        <v>0</v>
      </c>
      <c r="AH456" s="254" t="n">
        <v>4663.46555393835</v>
      </c>
      <c r="AI456" s="0" t="n">
        <v>226</v>
      </c>
      <c r="AJ456" s="0" t="s">
        <v>630</v>
      </c>
      <c r="AK456" s="0" t="n">
        <v>0</v>
      </c>
      <c r="AL456" s="0" t="n">
        <v>0</v>
      </c>
      <c r="AM456" s="0" t="n">
        <v>0</v>
      </c>
    </row>
    <row r="457" customFormat="false" ht="12.75" hidden="false" customHeight="false" outlineLevel="0" collapsed="false">
      <c r="A457" s="0" t="s">
        <v>631</v>
      </c>
      <c r="B457" s="0" t="s">
        <v>358</v>
      </c>
      <c r="C457" s="0" t="s">
        <v>622</v>
      </c>
      <c r="D457" s="0" t="s">
        <v>623</v>
      </c>
      <c r="E457" s="0" t="s">
        <v>131</v>
      </c>
      <c r="F457" s="0" t="s">
        <v>255</v>
      </c>
      <c r="G457" s="0" t="s">
        <v>628</v>
      </c>
      <c r="H457" s="0" t="s">
        <v>625</v>
      </c>
      <c r="I457" s="0" t="s">
        <v>626</v>
      </c>
      <c r="J457" s="0" t="s">
        <v>627</v>
      </c>
      <c r="K457" s="475" t="n">
        <v>37226</v>
      </c>
      <c r="L457" s="254" t="n">
        <v>-216931.413674174</v>
      </c>
      <c r="M457" s="475" t="n">
        <v>37224</v>
      </c>
      <c r="N457" s="0" t="s">
        <v>132</v>
      </c>
      <c r="O457" s="0" t="n">
        <v>0.95</v>
      </c>
      <c r="P457" s="0" t="n">
        <v>0</v>
      </c>
      <c r="Q457" s="0" t="n">
        <v>0</v>
      </c>
      <c r="R457" s="0" t="n">
        <v>0</v>
      </c>
      <c r="S457" s="0" t="n">
        <v>0</v>
      </c>
      <c r="T457" s="0" t="s">
        <v>624</v>
      </c>
      <c r="U457" s="0" t="s">
        <v>149</v>
      </c>
      <c r="V457" s="0" t="s">
        <v>624</v>
      </c>
      <c r="W457" s="0" t="s">
        <v>569</v>
      </c>
      <c r="X457" s="0" t="s">
        <v>624</v>
      </c>
      <c r="Y457" s="0" t="s">
        <v>627</v>
      </c>
      <c r="Z457" s="0" t="s">
        <v>629</v>
      </c>
      <c r="AA457" s="0" t="s">
        <v>624</v>
      </c>
      <c r="AB457" s="0" t="s">
        <v>580</v>
      </c>
      <c r="AC457" s="254" t="n">
        <v>-1000000</v>
      </c>
      <c r="AD457" s="254" t="n">
        <v>-46630.5862305667</v>
      </c>
      <c r="AE457" s="0" t="n">
        <v>0</v>
      </c>
      <c r="AF457" s="0" t="n">
        <v>0</v>
      </c>
      <c r="AG457" s="0" t="n">
        <v>0</v>
      </c>
      <c r="AH457" s="254" t="n">
        <v>6430.23860850625</v>
      </c>
      <c r="AI457" s="0" t="n">
        <v>226</v>
      </c>
      <c r="AJ457" s="0" t="s">
        <v>630</v>
      </c>
      <c r="AK457" s="0" t="n">
        <v>0</v>
      </c>
      <c r="AL457" s="0" t="n">
        <v>0</v>
      </c>
      <c r="AM457" s="0" t="n">
        <v>0</v>
      </c>
    </row>
    <row r="458" customFormat="false" ht="12.75" hidden="false" customHeight="false" outlineLevel="0" collapsed="false">
      <c r="A458" s="0" t="s">
        <v>631</v>
      </c>
      <c r="B458" s="0" t="s">
        <v>358</v>
      </c>
      <c r="C458" s="0" t="s">
        <v>622</v>
      </c>
      <c r="D458" s="0" t="s">
        <v>623</v>
      </c>
      <c r="E458" s="0" t="s">
        <v>131</v>
      </c>
      <c r="F458" s="0" t="s">
        <v>255</v>
      </c>
      <c r="G458" s="0" t="s">
        <v>628</v>
      </c>
      <c r="H458" s="0" t="s">
        <v>625</v>
      </c>
      <c r="I458" s="0" t="s">
        <v>626</v>
      </c>
      <c r="J458" s="0" t="s">
        <v>627</v>
      </c>
      <c r="K458" s="475" t="n">
        <v>37196</v>
      </c>
      <c r="L458" s="254" t="n">
        <v>-350551.480878338</v>
      </c>
      <c r="M458" s="475" t="n">
        <v>37194</v>
      </c>
      <c r="N458" s="0" t="s">
        <v>132</v>
      </c>
      <c r="O458" s="0" t="n">
        <v>0.95</v>
      </c>
      <c r="P458" s="0" t="n">
        <v>0</v>
      </c>
      <c r="Q458" s="0" t="n">
        <v>0</v>
      </c>
      <c r="R458" s="0" t="n">
        <v>0</v>
      </c>
      <c r="S458" s="0" t="n">
        <v>0</v>
      </c>
      <c r="T458" s="0" t="s">
        <v>624</v>
      </c>
      <c r="U458" s="0" t="s">
        <v>149</v>
      </c>
      <c r="V458" s="0" t="s">
        <v>624</v>
      </c>
      <c r="W458" s="0" t="s">
        <v>569</v>
      </c>
      <c r="X458" s="0" t="s">
        <v>624</v>
      </c>
      <c r="Y458" s="0" t="s">
        <v>627</v>
      </c>
      <c r="Z458" s="0" t="s">
        <v>629</v>
      </c>
      <c r="AA458" s="0" t="s">
        <v>624</v>
      </c>
      <c r="AB458" s="0" t="s">
        <v>580</v>
      </c>
      <c r="AC458" s="254" t="n">
        <v>-1000000</v>
      </c>
      <c r="AD458" s="254" t="n">
        <v>-49712.2634615444</v>
      </c>
      <c r="AE458" s="0" t="n">
        <v>0</v>
      </c>
      <c r="AF458" s="0" t="n">
        <v>0</v>
      </c>
      <c r="AG458" s="0" t="n">
        <v>0</v>
      </c>
      <c r="AH458" s="254" t="n">
        <v>11080.1250841242</v>
      </c>
      <c r="AI458" s="0" t="n">
        <v>226</v>
      </c>
      <c r="AJ458" s="0" t="s">
        <v>630</v>
      </c>
      <c r="AK458" s="0" t="n">
        <v>0</v>
      </c>
      <c r="AL458" s="0" t="n">
        <v>0</v>
      </c>
      <c r="AM458" s="0" t="n">
        <v>0</v>
      </c>
    </row>
    <row r="459" customFormat="false" ht="12.75" hidden="false" customHeight="false" outlineLevel="0" collapsed="false">
      <c r="A459" s="0" t="s">
        <v>631</v>
      </c>
      <c r="B459" s="0" t="s">
        <v>359</v>
      </c>
      <c r="C459" s="0" t="s">
        <v>622</v>
      </c>
      <c r="D459" s="0" t="s">
        <v>623</v>
      </c>
      <c r="E459" s="0" t="s">
        <v>131</v>
      </c>
      <c r="F459" s="0" t="s">
        <v>198</v>
      </c>
      <c r="G459" s="0" t="s">
        <v>628</v>
      </c>
      <c r="H459" s="0" t="s">
        <v>625</v>
      </c>
      <c r="I459" s="0" t="s">
        <v>626</v>
      </c>
      <c r="J459" s="0" t="s">
        <v>627</v>
      </c>
      <c r="K459" s="475" t="n">
        <v>36951</v>
      </c>
      <c r="L459" s="254" t="n">
        <v>-303941.584971605</v>
      </c>
      <c r="M459" s="475" t="n">
        <v>36949</v>
      </c>
      <c r="N459" s="0" t="s">
        <v>136</v>
      </c>
      <c r="O459" s="0" t="n">
        <v>1.7</v>
      </c>
      <c r="P459" s="0" t="n">
        <v>0</v>
      </c>
      <c r="Q459" s="0" t="n">
        <v>0</v>
      </c>
      <c r="R459" s="0" t="n">
        <v>0</v>
      </c>
      <c r="S459" s="0" t="n">
        <v>0</v>
      </c>
      <c r="T459" s="0" t="s">
        <v>624</v>
      </c>
      <c r="U459" s="0" t="s">
        <v>149</v>
      </c>
      <c r="V459" s="0" t="s">
        <v>624</v>
      </c>
      <c r="W459" s="0" t="s">
        <v>569</v>
      </c>
      <c r="X459" s="0" t="s">
        <v>624</v>
      </c>
      <c r="Y459" s="0" t="s">
        <v>627</v>
      </c>
      <c r="Z459" s="0" t="s">
        <v>629</v>
      </c>
      <c r="AA459" s="0" t="s">
        <v>624</v>
      </c>
      <c r="AB459" s="0" t="s">
        <v>580</v>
      </c>
      <c r="AC459" s="254" t="n">
        <v>-1000000</v>
      </c>
      <c r="AD459" s="254" t="n">
        <v>-78653.6183413274</v>
      </c>
      <c r="AE459" s="0" t="n">
        <v>0</v>
      </c>
      <c r="AF459" s="0" t="n">
        <v>0</v>
      </c>
      <c r="AG459" s="0" t="n">
        <v>0</v>
      </c>
      <c r="AH459" s="254" t="n">
        <v>-25626.494354564</v>
      </c>
      <c r="AI459" s="0" t="n">
        <v>226</v>
      </c>
      <c r="AJ459" s="0" t="s">
        <v>630</v>
      </c>
      <c r="AK459" s="0" t="n">
        <v>0</v>
      </c>
      <c r="AL459" s="0" t="n">
        <v>0</v>
      </c>
      <c r="AM459" s="0" t="n">
        <v>0</v>
      </c>
    </row>
    <row r="460" customFormat="false" ht="12.75" hidden="false" customHeight="false" outlineLevel="0" collapsed="false">
      <c r="A460" s="0" t="s">
        <v>631</v>
      </c>
      <c r="B460" s="0" t="s">
        <v>359</v>
      </c>
      <c r="C460" s="0" t="s">
        <v>622</v>
      </c>
      <c r="D460" s="0" t="s">
        <v>623</v>
      </c>
      <c r="E460" s="0" t="s">
        <v>131</v>
      </c>
      <c r="F460" s="0" t="s">
        <v>198</v>
      </c>
      <c r="G460" s="0" t="s">
        <v>628</v>
      </c>
      <c r="H460" s="0" t="s">
        <v>625</v>
      </c>
      <c r="I460" s="0" t="s">
        <v>626</v>
      </c>
      <c r="J460" s="0" t="s">
        <v>627</v>
      </c>
      <c r="K460" s="475" t="n">
        <v>36923</v>
      </c>
      <c r="L460" s="254" t="n">
        <v>-855869.332716489</v>
      </c>
      <c r="M460" s="475" t="n">
        <v>36921</v>
      </c>
      <c r="N460" s="0" t="s">
        <v>136</v>
      </c>
      <c r="O460" s="0" t="n">
        <v>1.7</v>
      </c>
      <c r="P460" s="0" t="n">
        <v>0</v>
      </c>
      <c r="Q460" s="0" t="n">
        <v>0</v>
      </c>
      <c r="R460" s="0" t="n">
        <v>0</v>
      </c>
      <c r="S460" s="0" t="n">
        <v>0</v>
      </c>
      <c r="T460" s="0" t="s">
        <v>624</v>
      </c>
      <c r="U460" s="0" t="s">
        <v>149</v>
      </c>
      <c r="V460" s="0" t="s">
        <v>624</v>
      </c>
      <c r="W460" s="0" t="s">
        <v>569</v>
      </c>
      <c r="X460" s="0" t="s">
        <v>624</v>
      </c>
      <c r="Y460" s="0" t="s">
        <v>627</v>
      </c>
      <c r="Z460" s="0" t="s">
        <v>629</v>
      </c>
      <c r="AA460" s="0" t="s">
        <v>624</v>
      </c>
      <c r="AB460" s="0" t="s">
        <v>580</v>
      </c>
      <c r="AC460" s="254" t="n">
        <v>-1000000</v>
      </c>
      <c r="AD460" s="254" t="n">
        <v>-84947.4916668227</v>
      </c>
      <c r="AE460" s="0" t="n">
        <v>0</v>
      </c>
      <c r="AF460" s="0" t="n">
        <v>0</v>
      </c>
      <c r="AG460" s="0" t="n">
        <v>0</v>
      </c>
      <c r="AH460" s="254" t="n">
        <v>-47406.5971831759</v>
      </c>
      <c r="AI460" s="0" t="n">
        <v>226</v>
      </c>
      <c r="AJ460" s="0" t="s">
        <v>630</v>
      </c>
      <c r="AK460" s="0" t="n">
        <v>0</v>
      </c>
      <c r="AL460" s="0" t="n">
        <v>0</v>
      </c>
      <c r="AM460" s="0" t="n">
        <v>0</v>
      </c>
    </row>
    <row r="461" customFormat="false" ht="12.75" hidden="false" customHeight="false" outlineLevel="0" collapsed="false">
      <c r="A461" s="0" t="s">
        <v>631</v>
      </c>
      <c r="B461" s="0" t="s">
        <v>359</v>
      </c>
      <c r="C461" s="0" t="s">
        <v>622</v>
      </c>
      <c r="D461" s="0" t="s">
        <v>623</v>
      </c>
      <c r="E461" s="0" t="s">
        <v>131</v>
      </c>
      <c r="F461" s="0" t="s">
        <v>198</v>
      </c>
      <c r="G461" s="0" t="s">
        <v>628</v>
      </c>
      <c r="H461" s="0" t="s">
        <v>625</v>
      </c>
      <c r="I461" s="0" t="s">
        <v>626</v>
      </c>
      <c r="J461" s="0" t="s">
        <v>627</v>
      </c>
      <c r="K461" s="475" t="n">
        <v>36892</v>
      </c>
      <c r="L461" s="254" t="n">
        <v>-874065.095188725</v>
      </c>
      <c r="M461" s="475" t="n">
        <v>36888</v>
      </c>
      <c r="N461" s="0" t="s">
        <v>136</v>
      </c>
      <c r="O461" s="0" t="n">
        <v>1.7</v>
      </c>
      <c r="P461" s="0" t="n">
        <v>0</v>
      </c>
      <c r="Q461" s="0" t="n">
        <v>0</v>
      </c>
      <c r="R461" s="0" t="n">
        <v>0</v>
      </c>
      <c r="S461" s="0" t="n">
        <v>0</v>
      </c>
      <c r="T461" s="0" t="s">
        <v>624</v>
      </c>
      <c r="U461" s="0" t="s">
        <v>149</v>
      </c>
      <c r="V461" s="0" t="s">
        <v>624</v>
      </c>
      <c r="W461" s="0" t="s">
        <v>569</v>
      </c>
      <c r="X461" s="0" t="s">
        <v>624</v>
      </c>
      <c r="Y461" s="0" t="s">
        <v>627</v>
      </c>
      <c r="Z461" s="0" t="s">
        <v>629</v>
      </c>
      <c r="AA461" s="0" t="s">
        <v>624</v>
      </c>
      <c r="AB461" s="0" t="s">
        <v>580</v>
      </c>
      <c r="AC461" s="254" t="n">
        <v>-1000000</v>
      </c>
      <c r="AD461" s="254" t="n">
        <v>-76646.4115827656</v>
      </c>
      <c r="AE461" s="0" t="n">
        <v>0</v>
      </c>
      <c r="AF461" s="0" t="n">
        <v>0</v>
      </c>
      <c r="AG461" s="0" t="n">
        <v>0</v>
      </c>
      <c r="AH461" s="254" t="n">
        <v>-42184.4090023559</v>
      </c>
      <c r="AI461" s="0" t="n">
        <v>226</v>
      </c>
      <c r="AJ461" s="0" t="s">
        <v>630</v>
      </c>
      <c r="AK461" s="0" t="n">
        <v>0</v>
      </c>
      <c r="AL461" s="0" t="n">
        <v>0</v>
      </c>
      <c r="AM461" s="0" t="n">
        <v>0</v>
      </c>
    </row>
    <row r="462" customFormat="false" ht="12.75" hidden="false" customHeight="false" outlineLevel="0" collapsed="false">
      <c r="A462" s="0" t="s">
        <v>631</v>
      </c>
      <c r="B462" s="0" t="s">
        <v>359</v>
      </c>
      <c r="C462" s="0" t="s">
        <v>622</v>
      </c>
      <c r="D462" s="0" t="s">
        <v>623</v>
      </c>
      <c r="E462" s="0" t="s">
        <v>131</v>
      </c>
      <c r="F462" s="0" t="s">
        <v>198</v>
      </c>
      <c r="G462" s="0" t="s">
        <v>628</v>
      </c>
      <c r="H462" s="0" t="s">
        <v>625</v>
      </c>
      <c r="I462" s="0" t="s">
        <v>626</v>
      </c>
      <c r="J462" s="0" t="s">
        <v>627</v>
      </c>
      <c r="K462" s="475" t="n">
        <v>36861</v>
      </c>
      <c r="L462" s="254" t="n">
        <v>-492915.467469331</v>
      </c>
      <c r="M462" s="475" t="n">
        <v>36859</v>
      </c>
      <c r="N462" s="0" t="s">
        <v>136</v>
      </c>
      <c r="O462" s="0" t="n">
        <v>1.7</v>
      </c>
      <c r="P462" s="0" t="n">
        <v>0</v>
      </c>
      <c r="Q462" s="0" t="n">
        <v>0</v>
      </c>
      <c r="R462" s="0" t="n">
        <v>0</v>
      </c>
      <c r="S462" s="0" t="n">
        <v>0</v>
      </c>
      <c r="T462" s="0" t="s">
        <v>624</v>
      </c>
      <c r="U462" s="0" t="s">
        <v>149</v>
      </c>
      <c r="V462" s="0" t="s">
        <v>624</v>
      </c>
      <c r="W462" s="0" t="s">
        <v>569</v>
      </c>
      <c r="X462" s="0" t="s">
        <v>624</v>
      </c>
      <c r="Y462" s="0" t="s">
        <v>627</v>
      </c>
      <c r="Z462" s="0" t="s">
        <v>629</v>
      </c>
      <c r="AA462" s="0" t="s">
        <v>624</v>
      </c>
      <c r="AB462" s="0" t="s">
        <v>580</v>
      </c>
      <c r="AC462" s="254" t="n">
        <v>-1000000</v>
      </c>
      <c r="AD462" s="254" t="n">
        <v>-70475.5846196589</v>
      </c>
      <c r="AE462" s="0" t="n">
        <v>0</v>
      </c>
      <c r="AF462" s="0" t="n">
        <v>0</v>
      </c>
      <c r="AG462" s="0" t="n">
        <v>0</v>
      </c>
      <c r="AH462" s="254" t="n">
        <v>-26515.1085327822</v>
      </c>
      <c r="AI462" s="0" t="n">
        <v>226</v>
      </c>
      <c r="AJ462" s="0" t="s">
        <v>630</v>
      </c>
      <c r="AK462" s="0" t="n">
        <v>0</v>
      </c>
      <c r="AL462" s="0" t="n">
        <v>0</v>
      </c>
      <c r="AM462" s="0" t="n">
        <v>0</v>
      </c>
    </row>
    <row r="463" customFormat="false" ht="12.75" hidden="false" customHeight="false" outlineLevel="0" collapsed="false">
      <c r="A463" s="0" t="s">
        <v>631</v>
      </c>
      <c r="B463" s="0" t="s">
        <v>359</v>
      </c>
      <c r="C463" s="0" t="s">
        <v>622</v>
      </c>
      <c r="D463" s="0" t="s">
        <v>623</v>
      </c>
      <c r="E463" s="0" t="s">
        <v>131</v>
      </c>
      <c r="F463" s="0" t="s">
        <v>198</v>
      </c>
      <c r="G463" s="0" t="s">
        <v>628</v>
      </c>
      <c r="H463" s="0" t="s">
        <v>625</v>
      </c>
      <c r="I463" s="0" t="s">
        <v>626</v>
      </c>
      <c r="J463" s="0" t="s">
        <v>627</v>
      </c>
      <c r="K463" s="475" t="n">
        <v>36831</v>
      </c>
      <c r="L463" s="254" t="n">
        <v>-39805.7070905871</v>
      </c>
      <c r="M463" s="475" t="n">
        <v>36829</v>
      </c>
      <c r="N463" s="0" t="s">
        <v>136</v>
      </c>
      <c r="O463" s="0" t="n">
        <v>1.7</v>
      </c>
      <c r="P463" s="0" t="n">
        <v>0</v>
      </c>
      <c r="Q463" s="0" t="n">
        <v>0</v>
      </c>
      <c r="R463" s="0" t="n">
        <v>0</v>
      </c>
      <c r="S463" s="0" t="n">
        <v>0</v>
      </c>
      <c r="T463" s="0" t="s">
        <v>624</v>
      </c>
      <c r="U463" s="0" t="s">
        <v>149</v>
      </c>
      <c r="V463" s="0" t="s">
        <v>624</v>
      </c>
      <c r="W463" s="0" t="s">
        <v>569</v>
      </c>
      <c r="X463" s="0" t="s">
        <v>624</v>
      </c>
      <c r="Y463" s="0" t="s">
        <v>627</v>
      </c>
      <c r="Z463" s="0" t="s">
        <v>629</v>
      </c>
      <c r="AA463" s="0" t="s">
        <v>624</v>
      </c>
      <c r="AB463" s="0" t="s">
        <v>580</v>
      </c>
      <c r="AC463" s="254" t="n">
        <v>-1000000</v>
      </c>
      <c r="AD463" s="254" t="n">
        <v>-20019.4925375773</v>
      </c>
      <c r="AE463" s="0" t="n">
        <v>0</v>
      </c>
      <c r="AF463" s="0" t="n">
        <v>0</v>
      </c>
      <c r="AG463" s="0" t="n">
        <v>0</v>
      </c>
      <c r="AH463" s="254" t="n">
        <v>-5844.34960801612</v>
      </c>
      <c r="AI463" s="0" t="n">
        <v>226</v>
      </c>
      <c r="AJ463" s="0" t="s">
        <v>630</v>
      </c>
      <c r="AK463" s="0" t="n">
        <v>0</v>
      </c>
      <c r="AL463" s="0" t="n">
        <v>0</v>
      </c>
      <c r="AM463" s="0" t="n">
        <v>0</v>
      </c>
    </row>
    <row r="464" customFormat="false" ht="12.75" hidden="false" customHeight="false" outlineLevel="0" collapsed="false">
      <c r="A464" s="0" t="s">
        <v>631</v>
      </c>
      <c r="B464" s="0" t="s">
        <v>360</v>
      </c>
      <c r="C464" s="0" t="s">
        <v>622</v>
      </c>
      <c r="D464" s="0" t="s">
        <v>623</v>
      </c>
      <c r="E464" s="0" t="s">
        <v>131</v>
      </c>
      <c r="F464" s="0" t="s">
        <v>198</v>
      </c>
      <c r="G464" s="0" t="s">
        <v>628</v>
      </c>
      <c r="H464" s="0" t="s">
        <v>625</v>
      </c>
      <c r="I464" s="0" t="s">
        <v>626</v>
      </c>
      <c r="J464" s="0" t="s">
        <v>627</v>
      </c>
      <c r="K464" s="475" t="n">
        <v>36951</v>
      </c>
      <c r="L464" s="254" t="n">
        <v>-907740.381292351</v>
      </c>
      <c r="M464" s="475" t="n">
        <v>36949</v>
      </c>
      <c r="N464" s="0" t="s">
        <v>132</v>
      </c>
      <c r="O464" s="0" t="n">
        <v>1.7</v>
      </c>
      <c r="P464" s="0" t="n">
        <v>0</v>
      </c>
      <c r="Q464" s="0" t="n">
        <v>0</v>
      </c>
      <c r="R464" s="0" t="n">
        <v>0</v>
      </c>
      <c r="S464" s="0" t="n">
        <v>0</v>
      </c>
      <c r="T464" s="0" t="s">
        <v>624</v>
      </c>
      <c r="U464" s="0" t="s">
        <v>149</v>
      </c>
      <c r="V464" s="0" t="s">
        <v>624</v>
      </c>
      <c r="W464" s="0" t="s">
        <v>569</v>
      </c>
      <c r="X464" s="0" t="s">
        <v>624</v>
      </c>
      <c r="Y464" s="0" t="s">
        <v>627</v>
      </c>
      <c r="Z464" s="0" t="s">
        <v>629</v>
      </c>
      <c r="AA464" s="0" t="s">
        <v>624</v>
      </c>
      <c r="AB464" s="0" t="s">
        <v>580</v>
      </c>
      <c r="AC464" s="254" t="n">
        <v>-1000000</v>
      </c>
      <c r="AD464" s="254" t="n">
        <v>-78653.6183413273</v>
      </c>
      <c r="AE464" s="0" t="n">
        <v>0</v>
      </c>
      <c r="AF464" s="0" t="n">
        <v>0</v>
      </c>
      <c r="AG464" s="0" t="n">
        <v>0</v>
      </c>
      <c r="AH464" s="254" t="n">
        <v>32309.6395529845</v>
      </c>
      <c r="AI464" s="0" t="n">
        <v>226</v>
      </c>
      <c r="AJ464" s="0" t="s">
        <v>630</v>
      </c>
      <c r="AK464" s="0" t="n">
        <v>0</v>
      </c>
      <c r="AL464" s="0" t="n">
        <v>0</v>
      </c>
      <c r="AM464" s="0" t="n">
        <v>0</v>
      </c>
    </row>
    <row r="465" customFormat="false" ht="12.75" hidden="false" customHeight="false" outlineLevel="0" collapsed="false">
      <c r="A465" s="0" t="s">
        <v>631</v>
      </c>
      <c r="B465" s="0" t="s">
        <v>360</v>
      </c>
      <c r="C465" s="0" t="s">
        <v>622</v>
      </c>
      <c r="D465" s="0" t="s">
        <v>623</v>
      </c>
      <c r="E465" s="0" t="s">
        <v>131</v>
      </c>
      <c r="F465" s="0" t="s">
        <v>198</v>
      </c>
      <c r="G465" s="0" t="s">
        <v>628</v>
      </c>
      <c r="H465" s="0" t="s">
        <v>625</v>
      </c>
      <c r="I465" s="0" t="s">
        <v>626</v>
      </c>
      <c r="J465" s="0" t="s">
        <v>627</v>
      </c>
      <c r="K465" s="475" t="n">
        <v>36923</v>
      </c>
      <c r="L465" s="254" t="n">
        <v>-477065.632907757</v>
      </c>
      <c r="M465" s="475" t="n">
        <v>36921</v>
      </c>
      <c r="N465" s="0" t="s">
        <v>132</v>
      </c>
      <c r="O465" s="0" t="n">
        <v>1.7</v>
      </c>
      <c r="P465" s="0" t="n">
        <v>0</v>
      </c>
      <c r="Q465" s="0" t="n">
        <v>0</v>
      </c>
      <c r="R465" s="0" t="n">
        <v>0</v>
      </c>
      <c r="S465" s="0" t="n">
        <v>0</v>
      </c>
      <c r="T465" s="0" t="s">
        <v>624</v>
      </c>
      <c r="U465" s="0" t="s">
        <v>149</v>
      </c>
      <c r="V465" s="0" t="s">
        <v>624</v>
      </c>
      <c r="W465" s="0" t="s">
        <v>569</v>
      </c>
      <c r="X465" s="0" t="s">
        <v>624</v>
      </c>
      <c r="Y465" s="0" t="s">
        <v>627</v>
      </c>
      <c r="Z465" s="0" t="s">
        <v>629</v>
      </c>
      <c r="AA465" s="0" t="s">
        <v>624</v>
      </c>
      <c r="AB465" s="0" t="s">
        <v>580</v>
      </c>
      <c r="AC465" s="254" t="n">
        <v>-1000000</v>
      </c>
      <c r="AD465" s="254" t="n">
        <v>-84947.4916668227</v>
      </c>
      <c r="AE465" s="0" t="n">
        <v>0</v>
      </c>
      <c r="AF465" s="0" t="n">
        <v>0</v>
      </c>
      <c r="AG465" s="0" t="n">
        <v>0</v>
      </c>
      <c r="AH465" s="254" t="n">
        <v>20548.859436377</v>
      </c>
      <c r="AI465" s="0" t="n">
        <v>226</v>
      </c>
      <c r="AJ465" s="0" t="s">
        <v>630</v>
      </c>
      <c r="AK465" s="0" t="n">
        <v>0</v>
      </c>
      <c r="AL465" s="0" t="n">
        <v>0</v>
      </c>
      <c r="AM465" s="0" t="n">
        <v>0</v>
      </c>
    </row>
    <row r="466" customFormat="false" ht="12.75" hidden="false" customHeight="false" outlineLevel="0" collapsed="false">
      <c r="A466" s="0" t="s">
        <v>631</v>
      </c>
      <c r="B466" s="0" t="s">
        <v>360</v>
      </c>
      <c r="C466" s="0" t="s">
        <v>622</v>
      </c>
      <c r="D466" s="0" t="s">
        <v>623</v>
      </c>
      <c r="E466" s="0" t="s">
        <v>131</v>
      </c>
      <c r="F466" s="0" t="s">
        <v>198</v>
      </c>
      <c r="G466" s="0" t="s">
        <v>628</v>
      </c>
      <c r="H466" s="0" t="s">
        <v>625</v>
      </c>
      <c r="I466" s="0" t="s">
        <v>626</v>
      </c>
      <c r="J466" s="0" t="s">
        <v>627</v>
      </c>
      <c r="K466" s="475" t="n">
        <v>36892</v>
      </c>
      <c r="L466" s="254" t="n">
        <v>-414677.501556948</v>
      </c>
      <c r="M466" s="475" t="n">
        <v>36888</v>
      </c>
      <c r="N466" s="0" t="s">
        <v>132</v>
      </c>
      <c r="O466" s="0" t="n">
        <v>1.7</v>
      </c>
      <c r="P466" s="0" t="n">
        <v>0</v>
      </c>
      <c r="Q466" s="0" t="n">
        <v>0</v>
      </c>
      <c r="R466" s="0" t="n">
        <v>0</v>
      </c>
      <c r="S466" s="0" t="n">
        <v>0</v>
      </c>
      <c r="T466" s="0" t="s">
        <v>624</v>
      </c>
      <c r="U466" s="0" t="s">
        <v>149</v>
      </c>
      <c r="V466" s="0" t="s">
        <v>624</v>
      </c>
      <c r="W466" s="0" t="s">
        <v>569</v>
      </c>
      <c r="X466" s="0" t="s">
        <v>624</v>
      </c>
      <c r="Y466" s="0" t="s">
        <v>627</v>
      </c>
      <c r="Z466" s="0" t="s">
        <v>629</v>
      </c>
      <c r="AA466" s="0" t="s">
        <v>624</v>
      </c>
      <c r="AB466" s="0" t="s">
        <v>580</v>
      </c>
      <c r="AC466" s="254" t="n">
        <v>-1000000</v>
      </c>
      <c r="AD466" s="254" t="n">
        <v>-76646.4115827656</v>
      </c>
      <c r="AE466" s="0" t="n">
        <v>0</v>
      </c>
      <c r="AF466" s="0" t="n">
        <v>0</v>
      </c>
      <c r="AG466" s="0" t="n">
        <v>0</v>
      </c>
      <c r="AH466" s="254" t="n">
        <v>16429.5482475812</v>
      </c>
      <c r="AI466" s="0" t="n">
        <v>226</v>
      </c>
      <c r="AJ466" s="0" t="s">
        <v>630</v>
      </c>
      <c r="AK466" s="0" t="n">
        <v>0</v>
      </c>
      <c r="AL466" s="0" t="n">
        <v>0</v>
      </c>
      <c r="AM466" s="0" t="n">
        <v>0</v>
      </c>
    </row>
    <row r="467" customFormat="false" ht="12.75" hidden="false" customHeight="false" outlineLevel="0" collapsed="false">
      <c r="A467" s="0" t="s">
        <v>631</v>
      </c>
      <c r="B467" s="0" t="s">
        <v>360</v>
      </c>
      <c r="C467" s="0" t="s">
        <v>622</v>
      </c>
      <c r="D467" s="0" t="s">
        <v>623</v>
      </c>
      <c r="E467" s="0" t="s">
        <v>131</v>
      </c>
      <c r="F467" s="0" t="s">
        <v>198</v>
      </c>
      <c r="G467" s="0" t="s">
        <v>628</v>
      </c>
      <c r="H467" s="0" t="s">
        <v>625</v>
      </c>
      <c r="I467" s="0" t="s">
        <v>626</v>
      </c>
      <c r="J467" s="0" t="s">
        <v>627</v>
      </c>
      <c r="K467" s="475" t="n">
        <v>36861</v>
      </c>
      <c r="L467" s="254" t="n">
        <v>-546967.062774382</v>
      </c>
      <c r="M467" s="475" t="n">
        <v>36859</v>
      </c>
      <c r="N467" s="0" t="s">
        <v>132</v>
      </c>
      <c r="O467" s="0" t="n">
        <v>1.7</v>
      </c>
      <c r="P467" s="0" t="n">
        <v>0</v>
      </c>
      <c r="Q467" s="0" t="n">
        <v>0</v>
      </c>
      <c r="R467" s="0" t="n">
        <v>0</v>
      </c>
      <c r="S467" s="0" t="n">
        <v>0</v>
      </c>
      <c r="T467" s="0" t="s">
        <v>624</v>
      </c>
      <c r="U467" s="0" t="s">
        <v>149</v>
      </c>
      <c r="V467" s="0" t="s">
        <v>624</v>
      </c>
      <c r="W467" s="0" t="s">
        <v>569</v>
      </c>
      <c r="X467" s="0" t="s">
        <v>624</v>
      </c>
      <c r="Y467" s="0" t="s">
        <v>627</v>
      </c>
      <c r="Z467" s="0" t="s">
        <v>629</v>
      </c>
      <c r="AA467" s="0" t="s">
        <v>624</v>
      </c>
      <c r="AB467" s="0" t="s">
        <v>580</v>
      </c>
      <c r="AC467" s="254" t="n">
        <v>-1000000</v>
      </c>
      <c r="AD467" s="254" t="n">
        <v>-70475.584619659</v>
      </c>
      <c r="AE467" s="0" t="n">
        <v>0</v>
      </c>
      <c r="AF467" s="0" t="n">
        <v>0</v>
      </c>
      <c r="AG467" s="0" t="n">
        <v>0</v>
      </c>
      <c r="AH467" s="254" t="n">
        <v>17684.5972166557</v>
      </c>
      <c r="AI467" s="0" t="n">
        <v>226</v>
      </c>
      <c r="AJ467" s="0" t="s">
        <v>630</v>
      </c>
      <c r="AK467" s="0" t="n">
        <v>0</v>
      </c>
      <c r="AL467" s="0" t="n">
        <v>0</v>
      </c>
      <c r="AM467" s="0" t="n">
        <v>0</v>
      </c>
    </row>
    <row r="468" customFormat="false" ht="12.75" hidden="false" customHeight="false" outlineLevel="0" collapsed="false">
      <c r="A468" s="0" t="s">
        <v>631</v>
      </c>
      <c r="B468" s="0" t="s">
        <v>360</v>
      </c>
      <c r="C468" s="0" t="s">
        <v>622</v>
      </c>
      <c r="D468" s="0" t="s">
        <v>623</v>
      </c>
      <c r="E468" s="0" t="s">
        <v>131</v>
      </c>
      <c r="F468" s="0" t="s">
        <v>198</v>
      </c>
      <c r="G468" s="0" t="s">
        <v>628</v>
      </c>
      <c r="H468" s="0" t="s">
        <v>625</v>
      </c>
      <c r="I468" s="0" t="s">
        <v>626</v>
      </c>
      <c r="J468" s="0" t="s">
        <v>627</v>
      </c>
      <c r="K468" s="475" t="n">
        <v>36831</v>
      </c>
      <c r="L468" s="254" t="n">
        <v>-958944.575349304</v>
      </c>
      <c r="M468" s="475" t="n">
        <v>36829</v>
      </c>
      <c r="N468" s="0" t="s">
        <v>132</v>
      </c>
      <c r="O468" s="0" t="n">
        <v>1.7</v>
      </c>
      <c r="P468" s="0" t="n">
        <v>0</v>
      </c>
      <c r="Q468" s="0" t="n">
        <v>0</v>
      </c>
      <c r="R468" s="0" t="n">
        <v>0</v>
      </c>
      <c r="S468" s="0" t="n">
        <v>0</v>
      </c>
      <c r="T468" s="0" t="s">
        <v>624</v>
      </c>
      <c r="U468" s="0" t="s">
        <v>149</v>
      </c>
      <c r="V468" s="0" t="s">
        <v>624</v>
      </c>
      <c r="W468" s="0" t="s">
        <v>569</v>
      </c>
      <c r="X468" s="0" t="s">
        <v>624</v>
      </c>
      <c r="Y468" s="0" t="s">
        <v>627</v>
      </c>
      <c r="Z468" s="0" t="s">
        <v>629</v>
      </c>
      <c r="AA468" s="0" t="s">
        <v>624</v>
      </c>
      <c r="AB468" s="0" t="s">
        <v>580</v>
      </c>
      <c r="AC468" s="254" t="n">
        <v>-1000000</v>
      </c>
      <c r="AD468" s="254" t="n">
        <v>-20019.4925375773</v>
      </c>
      <c r="AE468" s="0" t="n">
        <v>0</v>
      </c>
      <c r="AF468" s="0" t="n">
        <v>0</v>
      </c>
      <c r="AG468" s="0" t="n">
        <v>0</v>
      </c>
      <c r="AH468" s="254" t="n">
        <v>33666.7378045536</v>
      </c>
      <c r="AI468" s="0" t="n">
        <v>226</v>
      </c>
      <c r="AJ468" s="0" t="s">
        <v>630</v>
      </c>
      <c r="AK468" s="0" t="n">
        <v>0</v>
      </c>
      <c r="AL468" s="0" t="n">
        <v>0</v>
      </c>
      <c r="AM468" s="0" t="n">
        <v>0</v>
      </c>
    </row>
    <row r="469" customFormat="false" ht="12.75" hidden="false" customHeight="false" outlineLevel="0" collapsed="false">
      <c r="A469" s="0" t="s">
        <v>631</v>
      </c>
      <c r="B469" s="0" t="s">
        <v>361</v>
      </c>
      <c r="C469" s="0" t="s">
        <v>622</v>
      </c>
      <c r="D469" s="0" t="s">
        <v>623</v>
      </c>
      <c r="E469" s="0" t="s">
        <v>131</v>
      </c>
      <c r="F469" s="0" t="s">
        <v>345</v>
      </c>
      <c r="G469" s="0" t="s">
        <v>628</v>
      </c>
      <c r="H469" s="0" t="s">
        <v>625</v>
      </c>
      <c r="I469" s="0" t="s">
        <v>626</v>
      </c>
      <c r="J469" s="0" t="s">
        <v>627</v>
      </c>
      <c r="K469" s="475" t="n">
        <v>36951</v>
      </c>
      <c r="L469" s="254" t="n">
        <v>-6333.07378028289</v>
      </c>
      <c r="M469" s="475" t="n">
        <v>36949</v>
      </c>
      <c r="N469" s="0" t="s">
        <v>136</v>
      </c>
      <c r="O469" s="0" t="n">
        <v>0.15</v>
      </c>
      <c r="P469" s="0" t="n">
        <v>0</v>
      </c>
      <c r="Q469" s="0" t="n">
        <v>0</v>
      </c>
      <c r="R469" s="0" t="n">
        <v>0</v>
      </c>
      <c r="S469" s="0" t="n">
        <v>0</v>
      </c>
      <c r="T469" s="0" t="s">
        <v>624</v>
      </c>
      <c r="U469" s="0" t="s">
        <v>632</v>
      </c>
      <c r="V469" s="0" t="s">
        <v>624</v>
      </c>
      <c r="W469" s="0" t="s">
        <v>569</v>
      </c>
      <c r="X469" s="0" t="s">
        <v>624</v>
      </c>
      <c r="Y469" s="0" t="s">
        <v>627</v>
      </c>
      <c r="Z469" s="0" t="s">
        <v>629</v>
      </c>
      <c r="AA469" s="0" t="s">
        <v>624</v>
      </c>
      <c r="AB469" s="0" t="s">
        <v>580</v>
      </c>
      <c r="AC469" s="254" t="n">
        <v>-155000</v>
      </c>
      <c r="AD469" s="254" t="n">
        <v>-1573.58961382547</v>
      </c>
      <c r="AE469" s="0" t="n">
        <v>0</v>
      </c>
      <c r="AF469" s="0" t="n">
        <v>0</v>
      </c>
      <c r="AG469" s="0" t="n">
        <v>0</v>
      </c>
      <c r="AH469" s="254" t="n">
        <v>-80.0251684645655</v>
      </c>
      <c r="AI469" s="0" t="n">
        <v>226</v>
      </c>
      <c r="AJ469" s="0" t="s">
        <v>630</v>
      </c>
      <c r="AK469" s="0" t="n">
        <v>0</v>
      </c>
      <c r="AL469" s="0" t="n">
        <v>0</v>
      </c>
      <c r="AM469" s="0" t="n">
        <v>0</v>
      </c>
    </row>
    <row r="470" customFormat="false" ht="12.75" hidden="false" customHeight="false" outlineLevel="0" collapsed="false">
      <c r="A470" s="0" t="s">
        <v>631</v>
      </c>
      <c r="B470" s="0" t="s">
        <v>361</v>
      </c>
      <c r="C470" s="0" t="s">
        <v>622</v>
      </c>
      <c r="D470" s="0" t="s">
        <v>623</v>
      </c>
      <c r="E470" s="0" t="s">
        <v>131</v>
      </c>
      <c r="F470" s="0" t="s">
        <v>345</v>
      </c>
      <c r="G470" s="0" t="s">
        <v>628</v>
      </c>
      <c r="H470" s="0" t="s">
        <v>625</v>
      </c>
      <c r="I470" s="0" t="s">
        <v>626</v>
      </c>
      <c r="J470" s="0" t="s">
        <v>627</v>
      </c>
      <c r="K470" s="475" t="n">
        <v>36923</v>
      </c>
      <c r="L470" s="254" t="n">
        <v>-7249.05128040404</v>
      </c>
      <c r="M470" s="475" t="n">
        <v>36921</v>
      </c>
      <c r="N470" s="0" t="s">
        <v>136</v>
      </c>
      <c r="O470" s="0" t="n">
        <v>0.15</v>
      </c>
      <c r="P470" s="0" t="n">
        <v>0</v>
      </c>
      <c r="Q470" s="0" t="n">
        <v>0</v>
      </c>
      <c r="R470" s="0" t="n">
        <v>0</v>
      </c>
      <c r="S470" s="0" t="n">
        <v>0</v>
      </c>
      <c r="T470" s="0" t="s">
        <v>624</v>
      </c>
      <c r="U470" s="0" t="s">
        <v>632</v>
      </c>
      <c r="V470" s="0" t="s">
        <v>624</v>
      </c>
      <c r="W470" s="0" t="s">
        <v>569</v>
      </c>
      <c r="X470" s="0" t="s">
        <v>624</v>
      </c>
      <c r="Y470" s="0" t="s">
        <v>627</v>
      </c>
      <c r="Z470" s="0" t="s">
        <v>629</v>
      </c>
      <c r="AA470" s="0" t="s">
        <v>624</v>
      </c>
      <c r="AB470" s="0" t="s">
        <v>580</v>
      </c>
      <c r="AC470" s="254" t="n">
        <v>-140000</v>
      </c>
      <c r="AD470" s="254" t="n">
        <v>-1494.33561244644</v>
      </c>
      <c r="AE470" s="0" t="n">
        <v>0</v>
      </c>
      <c r="AF470" s="0" t="n">
        <v>0</v>
      </c>
      <c r="AG470" s="0" t="n">
        <v>0</v>
      </c>
      <c r="AH470" s="254" t="n">
        <v>-71.7191987471442</v>
      </c>
      <c r="AI470" s="0" t="n">
        <v>226</v>
      </c>
      <c r="AJ470" s="0" t="s">
        <v>630</v>
      </c>
      <c r="AK470" s="0" t="n">
        <v>0</v>
      </c>
      <c r="AL470" s="0" t="n">
        <v>0</v>
      </c>
      <c r="AM470" s="0" t="n">
        <v>0</v>
      </c>
    </row>
    <row r="471" customFormat="false" ht="12.75" hidden="false" customHeight="false" outlineLevel="0" collapsed="false">
      <c r="A471" s="0" t="s">
        <v>631</v>
      </c>
      <c r="B471" s="0" t="s">
        <v>361</v>
      </c>
      <c r="C471" s="0" t="s">
        <v>622</v>
      </c>
      <c r="D471" s="0" t="s">
        <v>623</v>
      </c>
      <c r="E471" s="0" t="s">
        <v>131</v>
      </c>
      <c r="F471" s="0" t="s">
        <v>345</v>
      </c>
      <c r="G471" s="0" t="s">
        <v>628</v>
      </c>
      <c r="H471" s="0" t="s">
        <v>625</v>
      </c>
      <c r="I471" s="0" t="s">
        <v>626</v>
      </c>
      <c r="J471" s="0" t="s">
        <v>627</v>
      </c>
      <c r="K471" s="475" t="n">
        <v>36892</v>
      </c>
      <c r="L471" s="254" t="n">
        <v>-6897.97181595108</v>
      </c>
      <c r="M471" s="475" t="n">
        <v>36888</v>
      </c>
      <c r="N471" s="0" t="s">
        <v>136</v>
      </c>
      <c r="O471" s="0" t="n">
        <v>0.15</v>
      </c>
      <c r="P471" s="0" t="n">
        <v>0</v>
      </c>
      <c r="Q471" s="0" t="n">
        <v>0</v>
      </c>
      <c r="R471" s="0" t="n">
        <v>0</v>
      </c>
      <c r="S471" s="0" t="n">
        <v>0</v>
      </c>
      <c r="T471" s="0" t="s">
        <v>624</v>
      </c>
      <c r="U471" s="0" t="s">
        <v>632</v>
      </c>
      <c r="V471" s="0" t="s">
        <v>624</v>
      </c>
      <c r="W471" s="0" t="s">
        <v>569</v>
      </c>
      <c r="X471" s="0" t="s">
        <v>624</v>
      </c>
      <c r="Y471" s="0" t="s">
        <v>627</v>
      </c>
      <c r="Z471" s="0" t="s">
        <v>629</v>
      </c>
      <c r="AA471" s="0" t="s">
        <v>624</v>
      </c>
      <c r="AB471" s="0" t="s">
        <v>580</v>
      </c>
      <c r="AC471" s="254" t="n">
        <v>-155000</v>
      </c>
      <c r="AD471" s="254" t="n">
        <v>-1505.72683180023</v>
      </c>
      <c r="AE471" s="0" t="n">
        <v>0</v>
      </c>
      <c r="AF471" s="0" t="n">
        <v>0</v>
      </c>
      <c r="AG471" s="0" t="n">
        <v>0</v>
      </c>
      <c r="AH471" s="254" t="n">
        <v>-72.4704870944634</v>
      </c>
      <c r="AI471" s="0" t="n">
        <v>226</v>
      </c>
      <c r="AJ471" s="0" t="s">
        <v>630</v>
      </c>
      <c r="AK471" s="0" t="n">
        <v>0</v>
      </c>
      <c r="AL471" s="0" t="n">
        <v>0</v>
      </c>
      <c r="AM471" s="0" t="n">
        <v>0</v>
      </c>
    </row>
    <row r="472" customFormat="false" ht="12.75" hidden="false" customHeight="false" outlineLevel="0" collapsed="false">
      <c r="A472" s="0" t="s">
        <v>631</v>
      </c>
      <c r="B472" s="0" t="s">
        <v>361</v>
      </c>
      <c r="C472" s="0" t="s">
        <v>622</v>
      </c>
      <c r="D472" s="0" t="s">
        <v>623</v>
      </c>
      <c r="E472" s="0" t="s">
        <v>131</v>
      </c>
      <c r="F472" s="0" t="s">
        <v>345</v>
      </c>
      <c r="G472" s="0" t="s">
        <v>628</v>
      </c>
      <c r="H472" s="0" t="s">
        <v>625</v>
      </c>
      <c r="I472" s="0" t="s">
        <v>626</v>
      </c>
      <c r="J472" s="0" t="s">
        <v>627</v>
      </c>
      <c r="K472" s="475" t="n">
        <v>36861</v>
      </c>
      <c r="L472" s="254" t="n">
        <v>-4237.9759780883</v>
      </c>
      <c r="M472" s="475" t="n">
        <v>36859</v>
      </c>
      <c r="N472" s="0" t="s">
        <v>136</v>
      </c>
      <c r="O472" s="0" t="n">
        <v>0.15</v>
      </c>
      <c r="P472" s="0" t="n">
        <v>0</v>
      </c>
      <c r="Q472" s="0" t="n">
        <v>0</v>
      </c>
      <c r="R472" s="0" t="n">
        <v>0</v>
      </c>
      <c r="S472" s="0" t="n">
        <v>0</v>
      </c>
      <c r="T472" s="0" t="s">
        <v>624</v>
      </c>
      <c r="U472" s="0" t="s">
        <v>632</v>
      </c>
      <c r="V472" s="0" t="s">
        <v>624</v>
      </c>
      <c r="W472" s="0" t="s">
        <v>569</v>
      </c>
      <c r="X472" s="0" t="s">
        <v>624</v>
      </c>
      <c r="Y472" s="0" t="s">
        <v>627</v>
      </c>
      <c r="Z472" s="0" t="s">
        <v>629</v>
      </c>
      <c r="AA472" s="0" t="s">
        <v>624</v>
      </c>
      <c r="AB472" s="0" t="s">
        <v>580</v>
      </c>
      <c r="AC472" s="254" t="n">
        <v>-155000</v>
      </c>
      <c r="AD472" s="254" t="n">
        <v>-1228.28788793598</v>
      </c>
      <c r="AE472" s="0" t="n">
        <v>0</v>
      </c>
      <c r="AF472" s="0" t="n">
        <v>0</v>
      </c>
      <c r="AG472" s="0" t="n">
        <v>0</v>
      </c>
      <c r="AH472" s="254" t="n">
        <v>-61.8407704300516</v>
      </c>
      <c r="AI472" s="0" t="n">
        <v>226</v>
      </c>
      <c r="AJ472" s="0" t="s">
        <v>630</v>
      </c>
      <c r="AK472" s="0" t="n">
        <v>0</v>
      </c>
      <c r="AL472" s="0" t="n">
        <v>0</v>
      </c>
      <c r="AM472" s="0" t="n">
        <v>0</v>
      </c>
    </row>
    <row r="473" customFormat="false" ht="12.75" hidden="false" customHeight="false" outlineLevel="0" collapsed="false">
      <c r="A473" s="0" t="s">
        <v>631</v>
      </c>
      <c r="B473" s="0" t="s">
        <v>361</v>
      </c>
      <c r="C473" s="0" t="s">
        <v>622</v>
      </c>
      <c r="D473" s="0" t="s">
        <v>623</v>
      </c>
      <c r="E473" s="0" t="s">
        <v>131</v>
      </c>
      <c r="F473" s="0" t="s">
        <v>345</v>
      </c>
      <c r="G473" s="0" t="s">
        <v>628</v>
      </c>
      <c r="H473" s="0" t="s">
        <v>625</v>
      </c>
      <c r="I473" s="0" t="s">
        <v>626</v>
      </c>
      <c r="J473" s="0" t="s">
        <v>627</v>
      </c>
      <c r="K473" s="475" t="n">
        <v>36831</v>
      </c>
      <c r="L473" s="254" t="n">
        <v>-2325.07877937267</v>
      </c>
      <c r="M473" s="475" t="n">
        <v>36829</v>
      </c>
      <c r="N473" s="0" t="s">
        <v>136</v>
      </c>
      <c r="O473" s="0" t="n">
        <v>0.15</v>
      </c>
      <c r="P473" s="0" t="n">
        <v>0</v>
      </c>
      <c r="Q473" s="0" t="n">
        <v>0</v>
      </c>
      <c r="R473" s="0" t="n">
        <v>0</v>
      </c>
      <c r="S473" s="0" t="n">
        <v>0</v>
      </c>
      <c r="T473" s="0" t="s">
        <v>624</v>
      </c>
      <c r="U473" s="0" t="s">
        <v>632</v>
      </c>
      <c r="V473" s="0" t="s">
        <v>624</v>
      </c>
      <c r="W473" s="0" t="s">
        <v>569</v>
      </c>
      <c r="X473" s="0" t="s">
        <v>624</v>
      </c>
      <c r="Y473" s="0" t="s">
        <v>627</v>
      </c>
      <c r="Z473" s="0" t="s">
        <v>629</v>
      </c>
      <c r="AA473" s="0" t="s">
        <v>624</v>
      </c>
      <c r="AB473" s="0" t="s">
        <v>580</v>
      </c>
      <c r="AC473" s="254" t="n">
        <v>-150000</v>
      </c>
      <c r="AD473" s="254" t="n">
        <v>-867.491134732489</v>
      </c>
      <c r="AE473" s="0" t="n">
        <v>0</v>
      </c>
      <c r="AF473" s="0" t="n">
        <v>0</v>
      </c>
      <c r="AG473" s="0" t="n">
        <v>0</v>
      </c>
      <c r="AH473" s="254" t="n">
        <v>-46.7981078377989</v>
      </c>
      <c r="AI473" s="0" t="n">
        <v>226</v>
      </c>
      <c r="AJ473" s="0" t="s">
        <v>630</v>
      </c>
      <c r="AK473" s="0" t="n">
        <v>0</v>
      </c>
      <c r="AL473" s="0" t="n">
        <v>0</v>
      </c>
      <c r="AM473" s="0" t="n">
        <v>0</v>
      </c>
    </row>
    <row r="474" customFormat="false" ht="12.75" hidden="false" customHeight="false" outlineLevel="0" collapsed="false">
      <c r="A474" s="0" t="s">
        <v>631</v>
      </c>
      <c r="B474" s="0" t="s">
        <v>362</v>
      </c>
      <c r="C474" s="0" t="s">
        <v>622</v>
      </c>
      <c r="D474" s="0" t="s">
        <v>623</v>
      </c>
      <c r="E474" s="0" t="s">
        <v>131</v>
      </c>
      <c r="F474" s="0" t="s">
        <v>198</v>
      </c>
      <c r="G474" s="0" t="s">
        <v>628</v>
      </c>
      <c r="H474" s="0" t="s">
        <v>625</v>
      </c>
      <c r="I474" s="0" t="s">
        <v>626</v>
      </c>
      <c r="J474" s="0" t="s">
        <v>627</v>
      </c>
      <c r="K474" s="475" t="n">
        <v>36951</v>
      </c>
      <c r="L474" s="254" t="n">
        <v>515721.107945852</v>
      </c>
      <c r="M474" s="475" t="n">
        <v>36949</v>
      </c>
      <c r="N474" s="0" t="s">
        <v>136</v>
      </c>
      <c r="O474" s="0" t="n">
        <v>0.3</v>
      </c>
      <c r="P474" s="0" t="n">
        <v>0</v>
      </c>
      <c r="Q474" s="0" t="n">
        <v>0</v>
      </c>
      <c r="R474" s="0" t="n">
        <v>0</v>
      </c>
      <c r="S474" s="0" t="n">
        <v>0</v>
      </c>
      <c r="T474" s="0" t="s">
        <v>624</v>
      </c>
      <c r="U474" s="0" t="s">
        <v>137</v>
      </c>
      <c r="V474" s="0" t="s">
        <v>624</v>
      </c>
      <c r="W474" s="0" t="s">
        <v>569</v>
      </c>
      <c r="X474" s="0" t="s">
        <v>624</v>
      </c>
      <c r="Y474" s="0" t="s">
        <v>627</v>
      </c>
      <c r="Z474" s="0" t="s">
        <v>629</v>
      </c>
      <c r="AA474" s="0" t="s">
        <v>624</v>
      </c>
      <c r="AB474" s="0" t="s">
        <v>580</v>
      </c>
      <c r="AC474" s="254" t="n">
        <v>1000000</v>
      </c>
      <c r="AD474" s="254" t="n">
        <v>73876.7965437725</v>
      </c>
      <c r="AE474" s="0" t="n">
        <v>0</v>
      </c>
      <c r="AF474" s="0" t="n">
        <v>0</v>
      </c>
      <c r="AG474" s="0" t="n">
        <v>0</v>
      </c>
      <c r="AH474" s="254" t="n">
        <v>-32141.3573248765</v>
      </c>
      <c r="AI474" s="0" t="n">
        <v>226</v>
      </c>
      <c r="AJ474" s="0" t="s">
        <v>630</v>
      </c>
      <c r="AK474" s="0" t="n">
        <v>0</v>
      </c>
      <c r="AL474" s="0" t="n">
        <v>0</v>
      </c>
      <c r="AM474" s="0" t="n">
        <v>0</v>
      </c>
    </row>
    <row r="475" customFormat="false" ht="12.75" hidden="false" customHeight="false" outlineLevel="0" collapsed="false">
      <c r="A475" s="0" t="s">
        <v>631</v>
      </c>
      <c r="B475" s="0" t="s">
        <v>362</v>
      </c>
      <c r="C475" s="0" t="s">
        <v>622</v>
      </c>
      <c r="D475" s="0" t="s">
        <v>623</v>
      </c>
      <c r="E475" s="0" t="s">
        <v>131</v>
      </c>
      <c r="F475" s="0" t="s">
        <v>198</v>
      </c>
      <c r="G475" s="0" t="s">
        <v>628</v>
      </c>
      <c r="H475" s="0" t="s">
        <v>625</v>
      </c>
      <c r="I475" s="0" t="s">
        <v>626</v>
      </c>
      <c r="J475" s="0" t="s">
        <v>627</v>
      </c>
      <c r="K475" s="475" t="n">
        <v>36923</v>
      </c>
      <c r="L475" s="254" t="n">
        <v>559723.103350231</v>
      </c>
      <c r="M475" s="475" t="n">
        <v>36921</v>
      </c>
      <c r="N475" s="0" t="s">
        <v>136</v>
      </c>
      <c r="O475" s="0" t="n">
        <v>0.3</v>
      </c>
      <c r="P475" s="0" t="n">
        <v>0</v>
      </c>
      <c r="Q475" s="0" t="n">
        <v>0</v>
      </c>
      <c r="R475" s="0" t="n">
        <v>0</v>
      </c>
      <c r="S475" s="0" t="n">
        <v>0</v>
      </c>
      <c r="T475" s="0" t="s">
        <v>624</v>
      </c>
      <c r="U475" s="0" t="s">
        <v>137</v>
      </c>
      <c r="V475" s="0" t="s">
        <v>624</v>
      </c>
      <c r="W475" s="0" t="s">
        <v>569</v>
      </c>
      <c r="X475" s="0" t="s">
        <v>624</v>
      </c>
      <c r="Y475" s="0" t="s">
        <v>627</v>
      </c>
      <c r="Z475" s="0" t="s">
        <v>629</v>
      </c>
      <c r="AA475" s="0" t="s">
        <v>624</v>
      </c>
      <c r="AB475" s="0" t="s">
        <v>580</v>
      </c>
      <c r="AC475" s="254" t="n">
        <v>1000000</v>
      </c>
      <c r="AD475" s="254" t="n">
        <v>76239.0231556131</v>
      </c>
      <c r="AE475" s="0" t="n">
        <v>0</v>
      </c>
      <c r="AF475" s="0" t="n">
        <v>0</v>
      </c>
      <c r="AG475" s="0" t="n">
        <v>0</v>
      </c>
      <c r="AH475" s="254" t="n">
        <v>-32306.4711008739</v>
      </c>
      <c r="AI475" s="0" t="n">
        <v>226</v>
      </c>
      <c r="AJ475" s="0" t="s">
        <v>630</v>
      </c>
      <c r="AK475" s="0" t="n">
        <v>0</v>
      </c>
      <c r="AL475" s="0" t="n">
        <v>0</v>
      </c>
      <c r="AM475" s="0" t="n">
        <v>0</v>
      </c>
    </row>
    <row r="476" customFormat="false" ht="12.75" hidden="false" customHeight="false" outlineLevel="0" collapsed="false">
      <c r="A476" s="0" t="s">
        <v>631</v>
      </c>
      <c r="B476" s="0" t="s">
        <v>362</v>
      </c>
      <c r="C476" s="0" t="s">
        <v>622</v>
      </c>
      <c r="D476" s="0" t="s">
        <v>623</v>
      </c>
      <c r="E476" s="0" t="s">
        <v>131</v>
      </c>
      <c r="F476" s="0" t="s">
        <v>198</v>
      </c>
      <c r="G476" s="0" t="s">
        <v>628</v>
      </c>
      <c r="H476" s="0" t="s">
        <v>625</v>
      </c>
      <c r="I476" s="0" t="s">
        <v>626</v>
      </c>
      <c r="J476" s="0" t="s">
        <v>627</v>
      </c>
      <c r="K476" s="475" t="n">
        <v>36892</v>
      </c>
      <c r="L476" s="254" t="n">
        <v>648345.904288768</v>
      </c>
      <c r="M476" s="475" t="n">
        <v>36888</v>
      </c>
      <c r="N476" s="0" t="s">
        <v>136</v>
      </c>
      <c r="O476" s="0" t="n">
        <v>0.3</v>
      </c>
      <c r="P476" s="0" t="n">
        <v>0</v>
      </c>
      <c r="Q476" s="0" t="n">
        <v>0</v>
      </c>
      <c r="R476" s="0" t="n">
        <v>0</v>
      </c>
      <c r="S476" s="0" t="n">
        <v>0</v>
      </c>
      <c r="T476" s="0" t="s">
        <v>624</v>
      </c>
      <c r="U476" s="0" t="s">
        <v>137</v>
      </c>
      <c r="V476" s="0" t="s">
        <v>624</v>
      </c>
      <c r="W476" s="0" t="s">
        <v>569</v>
      </c>
      <c r="X476" s="0" t="s">
        <v>624</v>
      </c>
      <c r="Y476" s="0" t="s">
        <v>627</v>
      </c>
      <c r="Z476" s="0" t="s">
        <v>629</v>
      </c>
      <c r="AA476" s="0" t="s">
        <v>624</v>
      </c>
      <c r="AB476" s="0" t="s">
        <v>580</v>
      </c>
      <c r="AC476" s="254" t="n">
        <v>1000000</v>
      </c>
      <c r="AD476" s="254" t="n">
        <v>65141.0709359262</v>
      </c>
      <c r="AE476" s="0" t="n">
        <v>0</v>
      </c>
      <c r="AF476" s="0" t="n">
        <v>0</v>
      </c>
      <c r="AG476" s="0" t="n">
        <v>0</v>
      </c>
      <c r="AH476" s="254" t="n">
        <v>-35968.992676337</v>
      </c>
      <c r="AI476" s="0" t="n">
        <v>226</v>
      </c>
      <c r="AJ476" s="0" t="s">
        <v>630</v>
      </c>
      <c r="AK476" s="0" t="n">
        <v>0</v>
      </c>
      <c r="AL476" s="0" t="n">
        <v>0</v>
      </c>
      <c r="AM476" s="0" t="n">
        <v>0</v>
      </c>
    </row>
    <row r="477" customFormat="false" ht="12.75" hidden="false" customHeight="false" outlineLevel="0" collapsed="false">
      <c r="A477" s="0" t="s">
        <v>631</v>
      </c>
      <c r="B477" s="0" t="s">
        <v>362</v>
      </c>
      <c r="C477" s="0" t="s">
        <v>622</v>
      </c>
      <c r="D477" s="0" t="s">
        <v>623</v>
      </c>
      <c r="E477" s="0" t="s">
        <v>131</v>
      </c>
      <c r="F477" s="0" t="s">
        <v>198</v>
      </c>
      <c r="G477" s="0" t="s">
        <v>628</v>
      </c>
      <c r="H477" s="0" t="s">
        <v>625</v>
      </c>
      <c r="I477" s="0" t="s">
        <v>626</v>
      </c>
      <c r="J477" s="0" t="s">
        <v>627</v>
      </c>
      <c r="K477" s="475" t="n">
        <v>36861</v>
      </c>
      <c r="L477" s="254" t="n">
        <v>792021.258401644</v>
      </c>
      <c r="M477" s="475" t="n">
        <v>36859</v>
      </c>
      <c r="N477" s="0" t="s">
        <v>136</v>
      </c>
      <c r="O477" s="0" t="n">
        <v>0.3</v>
      </c>
      <c r="P477" s="0" t="n">
        <v>0</v>
      </c>
      <c r="Q477" s="0" t="n">
        <v>0</v>
      </c>
      <c r="R477" s="0" t="n">
        <v>0</v>
      </c>
      <c r="S477" s="0" t="n">
        <v>0</v>
      </c>
      <c r="T477" s="0" t="s">
        <v>624</v>
      </c>
      <c r="U477" s="0" t="s">
        <v>137</v>
      </c>
      <c r="V477" s="0" t="s">
        <v>624</v>
      </c>
      <c r="W477" s="0" t="s">
        <v>569</v>
      </c>
      <c r="X477" s="0" t="s">
        <v>624</v>
      </c>
      <c r="Y477" s="0" t="s">
        <v>627</v>
      </c>
      <c r="Z477" s="0" t="s">
        <v>629</v>
      </c>
      <c r="AA477" s="0" t="s">
        <v>624</v>
      </c>
      <c r="AB477" s="0" t="s">
        <v>580</v>
      </c>
      <c r="AC477" s="254" t="n">
        <v>1000000</v>
      </c>
      <c r="AD477" s="254" t="n">
        <v>45779.4657514483</v>
      </c>
      <c r="AE477" s="0" t="n">
        <v>0</v>
      </c>
      <c r="AF477" s="0" t="n">
        <v>0</v>
      </c>
      <c r="AG477" s="0" t="n">
        <v>0</v>
      </c>
      <c r="AH477" s="254" t="n">
        <v>115274.518308935</v>
      </c>
      <c r="AI477" s="0" t="n">
        <v>226</v>
      </c>
      <c r="AJ477" s="0" t="s">
        <v>630</v>
      </c>
      <c r="AK477" s="0" t="n">
        <v>0</v>
      </c>
      <c r="AL477" s="0" t="n">
        <v>0</v>
      </c>
      <c r="AM477" s="0" t="n">
        <v>0</v>
      </c>
    </row>
    <row r="478" customFormat="false" ht="12.75" hidden="false" customHeight="false" outlineLevel="0" collapsed="false">
      <c r="A478" s="0" t="s">
        <v>631</v>
      </c>
      <c r="B478" s="0" t="s">
        <v>362</v>
      </c>
      <c r="C478" s="0" t="s">
        <v>622</v>
      </c>
      <c r="D478" s="0" t="s">
        <v>623</v>
      </c>
      <c r="E478" s="0" t="s">
        <v>131</v>
      </c>
      <c r="F478" s="0" t="s">
        <v>198</v>
      </c>
      <c r="G478" s="0" t="s">
        <v>628</v>
      </c>
      <c r="H478" s="0" t="s">
        <v>625</v>
      </c>
      <c r="I478" s="0" t="s">
        <v>626</v>
      </c>
      <c r="J478" s="0" t="s">
        <v>627</v>
      </c>
      <c r="K478" s="475" t="n">
        <v>36831</v>
      </c>
      <c r="L478" s="254" t="n">
        <v>1243475.23816916</v>
      </c>
      <c r="M478" s="475" t="n">
        <v>36829</v>
      </c>
      <c r="N478" s="0" t="s">
        <v>136</v>
      </c>
      <c r="O478" s="0" t="n">
        <v>0.3</v>
      </c>
      <c r="P478" s="0" t="n">
        <v>0</v>
      </c>
      <c r="Q478" s="0" t="n">
        <v>0</v>
      </c>
      <c r="R478" s="0" t="n">
        <v>0</v>
      </c>
      <c r="S478" s="0" t="n">
        <v>0</v>
      </c>
      <c r="T478" s="0" t="s">
        <v>624</v>
      </c>
      <c r="U478" s="0" t="s">
        <v>137</v>
      </c>
      <c r="V478" s="0" t="s">
        <v>624</v>
      </c>
      <c r="W478" s="0" t="s">
        <v>569</v>
      </c>
      <c r="X478" s="0" t="s">
        <v>624</v>
      </c>
      <c r="Y478" s="0" t="s">
        <v>627</v>
      </c>
      <c r="Z478" s="0" t="s">
        <v>629</v>
      </c>
      <c r="AA478" s="0" t="s">
        <v>624</v>
      </c>
      <c r="AB478" s="0" t="s">
        <v>580</v>
      </c>
      <c r="AC478" s="254" t="n">
        <v>1000000</v>
      </c>
      <c r="AD478" s="254" t="n">
        <v>12291.8958475392</v>
      </c>
      <c r="AE478" s="0" t="n">
        <v>0</v>
      </c>
      <c r="AF478" s="0" t="n">
        <v>0</v>
      </c>
      <c r="AG478" s="0" t="n">
        <v>0</v>
      </c>
      <c r="AH478" s="254" t="n">
        <v>197381.692653205</v>
      </c>
      <c r="AI478" s="0" t="n">
        <v>226</v>
      </c>
      <c r="AJ478" s="0" t="s">
        <v>630</v>
      </c>
      <c r="AK478" s="0" t="n">
        <v>0</v>
      </c>
      <c r="AL478" s="0" t="n">
        <v>0</v>
      </c>
      <c r="AM478" s="0" t="n">
        <v>0</v>
      </c>
    </row>
    <row r="479" customFormat="false" ht="12.75" hidden="false" customHeight="false" outlineLevel="0" collapsed="false">
      <c r="A479" s="0" t="s">
        <v>631</v>
      </c>
      <c r="B479" s="0" t="s">
        <v>364</v>
      </c>
      <c r="C479" s="0" t="s">
        <v>622</v>
      </c>
      <c r="D479" s="0" t="s">
        <v>623</v>
      </c>
      <c r="E479" s="0" t="s">
        <v>131</v>
      </c>
      <c r="F479" s="0" t="s">
        <v>363</v>
      </c>
      <c r="G479" s="0" t="s">
        <v>628</v>
      </c>
      <c r="H479" s="0" t="s">
        <v>625</v>
      </c>
      <c r="I479" s="0" t="s">
        <v>626</v>
      </c>
      <c r="J479" s="0" t="s">
        <v>627</v>
      </c>
      <c r="K479" s="475" t="n">
        <v>36951</v>
      </c>
      <c r="L479" s="254" t="n">
        <v>257860.553972926</v>
      </c>
      <c r="M479" s="475" t="n">
        <v>36949</v>
      </c>
      <c r="N479" s="0" t="s">
        <v>136</v>
      </c>
      <c r="O479" s="0" t="n">
        <v>0.3</v>
      </c>
      <c r="P479" s="0" t="n">
        <v>0</v>
      </c>
      <c r="Q479" s="0" t="n">
        <v>0</v>
      </c>
      <c r="R479" s="0" t="n">
        <v>0</v>
      </c>
      <c r="S479" s="0" t="n">
        <v>0</v>
      </c>
      <c r="T479" s="0" t="s">
        <v>624</v>
      </c>
      <c r="U479" s="0" t="s">
        <v>137</v>
      </c>
      <c r="V479" s="0" t="s">
        <v>624</v>
      </c>
      <c r="W479" s="0" t="s">
        <v>569</v>
      </c>
      <c r="X479" s="0" t="s">
        <v>624</v>
      </c>
      <c r="Y479" s="0" t="s">
        <v>627</v>
      </c>
      <c r="Z479" s="0" t="s">
        <v>629</v>
      </c>
      <c r="AA479" s="0" t="s">
        <v>624</v>
      </c>
      <c r="AB479" s="0" t="s">
        <v>580</v>
      </c>
      <c r="AC479" s="254" t="n">
        <v>500000</v>
      </c>
      <c r="AD479" s="254" t="n">
        <v>36938.3982718862</v>
      </c>
      <c r="AE479" s="0" t="n">
        <v>0</v>
      </c>
      <c r="AF479" s="0" t="n">
        <v>0</v>
      </c>
      <c r="AG479" s="0" t="n">
        <v>0</v>
      </c>
      <c r="AH479" s="254" t="n">
        <v>-16070.6786624382</v>
      </c>
      <c r="AI479" s="0" t="n">
        <v>226</v>
      </c>
      <c r="AJ479" s="0" t="s">
        <v>630</v>
      </c>
      <c r="AK479" s="0" t="n">
        <v>0</v>
      </c>
      <c r="AL479" s="0" t="n">
        <v>0</v>
      </c>
      <c r="AM479" s="0" t="n">
        <v>0</v>
      </c>
    </row>
    <row r="480" customFormat="false" ht="12.75" hidden="false" customHeight="false" outlineLevel="0" collapsed="false">
      <c r="A480" s="0" t="s">
        <v>631</v>
      </c>
      <c r="B480" s="0" t="s">
        <v>364</v>
      </c>
      <c r="C480" s="0" t="s">
        <v>622</v>
      </c>
      <c r="D480" s="0" t="s">
        <v>623</v>
      </c>
      <c r="E480" s="0" t="s">
        <v>131</v>
      </c>
      <c r="F480" s="0" t="s">
        <v>363</v>
      </c>
      <c r="G480" s="0" t="s">
        <v>628</v>
      </c>
      <c r="H480" s="0" t="s">
        <v>625</v>
      </c>
      <c r="I480" s="0" t="s">
        <v>626</v>
      </c>
      <c r="J480" s="0" t="s">
        <v>627</v>
      </c>
      <c r="K480" s="475" t="n">
        <v>36923</v>
      </c>
      <c r="L480" s="254" t="n">
        <v>279861.551675115</v>
      </c>
      <c r="M480" s="475" t="n">
        <v>36921</v>
      </c>
      <c r="N480" s="0" t="s">
        <v>136</v>
      </c>
      <c r="O480" s="0" t="n">
        <v>0.3</v>
      </c>
      <c r="P480" s="0" t="n">
        <v>0</v>
      </c>
      <c r="Q480" s="0" t="n">
        <v>0</v>
      </c>
      <c r="R480" s="0" t="n">
        <v>0</v>
      </c>
      <c r="S480" s="0" t="n">
        <v>0</v>
      </c>
      <c r="T480" s="0" t="s">
        <v>624</v>
      </c>
      <c r="U480" s="0" t="s">
        <v>137</v>
      </c>
      <c r="V480" s="0" t="s">
        <v>624</v>
      </c>
      <c r="W480" s="0" t="s">
        <v>569</v>
      </c>
      <c r="X480" s="0" t="s">
        <v>624</v>
      </c>
      <c r="Y480" s="0" t="s">
        <v>627</v>
      </c>
      <c r="Z480" s="0" t="s">
        <v>629</v>
      </c>
      <c r="AA480" s="0" t="s">
        <v>624</v>
      </c>
      <c r="AB480" s="0" t="s">
        <v>580</v>
      </c>
      <c r="AC480" s="254" t="n">
        <v>500000</v>
      </c>
      <c r="AD480" s="254" t="n">
        <v>38119.5115778066</v>
      </c>
      <c r="AE480" s="0" t="n">
        <v>0</v>
      </c>
      <c r="AF480" s="0" t="n">
        <v>0</v>
      </c>
      <c r="AG480" s="0" t="n">
        <v>0</v>
      </c>
      <c r="AH480" s="254" t="n">
        <v>-16153.2355504369</v>
      </c>
      <c r="AI480" s="0" t="n">
        <v>226</v>
      </c>
      <c r="AJ480" s="0" t="s">
        <v>630</v>
      </c>
      <c r="AK480" s="0" t="n">
        <v>0</v>
      </c>
      <c r="AL480" s="0" t="n">
        <v>0</v>
      </c>
      <c r="AM480" s="0" t="n">
        <v>0</v>
      </c>
    </row>
    <row r="481" customFormat="false" ht="12.75" hidden="false" customHeight="false" outlineLevel="0" collapsed="false">
      <c r="A481" s="0" t="s">
        <v>631</v>
      </c>
      <c r="B481" s="0" t="s">
        <v>364</v>
      </c>
      <c r="C481" s="0" t="s">
        <v>622</v>
      </c>
      <c r="D481" s="0" t="s">
        <v>623</v>
      </c>
      <c r="E481" s="0" t="s">
        <v>131</v>
      </c>
      <c r="F481" s="0" t="s">
        <v>363</v>
      </c>
      <c r="G481" s="0" t="s">
        <v>628</v>
      </c>
      <c r="H481" s="0" t="s">
        <v>625</v>
      </c>
      <c r="I481" s="0" t="s">
        <v>626</v>
      </c>
      <c r="J481" s="0" t="s">
        <v>627</v>
      </c>
      <c r="K481" s="475" t="n">
        <v>36892</v>
      </c>
      <c r="L481" s="254" t="n">
        <v>324172.952144384</v>
      </c>
      <c r="M481" s="475" t="n">
        <v>36888</v>
      </c>
      <c r="N481" s="0" t="s">
        <v>136</v>
      </c>
      <c r="O481" s="0" t="n">
        <v>0.3</v>
      </c>
      <c r="P481" s="0" t="n">
        <v>0</v>
      </c>
      <c r="Q481" s="0" t="n">
        <v>0</v>
      </c>
      <c r="R481" s="0" t="n">
        <v>0</v>
      </c>
      <c r="S481" s="0" t="n">
        <v>0</v>
      </c>
      <c r="T481" s="0" t="s">
        <v>624</v>
      </c>
      <c r="U481" s="0" t="s">
        <v>137</v>
      </c>
      <c r="V481" s="0" t="s">
        <v>624</v>
      </c>
      <c r="W481" s="0" t="s">
        <v>569</v>
      </c>
      <c r="X481" s="0" t="s">
        <v>624</v>
      </c>
      <c r="Y481" s="0" t="s">
        <v>627</v>
      </c>
      <c r="Z481" s="0" t="s">
        <v>629</v>
      </c>
      <c r="AA481" s="0" t="s">
        <v>624</v>
      </c>
      <c r="AB481" s="0" t="s">
        <v>580</v>
      </c>
      <c r="AC481" s="254" t="n">
        <v>500000</v>
      </c>
      <c r="AD481" s="254" t="n">
        <v>32570.5354679631</v>
      </c>
      <c r="AE481" s="0" t="n">
        <v>0</v>
      </c>
      <c r="AF481" s="0" t="n">
        <v>0</v>
      </c>
      <c r="AG481" s="0" t="n">
        <v>0</v>
      </c>
      <c r="AH481" s="254" t="n">
        <v>-17984.4963381685</v>
      </c>
      <c r="AI481" s="0" t="n">
        <v>226</v>
      </c>
      <c r="AJ481" s="0" t="s">
        <v>630</v>
      </c>
      <c r="AK481" s="0" t="n">
        <v>0</v>
      </c>
      <c r="AL481" s="0" t="n">
        <v>0</v>
      </c>
      <c r="AM481" s="0" t="n">
        <v>0</v>
      </c>
    </row>
    <row r="482" customFormat="false" ht="12.75" hidden="false" customHeight="false" outlineLevel="0" collapsed="false">
      <c r="A482" s="0" t="s">
        <v>631</v>
      </c>
      <c r="B482" s="0" t="s">
        <v>364</v>
      </c>
      <c r="C482" s="0" t="s">
        <v>622</v>
      </c>
      <c r="D482" s="0" t="s">
        <v>623</v>
      </c>
      <c r="E482" s="0" t="s">
        <v>131</v>
      </c>
      <c r="F482" s="0" t="s">
        <v>363</v>
      </c>
      <c r="G482" s="0" t="s">
        <v>628</v>
      </c>
      <c r="H482" s="0" t="s">
        <v>625</v>
      </c>
      <c r="I482" s="0" t="s">
        <v>626</v>
      </c>
      <c r="J482" s="0" t="s">
        <v>627</v>
      </c>
      <c r="K482" s="475" t="n">
        <v>36861</v>
      </c>
      <c r="L482" s="254" t="n">
        <v>396010.629200822</v>
      </c>
      <c r="M482" s="475" t="n">
        <v>36859</v>
      </c>
      <c r="N482" s="0" t="s">
        <v>136</v>
      </c>
      <c r="O482" s="0" t="n">
        <v>0.3</v>
      </c>
      <c r="P482" s="0" t="n">
        <v>0</v>
      </c>
      <c r="Q482" s="0" t="n">
        <v>0</v>
      </c>
      <c r="R482" s="0" t="n">
        <v>0</v>
      </c>
      <c r="S482" s="0" t="n">
        <v>0</v>
      </c>
      <c r="T482" s="0" t="s">
        <v>624</v>
      </c>
      <c r="U482" s="0" t="s">
        <v>137</v>
      </c>
      <c r="V482" s="0" t="s">
        <v>624</v>
      </c>
      <c r="W482" s="0" t="s">
        <v>569</v>
      </c>
      <c r="X482" s="0" t="s">
        <v>624</v>
      </c>
      <c r="Y482" s="0" t="s">
        <v>627</v>
      </c>
      <c r="Z482" s="0" t="s">
        <v>629</v>
      </c>
      <c r="AA482" s="0" t="s">
        <v>624</v>
      </c>
      <c r="AB482" s="0" t="s">
        <v>580</v>
      </c>
      <c r="AC482" s="254" t="n">
        <v>500000</v>
      </c>
      <c r="AD482" s="254" t="n">
        <v>22889.7328757242</v>
      </c>
      <c r="AE482" s="0" t="n">
        <v>0</v>
      </c>
      <c r="AF482" s="0" t="n">
        <v>0</v>
      </c>
      <c r="AG482" s="0" t="n">
        <v>0</v>
      </c>
      <c r="AH482" s="254" t="n">
        <v>57637.2591544675</v>
      </c>
      <c r="AI482" s="0" t="n">
        <v>226</v>
      </c>
      <c r="AJ482" s="0" t="s">
        <v>630</v>
      </c>
      <c r="AK482" s="0" t="n">
        <v>0</v>
      </c>
      <c r="AL482" s="0" t="n">
        <v>0</v>
      </c>
      <c r="AM482" s="0" t="n">
        <v>0</v>
      </c>
    </row>
    <row r="483" customFormat="false" ht="12.75" hidden="false" customHeight="false" outlineLevel="0" collapsed="false">
      <c r="A483" s="0" t="s">
        <v>631</v>
      </c>
      <c r="B483" s="0" t="s">
        <v>364</v>
      </c>
      <c r="C483" s="0" t="s">
        <v>622</v>
      </c>
      <c r="D483" s="0" t="s">
        <v>623</v>
      </c>
      <c r="E483" s="0" t="s">
        <v>131</v>
      </c>
      <c r="F483" s="0" t="s">
        <v>363</v>
      </c>
      <c r="G483" s="0" t="s">
        <v>628</v>
      </c>
      <c r="H483" s="0" t="s">
        <v>625</v>
      </c>
      <c r="I483" s="0" t="s">
        <v>626</v>
      </c>
      <c r="J483" s="0" t="s">
        <v>627</v>
      </c>
      <c r="K483" s="475" t="n">
        <v>36831</v>
      </c>
      <c r="L483" s="254" t="n">
        <v>621737.619084582</v>
      </c>
      <c r="M483" s="475" t="n">
        <v>36829</v>
      </c>
      <c r="N483" s="0" t="s">
        <v>136</v>
      </c>
      <c r="O483" s="0" t="n">
        <v>0.3</v>
      </c>
      <c r="P483" s="0" t="n">
        <v>0</v>
      </c>
      <c r="Q483" s="0" t="n">
        <v>0</v>
      </c>
      <c r="R483" s="0" t="n">
        <v>0</v>
      </c>
      <c r="S483" s="0" t="n">
        <v>0</v>
      </c>
      <c r="T483" s="0" t="s">
        <v>624</v>
      </c>
      <c r="U483" s="0" t="s">
        <v>137</v>
      </c>
      <c r="V483" s="0" t="s">
        <v>624</v>
      </c>
      <c r="W483" s="0" t="s">
        <v>569</v>
      </c>
      <c r="X483" s="0" t="s">
        <v>624</v>
      </c>
      <c r="Y483" s="0" t="s">
        <v>627</v>
      </c>
      <c r="Z483" s="0" t="s">
        <v>629</v>
      </c>
      <c r="AA483" s="0" t="s">
        <v>624</v>
      </c>
      <c r="AB483" s="0" t="s">
        <v>580</v>
      </c>
      <c r="AC483" s="254" t="n">
        <v>500000</v>
      </c>
      <c r="AD483" s="254" t="n">
        <v>6145.94792376959</v>
      </c>
      <c r="AE483" s="0" t="n">
        <v>0</v>
      </c>
      <c r="AF483" s="0" t="n">
        <v>0</v>
      </c>
      <c r="AG483" s="0" t="n">
        <v>0</v>
      </c>
      <c r="AH483" s="254" t="n">
        <v>98690.8463266026</v>
      </c>
      <c r="AI483" s="0" t="n">
        <v>226</v>
      </c>
      <c r="AJ483" s="0" t="s">
        <v>630</v>
      </c>
      <c r="AK483" s="0" t="n">
        <v>0</v>
      </c>
      <c r="AL483" s="0" t="n">
        <v>0</v>
      </c>
      <c r="AM483" s="0" t="n">
        <v>0</v>
      </c>
    </row>
    <row r="484" customFormat="false" ht="12.75" hidden="false" customHeight="false" outlineLevel="0" collapsed="false">
      <c r="A484" s="0" t="s">
        <v>631</v>
      </c>
      <c r="B484" s="0" t="s">
        <v>365</v>
      </c>
      <c r="C484" s="0" t="s">
        <v>622</v>
      </c>
      <c r="D484" s="0" t="s">
        <v>623</v>
      </c>
      <c r="E484" s="0" t="s">
        <v>131</v>
      </c>
      <c r="F484" s="0" t="s">
        <v>206</v>
      </c>
      <c r="G484" s="0" t="s">
        <v>628</v>
      </c>
      <c r="H484" s="0" t="s">
        <v>625</v>
      </c>
      <c r="I484" s="0" t="s">
        <v>626</v>
      </c>
      <c r="J484" s="0" t="s">
        <v>627</v>
      </c>
      <c r="K484" s="475" t="n">
        <v>37165</v>
      </c>
      <c r="L484" s="254" t="n">
        <v>42514.1939739805</v>
      </c>
      <c r="M484" s="475" t="n">
        <v>37161</v>
      </c>
      <c r="N484" s="0" t="s">
        <v>136</v>
      </c>
      <c r="O484" s="0" t="n">
        <v>0.5</v>
      </c>
      <c r="P484" s="0" t="n">
        <v>0</v>
      </c>
      <c r="Q484" s="0" t="n">
        <v>0</v>
      </c>
      <c r="R484" s="0" t="n">
        <v>0</v>
      </c>
      <c r="S484" s="0" t="n">
        <v>0</v>
      </c>
      <c r="T484" s="0" t="s">
        <v>624</v>
      </c>
      <c r="U484" s="0" t="s">
        <v>149</v>
      </c>
      <c r="V484" s="0" t="s">
        <v>624</v>
      </c>
      <c r="W484" s="0" t="s">
        <v>569</v>
      </c>
      <c r="X484" s="0" t="s">
        <v>624</v>
      </c>
      <c r="Y484" s="0" t="s">
        <v>627</v>
      </c>
      <c r="Z484" s="0" t="s">
        <v>629</v>
      </c>
      <c r="AA484" s="0" t="s">
        <v>624</v>
      </c>
      <c r="AB484" s="0" t="s">
        <v>580</v>
      </c>
      <c r="AC484" s="254" t="n">
        <v>310000</v>
      </c>
      <c r="AD484" s="254" t="n">
        <v>9544.40226977671</v>
      </c>
      <c r="AE484" s="0" t="n">
        <v>0</v>
      </c>
      <c r="AF484" s="0" t="n">
        <v>0</v>
      </c>
      <c r="AG484" s="0" t="n">
        <v>0</v>
      </c>
      <c r="AH484" s="254" t="n">
        <v>454.041557032295</v>
      </c>
      <c r="AI484" s="0" t="n">
        <v>226</v>
      </c>
      <c r="AJ484" s="0" t="s">
        <v>630</v>
      </c>
      <c r="AK484" s="0" t="n">
        <v>0</v>
      </c>
      <c r="AL484" s="0" t="n">
        <v>0</v>
      </c>
      <c r="AM484" s="0" t="n">
        <v>0</v>
      </c>
    </row>
    <row r="485" customFormat="false" ht="12.75" hidden="false" customHeight="false" outlineLevel="0" collapsed="false">
      <c r="A485" s="0" t="s">
        <v>631</v>
      </c>
      <c r="B485" s="0" t="s">
        <v>365</v>
      </c>
      <c r="C485" s="0" t="s">
        <v>622</v>
      </c>
      <c r="D485" s="0" t="s">
        <v>623</v>
      </c>
      <c r="E485" s="0" t="s">
        <v>131</v>
      </c>
      <c r="F485" s="0" t="s">
        <v>206</v>
      </c>
      <c r="G485" s="0" t="s">
        <v>628</v>
      </c>
      <c r="H485" s="0" t="s">
        <v>625</v>
      </c>
      <c r="I485" s="0" t="s">
        <v>626</v>
      </c>
      <c r="J485" s="0" t="s">
        <v>627</v>
      </c>
      <c r="K485" s="475" t="n">
        <v>37135</v>
      </c>
      <c r="L485" s="254" t="n">
        <v>31308.7807539751</v>
      </c>
      <c r="M485" s="475" t="n">
        <v>37133</v>
      </c>
      <c r="N485" s="0" t="s">
        <v>136</v>
      </c>
      <c r="O485" s="0" t="n">
        <v>0.5</v>
      </c>
      <c r="P485" s="0" t="n">
        <v>0</v>
      </c>
      <c r="Q485" s="0" t="n">
        <v>0</v>
      </c>
      <c r="R485" s="0" t="n">
        <v>0</v>
      </c>
      <c r="S485" s="0" t="n">
        <v>0</v>
      </c>
      <c r="T485" s="0" t="s">
        <v>624</v>
      </c>
      <c r="U485" s="0" t="s">
        <v>149</v>
      </c>
      <c r="V485" s="0" t="s">
        <v>624</v>
      </c>
      <c r="W485" s="0" t="s">
        <v>569</v>
      </c>
      <c r="X485" s="0" t="s">
        <v>624</v>
      </c>
      <c r="Y485" s="0" t="s">
        <v>627</v>
      </c>
      <c r="Z485" s="0" t="s">
        <v>629</v>
      </c>
      <c r="AA485" s="0" t="s">
        <v>624</v>
      </c>
      <c r="AB485" s="0" t="s">
        <v>580</v>
      </c>
      <c r="AC485" s="254" t="n">
        <v>300000</v>
      </c>
      <c r="AD485" s="254" t="n">
        <v>8697.05707219387</v>
      </c>
      <c r="AE485" s="0" t="n">
        <v>0</v>
      </c>
      <c r="AF485" s="0" t="n">
        <v>0</v>
      </c>
      <c r="AG485" s="0" t="n">
        <v>0</v>
      </c>
      <c r="AH485" s="254" t="n">
        <v>412.838742572552</v>
      </c>
      <c r="AI485" s="0" t="n">
        <v>226</v>
      </c>
      <c r="AJ485" s="0" t="s">
        <v>630</v>
      </c>
      <c r="AK485" s="0" t="n">
        <v>0</v>
      </c>
      <c r="AL485" s="0" t="n">
        <v>0</v>
      </c>
      <c r="AM485" s="0" t="n">
        <v>0</v>
      </c>
    </row>
    <row r="486" customFormat="false" ht="12.75" hidden="false" customHeight="false" outlineLevel="0" collapsed="false">
      <c r="A486" s="0" t="s">
        <v>631</v>
      </c>
      <c r="B486" s="0" t="s">
        <v>365</v>
      </c>
      <c r="C486" s="0" t="s">
        <v>622</v>
      </c>
      <c r="D486" s="0" t="s">
        <v>623</v>
      </c>
      <c r="E486" s="0" t="s">
        <v>131</v>
      </c>
      <c r="F486" s="0" t="s">
        <v>206</v>
      </c>
      <c r="G486" s="0" t="s">
        <v>628</v>
      </c>
      <c r="H486" s="0" t="s">
        <v>625</v>
      </c>
      <c r="I486" s="0" t="s">
        <v>626</v>
      </c>
      <c r="J486" s="0" t="s">
        <v>627</v>
      </c>
      <c r="K486" s="475" t="n">
        <v>37104</v>
      </c>
      <c r="L486" s="254" t="n">
        <v>39209.4382991466</v>
      </c>
      <c r="M486" s="475" t="n">
        <v>37102</v>
      </c>
      <c r="N486" s="0" t="s">
        <v>136</v>
      </c>
      <c r="O486" s="0" t="n">
        <v>0.5</v>
      </c>
      <c r="P486" s="0" t="n">
        <v>0</v>
      </c>
      <c r="Q486" s="0" t="n">
        <v>0</v>
      </c>
      <c r="R486" s="0" t="n">
        <v>0</v>
      </c>
      <c r="S486" s="0" t="n">
        <v>0</v>
      </c>
      <c r="T486" s="0" t="s">
        <v>624</v>
      </c>
      <c r="U486" s="0" t="s">
        <v>149</v>
      </c>
      <c r="V486" s="0" t="s">
        <v>624</v>
      </c>
      <c r="W486" s="0" t="s">
        <v>569</v>
      </c>
      <c r="X486" s="0" t="s">
        <v>624</v>
      </c>
      <c r="Y486" s="0" t="s">
        <v>627</v>
      </c>
      <c r="Z486" s="0" t="s">
        <v>629</v>
      </c>
      <c r="AA486" s="0" t="s">
        <v>624</v>
      </c>
      <c r="AB486" s="0" t="s">
        <v>580</v>
      </c>
      <c r="AC486" s="254" t="n">
        <v>310000</v>
      </c>
      <c r="AD486" s="254" t="n">
        <v>8857.46633493596</v>
      </c>
      <c r="AE486" s="0" t="n">
        <v>0</v>
      </c>
      <c r="AF486" s="0" t="n">
        <v>0</v>
      </c>
      <c r="AG486" s="0" t="n">
        <v>0</v>
      </c>
      <c r="AH486" s="254" t="n">
        <v>420.897224103384</v>
      </c>
      <c r="AI486" s="0" t="n">
        <v>226</v>
      </c>
      <c r="AJ486" s="0" t="s">
        <v>630</v>
      </c>
      <c r="AK486" s="0" t="n">
        <v>0</v>
      </c>
      <c r="AL486" s="0" t="n">
        <v>0</v>
      </c>
      <c r="AM486" s="0" t="n">
        <v>0</v>
      </c>
    </row>
    <row r="487" customFormat="false" ht="12.75" hidden="false" customHeight="false" outlineLevel="0" collapsed="false">
      <c r="A487" s="0" t="s">
        <v>631</v>
      </c>
      <c r="B487" s="0" t="s">
        <v>365</v>
      </c>
      <c r="C487" s="0" t="s">
        <v>622</v>
      </c>
      <c r="D487" s="0" t="s">
        <v>623</v>
      </c>
      <c r="E487" s="0" t="s">
        <v>131</v>
      </c>
      <c r="F487" s="0" t="s">
        <v>206</v>
      </c>
      <c r="G487" s="0" t="s">
        <v>628</v>
      </c>
      <c r="H487" s="0" t="s">
        <v>625</v>
      </c>
      <c r="I487" s="0" t="s">
        <v>626</v>
      </c>
      <c r="J487" s="0" t="s">
        <v>627</v>
      </c>
      <c r="K487" s="475" t="n">
        <v>37073</v>
      </c>
      <c r="L487" s="254" t="n">
        <v>37202.1035212581</v>
      </c>
      <c r="M487" s="475" t="n">
        <v>37070</v>
      </c>
      <c r="N487" s="0" t="s">
        <v>136</v>
      </c>
      <c r="O487" s="0" t="n">
        <v>0.5</v>
      </c>
      <c r="P487" s="0" t="n">
        <v>0</v>
      </c>
      <c r="Q487" s="0" t="n">
        <v>0</v>
      </c>
      <c r="R487" s="0" t="n">
        <v>0</v>
      </c>
      <c r="S487" s="0" t="n">
        <v>0</v>
      </c>
      <c r="T487" s="0" t="s">
        <v>624</v>
      </c>
      <c r="U487" s="0" t="s">
        <v>149</v>
      </c>
      <c r="V487" s="0" t="s">
        <v>624</v>
      </c>
      <c r="W487" s="0" t="s">
        <v>569</v>
      </c>
      <c r="X487" s="0" t="s">
        <v>624</v>
      </c>
      <c r="Y487" s="0" t="s">
        <v>627</v>
      </c>
      <c r="Z487" s="0" t="s">
        <v>629</v>
      </c>
      <c r="AA487" s="0" t="s">
        <v>624</v>
      </c>
      <c r="AB487" s="0" t="s">
        <v>580</v>
      </c>
      <c r="AC487" s="254" t="n">
        <v>310000</v>
      </c>
      <c r="AD487" s="254" t="n">
        <v>8467.53013701258</v>
      </c>
      <c r="AE487" s="0" t="n">
        <v>0</v>
      </c>
      <c r="AF487" s="0" t="n">
        <v>0</v>
      </c>
      <c r="AG487" s="0" t="n">
        <v>0</v>
      </c>
      <c r="AH487" s="254" t="n">
        <v>402.530119818031</v>
      </c>
      <c r="AI487" s="0" t="n">
        <v>226</v>
      </c>
      <c r="AJ487" s="0" t="s">
        <v>630</v>
      </c>
      <c r="AK487" s="0" t="n">
        <v>0</v>
      </c>
      <c r="AL487" s="0" t="n">
        <v>0</v>
      </c>
      <c r="AM487" s="0" t="n">
        <v>0</v>
      </c>
    </row>
    <row r="488" customFormat="false" ht="12.75" hidden="false" customHeight="false" outlineLevel="0" collapsed="false">
      <c r="A488" s="0" t="s">
        <v>631</v>
      </c>
      <c r="B488" s="0" t="s">
        <v>365</v>
      </c>
      <c r="C488" s="0" t="s">
        <v>622</v>
      </c>
      <c r="D488" s="0" t="s">
        <v>623</v>
      </c>
      <c r="E488" s="0" t="s">
        <v>131</v>
      </c>
      <c r="F488" s="0" t="s">
        <v>206</v>
      </c>
      <c r="G488" s="0" t="s">
        <v>628</v>
      </c>
      <c r="H488" s="0" t="s">
        <v>625</v>
      </c>
      <c r="I488" s="0" t="s">
        <v>626</v>
      </c>
      <c r="J488" s="0" t="s">
        <v>627</v>
      </c>
      <c r="K488" s="475" t="n">
        <v>37043</v>
      </c>
      <c r="L488" s="254" t="n">
        <v>26205.0612432057</v>
      </c>
      <c r="M488" s="475" t="n">
        <v>37041</v>
      </c>
      <c r="N488" s="0" t="s">
        <v>136</v>
      </c>
      <c r="O488" s="0" t="n">
        <v>0.5</v>
      </c>
      <c r="P488" s="0" t="n">
        <v>0</v>
      </c>
      <c r="Q488" s="0" t="n">
        <v>0</v>
      </c>
      <c r="R488" s="0" t="n">
        <v>0</v>
      </c>
      <c r="S488" s="0" t="n">
        <v>0</v>
      </c>
      <c r="T488" s="0" t="s">
        <v>624</v>
      </c>
      <c r="U488" s="0" t="s">
        <v>149</v>
      </c>
      <c r="V488" s="0" t="s">
        <v>624</v>
      </c>
      <c r="W488" s="0" t="s">
        <v>569</v>
      </c>
      <c r="X488" s="0" t="s">
        <v>624</v>
      </c>
      <c r="Y488" s="0" t="s">
        <v>627</v>
      </c>
      <c r="Z488" s="0" t="s">
        <v>629</v>
      </c>
      <c r="AA488" s="0" t="s">
        <v>624</v>
      </c>
      <c r="AB488" s="0" t="s">
        <v>580</v>
      </c>
      <c r="AC488" s="254" t="n">
        <v>300000</v>
      </c>
      <c r="AD488" s="254" t="n">
        <v>7582.59114703003</v>
      </c>
      <c r="AE488" s="0" t="n">
        <v>0</v>
      </c>
      <c r="AF488" s="0" t="n">
        <v>0</v>
      </c>
      <c r="AG488" s="0" t="n">
        <v>0</v>
      </c>
      <c r="AH488" s="254" t="n">
        <v>360.316023931737</v>
      </c>
      <c r="AI488" s="0" t="n">
        <v>226</v>
      </c>
      <c r="AJ488" s="0" t="s">
        <v>630</v>
      </c>
      <c r="AK488" s="0" t="n">
        <v>0</v>
      </c>
      <c r="AL488" s="0" t="n">
        <v>0</v>
      </c>
      <c r="AM488" s="0" t="n">
        <v>0</v>
      </c>
    </row>
    <row r="489" customFormat="false" ht="12.75" hidden="false" customHeight="false" outlineLevel="0" collapsed="false">
      <c r="A489" s="0" t="s">
        <v>631</v>
      </c>
      <c r="B489" s="0" t="s">
        <v>365</v>
      </c>
      <c r="C489" s="0" t="s">
        <v>622</v>
      </c>
      <c r="D489" s="0" t="s">
        <v>623</v>
      </c>
      <c r="E489" s="0" t="s">
        <v>131</v>
      </c>
      <c r="F489" s="0" t="s">
        <v>206</v>
      </c>
      <c r="G489" s="0" t="s">
        <v>628</v>
      </c>
      <c r="H489" s="0" t="s">
        <v>625</v>
      </c>
      <c r="I489" s="0" t="s">
        <v>626</v>
      </c>
      <c r="J489" s="0" t="s">
        <v>627</v>
      </c>
      <c r="K489" s="475" t="n">
        <v>37012</v>
      </c>
      <c r="L489" s="254" t="n">
        <v>26626.8790465357</v>
      </c>
      <c r="M489" s="475" t="n">
        <v>37008</v>
      </c>
      <c r="N489" s="0" t="s">
        <v>136</v>
      </c>
      <c r="O489" s="0" t="n">
        <v>0.5</v>
      </c>
      <c r="P489" s="0" t="n">
        <v>0</v>
      </c>
      <c r="Q489" s="0" t="n">
        <v>0</v>
      </c>
      <c r="R489" s="0" t="n">
        <v>0</v>
      </c>
      <c r="S489" s="0" t="n">
        <v>0</v>
      </c>
      <c r="T489" s="0" t="s">
        <v>624</v>
      </c>
      <c r="U489" s="0" t="s">
        <v>149</v>
      </c>
      <c r="V489" s="0" t="s">
        <v>624</v>
      </c>
      <c r="W489" s="0" t="s">
        <v>569</v>
      </c>
      <c r="X489" s="0" t="s">
        <v>624</v>
      </c>
      <c r="Y489" s="0" t="s">
        <v>627</v>
      </c>
      <c r="Z489" s="0" t="s">
        <v>629</v>
      </c>
      <c r="AA489" s="0" t="s">
        <v>624</v>
      </c>
      <c r="AB489" s="0" t="s">
        <v>580</v>
      </c>
      <c r="AC489" s="254" t="n">
        <v>310000</v>
      </c>
      <c r="AD489" s="254" t="n">
        <v>7524.25993241735</v>
      </c>
      <c r="AE489" s="0" t="n">
        <v>0</v>
      </c>
      <c r="AF489" s="0" t="n">
        <v>0</v>
      </c>
      <c r="AG489" s="0" t="n">
        <v>0</v>
      </c>
      <c r="AH489" s="254" t="n">
        <v>357.92191821893</v>
      </c>
      <c r="AI489" s="0" t="n">
        <v>226</v>
      </c>
      <c r="AJ489" s="0" t="s">
        <v>630</v>
      </c>
      <c r="AK489" s="0" t="n">
        <v>0</v>
      </c>
      <c r="AL489" s="0" t="n">
        <v>0</v>
      </c>
      <c r="AM489" s="0" t="n">
        <v>0</v>
      </c>
    </row>
    <row r="490" customFormat="false" ht="12.75" hidden="false" customHeight="false" outlineLevel="0" collapsed="false">
      <c r="A490" s="0" t="s">
        <v>631</v>
      </c>
      <c r="B490" s="0" t="s">
        <v>365</v>
      </c>
      <c r="C490" s="0" t="s">
        <v>622</v>
      </c>
      <c r="D490" s="0" t="s">
        <v>623</v>
      </c>
      <c r="E490" s="0" t="s">
        <v>131</v>
      </c>
      <c r="F490" s="0" t="s">
        <v>206</v>
      </c>
      <c r="G490" s="0" t="s">
        <v>628</v>
      </c>
      <c r="H490" s="0" t="s">
        <v>625</v>
      </c>
      <c r="I490" s="0" t="s">
        <v>626</v>
      </c>
      <c r="J490" s="0" t="s">
        <v>627</v>
      </c>
      <c r="K490" s="475" t="n">
        <v>36982</v>
      </c>
      <c r="L490" s="254" t="n">
        <v>43385.020276214</v>
      </c>
      <c r="M490" s="475" t="n">
        <v>36979</v>
      </c>
      <c r="N490" s="0" t="s">
        <v>136</v>
      </c>
      <c r="O490" s="0" t="n">
        <v>0.5</v>
      </c>
      <c r="P490" s="0" t="n">
        <v>0</v>
      </c>
      <c r="Q490" s="0" t="n">
        <v>0</v>
      </c>
      <c r="R490" s="0" t="n">
        <v>0</v>
      </c>
      <c r="S490" s="0" t="n">
        <v>0</v>
      </c>
      <c r="T490" s="0" t="s">
        <v>624</v>
      </c>
      <c r="U490" s="0" t="s">
        <v>149</v>
      </c>
      <c r="V490" s="0" t="s">
        <v>624</v>
      </c>
      <c r="W490" s="0" t="s">
        <v>569</v>
      </c>
      <c r="X490" s="0" t="s">
        <v>624</v>
      </c>
      <c r="Y490" s="0" t="s">
        <v>627</v>
      </c>
      <c r="Z490" s="0" t="s">
        <v>629</v>
      </c>
      <c r="AA490" s="0" t="s">
        <v>624</v>
      </c>
      <c r="AB490" s="0" t="s">
        <v>580</v>
      </c>
      <c r="AC490" s="254" t="n">
        <v>300000</v>
      </c>
      <c r="AD490" s="254" t="n">
        <v>7765.68044874707</v>
      </c>
      <c r="AE490" s="0" t="n">
        <v>0</v>
      </c>
      <c r="AF490" s="0" t="n">
        <v>0</v>
      </c>
      <c r="AG490" s="0" t="n">
        <v>0</v>
      </c>
      <c r="AH490" s="254" t="n">
        <v>370.403506270297</v>
      </c>
      <c r="AI490" s="0" t="n">
        <v>226</v>
      </c>
      <c r="AJ490" s="0" t="s">
        <v>630</v>
      </c>
      <c r="AK490" s="0" t="n">
        <v>0</v>
      </c>
      <c r="AL490" s="0" t="n">
        <v>0</v>
      </c>
      <c r="AM490" s="0" t="n">
        <v>0</v>
      </c>
    </row>
    <row r="491" customFormat="false" ht="12.75" hidden="false" customHeight="false" outlineLevel="0" collapsed="false">
      <c r="A491" s="0" t="s">
        <v>631</v>
      </c>
      <c r="B491" s="0" t="s">
        <v>366</v>
      </c>
      <c r="C491" s="0" t="s">
        <v>622</v>
      </c>
      <c r="D491" s="0" t="s">
        <v>623</v>
      </c>
      <c r="E491" s="0" t="s">
        <v>131</v>
      </c>
      <c r="F491" s="0" t="s">
        <v>198</v>
      </c>
      <c r="G491" s="0" t="s">
        <v>628</v>
      </c>
      <c r="H491" s="0" t="s">
        <v>625</v>
      </c>
      <c r="I491" s="0" t="s">
        <v>626</v>
      </c>
      <c r="J491" s="0" t="s">
        <v>627</v>
      </c>
      <c r="K491" s="475" t="n">
        <v>36951</v>
      </c>
      <c r="L491" s="254" t="n">
        <v>257860.553972926</v>
      </c>
      <c r="M491" s="475" t="n">
        <v>36949</v>
      </c>
      <c r="N491" s="0" t="s">
        <v>136</v>
      </c>
      <c r="O491" s="0" t="n">
        <v>0.3</v>
      </c>
      <c r="P491" s="0" t="n">
        <v>0</v>
      </c>
      <c r="Q491" s="0" t="n">
        <v>0</v>
      </c>
      <c r="R491" s="0" t="n">
        <v>0</v>
      </c>
      <c r="S491" s="0" t="n">
        <v>0</v>
      </c>
      <c r="T491" s="0" t="s">
        <v>624</v>
      </c>
      <c r="U491" s="0" t="s">
        <v>137</v>
      </c>
      <c r="V491" s="0" t="s">
        <v>624</v>
      </c>
      <c r="W491" s="0" t="s">
        <v>569</v>
      </c>
      <c r="X491" s="0" t="s">
        <v>624</v>
      </c>
      <c r="Y491" s="0" t="s">
        <v>627</v>
      </c>
      <c r="Z491" s="0" t="s">
        <v>629</v>
      </c>
      <c r="AA491" s="0" t="s">
        <v>624</v>
      </c>
      <c r="AB491" s="0" t="s">
        <v>580</v>
      </c>
      <c r="AC491" s="254" t="n">
        <v>500000</v>
      </c>
      <c r="AD491" s="254" t="n">
        <v>36938.3982718862</v>
      </c>
      <c r="AE491" s="0" t="n">
        <v>0</v>
      </c>
      <c r="AF491" s="0" t="n">
        <v>0</v>
      </c>
      <c r="AG491" s="0" t="n">
        <v>0</v>
      </c>
      <c r="AH491" s="254" t="n">
        <v>-16070.6786624382</v>
      </c>
      <c r="AI491" s="0" t="n">
        <v>226</v>
      </c>
      <c r="AJ491" s="0" t="s">
        <v>630</v>
      </c>
      <c r="AK491" s="0" t="n">
        <v>0</v>
      </c>
      <c r="AL491" s="0" t="n">
        <v>0</v>
      </c>
      <c r="AM491" s="0" t="n">
        <v>0</v>
      </c>
    </row>
    <row r="492" customFormat="false" ht="12.75" hidden="false" customHeight="false" outlineLevel="0" collapsed="false">
      <c r="A492" s="0" t="s">
        <v>631</v>
      </c>
      <c r="B492" s="0" t="s">
        <v>366</v>
      </c>
      <c r="C492" s="0" t="s">
        <v>622</v>
      </c>
      <c r="D492" s="0" t="s">
        <v>623</v>
      </c>
      <c r="E492" s="0" t="s">
        <v>131</v>
      </c>
      <c r="F492" s="0" t="s">
        <v>198</v>
      </c>
      <c r="G492" s="0" t="s">
        <v>628</v>
      </c>
      <c r="H492" s="0" t="s">
        <v>625</v>
      </c>
      <c r="I492" s="0" t="s">
        <v>626</v>
      </c>
      <c r="J492" s="0" t="s">
        <v>627</v>
      </c>
      <c r="K492" s="475" t="n">
        <v>36923</v>
      </c>
      <c r="L492" s="254" t="n">
        <v>279861.551675115</v>
      </c>
      <c r="M492" s="475" t="n">
        <v>36921</v>
      </c>
      <c r="N492" s="0" t="s">
        <v>136</v>
      </c>
      <c r="O492" s="0" t="n">
        <v>0.3</v>
      </c>
      <c r="P492" s="0" t="n">
        <v>0</v>
      </c>
      <c r="Q492" s="0" t="n">
        <v>0</v>
      </c>
      <c r="R492" s="0" t="n">
        <v>0</v>
      </c>
      <c r="S492" s="0" t="n">
        <v>0</v>
      </c>
      <c r="T492" s="0" t="s">
        <v>624</v>
      </c>
      <c r="U492" s="0" t="s">
        <v>137</v>
      </c>
      <c r="V492" s="0" t="s">
        <v>624</v>
      </c>
      <c r="W492" s="0" t="s">
        <v>569</v>
      </c>
      <c r="X492" s="0" t="s">
        <v>624</v>
      </c>
      <c r="Y492" s="0" t="s">
        <v>627</v>
      </c>
      <c r="Z492" s="0" t="s">
        <v>629</v>
      </c>
      <c r="AA492" s="0" t="s">
        <v>624</v>
      </c>
      <c r="AB492" s="0" t="s">
        <v>580</v>
      </c>
      <c r="AC492" s="254" t="n">
        <v>500000</v>
      </c>
      <c r="AD492" s="254" t="n">
        <v>38119.5115778066</v>
      </c>
      <c r="AE492" s="0" t="n">
        <v>0</v>
      </c>
      <c r="AF492" s="0" t="n">
        <v>0</v>
      </c>
      <c r="AG492" s="0" t="n">
        <v>0</v>
      </c>
      <c r="AH492" s="254" t="n">
        <v>-16153.2355504369</v>
      </c>
      <c r="AI492" s="0" t="n">
        <v>226</v>
      </c>
      <c r="AJ492" s="0" t="s">
        <v>630</v>
      </c>
      <c r="AK492" s="0" t="n">
        <v>0</v>
      </c>
      <c r="AL492" s="0" t="n">
        <v>0</v>
      </c>
      <c r="AM492" s="0" t="n">
        <v>0</v>
      </c>
    </row>
    <row r="493" customFormat="false" ht="12.75" hidden="false" customHeight="false" outlineLevel="0" collapsed="false">
      <c r="A493" s="0" t="s">
        <v>631</v>
      </c>
      <c r="B493" s="0" t="s">
        <v>366</v>
      </c>
      <c r="C493" s="0" t="s">
        <v>622</v>
      </c>
      <c r="D493" s="0" t="s">
        <v>623</v>
      </c>
      <c r="E493" s="0" t="s">
        <v>131</v>
      </c>
      <c r="F493" s="0" t="s">
        <v>198</v>
      </c>
      <c r="G493" s="0" t="s">
        <v>628</v>
      </c>
      <c r="H493" s="0" t="s">
        <v>625</v>
      </c>
      <c r="I493" s="0" t="s">
        <v>626</v>
      </c>
      <c r="J493" s="0" t="s">
        <v>627</v>
      </c>
      <c r="K493" s="475" t="n">
        <v>36892</v>
      </c>
      <c r="L493" s="254" t="n">
        <v>324172.952144384</v>
      </c>
      <c r="M493" s="475" t="n">
        <v>36888</v>
      </c>
      <c r="N493" s="0" t="s">
        <v>136</v>
      </c>
      <c r="O493" s="0" t="n">
        <v>0.3</v>
      </c>
      <c r="P493" s="0" t="n">
        <v>0</v>
      </c>
      <c r="Q493" s="0" t="n">
        <v>0</v>
      </c>
      <c r="R493" s="0" t="n">
        <v>0</v>
      </c>
      <c r="S493" s="0" t="n">
        <v>0</v>
      </c>
      <c r="T493" s="0" t="s">
        <v>624</v>
      </c>
      <c r="U493" s="0" t="s">
        <v>137</v>
      </c>
      <c r="V493" s="0" t="s">
        <v>624</v>
      </c>
      <c r="W493" s="0" t="s">
        <v>569</v>
      </c>
      <c r="X493" s="0" t="s">
        <v>624</v>
      </c>
      <c r="Y493" s="0" t="s">
        <v>627</v>
      </c>
      <c r="Z493" s="0" t="s">
        <v>629</v>
      </c>
      <c r="AA493" s="0" t="s">
        <v>624</v>
      </c>
      <c r="AB493" s="0" t="s">
        <v>580</v>
      </c>
      <c r="AC493" s="254" t="n">
        <v>500000</v>
      </c>
      <c r="AD493" s="254" t="n">
        <v>32570.5354679631</v>
      </c>
      <c r="AE493" s="0" t="n">
        <v>0</v>
      </c>
      <c r="AF493" s="0" t="n">
        <v>0</v>
      </c>
      <c r="AG493" s="0" t="n">
        <v>0</v>
      </c>
      <c r="AH493" s="254" t="n">
        <v>-17984.4963381685</v>
      </c>
      <c r="AI493" s="0" t="n">
        <v>226</v>
      </c>
      <c r="AJ493" s="0" t="s">
        <v>630</v>
      </c>
      <c r="AK493" s="0" t="n">
        <v>0</v>
      </c>
      <c r="AL493" s="0" t="n">
        <v>0</v>
      </c>
      <c r="AM493" s="0" t="n">
        <v>0</v>
      </c>
    </row>
    <row r="494" customFormat="false" ht="12.75" hidden="false" customHeight="false" outlineLevel="0" collapsed="false">
      <c r="A494" s="0" t="s">
        <v>631</v>
      </c>
      <c r="B494" s="0" t="s">
        <v>366</v>
      </c>
      <c r="C494" s="0" t="s">
        <v>622</v>
      </c>
      <c r="D494" s="0" t="s">
        <v>623</v>
      </c>
      <c r="E494" s="0" t="s">
        <v>131</v>
      </c>
      <c r="F494" s="0" t="s">
        <v>198</v>
      </c>
      <c r="G494" s="0" t="s">
        <v>628</v>
      </c>
      <c r="H494" s="0" t="s">
        <v>625</v>
      </c>
      <c r="I494" s="0" t="s">
        <v>626</v>
      </c>
      <c r="J494" s="0" t="s">
        <v>627</v>
      </c>
      <c r="K494" s="475" t="n">
        <v>36861</v>
      </c>
      <c r="L494" s="254" t="n">
        <v>396010.629200822</v>
      </c>
      <c r="M494" s="475" t="n">
        <v>36859</v>
      </c>
      <c r="N494" s="0" t="s">
        <v>136</v>
      </c>
      <c r="O494" s="0" t="n">
        <v>0.3</v>
      </c>
      <c r="P494" s="0" t="n">
        <v>0</v>
      </c>
      <c r="Q494" s="0" t="n">
        <v>0</v>
      </c>
      <c r="R494" s="0" t="n">
        <v>0</v>
      </c>
      <c r="S494" s="0" t="n">
        <v>0</v>
      </c>
      <c r="T494" s="0" t="s">
        <v>624</v>
      </c>
      <c r="U494" s="0" t="s">
        <v>137</v>
      </c>
      <c r="V494" s="0" t="s">
        <v>624</v>
      </c>
      <c r="W494" s="0" t="s">
        <v>569</v>
      </c>
      <c r="X494" s="0" t="s">
        <v>624</v>
      </c>
      <c r="Y494" s="0" t="s">
        <v>627</v>
      </c>
      <c r="Z494" s="0" t="s">
        <v>629</v>
      </c>
      <c r="AA494" s="0" t="s">
        <v>624</v>
      </c>
      <c r="AB494" s="0" t="s">
        <v>580</v>
      </c>
      <c r="AC494" s="254" t="n">
        <v>500000</v>
      </c>
      <c r="AD494" s="254" t="n">
        <v>22889.7328757242</v>
      </c>
      <c r="AE494" s="0" t="n">
        <v>0</v>
      </c>
      <c r="AF494" s="0" t="n">
        <v>0</v>
      </c>
      <c r="AG494" s="0" t="n">
        <v>0</v>
      </c>
      <c r="AH494" s="254" t="n">
        <v>57637.2591544675</v>
      </c>
      <c r="AI494" s="0" t="n">
        <v>226</v>
      </c>
      <c r="AJ494" s="0" t="s">
        <v>630</v>
      </c>
      <c r="AK494" s="0" t="n">
        <v>0</v>
      </c>
      <c r="AL494" s="0" t="n">
        <v>0</v>
      </c>
      <c r="AM494" s="0" t="n">
        <v>0</v>
      </c>
    </row>
    <row r="495" customFormat="false" ht="12.75" hidden="false" customHeight="false" outlineLevel="0" collapsed="false">
      <c r="A495" s="0" t="s">
        <v>631</v>
      </c>
      <c r="B495" s="0" t="s">
        <v>366</v>
      </c>
      <c r="C495" s="0" t="s">
        <v>622</v>
      </c>
      <c r="D495" s="0" t="s">
        <v>623</v>
      </c>
      <c r="E495" s="0" t="s">
        <v>131</v>
      </c>
      <c r="F495" s="0" t="s">
        <v>198</v>
      </c>
      <c r="G495" s="0" t="s">
        <v>628</v>
      </c>
      <c r="H495" s="0" t="s">
        <v>625</v>
      </c>
      <c r="I495" s="0" t="s">
        <v>626</v>
      </c>
      <c r="J495" s="0" t="s">
        <v>627</v>
      </c>
      <c r="K495" s="475" t="n">
        <v>36831</v>
      </c>
      <c r="L495" s="254" t="n">
        <v>621737.619084582</v>
      </c>
      <c r="M495" s="475" t="n">
        <v>36829</v>
      </c>
      <c r="N495" s="0" t="s">
        <v>136</v>
      </c>
      <c r="O495" s="0" t="n">
        <v>0.3</v>
      </c>
      <c r="P495" s="0" t="n">
        <v>0</v>
      </c>
      <c r="Q495" s="0" t="n">
        <v>0</v>
      </c>
      <c r="R495" s="0" t="n">
        <v>0</v>
      </c>
      <c r="S495" s="0" t="n">
        <v>0</v>
      </c>
      <c r="T495" s="0" t="s">
        <v>624</v>
      </c>
      <c r="U495" s="0" t="s">
        <v>137</v>
      </c>
      <c r="V495" s="0" t="s">
        <v>624</v>
      </c>
      <c r="W495" s="0" t="s">
        <v>569</v>
      </c>
      <c r="X495" s="0" t="s">
        <v>624</v>
      </c>
      <c r="Y495" s="0" t="s">
        <v>627</v>
      </c>
      <c r="Z495" s="0" t="s">
        <v>629</v>
      </c>
      <c r="AA495" s="0" t="s">
        <v>624</v>
      </c>
      <c r="AB495" s="0" t="s">
        <v>580</v>
      </c>
      <c r="AC495" s="254" t="n">
        <v>500000</v>
      </c>
      <c r="AD495" s="254" t="n">
        <v>6145.94792376959</v>
      </c>
      <c r="AE495" s="0" t="n">
        <v>0</v>
      </c>
      <c r="AF495" s="0" t="n">
        <v>0</v>
      </c>
      <c r="AG495" s="0" t="n">
        <v>0</v>
      </c>
      <c r="AH495" s="254" t="n">
        <v>98690.8463266026</v>
      </c>
      <c r="AI495" s="0" t="n">
        <v>226</v>
      </c>
      <c r="AJ495" s="0" t="s">
        <v>630</v>
      </c>
      <c r="AK495" s="0" t="n">
        <v>0</v>
      </c>
      <c r="AL495" s="0" t="n">
        <v>0</v>
      </c>
      <c r="AM495" s="0" t="n">
        <v>0</v>
      </c>
    </row>
    <row r="496" customFormat="false" ht="12.75" hidden="false" customHeight="false" outlineLevel="0" collapsed="false">
      <c r="A496" s="0" t="s">
        <v>631</v>
      </c>
      <c r="B496" s="0" t="s">
        <v>367</v>
      </c>
      <c r="C496" s="0" t="s">
        <v>622</v>
      </c>
      <c r="D496" s="0" t="s">
        <v>623</v>
      </c>
      <c r="E496" s="0" t="s">
        <v>131</v>
      </c>
      <c r="F496" s="0" t="s">
        <v>363</v>
      </c>
      <c r="G496" s="0" t="s">
        <v>628</v>
      </c>
      <c r="H496" s="0" t="s">
        <v>625</v>
      </c>
      <c r="I496" s="0" t="s">
        <v>626</v>
      </c>
      <c r="J496" s="0" t="s">
        <v>627</v>
      </c>
      <c r="K496" s="475" t="n">
        <v>36831</v>
      </c>
      <c r="L496" s="254" t="n">
        <v>246653.870751967</v>
      </c>
      <c r="M496" s="475" t="n">
        <v>36829</v>
      </c>
      <c r="N496" s="0" t="s">
        <v>136</v>
      </c>
      <c r="O496" s="0" t="n">
        <v>0.8</v>
      </c>
      <c r="P496" s="0" t="n">
        <v>0</v>
      </c>
      <c r="Q496" s="0" t="n">
        <v>0</v>
      </c>
      <c r="R496" s="0" t="n">
        <v>0</v>
      </c>
      <c r="S496" s="0" t="n">
        <v>0</v>
      </c>
      <c r="T496" s="0" t="s">
        <v>624</v>
      </c>
      <c r="U496" s="0" t="s">
        <v>149</v>
      </c>
      <c r="V496" s="0" t="s">
        <v>624</v>
      </c>
      <c r="W496" s="0" t="s">
        <v>569</v>
      </c>
      <c r="X496" s="0" t="s">
        <v>624</v>
      </c>
      <c r="Y496" s="0" t="s">
        <v>627</v>
      </c>
      <c r="Z496" s="0" t="s">
        <v>629</v>
      </c>
      <c r="AA496" s="0" t="s">
        <v>624</v>
      </c>
      <c r="AB496" s="0" t="s">
        <v>580</v>
      </c>
      <c r="AC496" s="254" t="n">
        <v>1000000</v>
      </c>
      <c r="AD496" s="254" t="n">
        <v>44936.2432733647</v>
      </c>
      <c r="AE496" s="0" t="n">
        <v>0</v>
      </c>
      <c r="AF496" s="0" t="n">
        <v>0</v>
      </c>
      <c r="AG496" s="0" t="n">
        <v>0</v>
      </c>
      <c r="AH496" s="254" t="n">
        <v>21963.6986836927</v>
      </c>
      <c r="AI496" s="0" t="n">
        <v>226</v>
      </c>
      <c r="AJ496" s="0" t="s">
        <v>630</v>
      </c>
      <c r="AK496" s="0" t="n">
        <v>0</v>
      </c>
      <c r="AL496" s="0" t="n">
        <v>0</v>
      </c>
      <c r="AM496" s="0" t="n">
        <v>0</v>
      </c>
    </row>
    <row r="497" customFormat="false" ht="12.75" hidden="false" customHeight="false" outlineLevel="0" collapsed="false">
      <c r="A497" s="0" t="s">
        <v>631</v>
      </c>
      <c r="B497" s="0" t="s">
        <v>368</v>
      </c>
      <c r="C497" s="0" t="s">
        <v>622</v>
      </c>
      <c r="D497" s="0" t="s">
        <v>623</v>
      </c>
      <c r="E497" s="0" t="s">
        <v>131</v>
      </c>
      <c r="F497" s="0" t="s">
        <v>363</v>
      </c>
      <c r="G497" s="0" t="s">
        <v>628</v>
      </c>
      <c r="H497" s="0" t="s">
        <v>625</v>
      </c>
      <c r="I497" s="0" t="s">
        <v>626</v>
      </c>
      <c r="J497" s="0" t="s">
        <v>627</v>
      </c>
      <c r="K497" s="475" t="n">
        <v>36800</v>
      </c>
      <c r="L497" s="254" t="n">
        <v>235.266402856232</v>
      </c>
      <c r="M497" s="475" t="n">
        <v>36797</v>
      </c>
      <c r="N497" s="0" t="s">
        <v>136</v>
      </c>
      <c r="O497" s="0" t="n">
        <v>0.7</v>
      </c>
      <c r="P497" s="0" t="n">
        <v>0</v>
      </c>
      <c r="Q497" s="0" t="n">
        <v>0</v>
      </c>
      <c r="R497" s="0" t="n">
        <v>0</v>
      </c>
      <c r="S497" s="0" t="n">
        <v>0</v>
      </c>
      <c r="T497" s="0" t="s">
        <v>624</v>
      </c>
      <c r="U497" s="0" t="s">
        <v>149</v>
      </c>
      <c r="V497" s="0" t="s">
        <v>624</v>
      </c>
      <c r="W497" s="0" t="s">
        <v>569</v>
      </c>
      <c r="X497" s="0" t="s">
        <v>624</v>
      </c>
      <c r="Y497" s="0" t="s">
        <v>627</v>
      </c>
      <c r="Z497" s="0" t="s">
        <v>629</v>
      </c>
      <c r="AA497" s="0" t="s">
        <v>624</v>
      </c>
      <c r="AB497" s="0" t="s">
        <v>580</v>
      </c>
      <c r="AC497" s="254" t="n">
        <v>310000</v>
      </c>
      <c r="AD497" s="254" t="n">
        <v>183.994617923024</v>
      </c>
      <c r="AE497" s="0" t="n">
        <v>0</v>
      </c>
      <c r="AF497" s="0" t="n">
        <v>0</v>
      </c>
      <c r="AG497" s="0" t="n">
        <v>0</v>
      </c>
      <c r="AH497" s="254" t="n">
        <v>11.1702745729171</v>
      </c>
      <c r="AI497" s="0" t="n">
        <v>226</v>
      </c>
      <c r="AJ497" s="0" t="s">
        <v>630</v>
      </c>
      <c r="AK497" s="0" t="n">
        <v>0</v>
      </c>
      <c r="AL497" s="0" t="n">
        <v>0</v>
      </c>
      <c r="AM497" s="0" t="n">
        <v>0</v>
      </c>
    </row>
    <row r="498" customFormat="false" ht="12.75" hidden="false" customHeight="false" outlineLevel="0" collapsed="false">
      <c r="A498" s="0" t="s">
        <v>631</v>
      </c>
      <c r="B498" s="0" t="s">
        <v>369</v>
      </c>
      <c r="C498" s="0" t="s">
        <v>622</v>
      </c>
      <c r="D498" s="0" t="s">
        <v>623</v>
      </c>
      <c r="E498" s="0" t="s">
        <v>131</v>
      </c>
      <c r="F498" s="0" t="s">
        <v>208</v>
      </c>
      <c r="G498" s="0" t="s">
        <v>628</v>
      </c>
      <c r="H498" s="0" t="s">
        <v>625</v>
      </c>
      <c r="I498" s="0" t="s">
        <v>626</v>
      </c>
      <c r="J498" s="0" t="s">
        <v>627</v>
      </c>
      <c r="K498" s="475" t="n">
        <v>36951</v>
      </c>
      <c r="L498" s="254" t="n">
        <v>48886.4006319538</v>
      </c>
      <c r="M498" s="475" t="n">
        <v>36949</v>
      </c>
      <c r="N498" s="0" t="s">
        <v>136</v>
      </c>
      <c r="O498" s="0" t="n">
        <v>2.5</v>
      </c>
      <c r="P498" s="0" t="n">
        <v>0</v>
      </c>
      <c r="Q498" s="0" t="n">
        <v>0</v>
      </c>
      <c r="R498" s="0" t="n">
        <v>0</v>
      </c>
      <c r="S498" s="0" t="n">
        <v>0</v>
      </c>
      <c r="T498" s="0" t="s">
        <v>624</v>
      </c>
      <c r="U498" s="0" t="s">
        <v>149</v>
      </c>
      <c r="V498" s="0" t="s">
        <v>624</v>
      </c>
      <c r="W498" s="0" t="s">
        <v>569</v>
      </c>
      <c r="X498" s="0" t="s">
        <v>624</v>
      </c>
      <c r="Y498" s="0" t="s">
        <v>627</v>
      </c>
      <c r="Z498" s="0" t="s">
        <v>629</v>
      </c>
      <c r="AA498" s="0" t="s">
        <v>624</v>
      </c>
      <c r="AB498" s="0" t="s">
        <v>580</v>
      </c>
      <c r="AC498" s="254" t="n">
        <v>310000</v>
      </c>
      <c r="AD498" s="254" t="n">
        <v>17765.6627083015</v>
      </c>
      <c r="AE498" s="0" t="n">
        <v>0</v>
      </c>
      <c r="AF498" s="0" t="n">
        <v>0</v>
      </c>
      <c r="AG498" s="0" t="n">
        <v>0</v>
      </c>
      <c r="AH498" s="254" t="n">
        <v>4861.23334067523</v>
      </c>
      <c r="AI498" s="0" t="n">
        <v>226</v>
      </c>
      <c r="AJ498" s="0" t="s">
        <v>630</v>
      </c>
      <c r="AK498" s="0" t="n">
        <v>0</v>
      </c>
      <c r="AL498" s="0" t="n">
        <v>0</v>
      </c>
      <c r="AM498" s="0" t="n">
        <v>0</v>
      </c>
    </row>
    <row r="499" customFormat="false" ht="12.75" hidden="false" customHeight="false" outlineLevel="0" collapsed="false">
      <c r="A499" s="0" t="s">
        <v>631</v>
      </c>
      <c r="B499" s="0" t="s">
        <v>369</v>
      </c>
      <c r="C499" s="0" t="s">
        <v>622</v>
      </c>
      <c r="D499" s="0" t="s">
        <v>623</v>
      </c>
      <c r="E499" s="0" t="s">
        <v>131</v>
      </c>
      <c r="F499" s="0" t="s">
        <v>208</v>
      </c>
      <c r="G499" s="0" t="s">
        <v>628</v>
      </c>
      <c r="H499" s="0" t="s">
        <v>625</v>
      </c>
      <c r="I499" s="0" t="s">
        <v>626</v>
      </c>
      <c r="J499" s="0" t="s">
        <v>627</v>
      </c>
      <c r="K499" s="475" t="n">
        <v>36923</v>
      </c>
      <c r="L499" s="254" t="n">
        <v>150386.951769508</v>
      </c>
      <c r="M499" s="475" t="n">
        <v>36921</v>
      </c>
      <c r="N499" s="0" t="s">
        <v>136</v>
      </c>
      <c r="O499" s="0" t="n">
        <v>2.5</v>
      </c>
      <c r="P499" s="0" t="n">
        <v>0</v>
      </c>
      <c r="Q499" s="0" t="n">
        <v>0</v>
      </c>
      <c r="R499" s="0" t="n">
        <v>0</v>
      </c>
      <c r="S499" s="0" t="n">
        <v>0</v>
      </c>
      <c r="T499" s="0" t="s">
        <v>624</v>
      </c>
      <c r="U499" s="0" t="s">
        <v>149</v>
      </c>
      <c r="V499" s="0" t="s">
        <v>624</v>
      </c>
      <c r="W499" s="0" t="s">
        <v>569</v>
      </c>
      <c r="X499" s="0" t="s">
        <v>624</v>
      </c>
      <c r="Y499" s="0" t="s">
        <v>627</v>
      </c>
      <c r="Z499" s="0" t="s">
        <v>629</v>
      </c>
      <c r="AA499" s="0" t="s">
        <v>624</v>
      </c>
      <c r="AB499" s="0" t="s">
        <v>580</v>
      </c>
      <c r="AC499" s="254" t="n">
        <v>280000</v>
      </c>
      <c r="AD499" s="254" t="n">
        <v>23175.488626136</v>
      </c>
      <c r="AE499" s="0" t="n">
        <v>0</v>
      </c>
      <c r="AF499" s="0" t="n">
        <v>0</v>
      </c>
      <c r="AG499" s="0" t="n">
        <v>0</v>
      </c>
      <c r="AH499" s="254" t="n">
        <v>9934.57825385733</v>
      </c>
      <c r="AI499" s="0" t="n">
        <v>226</v>
      </c>
      <c r="AJ499" s="0" t="s">
        <v>630</v>
      </c>
      <c r="AK499" s="0" t="n">
        <v>0</v>
      </c>
      <c r="AL499" s="0" t="n">
        <v>0</v>
      </c>
      <c r="AM499" s="0" t="n">
        <v>0</v>
      </c>
    </row>
    <row r="500" customFormat="false" ht="12.75" hidden="false" customHeight="false" outlineLevel="0" collapsed="false">
      <c r="A500" s="0" t="s">
        <v>631</v>
      </c>
      <c r="B500" s="0" t="s">
        <v>369</v>
      </c>
      <c r="C500" s="0" t="s">
        <v>622</v>
      </c>
      <c r="D500" s="0" t="s">
        <v>623</v>
      </c>
      <c r="E500" s="0" t="s">
        <v>131</v>
      </c>
      <c r="F500" s="0" t="s">
        <v>208</v>
      </c>
      <c r="G500" s="0" t="s">
        <v>628</v>
      </c>
      <c r="H500" s="0" t="s">
        <v>625</v>
      </c>
      <c r="I500" s="0" t="s">
        <v>626</v>
      </c>
      <c r="J500" s="0" t="s">
        <v>627</v>
      </c>
      <c r="K500" s="475" t="n">
        <v>36892</v>
      </c>
      <c r="L500" s="254" t="n">
        <v>164878.492230989</v>
      </c>
      <c r="M500" s="475" t="n">
        <v>36888</v>
      </c>
      <c r="N500" s="0" t="s">
        <v>136</v>
      </c>
      <c r="O500" s="0" t="n">
        <v>2.5</v>
      </c>
      <c r="P500" s="0" t="n">
        <v>0</v>
      </c>
      <c r="Q500" s="0" t="n">
        <v>0</v>
      </c>
      <c r="R500" s="0" t="n">
        <v>0</v>
      </c>
      <c r="S500" s="0" t="n">
        <v>0</v>
      </c>
      <c r="T500" s="0" t="s">
        <v>624</v>
      </c>
      <c r="U500" s="0" t="s">
        <v>149</v>
      </c>
      <c r="V500" s="0" t="s">
        <v>624</v>
      </c>
      <c r="W500" s="0" t="s">
        <v>569</v>
      </c>
      <c r="X500" s="0" t="s">
        <v>624</v>
      </c>
      <c r="Y500" s="0" t="s">
        <v>627</v>
      </c>
      <c r="Z500" s="0" t="s">
        <v>629</v>
      </c>
      <c r="AA500" s="0" t="s">
        <v>624</v>
      </c>
      <c r="AB500" s="0" t="s">
        <v>580</v>
      </c>
      <c r="AC500" s="254" t="n">
        <v>310000</v>
      </c>
      <c r="AD500" s="254" t="n">
        <v>23672.1675476593</v>
      </c>
      <c r="AE500" s="0" t="n">
        <v>0</v>
      </c>
      <c r="AF500" s="0" t="n">
        <v>0</v>
      </c>
      <c r="AG500" s="0" t="n">
        <v>0</v>
      </c>
      <c r="AH500" s="254" t="n">
        <v>9697.6778801136</v>
      </c>
      <c r="AI500" s="0" t="n">
        <v>226</v>
      </c>
      <c r="AJ500" s="0" t="s">
        <v>630</v>
      </c>
      <c r="AK500" s="0" t="n">
        <v>0</v>
      </c>
      <c r="AL500" s="0" t="n">
        <v>0</v>
      </c>
      <c r="AM500" s="0" t="n">
        <v>0</v>
      </c>
    </row>
    <row r="501" customFormat="false" ht="12.75" hidden="false" customHeight="false" outlineLevel="0" collapsed="false">
      <c r="A501" s="0" t="s">
        <v>631</v>
      </c>
      <c r="B501" s="0" t="s">
        <v>369</v>
      </c>
      <c r="C501" s="0" t="s">
        <v>622</v>
      </c>
      <c r="D501" s="0" t="s">
        <v>623</v>
      </c>
      <c r="E501" s="0" t="s">
        <v>131</v>
      </c>
      <c r="F501" s="0" t="s">
        <v>208</v>
      </c>
      <c r="G501" s="0" t="s">
        <v>628</v>
      </c>
      <c r="H501" s="0" t="s">
        <v>625</v>
      </c>
      <c r="I501" s="0" t="s">
        <v>626</v>
      </c>
      <c r="J501" s="0" t="s">
        <v>627</v>
      </c>
      <c r="K501" s="475" t="n">
        <v>36861</v>
      </c>
      <c r="L501" s="254" t="n">
        <v>76798.6311381724</v>
      </c>
      <c r="M501" s="475" t="n">
        <v>36859</v>
      </c>
      <c r="N501" s="0" t="s">
        <v>136</v>
      </c>
      <c r="O501" s="0" t="n">
        <v>2.5</v>
      </c>
      <c r="P501" s="0" t="n">
        <v>0</v>
      </c>
      <c r="Q501" s="0" t="n">
        <v>0</v>
      </c>
      <c r="R501" s="0" t="n">
        <v>0</v>
      </c>
      <c r="S501" s="0" t="n">
        <v>0</v>
      </c>
      <c r="T501" s="0" t="s">
        <v>624</v>
      </c>
      <c r="U501" s="0" t="s">
        <v>149</v>
      </c>
      <c r="V501" s="0" t="s">
        <v>624</v>
      </c>
      <c r="W501" s="0" t="s">
        <v>569</v>
      </c>
      <c r="X501" s="0" t="s">
        <v>624</v>
      </c>
      <c r="Y501" s="0" t="s">
        <v>627</v>
      </c>
      <c r="Z501" s="0" t="s">
        <v>629</v>
      </c>
      <c r="AA501" s="0" t="s">
        <v>624</v>
      </c>
      <c r="AB501" s="0" t="s">
        <v>580</v>
      </c>
      <c r="AC501" s="254" t="n">
        <v>310000</v>
      </c>
      <c r="AD501" s="254" t="n">
        <v>17988.3162265355</v>
      </c>
      <c r="AE501" s="0" t="n">
        <v>0</v>
      </c>
      <c r="AF501" s="0" t="n">
        <v>0</v>
      </c>
      <c r="AG501" s="0" t="n">
        <v>0</v>
      </c>
      <c r="AH501" s="254" t="n">
        <v>5205.36734977608</v>
      </c>
      <c r="AI501" s="0" t="n">
        <v>226</v>
      </c>
      <c r="AJ501" s="0" t="s">
        <v>630</v>
      </c>
      <c r="AK501" s="0" t="n">
        <v>0</v>
      </c>
      <c r="AL501" s="0" t="n">
        <v>0</v>
      </c>
      <c r="AM501" s="0" t="n">
        <v>0</v>
      </c>
    </row>
    <row r="502" customFormat="false" ht="12.75" hidden="false" customHeight="false" outlineLevel="0" collapsed="false">
      <c r="A502" s="0" t="s">
        <v>631</v>
      </c>
      <c r="B502" s="0" t="s">
        <v>369</v>
      </c>
      <c r="C502" s="0" t="s">
        <v>622</v>
      </c>
      <c r="D502" s="0" t="s">
        <v>623</v>
      </c>
      <c r="E502" s="0" t="s">
        <v>131</v>
      </c>
      <c r="F502" s="0" t="s">
        <v>208</v>
      </c>
      <c r="G502" s="0" t="s">
        <v>628</v>
      </c>
      <c r="H502" s="0" t="s">
        <v>625</v>
      </c>
      <c r="I502" s="0" t="s">
        <v>626</v>
      </c>
      <c r="J502" s="0" t="s">
        <v>627</v>
      </c>
      <c r="K502" s="475" t="n">
        <v>36831</v>
      </c>
      <c r="L502" s="254" t="n">
        <v>1931.86425285872</v>
      </c>
      <c r="M502" s="475" t="n">
        <v>36829</v>
      </c>
      <c r="N502" s="0" t="s">
        <v>136</v>
      </c>
      <c r="O502" s="0" t="n">
        <v>2.5</v>
      </c>
      <c r="P502" s="0" t="n">
        <v>0</v>
      </c>
      <c r="Q502" s="0" t="n">
        <v>0</v>
      </c>
      <c r="R502" s="0" t="n">
        <v>0</v>
      </c>
      <c r="S502" s="0" t="n">
        <v>0</v>
      </c>
      <c r="T502" s="0" t="s">
        <v>624</v>
      </c>
      <c r="U502" s="0" t="s">
        <v>149</v>
      </c>
      <c r="V502" s="0" t="s">
        <v>624</v>
      </c>
      <c r="W502" s="0" t="s">
        <v>569</v>
      </c>
      <c r="X502" s="0" t="s">
        <v>624</v>
      </c>
      <c r="Y502" s="0" t="s">
        <v>627</v>
      </c>
      <c r="Z502" s="0" t="s">
        <v>629</v>
      </c>
      <c r="AA502" s="0" t="s">
        <v>624</v>
      </c>
      <c r="AB502" s="0" t="s">
        <v>580</v>
      </c>
      <c r="AC502" s="254" t="n">
        <v>300000</v>
      </c>
      <c r="AD502" s="254" t="n">
        <v>1569.59200271751</v>
      </c>
      <c r="AE502" s="0" t="n">
        <v>0</v>
      </c>
      <c r="AF502" s="0" t="n">
        <v>0</v>
      </c>
      <c r="AG502" s="0" t="n">
        <v>0</v>
      </c>
      <c r="AH502" s="254" t="n">
        <v>379.938352204508</v>
      </c>
      <c r="AI502" s="0" t="n">
        <v>226</v>
      </c>
      <c r="AJ502" s="0" t="s">
        <v>630</v>
      </c>
      <c r="AK502" s="0" t="n">
        <v>0</v>
      </c>
      <c r="AL502" s="0" t="n">
        <v>0</v>
      </c>
      <c r="AM502" s="0" t="n">
        <v>0</v>
      </c>
    </row>
    <row r="503" customFormat="false" ht="12.75" hidden="false" customHeight="false" outlineLevel="0" collapsed="false">
      <c r="A503" s="0" t="s">
        <v>631</v>
      </c>
      <c r="B503" s="0" t="s">
        <v>370</v>
      </c>
      <c r="C503" s="0" t="s">
        <v>622</v>
      </c>
      <c r="D503" s="0" t="s">
        <v>623</v>
      </c>
      <c r="E503" s="0" t="s">
        <v>131</v>
      </c>
      <c r="F503" s="0" t="s">
        <v>208</v>
      </c>
      <c r="G503" s="0" t="s">
        <v>628</v>
      </c>
      <c r="H503" s="0" t="s">
        <v>625</v>
      </c>
      <c r="I503" s="0" t="s">
        <v>626</v>
      </c>
      <c r="J503" s="0" t="s">
        <v>627</v>
      </c>
      <c r="K503" s="475" t="n">
        <v>36800</v>
      </c>
      <c r="L503" s="254" t="n">
        <v>-32394.9655996545</v>
      </c>
      <c r="M503" s="475" t="n">
        <v>36797</v>
      </c>
      <c r="N503" s="0" t="s">
        <v>136</v>
      </c>
      <c r="O503" s="0" t="n">
        <v>0.4</v>
      </c>
      <c r="P503" s="0" t="n">
        <v>0</v>
      </c>
      <c r="Q503" s="0" t="n">
        <v>0</v>
      </c>
      <c r="R503" s="0" t="n">
        <v>0</v>
      </c>
      <c r="S503" s="0" t="n">
        <v>0</v>
      </c>
      <c r="T503" s="0" t="s">
        <v>624</v>
      </c>
      <c r="U503" s="0" t="s">
        <v>149</v>
      </c>
      <c r="V503" s="0" t="s">
        <v>624</v>
      </c>
      <c r="W503" s="0" t="s">
        <v>569</v>
      </c>
      <c r="X503" s="0" t="s">
        <v>624</v>
      </c>
      <c r="Y503" s="0" t="s">
        <v>627</v>
      </c>
      <c r="Z503" s="0" t="s">
        <v>629</v>
      </c>
      <c r="AA503" s="0" t="s">
        <v>624</v>
      </c>
      <c r="AB503" s="0" t="s">
        <v>580</v>
      </c>
      <c r="AC503" s="254" t="n">
        <v>-620000</v>
      </c>
      <c r="AD503" s="254" t="n">
        <v>-4046.57102100988</v>
      </c>
      <c r="AE503" s="0" t="n">
        <v>0</v>
      </c>
      <c r="AF503" s="0" t="n">
        <v>0</v>
      </c>
      <c r="AG503" s="0" t="n">
        <v>0</v>
      </c>
      <c r="AH503" s="254" t="n">
        <v>-230.511095114616</v>
      </c>
      <c r="AI503" s="0" t="n">
        <v>226</v>
      </c>
      <c r="AJ503" s="0" t="s">
        <v>630</v>
      </c>
      <c r="AK503" s="0" t="n">
        <v>0</v>
      </c>
      <c r="AL503" s="0" t="n">
        <v>0</v>
      </c>
      <c r="AM503" s="0" t="n">
        <v>0</v>
      </c>
    </row>
    <row r="504" customFormat="false" ht="12.75" hidden="false" customHeight="false" outlineLevel="0" collapsed="false">
      <c r="A504" s="0" t="s">
        <v>631</v>
      </c>
      <c r="B504" s="0" t="s">
        <v>371</v>
      </c>
      <c r="C504" s="0" t="s">
        <v>622</v>
      </c>
      <c r="D504" s="0" t="s">
        <v>623</v>
      </c>
      <c r="E504" s="0" t="s">
        <v>131</v>
      </c>
      <c r="F504" s="0" t="s">
        <v>208</v>
      </c>
      <c r="G504" s="0" t="s">
        <v>628</v>
      </c>
      <c r="H504" s="0" t="s">
        <v>625</v>
      </c>
      <c r="I504" s="0" t="s">
        <v>626</v>
      </c>
      <c r="J504" s="0" t="s">
        <v>627</v>
      </c>
      <c r="K504" s="475" t="n">
        <v>36951</v>
      </c>
      <c r="L504" s="254" t="n">
        <v>-12666.1475605658</v>
      </c>
      <c r="M504" s="475" t="n">
        <v>36949</v>
      </c>
      <c r="N504" s="0" t="s">
        <v>136</v>
      </c>
      <c r="O504" s="0" t="n">
        <v>0.15</v>
      </c>
      <c r="P504" s="0" t="n">
        <v>0</v>
      </c>
      <c r="Q504" s="0" t="n">
        <v>0</v>
      </c>
      <c r="R504" s="0" t="n">
        <v>0</v>
      </c>
      <c r="S504" s="0" t="n">
        <v>0</v>
      </c>
      <c r="T504" s="0" t="s">
        <v>624</v>
      </c>
      <c r="U504" s="0" t="s">
        <v>632</v>
      </c>
      <c r="V504" s="0" t="s">
        <v>624</v>
      </c>
      <c r="W504" s="0" t="s">
        <v>569</v>
      </c>
      <c r="X504" s="0" t="s">
        <v>624</v>
      </c>
      <c r="Y504" s="0" t="s">
        <v>627</v>
      </c>
      <c r="Z504" s="0" t="s">
        <v>629</v>
      </c>
      <c r="AA504" s="0" t="s">
        <v>624</v>
      </c>
      <c r="AB504" s="0" t="s">
        <v>580</v>
      </c>
      <c r="AC504" s="254" t="n">
        <v>-310000</v>
      </c>
      <c r="AD504" s="254" t="n">
        <v>-3147.17922765094</v>
      </c>
      <c r="AE504" s="0" t="n">
        <v>0</v>
      </c>
      <c r="AF504" s="0" t="n">
        <v>0</v>
      </c>
      <c r="AG504" s="0" t="n">
        <v>0</v>
      </c>
      <c r="AH504" s="254" t="n">
        <v>-160.050336929131</v>
      </c>
      <c r="AI504" s="0" t="n">
        <v>226</v>
      </c>
      <c r="AJ504" s="0" t="s">
        <v>630</v>
      </c>
      <c r="AK504" s="0" t="n">
        <v>0</v>
      </c>
      <c r="AL504" s="0" t="n">
        <v>0</v>
      </c>
      <c r="AM504" s="0" t="n">
        <v>0</v>
      </c>
    </row>
    <row r="505" customFormat="false" ht="12.75" hidden="false" customHeight="false" outlineLevel="0" collapsed="false">
      <c r="A505" s="0" t="s">
        <v>631</v>
      </c>
      <c r="B505" s="0" t="s">
        <v>371</v>
      </c>
      <c r="C505" s="0" t="s">
        <v>622</v>
      </c>
      <c r="D505" s="0" t="s">
        <v>623</v>
      </c>
      <c r="E505" s="0" t="s">
        <v>131</v>
      </c>
      <c r="F505" s="0" t="s">
        <v>208</v>
      </c>
      <c r="G505" s="0" t="s">
        <v>628</v>
      </c>
      <c r="H505" s="0" t="s">
        <v>625</v>
      </c>
      <c r="I505" s="0" t="s">
        <v>626</v>
      </c>
      <c r="J505" s="0" t="s">
        <v>627</v>
      </c>
      <c r="K505" s="475" t="n">
        <v>36923</v>
      </c>
      <c r="L505" s="254" t="n">
        <v>-14498.1025608081</v>
      </c>
      <c r="M505" s="475" t="n">
        <v>36921</v>
      </c>
      <c r="N505" s="0" t="s">
        <v>136</v>
      </c>
      <c r="O505" s="0" t="n">
        <v>0.15</v>
      </c>
      <c r="P505" s="0" t="n">
        <v>0</v>
      </c>
      <c r="Q505" s="0" t="n">
        <v>0</v>
      </c>
      <c r="R505" s="0" t="n">
        <v>0</v>
      </c>
      <c r="S505" s="0" t="n">
        <v>0</v>
      </c>
      <c r="T505" s="0" t="s">
        <v>624</v>
      </c>
      <c r="U505" s="0" t="s">
        <v>632</v>
      </c>
      <c r="V505" s="0" t="s">
        <v>624</v>
      </c>
      <c r="W505" s="0" t="s">
        <v>569</v>
      </c>
      <c r="X505" s="0" t="s">
        <v>624</v>
      </c>
      <c r="Y505" s="0" t="s">
        <v>627</v>
      </c>
      <c r="Z505" s="0" t="s">
        <v>629</v>
      </c>
      <c r="AA505" s="0" t="s">
        <v>624</v>
      </c>
      <c r="AB505" s="0" t="s">
        <v>580</v>
      </c>
      <c r="AC505" s="254" t="n">
        <v>-280000</v>
      </c>
      <c r="AD505" s="254" t="n">
        <v>-2988.67122489288</v>
      </c>
      <c r="AE505" s="0" t="n">
        <v>0</v>
      </c>
      <c r="AF505" s="0" t="n">
        <v>0</v>
      </c>
      <c r="AG505" s="0" t="n">
        <v>0</v>
      </c>
      <c r="AH505" s="254" t="n">
        <v>-143.438397494288</v>
      </c>
      <c r="AI505" s="0" t="n">
        <v>226</v>
      </c>
      <c r="AJ505" s="0" t="s">
        <v>630</v>
      </c>
      <c r="AK505" s="0" t="n">
        <v>0</v>
      </c>
      <c r="AL505" s="0" t="n">
        <v>0</v>
      </c>
      <c r="AM505" s="0" t="n">
        <v>0</v>
      </c>
    </row>
    <row r="506" customFormat="false" ht="12.75" hidden="false" customHeight="false" outlineLevel="0" collapsed="false">
      <c r="A506" s="0" t="s">
        <v>631</v>
      </c>
      <c r="B506" s="0" t="s">
        <v>371</v>
      </c>
      <c r="C506" s="0" t="s">
        <v>622</v>
      </c>
      <c r="D506" s="0" t="s">
        <v>623</v>
      </c>
      <c r="E506" s="0" t="s">
        <v>131</v>
      </c>
      <c r="F506" s="0" t="s">
        <v>208</v>
      </c>
      <c r="G506" s="0" t="s">
        <v>628</v>
      </c>
      <c r="H506" s="0" t="s">
        <v>625</v>
      </c>
      <c r="I506" s="0" t="s">
        <v>626</v>
      </c>
      <c r="J506" s="0" t="s">
        <v>627</v>
      </c>
      <c r="K506" s="475" t="n">
        <v>36892</v>
      </c>
      <c r="L506" s="254" t="n">
        <v>-13795.9436319022</v>
      </c>
      <c r="M506" s="475" t="n">
        <v>36888</v>
      </c>
      <c r="N506" s="0" t="s">
        <v>136</v>
      </c>
      <c r="O506" s="0" t="n">
        <v>0.15</v>
      </c>
      <c r="P506" s="0" t="n">
        <v>0</v>
      </c>
      <c r="Q506" s="0" t="n">
        <v>0</v>
      </c>
      <c r="R506" s="0" t="n">
        <v>0</v>
      </c>
      <c r="S506" s="0" t="n">
        <v>0</v>
      </c>
      <c r="T506" s="0" t="s">
        <v>624</v>
      </c>
      <c r="U506" s="0" t="s">
        <v>632</v>
      </c>
      <c r="V506" s="0" t="s">
        <v>624</v>
      </c>
      <c r="W506" s="0" t="s">
        <v>569</v>
      </c>
      <c r="X506" s="0" t="s">
        <v>624</v>
      </c>
      <c r="Y506" s="0" t="s">
        <v>627</v>
      </c>
      <c r="Z506" s="0" t="s">
        <v>629</v>
      </c>
      <c r="AA506" s="0" t="s">
        <v>624</v>
      </c>
      <c r="AB506" s="0" t="s">
        <v>580</v>
      </c>
      <c r="AC506" s="254" t="n">
        <v>-310000</v>
      </c>
      <c r="AD506" s="254" t="n">
        <v>-3011.45366360046</v>
      </c>
      <c r="AE506" s="0" t="n">
        <v>0</v>
      </c>
      <c r="AF506" s="0" t="n">
        <v>0</v>
      </c>
      <c r="AG506" s="0" t="n">
        <v>0</v>
      </c>
      <c r="AH506" s="254" t="n">
        <v>-144.940974188927</v>
      </c>
      <c r="AI506" s="0" t="n">
        <v>226</v>
      </c>
      <c r="AJ506" s="0" t="s">
        <v>630</v>
      </c>
      <c r="AK506" s="0" t="n">
        <v>0</v>
      </c>
      <c r="AL506" s="0" t="n">
        <v>0</v>
      </c>
      <c r="AM506" s="0" t="n">
        <v>0</v>
      </c>
    </row>
    <row r="507" customFormat="false" ht="12.75" hidden="false" customHeight="false" outlineLevel="0" collapsed="false">
      <c r="A507" s="0" t="s">
        <v>631</v>
      </c>
      <c r="B507" s="0" t="s">
        <v>371</v>
      </c>
      <c r="C507" s="0" t="s">
        <v>622</v>
      </c>
      <c r="D507" s="0" t="s">
        <v>623</v>
      </c>
      <c r="E507" s="0" t="s">
        <v>131</v>
      </c>
      <c r="F507" s="0" t="s">
        <v>208</v>
      </c>
      <c r="G507" s="0" t="s">
        <v>628</v>
      </c>
      <c r="H507" s="0" t="s">
        <v>625</v>
      </c>
      <c r="I507" s="0" t="s">
        <v>626</v>
      </c>
      <c r="J507" s="0" t="s">
        <v>627</v>
      </c>
      <c r="K507" s="475" t="n">
        <v>36861</v>
      </c>
      <c r="L507" s="254" t="n">
        <v>-8475.9519561766</v>
      </c>
      <c r="M507" s="475" t="n">
        <v>36859</v>
      </c>
      <c r="N507" s="0" t="s">
        <v>136</v>
      </c>
      <c r="O507" s="0" t="n">
        <v>0.15</v>
      </c>
      <c r="P507" s="0" t="n">
        <v>0</v>
      </c>
      <c r="Q507" s="0" t="n">
        <v>0</v>
      </c>
      <c r="R507" s="0" t="n">
        <v>0</v>
      </c>
      <c r="S507" s="0" t="n">
        <v>0</v>
      </c>
      <c r="T507" s="0" t="s">
        <v>624</v>
      </c>
      <c r="U507" s="0" t="s">
        <v>632</v>
      </c>
      <c r="V507" s="0" t="s">
        <v>624</v>
      </c>
      <c r="W507" s="0" t="s">
        <v>569</v>
      </c>
      <c r="X507" s="0" t="s">
        <v>624</v>
      </c>
      <c r="Y507" s="0" t="s">
        <v>627</v>
      </c>
      <c r="Z507" s="0" t="s">
        <v>629</v>
      </c>
      <c r="AA507" s="0" t="s">
        <v>624</v>
      </c>
      <c r="AB507" s="0" t="s">
        <v>580</v>
      </c>
      <c r="AC507" s="254" t="n">
        <v>-310000</v>
      </c>
      <c r="AD507" s="254" t="n">
        <v>-2456.57577587196</v>
      </c>
      <c r="AE507" s="0" t="n">
        <v>0</v>
      </c>
      <c r="AF507" s="0" t="n">
        <v>0</v>
      </c>
      <c r="AG507" s="0" t="n">
        <v>0</v>
      </c>
      <c r="AH507" s="254" t="n">
        <v>-123.681540860103</v>
      </c>
      <c r="AI507" s="0" t="n">
        <v>226</v>
      </c>
      <c r="AJ507" s="0" t="s">
        <v>630</v>
      </c>
      <c r="AK507" s="0" t="n">
        <v>0</v>
      </c>
      <c r="AL507" s="0" t="n">
        <v>0</v>
      </c>
      <c r="AM507" s="0" t="n">
        <v>0</v>
      </c>
    </row>
    <row r="508" customFormat="false" ht="12.75" hidden="false" customHeight="false" outlineLevel="0" collapsed="false">
      <c r="A508" s="0" t="s">
        <v>631</v>
      </c>
      <c r="B508" s="0" t="s">
        <v>371</v>
      </c>
      <c r="C508" s="0" t="s">
        <v>622</v>
      </c>
      <c r="D508" s="0" t="s">
        <v>623</v>
      </c>
      <c r="E508" s="0" t="s">
        <v>131</v>
      </c>
      <c r="F508" s="0" t="s">
        <v>208</v>
      </c>
      <c r="G508" s="0" t="s">
        <v>628</v>
      </c>
      <c r="H508" s="0" t="s">
        <v>625</v>
      </c>
      <c r="I508" s="0" t="s">
        <v>626</v>
      </c>
      <c r="J508" s="0" t="s">
        <v>627</v>
      </c>
      <c r="K508" s="475" t="n">
        <v>36831</v>
      </c>
      <c r="L508" s="254" t="n">
        <v>-4650.15755874533</v>
      </c>
      <c r="M508" s="475" t="n">
        <v>36829</v>
      </c>
      <c r="N508" s="0" t="s">
        <v>136</v>
      </c>
      <c r="O508" s="0" t="n">
        <v>0.15</v>
      </c>
      <c r="P508" s="0" t="n">
        <v>0</v>
      </c>
      <c r="Q508" s="0" t="n">
        <v>0</v>
      </c>
      <c r="R508" s="0" t="n">
        <v>0</v>
      </c>
      <c r="S508" s="0" t="n">
        <v>0</v>
      </c>
      <c r="T508" s="0" t="s">
        <v>624</v>
      </c>
      <c r="U508" s="0" t="s">
        <v>632</v>
      </c>
      <c r="V508" s="0" t="s">
        <v>624</v>
      </c>
      <c r="W508" s="0" t="s">
        <v>569</v>
      </c>
      <c r="X508" s="0" t="s">
        <v>624</v>
      </c>
      <c r="Y508" s="0" t="s">
        <v>627</v>
      </c>
      <c r="Z508" s="0" t="s">
        <v>629</v>
      </c>
      <c r="AA508" s="0" t="s">
        <v>624</v>
      </c>
      <c r="AB508" s="0" t="s">
        <v>580</v>
      </c>
      <c r="AC508" s="254" t="n">
        <v>-300000</v>
      </c>
      <c r="AD508" s="254" t="n">
        <v>-1734.98226946498</v>
      </c>
      <c r="AE508" s="0" t="n">
        <v>0</v>
      </c>
      <c r="AF508" s="0" t="n">
        <v>0</v>
      </c>
      <c r="AG508" s="0" t="n">
        <v>0</v>
      </c>
      <c r="AH508" s="254" t="n">
        <v>-93.5962156755977</v>
      </c>
      <c r="AI508" s="0" t="n">
        <v>226</v>
      </c>
      <c r="AJ508" s="0" t="s">
        <v>630</v>
      </c>
      <c r="AK508" s="0" t="n">
        <v>0</v>
      </c>
      <c r="AL508" s="0" t="n">
        <v>0</v>
      </c>
      <c r="AM508" s="0" t="n">
        <v>0</v>
      </c>
    </row>
    <row r="509" customFormat="false" ht="12.75" hidden="false" customHeight="false" outlineLevel="0" collapsed="false">
      <c r="A509" s="0" t="s">
        <v>631</v>
      </c>
      <c r="B509" s="0" t="s">
        <v>372</v>
      </c>
      <c r="C509" s="0" t="s">
        <v>622</v>
      </c>
      <c r="D509" s="0" t="s">
        <v>623</v>
      </c>
      <c r="E509" s="0" t="s">
        <v>131</v>
      </c>
      <c r="F509" s="0" t="s">
        <v>345</v>
      </c>
      <c r="G509" s="0" t="s">
        <v>628</v>
      </c>
      <c r="H509" s="0" t="s">
        <v>625</v>
      </c>
      <c r="I509" s="0" t="s">
        <v>626</v>
      </c>
      <c r="J509" s="0" t="s">
        <v>627</v>
      </c>
      <c r="K509" s="475" t="n">
        <v>36800</v>
      </c>
      <c r="L509" s="254" t="n">
        <v>-23148.5247910446</v>
      </c>
      <c r="M509" s="475" t="n">
        <v>36797</v>
      </c>
      <c r="N509" s="0" t="s">
        <v>132</v>
      </c>
      <c r="O509" s="0" t="n">
        <v>0.4</v>
      </c>
      <c r="P509" s="0" t="n">
        <v>0</v>
      </c>
      <c r="Q509" s="0" t="n">
        <v>0</v>
      </c>
      <c r="R509" s="0" t="n">
        <v>0</v>
      </c>
      <c r="S509" s="0" t="n">
        <v>0</v>
      </c>
      <c r="T509" s="0" t="s">
        <v>624</v>
      </c>
      <c r="U509" s="0" t="s">
        <v>149</v>
      </c>
      <c r="V509" s="0" t="s">
        <v>624</v>
      </c>
      <c r="W509" s="0" t="s">
        <v>569</v>
      </c>
      <c r="X509" s="0" t="s">
        <v>624</v>
      </c>
      <c r="Y509" s="0" t="s">
        <v>627</v>
      </c>
      <c r="Z509" s="0" t="s">
        <v>629</v>
      </c>
      <c r="AA509" s="0" t="s">
        <v>624</v>
      </c>
      <c r="AB509" s="0" t="s">
        <v>580</v>
      </c>
      <c r="AC509" s="254" t="n">
        <v>-620000</v>
      </c>
      <c r="AD509" s="254" t="n">
        <v>-4046.57102100994</v>
      </c>
      <c r="AE509" s="0" t="n">
        <v>0</v>
      </c>
      <c r="AF509" s="0" t="n">
        <v>0</v>
      </c>
      <c r="AG509" s="0" t="n">
        <v>0</v>
      </c>
      <c r="AH509" s="254" t="n">
        <v>-230.511095115064</v>
      </c>
      <c r="AI509" s="0" t="n">
        <v>226</v>
      </c>
      <c r="AJ509" s="0" t="s">
        <v>630</v>
      </c>
      <c r="AK509" s="0" t="n">
        <v>0</v>
      </c>
      <c r="AL509" s="0" t="n">
        <v>0</v>
      </c>
      <c r="AM509" s="0" t="n">
        <v>0</v>
      </c>
    </row>
    <row r="510" customFormat="false" ht="12.75" hidden="false" customHeight="false" outlineLevel="0" collapsed="false">
      <c r="A510" s="0" t="s">
        <v>631</v>
      </c>
      <c r="B510" s="0" t="s">
        <v>373</v>
      </c>
      <c r="C510" s="0" t="s">
        <v>622</v>
      </c>
      <c r="D510" s="0" t="s">
        <v>623</v>
      </c>
      <c r="E510" s="0" t="s">
        <v>131</v>
      </c>
      <c r="F510" s="0" t="s">
        <v>363</v>
      </c>
      <c r="G510" s="0" t="s">
        <v>628</v>
      </c>
      <c r="H510" s="0" t="s">
        <v>625</v>
      </c>
      <c r="I510" s="0" t="s">
        <v>626</v>
      </c>
      <c r="J510" s="0" t="s">
        <v>627</v>
      </c>
      <c r="K510" s="475" t="n">
        <v>36800</v>
      </c>
      <c r="L510" s="254" t="n">
        <v>55.3422343708143</v>
      </c>
      <c r="M510" s="475" t="n">
        <v>36797</v>
      </c>
      <c r="N510" s="0" t="s">
        <v>132</v>
      </c>
      <c r="O510" s="0" t="n">
        <v>0.3</v>
      </c>
      <c r="P510" s="0" t="n">
        <v>0</v>
      </c>
      <c r="Q510" s="0" t="n">
        <v>0</v>
      </c>
      <c r="R510" s="0" t="n">
        <v>0</v>
      </c>
      <c r="S510" s="0" t="n">
        <v>0</v>
      </c>
      <c r="T510" s="0" t="s">
        <v>624</v>
      </c>
      <c r="U510" s="0" t="s">
        <v>137</v>
      </c>
      <c r="V510" s="0" t="s">
        <v>624</v>
      </c>
      <c r="W510" s="0" t="s">
        <v>569</v>
      </c>
      <c r="X510" s="0" t="s">
        <v>624</v>
      </c>
      <c r="Y510" s="0" t="s">
        <v>627</v>
      </c>
      <c r="Z510" s="0" t="s">
        <v>629</v>
      </c>
      <c r="AA510" s="0" t="s">
        <v>624</v>
      </c>
      <c r="AB510" s="0" t="s">
        <v>580</v>
      </c>
      <c r="AC510" s="254" t="n">
        <v>500000</v>
      </c>
      <c r="AD510" s="254" t="n">
        <v>125.592628870519</v>
      </c>
      <c r="AE510" s="0" t="n">
        <v>0</v>
      </c>
      <c r="AF510" s="0" t="n">
        <v>0</v>
      </c>
      <c r="AG510" s="0" t="n">
        <v>0</v>
      </c>
      <c r="AH510" s="254" t="n">
        <v>21.0356435594861</v>
      </c>
      <c r="AI510" s="0" t="n">
        <v>226</v>
      </c>
      <c r="AJ510" s="0" t="s">
        <v>630</v>
      </c>
      <c r="AK510" s="0" t="n">
        <v>0</v>
      </c>
      <c r="AL510" s="0" t="n">
        <v>0</v>
      </c>
      <c r="AM510" s="0" t="n">
        <v>0</v>
      </c>
    </row>
    <row r="511" customFormat="false" ht="12.75" hidden="false" customHeight="false" outlineLevel="0" collapsed="false">
      <c r="A511" s="0" t="s">
        <v>631</v>
      </c>
      <c r="B511" s="0" t="s">
        <v>374</v>
      </c>
      <c r="C511" s="0" t="s">
        <v>622</v>
      </c>
      <c r="D511" s="0" t="s">
        <v>623</v>
      </c>
      <c r="E511" s="0" t="s">
        <v>131</v>
      </c>
      <c r="F511" s="0" t="s">
        <v>198</v>
      </c>
      <c r="G511" s="0" t="s">
        <v>628</v>
      </c>
      <c r="H511" s="0" t="s">
        <v>625</v>
      </c>
      <c r="I511" s="0" t="s">
        <v>626</v>
      </c>
      <c r="J511" s="0" t="s">
        <v>627</v>
      </c>
      <c r="K511" s="475" t="n">
        <v>36951</v>
      </c>
      <c r="L511" s="254" t="n">
        <v>257860.553972926</v>
      </c>
      <c r="M511" s="475" t="n">
        <v>36949</v>
      </c>
      <c r="N511" s="0" t="s">
        <v>136</v>
      </c>
      <c r="O511" s="0" t="n">
        <v>0.3</v>
      </c>
      <c r="P511" s="0" t="n">
        <v>0</v>
      </c>
      <c r="Q511" s="0" t="n">
        <v>0</v>
      </c>
      <c r="R511" s="0" t="n">
        <v>0</v>
      </c>
      <c r="S511" s="0" t="n">
        <v>0</v>
      </c>
      <c r="T511" s="0" t="s">
        <v>624</v>
      </c>
      <c r="U511" s="0" t="s">
        <v>137</v>
      </c>
      <c r="V511" s="0" t="s">
        <v>624</v>
      </c>
      <c r="W511" s="0" t="s">
        <v>569</v>
      </c>
      <c r="X511" s="0" t="s">
        <v>624</v>
      </c>
      <c r="Y511" s="0" t="s">
        <v>627</v>
      </c>
      <c r="Z511" s="0" t="s">
        <v>629</v>
      </c>
      <c r="AA511" s="0" t="s">
        <v>624</v>
      </c>
      <c r="AB511" s="0" t="s">
        <v>580</v>
      </c>
      <c r="AC511" s="254" t="n">
        <v>500000</v>
      </c>
      <c r="AD511" s="254" t="n">
        <v>36938.3982718862</v>
      </c>
      <c r="AE511" s="0" t="n">
        <v>0</v>
      </c>
      <c r="AF511" s="0" t="n">
        <v>0</v>
      </c>
      <c r="AG511" s="0" t="n">
        <v>0</v>
      </c>
      <c r="AH511" s="254" t="n">
        <v>-16070.6786624382</v>
      </c>
      <c r="AI511" s="0" t="n">
        <v>226</v>
      </c>
      <c r="AJ511" s="0" t="s">
        <v>630</v>
      </c>
      <c r="AK511" s="0" t="n">
        <v>0</v>
      </c>
      <c r="AL511" s="0" t="n">
        <v>0</v>
      </c>
      <c r="AM511" s="0" t="n">
        <v>0</v>
      </c>
    </row>
    <row r="512" customFormat="false" ht="12.75" hidden="false" customHeight="false" outlineLevel="0" collapsed="false">
      <c r="A512" s="0" t="s">
        <v>631</v>
      </c>
      <c r="B512" s="0" t="s">
        <v>374</v>
      </c>
      <c r="C512" s="0" t="s">
        <v>622</v>
      </c>
      <c r="D512" s="0" t="s">
        <v>623</v>
      </c>
      <c r="E512" s="0" t="s">
        <v>131</v>
      </c>
      <c r="F512" s="0" t="s">
        <v>198</v>
      </c>
      <c r="G512" s="0" t="s">
        <v>628</v>
      </c>
      <c r="H512" s="0" t="s">
        <v>625</v>
      </c>
      <c r="I512" s="0" t="s">
        <v>626</v>
      </c>
      <c r="J512" s="0" t="s">
        <v>627</v>
      </c>
      <c r="K512" s="475" t="n">
        <v>36923</v>
      </c>
      <c r="L512" s="254" t="n">
        <v>279861.551675115</v>
      </c>
      <c r="M512" s="475" t="n">
        <v>36921</v>
      </c>
      <c r="N512" s="0" t="s">
        <v>136</v>
      </c>
      <c r="O512" s="0" t="n">
        <v>0.3</v>
      </c>
      <c r="P512" s="0" t="n">
        <v>0</v>
      </c>
      <c r="Q512" s="0" t="n">
        <v>0</v>
      </c>
      <c r="R512" s="0" t="n">
        <v>0</v>
      </c>
      <c r="S512" s="0" t="n">
        <v>0</v>
      </c>
      <c r="T512" s="0" t="s">
        <v>624</v>
      </c>
      <c r="U512" s="0" t="s">
        <v>137</v>
      </c>
      <c r="V512" s="0" t="s">
        <v>624</v>
      </c>
      <c r="W512" s="0" t="s">
        <v>569</v>
      </c>
      <c r="X512" s="0" t="s">
        <v>624</v>
      </c>
      <c r="Y512" s="0" t="s">
        <v>627</v>
      </c>
      <c r="Z512" s="0" t="s">
        <v>629</v>
      </c>
      <c r="AA512" s="0" t="s">
        <v>624</v>
      </c>
      <c r="AB512" s="0" t="s">
        <v>580</v>
      </c>
      <c r="AC512" s="254" t="n">
        <v>500000</v>
      </c>
      <c r="AD512" s="254" t="n">
        <v>38119.5115778066</v>
      </c>
      <c r="AE512" s="0" t="n">
        <v>0</v>
      </c>
      <c r="AF512" s="0" t="n">
        <v>0</v>
      </c>
      <c r="AG512" s="0" t="n">
        <v>0</v>
      </c>
      <c r="AH512" s="254" t="n">
        <v>-16153.2355504369</v>
      </c>
      <c r="AI512" s="0" t="n">
        <v>226</v>
      </c>
      <c r="AJ512" s="0" t="s">
        <v>630</v>
      </c>
      <c r="AK512" s="0" t="n">
        <v>0</v>
      </c>
      <c r="AL512" s="0" t="n">
        <v>0</v>
      </c>
      <c r="AM512" s="0" t="n">
        <v>0</v>
      </c>
    </row>
    <row r="513" customFormat="false" ht="12.75" hidden="false" customHeight="false" outlineLevel="0" collapsed="false">
      <c r="A513" s="0" t="s">
        <v>631</v>
      </c>
      <c r="B513" s="0" t="s">
        <v>374</v>
      </c>
      <c r="C513" s="0" t="s">
        <v>622</v>
      </c>
      <c r="D513" s="0" t="s">
        <v>623</v>
      </c>
      <c r="E513" s="0" t="s">
        <v>131</v>
      </c>
      <c r="F513" s="0" t="s">
        <v>198</v>
      </c>
      <c r="G513" s="0" t="s">
        <v>628</v>
      </c>
      <c r="H513" s="0" t="s">
        <v>625</v>
      </c>
      <c r="I513" s="0" t="s">
        <v>626</v>
      </c>
      <c r="J513" s="0" t="s">
        <v>627</v>
      </c>
      <c r="K513" s="475" t="n">
        <v>36892</v>
      </c>
      <c r="L513" s="254" t="n">
        <v>324172.952144384</v>
      </c>
      <c r="M513" s="475" t="n">
        <v>36888</v>
      </c>
      <c r="N513" s="0" t="s">
        <v>136</v>
      </c>
      <c r="O513" s="0" t="n">
        <v>0.3</v>
      </c>
      <c r="P513" s="0" t="n">
        <v>0</v>
      </c>
      <c r="Q513" s="0" t="n">
        <v>0</v>
      </c>
      <c r="R513" s="0" t="n">
        <v>0</v>
      </c>
      <c r="S513" s="0" t="n">
        <v>0</v>
      </c>
      <c r="T513" s="0" t="s">
        <v>624</v>
      </c>
      <c r="U513" s="0" t="s">
        <v>137</v>
      </c>
      <c r="V513" s="0" t="s">
        <v>624</v>
      </c>
      <c r="W513" s="0" t="s">
        <v>569</v>
      </c>
      <c r="X513" s="0" t="s">
        <v>624</v>
      </c>
      <c r="Y513" s="0" t="s">
        <v>627</v>
      </c>
      <c r="Z513" s="0" t="s">
        <v>629</v>
      </c>
      <c r="AA513" s="0" t="s">
        <v>624</v>
      </c>
      <c r="AB513" s="0" t="s">
        <v>580</v>
      </c>
      <c r="AC513" s="254" t="n">
        <v>500000</v>
      </c>
      <c r="AD513" s="254" t="n">
        <v>32570.5354679631</v>
      </c>
      <c r="AE513" s="0" t="n">
        <v>0</v>
      </c>
      <c r="AF513" s="0" t="n">
        <v>0</v>
      </c>
      <c r="AG513" s="0" t="n">
        <v>0</v>
      </c>
      <c r="AH513" s="254" t="n">
        <v>-17984.4963381685</v>
      </c>
      <c r="AI513" s="0" t="n">
        <v>226</v>
      </c>
      <c r="AJ513" s="0" t="s">
        <v>630</v>
      </c>
      <c r="AK513" s="0" t="n">
        <v>0</v>
      </c>
      <c r="AL513" s="0" t="n">
        <v>0</v>
      </c>
      <c r="AM513" s="0" t="n">
        <v>0</v>
      </c>
    </row>
    <row r="514" customFormat="false" ht="12.75" hidden="false" customHeight="false" outlineLevel="0" collapsed="false">
      <c r="A514" s="0" t="s">
        <v>631</v>
      </c>
      <c r="B514" s="0" t="s">
        <v>374</v>
      </c>
      <c r="C514" s="0" t="s">
        <v>622</v>
      </c>
      <c r="D514" s="0" t="s">
        <v>623</v>
      </c>
      <c r="E514" s="0" t="s">
        <v>131</v>
      </c>
      <c r="F514" s="0" t="s">
        <v>198</v>
      </c>
      <c r="G514" s="0" t="s">
        <v>628</v>
      </c>
      <c r="H514" s="0" t="s">
        <v>625</v>
      </c>
      <c r="I514" s="0" t="s">
        <v>626</v>
      </c>
      <c r="J514" s="0" t="s">
        <v>627</v>
      </c>
      <c r="K514" s="475" t="n">
        <v>36861</v>
      </c>
      <c r="L514" s="254" t="n">
        <v>396010.629200822</v>
      </c>
      <c r="M514" s="475" t="n">
        <v>36859</v>
      </c>
      <c r="N514" s="0" t="s">
        <v>136</v>
      </c>
      <c r="O514" s="0" t="n">
        <v>0.3</v>
      </c>
      <c r="P514" s="0" t="n">
        <v>0</v>
      </c>
      <c r="Q514" s="0" t="n">
        <v>0</v>
      </c>
      <c r="R514" s="0" t="n">
        <v>0</v>
      </c>
      <c r="S514" s="0" t="n">
        <v>0</v>
      </c>
      <c r="T514" s="0" t="s">
        <v>624</v>
      </c>
      <c r="U514" s="0" t="s">
        <v>137</v>
      </c>
      <c r="V514" s="0" t="s">
        <v>624</v>
      </c>
      <c r="W514" s="0" t="s">
        <v>569</v>
      </c>
      <c r="X514" s="0" t="s">
        <v>624</v>
      </c>
      <c r="Y514" s="0" t="s">
        <v>627</v>
      </c>
      <c r="Z514" s="0" t="s">
        <v>629</v>
      </c>
      <c r="AA514" s="0" t="s">
        <v>624</v>
      </c>
      <c r="AB514" s="0" t="s">
        <v>580</v>
      </c>
      <c r="AC514" s="254" t="n">
        <v>500000</v>
      </c>
      <c r="AD514" s="254" t="n">
        <v>22889.7328757242</v>
      </c>
      <c r="AE514" s="0" t="n">
        <v>0</v>
      </c>
      <c r="AF514" s="0" t="n">
        <v>0</v>
      </c>
      <c r="AG514" s="0" t="n">
        <v>0</v>
      </c>
      <c r="AH514" s="254" t="n">
        <v>57637.2591544675</v>
      </c>
      <c r="AI514" s="0" t="n">
        <v>226</v>
      </c>
      <c r="AJ514" s="0" t="s">
        <v>630</v>
      </c>
      <c r="AK514" s="0" t="n">
        <v>0</v>
      </c>
      <c r="AL514" s="0" t="n">
        <v>0</v>
      </c>
      <c r="AM514" s="0" t="n">
        <v>0</v>
      </c>
    </row>
    <row r="515" customFormat="false" ht="12.75" hidden="false" customHeight="false" outlineLevel="0" collapsed="false">
      <c r="A515" s="0" t="s">
        <v>631</v>
      </c>
      <c r="B515" s="0" t="s">
        <v>374</v>
      </c>
      <c r="C515" s="0" t="s">
        <v>622</v>
      </c>
      <c r="D515" s="0" t="s">
        <v>623</v>
      </c>
      <c r="E515" s="0" t="s">
        <v>131</v>
      </c>
      <c r="F515" s="0" t="s">
        <v>198</v>
      </c>
      <c r="G515" s="0" t="s">
        <v>628</v>
      </c>
      <c r="H515" s="0" t="s">
        <v>625</v>
      </c>
      <c r="I515" s="0" t="s">
        <v>626</v>
      </c>
      <c r="J515" s="0" t="s">
        <v>627</v>
      </c>
      <c r="K515" s="475" t="n">
        <v>36831</v>
      </c>
      <c r="L515" s="254" t="n">
        <v>621737.619084582</v>
      </c>
      <c r="M515" s="475" t="n">
        <v>36829</v>
      </c>
      <c r="N515" s="0" t="s">
        <v>136</v>
      </c>
      <c r="O515" s="0" t="n">
        <v>0.3</v>
      </c>
      <c r="P515" s="0" t="n">
        <v>0</v>
      </c>
      <c r="Q515" s="0" t="n">
        <v>0</v>
      </c>
      <c r="R515" s="0" t="n">
        <v>0</v>
      </c>
      <c r="S515" s="0" t="n">
        <v>0</v>
      </c>
      <c r="T515" s="0" t="s">
        <v>624</v>
      </c>
      <c r="U515" s="0" t="s">
        <v>137</v>
      </c>
      <c r="V515" s="0" t="s">
        <v>624</v>
      </c>
      <c r="W515" s="0" t="s">
        <v>569</v>
      </c>
      <c r="X515" s="0" t="s">
        <v>624</v>
      </c>
      <c r="Y515" s="0" t="s">
        <v>627</v>
      </c>
      <c r="Z515" s="0" t="s">
        <v>629</v>
      </c>
      <c r="AA515" s="0" t="s">
        <v>624</v>
      </c>
      <c r="AB515" s="0" t="s">
        <v>580</v>
      </c>
      <c r="AC515" s="254" t="n">
        <v>500000</v>
      </c>
      <c r="AD515" s="254" t="n">
        <v>6145.94792376959</v>
      </c>
      <c r="AE515" s="0" t="n">
        <v>0</v>
      </c>
      <c r="AF515" s="0" t="n">
        <v>0</v>
      </c>
      <c r="AG515" s="0" t="n">
        <v>0</v>
      </c>
      <c r="AH515" s="254" t="n">
        <v>98690.8463266026</v>
      </c>
      <c r="AI515" s="0" t="n">
        <v>226</v>
      </c>
      <c r="AJ515" s="0" t="s">
        <v>630</v>
      </c>
      <c r="AK515" s="0" t="n">
        <v>0</v>
      </c>
      <c r="AL515" s="0" t="n">
        <v>0</v>
      </c>
      <c r="AM515" s="0" t="n">
        <v>0</v>
      </c>
    </row>
    <row r="516" customFormat="false" ht="12.75" hidden="false" customHeight="false" outlineLevel="0" collapsed="false">
      <c r="A516" s="0" t="s">
        <v>631</v>
      </c>
      <c r="B516" s="0" t="s">
        <v>375</v>
      </c>
      <c r="C516" s="0" t="s">
        <v>622</v>
      </c>
      <c r="D516" s="0" t="s">
        <v>623</v>
      </c>
      <c r="E516" s="0" t="s">
        <v>131</v>
      </c>
      <c r="F516" s="0" t="s">
        <v>198</v>
      </c>
      <c r="G516" s="0" t="s">
        <v>628</v>
      </c>
      <c r="H516" s="0" t="s">
        <v>625</v>
      </c>
      <c r="I516" s="0" t="s">
        <v>626</v>
      </c>
      <c r="J516" s="0" t="s">
        <v>627</v>
      </c>
      <c r="K516" s="475" t="n">
        <v>36951</v>
      </c>
      <c r="L516" s="254" t="n">
        <v>-639293.027715165</v>
      </c>
      <c r="M516" s="475" t="n">
        <v>36949</v>
      </c>
      <c r="N516" s="0" t="s">
        <v>132</v>
      </c>
      <c r="O516" s="0" t="n">
        <v>1.3</v>
      </c>
      <c r="P516" s="0" t="n">
        <v>0</v>
      </c>
      <c r="Q516" s="0" t="n">
        <v>0</v>
      </c>
      <c r="R516" s="0" t="n">
        <v>0</v>
      </c>
      <c r="S516" s="0" t="n">
        <v>0</v>
      </c>
      <c r="T516" s="0" t="s">
        <v>624</v>
      </c>
      <c r="U516" s="0" t="s">
        <v>149</v>
      </c>
      <c r="V516" s="0" t="s">
        <v>624</v>
      </c>
      <c r="W516" s="0" t="s">
        <v>569</v>
      </c>
      <c r="X516" s="0" t="s">
        <v>624</v>
      </c>
      <c r="Y516" s="0" t="s">
        <v>627</v>
      </c>
      <c r="Z516" s="0" t="s">
        <v>629</v>
      </c>
      <c r="AA516" s="0" t="s">
        <v>624</v>
      </c>
      <c r="AB516" s="0" t="s">
        <v>580</v>
      </c>
      <c r="AC516" s="254" t="n">
        <v>-1000000</v>
      </c>
      <c r="AD516" s="254" t="n">
        <v>-86546.0811700414</v>
      </c>
      <c r="AE516" s="0" t="n">
        <v>0</v>
      </c>
      <c r="AF516" s="0" t="n">
        <v>0</v>
      </c>
      <c r="AG516" s="0" t="n">
        <v>0</v>
      </c>
      <c r="AH516" s="254" t="n">
        <v>25921.2212824522</v>
      </c>
      <c r="AI516" s="0" t="n">
        <v>226</v>
      </c>
      <c r="AJ516" s="0" t="s">
        <v>630</v>
      </c>
      <c r="AK516" s="0" t="n">
        <v>0</v>
      </c>
      <c r="AL516" s="0" t="n">
        <v>0</v>
      </c>
      <c r="AM516" s="0" t="n">
        <v>0</v>
      </c>
    </row>
    <row r="517" customFormat="false" ht="12.75" hidden="false" customHeight="false" outlineLevel="0" collapsed="false">
      <c r="A517" s="0" t="s">
        <v>631</v>
      </c>
      <c r="B517" s="0" t="s">
        <v>375</v>
      </c>
      <c r="C517" s="0" t="s">
        <v>622</v>
      </c>
      <c r="D517" s="0" t="s">
        <v>623</v>
      </c>
      <c r="E517" s="0" t="s">
        <v>131</v>
      </c>
      <c r="F517" s="0" t="s">
        <v>198</v>
      </c>
      <c r="G517" s="0" t="s">
        <v>628</v>
      </c>
      <c r="H517" s="0" t="s">
        <v>625</v>
      </c>
      <c r="I517" s="0" t="s">
        <v>626</v>
      </c>
      <c r="J517" s="0" t="s">
        <v>627</v>
      </c>
      <c r="K517" s="475" t="n">
        <v>36923</v>
      </c>
      <c r="L517" s="254" t="n">
        <v>-305404.16005784</v>
      </c>
      <c r="M517" s="475" t="n">
        <v>36921</v>
      </c>
      <c r="N517" s="0" t="s">
        <v>132</v>
      </c>
      <c r="O517" s="0" t="n">
        <v>1.3</v>
      </c>
      <c r="P517" s="0" t="n">
        <v>0</v>
      </c>
      <c r="Q517" s="0" t="n">
        <v>0</v>
      </c>
      <c r="R517" s="0" t="n">
        <v>0</v>
      </c>
      <c r="S517" s="0" t="n">
        <v>0</v>
      </c>
      <c r="T517" s="0" t="s">
        <v>624</v>
      </c>
      <c r="U517" s="0" t="s">
        <v>149</v>
      </c>
      <c r="V517" s="0" t="s">
        <v>624</v>
      </c>
      <c r="W517" s="0" t="s">
        <v>569</v>
      </c>
      <c r="X517" s="0" t="s">
        <v>624</v>
      </c>
      <c r="Y517" s="0" t="s">
        <v>627</v>
      </c>
      <c r="Z517" s="0" t="s">
        <v>629</v>
      </c>
      <c r="AA517" s="0" t="s">
        <v>624</v>
      </c>
      <c r="AB517" s="0" t="s">
        <v>580</v>
      </c>
      <c r="AC517" s="254" t="n">
        <v>-1000000</v>
      </c>
      <c r="AD517" s="254" t="n">
        <v>-78933.1354258428</v>
      </c>
      <c r="AE517" s="0" t="n">
        <v>0</v>
      </c>
      <c r="AF517" s="0" t="n">
        <v>0</v>
      </c>
      <c r="AG517" s="0" t="n">
        <v>0</v>
      </c>
      <c r="AH517" s="254" t="n">
        <v>14574.3981740561</v>
      </c>
      <c r="AI517" s="0" t="n">
        <v>226</v>
      </c>
      <c r="AJ517" s="0" t="s">
        <v>630</v>
      </c>
      <c r="AK517" s="0" t="n">
        <v>0</v>
      </c>
      <c r="AL517" s="0" t="n">
        <v>0</v>
      </c>
      <c r="AM517" s="0" t="n">
        <v>0</v>
      </c>
    </row>
    <row r="518" customFormat="false" ht="12.75" hidden="false" customHeight="false" outlineLevel="0" collapsed="false">
      <c r="A518" s="0" t="s">
        <v>631</v>
      </c>
      <c r="B518" s="0" t="s">
        <v>375</v>
      </c>
      <c r="C518" s="0" t="s">
        <v>622</v>
      </c>
      <c r="D518" s="0" t="s">
        <v>623</v>
      </c>
      <c r="E518" s="0" t="s">
        <v>131</v>
      </c>
      <c r="F518" s="0" t="s">
        <v>198</v>
      </c>
      <c r="G518" s="0" t="s">
        <v>628</v>
      </c>
      <c r="H518" s="0" t="s">
        <v>625</v>
      </c>
      <c r="I518" s="0" t="s">
        <v>626</v>
      </c>
      <c r="J518" s="0" t="s">
        <v>627</v>
      </c>
      <c r="K518" s="475" t="n">
        <v>36892</v>
      </c>
      <c r="L518" s="254" t="n">
        <v>-256363.392763863</v>
      </c>
      <c r="M518" s="475" t="n">
        <v>36888</v>
      </c>
      <c r="N518" s="0" t="s">
        <v>132</v>
      </c>
      <c r="O518" s="0" t="n">
        <v>1.3</v>
      </c>
      <c r="P518" s="0" t="n">
        <v>0</v>
      </c>
      <c r="Q518" s="0" t="n">
        <v>0</v>
      </c>
      <c r="R518" s="0" t="n">
        <v>0</v>
      </c>
      <c r="S518" s="0" t="n">
        <v>0</v>
      </c>
      <c r="T518" s="0" t="s">
        <v>624</v>
      </c>
      <c r="U518" s="0" t="s">
        <v>149</v>
      </c>
      <c r="V518" s="0" t="s">
        <v>624</v>
      </c>
      <c r="W518" s="0" t="s">
        <v>569</v>
      </c>
      <c r="X518" s="0" t="s">
        <v>624</v>
      </c>
      <c r="Y518" s="0" t="s">
        <v>627</v>
      </c>
      <c r="Z518" s="0" t="s">
        <v>629</v>
      </c>
      <c r="AA518" s="0" t="s">
        <v>624</v>
      </c>
      <c r="AB518" s="0" t="s">
        <v>580</v>
      </c>
      <c r="AC518" s="254" t="n">
        <v>-1000000</v>
      </c>
      <c r="AD518" s="254" t="n">
        <v>-69350.7704188584</v>
      </c>
      <c r="AE518" s="0" t="n">
        <v>0</v>
      </c>
      <c r="AF518" s="0" t="n">
        <v>0</v>
      </c>
      <c r="AG518" s="0" t="n">
        <v>0</v>
      </c>
      <c r="AH518" s="254" t="n">
        <v>11192.7031464498</v>
      </c>
      <c r="AI518" s="0" t="n">
        <v>226</v>
      </c>
      <c r="AJ518" s="0" t="s">
        <v>630</v>
      </c>
      <c r="AK518" s="0" t="n">
        <v>0</v>
      </c>
      <c r="AL518" s="0" t="n">
        <v>0</v>
      </c>
      <c r="AM518" s="0" t="n">
        <v>0</v>
      </c>
    </row>
    <row r="519" customFormat="false" ht="12.75" hidden="false" customHeight="false" outlineLevel="0" collapsed="false">
      <c r="A519" s="0" t="s">
        <v>631</v>
      </c>
      <c r="B519" s="0" t="s">
        <v>375</v>
      </c>
      <c r="C519" s="0" t="s">
        <v>622</v>
      </c>
      <c r="D519" s="0" t="s">
        <v>623</v>
      </c>
      <c r="E519" s="0" t="s">
        <v>131</v>
      </c>
      <c r="F519" s="0" t="s">
        <v>198</v>
      </c>
      <c r="G519" s="0" t="s">
        <v>628</v>
      </c>
      <c r="H519" s="0" t="s">
        <v>625</v>
      </c>
      <c r="I519" s="0" t="s">
        <v>626</v>
      </c>
      <c r="J519" s="0" t="s">
        <v>627</v>
      </c>
      <c r="K519" s="475" t="n">
        <v>36861</v>
      </c>
      <c r="L519" s="254" t="n">
        <v>-342384.883388309</v>
      </c>
      <c r="M519" s="475" t="n">
        <v>36859</v>
      </c>
      <c r="N519" s="0" t="s">
        <v>132</v>
      </c>
      <c r="O519" s="0" t="n">
        <v>1.3</v>
      </c>
      <c r="P519" s="0" t="n">
        <v>0</v>
      </c>
      <c r="Q519" s="0" t="n">
        <v>0</v>
      </c>
      <c r="R519" s="0" t="n">
        <v>0</v>
      </c>
      <c r="S519" s="0" t="n">
        <v>0</v>
      </c>
      <c r="T519" s="0" t="s">
        <v>624</v>
      </c>
      <c r="U519" s="0" t="s">
        <v>149</v>
      </c>
      <c r="V519" s="0" t="s">
        <v>624</v>
      </c>
      <c r="W519" s="0" t="s">
        <v>569</v>
      </c>
      <c r="X519" s="0" t="s">
        <v>624</v>
      </c>
      <c r="Y519" s="0" t="s">
        <v>627</v>
      </c>
      <c r="Z519" s="0" t="s">
        <v>629</v>
      </c>
      <c r="AA519" s="0" t="s">
        <v>624</v>
      </c>
      <c r="AB519" s="0" t="s">
        <v>580</v>
      </c>
      <c r="AC519" s="254" t="n">
        <v>-1000000</v>
      </c>
      <c r="AD519" s="254" t="n">
        <v>-69266.3215110574</v>
      </c>
      <c r="AE519" s="0" t="n">
        <v>0</v>
      </c>
      <c r="AF519" s="0" t="n">
        <v>0</v>
      </c>
      <c r="AG519" s="0" t="n">
        <v>0</v>
      </c>
      <c r="AH519" s="254" t="n">
        <v>12395.7418350535</v>
      </c>
      <c r="AI519" s="0" t="n">
        <v>226</v>
      </c>
      <c r="AJ519" s="0" t="s">
        <v>630</v>
      </c>
      <c r="AK519" s="0" t="n">
        <v>0</v>
      </c>
      <c r="AL519" s="0" t="n">
        <v>0</v>
      </c>
      <c r="AM519" s="0" t="n">
        <v>0</v>
      </c>
    </row>
    <row r="520" customFormat="false" ht="12.75" hidden="false" customHeight="false" outlineLevel="0" collapsed="false">
      <c r="A520" s="0" t="s">
        <v>631</v>
      </c>
      <c r="B520" s="0" t="s">
        <v>375</v>
      </c>
      <c r="C520" s="0" t="s">
        <v>622</v>
      </c>
      <c r="D520" s="0" t="s">
        <v>623</v>
      </c>
      <c r="E520" s="0" t="s">
        <v>131</v>
      </c>
      <c r="F520" s="0" t="s">
        <v>198</v>
      </c>
      <c r="G520" s="0" t="s">
        <v>628</v>
      </c>
      <c r="H520" s="0" t="s">
        <v>625</v>
      </c>
      <c r="I520" s="0" t="s">
        <v>626</v>
      </c>
      <c r="J520" s="0" t="s">
        <v>627</v>
      </c>
      <c r="K520" s="475" t="n">
        <v>36831</v>
      </c>
      <c r="L520" s="254" t="n">
        <v>-617545.738145378</v>
      </c>
      <c r="M520" s="475" t="n">
        <v>36829</v>
      </c>
      <c r="N520" s="0" t="s">
        <v>132</v>
      </c>
      <c r="O520" s="0" t="n">
        <v>1.3</v>
      </c>
      <c r="P520" s="0" t="n">
        <v>0</v>
      </c>
      <c r="Q520" s="0" t="n">
        <v>0</v>
      </c>
      <c r="R520" s="0" t="n">
        <v>0</v>
      </c>
      <c r="S520" s="0" t="n">
        <v>0</v>
      </c>
      <c r="T520" s="0" t="s">
        <v>624</v>
      </c>
      <c r="U520" s="0" t="s">
        <v>149</v>
      </c>
      <c r="V520" s="0" t="s">
        <v>624</v>
      </c>
      <c r="W520" s="0" t="s">
        <v>569</v>
      </c>
      <c r="X520" s="0" t="s">
        <v>624</v>
      </c>
      <c r="Y520" s="0" t="s">
        <v>627</v>
      </c>
      <c r="Z520" s="0" t="s">
        <v>629</v>
      </c>
      <c r="AA520" s="0" t="s">
        <v>624</v>
      </c>
      <c r="AB520" s="0" t="s">
        <v>580</v>
      </c>
      <c r="AC520" s="254" t="n">
        <v>-1000000</v>
      </c>
      <c r="AD520" s="254" t="n">
        <v>-32899.8144113729</v>
      </c>
      <c r="AE520" s="0" t="n">
        <v>0</v>
      </c>
      <c r="AF520" s="0" t="n">
        <v>0</v>
      </c>
      <c r="AG520" s="0" t="n">
        <v>0</v>
      </c>
      <c r="AH520" s="254" t="n">
        <v>28164.0709938573</v>
      </c>
      <c r="AI520" s="0" t="n">
        <v>226</v>
      </c>
      <c r="AJ520" s="0" t="s">
        <v>630</v>
      </c>
      <c r="AK520" s="0" t="n">
        <v>0</v>
      </c>
      <c r="AL520" s="0" t="n">
        <v>0</v>
      </c>
      <c r="AM520" s="0" t="n">
        <v>0</v>
      </c>
    </row>
    <row r="521" customFormat="false" ht="12.75" hidden="false" customHeight="false" outlineLevel="0" collapsed="false">
      <c r="A521" s="0" t="s">
        <v>631</v>
      </c>
      <c r="B521" s="0" t="s">
        <v>376</v>
      </c>
      <c r="C521" s="0" t="s">
        <v>622</v>
      </c>
      <c r="D521" s="0" t="s">
        <v>623</v>
      </c>
      <c r="E521" s="0" t="s">
        <v>131</v>
      </c>
      <c r="F521" s="0" t="s">
        <v>244</v>
      </c>
      <c r="G521" s="0" t="s">
        <v>628</v>
      </c>
      <c r="H521" s="0" t="s">
        <v>625</v>
      </c>
      <c r="I521" s="0" t="s">
        <v>626</v>
      </c>
      <c r="J521" s="0" t="s">
        <v>627</v>
      </c>
      <c r="K521" s="475" t="n">
        <v>36831</v>
      </c>
      <c r="L521" s="254" t="n">
        <v>123326.935375983</v>
      </c>
      <c r="M521" s="475" t="n">
        <v>36829</v>
      </c>
      <c r="N521" s="0" t="s">
        <v>136</v>
      </c>
      <c r="O521" s="0" t="n">
        <v>0.8</v>
      </c>
      <c r="P521" s="0" t="n">
        <v>0</v>
      </c>
      <c r="Q521" s="0" t="n">
        <v>0</v>
      </c>
      <c r="R521" s="0" t="n">
        <v>0</v>
      </c>
      <c r="S521" s="0" t="n">
        <v>0</v>
      </c>
      <c r="T521" s="0" t="s">
        <v>624</v>
      </c>
      <c r="U521" s="0" t="s">
        <v>149</v>
      </c>
      <c r="V521" s="0" t="s">
        <v>624</v>
      </c>
      <c r="W521" s="0" t="s">
        <v>569</v>
      </c>
      <c r="X521" s="0" t="s">
        <v>624</v>
      </c>
      <c r="Y521" s="0" t="s">
        <v>627</v>
      </c>
      <c r="Z521" s="0" t="s">
        <v>629</v>
      </c>
      <c r="AA521" s="0" t="s">
        <v>624</v>
      </c>
      <c r="AB521" s="0" t="s">
        <v>580</v>
      </c>
      <c r="AC521" s="254" t="n">
        <v>500000</v>
      </c>
      <c r="AD521" s="254" t="n">
        <v>22468.1216366824</v>
      </c>
      <c r="AE521" s="0" t="n">
        <v>0</v>
      </c>
      <c r="AF521" s="0" t="n">
        <v>0</v>
      </c>
      <c r="AG521" s="0" t="n">
        <v>0</v>
      </c>
      <c r="AH521" s="254" t="n">
        <v>10981.8493418464</v>
      </c>
      <c r="AI521" s="0" t="n">
        <v>226</v>
      </c>
      <c r="AJ521" s="0" t="s">
        <v>630</v>
      </c>
      <c r="AK521" s="0" t="n">
        <v>0</v>
      </c>
      <c r="AL521" s="0" t="n">
        <v>0</v>
      </c>
      <c r="AM521" s="0" t="n">
        <v>0</v>
      </c>
    </row>
    <row r="522" customFormat="false" ht="12.75" hidden="false" customHeight="false" outlineLevel="0" collapsed="false">
      <c r="A522" s="0" t="s">
        <v>631</v>
      </c>
      <c r="B522" s="0" t="s">
        <v>377</v>
      </c>
      <c r="C522" s="0" t="s">
        <v>622</v>
      </c>
      <c r="D522" s="0" t="s">
        <v>623</v>
      </c>
      <c r="E522" s="0" t="s">
        <v>131</v>
      </c>
      <c r="F522" s="0" t="s">
        <v>206</v>
      </c>
      <c r="G522" s="0" t="s">
        <v>628</v>
      </c>
      <c r="H522" s="0" t="s">
        <v>625</v>
      </c>
      <c r="I522" s="0" t="s">
        <v>626</v>
      </c>
      <c r="J522" s="0" t="s">
        <v>627</v>
      </c>
      <c r="K522" s="475" t="n">
        <v>36951</v>
      </c>
      <c r="L522" s="254" t="n">
        <v>65398.4464611528</v>
      </c>
      <c r="M522" s="475" t="n">
        <v>36949</v>
      </c>
      <c r="N522" s="0" t="s">
        <v>136</v>
      </c>
      <c r="O522" s="0" t="n">
        <v>1.3</v>
      </c>
      <c r="P522" s="0" t="n">
        <v>0</v>
      </c>
      <c r="Q522" s="0" t="n">
        <v>0</v>
      </c>
      <c r="R522" s="0" t="n">
        <v>0</v>
      </c>
      <c r="S522" s="0" t="n">
        <v>0</v>
      </c>
      <c r="T522" s="0" t="s">
        <v>624</v>
      </c>
      <c r="U522" s="0" t="s">
        <v>149</v>
      </c>
      <c r="V522" s="0" t="s">
        <v>624</v>
      </c>
      <c r="W522" s="0" t="s">
        <v>569</v>
      </c>
      <c r="X522" s="0" t="s">
        <v>624</v>
      </c>
      <c r="Y522" s="0" t="s">
        <v>627</v>
      </c>
      <c r="Z522" s="0" t="s">
        <v>629</v>
      </c>
      <c r="AA522" s="0" t="s">
        <v>624</v>
      </c>
      <c r="AB522" s="0" t="s">
        <v>580</v>
      </c>
      <c r="AC522" s="254" t="n">
        <v>155000</v>
      </c>
      <c r="AD522" s="254" t="n">
        <v>13414.6425813564</v>
      </c>
      <c r="AE522" s="0" t="n">
        <v>0</v>
      </c>
      <c r="AF522" s="0" t="n">
        <v>0</v>
      </c>
      <c r="AG522" s="0" t="n">
        <v>0</v>
      </c>
      <c r="AH522" s="254" t="n">
        <v>4962.31145688987</v>
      </c>
      <c r="AI522" s="0" t="n">
        <v>226</v>
      </c>
      <c r="AJ522" s="0" t="s">
        <v>630</v>
      </c>
      <c r="AK522" s="0" t="n">
        <v>0</v>
      </c>
      <c r="AL522" s="0" t="n">
        <v>0</v>
      </c>
      <c r="AM522" s="0" t="n">
        <v>0</v>
      </c>
    </row>
    <row r="523" customFormat="false" ht="12.75" hidden="false" customHeight="false" outlineLevel="0" collapsed="false">
      <c r="A523" s="0" t="s">
        <v>631</v>
      </c>
      <c r="B523" s="0" t="s">
        <v>377</v>
      </c>
      <c r="C523" s="0" t="s">
        <v>622</v>
      </c>
      <c r="D523" s="0" t="s">
        <v>623</v>
      </c>
      <c r="E523" s="0" t="s">
        <v>131</v>
      </c>
      <c r="F523" s="0" t="s">
        <v>206</v>
      </c>
      <c r="G523" s="0" t="s">
        <v>628</v>
      </c>
      <c r="H523" s="0" t="s">
        <v>625</v>
      </c>
      <c r="I523" s="0" t="s">
        <v>626</v>
      </c>
      <c r="J523" s="0" t="s">
        <v>627</v>
      </c>
      <c r="K523" s="475" t="n">
        <v>36923</v>
      </c>
      <c r="L523" s="254" t="n">
        <v>150181.426507702</v>
      </c>
      <c r="M523" s="475" t="n">
        <v>36921</v>
      </c>
      <c r="N523" s="0" t="s">
        <v>136</v>
      </c>
      <c r="O523" s="0" t="n">
        <v>1.3</v>
      </c>
      <c r="P523" s="0" t="n">
        <v>0</v>
      </c>
      <c r="Q523" s="0" t="n">
        <v>0</v>
      </c>
      <c r="R523" s="0" t="n">
        <v>0</v>
      </c>
      <c r="S523" s="0" t="n">
        <v>0</v>
      </c>
      <c r="T523" s="0" t="s">
        <v>624</v>
      </c>
      <c r="U523" s="0" t="s">
        <v>149</v>
      </c>
      <c r="V523" s="0" t="s">
        <v>624</v>
      </c>
      <c r="W523" s="0" t="s">
        <v>569</v>
      </c>
      <c r="X523" s="0" t="s">
        <v>624</v>
      </c>
      <c r="Y523" s="0" t="s">
        <v>627</v>
      </c>
      <c r="Z523" s="0" t="s">
        <v>629</v>
      </c>
      <c r="AA523" s="0" t="s">
        <v>624</v>
      </c>
      <c r="AB523" s="0" t="s">
        <v>580</v>
      </c>
      <c r="AC523" s="254" t="n">
        <v>140000</v>
      </c>
      <c r="AD523" s="254" t="n">
        <v>11050.638959618</v>
      </c>
      <c r="AE523" s="0" t="n">
        <v>0</v>
      </c>
      <c r="AF523" s="0" t="n">
        <v>0</v>
      </c>
      <c r="AG523" s="0" t="n">
        <v>0</v>
      </c>
      <c r="AH523" s="254" t="n">
        <v>7473.34818236961</v>
      </c>
      <c r="AI523" s="0" t="n">
        <v>226</v>
      </c>
      <c r="AJ523" s="0" t="s">
        <v>630</v>
      </c>
      <c r="AK523" s="0" t="n">
        <v>0</v>
      </c>
      <c r="AL523" s="0" t="n">
        <v>0</v>
      </c>
      <c r="AM523" s="0" t="n">
        <v>0</v>
      </c>
    </row>
    <row r="524" customFormat="false" ht="12.75" hidden="false" customHeight="false" outlineLevel="0" collapsed="false">
      <c r="A524" s="0" t="s">
        <v>631</v>
      </c>
      <c r="B524" s="0" t="s">
        <v>377</v>
      </c>
      <c r="C524" s="0" t="s">
        <v>622</v>
      </c>
      <c r="D524" s="0" t="s">
        <v>623</v>
      </c>
      <c r="E524" s="0" t="s">
        <v>131</v>
      </c>
      <c r="F524" s="0" t="s">
        <v>206</v>
      </c>
      <c r="G524" s="0" t="s">
        <v>628</v>
      </c>
      <c r="H524" s="0" t="s">
        <v>625</v>
      </c>
      <c r="I524" s="0" t="s">
        <v>626</v>
      </c>
      <c r="J524" s="0" t="s">
        <v>627</v>
      </c>
      <c r="K524" s="475" t="n">
        <v>36892</v>
      </c>
      <c r="L524" s="254" t="n">
        <v>171541.468434239</v>
      </c>
      <c r="M524" s="475" t="n">
        <v>36888</v>
      </c>
      <c r="N524" s="0" t="s">
        <v>136</v>
      </c>
      <c r="O524" s="0" t="n">
        <v>1.3</v>
      </c>
      <c r="P524" s="0" t="n">
        <v>0</v>
      </c>
      <c r="Q524" s="0" t="n">
        <v>0</v>
      </c>
      <c r="R524" s="0" t="n">
        <v>0</v>
      </c>
      <c r="S524" s="0" t="n">
        <v>0</v>
      </c>
      <c r="T524" s="0" t="s">
        <v>624</v>
      </c>
      <c r="U524" s="0" t="s">
        <v>149</v>
      </c>
      <c r="V524" s="0" t="s">
        <v>624</v>
      </c>
      <c r="W524" s="0" t="s">
        <v>569</v>
      </c>
      <c r="X524" s="0" t="s">
        <v>624</v>
      </c>
      <c r="Y524" s="0" t="s">
        <v>627</v>
      </c>
      <c r="Z524" s="0" t="s">
        <v>629</v>
      </c>
      <c r="AA524" s="0" t="s">
        <v>624</v>
      </c>
      <c r="AB524" s="0" t="s">
        <v>580</v>
      </c>
      <c r="AC524" s="254" t="n">
        <v>155000</v>
      </c>
      <c r="AD524" s="254" t="n">
        <v>10749.369414923</v>
      </c>
      <c r="AE524" s="0" t="n">
        <v>0</v>
      </c>
      <c r="AF524" s="0" t="n">
        <v>0</v>
      </c>
      <c r="AG524" s="0" t="n">
        <v>0</v>
      </c>
      <c r="AH524" s="254" t="n">
        <v>7350.29438604045</v>
      </c>
      <c r="AI524" s="0" t="n">
        <v>226</v>
      </c>
      <c r="AJ524" s="0" t="s">
        <v>630</v>
      </c>
      <c r="AK524" s="0" t="n">
        <v>0</v>
      </c>
      <c r="AL524" s="0" t="n">
        <v>0</v>
      </c>
      <c r="AM524" s="0" t="n">
        <v>0</v>
      </c>
    </row>
    <row r="525" customFormat="false" ht="12.75" hidden="false" customHeight="false" outlineLevel="0" collapsed="false">
      <c r="A525" s="0" t="s">
        <v>631</v>
      </c>
      <c r="B525" s="0" t="s">
        <v>377</v>
      </c>
      <c r="C525" s="0" t="s">
        <v>622</v>
      </c>
      <c r="D525" s="0" t="s">
        <v>623</v>
      </c>
      <c r="E525" s="0" t="s">
        <v>131</v>
      </c>
      <c r="F525" s="0" t="s">
        <v>206</v>
      </c>
      <c r="G525" s="0" t="s">
        <v>628</v>
      </c>
      <c r="H525" s="0" t="s">
        <v>625</v>
      </c>
      <c r="I525" s="0" t="s">
        <v>626</v>
      </c>
      <c r="J525" s="0" t="s">
        <v>627</v>
      </c>
      <c r="K525" s="475" t="n">
        <v>36861</v>
      </c>
      <c r="L525" s="254" t="n">
        <v>105622.548905873</v>
      </c>
      <c r="M525" s="475" t="n">
        <v>36859</v>
      </c>
      <c r="N525" s="0" t="s">
        <v>136</v>
      </c>
      <c r="O525" s="0" t="n">
        <v>1.3</v>
      </c>
      <c r="P525" s="0" t="n">
        <v>0</v>
      </c>
      <c r="Q525" s="0" t="n">
        <v>0</v>
      </c>
      <c r="R525" s="0" t="n">
        <v>0</v>
      </c>
      <c r="S525" s="0" t="n">
        <v>0</v>
      </c>
      <c r="T525" s="0" t="s">
        <v>624</v>
      </c>
      <c r="U525" s="0" t="s">
        <v>149</v>
      </c>
      <c r="V525" s="0" t="s">
        <v>624</v>
      </c>
      <c r="W525" s="0" t="s">
        <v>569</v>
      </c>
      <c r="X525" s="0" t="s">
        <v>624</v>
      </c>
      <c r="Y525" s="0" t="s">
        <v>627</v>
      </c>
      <c r="Z525" s="0" t="s">
        <v>629</v>
      </c>
      <c r="AA525" s="0" t="s">
        <v>624</v>
      </c>
      <c r="AB525" s="0" t="s">
        <v>580</v>
      </c>
      <c r="AC525" s="254" t="n">
        <v>155000</v>
      </c>
      <c r="AD525" s="254" t="n">
        <v>10736.2798342139</v>
      </c>
      <c r="AE525" s="0" t="n">
        <v>0</v>
      </c>
      <c r="AF525" s="0" t="n">
        <v>0</v>
      </c>
      <c r="AG525" s="0" t="n">
        <v>0</v>
      </c>
      <c r="AH525" s="254" t="n">
        <v>4929.61440672955</v>
      </c>
      <c r="AI525" s="0" t="n">
        <v>226</v>
      </c>
      <c r="AJ525" s="0" t="s">
        <v>630</v>
      </c>
      <c r="AK525" s="0" t="n">
        <v>0</v>
      </c>
      <c r="AL525" s="0" t="n">
        <v>0</v>
      </c>
      <c r="AM525" s="0" t="n">
        <v>0</v>
      </c>
    </row>
    <row r="526" customFormat="false" ht="12.75" hidden="false" customHeight="false" outlineLevel="0" collapsed="false">
      <c r="A526" s="0" t="s">
        <v>631</v>
      </c>
      <c r="B526" s="0" t="s">
        <v>377</v>
      </c>
      <c r="C526" s="0" t="s">
        <v>622</v>
      </c>
      <c r="D526" s="0" t="s">
        <v>623</v>
      </c>
      <c r="E526" s="0" t="s">
        <v>131</v>
      </c>
      <c r="F526" s="0" t="s">
        <v>206</v>
      </c>
      <c r="G526" s="0" t="s">
        <v>628</v>
      </c>
      <c r="H526" s="0" t="s">
        <v>625</v>
      </c>
      <c r="I526" s="0" t="s">
        <v>626</v>
      </c>
      <c r="J526" s="0" t="s">
        <v>627</v>
      </c>
      <c r="K526" s="475" t="n">
        <v>36831</v>
      </c>
      <c r="L526" s="254" t="n">
        <v>14060.3123061422</v>
      </c>
      <c r="M526" s="475" t="n">
        <v>36829</v>
      </c>
      <c r="N526" s="0" t="s">
        <v>136</v>
      </c>
      <c r="O526" s="0" t="n">
        <v>1.3</v>
      </c>
      <c r="P526" s="0" t="n">
        <v>0</v>
      </c>
      <c r="Q526" s="0" t="n">
        <v>0</v>
      </c>
      <c r="R526" s="0" t="n">
        <v>0</v>
      </c>
      <c r="S526" s="0" t="n">
        <v>0</v>
      </c>
      <c r="T526" s="0" t="s">
        <v>624</v>
      </c>
      <c r="U526" s="0" t="s">
        <v>149</v>
      </c>
      <c r="V526" s="0" t="s">
        <v>624</v>
      </c>
      <c r="W526" s="0" t="s">
        <v>569</v>
      </c>
      <c r="X526" s="0" t="s">
        <v>624</v>
      </c>
      <c r="Y526" s="0" t="s">
        <v>627</v>
      </c>
      <c r="Z526" s="0" t="s">
        <v>629</v>
      </c>
      <c r="AA526" s="0" t="s">
        <v>624</v>
      </c>
      <c r="AB526" s="0" t="s">
        <v>580</v>
      </c>
      <c r="AC526" s="254" t="n">
        <v>150000</v>
      </c>
      <c r="AD526" s="254" t="n">
        <v>4934.97216170593</v>
      </c>
      <c r="AE526" s="0" t="n">
        <v>0</v>
      </c>
      <c r="AF526" s="0" t="n">
        <v>0</v>
      </c>
      <c r="AG526" s="0" t="n">
        <v>0</v>
      </c>
      <c r="AH526" s="254" t="n">
        <v>1702.0524628068</v>
      </c>
      <c r="AI526" s="0" t="n">
        <v>226</v>
      </c>
      <c r="AJ526" s="0" t="s">
        <v>630</v>
      </c>
      <c r="AK526" s="0" t="n">
        <v>0</v>
      </c>
      <c r="AL526" s="0" t="n">
        <v>0</v>
      </c>
      <c r="AM526" s="0" t="n">
        <v>0</v>
      </c>
    </row>
    <row r="527" customFormat="false" ht="12.75" hidden="false" customHeight="false" outlineLevel="0" collapsed="false">
      <c r="A527" s="0" t="s">
        <v>631</v>
      </c>
      <c r="B527" s="0" t="s">
        <v>378</v>
      </c>
      <c r="C527" s="0" t="s">
        <v>622</v>
      </c>
      <c r="D527" s="0" t="s">
        <v>623</v>
      </c>
      <c r="E527" s="0" t="s">
        <v>131</v>
      </c>
      <c r="F527" s="0" t="s">
        <v>206</v>
      </c>
      <c r="G527" s="0" t="s">
        <v>628</v>
      </c>
      <c r="H527" s="0" t="s">
        <v>625</v>
      </c>
      <c r="I527" s="0" t="s">
        <v>626</v>
      </c>
      <c r="J527" s="0" t="s">
        <v>627</v>
      </c>
      <c r="K527" s="475" t="n">
        <v>36951</v>
      </c>
      <c r="L527" s="254" t="n">
        <v>99090.4192958505</v>
      </c>
      <c r="M527" s="475" t="n">
        <v>36949</v>
      </c>
      <c r="N527" s="0" t="s">
        <v>132</v>
      </c>
      <c r="O527" s="0" t="n">
        <v>1.3</v>
      </c>
      <c r="P527" s="0" t="n">
        <v>0</v>
      </c>
      <c r="Q527" s="0" t="n">
        <v>0</v>
      </c>
      <c r="R527" s="0" t="n">
        <v>0</v>
      </c>
      <c r="S527" s="0" t="n">
        <v>0</v>
      </c>
      <c r="T527" s="0" t="s">
        <v>624</v>
      </c>
      <c r="U527" s="0" t="s">
        <v>149</v>
      </c>
      <c r="V527" s="0" t="s">
        <v>624</v>
      </c>
      <c r="W527" s="0" t="s">
        <v>569</v>
      </c>
      <c r="X527" s="0" t="s">
        <v>624</v>
      </c>
      <c r="Y527" s="0" t="s">
        <v>627</v>
      </c>
      <c r="Z527" s="0" t="s">
        <v>629</v>
      </c>
      <c r="AA527" s="0" t="s">
        <v>624</v>
      </c>
      <c r="AB527" s="0" t="s">
        <v>580</v>
      </c>
      <c r="AC527" s="254" t="n">
        <v>155000</v>
      </c>
      <c r="AD527" s="254" t="n">
        <v>13414.6425813564</v>
      </c>
      <c r="AE527" s="0" t="n">
        <v>0</v>
      </c>
      <c r="AF527" s="0" t="n">
        <v>0</v>
      </c>
      <c r="AG527" s="0" t="n">
        <v>0</v>
      </c>
      <c r="AH527" s="254" t="n">
        <v>-4017.7892987801</v>
      </c>
      <c r="AI527" s="0" t="n">
        <v>226</v>
      </c>
      <c r="AJ527" s="0" t="s">
        <v>630</v>
      </c>
      <c r="AK527" s="0" t="n">
        <v>0</v>
      </c>
      <c r="AL527" s="0" t="n">
        <v>0</v>
      </c>
      <c r="AM527" s="0" t="n">
        <v>0</v>
      </c>
    </row>
    <row r="528" customFormat="false" ht="12.75" hidden="false" customHeight="false" outlineLevel="0" collapsed="false">
      <c r="A528" s="0" t="s">
        <v>631</v>
      </c>
      <c r="B528" s="0" t="s">
        <v>378</v>
      </c>
      <c r="C528" s="0" t="s">
        <v>622</v>
      </c>
      <c r="D528" s="0" t="s">
        <v>623</v>
      </c>
      <c r="E528" s="0" t="s">
        <v>131</v>
      </c>
      <c r="F528" s="0" t="s">
        <v>206</v>
      </c>
      <c r="G528" s="0" t="s">
        <v>628</v>
      </c>
      <c r="H528" s="0" t="s">
        <v>625</v>
      </c>
      <c r="I528" s="0" t="s">
        <v>626</v>
      </c>
      <c r="J528" s="0" t="s">
        <v>627</v>
      </c>
      <c r="K528" s="475" t="n">
        <v>36923</v>
      </c>
      <c r="L528" s="254" t="n">
        <v>42756.5824080976</v>
      </c>
      <c r="M528" s="475" t="n">
        <v>36921</v>
      </c>
      <c r="N528" s="0" t="s">
        <v>132</v>
      </c>
      <c r="O528" s="0" t="n">
        <v>1.3</v>
      </c>
      <c r="P528" s="0" t="n">
        <v>0</v>
      </c>
      <c r="Q528" s="0" t="n">
        <v>0</v>
      </c>
      <c r="R528" s="0" t="n">
        <v>0</v>
      </c>
      <c r="S528" s="0" t="n">
        <v>0</v>
      </c>
      <c r="T528" s="0" t="s">
        <v>624</v>
      </c>
      <c r="U528" s="0" t="s">
        <v>149</v>
      </c>
      <c r="V528" s="0" t="s">
        <v>624</v>
      </c>
      <c r="W528" s="0" t="s">
        <v>569</v>
      </c>
      <c r="X528" s="0" t="s">
        <v>624</v>
      </c>
      <c r="Y528" s="0" t="s">
        <v>627</v>
      </c>
      <c r="Z528" s="0" t="s">
        <v>629</v>
      </c>
      <c r="AA528" s="0" t="s">
        <v>624</v>
      </c>
      <c r="AB528" s="0" t="s">
        <v>580</v>
      </c>
      <c r="AC528" s="254" t="n">
        <v>140000</v>
      </c>
      <c r="AD528" s="254" t="n">
        <v>11050.638959618</v>
      </c>
      <c r="AE528" s="0" t="n">
        <v>0</v>
      </c>
      <c r="AF528" s="0" t="n">
        <v>0</v>
      </c>
      <c r="AG528" s="0" t="n">
        <v>0</v>
      </c>
      <c r="AH528" s="254" t="n">
        <v>-2040.41574436784</v>
      </c>
      <c r="AI528" s="0" t="n">
        <v>226</v>
      </c>
      <c r="AJ528" s="0" t="s">
        <v>630</v>
      </c>
      <c r="AK528" s="0" t="n">
        <v>0</v>
      </c>
      <c r="AL528" s="0" t="n">
        <v>0</v>
      </c>
      <c r="AM528" s="0" t="n">
        <v>0</v>
      </c>
    </row>
    <row r="529" customFormat="false" ht="12.75" hidden="false" customHeight="false" outlineLevel="0" collapsed="false">
      <c r="A529" s="0" t="s">
        <v>631</v>
      </c>
      <c r="B529" s="0" t="s">
        <v>378</v>
      </c>
      <c r="C529" s="0" t="s">
        <v>622</v>
      </c>
      <c r="D529" s="0" t="s">
        <v>623</v>
      </c>
      <c r="E529" s="0" t="s">
        <v>131</v>
      </c>
      <c r="F529" s="0" t="s">
        <v>206</v>
      </c>
      <c r="G529" s="0" t="s">
        <v>628</v>
      </c>
      <c r="H529" s="0" t="s">
        <v>625</v>
      </c>
      <c r="I529" s="0" t="s">
        <v>626</v>
      </c>
      <c r="J529" s="0" t="s">
        <v>627</v>
      </c>
      <c r="K529" s="475" t="n">
        <v>36892</v>
      </c>
      <c r="L529" s="254" t="n">
        <v>39736.3258783988</v>
      </c>
      <c r="M529" s="475" t="n">
        <v>36888</v>
      </c>
      <c r="N529" s="0" t="s">
        <v>132</v>
      </c>
      <c r="O529" s="0" t="n">
        <v>1.3</v>
      </c>
      <c r="P529" s="0" t="n">
        <v>0</v>
      </c>
      <c r="Q529" s="0" t="n">
        <v>0</v>
      </c>
      <c r="R529" s="0" t="n">
        <v>0</v>
      </c>
      <c r="S529" s="0" t="n">
        <v>0</v>
      </c>
      <c r="T529" s="0" t="s">
        <v>624</v>
      </c>
      <c r="U529" s="0" t="s">
        <v>149</v>
      </c>
      <c r="V529" s="0" t="s">
        <v>624</v>
      </c>
      <c r="W529" s="0" t="s">
        <v>569</v>
      </c>
      <c r="X529" s="0" t="s">
        <v>624</v>
      </c>
      <c r="Y529" s="0" t="s">
        <v>627</v>
      </c>
      <c r="Z529" s="0" t="s">
        <v>629</v>
      </c>
      <c r="AA529" s="0" t="s">
        <v>624</v>
      </c>
      <c r="AB529" s="0" t="s">
        <v>580</v>
      </c>
      <c r="AC529" s="254" t="n">
        <v>155000</v>
      </c>
      <c r="AD529" s="254" t="n">
        <v>10749.3694149231</v>
      </c>
      <c r="AE529" s="0" t="n">
        <v>0</v>
      </c>
      <c r="AF529" s="0" t="n">
        <v>0</v>
      </c>
      <c r="AG529" s="0" t="n">
        <v>0</v>
      </c>
      <c r="AH529" s="254" t="n">
        <v>-1734.86898769972</v>
      </c>
      <c r="AI529" s="0" t="n">
        <v>226</v>
      </c>
      <c r="AJ529" s="0" t="s">
        <v>630</v>
      </c>
      <c r="AK529" s="0" t="n">
        <v>0</v>
      </c>
      <c r="AL529" s="0" t="n">
        <v>0</v>
      </c>
      <c r="AM529" s="0" t="n">
        <v>0</v>
      </c>
    </row>
    <row r="530" customFormat="false" ht="12.75" hidden="false" customHeight="false" outlineLevel="0" collapsed="false">
      <c r="A530" s="0" t="s">
        <v>631</v>
      </c>
      <c r="B530" s="0" t="s">
        <v>378</v>
      </c>
      <c r="C530" s="0" t="s">
        <v>622</v>
      </c>
      <c r="D530" s="0" t="s">
        <v>623</v>
      </c>
      <c r="E530" s="0" t="s">
        <v>131</v>
      </c>
      <c r="F530" s="0" t="s">
        <v>206</v>
      </c>
      <c r="G530" s="0" t="s">
        <v>628</v>
      </c>
      <c r="H530" s="0" t="s">
        <v>625</v>
      </c>
      <c r="I530" s="0" t="s">
        <v>626</v>
      </c>
      <c r="J530" s="0" t="s">
        <v>627</v>
      </c>
      <c r="K530" s="475" t="n">
        <v>36861</v>
      </c>
      <c r="L530" s="254" t="n">
        <v>53069.6569251879</v>
      </c>
      <c r="M530" s="475" t="n">
        <v>36859</v>
      </c>
      <c r="N530" s="0" t="s">
        <v>132</v>
      </c>
      <c r="O530" s="0" t="n">
        <v>1.3</v>
      </c>
      <c r="P530" s="0" t="n">
        <v>0</v>
      </c>
      <c r="Q530" s="0" t="n">
        <v>0</v>
      </c>
      <c r="R530" s="0" t="n">
        <v>0</v>
      </c>
      <c r="S530" s="0" t="n">
        <v>0</v>
      </c>
      <c r="T530" s="0" t="s">
        <v>624</v>
      </c>
      <c r="U530" s="0" t="s">
        <v>149</v>
      </c>
      <c r="V530" s="0" t="s">
        <v>624</v>
      </c>
      <c r="W530" s="0" t="s">
        <v>569</v>
      </c>
      <c r="X530" s="0" t="s">
        <v>624</v>
      </c>
      <c r="Y530" s="0" t="s">
        <v>627</v>
      </c>
      <c r="Z530" s="0" t="s">
        <v>629</v>
      </c>
      <c r="AA530" s="0" t="s">
        <v>624</v>
      </c>
      <c r="AB530" s="0" t="s">
        <v>580</v>
      </c>
      <c r="AC530" s="254" t="n">
        <v>155000</v>
      </c>
      <c r="AD530" s="254" t="n">
        <v>10736.2798342139</v>
      </c>
      <c r="AE530" s="0" t="n">
        <v>0</v>
      </c>
      <c r="AF530" s="0" t="n">
        <v>0</v>
      </c>
      <c r="AG530" s="0" t="n">
        <v>0</v>
      </c>
      <c r="AH530" s="254" t="n">
        <v>-1921.3399844333</v>
      </c>
      <c r="AI530" s="0" t="n">
        <v>226</v>
      </c>
      <c r="AJ530" s="0" t="s">
        <v>630</v>
      </c>
      <c r="AK530" s="0" t="n">
        <v>0</v>
      </c>
      <c r="AL530" s="0" t="n">
        <v>0</v>
      </c>
      <c r="AM530" s="0" t="n">
        <v>0</v>
      </c>
    </row>
    <row r="531" customFormat="false" ht="12.75" hidden="false" customHeight="false" outlineLevel="0" collapsed="false">
      <c r="A531" s="0" t="s">
        <v>631</v>
      </c>
      <c r="B531" s="0" t="s">
        <v>378</v>
      </c>
      <c r="C531" s="0" t="s">
        <v>622</v>
      </c>
      <c r="D531" s="0" t="s">
        <v>623</v>
      </c>
      <c r="E531" s="0" t="s">
        <v>131</v>
      </c>
      <c r="F531" s="0" t="s">
        <v>206</v>
      </c>
      <c r="G531" s="0" t="s">
        <v>628</v>
      </c>
      <c r="H531" s="0" t="s">
        <v>625</v>
      </c>
      <c r="I531" s="0" t="s">
        <v>626</v>
      </c>
      <c r="J531" s="0" t="s">
        <v>627</v>
      </c>
      <c r="K531" s="475" t="n">
        <v>36831</v>
      </c>
      <c r="L531" s="254" t="n">
        <v>92631.8607218067</v>
      </c>
      <c r="M531" s="475" t="n">
        <v>36829</v>
      </c>
      <c r="N531" s="0" t="s">
        <v>132</v>
      </c>
      <c r="O531" s="0" t="n">
        <v>1.3</v>
      </c>
      <c r="P531" s="0" t="n">
        <v>0</v>
      </c>
      <c r="Q531" s="0" t="n">
        <v>0</v>
      </c>
      <c r="R531" s="0" t="n">
        <v>0</v>
      </c>
      <c r="S531" s="0" t="n">
        <v>0</v>
      </c>
      <c r="T531" s="0" t="s">
        <v>624</v>
      </c>
      <c r="U531" s="0" t="s">
        <v>149</v>
      </c>
      <c r="V531" s="0" t="s">
        <v>624</v>
      </c>
      <c r="W531" s="0" t="s">
        <v>569</v>
      </c>
      <c r="X531" s="0" t="s">
        <v>624</v>
      </c>
      <c r="Y531" s="0" t="s">
        <v>627</v>
      </c>
      <c r="Z531" s="0" t="s">
        <v>629</v>
      </c>
      <c r="AA531" s="0" t="s">
        <v>624</v>
      </c>
      <c r="AB531" s="0" t="s">
        <v>580</v>
      </c>
      <c r="AC531" s="254" t="n">
        <v>150000</v>
      </c>
      <c r="AD531" s="254" t="n">
        <v>4934.97216170594</v>
      </c>
      <c r="AE531" s="0" t="n">
        <v>0</v>
      </c>
      <c r="AF531" s="0" t="n">
        <v>0</v>
      </c>
      <c r="AG531" s="0" t="n">
        <v>0</v>
      </c>
      <c r="AH531" s="254" t="n">
        <v>-4224.6106490786</v>
      </c>
      <c r="AI531" s="0" t="n">
        <v>226</v>
      </c>
      <c r="AJ531" s="0" t="s">
        <v>630</v>
      </c>
      <c r="AK531" s="0" t="n">
        <v>0</v>
      </c>
      <c r="AL531" s="0" t="n">
        <v>0</v>
      </c>
      <c r="AM531" s="0" t="n">
        <v>0</v>
      </c>
    </row>
    <row r="532" customFormat="false" ht="12.75" hidden="false" customHeight="false" outlineLevel="0" collapsed="false">
      <c r="A532" s="0" t="s">
        <v>631</v>
      </c>
      <c r="B532" s="0" t="s">
        <v>379</v>
      </c>
      <c r="C532" s="0" t="s">
        <v>622</v>
      </c>
      <c r="D532" s="0" t="s">
        <v>623</v>
      </c>
      <c r="E532" s="0" t="s">
        <v>131</v>
      </c>
      <c r="F532" s="0" t="s">
        <v>345</v>
      </c>
      <c r="G532" s="0" t="s">
        <v>628</v>
      </c>
      <c r="H532" s="0" t="s">
        <v>625</v>
      </c>
      <c r="I532" s="0" t="s">
        <v>626</v>
      </c>
      <c r="J532" s="0" t="s">
        <v>627</v>
      </c>
      <c r="K532" s="475" t="n">
        <v>36800</v>
      </c>
      <c r="L532" s="254" t="n">
        <v>-46297.0495820892</v>
      </c>
      <c r="M532" s="475" t="n">
        <v>36797</v>
      </c>
      <c r="N532" s="0" t="s">
        <v>132</v>
      </c>
      <c r="O532" s="0" t="n">
        <v>0.4</v>
      </c>
      <c r="P532" s="0" t="n">
        <v>0</v>
      </c>
      <c r="Q532" s="0" t="n">
        <v>0</v>
      </c>
      <c r="R532" s="0" t="n">
        <v>0</v>
      </c>
      <c r="S532" s="0" t="n">
        <v>0</v>
      </c>
      <c r="T532" s="0" t="s">
        <v>624</v>
      </c>
      <c r="U532" s="0" t="s">
        <v>149</v>
      </c>
      <c r="V532" s="0" t="s">
        <v>624</v>
      </c>
      <c r="W532" s="0" t="s">
        <v>569</v>
      </c>
      <c r="X532" s="0" t="s">
        <v>624</v>
      </c>
      <c r="Y532" s="0" t="s">
        <v>627</v>
      </c>
      <c r="Z532" s="0" t="s">
        <v>629</v>
      </c>
      <c r="AA532" s="0" t="s">
        <v>624</v>
      </c>
      <c r="AB532" s="0" t="s">
        <v>580</v>
      </c>
      <c r="AC532" s="254" t="n">
        <v>-1240000</v>
      </c>
      <c r="AD532" s="254" t="n">
        <v>-8093.14204201987</v>
      </c>
      <c r="AE532" s="0" t="n">
        <v>0</v>
      </c>
      <c r="AF532" s="0" t="n">
        <v>0</v>
      </c>
      <c r="AG532" s="0" t="n">
        <v>0</v>
      </c>
      <c r="AH532" s="254" t="n">
        <v>-461.022190230127</v>
      </c>
      <c r="AI532" s="0" t="n">
        <v>226</v>
      </c>
      <c r="AJ532" s="0" t="s">
        <v>630</v>
      </c>
      <c r="AK532" s="0" t="n">
        <v>0</v>
      </c>
      <c r="AL532" s="0" t="n">
        <v>0</v>
      </c>
      <c r="AM532" s="0" t="n">
        <v>0</v>
      </c>
    </row>
    <row r="533" customFormat="false" ht="12.75" hidden="false" customHeight="false" outlineLevel="0" collapsed="false">
      <c r="A533" s="0" t="s">
        <v>631</v>
      </c>
      <c r="B533" s="0" t="s">
        <v>380</v>
      </c>
      <c r="C533" s="0" t="s">
        <v>622</v>
      </c>
      <c r="D533" s="0" t="s">
        <v>623</v>
      </c>
      <c r="E533" s="0" t="s">
        <v>131</v>
      </c>
      <c r="F533" s="0" t="s">
        <v>345</v>
      </c>
      <c r="G533" s="0" t="s">
        <v>628</v>
      </c>
      <c r="H533" s="0" t="s">
        <v>625</v>
      </c>
      <c r="I533" s="0" t="s">
        <v>626</v>
      </c>
      <c r="J533" s="0" t="s">
        <v>627</v>
      </c>
      <c r="K533" s="475" t="n">
        <v>36951</v>
      </c>
      <c r="L533" s="254" t="n">
        <v>-16938.3781569852</v>
      </c>
      <c r="M533" s="475" t="n">
        <v>36949</v>
      </c>
      <c r="N533" s="0" t="s">
        <v>136</v>
      </c>
      <c r="O533" s="0" t="n">
        <v>0.4</v>
      </c>
      <c r="P533" s="0" t="n">
        <v>0</v>
      </c>
      <c r="Q533" s="0" t="n">
        <v>0</v>
      </c>
      <c r="R533" s="0" t="n">
        <v>0</v>
      </c>
      <c r="S533" s="0" t="n">
        <v>0</v>
      </c>
      <c r="T533" s="0" t="s">
        <v>624</v>
      </c>
      <c r="U533" s="0" t="s">
        <v>150</v>
      </c>
      <c r="V533" s="0" t="s">
        <v>624</v>
      </c>
      <c r="W533" s="0" t="s">
        <v>569</v>
      </c>
      <c r="X533" s="0" t="s">
        <v>624</v>
      </c>
      <c r="Y533" s="0" t="s">
        <v>627</v>
      </c>
      <c r="Z533" s="0" t="s">
        <v>629</v>
      </c>
      <c r="AA533" s="0" t="s">
        <v>624</v>
      </c>
      <c r="AB533" s="0" t="s">
        <v>580</v>
      </c>
      <c r="AC533" s="254" t="n">
        <v>-310000</v>
      </c>
      <c r="AD533" s="254" t="n">
        <v>-4991.54618505087</v>
      </c>
      <c r="AE533" s="0" t="n">
        <v>0</v>
      </c>
      <c r="AF533" s="0" t="n">
        <v>0</v>
      </c>
      <c r="AG533" s="0" t="n">
        <v>0</v>
      </c>
      <c r="AH533" s="254" t="n">
        <v>-253.524827492271</v>
      </c>
      <c r="AI533" s="0" t="n">
        <v>226</v>
      </c>
      <c r="AJ533" s="0" t="s">
        <v>630</v>
      </c>
      <c r="AK533" s="0" t="n">
        <v>0</v>
      </c>
      <c r="AL533" s="0" t="n">
        <v>0</v>
      </c>
      <c r="AM533" s="0" t="n">
        <v>0</v>
      </c>
    </row>
    <row r="534" customFormat="false" ht="12.75" hidden="false" customHeight="false" outlineLevel="0" collapsed="false">
      <c r="A534" s="0" t="s">
        <v>631</v>
      </c>
      <c r="B534" s="0" t="s">
        <v>380</v>
      </c>
      <c r="C534" s="0" t="s">
        <v>622</v>
      </c>
      <c r="D534" s="0" t="s">
        <v>623</v>
      </c>
      <c r="E534" s="0" t="s">
        <v>131</v>
      </c>
      <c r="F534" s="0" t="s">
        <v>345</v>
      </c>
      <c r="G534" s="0" t="s">
        <v>628</v>
      </c>
      <c r="H534" s="0" t="s">
        <v>625</v>
      </c>
      <c r="I534" s="0" t="s">
        <v>626</v>
      </c>
      <c r="J534" s="0" t="s">
        <v>627</v>
      </c>
      <c r="K534" s="475" t="n">
        <v>36923</v>
      </c>
      <c r="L534" s="254" t="n">
        <v>-19741.876989107</v>
      </c>
      <c r="M534" s="475" t="n">
        <v>36921</v>
      </c>
      <c r="N534" s="0" t="s">
        <v>136</v>
      </c>
      <c r="O534" s="0" t="n">
        <v>0.4</v>
      </c>
      <c r="P534" s="0" t="n">
        <v>0</v>
      </c>
      <c r="Q534" s="0" t="n">
        <v>0</v>
      </c>
      <c r="R534" s="0" t="n">
        <v>0</v>
      </c>
      <c r="S534" s="0" t="n">
        <v>0</v>
      </c>
      <c r="T534" s="0" t="s">
        <v>624</v>
      </c>
      <c r="U534" s="0" t="s">
        <v>150</v>
      </c>
      <c r="V534" s="0" t="s">
        <v>624</v>
      </c>
      <c r="W534" s="0" t="s">
        <v>569</v>
      </c>
      <c r="X534" s="0" t="s">
        <v>624</v>
      </c>
      <c r="Y534" s="0" t="s">
        <v>627</v>
      </c>
      <c r="Z534" s="0" t="s">
        <v>629</v>
      </c>
      <c r="AA534" s="0" t="s">
        <v>624</v>
      </c>
      <c r="AB534" s="0" t="s">
        <v>580</v>
      </c>
      <c r="AC534" s="254" t="n">
        <v>-280000</v>
      </c>
      <c r="AD534" s="254" t="n">
        <v>-4900.98196869767</v>
      </c>
      <c r="AE534" s="0" t="n">
        <v>0</v>
      </c>
      <c r="AF534" s="0" t="n">
        <v>0</v>
      </c>
      <c r="AG534" s="0" t="n">
        <v>0</v>
      </c>
      <c r="AH534" s="254" t="n">
        <v>-235.088982208839</v>
      </c>
      <c r="AI534" s="0" t="n">
        <v>226</v>
      </c>
      <c r="AJ534" s="0" t="s">
        <v>630</v>
      </c>
      <c r="AK534" s="0" t="n">
        <v>0</v>
      </c>
      <c r="AL534" s="0" t="n">
        <v>0</v>
      </c>
      <c r="AM534" s="0" t="n">
        <v>0</v>
      </c>
    </row>
    <row r="535" customFormat="false" ht="12.75" hidden="false" customHeight="false" outlineLevel="0" collapsed="false">
      <c r="A535" s="0" t="s">
        <v>631</v>
      </c>
      <c r="B535" s="0" t="s">
        <v>380</v>
      </c>
      <c r="C535" s="0" t="s">
        <v>622</v>
      </c>
      <c r="D535" s="0" t="s">
        <v>623</v>
      </c>
      <c r="E535" s="0" t="s">
        <v>131</v>
      </c>
      <c r="F535" s="0" t="s">
        <v>345</v>
      </c>
      <c r="G535" s="0" t="s">
        <v>628</v>
      </c>
      <c r="H535" s="0" t="s">
        <v>625</v>
      </c>
      <c r="I535" s="0" t="s">
        <v>626</v>
      </c>
      <c r="J535" s="0" t="s">
        <v>627</v>
      </c>
      <c r="K535" s="475" t="n">
        <v>36892</v>
      </c>
      <c r="L535" s="254" t="n">
        <v>-20618.9164677147</v>
      </c>
      <c r="M535" s="475" t="n">
        <v>36888</v>
      </c>
      <c r="N535" s="0" t="s">
        <v>136</v>
      </c>
      <c r="O535" s="0" t="n">
        <v>0.4</v>
      </c>
      <c r="P535" s="0" t="n">
        <v>0</v>
      </c>
      <c r="Q535" s="0" t="n">
        <v>0</v>
      </c>
      <c r="R535" s="0" t="n">
        <v>0</v>
      </c>
      <c r="S535" s="0" t="n">
        <v>0</v>
      </c>
      <c r="T535" s="0" t="s">
        <v>624</v>
      </c>
      <c r="U535" s="0" t="s">
        <v>150</v>
      </c>
      <c r="V535" s="0" t="s">
        <v>624</v>
      </c>
      <c r="W535" s="0" t="s">
        <v>569</v>
      </c>
      <c r="X535" s="0" t="s">
        <v>624</v>
      </c>
      <c r="Y535" s="0" t="s">
        <v>627</v>
      </c>
      <c r="Z535" s="0" t="s">
        <v>629</v>
      </c>
      <c r="AA535" s="0" t="s">
        <v>624</v>
      </c>
      <c r="AB535" s="0" t="s">
        <v>580</v>
      </c>
      <c r="AC535" s="254" t="n">
        <v>-310000</v>
      </c>
      <c r="AD535" s="254" t="n">
        <v>-4973.70286372303</v>
      </c>
      <c r="AE535" s="0" t="n">
        <v>0</v>
      </c>
      <c r="AF535" s="0" t="n">
        <v>0</v>
      </c>
      <c r="AG535" s="0" t="n">
        <v>0</v>
      </c>
      <c r="AH535" s="254" t="n">
        <v>-239.331190497516</v>
      </c>
      <c r="AI535" s="0" t="n">
        <v>226</v>
      </c>
      <c r="AJ535" s="0" t="s">
        <v>630</v>
      </c>
      <c r="AK535" s="0" t="n">
        <v>0</v>
      </c>
      <c r="AL535" s="0" t="n">
        <v>0</v>
      </c>
      <c r="AM535" s="0" t="n">
        <v>0</v>
      </c>
    </row>
    <row r="536" customFormat="false" ht="12.75" hidden="false" customHeight="false" outlineLevel="0" collapsed="false">
      <c r="A536" s="0" t="s">
        <v>631</v>
      </c>
      <c r="B536" s="0" t="s">
        <v>380</v>
      </c>
      <c r="C536" s="0" t="s">
        <v>622</v>
      </c>
      <c r="D536" s="0" t="s">
        <v>623</v>
      </c>
      <c r="E536" s="0" t="s">
        <v>131</v>
      </c>
      <c r="F536" s="0" t="s">
        <v>345</v>
      </c>
      <c r="G536" s="0" t="s">
        <v>628</v>
      </c>
      <c r="H536" s="0" t="s">
        <v>625</v>
      </c>
      <c r="I536" s="0" t="s">
        <v>626</v>
      </c>
      <c r="J536" s="0" t="s">
        <v>627</v>
      </c>
      <c r="K536" s="475" t="n">
        <v>36861</v>
      </c>
      <c r="L536" s="254" t="n">
        <v>-16210.6479916678</v>
      </c>
      <c r="M536" s="475" t="n">
        <v>36859</v>
      </c>
      <c r="N536" s="0" t="s">
        <v>136</v>
      </c>
      <c r="O536" s="0" t="n">
        <v>0.4</v>
      </c>
      <c r="P536" s="0" t="n">
        <v>0</v>
      </c>
      <c r="Q536" s="0" t="n">
        <v>0</v>
      </c>
      <c r="R536" s="0" t="n">
        <v>0</v>
      </c>
      <c r="S536" s="0" t="n">
        <v>0</v>
      </c>
      <c r="T536" s="0" t="s">
        <v>624</v>
      </c>
      <c r="U536" s="0" t="s">
        <v>150</v>
      </c>
      <c r="V536" s="0" t="s">
        <v>624</v>
      </c>
      <c r="W536" s="0" t="s">
        <v>569</v>
      </c>
      <c r="X536" s="0" t="s">
        <v>624</v>
      </c>
      <c r="Y536" s="0" t="s">
        <v>627</v>
      </c>
      <c r="Z536" s="0" t="s">
        <v>629</v>
      </c>
      <c r="AA536" s="0" t="s">
        <v>624</v>
      </c>
      <c r="AB536" s="0" t="s">
        <v>580</v>
      </c>
      <c r="AC536" s="254" t="n">
        <v>-310000</v>
      </c>
      <c r="AD536" s="254" t="n">
        <v>-4214.96151785967</v>
      </c>
      <c r="AE536" s="0" t="n">
        <v>0</v>
      </c>
      <c r="AF536" s="0" t="n">
        <v>0</v>
      </c>
      <c r="AG536" s="0" t="n">
        <v>0</v>
      </c>
      <c r="AH536" s="254" t="n">
        <v>-212.182027417335</v>
      </c>
      <c r="AI536" s="0" t="n">
        <v>226</v>
      </c>
      <c r="AJ536" s="0" t="s">
        <v>630</v>
      </c>
      <c r="AK536" s="0" t="n">
        <v>0</v>
      </c>
      <c r="AL536" s="0" t="n">
        <v>0</v>
      </c>
      <c r="AM536" s="0" t="n">
        <v>0</v>
      </c>
    </row>
    <row r="537" customFormat="false" ht="12.75" hidden="false" customHeight="false" outlineLevel="0" collapsed="false">
      <c r="A537" s="0" t="s">
        <v>631</v>
      </c>
      <c r="B537" s="0" t="s">
        <v>380</v>
      </c>
      <c r="C537" s="0" t="s">
        <v>622</v>
      </c>
      <c r="D537" s="0" t="s">
        <v>623</v>
      </c>
      <c r="E537" s="0" t="s">
        <v>131</v>
      </c>
      <c r="F537" s="0" t="s">
        <v>345</v>
      </c>
      <c r="G537" s="0" t="s">
        <v>628</v>
      </c>
      <c r="H537" s="0" t="s">
        <v>625</v>
      </c>
      <c r="I537" s="0" t="s">
        <v>626</v>
      </c>
      <c r="J537" s="0" t="s">
        <v>627</v>
      </c>
      <c r="K537" s="475" t="n">
        <v>36831</v>
      </c>
      <c r="L537" s="254" t="n">
        <v>-8370.24184368164</v>
      </c>
      <c r="M537" s="475" t="n">
        <v>36829</v>
      </c>
      <c r="N537" s="0" t="s">
        <v>136</v>
      </c>
      <c r="O537" s="0" t="n">
        <v>0.4</v>
      </c>
      <c r="P537" s="0" t="n">
        <v>0</v>
      </c>
      <c r="Q537" s="0" t="n">
        <v>0</v>
      </c>
      <c r="R537" s="0" t="n">
        <v>0</v>
      </c>
      <c r="S537" s="0" t="n">
        <v>0</v>
      </c>
      <c r="T537" s="0" t="s">
        <v>624</v>
      </c>
      <c r="U537" s="0" t="s">
        <v>150</v>
      </c>
      <c r="V537" s="0" t="s">
        <v>624</v>
      </c>
      <c r="W537" s="0" t="s">
        <v>569</v>
      </c>
      <c r="X537" s="0" t="s">
        <v>624</v>
      </c>
      <c r="Y537" s="0" t="s">
        <v>627</v>
      </c>
      <c r="Z537" s="0" t="s">
        <v>629</v>
      </c>
      <c r="AA537" s="0" t="s">
        <v>624</v>
      </c>
      <c r="AB537" s="0" t="s">
        <v>580</v>
      </c>
      <c r="AC537" s="254" t="n">
        <v>-300000</v>
      </c>
      <c r="AD537" s="254" t="n">
        <v>-2899.15065424831</v>
      </c>
      <c r="AE537" s="0" t="n">
        <v>0</v>
      </c>
      <c r="AF537" s="0" t="n">
        <v>0</v>
      </c>
      <c r="AG537" s="0" t="n">
        <v>0</v>
      </c>
      <c r="AH537" s="254" t="n">
        <v>-156.516349134052</v>
      </c>
      <c r="AI537" s="0" t="n">
        <v>226</v>
      </c>
      <c r="AJ537" s="0" t="s">
        <v>630</v>
      </c>
      <c r="AK537" s="0" t="n">
        <v>0</v>
      </c>
      <c r="AL537" s="0" t="n">
        <v>0</v>
      </c>
      <c r="AM537" s="0" t="n">
        <v>0</v>
      </c>
    </row>
    <row r="538" customFormat="false" ht="12.75" hidden="false" customHeight="false" outlineLevel="0" collapsed="false">
      <c r="A538" s="0" t="s">
        <v>631</v>
      </c>
      <c r="B538" s="0" t="s">
        <v>381</v>
      </c>
      <c r="C538" s="0" t="s">
        <v>622</v>
      </c>
      <c r="D538" s="0" t="s">
        <v>623</v>
      </c>
      <c r="E538" s="0" t="s">
        <v>131</v>
      </c>
      <c r="F538" s="0" t="s">
        <v>345</v>
      </c>
      <c r="G538" s="0" t="s">
        <v>628</v>
      </c>
      <c r="H538" s="0" t="s">
        <v>625</v>
      </c>
      <c r="I538" s="0" t="s">
        <v>626</v>
      </c>
      <c r="J538" s="0" t="s">
        <v>627</v>
      </c>
      <c r="K538" s="475" t="n">
        <v>36951</v>
      </c>
      <c r="L538" s="254" t="n">
        <v>-12634.5038399579</v>
      </c>
      <c r="M538" s="475" t="n">
        <v>36949</v>
      </c>
      <c r="N538" s="0" t="s">
        <v>136</v>
      </c>
      <c r="O538" s="0" t="n">
        <v>0.5</v>
      </c>
      <c r="P538" s="0" t="n">
        <v>0</v>
      </c>
      <c r="Q538" s="0" t="n">
        <v>0</v>
      </c>
      <c r="R538" s="0" t="n">
        <v>0</v>
      </c>
      <c r="S538" s="0" t="n">
        <v>0</v>
      </c>
      <c r="T538" s="0" t="s">
        <v>624</v>
      </c>
      <c r="U538" s="0" t="s">
        <v>157</v>
      </c>
      <c r="V538" s="0" t="s">
        <v>624</v>
      </c>
      <c r="W538" s="0" t="s">
        <v>569</v>
      </c>
      <c r="X538" s="0" t="s">
        <v>624</v>
      </c>
      <c r="Y538" s="0" t="s">
        <v>627</v>
      </c>
      <c r="Z538" s="0" t="s">
        <v>629</v>
      </c>
      <c r="AA538" s="0" t="s">
        <v>624</v>
      </c>
      <c r="AB538" s="0" t="s">
        <v>580</v>
      </c>
      <c r="AC538" s="254" t="n">
        <v>-310000</v>
      </c>
      <c r="AD538" s="254" t="n">
        <v>-2890.01073204016</v>
      </c>
      <c r="AE538" s="0" t="n">
        <v>0</v>
      </c>
      <c r="AF538" s="0" t="n">
        <v>0</v>
      </c>
      <c r="AG538" s="0" t="n">
        <v>0</v>
      </c>
      <c r="AH538" s="254" t="n">
        <v>-146.637786157946</v>
      </c>
      <c r="AI538" s="0" t="n">
        <v>226</v>
      </c>
      <c r="AJ538" s="0" t="s">
        <v>630</v>
      </c>
      <c r="AK538" s="0" t="n">
        <v>0</v>
      </c>
      <c r="AL538" s="0" t="n">
        <v>0</v>
      </c>
      <c r="AM538" s="0" t="n">
        <v>0</v>
      </c>
    </row>
    <row r="539" customFormat="false" ht="12.75" hidden="false" customHeight="false" outlineLevel="0" collapsed="false">
      <c r="A539" s="0" t="s">
        <v>631</v>
      </c>
      <c r="B539" s="0" t="s">
        <v>381</v>
      </c>
      <c r="C539" s="0" t="s">
        <v>622</v>
      </c>
      <c r="D539" s="0" t="s">
        <v>623</v>
      </c>
      <c r="E539" s="0" t="s">
        <v>131</v>
      </c>
      <c r="F539" s="0" t="s">
        <v>345</v>
      </c>
      <c r="G539" s="0" t="s">
        <v>628</v>
      </c>
      <c r="H539" s="0" t="s">
        <v>625</v>
      </c>
      <c r="I539" s="0" t="s">
        <v>626</v>
      </c>
      <c r="J539" s="0" t="s">
        <v>627</v>
      </c>
      <c r="K539" s="475" t="n">
        <v>36923</v>
      </c>
      <c r="L539" s="254" t="n">
        <v>-18113.2612719615</v>
      </c>
      <c r="M539" s="475" t="n">
        <v>36921</v>
      </c>
      <c r="N539" s="0" t="s">
        <v>136</v>
      </c>
      <c r="O539" s="0" t="n">
        <v>0.5</v>
      </c>
      <c r="P539" s="0" t="n">
        <v>0</v>
      </c>
      <c r="Q539" s="0" t="n">
        <v>0</v>
      </c>
      <c r="R539" s="0" t="n">
        <v>0</v>
      </c>
      <c r="S539" s="0" t="n">
        <v>0</v>
      </c>
      <c r="T539" s="0" t="s">
        <v>624</v>
      </c>
      <c r="U539" s="0" t="s">
        <v>157</v>
      </c>
      <c r="V539" s="0" t="s">
        <v>624</v>
      </c>
      <c r="W539" s="0" t="s">
        <v>569</v>
      </c>
      <c r="X539" s="0" t="s">
        <v>624</v>
      </c>
      <c r="Y539" s="0" t="s">
        <v>627</v>
      </c>
      <c r="Z539" s="0" t="s">
        <v>629</v>
      </c>
      <c r="AA539" s="0" t="s">
        <v>624</v>
      </c>
      <c r="AB539" s="0" t="s">
        <v>580</v>
      </c>
      <c r="AC539" s="254" t="n">
        <v>-280000</v>
      </c>
      <c r="AD539" s="254" t="n">
        <v>-2967.11346073274</v>
      </c>
      <c r="AE539" s="0" t="n">
        <v>0</v>
      </c>
      <c r="AF539" s="0" t="n">
        <v>0</v>
      </c>
      <c r="AG539" s="0" t="n">
        <v>0</v>
      </c>
      <c r="AH539" s="254" t="n">
        <v>-142.217174791396</v>
      </c>
      <c r="AI539" s="0" t="n">
        <v>226</v>
      </c>
      <c r="AJ539" s="0" t="s">
        <v>630</v>
      </c>
      <c r="AK539" s="0" t="n">
        <v>0</v>
      </c>
      <c r="AL539" s="0" t="n">
        <v>0</v>
      </c>
      <c r="AM539" s="0" t="n">
        <v>0</v>
      </c>
    </row>
    <row r="540" customFormat="false" ht="12.75" hidden="false" customHeight="false" outlineLevel="0" collapsed="false">
      <c r="A540" s="0" t="s">
        <v>631</v>
      </c>
      <c r="B540" s="0" t="s">
        <v>381</v>
      </c>
      <c r="C540" s="0" t="s">
        <v>622</v>
      </c>
      <c r="D540" s="0" t="s">
        <v>623</v>
      </c>
      <c r="E540" s="0" t="s">
        <v>131</v>
      </c>
      <c r="F540" s="0" t="s">
        <v>345</v>
      </c>
      <c r="G540" s="0" t="s">
        <v>628</v>
      </c>
      <c r="H540" s="0" t="s">
        <v>625</v>
      </c>
      <c r="I540" s="0" t="s">
        <v>626</v>
      </c>
      <c r="J540" s="0" t="s">
        <v>627</v>
      </c>
      <c r="K540" s="475" t="n">
        <v>36892</v>
      </c>
      <c r="L540" s="254" t="n">
        <v>-23161.3815593213</v>
      </c>
      <c r="M540" s="475" t="n">
        <v>36888</v>
      </c>
      <c r="N540" s="0" t="s">
        <v>136</v>
      </c>
      <c r="O540" s="0" t="n">
        <v>0.5</v>
      </c>
      <c r="P540" s="0" t="n">
        <v>0</v>
      </c>
      <c r="Q540" s="0" t="n">
        <v>0</v>
      </c>
      <c r="R540" s="0" t="n">
        <v>0</v>
      </c>
      <c r="S540" s="0" t="n">
        <v>0</v>
      </c>
      <c r="T540" s="0" t="s">
        <v>624</v>
      </c>
      <c r="U540" s="0" t="s">
        <v>157</v>
      </c>
      <c r="V540" s="0" t="s">
        <v>624</v>
      </c>
      <c r="W540" s="0" t="s">
        <v>569</v>
      </c>
      <c r="X540" s="0" t="s">
        <v>624</v>
      </c>
      <c r="Y540" s="0" t="s">
        <v>627</v>
      </c>
      <c r="Z540" s="0" t="s">
        <v>629</v>
      </c>
      <c r="AA540" s="0" t="s">
        <v>624</v>
      </c>
      <c r="AB540" s="0" t="s">
        <v>580</v>
      </c>
      <c r="AC540" s="254" t="n">
        <v>-310000</v>
      </c>
      <c r="AD540" s="254" t="n">
        <v>-3073.39682722237</v>
      </c>
      <c r="AE540" s="0" t="n">
        <v>0</v>
      </c>
      <c r="AF540" s="0" t="n">
        <v>0</v>
      </c>
      <c r="AG540" s="0" t="n">
        <v>0</v>
      </c>
      <c r="AH540" s="254" t="n">
        <v>-147.735659438706</v>
      </c>
      <c r="AI540" s="0" t="n">
        <v>226</v>
      </c>
      <c r="AJ540" s="0" t="s">
        <v>630</v>
      </c>
      <c r="AK540" s="0" t="n">
        <v>0</v>
      </c>
      <c r="AL540" s="0" t="n">
        <v>0</v>
      </c>
      <c r="AM540" s="0" t="n">
        <v>0</v>
      </c>
    </row>
    <row r="541" customFormat="false" ht="12.75" hidden="false" customHeight="false" outlineLevel="0" collapsed="false">
      <c r="A541" s="0" t="s">
        <v>631</v>
      </c>
      <c r="B541" s="0" t="s">
        <v>381</v>
      </c>
      <c r="C541" s="0" t="s">
        <v>622</v>
      </c>
      <c r="D541" s="0" t="s">
        <v>623</v>
      </c>
      <c r="E541" s="0" t="s">
        <v>131</v>
      </c>
      <c r="F541" s="0" t="s">
        <v>345</v>
      </c>
      <c r="G541" s="0" t="s">
        <v>628</v>
      </c>
      <c r="H541" s="0" t="s">
        <v>625</v>
      </c>
      <c r="I541" s="0" t="s">
        <v>626</v>
      </c>
      <c r="J541" s="0" t="s">
        <v>627</v>
      </c>
      <c r="K541" s="475" t="n">
        <v>36861</v>
      </c>
      <c r="L541" s="254" t="n">
        <v>-10638.9132987049</v>
      </c>
      <c r="M541" s="475" t="n">
        <v>36859</v>
      </c>
      <c r="N541" s="0" t="s">
        <v>136</v>
      </c>
      <c r="O541" s="0" t="n">
        <v>0.5</v>
      </c>
      <c r="P541" s="0" t="n">
        <v>0</v>
      </c>
      <c r="Q541" s="0" t="n">
        <v>0</v>
      </c>
      <c r="R541" s="0" t="n">
        <v>0</v>
      </c>
      <c r="S541" s="0" t="n">
        <v>0</v>
      </c>
      <c r="T541" s="0" t="s">
        <v>624</v>
      </c>
      <c r="U541" s="0" t="s">
        <v>157</v>
      </c>
      <c r="V541" s="0" t="s">
        <v>624</v>
      </c>
      <c r="W541" s="0" t="s">
        <v>569</v>
      </c>
      <c r="X541" s="0" t="s">
        <v>624</v>
      </c>
      <c r="Y541" s="0" t="s">
        <v>627</v>
      </c>
      <c r="Z541" s="0" t="s">
        <v>629</v>
      </c>
      <c r="AA541" s="0" t="s">
        <v>624</v>
      </c>
      <c r="AB541" s="0" t="s">
        <v>580</v>
      </c>
      <c r="AC541" s="254" t="n">
        <v>-310000</v>
      </c>
      <c r="AD541" s="254" t="n">
        <v>-2381.36088832445</v>
      </c>
      <c r="AE541" s="0" t="n">
        <v>0</v>
      </c>
      <c r="AF541" s="0" t="n">
        <v>0</v>
      </c>
      <c r="AG541" s="0" t="n">
        <v>0</v>
      </c>
      <c r="AH541" s="254" t="n">
        <v>-119.926058239385</v>
      </c>
      <c r="AI541" s="0" t="n">
        <v>226</v>
      </c>
      <c r="AJ541" s="0" t="s">
        <v>630</v>
      </c>
      <c r="AK541" s="0" t="n">
        <v>0</v>
      </c>
      <c r="AL541" s="0" t="n">
        <v>0</v>
      </c>
      <c r="AM541" s="0" t="n">
        <v>0</v>
      </c>
    </row>
    <row r="542" customFormat="false" ht="12.75" hidden="false" customHeight="false" outlineLevel="0" collapsed="false">
      <c r="A542" s="0" t="s">
        <v>631</v>
      </c>
      <c r="B542" s="0" t="s">
        <v>381</v>
      </c>
      <c r="C542" s="0" t="s">
        <v>622</v>
      </c>
      <c r="D542" s="0" t="s">
        <v>623</v>
      </c>
      <c r="E542" s="0" t="s">
        <v>131</v>
      </c>
      <c r="F542" s="0" t="s">
        <v>345</v>
      </c>
      <c r="G542" s="0" t="s">
        <v>628</v>
      </c>
      <c r="H542" s="0" t="s">
        <v>625</v>
      </c>
      <c r="I542" s="0" t="s">
        <v>626</v>
      </c>
      <c r="J542" s="0" t="s">
        <v>627</v>
      </c>
      <c r="K542" s="475" t="n">
        <v>36831</v>
      </c>
      <c r="L542" s="254" t="n">
        <v>-3528.88782919034</v>
      </c>
      <c r="M542" s="475" t="n">
        <v>36829</v>
      </c>
      <c r="N542" s="0" t="s">
        <v>136</v>
      </c>
      <c r="O542" s="0" t="n">
        <v>0.5</v>
      </c>
      <c r="P542" s="0" t="n">
        <v>0</v>
      </c>
      <c r="Q542" s="0" t="n">
        <v>0</v>
      </c>
      <c r="R542" s="0" t="n">
        <v>0</v>
      </c>
      <c r="S542" s="0" t="n">
        <v>0</v>
      </c>
      <c r="T542" s="0" t="s">
        <v>624</v>
      </c>
      <c r="U542" s="0" t="s">
        <v>157</v>
      </c>
      <c r="V542" s="0" t="s">
        <v>624</v>
      </c>
      <c r="W542" s="0" t="s">
        <v>569</v>
      </c>
      <c r="X542" s="0" t="s">
        <v>624</v>
      </c>
      <c r="Y542" s="0" t="s">
        <v>627</v>
      </c>
      <c r="Z542" s="0" t="s">
        <v>629</v>
      </c>
      <c r="AA542" s="0" t="s">
        <v>624</v>
      </c>
      <c r="AB542" s="0" t="s">
        <v>580</v>
      </c>
      <c r="AC542" s="254" t="n">
        <v>-300000</v>
      </c>
      <c r="AD542" s="254" t="n">
        <v>-1297.69780685884</v>
      </c>
      <c r="AE542" s="0" t="n">
        <v>0</v>
      </c>
      <c r="AF542" s="0" t="n">
        <v>0</v>
      </c>
      <c r="AG542" s="0" t="n">
        <v>0</v>
      </c>
      <c r="AH542" s="254" t="n">
        <v>-70.6189368836508</v>
      </c>
      <c r="AI542" s="0" t="n">
        <v>226</v>
      </c>
      <c r="AJ542" s="0" t="s">
        <v>630</v>
      </c>
      <c r="AK542" s="0" t="n">
        <v>0</v>
      </c>
      <c r="AL542" s="0" t="n">
        <v>0</v>
      </c>
      <c r="AM542" s="0" t="n">
        <v>0</v>
      </c>
    </row>
    <row r="543" customFormat="false" ht="12.75" hidden="false" customHeight="false" outlineLevel="0" collapsed="false">
      <c r="A543" s="0" t="s">
        <v>631</v>
      </c>
      <c r="B543" s="0" t="s">
        <v>382</v>
      </c>
      <c r="C543" s="0" t="s">
        <v>622</v>
      </c>
      <c r="D543" s="0" t="s">
        <v>623</v>
      </c>
      <c r="E543" s="0" t="s">
        <v>131</v>
      </c>
      <c r="F543" s="0" t="s">
        <v>196</v>
      </c>
      <c r="G543" s="0" t="s">
        <v>628</v>
      </c>
      <c r="H543" s="0" t="s">
        <v>625</v>
      </c>
      <c r="I543" s="0" t="s">
        <v>626</v>
      </c>
      <c r="J543" s="0" t="s">
        <v>627</v>
      </c>
      <c r="K543" s="475" t="n">
        <v>36951</v>
      </c>
      <c r="L543" s="254" t="n">
        <v>-8705.27045805479</v>
      </c>
      <c r="M543" s="475" t="n">
        <v>36949</v>
      </c>
      <c r="N543" s="0" t="s">
        <v>132</v>
      </c>
      <c r="O543" s="0" t="n">
        <v>-0.25</v>
      </c>
      <c r="P543" s="0" t="n">
        <v>0</v>
      </c>
      <c r="Q543" s="0" t="n">
        <v>0</v>
      </c>
      <c r="R543" s="0" t="n">
        <v>0</v>
      </c>
      <c r="S543" s="0" t="n">
        <v>0</v>
      </c>
      <c r="T543" s="0" t="s">
        <v>624</v>
      </c>
      <c r="U543" s="0" t="s">
        <v>68</v>
      </c>
      <c r="V543" s="0" t="s">
        <v>624</v>
      </c>
      <c r="W543" s="0" t="s">
        <v>569</v>
      </c>
      <c r="X543" s="0" t="s">
        <v>624</v>
      </c>
      <c r="Y543" s="0" t="s">
        <v>627</v>
      </c>
      <c r="Z543" s="0" t="s">
        <v>629</v>
      </c>
      <c r="AA543" s="0" t="s">
        <v>624</v>
      </c>
      <c r="AB543" s="0" t="s">
        <v>580</v>
      </c>
      <c r="AC543" s="254" t="n">
        <v>-310000</v>
      </c>
      <c r="AD543" s="254" t="n">
        <v>-3310.40142213249</v>
      </c>
      <c r="AE543" s="0" t="n">
        <v>0</v>
      </c>
      <c r="AF543" s="0" t="n">
        <v>0</v>
      </c>
      <c r="AG543" s="0" t="n">
        <v>0</v>
      </c>
      <c r="AH543" s="254" t="n">
        <v>-364.484387002714</v>
      </c>
      <c r="AI543" s="0" t="n">
        <v>226</v>
      </c>
      <c r="AJ543" s="0" t="s">
        <v>630</v>
      </c>
      <c r="AK543" s="0" t="n">
        <v>0</v>
      </c>
      <c r="AL543" s="0" t="n">
        <v>0</v>
      </c>
      <c r="AM543" s="0" t="n">
        <v>0</v>
      </c>
    </row>
    <row r="544" customFormat="false" ht="12.75" hidden="false" customHeight="false" outlineLevel="0" collapsed="false">
      <c r="A544" s="0" t="s">
        <v>631</v>
      </c>
      <c r="B544" s="0" t="s">
        <v>382</v>
      </c>
      <c r="C544" s="0" t="s">
        <v>622</v>
      </c>
      <c r="D544" s="0" t="s">
        <v>623</v>
      </c>
      <c r="E544" s="0" t="s">
        <v>131</v>
      </c>
      <c r="F544" s="0" t="s">
        <v>196</v>
      </c>
      <c r="G544" s="0" t="s">
        <v>628</v>
      </c>
      <c r="H544" s="0" t="s">
        <v>625</v>
      </c>
      <c r="I544" s="0" t="s">
        <v>626</v>
      </c>
      <c r="J544" s="0" t="s">
        <v>627</v>
      </c>
      <c r="K544" s="475" t="n">
        <v>36923</v>
      </c>
      <c r="L544" s="254" t="n">
        <v>-9727.85188816433</v>
      </c>
      <c r="M544" s="475" t="n">
        <v>36921</v>
      </c>
      <c r="N544" s="0" t="s">
        <v>132</v>
      </c>
      <c r="O544" s="0" t="n">
        <v>-0.25</v>
      </c>
      <c r="P544" s="0" t="n">
        <v>0</v>
      </c>
      <c r="Q544" s="0" t="n">
        <v>0</v>
      </c>
      <c r="R544" s="0" t="n">
        <v>0</v>
      </c>
      <c r="S544" s="0" t="n">
        <v>0</v>
      </c>
      <c r="T544" s="0" t="s">
        <v>624</v>
      </c>
      <c r="U544" s="0" t="s">
        <v>68</v>
      </c>
      <c r="V544" s="0" t="s">
        <v>624</v>
      </c>
      <c r="W544" s="0" t="s">
        <v>569</v>
      </c>
      <c r="X544" s="0" t="s">
        <v>624</v>
      </c>
      <c r="Y544" s="0" t="s">
        <v>627</v>
      </c>
      <c r="Z544" s="0" t="s">
        <v>629</v>
      </c>
      <c r="AA544" s="0" t="s">
        <v>624</v>
      </c>
      <c r="AB544" s="0" t="s">
        <v>580</v>
      </c>
      <c r="AC544" s="254" t="n">
        <v>-280000</v>
      </c>
      <c r="AD544" s="254" t="n">
        <v>-3254.19914186629</v>
      </c>
      <c r="AE544" s="0" t="n">
        <v>0</v>
      </c>
      <c r="AF544" s="0" t="n">
        <v>0</v>
      </c>
      <c r="AG544" s="0" t="n">
        <v>0</v>
      </c>
      <c r="AH544" s="254" t="n">
        <v>-353.594774659856</v>
      </c>
      <c r="AI544" s="0" t="n">
        <v>226</v>
      </c>
      <c r="AJ544" s="0" t="s">
        <v>630</v>
      </c>
      <c r="AK544" s="0" t="n">
        <v>0</v>
      </c>
      <c r="AL544" s="0" t="n">
        <v>0</v>
      </c>
      <c r="AM544" s="0" t="n">
        <v>0</v>
      </c>
    </row>
    <row r="545" customFormat="false" ht="12.75" hidden="false" customHeight="false" outlineLevel="0" collapsed="false">
      <c r="A545" s="0" t="s">
        <v>631</v>
      </c>
      <c r="B545" s="0" t="s">
        <v>382</v>
      </c>
      <c r="C545" s="0" t="s">
        <v>622</v>
      </c>
      <c r="D545" s="0" t="s">
        <v>623</v>
      </c>
      <c r="E545" s="0" t="s">
        <v>131</v>
      </c>
      <c r="F545" s="0" t="s">
        <v>196</v>
      </c>
      <c r="G545" s="0" t="s">
        <v>628</v>
      </c>
      <c r="H545" s="0" t="s">
        <v>625</v>
      </c>
      <c r="I545" s="0" t="s">
        <v>626</v>
      </c>
      <c r="J545" s="0" t="s">
        <v>627</v>
      </c>
      <c r="K545" s="475" t="n">
        <v>36892</v>
      </c>
      <c r="L545" s="254" t="n">
        <v>-11214.326493788</v>
      </c>
      <c r="M545" s="475" t="n">
        <v>36888</v>
      </c>
      <c r="N545" s="0" t="s">
        <v>132</v>
      </c>
      <c r="O545" s="0" t="n">
        <v>-0.25</v>
      </c>
      <c r="P545" s="0" t="n">
        <v>0</v>
      </c>
      <c r="Q545" s="0" t="n">
        <v>0</v>
      </c>
      <c r="R545" s="0" t="n">
        <v>0</v>
      </c>
      <c r="S545" s="0" t="n">
        <v>0</v>
      </c>
      <c r="T545" s="0" t="s">
        <v>624</v>
      </c>
      <c r="U545" s="0" t="s">
        <v>68</v>
      </c>
      <c r="V545" s="0" t="s">
        <v>624</v>
      </c>
      <c r="W545" s="0" t="s">
        <v>569</v>
      </c>
      <c r="X545" s="0" t="s">
        <v>624</v>
      </c>
      <c r="Y545" s="0" t="s">
        <v>627</v>
      </c>
      <c r="Z545" s="0" t="s">
        <v>629</v>
      </c>
      <c r="AA545" s="0" t="s">
        <v>624</v>
      </c>
      <c r="AB545" s="0" t="s">
        <v>580</v>
      </c>
      <c r="AC545" s="254" t="n">
        <v>-310000</v>
      </c>
      <c r="AD545" s="254" t="n">
        <v>-3392.44747362826</v>
      </c>
      <c r="AE545" s="0" t="n">
        <v>0</v>
      </c>
      <c r="AF545" s="0" t="n">
        <v>0</v>
      </c>
      <c r="AG545" s="0" t="n">
        <v>0</v>
      </c>
      <c r="AH545" s="254" t="n">
        <v>-397.497463432332</v>
      </c>
      <c r="AI545" s="0" t="n">
        <v>226</v>
      </c>
      <c r="AJ545" s="0" t="s">
        <v>630</v>
      </c>
      <c r="AK545" s="0" t="n">
        <v>0</v>
      </c>
      <c r="AL545" s="0" t="n">
        <v>0</v>
      </c>
      <c r="AM545" s="0" t="n">
        <v>0</v>
      </c>
    </row>
    <row r="546" customFormat="false" ht="12.75" hidden="false" customHeight="false" outlineLevel="0" collapsed="false">
      <c r="A546" s="0" t="s">
        <v>631</v>
      </c>
      <c r="B546" s="0" t="s">
        <v>382</v>
      </c>
      <c r="C546" s="0" t="s">
        <v>622</v>
      </c>
      <c r="D546" s="0" t="s">
        <v>623</v>
      </c>
      <c r="E546" s="0" t="s">
        <v>131</v>
      </c>
      <c r="F546" s="0" t="s">
        <v>196</v>
      </c>
      <c r="G546" s="0" t="s">
        <v>628</v>
      </c>
      <c r="H546" s="0" t="s">
        <v>625</v>
      </c>
      <c r="I546" s="0" t="s">
        <v>626</v>
      </c>
      <c r="J546" s="0" t="s">
        <v>627</v>
      </c>
      <c r="K546" s="475" t="n">
        <v>36861</v>
      </c>
      <c r="L546" s="254" t="n">
        <v>-8171.7303468648</v>
      </c>
      <c r="M546" s="475" t="n">
        <v>36859</v>
      </c>
      <c r="N546" s="0" t="s">
        <v>132</v>
      </c>
      <c r="O546" s="0" t="n">
        <v>-0.25</v>
      </c>
      <c r="P546" s="0" t="n">
        <v>0</v>
      </c>
      <c r="Q546" s="0" t="n">
        <v>0</v>
      </c>
      <c r="R546" s="0" t="n">
        <v>0</v>
      </c>
      <c r="S546" s="0" t="n">
        <v>0</v>
      </c>
      <c r="T546" s="0" t="s">
        <v>624</v>
      </c>
      <c r="U546" s="0" t="s">
        <v>68</v>
      </c>
      <c r="V546" s="0" t="s">
        <v>624</v>
      </c>
      <c r="W546" s="0" t="s">
        <v>569</v>
      </c>
      <c r="X546" s="0" t="s">
        <v>624</v>
      </c>
      <c r="Y546" s="0" t="s">
        <v>627</v>
      </c>
      <c r="Z546" s="0" t="s">
        <v>629</v>
      </c>
      <c r="AA546" s="0" t="s">
        <v>624</v>
      </c>
      <c r="AB546" s="0" t="s">
        <v>580</v>
      </c>
      <c r="AC546" s="254" t="n">
        <v>-310000</v>
      </c>
      <c r="AD546" s="254" t="n">
        <v>-2777.55096061148</v>
      </c>
      <c r="AE546" s="0" t="n">
        <v>0</v>
      </c>
      <c r="AF546" s="0" t="n">
        <v>0</v>
      </c>
      <c r="AG546" s="0" t="n">
        <v>0</v>
      </c>
      <c r="AH546" s="254" t="n">
        <v>-344.862958346482</v>
      </c>
      <c r="AI546" s="0" t="n">
        <v>226</v>
      </c>
      <c r="AJ546" s="0" t="s">
        <v>630</v>
      </c>
      <c r="AK546" s="0" t="n">
        <v>0</v>
      </c>
      <c r="AL546" s="0" t="n">
        <v>0</v>
      </c>
      <c r="AM546" s="0" t="n">
        <v>0</v>
      </c>
    </row>
    <row r="547" customFormat="false" ht="12.75" hidden="false" customHeight="false" outlineLevel="0" collapsed="false">
      <c r="A547" s="0" t="s">
        <v>631</v>
      </c>
      <c r="B547" s="0" t="s">
        <v>382</v>
      </c>
      <c r="C547" s="0" t="s">
        <v>622</v>
      </c>
      <c r="D547" s="0" t="s">
        <v>623</v>
      </c>
      <c r="E547" s="0" t="s">
        <v>131</v>
      </c>
      <c r="F547" s="0" t="s">
        <v>196</v>
      </c>
      <c r="G547" s="0" t="s">
        <v>628</v>
      </c>
      <c r="H547" s="0" t="s">
        <v>625</v>
      </c>
      <c r="I547" s="0" t="s">
        <v>626</v>
      </c>
      <c r="J547" s="0" t="s">
        <v>627</v>
      </c>
      <c r="K547" s="475" t="n">
        <v>36831</v>
      </c>
      <c r="L547" s="254" t="n">
        <v>-4389.75670312711</v>
      </c>
      <c r="M547" s="475" t="n">
        <v>36829</v>
      </c>
      <c r="N547" s="0" t="s">
        <v>132</v>
      </c>
      <c r="O547" s="0" t="n">
        <v>-0.25</v>
      </c>
      <c r="P547" s="0" t="n">
        <v>0</v>
      </c>
      <c r="Q547" s="0" t="n">
        <v>0</v>
      </c>
      <c r="R547" s="0" t="n">
        <v>0</v>
      </c>
      <c r="S547" s="0" t="n">
        <v>0</v>
      </c>
      <c r="T547" s="0" t="s">
        <v>624</v>
      </c>
      <c r="U547" s="0" t="s">
        <v>68</v>
      </c>
      <c r="V547" s="0" t="s">
        <v>624</v>
      </c>
      <c r="W547" s="0" t="s">
        <v>569</v>
      </c>
      <c r="X547" s="0" t="s">
        <v>624</v>
      </c>
      <c r="Y547" s="0" t="s">
        <v>627</v>
      </c>
      <c r="Z547" s="0" t="s">
        <v>629</v>
      </c>
      <c r="AA547" s="0" t="s">
        <v>624</v>
      </c>
      <c r="AB547" s="0" t="s">
        <v>580</v>
      </c>
      <c r="AC547" s="254" t="n">
        <v>-300000</v>
      </c>
      <c r="AD547" s="254" t="n">
        <v>-1880.57865497543</v>
      </c>
      <c r="AE547" s="0" t="n">
        <v>0</v>
      </c>
      <c r="AF547" s="0" t="n">
        <v>0</v>
      </c>
      <c r="AG547" s="0" t="n">
        <v>0</v>
      </c>
      <c r="AH547" s="254" t="n">
        <v>-251.496101760668</v>
      </c>
      <c r="AI547" s="0" t="n">
        <v>226</v>
      </c>
      <c r="AJ547" s="0" t="s">
        <v>630</v>
      </c>
      <c r="AK547" s="0" t="n">
        <v>0</v>
      </c>
      <c r="AL547" s="0" t="n">
        <v>0</v>
      </c>
      <c r="AM547" s="0" t="n">
        <v>0</v>
      </c>
    </row>
    <row r="548" customFormat="false" ht="12.75" hidden="false" customHeight="false" outlineLevel="0" collapsed="false">
      <c r="A548" s="0" t="s">
        <v>631</v>
      </c>
      <c r="B548" s="0" t="s">
        <v>383</v>
      </c>
      <c r="C548" s="0" t="s">
        <v>622</v>
      </c>
      <c r="D548" s="0" t="s">
        <v>623</v>
      </c>
      <c r="E548" s="0" t="s">
        <v>131</v>
      </c>
      <c r="F548" s="0" t="s">
        <v>210</v>
      </c>
      <c r="G548" s="0" t="s">
        <v>628</v>
      </c>
      <c r="H548" s="0" t="s">
        <v>625</v>
      </c>
      <c r="I548" s="0" t="s">
        <v>626</v>
      </c>
      <c r="J548" s="0" t="s">
        <v>627</v>
      </c>
      <c r="K548" s="475" t="n">
        <v>37681</v>
      </c>
      <c r="L548" s="254" t="n">
        <v>18360.191871968</v>
      </c>
      <c r="M548" s="475" t="n">
        <v>37679</v>
      </c>
      <c r="N548" s="0" t="s">
        <v>136</v>
      </c>
      <c r="O548" s="0" t="n">
        <v>0.2</v>
      </c>
      <c r="P548" s="0" t="n">
        <v>0</v>
      </c>
      <c r="Q548" s="0" t="n">
        <v>0</v>
      </c>
      <c r="R548" s="0" t="n">
        <v>0</v>
      </c>
      <c r="S548" s="0" t="n">
        <v>0</v>
      </c>
      <c r="T548" s="0" t="s">
        <v>624</v>
      </c>
      <c r="U548" s="0" t="s">
        <v>632</v>
      </c>
      <c r="V548" s="0" t="s">
        <v>624</v>
      </c>
      <c r="W548" s="0" t="s">
        <v>569</v>
      </c>
      <c r="X548" s="0" t="s">
        <v>624</v>
      </c>
      <c r="Y548" s="0" t="s">
        <v>627</v>
      </c>
      <c r="Z548" s="0" t="s">
        <v>629</v>
      </c>
      <c r="AA548" s="0" t="s">
        <v>624</v>
      </c>
      <c r="AB548" s="0" t="s">
        <v>580</v>
      </c>
      <c r="AC548" s="254" t="n">
        <v>310000</v>
      </c>
      <c r="AD548" s="254" t="n">
        <v>7263.63187453506</v>
      </c>
      <c r="AE548" s="0" t="n">
        <v>0</v>
      </c>
      <c r="AF548" s="0" t="n">
        <v>0</v>
      </c>
      <c r="AG548" s="0" t="n">
        <v>0</v>
      </c>
      <c r="AH548" s="254" t="n">
        <v>261.874809901685</v>
      </c>
      <c r="AI548" s="0" t="n">
        <v>226</v>
      </c>
      <c r="AJ548" s="0" t="s">
        <v>630</v>
      </c>
      <c r="AK548" s="0" t="n">
        <v>0</v>
      </c>
      <c r="AL548" s="0" t="n">
        <v>0</v>
      </c>
      <c r="AM548" s="0" t="n">
        <v>0</v>
      </c>
    </row>
    <row r="549" customFormat="false" ht="12.75" hidden="false" customHeight="false" outlineLevel="0" collapsed="false">
      <c r="A549" s="0" t="s">
        <v>631</v>
      </c>
      <c r="B549" s="0" t="s">
        <v>383</v>
      </c>
      <c r="C549" s="0" t="s">
        <v>622</v>
      </c>
      <c r="D549" s="0" t="s">
        <v>623</v>
      </c>
      <c r="E549" s="0" t="s">
        <v>131</v>
      </c>
      <c r="F549" s="0" t="s">
        <v>210</v>
      </c>
      <c r="G549" s="0" t="s">
        <v>628</v>
      </c>
      <c r="H549" s="0" t="s">
        <v>625</v>
      </c>
      <c r="I549" s="0" t="s">
        <v>626</v>
      </c>
      <c r="J549" s="0" t="s">
        <v>627</v>
      </c>
      <c r="K549" s="475" t="n">
        <v>37653</v>
      </c>
      <c r="L549" s="254" t="n">
        <v>18558.2754104527</v>
      </c>
      <c r="M549" s="475" t="n">
        <v>37651</v>
      </c>
      <c r="N549" s="0" t="s">
        <v>136</v>
      </c>
      <c r="O549" s="0" t="n">
        <v>0.2</v>
      </c>
      <c r="P549" s="0" t="n">
        <v>0</v>
      </c>
      <c r="Q549" s="0" t="n">
        <v>0</v>
      </c>
      <c r="R549" s="0" t="n">
        <v>0</v>
      </c>
      <c r="S549" s="0" t="n">
        <v>0</v>
      </c>
      <c r="T549" s="0" t="s">
        <v>624</v>
      </c>
      <c r="U549" s="0" t="s">
        <v>632</v>
      </c>
      <c r="V549" s="0" t="s">
        <v>624</v>
      </c>
      <c r="W549" s="0" t="s">
        <v>569</v>
      </c>
      <c r="X549" s="0" t="s">
        <v>624</v>
      </c>
      <c r="Y549" s="0" t="s">
        <v>627</v>
      </c>
      <c r="Z549" s="0" t="s">
        <v>629</v>
      </c>
      <c r="AA549" s="0" t="s">
        <v>624</v>
      </c>
      <c r="AB549" s="0" t="s">
        <v>580</v>
      </c>
      <c r="AC549" s="254" t="n">
        <v>280000</v>
      </c>
      <c r="AD549" s="254" t="n">
        <v>6812.54211817957</v>
      </c>
      <c r="AE549" s="0" t="n">
        <v>0</v>
      </c>
      <c r="AF549" s="0" t="n">
        <v>0</v>
      </c>
      <c r="AG549" s="0" t="n">
        <v>0</v>
      </c>
      <c r="AH549" s="254" t="n">
        <v>238.825937893682</v>
      </c>
      <c r="AI549" s="0" t="n">
        <v>226</v>
      </c>
      <c r="AJ549" s="0" t="s">
        <v>630</v>
      </c>
      <c r="AK549" s="0" t="n">
        <v>0</v>
      </c>
      <c r="AL549" s="0" t="n">
        <v>0</v>
      </c>
      <c r="AM549" s="0" t="n">
        <v>0</v>
      </c>
    </row>
    <row r="550" customFormat="false" ht="12.75" hidden="false" customHeight="false" outlineLevel="0" collapsed="false">
      <c r="A550" s="0" t="s">
        <v>631</v>
      </c>
      <c r="B550" s="0" t="s">
        <v>383</v>
      </c>
      <c r="C550" s="0" t="s">
        <v>622</v>
      </c>
      <c r="D550" s="0" t="s">
        <v>623</v>
      </c>
      <c r="E550" s="0" t="s">
        <v>131</v>
      </c>
      <c r="F550" s="0" t="s">
        <v>210</v>
      </c>
      <c r="G550" s="0" t="s">
        <v>628</v>
      </c>
      <c r="H550" s="0" t="s">
        <v>625</v>
      </c>
      <c r="I550" s="0" t="s">
        <v>626</v>
      </c>
      <c r="J550" s="0" t="s">
        <v>627</v>
      </c>
      <c r="K550" s="475" t="n">
        <v>37622</v>
      </c>
      <c r="L550" s="254" t="n">
        <v>23745.8564715624</v>
      </c>
      <c r="M550" s="475" t="n">
        <v>37620</v>
      </c>
      <c r="N550" s="0" t="s">
        <v>136</v>
      </c>
      <c r="O550" s="0" t="n">
        <v>0.2</v>
      </c>
      <c r="P550" s="0" t="n">
        <v>0</v>
      </c>
      <c r="Q550" s="0" t="n">
        <v>0</v>
      </c>
      <c r="R550" s="0" t="n">
        <v>0</v>
      </c>
      <c r="S550" s="0" t="n">
        <v>0</v>
      </c>
      <c r="T550" s="0" t="s">
        <v>624</v>
      </c>
      <c r="U550" s="0" t="s">
        <v>632</v>
      </c>
      <c r="V550" s="0" t="s">
        <v>624</v>
      </c>
      <c r="W550" s="0" t="s">
        <v>569</v>
      </c>
      <c r="X550" s="0" t="s">
        <v>624</v>
      </c>
      <c r="Y550" s="0" t="s">
        <v>627</v>
      </c>
      <c r="Z550" s="0" t="s">
        <v>629</v>
      </c>
      <c r="AA550" s="0" t="s">
        <v>624</v>
      </c>
      <c r="AB550" s="0" t="s">
        <v>580</v>
      </c>
      <c r="AC550" s="254" t="n">
        <v>310000</v>
      </c>
      <c r="AD550" s="254" t="n">
        <v>7613.69627084851</v>
      </c>
      <c r="AE550" s="0" t="n">
        <v>0</v>
      </c>
      <c r="AF550" s="0" t="n">
        <v>0</v>
      </c>
      <c r="AG550" s="0" t="n">
        <v>0</v>
      </c>
      <c r="AH550" s="254" t="n">
        <v>266.954183744434</v>
      </c>
      <c r="AI550" s="0" t="n">
        <v>226</v>
      </c>
      <c r="AJ550" s="0" t="s">
        <v>630</v>
      </c>
      <c r="AK550" s="0" t="n">
        <v>0</v>
      </c>
      <c r="AL550" s="0" t="n">
        <v>0</v>
      </c>
      <c r="AM550" s="0" t="n">
        <v>0</v>
      </c>
    </row>
    <row r="551" customFormat="false" ht="12.75" hidden="false" customHeight="false" outlineLevel="0" collapsed="false">
      <c r="A551" s="0" t="s">
        <v>631</v>
      </c>
      <c r="B551" s="0" t="s">
        <v>383</v>
      </c>
      <c r="C551" s="0" t="s">
        <v>622</v>
      </c>
      <c r="D551" s="0" t="s">
        <v>623</v>
      </c>
      <c r="E551" s="0" t="s">
        <v>131</v>
      </c>
      <c r="F551" s="0" t="s">
        <v>210</v>
      </c>
      <c r="G551" s="0" t="s">
        <v>628</v>
      </c>
      <c r="H551" s="0" t="s">
        <v>625</v>
      </c>
      <c r="I551" s="0" t="s">
        <v>626</v>
      </c>
      <c r="J551" s="0" t="s">
        <v>627</v>
      </c>
      <c r="K551" s="475" t="n">
        <v>37591</v>
      </c>
      <c r="L551" s="254" t="n">
        <v>23133.4744053131</v>
      </c>
      <c r="M551" s="475" t="n">
        <v>37588</v>
      </c>
      <c r="N551" s="0" t="s">
        <v>136</v>
      </c>
      <c r="O551" s="0" t="n">
        <v>0.2</v>
      </c>
      <c r="P551" s="0" t="n">
        <v>0</v>
      </c>
      <c r="Q551" s="0" t="n">
        <v>0</v>
      </c>
      <c r="R551" s="0" t="n">
        <v>0</v>
      </c>
      <c r="S551" s="0" t="n">
        <v>0</v>
      </c>
      <c r="T551" s="0" t="s">
        <v>624</v>
      </c>
      <c r="U551" s="0" t="s">
        <v>632</v>
      </c>
      <c r="V551" s="0" t="s">
        <v>624</v>
      </c>
      <c r="W551" s="0" t="s">
        <v>569</v>
      </c>
      <c r="X551" s="0" t="s">
        <v>624</v>
      </c>
      <c r="Y551" s="0" t="s">
        <v>627</v>
      </c>
      <c r="Z551" s="0" t="s">
        <v>629</v>
      </c>
      <c r="AA551" s="0" t="s">
        <v>624</v>
      </c>
      <c r="AB551" s="0" t="s">
        <v>580</v>
      </c>
      <c r="AC551" s="254" t="n">
        <v>310000</v>
      </c>
      <c r="AD551" s="254" t="n">
        <v>7779.64706544028</v>
      </c>
      <c r="AE551" s="0" t="n">
        <v>0</v>
      </c>
      <c r="AF551" s="0" t="n">
        <v>0</v>
      </c>
      <c r="AG551" s="0" t="n">
        <v>0</v>
      </c>
      <c r="AH551" s="254" t="n">
        <v>272.768535140309</v>
      </c>
      <c r="AI551" s="0" t="n">
        <v>226</v>
      </c>
      <c r="AJ551" s="0" t="s">
        <v>630</v>
      </c>
      <c r="AK551" s="0" t="n">
        <v>0</v>
      </c>
      <c r="AL551" s="0" t="n">
        <v>0</v>
      </c>
      <c r="AM551" s="0" t="n">
        <v>0</v>
      </c>
    </row>
    <row r="552" customFormat="false" ht="12.75" hidden="false" customHeight="false" outlineLevel="0" collapsed="false">
      <c r="A552" s="0" t="s">
        <v>631</v>
      </c>
      <c r="B552" s="0" t="s">
        <v>383</v>
      </c>
      <c r="C552" s="0" t="s">
        <v>622</v>
      </c>
      <c r="D552" s="0" t="s">
        <v>623</v>
      </c>
      <c r="E552" s="0" t="s">
        <v>131</v>
      </c>
      <c r="F552" s="0" t="s">
        <v>210</v>
      </c>
      <c r="G552" s="0" t="s">
        <v>628</v>
      </c>
      <c r="H552" s="0" t="s">
        <v>625</v>
      </c>
      <c r="I552" s="0" t="s">
        <v>626</v>
      </c>
      <c r="J552" s="0" t="s">
        <v>627</v>
      </c>
      <c r="K552" s="475" t="n">
        <v>37561</v>
      </c>
      <c r="L552" s="254" t="n">
        <v>17129.2236394808</v>
      </c>
      <c r="M552" s="475" t="n">
        <v>37559</v>
      </c>
      <c r="N552" s="0" t="s">
        <v>136</v>
      </c>
      <c r="O552" s="0" t="n">
        <v>0.2</v>
      </c>
      <c r="P552" s="0" t="n">
        <v>0</v>
      </c>
      <c r="Q552" s="0" t="n">
        <v>0</v>
      </c>
      <c r="R552" s="0" t="n">
        <v>0</v>
      </c>
      <c r="S552" s="0" t="n">
        <v>0</v>
      </c>
      <c r="T552" s="0" t="s">
        <v>624</v>
      </c>
      <c r="U552" s="0" t="s">
        <v>632</v>
      </c>
      <c r="V552" s="0" t="s">
        <v>624</v>
      </c>
      <c r="W552" s="0" t="s">
        <v>569</v>
      </c>
      <c r="X552" s="0" t="s">
        <v>624</v>
      </c>
      <c r="Y552" s="0" t="s">
        <v>627</v>
      </c>
      <c r="Z552" s="0" t="s">
        <v>629</v>
      </c>
      <c r="AA552" s="0" t="s">
        <v>624</v>
      </c>
      <c r="AB552" s="0" t="s">
        <v>580</v>
      </c>
      <c r="AC552" s="254" t="n">
        <v>300000</v>
      </c>
      <c r="AD552" s="254" t="n">
        <v>7043.94363615582</v>
      </c>
      <c r="AE552" s="0" t="n">
        <v>0</v>
      </c>
      <c r="AF552" s="0" t="n">
        <v>0</v>
      </c>
      <c r="AG552" s="0" t="n">
        <v>0</v>
      </c>
      <c r="AH552" s="254" t="n">
        <v>246.919727421493</v>
      </c>
      <c r="AI552" s="0" t="n">
        <v>226</v>
      </c>
      <c r="AJ552" s="0" t="s">
        <v>630</v>
      </c>
      <c r="AK552" s="0" t="n">
        <v>0</v>
      </c>
      <c r="AL552" s="0" t="n">
        <v>0</v>
      </c>
      <c r="AM552" s="0" t="n">
        <v>0</v>
      </c>
    </row>
    <row r="553" customFormat="false" ht="12.75" hidden="false" customHeight="false" outlineLevel="0" collapsed="false">
      <c r="A553" s="0" t="s">
        <v>631</v>
      </c>
      <c r="B553" s="0" t="s">
        <v>384</v>
      </c>
      <c r="C553" s="0" t="s">
        <v>622</v>
      </c>
      <c r="D553" s="0" t="s">
        <v>623</v>
      </c>
      <c r="E553" s="0" t="s">
        <v>131</v>
      </c>
      <c r="F553" s="0" t="s">
        <v>198</v>
      </c>
      <c r="G553" s="0" t="s">
        <v>628</v>
      </c>
      <c r="H553" s="0" t="s">
        <v>625</v>
      </c>
      <c r="I553" s="0" t="s">
        <v>626</v>
      </c>
      <c r="J553" s="0" t="s">
        <v>627</v>
      </c>
      <c r="K553" s="475" t="n">
        <v>36951</v>
      </c>
      <c r="L553" s="254" t="n">
        <v>79936.7717316071</v>
      </c>
      <c r="M553" s="475" t="n">
        <v>36949</v>
      </c>
      <c r="N553" s="0" t="s">
        <v>136</v>
      </c>
      <c r="O553" s="0" t="n">
        <v>0.3</v>
      </c>
      <c r="P553" s="0" t="n">
        <v>0</v>
      </c>
      <c r="Q553" s="0" t="n">
        <v>0</v>
      </c>
      <c r="R553" s="0" t="n">
        <v>0</v>
      </c>
      <c r="S553" s="0" t="n">
        <v>0</v>
      </c>
      <c r="T553" s="0" t="s">
        <v>624</v>
      </c>
      <c r="U553" s="0" t="s">
        <v>137</v>
      </c>
      <c r="V553" s="0" t="s">
        <v>624</v>
      </c>
      <c r="W553" s="0" t="s">
        <v>569</v>
      </c>
      <c r="X553" s="0" t="s">
        <v>624</v>
      </c>
      <c r="Y553" s="0" t="s">
        <v>627</v>
      </c>
      <c r="Z553" s="0" t="s">
        <v>629</v>
      </c>
      <c r="AA553" s="0" t="s">
        <v>624</v>
      </c>
      <c r="AB553" s="0" t="s">
        <v>580</v>
      </c>
      <c r="AC553" s="254" t="n">
        <v>155000</v>
      </c>
      <c r="AD553" s="254" t="n">
        <v>11450.9034642847</v>
      </c>
      <c r="AE553" s="0" t="n">
        <v>0</v>
      </c>
      <c r="AF553" s="0" t="n">
        <v>0</v>
      </c>
      <c r="AG553" s="0" t="n">
        <v>0</v>
      </c>
      <c r="AH553" s="254" t="n">
        <v>-4981.91038535585</v>
      </c>
      <c r="AI553" s="0" t="n">
        <v>226</v>
      </c>
      <c r="AJ553" s="0" t="s">
        <v>630</v>
      </c>
      <c r="AK553" s="0" t="n">
        <v>0</v>
      </c>
      <c r="AL553" s="0" t="n">
        <v>0</v>
      </c>
      <c r="AM553" s="0" t="n">
        <v>0</v>
      </c>
    </row>
    <row r="554" customFormat="false" ht="12.75" hidden="false" customHeight="false" outlineLevel="0" collapsed="false">
      <c r="A554" s="0" t="s">
        <v>631</v>
      </c>
      <c r="B554" s="0" t="s">
        <v>384</v>
      </c>
      <c r="C554" s="0" t="s">
        <v>622</v>
      </c>
      <c r="D554" s="0" t="s">
        <v>623</v>
      </c>
      <c r="E554" s="0" t="s">
        <v>131</v>
      </c>
      <c r="F554" s="0" t="s">
        <v>198</v>
      </c>
      <c r="G554" s="0" t="s">
        <v>628</v>
      </c>
      <c r="H554" s="0" t="s">
        <v>625</v>
      </c>
      <c r="I554" s="0" t="s">
        <v>626</v>
      </c>
      <c r="J554" s="0" t="s">
        <v>627</v>
      </c>
      <c r="K554" s="475" t="n">
        <v>36923</v>
      </c>
      <c r="L554" s="254" t="n">
        <v>78361.2344690323</v>
      </c>
      <c r="M554" s="475" t="n">
        <v>36921</v>
      </c>
      <c r="N554" s="0" t="s">
        <v>136</v>
      </c>
      <c r="O554" s="0" t="n">
        <v>0.3</v>
      </c>
      <c r="P554" s="0" t="n">
        <v>0</v>
      </c>
      <c r="Q554" s="0" t="n">
        <v>0</v>
      </c>
      <c r="R554" s="0" t="n">
        <v>0</v>
      </c>
      <c r="S554" s="0" t="n">
        <v>0</v>
      </c>
      <c r="T554" s="0" t="s">
        <v>624</v>
      </c>
      <c r="U554" s="0" t="s">
        <v>137</v>
      </c>
      <c r="V554" s="0" t="s">
        <v>624</v>
      </c>
      <c r="W554" s="0" t="s">
        <v>569</v>
      </c>
      <c r="X554" s="0" t="s">
        <v>624</v>
      </c>
      <c r="Y554" s="0" t="s">
        <v>627</v>
      </c>
      <c r="Z554" s="0" t="s">
        <v>629</v>
      </c>
      <c r="AA554" s="0" t="s">
        <v>624</v>
      </c>
      <c r="AB554" s="0" t="s">
        <v>580</v>
      </c>
      <c r="AC554" s="254" t="n">
        <v>140000</v>
      </c>
      <c r="AD554" s="254" t="n">
        <v>10673.4632417858</v>
      </c>
      <c r="AE554" s="0" t="n">
        <v>0</v>
      </c>
      <c r="AF554" s="0" t="n">
        <v>0</v>
      </c>
      <c r="AG554" s="0" t="n">
        <v>0</v>
      </c>
      <c r="AH554" s="254" t="n">
        <v>-4522.90595412235</v>
      </c>
      <c r="AI554" s="0" t="n">
        <v>226</v>
      </c>
      <c r="AJ554" s="0" t="s">
        <v>630</v>
      </c>
      <c r="AK554" s="0" t="n">
        <v>0</v>
      </c>
      <c r="AL554" s="0" t="n">
        <v>0</v>
      </c>
      <c r="AM554" s="0" t="n">
        <v>0</v>
      </c>
    </row>
    <row r="555" customFormat="false" ht="12.75" hidden="false" customHeight="false" outlineLevel="0" collapsed="false">
      <c r="A555" s="0" t="s">
        <v>631</v>
      </c>
      <c r="B555" s="0" t="s">
        <v>384</v>
      </c>
      <c r="C555" s="0" t="s">
        <v>622</v>
      </c>
      <c r="D555" s="0" t="s">
        <v>623</v>
      </c>
      <c r="E555" s="0" t="s">
        <v>131</v>
      </c>
      <c r="F555" s="0" t="s">
        <v>198</v>
      </c>
      <c r="G555" s="0" t="s">
        <v>628</v>
      </c>
      <c r="H555" s="0" t="s">
        <v>625</v>
      </c>
      <c r="I555" s="0" t="s">
        <v>626</v>
      </c>
      <c r="J555" s="0" t="s">
        <v>627</v>
      </c>
      <c r="K555" s="475" t="n">
        <v>36892</v>
      </c>
      <c r="L555" s="254" t="n">
        <v>100493.615164759</v>
      </c>
      <c r="M555" s="475" t="n">
        <v>36888</v>
      </c>
      <c r="N555" s="0" t="s">
        <v>136</v>
      </c>
      <c r="O555" s="0" t="n">
        <v>0.3</v>
      </c>
      <c r="P555" s="0" t="n">
        <v>0</v>
      </c>
      <c r="Q555" s="0" t="n">
        <v>0</v>
      </c>
      <c r="R555" s="0" t="n">
        <v>0</v>
      </c>
      <c r="S555" s="0" t="n">
        <v>0</v>
      </c>
      <c r="T555" s="0" t="s">
        <v>624</v>
      </c>
      <c r="U555" s="0" t="s">
        <v>137</v>
      </c>
      <c r="V555" s="0" t="s">
        <v>624</v>
      </c>
      <c r="W555" s="0" t="s">
        <v>569</v>
      </c>
      <c r="X555" s="0" t="s">
        <v>624</v>
      </c>
      <c r="Y555" s="0" t="s">
        <v>627</v>
      </c>
      <c r="Z555" s="0" t="s">
        <v>629</v>
      </c>
      <c r="AA555" s="0" t="s">
        <v>624</v>
      </c>
      <c r="AB555" s="0" t="s">
        <v>580</v>
      </c>
      <c r="AC555" s="254" t="n">
        <v>155000</v>
      </c>
      <c r="AD555" s="254" t="n">
        <v>10096.8659950686</v>
      </c>
      <c r="AE555" s="0" t="n">
        <v>0</v>
      </c>
      <c r="AF555" s="0" t="n">
        <v>0</v>
      </c>
      <c r="AG555" s="0" t="n">
        <v>0</v>
      </c>
      <c r="AH555" s="254" t="n">
        <v>-5575.19386483224</v>
      </c>
      <c r="AI555" s="0" t="n">
        <v>226</v>
      </c>
      <c r="AJ555" s="0" t="s">
        <v>630</v>
      </c>
      <c r="AK555" s="0" t="n">
        <v>0</v>
      </c>
      <c r="AL555" s="0" t="n">
        <v>0</v>
      </c>
      <c r="AM555" s="0" t="n">
        <v>0</v>
      </c>
    </row>
    <row r="556" customFormat="false" ht="12.75" hidden="false" customHeight="false" outlineLevel="0" collapsed="false">
      <c r="A556" s="0" t="s">
        <v>631</v>
      </c>
      <c r="B556" s="0" t="s">
        <v>384</v>
      </c>
      <c r="C556" s="0" t="s">
        <v>622</v>
      </c>
      <c r="D556" s="0" t="s">
        <v>623</v>
      </c>
      <c r="E556" s="0" t="s">
        <v>131</v>
      </c>
      <c r="F556" s="0" t="s">
        <v>198</v>
      </c>
      <c r="G556" s="0" t="s">
        <v>628</v>
      </c>
      <c r="H556" s="0" t="s">
        <v>625</v>
      </c>
      <c r="I556" s="0" t="s">
        <v>626</v>
      </c>
      <c r="J556" s="0" t="s">
        <v>627</v>
      </c>
      <c r="K556" s="475" t="n">
        <v>36861</v>
      </c>
      <c r="L556" s="254" t="n">
        <v>122763.295052255</v>
      </c>
      <c r="M556" s="475" t="n">
        <v>36859</v>
      </c>
      <c r="N556" s="0" t="s">
        <v>136</v>
      </c>
      <c r="O556" s="0" t="n">
        <v>0.3</v>
      </c>
      <c r="P556" s="0" t="n">
        <v>0</v>
      </c>
      <c r="Q556" s="0" t="n">
        <v>0</v>
      </c>
      <c r="R556" s="0" t="n">
        <v>0</v>
      </c>
      <c r="S556" s="0" t="n">
        <v>0</v>
      </c>
      <c r="T556" s="0" t="s">
        <v>624</v>
      </c>
      <c r="U556" s="0" t="s">
        <v>137</v>
      </c>
      <c r="V556" s="0" t="s">
        <v>624</v>
      </c>
      <c r="W556" s="0" t="s">
        <v>569</v>
      </c>
      <c r="X556" s="0" t="s">
        <v>624</v>
      </c>
      <c r="Y556" s="0" t="s">
        <v>627</v>
      </c>
      <c r="Z556" s="0" t="s">
        <v>629</v>
      </c>
      <c r="AA556" s="0" t="s">
        <v>624</v>
      </c>
      <c r="AB556" s="0" t="s">
        <v>580</v>
      </c>
      <c r="AC556" s="254" t="n">
        <v>155000</v>
      </c>
      <c r="AD556" s="254" t="n">
        <v>7095.81719147449</v>
      </c>
      <c r="AE556" s="0" t="n">
        <v>0</v>
      </c>
      <c r="AF556" s="0" t="n">
        <v>0</v>
      </c>
      <c r="AG556" s="0" t="n">
        <v>0</v>
      </c>
      <c r="AH556" s="254" t="n">
        <v>17867.5503378849</v>
      </c>
      <c r="AI556" s="0" t="n">
        <v>226</v>
      </c>
      <c r="AJ556" s="0" t="s">
        <v>630</v>
      </c>
      <c r="AK556" s="0" t="n">
        <v>0</v>
      </c>
      <c r="AL556" s="0" t="n">
        <v>0</v>
      </c>
      <c r="AM556" s="0" t="n">
        <v>0</v>
      </c>
    </row>
    <row r="557" customFormat="false" ht="12.75" hidden="false" customHeight="false" outlineLevel="0" collapsed="false">
      <c r="A557" s="0" t="s">
        <v>631</v>
      </c>
      <c r="B557" s="0" t="s">
        <v>384</v>
      </c>
      <c r="C557" s="0" t="s">
        <v>622</v>
      </c>
      <c r="D557" s="0" t="s">
        <v>623</v>
      </c>
      <c r="E557" s="0" t="s">
        <v>131</v>
      </c>
      <c r="F557" s="0" t="s">
        <v>198</v>
      </c>
      <c r="G557" s="0" t="s">
        <v>628</v>
      </c>
      <c r="H557" s="0" t="s">
        <v>625</v>
      </c>
      <c r="I557" s="0" t="s">
        <v>626</v>
      </c>
      <c r="J557" s="0" t="s">
        <v>627</v>
      </c>
      <c r="K557" s="475" t="n">
        <v>36831</v>
      </c>
      <c r="L557" s="254" t="n">
        <v>186521.285725375</v>
      </c>
      <c r="M557" s="475" t="n">
        <v>36829</v>
      </c>
      <c r="N557" s="0" t="s">
        <v>136</v>
      </c>
      <c r="O557" s="0" t="n">
        <v>0.3</v>
      </c>
      <c r="P557" s="0" t="n">
        <v>0</v>
      </c>
      <c r="Q557" s="0" t="n">
        <v>0</v>
      </c>
      <c r="R557" s="0" t="n">
        <v>0</v>
      </c>
      <c r="S557" s="0" t="n">
        <v>0</v>
      </c>
      <c r="T557" s="0" t="s">
        <v>624</v>
      </c>
      <c r="U557" s="0" t="s">
        <v>137</v>
      </c>
      <c r="V557" s="0" t="s">
        <v>624</v>
      </c>
      <c r="W557" s="0" t="s">
        <v>569</v>
      </c>
      <c r="X557" s="0" t="s">
        <v>624</v>
      </c>
      <c r="Y557" s="0" t="s">
        <v>627</v>
      </c>
      <c r="Z557" s="0" t="s">
        <v>629</v>
      </c>
      <c r="AA557" s="0" t="s">
        <v>624</v>
      </c>
      <c r="AB557" s="0" t="s">
        <v>580</v>
      </c>
      <c r="AC557" s="254" t="n">
        <v>150000</v>
      </c>
      <c r="AD557" s="254" t="n">
        <v>1843.78437713088</v>
      </c>
      <c r="AE557" s="0" t="n">
        <v>0</v>
      </c>
      <c r="AF557" s="0" t="n">
        <v>0</v>
      </c>
      <c r="AG557" s="0" t="n">
        <v>0</v>
      </c>
      <c r="AH557" s="254" t="n">
        <v>29607.2538979808</v>
      </c>
      <c r="AI557" s="0" t="n">
        <v>226</v>
      </c>
      <c r="AJ557" s="0" t="s">
        <v>630</v>
      </c>
      <c r="AK557" s="0" t="n">
        <v>0</v>
      </c>
      <c r="AL557" s="0" t="n">
        <v>0</v>
      </c>
      <c r="AM557" s="0" t="n">
        <v>0</v>
      </c>
    </row>
    <row r="558" customFormat="false" ht="12.75" hidden="false" customHeight="false" outlineLevel="0" collapsed="false">
      <c r="A558" s="0" t="s">
        <v>631</v>
      </c>
      <c r="B558" s="0" t="s">
        <v>385</v>
      </c>
      <c r="C558" s="0" t="s">
        <v>622</v>
      </c>
      <c r="D558" s="0" t="s">
        <v>623</v>
      </c>
      <c r="E558" s="0" t="s">
        <v>131</v>
      </c>
      <c r="F558" s="0" t="s">
        <v>275</v>
      </c>
      <c r="G558" s="0" t="s">
        <v>628</v>
      </c>
      <c r="H558" s="0" t="s">
        <v>625</v>
      </c>
      <c r="I558" s="0" t="s">
        <v>626</v>
      </c>
      <c r="J558" s="0" t="s">
        <v>627</v>
      </c>
      <c r="K558" s="475" t="n">
        <v>36800</v>
      </c>
      <c r="L558" s="254" t="n">
        <v>704826.688146877</v>
      </c>
      <c r="M558" s="475" t="n">
        <v>36797</v>
      </c>
      <c r="N558" s="0" t="s">
        <v>136</v>
      </c>
      <c r="O558" s="0" t="n">
        <v>0.85</v>
      </c>
      <c r="P558" s="0" t="n">
        <v>0</v>
      </c>
      <c r="Q558" s="0" t="n">
        <v>0</v>
      </c>
      <c r="R558" s="0" t="n">
        <v>0</v>
      </c>
      <c r="S558" s="0" t="n">
        <v>0</v>
      </c>
      <c r="T558" s="0" t="s">
        <v>624</v>
      </c>
      <c r="U558" s="0" t="s">
        <v>137</v>
      </c>
      <c r="V558" s="0" t="s">
        <v>624</v>
      </c>
      <c r="W558" s="0" t="s">
        <v>569</v>
      </c>
      <c r="X558" s="0" t="s">
        <v>624</v>
      </c>
      <c r="Y558" s="0" t="s">
        <v>627</v>
      </c>
      <c r="Z558" s="0" t="s">
        <v>629</v>
      </c>
      <c r="AA558" s="0" t="s">
        <v>624</v>
      </c>
      <c r="AB558" s="0" t="s">
        <v>580</v>
      </c>
      <c r="AC558" s="254" t="n">
        <v>620000</v>
      </c>
      <c r="AD558" s="254" t="n">
        <v>2457.76466415601</v>
      </c>
      <c r="AE558" s="0" t="n">
        <v>0</v>
      </c>
      <c r="AF558" s="0" t="n">
        <v>0</v>
      </c>
      <c r="AG558" s="0" t="n">
        <v>0</v>
      </c>
      <c r="AH558" s="254" t="n">
        <v>-24124.08217571</v>
      </c>
      <c r="AI558" s="0" t="n">
        <v>226</v>
      </c>
      <c r="AJ558" s="0" t="s">
        <v>630</v>
      </c>
      <c r="AK558" s="0" t="n">
        <v>0</v>
      </c>
      <c r="AL558" s="0" t="n">
        <v>0</v>
      </c>
      <c r="AM558" s="0" t="n">
        <v>0</v>
      </c>
    </row>
    <row r="559" customFormat="false" ht="12.75" hidden="false" customHeight="false" outlineLevel="0" collapsed="false">
      <c r="A559" s="0" t="s">
        <v>631</v>
      </c>
      <c r="B559" s="0" t="s">
        <v>385</v>
      </c>
      <c r="C559" s="0" t="s">
        <v>622</v>
      </c>
      <c r="D559" s="0" t="s">
        <v>623</v>
      </c>
      <c r="E559" s="0" t="s">
        <v>131</v>
      </c>
      <c r="F559" s="0" t="s">
        <v>275</v>
      </c>
      <c r="G559" s="0" t="s">
        <v>628</v>
      </c>
      <c r="H559" s="0" t="s">
        <v>625</v>
      </c>
      <c r="I559" s="0" t="s">
        <v>626</v>
      </c>
      <c r="J559" s="0" t="s">
        <v>627</v>
      </c>
      <c r="K559" s="475" t="n">
        <v>36770</v>
      </c>
      <c r="L559" s="254" t="n">
        <v>989635.821554854</v>
      </c>
      <c r="M559" s="475" t="n">
        <v>36768</v>
      </c>
      <c r="N559" s="0" t="s">
        <v>136</v>
      </c>
      <c r="O559" s="0" t="n">
        <v>0.85</v>
      </c>
      <c r="P559" s="0" t="n">
        <v>0</v>
      </c>
      <c r="Q559" s="0" t="n">
        <v>0</v>
      </c>
      <c r="R559" s="0" t="n">
        <v>0</v>
      </c>
      <c r="S559" s="0" t="n">
        <v>0</v>
      </c>
      <c r="T559" s="0" t="s">
        <v>624</v>
      </c>
      <c r="U559" s="0" t="s">
        <v>137</v>
      </c>
      <c r="V559" s="0" t="s">
        <v>624</v>
      </c>
      <c r="W559" s="0" t="s">
        <v>569</v>
      </c>
      <c r="X559" s="0" t="s">
        <v>624</v>
      </c>
      <c r="Y559" s="0" t="s">
        <v>627</v>
      </c>
      <c r="Z559" s="0" t="s">
        <v>629</v>
      </c>
      <c r="AA559" s="0" t="s">
        <v>624</v>
      </c>
      <c r="AB559" s="0" t="s">
        <v>580</v>
      </c>
      <c r="AC559" s="254" t="n">
        <v>600000</v>
      </c>
      <c r="AD559" s="254" t="n">
        <v>-0.0239417147822678</v>
      </c>
      <c r="AE559" s="0" t="n">
        <v>0</v>
      </c>
      <c r="AF559" s="0" t="n">
        <v>0</v>
      </c>
      <c r="AG559" s="0" t="n">
        <v>0</v>
      </c>
      <c r="AH559" s="254" t="n">
        <v>158853.894281877</v>
      </c>
      <c r="AI559" s="0" t="n">
        <v>226</v>
      </c>
      <c r="AJ559" s="0" t="s">
        <v>630</v>
      </c>
      <c r="AK559" s="0" t="n">
        <v>0</v>
      </c>
      <c r="AL559" s="0" t="n">
        <v>0</v>
      </c>
      <c r="AM559" s="0" t="n">
        <v>0</v>
      </c>
    </row>
    <row r="560" customFormat="false" ht="12.75" hidden="false" customHeight="false" outlineLevel="0" collapsed="false">
      <c r="A560" s="0" t="s">
        <v>631</v>
      </c>
      <c r="B560" s="0" t="s">
        <v>386</v>
      </c>
      <c r="C560" s="0" t="s">
        <v>622</v>
      </c>
      <c r="D560" s="0" t="s">
        <v>623</v>
      </c>
      <c r="E560" s="0" t="s">
        <v>131</v>
      </c>
      <c r="F560" s="0" t="s">
        <v>275</v>
      </c>
      <c r="G560" s="0" t="s">
        <v>628</v>
      </c>
      <c r="H560" s="0" t="s">
        <v>625</v>
      </c>
      <c r="I560" s="0" t="s">
        <v>626</v>
      </c>
      <c r="J560" s="0" t="s">
        <v>627</v>
      </c>
      <c r="K560" s="475" t="n">
        <v>36800</v>
      </c>
      <c r="L560" s="254" t="n">
        <v>-259.648118024294</v>
      </c>
      <c r="M560" s="475" t="n">
        <v>36797</v>
      </c>
      <c r="N560" s="0" t="s">
        <v>132</v>
      </c>
      <c r="O560" s="0" t="n">
        <v>0.5</v>
      </c>
      <c r="P560" s="0" t="n">
        <v>0</v>
      </c>
      <c r="Q560" s="0" t="n">
        <v>0</v>
      </c>
      <c r="R560" s="0" t="n">
        <v>0</v>
      </c>
      <c r="S560" s="0" t="n">
        <v>0</v>
      </c>
      <c r="T560" s="0" t="s">
        <v>624</v>
      </c>
      <c r="U560" s="0" t="s">
        <v>137</v>
      </c>
      <c r="V560" s="0" t="s">
        <v>624</v>
      </c>
      <c r="W560" s="0" t="s">
        <v>569</v>
      </c>
      <c r="X560" s="0" t="s">
        <v>624</v>
      </c>
      <c r="Y560" s="0" t="s">
        <v>627</v>
      </c>
      <c r="Z560" s="0" t="s">
        <v>629</v>
      </c>
      <c r="AA560" s="0" t="s">
        <v>624</v>
      </c>
      <c r="AB560" s="0" t="s">
        <v>580</v>
      </c>
      <c r="AC560" s="254" t="n">
        <v>-620000</v>
      </c>
      <c r="AD560" s="254" t="n">
        <v>-477.209141123356</v>
      </c>
      <c r="AE560" s="0" t="n">
        <v>0</v>
      </c>
      <c r="AF560" s="0" t="n">
        <v>0</v>
      </c>
      <c r="AG560" s="0" t="n">
        <v>0</v>
      </c>
      <c r="AH560" s="254" t="n">
        <v>-85.296631149987</v>
      </c>
      <c r="AI560" s="0" t="n">
        <v>226</v>
      </c>
      <c r="AJ560" s="0" t="s">
        <v>630</v>
      </c>
      <c r="AK560" s="0" t="n">
        <v>0</v>
      </c>
      <c r="AL560" s="0" t="n">
        <v>0</v>
      </c>
      <c r="AM560" s="0" t="n">
        <v>0</v>
      </c>
    </row>
    <row r="561" customFormat="false" ht="12.75" hidden="false" customHeight="false" outlineLevel="0" collapsed="false">
      <c r="A561" s="0" t="s">
        <v>631</v>
      </c>
      <c r="B561" s="0" t="s">
        <v>386</v>
      </c>
      <c r="C561" s="0" t="s">
        <v>622</v>
      </c>
      <c r="D561" s="0" t="s">
        <v>623</v>
      </c>
      <c r="E561" s="0" t="s">
        <v>131</v>
      </c>
      <c r="F561" s="0" t="s">
        <v>275</v>
      </c>
      <c r="G561" s="0" t="s">
        <v>628</v>
      </c>
      <c r="H561" s="0" t="s">
        <v>625</v>
      </c>
      <c r="I561" s="0" t="s">
        <v>626</v>
      </c>
      <c r="J561" s="0" t="s">
        <v>627</v>
      </c>
      <c r="K561" s="475" t="n">
        <v>36770</v>
      </c>
      <c r="L561" s="254" t="n">
        <v>-0.157306725678819</v>
      </c>
      <c r="M561" s="475" t="n">
        <v>36768</v>
      </c>
      <c r="N561" s="0" t="s">
        <v>132</v>
      </c>
      <c r="O561" s="0" t="n">
        <v>0.5</v>
      </c>
      <c r="P561" s="0" t="n">
        <v>0</v>
      </c>
      <c r="Q561" s="0" t="n">
        <v>0</v>
      </c>
      <c r="R561" s="0" t="n">
        <v>0</v>
      </c>
      <c r="S561" s="0" t="n">
        <v>0</v>
      </c>
      <c r="T561" s="0" t="s">
        <v>624</v>
      </c>
      <c r="U561" s="0" t="s">
        <v>137</v>
      </c>
      <c r="V561" s="0" t="s">
        <v>624</v>
      </c>
      <c r="W561" s="0" t="s">
        <v>569</v>
      </c>
      <c r="X561" s="0" t="s">
        <v>624</v>
      </c>
      <c r="Y561" s="0" t="s">
        <v>627</v>
      </c>
      <c r="Z561" s="0" t="s">
        <v>629</v>
      </c>
      <c r="AA561" s="0" t="s">
        <v>624</v>
      </c>
      <c r="AB561" s="0" t="s">
        <v>580</v>
      </c>
      <c r="AC561" s="254" t="n">
        <v>-600000</v>
      </c>
      <c r="AD561" s="254" t="n">
        <v>0.0239417149439092</v>
      </c>
      <c r="AE561" s="0" t="n">
        <v>0</v>
      </c>
      <c r="AF561" s="0" t="n">
        <v>0</v>
      </c>
      <c r="AG561" s="0" t="n">
        <v>0</v>
      </c>
      <c r="AH561" s="254" t="n">
        <v>-0.0207980672684016</v>
      </c>
      <c r="AI561" s="0" t="n">
        <v>226</v>
      </c>
      <c r="AJ561" s="0" t="s">
        <v>630</v>
      </c>
      <c r="AK561" s="0" t="n">
        <v>0</v>
      </c>
      <c r="AL561" s="0" t="n">
        <v>0</v>
      </c>
      <c r="AM561" s="0" t="n">
        <v>0</v>
      </c>
    </row>
    <row r="562" customFormat="false" ht="12.75" hidden="false" customHeight="false" outlineLevel="0" collapsed="false">
      <c r="A562" s="0" t="s">
        <v>631</v>
      </c>
      <c r="B562" s="0" t="s">
        <v>387</v>
      </c>
      <c r="C562" s="0" t="s">
        <v>622</v>
      </c>
      <c r="D562" s="0" t="s">
        <v>623</v>
      </c>
      <c r="E562" s="0" t="s">
        <v>131</v>
      </c>
      <c r="F562" s="0" t="s">
        <v>275</v>
      </c>
      <c r="G562" s="0" t="s">
        <v>628</v>
      </c>
      <c r="H562" s="0" t="s">
        <v>625</v>
      </c>
      <c r="I562" s="0" t="s">
        <v>626</v>
      </c>
      <c r="J562" s="0" t="s">
        <v>627</v>
      </c>
      <c r="K562" s="475" t="n">
        <v>36800</v>
      </c>
      <c r="L562" s="254" t="n">
        <v>-64.9120295060734</v>
      </c>
      <c r="M562" s="475" t="n">
        <v>36797</v>
      </c>
      <c r="N562" s="0" t="s">
        <v>132</v>
      </c>
      <c r="O562" s="0" t="n">
        <v>0.5</v>
      </c>
      <c r="P562" s="0" t="n">
        <v>0</v>
      </c>
      <c r="Q562" s="0" t="n">
        <v>0</v>
      </c>
      <c r="R562" s="0" t="n">
        <v>0</v>
      </c>
      <c r="S562" s="0" t="n">
        <v>0</v>
      </c>
      <c r="T562" s="0" t="s">
        <v>624</v>
      </c>
      <c r="U562" s="0" t="s">
        <v>137</v>
      </c>
      <c r="V562" s="0" t="s">
        <v>624</v>
      </c>
      <c r="W562" s="0" t="s">
        <v>569</v>
      </c>
      <c r="X562" s="0" t="s">
        <v>624</v>
      </c>
      <c r="Y562" s="0" t="s">
        <v>627</v>
      </c>
      <c r="Z562" s="0" t="s">
        <v>629</v>
      </c>
      <c r="AA562" s="0" t="s">
        <v>624</v>
      </c>
      <c r="AB562" s="0" t="s">
        <v>580</v>
      </c>
      <c r="AC562" s="254" t="n">
        <v>-155000</v>
      </c>
      <c r="AD562" s="254" t="n">
        <v>-119.302285280839</v>
      </c>
      <c r="AE562" s="0" t="n">
        <v>0</v>
      </c>
      <c r="AF562" s="0" t="n">
        <v>0</v>
      </c>
      <c r="AG562" s="0" t="n">
        <v>0</v>
      </c>
      <c r="AH562" s="254" t="n">
        <v>-21.3241577874967</v>
      </c>
      <c r="AI562" s="0" t="n">
        <v>226</v>
      </c>
      <c r="AJ562" s="0" t="s">
        <v>630</v>
      </c>
      <c r="AK562" s="0" t="n">
        <v>0</v>
      </c>
      <c r="AL562" s="0" t="n">
        <v>0</v>
      </c>
      <c r="AM562" s="0" t="n">
        <v>0</v>
      </c>
    </row>
    <row r="563" customFormat="false" ht="12.75" hidden="false" customHeight="false" outlineLevel="0" collapsed="false">
      <c r="A563" s="0" t="s">
        <v>631</v>
      </c>
      <c r="B563" s="0" t="s">
        <v>387</v>
      </c>
      <c r="C563" s="0" t="s">
        <v>622</v>
      </c>
      <c r="D563" s="0" t="s">
        <v>623</v>
      </c>
      <c r="E563" s="0" t="s">
        <v>131</v>
      </c>
      <c r="F563" s="0" t="s">
        <v>275</v>
      </c>
      <c r="G563" s="0" t="s">
        <v>628</v>
      </c>
      <c r="H563" s="0" t="s">
        <v>625</v>
      </c>
      <c r="I563" s="0" t="s">
        <v>626</v>
      </c>
      <c r="J563" s="0" t="s">
        <v>627</v>
      </c>
      <c r="K563" s="475" t="n">
        <v>36770</v>
      </c>
      <c r="L563" s="254" t="n">
        <v>-0.0393266814197046</v>
      </c>
      <c r="M563" s="475" t="n">
        <v>36768</v>
      </c>
      <c r="N563" s="0" t="s">
        <v>132</v>
      </c>
      <c r="O563" s="0" t="n">
        <v>0.5</v>
      </c>
      <c r="P563" s="0" t="n">
        <v>0</v>
      </c>
      <c r="Q563" s="0" t="n">
        <v>0</v>
      </c>
      <c r="R563" s="0" t="n">
        <v>0</v>
      </c>
      <c r="S563" s="0" t="n">
        <v>0</v>
      </c>
      <c r="T563" s="0" t="s">
        <v>624</v>
      </c>
      <c r="U563" s="0" t="s">
        <v>137</v>
      </c>
      <c r="V563" s="0" t="s">
        <v>624</v>
      </c>
      <c r="W563" s="0" t="s">
        <v>569</v>
      </c>
      <c r="X563" s="0" t="s">
        <v>624</v>
      </c>
      <c r="Y563" s="0" t="s">
        <v>627</v>
      </c>
      <c r="Z563" s="0" t="s">
        <v>629</v>
      </c>
      <c r="AA563" s="0" t="s">
        <v>624</v>
      </c>
      <c r="AB563" s="0" t="s">
        <v>580</v>
      </c>
      <c r="AC563" s="254" t="n">
        <v>-150000</v>
      </c>
      <c r="AD563" s="254" t="n">
        <v>0.00598542873597729</v>
      </c>
      <c r="AE563" s="0" t="n">
        <v>0</v>
      </c>
      <c r="AF563" s="0" t="n">
        <v>0</v>
      </c>
      <c r="AG563" s="0" t="n">
        <v>0</v>
      </c>
      <c r="AH563" s="254" t="n">
        <v>-0.0051995168171004</v>
      </c>
      <c r="AI563" s="0" t="n">
        <v>226</v>
      </c>
      <c r="AJ563" s="0" t="s">
        <v>630</v>
      </c>
      <c r="AK563" s="0" t="n">
        <v>0</v>
      </c>
      <c r="AL563" s="0" t="n">
        <v>0</v>
      </c>
      <c r="AM563" s="0" t="n">
        <v>0</v>
      </c>
    </row>
    <row r="564" customFormat="false" ht="12.75" hidden="false" customHeight="false" outlineLevel="0" collapsed="false">
      <c r="A564" s="0" t="s">
        <v>631</v>
      </c>
      <c r="B564" s="0" t="s">
        <v>388</v>
      </c>
      <c r="C564" s="0" t="s">
        <v>622</v>
      </c>
      <c r="D564" s="0" t="s">
        <v>623</v>
      </c>
      <c r="E564" s="0" t="s">
        <v>131</v>
      </c>
      <c r="F564" s="0" t="s">
        <v>212</v>
      </c>
      <c r="G564" s="0" t="s">
        <v>628</v>
      </c>
      <c r="H564" s="0" t="s">
        <v>625</v>
      </c>
      <c r="I564" s="0" t="s">
        <v>626</v>
      </c>
      <c r="J564" s="0" t="s">
        <v>627</v>
      </c>
      <c r="K564" s="475" t="n">
        <v>36800</v>
      </c>
      <c r="L564" s="254" t="n">
        <v>64.9120295060734</v>
      </c>
      <c r="M564" s="475" t="n">
        <v>36797</v>
      </c>
      <c r="N564" s="0" t="s">
        <v>132</v>
      </c>
      <c r="O564" s="0" t="n">
        <v>0.5</v>
      </c>
      <c r="P564" s="0" t="n">
        <v>0</v>
      </c>
      <c r="Q564" s="0" t="n">
        <v>0</v>
      </c>
      <c r="R564" s="0" t="n">
        <v>0</v>
      </c>
      <c r="S564" s="0" t="n">
        <v>0</v>
      </c>
      <c r="T564" s="0" t="s">
        <v>624</v>
      </c>
      <c r="U564" s="0" t="s">
        <v>137</v>
      </c>
      <c r="V564" s="0" t="s">
        <v>624</v>
      </c>
      <c r="W564" s="0" t="s">
        <v>569</v>
      </c>
      <c r="X564" s="0" t="s">
        <v>624</v>
      </c>
      <c r="Y564" s="0" t="s">
        <v>627</v>
      </c>
      <c r="Z564" s="0" t="s">
        <v>629</v>
      </c>
      <c r="AA564" s="0" t="s">
        <v>624</v>
      </c>
      <c r="AB564" s="0" t="s">
        <v>580</v>
      </c>
      <c r="AC564" s="254" t="n">
        <v>155000</v>
      </c>
      <c r="AD564" s="254" t="n">
        <v>119.302285280839</v>
      </c>
      <c r="AE564" s="0" t="n">
        <v>0</v>
      </c>
      <c r="AF564" s="0" t="n">
        <v>0</v>
      </c>
      <c r="AG564" s="0" t="n">
        <v>0</v>
      </c>
      <c r="AH564" s="254" t="n">
        <v>21.3241577874967</v>
      </c>
      <c r="AI564" s="0" t="n">
        <v>226</v>
      </c>
      <c r="AJ564" s="0" t="s">
        <v>630</v>
      </c>
      <c r="AK564" s="0" t="n">
        <v>0</v>
      </c>
      <c r="AL564" s="0" t="n">
        <v>0</v>
      </c>
      <c r="AM564" s="0" t="n">
        <v>0</v>
      </c>
    </row>
    <row r="565" customFormat="false" ht="12.75" hidden="false" customHeight="false" outlineLevel="0" collapsed="false">
      <c r="A565" s="0" t="s">
        <v>631</v>
      </c>
      <c r="B565" s="0" t="s">
        <v>388</v>
      </c>
      <c r="C565" s="0" t="s">
        <v>622</v>
      </c>
      <c r="D565" s="0" t="s">
        <v>623</v>
      </c>
      <c r="E565" s="0" t="s">
        <v>131</v>
      </c>
      <c r="F565" s="0" t="s">
        <v>212</v>
      </c>
      <c r="G565" s="0" t="s">
        <v>628</v>
      </c>
      <c r="H565" s="0" t="s">
        <v>625</v>
      </c>
      <c r="I565" s="0" t="s">
        <v>626</v>
      </c>
      <c r="J565" s="0" t="s">
        <v>627</v>
      </c>
      <c r="K565" s="475" t="n">
        <v>36770</v>
      </c>
      <c r="L565" s="254" t="n">
        <v>0.0393266814197046</v>
      </c>
      <c r="M565" s="475" t="n">
        <v>36768</v>
      </c>
      <c r="N565" s="0" t="s">
        <v>132</v>
      </c>
      <c r="O565" s="0" t="n">
        <v>0.5</v>
      </c>
      <c r="P565" s="0" t="n">
        <v>0</v>
      </c>
      <c r="Q565" s="0" t="n">
        <v>0</v>
      </c>
      <c r="R565" s="0" t="n">
        <v>0</v>
      </c>
      <c r="S565" s="0" t="n">
        <v>0</v>
      </c>
      <c r="T565" s="0" t="s">
        <v>624</v>
      </c>
      <c r="U565" s="0" t="s">
        <v>137</v>
      </c>
      <c r="V565" s="0" t="s">
        <v>624</v>
      </c>
      <c r="W565" s="0" t="s">
        <v>569</v>
      </c>
      <c r="X565" s="0" t="s">
        <v>624</v>
      </c>
      <c r="Y565" s="0" t="s">
        <v>627</v>
      </c>
      <c r="Z565" s="0" t="s">
        <v>629</v>
      </c>
      <c r="AA565" s="0" t="s">
        <v>624</v>
      </c>
      <c r="AB565" s="0" t="s">
        <v>580</v>
      </c>
      <c r="AC565" s="254" t="n">
        <v>150000</v>
      </c>
      <c r="AD565" s="254" t="n">
        <v>-0.00598542873597729</v>
      </c>
      <c r="AE565" s="0" t="n">
        <v>0</v>
      </c>
      <c r="AF565" s="0" t="n">
        <v>0</v>
      </c>
      <c r="AG565" s="0" t="n">
        <v>0</v>
      </c>
      <c r="AH565" s="254" t="n">
        <v>0.0051995168171004</v>
      </c>
      <c r="AI565" s="0" t="n">
        <v>226</v>
      </c>
      <c r="AJ565" s="0" t="s">
        <v>630</v>
      </c>
      <c r="AK565" s="0" t="n">
        <v>0</v>
      </c>
      <c r="AL565" s="0" t="n">
        <v>0</v>
      </c>
      <c r="AM565" s="0" t="n">
        <v>0</v>
      </c>
    </row>
    <row r="566" customFormat="false" ht="12.75" hidden="false" customHeight="false" outlineLevel="0" collapsed="false">
      <c r="A566" s="0" t="s">
        <v>631</v>
      </c>
      <c r="B566" s="0" t="s">
        <v>389</v>
      </c>
      <c r="C566" s="0" t="s">
        <v>622</v>
      </c>
      <c r="D566" s="0" t="s">
        <v>623</v>
      </c>
      <c r="E566" s="0" t="s">
        <v>131</v>
      </c>
      <c r="F566" s="0" t="s">
        <v>198</v>
      </c>
      <c r="G566" s="0" t="s">
        <v>628</v>
      </c>
      <c r="H566" s="0" t="s">
        <v>625</v>
      </c>
      <c r="I566" s="0" t="s">
        <v>626</v>
      </c>
      <c r="J566" s="0" t="s">
        <v>627</v>
      </c>
      <c r="K566" s="475" t="n">
        <v>36951</v>
      </c>
      <c r="L566" s="254" t="n">
        <v>79936.7717316071</v>
      </c>
      <c r="M566" s="475" t="n">
        <v>36949</v>
      </c>
      <c r="N566" s="0" t="s">
        <v>136</v>
      </c>
      <c r="O566" s="0" t="n">
        <v>0.3</v>
      </c>
      <c r="P566" s="0" t="n">
        <v>0</v>
      </c>
      <c r="Q566" s="0" t="n">
        <v>0</v>
      </c>
      <c r="R566" s="0" t="n">
        <v>0</v>
      </c>
      <c r="S566" s="0" t="n">
        <v>0</v>
      </c>
      <c r="T566" s="0" t="s">
        <v>624</v>
      </c>
      <c r="U566" s="0" t="s">
        <v>137</v>
      </c>
      <c r="V566" s="0" t="s">
        <v>624</v>
      </c>
      <c r="W566" s="0" t="s">
        <v>569</v>
      </c>
      <c r="X566" s="0" t="s">
        <v>624</v>
      </c>
      <c r="Y566" s="0" t="s">
        <v>627</v>
      </c>
      <c r="Z566" s="0" t="s">
        <v>629</v>
      </c>
      <c r="AA566" s="0" t="s">
        <v>624</v>
      </c>
      <c r="AB566" s="0" t="s">
        <v>580</v>
      </c>
      <c r="AC566" s="254" t="n">
        <v>155000</v>
      </c>
      <c r="AD566" s="254" t="n">
        <v>11450.9034642847</v>
      </c>
      <c r="AE566" s="0" t="n">
        <v>0</v>
      </c>
      <c r="AF566" s="0" t="n">
        <v>0</v>
      </c>
      <c r="AG566" s="0" t="n">
        <v>0</v>
      </c>
      <c r="AH566" s="254" t="n">
        <v>-4981.91038535585</v>
      </c>
      <c r="AI566" s="0" t="n">
        <v>226</v>
      </c>
      <c r="AJ566" s="0" t="s">
        <v>630</v>
      </c>
      <c r="AK566" s="0" t="n">
        <v>0</v>
      </c>
      <c r="AL566" s="0" t="n">
        <v>0</v>
      </c>
      <c r="AM566" s="0" t="n">
        <v>0</v>
      </c>
    </row>
    <row r="567" customFormat="false" ht="12.75" hidden="false" customHeight="false" outlineLevel="0" collapsed="false">
      <c r="A567" s="0" t="s">
        <v>631</v>
      </c>
      <c r="B567" s="0" t="s">
        <v>389</v>
      </c>
      <c r="C567" s="0" t="s">
        <v>622</v>
      </c>
      <c r="D567" s="0" t="s">
        <v>623</v>
      </c>
      <c r="E567" s="0" t="s">
        <v>131</v>
      </c>
      <c r="F567" s="0" t="s">
        <v>198</v>
      </c>
      <c r="G567" s="0" t="s">
        <v>628</v>
      </c>
      <c r="H567" s="0" t="s">
        <v>625</v>
      </c>
      <c r="I567" s="0" t="s">
        <v>626</v>
      </c>
      <c r="J567" s="0" t="s">
        <v>627</v>
      </c>
      <c r="K567" s="475" t="n">
        <v>36923</v>
      </c>
      <c r="L567" s="254" t="n">
        <v>78361.2344690323</v>
      </c>
      <c r="M567" s="475" t="n">
        <v>36921</v>
      </c>
      <c r="N567" s="0" t="s">
        <v>136</v>
      </c>
      <c r="O567" s="0" t="n">
        <v>0.3</v>
      </c>
      <c r="P567" s="0" t="n">
        <v>0</v>
      </c>
      <c r="Q567" s="0" t="n">
        <v>0</v>
      </c>
      <c r="R567" s="0" t="n">
        <v>0</v>
      </c>
      <c r="S567" s="0" t="n">
        <v>0</v>
      </c>
      <c r="T567" s="0" t="s">
        <v>624</v>
      </c>
      <c r="U567" s="0" t="s">
        <v>137</v>
      </c>
      <c r="V567" s="0" t="s">
        <v>624</v>
      </c>
      <c r="W567" s="0" t="s">
        <v>569</v>
      </c>
      <c r="X567" s="0" t="s">
        <v>624</v>
      </c>
      <c r="Y567" s="0" t="s">
        <v>627</v>
      </c>
      <c r="Z567" s="0" t="s">
        <v>629</v>
      </c>
      <c r="AA567" s="0" t="s">
        <v>624</v>
      </c>
      <c r="AB567" s="0" t="s">
        <v>580</v>
      </c>
      <c r="AC567" s="254" t="n">
        <v>140000</v>
      </c>
      <c r="AD567" s="254" t="n">
        <v>10673.4632417858</v>
      </c>
      <c r="AE567" s="0" t="n">
        <v>0</v>
      </c>
      <c r="AF567" s="0" t="n">
        <v>0</v>
      </c>
      <c r="AG567" s="0" t="n">
        <v>0</v>
      </c>
      <c r="AH567" s="254" t="n">
        <v>-4522.90595412235</v>
      </c>
      <c r="AI567" s="0" t="n">
        <v>226</v>
      </c>
      <c r="AJ567" s="0" t="s">
        <v>630</v>
      </c>
      <c r="AK567" s="0" t="n">
        <v>0</v>
      </c>
      <c r="AL567" s="0" t="n">
        <v>0</v>
      </c>
      <c r="AM567" s="0" t="n">
        <v>0</v>
      </c>
    </row>
    <row r="568" customFormat="false" ht="12.75" hidden="false" customHeight="false" outlineLevel="0" collapsed="false">
      <c r="A568" s="0" t="s">
        <v>631</v>
      </c>
      <c r="B568" s="0" t="s">
        <v>389</v>
      </c>
      <c r="C568" s="0" t="s">
        <v>622</v>
      </c>
      <c r="D568" s="0" t="s">
        <v>623</v>
      </c>
      <c r="E568" s="0" t="s">
        <v>131</v>
      </c>
      <c r="F568" s="0" t="s">
        <v>198</v>
      </c>
      <c r="G568" s="0" t="s">
        <v>628</v>
      </c>
      <c r="H568" s="0" t="s">
        <v>625</v>
      </c>
      <c r="I568" s="0" t="s">
        <v>626</v>
      </c>
      <c r="J568" s="0" t="s">
        <v>627</v>
      </c>
      <c r="K568" s="475" t="n">
        <v>36892</v>
      </c>
      <c r="L568" s="254" t="n">
        <v>100493.615164759</v>
      </c>
      <c r="M568" s="475" t="n">
        <v>36888</v>
      </c>
      <c r="N568" s="0" t="s">
        <v>136</v>
      </c>
      <c r="O568" s="0" t="n">
        <v>0.3</v>
      </c>
      <c r="P568" s="0" t="n">
        <v>0</v>
      </c>
      <c r="Q568" s="0" t="n">
        <v>0</v>
      </c>
      <c r="R568" s="0" t="n">
        <v>0</v>
      </c>
      <c r="S568" s="0" t="n">
        <v>0</v>
      </c>
      <c r="T568" s="0" t="s">
        <v>624</v>
      </c>
      <c r="U568" s="0" t="s">
        <v>137</v>
      </c>
      <c r="V568" s="0" t="s">
        <v>624</v>
      </c>
      <c r="W568" s="0" t="s">
        <v>569</v>
      </c>
      <c r="X568" s="0" t="s">
        <v>624</v>
      </c>
      <c r="Y568" s="0" t="s">
        <v>627</v>
      </c>
      <c r="Z568" s="0" t="s">
        <v>629</v>
      </c>
      <c r="AA568" s="0" t="s">
        <v>624</v>
      </c>
      <c r="AB568" s="0" t="s">
        <v>580</v>
      </c>
      <c r="AC568" s="254" t="n">
        <v>155000</v>
      </c>
      <c r="AD568" s="254" t="n">
        <v>10096.8659950686</v>
      </c>
      <c r="AE568" s="0" t="n">
        <v>0</v>
      </c>
      <c r="AF568" s="0" t="n">
        <v>0</v>
      </c>
      <c r="AG568" s="0" t="n">
        <v>0</v>
      </c>
      <c r="AH568" s="254" t="n">
        <v>-5575.19386483224</v>
      </c>
      <c r="AI568" s="0" t="n">
        <v>226</v>
      </c>
      <c r="AJ568" s="0" t="s">
        <v>630</v>
      </c>
      <c r="AK568" s="0" t="n">
        <v>0</v>
      </c>
      <c r="AL568" s="0" t="n">
        <v>0</v>
      </c>
      <c r="AM568" s="0" t="n">
        <v>0</v>
      </c>
    </row>
    <row r="569" customFormat="false" ht="12.75" hidden="false" customHeight="false" outlineLevel="0" collapsed="false">
      <c r="A569" s="0" t="s">
        <v>631</v>
      </c>
      <c r="B569" s="0" t="s">
        <v>389</v>
      </c>
      <c r="C569" s="0" t="s">
        <v>622</v>
      </c>
      <c r="D569" s="0" t="s">
        <v>623</v>
      </c>
      <c r="E569" s="0" t="s">
        <v>131</v>
      </c>
      <c r="F569" s="0" t="s">
        <v>198</v>
      </c>
      <c r="G569" s="0" t="s">
        <v>628</v>
      </c>
      <c r="H569" s="0" t="s">
        <v>625</v>
      </c>
      <c r="I569" s="0" t="s">
        <v>626</v>
      </c>
      <c r="J569" s="0" t="s">
        <v>627</v>
      </c>
      <c r="K569" s="475" t="n">
        <v>36861</v>
      </c>
      <c r="L569" s="254" t="n">
        <v>122763.295052255</v>
      </c>
      <c r="M569" s="475" t="n">
        <v>36859</v>
      </c>
      <c r="N569" s="0" t="s">
        <v>136</v>
      </c>
      <c r="O569" s="0" t="n">
        <v>0.3</v>
      </c>
      <c r="P569" s="0" t="n">
        <v>0</v>
      </c>
      <c r="Q569" s="0" t="n">
        <v>0</v>
      </c>
      <c r="R569" s="0" t="n">
        <v>0</v>
      </c>
      <c r="S569" s="0" t="n">
        <v>0</v>
      </c>
      <c r="T569" s="0" t="s">
        <v>624</v>
      </c>
      <c r="U569" s="0" t="s">
        <v>137</v>
      </c>
      <c r="V569" s="0" t="s">
        <v>624</v>
      </c>
      <c r="W569" s="0" t="s">
        <v>569</v>
      </c>
      <c r="X569" s="0" t="s">
        <v>624</v>
      </c>
      <c r="Y569" s="0" t="s">
        <v>627</v>
      </c>
      <c r="Z569" s="0" t="s">
        <v>629</v>
      </c>
      <c r="AA569" s="0" t="s">
        <v>624</v>
      </c>
      <c r="AB569" s="0" t="s">
        <v>580</v>
      </c>
      <c r="AC569" s="254" t="n">
        <v>155000</v>
      </c>
      <c r="AD569" s="254" t="n">
        <v>7095.81719147449</v>
      </c>
      <c r="AE569" s="0" t="n">
        <v>0</v>
      </c>
      <c r="AF569" s="0" t="n">
        <v>0</v>
      </c>
      <c r="AG569" s="0" t="n">
        <v>0</v>
      </c>
      <c r="AH569" s="254" t="n">
        <v>17867.5503378849</v>
      </c>
      <c r="AI569" s="0" t="n">
        <v>226</v>
      </c>
      <c r="AJ569" s="0" t="s">
        <v>630</v>
      </c>
      <c r="AK569" s="0" t="n">
        <v>0</v>
      </c>
      <c r="AL569" s="0" t="n">
        <v>0</v>
      </c>
      <c r="AM569" s="0" t="n">
        <v>0</v>
      </c>
    </row>
    <row r="570" customFormat="false" ht="12.75" hidden="false" customHeight="false" outlineLevel="0" collapsed="false">
      <c r="A570" s="0" t="s">
        <v>631</v>
      </c>
      <c r="B570" s="0" t="s">
        <v>389</v>
      </c>
      <c r="C570" s="0" t="s">
        <v>622</v>
      </c>
      <c r="D570" s="0" t="s">
        <v>623</v>
      </c>
      <c r="E570" s="0" t="s">
        <v>131</v>
      </c>
      <c r="F570" s="0" t="s">
        <v>198</v>
      </c>
      <c r="G570" s="0" t="s">
        <v>628</v>
      </c>
      <c r="H570" s="0" t="s">
        <v>625</v>
      </c>
      <c r="I570" s="0" t="s">
        <v>626</v>
      </c>
      <c r="J570" s="0" t="s">
        <v>627</v>
      </c>
      <c r="K570" s="475" t="n">
        <v>36831</v>
      </c>
      <c r="L570" s="254" t="n">
        <v>186521.285725375</v>
      </c>
      <c r="M570" s="475" t="n">
        <v>36829</v>
      </c>
      <c r="N570" s="0" t="s">
        <v>136</v>
      </c>
      <c r="O570" s="0" t="n">
        <v>0.3</v>
      </c>
      <c r="P570" s="0" t="n">
        <v>0</v>
      </c>
      <c r="Q570" s="0" t="n">
        <v>0</v>
      </c>
      <c r="R570" s="0" t="n">
        <v>0</v>
      </c>
      <c r="S570" s="0" t="n">
        <v>0</v>
      </c>
      <c r="T570" s="0" t="s">
        <v>624</v>
      </c>
      <c r="U570" s="0" t="s">
        <v>137</v>
      </c>
      <c r="V570" s="0" t="s">
        <v>624</v>
      </c>
      <c r="W570" s="0" t="s">
        <v>569</v>
      </c>
      <c r="X570" s="0" t="s">
        <v>624</v>
      </c>
      <c r="Y570" s="0" t="s">
        <v>627</v>
      </c>
      <c r="Z570" s="0" t="s">
        <v>629</v>
      </c>
      <c r="AA570" s="0" t="s">
        <v>624</v>
      </c>
      <c r="AB570" s="0" t="s">
        <v>580</v>
      </c>
      <c r="AC570" s="254" t="n">
        <v>150000</v>
      </c>
      <c r="AD570" s="254" t="n">
        <v>1843.78437713088</v>
      </c>
      <c r="AE570" s="0" t="n">
        <v>0</v>
      </c>
      <c r="AF570" s="0" t="n">
        <v>0</v>
      </c>
      <c r="AG570" s="0" t="n">
        <v>0</v>
      </c>
      <c r="AH570" s="254" t="n">
        <v>29607.2538979808</v>
      </c>
      <c r="AI570" s="0" t="n">
        <v>226</v>
      </c>
      <c r="AJ570" s="0" t="s">
        <v>630</v>
      </c>
      <c r="AK570" s="0" t="n">
        <v>0</v>
      </c>
      <c r="AL570" s="0" t="n">
        <v>0</v>
      </c>
      <c r="AM570" s="0" t="n">
        <v>0</v>
      </c>
    </row>
    <row r="571" customFormat="false" ht="12.75" hidden="false" customHeight="false" outlineLevel="0" collapsed="false">
      <c r="A571" s="0" t="s">
        <v>631</v>
      </c>
      <c r="B571" s="0" t="s">
        <v>635</v>
      </c>
      <c r="C571" s="0" t="s">
        <v>622</v>
      </c>
      <c r="D571" s="0" t="s">
        <v>623</v>
      </c>
      <c r="E571" s="0" t="s">
        <v>131</v>
      </c>
      <c r="F571" s="0" t="s">
        <v>206</v>
      </c>
      <c r="G571" s="0" t="s">
        <v>628</v>
      </c>
      <c r="H571" s="0" t="s">
        <v>625</v>
      </c>
      <c r="I571" s="0" t="s">
        <v>626</v>
      </c>
      <c r="J571" s="0" t="s">
        <v>627</v>
      </c>
      <c r="K571" s="475" t="n">
        <v>36800</v>
      </c>
      <c r="L571" s="254" t="n">
        <v>-18892.8637223795</v>
      </c>
      <c r="M571" s="475" t="n">
        <v>36797</v>
      </c>
      <c r="N571" s="0" t="s">
        <v>132</v>
      </c>
      <c r="O571" s="0" t="n">
        <v>0.3</v>
      </c>
      <c r="P571" s="0" t="n">
        <v>0</v>
      </c>
      <c r="Q571" s="0" t="n">
        <v>0</v>
      </c>
      <c r="R571" s="0" t="n">
        <v>0</v>
      </c>
      <c r="S571" s="0" t="n">
        <v>0</v>
      </c>
      <c r="T571" s="0" t="s">
        <v>624</v>
      </c>
      <c r="U571" s="0" t="s">
        <v>149</v>
      </c>
      <c r="V571" s="0" t="s">
        <v>624</v>
      </c>
      <c r="W571" s="0" t="s">
        <v>569</v>
      </c>
      <c r="X571" s="0" t="s">
        <v>624</v>
      </c>
      <c r="Y571" s="0" t="s">
        <v>627</v>
      </c>
      <c r="Z571" s="0" t="s">
        <v>629</v>
      </c>
      <c r="AA571" s="0" t="s">
        <v>624</v>
      </c>
      <c r="AB571" s="0" t="s">
        <v>580</v>
      </c>
      <c r="AC571" s="254" t="n">
        <v>-2550000</v>
      </c>
      <c r="AD571" s="254" t="n">
        <v>-9981.01590708527</v>
      </c>
      <c r="AE571" s="0" t="n">
        <v>0</v>
      </c>
      <c r="AF571" s="0" t="n">
        <v>0</v>
      </c>
      <c r="AG571" s="0" t="n">
        <v>0</v>
      </c>
      <c r="AH571" s="254" t="n">
        <v>-577.909971876034</v>
      </c>
      <c r="AI571" s="0" t="n">
        <v>226</v>
      </c>
      <c r="AJ571" s="0" t="s">
        <v>630</v>
      </c>
      <c r="AK571" s="0" t="n">
        <v>0</v>
      </c>
      <c r="AL571" s="0" t="n">
        <v>0</v>
      </c>
      <c r="AM571" s="0" t="n">
        <v>0</v>
      </c>
    </row>
    <row r="572" customFormat="false" ht="12.75" hidden="false" customHeight="false" outlineLevel="0" collapsed="false">
      <c r="A572" s="0" t="s">
        <v>631</v>
      </c>
      <c r="B572" s="0" t="s">
        <v>390</v>
      </c>
      <c r="C572" s="0" t="s">
        <v>622</v>
      </c>
      <c r="D572" s="0" t="s">
        <v>623</v>
      </c>
      <c r="E572" s="0" t="s">
        <v>131</v>
      </c>
      <c r="F572" s="0" t="s">
        <v>198</v>
      </c>
      <c r="G572" s="0" t="s">
        <v>628</v>
      </c>
      <c r="H572" s="0" t="s">
        <v>625</v>
      </c>
      <c r="I572" s="0" t="s">
        <v>626</v>
      </c>
      <c r="J572" s="0" t="s">
        <v>627</v>
      </c>
      <c r="K572" s="475" t="n">
        <v>36800</v>
      </c>
      <c r="L572" s="254" t="n">
        <v>1284011.87823004</v>
      </c>
      <c r="M572" s="475" t="n">
        <v>36797</v>
      </c>
      <c r="N572" s="0" t="s">
        <v>136</v>
      </c>
      <c r="O572" s="0" t="n">
        <v>0.7</v>
      </c>
      <c r="P572" s="0" t="n">
        <v>0</v>
      </c>
      <c r="Q572" s="0" t="n">
        <v>0</v>
      </c>
      <c r="R572" s="0" t="n">
        <v>0</v>
      </c>
      <c r="S572" s="0" t="n">
        <v>0</v>
      </c>
      <c r="T572" s="0" t="s">
        <v>624</v>
      </c>
      <c r="U572" s="0" t="s">
        <v>137</v>
      </c>
      <c r="V572" s="0" t="s">
        <v>624</v>
      </c>
      <c r="W572" s="0" t="s">
        <v>569</v>
      </c>
      <c r="X572" s="0" t="s">
        <v>624</v>
      </c>
      <c r="Y572" s="0" t="s">
        <v>627</v>
      </c>
      <c r="Z572" s="0" t="s">
        <v>629</v>
      </c>
      <c r="AA572" s="0" t="s">
        <v>624</v>
      </c>
      <c r="AB572" s="0" t="s">
        <v>580</v>
      </c>
      <c r="AC572" s="254" t="n">
        <v>1000000</v>
      </c>
      <c r="AD572" s="254" t="n">
        <v>2074.12009283761</v>
      </c>
      <c r="AE572" s="0" t="n">
        <v>0</v>
      </c>
      <c r="AF572" s="0" t="n">
        <v>0</v>
      </c>
      <c r="AG572" s="0" t="n">
        <v>0</v>
      </c>
      <c r="AH572" s="254" t="n">
        <v>-39343.3187913082</v>
      </c>
      <c r="AI572" s="0" t="n">
        <v>226</v>
      </c>
      <c r="AJ572" s="0" t="s">
        <v>630</v>
      </c>
      <c r="AK572" s="0" t="n">
        <v>0</v>
      </c>
      <c r="AL572" s="0" t="n">
        <v>0</v>
      </c>
      <c r="AM572" s="0" t="n">
        <v>0</v>
      </c>
    </row>
    <row r="573" customFormat="false" ht="12.75" hidden="false" customHeight="false" outlineLevel="0" collapsed="false">
      <c r="A573" s="0" t="s">
        <v>631</v>
      </c>
      <c r="B573" s="0" t="s">
        <v>390</v>
      </c>
      <c r="C573" s="0" t="s">
        <v>622</v>
      </c>
      <c r="D573" s="0" t="s">
        <v>623</v>
      </c>
      <c r="E573" s="0" t="s">
        <v>131</v>
      </c>
      <c r="F573" s="0" t="s">
        <v>198</v>
      </c>
      <c r="G573" s="0" t="s">
        <v>628</v>
      </c>
      <c r="H573" s="0" t="s">
        <v>625</v>
      </c>
      <c r="I573" s="0" t="s">
        <v>626</v>
      </c>
      <c r="J573" s="0" t="s">
        <v>627</v>
      </c>
      <c r="K573" s="475" t="n">
        <v>36770</v>
      </c>
      <c r="L573" s="254" t="n">
        <v>1799337.85736994</v>
      </c>
      <c r="M573" s="475" t="n">
        <v>36768</v>
      </c>
      <c r="N573" s="0" t="s">
        <v>136</v>
      </c>
      <c r="O573" s="0" t="n">
        <v>0.7</v>
      </c>
      <c r="P573" s="0" t="n">
        <v>0</v>
      </c>
      <c r="Q573" s="0" t="n">
        <v>0</v>
      </c>
      <c r="R573" s="0" t="n">
        <v>0</v>
      </c>
      <c r="S573" s="0" t="n">
        <v>0</v>
      </c>
      <c r="T573" s="0" t="s">
        <v>624</v>
      </c>
      <c r="U573" s="0" t="s">
        <v>137</v>
      </c>
      <c r="V573" s="0" t="s">
        <v>624</v>
      </c>
      <c r="W573" s="0" t="s">
        <v>569</v>
      </c>
      <c r="X573" s="0" t="s">
        <v>624</v>
      </c>
      <c r="Y573" s="0" t="s">
        <v>627</v>
      </c>
      <c r="Z573" s="0" t="s">
        <v>629</v>
      </c>
      <c r="AA573" s="0" t="s">
        <v>624</v>
      </c>
      <c r="AB573" s="0" t="s">
        <v>580</v>
      </c>
      <c r="AC573" s="254" t="n">
        <v>1000000</v>
      </c>
      <c r="AD573" s="254" t="n">
        <v>-0.0399028599495068</v>
      </c>
      <c r="AE573" s="0" t="n">
        <v>0</v>
      </c>
      <c r="AF573" s="0" t="n">
        <v>0</v>
      </c>
      <c r="AG573" s="0" t="n">
        <v>0</v>
      </c>
      <c r="AH573" s="254" t="n">
        <v>264756.490469828</v>
      </c>
      <c r="AI573" s="0" t="n">
        <v>226</v>
      </c>
      <c r="AJ573" s="0" t="s">
        <v>630</v>
      </c>
      <c r="AK573" s="0" t="n">
        <v>0</v>
      </c>
      <c r="AL573" s="0" t="n">
        <v>0</v>
      </c>
      <c r="AM573" s="0" t="n">
        <v>0</v>
      </c>
    </row>
    <row r="574" customFormat="false" ht="12.75" hidden="false" customHeight="false" outlineLevel="0" collapsed="false">
      <c r="A574" s="0" t="s">
        <v>631</v>
      </c>
      <c r="B574" s="0" t="s">
        <v>391</v>
      </c>
      <c r="C574" s="0" t="s">
        <v>622</v>
      </c>
      <c r="D574" s="0" t="s">
        <v>623</v>
      </c>
      <c r="E574" s="0" t="s">
        <v>131</v>
      </c>
      <c r="F574" s="0" t="s">
        <v>212</v>
      </c>
      <c r="G574" s="0" t="s">
        <v>628</v>
      </c>
      <c r="H574" s="0" t="s">
        <v>625</v>
      </c>
      <c r="I574" s="0" t="s">
        <v>626</v>
      </c>
      <c r="J574" s="0" t="s">
        <v>627</v>
      </c>
      <c r="K574" s="475" t="n">
        <v>36800</v>
      </c>
      <c r="L574" s="254" t="n">
        <v>-64.9120295060734</v>
      </c>
      <c r="M574" s="475" t="n">
        <v>36797</v>
      </c>
      <c r="N574" s="0" t="s">
        <v>132</v>
      </c>
      <c r="O574" s="0" t="n">
        <v>0.5</v>
      </c>
      <c r="P574" s="0" t="n">
        <v>0</v>
      </c>
      <c r="Q574" s="0" t="n">
        <v>0</v>
      </c>
      <c r="R574" s="0" t="n">
        <v>0</v>
      </c>
      <c r="S574" s="0" t="n">
        <v>0</v>
      </c>
      <c r="T574" s="0" t="s">
        <v>624</v>
      </c>
      <c r="U574" s="0" t="s">
        <v>137</v>
      </c>
      <c r="V574" s="0" t="s">
        <v>624</v>
      </c>
      <c r="W574" s="0" t="s">
        <v>569</v>
      </c>
      <c r="X574" s="0" t="s">
        <v>624</v>
      </c>
      <c r="Y574" s="0" t="s">
        <v>627</v>
      </c>
      <c r="Z574" s="0" t="s">
        <v>629</v>
      </c>
      <c r="AA574" s="0" t="s">
        <v>624</v>
      </c>
      <c r="AB574" s="0" t="s">
        <v>580</v>
      </c>
      <c r="AC574" s="254" t="n">
        <v>-155000</v>
      </c>
      <c r="AD574" s="254" t="n">
        <v>-119.302285280839</v>
      </c>
      <c r="AE574" s="0" t="n">
        <v>0</v>
      </c>
      <c r="AF574" s="0" t="n">
        <v>0</v>
      </c>
      <c r="AG574" s="0" t="n">
        <v>0</v>
      </c>
      <c r="AH574" s="254" t="n">
        <v>-21.3241577874967</v>
      </c>
      <c r="AI574" s="0" t="n">
        <v>226</v>
      </c>
      <c r="AJ574" s="0" t="s">
        <v>630</v>
      </c>
      <c r="AK574" s="0" t="n">
        <v>0</v>
      </c>
      <c r="AL574" s="0" t="n">
        <v>0</v>
      </c>
      <c r="AM574" s="0" t="n">
        <v>0</v>
      </c>
    </row>
    <row r="575" customFormat="false" ht="12.75" hidden="false" customHeight="false" outlineLevel="0" collapsed="false">
      <c r="A575" s="0" t="s">
        <v>631</v>
      </c>
      <c r="B575" s="0" t="s">
        <v>391</v>
      </c>
      <c r="C575" s="0" t="s">
        <v>622</v>
      </c>
      <c r="D575" s="0" t="s">
        <v>623</v>
      </c>
      <c r="E575" s="0" t="s">
        <v>131</v>
      </c>
      <c r="F575" s="0" t="s">
        <v>212</v>
      </c>
      <c r="G575" s="0" t="s">
        <v>628</v>
      </c>
      <c r="H575" s="0" t="s">
        <v>625</v>
      </c>
      <c r="I575" s="0" t="s">
        <v>626</v>
      </c>
      <c r="J575" s="0" t="s">
        <v>627</v>
      </c>
      <c r="K575" s="475" t="n">
        <v>36770</v>
      </c>
      <c r="L575" s="254" t="n">
        <v>-0.0393266814197046</v>
      </c>
      <c r="M575" s="475" t="n">
        <v>36768</v>
      </c>
      <c r="N575" s="0" t="s">
        <v>132</v>
      </c>
      <c r="O575" s="0" t="n">
        <v>0.5</v>
      </c>
      <c r="P575" s="0" t="n">
        <v>0</v>
      </c>
      <c r="Q575" s="0" t="n">
        <v>0</v>
      </c>
      <c r="R575" s="0" t="n">
        <v>0</v>
      </c>
      <c r="S575" s="0" t="n">
        <v>0</v>
      </c>
      <c r="T575" s="0" t="s">
        <v>624</v>
      </c>
      <c r="U575" s="0" t="s">
        <v>137</v>
      </c>
      <c r="V575" s="0" t="s">
        <v>624</v>
      </c>
      <c r="W575" s="0" t="s">
        <v>569</v>
      </c>
      <c r="X575" s="0" t="s">
        <v>624</v>
      </c>
      <c r="Y575" s="0" t="s">
        <v>627</v>
      </c>
      <c r="Z575" s="0" t="s">
        <v>629</v>
      </c>
      <c r="AA575" s="0" t="s">
        <v>624</v>
      </c>
      <c r="AB575" s="0" t="s">
        <v>580</v>
      </c>
      <c r="AC575" s="254" t="n">
        <v>-150000</v>
      </c>
      <c r="AD575" s="254" t="n">
        <v>0.00598542873597729</v>
      </c>
      <c r="AE575" s="0" t="n">
        <v>0</v>
      </c>
      <c r="AF575" s="0" t="n">
        <v>0</v>
      </c>
      <c r="AG575" s="0" t="n">
        <v>0</v>
      </c>
      <c r="AH575" s="254" t="n">
        <v>-0.0051995168171004</v>
      </c>
      <c r="AI575" s="0" t="n">
        <v>226</v>
      </c>
      <c r="AJ575" s="0" t="s">
        <v>630</v>
      </c>
      <c r="AK575" s="0" t="n">
        <v>0</v>
      </c>
      <c r="AL575" s="0" t="n">
        <v>0</v>
      </c>
      <c r="AM575" s="0" t="n">
        <v>0</v>
      </c>
    </row>
    <row r="576" customFormat="false" ht="12.75" hidden="false" customHeight="false" outlineLevel="0" collapsed="false">
      <c r="A576" s="0" t="s">
        <v>631</v>
      </c>
      <c r="B576" s="0" t="s">
        <v>392</v>
      </c>
      <c r="C576" s="0" t="s">
        <v>622</v>
      </c>
      <c r="D576" s="0" t="s">
        <v>623</v>
      </c>
      <c r="E576" s="0" t="s">
        <v>131</v>
      </c>
      <c r="F576" s="0" t="s">
        <v>345</v>
      </c>
      <c r="G576" s="0" t="s">
        <v>628</v>
      </c>
      <c r="H576" s="0" t="s">
        <v>625</v>
      </c>
      <c r="I576" s="0" t="s">
        <v>626</v>
      </c>
      <c r="J576" s="0" t="s">
        <v>627</v>
      </c>
      <c r="K576" s="475" t="n">
        <v>36831</v>
      </c>
      <c r="L576" s="254" t="n">
        <v>-2325.07877937267</v>
      </c>
      <c r="M576" s="475" t="n">
        <v>36829</v>
      </c>
      <c r="N576" s="0" t="s">
        <v>136</v>
      </c>
      <c r="O576" s="0" t="n">
        <v>0.15</v>
      </c>
      <c r="P576" s="0" t="n">
        <v>0</v>
      </c>
      <c r="Q576" s="0" t="n">
        <v>0</v>
      </c>
      <c r="R576" s="0" t="n">
        <v>0</v>
      </c>
      <c r="S576" s="0" t="n">
        <v>0</v>
      </c>
      <c r="T576" s="0" t="s">
        <v>624</v>
      </c>
      <c r="U576" s="0" t="s">
        <v>632</v>
      </c>
      <c r="V576" s="0" t="s">
        <v>624</v>
      </c>
      <c r="W576" s="0" t="s">
        <v>569</v>
      </c>
      <c r="X576" s="0" t="s">
        <v>624</v>
      </c>
      <c r="Y576" s="0" t="s">
        <v>627</v>
      </c>
      <c r="Z576" s="0" t="s">
        <v>629</v>
      </c>
      <c r="AA576" s="0" t="s">
        <v>624</v>
      </c>
      <c r="AB576" s="0" t="s">
        <v>580</v>
      </c>
      <c r="AC576" s="254" t="n">
        <v>-150000</v>
      </c>
      <c r="AD576" s="254" t="n">
        <v>-867.491134732489</v>
      </c>
      <c r="AE576" s="0" t="n">
        <v>0</v>
      </c>
      <c r="AF576" s="0" t="n">
        <v>0</v>
      </c>
      <c r="AG576" s="0" t="n">
        <v>0</v>
      </c>
      <c r="AH576" s="254" t="n">
        <v>-46.7981078377989</v>
      </c>
      <c r="AI576" s="0" t="n">
        <v>226</v>
      </c>
      <c r="AJ576" s="0" t="s">
        <v>630</v>
      </c>
      <c r="AK576" s="0" t="n">
        <v>0</v>
      </c>
      <c r="AL576" s="0" t="n">
        <v>0</v>
      </c>
      <c r="AM576" s="0" t="n">
        <v>0</v>
      </c>
    </row>
    <row r="577" customFormat="false" ht="12.75" hidden="false" customHeight="false" outlineLevel="0" collapsed="false">
      <c r="A577" s="0" t="s">
        <v>631</v>
      </c>
      <c r="B577" s="0" t="s">
        <v>392</v>
      </c>
      <c r="C577" s="0" t="s">
        <v>622</v>
      </c>
      <c r="D577" s="0" t="s">
        <v>623</v>
      </c>
      <c r="E577" s="0" t="s">
        <v>131</v>
      </c>
      <c r="F577" s="0" t="s">
        <v>345</v>
      </c>
      <c r="G577" s="0" t="s">
        <v>628</v>
      </c>
      <c r="H577" s="0" t="s">
        <v>625</v>
      </c>
      <c r="I577" s="0" t="s">
        <v>626</v>
      </c>
      <c r="J577" s="0" t="s">
        <v>627</v>
      </c>
      <c r="K577" s="475" t="n">
        <v>36861</v>
      </c>
      <c r="L577" s="254" t="n">
        <v>-4237.9759780883</v>
      </c>
      <c r="M577" s="475" t="n">
        <v>36859</v>
      </c>
      <c r="N577" s="0" t="s">
        <v>136</v>
      </c>
      <c r="O577" s="0" t="n">
        <v>0.15</v>
      </c>
      <c r="P577" s="0" t="n">
        <v>0</v>
      </c>
      <c r="Q577" s="0" t="n">
        <v>0</v>
      </c>
      <c r="R577" s="0" t="n">
        <v>0</v>
      </c>
      <c r="S577" s="0" t="n">
        <v>0</v>
      </c>
      <c r="T577" s="0" t="s">
        <v>624</v>
      </c>
      <c r="U577" s="0" t="s">
        <v>632</v>
      </c>
      <c r="V577" s="0" t="s">
        <v>624</v>
      </c>
      <c r="W577" s="0" t="s">
        <v>569</v>
      </c>
      <c r="X577" s="0" t="s">
        <v>624</v>
      </c>
      <c r="Y577" s="0" t="s">
        <v>627</v>
      </c>
      <c r="Z577" s="0" t="s">
        <v>629</v>
      </c>
      <c r="AA577" s="0" t="s">
        <v>624</v>
      </c>
      <c r="AB577" s="0" t="s">
        <v>580</v>
      </c>
      <c r="AC577" s="254" t="n">
        <v>-155000</v>
      </c>
      <c r="AD577" s="254" t="n">
        <v>-1228.28788793598</v>
      </c>
      <c r="AE577" s="0" t="n">
        <v>0</v>
      </c>
      <c r="AF577" s="0" t="n">
        <v>0</v>
      </c>
      <c r="AG577" s="0" t="n">
        <v>0</v>
      </c>
      <c r="AH577" s="254" t="n">
        <v>-61.8407704300516</v>
      </c>
      <c r="AI577" s="0" t="n">
        <v>226</v>
      </c>
      <c r="AJ577" s="0" t="s">
        <v>630</v>
      </c>
      <c r="AK577" s="0" t="n">
        <v>0</v>
      </c>
      <c r="AL577" s="0" t="n">
        <v>0</v>
      </c>
      <c r="AM577" s="0" t="n">
        <v>0</v>
      </c>
    </row>
    <row r="578" customFormat="false" ht="12.75" hidden="false" customHeight="false" outlineLevel="0" collapsed="false">
      <c r="A578" s="0" t="s">
        <v>631</v>
      </c>
      <c r="B578" s="0" t="s">
        <v>392</v>
      </c>
      <c r="C578" s="0" t="s">
        <v>622</v>
      </c>
      <c r="D578" s="0" t="s">
        <v>623</v>
      </c>
      <c r="E578" s="0" t="s">
        <v>131</v>
      </c>
      <c r="F578" s="0" t="s">
        <v>345</v>
      </c>
      <c r="G578" s="0" t="s">
        <v>628</v>
      </c>
      <c r="H578" s="0" t="s">
        <v>625</v>
      </c>
      <c r="I578" s="0" t="s">
        <v>626</v>
      </c>
      <c r="J578" s="0" t="s">
        <v>627</v>
      </c>
      <c r="K578" s="475" t="n">
        <v>36892</v>
      </c>
      <c r="L578" s="254" t="n">
        <v>-6897.97181595108</v>
      </c>
      <c r="M578" s="475" t="n">
        <v>36888</v>
      </c>
      <c r="N578" s="0" t="s">
        <v>136</v>
      </c>
      <c r="O578" s="0" t="n">
        <v>0.15</v>
      </c>
      <c r="P578" s="0" t="n">
        <v>0</v>
      </c>
      <c r="Q578" s="0" t="n">
        <v>0</v>
      </c>
      <c r="R578" s="0" t="n">
        <v>0</v>
      </c>
      <c r="S578" s="0" t="n">
        <v>0</v>
      </c>
      <c r="T578" s="0" t="s">
        <v>624</v>
      </c>
      <c r="U578" s="0" t="s">
        <v>632</v>
      </c>
      <c r="V578" s="0" t="s">
        <v>624</v>
      </c>
      <c r="W578" s="0" t="s">
        <v>569</v>
      </c>
      <c r="X578" s="0" t="s">
        <v>624</v>
      </c>
      <c r="Y578" s="0" t="s">
        <v>627</v>
      </c>
      <c r="Z578" s="0" t="s">
        <v>629</v>
      </c>
      <c r="AA578" s="0" t="s">
        <v>624</v>
      </c>
      <c r="AB578" s="0" t="s">
        <v>580</v>
      </c>
      <c r="AC578" s="254" t="n">
        <v>-155000</v>
      </c>
      <c r="AD578" s="254" t="n">
        <v>-1505.72683180023</v>
      </c>
      <c r="AE578" s="0" t="n">
        <v>0</v>
      </c>
      <c r="AF578" s="0" t="n">
        <v>0</v>
      </c>
      <c r="AG578" s="0" t="n">
        <v>0</v>
      </c>
      <c r="AH578" s="254" t="n">
        <v>-72.4704870944634</v>
      </c>
      <c r="AI578" s="0" t="n">
        <v>226</v>
      </c>
      <c r="AJ578" s="0" t="s">
        <v>630</v>
      </c>
      <c r="AK578" s="0" t="n">
        <v>0</v>
      </c>
      <c r="AL578" s="0" t="n">
        <v>0</v>
      </c>
      <c r="AM578" s="0" t="n">
        <v>0</v>
      </c>
    </row>
    <row r="579" customFormat="false" ht="12.75" hidden="false" customHeight="false" outlineLevel="0" collapsed="false">
      <c r="A579" s="0" t="s">
        <v>631</v>
      </c>
      <c r="B579" s="0" t="s">
        <v>392</v>
      </c>
      <c r="C579" s="0" t="s">
        <v>622</v>
      </c>
      <c r="D579" s="0" t="s">
        <v>623</v>
      </c>
      <c r="E579" s="0" t="s">
        <v>131</v>
      </c>
      <c r="F579" s="0" t="s">
        <v>345</v>
      </c>
      <c r="G579" s="0" t="s">
        <v>628</v>
      </c>
      <c r="H579" s="0" t="s">
        <v>625</v>
      </c>
      <c r="I579" s="0" t="s">
        <v>626</v>
      </c>
      <c r="J579" s="0" t="s">
        <v>627</v>
      </c>
      <c r="K579" s="475" t="n">
        <v>36923</v>
      </c>
      <c r="L579" s="254" t="n">
        <v>-7249.05128040404</v>
      </c>
      <c r="M579" s="475" t="n">
        <v>36921</v>
      </c>
      <c r="N579" s="0" t="s">
        <v>136</v>
      </c>
      <c r="O579" s="0" t="n">
        <v>0.15</v>
      </c>
      <c r="P579" s="0" t="n">
        <v>0</v>
      </c>
      <c r="Q579" s="0" t="n">
        <v>0</v>
      </c>
      <c r="R579" s="0" t="n">
        <v>0</v>
      </c>
      <c r="S579" s="0" t="n">
        <v>0</v>
      </c>
      <c r="T579" s="0" t="s">
        <v>624</v>
      </c>
      <c r="U579" s="0" t="s">
        <v>632</v>
      </c>
      <c r="V579" s="0" t="s">
        <v>624</v>
      </c>
      <c r="W579" s="0" t="s">
        <v>569</v>
      </c>
      <c r="X579" s="0" t="s">
        <v>624</v>
      </c>
      <c r="Y579" s="0" t="s">
        <v>627</v>
      </c>
      <c r="Z579" s="0" t="s">
        <v>629</v>
      </c>
      <c r="AA579" s="0" t="s">
        <v>624</v>
      </c>
      <c r="AB579" s="0" t="s">
        <v>580</v>
      </c>
      <c r="AC579" s="254" t="n">
        <v>-140000</v>
      </c>
      <c r="AD579" s="254" t="n">
        <v>-1494.33561244644</v>
      </c>
      <c r="AE579" s="0" t="n">
        <v>0</v>
      </c>
      <c r="AF579" s="0" t="n">
        <v>0</v>
      </c>
      <c r="AG579" s="0" t="n">
        <v>0</v>
      </c>
      <c r="AH579" s="254" t="n">
        <v>-71.7191987471442</v>
      </c>
      <c r="AI579" s="0" t="n">
        <v>226</v>
      </c>
      <c r="AJ579" s="0" t="s">
        <v>630</v>
      </c>
      <c r="AK579" s="0" t="n">
        <v>0</v>
      </c>
      <c r="AL579" s="0" t="n">
        <v>0</v>
      </c>
      <c r="AM579" s="0" t="n">
        <v>0</v>
      </c>
    </row>
    <row r="580" customFormat="false" ht="12.75" hidden="false" customHeight="false" outlineLevel="0" collapsed="false">
      <c r="A580" s="0" t="s">
        <v>631</v>
      </c>
      <c r="B580" s="0" t="s">
        <v>392</v>
      </c>
      <c r="C580" s="0" t="s">
        <v>622</v>
      </c>
      <c r="D580" s="0" t="s">
        <v>623</v>
      </c>
      <c r="E580" s="0" t="s">
        <v>131</v>
      </c>
      <c r="F580" s="0" t="s">
        <v>345</v>
      </c>
      <c r="G580" s="0" t="s">
        <v>628</v>
      </c>
      <c r="H580" s="0" t="s">
        <v>625</v>
      </c>
      <c r="I580" s="0" t="s">
        <v>626</v>
      </c>
      <c r="J580" s="0" t="s">
        <v>627</v>
      </c>
      <c r="K580" s="475" t="n">
        <v>36951</v>
      </c>
      <c r="L580" s="254" t="n">
        <v>-6333.07378028289</v>
      </c>
      <c r="M580" s="475" t="n">
        <v>36949</v>
      </c>
      <c r="N580" s="0" t="s">
        <v>136</v>
      </c>
      <c r="O580" s="0" t="n">
        <v>0.15</v>
      </c>
      <c r="P580" s="0" t="n">
        <v>0</v>
      </c>
      <c r="Q580" s="0" t="n">
        <v>0</v>
      </c>
      <c r="R580" s="0" t="n">
        <v>0</v>
      </c>
      <c r="S580" s="0" t="n">
        <v>0</v>
      </c>
      <c r="T580" s="0" t="s">
        <v>624</v>
      </c>
      <c r="U580" s="0" t="s">
        <v>632</v>
      </c>
      <c r="V580" s="0" t="s">
        <v>624</v>
      </c>
      <c r="W580" s="0" t="s">
        <v>569</v>
      </c>
      <c r="X580" s="0" t="s">
        <v>624</v>
      </c>
      <c r="Y580" s="0" t="s">
        <v>627</v>
      </c>
      <c r="Z580" s="0" t="s">
        <v>629</v>
      </c>
      <c r="AA580" s="0" t="s">
        <v>624</v>
      </c>
      <c r="AB580" s="0" t="s">
        <v>580</v>
      </c>
      <c r="AC580" s="254" t="n">
        <v>-155000</v>
      </c>
      <c r="AD580" s="254" t="n">
        <v>-1573.58961382547</v>
      </c>
      <c r="AE580" s="0" t="n">
        <v>0</v>
      </c>
      <c r="AF580" s="0" t="n">
        <v>0</v>
      </c>
      <c r="AG580" s="0" t="n">
        <v>0</v>
      </c>
      <c r="AH580" s="254" t="n">
        <v>-80.0251684645655</v>
      </c>
      <c r="AI580" s="0" t="n">
        <v>226</v>
      </c>
      <c r="AJ580" s="0" t="s">
        <v>630</v>
      </c>
      <c r="AK580" s="0" t="n">
        <v>0</v>
      </c>
      <c r="AL580" s="0" t="n">
        <v>0</v>
      </c>
      <c r="AM580" s="0" t="n">
        <v>0</v>
      </c>
    </row>
    <row r="581" customFormat="false" ht="12.75" hidden="false" customHeight="false" outlineLevel="0" collapsed="false">
      <c r="A581" s="0" t="s">
        <v>631</v>
      </c>
      <c r="B581" s="0" t="s">
        <v>393</v>
      </c>
      <c r="C581" s="0" t="s">
        <v>622</v>
      </c>
      <c r="D581" s="0" t="s">
        <v>623</v>
      </c>
      <c r="E581" s="0" t="s">
        <v>131</v>
      </c>
      <c r="F581" s="0" t="s">
        <v>196</v>
      </c>
      <c r="G581" s="0" t="s">
        <v>628</v>
      </c>
      <c r="H581" s="0" t="s">
        <v>625</v>
      </c>
      <c r="I581" s="0" t="s">
        <v>626</v>
      </c>
      <c r="J581" s="0" t="s">
        <v>627</v>
      </c>
      <c r="K581" s="475" t="n">
        <v>36831</v>
      </c>
      <c r="L581" s="254" t="n">
        <v>-15472.0323585834</v>
      </c>
      <c r="M581" s="475" t="n">
        <v>36829</v>
      </c>
      <c r="N581" s="0" t="s">
        <v>136</v>
      </c>
      <c r="O581" s="0" t="n">
        <v>-0.15</v>
      </c>
      <c r="P581" s="0" t="n">
        <v>0</v>
      </c>
      <c r="Q581" s="0" t="n">
        <v>0</v>
      </c>
      <c r="R581" s="0" t="n">
        <v>0</v>
      </c>
      <c r="S581" s="0" t="n">
        <v>0</v>
      </c>
      <c r="T581" s="0" t="s">
        <v>624</v>
      </c>
      <c r="U581" s="0" t="s">
        <v>68</v>
      </c>
      <c r="V581" s="0" t="s">
        <v>624</v>
      </c>
      <c r="W581" s="0" t="s">
        <v>569</v>
      </c>
      <c r="X581" s="0" t="s">
        <v>624</v>
      </c>
      <c r="Y581" s="0" t="s">
        <v>627</v>
      </c>
      <c r="Z581" s="0" t="s">
        <v>629</v>
      </c>
      <c r="AA581" s="0" t="s">
        <v>624</v>
      </c>
      <c r="AB581" s="0" t="s">
        <v>580</v>
      </c>
      <c r="AC581" s="254" t="n">
        <v>-300000</v>
      </c>
      <c r="AD581" s="254" t="n">
        <v>-2778.26103313602</v>
      </c>
      <c r="AE581" s="0" t="n">
        <v>0</v>
      </c>
      <c r="AF581" s="0" t="n">
        <v>0</v>
      </c>
      <c r="AG581" s="0" t="n">
        <v>0</v>
      </c>
      <c r="AH581" s="254" t="n">
        <v>244.76982637145</v>
      </c>
      <c r="AI581" s="0" t="n">
        <v>226</v>
      </c>
      <c r="AJ581" s="0" t="s">
        <v>630</v>
      </c>
      <c r="AK581" s="0" t="n">
        <v>0</v>
      </c>
      <c r="AL581" s="0" t="n">
        <v>0</v>
      </c>
      <c r="AM581" s="0" t="n">
        <v>0</v>
      </c>
    </row>
    <row r="582" customFormat="false" ht="12.75" hidden="false" customHeight="false" outlineLevel="0" collapsed="false">
      <c r="A582" s="0" t="s">
        <v>631</v>
      </c>
      <c r="B582" s="0" t="s">
        <v>393</v>
      </c>
      <c r="C582" s="0" t="s">
        <v>622</v>
      </c>
      <c r="D582" s="0" t="s">
        <v>623</v>
      </c>
      <c r="E582" s="0" t="s">
        <v>131</v>
      </c>
      <c r="F582" s="0" t="s">
        <v>196</v>
      </c>
      <c r="G582" s="0" t="s">
        <v>628</v>
      </c>
      <c r="H582" s="0" t="s">
        <v>625</v>
      </c>
      <c r="I582" s="0" t="s">
        <v>626</v>
      </c>
      <c r="J582" s="0" t="s">
        <v>627</v>
      </c>
      <c r="K582" s="475" t="n">
        <v>36861</v>
      </c>
      <c r="L582" s="254" t="n">
        <v>-17886.7498907873</v>
      </c>
      <c r="M582" s="475" t="n">
        <v>36859</v>
      </c>
      <c r="N582" s="0" t="s">
        <v>136</v>
      </c>
      <c r="O582" s="0" t="n">
        <v>-0.15</v>
      </c>
      <c r="P582" s="0" t="n">
        <v>0</v>
      </c>
      <c r="Q582" s="0" t="n">
        <v>0</v>
      </c>
      <c r="R582" s="0" t="n">
        <v>0</v>
      </c>
      <c r="S582" s="0" t="n">
        <v>0</v>
      </c>
      <c r="T582" s="0" t="s">
        <v>624</v>
      </c>
      <c r="U582" s="0" t="s">
        <v>68</v>
      </c>
      <c r="V582" s="0" t="s">
        <v>624</v>
      </c>
      <c r="W582" s="0" t="s">
        <v>569</v>
      </c>
      <c r="X582" s="0" t="s">
        <v>624</v>
      </c>
      <c r="Y582" s="0" t="s">
        <v>627</v>
      </c>
      <c r="Z582" s="0" t="s">
        <v>629</v>
      </c>
      <c r="AA582" s="0" t="s">
        <v>624</v>
      </c>
      <c r="AB582" s="0" t="s">
        <v>580</v>
      </c>
      <c r="AC582" s="254" t="n">
        <v>-310000</v>
      </c>
      <c r="AD582" s="254" t="n">
        <v>-3504.09339461851</v>
      </c>
      <c r="AE582" s="0" t="n">
        <v>0</v>
      </c>
      <c r="AF582" s="0" t="n">
        <v>0</v>
      </c>
      <c r="AG582" s="0" t="n">
        <v>0</v>
      </c>
      <c r="AH582" s="254" t="n">
        <v>204.767113574504</v>
      </c>
      <c r="AI582" s="0" t="n">
        <v>226</v>
      </c>
      <c r="AJ582" s="0" t="s">
        <v>630</v>
      </c>
      <c r="AK582" s="0" t="n">
        <v>0</v>
      </c>
      <c r="AL582" s="0" t="n">
        <v>0</v>
      </c>
      <c r="AM582" s="0" t="n">
        <v>0</v>
      </c>
    </row>
    <row r="583" customFormat="false" ht="12.75" hidden="false" customHeight="false" outlineLevel="0" collapsed="false">
      <c r="A583" s="0" t="s">
        <v>631</v>
      </c>
      <c r="B583" s="0" t="s">
        <v>393</v>
      </c>
      <c r="C583" s="0" t="s">
        <v>622</v>
      </c>
      <c r="D583" s="0" t="s">
        <v>623</v>
      </c>
      <c r="E583" s="0" t="s">
        <v>131</v>
      </c>
      <c r="F583" s="0" t="s">
        <v>196</v>
      </c>
      <c r="G583" s="0" t="s">
        <v>628</v>
      </c>
      <c r="H583" s="0" t="s">
        <v>625</v>
      </c>
      <c r="I583" s="0" t="s">
        <v>626</v>
      </c>
      <c r="J583" s="0" t="s">
        <v>627</v>
      </c>
      <c r="K583" s="475" t="n">
        <v>36892</v>
      </c>
      <c r="L583" s="254" t="n">
        <v>-19275.1396620173</v>
      </c>
      <c r="M583" s="475" t="n">
        <v>36888</v>
      </c>
      <c r="N583" s="0" t="s">
        <v>136</v>
      </c>
      <c r="O583" s="0" t="n">
        <v>-0.15</v>
      </c>
      <c r="P583" s="0" t="n">
        <v>0</v>
      </c>
      <c r="Q583" s="0" t="n">
        <v>0</v>
      </c>
      <c r="R583" s="0" t="n">
        <v>0</v>
      </c>
      <c r="S583" s="0" t="n">
        <v>0</v>
      </c>
      <c r="T583" s="0" t="s">
        <v>624</v>
      </c>
      <c r="U583" s="0" t="s">
        <v>68</v>
      </c>
      <c r="V583" s="0" t="s">
        <v>624</v>
      </c>
      <c r="W583" s="0" t="s">
        <v>569</v>
      </c>
      <c r="X583" s="0" t="s">
        <v>624</v>
      </c>
      <c r="Y583" s="0" t="s">
        <v>627</v>
      </c>
      <c r="Z583" s="0" t="s">
        <v>629</v>
      </c>
      <c r="AA583" s="0" t="s">
        <v>624</v>
      </c>
      <c r="AB583" s="0" t="s">
        <v>580</v>
      </c>
      <c r="AC583" s="254" t="n">
        <v>-310000</v>
      </c>
      <c r="AD583" s="254" t="n">
        <v>-4010.49287752682</v>
      </c>
      <c r="AE583" s="0" t="n">
        <v>0</v>
      </c>
      <c r="AF583" s="0" t="n">
        <v>0</v>
      </c>
      <c r="AG583" s="0" t="n">
        <v>0</v>
      </c>
      <c r="AH583" s="254" t="n">
        <v>173.386335055919</v>
      </c>
      <c r="AI583" s="0" t="n">
        <v>226</v>
      </c>
      <c r="AJ583" s="0" t="s">
        <v>630</v>
      </c>
      <c r="AK583" s="0" t="n">
        <v>0</v>
      </c>
      <c r="AL583" s="0" t="n">
        <v>0</v>
      </c>
      <c r="AM583" s="0" t="n">
        <v>0</v>
      </c>
    </row>
    <row r="584" customFormat="false" ht="12.75" hidden="false" customHeight="false" outlineLevel="0" collapsed="false">
      <c r="A584" s="0" t="s">
        <v>631</v>
      </c>
      <c r="B584" s="0" t="s">
        <v>393</v>
      </c>
      <c r="C584" s="0" t="s">
        <v>622</v>
      </c>
      <c r="D584" s="0" t="s">
        <v>623</v>
      </c>
      <c r="E584" s="0" t="s">
        <v>131</v>
      </c>
      <c r="F584" s="0" t="s">
        <v>196</v>
      </c>
      <c r="G584" s="0" t="s">
        <v>628</v>
      </c>
      <c r="H584" s="0" t="s">
        <v>625</v>
      </c>
      <c r="I584" s="0" t="s">
        <v>626</v>
      </c>
      <c r="J584" s="0" t="s">
        <v>627</v>
      </c>
      <c r="K584" s="475" t="n">
        <v>36923</v>
      </c>
      <c r="L584" s="254" t="n">
        <v>-20191.2380052085</v>
      </c>
      <c r="M584" s="475" t="n">
        <v>36921</v>
      </c>
      <c r="N584" s="0" t="s">
        <v>136</v>
      </c>
      <c r="O584" s="0" t="n">
        <v>-0.15</v>
      </c>
      <c r="P584" s="0" t="n">
        <v>0</v>
      </c>
      <c r="Q584" s="0" t="n">
        <v>0</v>
      </c>
      <c r="R584" s="0" t="n">
        <v>0</v>
      </c>
      <c r="S584" s="0" t="n">
        <v>0</v>
      </c>
      <c r="T584" s="0" t="s">
        <v>624</v>
      </c>
      <c r="U584" s="0" t="s">
        <v>68</v>
      </c>
      <c r="V584" s="0" t="s">
        <v>624</v>
      </c>
      <c r="W584" s="0" t="s">
        <v>569</v>
      </c>
      <c r="X584" s="0" t="s">
        <v>624</v>
      </c>
      <c r="Y584" s="0" t="s">
        <v>627</v>
      </c>
      <c r="Z584" s="0" t="s">
        <v>629</v>
      </c>
      <c r="AA584" s="0" t="s">
        <v>624</v>
      </c>
      <c r="AB584" s="0" t="s">
        <v>580</v>
      </c>
      <c r="AC584" s="254" t="n">
        <v>-280000</v>
      </c>
      <c r="AD584" s="254" t="n">
        <v>-3962.98692134972</v>
      </c>
      <c r="AE584" s="0" t="n">
        <v>0</v>
      </c>
      <c r="AF584" s="0" t="n">
        <v>0</v>
      </c>
      <c r="AG584" s="0" t="n">
        <v>0</v>
      </c>
      <c r="AH584" s="254" t="n">
        <v>162.156639695895</v>
      </c>
      <c r="AI584" s="0" t="n">
        <v>226</v>
      </c>
      <c r="AJ584" s="0" t="s">
        <v>630</v>
      </c>
      <c r="AK584" s="0" t="n">
        <v>0</v>
      </c>
      <c r="AL584" s="0" t="n">
        <v>0</v>
      </c>
      <c r="AM584" s="0" t="n">
        <v>0</v>
      </c>
    </row>
    <row r="585" customFormat="false" ht="12.75" hidden="false" customHeight="false" outlineLevel="0" collapsed="false">
      <c r="A585" s="0" t="s">
        <v>631</v>
      </c>
      <c r="B585" s="0" t="s">
        <v>393</v>
      </c>
      <c r="C585" s="0" t="s">
        <v>622</v>
      </c>
      <c r="D585" s="0" t="s">
        <v>623</v>
      </c>
      <c r="E585" s="0" t="s">
        <v>131</v>
      </c>
      <c r="F585" s="0" t="s">
        <v>196</v>
      </c>
      <c r="G585" s="0" t="s">
        <v>628</v>
      </c>
      <c r="H585" s="0" t="s">
        <v>625</v>
      </c>
      <c r="I585" s="0" t="s">
        <v>626</v>
      </c>
      <c r="J585" s="0" t="s">
        <v>627</v>
      </c>
      <c r="K585" s="475" t="n">
        <v>36951</v>
      </c>
      <c r="L585" s="254" t="n">
        <v>-21768.7421784941</v>
      </c>
      <c r="M585" s="475" t="n">
        <v>36949</v>
      </c>
      <c r="N585" s="0" t="s">
        <v>136</v>
      </c>
      <c r="O585" s="0" t="n">
        <v>-0.15</v>
      </c>
      <c r="P585" s="0" t="n">
        <v>0</v>
      </c>
      <c r="Q585" s="0" t="n">
        <v>0</v>
      </c>
      <c r="R585" s="0" t="n">
        <v>0</v>
      </c>
      <c r="S585" s="0" t="n">
        <v>0</v>
      </c>
      <c r="T585" s="0" t="s">
        <v>624</v>
      </c>
      <c r="U585" s="0" t="s">
        <v>68</v>
      </c>
      <c r="V585" s="0" t="s">
        <v>624</v>
      </c>
      <c r="W585" s="0" t="s">
        <v>569</v>
      </c>
      <c r="X585" s="0" t="s">
        <v>624</v>
      </c>
      <c r="Y585" s="0" t="s">
        <v>627</v>
      </c>
      <c r="Z585" s="0" t="s">
        <v>629</v>
      </c>
      <c r="AA585" s="0" t="s">
        <v>624</v>
      </c>
      <c r="AB585" s="0" t="s">
        <v>580</v>
      </c>
      <c r="AC585" s="254" t="n">
        <v>-310000</v>
      </c>
      <c r="AD585" s="254" t="n">
        <v>-4228.24407110081</v>
      </c>
      <c r="AE585" s="0" t="n">
        <v>0</v>
      </c>
      <c r="AF585" s="0" t="n">
        <v>0</v>
      </c>
      <c r="AG585" s="0" t="n">
        <v>0</v>
      </c>
      <c r="AH585" s="254" t="n">
        <v>187.055316262245</v>
      </c>
      <c r="AI585" s="0" t="n">
        <v>226</v>
      </c>
      <c r="AJ585" s="0" t="s">
        <v>630</v>
      </c>
      <c r="AK585" s="0" t="n">
        <v>0</v>
      </c>
      <c r="AL585" s="0" t="n">
        <v>0</v>
      </c>
      <c r="AM585" s="0" t="n">
        <v>0</v>
      </c>
    </row>
    <row r="586" customFormat="false" ht="12.75" hidden="false" customHeight="false" outlineLevel="0" collapsed="false">
      <c r="A586" s="0" t="s">
        <v>631</v>
      </c>
      <c r="B586" s="0" t="s">
        <v>394</v>
      </c>
      <c r="C586" s="0" t="s">
        <v>622</v>
      </c>
      <c r="D586" s="0" t="s">
        <v>623</v>
      </c>
      <c r="E586" s="0" t="s">
        <v>131</v>
      </c>
      <c r="F586" s="0" t="s">
        <v>198</v>
      </c>
      <c r="G586" s="0" t="s">
        <v>628</v>
      </c>
      <c r="H586" s="0" t="s">
        <v>625</v>
      </c>
      <c r="I586" s="0" t="s">
        <v>626</v>
      </c>
      <c r="J586" s="0" t="s">
        <v>627</v>
      </c>
      <c r="K586" s="475" t="n">
        <v>36831</v>
      </c>
      <c r="L586" s="254" t="n">
        <v>198874.738758276</v>
      </c>
      <c r="M586" s="475" t="n">
        <v>36829</v>
      </c>
      <c r="N586" s="0" t="s">
        <v>132</v>
      </c>
      <c r="O586" s="0" t="n">
        <v>1</v>
      </c>
      <c r="P586" s="0" t="n">
        <v>0</v>
      </c>
      <c r="Q586" s="0" t="n">
        <v>0</v>
      </c>
      <c r="R586" s="0" t="n">
        <v>0</v>
      </c>
      <c r="S586" s="0" t="n">
        <v>0</v>
      </c>
      <c r="T586" s="0" t="s">
        <v>624</v>
      </c>
      <c r="U586" s="0" t="s">
        <v>149</v>
      </c>
      <c r="V586" s="0" t="s">
        <v>624</v>
      </c>
      <c r="W586" s="0" t="s">
        <v>569</v>
      </c>
      <c r="X586" s="0" t="s">
        <v>624</v>
      </c>
      <c r="Y586" s="0" t="s">
        <v>627</v>
      </c>
      <c r="Z586" s="0" t="s">
        <v>629</v>
      </c>
      <c r="AA586" s="0" t="s">
        <v>624</v>
      </c>
      <c r="AB586" s="0" t="s">
        <v>580</v>
      </c>
      <c r="AC586" s="254" t="n">
        <v>500000</v>
      </c>
      <c r="AD586" s="254" t="n">
        <v>20906.9546718727</v>
      </c>
      <c r="AE586" s="0" t="n">
        <v>0</v>
      </c>
      <c r="AF586" s="0" t="n">
        <v>0</v>
      </c>
      <c r="AG586" s="0" t="n">
        <v>0</v>
      </c>
      <c r="AH586" s="254" t="n">
        <v>-11089.0070079881</v>
      </c>
      <c r="AI586" s="0" t="n">
        <v>226</v>
      </c>
      <c r="AJ586" s="0" t="s">
        <v>630</v>
      </c>
      <c r="AK586" s="0" t="n">
        <v>0</v>
      </c>
      <c r="AL586" s="0" t="n">
        <v>0</v>
      </c>
      <c r="AM586" s="0" t="n">
        <v>0</v>
      </c>
    </row>
    <row r="587" customFormat="false" ht="12.75" hidden="false" customHeight="false" outlineLevel="0" collapsed="false">
      <c r="A587" s="0" t="s">
        <v>631</v>
      </c>
      <c r="B587" s="0" t="s">
        <v>394</v>
      </c>
      <c r="C587" s="0" t="s">
        <v>622</v>
      </c>
      <c r="D587" s="0" t="s">
        <v>623</v>
      </c>
      <c r="E587" s="0" t="s">
        <v>131</v>
      </c>
      <c r="F587" s="0" t="s">
        <v>198</v>
      </c>
      <c r="G587" s="0" t="s">
        <v>628</v>
      </c>
      <c r="H587" s="0" t="s">
        <v>625</v>
      </c>
      <c r="I587" s="0" t="s">
        <v>626</v>
      </c>
      <c r="J587" s="0" t="s">
        <v>627</v>
      </c>
      <c r="K587" s="475" t="n">
        <v>36861</v>
      </c>
      <c r="L587" s="254" t="n">
        <v>111797.448559784</v>
      </c>
      <c r="M587" s="475" t="n">
        <v>36859</v>
      </c>
      <c r="N587" s="0" t="s">
        <v>132</v>
      </c>
      <c r="O587" s="0" t="n">
        <v>1</v>
      </c>
      <c r="P587" s="0" t="n">
        <v>0</v>
      </c>
      <c r="Q587" s="0" t="n">
        <v>0</v>
      </c>
      <c r="R587" s="0" t="n">
        <v>0</v>
      </c>
      <c r="S587" s="0" t="n">
        <v>0</v>
      </c>
      <c r="T587" s="0" t="s">
        <v>624</v>
      </c>
      <c r="U587" s="0" t="s">
        <v>149</v>
      </c>
      <c r="V587" s="0" t="s">
        <v>624</v>
      </c>
      <c r="W587" s="0" t="s">
        <v>569</v>
      </c>
      <c r="X587" s="0" t="s">
        <v>624</v>
      </c>
      <c r="Y587" s="0" t="s">
        <v>627</v>
      </c>
      <c r="Z587" s="0" t="s">
        <v>629</v>
      </c>
      <c r="AA587" s="0" t="s">
        <v>624</v>
      </c>
      <c r="AB587" s="0" t="s">
        <v>580</v>
      </c>
      <c r="AC587" s="254" t="n">
        <v>500000</v>
      </c>
      <c r="AD587" s="254" t="n">
        <v>31757.1267130173</v>
      </c>
      <c r="AE587" s="0" t="n">
        <v>0</v>
      </c>
      <c r="AF587" s="0" t="n">
        <v>0</v>
      </c>
      <c r="AG587" s="0" t="n">
        <v>0</v>
      </c>
      <c r="AH587" s="254" t="n">
        <v>-4345.4608277247</v>
      </c>
      <c r="AI587" s="0" t="n">
        <v>226</v>
      </c>
      <c r="AJ587" s="0" t="s">
        <v>630</v>
      </c>
      <c r="AK587" s="0" t="n">
        <v>0</v>
      </c>
      <c r="AL587" s="0" t="n">
        <v>0</v>
      </c>
      <c r="AM587" s="0" t="n">
        <v>0</v>
      </c>
    </row>
    <row r="588" customFormat="false" ht="12.75" hidden="false" customHeight="false" outlineLevel="0" collapsed="false">
      <c r="A588" s="0" t="s">
        <v>631</v>
      </c>
      <c r="B588" s="0" t="s">
        <v>394</v>
      </c>
      <c r="C588" s="0" t="s">
        <v>622</v>
      </c>
      <c r="D588" s="0" t="s">
        <v>623</v>
      </c>
      <c r="E588" s="0" t="s">
        <v>131</v>
      </c>
      <c r="F588" s="0" t="s">
        <v>198</v>
      </c>
      <c r="G588" s="0" t="s">
        <v>628</v>
      </c>
      <c r="H588" s="0" t="s">
        <v>625</v>
      </c>
      <c r="I588" s="0" t="s">
        <v>626</v>
      </c>
      <c r="J588" s="0" t="s">
        <v>627</v>
      </c>
      <c r="K588" s="475" t="n">
        <v>36892</v>
      </c>
      <c r="L588" s="254" t="n">
        <v>83410.8043609005</v>
      </c>
      <c r="M588" s="475" t="n">
        <v>36888</v>
      </c>
      <c r="N588" s="0" t="s">
        <v>132</v>
      </c>
      <c r="O588" s="0" t="n">
        <v>1</v>
      </c>
      <c r="P588" s="0" t="n">
        <v>0</v>
      </c>
      <c r="Q588" s="0" t="n">
        <v>0</v>
      </c>
      <c r="R588" s="0" t="n">
        <v>0</v>
      </c>
      <c r="S588" s="0" t="n">
        <v>0</v>
      </c>
      <c r="T588" s="0" t="s">
        <v>624</v>
      </c>
      <c r="U588" s="0" t="s">
        <v>149</v>
      </c>
      <c r="V588" s="0" t="s">
        <v>624</v>
      </c>
      <c r="W588" s="0" t="s">
        <v>569</v>
      </c>
      <c r="X588" s="0" t="s">
        <v>624</v>
      </c>
      <c r="Y588" s="0" t="s">
        <v>627</v>
      </c>
      <c r="Z588" s="0" t="s">
        <v>629</v>
      </c>
      <c r="AA588" s="0" t="s">
        <v>624</v>
      </c>
      <c r="AB588" s="0" t="s">
        <v>580</v>
      </c>
      <c r="AC588" s="254" t="n">
        <v>500000</v>
      </c>
      <c r="AD588" s="254" t="n">
        <v>30166.8315425294</v>
      </c>
      <c r="AE588" s="0" t="n">
        <v>0</v>
      </c>
      <c r="AF588" s="0" t="n">
        <v>0</v>
      </c>
      <c r="AG588" s="0" t="n">
        <v>0</v>
      </c>
      <c r="AH588" s="254" t="n">
        <v>-3871.83074039887</v>
      </c>
      <c r="AI588" s="0" t="n">
        <v>226</v>
      </c>
      <c r="AJ588" s="0" t="s">
        <v>630</v>
      </c>
      <c r="AK588" s="0" t="n">
        <v>0</v>
      </c>
      <c r="AL588" s="0" t="n">
        <v>0</v>
      </c>
      <c r="AM588" s="0" t="n">
        <v>0</v>
      </c>
    </row>
    <row r="589" customFormat="false" ht="12.75" hidden="false" customHeight="false" outlineLevel="0" collapsed="false">
      <c r="A589" s="0" t="s">
        <v>631</v>
      </c>
      <c r="B589" s="0" t="s">
        <v>394</v>
      </c>
      <c r="C589" s="0" t="s">
        <v>622</v>
      </c>
      <c r="D589" s="0" t="s">
        <v>623</v>
      </c>
      <c r="E589" s="0" t="s">
        <v>131</v>
      </c>
      <c r="F589" s="0" t="s">
        <v>198</v>
      </c>
      <c r="G589" s="0" t="s">
        <v>628</v>
      </c>
      <c r="H589" s="0" t="s">
        <v>625</v>
      </c>
      <c r="I589" s="0" t="s">
        <v>626</v>
      </c>
      <c r="J589" s="0" t="s">
        <v>627</v>
      </c>
      <c r="K589" s="475" t="n">
        <v>36923</v>
      </c>
      <c r="L589" s="254" t="n">
        <v>102538.003686066</v>
      </c>
      <c r="M589" s="475" t="n">
        <v>36921</v>
      </c>
      <c r="N589" s="0" t="s">
        <v>132</v>
      </c>
      <c r="O589" s="0" t="n">
        <v>1</v>
      </c>
      <c r="P589" s="0" t="n">
        <v>0</v>
      </c>
      <c r="Q589" s="0" t="n">
        <v>0</v>
      </c>
      <c r="R589" s="0" t="n">
        <v>0</v>
      </c>
      <c r="S589" s="0" t="n">
        <v>0</v>
      </c>
      <c r="T589" s="0" t="s">
        <v>624</v>
      </c>
      <c r="U589" s="0" t="s">
        <v>149</v>
      </c>
      <c r="V589" s="0" t="s">
        <v>624</v>
      </c>
      <c r="W589" s="0" t="s">
        <v>569</v>
      </c>
      <c r="X589" s="0" t="s">
        <v>624</v>
      </c>
      <c r="Y589" s="0" t="s">
        <v>627</v>
      </c>
      <c r="Z589" s="0" t="s">
        <v>629</v>
      </c>
      <c r="AA589" s="0" t="s">
        <v>624</v>
      </c>
      <c r="AB589" s="0" t="s">
        <v>580</v>
      </c>
      <c r="AC589" s="254" t="n">
        <v>500000</v>
      </c>
      <c r="AD589" s="254" t="n">
        <v>35321.2542050723</v>
      </c>
      <c r="AE589" s="0" t="n">
        <v>0</v>
      </c>
      <c r="AF589" s="0" t="n">
        <v>0</v>
      </c>
      <c r="AG589" s="0" t="n">
        <v>0</v>
      </c>
      <c r="AH589" s="254" t="n">
        <v>-5238.98510989307</v>
      </c>
      <c r="AI589" s="0" t="n">
        <v>226</v>
      </c>
      <c r="AJ589" s="0" t="s">
        <v>630</v>
      </c>
      <c r="AK589" s="0" t="n">
        <v>0</v>
      </c>
      <c r="AL589" s="0" t="n">
        <v>0</v>
      </c>
      <c r="AM589" s="0" t="n">
        <v>0</v>
      </c>
    </row>
    <row r="590" customFormat="false" ht="12.75" hidden="false" customHeight="false" outlineLevel="0" collapsed="false">
      <c r="A590" s="0" t="s">
        <v>631</v>
      </c>
      <c r="B590" s="0" t="s">
        <v>394</v>
      </c>
      <c r="C590" s="0" t="s">
        <v>622</v>
      </c>
      <c r="D590" s="0" t="s">
        <v>623</v>
      </c>
      <c r="E590" s="0" t="s">
        <v>131</v>
      </c>
      <c r="F590" s="0" t="s">
        <v>198</v>
      </c>
      <c r="G590" s="0" t="s">
        <v>628</v>
      </c>
      <c r="H590" s="0" t="s">
        <v>625</v>
      </c>
      <c r="I590" s="0" t="s">
        <v>626</v>
      </c>
      <c r="J590" s="0" t="s">
        <v>627</v>
      </c>
      <c r="K590" s="475" t="n">
        <v>36951</v>
      </c>
      <c r="L590" s="254" t="n">
        <v>232754.958364908</v>
      </c>
      <c r="M590" s="475" t="n">
        <v>36949</v>
      </c>
      <c r="N590" s="0" t="s">
        <v>132</v>
      </c>
      <c r="O590" s="0" t="n">
        <v>1</v>
      </c>
      <c r="P590" s="0" t="n">
        <v>0</v>
      </c>
      <c r="Q590" s="0" t="n">
        <v>0</v>
      </c>
      <c r="R590" s="0" t="n">
        <v>0</v>
      </c>
      <c r="S590" s="0" t="n">
        <v>0</v>
      </c>
      <c r="T590" s="0" t="s">
        <v>624</v>
      </c>
      <c r="U590" s="0" t="s">
        <v>149</v>
      </c>
      <c r="V590" s="0" t="s">
        <v>624</v>
      </c>
      <c r="W590" s="0" t="s">
        <v>569</v>
      </c>
      <c r="X590" s="0" t="s">
        <v>624</v>
      </c>
      <c r="Y590" s="0" t="s">
        <v>627</v>
      </c>
      <c r="Z590" s="0" t="s">
        <v>629</v>
      </c>
      <c r="AA590" s="0" t="s">
        <v>624</v>
      </c>
      <c r="AB590" s="0" t="s">
        <v>580</v>
      </c>
      <c r="AC590" s="254" t="n">
        <v>500000</v>
      </c>
      <c r="AD590" s="254" t="n">
        <v>44468.4104872671</v>
      </c>
      <c r="AE590" s="0" t="n">
        <v>0</v>
      </c>
      <c r="AF590" s="0" t="n">
        <v>0</v>
      </c>
      <c r="AG590" s="0" t="n">
        <v>0</v>
      </c>
      <c r="AH590" s="254" t="n">
        <v>-10359.5063919015</v>
      </c>
      <c r="AI590" s="0" t="n">
        <v>226</v>
      </c>
      <c r="AJ590" s="0" t="s">
        <v>630</v>
      </c>
      <c r="AK590" s="0" t="n">
        <v>0</v>
      </c>
      <c r="AL590" s="0" t="n">
        <v>0</v>
      </c>
      <c r="AM590" s="0" t="n">
        <v>0</v>
      </c>
    </row>
    <row r="591" customFormat="false" ht="12.75" hidden="false" customHeight="false" outlineLevel="0" collapsed="false">
      <c r="A591" s="0" t="s">
        <v>631</v>
      </c>
      <c r="B591" s="0" t="s">
        <v>395</v>
      </c>
      <c r="C591" s="0" t="s">
        <v>622</v>
      </c>
      <c r="D591" s="0" t="s">
        <v>623</v>
      </c>
      <c r="E591" s="0" t="s">
        <v>131</v>
      </c>
      <c r="F591" s="0" t="s">
        <v>198</v>
      </c>
      <c r="G591" s="0" t="s">
        <v>628</v>
      </c>
      <c r="H591" s="0" t="s">
        <v>625</v>
      </c>
      <c r="I591" s="0" t="s">
        <v>626</v>
      </c>
      <c r="J591" s="0" t="s">
        <v>627</v>
      </c>
      <c r="K591" s="475" t="n">
        <v>36831</v>
      </c>
      <c r="L591" s="254" t="n">
        <v>-1931.86425285872</v>
      </c>
      <c r="M591" s="475" t="n">
        <v>36829</v>
      </c>
      <c r="N591" s="0" t="s">
        <v>136</v>
      </c>
      <c r="O591" s="0" t="n">
        <v>2.5</v>
      </c>
      <c r="P591" s="0" t="n">
        <v>0</v>
      </c>
      <c r="Q591" s="0" t="n">
        <v>0</v>
      </c>
      <c r="R591" s="0" t="n">
        <v>0</v>
      </c>
      <c r="S591" s="0" t="n">
        <v>0</v>
      </c>
      <c r="T591" s="0" t="s">
        <v>624</v>
      </c>
      <c r="U591" s="0" t="s">
        <v>149</v>
      </c>
      <c r="V591" s="0" t="s">
        <v>624</v>
      </c>
      <c r="W591" s="0" t="s">
        <v>569</v>
      </c>
      <c r="X591" s="0" t="s">
        <v>624</v>
      </c>
      <c r="Y591" s="0" t="s">
        <v>627</v>
      </c>
      <c r="Z591" s="0" t="s">
        <v>629</v>
      </c>
      <c r="AA591" s="0" t="s">
        <v>624</v>
      </c>
      <c r="AB591" s="0" t="s">
        <v>580</v>
      </c>
      <c r="AC591" s="254" t="n">
        <v>-300000</v>
      </c>
      <c r="AD591" s="254" t="n">
        <v>-1569.59200271751</v>
      </c>
      <c r="AE591" s="0" t="n">
        <v>0</v>
      </c>
      <c r="AF591" s="0" t="n">
        <v>0</v>
      </c>
      <c r="AG591" s="0" t="n">
        <v>0</v>
      </c>
      <c r="AH591" s="254" t="n">
        <v>-379.938352204508</v>
      </c>
      <c r="AI591" s="0" t="n">
        <v>226</v>
      </c>
      <c r="AJ591" s="0" t="s">
        <v>630</v>
      </c>
      <c r="AK591" s="0" t="n">
        <v>0</v>
      </c>
      <c r="AL591" s="0" t="n">
        <v>0</v>
      </c>
      <c r="AM591" s="0" t="n">
        <v>0</v>
      </c>
    </row>
    <row r="592" customFormat="false" ht="12.75" hidden="false" customHeight="false" outlineLevel="0" collapsed="false">
      <c r="A592" s="0" t="s">
        <v>631</v>
      </c>
      <c r="B592" s="0" t="s">
        <v>395</v>
      </c>
      <c r="C592" s="0" t="s">
        <v>622</v>
      </c>
      <c r="D592" s="0" t="s">
        <v>623</v>
      </c>
      <c r="E592" s="0" t="s">
        <v>131</v>
      </c>
      <c r="F592" s="0" t="s">
        <v>198</v>
      </c>
      <c r="G592" s="0" t="s">
        <v>628</v>
      </c>
      <c r="H592" s="0" t="s">
        <v>625</v>
      </c>
      <c r="I592" s="0" t="s">
        <v>626</v>
      </c>
      <c r="J592" s="0" t="s">
        <v>627</v>
      </c>
      <c r="K592" s="475" t="n">
        <v>36861</v>
      </c>
      <c r="L592" s="254" t="n">
        <v>-76798.6311381724</v>
      </c>
      <c r="M592" s="475" t="n">
        <v>36859</v>
      </c>
      <c r="N592" s="0" t="s">
        <v>136</v>
      </c>
      <c r="O592" s="0" t="n">
        <v>2.5</v>
      </c>
      <c r="P592" s="0" t="n">
        <v>0</v>
      </c>
      <c r="Q592" s="0" t="n">
        <v>0</v>
      </c>
      <c r="R592" s="0" t="n">
        <v>0</v>
      </c>
      <c r="S592" s="0" t="n">
        <v>0</v>
      </c>
      <c r="T592" s="0" t="s">
        <v>624</v>
      </c>
      <c r="U592" s="0" t="s">
        <v>149</v>
      </c>
      <c r="V592" s="0" t="s">
        <v>624</v>
      </c>
      <c r="W592" s="0" t="s">
        <v>569</v>
      </c>
      <c r="X592" s="0" t="s">
        <v>624</v>
      </c>
      <c r="Y592" s="0" t="s">
        <v>627</v>
      </c>
      <c r="Z592" s="0" t="s">
        <v>629</v>
      </c>
      <c r="AA592" s="0" t="s">
        <v>624</v>
      </c>
      <c r="AB592" s="0" t="s">
        <v>580</v>
      </c>
      <c r="AC592" s="254" t="n">
        <v>-310000</v>
      </c>
      <c r="AD592" s="254" t="n">
        <v>-17988.3162265355</v>
      </c>
      <c r="AE592" s="0" t="n">
        <v>0</v>
      </c>
      <c r="AF592" s="0" t="n">
        <v>0</v>
      </c>
      <c r="AG592" s="0" t="n">
        <v>0</v>
      </c>
      <c r="AH592" s="254" t="n">
        <v>-5205.36734977608</v>
      </c>
      <c r="AI592" s="0" t="n">
        <v>226</v>
      </c>
      <c r="AJ592" s="0" t="s">
        <v>630</v>
      </c>
      <c r="AK592" s="0" t="n">
        <v>0</v>
      </c>
      <c r="AL592" s="0" t="n">
        <v>0</v>
      </c>
      <c r="AM592" s="0" t="n">
        <v>0</v>
      </c>
    </row>
    <row r="593" customFormat="false" ht="12.75" hidden="false" customHeight="false" outlineLevel="0" collapsed="false">
      <c r="A593" s="0" t="s">
        <v>631</v>
      </c>
      <c r="B593" s="0" t="s">
        <v>395</v>
      </c>
      <c r="C593" s="0" t="s">
        <v>622</v>
      </c>
      <c r="D593" s="0" t="s">
        <v>623</v>
      </c>
      <c r="E593" s="0" t="s">
        <v>131</v>
      </c>
      <c r="F593" s="0" t="s">
        <v>198</v>
      </c>
      <c r="G593" s="0" t="s">
        <v>628</v>
      </c>
      <c r="H593" s="0" t="s">
        <v>625</v>
      </c>
      <c r="I593" s="0" t="s">
        <v>626</v>
      </c>
      <c r="J593" s="0" t="s">
        <v>627</v>
      </c>
      <c r="K593" s="475" t="n">
        <v>36892</v>
      </c>
      <c r="L593" s="254" t="n">
        <v>-164878.492230989</v>
      </c>
      <c r="M593" s="475" t="n">
        <v>36888</v>
      </c>
      <c r="N593" s="0" t="s">
        <v>136</v>
      </c>
      <c r="O593" s="0" t="n">
        <v>2.5</v>
      </c>
      <c r="P593" s="0" t="n">
        <v>0</v>
      </c>
      <c r="Q593" s="0" t="n">
        <v>0</v>
      </c>
      <c r="R593" s="0" t="n">
        <v>0</v>
      </c>
      <c r="S593" s="0" t="n">
        <v>0</v>
      </c>
      <c r="T593" s="0" t="s">
        <v>624</v>
      </c>
      <c r="U593" s="0" t="s">
        <v>149</v>
      </c>
      <c r="V593" s="0" t="s">
        <v>624</v>
      </c>
      <c r="W593" s="0" t="s">
        <v>569</v>
      </c>
      <c r="X593" s="0" t="s">
        <v>624</v>
      </c>
      <c r="Y593" s="0" t="s">
        <v>627</v>
      </c>
      <c r="Z593" s="0" t="s">
        <v>629</v>
      </c>
      <c r="AA593" s="0" t="s">
        <v>624</v>
      </c>
      <c r="AB593" s="0" t="s">
        <v>580</v>
      </c>
      <c r="AC593" s="254" t="n">
        <v>-310000</v>
      </c>
      <c r="AD593" s="254" t="n">
        <v>-23672.1675476593</v>
      </c>
      <c r="AE593" s="0" t="n">
        <v>0</v>
      </c>
      <c r="AF593" s="0" t="n">
        <v>0</v>
      </c>
      <c r="AG593" s="0" t="n">
        <v>0</v>
      </c>
      <c r="AH593" s="254" t="n">
        <v>-9697.6778801136</v>
      </c>
      <c r="AI593" s="0" t="n">
        <v>226</v>
      </c>
      <c r="AJ593" s="0" t="s">
        <v>630</v>
      </c>
      <c r="AK593" s="0" t="n">
        <v>0</v>
      </c>
      <c r="AL593" s="0" t="n">
        <v>0</v>
      </c>
      <c r="AM593" s="0" t="n">
        <v>0</v>
      </c>
    </row>
    <row r="594" customFormat="false" ht="12.75" hidden="false" customHeight="false" outlineLevel="0" collapsed="false">
      <c r="A594" s="0" t="s">
        <v>631</v>
      </c>
      <c r="B594" s="0" t="s">
        <v>395</v>
      </c>
      <c r="C594" s="0" t="s">
        <v>622</v>
      </c>
      <c r="D594" s="0" t="s">
        <v>623</v>
      </c>
      <c r="E594" s="0" t="s">
        <v>131</v>
      </c>
      <c r="F594" s="0" t="s">
        <v>198</v>
      </c>
      <c r="G594" s="0" t="s">
        <v>628</v>
      </c>
      <c r="H594" s="0" t="s">
        <v>625</v>
      </c>
      <c r="I594" s="0" t="s">
        <v>626</v>
      </c>
      <c r="J594" s="0" t="s">
        <v>627</v>
      </c>
      <c r="K594" s="475" t="n">
        <v>36923</v>
      </c>
      <c r="L594" s="254" t="n">
        <v>-150386.951769508</v>
      </c>
      <c r="M594" s="475" t="n">
        <v>36921</v>
      </c>
      <c r="N594" s="0" t="s">
        <v>136</v>
      </c>
      <c r="O594" s="0" t="n">
        <v>2.5</v>
      </c>
      <c r="P594" s="0" t="n">
        <v>0</v>
      </c>
      <c r="Q594" s="0" t="n">
        <v>0</v>
      </c>
      <c r="R594" s="0" t="n">
        <v>0</v>
      </c>
      <c r="S594" s="0" t="n">
        <v>0</v>
      </c>
      <c r="T594" s="0" t="s">
        <v>624</v>
      </c>
      <c r="U594" s="0" t="s">
        <v>149</v>
      </c>
      <c r="V594" s="0" t="s">
        <v>624</v>
      </c>
      <c r="W594" s="0" t="s">
        <v>569</v>
      </c>
      <c r="X594" s="0" t="s">
        <v>624</v>
      </c>
      <c r="Y594" s="0" t="s">
        <v>627</v>
      </c>
      <c r="Z594" s="0" t="s">
        <v>629</v>
      </c>
      <c r="AA594" s="0" t="s">
        <v>624</v>
      </c>
      <c r="AB594" s="0" t="s">
        <v>580</v>
      </c>
      <c r="AC594" s="254" t="n">
        <v>-280000</v>
      </c>
      <c r="AD594" s="254" t="n">
        <v>-23175.488626136</v>
      </c>
      <c r="AE594" s="0" t="n">
        <v>0</v>
      </c>
      <c r="AF594" s="0" t="n">
        <v>0</v>
      </c>
      <c r="AG594" s="0" t="n">
        <v>0</v>
      </c>
      <c r="AH594" s="254" t="n">
        <v>-9934.57825385733</v>
      </c>
      <c r="AI594" s="0" t="n">
        <v>226</v>
      </c>
      <c r="AJ594" s="0" t="s">
        <v>630</v>
      </c>
      <c r="AK594" s="0" t="n">
        <v>0</v>
      </c>
      <c r="AL594" s="0" t="n">
        <v>0</v>
      </c>
      <c r="AM594" s="0" t="n">
        <v>0</v>
      </c>
    </row>
    <row r="595" customFormat="false" ht="12.75" hidden="false" customHeight="false" outlineLevel="0" collapsed="false">
      <c r="A595" s="0" t="s">
        <v>631</v>
      </c>
      <c r="B595" s="0" t="s">
        <v>395</v>
      </c>
      <c r="C595" s="0" t="s">
        <v>622</v>
      </c>
      <c r="D595" s="0" t="s">
        <v>623</v>
      </c>
      <c r="E595" s="0" t="s">
        <v>131</v>
      </c>
      <c r="F595" s="0" t="s">
        <v>198</v>
      </c>
      <c r="G595" s="0" t="s">
        <v>628</v>
      </c>
      <c r="H595" s="0" t="s">
        <v>625</v>
      </c>
      <c r="I595" s="0" t="s">
        <v>626</v>
      </c>
      <c r="J595" s="0" t="s">
        <v>627</v>
      </c>
      <c r="K595" s="475" t="n">
        <v>36951</v>
      </c>
      <c r="L595" s="254" t="n">
        <v>-48886.4006319538</v>
      </c>
      <c r="M595" s="475" t="n">
        <v>36949</v>
      </c>
      <c r="N595" s="0" t="s">
        <v>136</v>
      </c>
      <c r="O595" s="0" t="n">
        <v>2.5</v>
      </c>
      <c r="P595" s="0" t="n">
        <v>0</v>
      </c>
      <c r="Q595" s="0" t="n">
        <v>0</v>
      </c>
      <c r="R595" s="0" t="n">
        <v>0</v>
      </c>
      <c r="S595" s="0" t="n">
        <v>0</v>
      </c>
      <c r="T595" s="0" t="s">
        <v>624</v>
      </c>
      <c r="U595" s="0" t="s">
        <v>149</v>
      </c>
      <c r="V595" s="0" t="s">
        <v>624</v>
      </c>
      <c r="W595" s="0" t="s">
        <v>569</v>
      </c>
      <c r="X595" s="0" t="s">
        <v>624</v>
      </c>
      <c r="Y595" s="0" t="s">
        <v>627</v>
      </c>
      <c r="Z595" s="0" t="s">
        <v>629</v>
      </c>
      <c r="AA595" s="0" t="s">
        <v>624</v>
      </c>
      <c r="AB595" s="0" t="s">
        <v>580</v>
      </c>
      <c r="AC595" s="254" t="n">
        <v>-310000</v>
      </c>
      <c r="AD595" s="254" t="n">
        <v>-17765.6627083015</v>
      </c>
      <c r="AE595" s="0" t="n">
        <v>0</v>
      </c>
      <c r="AF595" s="0" t="n">
        <v>0</v>
      </c>
      <c r="AG595" s="0" t="n">
        <v>0</v>
      </c>
      <c r="AH595" s="254" t="n">
        <v>-4861.23334067523</v>
      </c>
      <c r="AI595" s="0" t="n">
        <v>226</v>
      </c>
      <c r="AJ595" s="0" t="s">
        <v>630</v>
      </c>
      <c r="AK595" s="0" t="n">
        <v>0</v>
      </c>
      <c r="AL595" s="0" t="n">
        <v>0</v>
      </c>
      <c r="AM595" s="0" t="n">
        <v>0</v>
      </c>
    </row>
    <row r="596" customFormat="false" ht="12.75" hidden="false" customHeight="false" outlineLevel="0" collapsed="false">
      <c r="A596" s="0" t="s">
        <v>631</v>
      </c>
      <c r="B596" s="0" t="s">
        <v>396</v>
      </c>
      <c r="C596" s="0" t="s">
        <v>622</v>
      </c>
      <c r="D596" s="0" t="s">
        <v>623</v>
      </c>
      <c r="E596" s="0" t="s">
        <v>131</v>
      </c>
      <c r="F596" s="0" t="s">
        <v>198</v>
      </c>
      <c r="G596" s="0" t="s">
        <v>628</v>
      </c>
      <c r="H596" s="0" t="s">
        <v>625</v>
      </c>
      <c r="I596" s="0" t="s">
        <v>626</v>
      </c>
      <c r="J596" s="0" t="s">
        <v>627</v>
      </c>
      <c r="K596" s="475" t="n">
        <v>36831</v>
      </c>
      <c r="L596" s="254" t="n">
        <v>-29460.1305997321</v>
      </c>
      <c r="M596" s="475" t="n">
        <v>36829</v>
      </c>
      <c r="N596" s="0" t="s">
        <v>136</v>
      </c>
      <c r="O596" s="0" t="n">
        <v>1.52</v>
      </c>
      <c r="P596" s="0" t="n">
        <v>0</v>
      </c>
      <c r="Q596" s="0" t="n">
        <v>0</v>
      </c>
      <c r="R596" s="0" t="n">
        <v>0</v>
      </c>
      <c r="S596" s="0" t="n">
        <v>0</v>
      </c>
      <c r="T596" s="0" t="s">
        <v>624</v>
      </c>
      <c r="U596" s="0" t="s">
        <v>149</v>
      </c>
      <c r="V596" s="0" t="s">
        <v>624</v>
      </c>
      <c r="W596" s="0" t="s">
        <v>569</v>
      </c>
      <c r="X596" s="0" t="s">
        <v>624</v>
      </c>
      <c r="Y596" s="0" t="s">
        <v>627</v>
      </c>
      <c r="Z596" s="0" t="s">
        <v>629</v>
      </c>
      <c r="AA596" s="0" t="s">
        <v>624</v>
      </c>
      <c r="AB596" s="0" t="s">
        <v>580</v>
      </c>
      <c r="AC596" s="254" t="n">
        <v>-500000</v>
      </c>
      <c r="AD596" s="254" t="n">
        <v>-12774.323248092</v>
      </c>
      <c r="AE596" s="0" t="n">
        <v>0</v>
      </c>
      <c r="AF596" s="0" t="n">
        <v>0</v>
      </c>
      <c r="AG596" s="0" t="n">
        <v>0</v>
      </c>
      <c r="AH596" s="254" t="n">
        <v>-3985.08959606112</v>
      </c>
      <c r="AI596" s="0" t="n">
        <v>226</v>
      </c>
      <c r="AJ596" s="0" t="s">
        <v>630</v>
      </c>
      <c r="AK596" s="0" t="n">
        <v>0</v>
      </c>
      <c r="AL596" s="0" t="n">
        <v>0</v>
      </c>
      <c r="AM596" s="0" t="n">
        <v>0</v>
      </c>
    </row>
    <row r="597" customFormat="false" ht="12.75" hidden="false" customHeight="false" outlineLevel="0" collapsed="false">
      <c r="A597" s="0" t="s">
        <v>631</v>
      </c>
      <c r="B597" s="0" t="s">
        <v>396</v>
      </c>
      <c r="C597" s="0" t="s">
        <v>622</v>
      </c>
      <c r="D597" s="0" t="s">
        <v>623</v>
      </c>
      <c r="E597" s="0" t="s">
        <v>131</v>
      </c>
      <c r="F597" s="0" t="s">
        <v>198</v>
      </c>
      <c r="G597" s="0" t="s">
        <v>628</v>
      </c>
      <c r="H597" s="0" t="s">
        <v>625</v>
      </c>
      <c r="I597" s="0" t="s">
        <v>626</v>
      </c>
      <c r="J597" s="0" t="s">
        <v>627</v>
      </c>
      <c r="K597" s="475" t="n">
        <v>36861</v>
      </c>
      <c r="L597" s="254" t="n">
        <v>-285742.749416664</v>
      </c>
      <c r="M597" s="475" t="n">
        <v>36859</v>
      </c>
      <c r="N597" s="0" t="s">
        <v>136</v>
      </c>
      <c r="O597" s="0" t="n">
        <v>1.52</v>
      </c>
      <c r="P597" s="0" t="n">
        <v>0</v>
      </c>
      <c r="Q597" s="0" t="n">
        <v>0</v>
      </c>
      <c r="R597" s="0" t="n">
        <v>0</v>
      </c>
      <c r="S597" s="0" t="n">
        <v>0</v>
      </c>
      <c r="T597" s="0" t="s">
        <v>624</v>
      </c>
      <c r="U597" s="0" t="s">
        <v>149</v>
      </c>
      <c r="V597" s="0" t="s">
        <v>624</v>
      </c>
      <c r="W597" s="0" t="s">
        <v>569</v>
      </c>
      <c r="X597" s="0" t="s">
        <v>624</v>
      </c>
      <c r="Y597" s="0" t="s">
        <v>627</v>
      </c>
      <c r="Z597" s="0" t="s">
        <v>629</v>
      </c>
      <c r="AA597" s="0" t="s">
        <v>624</v>
      </c>
      <c r="AB597" s="0" t="s">
        <v>580</v>
      </c>
      <c r="AC597" s="254" t="n">
        <v>-500000</v>
      </c>
      <c r="AD597" s="254" t="n">
        <v>-35389.0605230396</v>
      </c>
      <c r="AE597" s="0" t="n">
        <v>0</v>
      </c>
      <c r="AF597" s="0" t="n">
        <v>0</v>
      </c>
      <c r="AG597" s="0" t="n">
        <v>0</v>
      </c>
      <c r="AH597" s="254" t="n">
        <v>-14454.2832442743</v>
      </c>
      <c r="AI597" s="0" t="n">
        <v>226</v>
      </c>
      <c r="AJ597" s="0" t="s">
        <v>630</v>
      </c>
      <c r="AK597" s="0" t="n">
        <v>0</v>
      </c>
      <c r="AL597" s="0" t="n">
        <v>0</v>
      </c>
      <c r="AM597" s="0" t="n">
        <v>0</v>
      </c>
    </row>
    <row r="598" customFormat="false" ht="12.75" hidden="false" customHeight="false" outlineLevel="0" collapsed="false">
      <c r="A598" s="0" t="s">
        <v>631</v>
      </c>
      <c r="B598" s="0" t="s">
        <v>396</v>
      </c>
      <c r="C598" s="0" t="s">
        <v>622</v>
      </c>
      <c r="D598" s="0" t="s">
        <v>623</v>
      </c>
      <c r="E598" s="0" t="s">
        <v>131</v>
      </c>
      <c r="F598" s="0" t="s">
        <v>198</v>
      </c>
      <c r="G598" s="0" t="s">
        <v>628</v>
      </c>
      <c r="H598" s="0" t="s">
        <v>625</v>
      </c>
      <c r="I598" s="0" t="s">
        <v>626</v>
      </c>
      <c r="J598" s="0" t="s">
        <v>627</v>
      </c>
      <c r="K598" s="475" t="n">
        <v>36892</v>
      </c>
      <c r="L598" s="254" t="n">
        <v>-486646.630948537</v>
      </c>
      <c r="M598" s="475" t="n">
        <v>36888</v>
      </c>
      <c r="N598" s="0" t="s">
        <v>136</v>
      </c>
      <c r="O598" s="0" t="n">
        <v>1.52</v>
      </c>
      <c r="P598" s="0" t="n">
        <v>0</v>
      </c>
      <c r="Q598" s="0" t="n">
        <v>0</v>
      </c>
      <c r="R598" s="0" t="n">
        <v>0</v>
      </c>
      <c r="S598" s="0" t="n">
        <v>0</v>
      </c>
      <c r="T598" s="0" t="s">
        <v>624</v>
      </c>
      <c r="U598" s="0" t="s">
        <v>149</v>
      </c>
      <c r="V598" s="0" t="s">
        <v>624</v>
      </c>
      <c r="W598" s="0" t="s">
        <v>569</v>
      </c>
      <c r="X598" s="0" t="s">
        <v>624</v>
      </c>
      <c r="Y598" s="0" t="s">
        <v>627</v>
      </c>
      <c r="Z598" s="0" t="s">
        <v>629</v>
      </c>
      <c r="AA598" s="0" t="s">
        <v>624</v>
      </c>
      <c r="AB598" s="0" t="s">
        <v>580</v>
      </c>
      <c r="AC598" s="254" t="n">
        <v>-500000</v>
      </c>
      <c r="AD598" s="254" t="n">
        <v>-37027.4423590699</v>
      </c>
      <c r="AE598" s="0" t="n">
        <v>0</v>
      </c>
      <c r="AF598" s="0" t="n">
        <v>0</v>
      </c>
      <c r="AG598" s="0" t="n">
        <v>0</v>
      </c>
      <c r="AH598" s="254" t="n">
        <v>-22302.0096319052</v>
      </c>
      <c r="AI598" s="0" t="n">
        <v>226</v>
      </c>
      <c r="AJ598" s="0" t="s">
        <v>630</v>
      </c>
      <c r="AK598" s="0" t="n">
        <v>0</v>
      </c>
      <c r="AL598" s="0" t="n">
        <v>0</v>
      </c>
      <c r="AM598" s="0" t="n">
        <v>0</v>
      </c>
    </row>
    <row r="599" customFormat="false" ht="12.75" hidden="false" customHeight="false" outlineLevel="0" collapsed="false">
      <c r="A599" s="0" t="s">
        <v>631</v>
      </c>
      <c r="B599" s="0" t="s">
        <v>396</v>
      </c>
      <c r="C599" s="0" t="s">
        <v>622</v>
      </c>
      <c r="D599" s="0" t="s">
        <v>623</v>
      </c>
      <c r="E599" s="0" t="s">
        <v>131</v>
      </c>
      <c r="F599" s="0" t="s">
        <v>198</v>
      </c>
      <c r="G599" s="0" t="s">
        <v>628</v>
      </c>
      <c r="H599" s="0" t="s">
        <v>625</v>
      </c>
      <c r="I599" s="0" t="s">
        <v>626</v>
      </c>
      <c r="J599" s="0" t="s">
        <v>627</v>
      </c>
      <c r="K599" s="475" t="n">
        <v>36923</v>
      </c>
      <c r="L599" s="254" t="n">
        <v>-474116.003803264</v>
      </c>
      <c r="M599" s="475" t="n">
        <v>36921</v>
      </c>
      <c r="N599" s="0" t="s">
        <v>136</v>
      </c>
      <c r="O599" s="0" t="n">
        <v>1.52</v>
      </c>
      <c r="P599" s="0" t="n">
        <v>0</v>
      </c>
      <c r="Q599" s="0" t="n">
        <v>0</v>
      </c>
      <c r="R599" s="0" t="n">
        <v>0</v>
      </c>
      <c r="S599" s="0" t="n">
        <v>0</v>
      </c>
      <c r="T599" s="0" t="s">
        <v>624</v>
      </c>
      <c r="U599" s="0" t="s">
        <v>149</v>
      </c>
      <c r="V599" s="0" t="s">
        <v>624</v>
      </c>
      <c r="W599" s="0" t="s">
        <v>569</v>
      </c>
      <c r="X599" s="0" t="s">
        <v>624</v>
      </c>
      <c r="Y599" s="0" t="s">
        <v>627</v>
      </c>
      <c r="Z599" s="0" t="s">
        <v>629</v>
      </c>
      <c r="AA599" s="0" t="s">
        <v>624</v>
      </c>
      <c r="AB599" s="0" t="s">
        <v>580</v>
      </c>
      <c r="AC599" s="254" t="n">
        <v>-500000</v>
      </c>
      <c r="AD599" s="254" t="n">
        <v>-41469.9825509167</v>
      </c>
      <c r="AE599" s="0" t="n">
        <v>0</v>
      </c>
      <c r="AF599" s="0" t="n">
        <v>0</v>
      </c>
      <c r="AG599" s="0" t="n">
        <v>0</v>
      </c>
      <c r="AH599" s="254" t="n">
        <v>-25068.9928957222</v>
      </c>
      <c r="AI599" s="0" t="n">
        <v>226</v>
      </c>
      <c r="AJ599" s="0" t="s">
        <v>630</v>
      </c>
      <c r="AK599" s="0" t="n">
        <v>0</v>
      </c>
      <c r="AL599" s="0" t="n">
        <v>0</v>
      </c>
      <c r="AM599" s="0" t="n">
        <v>0</v>
      </c>
    </row>
    <row r="600" customFormat="false" ht="12.75" hidden="false" customHeight="false" outlineLevel="0" collapsed="false">
      <c r="A600" s="0" t="s">
        <v>631</v>
      </c>
      <c r="B600" s="0" t="s">
        <v>396</v>
      </c>
      <c r="C600" s="0" t="s">
        <v>622</v>
      </c>
      <c r="D600" s="0" t="s">
        <v>623</v>
      </c>
      <c r="E600" s="0" t="s">
        <v>131</v>
      </c>
      <c r="F600" s="0" t="s">
        <v>198</v>
      </c>
      <c r="G600" s="0" t="s">
        <v>628</v>
      </c>
      <c r="H600" s="0" t="s">
        <v>625</v>
      </c>
      <c r="I600" s="0" t="s">
        <v>626</v>
      </c>
      <c r="J600" s="0" t="s">
        <v>627</v>
      </c>
      <c r="K600" s="475" t="n">
        <v>36951</v>
      </c>
      <c r="L600" s="254" t="n">
        <v>-176197.983786157</v>
      </c>
      <c r="M600" s="475" t="n">
        <v>36949</v>
      </c>
      <c r="N600" s="0" t="s">
        <v>136</v>
      </c>
      <c r="O600" s="0" t="n">
        <v>1.52</v>
      </c>
      <c r="P600" s="0" t="n">
        <v>0</v>
      </c>
      <c r="Q600" s="0" t="n">
        <v>0</v>
      </c>
      <c r="R600" s="0" t="n">
        <v>0</v>
      </c>
      <c r="S600" s="0" t="n">
        <v>0</v>
      </c>
      <c r="T600" s="0" t="s">
        <v>624</v>
      </c>
      <c r="U600" s="0" t="s">
        <v>149</v>
      </c>
      <c r="V600" s="0" t="s">
        <v>624</v>
      </c>
      <c r="W600" s="0" t="s">
        <v>569</v>
      </c>
      <c r="X600" s="0" t="s">
        <v>624</v>
      </c>
      <c r="Y600" s="0" t="s">
        <v>627</v>
      </c>
      <c r="Z600" s="0" t="s">
        <v>629</v>
      </c>
      <c r="AA600" s="0" t="s">
        <v>624</v>
      </c>
      <c r="AB600" s="0" t="s">
        <v>580</v>
      </c>
      <c r="AC600" s="254" t="n">
        <v>-500000</v>
      </c>
      <c r="AD600" s="254" t="n">
        <v>-41343.7241806269</v>
      </c>
      <c r="AE600" s="0" t="n">
        <v>0</v>
      </c>
      <c r="AF600" s="0" t="n">
        <v>0</v>
      </c>
      <c r="AG600" s="0" t="n">
        <v>0</v>
      </c>
      <c r="AH600" s="254" t="n">
        <v>-14199.9142353048</v>
      </c>
      <c r="AI600" s="0" t="n">
        <v>226</v>
      </c>
      <c r="AJ600" s="0" t="s">
        <v>630</v>
      </c>
      <c r="AK600" s="0" t="n">
        <v>0</v>
      </c>
      <c r="AL600" s="0" t="n">
        <v>0</v>
      </c>
      <c r="AM600" s="0" t="n">
        <v>0</v>
      </c>
    </row>
    <row r="601" customFormat="false" ht="12.75" hidden="false" customHeight="false" outlineLevel="0" collapsed="false">
      <c r="A601" s="0" t="s">
        <v>631</v>
      </c>
      <c r="B601" s="0" t="s">
        <v>397</v>
      </c>
      <c r="C601" s="0" t="s">
        <v>622</v>
      </c>
      <c r="D601" s="0" t="s">
        <v>623</v>
      </c>
      <c r="E601" s="0" t="s">
        <v>131</v>
      </c>
      <c r="F601" s="0" t="s">
        <v>198</v>
      </c>
      <c r="G601" s="0" t="s">
        <v>628</v>
      </c>
      <c r="H601" s="0" t="s">
        <v>625</v>
      </c>
      <c r="I601" s="0" t="s">
        <v>626</v>
      </c>
      <c r="J601" s="0" t="s">
        <v>627</v>
      </c>
      <c r="K601" s="475" t="n">
        <v>36831</v>
      </c>
      <c r="L601" s="254" t="n">
        <v>-400080.641994376</v>
      </c>
      <c r="M601" s="475" t="n">
        <v>36829</v>
      </c>
      <c r="N601" s="0" t="s">
        <v>132</v>
      </c>
      <c r="O601" s="0" t="n">
        <v>1.52</v>
      </c>
      <c r="P601" s="0" t="n">
        <v>0</v>
      </c>
      <c r="Q601" s="0" t="n">
        <v>0</v>
      </c>
      <c r="R601" s="0" t="n">
        <v>0</v>
      </c>
      <c r="S601" s="0" t="n">
        <v>0</v>
      </c>
      <c r="T601" s="0" t="s">
        <v>624</v>
      </c>
      <c r="U601" s="0" t="s">
        <v>149</v>
      </c>
      <c r="V601" s="0" t="s">
        <v>624</v>
      </c>
      <c r="W601" s="0" t="s">
        <v>569</v>
      </c>
      <c r="X601" s="0" t="s">
        <v>624</v>
      </c>
      <c r="Y601" s="0" t="s">
        <v>627</v>
      </c>
      <c r="Z601" s="0" t="s">
        <v>629</v>
      </c>
      <c r="AA601" s="0" t="s">
        <v>624</v>
      </c>
      <c r="AB601" s="0" t="s">
        <v>580</v>
      </c>
      <c r="AC601" s="254" t="n">
        <v>-500000</v>
      </c>
      <c r="AD601" s="254" t="n">
        <v>-12774.323248092</v>
      </c>
      <c r="AE601" s="0" t="n">
        <v>0</v>
      </c>
      <c r="AF601" s="0" t="n">
        <v>0</v>
      </c>
      <c r="AG601" s="0" t="n">
        <v>0</v>
      </c>
      <c r="AH601" s="254" t="n">
        <v>15770.4541102235</v>
      </c>
      <c r="AI601" s="0" t="n">
        <v>226</v>
      </c>
      <c r="AJ601" s="0" t="s">
        <v>630</v>
      </c>
      <c r="AK601" s="0" t="n">
        <v>0</v>
      </c>
      <c r="AL601" s="0" t="n">
        <v>0</v>
      </c>
      <c r="AM601" s="0" t="n">
        <v>0</v>
      </c>
    </row>
    <row r="602" customFormat="false" ht="12.75" hidden="false" customHeight="false" outlineLevel="0" collapsed="false">
      <c r="A602" s="0" t="s">
        <v>631</v>
      </c>
      <c r="B602" s="0" t="s">
        <v>397</v>
      </c>
      <c r="C602" s="0" t="s">
        <v>622</v>
      </c>
      <c r="D602" s="0" t="s">
        <v>623</v>
      </c>
      <c r="E602" s="0" t="s">
        <v>131</v>
      </c>
      <c r="F602" s="0" t="s">
        <v>198</v>
      </c>
      <c r="G602" s="0" t="s">
        <v>628</v>
      </c>
      <c r="H602" s="0" t="s">
        <v>625</v>
      </c>
      <c r="I602" s="0" t="s">
        <v>626</v>
      </c>
      <c r="J602" s="0" t="s">
        <v>627</v>
      </c>
      <c r="K602" s="475" t="n">
        <v>36861</v>
      </c>
      <c r="L602" s="254" t="n">
        <v>-224320.482024559</v>
      </c>
      <c r="M602" s="475" t="n">
        <v>36859</v>
      </c>
      <c r="N602" s="0" t="s">
        <v>132</v>
      </c>
      <c r="O602" s="0" t="n">
        <v>1.52</v>
      </c>
      <c r="P602" s="0" t="n">
        <v>0</v>
      </c>
      <c r="Q602" s="0" t="n">
        <v>0</v>
      </c>
      <c r="R602" s="0" t="n">
        <v>0</v>
      </c>
      <c r="S602" s="0" t="n">
        <v>0</v>
      </c>
      <c r="T602" s="0" t="s">
        <v>624</v>
      </c>
      <c r="U602" s="0" t="s">
        <v>149</v>
      </c>
      <c r="V602" s="0" t="s">
        <v>624</v>
      </c>
      <c r="W602" s="0" t="s">
        <v>569</v>
      </c>
      <c r="X602" s="0" t="s">
        <v>624</v>
      </c>
      <c r="Y602" s="0" t="s">
        <v>627</v>
      </c>
      <c r="Z602" s="0" t="s">
        <v>629</v>
      </c>
      <c r="AA602" s="0" t="s">
        <v>624</v>
      </c>
      <c r="AB602" s="0" t="s">
        <v>580</v>
      </c>
      <c r="AC602" s="254" t="n">
        <v>-500000</v>
      </c>
      <c r="AD602" s="254" t="n">
        <v>-35389.0605230396</v>
      </c>
      <c r="AE602" s="0" t="n">
        <v>0</v>
      </c>
      <c r="AF602" s="0" t="n">
        <v>0</v>
      </c>
      <c r="AG602" s="0" t="n">
        <v>0</v>
      </c>
      <c r="AH602" s="254" t="n">
        <v>7645.56963044469</v>
      </c>
      <c r="AI602" s="0" t="n">
        <v>226</v>
      </c>
      <c r="AJ602" s="0" t="s">
        <v>630</v>
      </c>
      <c r="AK602" s="0" t="n">
        <v>0</v>
      </c>
      <c r="AL602" s="0" t="n">
        <v>0</v>
      </c>
      <c r="AM602" s="0" t="n">
        <v>0</v>
      </c>
    </row>
    <row r="603" customFormat="false" ht="12.75" hidden="false" customHeight="false" outlineLevel="0" collapsed="false">
      <c r="A603" s="0" t="s">
        <v>631</v>
      </c>
      <c r="B603" s="0" t="s">
        <v>397</v>
      </c>
      <c r="C603" s="0" t="s">
        <v>622</v>
      </c>
      <c r="D603" s="0" t="s">
        <v>623</v>
      </c>
      <c r="E603" s="0" t="s">
        <v>131</v>
      </c>
      <c r="F603" s="0" t="s">
        <v>198</v>
      </c>
      <c r="G603" s="0" t="s">
        <v>628</v>
      </c>
      <c r="H603" s="0" t="s">
        <v>625</v>
      </c>
      <c r="I603" s="0" t="s">
        <v>626</v>
      </c>
      <c r="J603" s="0" t="s">
        <v>627</v>
      </c>
      <c r="K603" s="475" t="n">
        <v>36892</v>
      </c>
      <c r="L603" s="254" t="n">
        <v>-168984.997054223</v>
      </c>
      <c r="M603" s="475" t="n">
        <v>36888</v>
      </c>
      <c r="N603" s="0" t="s">
        <v>132</v>
      </c>
      <c r="O603" s="0" t="n">
        <v>1.52</v>
      </c>
      <c r="P603" s="0" t="n">
        <v>0</v>
      </c>
      <c r="Q603" s="0" t="n">
        <v>0</v>
      </c>
      <c r="R603" s="0" t="n">
        <v>0</v>
      </c>
      <c r="S603" s="0" t="n">
        <v>0</v>
      </c>
      <c r="T603" s="0" t="s">
        <v>624</v>
      </c>
      <c r="U603" s="0" t="s">
        <v>149</v>
      </c>
      <c r="V603" s="0" t="s">
        <v>624</v>
      </c>
      <c r="W603" s="0" t="s">
        <v>569</v>
      </c>
      <c r="X603" s="0" t="s">
        <v>624</v>
      </c>
      <c r="Y603" s="0" t="s">
        <v>627</v>
      </c>
      <c r="Z603" s="0" t="s">
        <v>629</v>
      </c>
      <c r="AA603" s="0" t="s">
        <v>624</v>
      </c>
      <c r="AB603" s="0" t="s">
        <v>580</v>
      </c>
      <c r="AC603" s="254" t="n">
        <v>-500000</v>
      </c>
      <c r="AD603" s="254" t="n">
        <v>-37027.4423590699</v>
      </c>
      <c r="AE603" s="0" t="n">
        <v>0</v>
      </c>
      <c r="AF603" s="0" t="n">
        <v>0</v>
      </c>
      <c r="AG603" s="0" t="n">
        <v>0</v>
      </c>
      <c r="AH603" s="254" t="n">
        <v>7004.96899306338</v>
      </c>
      <c r="AI603" s="0" t="n">
        <v>226</v>
      </c>
      <c r="AJ603" s="0" t="s">
        <v>630</v>
      </c>
      <c r="AK603" s="0" t="n">
        <v>0</v>
      </c>
      <c r="AL603" s="0" t="n">
        <v>0</v>
      </c>
      <c r="AM603" s="0" t="n">
        <v>0</v>
      </c>
    </row>
    <row r="604" customFormat="false" ht="12.75" hidden="false" customHeight="false" outlineLevel="0" collapsed="false">
      <c r="A604" s="0" t="s">
        <v>631</v>
      </c>
      <c r="B604" s="0" t="s">
        <v>397</v>
      </c>
      <c r="C604" s="0" t="s">
        <v>622</v>
      </c>
      <c r="D604" s="0" t="s">
        <v>623</v>
      </c>
      <c r="E604" s="0" t="s">
        <v>131</v>
      </c>
      <c r="F604" s="0" t="s">
        <v>198</v>
      </c>
      <c r="G604" s="0" t="s">
        <v>628</v>
      </c>
      <c r="H604" s="0" t="s">
        <v>625</v>
      </c>
      <c r="I604" s="0" t="s">
        <v>626</v>
      </c>
      <c r="J604" s="0" t="s">
        <v>627</v>
      </c>
      <c r="K604" s="475" t="n">
        <v>36923</v>
      </c>
      <c r="L604" s="254" t="n">
        <v>-197297.915481499</v>
      </c>
      <c r="M604" s="475" t="n">
        <v>36921</v>
      </c>
      <c r="N604" s="0" t="s">
        <v>132</v>
      </c>
      <c r="O604" s="0" t="n">
        <v>1.52</v>
      </c>
      <c r="P604" s="0" t="n">
        <v>0</v>
      </c>
      <c r="Q604" s="0" t="n">
        <v>0</v>
      </c>
      <c r="R604" s="0" t="n">
        <v>0</v>
      </c>
      <c r="S604" s="0" t="n">
        <v>0</v>
      </c>
      <c r="T604" s="0" t="s">
        <v>624</v>
      </c>
      <c r="U604" s="0" t="s">
        <v>149</v>
      </c>
      <c r="V604" s="0" t="s">
        <v>624</v>
      </c>
      <c r="W604" s="0" t="s">
        <v>569</v>
      </c>
      <c r="X604" s="0" t="s">
        <v>624</v>
      </c>
      <c r="Y604" s="0" t="s">
        <v>627</v>
      </c>
      <c r="Z604" s="0" t="s">
        <v>629</v>
      </c>
      <c r="AA604" s="0" t="s">
        <v>624</v>
      </c>
      <c r="AB604" s="0" t="s">
        <v>580</v>
      </c>
      <c r="AC604" s="254" t="n">
        <v>-500000</v>
      </c>
      <c r="AD604" s="254" t="n">
        <v>-41469.9825509166</v>
      </c>
      <c r="AE604" s="0" t="n">
        <v>0</v>
      </c>
      <c r="AF604" s="0" t="n">
        <v>0</v>
      </c>
      <c r="AG604" s="0" t="n">
        <v>0</v>
      </c>
      <c r="AH604" s="254" t="n">
        <v>8908.73541405445</v>
      </c>
      <c r="AI604" s="0" t="n">
        <v>226</v>
      </c>
      <c r="AJ604" s="0" t="s">
        <v>630</v>
      </c>
      <c r="AK604" s="0" t="n">
        <v>0</v>
      </c>
      <c r="AL604" s="0" t="n">
        <v>0</v>
      </c>
      <c r="AM604" s="0" t="n">
        <v>0</v>
      </c>
    </row>
    <row r="605" customFormat="false" ht="12.75" hidden="false" customHeight="false" outlineLevel="0" collapsed="false">
      <c r="A605" s="0" t="s">
        <v>631</v>
      </c>
      <c r="B605" s="0" t="s">
        <v>397</v>
      </c>
      <c r="C605" s="0" t="s">
        <v>622</v>
      </c>
      <c r="D605" s="0" t="s">
        <v>623</v>
      </c>
      <c r="E605" s="0" t="s">
        <v>131</v>
      </c>
      <c r="F605" s="0" t="s">
        <v>198</v>
      </c>
      <c r="G605" s="0" t="s">
        <v>628</v>
      </c>
      <c r="H605" s="0" t="s">
        <v>625</v>
      </c>
      <c r="I605" s="0" t="s">
        <v>626</v>
      </c>
      <c r="J605" s="0" t="s">
        <v>627</v>
      </c>
      <c r="K605" s="475" t="n">
        <v>36951</v>
      </c>
      <c r="L605" s="254" t="n">
        <v>-391150.355276343</v>
      </c>
      <c r="M605" s="475" t="n">
        <v>36949</v>
      </c>
      <c r="N605" s="0" t="s">
        <v>132</v>
      </c>
      <c r="O605" s="0" t="n">
        <v>1.52</v>
      </c>
      <c r="P605" s="0" t="n">
        <v>0</v>
      </c>
      <c r="Q605" s="0" t="n">
        <v>0</v>
      </c>
      <c r="R605" s="0" t="n">
        <v>0</v>
      </c>
      <c r="S605" s="0" t="n">
        <v>0</v>
      </c>
      <c r="T605" s="0" t="s">
        <v>624</v>
      </c>
      <c r="U605" s="0" t="s">
        <v>149</v>
      </c>
      <c r="V605" s="0" t="s">
        <v>624</v>
      </c>
      <c r="W605" s="0" t="s">
        <v>569</v>
      </c>
      <c r="X605" s="0" t="s">
        <v>624</v>
      </c>
      <c r="Y605" s="0" t="s">
        <v>627</v>
      </c>
      <c r="Z605" s="0" t="s">
        <v>629</v>
      </c>
      <c r="AA605" s="0" t="s">
        <v>624</v>
      </c>
      <c r="AB605" s="0" t="s">
        <v>580</v>
      </c>
      <c r="AC605" s="254" t="n">
        <v>-500000</v>
      </c>
      <c r="AD605" s="254" t="n">
        <v>-41343.7241806269</v>
      </c>
      <c r="AE605" s="0" t="n">
        <v>0</v>
      </c>
      <c r="AF605" s="0" t="n">
        <v>0</v>
      </c>
      <c r="AG605" s="0" t="n">
        <v>0</v>
      </c>
      <c r="AH605" s="254" t="n">
        <v>14768.1527184695</v>
      </c>
      <c r="AI605" s="0" t="n">
        <v>226</v>
      </c>
      <c r="AJ605" s="0" t="s">
        <v>630</v>
      </c>
      <c r="AK605" s="0" t="n">
        <v>0</v>
      </c>
      <c r="AL605" s="0" t="n">
        <v>0</v>
      </c>
      <c r="AM605" s="0" t="n">
        <v>0</v>
      </c>
    </row>
    <row r="606" customFormat="false" ht="12.75" hidden="false" customHeight="false" outlineLevel="0" collapsed="false">
      <c r="A606" s="0" t="s">
        <v>631</v>
      </c>
      <c r="B606" s="0" t="s">
        <v>398</v>
      </c>
      <c r="C606" s="0" t="s">
        <v>622</v>
      </c>
      <c r="D606" s="0" t="s">
        <v>623</v>
      </c>
      <c r="E606" s="0" t="s">
        <v>131</v>
      </c>
      <c r="F606" s="0" t="s">
        <v>244</v>
      </c>
      <c r="G606" s="0" t="s">
        <v>628</v>
      </c>
      <c r="H606" s="0" t="s">
        <v>625</v>
      </c>
      <c r="I606" s="0" t="s">
        <v>626</v>
      </c>
      <c r="J606" s="0" t="s">
        <v>627</v>
      </c>
      <c r="K606" s="475" t="n">
        <v>36831</v>
      </c>
      <c r="L606" s="254" t="n">
        <v>85217.7819305855</v>
      </c>
      <c r="M606" s="475" t="n">
        <v>36829</v>
      </c>
      <c r="N606" s="0" t="s">
        <v>136</v>
      </c>
      <c r="O606" s="0" t="n">
        <v>1</v>
      </c>
      <c r="P606" s="0" t="n">
        <v>0</v>
      </c>
      <c r="Q606" s="0" t="n">
        <v>0</v>
      </c>
      <c r="R606" s="0" t="n">
        <v>0</v>
      </c>
      <c r="S606" s="0" t="n">
        <v>0</v>
      </c>
      <c r="T606" s="0" t="s">
        <v>624</v>
      </c>
      <c r="U606" s="0" t="s">
        <v>149</v>
      </c>
      <c r="V606" s="0" t="s">
        <v>624</v>
      </c>
      <c r="W606" s="0" t="s">
        <v>569</v>
      </c>
      <c r="X606" s="0" t="s">
        <v>624</v>
      </c>
      <c r="Y606" s="0" t="s">
        <v>627</v>
      </c>
      <c r="Z606" s="0" t="s">
        <v>629</v>
      </c>
      <c r="AA606" s="0" t="s">
        <v>624</v>
      </c>
      <c r="AB606" s="0" t="s">
        <v>580</v>
      </c>
      <c r="AC606" s="254" t="n">
        <v>500000</v>
      </c>
      <c r="AD606" s="254" t="n">
        <v>20906.9546718727</v>
      </c>
      <c r="AE606" s="0" t="n">
        <v>0</v>
      </c>
      <c r="AF606" s="0" t="n">
        <v>0</v>
      </c>
      <c r="AG606" s="0" t="n">
        <v>0</v>
      </c>
      <c r="AH606" s="254" t="n">
        <v>8666.53669829646</v>
      </c>
      <c r="AI606" s="0" t="n">
        <v>226</v>
      </c>
      <c r="AJ606" s="0" t="s">
        <v>630</v>
      </c>
      <c r="AK606" s="0" t="n">
        <v>0</v>
      </c>
      <c r="AL606" s="0" t="n">
        <v>0</v>
      </c>
      <c r="AM606" s="0" t="n">
        <v>0</v>
      </c>
    </row>
    <row r="607" customFormat="false" ht="12.75" hidden="false" customHeight="false" outlineLevel="0" collapsed="false">
      <c r="A607" s="0" t="s">
        <v>631</v>
      </c>
      <c r="B607" s="0" t="s">
        <v>399</v>
      </c>
      <c r="C607" s="0" t="s">
        <v>622</v>
      </c>
      <c r="D607" s="0" t="s">
        <v>623</v>
      </c>
      <c r="E607" s="0" t="s">
        <v>131</v>
      </c>
      <c r="F607" s="0" t="s">
        <v>244</v>
      </c>
      <c r="G607" s="0" t="s">
        <v>628</v>
      </c>
      <c r="H607" s="0" t="s">
        <v>625</v>
      </c>
      <c r="I607" s="0" t="s">
        <v>626</v>
      </c>
      <c r="J607" s="0" t="s">
        <v>627</v>
      </c>
      <c r="K607" s="475" t="n">
        <v>36831</v>
      </c>
      <c r="L607" s="254" t="n">
        <v>-30752.9866277365</v>
      </c>
      <c r="M607" s="475" t="n">
        <v>36829</v>
      </c>
      <c r="N607" s="0" t="s">
        <v>136</v>
      </c>
      <c r="O607" s="0" t="n">
        <v>1.5</v>
      </c>
      <c r="P607" s="0" t="n">
        <v>0</v>
      </c>
      <c r="Q607" s="0" t="n">
        <v>0</v>
      </c>
      <c r="R607" s="0" t="n">
        <v>0</v>
      </c>
      <c r="S607" s="0" t="n">
        <v>0</v>
      </c>
      <c r="T607" s="0" t="s">
        <v>624</v>
      </c>
      <c r="U607" s="0" t="s">
        <v>149</v>
      </c>
      <c r="V607" s="0" t="s">
        <v>624</v>
      </c>
      <c r="W607" s="0" t="s">
        <v>569</v>
      </c>
      <c r="X607" s="0" t="s">
        <v>624</v>
      </c>
      <c r="Y607" s="0" t="s">
        <v>627</v>
      </c>
      <c r="Z607" s="0" t="s">
        <v>629</v>
      </c>
      <c r="AA607" s="0" t="s">
        <v>624</v>
      </c>
      <c r="AB607" s="0" t="s">
        <v>580</v>
      </c>
      <c r="AC607" s="254" t="n">
        <v>-500000</v>
      </c>
      <c r="AD607" s="254" t="n">
        <v>-13100.3637943802</v>
      </c>
      <c r="AE607" s="0" t="n">
        <v>0</v>
      </c>
      <c r="AF607" s="0" t="n">
        <v>0</v>
      </c>
      <c r="AG607" s="0" t="n">
        <v>0</v>
      </c>
      <c r="AH607" s="254" t="n">
        <v>-4120.33432889789</v>
      </c>
      <c r="AI607" s="0" t="n">
        <v>226</v>
      </c>
      <c r="AJ607" s="0" t="s">
        <v>630</v>
      </c>
      <c r="AK607" s="0" t="n">
        <v>0</v>
      </c>
      <c r="AL607" s="0" t="n">
        <v>0</v>
      </c>
      <c r="AM607" s="0" t="n">
        <v>0</v>
      </c>
    </row>
    <row r="608" customFormat="false" ht="12.75" hidden="false" customHeight="false" outlineLevel="0" collapsed="false">
      <c r="A608" s="0" t="s">
        <v>631</v>
      </c>
      <c r="B608" s="0" t="s">
        <v>400</v>
      </c>
      <c r="C608" s="0" t="s">
        <v>622</v>
      </c>
      <c r="D608" s="0" t="s">
        <v>623</v>
      </c>
      <c r="E608" s="0" t="s">
        <v>131</v>
      </c>
      <c r="F608" s="0" t="s">
        <v>363</v>
      </c>
      <c r="G608" s="0" t="s">
        <v>628</v>
      </c>
      <c r="H608" s="0" t="s">
        <v>625</v>
      </c>
      <c r="I608" s="0" t="s">
        <v>626</v>
      </c>
      <c r="J608" s="0" t="s">
        <v>627</v>
      </c>
      <c r="K608" s="475" t="n">
        <v>36831</v>
      </c>
      <c r="L608" s="254" t="n">
        <v>170435.563861171</v>
      </c>
      <c r="M608" s="475" t="n">
        <v>36829</v>
      </c>
      <c r="N608" s="0" t="s">
        <v>136</v>
      </c>
      <c r="O608" s="0" t="n">
        <v>1</v>
      </c>
      <c r="P608" s="0" t="n">
        <v>0</v>
      </c>
      <c r="Q608" s="0" t="n">
        <v>0</v>
      </c>
      <c r="R608" s="0" t="n">
        <v>0</v>
      </c>
      <c r="S608" s="0" t="n">
        <v>0</v>
      </c>
      <c r="T608" s="0" t="s">
        <v>624</v>
      </c>
      <c r="U608" s="0" t="s">
        <v>149</v>
      </c>
      <c r="V608" s="0" t="s">
        <v>624</v>
      </c>
      <c r="W608" s="0" t="s">
        <v>569</v>
      </c>
      <c r="X608" s="0" t="s">
        <v>624</v>
      </c>
      <c r="Y608" s="0" t="s">
        <v>627</v>
      </c>
      <c r="Z608" s="0" t="s">
        <v>629</v>
      </c>
      <c r="AA608" s="0" t="s">
        <v>624</v>
      </c>
      <c r="AB608" s="0" t="s">
        <v>580</v>
      </c>
      <c r="AC608" s="254" t="n">
        <v>1000000</v>
      </c>
      <c r="AD608" s="254" t="n">
        <v>41813.9093437454</v>
      </c>
      <c r="AE608" s="0" t="n">
        <v>0</v>
      </c>
      <c r="AF608" s="0" t="n">
        <v>0</v>
      </c>
      <c r="AG608" s="0" t="n">
        <v>0</v>
      </c>
      <c r="AH608" s="254" t="n">
        <v>17333.0733965929</v>
      </c>
      <c r="AI608" s="0" t="n">
        <v>226</v>
      </c>
      <c r="AJ608" s="0" t="s">
        <v>630</v>
      </c>
      <c r="AK608" s="0" t="n">
        <v>0</v>
      </c>
      <c r="AL608" s="0" t="n">
        <v>0</v>
      </c>
      <c r="AM608" s="0" t="n">
        <v>0</v>
      </c>
    </row>
    <row r="609" customFormat="false" ht="12.75" hidden="false" customHeight="false" outlineLevel="0" collapsed="false">
      <c r="A609" s="0" t="s">
        <v>631</v>
      </c>
      <c r="B609" s="0" t="s">
        <v>401</v>
      </c>
      <c r="C609" s="0" t="s">
        <v>622</v>
      </c>
      <c r="D609" s="0" t="s">
        <v>623</v>
      </c>
      <c r="E609" s="0" t="s">
        <v>131</v>
      </c>
      <c r="F609" s="0" t="s">
        <v>275</v>
      </c>
      <c r="G609" s="0" t="s">
        <v>628</v>
      </c>
      <c r="H609" s="0" t="s">
        <v>625</v>
      </c>
      <c r="I609" s="0" t="s">
        <v>626</v>
      </c>
      <c r="J609" s="0" t="s">
        <v>627</v>
      </c>
      <c r="K609" s="475" t="n">
        <v>36831</v>
      </c>
      <c r="L609" s="254" t="n">
        <v>1205.08064711719</v>
      </c>
      <c r="M609" s="475" t="n">
        <v>36829</v>
      </c>
      <c r="N609" s="0" t="s">
        <v>136</v>
      </c>
      <c r="O609" s="0" t="n">
        <v>3</v>
      </c>
      <c r="P609" s="0" t="n">
        <v>0</v>
      </c>
      <c r="Q609" s="0" t="n">
        <v>0</v>
      </c>
      <c r="R609" s="0" t="n">
        <v>0</v>
      </c>
      <c r="S609" s="0" t="n">
        <v>0</v>
      </c>
      <c r="T609" s="0" t="s">
        <v>624</v>
      </c>
      <c r="U609" s="0" t="s">
        <v>149</v>
      </c>
      <c r="V609" s="0" t="s">
        <v>624</v>
      </c>
      <c r="W609" s="0" t="s">
        <v>569</v>
      </c>
      <c r="X609" s="0" t="s">
        <v>624</v>
      </c>
      <c r="Y609" s="0" t="s">
        <v>627</v>
      </c>
      <c r="Z609" s="0" t="s">
        <v>629</v>
      </c>
      <c r="AA609" s="0" t="s">
        <v>624</v>
      </c>
      <c r="AB609" s="0" t="s">
        <v>580</v>
      </c>
      <c r="AC609" s="254" t="n">
        <v>600000</v>
      </c>
      <c r="AD609" s="254" t="n">
        <v>1202.82011133918</v>
      </c>
      <c r="AE609" s="0" t="n">
        <v>0</v>
      </c>
      <c r="AF609" s="0" t="n">
        <v>0</v>
      </c>
      <c r="AG609" s="0" t="n">
        <v>0</v>
      </c>
      <c r="AH609" s="254" t="n">
        <v>272.993707591974</v>
      </c>
      <c r="AI609" s="0" t="n">
        <v>226</v>
      </c>
      <c r="AJ609" s="0" t="s">
        <v>630</v>
      </c>
      <c r="AK609" s="0" t="n">
        <v>0</v>
      </c>
      <c r="AL609" s="0" t="n">
        <v>0</v>
      </c>
      <c r="AM609" s="0" t="n">
        <v>0</v>
      </c>
    </row>
    <row r="610" customFormat="false" ht="12.75" hidden="false" customHeight="false" outlineLevel="0" collapsed="false">
      <c r="A610" s="0" t="s">
        <v>631</v>
      </c>
      <c r="B610" s="0" t="s">
        <v>401</v>
      </c>
      <c r="C610" s="0" t="s">
        <v>622</v>
      </c>
      <c r="D610" s="0" t="s">
        <v>623</v>
      </c>
      <c r="E610" s="0" t="s">
        <v>131</v>
      </c>
      <c r="F610" s="0" t="s">
        <v>275</v>
      </c>
      <c r="G610" s="0" t="s">
        <v>628</v>
      </c>
      <c r="H610" s="0" t="s">
        <v>625</v>
      </c>
      <c r="I610" s="0" t="s">
        <v>626</v>
      </c>
      <c r="J610" s="0" t="s">
        <v>627</v>
      </c>
      <c r="K610" s="475" t="n">
        <v>36861</v>
      </c>
      <c r="L610" s="254" t="n">
        <v>98380.4348475976</v>
      </c>
      <c r="M610" s="475" t="n">
        <v>36859</v>
      </c>
      <c r="N610" s="0" t="s">
        <v>136</v>
      </c>
      <c r="O610" s="0" t="n">
        <v>3</v>
      </c>
      <c r="P610" s="0" t="n">
        <v>0</v>
      </c>
      <c r="Q610" s="0" t="n">
        <v>0</v>
      </c>
      <c r="R610" s="0" t="n">
        <v>0</v>
      </c>
      <c r="S610" s="0" t="n">
        <v>0</v>
      </c>
      <c r="T610" s="0" t="s">
        <v>624</v>
      </c>
      <c r="U610" s="0" t="s">
        <v>149</v>
      </c>
      <c r="V610" s="0" t="s">
        <v>624</v>
      </c>
      <c r="W610" s="0" t="s">
        <v>569</v>
      </c>
      <c r="X610" s="0" t="s">
        <v>624</v>
      </c>
      <c r="Y610" s="0" t="s">
        <v>627</v>
      </c>
      <c r="Z610" s="0" t="s">
        <v>629</v>
      </c>
      <c r="AA610" s="0" t="s">
        <v>624</v>
      </c>
      <c r="AB610" s="0" t="s">
        <v>580</v>
      </c>
      <c r="AC610" s="254" t="n">
        <v>620000</v>
      </c>
      <c r="AD610" s="254" t="n">
        <v>28858.7572029209</v>
      </c>
      <c r="AE610" s="0" t="n">
        <v>0</v>
      </c>
      <c r="AF610" s="0" t="n">
        <v>0</v>
      </c>
      <c r="AG610" s="0" t="n">
        <v>0</v>
      </c>
      <c r="AH610" s="254" t="n">
        <v>7488.57707518438</v>
      </c>
      <c r="AI610" s="0" t="n">
        <v>226</v>
      </c>
      <c r="AJ610" s="0" t="s">
        <v>630</v>
      </c>
      <c r="AK610" s="0" t="n">
        <v>0</v>
      </c>
      <c r="AL610" s="0" t="n">
        <v>0</v>
      </c>
      <c r="AM610" s="0" t="n">
        <v>0</v>
      </c>
    </row>
    <row r="611" customFormat="false" ht="12.75" hidden="false" customHeight="false" outlineLevel="0" collapsed="false">
      <c r="A611" s="0" t="s">
        <v>631</v>
      </c>
      <c r="B611" s="0" t="s">
        <v>401</v>
      </c>
      <c r="C611" s="0" t="s">
        <v>622</v>
      </c>
      <c r="D611" s="0" t="s">
        <v>623</v>
      </c>
      <c r="E611" s="0" t="s">
        <v>131</v>
      </c>
      <c r="F611" s="0" t="s">
        <v>275</v>
      </c>
      <c r="G611" s="0" t="s">
        <v>628</v>
      </c>
      <c r="H611" s="0" t="s">
        <v>625</v>
      </c>
      <c r="I611" s="0" t="s">
        <v>626</v>
      </c>
      <c r="J611" s="0" t="s">
        <v>627</v>
      </c>
      <c r="K611" s="475" t="n">
        <v>36892</v>
      </c>
      <c r="L611" s="254" t="n">
        <v>239454.613804112</v>
      </c>
      <c r="M611" s="475" t="n">
        <v>36888</v>
      </c>
      <c r="N611" s="0" t="s">
        <v>136</v>
      </c>
      <c r="O611" s="0" t="n">
        <v>3</v>
      </c>
      <c r="P611" s="0" t="n">
        <v>0</v>
      </c>
      <c r="Q611" s="0" t="n">
        <v>0</v>
      </c>
      <c r="R611" s="0" t="n">
        <v>0</v>
      </c>
      <c r="S611" s="0" t="n">
        <v>0</v>
      </c>
      <c r="T611" s="0" t="s">
        <v>624</v>
      </c>
      <c r="U611" s="0" t="s">
        <v>149</v>
      </c>
      <c r="V611" s="0" t="s">
        <v>624</v>
      </c>
      <c r="W611" s="0" t="s">
        <v>569</v>
      </c>
      <c r="X611" s="0" t="s">
        <v>624</v>
      </c>
      <c r="Y611" s="0" t="s">
        <v>627</v>
      </c>
      <c r="Z611" s="0" t="s">
        <v>629</v>
      </c>
      <c r="AA611" s="0" t="s">
        <v>624</v>
      </c>
      <c r="AB611" s="0" t="s">
        <v>580</v>
      </c>
      <c r="AC611" s="254" t="n">
        <v>620000</v>
      </c>
      <c r="AD611" s="254" t="n">
        <v>43158.7723519802</v>
      </c>
      <c r="AE611" s="0" t="n">
        <v>0</v>
      </c>
      <c r="AF611" s="0" t="n">
        <v>0</v>
      </c>
      <c r="AG611" s="0" t="n">
        <v>0</v>
      </c>
      <c r="AH611" s="254" t="n">
        <v>15581.0627571879</v>
      </c>
      <c r="AI611" s="0" t="n">
        <v>226</v>
      </c>
      <c r="AJ611" s="0" t="s">
        <v>630</v>
      </c>
      <c r="AK611" s="0" t="n">
        <v>0</v>
      </c>
      <c r="AL611" s="0" t="n">
        <v>0</v>
      </c>
      <c r="AM611" s="0" t="n">
        <v>0</v>
      </c>
    </row>
    <row r="612" customFormat="false" ht="12.75" hidden="false" customHeight="false" outlineLevel="0" collapsed="false">
      <c r="A612" s="0" t="s">
        <v>631</v>
      </c>
      <c r="B612" s="0" t="s">
        <v>401</v>
      </c>
      <c r="C612" s="0" t="s">
        <v>622</v>
      </c>
      <c r="D612" s="0" t="s">
        <v>623</v>
      </c>
      <c r="E612" s="0" t="s">
        <v>131</v>
      </c>
      <c r="F612" s="0" t="s">
        <v>275</v>
      </c>
      <c r="G612" s="0" t="s">
        <v>628</v>
      </c>
      <c r="H612" s="0" t="s">
        <v>625</v>
      </c>
      <c r="I612" s="0" t="s">
        <v>626</v>
      </c>
      <c r="J612" s="0" t="s">
        <v>627</v>
      </c>
      <c r="K612" s="475" t="n">
        <v>36923</v>
      </c>
      <c r="L612" s="254" t="n">
        <v>223934.610130462</v>
      </c>
      <c r="M612" s="475" t="n">
        <v>36921</v>
      </c>
      <c r="N612" s="0" t="s">
        <v>136</v>
      </c>
      <c r="O612" s="0" t="n">
        <v>3</v>
      </c>
      <c r="P612" s="0" t="n">
        <v>0</v>
      </c>
      <c r="Q612" s="0" t="n">
        <v>0</v>
      </c>
      <c r="R612" s="0" t="n">
        <v>0</v>
      </c>
      <c r="S612" s="0" t="n">
        <v>0</v>
      </c>
      <c r="T612" s="0" t="s">
        <v>624</v>
      </c>
      <c r="U612" s="0" t="s">
        <v>149</v>
      </c>
      <c r="V612" s="0" t="s">
        <v>624</v>
      </c>
      <c r="W612" s="0" t="s">
        <v>569</v>
      </c>
      <c r="X612" s="0" t="s">
        <v>624</v>
      </c>
      <c r="Y612" s="0" t="s">
        <v>627</v>
      </c>
      <c r="Z612" s="0" t="s">
        <v>629</v>
      </c>
      <c r="AA612" s="0" t="s">
        <v>624</v>
      </c>
      <c r="AB612" s="0" t="s">
        <v>580</v>
      </c>
      <c r="AC612" s="254" t="n">
        <v>560000</v>
      </c>
      <c r="AD612" s="254" t="n">
        <v>42315.5982974822</v>
      </c>
      <c r="AE612" s="0" t="n">
        <v>0</v>
      </c>
      <c r="AF612" s="0" t="n">
        <v>0</v>
      </c>
      <c r="AG612" s="0" t="n">
        <v>0</v>
      </c>
      <c r="AH612" s="254" t="n">
        <v>16178.2483665124</v>
      </c>
      <c r="AI612" s="0" t="n">
        <v>226</v>
      </c>
      <c r="AJ612" s="0" t="s">
        <v>630</v>
      </c>
      <c r="AK612" s="0" t="n">
        <v>0</v>
      </c>
      <c r="AL612" s="0" t="n">
        <v>0</v>
      </c>
      <c r="AM612" s="0" t="n">
        <v>0</v>
      </c>
    </row>
    <row r="613" customFormat="false" ht="12.75" hidden="false" customHeight="false" outlineLevel="0" collapsed="false">
      <c r="A613" s="0" t="s">
        <v>631</v>
      </c>
      <c r="B613" s="0" t="s">
        <v>401</v>
      </c>
      <c r="C613" s="0" t="s">
        <v>622</v>
      </c>
      <c r="D613" s="0" t="s">
        <v>623</v>
      </c>
      <c r="E613" s="0" t="s">
        <v>131</v>
      </c>
      <c r="F613" s="0" t="s">
        <v>275</v>
      </c>
      <c r="G613" s="0" t="s">
        <v>628</v>
      </c>
      <c r="H613" s="0" t="s">
        <v>625</v>
      </c>
      <c r="I613" s="0" t="s">
        <v>626</v>
      </c>
      <c r="J613" s="0" t="s">
        <v>627</v>
      </c>
      <c r="K613" s="475" t="n">
        <v>36951</v>
      </c>
      <c r="L613" s="254" t="n">
        <v>65270.8157125124</v>
      </c>
      <c r="M613" s="475" t="n">
        <v>36949</v>
      </c>
      <c r="N613" s="0" t="s">
        <v>136</v>
      </c>
      <c r="O613" s="0" t="n">
        <v>3</v>
      </c>
      <c r="P613" s="0" t="n">
        <v>0</v>
      </c>
      <c r="Q613" s="0" t="n">
        <v>0</v>
      </c>
      <c r="R613" s="0" t="n">
        <v>0</v>
      </c>
      <c r="S613" s="0" t="n">
        <v>0</v>
      </c>
      <c r="T613" s="0" t="s">
        <v>624</v>
      </c>
      <c r="U613" s="0" t="s">
        <v>149</v>
      </c>
      <c r="V613" s="0" t="s">
        <v>624</v>
      </c>
      <c r="W613" s="0" t="s">
        <v>569</v>
      </c>
      <c r="X613" s="0" t="s">
        <v>624</v>
      </c>
      <c r="Y613" s="0" t="s">
        <v>627</v>
      </c>
      <c r="Z613" s="0" t="s">
        <v>629</v>
      </c>
      <c r="AA613" s="0" t="s">
        <v>624</v>
      </c>
      <c r="AB613" s="0" t="s">
        <v>580</v>
      </c>
      <c r="AC613" s="254" t="n">
        <v>620000</v>
      </c>
      <c r="AD613" s="254" t="n">
        <v>27765.5238546944</v>
      </c>
      <c r="AE613" s="0" t="n">
        <v>0</v>
      </c>
      <c r="AF613" s="0" t="n">
        <v>0</v>
      </c>
      <c r="AG613" s="0" t="n">
        <v>0</v>
      </c>
      <c r="AH613" s="254" t="n">
        <v>7036.97713727812</v>
      </c>
      <c r="AI613" s="0" t="n">
        <v>226</v>
      </c>
      <c r="AJ613" s="0" t="s">
        <v>630</v>
      </c>
      <c r="AK613" s="0" t="n">
        <v>0</v>
      </c>
      <c r="AL613" s="0" t="n">
        <v>0</v>
      </c>
      <c r="AM613" s="0" t="n">
        <v>0</v>
      </c>
    </row>
    <row r="614" customFormat="false" ht="12.75" hidden="false" customHeight="false" outlineLevel="0" collapsed="false">
      <c r="A614" s="0" t="s">
        <v>631</v>
      </c>
      <c r="B614" s="0" t="s">
        <v>402</v>
      </c>
      <c r="C614" s="0" t="s">
        <v>622</v>
      </c>
      <c r="D614" s="0" t="s">
        <v>623</v>
      </c>
      <c r="E614" s="0" t="s">
        <v>131</v>
      </c>
      <c r="F614" s="0" t="s">
        <v>275</v>
      </c>
      <c r="G614" s="0" t="s">
        <v>628</v>
      </c>
      <c r="H614" s="0" t="s">
        <v>625</v>
      </c>
      <c r="I614" s="0" t="s">
        <v>626</v>
      </c>
      <c r="J614" s="0" t="s">
        <v>627</v>
      </c>
      <c r="K614" s="475" t="n">
        <v>36831</v>
      </c>
      <c r="L614" s="254" t="n">
        <v>-376.482966952956</v>
      </c>
      <c r="M614" s="475" t="n">
        <v>36829</v>
      </c>
      <c r="N614" s="0" t="s">
        <v>136</v>
      </c>
      <c r="O614" s="0" t="n">
        <v>3.5</v>
      </c>
      <c r="P614" s="0" t="n">
        <v>0</v>
      </c>
      <c r="Q614" s="0" t="n">
        <v>0</v>
      </c>
      <c r="R614" s="0" t="n">
        <v>0</v>
      </c>
      <c r="S614" s="0" t="n">
        <v>0</v>
      </c>
      <c r="T614" s="0" t="s">
        <v>624</v>
      </c>
      <c r="U614" s="0" t="s">
        <v>149</v>
      </c>
      <c r="V614" s="0" t="s">
        <v>624</v>
      </c>
      <c r="W614" s="0" t="s">
        <v>569</v>
      </c>
      <c r="X614" s="0" t="s">
        <v>624</v>
      </c>
      <c r="Y614" s="0" t="s">
        <v>627</v>
      </c>
      <c r="Z614" s="0" t="s">
        <v>629</v>
      </c>
      <c r="AA614" s="0" t="s">
        <v>624</v>
      </c>
      <c r="AB614" s="0" t="s">
        <v>580</v>
      </c>
      <c r="AC614" s="254" t="n">
        <v>-600000</v>
      </c>
      <c r="AD614" s="254" t="n">
        <v>-442.140850084452</v>
      </c>
      <c r="AE614" s="0" t="n">
        <v>0</v>
      </c>
      <c r="AF614" s="0" t="n">
        <v>0</v>
      </c>
      <c r="AG614" s="0" t="n">
        <v>0</v>
      </c>
      <c r="AH614" s="254" t="n">
        <v>-96.2200440655186</v>
      </c>
      <c r="AI614" s="0" t="n">
        <v>226</v>
      </c>
      <c r="AJ614" s="0" t="s">
        <v>630</v>
      </c>
      <c r="AK614" s="0" t="n">
        <v>0</v>
      </c>
      <c r="AL614" s="0" t="n">
        <v>0</v>
      </c>
      <c r="AM614" s="0" t="n">
        <v>0</v>
      </c>
    </row>
    <row r="615" customFormat="false" ht="12.75" hidden="false" customHeight="false" outlineLevel="0" collapsed="false">
      <c r="A615" s="0" t="s">
        <v>631</v>
      </c>
      <c r="B615" s="0" t="s">
        <v>402</v>
      </c>
      <c r="C615" s="0" t="s">
        <v>622</v>
      </c>
      <c r="D615" s="0" t="s">
        <v>623</v>
      </c>
      <c r="E615" s="0" t="s">
        <v>131</v>
      </c>
      <c r="F615" s="0" t="s">
        <v>275</v>
      </c>
      <c r="G615" s="0" t="s">
        <v>628</v>
      </c>
      <c r="H615" s="0" t="s">
        <v>625</v>
      </c>
      <c r="I615" s="0" t="s">
        <v>626</v>
      </c>
      <c r="J615" s="0" t="s">
        <v>627</v>
      </c>
      <c r="K615" s="475" t="n">
        <v>36861</v>
      </c>
      <c r="L615" s="254" t="n">
        <v>-62687.9973558398</v>
      </c>
      <c r="M615" s="475" t="n">
        <v>36859</v>
      </c>
      <c r="N615" s="0" t="s">
        <v>136</v>
      </c>
      <c r="O615" s="0" t="n">
        <v>3.5</v>
      </c>
      <c r="P615" s="0" t="n">
        <v>0</v>
      </c>
      <c r="Q615" s="0" t="n">
        <v>0</v>
      </c>
      <c r="R615" s="0" t="n">
        <v>0</v>
      </c>
      <c r="S615" s="0" t="n">
        <v>0</v>
      </c>
      <c r="T615" s="0" t="s">
        <v>624</v>
      </c>
      <c r="U615" s="0" t="s">
        <v>149</v>
      </c>
      <c r="V615" s="0" t="s">
        <v>624</v>
      </c>
      <c r="W615" s="0" t="s">
        <v>569</v>
      </c>
      <c r="X615" s="0" t="s">
        <v>624</v>
      </c>
      <c r="Y615" s="0" t="s">
        <v>627</v>
      </c>
      <c r="Z615" s="0" t="s">
        <v>629</v>
      </c>
      <c r="AA615" s="0" t="s">
        <v>624</v>
      </c>
      <c r="AB615" s="0" t="s">
        <v>580</v>
      </c>
      <c r="AC615" s="254" t="n">
        <v>-620000</v>
      </c>
      <c r="AD615" s="254" t="n">
        <v>-22080.7947460383</v>
      </c>
      <c r="AE615" s="0" t="n">
        <v>0</v>
      </c>
      <c r="AF615" s="0" t="n">
        <v>0</v>
      </c>
      <c r="AG615" s="0" t="n">
        <v>0</v>
      </c>
      <c r="AH615" s="254" t="n">
        <v>-5271.02944605541</v>
      </c>
      <c r="AI615" s="0" t="n">
        <v>226</v>
      </c>
      <c r="AJ615" s="0" t="s">
        <v>630</v>
      </c>
      <c r="AK615" s="0" t="n">
        <v>0</v>
      </c>
      <c r="AL615" s="0" t="n">
        <v>0</v>
      </c>
      <c r="AM615" s="0" t="n">
        <v>0</v>
      </c>
    </row>
    <row r="616" customFormat="false" ht="12.75" hidden="false" customHeight="false" outlineLevel="0" collapsed="false">
      <c r="A616" s="0" t="s">
        <v>631</v>
      </c>
      <c r="B616" s="0" t="s">
        <v>402</v>
      </c>
      <c r="C616" s="0" t="s">
        <v>622</v>
      </c>
      <c r="D616" s="0" t="s">
        <v>623</v>
      </c>
      <c r="E616" s="0" t="s">
        <v>131</v>
      </c>
      <c r="F616" s="0" t="s">
        <v>275</v>
      </c>
      <c r="G616" s="0" t="s">
        <v>628</v>
      </c>
      <c r="H616" s="0" t="s">
        <v>625</v>
      </c>
      <c r="I616" s="0" t="s">
        <v>626</v>
      </c>
      <c r="J616" s="0" t="s">
        <v>627</v>
      </c>
      <c r="K616" s="475" t="n">
        <v>36892</v>
      </c>
      <c r="L616" s="254" t="n">
        <v>-173343.288797642</v>
      </c>
      <c r="M616" s="475" t="n">
        <v>36888</v>
      </c>
      <c r="N616" s="0" t="s">
        <v>136</v>
      </c>
      <c r="O616" s="0" t="n">
        <v>3.5</v>
      </c>
      <c r="P616" s="0" t="n">
        <v>0</v>
      </c>
      <c r="Q616" s="0" t="n">
        <v>0</v>
      </c>
      <c r="R616" s="0" t="n">
        <v>0</v>
      </c>
      <c r="S616" s="0" t="n">
        <v>0</v>
      </c>
      <c r="T616" s="0" t="s">
        <v>624</v>
      </c>
      <c r="U616" s="0" t="s">
        <v>149</v>
      </c>
      <c r="V616" s="0" t="s">
        <v>624</v>
      </c>
      <c r="W616" s="0" t="s">
        <v>569</v>
      </c>
      <c r="X616" s="0" t="s">
        <v>624</v>
      </c>
      <c r="Y616" s="0" t="s">
        <v>627</v>
      </c>
      <c r="Z616" s="0" t="s">
        <v>629</v>
      </c>
      <c r="AA616" s="0" t="s">
        <v>624</v>
      </c>
      <c r="AB616" s="0" t="s">
        <v>580</v>
      </c>
      <c r="AC616" s="254" t="n">
        <v>-620000</v>
      </c>
      <c r="AD616" s="254" t="n">
        <v>-37632.9227401077</v>
      </c>
      <c r="AE616" s="0" t="n">
        <v>0</v>
      </c>
      <c r="AF616" s="0" t="n">
        <v>0</v>
      </c>
      <c r="AG616" s="0" t="n">
        <v>0</v>
      </c>
      <c r="AH616" s="254" t="n">
        <v>-12309.0913456945</v>
      </c>
      <c r="AI616" s="0" t="n">
        <v>226</v>
      </c>
      <c r="AJ616" s="0" t="s">
        <v>630</v>
      </c>
      <c r="AK616" s="0" t="n">
        <v>0</v>
      </c>
      <c r="AL616" s="0" t="n">
        <v>0</v>
      </c>
      <c r="AM616" s="0" t="n">
        <v>0</v>
      </c>
    </row>
    <row r="617" customFormat="false" ht="12.75" hidden="false" customHeight="false" outlineLevel="0" collapsed="false">
      <c r="A617" s="0" t="s">
        <v>631</v>
      </c>
      <c r="B617" s="0" t="s">
        <v>402</v>
      </c>
      <c r="C617" s="0" t="s">
        <v>622</v>
      </c>
      <c r="D617" s="0" t="s">
        <v>623</v>
      </c>
      <c r="E617" s="0" t="s">
        <v>131</v>
      </c>
      <c r="F617" s="0" t="s">
        <v>275</v>
      </c>
      <c r="G617" s="0" t="s">
        <v>628</v>
      </c>
      <c r="H617" s="0" t="s">
        <v>625</v>
      </c>
      <c r="I617" s="0" t="s">
        <v>626</v>
      </c>
      <c r="J617" s="0" t="s">
        <v>627</v>
      </c>
      <c r="K617" s="475" t="n">
        <v>36923</v>
      </c>
      <c r="L617" s="254" t="n">
        <v>-166763.066235896</v>
      </c>
      <c r="M617" s="475" t="n">
        <v>36921</v>
      </c>
      <c r="N617" s="0" t="s">
        <v>136</v>
      </c>
      <c r="O617" s="0" t="n">
        <v>3.5</v>
      </c>
      <c r="P617" s="0" t="n">
        <v>0</v>
      </c>
      <c r="Q617" s="0" t="n">
        <v>0</v>
      </c>
      <c r="R617" s="0" t="n">
        <v>0</v>
      </c>
      <c r="S617" s="0" t="n">
        <v>0</v>
      </c>
      <c r="T617" s="0" t="s">
        <v>624</v>
      </c>
      <c r="U617" s="0" t="s">
        <v>149</v>
      </c>
      <c r="V617" s="0" t="s">
        <v>624</v>
      </c>
      <c r="W617" s="0" t="s">
        <v>569</v>
      </c>
      <c r="X617" s="0" t="s">
        <v>624</v>
      </c>
      <c r="Y617" s="0" t="s">
        <v>627</v>
      </c>
      <c r="Z617" s="0" t="s">
        <v>629</v>
      </c>
      <c r="AA617" s="0" t="s">
        <v>624</v>
      </c>
      <c r="AB617" s="0" t="s">
        <v>580</v>
      </c>
      <c r="AC617" s="254" t="n">
        <v>-560000</v>
      </c>
      <c r="AD617" s="254" t="n">
        <v>-37260.1765583408</v>
      </c>
      <c r="AE617" s="0" t="n">
        <v>0</v>
      </c>
      <c r="AF617" s="0" t="n">
        <v>0</v>
      </c>
      <c r="AG617" s="0" t="n">
        <v>0</v>
      </c>
      <c r="AH617" s="254" t="n">
        <v>-13016.6704184739</v>
      </c>
      <c r="AI617" s="0" t="n">
        <v>226</v>
      </c>
      <c r="AJ617" s="0" t="s">
        <v>630</v>
      </c>
      <c r="AK617" s="0" t="n">
        <v>0</v>
      </c>
      <c r="AL617" s="0" t="n">
        <v>0</v>
      </c>
      <c r="AM617" s="0" t="n">
        <v>0</v>
      </c>
    </row>
    <row r="618" customFormat="false" ht="12.75" hidden="false" customHeight="false" outlineLevel="0" collapsed="false">
      <c r="A618" s="0" t="s">
        <v>631</v>
      </c>
      <c r="B618" s="0" t="s">
        <v>402</v>
      </c>
      <c r="C618" s="0" t="s">
        <v>622</v>
      </c>
      <c r="D618" s="0" t="s">
        <v>623</v>
      </c>
      <c r="E618" s="0" t="s">
        <v>131</v>
      </c>
      <c r="F618" s="0" t="s">
        <v>275</v>
      </c>
      <c r="G618" s="0" t="s">
        <v>628</v>
      </c>
      <c r="H618" s="0" t="s">
        <v>625</v>
      </c>
      <c r="I618" s="0" t="s">
        <v>626</v>
      </c>
      <c r="J618" s="0" t="s">
        <v>627</v>
      </c>
      <c r="K618" s="475" t="n">
        <v>36951</v>
      </c>
      <c r="L618" s="254" t="n">
        <v>-43888.798559444</v>
      </c>
      <c r="M618" s="475" t="n">
        <v>36949</v>
      </c>
      <c r="N618" s="0" t="s">
        <v>136</v>
      </c>
      <c r="O618" s="0" t="n">
        <v>3.5</v>
      </c>
      <c r="P618" s="0" t="n">
        <v>0</v>
      </c>
      <c r="Q618" s="0" t="n">
        <v>0</v>
      </c>
      <c r="R618" s="0" t="n">
        <v>0</v>
      </c>
      <c r="S618" s="0" t="n">
        <v>0</v>
      </c>
      <c r="T618" s="0" t="s">
        <v>624</v>
      </c>
      <c r="U618" s="0" t="s">
        <v>149</v>
      </c>
      <c r="V618" s="0" t="s">
        <v>624</v>
      </c>
      <c r="W618" s="0" t="s">
        <v>569</v>
      </c>
      <c r="X618" s="0" t="s">
        <v>624</v>
      </c>
      <c r="Y618" s="0" t="s">
        <v>627</v>
      </c>
      <c r="Z618" s="0" t="s">
        <v>629</v>
      </c>
      <c r="AA618" s="0" t="s">
        <v>624</v>
      </c>
      <c r="AB618" s="0" t="s">
        <v>580</v>
      </c>
      <c r="AC618" s="254" t="n">
        <v>-620000</v>
      </c>
      <c r="AD618" s="254" t="n">
        <v>-21257.6781884805</v>
      </c>
      <c r="AE618" s="0" t="n">
        <v>0</v>
      </c>
      <c r="AF618" s="0" t="n">
        <v>0</v>
      </c>
      <c r="AG618" s="0" t="n">
        <v>0</v>
      </c>
      <c r="AH618" s="254" t="n">
        <v>-5067.79390896545</v>
      </c>
      <c r="AI618" s="0" t="n">
        <v>226</v>
      </c>
      <c r="AJ618" s="0" t="s">
        <v>630</v>
      </c>
      <c r="AK618" s="0" t="n">
        <v>0</v>
      </c>
      <c r="AL618" s="0" t="n">
        <v>0</v>
      </c>
      <c r="AM618" s="0" t="n">
        <v>0</v>
      </c>
    </row>
    <row r="619" customFormat="false" ht="12.75" hidden="false" customHeight="false" outlineLevel="0" collapsed="false">
      <c r="A619" s="0" t="s">
        <v>631</v>
      </c>
      <c r="B619" s="0" t="s">
        <v>403</v>
      </c>
      <c r="C619" s="0" t="s">
        <v>622</v>
      </c>
      <c r="D619" s="0" t="s">
        <v>623</v>
      </c>
      <c r="E619" s="0" t="s">
        <v>131</v>
      </c>
      <c r="F619" s="0" t="s">
        <v>198</v>
      </c>
      <c r="G619" s="0" t="s">
        <v>628</v>
      </c>
      <c r="H619" s="0" t="s">
        <v>625</v>
      </c>
      <c r="I619" s="0" t="s">
        <v>626</v>
      </c>
      <c r="J619" s="0" t="s">
        <v>627</v>
      </c>
      <c r="K619" s="475" t="n">
        <v>36861</v>
      </c>
      <c r="L619" s="254" t="n">
        <v>-79339.0603609658</v>
      </c>
      <c r="M619" s="475" t="n">
        <v>36859</v>
      </c>
      <c r="N619" s="0" t="s">
        <v>136</v>
      </c>
      <c r="O619" s="0" t="n">
        <v>3</v>
      </c>
      <c r="P619" s="0" t="n">
        <v>0</v>
      </c>
      <c r="Q619" s="0" t="n">
        <v>0</v>
      </c>
      <c r="R619" s="0" t="n">
        <v>0</v>
      </c>
      <c r="S619" s="0" t="n">
        <v>0</v>
      </c>
      <c r="T619" s="0" t="s">
        <v>624</v>
      </c>
      <c r="U619" s="0" t="s">
        <v>149</v>
      </c>
      <c r="V619" s="0" t="s">
        <v>624</v>
      </c>
      <c r="W619" s="0" t="s">
        <v>569</v>
      </c>
      <c r="X619" s="0" t="s">
        <v>624</v>
      </c>
      <c r="Y619" s="0" t="s">
        <v>627</v>
      </c>
      <c r="Z619" s="0" t="s">
        <v>629</v>
      </c>
      <c r="AA619" s="0" t="s">
        <v>624</v>
      </c>
      <c r="AB619" s="0" t="s">
        <v>580</v>
      </c>
      <c r="AC619" s="254" t="n">
        <v>-500000</v>
      </c>
      <c r="AD619" s="254" t="n">
        <v>-23273.1912926782</v>
      </c>
      <c r="AE619" s="0" t="n">
        <v>0</v>
      </c>
      <c r="AF619" s="0" t="n">
        <v>0</v>
      </c>
      <c r="AG619" s="0" t="n">
        <v>0</v>
      </c>
      <c r="AH619" s="254" t="n">
        <v>-6039.17506063258</v>
      </c>
      <c r="AI619" s="0" t="n">
        <v>226</v>
      </c>
      <c r="AJ619" s="0" t="s">
        <v>630</v>
      </c>
      <c r="AK619" s="0" t="n">
        <v>0</v>
      </c>
      <c r="AL619" s="0" t="n">
        <v>0</v>
      </c>
      <c r="AM619" s="0" t="n">
        <v>0</v>
      </c>
    </row>
    <row r="620" customFormat="false" ht="12.75" hidden="false" customHeight="false" outlineLevel="0" collapsed="false">
      <c r="A620" s="0" t="s">
        <v>631</v>
      </c>
      <c r="B620" s="0" t="s">
        <v>403</v>
      </c>
      <c r="C620" s="0" t="s">
        <v>622</v>
      </c>
      <c r="D620" s="0" t="s">
        <v>623</v>
      </c>
      <c r="E620" s="0" t="s">
        <v>131</v>
      </c>
      <c r="F620" s="0" t="s">
        <v>198</v>
      </c>
      <c r="G620" s="0" t="s">
        <v>628</v>
      </c>
      <c r="H620" s="0" t="s">
        <v>625</v>
      </c>
      <c r="I620" s="0" t="s">
        <v>626</v>
      </c>
      <c r="J620" s="0" t="s">
        <v>627</v>
      </c>
      <c r="K620" s="475" t="n">
        <v>36892</v>
      </c>
      <c r="L620" s="254" t="n">
        <v>-193108.559519445</v>
      </c>
      <c r="M620" s="475" t="n">
        <v>36888</v>
      </c>
      <c r="N620" s="0" t="s">
        <v>136</v>
      </c>
      <c r="O620" s="0" t="n">
        <v>3</v>
      </c>
      <c r="P620" s="0" t="n">
        <v>0</v>
      </c>
      <c r="Q620" s="0" t="n">
        <v>0</v>
      </c>
      <c r="R620" s="0" t="n">
        <v>0</v>
      </c>
      <c r="S620" s="0" t="n">
        <v>0</v>
      </c>
      <c r="T620" s="0" t="s">
        <v>624</v>
      </c>
      <c r="U620" s="0" t="s">
        <v>149</v>
      </c>
      <c r="V620" s="0" t="s">
        <v>624</v>
      </c>
      <c r="W620" s="0" t="s">
        <v>569</v>
      </c>
      <c r="X620" s="0" t="s">
        <v>624</v>
      </c>
      <c r="Y620" s="0" t="s">
        <v>627</v>
      </c>
      <c r="Z620" s="0" t="s">
        <v>629</v>
      </c>
      <c r="AA620" s="0" t="s">
        <v>624</v>
      </c>
      <c r="AB620" s="0" t="s">
        <v>580</v>
      </c>
      <c r="AC620" s="254" t="n">
        <v>-500000</v>
      </c>
      <c r="AD620" s="254" t="n">
        <v>-34805.4615741776</v>
      </c>
      <c r="AE620" s="0" t="n">
        <v>0</v>
      </c>
      <c r="AF620" s="0" t="n">
        <v>0</v>
      </c>
      <c r="AG620" s="0" t="n">
        <v>0</v>
      </c>
      <c r="AH620" s="254" t="n">
        <v>-12565.3731912806</v>
      </c>
      <c r="AI620" s="0" t="n">
        <v>226</v>
      </c>
      <c r="AJ620" s="0" t="s">
        <v>630</v>
      </c>
      <c r="AK620" s="0" t="n">
        <v>0</v>
      </c>
      <c r="AL620" s="0" t="n">
        <v>0</v>
      </c>
      <c r="AM620" s="0" t="n">
        <v>0</v>
      </c>
    </row>
    <row r="621" customFormat="false" ht="12.75" hidden="false" customHeight="false" outlineLevel="0" collapsed="false">
      <c r="A621" s="0" t="s">
        <v>631</v>
      </c>
      <c r="B621" s="0" t="s">
        <v>403</v>
      </c>
      <c r="C621" s="0" t="s">
        <v>622</v>
      </c>
      <c r="D621" s="0" t="s">
        <v>623</v>
      </c>
      <c r="E621" s="0" t="s">
        <v>131</v>
      </c>
      <c r="F621" s="0" t="s">
        <v>198</v>
      </c>
      <c r="G621" s="0" t="s">
        <v>628</v>
      </c>
      <c r="H621" s="0" t="s">
        <v>625</v>
      </c>
      <c r="I621" s="0" t="s">
        <v>626</v>
      </c>
      <c r="J621" s="0" t="s">
        <v>627</v>
      </c>
      <c r="K621" s="475" t="n">
        <v>36923</v>
      </c>
      <c r="L621" s="254" t="n">
        <v>-199941.616187913</v>
      </c>
      <c r="M621" s="475" t="n">
        <v>36921</v>
      </c>
      <c r="N621" s="0" t="s">
        <v>136</v>
      </c>
      <c r="O621" s="0" t="n">
        <v>3</v>
      </c>
      <c r="P621" s="0" t="n">
        <v>0</v>
      </c>
      <c r="Q621" s="0" t="n">
        <v>0</v>
      </c>
      <c r="R621" s="0" t="n">
        <v>0</v>
      </c>
      <c r="S621" s="0" t="n">
        <v>0</v>
      </c>
      <c r="T621" s="0" t="s">
        <v>624</v>
      </c>
      <c r="U621" s="0" t="s">
        <v>149</v>
      </c>
      <c r="V621" s="0" t="s">
        <v>624</v>
      </c>
      <c r="W621" s="0" t="s">
        <v>569</v>
      </c>
      <c r="X621" s="0" t="s">
        <v>624</v>
      </c>
      <c r="Y621" s="0" t="s">
        <v>627</v>
      </c>
      <c r="Z621" s="0" t="s">
        <v>629</v>
      </c>
      <c r="AA621" s="0" t="s">
        <v>624</v>
      </c>
      <c r="AB621" s="0" t="s">
        <v>580</v>
      </c>
      <c r="AC621" s="254" t="n">
        <v>-500000</v>
      </c>
      <c r="AD621" s="254" t="n">
        <v>-37781.7841941806</v>
      </c>
      <c r="AE621" s="0" t="n">
        <v>0</v>
      </c>
      <c r="AF621" s="0" t="n">
        <v>0</v>
      </c>
      <c r="AG621" s="0" t="n">
        <v>0</v>
      </c>
      <c r="AH621" s="254" t="n">
        <v>-14444.8646129575</v>
      </c>
      <c r="AI621" s="0" t="n">
        <v>226</v>
      </c>
      <c r="AJ621" s="0" t="s">
        <v>630</v>
      </c>
      <c r="AK621" s="0" t="n">
        <v>0</v>
      </c>
      <c r="AL621" s="0" t="n">
        <v>0</v>
      </c>
      <c r="AM621" s="0" t="n">
        <v>0</v>
      </c>
    </row>
    <row r="622" customFormat="false" ht="12.75" hidden="false" customHeight="false" outlineLevel="0" collapsed="false">
      <c r="A622" s="0" t="s">
        <v>631</v>
      </c>
      <c r="B622" s="0" t="s">
        <v>404</v>
      </c>
      <c r="C622" s="0" t="s">
        <v>622</v>
      </c>
      <c r="D622" s="0" t="s">
        <v>623</v>
      </c>
      <c r="E622" s="0" t="s">
        <v>131</v>
      </c>
      <c r="F622" s="0" t="s">
        <v>345</v>
      </c>
      <c r="G622" s="0" t="s">
        <v>628</v>
      </c>
      <c r="H622" s="0" t="s">
        <v>625</v>
      </c>
      <c r="I622" s="0" t="s">
        <v>626</v>
      </c>
      <c r="J622" s="0" t="s">
        <v>627</v>
      </c>
      <c r="K622" s="475" t="n">
        <v>36800</v>
      </c>
      <c r="L622" s="254" t="n">
        <v>-57871.3119776115</v>
      </c>
      <c r="M622" s="475" t="n">
        <v>36797</v>
      </c>
      <c r="N622" s="0" t="s">
        <v>132</v>
      </c>
      <c r="O622" s="0" t="n">
        <v>0.4</v>
      </c>
      <c r="P622" s="0" t="n">
        <v>0</v>
      </c>
      <c r="Q622" s="0" t="n">
        <v>0</v>
      </c>
      <c r="R622" s="0" t="n">
        <v>0</v>
      </c>
      <c r="S622" s="0" t="n">
        <v>0</v>
      </c>
      <c r="T622" s="0" t="s">
        <v>624</v>
      </c>
      <c r="U622" s="0" t="s">
        <v>149</v>
      </c>
      <c r="V622" s="0" t="s">
        <v>624</v>
      </c>
      <c r="W622" s="0" t="s">
        <v>569</v>
      </c>
      <c r="X622" s="0" t="s">
        <v>624</v>
      </c>
      <c r="Y622" s="0" t="s">
        <v>627</v>
      </c>
      <c r="Z622" s="0" t="s">
        <v>629</v>
      </c>
      <c r="AA622" s="0" t="s">
        <v>624</v>
      </c>
      <c r="AB622" s="0" t="s">
        <v>580</v>
      </c>
      <c r="AC622" s="254" t="n">
        <v>-1550000</v>
      </c>
      <c r="AD622" s="254" t="n">
        <v>-10116.4275525247</v>
      </c>
      <c r="AE622" s="0" t="n">
        <v>0</v>
      </c>
      <c r="AF622" s="0" t="n">
        <v>0</v>
      </c>
      <c r="AG622" s="0" t="n">
        <v>0</v>
      </c>
      <c r="AH622" s="254" t="n">
        <v>-576.277737787656</v>
      </c>
      <c r="AI622" s="0" t="n">
        <v>226</v>
      </c>
      <c r="AJ622" s="0" t="s">
        <v>630</v>
      </c>
      <c r="AK622" s="0" t="n">
        <v>0</v>
      </c>
      <c r="AL622" s="0" t="n">
        <v>0</v>
      </c>
      <c r="AM622" s="0" t="n">
        <v>0</v>
      </c>
    </row>
    <row r="623" customFormat="false" ht="12.75" hidden="false" customHeight="false" outlineLevel="0" collapsed="false">
      <c r="A623" s="0" t="s">
        <v>631</v>
      </c>
      <c r="B623" s="0" t="s">
        <v>405</v>
      </c>
      <c r="C623" s="0" t="s">
        <v>622</v>
      </c>
      <c r="D623" s="0" t="s">
        <v>623</v>
      </c>
      <c r="E623" s="0" t="s">
        <v>131</v>
      </c>
      <c r="F623" s="0" t="s">
        <v>244</v>
      </c>
      <c r="G623" s="0" t="s">
        <v>628</v>
      </c>
      <c r="H623" s="0" t="s">
        <v>625</v>
      </c>
      <c r="I623" s="0" t="s">
        <v>626</v>
      </c>
      <c r="J623" s="0" t="s">
        <v>627</v>
      </c>
      <c r="K623" s="475" t="n">
        <v>36770</v>
      </c>
      <c r="L623" s="254" t="n">
        <v>599779.285789057</v>
      </c>
      <c r="M623" s="475" t="n">
        <v>36768</v>
      </c>
      <c r="N623" s="0" t="s">
        <v>136</v>
      </c>
      <c r="O623" s="0" t="n">
        <v>0.5</v>
      </c>
      <c r="P623" s="0" t="n">
        <v>0</v>
      </c>
      <c r="Q623" s="0" t="n">
        <v>0</v>
      </c>
      <c r="R623" s="0" t="n">
        <v>0</v>
      </c>
      <c r="S623" s="0" t="n">
        <v>0</v>
      </c>
      <c r="T623" s="0" t="s">
        <v>624</v>
      </c>
      <c r="U623" s="0" t="s">
        <v>137</v>
      </c>
      <c r="V623" s="0" t="s">
        <v>624</v>
      </c>
      <c r="W623" s="0" t="s">
        <v>569</v>
      </c>
      <c r="X623" s="0" t="s">
        <v>624</v>
      </c>
      <c r="Y623" s="0" t="s">
        <v>627</v>
      </c>
      <c r="Z623" s="0" t="s">
        <v>629</v>
      </c>
      <c r="AA623" s="0" t="s">
        <v>624</v>
      </c>
      <c r="AB623" s="0" t="s">
        <v>580</v>
      </c>
      <c r="AC623" s="254" t="n">
        <v>300000</v>
      </c>
      <c r="AD623" s="254" t="n">
        <v>-0.0119708574493416</v>
      </c>
      <c r="AE623" s="0" t="n">
        <v>0</v>
      </c>
      <c r="AF623" s="0" t="n">
        <v>0</v>
      </c>
      <c r="AG623" s="0" t="n">
        <v>0</v>
      </c>
      <c r="AH623" s="254" t="n">
        <v>79426.9471409483</v>
      </c>
      <c r="AI623" s="0" t="n">
        <v>226</v>
      </c>
      <c r="AJ623" s="0" t="s">
        <v>630</v>
      </c>
      <c r="AK623" s="0" t="n">
        <v>0</v>
      </c>
      <c r="AL623" s="0" t="n">
        <v>0</v>
      </c>
      <c r="AM623" s="0" t="n">
        <v>0</v>
      </c>
    </row>
    <row r="624" customFormat="false" ht="12.75" hidden="false" customHeight="false" outlineLevel="0" collapsed="false">
      <c r="A624" s="0" t="s">
        <v>631</v>
      </c>
      <c r="B624" s="0" t="s">
        <v>406</v>
      </c>
      <c r="C624" s="0" t="s">
        <v>622</v>
      </c>
      <c r="D624" s="0" t="s">
        <v>623</v>
      </c>
      <c r="E624" s="0" t="s">
        <v>131</v>
      </c>
      <c r="F624" s="0" t="s">
        <v>301</v>
      </c>
      <c r="G624" s="0" t="s">
        <v>628</v>
      </c>
      <c r="H624" s="0" t="s">
        <v>625</v>
      </c>
      <c r="I624" s="0" t="s">
        <v>626</v>
      </c>
      <c r="J624" s="0" t="s">
        <v>627</v>
      </c>
      <c r="K624" s="475" t="n">
        <v>36982</v>
      </c>
      <c r="L624" s="254" t="n">
        <v>-89457.7009943476</v>
      </c>
      <c r="M624" s="475" t="n">
        <v>36979</v>
      </c>
      <c r="N624" s="0" t="s">
        <v>136</v>
      </c>
      <c r="O624" s="0" t="n">
        <v>0.7</v>
      </c>
      <c r="P624" s="0" t="n">
        <v>0</v>
      </c>
      <c r="Q624" s="0" t="n">
        <v>0</v>
      </c>
      <c r="R624" s="0" t="n">
        <v>0</v>
      </c>
      <c r="S624" s="0" t="n">
        <v>0</v>
      </c>
      <c r="T624" s="0" t="s">
        <v>624</v>
      </c>
      <c r="U624" s="0" t="s">
        <v>149</v>
      </c>
      <c r="V624" s="0" t="s">
        <v>624</v>
      </c>
      <c r="W624" s="0" t="s">
        <v>569</v>
      </c>
      <c r="X624" s="0" t="s">
        <v>624</v>
      </c>
      <c r="Y624" s="0" t="s">
        <v>627</v>
      </c>
      <c r="Z624" s="0" t="s">
        <v>629</v>
      </c>
      <c r="AA624" s="0" t="s">
        <v>624</v>
      </c>
      <c r="AB624" s="0" t="s">
        <v>580</v>
      </c>
      <c r="AC624" s="254" t="n">
        <v>-1200000</v>
      </c>
      <c r="AD624" s="254" t="n">
        <v>-26282.9821155712</v>
      </c>
      <c r="AE624" s="0" t="n">
        <v>0</v>
      </c>
      <c r="AF624" s="0" t="n">
        <v>0</v>
      </c>
      <c r="AG624" s="0" t="n">
        <v>0</v>
      </c>
      <c r="AH624" s="254" t="n">
        <v>-1250.69890449858</v>
      </c>
      <c r="AI624" s="0" t="n">
        <v>226</v>
      </c>
      <c r="AJ624" s="0" t="s">
        <v>630</v>
      </c>
      <c r="AK624" s="0" t="n">
        <v>0</v>
      </c>
      <c r="AL624" s="0" t="n">
        <v>0</v>
      </c>
      <c r="AM624" s="0" t="n">
        <v>0</v>
      </c>
    </row>
    <row r="625" customFormat="false" ht="12.75" hidden="false" customHeight="false" outlineLevel="0" collapsed="false">
      <c r="A625" s="0" t="s">
        <v>631</v>
      </c>
      <c r="B625" s="0" t="s">
        <v>407</v>
      </c>
      <c r="C625" s="0" t="s">
        <v>622</v>
      </c>
      <c r="D625" s="0" t="s">
        <v>623</v>
      </c>
      <c r="E625" s="0" t="s">
        <v>131</v>
      </c>
      <c r="F625" s="0" t="s">
        <v>191</v>
      </c>
      <c r="G625" s="0" t="s">
        <v>628</v>
      </c>
      <c r="H625" s="0" t="s">
        <v>625</v>
      </c>
      <c r="I625" s="0" t="s">
        <v>626</v>
      </c>
      <c r="J625" s="0" t="s">
        <v>627</v>
      </c>
      <c r="K625" s="475" t="n">
        <v>36831</v>
      </c>
      <c r="L625" s="254" t="n">
        <v>365285.37794141</v>
      </c>
      <c r="M625" s="475" t="n">
        <v>36829</v>
      </c>
      <c r="N625" s="0" t="s">
        <v>132</v>
      </c>
      <c r="O625" s="0" t="n">
        <v>0.95</v>
      </c>
      <c r="P625" s="0" t="n">
        <v>0</v>
      </c>
      <c r="Q625" s="0" t="n">
        <v>0</v>
      </c>
      <c r="R625" s="0" t="n">
        <v>0</v>
      </c>
      <c r="S625" s="0" t="n">
        <v>0</v>
      </c>
      <c r="T625" s="0" t="s">
        <v>624</v>
      </c>
      <c r="U625" s="0" t="s">
        <v>149</v>
      </c>
      <c r="V625" s="0" t="s">
        <v>624</v>
      </c>
      <c r="W625" s="0" t="s">
        <v>569</v>
      </c>
      <c r="X625" s="0" t="s">
        <v>624</v>
      </c>
      <c r="Y625" s="0" t="s">
        <v>627</v>
      </c>
      <c r="Z625" s="0" t="s">
        <v>629</v>
      </c>
      <c r="AA625" s="0" t="s">
        <v>624</v>
      </c>
      <c r="AB625" s="0" t="s">
        <v>580</v>
      </c>
      <c r="AC625" s="254" t="n">
        <v>1000000</v>
      </c>
      <c r="AD625" s="254" t="n">
        <v>42890.9042801451</v>
      </c>
      <c r="AE625" s="0" t="n">
        <v>0</v>
      </c>
      <c r="AF625" s="0" t="n">
        <v>0</v>
      </c>
      <c r="AG625" s="0" t="n">
        <v>0</v>
      </c>
      <c r="AH625" s="254" t="n">
        <v>-21052.3130909106</v>
      </c>
      <c r="AI625" s="0" t="n">
        <v>226</v>
      </c>
      <c r="AJ625" s="0" t="s">
        <v>630</v>
      </c>
      <c r="AK625" s="0" t="n">
        <v>0</v>
      </c>
      <c r="AL625" s="0" t="n">
        <v>0</v>
      </c>
      <c r="AM625" s="0" t="n">
        <v>0</v>
      </c>
    </row>
    <row r="626" customFormat="false" ht="12.75" hidden="false" customHeight="false" outlineLevel="0" collapsed="false">
      <c r="A626" s="0" t="s">
        <v>631</v>
      </c>
      <c r="B626" s="0" t="s">
        <v>407</v>
      </c>
      <c r="C626" s="0" t="s">
        <v>622</v>
      </c>
      <c r="D626" s="0" t="s">
        <v>623</v>
      </c>
      <c r="E626" s="0" t="s">
        <v>131</v>
      </c>
      <c r="F626" s="0" t="s">
        <v>191</v>
      </c>
      <c r="G626" s="0" t="s">
        <v>628</v>
      </c>
      <c r="H626" s="0" t="s">
        <v>625</v>
      </c>
      <c r="I626" s="0" t="s">
        <v>626</v>
      </c>
      <c r="J626" s="0" t="s">
        <v>627</v>
      </c>
      <c r="K626" s="475" t="n">
        <v>36861</v>
      </c>
      <c r="L626" s="254" t="n">
        <v>206779.590233654</v>
      </c>
      <c r="M626" s="475" t="n">
        <v>36859</v>
      </c>
      <c r="N626" s="0" t="s">
        <v>132</v>
      </c>
      <c r="O626" s="0" t="n">
        <v>0.95</v>
      </c>
      <c r="P626" s="0" t="n">
        <v>0</v>
      </c>
      <c r="Q626" s="0" t="n">
        <v>0</v>
      </c>
      <c r="R626" s="0" t="n">
        <v>0</v>
      </c>
      <c r="S626" s="0" t="n">
        <v>0</v>
      </c>
      <c r="T626" s="0" t="s">
        <v>624</v>
      </c>
      <c r="U626" s="0" t="s">
        <v>149</v>
      </c>
      <c r="V626" s="0" t="s">
        <v>624</v>
      </c>
      <c r="W626" s="0" t="s">
        <v>569</v>
      </c>
      <c r="X626" s="0" t="s">
        <v>624</v>
      </c>
      <c r="Y626" s="0" t="s">
        <v>627</v>
      </c>
      <c r="Z626" s="0" t="s">
        <v>629</v>
      </c>
      <c r="AA626" s="0" t="s">
        <v>624</v>
      </c>
      <c r="AB626" s="0" t="s">
        <v>580</v>
      </c>
      <c r="AC626" s="254" t="n">
        <v>1000000</v>
      </c>
      <c r="AD626" s="254" t="n">
        <v>62140.9663420027</v>
      </c>
      <c r="AE626" s="0" t="n">
        <v>0</v>
      </c>
      <c r="AF626" s="0" t="n">
        <v>0</v>
      </c>
      <c r="AG626" s="0" t="n">
        <v>0</v>
      </c>
      <c r="AH626" s="254" t="n">
        <v>-8118.97310446328</v>
      </c>
      <c r="AI626" s="0" t="n">
        <v>226</v>
      </c>
      <c r="AJ626" s="0" t="s">
        <v>630</v>
      </c>
      <c r="AK626" s="0" t="n">
        <v>0</v>
      </c>
      <c r="AL626" s="0" t="n">
        <v>0</v>
      </c>
      <c r="AM626" s="0" t="n">
        <v>0</v>
      </c>
    </row>
    <row r="627" customFormat="false" ht="12.75" hidden="false" customHeight="false" outlineLevel="0" collapsed="false">
      <c r="A627" s="0" t="s">
        <v>631</v>
      </c>
      <c r="B627" s="0" t="s">
        <v>407</v>
      </c>
      <c r="C627" s="0" t="s">
        <v>622</v>
      </c>
      <c r="D627" s="0" t="s">
        <v>623</v>
      </c>
      <c r="E627" s="0" t="s">
        <v>131</v>
      </c>
      <c r="F627" s="0" t="s">
        <v>191</v>
      </c>
      <c r="G627" s="0" t="s">
        <v>628</v>
      </c>
      <c r="H627" s="0" t="s">
        <v>625</v>
      </c>
      <c r="I627" s="0" t="s">
        <v>626</v>
      </c>
      <c r="J627" s="0" t="s">
        <v>627</v>
      </c>
      <c r="K627" s="475" t="n">
        <v>36892</v>
      </c>
      <c r="L627" s="254" t="n">
        <v>154296.153120931</v>
      </c>
      <c r="M627" s="475" t="n">
        <v>36888</v>
      </c>
      <c r="N627" s="0" t="s">
        <v>132</v>
      </c>
      <c r="O627" s="0" t="n">
        <v>0.95</v>
      </c>
      <c r="P627" s="0" t="n">
        <v>0</v>
      </c>
      <c r="Q627" s="0" t="n">
        <v>0</v>
      </c>
      <c r="R627" s="0" t="n">
        <v>0</v>
      </c>
      <c r="S627" s="0" t="n">
        <v>0</v>
      </c>
      <c r="T627" s="0" t="s">
        <v>624</v>
      </c>
      <c r="U627" s="0" t="s">
        <v>149</v>
      </c>
      <c r="V627" s="0" t="s">
        <v>624</v>
      </c>
      <c r="W627" s="0" t="s">
        <v>569</v>
      </c>
      <c r="X627" s="0" t="s">
        <v>624</v>
      </c>
      <c r="Y627" s="0" t="s">
        <v>627</v>
      </c>
      <c r="Z627" s="0" t="s">
        <v>629</v>
      </c>
      <c r="AA627" s="0" t="s">
        <v>624</v>
      </c>
      <c r="AB627" s="0" t="s">
        <v>580</v>
      </c>
      <c r="AC627" s="254" t="n">
        <v>1000000</v>
      </c>
      <c r="AD627" s="254" t="n">
        <v>58574.1506508834</v>
      </c>
      <c r="AE627" s="0" t="n">
        <v>0</v>
      </c>
      <c r="AF627" s="0" t="n">
        <v>0</v>
      </c>
      <c r="AG627" s="0" t="n">
        <v>0</v>
      </c>
      <c r="AH627" s="254" t="n">
        <v>-7225.33047493725</v>
      </c>
      <c r="AI627" s="0" t="n">
        <v>226</v>
      </c>
      <c r="AJ627" s="0" t="s">
        <v>630</v>
      </c>
      <c r="AK627" s="0" t="n">
        <v>0</v>
      </c>
      <c r="AL627" s="0" t="n">
        <v>0</v>
      </c>
      <c r="AM627" s="0" t="n">
        <v>0</v>
      </c>
    </row>
    <row r="628" customFormat="false" ht="12.75" hidden="false" customHeight="false" outlineLevel="0" collapsed="false">
      <c r="A628" s="0" t="s">
        <v>631</v>
      </c>
      <c r="B628" s="0" t="s">
        <v>407</v>
      </c>
      <c r="C628" s="0" t="s">
        <v>622</v>
      </c>
      <c r="D628" s="0" t="s">
        <v>623</v>
      </c>
      <c r="E628" s="0" t="s">
        <v>131</v>
      </c>
      <c r="F628" s="0" t="s">
        <v>191</v>
      </c>
      <c r="G628" s="0" t="s">
        <v>628</v>
      </c>
      <c r="H628" s="0" t="s">
        <v>625</v>
      </c>
      <c r="I628" s="0" t="s">
        <v>626</v>
      </c>
      <c r="J628" s="0" t="s">
        <v>627</v>
      </c>
      <c r="K628" s="475" t="n">
        <v>36923</v>
      </c>
      <c r="L628" s="254" t="n">
        <v>190761.07387738</v>
      </c>
      <c r="M628" s="475" t="n">
        <v>36921</v>
      </c>
      <c r="N628" s="0" t="s">
        <v>132</v>
      </c>
      <c r="O628" s="0" t="n">
        <v>0.95</v>
      </c>
      <c r="P628" s="0" t="n">
        <v>0</v>
      </c>
      <c r="Q628" s="0" t="n">
        <v>0</v>
      </c>
      <c r="R628" s="0" t="n">
        <v>0</v>
      </c>
      <c r="S628" s="0" t="n">
        <v>0</v>
      </c>
      <c r="T628" s="0" t="s">
        <v>624</v>
      </c>
      <c r="U628" s="0" t="s">
        <v>149</v>
      </c>
      <c r="V628" s="0" t="s">
        <v>624</v>
      </c>
      <c r="W628" s="0" t="s">
        <v>569</v>
      </c>
      <c r="X628" s="0" t="s">
        <v>624</v>
      </c>
      <c r="Y628" s="0" t="s">
        <v>627</v>
      </c>
      <c r="Z628" s="0" t="s">
        <v>629</v>
      </c>
      <c r="AA628" s="0" t="s">
        <v>624</v>
      </c>
      <c r="AB628" s="0" t="s">
        <v>580</v>
      </c>
      <c r="AC628" s="254" t="n">
        <v>1000000</v>
      </c>
      <c r="AD628" s="254" t="n">
        <v>68957.8119889388</v>
      </c>
      <c r="AE628" s="0" t="n">
        <v>0</v>
      </c>
      <c r="AF628" s="0" t="n">
        <v>0</v>
      </c>
      <c r="AG628" s="0" t="n">
        <v>0</v>
      </c>
      <c r="AH628" s="254" t="n">
        <v>-9846.62615787357</v>
      </c>
      <c r="AI628" s="0" t="n">
        <v>226</v>
      </c>
      <c r="AJ628" s="0" t="s">
        <v>630</v>
      </c>
      <c r="AK628" s="0" t="n">
        <v>0</v>
      </c>
      <c r="AL628" s="0" t="n">
        <v>0</v>
      </c>
      <c r="AM628" s="0" t="n">
        <v>0</v>
      </c>
    </row>
    <row r="629" customFormat="false" ht="12.75" hidden="false" customHeight="false" outlineLevel="0" collapsed="false">
      <c r="A629" s="0" t="s">
        <v>631</v>
      </c>
      <c r="B629" s="0" t="s">
        <v>407</v>
      </c>
      <c r="C629" s="0" t="s">
        <v>622</v>
      </c>
      <c r="D629" s="0" t="s">
        <v>623</v>
      </c>
      <c r="E629" s="0" t="s">
        <v>131</v>
      </c>
      <c r="F629" s="0" t="s">
        <v>191</v>
      </c>
      <c r="G629" s="0" t="s">
        <v>628</v>
      </c>
      <c r="H629" s="0" t="s">
        <v>625</v>
      </c>
      <c r="I629" s="0" t="s">
        <v>626</v>
      </c>
      <c r="J629" s="0" t="s">
        <v>627</v>
      </c>
      <c r="K629" s="475" t="n">
        <v>36951</v>
      </c>
      <c r="L629" s="254" t="n">
        <v>439193.574841963</v>
      </c>
      <c r="M629" s="475" t="n">
        <v>36949</v>
      </c>
      <c r="N629" s="0" t="s">
        <v>132</v>
      </c>
      <c r="O629" s="0" t="n">
        <v>0.95</v>
      </c>
      <c r="P629" s="0" t="n">
        <v>0</v>
      </c>
      <c r="Q629" s="0" t="n">
        <v>0</v>
      </c>
      <c r="R629" s="0" t="n">
        <v>0</v>
      </c>
      <c r="S629" s="0" t="n">
        <v>0</v>
      </c>
      <c r="T629" s="0" t="s">
        <v>624</v>
      </c>
      <c r="U629" s="0" t="s">
        <v>149</v>
      </c>
      <c r="V629" s="0" t="s">
        <v>624</v>
      </c>
      <c r="W629" s="0" t="s">
        <v>569</v>
      </c>
      <c r="X629" s="0" t="s">
        <v>624</v>
      </c>
      <c r="Y629" s="0" t="s">
        <v>627</v>
      </c>
      <c r="Z629" s="0" t="s">
        <v>629</v>
      </c>
      <c r="AA629" s="0" t="s">
        <v>624</v>
      </c>
      <c r="AB629" s="0" t="s">
        <v>580</v>
      </c>
      <c r="AC629" s="254" t="n">
        <v>1000000</v>
      </c>
      <c r="AD629" s="254" t="n">
        <v>88919.3778648612</v>
      </c>
      <c r="AE629" s="0" t="n">
        <v>0</v>
      </c>
      <c r="AF629" s="0" t="n">
        <v>0</v>
      </c>
      <c r="AG629" s="0" t="n">
        <v>0</v>
      </c>
      <c r="AH629" s="254" t="n">
        <v>-19838.1830838166</v>
      </c>
      <c r="AI629" s="0" t="n">
        <v>226</v>
      </c>
      <c r="AJ629" s="0" t="s">
        <v>630</v>
      </c>
      <c r="AK629" s="0" t="n">
        <v>0</v>
      </c>
      <c r="AL629" s="0" t="n">
        <v>0</v>
      </c>
      <c r="AM629" s="0" t="n">
        <v>0</v>
      </c>
    </row>
    <row r="630" customFormat="false" ht="12.75" hidden="false" customHeight="false" outlineLevel="0" collapsed="false">
      <c r="A630" s="0" t="s">
        <v>631</v>
      </c>
      <c r="B630" s="0" t="s">
        <v>408</v>
      </c>
      <c r="C630" s="0" t="s">
        <v>622</v>
      </c>
      <c r="D630" s="0" t="s">
        <v>623</v>
      </c>
      <c r="E630" s="0" t="s">
        <v>131</v>
      </c>
      <c r="F630" s="0" t="s">
        <v>244</v>
      </c>
      <c r="G630" s="0" t="s">
        <v>628</v>
      </c>
      <c r="H630" s="0" t="s">
        <v>625</v>
      </c>
      <c r="I630" s="0" t="s">
        <v>626</v>
      </c>
      <c r="J630" s="0" t="s">
        <v>627</v>
      </c>
      <c r="K630" s="475" t="n">
        <v>36831</v>
      </c>
      <c r="L630" s="254" t="n">
        <v>-59.4983489471349</v>
      </c>
      <c r="M630" s="475" t="n">
        <v>36829</v>
      </c>
      <c r="N630" s="0" t="s">
        <v>136</v>
      </c>
      <c r="O630" s="0" t="n">
        <v>4</v>
      </c>
      <c r="P630" s="0" t="n">
        <v>0</v>
      </c>
      <c r="Q630" s="0" t="n">
        <v>0</v>
      </c>
      <c r="R630" s="0" t="n">
        <v>0</v>
      </c>
      <c r="S630" s="0" t="n">
        <v>0</v>
      </c>
      <c r="T630" s="0" t="s">
        <v>624</v>
      </c>
      <c r="U630" s="0" t="s">
        <v>149</v>
      </c>
      <c r="V630" s="0" t="s">
        <v>624</v>
      </c>
      <c r="W630" s="0" t="s">
        <v>569</v>
      </c>
      <c r="X630" s="0" t="s">
        <v>624</v>
      </c>
      <c r="Y630" s="0" t="s">
        <v>627</v>
      </c>
      <c r="Z630" s="0" t="s">
        <v>629</v>
      </c>
      <c r="AA630" s="0" t="s">
        <v>624</v>
      </c>
      <c r="AB630" s="0" t="s">
        <v>580</v>
      </c>
      <c r="AC630" s="254" t="n">
        <v>-300000</v>
      </c>
      <c r="AD630" s="254" t="n">
        <v>-79.7767311571438</v>
      </c>
      <c r="AE630" s="0" t="n">
        <v>0</v>
      </c>
      <c r="AF630" s="0" t="n">
        <v>0</v>
      </c>
      <c r="AG630" s="0" t="n">
        <v>0</v>
      </c>
      <c r="AH630" s="254" t="n">
        <v>-16.8953163484708</v>
      </c>
      <c r="AI630" s="0" t="n">
        <v>226</v>
      </c>
      <c r="AJ630" s="0" t="s">
        <v>630</v>
      </c>
      <c r="AK630" s="0" t="n">
        <v>0</v>
      </c>
      <c r="AL630" s="0" t="n">
        <v>0</v>
      </c>
      <c r="AM630" s="0" t="n">
        <v>0</v>
      </c>
    </row>
    <row r="631" customFormat="false" ht="12.75" hidden="false" customHeight="false" outlineLevel="0" collapsed="false">
      <c r="A631" s="0" t="s">
        <v>631</v>
      </c>
      <c r="B631" s="0" t="s">
        <v>408</v>
      </c>
      <c r="C631" s="0" t="s">
        <v>622</v>
      </c>
      <c r="D631" s="0" t="s">
        <v>623</v>
      </c>
      <c r="E631" s="0" t="s">
        <v>131</v>
      </c>
      <c r="F631" s="0" t="s">
        <v>244</v>
      </c>
      <c r="G631" s="0" t="s">
        <v>628</v>
      </c>
      <c r="H631" s="0" t="s">
        <v>625</v>
      </c>
      <c r="I631" s="0" t="s">
        <v>626</v>
      </c>
      <c r="J631" s="0" t="s">
        <v>627</v>
      </c>
      <c r="K631" s="475" t="n">
        <v>36861</v>
      </c>
      <c r="L631" s="254" t="n">
        <v>-19943.9815149046</v>
      </c>
      <c r="M631" s="475" t="n">
        <v>36859</v>
      </c>
      <c r="N631" s="0" t="s">
        <v>136</v>
      </c>
      <c r="O631" s="0" t="n">
        <v>4</v>
      </c>
      <c r="P631" s="0" t="n">
        <v>0</v>
      </c>
      <c r="Q631" s="0" t="n">
        <v>0</v>
      </c>
      <c r="R631" s="0" t="n">
        <v>0</v>
      </c>
      <c r="S631" s="0" t="n">
        <v>0</v>
      </c>
      <c r="T631" s="0" t="s">
        <v>624</v>
      </c>
      <c r="U631" s="0" t="s">
        <v>149</v>
      </c>
      <c r="V631" s="0" t="s">
        <v>624</v>
      </c>
      <c r="W631" s="0" t="s">
        <v>569</v>
      </c>
      <c r="X631" s="0" t="s">
        <v>624</v>
      </c>
      <c r="Y631" s="0" t="s">
        <v>627</v>
      </c>
      <c r="Z631" s="0" t="s">
        <v>629</v>
      </c>
      <c r="AA631" s="0" t="s">
        <v>624</v>
      </c>
      <c r="AB631" s="0" t="s">
        <v>580</v>
      </c>
      <c r="AC631" s="254" t="n">
        <v>-310000</v>
      </c>
      <c r="AD631" s="254" t="n">
        <v>-8179.066262023</v>
      </c>
      <c r="AE631" s="0" t="n">
        <v>0</v>
      </c>
      <c r="AF631" s="0" t="n">
        <v>0</v>
      </c>
      <c r="AG631" s="0" t="n">
        <v>0</v>
      </c>
      <c r="AH631" s="254" t="n">
        <v>-1828.32469326226</v>
      </c>
      <c r="AI631" s="0" t="n">
        <v>226</v>
      </c>
      <c r="AJ631" s="0" t="s">
        <v>630</v>
      </c>
      <c r="AK631" s="0" t="n">
        <v>0</v>
      </c>
      <c r="AL631" s="0" t="n">
        <v>0</v>
      </c>
      <c r="AM631" s="0" t="n">
        <v>0</v>
      </c>
    </row>
    <row r="632" customFormat="false" ht="12.75" hidden="false" customHeight="false" outlineLevel="0" collapsed="false">
      <c r="A632" s="0" t="s">
        <v>631</v>
      </c>
      <c r="B632" s="0" t="s">
        <v>408</v>
      </c>
      <c r="C632" s="0" t="s">
        <v>622</v>
      </c>
      <c r="D632" s="0" t="s">
        <v>623</v>
      </c>
      <c r="E632" s="0" t="s">
        <v>131</v>
      </c>
      <c r="F632" s="0" t="s">
        <v>244</v>
      </c>
      <c r="G632" s="0" t="s">
        <v>628</v>
      </c>
      <c r="H632" s="0" t="s">
        <v>625</v>
      </c>
      <c r="I632" s="0" t="s">
        <v>626</v>
      </c>
      <c r="J632" s="0" t="s">
        <v>627</v>
      </c>
      <c r="K632" s="475" t="n">
        <v>36892</v>
      </c>
      <c r="L632" s="254" t="n">
        <v>-62697.5444943743</v>
      </c>
      <c r="M632" s="475" t="n">
        <v>36888</v>
      </c>
      <c r="N632" s="0" t="s">
        <v>136</v>
      </c>
      <c r="O632" s="0" t="n">
        <v>4</v>
      </c>
      <c r="P632" s="0" t="n">
        <v>0</v>
      </c>
      <c r="Q632" s="0" t="n">
        <v>0</v>
      </c>
      <c r="R632" s="0" t="n">
        <v>0</v>
      </c>
      <c r="S632" s="0" t="n">
        <v>0</v>
      </c>
      <c r="T632" s="0" t="s">
        <v>624</v>
      </c>
      <c r="U632" s="0" t="s">
        <v>149</v>
      </c>
      <c r="V632" s="0" t="s">
        <v>624</v>
      </c>
      <c r="W632" s="0" t="s">
        <v>569</v>
      </c>
      <c r="X632" s="0" t="s">
        <v>624</v>
      </c>
      <c r="Y632" s="0" t="s">
        <v>627</v>
      </c>
      <c r="Z632" s="0" t="s">
        <v>629</v>
      </c>
      <c r="AA632" s="0" t="s">
        <v>624</v>
      </c>
      <c r="AB632" s="0" t="s">
        <v>580</v>
      </c>
      <c r="AC632" s="254" t="n">
        <v>-310000</v>
      </c>
      <c r="AD632" s="254" t="n">
        <v>-15901.0864776846</v>
      </c>
      <c r="AE632" s="0" t="n">
        <v>0</v>
      </c>
      <c r="AF632" s="0" t="n">
        <v>0</v>
      </c>
      <c r="AG632" s="0" t="n">
        <v>0</v>
      </c>
      <c r="AH632" s="254" t="n">
        <v>-4805.09696319509</v>
      </c>
      <c r="AI632" s="0" t="n">
        <v>226</v>
      </c>
      <c r="AJ632" s="0" t="s">
        <v>630</v>
      </c>
      <c r="AK632" s="0" t="n">
        <v>0</v>
      </c>
      <c r="AL632" s="0" t="n">
        <v>0</v>
      </c>
      <c r="AM632" s="0" t="n">
        <v>0</v>
      </c>
    </row>
    <row r="633" customFormat="false" ht="12.75" hidden="false" customHeight="false" outlineLevel="0" collapsed="false">
      <c r="A633" s="0" t="s">
        <v>631</v>
      </c>
      <c r="B633" s="0" t="s">
        <v>408</v>
      </c>
      <c r="C633" s="0" t="s">
        <v>622</v>
      </c>
      <c r="D633" s="0" t="s">
        <v>623</v>
      </c>
      <c r="E633" s="0" t="s">
        <v>131</v>
      </c>
      <c r="F633" s="0" t="s">
        <v>244</v>
      </c>
      <c r="G633" s="0" t="s">
        <v>628</v>
      </c>
      <c r="H633" s="0" t="s">
        <v>625</v>
      </c>
      <c r="I633" s="0" t="s">
        <v>626</v>
      </c>
      <c r="J633" s="0" t="s">
        <v>627</v>
      </c>
      <c r="K633" s="475" t="n">
        <v>36923</v>
      </c>
      <c r="L633" s="254" t="n">
        <v>-62209.6039229954</v>
      </c>
      <c r="M633" s="475" t="n">
        <v>36921</v>
      </c>
      <c r="N633" s="0" t="s">
        <v>136</v>
      </c>
      <c r="O633" s="0" t="n">
        <v>4</v>
      </c>
      <c r="P633" s="0" t="n">
        <v>0</v>
      </c>
      <c r="Q633" s="0" t="n">
        <v>0</v>
      </c>
      <c r="R633" s="0" t="n">
        <v>0</v>
      </c>
      <c r="S633" s="0" t="n">
        <v>0</v>
      </c>
      <c r="T633" s="0" t="s">
        <v>624</v>
      </c>
      <c r="U633" s="0" t="s">
        <v>149</v>
      </c>
      <c r="V633" s="0" t="s">
        <v>624</v>
      </c>
      <c r="W633" s="0" t="s">
        <v>569</v>
      </c>
      <c r="X633" s="0" t="s">
        <v>624</v>
      </c>
      <c r="Y633" s="0" t="s">
        <v>627</v>
      </c>
      <c r="Z633" s="0" t="s">
        <v>629</v>
      </c>
      <c r="AA633" s="0" t="s">
        <v>624</v>
      </c>
      <c r="AB633" s="0" t="s">
        <v>580</v>
      </c>
      <c r="AC633" s="254" t="n">
        <v>-280000</v>
      </c>
      <c r="AD633" s="254" t="n">
        <v>-15997.3400393026</v>
      </c>
      <c r="AE633" s="0" t="n">
        <v>0</v>
      </c>
      <c r="AF633" s="0" t="n">
        <v>0</v>
      </c>
      <c r="AG633" s="0" t="n">
        <v>0</v>
      </c>
      <c r="AH633" s="254" t="n">
        <v>-5195.0910475187</v>
      </c>
      <c r="AI633" s="0" t="n">
        <v>226</v>
      </c>
      <c r="AJ633" s="0" t="s">
        <v>630</v>
      </c>
      <c r="AK633" s="0" t="n">
        <v>0</v>
      </c>
      <c r="AL633" s="0" t="n">
        <v>0</v>
      </c>
      <c r="AM633" s="0" t="n">
        <v>0</v>
      </c>
    </row>
    <row r="634" customFormat="false" ht="12.75" hidden="false" customHeight="false" outlineLevel="0" collapsed="false">
      <c r="A634" s="0" t="s">
        <v>631</v>
      </c>
      <c r="B634" s="0" t="s">
        <v>408</v>
      </c>
      <c r="C634" s="0" t="s">
        <v>622</v>
      </c>
      <c r="D634" s="0" t="s">
        <v>623</v>
      </c>
      <c r="E634" s="0" t="s">
        <v>131</v>
      </c>
      <c r="F634" s="0" t="s">
        <v>244</v>
      </c>
      <c r="G634" s="0" t="s">
        <v>628</v>
      </c>
      <c r="H634" s="0" t="s">
        <v>625</v>
      </c>
      <c r="I634" s="0" t="s">
        <v>626</v>
      </c>
      <c r="J634" s="0" t="s">
        <v>627</v>
      </c>
      <c r="K634" s="475" t="n">
        <v>36951</v>
      </c>
      <c r="L634" s="254" t="n">
        <v>-14877.4059530264</v>
      </c>
      <c r="M634" s="475" t="n">
        <v>36949</v>
      </c>
      <c r="N634" s="0" t="s">
        <v>136</v>
      </c>
      <c r="O634" s="0" t="n">
        <v>4</v>
      </c>
      <c r="P634" s="0" t="n">
        <v>0</v>
      </c>
      <c r="Q634" s="0" t="n">
        <v>0</v>
      </c>
      <c r="R634" s="0" t="n">
        <v>0</v>
      </c>
      <c r="S634" s="0" t="n">
        <v>0</v>
      </c>
      <c r="T634" s="0" t="s">
        <v>624</v>
      </c>
      <c r="U634" s="0" t="s">
        <v>149</v>
      </c>
      <c r="V634" s="0" t="s">
        <v>624</v>
      </c>
      <c r="W634" s="0" t="s">
        <v>569</v>
      </c>
      <c r="X634" s="0" t="s">
        <v>624</v>
      </c>
      <c r="Y634" s="0" t="s">
        <v>627</v>
      </c>
      <c r="Z634" s="0" t="s">
        <v>629</v>
      </c>
      <c r="AA634" s="0" t="s">
        <v>624</v>
      </c>
      <c r="AB634" s="0" t="s">
        <v>580</v>
      </c>
      <c r="AC634" s="254" t="n">
        <v>-310000</v>
      </c>
      <c r="AD634" s="254" t="n">
        <v>-8038.51371467185</v>
      </c>
      <c r="AE634" s="0" t="n">
        <v>0</v>
      </c>
      <c r="AF634" s="0" t="n">
        <v>0</v>
      </c>
      <c r="AG634" s="0" t="n">
        <v>0</v>
      </c>
      <c r="AH634" s="254" t="n">
        <v>-1822.52679532334</v>
      </c>
      <c r="AI634" s="0" t="n">
        <v>226</v>
      </c>
      <c r="AJ634" s="0" t="s">
        <v>630</v>
      </c>
      <c r="AK634" s="0" t="n">
        <v>0</v>
      </c>
      <c r="AL634" s="0" t="n">
        <v>0</v>
      </c>
      <c r="AM634" s="0" t="n">
        <v>0</v>
      </c>
    </row>
    <row r="635" customFormat="false" ht="12.75" hidden="false" customHeight="false" outlineLevel="0" collapsed="false">
      <c r="A635" s="0" t="s">
        <v>631</v>
      </c>
      <c r="B635" s="0" t="s">
        <v>409</v>
      </c>
      <c r="C635" s="0" t="s">
        <v>622</v>
      </c>
      <c r="D635" s="0" t="s">
        <v>623</v>
      </c>
      <c r="E635" s="0" t="s">
        <v>131</v>
      </c>
      <c r="F635" s="0" t="s">
        <v>198</v>
      </c>
      <c r="G635" s="0" t="s">
        <v>628</v>
      </c>
      <c r="H635" s="0" t="s">
        <v>625</v>
      </c>
      <c r="I635" s="0" t="s">
        <v>626</v>
      </c>
      <c r="J635" s="0" t="s">
        <v>627</v>
      </c>
      <c r="K635" s="475" t="n">
        <v>36770</v>
      </c>
      <c r="L635" s="254" t="n">
        <v>0.0251629216796445</v>
      </c>
      <c r="M635" s="475" t="n">
        <v>36768</v>
      </c>
      <c r="N635" s="0" t="s">
        <v>136</v>
      </c>
      <c r="O635" s="0" t="n">
        <v>-0.6</v>
      </c>
      <c r="P635" s="0" t="n">
        <v>0</v>
      </c>
      <c r="Q635" s="0" t="n">
        <v>0</v>
      </c>
      <c r="R635" s="0" t="n">
        <v>0</v>
      </c>
      <c r="S635" s="0" t="n">
        <v>0</v>
      </c>
      <c r="T635" s="0" t="s">
        <v>624</v>
      </c>
      <c r="U635" s="0" t="s">
        <v>151</v>
      </c>
      <c r="V635" s="0" t="s">
        <v>624</v>
      </c>
      <c r="W635" s="0" t="s">
        <v>569</v>
      </c>
      <c r="X635" s="0" t="s">
        <v>624</v>
      </c>
      <c r="Y635" s="0" t="s">
        <v>627</v>
      </c>
      <c r="Z635" s="0" t="s">
        <v>629</v>
      </c>
      <c r="AA635" s="0" t="s">
        <v>624</v>
      </c>
      <c r="AB635" s="0" t="s">
        <v>580</v>
      </c>
      <c r="AC635" s="254" t="n">
        <v>300000</v>
      </c>
      <c r="AD635" s="254" t="n">
        <v>-0.0115735640404679</v>
      </c>
      <c r="AE635" s="0" t="n">
        <v>0</v>
      </c>
      <c r="AF635" s="0" t="n">
        <v>0</v>
      </c>
      <c r="AG635" s="0" t="n">
        <v>0</v>
      </c>
      <c r="AH635" s="254" t="n">
        <v>-0.200562035779228</v>
      </c>
      <c r="AI635" s="0" t="n">
        <v>226</v>
      </c>
      <c r="AJ635" s="0" t="s">
        <v>630</v>
      </c>
      <c r="AK635" s="0" t="n">
        <v>0</v>
      </c>
      <c r="AL635" s="0" t="n">
        <v>0</v>
      </c>
      <c r="AM635" s="0" t="n">
        <v>0</v>
      </c>
    </row>
    <row r="636" customFormat="false" ht="12.75" hidden="false" customHeight="false" outlineLevel="0" collapsed="false">
      <c r="A636" s="0" t="s">
        <v>631</v>
      </c>
      <c r="B636" s="0" t="s">
        <v>409</v>
      </c>
      <c r="C636" s="0" t="s">
        <v>622</v>
      </c>
      <c r="D636" s="0" t="s">
        <v>623</v>
      </c>
      <c r="E636" s="0" t="s">
        <v>131</v>
      </c>
      <c r="F636" s="0" t="s">
        <v>198</v>
      </c>
      <c r="G636" s="0" t="s">
        <v>628</v>
      </c>
      <c r="H636" s="0" t="s">
        <v>625</v>
      </c>
      <c r="I636" s="0" t="s">
        <v>626</v>
      </c>
      <c r="J636" s="0" t="s">
        <v>627</v>
      </c>
      <c r="K636" s="475" t="n">
        <v>36800</v>
      </c>
      <c r="L636" s="254" t="n">
        <v>25767.0757015046</v>
      </c>
      <c r="M636" s="475" t="n">
        <v>36797</v>
      </c>
      <c r="N636" s="0" t="s">
        <v>136</v>
      </c>
      <c r="O636" s="0" t="n">
        <v>-0.6</v>
      </c>
      <c r="P636" s="0" t="n">
        <v>0</v>
      </c>
      <c r="Q636" s="0" t="n">
        <v>0</v>
      </c>
      <c r="R636" s="0" t="n">
        <v>0</v>
      </c>
      <c r="S636" s="0" t="n">
        <v>0</v>
      </c>
      <c r="T636" s="0" t="s">
        <v>624</v>
      </c>
      <c r="U636" s="0" t="s">
        <v>151</v>
      </c>
      <c r="V636" s="0" t="s">
        <v>624</v>
      </c>
      <c r="W636" s="0" t="s">
        <v>569</v>
      </c>
      <c r="X636" s="0" t="s">
        <v>624</v>
      </c>
      <c r="Y636" s="0" t="s">
        <v>627</v>
      </c>
      <c r="Z636" s="0" t="s">
        <v>629</v>
      </c>
      <c r="AA636" s="0" t="s">
        <v>624</v>
      </c>
      <c r="AB636" s="0" t="s">
        <v>580</v>
      </c>
      <c r="AC636" s="254" t="n">
        <v>310000</v>
      </c>
      <c r="AD636" s="254" t="n">
        <v>9864.36870576335</v>
      </c>
      <c r="AE636" s="0" t="n">
        <v>0</v>
      </c>
      <c r="AF636" s="0" t="n">
        <v>0</v>
      </c>
      <c r="AG636" s="0" t="n">
        <v>0</v>
      </c>
      <c r="AH636" s="254" t="n">
        <v>-6612.21933693502</v>
      </c>
      <c r="AI636" s="0" t="n">
        <v>226</v>
      </c>
      <c r="AJ636" s="0" t="s">
        <v>630</v>
      </c>
      <c r="AK636" s="0" t="n">
        <v>0</v>
      </c>
      <c r="AL636" s="0" t="n">
        <v>0</v>
      </c>
      <c r="AM636" s="0" t="n">
        <v>0</v>
      </c>
    </row>
    <row r="637" customFormat="false" ht="12.75" hidden="false" customHeight="false" outlineLevel="0" collapsed="false">
      <c r="A637" s="0" t="s">
        <v>631</v>
      </c>
      <c r="B637" s="0" t="s">
        <v>410</v>
      </c>
      <c r="C637" s="0" t="s">
        <v>622</v>
      </c>
      <c r="D637" s="0" t="s">
        <v>623</v>
      </c>
      <c r="E637" s="0" t="s">
        <v>131</v>
      </c>
      <c r="F637" s="0" t="s">
        <v>198</v>
      </c>
      <c r="G637" s="0" t="s">
        <v>628</v>
      </c>
      <c r="H637" s="0" t="s">
        <v>625</v>
      </c>
      <c r="I637" s="0" t="s">
        <v>626</v>
      </c>
      <c r="J637" s="0" t="s">
        <v>627</v>
      </c>
      <c r="K637" s="475" t="n">
        <v>36770</v>
      </c>
      <c r="L637" s="254" t="n">
        <v>-0.0212306694225006</v>
      </c>
      <c r="M637" s="475" t="n">
        <v>36768</v>
      </c>
      <c r="N637" s="0" t="s">
        <v>136</v>
      </c>
      <c r="O637" s="0" t="n">
        <v>-0.7</v>
      </c>
      <c r="P637" s="0" t="n">
        <v>0</v>
      </c>
      <c r="Q637" s="0" t="n">
        <v>0</v>
      </c>
      <c r="R637" s="0" t="n">
        <v>0</v>
      </c>
      <c r="S637" s="0" t="n">
        <v>0</v>
      </c>
      <c r="T637" s="0" t="s">
        <v>624</v>
      </c>
      <c r="U637" s="0" t="s">
        <v>151</v>
      </c>
      <c r="V637" s="0" t="s">
        <v>624</v>
      </c>
      <c r="W637" s="0" t="s">
        <v>569</v>
      </c>
      <c r="X637" s="0" t="s">
        <v>624</v>
      </c>
      <c r="Y637" s="0" t="s">
        <v>627</v>
      </c>
      <c r="Z637" s="0" t="s">
        <v>629</v>
      </c>
      <c r="AA637" s="0" t="s">
        <v>624</v>
      </c>
      <c r="AB637" s="0" t="s">
        <v>580</v>
      </c>
      <c r="AC637" s="254" t="n">
        <v>-300000</v>
      </c>
      <c r="AD637" s="254" t="n">
        <v>0.0115735633410274</v>
      </c>
      <c r="AE637" s="0" t="n">
        <v>0</v>
      </c>
      <c r="AF637" s="0" t="n">
        <v>0</v>
      </c>
      <c r="AG637" s="0" t="n">
        <v>0</v>
      </c>
      <c r="AH637" s="254" t="n">
        <v>4.25316664633968</v>
      </c>
      <c r="AI637" s="0" t="n">
        <v>226</v>
      </c>
      <c r="AJ637" s="0" t="s">
        <v>630</v>
      </c>
      <c r="AK637" s="0" t="n">
        <v>0</v>
      </c>
      <c r="AL637" s="0" t="n">
        <v>0</v>
      </c>
      <c r="AM637" s="0" t="n">
        <v>0</v>
      </c>
    </row>
    <row r="638" customFormat="false" ht="12.75" hidden="false" customHeight="false" outlineLevel="0" collapsed="false">
      <c r="A638" s="0" t="s">
        <v>631</v>
      </c>
      <c r="B638" s="0" t="s">
        <v>410</v>
      </c>
      <c r="C638" s="0" t="s">
        <v>622</v>
      </c>
      <c r="D638" s="0" t="s">
        <v>623</v>
      </c>
      <c r="E638" s="0" t="s">
        <v>131</v>
      </c>
      <c r="F638" s="0" t="s">
        <v>198</v>
      </c>
      <c r="G638" s="0" t="s">
        <v>628</v>
      </c>
      <c r="H638" s="0" t="s">
        <v>625</v>
      </c>
      <c r="I638" s="0" t="s">
        <v>626</v>
      </c>
      <c r="J638" s="0" t="s">
        <v>627</v>
      </c>
      <c r="K638" s="475" t="n">
        <v>36800</v>
      </c>
      <c r="L638" s="254" t="n">
        <v>-37326.6913521015</v>
      </c>
      <c r="M638" s="475" t="n">
        <v>36797</v>
      </c>
      <c r="N638" s="0" t="s">
        <v>136</v>
      </c>
      <c r="O638" s="0" t="n">
        <v>-0.7</v>
      </c>
      <c r="P638" s="0" t="n">
        <v>0</v>
      </c>
      <c r="Q638" s="0" t="n">
        <v>0</v>
      </c>
      <c r="R638" s="0" t="n">
        <v>0</v>
      </c>
      <c r="S638" s="0" t="n">
        <v>0</v>
      </c>
      <c r="T638" s="0" t="s">
        <v>624</v>
      </c>
      <c r="U638" s="0" t="s">
        <v>151</v>
      </c>
      <c r="V638" s="0" t="s">
        <v>624</v>
      </c>
      <c r="W638" s="0" t="s">
        <v>569</v>
      </c>
      <c r="X638" s="0" t="s">
        <v>624</v>
      </c>
      <c r="Y638" s="0" t="s">
        <v>627</v>
      </c>
      <c r="Z638" s="0" t="s">
        <v>629</v>
      </c>
      <c r="AA638" s="0" t="s">
        <v>624</v>
      </c>
      <c r="AB638" s="0" t="s">
        <v>580</v>
      </c>
      <c r="AC638" s="254" t="n">
        <v>-310000</v>
      </c>
      <c r="AD638" s="254" t="n">
        <v>-10697.6881087497</v>
      </c>
      <c r="AE638" s="0" t="n">
        <v>0</v>
      </c>
      <c r="AF638" s="0" t="n">
        <v>0</v>
      </c>
      <c r="AG638" s="0" t="n">
        <v>0</v>
      </c>
      <c r="AH638" s="254" t="n">
        <v>8407.28038349166</v>
      </c>
      <c r="AI638" s="0" t="n">
        <v>226</v>
      </c>
      <c r="AJ638" s="0" t="s">
        <v>630</v>
      </c>
      <c r="AK638" s="0" t="n">
        <v>0</v>
      </c>
      <c r="AL638" s="0" t="n">
        <v>0</v>
      </c>
      <c r="AM638" s="0" t="n">
        <v>0</v>
      </c>
    </row>
    <row r="639" customFormat="false" ht="12.75" hidden="false" customHeight="false" outlineLevel="0" collapsed="false">
      <c r="A639" s="0" t="s">
        <v>631</v>
      </c>
      <c r="B639" s="0" t="s">
        <v>411</v>
      </c>
      <c r="C639" s="0" t="s">
        <v>622</v>
      </c>
      <c r="D639" s="0" t="s">
        <v>623</v>
      </c>
      <c r="E639" s="0" t="s">
        <v>131</v>
      </c>
      <c r="F639" s="0" t="s">
        <v>198</v>
      </c>
      <c r="G639" s="0" t="s">
        <v>628</v>
      </c>
      <c r="H639" s="0" t="s">
        <v>625</v>
      </c>
      <c r="I639" s="0" t="s">
        <v>626</v>
      </c>
      <c r="J639" s="0" t="s">
        <v>627</v>
      </c>
      <c r="K639" s="475" t="n">
        <v>36951</v>
      </c>
      <c r="L639" s="254" t="n">
        <v>474947.113647984</v>
      </c>
      <c r="M639" s="475" t="n">
        <v>36949</v>
      </c>
      <c r="N639" s="0" t="s">
        <v>136</v>
      </c>
      <c r="O639" s="0" t="n">
        <v>2</v>
      </c>
      <c r="P639" s="0" t="n">
        <v>0</v>
      </c>
      <c r="Q639" s="0" t="n">
        <v>0</v>
      </c>
      <c r="R639" s="0" t="n">
        <v>0</v>
      </c>
      <c r="S639" s="0" t="n">
        <v>0</v>
      </c>
      <c r="T639" s="0" t="s">
        <v>624</v>
      </c>
      <c r="U639" s="0" t="s">
        <v>149</v>
      </c>
      <c r="V639" s="0" t="s">
        <v>624</v>
      </c>
      <c r="W639" s="0" t="s">
        <v>569</v>
      </c>
      <c r="X639" s="0" t="s">
        <v>624</v>
      </c>
      <c r="Y639" s="0" t="s">
        <v>627</v>
      </c>
      <c r="Z639" s="0" t="s">
        <v>629</v>
      </c>
      <c r="AA639" s="0" t="s">
        <v>624</v>
      </c>
      <c r="AB639" s="0" t="s">
        <v>580</v>
      </c>
      <c r="AC639" s="254" t="n">
        <v>2000000</v>
      </c>
      <c r="AD639" s="254" t="n">
        <v>141845.550872812</v>
      </c>
      <c r="AE639" s="0" t="n">
        <v>0</v>
      </c>
      <c r="AF639" s="0" t="n">
        <v>0</v>
      </c>
      <c r="AG639" s="0" t="n">
        <v>0</v>
      </c>
      <c r="AH639" s="254" t="n">
        <v>42865.3539534902</v>
      </c>
      <c r="AI639" s="0" t="n">
        <v>226</v>
      </c>
      <c r="AJ639" s="0" t="s">
        <v>630</v>
      </c>
      <c r="AK639" s="0" t="n">
        <v>0</v>
      </c>
      <c r="AL639" s="0" t="n">
        <v>0</v>
      </c>
      <c r="AM639" s="0" t="n">
        <v>0</v>
      </c>
    </row>
    <row r="640" customFormat="false" ht="12.75" hidden="false" customHeight="false" outlineLevel="0" collapsed="false">
      <c r="A640" s="0" t="s">
        <v>631</v>
      </c>
      <c r="B640" s="0" t="s">
        <v>412</v>
      </c>
      <c r="C640" s="0" t="s">
        <v>622</v>
      </c>
      <c r="D640" s="0" t="s">
        <v>623</v>
      </c>
      <c r="E640" s="0" t="s">
        <v>131</v>
      </c>
      <c r="F640" s="0" t="s">
        <v>275</v>
      </c>
      <c r="G640" s="0" t="s">
        <v>628</v>
      </c>
      <c r="H640" s="0" t="s">
        <v>625</v>
      </c>
      <c r="I640" s="0" t="s">
        <v>626</v>
      </c>
      <c r="J640" s="0" t="s">
        <v>627</v>
      </c>
      <c r="K640" s="475" t="n">
        <v>36770</v>
      </c>
      <c r="L640" s="254" t="n">
        <v>899668.928683585</v>
      </c>
      <c r="M640" s="475" t="n">
        <v>36768</v>
      </c>
      <c r="N640" s="0" t="s">
        <v>136</v>
      </c>
      <c r="O640" s="0" t="n">
        <v>0.5</v>
      </c>
      <c r="P640" s="0" t="n">
        <v>0</v>
      </c>
      <c r="Q640" s="0" t="n">
        <v>0</v>
      </c>
      <c r="R640" s="0" t="n">
        <v>0</v>
      </c>
      <c r="S640" s="0" t="n">
        <v>0</v>
      </c>
      <c r="T640" s="0" t="s">
        <v>624</v>
      </c>
      <c r="U640" s="0" t="s">
        <v>137</v>
      </c>
      <c r="V640" s="0" t="s">
        <v>624</v>
      </c>
      <c r="W640" s="0" t="s">
        <v>569</v>
      </c>
      <c r="X640" s="0" t="s">
        <v>624</v>
      </c>
      <c r="Y640" s="0" t="s">
        <v>627</v>
      </c>
      <c r="Z640" s="0" t="s">
        <v>629</v>
      </c>
      <c r="AA640" s="0" t="s">
        <v>624</v>
      </c>
      <c r="AB640" s="0" t="s">
        <v>580</v>
      </c>
      <c r="AC640" s="254" t="n">
        <v>450000</v>
      </c>
      <c r="AD640" s="254" t="n">
        <v>-0.0179562862031162</v>
      </c>
      <c r="AE640" s="0" t="n">
        <v>0</v>
      </c>
      <c r="AF640" s="0" t="n">
        <v>0</v>
      </c>
      <c r="AG640" s="0" t="n">
        <v>0</v>
      </c>
      <c r="AH640" s="254" t="n">
        <v>119140.420711422</v>
      </c>
      <c r="AI640" s="0" t="n">
        <v>226</v>
      </c>
      <c r="AJ640" s="0" t="s">
        <v>630</v>
      </c>
      <c r="AK640" s="0" t="n">
        <v>0</v>
      </c>
      <c r="AL640" s="0" t="n">
        <v>0</v>
      </c>
      <c r="AM640" s="0" t="n">
        <v>0</v>
      </c>
    </row>
    <row r="641" customFormat="false" ht="12.75" hidden="false" customHeight="false" outlineLevel="0" collapsed="false">
      <c r="A641" s="0" t="s">
        <v>631</v>
      </c>
      <c r="B641" s="0" t="s">
        <v>412</v>
      </c>
      <c r="C641" s="0" t="s">
        <v>622</v>
      </c>
      <c r="D641" s="0" t="s">
        <v>623</v>
      </c>
      <c r="E641" s="0" t="s">
        <v>131</v>
      </c>
      <c r="F641" s="0" t="s">
        <v>275</v>
      </c>
      <c r="G641" s="0" t="s">
        <v>628</v>
      </c>
      <c r="H641" s="0" t="s">
        <v>625</v>
      </c>
      <c r="I641" s="0" t="s">
        <v>626</v>
      </c>
      <c r="J641" s="0" t="s">
        <v>627</v>
      </c>
      <c r="K641" s="475" t="n">
        <v>36800</v>
      </c>
      <c r="L641" s="254" t="n">
        <v>689054.576329964</v>
      </c>
      <c r="M641" s="475" t="n">
        <v>36797</v>
      </c>
      <c r="N641" s="0" t="s">
        <v>136</v>
      </c>
      <c r="O641" s="0" t="n">
        <v>0.5</v>
      </c>
      <c r="P641" s="0" t="n">
        <v>0</v>
      </c>
      <c r="Q641" s="0" t="n">
        <v>0</v>
      </c>
      <c r="R641" s="0" t="n">
        <v>0</v>
      </c>
      <c r="S641" s="0" t="n">
        <v>0</v>
      </c>
      <c r="T641" s="0" t="s">
        <v>624</v>
      </c>
      <c r="U641" s="0" t="s">
        <v>137</v>
      </c>
      <c r="V641" s="0" t="s">
        <v>624</v>
      </c>
      <c r="W641" s="0" t="s">
        <v>569</v>
      </c>
      <c r="X641" s="0" t="s">
        <v>624</v>
      </c>
      <c r="Y641" s="0" t="s">
        <v>627</v>
      </c>
      <c r="Z641" s="0" t="s">
        <v>629</v>
      </c>
      <c r="AA641" s="0" t="s">
        <v>624</v>
      </c>
      <c r="AB641" s="0" t="s">
        <v>580</v>
      </c>
      <c r="AC641" s="254" t="n">
        <v>465000</v>
      </c>
      <c r="AD641" s="254" t="n">
        <v>357.906855842506</v>
      </c>
      <c r="AE641" s="0" t="n">
        <v>0</v>
      </c>
      <c r="AF641" s="0" t="n">
        <v>0</v>
      </c>
      <c r="AG641" s="0" t="n">
        <v>0</v>
      </c>
      <c r="AH641" s="254" t="n">
        <v>-18418.7216388091</v>
      </c>
      <c r="AI641" s="0" t="n">
        <v>226</v>
      </c>
      <c r="AJ641" s="0" t="s">
        <v>630</v>
      </c>
      <c r="AK641" s="0" t="n">
        <v>0</v>
      </c>
      <c r="AL641" s="0" t="n">
        <v>0</v>
      </c>
      <c r="AM641" s="0" t="n">
        <v>0</v>
      </c>
    </row>
    <row r="642" customFormat="false" ht="12.75" hidden="false" customHeight="false" outlineLevel="0" collapsed="false">
      <c r="A642" s="0" t="s">
        <v>631</v>
      </c>
      <c r="B642" s="0" t="s">
        <v>413</v>
      </c>
      <c r="C642" s="0" t="s">
        <v>622</v>
      </c>
      <c r="D642" s="0" t="s">
        <v>623</v>
      </c>
      <c r="E642" s="0" t="s">
        <v>131</v>
      </c>
      <c r="F642" s="0" t="s">
        <v>210</v>
      </c>
      <c r="G642" s="0" t="s">
        <v>628</v>
      </c>
      <c r="H642" s="0" t="s">
        <v>625</v>
      </c>
      <c r="I642" s="0" t="s">
        <v>626</v>
      </c>
      <c r="J642" s="0" t="s">
        <v>627</v>
      </c>
      <c r="K642" s="475" t="n">
        <v>36982</v>
      </c>
      <c r="L642" s="254" t="n">
        <v>14439.2466983561</v>
      </c>
      <c r="M642" s="475" t="n">
        <v>36979</v>
      </c>
      <c r="N642" s="0" t="s">
        <v>132</v>
      </c>
      <c r="O642" s="0" t="n">
        <v>0.3</v>
      </c>
      <c r="P642" s="0" t="n">
        <v>0</v>
      </c>
      <c r="Q642" s="0" t="n">
        <v>0</v>
      </c>
      <c r="R642" s="0" t="n">
        <v>0</v>
      </c>
      <c r="S642" s="0" t="n">
        <v>0</v>
      </c>
      <c r="T642" s="0" t="s">
        <v>624</v>
      </c>
      <c r="U642" s="0" t="s">
        <v>149</v>
      </c>
      <c r="V642" s="0" t="s">
        <v>624</v>
      </c>
      <c r="W642" s="0" t="s">
        <v>569</v>
      </c>
      <c r="X642" s="0" t="s">
        <v>624</v>
      </c>
      <c r="Y642" s="0" t="s">
        <v>627</v>
      </c>
      <c r="Z642" s="0" t="s">
        <v>629</v>
      </c>
      <c r="AA642" s="0" t="s">
        <v>624</v>
      </c>
      <c r="AB642" s="0" t="s">
        <v>580</v>
      </c>
      <c r="AC642" s="254" t="n">
        <v>300000</v>
      </c>
      <c r="AD642" s="254" t="n">
        <v>6695.37243968158</v>
      </c>
      <c r="AE642" s="0" t="n">
        <v>0</v>
      </c>
      <c r="AF642" s="0" t="n">
        <v>0</v>
      </c>
      <c r="AG642" s="0" t="n">
        <v>0</v>
      </c>
      <c r="AH642" s="254" t="n">
        <v>318.170111227988</v>
      </c>
      <c r="AI642" s="0" t="n">
        <v>226</v>
      </c>
      <c r="AJ642" s="0" t="s">
        <v>630</v>
      </c>
      <c r="AK642" s="0" t="n">
        <v>0</v>
      </c>
      <c r="AL642" s="0" t="n">
        <v>0</v>
      </c>
      <c r="AM642" s="0" t="n">
        <v>0</v>
      </c>
    </row>
    <row r="643" customFormat="false" ht="12.75" hidden="false" customHeight="false" outlineLevel="0" collapsed="false">
      <c r="A643" s="0" t="s">
        <v>631</v>
      </c>
      <c r="B643" s="0" t="s">
        <v>413</v>
      </c>
      <c r="C643" s="0" t="s">
        <v>622</v>
      </c>
      <c r="D643" s="0" t="s">
        <v>623</v>
      </c>
      <c r="E643" s="0" t="s">
        <v>131</v>
      </c>
      <c r="F643" s="0" t="s">
        <v>210</v>
      </c>
      <c r="G643" s="0" t="s">
        <v>628</v>
      </c>
      <c r="H643" s="0" t="s">
        <v>625</v>
      </c>
      <c r="I643" s="0" t="s">
        <v>626</v>
      </c>
      <c r="J643" s="0" t="s">
        <v>627</v>
      </c>
      <c r="K643" s="475" t="n">
        <v>37012</v>
      </c>
      <c r="L643" s="254" t="n">
        <v>23262.5392959566</v>
      </c>
      <c r="M643" s="475" t="n">
        <v>37008</v>
      </c>
      <c r="N643" s="0" t="s">
        <v>132</v>
      </c>
      <c r="O643" s="0" t="n">
        <v>0.3</v>
      </c>
      <c r="P643" s="0" t="n">
        <v>0</v>
      </c>
      <c r="Q643" s="0" t="n">
        <v>0</v>
      </c>
      <c r="R643" s="0" t="n">
        <v>0</v>
      </c>
      <c r="S643" s="0" t="n">
        <v>0</v>
      </c>
      <c r="T643" s="0" t="s">
        <v>624</v>
      </c>
      <c r="U643" s="0" t="s">
        <v>149</v>
      </c>
      <c r="V643" s="0" t="s">
        <v>624</v>
      </c>
      <c r="W643" s="0" t="s">
        <v>569</v>
      </c>
      <c r="X643" s="0" t="s">
        <v>624</v>
      </c>
      <c r="Y643" s="0" t="s">
        <v>627</v>
      </c>
      <c r="Z643" s="0" t="s">
        <v>629</v>
      </c>
      <c r="AA643" s="0" t="s">
        <v>624</v>
      </c>
      <c r="AB643" s="0" t="s">
        <v>580</v>
      </c>
      <c r="AC643" s="254" t="n">
        <v>310000</v>
      </c>
      <c r="AD643" s="254" t="n">
        <v>7908.4799094721</v>
      </c>
      <c r="AE643" s="0" t="n">
        <v>0</v>
      </c>
      <c r="AF643" s="0" t="n">
        <v>0</v>
      </c>
      <c r="AG643" s="0" t="n">
        <v>0</v>
      </c>
      <c r="AH643" s="254" t="n">
        <v>376.273776670067</v>
      </c>
      <c r="AI643" s="0" t="n">
        <v>226</v>
      </c>
      <c r="AJ643" s="0" t="s">
        <v>630</v>
      </c>
      <c r="AK643" s="0" t="n">
        <v>0</v>
      </c>
      <c r="AL643" s="0" t="n">
        <v>0</v>
      </c>
      <c r="AM643" s="0" t="n">
        <v>0</v>
      </c>
    </row>
    <row r="644" customFormat="false" ht="12.75" hidden="false" customHeight="false" outlineLevel="0" collapsed="false">
      <c r="A644" s="0" t="s">
        <v>631</v>
      </c>
      <c r="B644" s="0" t="s">
        <v>413</v>
      </c>
      <c r="C644" s="0" t="s">
        <v>622</v>
      </c>
      <c r="D644" s="0" t="s">
        <v>623</v>
      </c>
      <c r="E644" s="0" t="s">
        <v>131</v>
      </c>
      <c r="F644" s="0" t="s">
        <v>210</v>
      </c>
      <c r="G644" s="0" t="s">
        <v>628</v>
      </c>
      <c r="H644" s="0" t="s">
        <v>625</v>
      </c>
      <c r="I644" s="0" t="s">
        <v>626</v>
      </c>
      <c r="J644" s="0" t="s">
        <v>627</v>
      </c>
      <c r="K644" s="475" t="n">
        <v>37043</v>
      </c>
      <c r="L644" s="254" t="n">
        <v>25010.9717748086</v>
      </c>
      <c r="M644" s="475" t="n">
        <v>37041</v>
      </c>
      <c r="N644" s="0" t="s">
        <v>132</v>
      </c>
      <c r="O644" s="0" t="n">
        <v>0.3</v>
      </c>
      <c r="P644" s="0" t="n">
        <v>0</v>
      </c>
      <c r="Q644" s="0" t="n">
        <v>0</v>
      </c>
      <c r="R644" s="0" t="n">
        <v>0</v>
      </c>
      <c r="S644" s="0" t="n">
        <v>0</v>
      </c>
      <c r="T644" s="0" t="s">
        <v>624</v>
      </c>
      <c r="U644" s="0" t="s">
        <v>149</v>
      </c>
      <c r="V644" s="0" t="s">
        <v>624</v>
      </c>
      <c r="W644" s="0" t="s">
        <v>569</v>
      </c>
      <c r="X644" s="0" t="s">
        <v>624</v>
      </c>
      <c r="Y644" s="0" t="s">
        <v>627</v>
      </c>
      <c r="Z644" s="0" t="s">
        <v>629</v>
      </c>
      <c r="AA644" s="0" t="s">
        <v>624</v>
      </c>
      <c r="AB644" s="0" t="s">
        <v>580</v>
      </c>
      <c r="AC644" s="254" t="n">
        <v>300000</v>
      </c>
      <c r="AD644" s="254" t="n">
        <v>8119.23630651488</v>
      </c>
      <c r="AE644" s="0" t="n">
        <v>0</v>
      </c>
      <c r="AF644" s="0" t="n">
        <v>0</v>
      </c>
      <c r="AG644" s="0" t="n">
        <v>0</v>
      </c>
      <c r="AH644" s="254" t="n">
        <v>386.076153283011</v>
      </c>
      <c r="AI644" s="0" t="n">
        <v>226</v>
      </c>
      <c r="AJ644" s="0" t="s">
        <v>630</v>
      </c>
      <c r="AK644" s="0" t="n">
        <v>0</v>
      </c>
      <c r="AL644" s="0" t="n">
        <v>0</v>
      </c>
      <c r="AM644" s="0" t="n">
        <v>0</v>
      </c>
    </row>
    <row r="645" customFormat="false" ht="12.75" hidden="false" customHeight="false" outlineLevel="0" collapsed="false">
      <c r="A645" s="0" t="s">
        <v>631</v>
      </c>
      <c r="B645" s="0" t="s">
        <v>413</v>
      </c>
      <c r="C645" s="0" t="s">
        <v>622</v>
      </c>
      <c r="D645" s="0" t="s">
        <v>623</v>
      </c>
      <c r="E645" s="0" t="s">
        <v>131</v>
      </c>
      <c r="F645" s="0" t="s">
        <v>210</v>
      </c>
      <c r="G645" s="0" t="s">
        <v>628</v>
      </c>
      <c r="H645" s="0" t="s">
        <v>625</v>
      </c>
      <c r="I645" s="0" t="s">
        <v>626</v>
      </c>
      <c r="J645" s="0" t="s">
        <v>627</v>
      </c>
      <c r="K645" s="475" t="n">
        <v>37073</v>
      </c>
      <c r="L645" s="254" t="n">
        <v>20998.3818379957</v>
      </c>
      <c r="M645" s="475" t="n">
        <v>37070</v>
      </c>
      <c r="N645" s="0" t="s">
        <v>132</v>
      </c>
      <c r="O645" s="0" t="n">
        <v>0.3</v>
      </c>
      <c r="P645" s="0" t="n">
        <v>0</v>
      </c>
      <c r="Q645" s="0" t="n">
        <v>0</v>
      </c>
      <c r="R645" s="0" t="n">
        <v>0</v>
      </c>
      <c r="S645" s="0" t="n">
        <v>0</v>
      </c>
      <c r="T645" s="0" t="s">
        <v>624</v>
      </c>
      <c r="U645" s="0" t="s">
        <v>149</v>
      </c>
      <c r="V645" s="0" t="s">
        <v>624</v>
      </c>
      <c r="W645" s="0" t="s">
        <v>569</v>
      </c>
      <c r="X645" s="0" t="s">
        <v>624</v>
      </c>
      <c r="Y645" s="0" t="s">
        <v>627</v>
      </c>
      <c r="Z645" s="0" t="s">
        <v>629</v>
      </c>
      <c r="AA645" s="0" t="s">
        <v>624</v>
      </c>
      <c r="AB645" s="0" t="s">
        <v>580</v>
      </c>
      <c r="AC645" s="254" t="n">
        <v>310000</v>
      </c>
      <c r="AD645" s="254" t="n">
        <v>8196.25365311083</v>
      </c>
      <c r="AE645" s="0" t="n">
        <v>0</v>
      </c>
      <c r="AF645" s="0" t="n">
        <v>0</v>
      </c>
      <c r="AG645" s="0" t="n">
        <v>0</v>
      </c>
      <c r="AH645" s="254" t="n">
        <v>388.818357166354</v>
      </c>
      <c r="AI645" s="0" t="n">
        <v>226</v>
      </c>
      <c r="AJ645" s="0" t="s">
        <v>630</v>
      </c>
      <c r="AK645" s="0" t="n">
        <v>0</v>
      </c>
      <c r="AL645" s="0" t="n">
        <v>0</v>
      </c>
      <c r="AM645" s="0" t="n">
        <v>0</v>
      </c>
    </row>
    <row r="646" customFormat="false" ht="12.75" hidden="false" customHeight="false" outlineLevel="0" collapsed="false">
      <c r="A646" s="0" t="s">
        <v>631</v>
      </c>
      <c r="B646" s="0" t="s">
        <v>413</v>
      </c>
      <c r="C646" s="0" t="s">
        <v>622</v>
      </c>
      <c r="D646" s="0" t="s">
        <v>623</v>
      </c>
      <c r="E646" s="0" t="s">
        <v>131</v>
      </c>
      <c r="F646" s="0" t="s">
        <v>210</v>
      </c>
      <c r="G646" s="0" t="s">
        <v>628</v>
      </c>
      <c r="H646" s="0" t="s">
        <v>625</v>
      </c>
      <c r="I646" s="0" t="s">
        <v>626</v>
      </c>
      <c r="J646" s="0" t="s">
        <v>627</v>
      </c>
      <c r="K646" s="475" t="n">
        <v>37104</v>
      </c>
      <c r="L646" s="254" t="n">
        <v>22771.9067910573</v>
      </c>
      <c r="M646" s="475" t="n">
        <v>37102</v>
      </c>
      <c r="N646" s="0" t="s">
        <v>132</v>
      </c>
      <c r="O646" s="0" t="n">
        <v>0.3</v>
      </c>
      <c r="P646" s="0" t="n">
        <v>0</v>
      </c>
      <c r="Q646" s="0" t="n">
        <v>0</v>
      </c>
      <c r="R646" s="0" t="n">
        <v>0</v>
      </c>
      <c r="S646" s="0" t="n">
        <v>0</v>
      </c>
      <c r="T646" s="0" t="s">
        <v>624</v>
      </c>
      <c r="U646" s="0" t="s">
        <v>149</v>
      </c>
      <c r="V646" s="0" t="s">
        <v>624</v>
      </c>
      <c r="W646" s="0" t="s">
        <v>569</v>
      </c>
      <c r="X646" s="0" t="s">
        <v>624</v>
      </c>
      <c r="Y646" s="0" t="s">
        <v>627</v>
      </c>
      <c r="Z646" s="0" t="s">
        <v>629</v>
      </c>
      <c r="AA646" s="0" t="s">
        <v>624</v>
      </c>
      <c r="AB646" s="0" t="s">
        <v>580</v>
      </c>
      <c r="AC646" s="254" t="n">
        <v>310000</v>
      </c>
      <c r="AD646" s="254" t="n">
        <v>8655.19681706006</v>
      </c>
      <c r="AE646" s="0" t="n">
        <v>0</v>
      </c>
      <c r="AF646" s="0" t="n">
        <v>0</v>
      </c>
      <c r="AG646" s="0" t="n">
        <v>0</v>
      </c>
      <c r="AH646" s="254" t="n">
        <v>410.501575904185</v>
      </c>
      <c r="AI646" s="0" t="n">
        <v>226</v>
      </c>
      <c r="AJ646" s="0" t="s">
        <v>630</v>
      </c>
      <c r="AK646" s="0" t="n">
        <v>0</v>
      </c>
      <c r="AL646" s="0" t="n">
        <v>0</v>
      </c>
      <c r="AM646" s="0" t="n">
        <v>0</v>
      </c>
    </row>
    <row r="647" customFormat="false" ht="12.75" hidden="false" customHeight="false" outlineLevel="0" collapsed="false">
      <c r="A647" s="0" t="s">
        <v>631</v>
      </c>
      <c r="B647" s="0" t="s">
        <v>413</v>
      </c>
      <c r="C647" s="0" t="s">
        <v>622</v>
      </c>
      <c r="D647" s="0" t="s">
        <v>623</v>
      </c>
      <c r="E647" s="0" t="s">
        <v>131</v>
      </c>
      <c r="F647" s="0" t="s">
        <v>210</v>
      </c>
      <c r="G647" s="0" t="s">
        <v>628</v>
      </c>
      <c r="H647" s="0" t="s">
        <v>625</v>
      </c>
      <c r="I647" s="0" t="s">
        <v>626</v>
      </c>
      <c r="J647" s="0" t="s">
        <v>627</v>
      </c>
      <c r="K647" s="475" t="n">
        <v>37135</v>
      </c>
      <c r="L647" s="254" t="n">
        <v>29764.9461315149</v>
      </c>
      <c r="M647" s="475" t="n">
        <v>37133</v>
      </c>
      <c r="N647" s="0" t="s">
        <v>132</v>
      </c>
      <c r="O647" s="0" t="n">
        <v>0.3</v>
      </c>
      <c r="P647" s="0" t="n">
        <v>0</v>
      </c>
      <c r="Q647" s="0" t="n">
        <v>0</v>
      </c>
      <c r="R647" s="0" t="n">
        <v>0</v>
      </c>
      <c r="S647" s="0" t="n">
        <v>0</v>
      </c>
      <c r="T647" s="0" t="s">
        <v>624</v>
      </c>
      <c r="U647" s="0" t="s">
        <v>149</v>
      </c>
      <c r="V647" s="0" t="s">
        <v>624</v>
      </c>
      <c r="W647" s="0" t="s">
        <v>569</v>
      </c>
      <c r="X647" s="0" t="s">
        <v>624</v>
      </c>
      <c r="Y647" s="0" t="s">
        <v>627</v>
      </c>
      <c r="Z647" s="0" t="s">
        <v>629</v>
      </c>
      <c r="AA647" s="0" t="s">
        <v>624</v>
      </c>
      <c r="AB647" s="0" t="s">
        <v>580</v>
      </c>
      <c r="AC647" s="254" t="n">
        <v>300000</v>
      </c>
      <c r="AD647" s="254" t="n">
        <v>9298.81110375389</v>
      </c>
      <c r="AE647" s="0" t="n">
        <v>0</v>
      </c>
      <c r="AF647" s="0" t="n">
        <v>0</v>
      </c>
      <c r="AG647" s="0" t="n">
        <v>0</v>
      </c>
      <c r="AH647" s="254" t="n">
        <v>441.703481400156</v>
      </c>
      <c r="AI647" s="0" t="n">
        <v>226</v>
      </c>
      <c r="AJ647" s="0" t="s">
        <v>630</v>
      </c>
      <c r="AK647" s="0" t="n">
        <v>0</v>
      </c>
      <c r="AL647" s="0" t="n">
        <v>0</v>
      </c>
      <c r="AM647" s="0" t="n">
        <v>0</v>
      </c>
    </row>
    <row r="648" customFormat="false" ht="12.75" hidden="false" customHeight="false" outlineLevel="0" collapsed="false">
      <c r="A648" s="0" t="s">
        <v>631</v>
      </c>
      <c r="B648" s="0" t="s">
        <v>413</v>
      </c>
      <c r="C648" s="0" t="s">
        <v>622</v>
      </c>
      <c r="D648" s="0" t="s">
        <v>623</v>
      </c>
      <c r="E648" s="0" t="s">
        <v>131</v>
      </c>
      <c r="F648" s="0" t="s">
        <v>210</v>
      </c>
      <c r="G648" s="0" t="s">
        <v>628</v>
      </c>
      <c r="H648" s="0" t="s">
        <v>625</v>
      </c>
      <c r="I648" s="0" t="s">
        <v>626</v>
      </c>
      <c r="J648" s="0" t="s">
        <v>627</v>
      </c>
      <c r="K648" s="475" t="n">
        <v>37165</v>
      </c>
      <c r="L648" s="254" t="n">
        <v>25502.2113317979</v>
      </c>
      <c r="M648" s="475" t="n">
        <v>37161</v>
      </c>
      <c r="N648" s="0" t="s">
        <v>132</v>
      </c>
      <c r="O648" s="0" t="n">
        <v>0.3</v>
      </c>
      <c r="P648" s="0" t="n">
        <v>0</v>
      </c>
      <c r="Q648" s="0" t="n">
        <v>0</v>
      </c>
      <c r="R648" s="0" t="n">
        <v>0</v>
      </c>
      <c r="S648" s="0" t="n">
        <v>0</v>
      </c>
      <c r="T648" s="0" t="s">
        <v>624</v>
      </c>
      <c r="U648" s="0" t="s">
        <v>149</v>
      </c>
      <c r="V648" s="0" t="s">
        <v>624</v>
      </c>
      <c r="W648" s="0" t="s">
        <v>569</v>
      </c>
      <c r="X648" s="0" t="s">
        <v>624</v>
      </c>
      <c r="Y648" s="0" t="s">
        <v>627</v>
      </c>
      <c r="Z648" s="0" t="s">
        <v>629</v>
      </c>
      <c r="AA648" s="0" t="s">
        <v>624</v>
      </c>
      <c r="AB648" s="0" t="s">
        <v>580</v>
      </c>
      <c r="AC648" s="254" t="n">
        <v>310000</v>
      </c>
      <c r="AD648" s="254" t="n">
        <v>9444.59497474696</v>
      </c>
      <c r="AE648" s="0" t="n">
        <v>0</v>
      </c>
      <c r="AF648" s="0" t="n">
        <v>0</v>
      </c>
      <c r="AG648" s="0" t="n">
        <v>0</v>
      </c>
      <c r="AH648" s="254" t="n">
        <v>448.280930345594</v>
      </c>
      <c r="AI648" s="0" t="n">
        <v>226</v>
      </c>
      <c r="AJ648" s="0" t="s">
        <v>630</v>
      </c>
      <c r="AK648" s="0" t="n">
        <v>0</v>
      </c>
      <c r="AL648" s="0" t="n">
        <v>0</v>
      </c>
      <c r="AM648" s="0" t="n">
        <v>0</v>
      </c>
    </row>
    <row r="649" customFormat="false" ht="12.75" hidden="false" customHeight="false" outlineLevel="0" collapsed="false">
      <c r="A649" s="0" t="s">
        <v>631</v>
      </c>
      <c r="B649" s="0" t="s">
        <v>414</v>
      </c>
      <c r="C649" s="0" t="s">
        <v>622</v>
      </c>
      <c r="D649" s="0" t="s">
        <v>623</v>
      </c>
      <c r="E649" s="0" t="s">
        <v>131</v>
      </c>
      <c r="F649" s="0" t="s">
        <v>206</v>
      </c>
      <c r="G649" s="0" t="s">
        <v>628</v>
      </c>
      <c r="H649" s="0" t="s">
        <v>625</v>
      </c>
      <c r="I649" s="0" t="s">
        <v>626</v>
      </c>
      <c r="J649" s="0" t="s">
        <v>627</v>
      </c>
      <c r="K649" s="475" t="n">
        <v>36982</v>
      </c>
      <c r="L649" s="254" t="n">
        <v>37274.0420809782</v>
      </c>
      <c r="M649" s="475" t="n">
        <v>36979</v>
      </c>
      <c r="N649" s="0" t="s">
        <v>136</v>
      </c>
      <c r="O649" s="0" t="n">
        <v>0.7</v>
      </c>
      <c r="P649" s="0" t="n">
        <v>0</v>
      </c>
      <c r="Q649" s="0" t="n">
        <v>0</v>
      </c>
      <c r="R649" s="0" t="n">
        <v>0</v>
      </c>
      <c r="S649" s="0" t="n">
        <v>0</v>
      </c>
      <c r="T649" s="0" t="s">
        <v>624</v>
      </c>
      <c r="U649" s="0" t="s">
        <v>149</v>
      </c>
      <c r="V649" s="0" t="s">
        <v>624</v>
      </c>
      <c r="W649" s="0" t="s">
        <v>569</v>
      </c>
      <c r="X649" s="0" t="s">
        <v>624</v>
      </c>
      <c r="Y649" s="0" t="s">
        <v>627</v>
      </c>
      <c r="Z649" s="0" t="s">
        <v>629</v>
      </c>
      <c r="AA649" s="0" t="s">
        <v>624</v>
      </c>
      <c r="AB649" s="0" t="s">
        <v>580</v>
      </c>
      <c r="AC649" s="254" t="n">
        <v>500000</v>
      </c>
      <c r="AD649" s="254" t="n">
        <v>10951.2425481547</v>
      </c>
      <c r="AE649" s="0" t="n">
        <v>0</v>
      </c>
      <c r="AF649" s="0" t="n">
        <v>0</v>
      </c>
      <c r="AG649" s="0" t="n">
        <v>0</v>
      </c>
      <c r="AH649" s="254" t="n">
        <v>521.124543541075</v>
      </c>
      <c r="AI649" s="0" t="n">
        <v>226</v>
      </c>
      <c r="AJ649" s="0" t="s">
        <v>630</v>
      </c>
      <c r="AK649" s="0" t="n">
        <v>0</v>
      </c>
      <c r="AL649" s="0" t="n">
        <v>0</v>
      </c>
      <c r="AM649" s="0" t="n">
        <v>0</v>
      </c>
    </row>
    <row r="650" customFormat="false" ht="12.75" hidden="false" customHeight="false" outlineLevel="0" collapsed="false">
      <c r="A650" s="0" t="s">
        <v>631</v>
      </c>
      <c r="B650" s="0" t="s">
        <v>416</v>
      </c>
      <c r="C650" s="0" t="s">
        <v>622</v>
      </c>
      <c r="D650" s="0" t="s">
        <v>623</v>
      </c>
      <c r="E650" s="0" t="s">
        <v>131</v>
      </c>
      <c r="F650" s="0" t="s">
        <v>415</v>
      </c>
      <c r="G650" s="0" t="s">
        <v>628</v>
      </c>
      <c r="H650" s="0" t="s">
        <v>625</v>
      </c>
      <c r="I650" s="0" t="s">
        <v>626</v>
      </c>
      <c r="J650" s="0" t="s">
        <v>627</v>
      </c>
      <c r="K650" s="475" t="n">
        <v>36831</v>
      </c>
      <c r="L650" s="254" t="n">
        <v>-35995.7722158527</v>
      </c>
      <c r="M650" s="475" t="n">
        <v>36829</v>
      </c>
      <c r="N650" s="0" t="s">
        <v>136</v>
      </c>
      <c r="O650" s="0" t="n">
        <v>0.12</v>
      </c>
      <c r="P650" s="0" t="n">
        <v>0</v>
      </c>
      <c r="Q650" s="0" t="n">
        <v>0</v>
      </c>
      <c r="R650" s="0" t="n">
        <v>0</v>
      </c>
      <c r="S650" s="0" t="n">
        <v>0</v>
      </c>
      <c r="T650" s="0" t="s">
        <v>624</v>
      </c>
      <c r="U650" s="0" t="s">
        <v>632</v>
      </c>
      <c r="V650" s="0" t="s">
        <v>624</v>
      </c>
      <c r="W650" s="0" t="s">
        <v>569</v>
      </c>
      <c r="X650" s="0" t="s">
        <v>624</v>
      </c>
      <c r="Y650" s="0" t="s">
        <v>627</v>
      </c>
      <c r="Z650" s="0" t="s">
        <v>629</v>
      </c>
      <c r="AA650" s="0" t="s">
        <v>624</v>
      </c>
      <c r="AB650" s="0" t="s">
        <v>580</v>
      </c>
      <c r="AC650" s="254" t="n">
        <v>-1500000</v>
      </c>
      <c r="AD650" s="254" t="n">
        <v>-10203.8606175174</v>
      </c>
      <c r="AE650" s="0" t="n">
        <v>0</v>
      </c>
      <c r="AF650" s="0" t="n">
        <v>0</v>
      </c>
      <c r="AG650" s="0" t="n">
        <v>0</v>
      </c>
      <c r="AH650" s="254" t="n">
        <v>-548.93047794405</v>
      </c>
      <c r="AI650" s="0" t="n">
        <v>226</v>
      </c>
      <c r="AJ650" s="0" t="s">
        <v>630</v>
      </c>
      <c r="AK650" s="0" t="n">
        <v>0</v>
      </c>
      <c r="AL650" s="0" t="n">
        <v>0</v>
      </c>
      <c r="AM650" s="0" t="n">
        <v>0</v>
      </c>
    </row>
    <row r="651" customFormat="false" ht="12.75" hidden="false" customHeight="false" outlineLevel="0" collapsed="false">
      <c r="A651" s="0" t="s">
        <v>631</v>
      </c>
      <c r="B651" s="0" t="s">
        <v>416</v>
      </c>
      <c r="C651" s="0" t="s">
        <v>622</v>
      </c>
      <c r="D651" s="0" t="s">
        <v>623</v>
      </c>
      <c r="E651" s="0" t="s">
        <v>131</v>
      </c>
      <c r="F651" s="0" t="s">
        <v>415</v>
      </c>
      <c r="G651" s="0" t="s">
        <v>628</v>
      </c>
      <c r="H651" s="0" t="s">
        <v>625</v>
      </c>
      <c r="I651" s="0" t="s">
        <v>626</v>
      </c>
      <c r="J651" s="0" t="s">
        <v>627</v>
      </c>
      <c r="K651" s="475" t="n">
        <v>36861</v>
      </c>
      <c r="L651" s="254" t="n">
        <v>-58398.7660065416</v>
      </c>
      <c r="M651" s="475" t="n">
        <v>36859</v>
      </c>
      <c r="N651" s="0" t="s">
        <v>136</v>
      </c>
      <c r="O651" s="0" t="n">
        <v>0.12</v>
      </c>
      <c r="P651" s="0" t="n">
        <v>0</v>
      </c>
      <c r="Q651" s="0" t="n">
        <v>0</v>
      </c>
      <c r="R651" s="0" t="n">
        <v>0</v>
      </c>
      <c r="S651" s="0" t="n">
        <v>0</v>
      </c>
      <c r="T651" s="0" t="s">
        <v>624</v>
      </c>
      <c r="U651" s="0" t="s">
        <v>632</v>
      </c>
      <c r="V651" s="0" t="s">
        <v>624</v>
      </c>
      <c r="W651" s="0" t="s">
        <v>569</v>
      </c>
      <c r="X651" s="0" t="s">
        <v>624</v>
      </c>
      <c r="Y651" s="0" t="s">
        <v>627</v>
      </c>
      <c r="Z651" s="0" t="s">
        <v>629</v>
      </c>
      <c r="AA651" s="0" t="s">
        <v>624</v>
      </c>
      <c r="AB651" s="0" t="s">
        <v>580</v>
      </c>
      <c r="AC651" s="254" t="n">
        <v>-1550000</v>
      </c>
      <c r="AD651" s="254" t="n">
        <v>-13408.4125733787</v>
      </c>
      <c r="AE651" s="0" t="n">
        <v>0</v>
      </c>
      <c r="AF651" s="0" t="n">
        <v>0</v>
      </c>
      <c r="AG651" s="0" t="n">
        <v>0</v>
      </c>
      <c r="AH651" s="254" t="n">
        <v>-674.856338178804</v>
      </c>
      <c r="AI651" s="0" t="n">
        <v>226</v>
      </c>
      <c r="AJ651" s="0" t="s">
        <v>630</v>
      </c>
      <c r="AK651" s="0" t="n">
        <v>0</v>
      </c>
      <c r="AL651" s="0" t="n">
        <v>0</v>
      </c>
      <c r="AM651" s="0" t="n">
        <v>0</v>
      </c>
    </row>
    <row r="652" customFormat="false" ht="12.75" hidden="false" customHeight="false" outlineLevel="0" collapsed="false">
      <c r="A652" s="0" t="s">
        <v>631</v>
      </c>
      <c r="B652" s="0" t="s">
        <v>416</v>
      </c>
      <c r="C652" s="0" t="s">
        <v>622</v>
      </c>
      <c r="D652" s="0" t="s">
        <v>623</v>
      </c>
      <c r="E652" s="0" t="s">
        <v>131</v>
      </c>
      <c r="F652" s="0" t="s">
        <v>415</v>
      </c>
      <c r="G652" s="0" t="s">
        <v>628</v>
      </c>
      <c r="H652" s="0" t="s">
        <v>625</v>
      </c>
      <c r="I652" s="0" t="s">
        <v>626</v>
      </c>
      <c r="J652" s="0" t="s">
        <v>627</v>
      </c>
      <c r="K652" s="475" t="n">
        <v>36892</v>
      </c>
      <c r="L652" s="254" t="n">
        <v>-88686.0002167423</v>
      </c>
      <c r="M652" s="475" t="n">
        <v>36888</v>
      </c>
      <c r="N652" s="0" t="s">
        <v>136</v>
      </c>
      <c r="O652" s="0" t="n">
        <v>0.12</v>
      </c>
      <c r="P652" s="0" t="n">
        <v>0</v>
      </c>
      <c r="Q652" s="0" t="n">
        <v>0</v>
      </c>
      <c r="R652" s="0" t="n">
        <v>0</v>
      </c>
      <c r="S652" s="0" t="n">
        <v>0</v>
      </c>
      <c r="T652" s="0" t="s">
        <v>624</v>
      </c>
      <c r="U652" s="0" t="s">
        <v>632</v>
      </c>
      <c r="V652" s="0" t="s">
        <v>624</v>
      </c>
      <c r="W652" s="0" t="s">
        <v>569</v>
      </c>
      <c r="X652" s="0" t="s">
        <v>624</v>
      </c>
      <c r="Y652" s="0" t="s">
        <v>627</v>
      </c>
      <c r="Z652" s="0" t="s">
        <v>629</v>
      </c>
      <c r="AA652" s="0" t="s">
        <v>624</v>
      </c>
      <c r="AB652" s="0" t="s">
        <v>580</v>
      </c>
      <c r="AC652" s="254" t="n">
        <v>-1550000</v>
      </c>
      <c r="AD652" s="254" t="n">
        <v>-15533.3232349418</v>
      </c>
      <c r="AE652" s="0" t="n">
        <v>0</v>
      </c>
      <c r="AF652" s="0" t="n">
        <v>0</v>
      </c>
      <c r="AG652" s="0" t="n">
        <v>0</v>
      </c>
      <c r="AH652" s="254" t="n">
        <v>-747.71109007315</v>
      </c>
      <c r="AI652" s="0" t="n">
        <v>226</v>
      </c>
      <c r="AJ652" s="0" t="s">
        <v>630</v>
      </c>
      <c r="AK652" s="0" t="n">
        <v>0</v>
      </c>
      <c r="AL652" s="0" t="n">
        <v>0</v>
      </c>
      <c r="AM652" s="0" t="n">
        <v>0</v>
      </c>
    </row>
    <row r="653" customFormat="false" ht="12.75" hidden="false" customHeight="false" outlineLevel="0" collapsed="false">
      <c r="A653" s="0" t="s">
        <v>631</v>
      </c>
      <c r="B653" s="0" t="s">
        <v>416</v>
      </c>
      <c r="C653" s="0" t="s">
        <v>622</v>
      </c>
      <c r="D653" s="0" t="s">
        <v>623</v>
      </c>
      <c r="E653" s="0" t="s">
        <v>131</v>
      </c>
      <c r="F653" s="0" t="s">
        <v>415</v>
      </c>
      <c r="G653" s="0" t="s">
        <v>628</v>
      </c>
      <c r="H653" s="0" t="s">
        <v>625</v>
      </c>
      <c r="I653" s="0" t="s">
        <v>626</v>
      </c>
      <c r="J653" s="0" t="s">
        <v>627</v>
      </c>
      <c r="K653" s="475" t="n">
        <v>36923</v>
      </c>
      <c r="L653" s="254" t="n">
        <v>-90978.668032625</v>
      </c>
      <c r="M653" s="475" t="n">
        <v>36921</v>
      </c>
      <c r="N653" s="0" t="s">
        <v>136</v>
      </c>
      <c r="O653" s="0" t="n">
        <v>0.12</v>
      </c>
      <c r="P653" s="0" t="n">
        <v>0</v>
      </c>
      <c r="Q653" s="0" t="n">
        <v>0</v>
      </c>
      <c r="R653" s="0" t="n">
        <v>0</v>
      </c>
      <c r="S653" s="0" t="n">
        <v>0</v>
      </c>
      <c r="T653" s="0" t="s">
        <v>624</v>
      </c>
      <c r="U653" s="0" t="s">
        <v>632</v>
      </c>
      <c r="V653" s="0" t="s">
        <v>624</v>
      </c>
      <c r="W653" s="0" t="s">
        <v>569</v>
      </c>
      <c r="X653" s="0" t="s">
        <v>624</v>
      </c>
      <c r="Y653" s="0" t="s">
        <v>627</v>
      </c>
      <c r="Z653" s="0" t="s">
        <v>629</v>
      </c>
      <c r="AA653" s="0" t="s">
        <v>624</v>
      </c>
      <c r="AB653" s="0" t="s">
        <v>580</v>
      </c>
      <c r="AC653" s="254" t="n">
        <v>-1400000</v>
      </c>
      <c r="AD653" s="254" t="n">
        <v>-15206.9853026628</v>
      </c>
      <c r="AE653" s="0" t="n">
        <v>0</v>
      </c>
      <c r="AF653" s="0" t="n">
        <v>0</v>
      </c>
      <c r="AG653" s="0" t="n">
        <v>0</v>
      </c>
      <c r="AH653" s="254" t="n">
        <v>-729.916836097604</v>
      </c>
      <c r="AI653" s="0" t="n">
        <v>226</v>
      </c>
      <c r="AJ653" s="0" t="s">
        <v>630</v>
      </c>
      <c r="AK653" s="0" t="n">
        <v>0</v>
      </c>
      <c r="AL653" s="0" t="n">
        <v>0</v>
      </c>
      <c r="AM653" s="0" t="n">
        <v>0</v>
      </c>
    </row>
    <row r="654" customFormat="false" ht="12.75" hidden="false" customHeight="false" outlineLevel="0" collapsed="false">
      <c r="A654" s="0" t="s">
        <v>631</v>
      </c>
      <c r="B654" s="0" t="s">
        <v>416</v>
      </c>
      <c r="C654" s="0" t="s">
        <v>622</v>
      </c>
      <c r="D654" s="0" t="s">
        <v>623</v>
      </c>
      <c r="E654" s="0" t="s">
        <v>131</v>
      </c>
      <c r="F654" s="0" t="s">
        <v>415</v>
      </c>
      <c r="G654" s="0" t="s">
        <v>628</v>
      </c>
      <c r="H654" s="0" t="s">
        <v>625</v>
      </c>
      <c r="I654" s="0" t="s">
        <v>626</v>
      </c>
      <c r="J654" s="0" t="s">
        <v>627</v>
      </c>
      <c r="K654" s="475" t="n">
        <v>36951</v>
      </c>
      <c r="L654" s="254" t="n">
        <v>-81751.695957239</v>
      </c>
      <c r="M654" s="475" t="n">
        <v>36949</v>
      </c>
      <c r="N654" s="0" t="s">
        <v>136</v>
      </c>
      <c r="O654" s="0" t="n">
        <v>0.12</v>
      </c>
      <c r="P654" s="0" t="n">
        <v>0</v>
      </c>
      <c r="Q654" s="0" t="n">
        <v>0</v>
      </c>
      <c r="R654" s="0" t="n">
        <v>0</v>
      </c>
      <c r="S654" s="0" t="n">
        <v>0</v>
      </c>
      <c r="T654" s="0" t="s">
        <v>624</v>
      </c>
      <c r="U654" s="0" t="s">
        <v>632</v>
      </c>
      <c r="V654" s="0" t="s">
        <v>624</v>
      </c>
      <c r="W654" s="0" t="s">
        <v>569</v>
      </c>
      <c r="X654" s="0" t="s">
        <v>624</v>
      </c>
      <c r="Y654" s="0" t="s">
        <v>627</v>
      </c>
      <c r="Z654" s="0" t="s">
        <v>629</v>
      </c>
      <c r="AA654" s="0" t="s">
        <v>624</v>
      </c>
      <c r="AB654" s="0" t="s">
        <v>580</v>
      </c>
      <c r="AC654" s="254" t="n">
        <v>-1550000</v>
      </c>
      <c r="AD654" s="254" t="n">
        <v>-16400.4777162034</v>
      </c>
      <c r="AE654" s="0" t="n">
        <v>0</v>
      </c>
      <c r="AF654" s="0" t="n">
        <v>0</v>
      </c>
      <c r="AG654" s="0" t="n">
        <v>0</v>
      </c>
      <c r="AH654" s="254" t="n">
        <v>-834.369305915767</v>
      </c>
      <c r="AI654" s="0" t="n">
        <v>226</v>
      </c>
      <c r="AJ654" s="0" t="s">
        <v>630</v>
      </c>
      <c r="AK654" s="0" t="n">
        <v>0</v>
      </c>
      <c r="AL654" s="0" t="n">
        <v>0</v>
      </c>
      <c r="AM654" s="0" t="n">
        <v>0</v>
      </c>
    </row>
    <row r="655" customFormat="false" ht="12.75" hidden="false" customHeight="false" outlineLevel="0" collapsed="false">
      <c r="A655" s="0" t="s">
        <v>631</v>
      </c>
      <c r="B655" s="0" t="s">
        <v>417</v>
      </c>
      <c r="C655" s="0" t="s">
        <v>622</v>
      </c>
      <c r="D655" s="0" t="s">
        <v>623</v>
      </c>
      <c r="E655" s="0" t="s">
        <v>131</v>
      </c>
      <c r="F655" s="0" t="s">
        <v>281</v>
      </c>
      <c r="G655" s="0" t="s">
        <v>628</v>
      </c>
      <c r="H655" s="0" t="s">
        <v>625</v>
      </c>
      <c r="I655" s="0" t="s">
        <v>626</v>
      </c>
      <c r="J655" s="0" t="s">
        <v>627</v>
      </c>
      <c r="K655" s="475" t="n">
        <v>36831</v>
      </c>
      <c r="L655" s="254" t="n">
        <v>-7199.15444317054</v>
      </c>
      <c r="M655" s="475" t="n">
        <v>36829</v>
      </c>
      <c r="N655" s="0" t="s">
        <v>136</v>
      </c>
      <c r="O655" s="0" t="n">
        <v>0.12</v>
      </c>
      <c r="P655" s="0" t="n">
        <v>0</v>
      </c>
      <c r="Q655" s="0" t="n">
        <v>0</v>
      </c>
      <c r="R655" s="0" t="n">
        <v>0</v>
      </c>
      <c r="S655" s="0" t="n">
        <v>0</v>
      </c>
      <c r="T655" s="0" t="s">
        <v>624</v>
      </c>
      <c r="U655" s="0" t="s">
        <v>632</v>
      </c>
      <c r="V655" s="0" t="s">
        <v>624</v>
      </c>
      <c r="W655" s="0" t="s">
        <v>569</v>
      </c>
      <c r="X655" s="0" t="s">
        <v>624</v>
      </c>
      <c r="Y655" s="0" t="s">
        <v>627</v>
      </c>
      <c r="Z655" s="0" t="s">
        <v>629</v>
      </c>
      <c r="AA655" s="0" t="s">
        <v>624</v>
      </c>
      <c r="AB655" s="0" t="s">
        <v>580</v>
      </c>
      <c r="AC655" s="254" t="n">
        <v>-300000</v>
      </c>
      <c r="AD655" s="254" t="n">
        <v>-2040.77212350348</v>
      </c>
      <c r="AE655" s="0" t="n">
        <v>0</v>
      </c>
      <c r="AF655" s="0" t="n">
        <v>0</v>
      </c>
      <c r="AG655" s="0" t="n">
        <v>0</v>
      </c>
      <c r="AH655" s="254" t="n">
        <v>-109.78609558881</v>
      </c>
      <c r="AI655" s="0" t="n">
        <v>226</v>
      </c>
      <c r="AJ655" s="0" t="s">
        <v>630</v>
      </c>
      <c r="AK655" s="0" t="n">
        <v>0</v>
      </c>
      <c r="AL655" s="0" t="n">
        <v>0</v>
      </c>
      <c r="AM655" s="0" t="n">
        <v>0</v>
      </c>
    </row>
    <row r="656" customFormat="false" ht="12.75" hidden="false" customHeight="false" outlineLevel="0" collapsed="false">
      <c r="A656" s="0" t="s">
        <v>631</v>
      </c>
      <c r="B656" s="0" t="s">
        <v>417</v>
      </c>
      <c r="C656" s="0" t="s">
        <v>622</v>
      </c>
      <c r="D656" s="0" t="s">
        <v>623</v>
      </c>
      <c r="E656" s="0" t="s">
        <v>131</v>
      </c>
      <c r="F656" s="0" t="s">
        <v>281</v>
      </c>
      <c r="G656" s="0" t="s">
        <v>628</v>
      </c>
      <c r="H656" s="0" t="s">
        <v>625</v>
      </c>
      <c r="I656" s="0" t="s">
        <v>626</v>
      </c>
      <c r="J656" s="0" t="s">
        <v>627</v>
      </c>
      <c r="K656" s="475" t="n">
        <v>36861</v>
      </c>
      <c r="L656" s="254" t="n">
        <v>-11679.7532013083</v>
      </c>
      <c r="M656" s="475" t="n">
        <v>36859</v>
      </c>
      <c r="N656" s="0" t="s">
        <v>136</v>
      </c>
      <c r="O656" s="0" t="n">
        <v>0.12</v>
      </c>
      <c r="P656" s="0" t="n">
        <v>0</v>
      </c>
      <c r="Q656" s="0" t="n">
        <v>0</v>
      </c>
      <c r="R656" s="0" t="n">
        <v>0</v>
      </c>
      <c r="S656" s="0" t="n">
        <v>0</v>
      </c>
      <c r="T656" s="0" t="s">
        <v>624</v>
      </c>
      <c r="U656" s="0" t="s">
        <v>632</v>
      </c>
      <c r="V656" s="0" t="s">
        <v>624</v>
      </c>
      <c r="W656" s="0" t="s">
        <v>569</v>
      </c>
      <c r="X656" s="0" t="s">
        <v>624</v>
      </c>
      <c r="Y656" s="0" t="s">
        <v>627</v>
      </c>
      <c r="Z656" s="0" t="s">
        <v>629</v>
      </c>
      <c r="AA656" s="0" t="s">
        <v>624</v>
      </c>
      <c r="AB656" s="0" t="s">
        <v>580</v>
      </c>
      <c r="AC656" s="254" t="n">
        <v>-310000</v>
      </c>
      <c r="AD656" s="254" t="n">
        <v>-2681.68251467572</v>
      </c>
      <c r="AE656" s="0" t="n">
        <v>0</v>
      </c>
      <c r="AF656" s="0" t="n">
        <v>0</v>
      </c>
      <c r="AG656" s="0" t="n">
        <v>0</v>
      </c>
      <c r="AH656" s="254" t="n">
        <v>-134.971267635761</v>
      </c>
      <c r="AI656" s="0" t="n">
        <v>226</v>
      </c>
      <c r="AJ656" s="0" t="s">
        <v>630</v>
      </c>
      <c r="AK656" s="0" t="n">
        <v>0</v>
      </c>
      <c r="AL656" s="0" t="n">
        <v>0</v>
      </c>
      <c r="AM656" s="0" t="n">
        <v>0</v>
      </c>
    </row>
    <row r="657" customFormat="false" ht="12.75" hidden="false" customHeight="false" outlineLevel="0" collapsed="false">
      <c r="A657" s="0" t="s">
        <v>631</v>
      </c>
      <c r="B657" s="0" t="s">
        <v>417</v>
      </c>
      <c r="C657" s="0" t="s">
        <v>622</v>
      </c>
      <c r="D657" s="0" t="s">
        <v>623</v>
      </c>
      <c r="E657" s="0" t="s">
        <v>131</v>
      </c>
      <c r="F657" s="0" t="s">
        <v>281</v>
      </c>
      <c r="G657" s="0" t="s">
        <v>628</v>
      </c>
      <c r="H657" s="0" t="s">
        <v>625</v>
      </c>
      <c r="I657" s="0" t="s">
        <v>626</v>
      </c>
      <c r="J657" s="0" t="s">
        <v>627</v>
      </c>
      <c r="K657" s="475" t="n">
        <v>36892</v>
      </c>
      <c r="L657" s="254" t="n">
        <v>-17737.2000433485</v>
      </c>
      <c r="M657" s="475" t="n">
        <v>36888</v>
      </c>
      <c r="N657" s="0" t="s">
        <v>136</v>
      </c>
      <c r="O657" s="0" t="n">
        <v>0.12</v>
      </c>
      <c r="P657" s="0" t="n">
        <v>0</v>
      </c>
      <c r="Q657" s="0" t="n">
        <v>0</v>
      </c>
      <c r="R657" s="0" t="n">
        <v>0</v>
      </c>
      <c r="S657" s="0" t="n">
        <v>0</v>
      </c>
      <c r="T657" s="0" t="s">
        <v>624</v>
      </c>
      <c r="U657" s="0" t="s">
        <v>632</v>
      </c>
      <c r="V657" s="0" t="s">
        <v>624</v>
      </c>
      <c r="W657" s="0" t="s">
        <v>569</v>
      </c>
      <c r="X657" s="0" t="s">
        <v>624</v>
      </c>
      <c r="Y657" s="0" t="s">
        <v>627</v>
      </c>
      <c r="Z657" s="0" t="s">
        <v>629</v>
      </c>
      <c r="AA657" s="0" t="s">
        <v>624</v>
      </c>
      <c r="AB657" s="0" t="s">
        <v>580</v>
      </c>
      <c r="AC657" s="254" t="n">
        <v>-310000</v>
      </c>
      <c r="AD657" s="254" t="n">
        <v>-3106.66464698839</v>
      </c>
      <c r="AE657" s="0" t="n">
        <v>0</v>
      </c>
      <c r="AF657" s="0" t="n">
        <v>0</v>
      </c>
      <c r="AG657" s="0" t="n">
        <v>0</v>
      </c>
      <c r="AH657" s="254" t="n">
        <v>-149.542218014627</v>
      </c>
      <c r="AI657" s="0" t="n">
        <v>226</v>
      </c>
      <c r="AJ657" s="0" t="s">
        <v>630</v>
      </c>
      <c r="AK657" s="0" t="n">
        <v>0</v>
      </c>
      <c r="AL657" s="0" t="n">
        <v>0</v>
      </c>
      <c r="AM657" s="0" t="n">
        <v>0</v>
      </c>
    </row>
    <row r="658" customFormat="false" ht="12.75" hidden="false" customHeight="false" outlineLevel="0" collapsed="false">
      <c r="A658" s="0" t="s">
        <v>631</v>
      </c>
      <c r="B658" s="0" t="s">
        <v>417</v>
      </c>
      <c r="C658" s="0" t="s">
        <v>622</v>
      </c>
      <c r="D658" s="0" t="s">
        <v>623</v>
      </c>
      <c r="E658" s="0" t="s">
        <v>131</v>
      </c>
      <c r="F658" s="0" t="s">
        <v>281</v>
      </c>
      <c r="G658" s="0" t="s">
        <v>628</v>
      </c>
      <c r="H658" s="0" t="s">
        <v>625</v>
      </c>
      <c r="I658" s="0" t="s">
        <v>626</v>
      </c>
      <c r="J658" s="0" t="s">
        <v>627</v>
      </c>
      <c r="K658" s="475" t="n">
        <v>36923</v>
      </c>
      <c r="L658" s="254" t="n">
        <v>-18195.733606525</v>
      </c>
      <c r="M658" s="475" t="n">
        <v>36921</v>
      </c>
      <c r="N658" s="0" t="s">
        <v>136</v>
      </c>
      <c r="O658" s="0" t="n">
        <v>0.12</v>
      </c>
      <c r="P658" s="0" t="n">
        <v>0</v>
      </c>
      <c r="Q658" s="0" t="n">
        <v>0</v>
      </c>
      <c r="R658" s="0" t="n">
        <v>0</v>
      </c>
      <c r="S658" s="0" t="n">
        <v>0</v>
      </c>
      <c r="T658" s="0" t="s">
        <v>624</v>
      </c>
      <c r="U658" s="0" t="s">
        <v>632</v>
      </c>
      <c r="V658" s="0" t="s">
        <v>624</v>
      </c>
      <c r="W658" s="0" t="s">
        <v>569</v>
      </c>
      <c r="X658" s="0" t="s">
        <v>624</v>
      </c>
      <c r="Y658" s="0" t="s">
        <v>627</v>
      </c>
      <c r="Z658" s="0" t="s">
        <v>629</v>
      </c>
      <c r="AA658" s="0" t="s">
        <v>624</v>
      </c>
      <c r="AB658" s="0" t="s">
        <v>580</v>
      </c>
      <c r="AC658" s="254" t="n">
        <v>-280000</v>
      </c>
      <c r="AD658" s="254" t="n">
        <v>-3041.39706053256</v>
      </c>
      <c r="AE658" s="0" t="n">
        <v>0</v>
      </c>
      <c r="AF658" s="0" t="n">
        <v>0</v>
      </c>
      <c r="AG658" s="0" t="n">
        <v>0</v>
      </c>
      <c r="AH658" s="254" t="n">
        <v>-145.983367219524</v>
      </c>
      <c r="AI658" s="0" t="n">
        <v>226</v>
      </c>
      <c r="AJ658" s="0" t="s">
        <v>630</v>
      </c>
      <c r="AK658" s="0" t="n">
        <v>0</v>
      </c>
      <c r="AL658" s="0" t="n">
        <v>0</v>
      </c>
      <c r="AM658" s="0" t="n">
        <v>0</v>
      </c>
    </row>
    <row r="659" customFormat="false" ht="12.75" hidden="false" customHeight="false" outlineLevel="0" collapsed="false">
      <c r="A659" s="0" t="s">
        <v>631</v>
      </c>
      <c r="B659" s="0" t="s">
        <v>417</v>
      </c>
      <c r="C659" s="0" t="s">
        <v>622</v>
      </c>
      <c r="D659" s="0" t="s">
        <v>623</v>
      </c>
      <c r="E659" s="0" t="s">
        <v>131</v>
      </c>
      <c r="F659" s="0" t="s">
        <v>281</v>
      </c>
      <c r="G659" s="0" t="s">
        <v>628</v>
      </c>
      <c r="H659" s="0" t="s">
        <v>625</v>
      </c>
      <c r="I659" s="0" t="s">
        <v>626</v>
      </c>
      <c r="J659" s="0" t="s">
        <v>627</v>
      </c>
      <c r="K659" s="475" t="n">
        <v>36951</v>
      </c>
      <c r="L659" s="254" t="n">
        <v>-16350.3391914478</v>
      </c>
      <c r="M659" s="475" t="n">
        <v>36949</v>
      </c>
      <c r="N659" s="0" t="s">
        <v>136</v>
      </c>
      <c r="O659" s="0" t="n">
        <v>0.12</v>
      </c>
      <c r="P659" s="0" t="n">
        <v>0</v>
      </c>
      <c r="Q659" s="0" t="n">
        <v>0</v>
      </c>
      <c r="R659" s="0" t="n">
        <v>0</v>
      </c>
      <c r="S659" s="0" t="n">
        <v>0</v>
      </c>
      <c r="T659" s="0" t="s">
        <v>624</v>
      </c>
      <c r="U659" s="0" t="s">
        <v>632</v>
      </c>
      <c r="V659" s="0" t="s">
        <v>624</v>
      </c>
      <c r="W659" s="0" t="s">
        <v>569</v>
      </c>
      <c r="X659" s="0" t="s">
        <v>624</v>
      </c>
      <c r="Y659" s="0" t="s">
        <v>627</v>
      </c>
      <c r="Z659" s="0" t="s">
        <v>629</v>
      </c>
      <c r="AA659" s="0" t="s">
        <v>624</v>
      </c>
      <c r="AB659" s="0" t="s">
        <v>580</v>
      </c>
      <c r="AC659" s="254" t="n">
        <v>-310000</v>
      </c>
      <c r="AD659" s="254" t="n">
        <v>-3280.09554324069</v>
      </c>
      <c r="AE659" s="0" t="n">
        <v>0</v>
      </c>
      <c r="AF659" s="0" t="n">
        <v>0</v>
      </c>
      <c r="AG659" s="0" t="n">
        <v>0</v>
      </c>
      <c r="AH659" s="254" t="n">
        <v>-166.873861183154</v>
      </c>
      <c r="AI659" s="0" t="n">
        <v>226</v>
      </c>
      <c r="AJ659" s="0" t="s">
        <v>630</v>
      </c>
      <c r="AK659" s="0" t="n">
        <v>0</v>
      </c>
      <c r="AL659" s="0" t="n">
        <v>0</v>
      </c>
      <c r="AM659" s="0" t="n">
        <v>0</v>
      </c>
    </row>
    <row r="660" customFormat="false" ht="12.75" hidden="false" customHeight="false" outlineLevel="0" collapsed="false">
      <c r="A660" s="0" t="s">
        <v>631</v>
      </c>
      <c r="B660" s="0" t="s">
        <v>418</v>
      </c>
      <c r="C660" s="0" t="s">
        <v>622</v>
      </c>
      <c r="D660" s="0" t="s">
        <v>623</v>
      </c>
      <c r="E660" s="0" t="s">
        <v>131</v>
      </c>
      <c r="F660" s="0" t="s">
        <v>363</v>
      </c>
      <c r="G660" s="0" t="s">
        <v>628</v>
      </c>
      <c r="H660" s="0" t="s">
        <v>625</v>
      </c>
      <c r="I660" s="0" t="s">
        <v>626</v>
      </c>
      <c r="J660" s="0" t="s">
        <v>627</v>
      </c>
      <c r="K660" s="475" t="n">
        <v>36800</v>
      </c>
      <c r="L660" s="254" t="n">
        <v>25459.0553973898</v>
      </c>
      <c r="M660" s="475" t="n">
        <v>36797</v>
      </c>
      <c r="N660" s="0" t="s">
        <v>136</v>
      </c>
      <c r="O660" s="0" t="n">
        <v>0.5</v>
      </c>
      <c r="P660" s="0" t="n">
        <v>0</v>
      </c>
      <c r="Q660" s="0" t="n">
        <v>0</v>
      </c>
      <c r="R660" s="0" t="n">
        <v>0</v>
      </c>
      <c r="S660" s="0" t="n">
        <v>0</v>
      </c>
      <c r="T660" s="0" t="s">
        <v>624</v>
      </c>
      <c r="U660" s="0" t="s">
        <v>149</v>
      </c>
      <c r="V660" s="0" t="s">
        <v>624</v>
      </c>
      <c r="W660" s="0" t="s">
        <v>569</v>
      </c>
      <c r="X660" s="0" t="s">
        <v>624</v>
      </c>
      <c r="Y660" s="0" t="s">
        <v>627</v>
      </c>
      <c r="Z660" s="0" t="s">
        <v>629</v>
      </c>
      <c r="AA660" s="0" t="s">
        <v>624</v>
      </c>
      <c r="AB660" s="0" t="s">
        <v>580</v>
      </c>
      <c r="AC660" s="254" t="n">
        <v>1550000</v>
      </c>
      <c r="AD660" s="254" t="n">
        <v>7501.51900191134</v>
      </c>
      <c r="AE660" s="0" t="n">
        <v>0</v>
      </c>
      <c r="AF660" s="0" t="n">
        <v>0</v>
      </c>
      <c r="AG660" s="0" t="n">
        <v>0</v>
      </c>
      <c r="AH660" s="254" t="n">
        <v>429.99847433823</v>
      </c>
      <c r="AI660" s="0" t="n">
        <v>226</v>
      </c>
      <c r="AJ660" s="0" t="s">
        <v>630</v>
      </c>
      <c r="AK660" s="0" t="n">
        <v>0</v>
      </c>
      <c r="AL660" s="0" t="n">
        <v>0</v>
      </c>
      <c r="AM660" s="0" t="n">
        <v>0</v>
      </c>
    </row>
    <row r="661" customFormat="false" ht="12.75" hidden="false" customHeight="false" outlineLevel="0" collapsed="false">
      <c r="A661" s="0" t="s">
        <v>631</v>
      </c>
      <c r="B661" s="0" t="s">
        <v>419</v>
      </c>
      <c r="C661" s="0" t="s">
        <v>622</v>
      </c>
      <c r="D661" s="0" t="s">
        <v>623</v>
      </c>
      <c r="E661" s="0" t="s">
        <v>131</v>
      </c>
      <c r="F661" s="0" t="s">
        <v>196</v>
      </c>
      <c r="G661" s="0" t="s">
        <v>628</v>
      </c>
      <c r="H661" s="0" t="s">
        <v>625</v>
      </c>
      <c r="I661" s="0" t="s">
        <v>626</v>
      </c>
      <c r="J661" s="0" t="s">
        <v>627</v>
      </c>
      <c r="K661" s="475" t="n">
        <v>36831</v>
      </c>
      <c r="L661" s="254" t="n">
        <v>1931.86425285872</v>
      </c>
      <c r="M661" s="475" t="n">
        <v>36829</v>
      </c>
      <c r="N661" s="0" t="s">
        <v>136</v>
      </c>
      <c r="O661" s="0" t="n">
        <v>2.5</v>
      </c>
      <c r="P661" s="0" t="n">
        <v>0</v>
      </c>
      <c r="Q661" s="0" t="n">
        <v>0</v>
      </c>
      <c r="R661" s="0" t="n">
        <v>0</v>
      </c>
      <c r="S661" s="0" t="n">
        <v>0</v>
      </c>
      <c r="T661" s="0" t="s">
        <v>624</v>
      </c>
      <c r="U661" s="0" t="s">
        <v>149</v>
      </c>
      <c r="V661" s="0" t="s">
        <v>624</v>
      </c>
      <c r="W661" s="0" t="s">
        <v>569</v>
      </c>
      <c r="X661" s="0" t="s">
        <v>624</v>
      </c>
      <c r="Y661" s="0" t="s">
        <v>627</v>
      </c>
      <c r="Z661" s="0" t="s">
        <v>629</v>
      </c>
      <c r="AA661" s="0" t="s">
        <v>624</v>
      </c>
      <c r="AB661" s="0" t="s">
        <v>580</v>
      </c>
      <c r="AC661" s="254" t="n">
        <v>300000</v>
      </c>
      <c r="AD661" s="254" t="n">
        <v>1569.59200271751</v>
      </c>
      <c r="AE661" s="0" t="n">
        <v>0</v>
      </c>
      <c r="AF661" s="0" t="n">
        <v>0</v>
      </c>
      <c r="AG661" s="0" t="n">
        <v>0</v>
      </c>
      <c r="AH661" s="254" t="n">
        <v>379.938352204508</v>
      </c>
      <c r="AI661" s="0" t="n">
        <v>226</v>
      </c>
      <c r="AJ661" s="0" t="s">
        <v>630</v>
      </c>
      <c r="AK661" s="0" t="n">
        <v>0</v>
      </c>
      <c r="AL661" s="0" t="n">
        <v>0</v>
      </c>
      <c r="AM661" s="0" t="n">
        <v>0</v>
      </c>
    </row>
    <row r="662" customFormat="false" ht="12.75" hidden="false" customHeight="false" outlineLevel="0" collapsed="false">
      <c r="A662" s="0" t="s">
        <v>631</v>
      </c>
      <c r="B662" s="0" t="s">
        <v>419</v>
      </c>
      <c r="C662" s="0" t="s">
        <v>622</v>
      </c>
      <c r="D662" s="0" t="s">
        <v>623</v>
      </c>
      <c r="E662" s="0" t="s">
        <v>131</v>
      </c>
      <c r="F662" s="0" t="s">
        <v>196</v>
      </c>
      <c r="G662" s="0" t="s">
        <v>628</v>
      </c>
      <c r="H662" s="0" t="s">
        <v>625</v>
      </c>
      <c r="I662" s="0" t="s">
        <v>626</v>
      </c>
      <c r="J662" s="0" t="s">
        <v>627</v>
      </c>
      <c r="K662" s="475" t="n">
        <v>36861</v>
      </c>
      <c r="L662" s="254" t="n">
        <v>76798.6311381724</v>
      </c>
      <c r="M662" s="475" t="n">
        <v>36859</v>
      </c>
      <c r="N662" s="0" t="s">
        <v>136</v>
      </c>
      <c r="O662" s="0" t="n">
        <v>2.5</v>
      </c>
      <c r="P662" s="0" t="n">
        <v>0</v>
      </c>
      <c r="Q662" s="0" t="n">
        <v>0</v>
      </c>
      <c r="R662" s="0" t="n">
        <v>0</v>
      </c>
      <c r="S662" s="0" t="n">
        <v>0</v>
      </c>
      <c r="T662" s="0" t="s">
        <v>624</v>
      </c>
      <c r="U662" s="0" t="s">
        <v>149</v>
      </c>
      <c r="V662" s="0" t="s">
        <v>624</v>
      </c>
      <c r="W662" s="0" t="s">
        <v>569</v>
      </c>
      <c r="X662" s="0" t="s">
        <v>624</v>
      </c>
      <c r="Y662" s="0" t="s">
        <v>627</v>
      </c>
      <c r="Z662" s="0" t="s">
        <v>629</v>
      </c>
      <c r="AA662" s="0" t="s">
        <v>624</v>
      </c>
      <c r="AB662" s="0" t="s">
        <v>580</v>
      </c>
      <c r="AC662" s="254" t="n">
        <v>310000</v>
      </c>
      <c r="AD662" s="254" t="n">
        <v>17988.3162265355</v>
      </c>
      <c r="AE662" s="0" t="n">
        <v>0</v>
      </c>
      <c r="AF662" s="0" t="n">
        <v>0</v>
      </c>
      <c r="AG662" s="0" t="n">
        <v>0</v>
      </c>
      <c r="AH662" s="254" t="n">
        <v>5205.36734977608</v>
      </c>
      <c r="AI662" s="0" t="n">
        <v>226</v>
      </c>
      <c r="AJ662" s="0" t="s">
        <v>630</v>
      </c>
      <c r="AK662" s="0" t="n">
        <v>0</v>
      </c>
      <c r="AL662" s="0" t="n">
        <v>0</v>
      </c>
      <c r="AM662" s="0" t="n">
        <v>0</v>
      </c>
    </row>
    <row r="663" customFormat="false" ht="12.75" hidden="false" customHeight="false" outlineLevel="0" collapsed="false">
      <c r="A663" s="0" t="s">
        <v>631</v>
      </c>
      <c r="B663" s="0" t="s">
        <v>419</v>
      </c>
      <c r="C663" s="0" t="s">
        <v>622</v>
      </c>
      <c r="D663" s="0" t="s">
        <v>623</v>
      </c>
      <c r="E663" s="0" t="s">
        <v>131</v>
      </c>
      <c r="F663" s="0" t="s">
        <v>196</v>
      </c>
      <c r="G663" s="0" t="s">
        <v>628</v>
      </c>
      <c r="H663" s="0" t="s">
        <v>625</v>
      </c>
      <c r="I663" s="0" t="s">
        <v>626</v>
      </c>
      <c r="J663" s="0" t="s">
        <v>627</v>
      </c>
      <c r="K663" s="475" t="n">
        <v>36892</v>
      </c>
      <c r="L663" s="254" t="n">
        <v>164878.492230989</v>
      </c>
      <c r="M663" s="475" t="n">
        <v>36888</v>
      </c>
      <c r="N663" s="0" t="s">
        <v>136</v>
      </c>
      <c r="O663" s="0" t="n">
        <v>2.5</v>
      </c>
      <c r="P663" s="0" t="n">
        <v>0</v>
      </c>
      <c r="Q663" s="0" t="n">
        <v>0</v>
      </c>
      <c r="R663" s="0" t="n">
        <v>0</v>
      </c>
      <c r="S663" s="0" t="n">
        <v>0</v>
      </c>
      <c r="T663" s="0" t="s">
        <v>624</v>
      </c>
      <c r="U663" s="0" t="s">
        <v>149</v>
      </c>
      <c r="V663" s="0" t="s">
        <v>624</v>
      </c>
      <c r="W663" s="0" t="s">
        <v>569</v>
      </c>
      <c r="X663" s="0" t="s">
        <v>624</v>
      </c>
      <c r="Y663" s="0" t="s">
        <v>627</v>
      </c>
      <c r="Z663" s="0" t="s">
        <v>629</v>
      </c>
      <c r="AA663" s="0" t="s">
        <v>624</v>
      </c>
      <c r="AB663" s="0" t="s">
        <v>580</v>
      </c>
      <c r="AC663" s="254" t="n">
        <v>310000</v>
      </c>
      <c r="AD663" s="254" t="n">
        <v>23672.1675476593</v>
      </c>
      <c r="AE663" s="0" t="n">
        <v>0</v>
      </c>
      <c r="AF663" s="0" t="n">
        <v>0</v>
      </c>
      <c r="AG663" s="0" t="n">
        <v>0</v>
      </c>
      <c r="AH663" s="254" t="n">
        <v>9697.6778801136</v>
      </c>
      <c r="AI663" s="0" t="n">
        <v>226</v>
      </c>
      <c r="AJ663" s="0" t="s">
        <v>630</v>
      </c>
      <c r="AK663" s="0" t="n">
        <v>0</v>
      </c>
      <c r="AL663" s="0" t="n">
        <v>0</v>
      </c>
      <c r="AM663" s="0" t="n">
        <v>0</v>
      </c>
    </row>
    <row r="664" customFormat="false" ht="12.75" hidden="false" customHeight="false" outlineLevel="0" collapsed="false">
      <c r="A664" s="0" t="s">
        <v>631</v>
      </c>
      <c r="B664" s="0" t="s">
        <v>419</v>
      </c>
      <c r="C664" s="0" t="s">
        <v>622</v>
      </c>
      <c r="D664" s="0" t="s">
        <v>623</v>
      </c>
      <c r="E664" s="0" t="s">
        <v>131</v>
      </c>
      <c r="F664" s="0" t="s">
        <v>196</v>
      </c>
      <c r="G664" s="0" t="s">
        <v>628</v>
      </c>
      <c r="H664" s="0" t="s">
        <v>625</v>
      </c>
      <c r="I664" s="0" t="s">
        <v>626</v>
      </c>
      <c r="J664" s="0" t="s">
        <v>627</v>
      </c>
      <c r="K664" s="475" t="n">
        <v>36923</v>
      </c>
      <c r="L664" s="254" t="n">
        <v>150386.951769508</v>
      </c>
      <c r="M664" s="475" t="n">
        <v>36921</v>
      </c>
      <c r="N664" s="0" t="s">
        <v>136</v>
      </c>
      <c r="O664" s="0" t="n">
        <v>2.5</v>
      </c>
      <c r="P664" s="0" t="n">
        <v>0</v>
      </c>
      <c r="Q664" s="0" t="n">
        <v>0</v>
      </c>
      <c r="R664" s="0" t="n">
        <v>0</v>
      </c>
      <c r="S664" s="0" t="n">
        <v>0</v>
      </c>
      <c r="T664" s="0" t="s">
        <v>624</v>
      </c>
      <c r="U664" s="0" t="s">
        <v>149</v>
      </c>
      <c r="V664" s="0" t="s">
        <v>624</v>
      </c>
      <c r="W664" s="0" t="s">
        <v>569</v>
      </c>
      <c r="X664" s="0" t="s">
        <v>624</v>
      </c>
      <c r="Y664" s="0" t="s">
        <v>627</v>
      </c>
      <c r="Z664" s="0" t="s">
        <v>629</v>
      </c>
      <c r="AA664" s="0" t="s">
        <v>624</v>
      </c>
      <c r="AB664" s="0" t="s">
        <v>580</v>
      </c>
      <c r="AC664" s="254" t="n">
        <v>280000</v>
      </c>
      <c r="AD664" s="254" t="n">
        <v>23175.488626136</v>
      </c>
      <c r="AE664" s="0" t="n">
        <v>0</v>
      </c>
      <c r="AF664" s="0" t="n">
        <v>0</v>
      </c>
      <c r="AG664" s="0" t="n">
        <v>0</v>
      </c>
      <c r="AH664" s="254" t="n">
        <v>9934.57825385733</v>
      </c>
      <c r="AI664" s="0" t="n">
        <v>226</v>
      </c>
      <c r="AJ664" s="0" t="s">
        <v>630</v>
      </c>
      <c r="AK664" s="0" t="n">
        <v>0</v>
      </c>
      <c r="AL664" s="0" t="n">
        <v>0</v>
      </c>
      <c r="AM664" s="0" t="n">
        <v>0</v>
      </c>
    </row>
    <row r="665" customFormat="false" ht="12.75" hidden="false" customHeight="false" outlineLevel="0" collapsed="false">
      <c r="A665" s="0" t="s">
        <v>631</v>
      </c>
      <c r="B665" s="0" t="s">
        <v>419</v>
      </c>
      <c r="C665" s="0" t="s">
        <v>622</v>
      </c>
      <c r="D665" s="0" t="s">
        <v>623</v>
      </c>
      <c r="E665" s="0" t="s">
        <v>131</v>
      </c>
      <c r="F665" s="0" t="s">
        <v>196</v>
      </c>
      <c r="G665" s="0" t="s">
        <v>628</v>
      </c>
      <c r="H665" s="0" t="s">
        <v>625</v>
      </c>
      <c r="I665" s="0" t="s">
        <v>626</v>
      </c>
      <c r="J665" s="0" t="s">
        <v>627</v>
      </c>
      <c r="K665" s="475" t="n">
        <v>36951</v>
      </c>
      <c r="L665" s="254" t="n">
        <v>48886.4006319538</v>
      </c>
      <c r="M665" s="475" t="n">
        <v>36949</v>
      </c>
      <c r="N665" s="0" t="s">
        <v>136</v>
      </c>
      <c r="O665" s="0" t="n">
        <v>2.5</v>
      </c>
      <c r="P665" s="0" t="n">
        <v>0</v>
      </c>
      <c r="Q665" s="0" t="n">
        <v>0</v>
      </c>
      <c r="R665" s="0" t="n">
        <v>0</v>
      </c>
      <c r="S665" s="0" t="n">
        <v>0</v>
      </c>
      <c r="T665" s="0" t="s">
        <v>624</v>
      </c>
      <c r="U665" s="0" t="s">
        <v>149</v>
      </c>
      <c r="V665" s="0" t="s">
        <v>624</v>
      </c>
      <c r="W665" s="0" t="s">
        <v>569</v>
      </c>
      <c r="X665" s="0" t="s">
        <v>624</v>
      </c>
      <c r="Y665" s="0" t="s">
        <v>627</v>
      </c>
      <c r="Z665" s="0" t="s">
        <v>629</v>
      </c>
      <c r="AA665" s="0" t="s">
        <v>624</v>
      </c>
      <c r="AB665" s="0" t="s">
        <v>580</v>
      </c>
      <c r="AC665" s="254" t="n">
        <v>310000</v>
      </c>
      <c r="AD665" s="254" t="n">
        <v>17765.6627083015</v>
      </c>
      <c r="AE665" s="0" t="n">
        <v>0</v>
      </c>
      <c r="AF665" s="0" t="n">
        <v>0</v>
      </c>
      <c r="AG665" s="0" t="n">
        <v>0</v>
      </c>
      <c r="AH665" s="254" t="n">
        <v>4861.23334067523</v>
      </c>
      <c r="AI665" s="0" t="n">
        <v>226</v>
      </c>
      <c r="AJ665" s="0" t="s">
        <v>630</v>
      </c>
      <c r="AK665" s="0" t="n">
        <v>0</v>
      </c>
      <c r="AL665" s="0" t="n">
        <v>0</v>
      </c>
      <c r="AM665" s="0" t="n">
        <v>0</v>
      </c>
    </row>
    <row r="666" customFormat="false" ht="12.75" hidden="false" customHeight="false" outlineLevel="0" collapsed="false">
      <c r="A666" s="0" t="s">
        <v>631</v>
      </c>
      <c r="B666" s="0" t="s">
        <v>420</v>
      </c>
      <c r="C666" s="0" t="s">
        <v>622</v>
      </c>
      <c r="D666" s="0" t="s">
        <v>623</v>
      </c>
      <c r="E666" s="0" t="s">
        <v>131</v>
      </c>
      <c r="F666" s="0" t="s">
        <v>212</v>
      </c>
      <c r="G666" s="0" t="s">
        <v>628</v>
      </c>
      <c r="H666" s="0" t="s">
        <v>625</v>
      </c>
      <c r="I666" s="0" t="s">
        <v>626</v>
      </c>
      <c r="J666" s="0" t="s">
        <v>627</v>
      </c>
      <c r="K666" s="475" t="n">
        <v>36982</v>
      </c>
      <c r="L666" s="254" t="n">
        <v>72308.3671270234</v>
      </c>
      <c r="M666" s="475" t="n">
        <v>36979</v>
      </c>
      <c r="N666" s="0" t="s">
        <v>136</v>
      </c>
      <c r="O666" s="0" t="n">
        <v>0.5</v>
      </c>
      <c r="P666" s="0" t="n">
        <v>0</v>
      </c>
      <c r="Q666" s="0" t="n">
        <v>0</v>
      </c>
      <c r="R666" s="0" t="n">
        <v>0</v>
      </c>
      <c r="S666" s="0" t="n">
        <v>0</v>
      </c>
      <c r="T666" s="0" t="s">
        <v>624</v>
      </c>
      <c r="U666" s="0" t="s">
        <v>149</v>
      </c>
      <c r="V666" s="0" t="s">
        <v>624</v>
      </c>
      <c r="W666" s="0" t="s">
        <v>569</v>
      </c>
      <c r="X666" s="0" t="s">
        <v>624</v>
      </c>
      <c r="Y666" s="0" t="s">
        <v>627</v>
      </c>
      <c r="Z666" s="0" t="s">
        <v>629</v>
      </c>
      <c r="AA666" s="0" t="s">
        <v>624</v>
      </c>
      <c r="AB666" s="0" t="s">
        <v>580</v>
      </c>
      <c r="AC666" s="254" t="n">
        <v>500000</v>
      </c>
      <c r="AD666" s="254" t="n">
        <v>12942.8007479118</v>
      </c>
      <c r="AE666" s="0" t="n">
        <v>0</v>
      </c>
      <c r="AF666" s="0" t="n">
        <v>0</v>
      </c>
      <c r="AG666" s="0" t="n">
        <v>0</v>
      </c>
      <c r="AH666" s="254" t="n">
        <v>617.339177117159</v>
      </c>
      <c r="AI666" s="0" t="n">
        <v>226</v>
      </c>
      <c r="AJ666" s="0" t="s">
        <v>630</v>
      </c>
      <c r="AK666" s="0" t="n">
        <v>0</v>
      </c>
      <c r="AL666" s="0" t="n">
        <v>0</v>
      </c>
      <c r="AM666" s="0" t="n">
        <v>0</v>
      </c>
    </row>
    <row r="667" customFormat="false" ht="12.75" hidden="false" customHeight="false" outlineLevel="0" collapsed="false">
      <c r="A667" s="0" t="s">
        <v>631</v>
      </c>
      <c r="B667" s="0" t="s">
        <v>420</v>
      </c>
      <c r="C667" s="0" t="s">
        <v>622</v>
      </c>
      <c r="D667" s="0" t="s">
        <v>623</v>
      </c>
      <c r="E667" s="0" t="s">
        <v>131</v>
      </c>
      <c r="F667" s="0" t="s">
        <v>212</v>
      </c>
      <c r="G667" s="0" t="s">
        <v>628</v>
      </c>
      <c r="H667" s="0" t="s">
        <v>625</v>
      </c>
      <c r="I667" s="0" t="s">
        <v>626</v>
      </c>
      <c r="J667" s="0" t="s">
        <v>627</v>
      </c>
      <c r="K667" s="475" t="n">
        <v>37012</v>
      </c>
      <c r="L667" s="254" t="n">
        <v>42946.5791073156</v>
      </c>
      <c r="M667" s="475" t="n">
        <v>37008</v>
      </c>
      <c r="N667" s="0" t="s">
        <v>136</v>
      </c>
      <c r="O667" s="0" t="n">
        <v>0.5</v>
      </c>
      <c r="P667" s="0" t="n">
        <v>0</v>
      </c>
      <c r="Q667" s="0" t="n">
        <v>0</v>
      </c>
      <c r="R667" s="0" t="n">
        <v>0</v>
      </c>
      <c r="S667" s="0" t="n">
        <v>0</v>
      </c>
      <c r="T667" s="0" t="s">
        <v>624</v>
      </c>
      <c r="U667" s="0" t="s">
        <v>149</v>
      </c>
      <c r="V667" s="0" t="s">
        <v>624</v>
      </c>
      <c r="W667" s="0" t="s">
        <v>569</v>
      </c>
      <c r="X667" s="0" t="s">
        <v>624</v>
      </c>
      <c r="Y667" s="0" t="s">
        <v>627</v>
      </c>
      <c r="Z667" s="0" t="s">
        <v>629</v>
      </c>
      <c r="AA667" s="0" t="s">
        <v>624</v>
      </c>
      <c r="AB667" s="0" t="s">
        <v>580</v>
      </c>
      <c r="AC667" s="254" t="n">
        <v>500000</v>
      </c>
      <c r="AD667" s="254" t="n">
        <v>12135.9031168021</v>
      </c>
      <c r="AE667" s="0" t="n">
        <v>0</v>
      </c>
      <c r="AF667" s="0" t="n">
        <v>0</v>
      </c>
      <c r="AG667" s="0" t="n">
        <v>0</v>
      </c>
      <c r="AH667" s="254" t="n">
        <v>577.293416482142</v>
      </c>
      <c r="AI667" s="0" t="n">
        <v>226</v>
      </c>
      <c r="AJ667" s="0" t="s">
        <v>630</v>
      </c>
      <c r="AK667" s="0" t="n">
        <v>0</v>
      </c>
      <c r="AL667" s="0" t="n">
        <v>0</v>
      </c>
      <c r="AM667" s="0" t="n">
        <v>0</v>
      </c>
    </row>
    <row r="668" customFormat="false" ht="12.75" hidden="false" customHeight="false" outlineLevel="0" collapsed="false">
      <c r="A668" s="0" t="s">
        <v>631</v>
      </c>
      <c r="B668" s="0" t="s">
        <v>420</v>
      </c>
      <c r="C668" s="0" t="s">
        <v>622</v>
      </c>
      <c r="D668" s="0" t="s">
        <v>623</v>
      </c>
      <c r="E668" s="0" t="s">
        <v>131</v>
      </c>
      <c r="F668" s="0" t="s">
        <v>212</v>
      </c>
      <c r="G668" s="0" t="s">
        <v>628</v>
      </c>
      <c r="H668" s="0" t="s">
        <v>625</v>
      </c>
      <c r="I668" s="0" t="s">
        <v>626</v>
      </c>
      <c r="J668" s="0" t="s">
        <v>627</v>
      </c>
      <c r="K668" s="475" t="n">
        <v>37043</v>
      </c>
      <c r="L668" s="254" t="n">
        <v>43675.1020720095</v>
      </c>
      <c r="M668" s="475" t="n">
        <v>37041</v>
      </c>
      <c r="N668" s="0" t="s">
        <v>136</v>
      </c>
      <c r="O668" s="0" t="n">
        <v>0.5</v>
      </c>
      <c r="P668" s="0" t="n">
        <v>0</v>
      </c>
      <c r="Q668" s="0" t="n">
        <v>0</v>
      </c>
      <c r="R668" s="0" t="n">
        <v>0</v>
      </c>
      <c r="S668" s="0" t="n">
        <v>0</v>
      </c>
      <c r="T668" s="0" t="s">
        <v>624</v>
      </c>
      <c r="U668" s="0" t="s">
        <v>149</v>
      </c>
      <c r="V668" s="0" t="s">
        <v>624</v>
      </c>
      <c r="W668" s="0" t="s">
        <v>569</v>
      </c>
      <c r="X668" s="0" t="s">
        <v>624</v>
      </c>
      <c r="Y668" s="0" t="s">
        <v>627</v>
      </c>
      <c r="Z668" s="0" t="s">
        <v>629</v>
      </c>
      <c r="AA668" s="0" t="s">
        <v>624</v>
      </c>
      <c r="AB668" s="0" t="s">
        <v>580</v>
      </c>
      <c r="AC668" s="254" t="n">
        <v>500000</v>
      </c>
      <c r="AD668" s="254" t="n">
        <v>12637.6519117167</v>
      </c>
      <c r="AE668" s="0" t="n">
        <v>0</v>
      </c>
      <c r="AF668" s="0" t="n">
        <v>0</v>
      </c>
      <c r="AG668" s="0" t="n">
        <v>0</v>
      </c>
      <c r="AH668" s="254" t="n">
        <v>600.52670655289</v>
      </c>
      <c r="AI668" s="0" t="n">
        <v>226</v>
      </c>
      <c r="AJ668" s="0" t="s">
        <v>630</v>
      </c>
      <c r="AK668" s="0" t="n">
        <v>0</v>
      </c>
      <c r="AL668" s="0" t="n">
        <v>0</v>
      </c>
      <c r="AM668" s="0" t="n">
        <v>0</v>
      </c>
    </row>
    <row r="669" customFormat="false" ht="12.75" hidden="false" customHeight="false" outlineLevel="0" collapsed="false">
      <c r="A669" s="0" t="s">
        <v>631</v>
      </c>
      <c r="B669" s="0" t="s">
        <v>420</v>
      </c>
      <c r="C669" s="0" t="s">
        <v>622</v>
      </c>
      <c r="D669" s="0" t="s">
        <v>623</v>
      </c>
      <c r="E669" s="0" t="s">
        <v>131</v>
      </c>
      <c r="F669" s="0" t="s">
        <v>212</v>
      </c>
      <c r="G669" s="0" t="s">
        <v>628</v>
      </c>
      <c r="H669" s="0" t="s">
        <v>625</v>
      </c>
      <c r="I669" s="0" t="s">
        <v>626</v>
      </c>
      <c r="J669" s="0" t="s">
        <v>627</v>
      </c>
      <c r="K669" s="475" t="n">
        <v>37073</v>
      </c>
      <c r="L669" s="254" t="n">
        <v>60003.3927762227</v>
      </c>
      <c r="M669" s="475" t="n">
        <v>37070</v>
      </c>
      <c r="N669" s="0" t="s">
        <v>136</v>
      </c>
      <c r="O669" s="0" t="n">
        <v>0.5</v>
      </c>
      <c r="P669" s="0" t="n">
        <v>0</v>
      </c>
      <c r="Q669" s="0" t="n">
        <v>0</v>
      </c>
      <c r="R669" s="0" t="n">
        <v>0</v>
      </c>
      <c r="S669" s="0" t="n">
        <v>0</v>
      </c>
      <c r="T669" s="0" t="s">
        <v>624</v>
      </c>
      <c r="U669" s="0" t="s">
        <v>149</v>
      </c>
      <c r="V669" s="0" t="s">
        <v>624</v>
      </c>
      <c r="W669" s="0" t="s">
        <v>569</v>
      </c>
      <c r="X669" s="0" t="s">
        <v>624</v>
      </c>
      <c r="Y669" s="0" t="s">
        <v>627</v>
      </c>
      <c r="Z669" s="0" t="s">
        <v>629</v>
      </c>
      <c r="AA669" s="0" t="s">
        <v>624</v>
      </c>
      <c r="AB669" s="0" t="s">
        <v>580</v>
      </c>
      <c r="AC669" s="254" t="n">
        <v>500000</v>
      </c>
      <c r="AD669" s="254" t="n">
        <v>13657.3066726009</v>
      </c>
      <c r="AE669" s="0" t="n">
        <v>0</v>
      </c>
      <c r="AF669" s="0" t="n">
        <v>0</v>
      </c>
      <c r="AG669" s="0" t="n">
        <v>0</v>
      </c>
      <c r="AH669" s="254" t="n">
        <v>649.242128738755</v>
      </c>
      <c r="AI669" s="0" t="n">
        <v>226</v>
      </c>
      <c r="AJ669" s="0" t="s">
        <v>630</v>
      </c>
      <c r="AK669" s="0" t="n">
        <v>0</v>
      </c>
      <c r="AL669" s="0" t="n">
        <v>0</v>
      </c>
      <c r="AM669" s="0" t="n">
        <v>0</v>
      </c>
    </row>
    <row r="670" customFormat="false" ht="12.75" hidden="false" customHeight="false" outlineLevel="0" collapsed="false">
      <c r="A670" s="0" t="s">
        <v>631</v>
      </c>
      <c r="B670" s="0" t="s">
        <v>420</v>
      </c>
      <c r="C670" s="0" t="s">
        <v>622</v>
      </c>
      <c r="D670" s="0" t="s">
        <v>623</v>
      </c>
      <c r="E670" s="0" t="s">
        <v>131</v>
      </c>
      <c r="F670" s="0" t="s">
        <v>212</v>
      </c>
      <c r="G670" s="0" t="s">
        <v>628</v>
      </c>
      <c r="H670" s="0" t="s">
        <v>625</v>
      </c>
      <c r="I670" s="0" t="s">
        <v>626</v>
      </c>
      <c r="J670" s="0" t="s">
        <v>627</v>
      </c>
      <c r="K670" s="475" t="n">
        <v>37104</v>
      </c>
      <c r="L670" s="254" t="n">
        <v>63241.0295147526</v>
      </c>
      <c r="M670" s="475" t="n">
        <v>37102</v>
      </c>
      <c r="N670" s="0" t="s">
        <v>136</v>
      </c>
      <c r="O670" s="0" t="n">
        <v>0.5</v>
      </c>
      <c r="P670" s="0" t="n">
        <v>0</v>
      </c>
      <c r="Q670" s="0" t="n">
        <v>0</v>
      </c>
      <c r="R670" s="0" t="n">
        <v>0</v>
      </c>
      <c r="S670" s="0" t="n">
        <v>0</v>
      </c>
      <c r="T670" s="0" t="s">
        <v>624</v>
      </c>
      <c r="U670" s="0" t="s">
        <v>149</v>
      </c>
      <c r="V670" s="0" t="s">
        <v>624</v>
      </c>
      <c r="W670" s="0" t="s">
        <v>569</v>
      </c>
      <c r="X670" s="0" t="s">
        <v>624</v>
      </c>
      <c r="Y670" s="0" t="s">
        <v>627</v>
      </c>
      <c r="Z670" s="0" t="s">
        <v>629</v>
      </c>
      <c r="AA670" s="0" t="s">
        <v>624</v>
      </c>
      <c r="AB670" s="0" t="s">
        <v>580</v>
      </c>
      <c r="AC670" s="254" t="n">
        <v>500000</v>
      </c>
      <c r="AD670" s="254" t="n">
        <v>14286.2360240903</v>
      </c>
      <c r="AE670" s="0" t="n">
        <v>0</v>
      </c>
      <c r="AF670" s="0" t="n">
        <v>0</v>
      </c>
      <c r="AG670" s="0" t="n">
        <v>0</v>
      </c>
      <c r="AH670" s="254" t="n">
        <v>678.866490489323</v>
      </c>
      <c r="AI670" s="0" t="n">
        <v>226</v>
      </c>
      <c r="AJ670" s="0" t="s">
        <v>630</v>
      </c>
      <c r="AK670" s="0" t="n">
        <v>0</v>
      </c>
      <c r="AL670" s="0" t="n">
        <v>0</v>
      </c>
      <c r="AM670" s="0" t="n">
        <v>0</v>
      </c>
    </row>
    <row r="671" customFormat="false" ht="12.75" hidden="false" customHeight="false" outlineLevel="0" collapsed="false">
      <c r="A671" s="0" t="s">
        <v>631</v>
      </c>
      <c r="B671" s="0" t="s">
        <v>420</v>
      </c>
      <c r="C671" s="0" t="s">
        <v>622</v>
      </c>
      <c r="D671" s="0" t="s">
        <v>623</v>
      </c>
      <c r="E671" s="0" t="s">
        <v>131</v>
      </c>
      <c r="F671" s="0" t="s">
        <v>212</v>
      </c>
      <c r="G671" s="0" t="s">
        <v>628</v>
      </c>
      <c r="H671" s="0" t="s">
        <v>625</v>
      </c>
      <c r="I671" s="0" t="s">
        <v>626</v>
      </c>
      <c r="J671" s="0" t="s">
        <v>627</v>
      </c>
      <c r="K671" s="475" t="n">
        <v>37135</v>
      </c>
      <c r="L671" s="254" t="n">
        <v>52181.3012566252</v>
      </c>
      <c r="M671" s="475" t="n">
        <v>37133</v>
      </c>
      <c r="N671" s="0" t="s">
        <v>136</v>
      </c>
      <c r="O671" s="0" t="n">
        <v>0.5</v>
      </c>
      <c r="P671" s="0" t="n">
        <v>0</v>
      </c>
      <c r="Q671" s="0" t="n">
        <v>0</v>
      </c>
      <c r="R671" s="0" t="n">
        <v>0</v>
      </c>
      <c r="S671" s="0" t="n">
        <v>0</v>
      </c>
      <c r="T671" s="0" t="s">
        <v>624</v>
      </c>
      <c r="U671" s="0" t="s">
        <v>149</v>
      </c>
      <c r="V671" s="0" t="s">
        <v>624</v>
      </c>
      <c r="W671" s="0" t="s">
        <v>569</v>
      </c>
      <c r="X671" s="0" t="s">
        <v>624</v>
      </c>
      <c r="Y671" s="0" t="s">
        <v>627</v>
      </c>
      <c r="Z671" s="0" t="s">
        <v>629</v>
      </c>
      <c r="AA671" s="0" t="s">
        <v>624</v>
      </c>
      <c r="AB671" s="0" t="s">
        <v>580</v>
      </c>
      <c r="AC671" s="254" t="n">
        <v>500000</v>
      </c>
      <c r="AD671" s="254" t="n">
        <v>14495.0951203231</v>
      </c>
      <c r="AE671" s="0" t="n">
        <v>0</v>
      </c>
      <c r="AF671" s="0" t="n">
        <v>0</v>
      </c>
      <c r="AG671" s="0" t="n">
        <v>0</v>
      </c>
      <c r="AH671" s="254" t="n">
        <v>688.064570954251</v>
      </c>
      <c r="AI671" s="0" t="n">
        <v>226</v>
      </c>
      <c r="AJ671" s="0" t="s">
        <v>630</v>
      </c>
      <c r="AK671" s="0" t="n">
        <v>0</v>
      </c>
      <c r="AL671" s="0" t="n">
        <v>0</v>
      </c>
      <c r="AM671" s="0" t="n">
        <v>0</v>
      </c>
    </row>
    <row r="672" customFormat="false" ht="12.75" hidden="false" customHeight="false" outlineLevel="0" collapsed="false">
      <c r="A672" s="0" t="s">
        <v>631</v>
      </c>
      <c r="B672" s="0" t="s">
        <v>420</v>
      </c>
      <c r="C672" s="0" t="s">
        <v>622</v>
      </c>
      <c r="D672" s="0" t="s">
        <v>623</v>
      </c>
      <c r="E672" s="0" t="s">
        <v>131</v>
      </c>
      <c r="F672" s="0" t="s">
        <v>212</v>
      </c>
      <c r="G672" s="0" t="s">
        <v>628</v>
      </c>
      <c r="H672" s="0" t="s">
        <v>625</v>
      </c>
      <c r="I672" s="0" t="s">
        <v>626</v>
      </c>
      <c r="J672" s="0" t="s">
        <v>627</v>
      </c>
      <c r="K672" s="475" t="n">
        <v>37165</v>
      </c>
      <c r="L672" s="254" t="n">
        <v>68571.2806031944</v>
      </c>
      <c r="M672" s="475" t="n">
        <v>37161</v>
      </c>
      <c r="N672" s="0" t="s">
        <v>136</v>
      </c>
      <c r="O672" s="0" t="n">
        <v>0.5</v>
      </c>
      <c r="P672" s="0" t="n">
        <v>0</v>
      </c>
      <c r="Q672" s="0" t="n">
        <v>0</v>
      </c>
      <c r="R672" s="0" t="n">
        <v>0</v>
      </c>
      <c r="S672" s="0" t="n">
        <v>0</v>
      </c>
      <c r="T672" s="0" t="s">
        <v>624</v>
      </c>
      <c r="U672" s="0" t="s">
        <v>149</v>
      </c>
      <c r="V672" s="0" t="s">
        <v>624</v>
      </c>
      <c r="W672" s="0" t="s">
        <v>569</v>
      </c>
      <c r="X672" s="0" t="s">
        <v>624</v>
      </c>
      <c r="Y672" s="0" t="s">
        <v>627</v>
      </c>
      <c r="Z672" s="0" t="s">
        <v>629</v>
      </c>
      <c r="AA672" s="0" t="s">
        <v>624</v>
      </c>
      <c r="AB672" s="0" t="s">
        <v>580</v>
      </c>
      <c r="AC672" s="254" t="n">
        <v>500000</v>
      </c>
      <c r="AD672" s="254" t="n">
        <v>15394.1972093173</v>
      </c>
      <c r="AE672" s="0" t="n">
        <v>0</v>
      </c>
      <c r="AF672" s="0" t="n">
        <v>0</v>
      </c>
      <c r="AG672" s="0" t="n">
        <v>0</v>
      </c>
      <c r="AH672" s="254" t="n">
        <v>732.325091987572</v>
      </c>
      <c r="AI672" s="0" t="n">
        <v>226</v>
      </c>
      <c r="AJ672" s="0" t="s">
        <v>630</v>
      </c>
      <c r="AK672" s="0" t="n">
        <v>0</v>
      </c>
      <c r="AL672" s="0" t="n">
        <v>0</v>
      </c>
      <c r="AM672" s="0" t="n">
        <v>0</v>
      </c>
    </row>
    <row r="673" customFormat="false" ht="12.75" hidden="false" customHeight="false" outlineLevel="0" collapsed="false">
      <c r="A673" s="0" t="s">
        <v>631</v>
      </c>
      <c r="B673" s="0" t="s">
        <v>421</v>
      </c>
      <c r="C673" s="0" t="s">
        <v>622</v>
      </c>
      <c r="D673" s="0" t="s">
        <v>623</v>
      </c>
      <c r="E673" s="0" t="s">
        <v>131</v>
      </c>
      <c r="F673" s="0" t="s">
        <v>212</v>
      </c>
      <c r="G673" s="0" t="s">
        <v>628</v>
      </c>
      <c r="H673" s="0" t="s">
        <v>625</v>
      </c>
      <c r="I673" s="0" t="s">
        <v>626</v>
      </c>
      <c r="J673" s="0" t="s">
        <v>627</v>
      </c>
      <c r="K673" s="475" t="n">
        <v>36982</v>
      </c>
      <c r="L673" s="254" t="n">
        <v>48130.8223278537</v>
      </c>
      <c r="M673" s="475" t="n">
        <v>36979</v>
      </c>
      <c r="N673" s="0" t="s">
        <v>132</v>
      </c>
      <c r="O673" s="0" t="n">
        <v>0.3</v>
      </c>
      <c r="P673" s="0" t="n">
        <v>0</v>
      </c>
      <c r="Q673" s="0" t="n">
        <v>0</v>
      </c>
      <c r="R673" s="0" t="n">
        <v>0</v>
      </c>
      <c r="S673" s="0" t="n">
        <v>0</v>
      </c>
      <c r="T673" s="0" t="s">
        <v>624</v>
      </c>
      <c r="U673" s="0" t="s">
        <v>149</v>
      </c>
      <c r="V673" s="0" t="s">
        <v>624</v>
      </c>
      <c r="W673" s="0" t="s">
        <v>569</v>
      </c>
      <c r="X673" s="0" t="s">
        <v>624</v>
      </c>
      <c r="Y673" s="0" t="s">
        <v>627</v>
      </c>
      <c r="Z673" s="0" t="s">
        <v>629</v>
      </c>
      <c r="AA673" s="0" t="s">
        <v>624</v>
      </c>
      <c r="AB673" s="0" t="s">
        <v>580</v>
      </c>
      <c r="AC673" s="254" t="n">
        <v>1000000</v>
      </c>
      <c r="AD673" s="254" t="n">
        <v>22317.908132272</v>
      </c>
      <c r="AE673" s="0" t="n">
        <v>0</v>
      </c>
      <c r="AF673" s="0" t="n">
        <v>0</v>
      </c>
      <c r="AG673" s="0" t="n">
        <v>0</v>
      </c>
      <c r="AH673" s="254" t="n">
        <v>1060.56703742663</v>
      </c>
      <c r="AI673" s="0" t="n">
        <v>226</v>
      </c>
      <c r="AJ673" s="0" t="s">
        <v>630</v>
      </c>
      <c r="AK673" s="0" t="n">
        <v>0</v>
      </c>
      <c r="AL673" s="0" t="n">
        <v>0</v>
      </c>
      <c r="AM673" s="0" t="n">
        <v>0</v>
      </c>
    </row>
    <row r="674" customFormat="false" ht="12.75" hidden="false" customHeight="false" outlineLevel="0" collapsed="false">
      <c r="A674" s="0" t="s">
        <v>631</v>
      </c>
      <c r="B674" s="0" t="s">
        <v>421</v>
      </c>
      <c r="C674" s="0" t="s">
        <v>622</v>
      </c>
      <c r="D674" s="0" t="s">
        <v>623</v>
      </c>
      <c r="E674" s="0" t="s">
        <v>131</v>
      </c>
      <c r="F674" s="0" t="s">
        <v>212</v>
      </c>
      <c r="G674" s="0" t="s">
        <v>628</v>
      </c>
      <c r="H674" s="0" t="s">
        <v>625</v>
      </c>
      <c r="I674" s="0" t="s">
        <v>626</v>
      </c>
      <c r="J674" s="0" t="s">
        <v>627</v>
      </c>
      <c r="K674" s="475" t="n">
        <v>37012</v>
      </c>
      <c r="L674" s="254" t="n">
        <v>75040.4493417956</v>
      </c>
      <c r="M674" s="475" t="n">
        <v>37008</v>
      </c>
      <c r="N674" s="0" t="s">
        <v>132</v>
      </c>
      <c r="O674" s="0" t="n">
        <v>0.3</v>
      </c>
      <c r="P674" s="0" t="n">
        <v>0</v>
      </c>
      <c r="Q674" s="0" t="n">
        <v>0</v>
      </c>
      <c r="R674" s="0" t="n">
        <v>0</v>
      </c>
      <c r="S674" s="0" t="n">
        <v>0</v>
      </c>
      <c r="T674" s="0" t="s">
        <v>624</v>
      </c>
      <c r="U674" s="0" t="s">
        <v>149</v>
      </c>
      <c r="V674" s="0" t="s">
        <v>624</v>
      </c>
      <c r="W674" s="0" t="s">
        <v>569</v>
      </c>
      <c r="X674" s="0" t="s">
        <v>624</v>
      </c>
      <c r="Y674" s="0" t="s">
        <v>627</v>
      </c>
      <c r="Z674" s="0" t="s">
        <v>629</v>
      </c>
      <c r="AA674" s="0" t="s">
        <v>624</v>
      </c>
      <c r="AB674" s="0" t="s">
        <v>580</v>
      </c>
      <c r="AC674" s="254" t="n">
        <v>1000000</v>
      </c>
      <c r="AD674" s="254" t="n">
        <v>25511.2255144261</v>
      </c>
      <c r="AE674" s="0" t="n">
        <v>0</v>
      </c>
      <c r="AF674" s="0" t="n">
        <v>0</v>
      </c>
      <c r="AG674" s="0" t="n">
        <v>0</v>
      </c>
      <c r="AH674" s="254" t="n">
        <v>1213.78637635504</v>
      </c>
      <c r="AI674" s="0" t="n">
        <v>226</v>
      </c>
      <c r="AJ674" s="0" t="s">
        <v>630</v>
      </c>
      <c r="AK674" s="0" t="n">
        <v>0</v>
      </c>
      <c r="AL674" s="0" t="n">
        <v>0</v>
      </c>
      <c r="AM674" s="0" t="n">
        <v>0</v>
      </c>
    </row>
    <row r="675" customFormat="false" ht="12.75" hidden="false" customHeight="false" outlineLevel="0" collapsed="false">
      <c r="A675" s="0" t="s">
        <v>631</v>
      </c>
      <c r="B675" s="0" t="s">
        <v>421</v>
      </c>
      <c r="C675" s="0" t="s">
        <v>622</v>
      </c>
      <c r="D675" s="0" t="s">
        <v>623</v>
      </c>
      <c r="E675" s="0" t="s">
        <v>131</v>
      </c>
      <c r="F675" s="0" t="s">
        <v>212</v>
      </c>
      <c r="G675" s="0" t="s">
        <v>628</v>
      </c>
      <c r="H675" s="0" t="s">
        <v>625</v>
      </c>
      <c r="I675" s="0" t="s">
        <v>626</v>
      </c>
      <c r="J675" s="0" t="s">
        <v>627</v>
      </c>
      <c r="K675" s="475" t="n">
        <v>37043</v>
      </c>
      <c r="L675" s="254" t="n">
        <v>83369.9059160288</v>
      </c>
      <c r="M675" s="475" t="n">
        <v>37041</v>
      </c>
      <c r="N675" s="0" t="s">
        <v>132</v>
      </c>
      <c r="O675" s="0" t="n">
        <v>0.3</v>
      </c>
      <c r="P675" s="0" t="n">
        <v>0</v>
      </c>
      <c r="Q675" s="0" t="n">
        <v>0</v>
      </c>
      <c r="R675" s="0" t="n">
        <v>0</v>
      </c>
      <c r="S675" s="0" t="n">
        <v>0</v>
      </c>
      <c r="T675" s="0" t="s">
        <v>624</v>
      </c>
      <c r="U675" s="0" t="s">
        <v>149</v>
      </c>
      <c r="V675" s="0" t="s">
        <v>624</v>
      </c>
      <c r="W675" s="0" t="s">
        <v>569</v>
      </c>
      <c r="X675" s="0" t="s">
        <v>624</v>
      </c>
      <c r="Y675" s="0" t="s">
        <v>627</v>
      </c>
      <c r="Z675" s="0" t="s">
        <v>629</v>
      </c>
      <c r="AA675" s="0" t="s">
        <v>624</v>
      </c>
      <c r="AB675" s="0" t="s">
        <v>580</v>
      </c>
      <c r="AC675" s="254" t="n">
        <v>1000000</v>
      </c>
      <c r="AD675" s="254" t="n">
        <v>27064.1210217163</v>
      </c>
      <c r="AE675" s="0" t="n">
        <v>0</v>
      </c>
      <c r="AF675" s="0" t="n">
        <v>0</v>
      </c>
      <c r="AG675" s="0" t="n">
        <v>0</v>
      </c>
      <c r="AH675" s="254" t="n">
        <v>1286.92051094337</v>
      </c>
      <c r="AI675" s="0" t="n">
        <v>226</v>
      </c>
      <c r="AJ675" s="0" t="s">
        <v>630</v>
      </c>
      <c r="AK675" s="0" t="n">
        <v>0</v>
      </c>
      <c r="AL675" s="0" t="n">
        <v>0</v>
      </c>
      <c r="AM675" s="0" t="n">
        <v>0</v>
      </c>
    </row>
    <row r="676" customFormat="false" ht="12.75" hidden="false" customHeight="false" outlineLevel="0" collapsed="false">
      <c r="A676" s="0" t="s">
        <v>631</v>
      </c>
      <c r="B676" s="0" t="s">
        <v>421</v>
      </c>
      <c r="C676" s="0" t="s">
        <v>622</v>
      </c>
      <c r="D676" s="0" t="s">
        <v>623</v>
      </c>
      <c r="E676" s="0" t="s">
        <v>131</v>
      </c>
      <c r="F676" s="0" t="s">
        <v>212</v>
      </c>
      <c r="G676" s="0" t="s">
        <v>628</v>
      </c>
      <c r="H676" s="0" t="s">
        <v>625</v>
      </c>
      <c r="I676" s="0" t="s">
        <v>626</v>
      </c>
      <c r="J676" s="0" t="s">
        <v>627</v>
      </c>
      <c r="K676" s="475" t="n">
        <v>37073</v>
      </c>
      <c r="L676" s="254" t="n">
        <v>67736.7156064378</v>
      </c>
      <c r="M676" s="475" t="n">
        <v>37070</v>
      </c>
      <c r="N676" s="0" t="s">
        <v>132</v>
      </c>
      <c r="O676" s="0" t="n">
        <v>0.3</v>
      </c>
      <c r="P676" s="0" t="n">
        <v>0</v>
      </c>
      <c r="Q676" s="0" t="n">
        <v>0</v>
      </c>
      <c r="R676" s="0" t="n">
        <v>0</v>
      </c>
      <c r="S676" s="0" t="n">
        <v>0</v>
      </c>
      <c r="T676" s="0" t="s">
        <v>624</v>
      </c>
      <c r="U676" s="0" t="s">
        <v>149</v>
      </c>
      <c r="V676" s="0" t="s">
        <v>624</v>
      </c>
      <c r="W676" s="0" t="s">
        <v>569</v>
      </c>
      <c r="X676" s="0" t="s">
        <v>624</v>
      </c>
      <c r="Y676" s="0" t="s">
        <v>627</v>
      </c>
      <c r="Z676" s="0" t="s">
        <v>629</v>
      </c>
      <c r="AA676" s="0" t="s">
        <v>624</v>
      </c>
      <c r="AB676" s="0" t="s">
        <v>580</v>
      </c>
      <c r="AC676" s="254" t="n">
        <v>1000000</v>
      </c>
      <c r="AD676" s="254" t="n">
        <v>26439.5279132608</v>
      </c>
      <c r="AE676" s="0" t="n">
        <v>0</v>
      </c>
      <c r="AF676" s="0" t="n">
        <v>0</v>
      </c>
      <c r="AG676" s="0" t="n">
        <v>0</v>
      </c>
      <c r="AH676" s="254" t="n">
        <v>1254.25276505275</v>
      </c>
      <c r="AI676" s="0" t="n">
        <v>226</v>
      </c>
      <c r="AJ676" s="0" t="s">
        <v>630</v>
      </c>
      <c r="AK676" s="0" t="n">
        <v>0</v>
      </c>
      <c r="AL676" s="0" t="n">
        <v>0</v>
      </c>
      <c r="AM676" s="0" t="n">
        <v>0</v>
      </c>
    </row>
    <row r="677" customFormat="false" ht="12.75" hidden="false" customHeight="false" outlineLevel="0" collapsed="false">
      <c r="A677" s="0" t="s">
        <v>631</v>
      </c>
      <c r="B677" s="0" t="s">
        <v>421</v>
      </c>
      <c r="C677" s="0" t="s">
        <v>622</v>
      </c>
      <c r="D677" s="0" t="s">
        <v>623</v>
      </c>
      <c r="E677" s="0" t="s">
        <v>131</v>
      </c>
      <c r="F677" s="0" t="s">
        <v>212</v>
      </c>
      <c r="G677" s="0" t="s">
        <v>628</v>
      </c>
      <c r="H677" s="0" t="s">
        <v>625</v>
      </c>
      <c r="I677" s="0" t="s">
        <v>626</v>
      </c>
      <c r="J677" s="0" t="s">
        <v>627</v>
      </c>
      <c r="K677" s="475" t="n">
        <v>37104</v>
      </c>
      <c r="L677" s="254" t="n">
        <v>73457.7638421203</v>
      </c>
      <c r="M677" s="475" t="n">
        <v>37102</v>
      </c>
      <c r="N677" s="0" t="s">
        <v>132</v>
      </c>
      <c r="O677" s="0" t="n">
        <v>0.3</v>
      </c>
      <c r="P677" s="0" t="n">
        <v>0</v>
      </c>
      <c r="Q677" s="0" t="n">
        <v>0</v>
      </c>
      <c r="R677" s="0" t="n">
        <v>0</v>
      </c>
      <c r="S677" s="0" t="n">
        <v>0</v>
      </c>
      <c r="T677" s="0" t="s">
        <v>624</v>
      </c>
      <c r="U677" s="0" t="s">
        <v>149</v>
      </c>
      <c r="V677" s="0" t="s">
        <v>624</v>
      </c>
      <c r="W677" s="0" t="s">
        <v>569</v>
      </c>
      <c r="X677" s="0" t="s">
        <v>624</v>
      </c>
      <c r="Y677" s="0" t="s">
        <v>627</v>
      </c>
      <c r="Z677" s="0" t="s">
        <v>629</v>
      </c>
      <c r="AA677" s="0" t="s">
        <v>624</v>
      </c>
      <c r="AB677" s="0" t="s">
        <v>580</v>
      </c>
      <c r="AC677" s="254" t="n">
        <v>1000000</v>
      </c>
      <c r="AD677" s="254" t="n">
        <v>27919.9897324518</v>
      </c>
      <c r="AE677" s="0" t="n">
        <v>0</v>
      </c>
      <c r="AF677" s="0" t="n">
        <v>0</v>
      </c>
      <c r="AG677" s="0" t="n">
        <v>0</v>
      </c>
      <c r="AH677" s="254" t="n">
        <v>1324.198631949</v>
      </c>
      <c r="AI677" s="0" t="n">
        <v>226</v>
      </c>
      <c r="AJ677" s="0" t="s">
        <v>630</v>
      </c>
      <c r="AK677" s="0" t="n">
        <v>0</v>
      </c>
      <c r="AL677" s="0" t="n">
        <v>0</v>
      </c>
      <c r="AM677" s="0" t="n">
        <v>0</v>
      </c>
    </row>
    <row r="678" customFormat="false" ht="12.75" hidden="false" customHeight="false" outlineLevel="0" collapsed="false">
      <c r="A678" s="0" t="s">
        <v>631</v>
      </c>
      <c r="B678" s="0" t="s">
        <v>421</v>
      </c>
      <c r="C678" s="0" t="s">
        <v>622</v>
      </c>
      <c r="D678" s="0" t="s">
        <v>623</v>
      </c>
      <c r="E678" s="0" t="s">
        <v>131</v>
      </c>
      <c r="F678" s="0" t="s">
        <v>212</v>
      </c>
      <c r="G678" s="0" t="s">
        <v>628</v>
      </c>
      <c r="H678" s="0" t="s">
        <v>625</v>
      </c>
      <c r="I678" s="0" t="s">
        <v>626</v>
      </c>
      <c r="J678" s="0" t="s">
        <v>627</v>
      </c>
      <c r="K678" s="475" t="n">
        <v>37135</v>
      </c>
      <c r="L678" s="254" t="n">
        <v>99216.4871050496</v>
      </c>
      <c r="M678" s="475" t="n">
        <v>37133</v>
      </c>
      <c r="N678" s="0" t="s">
        <v>132</v>
      </c>
      <c r="O678" s="0" t="n">
        <v>0.3</v>
      </c>
      <c r="P678" s="0" t="n">
        <v>0</v>
      </c>
      <c r="Q678" s="0" t="n">
        <v>0</v>
      </c>
      <c r="R678" s="0" t="n">
        <v>0</v>
      </c>
      <c r="S678" s="0" t="n">
        <v>0</v>
      </c>
      <c r="T678" s="0" t="s">
        <v>624</v>
      </c>
      <c r="U678" s="0" t="s">
        <v>149</v>
      </c>
      <c r="V678" s="0" t="s">
        <v>624</v>
      </c>
      <c r="W678" s="0" t="s">
        <v>569</v>
      </c>
      <c r="X678" s="0" t="s">
        <v>624</v>
      </c>
      <c r="Y678" s="0" t="s">
        <v>627</v>
      </c>
      <c r="Z678" s="0" t="s">
        <v>629</v>
      </c>
      <c r="AA678" s="0" t="s">
        <v>624</v>
      </c>
      <c r="AB678" s="0" t="s">
        <v>580</v>
      </c>
      <c r="AC678" s="254" t="n">
        <v>1000000</v>
      </c>
      <c r="AD678" s="254" t="n">
        <v>30996.037012513</v>
      </c>
      <c r="AE678" s="0" t="n">
        <v>0</v>
      </c>
      <c r="AF678" s="0" t="n">
        <v>0</v>
      </c>
      <c r="AG678" s="0" t="n">
        <v>0</v>
      </c>
      <c r="AH678" s="254" t="n">
        <v>1472.34493800052</v>
      </c>
      <c r="AI678" s="0" t="n">
        <v>226</v>
      </c>
      <c r="AJ678" s="0" t="s">
        <v>630</v>
      </c>
      <c r="AK678" s="0" t="n">
        <v>0</v>
      </c>
      <c r="AL678" s="0" t="n">
        <v>0</v>
      </c>
      <c r="AM678" s="0" t="n">
        <v>0</v>
      </c>
    </row>
    <row r="679" customFormat="false" ht="12.75" hidden="false" customHeight="false" outlineLevel="0" collapsed="false">
      <c r="A679" s="0" t="s">
        <v>631</v>
      </c>
      <c r="B679" s="0" t="s">
        <v>421</v>
      </c>
      <c r="C679" s="0" t="s">
        <v>622</v>
      </c>
      <c r="D679" s="0" t="s">
        <v>623</v>
      </c>
      <c r="E679" s="0" t="s">
        <v>131</v>
      </c>
      <c r="F679" s="0" t="s">
        <v>212</v>
      </c>
      <c r="G679" s="0" t="s">
        <v>628</v>
      </c>
      <c r="H679" s="0" t="s">
        <v>625</v>
      </c>
      <c r="I679" s="0" t="s">
        <v>626</v>
      </c>
      <c r="J679" s="0" t="s">
        <v>627</v>
      </c>
      <c r="K679" s="475" t="n">
        <v>37165</v>
      </c>
      <c r="L679" s="254" t="n">
        <v>82265.1978445093</v>
      </c>
      <c r="M679" s="475" t="n">
        <v>37161</v>
      </c>
      <c r="N679" s="0" t="s">
        <v>132</v>
      </c>
      <c r="O679" s="0" t="n">
        <v>0.3</v>
      </c>
      <c r="P679" s="0" t="n">
        <v>0</v>
      </c>
      <c r="Q679" s="0" t="n">
        <v>0</v>
      </c>
      <c r="R679" s="0" t="n">
        <v>0</v>
      </c>
      <c r="S679" s="0" t="n">
        <v>0</v>
      </c>
      <c r="T679" s="0" t="s">
        <v>624</v>
      </c>
      <c r="U679" s="0" t="s">
        <v>149</v>
      </c>
      <c r="V679" s="0" t="s">
        <v>624</v>
      </c>
      <c r="W679" s="0" t="s">
        <v>569</v>
      </c>
      <c r="X679" s="0" t="s">
        <v>624</v>
      </c>
      <c r="Y679" s="0" t="s">
        <v>627</v>
      </c>
      <c r="Z679" s="0" t="s">
        <v>629</v>
      </c>
      <c r="AA679" s="0" t="s">
        <v>624</v>
      </c>
      <c r="AB679" s="0" t="s">
        <v>580</v>
      </c>
      <c r="AC679" s="254" t="n">
        <v>1000000</v>
      </c>
      <c r="AD679" s="254" t="n">
        <v>30466.4354024096</v>
      </c>
      <c r="AE679" s="0" t="n">
        <v>0</v>
      </c>
      <c r="AF679" s="0" t="n">
        <v>0</v>
      </c>
      <c r="AG679" s="0" t="n">
        <v>0</v>
      </c>
      <c r="AH679" s="254" t="n">
        <v>1446.06751724386</v>
      </c>
      <c r="AI679" s="0" t="n">
        <v>226</v>
      </c>
      <c r="AJ679" s="0" t="s">
        <v>630</v>
      </c>
      <c r="AK679" s="0" t="n">
        <v>0</v>
      </c>
      <c r="AL679" s="0" t="n">
        <v>0</v>
      </c>
      <c r="AM679" s="0" t="n">
        <v>0</v>
      </c>
    </row>
    <row r="680" customFormat="false" ht="12.75" hidden="false" customHeight="false" outlineLevel="0" collapsed="false">
      <c r="A680" s="0" t="s">
        <v>631</v>
      </c>
      <c r="B680" s="0" t="s">
        <v>422</v>
      </c>
      <c r="C680" s="0" t="s">
        <v>622</v>
      </c>
      <c r="D680" s="0" t="s">
        <v>623</v>
      </c>
      <c r="E680" s="0" t="s">
        <v>131</v>
      </c>
      <c r="F680" s="0" t="s">
        <v>198</v>
      </c>
      <c r="G680" s="0" t="s">
        <v>628</v>
      </c>
      <c r="H680" s="0" t="s">
        <v>625</v>
      </c>
      <c r="I680" s="0" t="s">
        <v>626</v>
      </c>
      <c r="J680" s="0" t="s">
        <v>627</v>
      </c>
      <c r="K680" s="475" t="n">
        <v>36770</v>
      </c>
      <c r="L680" s="254" t="n">
        <v>-7497.39302333108</v>
      </c>
      <c r="M680" s="475" t="n">
        <v>36768</v>
      </c>
      <c r="N680" s="0" t="s">
        <v>136</v>
      </c>
      <c r="O680" s="0" t="n">
        <v>-1.17</v>
      </c>
      <c r="P680" s="0" t="n">
        <v>0</v>
      </c>
      <c r="Q680" s="0" t="n">
        <v>0</v>
      </c>
      <c r="R680" s="0" t="n">
        <v>0</v>
      </c>
      <c r="S680" s="0" t="n">
        <v>0</v>
      </c>
      <c r="T680" s="0" t="s">
        <v>624</v>
      </c>
      <c r="U680" s="0" t="s">
        <v>151</v>
      </c>
      <c r="V680" s="0" t="s">
        <v>624</v>
      </c>
      <c r="W680" s="0" t="s">
        <v>569</v>
      </c>
      <c r="X680" s="0" t="s">
        <v>624</v>
      </c>
      <c r="Y680" s="0" t="s">
        <v>627</v>
      </c>
      <c r="Z680" s="0" t="s">
        <v>629</v>
      </c>
      <c r="AA680" s="0" t="s">
        <v>624</v>
      </c>
      <c r="AB680" s="0" t="s">
        <v>580</v>
      </c>
      <c r="AC680" s="254" t="n">
        <v>-1000000</v>
      </c>
      <c r="AD680" s="254" t="n">
        <v>-3899.50845783693</v>
      </c>
      <c r="AE680" s="0" t="n">
        <v>0</v>
      </c>
      <c r="AF680" s="0" t="n">
        <v>0</v>
      </c>
      <c r="AG680" s="0" t="n">
        <v>0</v>
      </c>
      <c r="AH680" s="254" t="n">
        <v>23620.1415988697</v>
      </c>
      <c r="AI680" s="0" t="n">
        <v>226</v>
      </c>
      <c r="AJ680" s="0" t="s">
        <v>630</v>
      </c>
      <c r="AK680" s="0" t="n">
        <v>0</v>
      </c>
      <c r="AL680" s="0" t="n">
        <v>0</v>
      </c>
      <c r="AM680" s="0" t="n">
        <v>0</v>
      </c>
    </row>
    <row r="681" customFormat="false" ht="12.75" hidden="false" customHeight="false" outlineLevel="0" collapsed="false">
      <c r="A681" s="0" t="s">
        <v>631</v>
      </c>
      <c r="B681" s="0" t="s">
        <v>423</v>
      </c>
      <c r="C681" s="0" t="s">
        <v>622</v>
      </c>
      <c r="D681" s="0" t="s">
        <v>623</v>
      </c>
      <c r="E681" s="0" t="s">
        <v>131</v>
      </c>
      <c r="F681" s="0" t="s">
        <v>198</v>
      </c>
      <c r="G681" s="0" t="s">
        <v>628</v>
      </c>
      <c r="H681" s="0" t="s">
        <v>625</v>
      </c>
      <c r="I681" s="0" t="s">
        <v>626</v>
      </c>
      <c r="J681" s="0" t="s">
        <v>627</v>
      </c>
      <c r="K681" s="475" t="n">
        <v>36770</v>
      </c>
      <c r="L681" s="254" t="n">
        <v>-77471.6338558295</v>
      </c>
      <c r="M681" s="475" t="n">
        <v>36768</v>
      </c>
      <c r="N681" s="0" t="s">
        <v>132</v>
      </c>
      <c r="O681" s="0" t="n">
        <v>-1.17</v>
      </c>
      <c r="P681" s="0" t="n">
        <v>0</v>
      </c>
      <c r="Q681" s="0" t="n">
        <v>0</v>
      </c>
      <c r="R681" s="0" t="n">
        <v>0</v>
      </c>
      <c r="S681" s="0" t="n">
        <v>0</v>
      </c>
      <c r="T681" s="0" t="s">
        <v>624</v>
      </c>
      <c r="U681" s="0" t="s">
        <v>151</v>
      </c>
      <c r="V681" s="0" t="s">
        <v>624</v>
      </c>
      <c r="W681" s="0" t="s">
        <v>569</v>
      </c>
      <c r="X681" s="0" t="s">
        <v>624</v>
      </c>
      <c r="Y681" s="0" t="s">
        <v>627</v>
      </c>
      <c r="Z681" s="0" t="s">
        <v>629</v>
      </c>
      <c r="AA681" s="0" t="s">
        <v>624</v>
      </c>
      <c r="AB681" s="0" t="s">
        <v>580</v>
      </c>
      <c r="AC681" s="254" t="n">
        <v>-1000000</v>
      </c>
      <c r="AD681" s="254" t="n">
        <v>-3899.50845783693</v>
      </c>
      <c r="AE681" s="0" t="n">
        <v>0</v>
      </c>
      <c r="AF681" s="0" t="n">
        <v>0</v>
      </c>
      <c r="AG681" s="0" t="n">
        <v>0</v>
      </c>
      <c r="AH681" s="254" t="n">
        <v>-36324.7163195568</v>
      </c>
      <c r="AI681" s="0" t="n">
        <v>226</v>
      </c>
      <c r="AJ681" s="0" t="s">
        <v>630</v>
      </c>
      <c r="AK681" s="0" t="n">
        <v>0</v>
      </c>
      <c r="AL681" s="0" t="n">
        <v>0</v>
      </c>
      <c r="AM681" s="0" t="n">
        <v>0</v>
      </c>
    </row>
    <row r="682" customFormat="false" ht="12.75" hidden="false" customHeight="false" outlineLevel="0" collapsed="false">
      <c r="A682" s="0" t="s">
        <v>631</v>
      </c>
      <c r="B682" s="0" t="s">
        <v>424</v>
      </c>
      <c r="C682" s="0" t="s">
        <v>622</v>
      </c>
      <c r="D682" s="0" t="s">
        <v>623</v>
      </c>
      <c r="E682" s="0" t="s">
        <v>131</v>
      </c>
      <c r="F682" s="0" t="s">
        <v>198</v>
      </c>
      <c r="G682" s="0" t="s">
        <v>628</v>
      </c>
      <c r="H682" s="0" t="s">
        <v>625</v>
      </c>
      <c r="I682" s="0" t="s">
        <v>626</v>
      </c>
      <c r="J682" s="0" t="s">
        <v>627</v>
      </c>
      <c r="K682" s="475" t="n">
        <v>36770</v>
      </c>
      <c r="L682" s="254" t="n">
        <v>-3748.69651166554</v>
      </c>
      <c r="M682" s="475" t="n">
        <v>36768</v>
      </c>
      <c r="N682" s="0" t="s">
        <v>136</v>
      </c>
      <c r="O682" s="0" t="n">
        <v>-1.17</v>
      </c>
      <c r="P682" s="0" t="n">
        <v>0</v>
      </c>
      <c r="Q682" s="0" t="n">
        <v>0</v>
      </c>
      <c r="R682" s="0" t="n">
        <v>0</v>
      </c>
      <c r="S682" s="0" t="n">
        <v>0</v>
      </c>
      <c r="T682" s="0" t="s">
        <v>624</v>
      </c>
      <c r="U682" s="0" t="s">
        <v>151</v>
      </c>
      <c r="V682" s="0" t="s">
        <v>624</v>
      </c>
      <c r="W682" s="0" t="s">
        <v>569</v>
      </c>
      <c r="X682" s="0" t="s">
        <v>624</v>
      </c>
      <c r="Y682" s="0" t="s">
        <v>627</v>
      </c>
      <c r="Z682" s="0" t="s">
        <v>629</v>
      </c>
      <c r="AA682" s="0" t="s">
        <v>624</v>
      </c>
      <c r="AB682" s="0" t="s">
        <v>580</v>
      </c>
      <c r="AC682" s="254" t="n">
        <v>-500000</v>
      </c>
      <c r="AD682" s="254" t="n">
        <v>-1949.75422891846</v>
      </c>
      <c r="AE682" s="0" t="n">
        <v>0</v>
      </c>
      <c r="AF682" s="0" t="n">
        <v>0</v>
      </c>
      <c r="AG682" s="0" t="n">
        <v>0</v>
      </c>
      <c r="AH682" s="254" t="n">
        <v>11810.0707994349</v>
      </c>
      <c r="AI682" s="0" t="n">
        <v>226</v>
      </c>
      <c r="AJ682" s="0" t="s">
        <v>630</v>
      </c>
      <c r="AK682" s="0" t="n">
        <v>0</v>
      </c>
      <c r="AL682" s="0" t="n">
        <v>0</v>
      </c>
      <c r="AM682" s="0" t="n">
        <v>0</v>
      </c>
    </row>
    <row r="683" customFormat="false" ht="12.75" hidden="false" customHeight="false" outlineLevel="0" collapsed="false">
      <c r="A683" s="0" t="s">
        <v>631</v>
      </c>
      <c r="B683" s="0" t="s">
        <v>425</v>
      </c>
      <c r="C683" s="0" t="s">
        <v>622</v>
      </c>
      <c r="D683" s="0" t="s">
        <v>623</v>
      </c>
      <c r="E683" s="0" t="s">
        <v>131</v>
      </c>
      <c r="F683" s="0" t="s">
        <v>198</v>
      </c>
      <c r="G683" s="0" t="s">
        <v>628</v>
      </c>
      <c r="H683" s="0" t="s">
        <v>625</v>
      </c>
      <c r="I683" s="0" t="s">
        <v>626</v>
      </c>
      <c r="J683" s="0" t="s">
        <v>627</v>
      </c>
      <c r="K683" s="475" t="n">
        <v>36770</v>
      </c>
      <c r="L683" s="254" t="n">
        <v>-38735.8169279148</v>
      </c>
      <c r="M683" s="475" t="n">
        <v>36768</v>
      </c>
      <c r="N683" s="0" t="s">
        <v>132</v>
      </c>
      <c r="O683" s="0" t="n">
        <v>-1.17</v>
      </c>
      <c r="P683" s="0" t="n">
        <v>0</v>
      </c>
      <c r="Q683" s="0" t="n">
        <v>0</v>
      </c>
      <c r="R683" s="0" t="n">
        <v>0</v>
      </c>
      <c r="S683" s="0" t="n">
        <v>0</v>
      </c>
      <c r="T683" s="0" t="s">
        <v>624</v>
      </c>
      <c r="U683" s="0" t="s">
        <v>151</v>
      </c>
      <c r="V683" s="0" t="s">
        <v>624</v>
      </c>
      <c r="W683" s="0" t="s">
        <v>569</v>
      </c>
      <c r="X683" s="0" t="s">
        <v>624</v>
      </c>
      <c r="Y683" s="0" t="s">
        <v>627</v>
      </c>
      <c r="Z683" s="0" t="s">
        <v>629</v>
      </c>
      <c r="AA683" s="0" t="s">
        <v>624</v>
      </c>
      <c r="AB683" s="0" t="s">
        <v>580</v>
      </c>
      <c r="AC683" s="254" t="n">
        <v>-500000</v>
      </c>
      <c r="AD683" s="254" t="n">
        <v>-1949.75422891846</v>
      </c>
      <c r="AE683" s="0" t="n">
        <v>0</v>
      </c>
      <c r="AF683" s="0" t="n">
        <v>0</v>
      </c>
      <c r="AG683" s="0" t="n">
        <v>0</v>
      </c>
      <c r="AH683" s="254" t="n">
        <v>-18162.3581597784</v>
      </c>
      <c r="AI683" s="0" t="n">
        <v>226</v>
      </c>
      <c r="AJ683" s="0" t="s">
        <v>630</v>
      </c>
      <c r="AK683" s="0" t="n">
        <v>0</v>
      </c>
      <c r="AL683" s="0" t="n">
        <v>0</v>
      </c>
      <c r="AM683" s="0" t="n">
        <v>0</v>
      </c>
    </row>
    <row r="684" customFormat="false" ht="12.75" hidden="false" customHeight="false" outlineLevel="0" collapsed="false">
      <c r="A684" s="0" t="s">
        <v>631</v>
      </c>
      <c r="B684" s="0" t="s">
        <v>426</v>
      </c>
      <c r="C684" s="0" t="s">
        <v>622</v>
      </c>
      <c r="D684" s="0" t="s">
        <v>623</v>
      </c>
      <c r="E684" s="0" t="s">
        <v>131</v>
      </c>
      <c r="F684" s="0" t="s">
        <v>210</v>
      </c>
      <c r="G684" s="0" t="s">
        <v>628</v>
      </c>
      <c r="H684" s="0" t="s">
        <v>625</v>
      </c>
      <c r="I684" s="0" t="s">
        <v>626</v>
      </c>
      <c r="J684" s="0" t="s">
        <v>627</v>
      </c>
      <c r="K684" s="475" t="n">
        <v>36800</v>
      </c>
      <c r="L684" s="254" t="n">
        <v>10059.3512494379</v>
      </c>
      <c r="M684" s="475" t="n">
        <v>36797</v>
      </c>
      <c r="N684" s="0" t="s">
        <v>136</v>
      </c>
      <c r="O684" s="0" t="n">
        <v>-0.15</v>
      </c>
      <c r="P684" s="0" t="n">
        <v>0</v>
      </c>
      <c r="Q684" s="0" t="n">
        <v>0</v>
      </c>
      <c r="R684" s="0" t="n">
        <v>0</v>
      </c>
      <c r="S684" s="0" t="n">
        <v>0</v>
      </c>
      <c r="T684" s="0" t="s">
        <v>624</v>
      </c>
      <c r="U684" s="0" t="s">
        <v>68</v>
      </c>
      <c r="V684" s="0" t="s">
        <v>624</v>
      </c>
      <c r="W684" s="0" t="s">
        <v>569</v>
      </c>
      <c r="X684" s="0" t="s">
        <v>624</v>
      </c>
      <c r="Y684" s="0" t="s">
        <v>627</v>
      </c>
      <c r="Z684" s="0" t="s">
        <v>629</v>
      </c>
      <c r="AA684" s="0" t="s">
        <v>624</v>
      </c>
      <c r="AB684" s="0" t="s">
        <v>580</v>
      </c>
      <c r="AC684" s="254" t="n">
        <v>300000</v>
      </c>
      <c r="AD684" s="254" t="n">
        <v>1895.19439304507</v>
      </c>
      <c r="AE684" s="0" t="n">
        <v>0</v>
      </c>
      <c r="AF684" s="0" t="n">
        <v>0</v>
      </c>
      <c r="AG684" s="0" t="n">
        <v>0</v>
      </c>
      <c r="AH684" s="254" t="n">
        <v>108.126921672281</v>
      </c>
      <c r="AI684" s="0" t="n">
        <v>226</v>
      </c>
      <c r="AJ684" s="0" t="s">
        <v>630</v>
      </c>
      <c r="AK684" s="0" t="n">
        <v>0</v>
      </c>
      <c r="AL684" s="0" t="n">
        <v>0</v>
      </c>
      <c r="AM684" s="0" t="n">
        <v>0</v>
      </c>
    </row>
    <row r="685" customFormat="false" ht="12.75" hidden="false" customHeight="false" outlineLevel="0" collapsed="false">
      <c r="A685" s="0" t="s">
        <v>631</v>
      </c>
      <c r="B685" s="0" t="s">
        <v>426</v>
      </c>
      <c r="C685" s="0" t="s">
        <v>622</v>
      </c>
      <c r="D685" s="0" t="s">
        <v>623</v>
      </c>
      <c r="E685" s="0" t="s">
        <v>131</v>
      </c>
      <c r="F685" s="0" t="s">
        <v>210</v>
      </c>
      <c r="G685" s="0" t="s">
        <v>628</v>
      </c>
      <c r="H685" s="0" t="s">
        <v>625</v>
      </c>
      <c r="I685" s="0" t="s">
        <v>626</v>
      </c>
      <c r="J685" s="0" t="s">
        <v>627</v>
      </c>
      <c r="K685" s="475" t="n">
        <v>36831</v>
      </c>
      <c r="L685" s="254" t="n">
        <v>15987.7667705362</v>
      </c>
      <c r="M685" s="475" t="n">
        <v>36829</v>
      </c>
      <c r="N685" s="0" t="s">
        <v>136</v>
      </c>
      <c r="O685" s="0" t="n">
        <v>-0.15</v>
      </c>
      <c r="P685" s="0" t="n">
        <v>0</v>
      </c>
      <c r="Q685" s="0" t="n">
        <v>0</v>
      </c>
      <c r="R685" s="0" t="n">
        <v>0</v>
      </c>
      <c r="S685" s="0" t="n">
        <v>0</v>
      </c>
      <c r="T685" s="0" t="s">
        <v>624</v>
      </c>
      <c r="U685" s="0" t="s">
        <v>68</v>
      </c>
      <c r="V685" s="0" t="s">
        <v>624</v>
      </c>
      <c r="W685" s="0" t="s">
        <v>569</v>
      </c>
      <c r="X685" s="0" t="s">
        <v>624</v>
      </c>
      <c r="Y685" s="0" t="s">
        <v>627</v>
      </c>
      <c r="Z685" s="0" t="s">
        <v>629</v>
      </c>
      <c r="AA685" s="0" t="s">
        <v>624</v>
      </c>
      <c r="AB685" s="0" t="s">
        <v>580</v>
      </c>
      <c r="AC685" s="254" t="n">
        <v>310000</v>
      </c>
      <c r="AD685" s="254" t="n">
        <v>2870.86973424055</v>
      </c>
      <c r="AE685" s="0" t="n">
        <v>0</v>
      </c>
      <c r="AF685" s="0" t="n">
        <v>0</v>
      </c>
      <c r="AG685" s="0" t="n">
        <v>0</v>
      </c>
      <c r="AH685" s="254" t="n">
        <v>-252.928820583831</v>
      </c>
      <c r="AI685" s="0" t="n">
        <v>226</v>
      </c>
      <c r="AJ685" s="0" t="s">
        <v>630</v>
      </c>
      <c r="AK685" s="0" t="n">
        <v>0</v>
      </c>
      <c r="AL685" s="0" t="n">
        <v>0</v>
      </c>
      <c r="AM685" s="0" t="n">
        <v>0</v>
      </c>
    </row>
    <row r="686" customFormat="false" ht="12.75" hidden="false" customHeight="false" outlineLevel="0" collapsed="false">
      <c r="A686" s="0" t="s">
        <v>631</v>
      </c>
      <c r="B686" s="0" t="s">
        <v>426</v>
      </c>
      <c r="C686" s="0" t="s">
        <v>622</v>
      </c>
      <c r="D686" s="0" t="s">
        <v>623</v>
      </c>
      <c r="E686" s="0" t="s">
        <v>131</v>
      </c>
      <c r="F686" s="0" t="s">
        <v>210</v>
      </c>
      <c r="G686" s="0" t="s">
        <v>628</v>
      </c>
      <c r="H686" s="0" t="s">
        <v>625</v>
      </c>
      <c r="I686" s="0" t="s">
        <v>626</v>
      </c>
      <c r="J686" s="0" t="s">
        <v>627</v>
      </c>
      <c r="K686" s="475" t="n">
        <v>36861</v>
      </c>
      <c r="L686" s="254" t="n">
        <v>17886.7498907873</v>
      </c>
      <c r="M686" s="475" t="n">
        <v>36859</v>
      </c>
      <c r="N686" s="0" t="s">
        <v>136</v>
      </c>
      <c r="O686" s="0" t="n">
        <v>-0.15</v>
      </c>
      <c r="P686" s="0" t="n">
        <v>0</v>
      </c>
      <c r="Q686" s="0" t="n">
        <v>0</v>
      </c>
      <c r="R686" s="0" t="n">
        <v>0</v>
      </c>
      <c r="S686" s="0" t="n">
        <v>0</v>
      </c>
      <c r="T686" s="0" t="s">
        <v>624</v>
      </c>
      <c r="U686" s="0" t="s">
        <v>68</v>
      </c>
      <c r="V686" s="0" t="s">
        <v>624</v>
      </c>
      <c r="W686" s="0" t="s">
        <v>569</v>
      </c>
      <c r="X686" s="0" t="s">
        <v>624</v>
      </c>
      <c r="Y686" s="0" t="s">
        <v>627</v>
      </c>
      <c r="Z686" s="0" t="s">
        <v>629</v>
      </c>
      <c r="AA686" s="0" t="s">
        <v>624</v>
      </c>
      <c r="AB686" s="0" t="s">
        <v>580</v>
      </c>
      <c r="AC686" s="254" t="n">
        <v>310000</v>
      </c>
      <c r="AD686" s="254" t="n">
        <v>3504.09339461851</v>
      </c>
      <c r="AE686" s="0" t="n">
        <v>0</v>
      </c>
      <c r="AF686" s="0" t="n">
        <v>0</v>
      </c>
      <c r="AG686" s="0" t="n">
        <v>0</v>
      </c>
      <c r="AH686" s="254" t="n">
        <v>-204.767113574504</v>
      </c>
      <c r="AI686" s="0" t="n">
        <v>226</v>
      </c>
      <c r="AJ686" s="0" t="s">
        <v>630</v>
      </c>
      <c r="AK686" s="0" t="n">
        <v>0</v>
      </c>
      <c r="AL686" s="0" t="n">
        <v>0</v>
      </c>
      <c r="AM686" s="0" t="n">
        <v>0</v>
      </c>
    </row>
    <row r="687" customFormat="false" ht="12.75" hidden="false" customHeight="false" outlineLevel="0" collapsed="false">
      <c r="A687" s="0" t="s">
        <v>631</v>
      </c>
      <c r="B687" s="0" t="s">
        <v>426</v>
      </c>
      <c r="C687" s="0" t="s">
        <v>622</v>
      </c>
      <c r="D687" s="0" t="s">
        <v>623</v>
      </c>
      <c r="E687" s="0" t="s">
        <v>131</v>
      </c>
      <c r="F687" s="0" t="s">
        <v>210</v>
      </c>
      <c r="G687" s="0" t="s">
        <v>628</v>
      </c>
      <c r="H687" s="0" t="s">
        <v>625</v>
      </c>
      <c r="I687" s="0" t="s">
        <v>626</v>
      </c>
      <c r="J687" s="0" t="s">
        <v>627</v>
      </c>
      <c r="K687" s="475" t="n">
        <v>36892</v>
      </c>
      <c r="L687" s="254" t="n">
        <v>19275.1396620173</v>
      </c>
      <c r="M687" s="475" t="n">
        <v>36888</v>
      </c>
      <c r="N687" s="0" t="s">
        <v>136</v>
      </c>
      <c r="O687" s="0" t="n">
        <v>-0.15</v>
      </c>
      <c r="P687" s="0" t="n">
        <v>0</v>
      </c>
      <c r="Q687" s="0" t="n">
        <v>0</v>
      </c>
      <c r="R687" s="0" t="n">
        <v>0</v>
      </c>
      <c r="S687" s="0" t="n">
        <v>0</v>
      </c>
      <c r="T687" s="0" t="s">
        <v>624</v>
      </c>
      <c r="U687" s="0" t="s">
        <v>68</v>
      </c>
      <c r="V687" s="0" t="s">
        <v>624</v>
      </c>
      <c r="W687" s="0" t="s">
        <v>569</v>
      </c>
      <c r="X687" s="0" t="s">
        <v>624</v>
      </c>
      <c r="Y687" s="0" t="s">
        <v>627</v>
      </c>
      <c r="Z687" s="0" t="s">
        <v>629</v>
      </c>
      <c r="AA687" s="0" t="s">
        <v>624</v>
      </c>
      <c r="AB687" s="0" t="s">
        <v>580</v>
      </c>
      <c r="AC687" s="254" t="n">
        <v>310000</v>
      </c>
      <c r="AD687" s="254" t="n">
        <v>4010.49287752682</v>
      </c>
      <c r="AE687" s="0" t="n">
        <v>0</v>
      </c>
      <c r="AF687" s="0" t="n">
        <v>0</v>
      </c>
      <c r="AG687" s="0" t="n">
        <v>0</v>
      </c>
      <c r="AH687" s="254" t="n">
        <v>-173.386335055919</v>
      </c>
      <c r="AI687" s="0" t="n">
        <v>226</v>
      </c>
      <c r="AJ687" s="0" t="s">
        <v>630</v>
      </c>
      <c r="AK687" s="0" t="n">
        <v>0</v>
      </c>
      <c r="AL687" s="0" t="n">
        <v>0</v>
      </c>
      <c r="AM687" s="0" t="n">
        <v>0</v>
      </c>
    </row>
    <row r="688" customFormat="false" ht="12.75" hidden="false" customHeight="false" outlineLevel="0" collapsed="false">
      <c r="A688" s="0" t="s">
        <v>631</v>
      </c>
      <c r="B688" s="0" t="s">
        <v>426</v>
      </c>
      <c r="C688" s="0" t="s">
        <v>622</v>
      </c>
      <c r="D688" s="0" t="s">
        <v>623</v>
      </c>
      <c r="E688" s="0" t="s">
        <v>131</v>
      </c>
      <c r="F688" s="0" t="s">
        <v>210</v>
      </c>
      <c r="G688" s="0" t="s">
        <v>628</v>
      </c>
      <c r="H688" s="0" t="s">
        <v>625</v>
      </c>
      <c r="I688" s="0" t="s">
        <v>626</v>
      </c>
      <c r="J688" s="0" t="s">
        <v>627</v>
      </c>
      <c r="K688" s="475" t="n">
        <v>36923</v>
      </c>
      <c r="L688" s="254" t="n">
        <v>20191.2380052085</v>
      </c>
      <c r="M688" s="475" t="n">
        <v>36921</v>
      </c>
      <c r="N688" s="0" t="s">
        <v>136</v>
      </c>
      <c r="O688" s="0" t="n">
        <v>-0.15</v>
      </c>
      <c r="P688" s="0" t="n">
        <v>0</v>
      </c>
      <c r="Q688" s="0" t="n">
        <v>0</v>
      </c>
      <c r="R688" s="0" t="n">
        <v>0</v>
      </c>
      <c r="S688" s="0" t="n">
        <v>0</v>
      </c>
      <c r="T688" s="0" t="s">
        <v>624</v>
      </c>
      <c r="U688" s="0" t="s">
        <v>68</v>
      </c>
      <c r="V688" s="0" t="s">
        <v>624</v>
      </c>
      <c r="W688" s="0" t="s">
        <v>569</v>
      </c>
      <c r="X688" s="0" t="s">
        <v>624</v>
      </c>
      <c r="Y688" s="0" t="s">
        <v>627</v>
      </c>
      <c r="Z688" s="0" t="s">
        <v>629</v>
      </c>
      <c r="AA688" s="0" t="s">
        <v>624</v>
      </c>
      <c r="AB688" s="0" t="s">
        <v>580</v>
      </c>
      <c r="AC688" s="254" t="n">
        <v>280000</v>
      </c>
      <c r="AD688" s="254" t="n">
        <v>3962.98692134972</v>
      </c>
      <c r="AE688" s="0" t="n">
        <v>0</v>
      </c>
      <c r="AF688" s="0" t="n">
        <v>0</v>
      </c>
      <c r="AG688" s="0" t="n">
        <v>0</v>
      </c>
      <c r="AH688" s="254" t="n">
        <v>-162.156639695895</v>
      </c>
      <c r="AI688" s="0" t="n">
        <v>226</v>
      </c>
      <c r="AJ688" s="0" t="s">
        <v>630</v>
      </c>
      <c r="AK688" s="0" t="n">
        <v>0</v>
      </c>
      <c r="AL688" s="0" t="n">
        <v>0</v>
      </c>
      <c r="AM688" s="0" t="n">
        <v>0</v>
      </c>
    </row>
    <row r="689" customFormat="false" ht="12.75" hidden="false" customHeight="false" outlineLevel="0" collapsed="false">
      <c r="A689" s="0" t="s">
        <v>631</v>
      </c>
      <c r="B689" s="0" t="s">
        <v>426</v>
      </c>
      <c r="C689" s="0" t="s">
        <v>622</v>
      </c>
      <c r="D689" s="0" t="s">
        <v>623</v>
      </c>
      <c r="E689" s="0" t="s">
        <v>131</v>
      </c>
      <c r="F689" s="0" t="s">
        <v>210</v>
      </c>
      <c r="G689" s="0" t="s">
        <v>628</v>
      </c>
      <c r="H689" s="0" t="s">
        <v>625</v>
      </c>
      <c r="I689" s="0" t="s">
        <v>626</v>
      </c>
      <c r="J689" s="0" t="s">
        <v>627</v>
      </c>
      <c r="K689" s="475" t="n">
        <v>36951</v>
      </c>
      <c r="L689" s="254" t="n">
        <v>21768.7421784941</v>
      </c>
      <c r="M689" s="475" t="n">
        <v>36949</v>
      </c>
      <c r="N689" s="0" t="s">
        <v>136</v>
      </c>
      <c r="O689" s="0" t="n">
        <v>-0.15</v>
      </c>
      <c r="P689" s="0" t="n">
        <v>0</v>
      </c>
      <c r="Q689" s="0" t="n">
        <v>0</v>
      </c>
      <c r="R689" s="0" t="n">
        <v>0</v>
      </c>
      <c r="S689" s="0" t="n">
        <v>0</v>
      </c>
      <c r="T689" s="0" t="s">
        <v>624</v>
      </c>
      <c r="U689" s="0" t="s">
        <v>68</v>
      </c>
      <c r="V689" s="0" t="s">
        <v>624</v>
      </c>
      <c r="W689" s="0" t="s">
        <v>569</v>
      </c>
      <c r="X689" s="0" t="s">
        <v>624</v>
      </c>
      <c r="Y689" s="0" t="s">
        <v>627</v>
      </c>
      <c r="Z689" s="0" t="s">
        <v>629</v>
      </c>
      <c r="AA689" s="0" t="s">
        <v>624</v>
      </c>
      <c r="AB689" s="0" t="s">
        <v>580</v>
      </c>
      <c r="AC689" s="254" t="n">
        <v>310000</v>
      </c>
      <c r="AD689" s="254" t="n">
        <v>4228.24407110081</v>
      </c>
      <c r="AE689" s="0" t="n">
        <v>0</v>
      </c>
      <c r="AF689" s="0" t="n">
        <v>0</v>
      </c>
      <c r="AG689" s="0" t="n">
        <v>0</v>
      </c>
      <c r="AH689" s="254" t="n">
        <v>-187.055316262245</v>
      </c>
      <c r="AI689" s="0" t="n">
        <v>226</v>
      </c>
      <c r="AJ689" s="0" t="s">
        <v>630</v>
      </c>
      <c r="AK689" s="0" t="n">
        <v>0</v>
      </c>
      <c r="AL689" s="0" t="n">
        <v>0</v>
      </c>
      <c r="AM689" s="0" t="n">
        <v>0</v>
      </c>
    </row>
    <row r="690" customFormat="false" ht="12.75" hidden="false" customHeight="false" outlineLevel="0" collapsed="false">
      <c r="A690" s="0" t="s">
        <v>631</v>
      </c>
      <c r="B690" s="0" t="s">
        <v>427</v>
      </c>
      <c r="C690" s="0" t="s">
        <v>622</v>
      </c>
      <c r="D690" s="0" t="s">
        <v>623</v>
      </c>
      <c r="E690" s="0" t="s">
        <v>131</v>
      </c>
      <c r="F690" s="0" t="s">
        <v>244</v>
      </c>
      <c r="G690" s="0" t="s">
        <v>628</v>
      </c>
      <c r="H690" s="0" t="s">
        <v>625</v>
      </c>
      <c r="I690" s="0" t="s">
        <v>626</v>
      </c>
      <c r="J690" s="0" t="s">
        <v>627</v>
      </c>
      <c r="K690" s="475" t="n">
        <v>36831</v>
      </c>
      <c r="L690" s="254" t="n">
        <v>-34217.9919544476</v>
      </c>
      <c r="M690" s="475" t="n">
        <v>36829</v>
      </c>
      <c r="N690" s="0" t="s">
        <v>136</v>
      </c>
      <c r="O690" s="0" t="n">
        <v>1.45</v>
      </c>
      <c r="P690" s="0" t="n">
        <v>0</v>
      </c>
      <c r="Q690" s="0" t="n">
        <v>0</v>
      </c>
      <c r="R690" s="0" t="n">
        <v>0</v>
      </c>
      <c r="S690" s="0" t="n">
        <v>0</v>
      </c>
      <c r="T690" s="0" t="s">
        <v>624</v>
      </c>
      <c r="U690" s="0" t="s">
        <v>149</v>
      </c>
      <c r="V690" s="0" t="s">
        <v>624</v>
      </c>
      <c r="W690" s="0" t="s">
        <v>569</v>
      </c>
      <c r="X690" s="0" t="s">
        <v>624</v>
      </c>
      <c r="Y690" s="0" t="s">
        <v>627</v>
      </c>
      <c r="Z690" s="0" t="s">
        <v>629</v>
      </c>
      <c r="AA690" s="0" t="s">
        <v>624</v>
      </c>
      <c r="AB690" s="0" t="s">
        <v>580</v>
      </c>
      <c r="AC690" s="254" t="n">
        <v>-500000</v>
      </c>
      <c r="AD690" s="254" t="n">
        <v>-13926.8992380681</v>
      </c>
      <c r="AE690" s="0" t="n">
        <v>0</v>
      </c>
      <c r="AF690" s="0" t="n">
        <v>0</v>
      </c>
      <c r="AG690" s="0" t="n">
        <v>0</v>
      </c>
      <c r="AH690" s="254" t="n">
        <v>-4474.18268107766</v>
      </c>
      <c r="AI690" s="0" t="n">
        <v>226</v>
      </c>
      <c r="AJ690" s="0" t="s">
        <v>630</v>
      </c>
      <c r="AK690" s="0" t="n">
        <v>0</v>
      </c>
      <c r="AL690" s="0" t="n">
        <v>0</v>
      </c>
      <c r="AM690" s="0" t="n">
        <v>0</v>
      </c>
    </row>
    <row r="691" customFormat="false" ht="12.75" hidden="false" customHeight="false" outlineLevel="0" collapsed="false">
      <c r="A691" s="0" t="s">
        <v>631</v>
      </c>
      <c r="B691" s="0" t="s">
        <v>427</v>
      </c>
      <c r="C691" s="0" t="s">
        <v>622</v>
      </c>
      <c r="D691" s="0" t="s">
        <v>623</v>
      </c>
      <c r="E691" s="0" t="s">
        <v>131</v>
      </c>
      <c r="F691" s="0" t="s">
        <v>244</v>
      </c>
      <c r="G691" s="0" t="s">
        <v>628</v>
      </c>
      <c r="H691" s="0" t="s">
        <v>625</v>
      </c>
      <c r="I691" s="0" t="s">
        <v>626</v>
      </c>
      <c r="J691" s="0" t="s">
        <v>627</v>
      </c>
      <c r="K691" s="475" t="n">
        <v>36861</v>
      </c>
      <c r="L691" s="254" t="n">
        <v>-302382.180682379</v>
      </c>
      <c r="M691" s="475" t="n">
        <v>36859</v>
      </c>
      <c r="N691" s="0" t="s">
        <v>136</v>
      </c>
      <c r="O691" s="0" t="n">
        <v>1.45</v>
      </c>
      <c r="P691" s="0" t="n">
        <v>0</v>
      </c>
      <c r="Q691" s="0" t="n">
        <v>0</v>
      </c>
      <c r="R691" s="0" t="n">
        <v>0</v>
      </c>
      <c r="S691" s="0" t="n">
        <v>0</v>
      </c>
      <c r="T691" s="0" t="s">
        <v>624</v>
      </c>
      <c r="U691" s="0" t="s">
        <v>149</v>
      </c>
      <c r="V691" s="0" t="s">
        <v>624</v>
      </c>
      <c r="W691" s="0" t="s">
        <v>569</v>
      </c>
      <c r="X691" s="0" t="s">
        <v>624</v>
      </c>
      <c r="Y691" s="0" t="s">
        <v>627</v>
      </c>
      <c r="Z691" s="0" t="s">
        <v>629</v>
      </c>
      <c r="AA691" s="0" t="s">
        <v>624</v>
      </c>
      <c r="AB691" s="0" t="s">
        <v>580</v>
      </c>
      <c r="AC691" s="254" t="n">
        <v>-500000</v>
      </c>
      <c r="AD691" s="254" t="n">
        <v>-35267.0670452951</v>
      </c>
      <c r="AE691" s="0" t="n">
        <v>0</v>
      </c>
      <c r="AF691" s="0" t="n">
        <v>0</v>
      </c>
      <c r="AG691" s="0" t="n">
        <v>0</v>
      </c>
      <c r="AH691" s="254" t="n">
        <v>-14918.8541074604</v>
      </c>
      <c r="AI691" s="0" t="n">
        <v>226</v>
      </c>
      <c r="AJ691" s="0" t="s">
        <v>630</v>
      </c>
      <c r="AK691" s="0" t="n">
        <v>0</v>
      </c>
      <c r="AL691" s="0" t="n">
        <v>0</v>
      </c>
      <c r="AM691" s="0" t="n">
        <v>0</v>
      </c>
    </row>
    <row r="692" customFormat="false" ht="12.75" hidden="false" customHeight="false" outlineLevel="0" collapsed="false">
      <c r="A692" s="0" t="s">
        <v>631</v>
      </c>
      <c r="B692" s="0" t="s">
        <v>427</v>
      </c>
      <c r="C692" s="0" t="s">
        <v>622</v>
      </c>
      <c r="D692" s="0" t="s">
        <v>623</v>
      </c>
      <c r="E692" s="0" t="s">
        <v>131</v>
      </c>
      <c r="F692" s="0" t="s">
        <v>244</v>
      </c>
      <c r="G692" s="0" t="s">
        <v>628</v>
      </c>
      <c r="H692" s="0" t="s">
        <v>625</v>
      </c>
      <c r="I692" s="0" t="s">
        <v>626</v>
      </c>
      <c r="J692" s="0" t="s">
        <v>627</v>
      </c>
      <c r="K692" s="475" t="n">
        <v>36892</v>
      </c>
      <c r="L692" s="254" t="n">
        <v>-507142.088999729</v>
      </c>
      <c r="M692" s="475" t="n">
        <v>36888</v>
      </c>
      <c r="N692" s="0" t="s">
        <v>136</v>
      </c>
      <c r="O692" s="0" t="n">
        <v>1.45</v>
      </c>
      <c r="P692" s="0" t="n">
        <v>0</v>
      </c>
      <c r="Q692" s="0" t="n">
        <v>0</v>
      </c>
      <c r="R692" s="0" t="n">
        <v>0</v>
      </c>
      <c r="S692" s="0" t="n">
        <v>0</v>
      </c>
      <c r="T692" s="0" t="s">
        <v>624</v>
      </c>
      <c r="U692" s="0" t="s">
        <v>149</v>
      </c>
      <c r="V692" s="0" t="s">
        <v>624</v>
      </c>
      <c r="W692" s="0" t="s">
        <v>569</v>
      </c>
      <c r="X692" s="0" t="s">
        <v>624</v>
      </c>
      <c r="Y692" s="0" t="s">
        <v>627</v>
      </c>
      <c r="Z692" s="0" t="s">
        <v>629</v>
      </c>
      <c r="AA692" s="0" t="s">
        <v>624</v>
      </c>
      <c r="AB692" s="0" t="s">
        <v>580</v>
      </c>
      <c r="AC692" s="254" t="n">
        <v>-500000</v>
      </c>
      <c r="AD692" s="254" t="n">
        <v>-36370.9800783295</v>
      </c>
      <c r="AE692" s="0" t="n">
        <v>0</v>
      </c>
      <c r="AF692" s="0" t="n">
        <v>0</v>
      </c>
      <c r="AG692" s="0" t="n">
        <v>0</v>
      </c>
      <c r="AH692" s="254" t="n">
        <v>-22760.3077254504</v>
      </c>
      <c r="AI692" s="0" t="n">
        <v>226</v>
      </c>
      <c r="AJ692" s="0" t="s">
        <v>630</v>
      </c>
      <c r="AK692" s="0" t="n">
        <v>0</v>
      </c>
      <c r="AL692" s="0" t="n">
        <v>0</v>
      </c>
      <c r="AM692" s="0" t="n">
        <v>0</v>
      </c>
    </row>
    <row r="693" customFormat="false" ht="12.75" hidden="false" customHeight="false" outlineLevel="0" collapsed="false">
      <c r="A693" s="0" t="s">
        <v>631</v>
      </c>
      <c r="B693" s="0" t="s">
        <v>427</v>
      </c>
      <c r="C693" s="0" t="s">
        <v>622</v>
      </c>
      <c r="D693" s="0" t="s">
        <v>623</v>
      </c>
      <c r="E693" s="0" t="s">
        <v>131</v>
      </c>
      <c r="F693" s="0" t="s">
        <v>244</v>
      </c>
      <c r="G693" s="0" t="s">
        <v>628</v>
      </c>
      <c r="H693" s="0" t="s">
        <v>625</v>
      </c>
      <c r="I693" s="0" t="s">
        <v>626</v>
      </c>
      <c r="J693" s="0" t="s">
        <v>627</v>
      </c>
      <c r="K693" s="475" t="n">
        <v>36923</v>
      </c>
      <c r="L693" s="254" t="n">
        <v>-493217.296663582</v>
      </c>
      <c r="M693" s="475" t="n">
        <v>36921</v>
      </c>
      <c r="N693" s="0" t="s">
        <v>136</v>
      </c>
      <c r="O693" s="0" t="n">
        <v>1.45</v>
      </c>
      <c r="P693" s="0" t="n">
        <v>0</v>
      </c>
      <c r="Q693" s="0" t="n">
        <v>0</v>
      </c>
      <c r="R693" s="0" t="n">
        <v>0</v>
      </c>
      <c r="S693" s="0" t="n">
        <v>0</v>
      </c>
      <c r="T693" s="0" t="s">
        <v>624</v>
      </c>
      <c r="U693" s="0" t="s">
        <v>149</v>
      </c>
      <c r="V693" s="0" t="s">
        <v>624</v>
      </c>
      <c r="W693" s="0" t="s">
        <v>569</v>
      </c>
      <c r="X693" s="0" t="s">
        <v>624</v>
      </c>
      <c r="Y693" s="0" t="s">
        <v>627</v>
      </c>
      <c r="Z693" s="0" t="s">
        <v>629</v>
      </c>
      <c r="AA693" s="0" t="s">
        <v>624</v>
      </c>
      <c r="AB693" s="0" t="s">
        <v>580</v>
      </c>
      <c r="AC693" s="254" t="n">
        <v>-500000</v>
      </c>
      <c r="AD693" s="254" t="n">
        <v>-40927.446316121</v>
      </c>
      <c r="AE693" s="0" t="n">
        <v>0</v>
      </c>
      <c r="AF693" s="0" t="n">
        <v>0</v>
      </c>
      <c r="AG693" s="0" t="n">
        <v>0</v>
      </c>
      <c r="AH693" s="254" t="n">
        <v>-25592.4362811684</v>
      </c>
      <c r="AI693" s="0" t="n">
        <v>226</v>
      </c>
      <c r="AJ693" s="0" t="s">
        <v>630</v>
      </c>
      <c r="AK693" s="0" t="n">
        <v>0</v>
      </c>
      <c r="AL693" s="0" t="n">
        <v>0</v>
      </c>
      <c r="AM693" s="0" t="n">
        <v>0</v>
      </c>
    </row>
    <row r="694" customFormat="false" ht="12.75" hidden="false" customHeight="false" outlineLevel="0" collapsed="false">
      <c r="A694" s="0" t="s">
        <v>631</v>
      </c>
      <c r="B694" s="0" t="s">
        <v>427</v>
      </c>
      <c r="C694" s="0" t="s">
        <v>622</v>
      </c>
      <c r="D694" s="0" t="s">
        <v>623</v>
      </c>
      <c r="E694" s="0" t="s">
        <v>131</v>
      </c>
      <c r="F694" s="0" t="s">
        <v>244</v>
      </c>
      <c r="G694" s="0" t="s">
        <v>628</v>
      </c>
      <c r="H694" s="0" t="s">
        <v>625</v>
      </c>
      <c r="I694" s="0" t="s">
        <v>626</v>
      </c>
      <c r="J694" s="0" t="s">
        <v>627</v>
      </c>
      <c r="K694" s="475" t="n">
        <v>36951</v>
      </c>
      <c r="L694" s="254" t="n">
        <v>-186609.441033034</v>
      </c>
      <c r="M694" s="475" t="n">
        <v>36949</v>
      </c>
      <c r="N694" s="0" t="s">
        <v>136</v>
      </c>
      <c r="O694" s="0" t="n">
        <v>1.45</v>
      </c>
      <c r="P694" s="0" t="n">
        <v>0</v>
      </c>
      <c r="Q694" s="0" t="n">
        <v>0</v>
      </c>
      <c r="R694" s="0" t="n">
        <v>0</v>
      </c>
      <c r="S694" s="0" t="n">
        <v>0</v>
      </c>
      <c r="T694" s="0" t="s">
        <v>624</v>
      </c>
      <c r="U694" s="0" t="s">
        <v>149</v>
      </c>
      <c r="V694" s="0" t="s">
        <v>624</v>
      </c>
      <c r="W694" s="0" t="s">
        <v>569</v>
      </c>
      <c r="X694" s="0" t="s">
        <v>624</v>
      </c>
      <c r="Y694" s="0" t="s">
        <v>627</v>
      </c>
      <c r="Z694" s="0" t="s">
        <v>629</v>
      </c>
      <c r="AA694" s="0" t="s">
        <v>624</v>
      </c>
      <c r="AB694" s="0" t="s">
        <v>580</v>
      </c>
      <c r="AC694" s="254" t="n">
        <v>-500000</v>
      </c>
      <c r="AD694" s="254" t="n">
        <v>-42032.4846603741</v>
      </c>
      <c r="AE694" s="0" t="n">
        <v>0</v>
      </c>
      <c r="AF694" s="0" t="n">
        <v>0</v>
      </c>
      <c r="AG694" s="0" t="n">
        <v>0</v>
      </c>
      <c r="AH694" s="254" t="n">
        <v>-14762.739011391</v>
      </c>
      <c r="AI694" s="0" t="n">
        <v>226</v>
      </c>
      <c r="AJ694" s="0" t="s">
        <v>630</v>
      </c>
      <c r="AK694" s="0" t="n">
        <v>0</v>
      </c>
      <c r="AL694" s="0" t="n">
        <v>0</v>
      </c>
      <c r="AM694" s="0" t="n">
        <v>0</v>
      </c>
    </row>
    <row r="695" customFormat="false" ht="12.75" hidden="false" customHeight="false" outlineLevel="0" collapsed="false">
      <c r="A695" s="0" t="s">
        <v>631</v>
      </c>
      <c r="B695" s="0" t="s">
        <v>428</v>
      </c>
      <c r="C695" s="0" t="s">
        <v>622</v>
      </c>
      <c r="D695" s="0" t="s">
        <v>623</v>
      </c>
      <c r="E695" s="0" t="s">
        <v>131</v>
      </c>
      <c r="F695" s="0" t="s">
        <v>244</v>
      </c>
      <c r="G695" s="0" t="s">
        <v>628</v>
      </c>
      <c r="H695" s="0" t="s">
        <v>625</v>
      </c>
      <c r="I695" s="0" t="s">
        <v>626</v>
      </c>
      <c r="J695" s="0" t="s">
        <v>627</v>
      </c>
      <c r="K695" s="475" t="n">
        <v>36831</v>
      </c>
      <c r="L695" s="254" t="n">
        <v>-370247.255618924</v>
      </c>
      <c r="M695" s="475" t="n">
        <v>36829</v>
      </c>
      <c r="N695" s="0" t="s">
        <v>132</v>
      </c>
      <c r="O695" s="0" t="n">
        <v>1.45</v>
      </c>
      <c r="P695" s="0" t="n">
        <v>0</v>
      </c>
      <c r="Q695" s="0" t="n">
        <v>0</v>
      </c>
      <c r="R695" s="0" t="n">
        <v>0</v>
      </c>
      <c r="S695" s="0" t="n">
        <v>0</v>
      </c>
      <c r="T695" s="0" t="s">
        <v>624</v>
      </c>
      <c r="U695" s="0" t="s">
        <v>149</v>
      </c>
      <c r="V695" s="0" t="s">
        <v>624</v>
      </c>
      <c r="W695" s="0" t="s">
        <v>569</v>
      </c>
      <c r="X695" s="0" t="s">
        <v>624</v>
      </c>
      <c r="Y695" s="0" t="s">
        <v>627</v>
      </c>
      <c r="Z695" s="0" t="s">
        <v>629</v>
      </c>
      <c r="AA695" s="0" t="s">
        <v>624</v>
      </c>
      <c r="AB695" s="0" t="s">
        <v>580</v>
      </c>
      <c r="AC695" s="254" t="n">
        <v>-500000</v>
      </c>
      <c r="AD695" s="254" t="n">
        <v>-13926.8992380681</v>
      </c>
      <c r="AE695" s="0" t="n">
        <v>0</v>
      </c>
      <c r="AF695" s="0" t="n">
        <v>0</v>
      </c>
      <c r="AG695" s="0" t="n">
        <v>0</v>
      </c>
      <c r="AH695" s="254" t="n">
        <v>15281.3610252074</v>
      </c>
      <c r="AI695" s="0" t="n">
        <v>226</v>
      </c>
      <c r="AJ695" s="0" t="s">
        <v>630</v>
      </c>
      <c r="AK695" s="0" t="n">
        <v>0</v>
      </c>
      <c r="AL695" s="0" t="n">
        <v>0</v>
      </c>
      <c r="AM695" s="0" t="n">
        <v>0</v>
      </c>
    </row>
    <row r="696" customFormat="false" ht="12.75" hidden="false" customHeight="false" outlineLevel="0" collapsed="false">
      <c r="A696" s="0" t="s">
        <v>631</v>
      </c>
      <c r="B696" s="0" t="s">
        <v>428</v>
      </c>
      <c r="C696" s="0" t="s">
        <v>622</v>
      </c>
      <c r="D696" s="0" t="s">
        <v>623</v>
      </c>
      <c r="E696" s="0" t="s">
        <v>131</v>
      </c>
      <c r="F696" s="0" t="s">
        <v>244</v>
      </c>
      <c r="G696" s="0" t="s">
        <v>628</v>
      </c>
      <c r="H696" s="0" t="s">
        <v>625</v>
      </c>
      <c r="I696" s="0" t="s">
        <v>626</v>
      </c>
      <c r="J696" s="0" t="s">
        <v>627</v>
      </c>
      <c r="K696" s="475" t="n">
        <v>36861</v>
      </c>
      <c r="L696" s="254" t="n">
        <v>-206563.443550695</v>
      </c>
      <c r="M696" s="475" t="n">
        <v>36859</v>
      </c>
      <c r="N696" s="0" t="s">
        <v>132</v>
      </c>
      <c r="O696" s="0" t="n">
        <v>1.45</v>
      </c>
      <c r="P696" s="0" t="n">
        <v>0</v>
      </c>
      <c r="Q696" s="0" t="n">
        <v>0</v>
      </c>
      <c r="R696" s="0" t="n">
        <v>0</v>
      </c>
      <c r="S696" s="0" t="n">
        <v>0</v>
      </c>
      <c r="T696" s="0" t="s">
        <v>624</v>
      </c>
      <c r="U696" s="0" t="s">
        <v>149</v>
      </c>
      <c r="V696" s="0" t="s">
        <v>624</v>
      </c>
      <c r="W696" s="0" t="s">
        <v>569</v>
      </c>
      <c r="X696" s="0" t="s">
        <v>624</v>
      </c>
      <c r="Y696" s="0" t="s">
        <v>627</v>
      </c>
      <c r="Z696" s="0" t="s">
        <v>629</v>
      </c>
      <c r="AA696" s="0" t="s">
        <v>624</v>
      </c>
      <c r="AB696" s="0" t="s">
        <v>580</v>
      </c>
      <c r="AC696" s="254" t="n">
        <v>-500000</v>
      </c>
      <c r="AD696" s="254" t="n">
        <v>-35267.0670452951</v>
      </c>
      <c r="AE696" s="0" t="n">
        <v>0</v>
      </c>
      <c r="AF696" s="0" t="n">
        <v>0</v>
      </c>
      <c r="AG696" s="0" t="n">
        <v>0</v>
      </c>
      <c r="AH696" s="254" t="n">
        <v>7180.99876725819</v>
      </c>
      <c r="AI696" s="0" t="n">
        <v>226</v>
      </c>
      <c r="AJ696" s="0" t="s">
        <v>630</v>
      </c>
      <c r="AK696" s="0" t="n">
        <v>0</v>
      </c>
      <c r="AL696" s="0" t="n">
        <v>0</v>
      </c>
      <c r="AM696" s="0" t="n">
        <v>0</v>
      </c>
    </row>
    <row r="697" customFormat="false" ht="12.75" hidden="false" customHeight="false" outlineLevel="0" collapsed="false">
      <c r="A697" s="0" t="s">
        <v>631</v>
      </c>
      <c r="B697" s="0" t="s">
        <v>428</v>
      </c>
      <c r="C697" s="0" t="s">
        <v>622</v>
      </c>
      <c r="D697" s="0" t="s">
        <v>623</v>
      </c>
      <c r="E697" s="0" t="s">
        <v>131</v>
      </c>
      <c r="F697" s="0" t="s">
        <v>244</v>
      </c>
      <c r="G697" s="0" t="s">
        <v>628</v>
      </c>
      <c r="H697" s="0" t="s">
        <v>625</v>
      </c>
      <c r="I697" s="0" t="s">
        <v>626</v>
      </c>
      <c r="J697" s="0" t="s">
        <v>627</v>
      </c>
      <c r="K697" s="475" t="n">
        <v>36892</v>
      </c>
      <c r="L697" s="254" t="n">
        <v>-155270.740686028</v>
      </c>
      <c r="M697" s="475" t="n">
        <v>36888</v>
      </c>
      <c r="N697" s="0" t="s">
        <v>132</v>
      </c>
      <c r="O697" s="0" t="n">
        <v>1.45</v>
      </c>
      <c r="P697" s="0" t="n">
        <v>0</v>
      </c>
      <c r="Q697" s="0" t="n">
        <v>0</v>
      </c>
      <c r="R697" s="0" t="n">
        <v>0</v>
      </c>
      <c r="S697" s="0" t="n">
        <v>0</v>
      </c>
      <c r="T697" s="0" t="s">
        <v>624</v>
      </c>
      <c r="U697" s="0" t="s">
        <v>149</v>
      </c>
      <c r="V697" s="0" t="s">
        <v>624</v>
      </c>
      <c r="W697" s="0" t="s">
        <v>569</v>
      </c>
      <c r="X697" s="0" t="s">
        <v>624</v>
      </c>
      <c r="Y697" s="0" t="s">
        <v>627</v>
      </c>
      <c r="Z697" s="0" t="s">
        <v>629</v>
      </c>
      <c r="AA697" s="0" t="s">
        <v>624</v>
      </c>
      <c r="AB697" s="0" t="s">
        <v>580</v>
      </c>
      <c r="AC697" s="254" t="n">
        <v>-500000</v>
      </c>
      <c r="AD697" s="254" t="n">
        <v>-36370.9800783295</v>
      </c>
      <c r="AE697" s="0" t="n">
        <v>0</v>
      </c>
      <c r="AF697" s="0" t="n">
        <v>0</v>
      </c>
      <c r="AG697" s="0" t="n">
        <v>0</v>
      </c>
      <c r="AH697" s="254" t="n">
        <v>6546.67089951786</v>
      </c>
      <c r="AI697" s="0" t="n">
        <v>226</v>
      </c>
      <c r="AJ697" s="0" t="s">
        <v>630</v>
      </c>
      <c r="AK697" s="0" t="n">
        <v>0</v>
      </c>
      <c r="AL697" s="0" t="n">
        <v>0</v>
      </c>
      <c r="AM697" s="0" t="n">
        <v>0</v>
      </c>
    </row>
    <row r="698" customFormat="false" ht="12.75" hidden="false" customHeight="false" outlineLevel="0" collapsed="false">
      <c r="A698" s="0" t="s">
        <v>631</v>
      </c>
      <c r="B698" s="0" t="s">
        <v>428</v>
      </c>
      <c r="C698" s="0" t="s">
        <v>622</v>
      </c>
      <c r="D698" s="0" t="s">
        <v>623</v>
      </c>
      <c r="E698" s="0" t="s">
        <v>131</v>
      </c>
      <c r="F698" s="0" t="s">
        <v>244</v>
      </c>
      <c r="G698" s="0" t="s">
        <v>628</v>
      </c>
      <c r="H698" s="0" t="s">
        <v>625</v>
      </c>
      <c r="I698" s="0" t="s">
        <v>626</v>
      </c>
      <c r="J698" s="0" t="s">
        <v>627</v>
      </c>
      <c r="K698" s="475" t="n">
        <v>36923</v>
      </c>
      <c r="L698" s="254" t="n">
        <v>-182404.004512828</v>
      </c>
      <c r="M698" s="475" t="n">
        <v>36921</v>
      </c>
      <c r="N698" s="0" t="s">
        <v>132</v>
      </c>
      <c r="O698" s="0" t="n">
        <v>1.45</v>
      </c>
      <c r="P698" s="0" t="n">
        <v>0</v>
      </c>
      <c r="Q698" s="0" t="n">
        <v>0</v>
      </c>
      <c r="R698" s="0" t="n">
        <v>0</v>
      </c>
      <c r="S698" s="0" t="n">
        <v>0</v>
      </c>
      <c r="T698" s="0" t="s">
        <v>624</v>
      </c>
      <c r="U698" s="0" t="s">
        <v>149</v>
      </c>
      <c r="V698" s="0" t="s">
        <v>624</v>
      </c>
      <c r="W698" s="0" t="s">
        <v>569</v>
      </c>
      <c r="X698" s="0" t="s">
        <v>624</v>
      </c>
      <c r="Y698" s="0" t="s">
        <v>627</v>
      </c>
      <c r="Z698" s="0" t="s">
        <v>629</v>
      </c>
      <c r="AA698" s="0" t="s">
        <v>624</v>
      </c>
      <c r="AB698" s="0" t="s">
        <v>580</v>
      </c>
      <c r="AC698" s="254" t="n">
        <v>-500000</v>
      </c>
      <c r="AD698" s="254" t="n">
        <v>-40927.446316121</v>
      </c>
      <c r="AE698" s="0" t="n">
        <v>0</v>
      </c>
      <c r="AF698" s="0" t="n">
        <v>0</v>
      </c>
      <c r="AG698" s="0" t="n">
        <v>0</v>
      </c>
      <c r="AH698" s="254" t="n">
        <v>8385.29202860806</v>
      </c>
      <c r="AI698" s="0" t="n">
        <v>226</v>
      </c>
      <c r="AJ698" s="0" t="s">
        <v>630</v>
      </c>
      <c r="AK698" s="0" t="n">
        <v>0</v>
      </c>
      <c r="AL698" s="0" t="n">
        <v>0</v>
      </c>
      <c r="AM698" s="0" t="n">
        <v>0</v>
      </c>
    </row>
    <row r="699" customFormat="false" ht="12.75" hidden="false" customHeight="false" outlineLevel="0" collapsed="false">
      <c r="A699" s="0" t="s">
        <v>631</v>
      </c>
      <c r="B699" s="0" t="s">
        <v>428</v>
      </c>
      <c r="C699" s="0" t="s">
        <v>622</v>
      </c>
      <c r="D699" s="0" t="s">
        <v>623</v>
      </c>
      <c r="E699" s="0" t="s">
        <v>131</v>
      </c>
      <c r="F699" s="0" t="s">
        <v>244</v>
      </c>
      <c r="G699" s="0" t="s">
        <v>628</v>
      </c>
      <c r="H699" s="0" t="s">
        <v>625</v>
      </c>
      <c r="I699" s="0" t="s">
        <v>626</v>
      </c>
      <c r="J699" s="0" t="s">
        <v>627</v>
      </c>
      <c r="K699" s="475" t="n">
        <v>36951</v>
      </c>
      <c r="L699" s="254" t="n">
        <v>-367749.079929258</v>
      </c>
      <c r="M699" s="475" t="n">
        <v>36949</v>
      </c>
      <c r="N699" s="0" t="s">
        <v>132</v>
      </c>
      <c r="O699" s="0" t="n">
        <v>1.45</v>
      </c>
      <c r="P699" s="0" t="n">
        <v>0</v>
      </c>
      <c r="Q699" s="0" t="n">
        <v>0</v>
      </c>
      <c r="R699" s="0" t="n">
        <v>0</v>
      </c>
      <c r="S699" s="0" t="n">
        <v>0</v>
      </c>
      <c r="T699" s="0" t="s">
        <v>624</v>
      </c>
      <c r="U699" s="0" t="s">
        <v>149</v>
      </c>
      <c r="V699" s="0" t="s">
        <v>624</v>
      </c>
      <c r="W699" s="0" t="s">
        <v>569</v>
      </c>
      <c r="X699" s="0" t="s">
        <v>624</v>
      </c>
      <c r="Y699" s="0" t="s">
        <v>627</v>
      </c>
      <c r="Z699" s="0" t="s">
        <v>629</v>
      </c>
      <c r="AA699" s="0" t="s">
        <v>624</v>
      </c>
      <c r="AB699" s="0" t="s">
        <v>580</v>
      </c>
      <c r="AC699" s="254" t="n">
        <v>-500000</v>
      </c>
      <c r="AD699" s="254" t="n">
        <v>-42032.4846603741</v>
      </c>
      <c r="AE699" s="0" t="n">
        <v>0</v>
      </c>
      <c r="AF699" s="0" t="n">
        <v>0</v>
      </c>
      <c r="AG699" s="0" t="n">
        <v>0</v>
      </c>
      <c r="AH699" s="254" t="n">
        <v>14205.3279423835</v>
      </c>
      <c r="AI699" s="0" t="n">
        <v>226</v>
      </c>
      <c r="AJ699" s="0" t="s">
        <v>630</v>
      </c>
      <c r="AK699" s="0" t="n">
        <v>0</v>
      </c>
      <c r="AL699" s="0" t="n">
        <v>0</v>
      </c>
      <c r="AM699" s="0" t="n">
        <v>0</v>
      </c>
    </row>
    <row r="700" customFormat="false" ht="12.75" hidden="false" customHeight="false" outlineLevel="0" collapsed="false">
      <c r="A700" s="0" t="s">
        <v>631</v>
      </c>
      <c r="B700" s="0" t="s">
        <v>429</v>
      </c>
      <c r="C700" s="0" t="s">
        <v>622</v>
      </c>
      <c r="D700" s="0" t="s">
        <v>623</v>
      </c>
      <c r="E700" s="0" t="s">
        <v>131</v>
      </c>
      <c r="F700" s="0" t="s">
        <v>244</v>
      </c>
      <c r="G700" s="0" t="s">
        <v>628</v>
      </c>
      <c r="H700" s="0" t="s">
        <v>625</v>
      </c>
      <c r="I700" s="0" t="s">
        <v>626</v>
      </c>
      <c r="J700" s="0" t="s">
        <v>627</v>
      </c>
      <c r="K700" s="475" t="n">
        <v>36831</v>
      </c>
      <c r="L700" s="254" t="n">
        <v>365285.37794141</v>
      </c>
      <c r="M700" s="475" t="n">
        <v>36829</v>
      </c>
      <c r="N700" s="0" t="s">
        <v>132</v>
      </c>
      <c r="O700" s="0" t="n">
        <v>0.95</v>
      </c>
      <c r="P700" s="0" t="n">
        <v>0</v>
      </c>
      <c r="Q700" s="0" t="n">
        <v>0</v>
      </c>
      <c r="R700" s="0" t="n">
        <v>0</v>
      </c>
      <c r="S700" s="0" t="n">
        <v>0</v>
      </c>
      <c r="T700" s="0" t="s">
        <v>624</v>
      </c>
      <c r="U700" s="0" t="s">
        <v>149</v>
      </c>
      <c r="V700" s="0" t="s">
        <v>624</v>
      </c>
      <c r="W700" s="0" t="s">
        <v>569</v>
      </c>
      <c r="X700" s="0" t="s">
        <v>624</v>
      </c>
      <c r="Y700" s="0" t="s">
        <v>627</v>
      </c>
      <c r="Z700" s="0" t="s">
        <v>629</v>
      </c>
      <c r="AA700" s="0" t="s">
        <v>624</v>
      </c>
      <c r="AB700" s="0" t="s">
        <v>580</v>
      </c>
      <c r="AC700" s="254" t="n">
        <v>1000000</v>
      </c>
      <c r="AD700" s="254" t="n">
        <v>42890.9042801451</v>
      </c>
      <c r="AE700" s="0" t="n">
        <v>0</v>
      </c>
      <c r="AF700" s="0" t="n">
        <v>0</v>
      </c>
      <c r="AG700" s="0" t="n">
        <v>0</v>
      </c>
      <c r="AH700" s="254" t="n">
        <v>-21052.3130909106</v>
      </c>
      <c r="AI700" s="0" t="n">
        <v>226</v>
      </c>
      <c r="AJ700" s="0" t="s">
        <v>630</v>
      </c>
      <c r="AK700" s="0" t="n">
        <v>0</v>
      </c>
      <c r="AL700" s="0" t="n">
        <v>0</v>
      </c>
      <c r="AM700" s="0" t="n">
        <v>0</v>
      </c>
    </row>
    <row r="701" customFormat="false" ht="12.75" hidden="false" customHeight="false" outlineLevel="0" collapsed="false">
      <c r="A701" s="0" t="s">
        <v>631</v>
      </c>
      <c r="B701" s="0" t="s">
        <v>429</v>
      </c>
      <c r="C701" s="0" t="s">
        <v>622</v>
      </c>
      <c r="D701" s="0" t="s">
        <v>623</v>
      </c>
      <c r="E701" s="0" t="s">
        <v>131</v>
      </c>
      <c r="F701" s="0" t="s">
        <v>244</v>
      </c>
      <c r="G701" s="0" t="s">
        <v>628</v>
      </c>
      <c r="H701" s="0" t="s">
        <v>625</v>
      </c>
      <c r="I701" s="0" t="s">
        <v>626</v>
      </c>
      <c r="J701" s="0" t="s">
        <v>627</v>
      </c>
      <c r="K701" s="475" t="n">
        <v>36861</v>
      </c>
      <c r="L701" s="254" t="n">
        <v>206779.590233654</v>
      </c>
      <c r="M701" s="475" t="n">
        <v>36859</v>
      </c>
      <c r="N701" s="0" t="s">
        <v>132</v>
      </c>
      <c r="O701" s="0" t="n">
        <v>0.95</v>
      </c>
      <c r="P701" s="0" t="n">
        <v>0</v>
      </c>
      <c r="Q701" s="0" t="n">
        <v>0</v>
      </c>
      <c r="R701" s="0" t="n">
        <v>0</v>
      </c>
      <c r="S701" s="0" t="n">
        <v>0</v>
      </c>
      <c r="T701" s="0" t="s">
        <v>624</v>
      </c>
      <c r="U701" s="0" t="s">
        <v>149</v>
      </c>
      <c r="V701" s="0" t="s">
        <v>624</v>
      </c>
      <c r="W701" s="0" t="s">
        <v>569</v>
      </c>
      <c r="X701" s="0" t="s">
        <v>624</v>
      </c>
      <c r="Y701" s="0" t="s">
        <v>627</v>
      </c>
      <c r="Z701" s="0" t="s">
        <v>629</v>
      </c>
      <c r="AA701" s="0" t="s">
        <v>624</v>
      </c>
      <c r="AB701" s="0" t="s">
        <v>580</v>
      </c>
      <c r="AC701" s="254" t="n">
        <v>1000000</v>
      </c>
      <c r="AD701" s="254" t="n">
        <v>62140.9663420027</v>
      </c>
      <c r="AE701" s="0" t="n">
        <v>0</v>
      </c>
      <c r="AF701" s="0" t="n">
        <v>0</v>
      </c>
      <c r="AG701" s="0" t="n">
        <v>0</v>
      </c>
      <c r="AH701" s="254" t="n">
        <v>-8118.97310446328</v>
      </c>
      <c r="AI701" s="0" t="n">
        <v>226</v>
      </c>
      <c r="AJ701" s="0" t="s">
        <v>630</v>
      </c>
      <c r="AK701" s="0" t="n">
        <v>0</v>
      </c>
      <c r="AL701" s="0" t="n">
        <v>0</v>
      </c>
      <c r="AM701" s="0" t="n">
        <v>0</v>
      </c>
    </row>
    <row r="702" customFormat="false" ht="12.75" hidden="false" customHeight="false" outlineLevel="0" collapsed="false">
      <c r="A702" s="0" t="s">
        <v>631</v>
      </c>
      <c r="B702" s="0" t="s">
        <v>429</v>
      </c>
      <c r="C702" s="0" t="s">
        <v>622</v>
      </c>
      <c r="D702" s="0" t="s">
        <v>623</v>
      </c>
      <c r="E702" s="0" t="s">
        <v>131</v>
      </c>
      <c r="F702" s="0" t="s">
        <v>244</v>
      </c>
      <c r="G702" s="0" t="s">
        <v>628</v>
      </c>
      <c r="H702" s="0" t="s">
        <v>625</v>
      </c>
      <c r="I702" s="0" t="s">
        <v>626</v>
      </c>
      <c r="J702" s="0" t="s">
        <v>627</v>
      </c>
      <c r="K702" s="475" t="n">
        <v>36892</v>
      </c>
      <c r="L702" s="254" t="n">
        <v>154296.153120931</v>
      </c>
      <c r="M702" s="475" t="n">
        <v>36888</v>
      </c>
      <c r="N702" s="0" t="s">
        <v>132</v>
      </c>
      <c r="O702" s="0" t="n">
        <v>0.95</v>
      </c>
      <c r="P702" s="0" t="n">
        <v>0</v>
      </c>
      <c r="Q702" s="0" t="n">
        <v>0</v>
      </c>
      <c r="R702" s="0" t="n">
        <v>0</v>
      </c>
      <c r="S702" s="0" t="n">
        <v>0</v>
      </c>
      <c r="T702" s="0" t="s">
        <v>624</v>
      </c>
      <c r="U702" s="0" t="s">
        <v>149</v>
      </c>
      <c r="V702" s="0" t="s">
        <v>624</v>
      </c>
      <c r="W702" s="0" t="s">
        <v>569</v>
      </c>
      <c r="X702" s="0" t="s">
        <v>624</v>
      </c>
      <c r="Y702" s="0" t="s">
        <v>627</v>
      </c>
      <c r="Z702" s="0" t="s">
        <v>629</v>
      </c>
      <c r="AA702" s="0" t="s">
        <v>624</v>
      </c>
      <c r="AB702" s="0" t="s">
        <v>580</v>
      </c>
      <c r="AC702" s="254" t="n">
        <v>1000000</v>
      </c>
      <c r="AD702" s="254" t="n">
        <v>58574.1506508834</v>
      </c>
      <c r="AE702" s="0" t="n">
        <v>0</v>
      </c>
      <c r="AF702" s="0" t="n">
        <v>0</v>
      </c>
      <c r="AG702" s="0" t="n">
        <v>0</v>
      </c>
      <c r="AH702" s="254" t="n">
        <v>-7225.33047493725</v>
      </c>
      <c r="AI702" s="0" t="n">
        <v>226</v>
      </c>
      <c r="AJ702" s="0" t="s">
        <v>630</v>
      </c>
      <c r="AK702" s="0" t="n">
        <v>0</v>
      </c>
      <c r="AL702" s="0" t="n">
        <v>0</v>
      </c>
      <c r="AM702" s="0" t="n">
        <v>0</v>
      </c>
    </row>
    <row r="703" customFormat="false" ht="12.75" hidden="false" customHeight="false" outlineLevel="0" collapsed="false">
      <c r="A703" s="0" t="s">
        <v>631</v>
      </c>
      <c r="B703" s="0" t="s">
        <v>429</v>
      </c>
      <c r="C703" s="0" t="s">
        <v>622</v>
      </c>
      <c r="D703" s="0" t="s">
        <v>623</v>
      </c>
      <c r="E703" s="0" t="s">
        <v>131</v>
      </c>
      <c r="F703" s="0" t="s">
        <v>244</v>
      </c>
      <c r="G703" s="0" t="s">
        <v>628</v>
      </c>
      <c r="H703" s="0" t="s">
        <v>625</v>
      </c>
      <c r="I703" s="0" t="s">
        <v>626</v>
      </c>
      <c r="J703" s="0" t="s">
        <v>627</v>
      </c>
      <c r="K703" s="475" t="n">
        <v>36923</v>
      </c>
      <c r="L703" s="254" t="n">
        <v>190761.07387738</v>
      </c>
      <c r="M703" s="475" t="n">
        <v>36921</v>
      </c>
      <c r="N703" s="0" t="s">
        <v>132</v>
      </c>
      <c r="O703" s="0" t="n">
        <v>0.95</v>
      </c>
      <c r="P703" s="0" t="n">
        <v>0</v>
      </c>
      <c r="Q703" s="0" t="n">
        <v>0</v>
      </c>
      <c r="R703" s="0" t="n">
        <v>0</v>
      </c>
      <c r="S703" s="0" t="n">
        <v>0</v>
      </c>
      <c r="T703" s="0" t="s">
        <v>624</v>
      </c>
      <c r="U703" s="0" t="s">
        <v>149</v>
      </c>
      <c r="V703" s="0" t="s">
        <v>624</v>
      </c>
      <c r="W703" s="0" t="s">
        <v>569</v>
      </c>
      <c r="X703" s="0" t="s">
        <v>624</v>
      </c>
      <c r="Y703" s="0" t="s">
        <v>627</v>
      </c>
      <c r="Z703" s="0" t="s">
        <v>629</v>
      </c>
      <c r="AA703" s="0" t="s">
        <v>624</v>
      </c>
      <c r="AB703" s="0" t="s">
        <v>580</v>
      </c>
      <c r="AC703" s="254" t="n">
        <v>1000000</v>
      </c>
      <c r="AD703" s="254" t="n">
        <v>68957.8119889388</v>
      </c>
      <c r="AE703" s="0" t="n">
        <v>0</v>
      </c>
      <c r="AF703" s="0" t="n">
        <v>0</v>
      </c>
      <c r="AG703" s="0" t="n">
        <v>0</v>
      </c>
      <c r="AH703" s="254" t="n">
        <v>-9846.62615787357</v>
      </c>
      <c r="AI703" s="0" t="n">
        <v>226</v>
      </c>
      <c r="AJ703" s="0" t="s">
        <v>630</v>
      </c>
      <c r="AK703" s="0" t="n">
        <v>0</v>
      </c>
      <c r="AL703" s="0" t="n">
        <v>0</v>
      </c>
      <c r="AM703" s="0" t="n">
        <v>0</v>
      </c>
    </row>
    <row r="704" customFormat="false" ht="12.75" hidden="false" customHeight="false" outlineLevel="0" collapsed="false">
      <c r="A704" s="0" t="s">
        <v>631</v>
      </c>
      <c r="B704" s="0" t="s">
        <v>429</v>
      </c>
      <c r="C704" s="0" t="s">
        <v>622</v>
      </c>
      <c r="D704" s="0" t="s">
        <v>623</v>
      </c>
      <c r="E704" s="0" t="s">
        <v>131</v>
      </c>
      <c r="F704" s="0" t="s">
        <v>244</v>
      </c>
      <c r="G704" s="0" t="s">
        <v>628</v>
      </c>
      <c r="H704" s="0" t="s">
        <v>625</v>
      </c>
      <c r="I704" s="0" t="s">
        <v>626</v>
      </c>
      <c r="J704" s="0" t="s">
        <v>627</v>
      </c>
      <c r="K704" s="475" t="n">
        <v>36951</v>
      </c>
      <c r="L704" s="254" t="n">
        <v>439193.574841963</v>
      </c>
      <c r="M704" s="475" t="n">
        <v>36949</v>
      </c>
      <c r="N704" s="0" t="s">
        <v>132</v>
      </c>
      <c r="O704" s="0" t="n">
        <v>0.95</v>
      </c>
      <c r="P704" s="0" t="n">
        <v>0</v>
      </c>
      <c r="Q704" s="0" t="n">
        <v>0</v>
      </c>
      <c r="R704" s="0" t="n">
        <v>0</v>
      </c>
      <c r="S704" s="0" t="n">
        <v>0</v>
      </c>
      <c r="T704" s="0" t="s">
        <v>624</v>
      </c>
      <c r="U704" s="0" t="s">
        <v>149</v>
      </c>
      <c r="V704" s="0" t="s">
        <v>624</v>
      </c>
      <c r="W704" s="0" t="s">
        <v>569</v>
      </c>
      <c r="X704" s="0" t="s">
        <v>624</v>
      </c>
      <c r="Y704" s="0" t="s">
        <v>627</v>
      </c>
      <c r="Z704" s="0" t="s">
        <v>629</v>
      </c>
      <c r="AA704" s="0" t="s">
        <v>624</v>
      </c>
      <c r="AB704" s="0" t="s">
        <v>580</v>
      </c>
      <c r="AC704" s="254" t="n">
        <v>1000000</v>
      </c>
      <c r="AD704" s="254" t="n">
        <v>88919.3778648612</v>
      </c>
      <c r="AE704" s="0" t="n">
        <v>0</v>
      </c>
      <c r="AF704" s="0" t="n">
        <v>0</v>
      </c>
      <c r="AG704" s="0" t="n">
        <v>0</v>
      </c>
      <c r="AH704" s="254" t="n">
        <v>-19838.1830838166</v>
      </c>
      <c r="AI704" s="0" t="n">
        <v>226</v>
      </c>
      <c r="AJ704" s="0" t="s">
        <v>630</v>
      </c>
      <c r="AK704" s="0" t="n">
        <v>0</v>
      </c>
      <c r="AL704" s="0" t="n">
        <v>0</v>
      </c>
      <c r="AM704" s="0" t="n">
        <v>0</v>
      </c>
    </row>
    <row r="705" customFormat="false" ht="12.75" hidden="false" customHeight="false" outlineLevel="0" collapsed="false">
      <c r="A705" s="0" t="s">
        <v>631</v>
      </c>
      <c r="B705" s="0" t="s">
        <v>430</v>
      </c>
      <c r="C705" s="0" t="s">
        <v>622</v>
      </c>
      <c r="D705" s="0" t="s">
        <v>623</v>
      </c>
      <c r="E705" s="0" t="s">
        <v>131</v>
      </c>
      <c r="F705" s="0" t="s">
        <v>198</v>
      </c>
      <c r="G705" s="0" t="s">
        <v>628</v>
      </c>
      <c r="H705" s="0" t="s">
        <v>625</v>
      </c>
      <c r="I705" s="0" t="s">
        <v>626</v>
      </c>
      <c r="J705" s="0" t="s">
        <v>627</v>
      </c>
      <c r="K705" s="475" t="n">
        <v>36800</v>
      </c>
      <c r="L705" s="254" t="n">
        <v>509416.194654487</v>
      </c>
      <c r="M705" s="475" t="n">
        <v>36797</v>
      </c>
      <c r="N705" s="0" t="s">
        <v>132</v>
      </c>
      <c r="O705" s="0" t="n">
        <v>-0.65</v>
      </c>
      <c r="P705" s="0" t="n">
        <v>0</v>
      </c>
      <c r="Q705" s="0" t="n">
        <v>0</v>
      </c>
      <c r="R705" s="0" t="n">
        <v>0</v>
      </c>
      <c r="S705" s="0" t="n">
        <v>0</v>
      </c>
      <c r="T705" s="0" t="s">
        <v>624</v>
      </c>
      <c r="U705" s="0" t="s">
        <v>151</v>
      </c>
      <c r="V705" s="0" t="s">
        <v>624</v>
      </c>
      <c r="W705" s="0" t="s">
        <v>569</v>
      </c>
      <c r="X705" s="0" t="s">
        <v>624</v>
      </c>
      <c r="Y705" s="0" t="s">
        <v>627</v>
      </c>
      <c r="Z705" s="0" t="s">
        <v>629</v>
      </c>
      <c r="AA705" s="0" t="s">
        <v>624</v>
      </c>
      <c r="AB705" s="0" t="s">
        <v>580</v>
      </c>
      <c r="AC705" s="254" t="n">
        <v>2000000</v>
      </c>
      <c r="AD705" s="254" t="n">
        <v>66784.9721725497</v>
      </c>
      <c r="AE705" s="0" t="n">
        <v>0</v>
      </c>
      <c r="AF705" s="0" t="n">
        <v>0</v>
      </c>
      <c r="AG705" s="0" t="n">
        <v>0</v>
      </c>
      <c r="AH705" s="254" t="n">
        <v>80806.7460040564</v>
      </c>
      <c r="AI705" s="0" t="n">
        <v>226</v>
      </c>
      <c r="AJ705" s="0" t="s">
        <v>630</v>
      </c>
      <c r="AK705" s="0" t="n">
        <v>0</v>
      </c>
      <c r="AL705" s="0" t="n">
        <v>0</v>
      </c>
      <c r="AM705" s="0" t="n">
        <v>0</v>
      </c>
    </row>
    <row r="706" customFormat="false" ht="12.75" hidden="false" customHeight="false" outlineLevel="0" collapsed="false">
      <c r="A706" s="0" t="s">
        <v>631</v>
      </c>
      <c r="B706" s="0" t="s">
        <v>431</v>
      </c>
      <c r="C706" s="0" t="s">
        <v>622</v>
      </c>
      <c r="D706" s="0" t="s">
        <v>623</v>
      </c>
      <c r="E706" s="0" t="s">
        <v>131</v>
      </c>
      <c r="F706" s="0" t="s">
        <v>198</v>
      </c>
      <c r="G706" s="0" t="s">
        <v>628</v>
      </c>
      <c r="H706" s="0" t="s">
        <v>625</v>
      </c>
      <c r="I706" s="0" t="s">
        <v>626</v>
      </c>
      <c r="J706" s="0" t="s">
        <v>627</v>
      </c>
      <c r="K706" s="475" t="n">
        <v>36800</v>
      </c>
      <c r="L706" s="254" t="n">
        <v>509416.194654487</v>
      </c>
      <c r="M706" s="475" t="n">
        <v>36797</v>
      </c>
      <c r="N706" s="0" t="s">
        <v>132</v>
      </c>
      <c r="O706" s="0" t="n">
        <v>-0.65</v>
      </c>
      <c r="P706" s="0" t="n">
        <v>0</v>
      </c>
      <c r="Q706" s="0" t="n">
        <v>0</v>
      </c>
      <c r="R706" s="0" t="n">
        <v>0</v>
      </c>
      <c r="S706" s="0" t="n">
        <v>0</v>
      </c>
      <c r="T706" s="0" t="s">
        <v>624</v>
      </c>
      <c r="U706" s="0" t="s">
        <v>151</v>
      </c>
      <c r="V706" s="0" t="s">
        <v>624</v>
      </c>
      <c r="W706" s="0" t="s">
        <v>569</v>
      </c>
      <c r="X706" s="0" t="s">
        <v>624</v>
      </c>
      <c r="Y706" s="0" t="s">
        <v>627</v>
      </c>
      <c r="Z706" s="0" t="s">
        <v>629</v>
      </c>
      <c r="AA706" s="0" t="s">
        <v>624</v>
      </c>
      <c r="AB706" s="0" t="s">
        <v>580</v>
      </c>
      <c r="AC706" s="254" t="n">
        <v>2000000</v>
      </c>
      <c r="AD706" s="254" t="n">
        <v>66784.9721725497</v>
      </c>
      <c r="AE706" s="0" t="n">
        <v>0</v>
      </c>
      <c r="AF706" s="0" t="n">
        <v>0</v>
      </c>
      <c r="AG706" s="0" t="n">
        <v>0</v>
      </c>
      <c r="AH706" s="254" t="n">
        <v>80806.7460040564</v>
      </c>
      <c r="AI706" s="0" t="n">
        <v>226</v>
      </c>
      <c r="AJ706" s="0" t="s">
        <v>630</v>
      </c>
      <c r="AK706" s="0" t="n">
        <v>0</v>
      </c>
      <c r="AL706" s="0" t="n">
        <v>0</v>
      </c>
      <c r="AM706" s="0" t="n">
        <v>0</v>
      </c>
    </row>
    <row r="707" customFormat="false" ht="12.75" hidden="false" customHeight="false" outlineLevel="0" collapsed="false">
      <c r="A707" s="0" t="s">
        <v>631</v>
      </c>
      <c r="B707" s="0" t="s">
        <v>432</v>
      </c>
      <c r="C707" s="0" t="s">
        <v>622</v>
      </c>
      <c r="D707" s="0" t="s">
        <v>623</v>
      </c>
      <c r="E707" s="0" t="s">
        <v>131</v>
      </c>
      <c r="F707" s="0" t="s">
        <v>206</v>
      </c>
      <c r="G707" s="0" t="s">
        <v>628</v>
      </c>
      <c r="H707" s="0" t="s">
        <v>625</v>
      </c>
      <c r="I707" s="0" t="s">
        <v>626</v>
      </c>
      <c r="J707" s="0" t="s">
        <v>627</v>
      </c>
      <c r="K707" s="475" t="n">
        <v>36982</v>
      </c>
      <c r="L707" s="254" t="n">
        <v>92397.7015469936</v>
      </c>
      <c r="M707" s="475" t="n">
        <v>36979</v>
      </c>
      <c r="N707" s="0" t="s">
        <v>136</v>
      </c>
      <c r="O707" s="0" t="n">
        <v>0.42</v>
      </c>
      <c r="P707" s="0" t="n">
        <v>0</v>
      </c>
      <c r="Q707" s="0" t="n">
        <v>0</v>
      </c>
      <c r="R707" s="0" t="n">
        <v>0</v>
      </c>
      <c r="S707" s="0" t="n">
        <v>0</v>
      </c>
      <c r="T707" s="0" t="s">
        <v>624</v>
      </c>
      <c r="U707" s="0" t="s">
        <v>149</v>
      </c>
      <c r="V707" s="0" t="s">
        <v>624</v>
      </c>
      <c r="W707" s="0" t="s">
        <v>569</v>
      </c>
      <c r="X707" s="0" t="s">
        <v>624</v>
      </c>
      <c r="Y707" s="0" t="s">
        <v>627</v>
      </c>
      <c r="Z707" s="0" t="s">
        <v>629</v>
      </c>
      <c r="AA707" s="0" t="s">
        <v>624</v>
      </c>
      <c r="AB707" s="0" t="s">
        <v>580</v>
      </c>
      <c r="AC707" s="254" t="n">
        <v>500000</v>
      </c>
      <c r="AD707" s="254" t="n">
        <v>12771.2121692413</v>
      </c>
      <c r="AE707" s="0" t="n">
        <v>0</v>
      </c>
      <c r="AF707" s="0" t="n">
        <v>0</v>
      </c>
      <c r="AG707" s="0" t="n">
        <v>0</v>
      </c>
      <c r="AH707" s="254" t="n">
        <v>608.812984250792</v>
      </c>
      <c r="AI707" s="0" t="n">
        <v>226</v>
      </c>
      <c r="AJ707" s="0" t="s">
        <v>630</v>
      </c>
      <c r="AK707" s="0" t="n">
        <v>0</v>
      </c>
      <c r="AL707" s="0" t="n">
        <v>0</v>
      </c>
      <c r="AM707" s="0" t="n">
        <v>0</v>
      </c>
    </row>
    <row r="708" customFormat="false" ht="12.75" hidden="false" customHeight="false" outlineLevel="0" collapsed="false">
      <c r="A708" s="0" t="s">
        <v>631</v>
      </c>
      <c r="B708" s="0" t="s">
        <v>432</v>
      </c>
      <c r="C708" s="0" t="s">
        <v>622</v>
      </c>
      <c r="D708" s="0" t="s">
        <v>623</v>
      </c>
      <c r="E708" s="0" t="s">
        <v>131</v>
      </c>
      <c r="F708" s="0" t="s">
        <v>206</v>
      </c>
      <c r="G708" s="0" t="s">
        <v>628</v>
      </c>
      <c r="H708" s="0" t="s">
        <v>625</v>
      </c>
      <c r="I708" s="0" t="s">
        <v>626</v>
      </c>
      <c r="J708" s="0" t="s">
        <v>627</v>
      </c>
      <c r="K708" s="475" t="n">
        <v>37012</v>
      </c>
      <c r="L708" s="254" t="n">
        <v>57853.3291904148</v>
      </c>
      <c r="M708" s="475" t="n">
        <v>37008</v>
      </c>
      <c r="N708" s="0" t="s">
        <v>136</v>
      </c>
      <c r="O708" s="0" t="n">
        <v>0.42</v>
      </c>
      <c r="P708" s="0" t="n">
        <v>0</v>
      </c>
      <c r="Q708" s="0" t="n">
        <v>0</v>
      </c>
      <c r="R708" s="0" t="n">
        <v>0</v>
      </c>
      <c r="S708" s="0" t="n">
        <v>0</v>
      </c>
      <c r="T708" s="0" t="s">
        <v>624</v>
      </c>
      <c r="U708" s="0" t="s">
        <v>149</v>
      </c>
      <c r="V708" s="0" t="s">
        <v>624</v>
      </c>
      <c r="W708" s="0" t="s">
        <v>569</v>
      </c>
      <c r="X708" s="0" t="s">
        <v>624</v>
      </c>
      <c r="Y708" s="0" t="s">
        <v>627</v>
      </c>
      <c r="Z708" s="0" t="s">
        <v>629</v>
      </c>
      <c r="AA708" s="0" t="s">
        <v>624</v>
      </c>
      <c r="AB708" s="0" t="s">
        <v>580</v>
      </c>
      <c r="AC708" s="254" t="n">
        <v>500000</v>
      </c>
      <c r="AD708" s="254" t="n">
        <v>12953.3489128378</v>
      </c>
      <c r="AE708" s="0" t="n">
        <v>0</v>
      </c>
      <c r="AF708" s="0" t="n">
        <v>0</v>
      </c>
      <c r="AG708" s="0" t="n">
        <v>0</v>
      </c>
      <c r="AH708" s="254" t="n">
        <v>616.89143310162</v>
      </c>
      <c r="AI708" s="0" t="n">
        <v>226</v>
      </c>
      <c r="AJ708" s="0" t="s">
        <v>630</v>
      </c>
      <c r="AK708" s="0" t="n">
        <v>0</v>
      </c>
      <c r="AL708" s="0" t="n">
        <v>0</v>
      </c>
      <c r="AM708" s="0" t="n">
        <v>0</v>
      </c>
    </row>
    <row r="709" customFormat="false" ht="12.75" hidden="false" customHeight="false" outlineLevel="0" collapsed="false">
      <c r="A709" s="0" t="s">
        <v>631</v>
      </c>
      <c r="B709" s="0" t="s">
        <v>432</v>
      </c>
      <c r="C709" s="0" t="s">
        <v>622</v>
      </c>
      <c r="D709" s="0" t="s">
        <v>623</v>
      </c>
      <c r="E709" s="0" t="s">
        <v>131</v>
      </c>
      <c r="F709" s="0" t="s">
        <v>206</v>
      </c>
      <c r="G709" s="0" t="s">
        <v>628</v>
      </c>
      <c r="H709" s="0" t="s">
        <v>625</v>
      </c>
      <c r="I709" s="0" t="s">
        <v>626</v>
      </c>
      <c r="J709" s="0" t="s">
        <v>627</v>
      </c>
      <c r="K709" s="475" t="n">
        <v>37043</v>
      </c>
      <c r="L709" s="254" t="n">
        <v>58086.0615532793</v>
      </c>
      <c r="M709" s="475" t="n">
        <v>37041</v>
      </c>
      <c r="N709" s="0" t="s">
        <v>136</v>
      </c>
      <c r="O709" s="0" t="n">
        <v>0.42</v>
      </c>
      <c r="P709" s="0" t="n">
        <v>0</v>
      </c>
      <c r="Q709" s="0" t="n">
        <v>0</v>
      </c>
      <c r="R709" s="0" t="n">
        <v>0</v>
      </c>
      <c r="S709" s="0" t="n">
        <v>0</v>
      </c>
      <c r="T709" s="0" t="s">
        <v>624</v>
      </c>
      <c r="U709" s="0" t="s">
        <v>149</v>
      </c>
      <c r="V709" s="0" t="s">
        <v>624</v>
      </c>
      <c r="W709" s="0" t="s">
        <v>569</v>
      </c>
      <c r="X709" s="0" t="s">
        <v>624</v>
      </c>
      <c r="Y709" s="0" t="s">
        <v>627</v>
      </c>
      <c r="Z709" s="0" t="s">
        <v>629</v>
      </c>
      <c r="AA709" s="0" t="s">
        <v>624</v>
      </c>
      <c r="AB709" s="0" t="s">
        <v>580</v>
      </c>
      <c r="AC709" s="254" t="n">
        <v>500000</v>
      </c>
      <c r="AD709" s="254" t="n">
        <v>13526.1157628568</v>
      </c>
      <c r="AE709" s="0" t="n">
        <v>0</v>
      </c>
      <c r="AF709" s="0" t="n">
        <v>0</v>
      </c>
      <c r="AG709" s="0" t="n">
        <v>0</v>
      </c>
      <c r="AH709" s="254" t="n">
        <v>643.589717072195</v>
      </c>
      <c r="AI709" s="0" t="n">
        <v>226</v>
      </c>
      <c r="AJ709" s="0" t="s">
        <v>630</v>
      </c>
      <c r="AK709" s="0" t="n">
        <v>0</v>
      </c>
      <c r="AL709" s="0" t="n">
        <v>0</v>
      </c>
      <c r="AM709" s="0" t="n">
        <v>0</v>
      </c>
    </row>
    <row r="710" customFormat="false" ht="12.75" hidden="false" customHeight="false" outlineLevel="0" collapsed="false">
      <c r="A710" s="0" t="s">
        <v>631</v>
      </c>
      <c r="B710" s="0" t="s">
        <v>432</v>
      </c>
      <c r="C710" s="0" t="s">
        <v>622</v>
      </c>
      <c r="D710" s="0" t="s">
        <v>623</v>
      </c>
      <c r="E710" s="0" t="s">
        <v>131</v>
      </c>
      <c r="F710" s="0" t="s">
        <v>206</v>
      </c>
      <c r="G710" s="0" t="s">
        <v>628</v>
      </c>
      <c r="H710" s="0" t="s">
        <v>625</v>
      </c>
      <c r="I710" s="0" t="s">
        <v>626</v>
      </c>
      <c r="J710" s="0" t="s">
        <v>627</v>
      </c>
      <c r="K710" s="475" t="n">
        <v>37073</v>
      </c>
      <c r="L710" s="254" t="n">
        <v>76999.3259462839</v>
      </c>
      <c r="M710" s="475" t="n">
        <v>37070</v>
      </c>
      <c r="N710" s="0" t="s">
        <v>136</v>
      </c>
      <c r="O710" s="0" t="n">
        <v>0.42</v>
      </c>
      <c r="P710" s="0" t="n">
        <v>0</v>
      </c>
      <c r="Q710" s="0" t="n">
        <v>0</v>
      </c>
      <c r="R710" s="0" t="n">
        <v>0</v>
      </c>
      <c r="S710" s="0" t="n">
        <v>0</v>
      </c>
      <c r="T710" s="0" t="s">
        <v>624</v>
      </c>
      <c r="U710" s="0" t="s">
        <v>149</v>
      </c>
      <c r="V710" s="0" t="s">
        <v>624</v>
      </c>
      <c r="W710" s="0" t="s">
        <v>569</v>
      </c>
      <c r="X710" s="0" t="s">
        <v>624</v>
      </c>
      <c r="Y710" s="0" t="s">
        <v>627</v>
      </c>
      <c r="Z710" s="0" t="s">
        <v>629</v>
      </c>
      <c r="AA710" s="0" t="s">
        <v>624</v>
      </c>
      <c r="AB710" s="0" t="s">
        <v>580</v>
      </c>
      <c r="AC710" s="254" t="n">
        <v>500000</v>
      </c>
      <c r="AD710" s="254" t="n">
        <v>14021.2802389594</v>
      </c>
      <c r="AE710" s="0" t="n">
        <v>0</v>
      </c>
      <c r="AF710" s="0" t="n">
        <v>0</v>
      </c>
      <c r="AG710" s="0" t="n">
        <v>0</v>
      </c>
      <c r="AH710" s="254" t="n">
        <v>666.696667073789</v>
      </c>
      <c r="AI710" s="0" t="n">
        <v>226</v>
      </c>
      <c r="AJ710" s="0" t="s">
        <v>630</v>
      </c>
      <c r="AK710" s="0" t="n">
        <v>0</v>
      </c>
      <c r="AL710" s="0" t="n">
        <v>0</v>
      </c>
      <c r="AM710" s="0" t="n">
        <v>0</v>
      </c>
    </row>
    <row r="711" customFormat="false" ht="12.75" hidden="false" customHeight="false" outlineLevel="0" collapsed="false">
      <c r="A711" s="0" t="s">
        <v>631</v>
      </c>
      <c r="B711" s="0" t="s">
        <v>432</v>
      </c>
      <c r="C711" s="0" t="s">
        <v>622</v>
      </c>
      <c r="D711" s="0" t="s">
        <v>623</v>
      </c>
      <c r="E711" s="0" t="s">
        <v>131</v>
      </c>
      <c r="F711" s="0" t="s">
        <v>206</v>
      </c>
      <c r="G711" s="0" t="s">
        <v>628</v>
      </c>
      <c r="H711" s="0" t="s">
        <v>625</v>
      </c>
      <c r="I711" s="0" t="s">
        <v>626</v>
      </c>
      <c r="J711" s="0" t="s">
        <v>627</v>
      </c>
      <c r="K711" s="475" t="n">
        <v>37104</v>
      </c>
      <c r="L711" s="254" t="n">
        <v>80035.622545812</v>
      </c>
      <c r="M711" s="475" t="n">
        <v>37102</v>
      </c>
      <c r="N711" s="0" t="s">
        <v>136</v>
      </c>
      <c r="O711" s="0" t="n">
        <v>0.42</v>
      </c>
      <c r="P711" s="0" t="n">
        <v>0</v>
      </c>
      <c r="Q711" s="0" t="n">
        <v>0</v>
      </c>
      <c r="R711" s="0" t="n">
        <v>0</v>
      </c>
      <c r="S711" s="0" t="n">
        <v>0</v>
      </c>
      <c r="T711" s="0" t="s">
        <v>624</v>
      </c>
      <c r="U711" s="0" t="s">
        <v>149</v>
      </c>
      <c r="V711" s="0" t="s">
        <v>624</v>
      </c>
      <c r="W711" s="0" t="s">
        <v>569</v>
      </c>
      <c r="X711" s="0" t="s">
        <v>624</v>
      </c>
      <c r="Y711" s="0" t="s">
        <v>627</v>
      </c>
      <c r="Z711" s="0" t="s">
        <v>629</v>
      </c>
      <c r="AA711" s="0" t="s">
        <v>624</v>
      </c>
      <c r="AB711" s="0" t="s">
        <v>580</v>
      </c>
      <c r="AC711" s="254" t="n">
        <v>500000</v>
      </c>
      <c r="AD711" s="254" t="n">
        <v>14663.9191717419</v>
      </c>
      <c r="AE711" s="0" t="n">
        <v>0</v>
      </c>
      <c r="AF711" s="0" t="n">
        <v>0</v>
      </c>
      <c r="AG711" s="0" t="n">
        <v>0</v>
      </c>
      <c r="AH711" s="254" t="n">
        <v>696.973882940773</v>
      </c>
      <c r="AI711" s="0" t="n">
        <v>226</v>
      </c>
      <c r="AJ711" s="0" t="s">
        <v>630</v>
      </c>
      <c r="AK711" s="0" t="n">
        <v>0</v>
      </c>
      <c r="AL711" s="0" t="n">
        <v>0</v>
      </c>
      <c r="AM711" s="0" t="n">
        <v>0</v>
      </c>
    </row>
    <row r="712" customFormat="false" ht="12.75" hidden="false" customHeight="false" outlineLevel="0" collapsed="false">
      <c r="A712" s="0" t="s">
        <v>631</v>
      </c>
      <c r="B712" s="0" t="s">
        <v>432</v>
      </c>
      <c r="C712" s="0" t="s">
        <v>622</v>
      </c>
      <c r="D712" s="0" t="s">
        <v>623</v>
      </c>
      <c r="E712" s="0" t="s">
        <v>131</v>
      </c>
      <c r="F712" s="0" t="s">
        <v>206</v>
      </c>
      <c r="G712" s="0" t="s">
        <v>628</v>
      </c>
      <c r="H712" s="0" t="s">
        <v>625</v>
      </c>
      <c r="I712" s="0" t="s">
        <v>626</v>
      </c>
      <c r="J712" s="0" t="s">
        <v>627</v>
      </c>
      <c r="K712" s="475" t="n">
        <v>37135</v>
      </c>
      <c r="L712" s="254" t="n">
        <v>66409.4694805755</v>
      </c>
      <c r="M712" s="475" t="n">
        <v>37133</v>
      </c>
      <c r="N712" s="0" t="s">
        <v>136</v>
      </c>
      <c r="O712" s="0" t="n">
        <v>0.42</v>
      </c>
      <c r="P712" s="0" t="n">
        <v>0</v>
      </c>
      <c r="Q712" s="0" t="n">
        <v>0</v>
      </c>
      <c r="R712" s="0" t="n">
        <v>0</v>
      </c>
      <c r="S712" s="0" t="n">
        <v>0</v>
      </c>
      <c r="T712" s="0" t="s">
        <v>624</v>
      </c>
      <c r="U712" s="0" t="s">
        <v>149</v>
      </c>
      <c r="V712" s="0" t="s">
        <v>624</v>
      </c>
      <c r="W712" s="0" t="s">
        <v>569</v>
      </c>
      <c r="X712" s="0" t="s">
        <v>624</v>
      </c>
      <c r="Y712" s="0" t="s">
        <v>627</v>
      </c>
      <c r="Z712" s="0" t="s">
        <v>629</v>
      </c>
      <c r="AA712" s="0" t="s">
        <v>624</v>
      </c>
      <c r="AB712" s="0" t="s">
        <v>580</v>
      </c>
      <c r="AC712" s="254" t="n">
        <v>500000</v>
      </c>
      <c r="AD712" s="254" t="n">
        <v>15346.0064462138</v>
      </c>
      <c r="AE712" s="0" t="n">
        <v>0</v>
      </c>
      <c r="AF712" s="0" t="n">
        <v>0</v>
      </c>
      <c r="AG712" s="0" t="n">
        <v>0</v>
      </c>
      <c r="AH712" s="254" t="n">
        <v>729.289847062079</v>
      </c>
      <c r="AI712" s="0" t="n">
        <v>226</v>
      </c>
      <c r="AJ712" s="0" t="s">
        <v>630</v>
      </c>
      <c r="AK712" s="0" t="n">
        <v>0</v>
      </c>
      <c r="AL712" s="0" t="n">
        <v>0</v>
      </c>
      <c r="AM712" s="0" t="n">
        <v>0</v>
      </c>
    </row>
    <row r="713" customFormat="false" ht="12.75" hidden="false" customHeight="false" outlineLevel="0" collapsed="false">
      <c r="A713" s="0" t="s">
        <v>631</v>
      </c>
      <c r="B713" s="0" t="s">
        <v>432</v>
      </c>
      <c r="C713" s="0" t="s">
        <v>622</v>
      </c>
      <c r="D713" s="0" t="s">
        <v>623</v>
      </c>
      <c r="E713" s="0" t="s">
        <v>131</v>
      </c>
      <c r="F713" s="0" t="s">
        <v>206</v>
      </c>
      <c r="G713" s="0" t="s">
        <v>628</v>
      </c>
      <c r="H713" s="0" t="s">
        <v>625</v>
      </c>
      <c r="I713" s="0" t="s">
        <v>626</v>
      </c>
      <c r="J713" s="0" t="s">
        <v>627</v>
      </c>
      <c r="K713" s="475" t="n">
        <v>37165</v>
      </c>
      <c r="L713" s="254" t="n">
        <v>85034.0830329099</v>
      </c>
      <c r="M713" s="475" t="n">
        <v>37161</v>
      </c>
      <c r="N713" s="0" t="s">
        <v>136</v>
      </c>
      <c r="O713" s="0" t="n">
        <v>0.42</v>
      </c>
      <c r="P713" s="0" t="n">
        <v>0</v>
      </c>
      <c r="Q713" s="0" t="n">
        <v>0</v>
      </c>
      <c r="R713" s="0" t="n">
        <v>0</v>
      </c>
      <c r="S713" s="0" t="n">
        <v>0</v>
      </c>
      <c r="T713" s="0" t="s">
        <v>624</v>
      </c>
      <c r="U713" s="0" t="s">
        <v>149</v>
      </c>
      <c r="V713" s="0" t="s">
        <v>624</v>
      </c>
      <c r="W713" s="0" t="s">
        <v>569</v>
      </c>
      <c r="X713" s="0" t="s">
        <v>624</v>
      </c>
      <c r="Y713" s="0" t="s">
        <v>627</v>
      </c>
      <c r="Z713" s="0" t="s">
        <v>629</v>
      </c>
      <c r="AA713" s="0" t="s">
        <v>624</v>
      </c>
      <c r="AB713" s="0" t="s">
        <v>580</v>
      </c>
      <c r="AC713" s="254" t="n">
        <v>500000</v>
      </c>
      <c r="AD713" s="254" t="n">
        <v>15795.7519275823</v>
      </c>
      <c r="AE713" s="0" t="n">
        <v>0</v>
      </c>
      <c r="AF713" s="0" t="n">
        <v>0</v>
      </c>
      <c r="AG713" s="0" t="n">
        <v>0</v>
      </c>
      <c r="AH713" s="254" t="n">
        <v>751.178812410479</v>
      </c>
      <c r="AI713" s="0" t="n">
        <v>226</v>
      </c>
      <c r="AJ713" s="0" t="s">
        <v>630</v>
      </c>
      <c r="AK713" s="0" t="n">
        <v>0</v>
      </c>
      <c r="AL713" s="0" t="n">
        <v>0</v>
      </c>
      <c r="AM713" s="0" t="n">
        <v>0</v>
      </c>
    </row>
    <row r="714" customFormat="false" ht="12.75" hidden="false" customHeight="false" outlineLevel="0" collapsed="false">
      <c r="A714" s="0" t="s">
        <v>631</v>
      </c>
      <c r="B714" s="0" t="s">
        <v>433</v>
      </c>
      <c r="C714" s="0" t="s">
        <v>622</v>
      </c>
      <c r="D714" s="0" t="s">
        <v>623</v>
      </c>
      <c r="E714" s="0" t="s">
        <v>131</v>
      </c>
      <c r="F714" s="0" t="s">
        <v>206</v>
      </c>
      <c r="G714" s="0" t="s">
        <v>628</v>
      </c>
      <c r="H714" s="0" t="s">
        <v>625</v>
      </c>
      <c r="I714" s="0" t="s">
        <v>626</v>
      </c>
      <c r="J714" s="0" t="s">
        <v>627</v>
      </c>
      <c r="K714" s="475" t="n">
        <v>36982</v>
      </c>
      <c r="L714" s="254" t="n">
        <v>44371.3997075846</v>
      </c>
      <c r="M714" s="475" t="n">
        <v>36979</v>
      </c>
      <c r="N714" s="0" t="s">
        <v>132</v>
      </c>
      <c r="O714" s="0" t="n">
        <v>0.42</v>
      </c>
      <c r="P714" s="0" t="n">
        <v>0</v>
      </c>
      <c r="Q714" s="0" t="n">
        <v>0</v>
      </c>
      <c r="R714" s="0" t="n">
        <v>0</v>
      </c>
      <c r="S714" s="0" t="n">
        <v>0</v>
      </c>
      <c r="T714" s="0" t="s">
        <v>624</v>
      </c>
      <c r="U714" s="0" t="s">
        <v>149</v>
      </c>
      <c r="V714" s="0" t="s">
        <v>624</v>
      </c>
      <c r="W714" s="0" t="s">
        <v>569</v>
      </c>
      <c r="X714" s="0" t="s">
        <v>624</v>
      </c>
      <c r="Y714" s="0" t="s">
        <v>627</v>
      </c>
      <c r="Z714" s="0" t="s">
        <v>629</v>
      </c>
      <c r="AA714" s="0" t="s">
        <v>624</v>
      </c>
      <c r="AB714" s="0" t="s">
        <v>580</v>
      </c>
      <c r="AC714" s="254" t="n">
        <v>500000</v>
      </c>
      <c r="AD714" s="254" t="n">
        <v>12771.2121692413</v>
      </c>
      <c r="AE714" s="0" t="n">
        <v>0</v>
      </c>
      <c r="AF714" s="0" t="n">
        <v>0</v>
      </c>
      <c r="AG714" s="0" t="n">
        <v>0</v>
      </c>
      <c r="AH714" s="254" t="n">
        <v>608.812984250748</v>
      </c>
      <c r="AI714" s="0" t="n">
        <v>226</v>
      </c>
      <c r="AJ714" s="0" t="s">
        <v>630</v>
      </c>
      <c r="AK714" s="0" t="n">
        <v>0</v>
      </c>
      <c r="AL714" s="0" t="n">
        <v>0</v>
      </c>
      <c r="AM714" s="0" t="n">
        <v>0</v>
      </c>
    </row>
    <row r="715" customFormat="false" ht="12.75" hidden="false" customHeight="false" outlineLevel="0" collapsed="false">
      <c r="A715" s="0" t="s">
        <v>631</v>
      </c>
      <c r="B715" s="0" t="s">
        <v>433</v>
      </c>
      <c r="C715" s="0" t="s">
        <v>622</v>
      </c>
      <c r="D715" s="0" t="s">
        <v>623</v>
      </c>
      <c r="E715" s="0" t="s">
        <v>131</v>
      </c>
      <c r="F715" s="0" t="s">
        <v>206</v>
      </c>
      <c r="G715" s="0" t="s">
        <v>628</v>
      </c>
      <c r="H715" s="0" t="s">
        <v>625</v>
      </c>
      <c r="I715" s="0" t="s">
        <v>626</v>
      </c>
      <c r="J715" s="0" t="s">
        <v>627</v>
      </c>
      <c r="K715" s="475" t="n">
        <v>37012</v>
      </c>
      <c r="L715" s="254" t="n">
        <v>65017.6937409739</v>
      </c>
      <c r="M715" s="475" t="n">
        <v>37008</v>
      </c>
      <c r="N715" s="0" t="s">
        <v>132</v>
      </c>
      <c r="O715" s="0" t="n">
        <v>0.42</v>
      </c>
      <c r="P715" s="0" t="n">
        <v>0</v>
      </c>
      <c r="Q715" s="0" t="n">
        <v>0</v>
      </c>
      <c r="R715" s="0" t="n">
        <v>0</v>
      </c>
      <c r="S715" s="0" t="n">
        <v>0</v>
      </c>
      <c r="T715" s="0" t="s">
        <v>624</v>
      </c>
      <c r="U715" s="0" t="s">
        <v>149</v>
      </c>
      <c r="V715" s="0" t="s">
        <v>624</v>
      </c>
      <c r="W715" s="0" t="s">
        <v>569</v>
      </c>
      <c r="X715" s="0" t="s">
        <v>624</v>
      </c>
      <c r="Y715" s="0" t="s">
        <v>627</v>
      </c>
      <c r="Z715" s="0" t="s">
        <v>629</v>
      </c>
      <c r="AA715" s="0" t="s">
        <v>624</v>
      </c>
      <c r="AB715" s="0" t="s">
        <v>580</v>
      </c>
      <c r="AC715" s="254" t="n">
        <v>500000</v>
      </c>
      <c r="AD715" s="254" t="n">
        <v>12953.3489128378</v>
      </c>
      <c r="AE715" s="0" t="n">
        <v>0</v>
      </c>
      <c r="AF715" s="0" t="n">
        <v>0</v>
      </c>
      <c r="AG715" s="0" t="n">
        <v>0</v>
      </c>
      <c r="AH715" s="254" t="n">
        <v>616.891433101504</v>
      </c>
      <c r="AI715" s="0" t="n">
        <v>226</v>
      </c>
      <c r="AJ715" s="0" t="s">
        <v>630</v>
      </c>
      <c r="AK715" s="0" t="n">
        <v>0</v>
      </c>
      <c r="AL715" s="0" t="n">
        <v>0</v>
      </c>
      <c r="AM715" s="0" t="n">
        <v>0</v>
      </c>
    </row>
    <row r="716" customFormat="false" ht="12.75" hidden="false" customHeight="false" outlineLevel="0" collapsed="false">
      <c r="A716" s="0" t="s">
        <v>631</v>
      </c>
      <c r="B716" s="0" t="s">
        <v>433</v>
      </c>
      <c r="C716" s="0" t="s">
        <v>622</v>
      </c>
      <c r="D716" s="0" t="s">
        <v>623</v>
      </c>
      <c r="E716" s="0" t="s">
        <v>131</v>
      </c>
      <c r="F716" s="0" t="s">
        <v>206</v>
      </c>
      <c r="G716" s="0" t="s">
        <v>628</v>
      </c>
      <c r="H716" s="0" t="s">
        <v>625</v>
      </c>
      <c r="I716" s="0" t="s">
        <v>626</v>
      </c>
      <c r="J716" s="0" t="s">
        <v>627</v>
      </c>
      <c r="K716" s="475" t="n">
        <v>37043</v>
      </c>
      <c r="L716" s="254" t="n">
        <v>69951.989497125</v>
      </c>
      <c r="M716" s="475" t="n">
        <v>37041</v>
      </c>
      <c r="N716" s="0" t="s">
        <v>132</v>
      </c>
      <c r="O716" s="0" t="n">
        <v>0.42</v>
      </c>
      <c r="P716" s="0" t="n">
        <v>0</v>
      </c>
      <c r="Q716" s="0" t="n">
        <v>0</v>
      </c>
      <c r="R716" s="0" t="n">
        <v>0</v>
      </c>
      <c r="S716" s="0" t="n">
        <v>0</v>
      </c>
      <c r="T716" s="0" t="s">
        <v>624</v>
      </c>
      <c r="U716" s="0" t="s">
        <v>149</v>
      </c>
      <c r="V716" s="0" t="s">
        <v>624</v>
      </c>
      <c r="W716" s="0" t="s">
        <v>569</v>
      </c>
      <c r="X716" s="0" t="s">
        <v>624</v>
      </c>
      <c r="Y716" s="0" t="s">
        <v>627</v>
      </c>
      <c r="Z716" s="0" t="s">
        <v>629</v>
      </c>
      <c r="AA716" s="0" t="s">
        <v>624</v>
      </c>
      <c r="AB716" s="0" t="s">
        <v>580</v>
      </c>
      <c r="AC716" s="254" t="n">
        <v>500000</v>
      </c>
      <c r="AD716" s="254" t="n">
        <v>13526.1157628569</v>
      </c>
      <c r="AE716" s="0" t="n">
        <v>0</v>
      </c>
      <c r="AF716" s="0" t="n">
        <v>0</v>
      </c>
      <c r="AG716" s="0" t="n">
        <v>0</v>
      </c>
      <c r="AH716" s="254" t="n">
        <v>643.589717072231</v>
      </c>
      <c r="AI716" s="0" t="n">
        <v>226</v>
      </c>
      <c r="AJ716" s="0" t="s">
        <v>630</v>
      </c>
      <c r="AK716" s="0" t="n">
        <v>0</v>
      </c>
      <c r="AL716" s="0" t="n">
        <v>0</v>
      </c>
      <c r="AM716" s="0" t="n">
        <v>0</v>
      </c>
    </row>
    <row r="717" customFormat="false" ht="12.75" hidden="false" customHeight="false" outlineLevel="0" collapsed="false">
      <c r="A717" s="0" t="s">
        <v>631</v>
      </c>
      <c r="B717" s="0" t="s">
        <v>433</v>
      </c>
      <c r="C717" s="0" t="s">
        <v>622</v>
      </c>
      <c r="D717" s="0" t="s">
        <v>623</v>
      </c>
      <c r="E717" s="0" t="s">
        <v>131</v>
      </c>
      <c r="F717" s="0" t="s">
        <v>206</v>
      </c>
      <c r="G717" s="0" t="s">
        <v>628</v>
      </c>
      <c r="H717" s="0" t="s">
        <v>625</v>
      </c>
      <c r="I717" s="0" t="s">
        <v>626</v>
      </c>
      <c r="J717" s="0" t="s">
        <v>627</v>
      </c>
      <c r="K717" s="475" t="n">
        <v>37073</v>
      </c>
      <c r="L717" s="254" t="n">
        <v>58118.4039802691</v>
      </c>
      <c r="M717" s="475" t="n">
        <v>37070</v>
      </c>
      <c r="N717" s="0" t="s">
        <v>132</v>
      </c>
      <c r="O717" s="0" t="n">
        <v>0.42</v>
      </c>
      <c r="P717" s="0" t="n">
        <v>0</v>
      </c>
      <c r="Q717" s="0" t="n">
        <v>0</v>
      </c>
      <c r="R717" s="0" t="n">
        <v>0</v>
      </c>
      <c r="S717" s="0" t="n">
        <v>0</v>
      </c>
      <c r="T717" s="0" t="s">
        <v>624</v>
      </c>
      <c r="U717" s="0" t="s">
        <v>149</v>
      </c>
      <c r="V717" s="0" t="s">
        <v>624</v>
      </c>
      <c r="W717" s="0" t="s">
        <v>569</v>
      </c>
      <c r="X717" s="0" t="s">
        <v>624</v>
      </c>
      <c r="Y717" s="0" t="s">
        <v>627</v>
      </c>
      <c r="Z717" s="0" t="s">
        <v>629</v>
      </c>
      <c r="AA717" s="0" t="s">
        <v>624</v>
      </c>
      <c r="AB717" s="0" t="s">
        <v>580</v>
      </c>
      <c r="AC717" s="254" t="n">
        <v>500000</v>
      </c>
      <c r="AD717" s="254" t="n">
        <v>14021.2802389594</v>
      </c>
      <c r="AE717" s="0" t="n">
        <v>0</v>
      </c>
      <c r="AF717" s="0" t="n">
        <v>0</v>
      </c>
      <c r="AG717" s="0" t="n">
        <v>0</v>
      </c>
      <c r="AH717" s="254" t="n">
        <v>666.69666707408</v>
      </c>
      <c r="AI717" s="0" t="n">
        <v>226</v>
      </c>
      <c r="AJ717" s="0" t="s">
        <v>630</v>
      </c>
      <c r="AK717" s="0" t="n">
        <v>0</v>
      </c>
      <c r="AL717" s="0" t="n">
        <v>0</v>
      </c>
      <c r="AM717" s="0" t="n">
        <v>0</v>
      </c>
    </row>
    <row r="718" customFormat="false" ht="12.75" hidden="false" customHeight="false" outlineLevel="0" collapsed="false">
      <c r="A718" s="0" t="s">
        <v>631</v>
      </c>
      <c r="B718" s="0" t="s">
        <v>433</v>
      </c>
      <c r="C718" s="0" t="s">
        <v>622</v>
      </c>
      <c r="D718" s="0" t="s">
        <v>623</v>
      </c>
      <c r="E718" s="0" t="s">
        <v>131</v>
      </c>
      <c r="F718" s="0" t="s">
        <v>206</v>
      </c>
      <c r="G718" s="0" t="s">
        <v>628</v>
      </c>
      <c r="H718" s="0" t="s">
        <v>625</v>
      </c>
      <c r="I718" s="0" t="s">
        <v>626</v>
      </c>
      <c r="J718" s="0" t="s">
        <v>627</v>
      </c>
      <c r="K718" s="475" t="n">
        <v>37104</v>
      </c>
      <c r="L718" s="254" t="n">
        <v>61269.5095463832</v>
      </c>
      <c r="M718" s="475" t="n">
        <v>37102</v>
      </c>
      <c r="N718" s="0" t="s">
        <v>132</v>
      </c>
      <c r="O718" s="0" t="n">
        <v>0.42</v>
      </c>
      <c r="P718" s="0" t="n">
        <v>0</v>
      </c>
      <c r="Q718" s="0" t="n">
        <v>0</v>
      </c>
      <c r="R718" s="0" t="n">
        <v>0</v>
      </c>
      <c r="S718" s="0" t="n">
        <v>0</v>
      </c>
      <c r="T718" s="0" t="s">
        <v>624</v>
      </c>
      <c r="U718" s="0" t="s">
        <v>149</v>
      </c>
      <c r="V718" s="0" t="s">
        <v>624</v>
      </c>
      <c r="W718" s="0" t="s">
        <v>569</v>
      </c>
      <c r="X718" s="0" t="s">
        <v>624</v>
      </c>
      <c r="Y718" s="0" t="s">
        <v>627</v>
      </c>
      <c r="Z718" s="0" t="s">
        <v>629</v>
      </c>
      <c r="AA718" s="0" t="s">
        <v>624</v>
      </c>
      <c r="AB718" s="0" t="s">
        <v>580</v>
      </c>
      <c r="AC718" s="254" t="n">
        <v>500000</v>
      </c>
      <c r="AD718" s="254" t="n">
        <v>14663.9191717419</v>
      </c>
      <c r="AE718" s="0" t="n">
        <v>0</v>
      </c>
      <c r="AF718" s="0" t="n">
        <v>0</v>
      </c>
      <c r="AG718" s="0" t="n">
        <v>0</v>
      </c>
      <c r="AH718" s="254" t="n">
        <v>696.973882940984</v>
      </c>
      <c r="AI718" s="0" t="n">
        <v>226</v>
      </c>
      <c r="AJ718" s="0" t="s">
        <v>630</v>
      </c>
      <c r="AK718" s="0" t="n">
        <v>0</v>
      </c>
      <c r="AL718" s="0" t="n">
        <v>0</v>
      </c>
      <c r="AM718" s="0" t="n">
        <v>0</v>
      </c>
    </row>
    <row r="719" customFormat="false" ht="12.75" hidden="false" customHeight="false" outlineLevel="0" collapsed="false">
      <c r="A719" s="0" t="s">
        <v>631</v>
      </c>
      <c r="B719" s="0" t="s">
        <v>433</v>
      </c>
      <c r="C719" s="0" t="s">
        <v>622</v>
      </c>
      <c r="D719" s="0" t="s">
        <v>623</v>
      </c>
      <c r="E719" s="0" t="s">
        <v>131</v>
      </c>
      <c r="F719" s="0" t="s">
        <v>206</v>
      </c>
      <c r="G719" s="0" t="s">
        <v>628</v>
      </c>
      <c r="H719" s="0" t="s">
        <v>625</v>
      </c>
      <c r="I719" s="0" t="s">
        <v>626</v>
      </c>
      <c r="J719" s="0" t="s">
        <v>627</v>
      </c>
      <c r="K719" s="475" t="n">
        <v>37135</v>
      </c>
      <c r="L719" s="254" t="n">
        <v>78069.0969515392</v>
      </c>
      <c r="M719" s="475" t="n">
        <v>37133</v>
      </c>
      <c r="N719" s="0" t="s">
        <v>132</v>
      </c>
      <c r="O719" s="0" t="n">
        <v>0.42</v>
      </c>
      <c r="P719" s="0" t="n">
        <v>0</v>
      </c>
      <c r="Q719" s="0" t="n">
        <v>0</v>
      </c>
      <c r="R719" s="0" t="n">
        <v>0</v>
      </c>
      <c r="S719" s="0" t="n">
        <v>0</v>
      </c>
      <c r="T719" s="0" t="s">
        <v>624</v>
      </c>
      <c r="U719" s="0" t="s">
        <v>149</v>
      </c>
      <c r="V719" s="0" t="s">
        <v>624</v>
      </c>
      <c r="W719" s="0" t="s">
        <v>569</v>
      </c>
      <c r="X719" s="0" t="s">
        <v>624</v>
      </c>
      <c r="Y719" s="0" t="s">
        <v>627</v>
      </c>
      <c r="Z719" s="0" t="s">
        <v>629</v>
      </c>
      <c r="AA719" s="0" t="s">
        <v>624</v>
      </c>
      <c r="AB719" s="0" t="s">
        <v>580</v>
      </c>
      <c r="AC719" s="254" t="n">
        <v>500000</v>
      </c>
      <c r="AD719" s="254" t="n">
        <v>15346.0064462138</v>
      </c>
      <c r="AE719" s="0" t="n">
        <v>0</v>
      </c>
      <c r="AF719" s="0" t="n">
        <v>0</v>
      </c>
      <c r="AG719" s="0" t="n">
        <v>0</v>
      </c>
      <c r="AH719" s="254" t="n">
        <v>729.2898470621</v>
      </c>
      <c r="AI719" s="0" t="n">
        <v>226</v>
      </c>
      <c r="AJ719" s="0" t="s">
        <v>630</v>
      </c>
      <c r="AK719" s="0" t="n">
        <v>0</v>
      </c>
      <c r="AL719" s="0" t="n">
        <v>0</v>
      </c>
      <c r="AM719" s="0" t="n">
        <v>0</v>
      </c>
    </row>
    <row r="720" customFormat="false" ht="12.75" hidden="false" customHeight="false" outlineLevel="0" collapsed="false">
      <c r="A720" s="0" t="s">
        <v>631</v>
      </c>
      <c r="B720" s="0" t="s">
        <v>433</v>
      </c>
      <c r="C720" s="0" t="s">
        <v>622</v>
      </c>
      <c r="D720" s="0" t="s">
        <v>623</v>
      </c>
      <c r="E720" s="0" t="s">
        <v>131</v>
      </c>
      <c r="F720" s="0" t="s">
        <v>206</v>
      </c>
      <c r="G720" s="0" t="s">
        <v>628</v>
      </c>
      <c r="H720" s="0" t="s">
        <v>625</v>
      </c>
      <c r="I720" s="0" t="s">
        <v>626</v>
      </c>
      <c r="J720" s="0" t="s">
        <v>627</v>
      </c>
      <c r="K720" s="475" t="n">
        <v>37165</v>
      </c>
      <c r="L720" s="254" t="n">
        <v>66014.3065349789</v>
      </c>
      <c r="M720" s="475" t="n">
        <v>37161</v>
      </c>
      <c r="N720" s="0" t="s">
        <v>132</v>
      </c>
      <c r="O720" s="0" t="n">
        <v>0.42</v>
      </c>
      <c r="P720" s="0" t="n">
        <v>0</v>
      </c>
      <c r="Q720" s="0" t="n">
        <v>0</v>
      </c>
      <c r="R720" s="0" t="n">
        <v>0</v>
      </c>
      <c r="S720" s="0" t="n">
        <v>0</v>
      </c>
      <c r="T720" s="0" t="s">
        <v>624</v>
      </c>
      <c r="U720" s="0" t="s">
        <v>149</v>
      </c>
      <c r="V720" s="0" t="s">
        <v>624</v>
      </c>
      <c r="W720" s="0" t="s">
        <v>569</v>
      </c>
      <c r="X720" s="0" t="s">
        <v>624</v>
      </c>
      <c r="Y720" s="0" t="s">
        <v>627</v>
      </c>
      <c r="Z720" s="0" t="s">
        <v>629</v>
      </c>
      <c r="AA720" s="0" t="s">
        <v>624</v>
      </c>
      <c r="AB720" s="0" t="s">
        <v>580</v>
      </c>
      <c r="AC720" s="254" t="n">
        <v>500000</v>
      </c>
      <c r="AD720" s="254" t="n">
        <v>15795.7519275823</v>
      </c>
      <c r="AE720" s="0" t="n">
        <v>0</v>
      </c>
      <c r="AF720" s="0" t="n">
        <v>0</v>
      </c>
      <c r="AG720" s="0" t="n">
        <v>0</v>
      </c>
      <c r="AH720" s="254" t="n">
        <v>751.178812410595</v>
      </c>
      <c r="AI720" s="0" t="n">
        <v>226</v>
      </c>
      <c r="AJ720" s="0" t="s">
        <v>630</v>
      </c>
      <c r="AK720" s="0" t="n">
        <v>0</v>
      </c>
      <c r="AL720" s="0" t="n">
        <v>0</v>
      </c>
      <c r="AM720" s="0" t="n">
        <v>0</v>
      </c>
    </row>
    <row r="721" customFormat="false" ht="12.75" hidden="false" customHeight="false" outlineLevel="0" collapsed="false">
      <c r="A721" s="0" t="s">
        <v>631</v>
      </c>
      <c r="B721" s="0" t="s">
        <v>434</v>
      </c>
      <c r="C721" s="0" t="s">
        <v>622</v>
      </c>
      <c r="D721" s="0" t="s">
        <v>623</v>
      </c>
      <c r="E721" s="0" t="s">
        <v>131</v>
      </c>
      <c r="F721" s="0" t="s">
        <v>244</v>
      </c>
      <c r="G721" s="0" t="s">
        <v>628</v>
      </c>
      <c r="H721" s="0" t="s">
        <v>625</v>
      </c>
      <c r="I721" s="0" t="s">
        <v>626</v>
      </c>
      <c r="J721" s="0" t="s">
        <v>627</v>
      </c>
      <c r="K721" s="475" t="n">
        <v>36800</v>
      </c>
      <c r="L721" s="254" t="n">
        <v>765568.657795898</v>
      </c>
      <c r="M721" s="475" t="n">
        <v>36797</v>
      </c>
      <c r="N721" s="0" t="s">
        <v>136</v>
      </c>
      <c r="O721" s="0" t="n">
        <v>0.75</v>
      </c>
      <c r="P721" s="0" t="n">
        <v>0</v>
      </c>
      <c r="Q721" s="0" t="n">
        <v>0</v>
      </c>
      <c r="R721" s="0" t="n">
        <v>0</v>
      </c>
      <c r="S721" s="0" t="n">
        <v>0</v>
      </c>
      <c r="T721" s="0" t="s">
        <v>624</v>
      </c>
      <c r="U721" s="0" t="s">
        <v>137</v>
      </c>
      <c r="V721" s="0" t="s">
        <v>624</v>
      </c>
      <c r="W721" s="0" t="s">
        <v>569</v>
      </c>
      <c r="X721" s="0" t="s">
        <v>624</v>
      </c>
      <c r="Y721" s="0" t="s">
        <v>627</v>
      </c>
      <c r="Z721" s="0" t="s">
        <v>629</v>
      </c>
      <c r="AA721" s="0" t="s">
        <v>624</v>
      </c>
      <c r="AB721" s="0" t="s">
        <v>580</v>
      </c>
      <c r="AC721" s="254" t="n">
        <v>620000</v>
      </c>
      <c r="AD721" s="254" t="n">
        <v>1611.12391786324</v>
      </c>
      <c r="AE721" s="0" t="n">
        <v>0</v>
      </c>
      <c r="AF721" s="0" t="n">
        <v>0</v>
      </c>
      <c r="AG721" s="0" t="n">
        <v>0</v>
      </c>
      <c r="AH721" s="254" t="n">
        <v>-24321.3758307879</v>
      </c>
      <c r="AI721" s="0" t="n">
        <v>226</v>
      </c>
      <c r="AJ721" s="0" t="s">
        <v>630</v>
      </c>
      <c r="AK721" s="0" t="n">
        <v>0</v>
      </c>
      <c r="AL721" s="0" t="n">
        <v>0</v>
      </c>
      <c r="AM721" s="0" t="n">
        <v>0</v>
      </c>
    </row>
    <row r="722" customFormat="false" ht="12.75" hidden="false" customHeight="false" outlineLevel="0" collapsed="false">
      <c r="A722" s="0" t="s">
        <v>631</v>
      </c>
      <c r="B722" s="0" t="s">
        <v>435</v>
      </c>
      <c r="C722" s="0" t="s">
        <v>622</v>
      </c>
      <c r="D722" s="0" t="s">
        <v>623</v>
      </c>
      <c r="E722" s="0" t="s">
        <v>131</v>
      </c>
      <c r="F722" s="0" t="s">
        <v>244</v>
      </c>
      <c r="G722" s="0" t="s">
        <v>628</v>
      </c>
      <c r="H722" s="0" t="s">
        <v>625</v>
      </c>
      <c r="I722" s="0" t="s">
        <v>626</v>
      </c>
      <c r="J722" s="0" t="s">
        <v>627</v>
      </c>
      <c r="K722" s="475" t="n">
        <v>36800</v>
      </c>
      <c r="L722" s="254" t="n">
        <v>-134.892297811002</v>
      </c>
      <c r="M722" s="475" t="n">
        <v>36797</v>
      </c>
      <c r="N722" s="0" t="s">
        <v>132</v>
      </c>
      <c r="O722" s="0" t="n">
        <v>0.4</v>
      </c>
      <c r="P722" s="0" t="n">
        <v>0</v>
      </c>
      <c r="Q722" s="0" t="n">
        <v>0</v>
      </c>
      <c r="R722" s="0" t="n">
        <v>0</v>
      </c>
      <c r="S722" s="0" t="n">
        <v>0</v>
      </c>
      <c r="T722" s="0" t="s">
        <v>624</v>
      </c>
      <c r="U722" s="0" t="s">
        <v>137</v>
      </c>
      <c r="V722" s="0" t="s">
        <v>624</v>
      </c>
      <c r="W722" s="0" t="s">
        <v>569</v>
      </c>
      <c r="X722" s="0" t="s">
        <v>624</v>
      </c>
      <c r="Y722" s="0" t="s">
        <v>627</v>
      </c>
      <c r="Z722" s="0" t="s">
        <v>629</v>
      </c>
      <c r="AA722" s="0" t="s">
        <v>624</v>
      </c>
      <c r="AB722" s="0" t="s">
        <v>580</v>
      </c>
      <c r="AC722" s="254" t="n">
        <v>-620000</v>
      </c>
      <c r="AD722" s="254" t="n">
        <v>-276.647327025823</v>
      </c>
      <c r="AE722" s="0" t="n">
        <v>0</v>
      </c>
      <c r="AF722" s="0" t="n">
        <v>0</v>
      </c>
      <c r="AG722" s="0" t="n">
        <v>0</v>
      </c>
      <c r="AH722" s="254" t="n">
        <v>-47.7423571924618</v>
      </c>
      <c r="AI722" s="0" t="n">
        <v>226</v>
      </c>
      <c r="AJ722" s="0" t="s">
        <v>630</v>
      </c>
      <c r="AK722" s="0" t="n">
        <v>0</v>
      </c>
      <c r="AL722" s="0" t="n">
        <v>0</v>
      </c>
      <c r="AM722" s="0" t="n">
        <v>0</v>
      </c>
    </row>
    <row r="723" customFormat="false" ht="12.75" hidden="false" customHeight="false" outlineLevel="0" collapsed="false">
      <c r="A723" s="0" t="s">
        <v>631</v>
      </c>
      <c r="B723" s="0" t="s">
        <v>436</v>
      </c>
      <c r="C723" s="0" t="s">
        <v>622</v>
      </c>
      <c r="D723" s="0" t="s">
        <v>623</v>
      </c>
      <c r="E723" s="0" t="s">
        <v>131</v>
      </c>
      <c r="F723" s="0" t="s">
        <v>275</v>
      </c>
      <c r="G723" s="0" t="s">
        <v>628</v>
      </c>
      <c r="H723" s="0" t="s">
        <v>625</v>
      </c>
      <c r="I723" s="0" t="s">
        <v>626</v>
      </c>
      <c r="J723" s="0" t="s">
        <v>627</v>
      </c>
      <c r="K723" s="475" t="n">
        <v>36800</v>
      </c>
      <c r="L723" s="254" t="n">
        <v>765568.657795898</v>
      </c>
      <c r="M723" s="475" t="n">
        <v>36797</v>
      </c>
      <c r="N723" s="0" t="s">
        <v>136</v>
      </c>
      <c r="O723" s="0" t="n">
        <v>0.75</v>
      </c>
      <c r="P723" s="0" t="n">
        <v>0</v>
      </c>
      <c r="Q723" s="0" t="n">
        <v>0</v>
      </c>
      <c r="R723" s="0" t="n">
        <v>0</v>
      </c>
      <c r="S723" s="0" t="n">
        <v>0</v>
      </c>
      <c r="T723" s="0" t="s">
        <v>624</v>
      </c>
      <c r="U723" s="0" t="s">
        <v>137</v>
      </c>
      <c r="V723" s="0" t="s">
        <v>624</v>
      </c>
      <c r="W723" s="0" t="s">
        <v>569</v>
      </c>
      <c r="X723" s="0" t="s">
        <v>624</v>
      </c>
      <c r="Y723" s="0" t="s">
        <v>627</v>
      </c>
      <c r="Z723" s="0" t="s">
        <v>629</v>
      </c>
      <c r="AA723" s="0" t="s">
        <v>624</v>
      </c>
      <c r="AB723" s="0" t="s">
        <v>580</v>
      </c>
      <c r="AC723" s="254" t="n">
        <v>620000</v>
      </c>
      <c r="AD723" s="254" t="n">
        <v>1611.12391786324</v>
      </c>
      <c r="AE723" s="0" t="n">
        <v>0</v>
      </c>
      <c r="AF723" s="0" t="n">
        <v>0</v>
      </c>
      <c r="AG723" s="0" t="n">
        <v>0</v>
      </c>
      <c r="AH723" s="254" t="n">
        <v>-24321.3758307879</v>
      </c>
      <c r="AI723" s="0" t="n">
        <v>226</v>
      </c>
      <c r="AJ723" s="0" t="s">
        <v>630</v>
      </c>
      <c r="AK723" s="0" t="n">
        <v>0</v>
      </c>
      <c r="AL723" s="0" t="n">
        <v>0</v>
      </c>
      <c r="AM723" s="0" t="n">
        <v>0</v>
      </c>
    </row>
    <row r="724" customFormat="false" ht="12.75" hidden="false" customHeight="false" outlineLevel="0" collapsed="false">
      <c r="A724" s="0" t="s">
        <v>631</v>
      </c>
      <c r="B724" s="0" t="s">
        <v>437</v>
      </c>
      <c r="C724" s="0" t="s">
        <v>622</v>
      </c>
      <c r="D724" s="0" t="s">
        <v>623</v>
      </c>
      <c r="E724" s="0" t="s">
        <v>131</v>
      </c>
      <c r="F724" s="0" t="s">
        <v>275</v>
      </c>
      <c r="G724" s="0" t="s">
        <v>628</v>
      </c>
      <c r="H724" s="0" t="s">
        <v>625</v>
      </c>
      <c r="I724" s="0" t="s">
        <v>626</v>
      </c>
      <c r="J724" s="0" t="s">
        <v>627</v>
      </c>
      <c r="K724" s="475" t="n">
        <v>36800</v>
      </c>
      <c r="L724" s="254" t="n">
        <v>-134.892297811002</v>
      </c>
      <c r="M724" s="475" t="n">
        <v>36797</v>
      </c>
      <c r="N724" s="0" t="s">
        <v>132</v>
      </c>
      <c r="O724" s="0" t="n">
        <v>0.4</v>
      </c>
      <c r="P724" s="0" t="n">
        <v>0</v>
      </c>
      <c r="Q724" s="0" t="n">
        <v>0</v>
      </c>
      <c r="R724" s="0" t="n">
        <v>0</v>
      </c>
      <c r="S724" s="0" t="n">
        <v>0</v>
      </c>
      <c r="T724" s="0" t="s">
        <v>624</v>
      </c>
      <c r="U724" s="0" t="s">
        <v>137</v>
      </c>
      <c r="V724" s="0" t="s">
        <v>624</v>
      </c>
      <c r="W724" s="0" t="s">
        <v>569</v>
      </c>
      <c r="X724" s="0" t="s">
        <v>624</v>
      </c>
      <c r="Y724" s="0" t="s">
        <v>627</v>
      </c>
      <c r="Z724" s="0" t="s">
        <v>629</v>
      </c>
      <c r="AA724" s="0" t="s">
        <v>624</v>
      </c>
      <c r="AB724" s="0" t="s">
        <v>580</v>
      </c>
      <c r="AC724" s="254" t="n">
        <v>-620000</v>
      </c>
      <c r="AD724" s="254" t="n">
        <v>-276.647327025823</v>
      </c>
      <c r="AE724" s="0" t="n">
        <v>0</v>
      </c>
      <c r="AF724" s="0" t="n">
        <v>0</v>
      </c>
      <c r="AG724" s="0" t="n">
        <v>0</v>
      </c>
      <c r="AH724" s="254" t="n">
        <v>-47.7423571924618</v>
      </c>
      <c r="AI724" s="0" t="n">
        <v>226</v>
      </c>
      <c r="AJ724" s="0" t="s">
        <v>630</v>
      </c>
      <c r="AK724" s="0" t="n">
        <v>0</v>
      </c>
      <c r="AL724" s="0" t="n">
        <v>0</v>
      </c>
      <c r="AM724" s="0" t="n">
        <v>0</v>
      </c>
    </row>
    <row r="725" customFormat="false" ht="12.75" hidden="false" customHeight="false" outlineLevel="0" collapsed="false">
      <c r="A725" s="0" t="s">
        <v>631</v>
      </c>
      <c r="B725" s="0" t="s">
        <v>438</v>
      </c>
      <c r="C725" s="0" t="s">
        <v>622</v>
      </c>
      <c r="D725" s="0" t="s">
        <v>623</v>
      </c>
      <c r="E725" s="0" t="s">
        <v>131</v>
      </c>
      <c r="F725" s="0" t="s">
        <v>275</v>
      </c>
      <c r="G725" s="0" t="s">
        <v>628</v>
      </c>
      <c r="H725" s="0" t="s">
        <v>625</v>
      </c>
      <c r="I725" s="0" t="s">
        <v>626</v>
      </c>
      <c r="J725" s="0" t="s">
        <v>627</v>
      </c>
      <c r="K725" s="475" t="n">
        <v>36831</v>
      </c>
      <c r="L725" s="254" t="n">
        <v>76559.2821191198</v>
      </c>
      <c r="M725" s="475" t="n">
        <v>36829</v>
      </c>
      <c r="N725" s="0" t="s">
        <v>136</v>
      </c>
      <c r="O725" s="0" t="n">
        <v>-0.375</v>
      </c>
      <c r="P725" s="0" t="n">
        <v>0</v>
      </c>
      <c r="Q725" s="0" t="n">
        <v>0</v>
      </c>
      <c r="R725" s="0" t="n">
        <v>0</v>
      </c>
      <c r="S725" s="0" t="n">
        <v>0</v>
      </c>
      <c r="T725" s="0" t="s">
        <v>624</v>
      </c>
      <c r="U725" s="0" t="s">
        <v>151</v>
      </c>
      <c r="V725" s="0" t="s">
        <v>624</v>
      </c>
      <c r="W725" s="0" t="s">
        <v>569</v>
      </c>
      <c r="X725" s="0" t="s">
        <v>624</v>
      </c>
      <c r="Y725" s="0" t="s">
        <v>627</v>
      </c>
      <c r="Z725" s="0" t="s">
        <v>629</v>
      </c>
      <c r="AA725" s="0" t="s">
        <v>624</v>
      </c>
      <c r="AB725" s="0" t="s">
        <v>580</v>
      </c>
      <c r="AC725" s="254" t="n">
        <v>600000</v>
      </c>
      <c r="AD725" s="254" t="n">
        <v>20575.4392821911</v>
      </c>
      <c r="AE725" s="0" t="n">
        <v>0</v>
      </c>
      <c r="AF725" s="0" t="n">
        <v>0</v>
      </c>
      <c r="AG725" s="0" t="n">
        <v>0</v>
      </c>
      <c r="AH725" s="254" t="n">
        <v>-9574.72095556841</v>
      </c>
      <c r="AI725" s="0" t="n">
        <v>226</v>
      </c>
      <c r="AJ725" s="0" t="s">
        <v>630</v>
      </c>
      <c r="AK725" s="0" t="n">
        <v>0</v>
      </c>
      <c r="AL725" s="0" t="n">
        <v>0</v>
      </c>
      <c r="AM725" s="0" t="n">
        <v>0</v>
      </c>
    </row>
    <row r="726" customFormat="false" ht="12.75" hidden="false" customHeight="false" outlineLevel="0" collapsed="false">
      <c r="A726" s="0" t="s">
        <v>631</v>
      </c>
      <c r="B726" s="0" t="s">
        <v>438</v>
      </c>
      <c r="C726" s="0" t="s">
        <v>622</v>
      </c>
      <c r="D726" s="0" t="s">
        <v>623</v>
      </c>
      <c r="E726" s="0" t="s">
        <v>131</v>
      </c>
      <c r="F726" s="0" t="s">
        <v>275</v>
      </c>
      <c r="G726" s="0" t="s">
        <v>628</v>
      </c>
      <c r="H726" s="0" t="s">
        <v>625</v>
      </c>
      <c r="I726" s="0" t="s">
        <v>626</v>
      </c>
      <c r="J726" s="0" t="s">
        <v>627</v>
      </c>
      <c r="K726" s="475" t="n">
        <v>36861</v>
      </c>
      <c r="L726" s="254" t="n">
        <v>136457.481439993</v>
      </c>
      <c r="M726" s="475" t="n">
        <v>36859</v>
      </c>
      <c r="N726" s="0" t="s">
        <v>136</v>
      </c>
      <c r="O726" s="0" t="n">
        <v>-0.375</v>
      </c>
      <c r="P726" s="0" t="n">
        <v>0</v>
      </c>
      <c r="Q726" s="0" t="n">
        <v>0</v>
      </c>
      <c r="R726" s="0" t="n">
        <v>0</v>
      </c>
      <c r="S726" s="0" t="n">
        <v>0</v>
      </c>
      <c r="T726" s="0" t="s">
        <v>624</v>
      </c>
      <c r="U726" s="0" t="s">
        <v>151</v>
      </c>
      <c r="V726" s="0" t="s">
        <v>624</v>
      </c>
      <c r="W726" s="0" t="s">
        <v>569</v>
      </c>
      <c r="X726" s="0" t="s">
        <v>624</v>
      </c>
      <c r="Y726" s="0" t="s">
        <v>627</v>
      </c>
      <c r="Z726" s="0" t="s">
        <v>629</v>
      </c>
      <c r="AA726" s="0" t="s">
        <v>624</v>
      </c>
      <c r="AB726" s="0" t="s">
        <v>580</v>
      </c>
      <c r="AC726" s="254" t="n">
        <v>620000</v>
      </c>
      <c r="AD726" s="254" t="n">
        <v>26550.6278402169</v>
      </c>
      <c r="AE726" s="0" t="n">
        <v>0</v>
      </c>
      <c r="AF726" s="0" t="n">
        <v>0</v>
      </c>
      <c r="AG726" s="0" t="n">
        <v>0</v>
      </c>
      <c r="AH726" s="254" t="n">
        <v>-12031.7991182055</v>
      </c>
      <c r="AI726" s="0" t="n">
        <v>226</v>
      </c>
      <c r="AJ726" s="0" t="s">
        <v>630</v>
      </c>
      <c r="AK726" s="0" t="n">
        <v>0</v>
      </c>
      <c r="AL726" s="0" t="n">
        <v>0</v>
      </c>
      <c r="AM726" s="0" t="n">
        <v>0</v>
      </c>
    </row>
    <row r="727" customFormat="false" ht="12.75" hidden="false" customHeight="false" outlineLevel="0" collapsed="false">
      <c r="A727" s="0" t="s">
        <v>631</v>
      </c>
      <c r="B727" s="0" t="s">
        <v>438</v>
      </c>
      <c r="C727" s="0" t="s">
        <v>622</v>
      </c>
      <c r="D727" s="0" t="s">
        <v>623</v>
      </c>
      <c r="E727" s="0" t="s">
        <v>131</v>
      </c>
      <c r="F727" s="0" t="s">
        <v>275</v>
      </c>
      <c r="G727" s="0" t="s">
        <v>628</v>
      </c>
      <c r="H727" s="0" t="s">
        <v>625</v>
      </c>
      <c r="I727" s="0" t="s">
        <v>626</v>
      </c>
      <c r="J727" s="0" t="s">
        <v>627</v>
      </c>
      <c r="K727" s="475" t="n">
        <v>36892</v>
      </c>
      <c r="L727" s="254" t="n">
        <v>150957.54360134</v>
      </c>
      <c r="M727" s="475" t="n">
        <v>36888</v>
      </c>
      <c r="N727" s="0" t="s">
        <v>136</v>
      </c>
      <c r="O727" s="0" t="n">
        <v>-0.375</v>
      </c>
      <c r="P727" s="0" t="n">
        <v>0</v>
      </c>
      <c r="Q727" s="0" t="n">
        <v>0</v>
      </c>
      <c r="R727" s="0" t="n">
        <v>0</v>
      </c>
      <c r="S727" s="0" t="n">
        <v>0</v>
      </c>
      <c r="T727" s="0" t="s">
        <v>624</v>
      </c>
      <c r="U727" s="0" t="s">
        <v>151</v>
      </c>
      <c r="V727" s="0" t="s">
        <v>624</v>
      </c>
      <c r="W727" s="0" t="s">
        <v>569</v>
      </c>
      <c r="X727" s="0" t="s">
        <v>624</v>
      </c>
      <c r="Y727" s="0" t="s">
        <v>627</v>
      </c>
      <c r="Z727" s="0" t="s">
        <v>629</v>
      </c>
      <c r="AA727" s="0" t="s">
        <v>624</v>
      </c>
      <c r="AB727" s="0" t="s">
        <v>580</v>
      </c>
      <c r="AC727" s="254" t="n">
        <v>620000</v>
      </c>
      <c r="AD727" s="254" t="n">
        <v>30483.990860293</v>
      </c>
      <c r="AE727" s="0" t="n">
        <v>0</v>
      </c>
      <c r="AF727" s="0" t="n">
        <v>0</v>
      </c>
      <c r="AG727" s="0" t="n">
        <v>0</v>
      </c>
      <c r="AH727" s="254" t="n">
        <v>-11666.5112315138</v>
      </c>
      <c r="AI727" s="0" t="n">
        <v>226</v>
      </c>
      <c r="AJ727" s="0" t="s">
        <v>630</v>
      </c>
      <c r="AK727" s="0" t="n">
        <v>0</v>
      </c>
      <c r="AL727" s="0" t="n">
        <v>0</v>
      </c>
      <c r="AM727" s="0" t="n">
        <v>0</v>
      </c>
    </row>
    <row r="728" customFormat="false" ht="12.75" hidden="false" customHeight="false" outlineLevel="0" collapsed="false">
      <c r="A728" s="0" t="s">
        <v>631</v>
      </c>
      <c r="B728" s="0" t="s">
        <v>438</v>
      </c>
      <c r="C728" s="0" t="s">
        <v>622</v>
      </c>
      <c r="D728" s="0" t="s">
        <v>623</v>
      </c>
      <c r="E728" s="0" t="s">
        <v>131</v>
      </c>
      <c r="F728" s="0" t="s">
        <v>275</v>
      </c>
      <c r="G728" s="0" t="s">
        <v>628</v>
      </c>
      <c r="H728" s="0" t="s">
        <v>625</v>
      </c>
      <c r="I728" s="0" t="s">
        <v>626</v>
      </c>
      <c r="J728" s="0" t="s">
        <v>627</v>
      </c>
      <c r="K728" s="475" t="n">
        <v>36923</v>
      </c>
      <c r="L728" s="254" t="n">
        <v>135688.846629557</v>
      </c>
      <c r="M728" s="475" t="n">
        <v>36921</v>
      </c>
      <c r="N728" s="0" t="s">
        <v>136</v>
      </c>
      <c r="O728" s="0" t="n">
        <v>-0.375</v>
      </c>
      <c r="P728" s="0" t="n">
        <v>0</v>
      </c>
      <c r="Q728" s="0" t="n">
        <v>0</v>
      </c>
      <c r="R728" s="0" t="n">
        <v>0</v>
      </c>
      <c r="S728" s="0" t="n">
        <v>0</v>
      </c>
      <c r="T728" s="0" t="s">
        <v>624</v>
      </c>
      <c r="U728" s="0" t="s">
        <v>151</v>
      </c>
      <c r="V728" s="0" t="s">
        <v>624</v>
      </c>
      <c r="W728" s="0" t="s">
        <v>569</v>
      </c>
      <c r="X728" s="0" t="s">
        <v>624</v>
      </c>
      <c r="Y728" s="0" t="s">
        <v>627</v>
      </c>
      <c r="Z728" s="0" t="s">
        <v>629</v>
      </c>
      <c r="AA728" s="0" t="s">
        <v>624</v>
      </c>
      <c r="AB728" s="0" t="s">
        <v>580</v>
      </c>
      <c r="AC728" s="254" t="n">
        <v>560000</v>
      </c>
      <c r="AD728" s="254" t="n">
        <v>30104.3702614766</v>
      </c>
      <c r="AE728" s="0" t="n">
        <v>0</v>
      </c>
      <c r="AF728" s="0" t="n">
        <v>0</v>
      </c>
      <c r="AG728" s="0" t="n">
        <v>0</v>
      </c>
      <c r="AH728" s="254" t="n">
        <v>-10104.3444457715</v>
      </c>
      <c r="AI728" s="0" t="n">
        <v>226</v>
      </c>
      <c r="AJ728" s="0" t="s">
        <v>630</v>
      </c>
      <c r="AK728" s="0" t="n">
        <v>0</v>
      </c>
      <c r="AL728" s="0" t="n">
        <v>0</v>
      </c>
      <c r="AM728" s="0" t="n">
        <v>0</v>
      </c>
    </row>
    <row r="729" customFormat="false" ht="12.75" hidden="false" customHeight="false" outlineLevel="0" collapsed="false">
      <c r="A729" s="0" t="s">
        <v>631</v>
      </c>
      <c r="B729" s="0" t="s">
        <v>438</v>
      </c>
      <c r="C729" s="0" t="s">
        <v>622</v>
      </c>
      <c r="D729" s="0" t="s">
        <v>623</v>
      </c>
      <c r="E729" s="0" t="s">
        <v>131</v>
      </c>
      <c r="F729" s="0" t="s">
        <v>275</v>
      </c>
      <c r="G729" s="0" t="s">
        <v>628</v>
      </c>
      <c r="H729" s="0" t="s">
        <v>625</v>
      </c>
      <c r="I729" s="0" t="s">
        <v>626</v>
      </c>
      <c r="J729" s="0" t="s">
        <v>627</v>
      </c>
      <c r="K729" s="475" t="n">
        <v>36951</v>
      </c>
      <c r="L729" s="254" t="n">
        <v>134154.346718463</v>
      </c>
      <c r="M729" s="475" t="n">
        <v>36949</v>
      </c>
      <c r="N729" s="0" t="s">
        <v>136</v>
      </c>
      <c r="O729" s="0" t="n">
        <v>-0.375</v>
      </c>
      <c r="P729" s="0" t="n">
        <v>0</v>
      </c>
      <c r="Q729" s="0" t="n">
        <v>0</v>
      </c>
      <c r="R729" s="0" t="n">
        <v>0</v>
      </c>
      <c r="S729" s="0" t="n">
        <v>0</v>
      </c>
      <c r="T729" s="0" t="s">
        <v>624</v>
      </c>
      <c r="U729" s="0" t="s">
        <v>151</v>
      </c>
      <c r="V729" s="0" t="s">
        <v>624</v>
      </c>
      <c r="W729" s="0" t="s">
        <v>569</v>
      </c>
      <c r="X729" s="0" t="s">
        <v>624</v>
      </c>
      <c r="Y729" s="0" t="s">
        <v>627</v>
      </c>
      <c r="Z729" s="0" t="s">
        <v>629</v>
      </c>
      <c r="AA729" s="0" t="s">
        <v>624</v>
      </c>
      <c r="AB729" s="0" t="s">
        <v>580</v>
      </c>
      <c r="AC729" s="254" t="n">
        <v>620000</v>
      </c>
      <c r="AD729" s="254" t="n">
        <v>32245.6992846977</v>
      </c>
      <c r="AE729" s="0" t="n">
        <v>0</v>
      </c>
      <c r="AF729" s="0" t="n">
        <v>0</v>
      </c>
      <c r="AG729" s="0" t="n">
        <v>0</v>
      </c>
      <c r="AH729" s="254" t="n">
        <v>-10900.1530586803</v>
      </c>
      <c r="AI729" s="0" t="n">
        <v>226</v>
      </c>
      <c r="AJ729" s="0" t="s">
        <v>630</v>
      </c>
      <c r="AK729" s="0" t="n">
        <v>0</v>
      </c>
      <c r="AL729" s="0" t="n">
        <v>0</v>
      </c>
      <c r="AM729" s="0" t="n">
        <v>0</v>
      </c>
    </row>
    <row r="730" customFormat="false" ht="12.75" hidden="false" customHeight="false" outlineLevel="0" collapsed="false">
      <c r="A730" s="0" t="s">
        <v>631</v>
      </c>
      <c r="B730" s="0" t="s">
        <v>439</v>
      </c>
      <c r="C730" s="0" t="s">
        <v>622</v>
      </c>
      <c r="D730" s="0" t="s">
        <v>623</v>
      </c>
      <c r="E730" s="0" t="s">
        <v>131</v>
      </c>
      <c r="F730" s="0" t="s">
        <v>275</v>
      </c>
      <c r="G730" s="0" t="s">
        <v>628</v>
      </c>
      <c r="H730" s="0" t="s">
        <v>625</v>
      </c>
      <c r="I730" s="0" t="s">
        <v>626</v>
      </c>
      <c r="J730" s="0" t="s">
        <v>627</v>
      </c>
      <c r="K730" s="475" t="n">
        <v>36831</v>
      </c>
      <c r="L730" s="254" t="n">
        <v>131411.117805527</v>
      </c>
      <c r="M730" s="475" t="n">
        <v>36829</v>
      </c>
      <c r="N730" s="0" t="s">
        <v>132</v>
      </c>
      <c r="O730" s="0" t="n">
        <v>-0.375</v>
      </c>
      <c r="P730" s="0" t="n">
        <v>0</v>
      </c>
      <c r="Q730" s="0" t="n">
        <v>0</v>
      </c>
      <c r="R730" s="0" t="n">
        <v>0</v>
      </c>
      <c r="S730" s="0" t="n">
        <v>0</v>
      </c>
      <c r="T730" s="0" t="s">
        <v>624</v>
      </c>
      <c r="U730" s="0" t="s">
        <v>151</v>
      </c>
      <c r="V730" s="0" t="s">
        <v>624</v>
      </c>
      <c r="W730" s="0" t="s">
        <v>569</v>
      </c>
      <c r="X730" s="0" t="s">
        <v>624</v>
      </c>
      <c r="Y730" s="0" t="s">
        <v>627</v>
      </c>
      <c r="Z730" s="0" t="s">
        <v>629</v>
      </c>
      <c r="AA730" s="0" t="s">
        <v>624</v>
      </c>
      <c r="AB730" s="0" t="s">
        <v>580</v>
      </c>
      <c r="AC730" s="254" t="n">
        <v>600000</v>
      </c>
      <c r="AD730" s="254" t="n">
        <v>20575.4392821911</v>
      </c>
      <c r="AE730" s="0" t="n">
        <v>0</v>
      </c>
      <c r="AF730" s="0" t="n">
        <v>0</v>
      </c>
      <c r="AG730" s="0" t="n">
        <v>0</v>
      </c>
      <c r="AH730" s="254" t="n">
        <v>14131.9314919728</v>
      </c>
      <c r="AI730" s="0" t="n">
        <v>226</v>
      </c>
      <c r="AJ730" s="0" t="s">
        <v>630</v>
      </c>
      <c r="AK730" s="0" t="n">
        <v>0</v>
      </c>
      <c r="AL730" s="0" t="n">
        <v>0</v>
      </c>
      <c r="AM730" s="0" t="n">
        <v>0</v>
      </c>
    </row>
    <row r="731" customFormat="false" ht="12.75" hidden="false" customHeight="false" outlineLevel="0" collapsed="false">
      <c r="A731" s="0" t="s">
        <v>631</v>
      </c>
      <c r="B731" s="0" t="s">
        <v>439</v>
      </c>
      <c r="C731" s="0" t="s">
        <v>622</v>
      </c>
      <c r="D731" s="0" t="s">
        <v>623</v>
      </c>
      <c r="E731" s="0" t="s">
        <v>131</v>
      </c>
      <c r="F731" s="0" t="s">
        <v>275</v>
      </c>
      <c r="G731" s="0" t="s">
        <v>628</v>
      </c>
      <c r="H731" s="0" t="s">
        <v>625</v>
      </c>
      <c r="I731" s="0" t="s">
        <v>626</v>
      </c>
      <c r="J731" s="0" t="s">
        <v>627</v>
      </c>
      <c r="K731" s="475" t="n">
        <v>36861</v>
      </c>
      <c r="L731" s="254" t="n">
        <v>125794.575820724</v>
      </c>
      <c r="M731" s="475" t="n">
        <v>36859</v>
      </c>
      <c r="N731" s="0" t="s">
        <v>132</v>
      </c>
      <c r="O731" s="0" t="n">
        <v>-0.375</v>
      </c>
      <c r="P731" s="0" t="n">
        <v>0</v>
      </c>
      <c r="Q731" s="0" t="n">
        <v>0</v>
      </c>
      <c r="R731" s="0" t="n">
        <v>0</v>
      </c>
      <c r="S731" s="0" t="n">
        <v>0</v>
      </c>
      <c r="T731" s="0" t="s">
        <v>624</v>
      </c>
      <c r="U731" s="0" t="s">
        <v>151</v>
      </c>
      <c r="V731" s="0" t="s">
        <v>624</v>
      </c>
      <c r="W731" s="0" t="s">
        <v>569</v>
      </c>
      <c r="X731" s="0" t="s">
        <v>624</v>
      </c>
      <c r="Y731" s="0" t="s">
        <v>627</v>
      </c>
      <c r="Z731" s="0" t="s">
        <v>629</v>
      </c>
      <c r="AA731" s="0" t="s">
        <v>624</v>
      </c>
      <c r="AB731" s="0" t="s">
        <v>580</v>
      </c>
      <c r="AC731" s="254" t="n">
        <v>620000</v>
      </c>
      <c r="AD731" s="254" t="n">
        <v>26550.6278402168</v>
      </c>
      <c r="AE731" s="0" t="n">
        <v>0</v>
      </c>
      <c r="AF731" s="0" t="n">
        <v>0</v>
      </c>
      <c r="AG731" s="0" t="n">
        <v>0</v>
      </c>
      <c r="AH731" s="254" t="n">
        <v>12327.1498281509</v>
      </c>
      <c r="AI731" s="0" t="n">
        <v>226</v>
      </c>
      <c r="AJ731" s="0" t="s">
        <v>630</v>
      </c>
      <c r="AK731" s="0" t="n">
        <v>0</v>
      </c>
      <c r="AL731" s="0" t="n">
        <v>0</v>
      </c>
      <c r="AM731" s="0" t="n">
        <v>0</v>
      </c>
    </row>
    <row r="732" customFormat="false" ht="12.75" hidden="false" customHeight="false" outlineLevel="0" collapsed="false">
      <c r="A732" s="0" t="s">
        <v>631</v>
      </c>
      <c r="B732" s="0" t="s">
        <v>439</v>
      </c>
      <c r="C732" s="0" t="s">
        <v>622</v>
      </c>
      <c r="D732" s="0" t="s">
        <v>623</v>
      </c>
      <c r="E732" s="0" t="s">
        <v>131</v>
      </c>
      <c r="F732" s="0" t="s">
        <v>275</v>
      </c>
      <c r="G732" s="0" t="s">
        <v>628</v>
      </c>
      <c r="H732" s="0" t="s">
        <v>625</v>
      </c>
      <c r="I732" s="0" t="s">
        <v>626</v>
      </c>
      <c r="J732" s="0" t="s">
        <v>627</v>
      </c>
      <c r="K732" s="475" t="n">
        <v>36892</v>
      </c>
      <c r="L732" s="254" t="n">
        <v>146412.538685621</v>
      </c>
      <c r="M732" s="475" t="n">
        <v>36888</v>
      </c>
      <c r="N732" s="0" t="s">
        <v>132</v>
      </c>
      <c r="O732" s="0" t="n">
        <v>-0.375</v>
      </c>
      <c r="P732" s="0" t="n">
        <v>0</v>
      </c>
      <c r="Q732" s="0" t="n">
        <v>0</v>
      </c>
      <c r="R732" s="0" t="n">
        <v>0</v>
      </c>
      <c r="S732" s="0" t="n">
        <v>0</v>
      </c>
      <c r="T732" s="0" t="s">
        <v>624</v>
      </c>
      <c r="U732" s="0" t="s">
        <v>151</v>
      </c>
      <c r="V732" s="0" t="s">
        <v>624</v>
      </c>
      <c r="W732" s="0" t="s">
        <v>569</v>
      </c>
      <c r="X732" s="0" t="s">
        <v>624</v>
      </c>
      <c r="Y732" s="0" t="s">
        <v>627</v>
      </c>
      <c r="Z732" s="0" t="s">
        <v>629</v>
      </c>
      <c r="AA732" s="0" t="s">
        <v>624</v>
      </c>
      <c r="AB732" s="0" t="s">
        <v>580</v>
      </c>
      <c r="AC732" s="254" t="n">
        <v>620000</v>
      </c>
      <c r="AD732" s="254" t="n">
        <v>30483.990860293</v>
      </c>
      <c r="AE732" s="0" t="n">
        <v>0</v>
      </c>
      <c r="AF732" s="0" t="n">
        <v>0</v>
      </c>
      <c r="AG732" s="0" t="n">
        <v>0</v>
      </c>
      <c r="AH732" s="254" t="n">
        <v>12560.5910984607</v>
      </c>
      <c r="AI732" s="0" t="n">
        <v>226</v>
      </c>
      <c r="AJ732" s="0" t="s">
        <v>630</v>
      </c>
      <c r="AK732" s="0" t="n">
        <v>0</v>
      </c>
      <c r="AL732" s="0" t="n">
        <v>0</v>
      </c>
      <c r="AM732" s="0" t="n">
        <v>0</v>
      </c>
    </row>
    <row r="733" customFormat="false" ht="12.75" hidden="false" customHeight="false" outlineLevel="0" collapsed="false">
      <c r="A733" s="0" t="s">
        <v>631</v>
      </c>
      <c r="B733" s="0" t="s">
        <v>439</v>
      </c>
      <c r="C733" s="0" t="s">
        <v>622</v>
      </c>
      <c r="D733" s="0" t="s">
        <v>623</v>
      </c>
      <c r="E733" s="0" t="s">
        <v>131</v>
      </c>
      <c r="F733" s="0" t="s">
        <v>275</v>
      </c>
      <c r="G733" s="0" t="s">
        <v>628</v>
      </c>
      <c r="H733" s="0" t="s">
        <v>625</v>
      </c>
      <c r="I733" s="0" t="s">
        <v>626</v>
      </c>
      <c r="J733" s="0" t="s">
        <v>627</v>
      </c>
      <c r="K733" s="475" t="n">
        <v>36923</v>
      </c>
      <c r="L733" s="254" t="n">
        <v>142487.887395355</v>
      </c>
      <c r="M733" s="475" t="n">
        <v>36921</v>
      </c>
      <c r="N733" s="0" t="s">
        <v>132</v>
      </c>
      <c r="O733" s="0" t="n">
        <v>-0.375</v>
      </c>
      <c r="P733" s="0" t="n">
        <v>0</v>
      </c>
      <c r="Q733" s="0" t="n">
        <v>0</v>
      </c>
      <c r="R733" s="0" t="n">
        <v>0</v>
      </c>
      <c r="S733" s="0" t="n">
        <v>0</v>
      </c>
      <c r="T733" s="0" t="s">
        <v>624</v>
      </c>
      <c r="U733" s="0" t="s">
        <v>151</v>
      </c>
      <c r="V733" s="0" t="s">
        <v>624</v>
      </c>
      <c r="W733" s="0" t="s">
        <v>569</v>
      </c>
      <c r="X733" s="0" t="s">
        <v>624</v>
      </c>
      <c r="Y733" s="0" t="s">
        <v>627</v>
      </c>
      <c r="Z733" s="0" t="s">
        <v>629</v>
      </c>
      <c r="AA733" s="0" t="s">
        <v>624</v>
      </c>
      <c r="AB733" s="0" t="s">
        <v>580</v>
      </c>
      <c r="AC733" s="254" t="n">
        <v>560000</v>
      </c>
      <c r="AD733" s="254" t="n">
        <v>30104.3702614766</v>
      </c>
      <c r="AE733" s="0" t="n">
        <v>0</v>
      </c>
      <c r="AF733" s="0" t="n">
        <v>0</v>
      </c>
      <c r="AG733" s="0" t="n">
        <v>0</v>
      </c>
      <c r="AH733" s="254" t="n">
        <v>11641.4016724845</v>
      </c>
      <c r="AI733" s="0" t="n">
        <v>226</v>
      </c>
      <c r="AJ733" s="0" t="s">
        <v>630</v>
      </c>
      <c r="AK733" s="0" t="n">
        <v>0</v>
      </c>
      <c r="AL733" s="0" t="n">
        <v>0</v>
      </c>
      <c r="AM733" s="0" t="n">
        <v>0</v>
      </c>
    </row>
    <row r="734" customFormat="false" ht="12.75" hidden="false" customHeight="false" outlineLevel="0" collapsed="false">
      <c r="A734" s="0" t="s">
        <v>631</v>
      </c>
      <c r="B734" s="0" t="s">
        <v>439</v>
      </c>
      <c r="C734" s="0" t="s">
        <v>622</v>
      </c>
      <c r="D734" s="0" t="s">
        <v>623</v>
      </c>
      <c r="E734" s="0" t="s">
        <v>131</v>
      </c>
      <c r="F734" s="0" t="s">
        <v>275</v>
      </c>
      <c r="G734" s="0" t="s">
        <v>628</v>
      </c>
      <c r="H734" s="0" t="s">
        <v>625</v>
      </c>
      <c r="I734" s="0" t="s">
        <v>626</v>
      </c>
      <c r="J734" s="0" t="s">
        <v>627</v>
      </c>
      <c r="K734" s="475" t="n">
        <v>36951</v>
      </c>
      <c r="L734" s="254" t="n">
        <v>147631.135852342</v>
      </c>
      <c r="M734" s="475" t="n">
        <v>36949</v>
      </c>
      <c r="N734" s="0" t="s">
        <v>132</v>
      </c>
      <c r="O734" s="0" t="n">
        <v>-0.375</v>
      </c>
      <c r="P734" s="0" t="n">
        <v>0</v>
      </c>
      <c r="Q734" s="0" t="n">
        <v>0</v>
      </c>
      <c r="R734" s="0" t="n">
        <v>0</v>
      </c>
      <c r="S734" s="0" t="n">
        <v>0</v>
      </c>
      <c r="T734" s="0" t="s">
        <v>624</v>
      </c>
      <c r="U734" s="0" t="s">
        <v>151</v>
      </c>
      <c r="V734" s="0" t="s">
        <v>624</v>
      </c>
      <c r="W734" s="0" t="s">
        <v>569</v>
      </c>
      <c r="X734" s="0" t="s">
        <v>624</v>
      </c>
      <c r="Y734" s="0" t="s">
        <v>627</v>
      </c>
      <c r="Z734" s="0" t="s">
        <v>629</v>
      </c>
      <c r="AA734" s="0" t="s">
        <v>624</v>
      </c>
      <c r="AB734" s="0" t="s">
        <v>580</v>
      </c>
      <c r="AC734" s="254" t="n">
        <v>620000</v>
      </c>
      <c r="AD734" s="254" t="n">
        <v>32245.6992846978</v>
      </c>
      <c r="AE734" s="0" t="n">
        <v>0</v>
      </c>
      <c r="AF734" s="0" t="n">
        <v>0</v>
      </c>
      <c r="AG734" s="0" t="n">
        <v>0</v>
      </c>
      <c r="AH734" s="254" t="n">
        <v>13046.7822897731</v>
      </c>
      <c r="AI734" s="0" t="n">
        <v>226</v>
      </c>
      <c r="AJ734" s="0" t="s">
        <v>630</v>
      </c>
      <c r="AK734" s="0" t="n">
        <v>0</v>
      </c>
      <c r="AL734" s="0" t="n">
        <v>0</v>
      </c>
      <c r="AM734" s="0" t="n">
        <v>0</v>
      </c>
    </row>
    <row r="735" customFormat="false" ht="12.75" hidden="false" customHeight="false" outlineLevel="0" collapsed="false">
      <c r="A735" s="0" t="s">
        <v>631</v>
      </c>
      <c r="B735" s="0" t="s">
        <v>440</v>
      </c>
      <c r="C735" s="0" t="s">
        <v>622</v>
      </c>
      <c r="D735" s="0" t="s">
        <v>623</v>
      </c>
      <c r="E735" s="0" t="s">
        <v>131</v>
      </c>
      <c r="F735" s="0" t="s">
        <v>255</v>
      </c>
      <c r="G735" s="0" t="s">
        <v>628</v>
      </c>
      <c r="H735" s="0" t="s">
        <v>625</v>
      </c>
      <c r="I735" s="0" t="s">
        <v>626</v>
      </c>
      <c r="J735" s="0" t="s">
        <v>627</v>
      </c>
      <c r="K735" s="475" t="n">
        <v>36892</v>
      </c>
      <c r="L735" s="254" t="n">
        <v>-28711.8987177352</v>
      </c>
      <c r="M735" s="475" t="n">
        <v>36888</v>
      </c>
      <c r="N735" s="0" t="s">
        <v>136</v>
      </c>
      <c r="O735" s="0" t="n">
        <v>0.2</v>
      </c>
      <c r="P735" s="0" t="n">
        <v>0</v>
      </c>
      <c r="Q735" s="0" t="n">
        <v>0</v>
      </c>
      <c r="R735" s="0" t="n">
        <v>0</v>
      </c>
      <c r="S735" s="0" t="n">
        <v>0</v>
      </c>
      <c r="T735" s="0" t="s">
        <v>624</v>
      </c>
      <c r="U735" s="0" t="s">
        <v>632</v>
      </c>
      <c r="V735" s="0" t="s">
        <v>624</v>
      </c>
      <c r="W735" s="0" t="s">
        <v>569</v>
      </c>
      <c r="X735" s="0" t="s">
        <v>624</v>
      </c>
      <c r="Y735" s="0" t="s">
        <v>627</v>
      </c>
      <c r="Z735" s="0" t="s">
        <v>629</v>
      </c>
      <c r="AA735" s="0" t="s">
        <v>624</v>
      </c>
      <c r="AB735" s="0" t="s">
        <v>580</v>
      </c>
      <c r="AC735" s="254" t="n">
        <v>-1000000</v>
      </c>
      <c r="AD735" s="254" t="n">
        <v>-8458.08813513262</v>
      </c>
      <c r="AE735" s="0" t="n">
        <v>0</v>
      </c>
      <c r="AF735" s="0" t="n">
        <v>0</v>
      </c>
      <c r="AG735" s="0" t="n">
        <v>0</v>
      </c>
      <c r="AH735" s="254" t="n">
        <v>-407.037405835876</v>
      </c>
      <c r="AI735" s="0" t="n">
        <v>226</v>
      </c>
      <c r="AJ735" s="0" t="s">
        <v>630</v>
      </c>
      <c r="AK735" s="0" t="n">
        <v>0</v>
      </c>
      <c r="AL735" s="0" t="n">
        <v>0</v>
      </c>
      <c r="AM735" s="0" t="n">
        <v>0</v>
      </c>
    </row>
    <row r="736" customFormat="false" ht="12.75" hidden="false" customHeight="false" outlineLevel="0" collapsed="false">
      <c r="A736" s="0" t="s">
        <v>631</v>
      </c>
      <c r="B736" s="0" t="s">
        <v>440</v>
      </c>
      <c r="C736" s="0" t="s">
        <v>622</v>
      </c>
      <c r="D736" s="0" t="s">
        <v>623</v>
      </c>
      <c r="E736" s="0" t="s">
        <v>131</v>
      </c>
      <c r="F736" s="0" t="s">
        <v>255</v>
      </c>
      <c r="G736" s="0" t="s">
        <v>628</v>
      </c>
      <c r="H736" s="0" t="s">
        <v>625</v>
      </c>
      <c r="I736" s="0" t="s">
        <v>626</v>
      </c>
      <c r="J736" s="0" t="s">
        <v>627</v>
      </c>
      <c r="K736" s="475" t="n">
        <v>36923</v>
      </c>
      <c r="L736" s="254" t="n">
        <v>-34991.207679825</v>
      </c>
      <c r="M736" s="475" t="n">
        <v>36921</v>
      </c>
      <c r="N736" s="0" t="s">
        <v>136</v>
      </c>
      <c r="O736" s="0" t="n">
        <v>0.2</v>
      </c>
      <c r="P736" s="0" t="n">
        <v>0</v>
      </c>
      <c r="Q736" s="0" t="n">
        <v>0</v>
      </c>
      <c r="R736" s="0" t="n">
        <v>0</v>
      </c>
      <c r="S736" s="0" t="n">
        <v>0</v>
      </c>
      <c r="T736" s="0" t="s">
        <v>624</v>
      </c>
      <c r="U736" s="0" t="s">
        <v>632</v>
      </c>
      <c r="V736" s="0" t="s">
        <v>624</v>
      </c>
      <c r="W736" s="0" t="s">
        <v>569</v>
      </c>
      <c r="X736" s="0" t="s">
        <v>624</v>
      </c>
      <c r="Y736" s="0" t="s">
        <v>627</v>
      </c>
      <c r="Z736" s="0" t="s">
        <v>629</v>
      </c>
      <c r="AA736" s="0" t="s">
        <v>624</v>
      </c>
      <c r="AB736" s="0" t="s">
        <v>580</v>
      </c>
      <c r="AC736" s="254" t="n">
        <v>-1000000</v>
      </c>
      <c r="AD736" s="254" t="n">
        <v>-9589.11843832536</v>
      </c>
      <c r="AE736" s="0" t="n">
        <v>0</v>
      </c>
      <c r="AF736" s="0" t="n">
        <v>0</v>
      </c>
      <c r="AG736" s="0" t="n">
        <v>0</v>
      </c>
      <c r="AH736" s="254" t="n">
        <v>-459.966013406702</v>
      </c>
      <c r="AI736" s="0" t="n">
        <v>226</v>
      </c>
      <c r="AJ736" s="0" t="s">
        <v>630</v>
      </c>
      <c r="AK736" s="0" t="n">
        <v>0</v>
      </c>
      <c r="AL736" s="0" t="n">
        <v>0</v>
      </c>
      <c r="AM736" s="0" t="n">
        <v>0</v>
      </c>
    </row>
    <row r="737" customFormat="false" ht="12.75" hidden="false" customHeight="false" outlineLevel="0" collapsed="false">
      <c r="A737" s="0" t="s">
        <v>631</v>
      </c>
      <c r="B737" s="0" t="s">
        <v>440</v>
      </c>
      <c r="C737" s="0" t="s">
        <v>622</v>
      </c>
      <c r="D737" s="0" t="s">
        <v>623</v>
      </c>
      <c r="E737" s="0" t="s">
        <v>131</v>
      </c>
      <c r="F737" s="0" t="s">
        <v>255</v>
      </c>
      <c r="G737" s="0" t="s">
        <v>628</v>
      </c>
      <c r="H737" s="0" t="s">
        <v>625</v>
      </c>
      <c r="I737" s="0" t="s">
        <v>626</v>
      </c>
      <c r="J737" s="0" t="s">
        <v>627</v>
      </c>
      <c r="K737" s="475" t="n">
        <v>36951</v>
      </c>
      <c r="L737" s="254" t="n">
        <v>-26314.0572922367</v>
      </c>
      <c r="M737" s="475" t="n">
        <v>36949</v>
      </c>
      <c r="N737" s="0" t="s">
        <v>136</v>
      </c>
      <c r="O737" s="0" t="n">
        <v>0.2</v>
      </c>
      <c r="P737" s="0" t="n">
        <v>0</v>
      </c>
      <c r="Q737" s="0" t="n">
        <v>0</v>
      </c>
      <c r="R737" s="0" t="n">
        <v>0</v>
      </c>
      <c r="S737" s="0" t="n">
        <v>0</v>
      </c>
      <c r="T737" s="0" t="s">
        <v>624</v>
      </c>
      <c r="U737" s="0" t="s">
        <v>632</v>
      </c>
      <c r="V737" s="0" t="s">
        <v>624</v>
      </c>
      <c r="W737" s="0" t="s">
        <v>569</v>
      </c>
      <c r="X737" s="0" t="s">
        <v>624</v>
      </c>
      <c r="Y737" s="0" t="s">
        <v>627</v>
      </c>
      <c r="Z737" s="0" t="s">
        <v>629</v>
      </c>
      <c r="AA737" s="0" t="s">
        <v>624</v>
      </c>
      <c r="AB737" s="0" t="s">
        <v>580</v>
      </c>
      <c r="AC737" s="254" t="n">
        <v>-1000000</v>
      </c>
      <c r="AD737" s="254" t="n">
        <v>-8714.59753260284</v>
      </c>
      <c r="AE737" s="0" t="n">
        <v>0</v>
      </c>
      <c r="AF737" s="0" t="n">
        <v>0</v>
      </c>
      <c r="AG737" s="0" t="n">
        <v>0</v>
      </c>
      <c r="AH737" s="254" t="n">
        <v>-442.509629958389</v>
      </c>
      <c r="AI737" s="0" t="n">
        <v>226</v>
      </c>
      <c r="AJ737" s="0" t="s">
        <v>630</v>
      </c>
      <c r="AK737" s="0" t="n">
        <v>0</v>
      </c>
      <c r="AL737" s="0" t="n">
        <v>0</v>
      </c>
      <c r="AM737" s="0" t="n">
        <v>0</v>
      </c>
    </row>
    <row r="738" customFormat="false" ht="12.75" hidden="false" customHeight="false" outlineLevel="0" collapsed="false">
      <c r="A738" s="0" t="s">
        <v>631</v>
      </c>
      <c r="B738" s="0" t="s">
        <v>441</v>
      </c>
      <c r="C738" s="0" t="s">
        <v>622</v>
      </c>
      <c r="D738" s="0" t="s">
        <v>623</v>
      </c>
      <c r="E738" s="0" t="s">
        <v>131</v>
      </c>
      <c r="F738" s="0" t="s">
        <v>210</v>
      </c>
      <c r="G738" s="0" t="s">
        <v>628</v>
      </c>
      <c r="H738" s="0" t="s">
        <v>625</v>
      </c>
      <c r="I738" s="0" t="s">
        <v>626</v>
      </c>
      <c r="J738" s="0" t="s">
        <v>627</v>
      </c>
      <c r="K738" s="475" t="n">
        <v>36982</v>
      </c>
      <c r="L738" s="254" t="n">
        <v>41506.0528340767</v>
      </c>
      <c r="M738" s="475" t="n">
        <v>36979</v>
      </c>
      <c r="N738" s="0" t="s">
        <v>132</v>
      </c>
      <c r="O738" s="0" t="n">
        <v>0.28</v>
      </c>
      <c r="P738" s="0" t="n">
        <v>0</v>
      </c>
      <c r="Q738" s="0" t="n">
        <v>0</v>
      </c>
      <c r="R738" s="0" t="n">
        <v>0</v>
      </c>
      <c r="S738" s="0" t="n">
        <v>0</v>
      </c>
      <c r="T738" s="0" t="s">
        <v>624</v>
      </c>
      <c r="U738" s="0" t="s">
        <v>155</v>
      </c>
      <c r="V738" s="0" t="s">
        <v>624</v>
      </c>
      <c r="W738" s="0" t="s">
        <v>569</v>
      </c>
      <c r="X738" s="0" t="s">
        <v>624</v>
      </c>
      <c r="Y738" s="0" t="s">
        <v>627</v>
      </c>
      <c r="Z738" s="0" t="s">
        <v>629</v>
      </c>
      <c r="AA738" s="0" t="s">
        <v>624</v>
      </c>
      <c r="AB738" s="0" t="s">
        <v>580</v>
      </c>
      <c r="AC738" s="254" t="n">
        <v>1000000</v>
      </c>
      <c r="AD738" s="254" t="n">
        <v>14412.9327085938</v>
      </c>
      <c r="AE738" s="0" t="n">
        <v>0</v>
      </c>
      <c r="AF738" s="0" t="n">
        <v>0</v>
      </c>
      <c r="AG738" s="0" t="n">
        <v>0</v>
      </c>
      <c r="AH738" s="254" t="n">
        <v>685.928365432796</v>
      </c>
      <c r="AI738" s="0" t="n">
        <v>226</v>
      </c>
      <c r="AJ738" s="0" t="s">
        <v>630</v>
      </c>
      <c r="AK738" s="0" t="n">
        <v>0</v>
      </c>
      <c r="AL738" s="0" t="n">
        <v>0</v>
      </c>
      <c r="AM738" s="0" t="n">
        <v>0</v>
      </c>
    </row>
    <row r="739" customFormat="false" ht="12.75" hidden="false" customHeight="false" outlineLevel="0" collapsed="false">
      <c r="A739" s="0" t="s">
        <v>631</v>
      </c>
      <c r="B739" s="0" t="s">
        <v>441</v>
      </c>
      <c r="C739" s="0" t="s">
        <v>622</v>
      </c>
      <c r="D739" s="0" t="s">
        <v>623</v>
      </c>
      <c r="E739" s="0" t="s">
        <v>131</v>
      </c>
      <c r="F739" s="0" t="s">
        <v>210</v>
      </c>
      <c r="G739" s="0" t="s">
        <v>628</v>
      </c>
      <c r="H739" s="0" t="s">
        <v>625</v>
      </c>
      <c r="I739" s="0" t="s">
        <v>626</v>
      </c>
      <c r="J739" s="0" t="s">
        <v>627</v>
      </c>
      <c r="K739" s="475" t="n">
        <v>37012</v>
      </c>
      <c r="L739" s="254" t="n">
        <v>59419.3559488892</v>
      </c>
      <c r="M739" s="475" t="n">
        <v>37008</v>
      </c>
      <c r="N739" s="0" t="s">
        <v>132</v>
      </c>
      <c r="O739" s="0" t="n">
        <v>0.28</v>
      </c>
      <c r="P739" s="0" t="n">
        <v>0</v>
      </c>
      <c r="Q739" s="0" t="n">
        <v>0</v>
      </c>
      <c r="R739" s="0" t="n">
        <v>0</v>
      </c>
      <c r="S739" s="0" t="n">
        <v>0</v>
      </c>
      <c r="T739" s="0" t="s">
        <v>624</v>
      </c>
      <c r="U739" s="0" t="s">
        <v>155</v>
      </c>
      <c r="V739" s="0" t="s">
        <v>624</v>
      </c>
      <c r="W739" s="0" t="s">
        <v>569</v>
      </c>
      <c r="X739" s="0" t="s">
        <v>624</v>
      </c>
      <c r="Y739" s="0" t="s">
        <v>627</v>
      </c>
      <c r="Z739" s="0" t="s">
        <v>629</v>
      </c>
      <c r="AA739" s="0" t="s">
        <v>624</v>
      </c>
      <c r="AB739" s="0" t="s">
        <v>580</v>
      </c>
      <c r="AC739" s="254" t="n">
        <v>1000000</v>
      </c>
      <c r="AD739" s="254" t="n">
        <v>15417.8588495953</v>
      </c>
      <c r="AE739" s="0" t="n">
        <v>0</v>
      </c>
      <c r="AF739" s="0" t="n">
        <v>0</v>
      </c>
      <c r="AG739" s="0" t="n">
        <v>0</v>
      </c>
      <c r="AH739" s="254" t="n">
        <v>733.774310313522</v>
      </c>
      <c r="AI739" s="0" t="n">
        <v>226</v>
      </c>
      <c r="AJ739" s="0" t="s">
        <v>630</v>
      </c>
      <c r="AK739" s="0" t="n">
        <v>0</v>
      </c>
      <c r="AL739" s="0" t="n">
        <v>0</v>
      </c>
      <c r="AM739" s="0" t="n">
        <v>0</v>
      </c>
    </row>
    <row r="740" customFormat="false" ht="12.75" hidden="false" customHeight="false" outlineLevel="0" collapsed="false">
      <c r="A740" s="0" t="s">
        <v>631</v>
      </c>
      <c r="B740" s="0" t="s">
        <v>441</v>
      </c>
      <c r="C740" s="0" t="s">
        <v>622</v>
      </c>
      <c r="D740" s="0" t="s">
        <v>623</v>
      </c>
      <c r="E740" s="0" t="s">
        <v>131</v>
      </c>
      <c r="F740" s="0" t="s">
        <v>210</v>
      </c>
      <c r="G740" s="0" t="s">
        <v>628</v>
      </c>
      <c r="H740" s="0" t="s">
        <v>625</v>
      </c>
      <c r="I740" s="0" t="s">
        <v>626</v>
      </c>
      <c r="J740" s="0" t="s">
        <v>627</v>
      </c>
      <c r="K740" s="475" t="n">
        <v>37043</v>
      </c>
      <c r="L740" s="254" t="n">
        <v>62583.3942250317</v>
      </c>
      <c r="M740" s="475" t="n">
        <v>37041</v>
      </c>
      <c r="N740" s="0" t="s">
        <v>132</v>
      </c>
      <c r="O740" s="0" t="n">
        <v>0.28</v>
      </c>
      <c r="P740" s="0" t="n">
        <v>0</v>
      </c>
      <c r="Q740" s="0" t="n">
        <v>0</v>
      </c>
      <c r="R740" s="0" t="n">
        <v>0</v>
      </c>
      <c r="S740" s="0" t="n">
        <v>0</v>
      </c>
      <c r="T740" s="0" t="s">
        <v>624</v>
      </c>
      <c r="U740" s="0" t="s">
        <v>155</v>
      </c>
      <c r="V740" s="0" t="s">
        <v>624</v>
      </c>
      <c r="W740" s="0" t="s">
        <v>569</v>
      </c>
      <c r="X740" s="0" t="s">
        <v>624</v>
      </c>
      <c r="Y740" s="0" t="s">
        <v>627</v>
      </c>
      <c r="Z740" s="0" t="s">
        <v>629</v>
      </c>
      <c r="AA740" s="0" t="s">
        <v>624</v>
      </c>
      <c r="AB740" s="0" t="s">
        <v>580</v>
      </c>
      <c r="AC740" s="254" t="n">
        <v>1000000</v>
      </c>
      <c r="AD740" s="254" t="n">
        <v>16135.8715851394</v>
      </c>
      <c r="AE740" s="0" t="n">
        <v>0</v>
      </c>
      <c r="AF740" s="0" t="n">
        <v>0</v>
      </c>
      <c r="AG740" s="0" t="n">
        <v>0</v>
      </c>
      <c r="AH740" s="254" t="n">
        <v>767.283033300533</v>
      </c>
      <c r="AI740" s="0" t="n">
        <v>226</v>
      </c>
      <c r="AJ740" s="0" t="s">
        <v>630</v>
      </c>
      <c r="AK740" s="0" t="n">
        <v>0</v>
      </c>
      <c r="AL740" s="0" t="n">
        <v>0</v>
      </c>
      <c r="AM740" s="0" t="n">
        <v>0</v>
      </c>
    </row>
    <row r="741" customFormat="false" ht="12.75" hidden="false" customHeight="false" outlineLevel="0" collapsed="false">
      <c r="A741" s="0" t="s">
        <v>631</v>
      </c>
      <c r="B741" s="0" t="s">
        <v>441</v>
      </c>
      <c r="C741" s="0" t="s">
        <v>622</v>
      </c>
      <c r="D741" s="0" t="s">
        <v>623</v>
      </c>
      <c r="E741" s="0" t="s">
        <v>131</v>
      </c>
      <c r="F741" s="0" t="s">
        <v>210</v>
      </c>
      <c r="G741" s="0" t="s">
        <v>628</v>
      </c>
      <c r="H741" s="0" t="s">
        <v>625</v>
      </c>
      <c r="I741" s="0" t="s">
        <v>626</v>
      </c>
      <c r="J741" s="0" t="s">
        <v>627</v>
      </c>
      <c r="K741" s="475" t="n">
        <v>37073</v>
      </c>
      <c r="L741" s="254" t="n">
        <v>61107.0516431784</v>
      </c>
      <c r="M741" s="475" t="n">
        <v>37070</v>
      </c>
      <c r="N741" s="0" t="s">
        <v>132</v>
      </c>
      <c r="O741" s="0" t="n">
        <v>0.28</v>
      </c>
      <c r="P741" s="0" t="n">
        <v>0</v>
      </c>
      <c r="Q741" s="0" t="n">
        <v>0</v>
      </c>
      <c r="R741" s="0" t="n">
        <v>0</v>
      </c>
      <c r="S741" s="0" t="n">
        <v>0</v>
      </c>
      <c r="T741" s="0" t="s">
        <v>624</v>
      </c>
      <c r="U741" s="0" t="s">
        <v>155</v>
      </c>
      <c r="V741" s="0" t="s">
        <v>624</v>
      </c>
      <c r="W741" s="0" t="s">
        <v>569</v>
      </c>
      <c r="X741" s="0" t="s">
        <v>624</v>
      </c>
      <c r="Y741" s="0" t="s">
        <v>627</v>
      </c>
      <c r="Z741" s="0" t="s">
        <v>629</v>
      </c>
      <c r="AA741" s="0" t="s">
        <v>624</v>
      </c>
      <c r="AB741" s="0" t="s">
        <v>580</v>
      </c>
      <c r="AC741" s="254" t="n">
        <v>1000000</v>
      </c>
      <c r="AD741" s="254" t="n">
        <v>16662.036016044</v>
      </c>
      <c r="AE741" s="0" t="n">
        <v>0</v>
      </c>
      <c r="AF741" s="0" t="n">
        <v>0</v>
      </c>
      <c r="AG741" s="0" t="n">
        <v>0</v>
      </c>
      <c r="AH741" s="254" t="n">
        <v>791.660199260135</v>
      </c>
      <c r="AI741" s="0" t="n">
        <v>226</v>
      </c>
      <c r="AJ741" s="0" t="s">
        <v>630</v>
      </c>
      <c r="AK741" s="0" t="n">
        <v>0</v>
      </c>
      <c r="AL741" s="0" t="n">
        <v>0</v>
      </c>
      <c r="AM741" s="0" t="n">
        <v>0</v>
      </c>
    </row>
    <row r="742" customFormat="false" ht="12.75" hidden="false" customHeight="false" outlineLevel="0" collapsed="false">
      <c r="A742" s="0" t="s">
        <v>631</v>
      </c>
      <c r="B742" s="0" t="s">
        <v>441</v>
      </c>
      <c r="C742" s="0" t="s">
        <v>622</v>
      </c>
      <c r="D742" s="0" t="s">
        <v>623</v>
      </c>
      <c r="E742" s="0" t="s">
        <v>131</v>
      </c>
      <c r="F742" s="0" t="s">
        <v>210</v>
      </c>
      <c r="G742" s="0" t="s">
        <v>628</v>
      </c>
      <c r="H742" s="0" t="s">
        <v>625</v>
      </c>
      <c r="I742" s="0" t="s">
        <v>626</v>
      </c>
      <c r="J742" s="0" t="s">
        <v>627</v>
      </c>
      <c r="K742" s="475" t="n">
        <v>37104</v>
      </c>
      <c r="L742" s="254" t="n">
        <v>64932.7476125978</v>
      </c>
      <c r="M742" s="475" t="n">
        <v>37102</v>
      </c>
      <c r="N742" s="0" t="s">
        <v>132</v>
      </c>
      <c r="O742" s="0" t="n">
        <v>0.28</v>
      </c>
      <c r="P742" s="0" t="n">
        <v>0</v>
      </c>
      <c r="Q742" s="0" t="n">
        <v>0</v>
      </c>
      <c r="R742" s="0" t="n">
        <v>0</v>
      </c>
      <c r="S742" s="0" t="n">
        <v>0</v>
      </c>
      <c r="T742" s="0" t="s">
        <v>624</v>
      </c>
      <c r="U742" s="0" t="s">
        <v>155</v>
      </c>
      <c r="V742" s="0" t="s">
        <v>624</v>
      </c>
      <c r="W742" s="0" t="s">
        <v>569</v>
      </c>
      <c r="X742" s="0" t="s">
        <v>624</v>
      </c>
      <c r="Y742" s="0" t="s">
        <v>627</v>
      </c>
      <c r="Z742" s="0" t="s">
        <v>629</v>
      </c>
      <c r="AA742" s="0" t="s">
        <v>624</v>
      </c>
      <c r="AB742" s="0" t="s">
        <v>580</v>
      </c>
      <c r="AC742" s="254" t="n">
        <v>1000000</v>
      </c>
      <c r="AD742" s="254" t="n">
        <v>17458.732310522</v>
      </c>
      <c r="AE742" s="0" t="n">
        <v>0</v>
      </c>
      <c r="AF742" s="0" t="n">
        <v>0</v>
      </c>
      <c r="AG742" s="0" t="n">
        <v>0</v>
      </c>
      <c r="AH742" s="254" t="n">
        <v>829.208744648204</v>
      </c>
      <c r="AI742" s="0" t="n">
        <v>226</v>
      </c>
      <c r="AJ742" s="0" t="s">
        <v>630</v>
      </c>
      <c r="AK742" s="0" t="n">
        <v>0</v>
      </c>
      <c r="AL742" s="0" t="n">
        <v>0</v>
      </c>
      <c r="AM742" s="0" t="n">
        <v>0</v>
      </c>
    </row>
    <row r="743" customFormat="false" ht="12.75" hidden="false" customHeight="false" outlineLevel="0" collapsed="false">
      <c r="A743" s="0" t="s">
        <v>631</v>
      </c>
      <c r="B743" s="0" t="s">
        <v>441</v>
      </c>
      <c r="C743" s="0" t="s">
        <v>622</v>
      </c>
      <c r="D743" s="0" t="s">
        <v>623</v>
      </c>
      <c r="E743" s="0" t="s">
        <v>131</v>
      </c>
      <c r="F743" s="0" t="s">
        <v>210</v>
      </c>
      <c r="G743" s="0" t="s">
        <v>628</v>
      </c>
      <c r="H743" s="0" t="s">
        <v>625</v>
      </c>
      <c r="I743" s="0" t="s">
        <v>626</v>
      </c>
      <c r="J743" s="0" t="s">
        <v>627</v>
      </c>
      <c r="K743" s="475" t="n">
        <v>37135</v>
      </c>
      <c r="L743" s="254" t="n">
        <v>71844.7645117812</v>
      </c>
      <c r="M743" s="475" t="n">
        <v>37133</v>
      </c>
      <c r="N743" s="0" t="s">
        <v>132</v>
      </c>
      <c r="O743" s="0" t="n">
        <v>0.28</v>
      </c>
      <c r="P743" s="0" t="n">
        <v>0</v>
      </c>
      <c r="Q743" s="0" t="n">
        <v>0</v>
      </c>
      <c r="R743" s="0" t="n">
        <v>0</v>
      </c>
      <c r="S743" s="0" t="n">
        <v>0</v>
      </c>
      <c r="T743" s="0" t="s">
        <v>624</v>
      </c>
      <c r="U743" s="0" t="s">
        <v>155</v>
      </c>
      <c r="V743" s="0" t="s">
        <v>624</v>
      </c>
      <c r="W743" s="0" t="s">
        <v>569</v>
      </c>
      <c r="X743" s="0" t="s">
        <v>624</v>
      </c>
      <c r="Y743" s="0" t="s">
        <v>627</v>
      </c>
      <c r="Z743" s="0" t="s">
        <v>629</v>
      </c>
      <c r="AA743" s="0" t="s">
        <v>624</v>
      </c>
      <c r="AB743" s="0" t="s">
        <v>580</v>
      </c>
      <c r="AC743" s="254" t="n">
        <v>1000000</v>
      </c>
      <c r="AD743" s="254" t="n">
        <v>18315.1840323834</v>
      </c>
      <c r="AE743" s="0" t="n">
        <v>0</v>
      </c>
      <c r="AF743" s="0" t="n">
        <v>0</v>
      </c>
      <c r="AG743" s="0" t="n">
        <v>0</v>
      </c>
      <c r="AH743" s="254" t="n">
        <v>869.832221875637</v>
      </c>
      <c r="AI743" s="0" t="n">
        <v>226</v>
      </c>
      <c r="AJ743" s="0" t="s">
        <v>630</v>
      </c>
      <c r="AK743" s="0" t="n">
        <v>0</v>
      </c>
      <c r="AL743" s="0" t="n">
        <v>0</v>
      </c>
      <c r="AM743" s="0" t="n">
        <v>0</v>
      </c>
    </row>
    <row r="744" customFormat="false" ht="12.75" hidden="false" customHeight="false" outlineLevel="0" collapsed="false">
      <c r="A744" s="0" t="s">
        <v>631</v>
      </c>
      <c r="B744" s="0" t="s">
        <v>441</v>
      </c>
      <c r="C744" s="0" t="s">
        <v>622</v>
      </c>
      <c r="D744" s="0" t="s">
        <v>623</v>
      </c>
      <c r="E744" s="0" t="s">
        <v>131</v>
      </c>
      <c r="F744" s="0" t="s">
        <v>210</v>
      </c>
      <c r="G744" s="0" t="s">
        <v>628</v>
      </c>
      <c r="H744" s="0" t="s">
        <v>625</v>
      </c>
      <c r="I744" s="0" t="s">
        <v>626</v>
      </c>
      <c r="J744" s="0" t="s">
        <v>627</v>
      </c>
      <c r="K744" s="475" t="n">
        <v>37165</v>
      </c>
      <c r="L744" s="254" t="n">
        <v>69952.6503587624</v>
      </c>
      <c r="M744" s="475" t="n">
        <v>37161</v>
      </c>
      <c r="N744" s="0" t="s">
        <v>132</v>
      </c>
      <c r="O744" s="0" t="n">
        <v>0.28</v>
      </c>
      <c r="P744" s="0" t="n">
        <v>0</v>
      </c>
      <c r="Q744" s="0" t="n">
        <v>0</v>
      </c>
      <c r="R744" s="0" t="n">
        <v>0</v>
      </c>
      <c r="S744" s="0" t="n">
        <v>0</v>
      </c>
      <c r="T744" s="0" t="s">
        <v>624</v>
      </c>
      <c r="U744" s="0" t="s">
        <v>155</v>
      </c>
      <c r="V744" s="0" t="s">
        <v>624</v>
      </c>
      <c r="W744" s="0" t="s">
        <v>569</v>
      </c>
      <c r="X744" s="0" t="s">
        <v>624</v>
      </c>
      <c r="Y744" s="0" t="s">
        <v>627</v>
      </c>
      <c r="Z744" s="0" t="s">
        <v>629</v>
      </c>
      <c r="AA744" s="0" t="s">
        <v>624</v>
      </c>
      <c r="AB744" s="0" t="s">
        <v>580</v>
      </c>
      <c r="AC744" s="254" t="n">
        <v>1000000</v>
      </c>
      <c r="AD744" s="254" t="n">
        <v>18813.4795461909</v>
      </c>
      <c r="AE744" s="0" t="n">
        <v>0</v>
      </c>
      <c r="AF744" s="0" t="n">
        <v>0</v>
      </c>
      <c r="AG744" s="0" t="n">
        <v>0</v>
      </c>
      <c r="AH744" s="254" t="n">
        <v>893.106069812522</v>
      </c>
      <c r="AI744" s="0" t="n">
        <v>226</v>
      </c>
      <c r="AJ744" s="0" t="s">
        <v>630</v>
      </c>
      <c r="AK744" s="0" t="n">
        <v>0</v>
      </c>
      <c r="AL744" s="0" t="n">
        <v>0</v>
      </c>
      <c r="AM744" s="0" t="n">
        <v>0</v>
      </c>
    </row>
    <row r="745" customFormat="false" ht="12.75" hidden="false" customHeight="false" outlineLevel="0" collapsed="false">
      <c r="A745" s="0" t="s">
        <v>631</v>
      </c>
      <c r="B745" s="0" t="s">
        <v>442</v>
      </c>
      <c r="C745" s="0" t="s">
        <v>622</v>
      </c>
      <c r="D745" s="0" t="s">
        <v>623</v>
      </c>
      <c r="E745" s="0" t="s">
        <v>131</v>
      </c>
      <c r="F745" s="0" t="s">
        <v>301</v>
      </c>
      <c r="G745" s="0" t="s">
        <v>628</v>
      </c>
      <c r="H745" s="0" t="s">
        <v>625</v>
      </c>
      <c r="I745" s="0" t="s">
        <v>626</v>
      </c>
      <c r="J745" s="0" t="s">
        <v>627</v>
      </c>
      <c r="K745" s="475" t="n">
        <v>36923</v>
      </c>
      <c r="L745" s="254" t="n">
        <v>-78967.5079564279</v>
      </c>
      <c r="M745" s="475" t="n">
        <v>36921</v>
      </c>
      <c r="N745" s="0" t="s">
        <v>136</v>
      </c>
      <c r="O745" s="0" t="n">
        <v>0.4</v>
      </c>
      <c r="P745" s="0" t="n">
        <v>0</v>
      </c>
      <c r="Q745" s="0" t="n">
        <v>0</v>
      </c>
      <c r="R745" s="0" t="n">
        <v>0</v>
      </c>
      <c r="S745" s="0" t="n">
        <v>0</v>
      </c>
      <c r="T745" s="0" t="s">
        <v>624</v>
      </c>
      <c r="U745" s="0" t="s">
        <v>150</v>
      </c>
      <c r="V745" s="0" t="s">
        <v>624</v>
      </c>
      <c r="W745" s="0" t="s">
        <v>569</v>
      </c>
      <c r="X745" s="0" t="s">
        <v>624</v>
      </c>
      <c r="Y745" s="0" t="s">
        <v>627</v>
      </c>
      <c r="Z745" s="0" t="s">
        <v>629</v>
      </c>
      <c r="AA745" s="0" t="s">
        <v>624</v>
      </c>
      <c r="AB745" s="0" t="s">
        <v>580</v>
      </c>
      <c r="AC745" s="254" t="n">
        <v>-1120000</v>
      </c>
      <c r="AD745" s="254" t="n">
        <v>-19603.9278747907</v>
      </c>
      <c r="AE745" s="0" t="n">
        <v>0</v>
      </c>
      <c r="AF745" s="0" t="n">
        <v>0</v>
      </c>
      <c r="AG745" s="0" t="n">
        <v>0</v>
      </c>
      <c r="AH745" s="254" t="n">
        <v>-940.355928835357</v>
      </c>
      <c r="AI745" s="0" t="n">
        <v>226</v>
      </c>
      <c r="AJ745" s="0" t="s">
        <v>630</v>
      </c>
      <c r="AK745" s="0" t="n">
        <v>0</v>
      </c>
      <c r="AL745" s="0" t="n">
        <v>0</v>
      </c>
      <c r="AM745" s="0" t="n">
        <v>0</v>
      </c>
    </row>
    <row r="746" customFormat="false" ht="12.75" hidden="false" customHeight="false" outlineLevel="0" collapsed="false">
      <c r="A746" s="0" t="s">
        <v>631</v>
      </c>
      <c r="B746" s="0" t="s">
        <v>443</v>
      </c>
      <c r="C746" s="0" t="s">
        <v>622</v>
      </c>
      <c r="D746" s="0" t="s">
        <v>623</v>
      </c>
      <c r="E746" s="0" t="s">
        <v>131</v>
      </c>
      <c r="F746" s="0" t="s">
        <v>212</v>
      </c>
      <c r="G746" s="0" t="s">
        <v>628</v>
      </c>
      <c r="H746" s="0" t="s">
        <v>625</v>
      </c>
      <c r="I746" s="0" t="s">
        <v>626</v>
      </c>
      <c r="J746" s="0" t="s">
        <v>627</v>
      </c>
      <c r="K746" s="475" t="n">
        <v>36831</v>
      </c>
      <c r="L746" s="254" t="n">
        <v>279777.508419431</v>
      </c>
      <c r="M746" s="475" t="n">
        <v>36829</v>
      </c>
      <c r="N746" s="0" t="s">
        <v>132</v>
      </c>
      <c r="O746" s="0" t="n">
        <v>0.5</v>
      </c>
      <c r="P746" s="0" t="n">
        <v>0</v>
      </c>
      <c r="Q746" s="0" t="n">
        <v>0</v>
      </c>
      <c r="R746" s="0" t="n">
        <v>0</v>
      </c>
      <c r="S746" s="0" t="n">
        <v>0</v>
      </c>
      <c r="T746" s="0" t="s">
        <v>624</v>
      </c>
      <c r="U746" s="0" t="s">
        <v>149</v>
      </c>
      <c r="V746" s="0" t="s">
        <v>624</v>
      </c>
      <c r="W746" s="0" t="s">
        <v>569</v>
      </c>
      <c r="X746" s="0" t="s">
        <v>624</v>
      </c>
      <c r="Y746" s="0" t="s">
        <v>627</v>
      </c>
      <c r="Z746" s="0" t="s">
        <v>629</v>
      </c>
      <c r="AA746" s="0" t="s">
        <v>624</v>
      </c>
      <c r="AB746" s="0" t="s">
        <v>580</v>
      </c>
      <c r="AC746" s="254" t="n">
        <v>2000000</v>
      </c>
      <c r="AD746" s="254" t="n">
        <v>84288.6961473709</v>
      </c>
      <c r="AE746" s="0" t="n">
        <v>0</v>
      </c>
      <c r="AF746" s="0" t="n">
        <v>0</v>
      </c>
      <c r="AG746" s="0" t="n">
        <v>0</v>
      </c>
      <c r="AH746" s="254" t="n">
        <v>-21214.0298534021</v>
      </c>
      <c r="AI746" s="0" t="n">
        <v>226</v>
      </c>
      <c r="AJ746" s="0" t="s">
        <v>630</v>
      </c>
      <c r="AK746" s="0" t="n">
        <v>0</v>
      </c>
      <c r="AL746" s="0" t="n">
        <v>0</v>
      </c>
      <c r="AM746" s="0" t="n">
        <v>0</v>
      </c>
    </row>
    <row r="747" customFormat="false" ht="12.75" hidden="false" customHeight="false" outlineLevel="0" collapsed="false">
      <c r="A747" s="0" t="s">
        <v>631</v>
      </c>
      <c r="B747" s="0" t="s">
        <v>444</v>
      </c>
      <c r="C747" s="0" t="s">
        <v>622</v>
      </c>
      <c r="D747" s="0" t="s">
        <v>623</v>
      </c>
      <c r="E747" s="0" t="s">
        <v>131</v>
      </c>
      <c r="F747" s="0" t="s">
        <v>345</v>
      </c>
      <c r="G747" s="0" t="s">
        <v>628</v>
      </c>
      <c r="H747" s="0" t="s">
        <v>625</v>
      </c>
      <c r="I747" s="0" t="s">
        <v>626</v>
      </c>
      <c r="J747" s="0" t="s">
        <v>627</v>
      </c>
      <c r="K747" s="475" t="n">
        <v>36892</v>
      </c>
      <c r="L747" s="254" t="n">
        <v>-28711.8987177352</v>
      </c>
      <c r="M747" s="475" t="n">
        <v>36888</v>
      </c>
      <c r="N747" s="0" t="s">
        <v>136</v>
      </c>
      <c r="O747" s="0" t="n">
        <v>0.2</v>
      </c>
      <c r="P747" s="0" t="n">
        <v>0</v>
      </c>
      <c r="Q747" s="0" t="n">
        <v>0</v>
      </c>
      <c r="R747" s="0" t="n">
        <v>0</v>
      </c>
      <c r="S747" s="0" t="n">
        <v>0</v>
      </c>
      <c r="T747" s="0" t="s">
        <v>624</v>
      </c>
      <c r="U747" s="0" t="s">
        <v>632</v>
      </c>
      <c r="V747" s="0" t="s">
        <v>624</v>
      </c>
      <c r="W747" s="0" t="s">
        <v>569</v>
      </c>
      <c r="X747" s="0" t="s">
        <v>624</v>
      </c>
      <c r="Y747" s="0" t="s">
        <v>627</v>
      </c>
      <c r="Z747" s="0" t="s">
        <v>629</v>
      </c>
      <c r="AA747" s="0" t="s">
        <v>624</v>
      </c>
      <c r="AB747" s="0" t="s">
        <v>580</v>
      </c>
      <c r="AC747" s="254" t="n">
        <v>-1000000</v>
      </c>
      <c r="AD747" s="254" t="n">
        <v>-8458.08813513262</v>
      </c>
      <c r="AE747" s="0" t="n">
        <v>0</v>
      </c>
      <c r="AF747" s="0" t="n">
        <v>0</v>
      </c>
      <c r="AG747" s="0" t="n">
        <v>0</v>
      </c>
      <c r="AH747" s="254" t="n">
        <v>-407.037405835876</v>
      </c>
      <c r="AI747" s="0" t="n">
        <v>226</v>
      </c>
      <c r="AJ747" s="0" t="s">
        <v>630</v>
      </c>
      <c r="AK747" s="0" t="n">
        <v>0</v>
      </c>
      <c r="AL747" s="0" t="n">
        <v>0</v>
      </c>
      <c r="AM747" s="0" t="n">
        <v>0</v>
      </c>
    </row>
    <row r="748" customFormat="false" ht="12.75" hidden="false" customHeight="false" outlineLevel="0" collapsed="false">
      <c r="A748" s="0" t="s">
        <v>631</v>
      </c>
      <c r="B748" s="0" t="s">
        <v>444</v>
      </c>
      <c r="C748" s="0" t="s">
        <v>622</v>
      </c>
      <c r="D748" s="0" t="s">
        <v>623</v>
      </c>
      <c r="E748" s="0" t="s">
        <v>131</v>
      </c>
      <c r="F748" s="0" t="s">
        <v>345</v>
      </c>
      <c r="G748" s="0" t="s">
        <v>628</v>
      </c>
      <c r="H748" s="0" t="s">
        <v>625</v>
      </c>
      <c r="I748" s="0" t="s">
        <v>626</v>
      </c>
      <c r="J748" s="0" t="s">
        <v>627</v>
      </c>
      <c r="K748" s="475" t="n">
        <v>36923</v>
      </c>
      <c r="L748" s="254" t="n">
        <v>-34991.207679825</v>
      </c>
      <c r="M748" s="475" t="n">
        <v>36921</v>
      </c>
      <c r="N748" s="0" t="s">
        <v>136</v>
      </c>
      <c r="O748" s="0" t="n">
        <v>0.2</v>
      </c>
      <c r="P748" s="0" t="n">
        <v>0</v>
      </c>
      <c r="Q748" s="0" t="n">
        <v>0</v>
      </c>
      <c r="R748" s="0" t="n">
        <v>0</v>
      </c>
      <c r="S748" s="0" t="n">
        <v>0</v>
      </c>
      <c r="T748" s="0" t="s">
        <v>624</v>
      </c>
      <c r="U748" s="0" t="s">
        <v>632</v>
      </c>
      <c r="V748" s="0" t="s">
        <v>624</v>
      </c>
      <c r="W748" s="0" t="s">
        <v>569</v>
      </c>
      <c r="X748" s="0" t="s">
        <v>624</v>
      </c>
      <c r="Y748" s="0" t="s">
        <v>627</v>
      </c>
      <c r="Z748" s="0" t="s">
        <v>629</v>
      </c>
      <c r="AA748" s="0" t="s">
        <v>624</v>
      </c>
      <c r="AB748" s="0" t="s">
        <v>580</v>
      </c>
      <c r="AC748" s="254" t="n">
        <v>-1000000</v>
      </c>
      <c r="AD748" s="254" t="n">
        <v>-9589.11843832536</v>
      </c>
      <c r="AE748" s="0" t="n">
        <v>0</v>
      </c>
      <c r="AF748" s="0" t="n">
        <v>0</v>
      </c>
      <c r="AG748" s="0" t="n">
        <v>0</v>
      </c>
      <c r="AH748" s="254" t="n">
        <v>-459.966013406702</v>
      </c>
      <c r="AI748" s="0" t="n">
        <v>226</v>
      </c>
      <c r="AJ748" s="0" t="s">
        <v>630</v>
      </c>
      <c r="AK748" s="0" t="n">
        <v>0</v>
      </c>
      <c r="AL748" s="0" t="n">
        <v>0</v>
      </c>
      <c r="AM748" s="0" t="n">
        <v>0</v>
      </c>
    </row>
    <row r="749" customFormat="false" ht="12.75" hidden="false" customHeight="false" outlineLevel="0" collapsed="false">
      <c r="A749" s="0" t="s">
        <v>631</v>
      </c>
      <c r="B749" s="0" t="s">
        <v>444</v>
      </c>
      <c r="C749" s="0" t="s">
        <v>622</v>
      </c>
      <c r="D749" s="0" t="s">
        <v>623</v>
      </c>
      <c r="E749" s="0" t="s">
        <v>131</v>
      </c>
      <c r="F749" s="0" t="s">
        <v>345</v>
      </c>
      <c r="G749" s="0" t="s">
        <v>628</v>
      </c>
      <c r="H749" s="0" t="s">
        <v>625</v>
      </c>
      <c r="I749" s="0" t="s">
        <v>626</v>
      </c>
      <c r="J749" s="0" t="s">
        <v>627</v>
      </c>
      <c r="K749" s="475" t="n">
        <v>36951</v>
      </c>
      <c r="L749" s="254" t="n">
        <v>-26314.0572922367</v>
      </c>
      <c r="M749" s="475" t="n">
        <v>36949</v>
      </c>
      <c r="N749" s="0" t="s">
        <v>136</v>
      </c>
      <c r="O749" s="0" t="n">
        <v>0.2</v>
      </c>
      <c r="P749" s="0" t="n">
        <v>0</v>
      </c>
      <c r="Q749" s="0" t="n">
        <v>0</v>
      </c>
      <c r="R749" s="0" t="n">
        <v>0</v>
      </c>
      <c r="S749" s="0" t="n">
        <v>0</v>
      </c>
      <c r="T749" s="0" t="s">
        <v>624</v>
      </c>
      <c r="U749" s="0" t="s">
        <v>632</v>
      </c>
      <c r="V749" s="0" t="s">
        <v>624</v>
      </c>
      <c r="W749" s="0" t="s">
        <v>569</v>
      </c>
      <c r="X749" s="0" t="s">
        <v>624</v>
      </c>
      <c r="Y749" s="0" t="s">
        <v>627</v>
      </c>
      <c r="Z749" s="0" t="s">
        <v>629</v>
      </c>
      <c r="AA749" s="0" t="s">
        <v>624</v>
      </c>
      <c r="AB749" s="0" t="s">
        <v>580</v>
      </c>
      <c r="AC749" s="254" t="n">
        <v>-1000000</v>
      </c>
      <c r="AD749" s="254" t="n">
        <v>-8714.59753260284</v>
      </c>
      <c r="AE749" s="0" t="n">
        <v>0</v>
      </c>
      <c r="AF749" s="0" t="n">
        <v>0</v>
      </c>
      <c r="AG749" s="0" t="n">
        <v>0</v>
      </c>
      <c r="AH749" s="254" t="n">
        <v>-442.509629958389</v>
      </c>
      <c r="AI749" s="0" t="n">
        <v>226</v>
      </c>
      <c r="AJ749" s="0" t="s">
        <v>630</v>
      </c>
      <c r="AK749" s="0" t="n">
        <v>0</v>
      </c>
      <c r="AL749" s="0" t="n">
        <v>0</v>
      </c>
      <c r="AM749" s="0" t="n">
        <v>0</v>
      </c>
    </row>
    <row r="750" customFormat="false" ht="12.75" hidden="false" customHeight="false" outlineLevel="0" collapsed="false">
      <c r="A750" s="0" t="s">
        <v>631</v>
      </c>
      <c r="B750" s="0" t="s">
        <v>445</v>
      </c>
      <c r="C750" s="0" t="s">
        <v>622</v>
      </c>
      <c r="D750" s="0" t="s">
        <v>623</v>
      </c>
      <c r="E750" s="0" t="s">
        <v>131</v>
      </c>
      <c r="F750" s="0" t="s">
        <v>198</v>
      </c>
      <c r="G750" s="0" t="s">
        <v>628</v>
      </c>
      <c r="H750" s="0" t="s">
        <v>625</v>
      </c>
      <c r="I750" s="0" t="s">
        <v>626</v>
      </c>
      <c r="J750" s="0" t="s">
        <v>627</v>
      </c>
      <c r="K750" s="475" t="n">
        <v>36831</v>
      </c>
      <c r="L750" s="254" t="n">
        <v>-344960.701532824</v>
      </c>
      <c r="M750" s="475" t="n">
        <v>36829</v>
      </c>
      <c r="N750" s="0" t="s">
        <v>136</v>
      </c>
      <c r="O750" s="0" t="n">
        <v>0.4</v>
      </c>
      <c r="P750" s="0" t="n">
        <v>0</v>
      </c>
      <c r="Q750" s="0" t="n">
        <v>0</v>
      </c>
      <c r="R750" s="0" t="n">
        <v>0</v>
      </c>
      <c r="S750" s="0" t="n">
        <v>0</v>
      </c>
      <c r="T750" s="0" t="s">
        <v>624</v>
      </c>
      <c r="U750" s="0" t="s">
        <v>137</v>
      </c>
      <c r="V750" s="0" t="s">
        <v>624</v>
      </c>
      <c r="W750" s="0" t="s">
        <v>569</v>
      </c>
      <c r="X750" s="0" t="s">
        <v>624</v>
      </c>
      <c r="Y750" s="0" t="s">
        <v>627</v>
      </c>
      <c r="Z750" s="0" t="s">
        <v>629</v>
      </c>
      <c r="AA750" s="0" t="s">
        <v>624</v>
      </c>
      <c r="AB750" s="0" t="s">
        <v>580</v>
      </c>
      <c r="AC750" s="254" t="n">
        <v>-300000</v>
      </c>
      <c r="AD750" s="254" t="n">
        <v>-4619.41889602086</v>
      </c>
      <c r="AE750" s="0" t="n">
        <v>0</v>
      </c>
      <c r="AF750" s="0" t="n">
        <v>0</v>
      </c>
      <c r="AG750" s="0" t="n">
        <v>0</v>
      </c>
      <c r="AH750" s="254" t="n">
        <v>-58223.5886236154</v>
      </c>
      <c r="AI750" s="0" t="n">
        <v>226</v>
      </c>
      <c r="AJ750" s="0" t="s">
        <v>630</v>
      </c>
      <c r="AK750" s="0" t="n">
        <v>0</v>
      </c>
      <c r="AL750" s="0" t="n">
        <v>0</v>
      </c>
      <c r="AM750" s="0" t="n">
        <v>0</v>
      </c>
    </row>
    <row r="751" customFormat="false" ht="12.75" hidden="false" customHeight="false" outlineLevel="0" collapsed="false">
      <c r="A751" s="0" t="s">
        <v>631</v>
      </c>
      <c r="B751" s="0" t="s">
        <v>445</v>
      </c>
      <c r="C751" s="0" t="s">
        <v>622</v>
      </c>
      <c r="D751" s="0" t="s">
        <v>623</v>
      </c>
      <c r="E751" s="0" t="s">
        <v>131</v>
      </c>
      <c r="F751" s="0" t="s">
        <v>198</v>
      </c>
      <c r="G751" s="0" t="s">
        <v>628</v>
      </c>
      <c r="H751" s="0" t="s">
        <v>625</v>
      </c>
      <c r="I751" s="0" t="s">
        <v>626</v>
      </c>
      <c r="J751" s="0" t="s">
        <v>627</v>
      </c>
      <c r="K751" s="475" t="n">
        <v>36861</v>
      </c>
      <c r="L751" s="254" t="n">
        <v>-222093.899697167</v>
      </c>
      <c r="M751" s="475" t="n">
        <v>36859</v>
      </c>
      <c r="N751" s="0" t="s">
        <v>136</v>
      </c>
      <c r="O751" s="0" t="n">
        <v>0.4</v>
      </c>
      <c r="P751" s="0" t="n">
        <v>0</v>
      </c>
      <c r="Q751" s="0" t="n">
        <v>0</v>
      </c>
      <c r="R751" s="0" t="n">
        <v>0</v>
      </c>
      <c r="S751" s="0" t="n">
        <v>0</v>
      </c>
      <c r="T751" s="0" t="s">
        <v>624</v>
      </c>
      <c r="U751" s="0" t="s">
        <v>137</v>
      </c>
      <c r="V751" s="0" t="s">
        <v>624</v>
      </c>
      <c r="W751" s="0" t="s">
        <v>569</v>
      </c>
      <c r="X751" s="0" t="s">
        <v>624</v>
      </c>
      <c r="Y751" s="0" t="s">
        <v>627</v>
      </c>
      <c r="Z751" s="0" t="s">
        <v>629</v>
      </c>
      <c r="AA751" s="0" t="s">
        <v>624</v>
      </c>
      <c r="AB751" s="0" t="s">
        <v>580</v>
      </c>
      <c r="AC751" s="254" t="n">
        <v>-310000</v>
      </c>
      <c r="AD751" s="254" t="n">
        <v>-15441.4844310759</v>
      </c>
      <c r="AE751" s="0" t="n">
        <v>0</v>
      </c>
      <c r="AF751" s="0" t="n">
        <v>0</v>
      </c>
      <c r="AG751" s="0" t="n">
        <v>0</v>
      </c>
      <c r="AH751" s="254" t="n">
        <v>-34229.6252855593</v>
      </c>
      <c r="AI751" s="0" t="n">
        <v>226</v>
      </c>
      <c r="AJ751" s="0" t="s">
        <v>630</v>
      </c>
      <c r="AK751" s="0" t="n">
        <v>0</v>
      </c>
      <c r="AL751" s="0" t="n">
        <v>0</v>
      </c>
      <c r="AM751" s="0" t="n">
        <v>0</v>
      </c>
    </row>
    <row r="752" customFormat="false" ht="12.75" hidden="false" customHeight="false" outlineLevel="0" collapsed="false">
      <c r="A752" s="0" t="s">
        <v>631</v>
      </c>
      <c r="B752" s="0" t="s">
        <v>445</v>
      </c>
      <c r="C752" s="0" t="s">
        <v>622</v>
      </c>
      <c r="D752" s="0" t="s">
        <v>623</v>
      </c>
      <c r="E752" s="0" t="s">
        <v>131</v>
      </c>
      <c r="F752" s="0" t="s">
        <v>198</v>
      </c>
      <c r="G752" s="0" t="s">
        <v>628</v>
      </c>
      <c r="H752" s="0" t="s">
        <v>625</v>
      </c>
      <c r="I752" s="0" t="s">
        <v>626</v>
      </c>
      <c r="J752" s="0" t="s">
        <v>627</v>
      </c>
      <c r="K752" s="475" t="n">
        <v>36892</v>
      </c>
      <c r="L752" s="254" t="n">
        <v>-181062.377646056</v>
      </c>
      <c r="M752" s="475" t="n">
        <v>36888</v>
      </c>
      <c r="N752" s="0" t="s">
        <v>136</v>
      </c>
      <c r="O752" s="0" t="n">
        <v>0.4</v>
      </c>
      <c r="P752" s="0" t="n">
        <v>0</v>
      </c>
      <c r="Q752" s="0" t="n">
        <v>0</v>
      </c>
      <c r="R752" s="0" t="n">
        <v>0</v>
      </c>
      <c r="S752" s="0" t="n">
        <v>0</v>
      </c>
      <c r="T752" s="0" t="s">
        <v>624</v>
      </c>
      <c r="U752" s="0" t="s">
        <v>137</v>
      </c>
      <c r="V752" s="0" t="s">
        <v>624</v>
      </c>
      <c r="W752" s="0" t="s">
        <v>569</v>
      </c>
      <c r="X752" s="0" t="s">
        <v>624</v>
      </c>
      <c r="Y752" s="0" t="s">
        <v>627</v>
      </c>
      <c r="Z752" s="0" t="s">
        <v>629</v>
      </c>
      <c r="AA752" s="0" t="s">
        <v>624</v>
      </c>
      <c r="AB752" s="0" t="s">
        <v>580</v>
      </c>
      <c r="AC752" s="254" t="n">
        <v>-310000</v>
      </c>
      <c r="AD752" s="254" t="n">
        <v>-21025.976765003</v>
      </c>
      <c r="AE752" s="0" t="n">
        <v>0</v>
      </c>
      <c r="AF752" s="0" t="n">
        <v>0</v>
      </c>
      <c r="AG752" s="0" t="n">
        <v>0</v>
      </c>
      <c r="AH752" s="254" t="n">
        <v>10508.8256121276</v>
      </c>
      <c r="AI752" s="0" t="n">
        <v>226</v>
      </c>
      <c r="AJ752" s="0" t="s">
        <v>630</v>
      </c>
      <c r="AK752" s="0" t="n">
        <v>0</v>
      </c>
      <c r="AL752" s="0" t="n">
        <v>0</v>
      </c>
      <c r="AM752" s="0" t="n">
        <v>0</v>
      </c>
    </row>
    <row r="753" customFormat="false" ht="12.75" hidden="false" customHeight="false" outlineLevel="0" collapsed="false">
      <c r="A753" s="0" t="s">
        <v>631</v>
      </c>
      <c r="B753" s="0" t="s">
        <v>445</v>
      </c>
      <c r="C753" s="0" t="s">
        <v>622</v>
      </c>
      <c r="D753" s="0" t="s">
        <v>623</v>
      </c>
      <c r="E753" s="0" t="s">
        <v>131</v>
      </c>
      <c r="F753" s="0" t="s">
        <v>198</v>
      </c>
      <c r="G753" s="0" t="s">
        <v>628</v>
      </c>
      <c r="H753" s="0" t="s">
        <v>625</v>
      </c>
      <c r="I753" s="0" t="s">
        <v>626</v>
      </c>
      <c r="J753" s="0" t="s">
        <v>627</v>
      </c>
      <c r="K753" s="475" t="n">
        <v>36923</v>
      </c>
      <c r="L753" s="254" t="n">
        <v>-140588.44624292</v>
      </c>
      <c r="M753" s="475" t="n">
        <v>36921</v>
      </c>
      <c r="N753" s="0" t="s">
        <v>136</v>
      </c>
      <c r="O753" s="0" t="n">
        <v>0.4</v>
      </c>
      <c r="P753" s="0" t="n">
        <v>0</v>
      </c>
      <c r="Q753" s="0" t="n">
        <v>0</v>
      </c>
      <c r="R753" s="0" t="n">
        <v>0</v>
      </c>
      <c r="S753" s="0" t="n">
        <v>0</v>
      </c>
      <c r="T753" s="0" t="s">
        <v>624</v>
      </c>
      <c r="U753" s="0" t="s">
        <v>137</v>
      </c>
      <c r="V753" s="0" t="s">
        <v>624</v>
      </c>
      <c r="W753" s="0" t="s">
        <v>569</v>
      </c>
      <c r="X753" s="0" t="s">
        <v>624</v>
      </c>
      <c r="Y753" s="0" t="s">
        <v>627</v>
      </c>
      <c r="Z753" s="0" t="s">
        <v>629</v>
      </c>
      <c r="AA753" s="0" t="s">
        <v>624</v>
      </c>
      <c r="AB753" s="0" t="s">
        <v>580</v>
      </c>
      <c r="AC753" s="254" t="n">
        <v>-280000</v>
      </c>
      <c r="AD753" s="254" t="n">
        <v>-21815.8327004925</v>
      </c>
      <c r="AE753" s="0" t="n">
        <v>0</v>
      </c>
      <c r="AF753" s="0" t="n">
        <v>0</v>
      </c>
      <c r="AG753" s="0" t="n">
        <v>0</v>
      </c>
      <c r="AH753" s="254" t="n">
        <v>8459.01634573122</v>
      </c>
      <c r="AI753" s="0" t="n">
        <v>226</v>
      </c>
      <c r="AJ753" s="0" t="s">
        <v>630</v>
      </c>
      <c r="AK753" s="0" t="n">
        <v>0</v>
      </c>
      <c r="AL753" s="0" t="n">
        <v>0</v>
      </c>
      <c r="AM753" s="0" t="n">
        <v>0</v>
      </c>
    </row>
    <row r="754" customFormat="false" ht="12.75" hidden="false" customHeight="false" outlineLevel="0" collapsed="false">
      <c r="A754" s="0" t="s">
        <v>631</v>
      </c>
      <c r="B754" s="0" t="s">
        <v>445</v>
      </c>
      <c r="C754" s="0" t="s">
        <v>622</v>
      </c>
      <c r="D754" s="0" t="s">
        <v>623</v>
      </c>
      <c r="E754" s="0" t="s">
        <v>131</v>
      </c>
      <c r="F754" s="0" t="s">
        <v>198</v>
      </c>
      <c r="G754" s="0" t="s">
        <v>628</v>
      </c>
      <c r="H754" s="0" t="s">
        <v>625</v>
      </c>
      <c r="I754" s="0" t="s">
        <v>626</v>
      </c>
      <c r="J754" s="0" t="s">
        <v>627</v>
      </c>
      <c r="K754" s="475" t="n">
        <v>36951</v>
      </c>
      <c r="L754" s="254" t="n">
        <v>-142120.977242086</v>
      </c>
      <c r="M754" s="475" t="n">
        <v>36949</v>
      </c>
      <c r="N754" s="0" t="s">
        <v>136</v>
      </c>
      <c r="O754" s="0" t="n">
        <v>0.4</v>
      </c>
      <c r="P754" s="0" t="n">
        <v>0</v>
      </c>
      <c r="Q754" s="0" t="n">
        <v>0</v>
      </c>
      <c r="R754" s="0" t="n">
        <v>0</v>
      </c>
      <c r="S754" s="0" t="n">
        <v>0</v>
      </c>
      <c r="T754" s="0" t="s">
        <v>624</v>
      </c>
      <c r="U754" s="0" t="s">
        <v>137</v>
      </c>
      <c r="V754" s="0" t="s">
        <v>624</v>
      </c>
      <c r="W754" s="0" t="s">
        <v>569</v>
      </c>
      <c r="X754" s="0" t="s">
        <v>624</v>
      </c>
      <c r="Y754" s="0" t="s">
        <v>627</v>
      </c>
      <c r="Z754" s="0" t="s">
        <v>629</v>
      </c>
      <c r="AA754" s="0" t="s">
        <v>624</v>
      </c>
      <c r="AB754" s="0" t="s">
        <v>580</v>
      </c>
      <c r="AC754" s="254" t="n">
        <v>-310000</v>
      </c>
      <c r="AD754" s="254" t="n">
        <v>-23448.0425541671</v>
      </c>
      <c r="AE754" s="0" t="n">
        <v>0</v>
      </c>
      <c r="AF754" s="0" t="n">
        <v>0</v>
      </c>
      <c r="AG754" s="0" t="n">
        <v>0</v>
      </c>
      <c r="AH754" s="254" t="n">
        <v>9259.01759949932</v>
      </c>
      <c r="AI754" s="0" t="n">
        <v>226</v>
      </c>
      <c r="AJ754" s="0" t="s">
        <v>630</v>
      </c>
      <c r="AK754" s="0" t="n">
        <v>0</v>
      </c>
      <c r="AL754" s="0" t="n">
        <v>0</v>
      </c>
      <c r="AM754" s="0" t="n">
        <v>0</v>
      </c>
    </row>
    <row r="755" customFormat="false" ht="12.75" hidden="false" customHeight="false" outlineLevel="0" collapsed="false">
      <c r="A755" s="0" t="s">
        <v>631</v>
      </c>
      <c r="B755" s="0" t="s">
        <v>446</v>
      </c>
      <c r="C755" s="0" t="s">
        <v>622</v>
      </c>
      <c r="D755" s="0" t="s">
        <v>623</v>
      </c>
      <c r="E755" s="0" t="s">
        <v>131</v>
      </c>
      <c r="F755" s="0" t="s">
        <v>198</v>
      </c>
      <c r="G755" s="0" t="s">
        <v>628</v>
      </c>
      <c r="H755" s="0" t="s">
        <v>625</v>
      </c>
      <c r="I755" s="0" t="s">
        <v>626</v>
      </c>
      <c r="J755" s="0" t="s">
        <v>627</v>
      </c>
      <c r="K755" s="475" t="n">
        <v>36770</v>
      </c>
      <c r="L755" s="254" t="n">
        <v>-959646.857265816</v>
      </c>
      <c r="M755" s="475" t="n">
        <v>36768</v>
      </c>
      <c r="N755" s="0" t="s">
        <v>136</v>
      </c>
      <c r="O755" s="0" t="n">
        <v>0.9</v>
      </c>
      <c r="P755" s="0" t="n">
        <v>0</v>
      </c>
      <c r="Q755" s="0" t="n">
        <v>0</v>
      </c>
      <c r="R755" s="0" t="n">
        <v>0</v>
      </c>
      <c r="S755" s="0" t="n">
        <v>0</v>
      </c>
      <c r="T755" s="0" t="s">
        <v>624</v>
      </c>
      <c r="U755" s="0" t="s">
        <v>137</v>
      </c>
      <c r="V755" s="0" t="s">
        <v>624</v>
      </c>
      <c r="W755" s="0" t="s">
        <v>569</v>
      </c>
      <c r="X755" s="0" t="s">
        <v>624</v>
      </c>
      <c r="Y755" s="0" t="s">
        <v>627</v>
      </c>
      <c r="Z755" s="0" t="s">
        <v>629</v>
      </c>
      <c r="AA755" s="0" t="s">
        <v>624</v>
      </c>
      <c r="AB755" s="0" t="s">
        <v>580</v>
      </c>
      <c r="AC755" s="254" t="n">
        <v>-600000</v>
      </c>
      <c r="AD755" s="254" t="n">
        <v>0.0239417157135904</v>
      </c>
      <c r="AE755" s="0" t="n">
        <v>0</v>
      </c>
      <c r="AF755" s="0" t="n">
        <v>0</v>
      </c>
      <c r="AG755" s="0" t="n">
        <v>0</v>
      </c>
      <c r="AH755" s="254" t="n">
        <v>-158853.89428176</v>
      </c>
      <c r="AI755" s="0" t="n">
        <v>226</v>
      </c>
      <c r="AJ755" s="0" t="s">
        <v>630</v>
      </c>
      <c r="AK755" s="0" t="n">
        <v>0</v>
      </c>
      <c r="AL755" s="0" t="n">
        <v>0</v>
      </c>
      <c r="AM755" s="0" t="n">
        <v>0</v>
      </c>
    </row>
    <row r="756" customFormat="false" ht="12.75" hidden="false" customHeight="false" outlineLevel="0" collapsed="false">
      <c r="A756" s="0" t="s">
        <v>631</v>
      </c>
      <c r="B756" s="0" t="s">
        <v>447</v>
      </c>
      <c r="C756" s="0" t="s">
        <v>622</v>
      </c>
      <c r="D756" s="0" t="s">
        <v>623</v>
      </c>
      <c r="E756" s="0" t="s">
        <v>131</v>
      </c>
      <c r="F756" s="0" t="s">
        <v>281</v>
      </c>
      <c r="G756" s="0" t="s">
        <v>628</v>
      </c>
      <c r="H756" s="0" t="s">
        <v>625</v>
      </c>
      <c r="I756" s="0" t="s">
        <v>626</v>
      </c>
      <c r="J756" s="0" t="s">
        <v>627</v>
      </c>
      <c r="K756" s="475" t="n">
        <v>36800</v>
      </c>
      <c r="L756" s="254" t="n">
        <v>367570.418089974</v>
      </c>
      <c r="M756" s="475" t="n">
        <v>36797</v>
      </c>
      <c r="N756" s="0" t="s">
        <v>136</v>
      </c>
      <c r="O756" s="0" t="n">
        <v>0.8</v>
      </c>
      <c r="P756" s="0" t="n">
        <v>0</v>
      </c>
      <c r="Q756" s="0" t="n">
        <v>0</v>
      </c>
      <c r="R756" s="0" t="n">
        <v>0</v>
      </c>
      <c r="S756" s="0" t="n">
        <v>0</v>
      </c>
      <c r="T756" s="0" t="s">
        <v>624</v>
      </c>
      <c r="U756" s="0" t="s">
        <v>137</v>
      </c>
      <c r="V756" s="0" t="s">
        <v>624</v>
      </c>
      <c r="W756" s="0" t="s">
        <v>569</v>
      </c>
      <c r="X756" s="0" t="s">
        <v>624</v>
      </c>
      <c r="Y756" s="0" t="s">
        <v>627</v>
      </c>
      <c r="Z756" s="0" t="s">
        <v>629</v>
      </c>
      <c r="AA756" s="0" t="s">
        <v>624</v>
      </c>
      <c r="AB756" s="0" t="s">
        <v>580</v>
      </c>
      <c r="AC756" s="254" t="n">
        <v>310000</v>
      </c>
      <c r="AD756" s="254" t="n">
        <v>999.765711094136</v>
      </c>
      <c r="AE756" s="0" t="n">
        <v>0</v>
      </c>
      <c r="AF756" s="0" t="n">
        <v>0</v>
      </c>
      <c r="AG756" s="0" t="n">
        <v>0</v>
      </c>
      <c r="AH756" s="254" t="n">
        <v>-12116.3951015507</v>
      </c>
      <c r="AI756" s="0" t="n">
        <v>226</v>
      </c>
      <c r="AJ756" s="0" t="s">
        <v>630</v>
      </c>
      <c r="AK756" s="0" t="n">
        <v>0</v>
      </c>
      <c r="AL756" s="0" t="n">
        <v>0</v>
      </c>
      <c r="AM756" s="0" t="n">
        <v>0</v>
      </c>
    </row>
    <row r="757" customFormat="false" ht="12.75" hidden="false" customHeight="false" outlineLevel="0" collapsed="false">
      <c r="A757" s="0" t="s">
        <v>631</v>
      </c>
      <c r="B757" s="0" t="s">
        <v>448</v>
      </c>
      <c r="C757" s="0" t="s">
        <v>622</v>
      </c>
      <c r="D757" s="0" t="s">
        <v>623</v>
      </c>
      <c r="E757" s="0" t="s">
        <v>131</v>
      </c>
      <c r="F757" s="0" t="s">
        <v>198</v>
      </c>
      <c r="G757" s="0" t="s">
        <v>628</v>
      </c>
      <c r="H757" s="0" t="s">
        <v>625</v>
      </c>
      <c r="I757" s="0" t="s">
        <v>626</v>
      </c>
      <c r="J757" s="0" t="s">
        <v>627</v>
      </c>
      <c r="K757" s="475" t="n">
        <v>36831</v>
      </c>
      <c r="L757" s="254" t="n">
        <v>3904.54210168366</v>
      </c>
      <c r="M757" s="475" t="n">
        <v>36829</v>
      </c>
      <c r="N757" s="0" t="s">
        <v>132</v>
      </c>
      <c r="O757" s="0" t="n">
        <v>0.3</v>
      </c>
      <c r="P757" s="0" t="n">
        <v>0</v>
      </c>
      <c r="Q757" s="0" t="n">
        <v>0</v>
      </c>
      <c r="R757" s="0" t="n">
        <v>0</v>
      </c>
      <c r="S757" s="0" t="n">
        <v>0</v>
      </c>
      <c r="T757" s="0" t="s">
        <v>624</v>
      </c>
      <c r="U757" s="0" t="s">
        <v>137</v>
      </c>
      <c r="V757" s="0" t="s">
        <v>624</v>
      </c>
      <c r="W757" s="0" t="s">
        <v>569</v>
      </c>
      <c r="X757" s="0" t="s">
        <v>624</v>
      </c>
      <c r="Y757" s="0" t="s">
        <v>627</v>
      </c>
      <c r="Z757" s="0" t="s">
        <v>629</v>
      </c>
      <c r="AA757" s="0" t="s">
        <v>624</v>
      </c>
      <c r="AB757" s="0" t="s">
        <v>580</v>
      </c>
      <c r="AC757" s="254" t="n">
        <v>300000</v>
      </c>
      <c r="AD757" s="254" t="n">
        <v>3687.56875426176</v>
      </c>
      <c r="AE757" s="0" t="n">
        <v>0</v>
      </c>
      <c r="AF757" s="0" t="n">
        <v>0</v>
      </c>
      <c r="AG757" s="0" t="n">
        <v>0</v>
      </c>
      <c r="AH757" s="254" t="n">
        <v>-3015.4548788345</v>
      </c>
      <c r="AI757" s="0" t="n">
        <v>226</v>
      </c>
      <c r="AJ757" s="0" t="s">
        <v>630</v>
      </c>
      <c r="AK757" s="0" t="n">
        <v>0</v>
      </c>
      <c r="AL757" s="0" t="n">
        <v>0</v>
      </c>
      <c r="AM757" s="0" t="n">
        <v>0</v>
      </c>
    </row>
    <row r="758" customFormat="false" ht="12.75" hidden="false" customHeight="false" outlineLevel="0" collapsed="false">
      <c r="A758" s="0" t="s">
        <v>631</v>
      </c>
      <c r="B758" s="0" t="s">
        <v>448</v>
      </c>
      <c r="C758" s="0" t="s">
        <v>622</v>
      </c>
      <c r="D758" s="0" t="s">
        <v>623</v>
      </c>
      <c r="E758" s="0" t="s">
        <v>131</v>
      </c>
      <c r="F758" s="0" t="s">
        <v>198</v>
      </c>
      <c r="G758" s="0" t="s">
        <v>628</v>
      </c>
      <c r="H758" s="0" t="s">
        <v>625</v>
      </c>
      <c r="I758" s="0" t="s">
        <v>626</v>
      </c>
      <c r="J758" s="0" t="s">
        <v>627</v>
      </c>
      <c r="K758" s="475" t="n">
        <v>36861</v>
      </c>
      <c r="L758" s="254" t="n">
        <v>30745.2054877983</v>
      </c>
      <c r="M758" s="475" t="n">
        <v>36859</v>
      </c>
      <c r="N758" s="0" t="s">
        <v>132</v>
      </c>
      <c r="O758" s="0" t="n">
        <v>0.3</v>
      </c>
      <c r="P758" s="0" t="n">
        <v>0</v>
      </c>
      <c r="Q758" s="0" t="n">
        <v>0</v>
      </c>
      <c r="R758" s="0" t="n">
        <v>0</v>
      </c>
      <c r="S758" s="0" t="n">
        <v>0</v>
      </c>
      <c r="T758" s="0" t="s">
        <v>624</v>
      </c>
      <c r="U758" s="0" t="s">
        <v>137</v>
      </c>
      <c r="V758" s="0" t="s">
        <v>624</v>
      </c>
      <c r="W758" s="0" t="s">
        <v>569</v>
      </c>
      <c r="X758" s="0" t="s">
        <v>624</v>
      </c>
      <c r="Y758" s="0" t="s">
        <v>627</v>
      </c>
      <c r="Z758" s="0" t="s">
        <v>629</v>
      </c>
      <c r="AA758" s="0" t="s">
        <v>624</v>
      </c>
      <c r="AB758" s="0" t="s">
        <v>580</v>
      </c>
      <c r="AC758" s="254" t="n">
        <v>310000</v>
      </c>
      <c r="AD758" s="254" t="n">
        <v>14191.634382949</v>
      </c>
      <c r="AE758" s="0" t="n">
        <v>0</v>
      </c>
      <c r="AF758" s="0" t="n">
        <v>0</v>
      </c>
      <c r="AG758" s="0" t="n">
        <v>0</v>
      </c>
      <c r="AH758" s="254" t="n">
        <v>-8415.49428950054</v>
      </c>
      <c r="AI758" s="0" t="n">
        <v>226</v>
      </c>
      <c r="AJ758" s="0" t="s">
        <v>630</v>
      </c>
      <c r="AK758" s="0" t="n">
        <v>0</v>
      </c>
      <c r="AL758" s="0" t="n">
        <v>0</v>
      </c>
      <c r="AM758" s="0" t="n">
        <v>0</v>
      </c>
    </row>
    <row r="759" customFormat="false" ht="12.75" hidden="false" customHeight="false" outlineLevel="0" collapsed="false">
      <c r="A759" s="0" t="s">
        <v>631</v>
      </c>
      <c r="B759" s="0" t="s">
        <v>448</v>
      </c>
      <c r="C759" s="0" t="s">
        <v>622</v>
      </c>
      <c r="D759" s="0" t="s">
        <v>623</v>
      </c>
      <c r="E759" s="0" t="s">
        <v>131</v>
      </c>
      <c r="F759" s="0" t="s">
        <v>198</v>
      </c>
      <c r="G759" s="0" t="s">
        <v>628</v>
      </c>
      <c r="H759" s="0" t="s">
        <v>625</v>
      </c>
      <c r="I759" s="0" t="s">
        <v>626</v>
      </c>
      <c r="J759" s="0" t="s">
        <v>627</v>
      </c>
      <c r="K759" s="475" t="n">
        <v>36892</v>
      </c>
      <c r="L759" s="254" t="n">
        <v>59334.5771229537</v>
      </c>
      <c r="M759" s="475" t="n">
        <v>36888</v>
      </c>
      <c r="N759" s="0" t="s">
        <v>132</v>
      </c>
      <c r="O759" s="0" t="n">
        <v>0.3</v>
      </c>
      <c r="P759" s="0" t="n">
        <v>0</v>
      </c>
      <c r="Q759" s="0" t="n">
        <v>0</v>
      </c>
      <c r="R759" s="0" t="n">
        <v>0</v>
      </c>
      <c r="S759" s="0" t="n">
        <v>0</v>
      </c>
      <c r="T759" s="0" t="s">
        <v>624</v>
      </c>
      <c r="U759" s="0" t="s">
        <v>137</v>
      </c>
      <c r="V759" s="0" t="s">
        <v>624</v>
      </c>
      <c r="W759" s="0" t="s">
        <v>569</v>
      </c>
      <c r="X759" s="0" t="s">
        <v>624</v>
      </c>
      <c r="Y759" s="0" t="s">
        <v>627</v>
      </c>
      <c r="Z759" s="0" t="s">
        <v>629</v>
      </c>
      <c r="AA759" s="0" t="s">
        <v>624</v>
      </c>
      <c r="AB759" s="0" t="s">
        <v>580</v>
      </c>
      <c r="AC759" s="254" t="n">
        <v>310000</v>
      </c>
      <c r="AD759" s="254" t="n">
        <v>20193.7319901371</v>
      </c>
      <c r="AE759" s="0" t="n">
        <v>0</v>
      </c>
      <c r="AF759" s="0" t="n">
        <v>0</v>
      </c>
      <c r="AG759" s="0" t="n">
        <v>0</v>
      </c>
      <c r="AH759" s="254" t="n">
        <v>5505.74512219255</v>
      </c>
      <c r="AI759" s="0" t="n">
        <v>226</v>
      </c>
      <c r="AJ759" s="0" t="s">
        <v>630</v>
      </c>
      <c r="AK759" s="0" t="n">
        <v>0</v>
      </c>
      <c r="AL759" s="0" t="n">
        <v>0</v>
      </c>
      <c r="AM759" s="0" t="n">
        <v>0</v>
      </c>
    </row>
    <row r="760" customFormat="false" ht="12.75" hidden="false" customHeight="false" outlineLevel="0" collapsed="false">
      <c r="A760" s="0" t="s">
        <v>631</v>
      </c>
      <c r="B760" s="0" t="s">
        <v>448</v>
      </c>
      <c r="C760" s="0" t="s">
        <v>622</v>
      </c>
      <c r="D760" s="0" t="s">
        <v>623</v>
      </c>
      <c r="E760" s="0" t="s">
        <v>131</v>
      </c>
      <c r="F760" s="0" t="s">
        <v>198</v>
      </c>
      <c r="G760" s="0" t="s">
        <v>628</v>
      </c>
      <c r="H760" s="0" t="s">
        <v>625</v>
      </c>
      <c r="I760" s="0" t="s">
        <v>626</v>
      </c>
      <c r="J760" s="0" t="s">
        <v>627</v>
      </c>
      <c r="K760" s="475" t="n">
        <v>36923</v>
      </c>
      <c r="L760" s="254" t="n">
        <v>70374.6512124335</v>
      </c>
      <c r="M760" s="475" t="n">
        <v>36921</v>
      </c>
      <c r="N760" s="0" t="s">
        <v>132</v>
      </c>
      <c r="O760" s="0" t="n">
        <v>0.3</v>
      </c>
      <c r="P760" s="0" t="n">
        <v>0</v>
      </c>
      <c r="Q760" s="0" t="n">
        <v>0</v>
      </c>
      <c r="R760" s="0" t="n">
        <v>0</v>
      </c>
      <c r="S760" s="0" t="n">
        <v>0</v>
      </c>
      <c r="T760" s="0" t="s">
        <v>624</v>
      </c>
      <c r="U760" s="0" t="s">
        <v>137</v>
      </c>
      <c r="V760" s="0" t="s">
        <v>624</v>
      </c>
      <c r="W760" s="0" t="s">
        <v>569</v>
      </c>
      <c r="X760" s="0" t="s">
        <v>624</v>
      </c>
      <c r="Y760" s="0" t="s">
        <v>627</v>
      </c>
      <c r="Z760" s="0" t="s">
        <v>629</v>
      </c>
      <c r="AA760" s="0" t="s">
        <v>624</v>
      </c>
      <c r="AB760" s="0" t="s">
        <v>580</v>
      </c>
      <c r="AC760" s="254" t="n">
        <v>280000</v>
      </c>
      <c r="AD760" s="254" t="n">
        <v>21346.9264835717</v>
      </c>
      <c r="AE760" s="0" t="n">
        <v>0</v>
      </c>
      <c r="AF760" s="0" t="n">
        <v>0</v>
      </c>
      <c r="AG760" s="0" t="n">
        <v>0</v>
      </c>
      <c r="AH760" s="254" t="n">
        <v>5904.38854805668</v>
      </c>
      <c r="AI760" s="0" t="n">
        <v>226</v>
      </c>
      <c r="AJ760" s="0" t="s">
        <v>630</v>
      </c>
      <c r="AK760" s="0" t="n">
        <v>0</v>
      </c>
      <c r="AL760" s="0" t="n">
        <v>0</v>
      </c>
      <c r="AM760" s="0" t="n">
        <v>0</v>
      </c>
    </row>
    <row r="761" customFormat="false" ht="12.75" hidden="false" customHeight="false" outlineLevel="0" collapsed="false">
      <c r="A761" s="0" t="s">
        <v>631</v>
      </c>
      <c r="B761" s="0" t="s">
        <v>448</v>
      </c>
      <c r="C761" s="0" t="s">
        <v>622</v>
      </c>
      <c r="D761" s="0" t="s">
        <v>623</v>
      </c>
      <c r="E761" s="0" t="s">
        <v>131</v>
      </c>
      <c r="F761" s="0" t="s">
        <v>198</v>
      </c>
      <c r="G761" s="0" t="s">
        <v>628</v>
      </c>
      <c r="H761" s="0" t="s">
        <v>625</v>
      </c>
      <c r="I761" s="0" t="s">
        <v>626</v>
      </c>
      <c r="J761" s="0" t="s">
        <v>627</v>
      </c>
      <c r="K761" s="475" t="n">
        <v>36951</v>
      </c>
      <c r="L761" s="254" t="n">
        <v>70776.993078125</v>
      </c>
      <c r="M761" s="475" t="n">
        <v>36949</v>
      </c>
      <c r="N761" s="0" t="s">
        <v>132</v>
      </c>
      <c r="O761" s="0" t="n">
        <v>0.3</v>
      </c>
      <c r="P761" s="0" t="n">
        <v>0</v>
      </c>
      <c r="Q761" s="0" t="n">
        <v>0</v>
      </c>
      <c r="R761" s="0" t="n">
        <v>0</v>
      </c>
      <c r="S761" s="0" t="n">
        <v>0</v>
      </c>
      <c r="T761" s="0" t="s">
        <v>624</v>
      </c>
      <c r="U761" s="0" t="s">
        <v>137</v>
      </c>
      <c r="V761" s="0" t="s">
        <v>624</v>
      </c>
      <c r="W761" s="0" t="s">
        <v>569</v>
      </c>
      <c r="X761" s="0" t="s">
        <v>624</v>
      </c>
      <c r="Y761" s="0" t="s">
        <v>627</v>
      </c>
      <c r="Z761" s="0" t="s">
        <v>629</v>
      </c>
      <c r="AA761" s="0" t="s">
        <v>624</v>
      </c>
      <c r="AB761" s="0" t="s">
        <v>580</v>
      </c>
      <c r="AC761" s="254" t="n">
        <v>310000</v>
      </c>
      <c r="AD761" s="254" t="n">
        <v>22901.8069285695</v>
      </c>
      <c r="AE761" s="0" t="n">
        <v>0</v>
      </c>
      <c r="AF761" s="0" t="n">
        <v>0</v>
      </c>
      <c r="AG761" s="0" t="n">
        <v>0</v>
      </c>
      <c r="AH761" s="254" t="n">
        <v>6499.69728134976</v>
      </c>
      <c r="AI761" s="0" t="n">
        <v>226</v>
      </c>
      <c r="AJ761" s="0" t="s">
        <v>630</v>
      </c>
      <c r="AK761" s="0" t="n">
        <v>0</v>
      </c>
      <c r="AL761" s="0" t="n">
        <v>0</v>
      </c>
      <c r="AM761" s="0" t="n">
        <v>0</v>
      </c>
    </row>
    <row r="762" customFormat="false" ht="12.75" hidden="false" customHeight="false" outlineLevel="0" collapsed="false">
      <c r="A762" s="0" t="s">
        <v>631</v>
      </c>
      <c r="B762" s="0" t="s">
        <v>449</v>
      </c>
      <c r="C762" s="0" t="s">
        <v>622</v>
      </c>
      <c r="D762" s="0" t="s">
        <v>623</v>
      </c>
      <c r="E762" s="0" t="s">
        <v>131</v>
      </c>
      <c r="F762" s="0" t="s">
        <v>198</v>
      </c>
      <c r="G762" s="0" t="s">
        <v>628</v>
      </c>
      <c r="H762" s="0" t="s">
        <v>625</v>
      </c>
      <c r="I762" s="0" t="s">
        <v>626</v>
      </c>
      <c r="J762" s="0" t="s">
        <v>627</v>
      </c>
      <c r="K762" s="475" t="n">
        <v>36831</v>
      </c>
      <c r="L762" s="254" t="n">
        <v>290543.696726418</v>
      </c>
      <c r="M762" s="475" t="n">
        <v>36829</v>
      </c>
      <c r="N762" s="0" t="s">
        <v>136</v>
      </c>
      <c r="O762" s="0" t="n">
        <v>0.6</v>
      </c>
      <c r="P762" s="0" t="n">
        <v>0</v>
      </c>
      <c r="Q762" s="0" t="n">
        <v>0</v>
      </c>
      <c r="R762" s="0" t="n">
        <v>0</v>
      </c>
      <c r="S762" s="0" t="n">
        <v>0</v>
      </c>
      <c r="T762" s="0" t="s">
        <v>624</v>
      </c>
      <c r="U762" s="0" t="s">
        <v>137</v>
      </c>
      <c r="V762" s="0" t="s">
        <v>624</v>
      </c>
      <c r="W762" s="0" t="s">
        <v>569</v>
      </c>
      <c r="X762" s="0" t="s">
        <v>624</v>
      </c>
      <c r="Y762" s="0" t="s">
        <v>627</v>
      </c>
      <c r="Z762" s="0" t="s">
        <v>629</v>
      </c>
      <c r="AA762" s="0" t="s">
        <v>624</v>
      </c>
      <c r="AB762" s="0" t="s">
        <v>580</v>
      </c>
      <c r="AC762" s="254" t="n">
        <v>300000</v>
      </c>
      <c r="AD762" s="254" t="n">
        <v>6826.61469605961</v>
      </c>
      <c r="AE762" s="0" t="n">
        <v>0</v>
      </c>
      <c r="AF762" s="0" t="n">
        <v>0</v>
      </c>
      <c r="AG762" s="0" t="n">
        <v>0</v>
      </c>
      <c r="AH762" s="254" t="n">
        <v>55483.6086903324</v>
      </c>
      <c r="AI762" s="0" t="n">
        <v>226</v>
      </c>
      <c r="AJ762" s="0" t="s">
        <v>630</v>
      </c>
      <c r="AK762" s="0" t="n">
        <v>0</v>
      </c>
      <c r="AL762" s="0" t="n">
        <v>0</v>
      </c>
      <c r="AM762" s="0" t="n">
        <v>0</v>
      </c>
    </row>
    <row r="763" customFormat="false" ht="12.75" hidden="false" customHeight="false" outlineLevel="0" collapsed="false">
      <c r="A763" s="0" t="s">
        <v>631</v>
      </c>
      <c r="B763" s="0" t="s">
        <v>449</v>
      </c>
      <c r="C763" s="0" t="s">
        <v>622</v>
      </c>
      <c r="D763" s="0" t="s">
        <v>623</v>
      </c>
      <c r="E763" s="0" t="s">
        <v>131</v>
      </c>
      <c r="F763" s="0" t="s">
        <v>198</v>
      </c>
      <c r="G763" s="0" t="s">
        <v>628</v>
      </c>
      <c r="H763" s="0" t="s">
        <v>625</v>
      </c>
      <c r="I763" s="0" t="s">
        <v>626</v>
      </c>
      <c r="J763" s="0" t="s">
        <v>627</v>
      </c>
      <c r="K763" s="475" t="n">
        <v>36861</v>
      </c>
      <c r="L763" s="254" t="n">
        <v>179035.052529919</v>
      </c>
      <c r="M763" s="475" t="n">
        <v>36859</v>
      </c>
      <c r="N763" s="0" t="s">
        <v>136</v>
      </c>
      <c r="O763" s="0" t="n">
        <v>0.6</v>
      </c>
      <c r="P763" s="0" t="n">
        <v>0</v>
      </c>
      <c r="Q763" s="0" t="n">
        <v>0</v>
      </c>
      <c r="R763" s="0" t="n">
        <v>0</v>
      </c>
      <c r="S763" s="0" t="n">
        <v>0</v>
      </c>
      <c r="T763" s="0" t="s">
        <v>624</v>
      </c>
      <c r="U763" s="0" t="s">
        <v>137</v>
      </c>
      <c r="V763" s="0" t="s">
        <v>624</v>
      </c>
      <c r="W763" s="0" t="s">
        <v>569</v>
      </c>
      <c r="X763" s="0" t="s">
        <v>624</v>
      </c>
      <c r="Y763" s="0" t="s">
        <v>627</v>
      </c>
      <c r="Z763" s="0" t="s">
        <v>629</v>
      </c>
      <c r="AA763" s="0" t="s">
        <v>624</v>
      </c>
      <c r="AB763" s="0" t="s">
        <v>580</v>
      </c>
      <c r="AC763" s="254" t="n">
        <v>310000</v>
      </c>
      <c r="AD763" s="254" t="n">
        <v>17477.1617827764</v>
      </c>
      <c r="AE763" s="0" t="n">
        <v>0</v>
      </c>
      <c r="AF763" s="0" t="n">
        <v>0</v>
      </c>
      <c r="AG763" s="0" t="n">
        <v>0</v>
      </c>
      <c r="AH763" s="254" t="n">
        <v>30811.668951182</v>
      </c>
      <c r="AI763" s="0" t="n">
        <v>226</v>
      </c>
      <c r="AJ763" s="0" t="s">
        <v>630</v>
      </c>
      <c r="AK763" s="0" t="n">
        <v>0</v>
      </c>
      <c r="AL763" s="0" t="n">
        <v>0</v>
      </c>
      <c r="AM763" s="0" t="n">
        <v>0</v>
      </c>
    </row>
    <row r="764" customFormat="false" ht="12.75" hidden="false" customHeight="false" outlineLevel="0" collapsed="false">
      <c r="A764" s="0" t="s">
        <v>631</v>
      </c>
      <c r="B764" s="0" t="s">
        <v>449</v>
      </c>
      <c r="C764" s="0" t="s">
        <v>622</v>
      </c>
      <c r="D764" s="0" t="s">
        <v>623</v>
      </c>
      <c r="E764" s="0" t="s">
        <v>131</v>
      </c>
      <c r="F764" s="0" t="s">
        <v>198</v>
      </c>
      <c r="G764" s="0" t="s">
        <v>628</v>
      </c>
      <c r="H764" s="0" t="s">
        <v>625</v>
      </c>
      <c r="I764" s="0" t="s">
        <v>626</v>
      </c>
      <c r="J764" s="0" t="s">
        <v>627</v>
      </c>
      <c r="K764" s="475" t="n">
        <v>36892</v>
      </c>
      <c r="L764" s="254" t="n">
        <v>145219.010230126</v>
      </c>
      <c r="M764" s="475" t="n">
        <v>36888</v>
      </c>
      <c r="N764" s="0" t="s">
        <v>136</v>
      </c>
      <c r="O764" s="0" t="n">
        <v>0.6</v>
      </c>
      <c r="P764" s="0" t="n">
        <v>0</v>
      </c>
      <c r="Q764" s="0" t="n">
        <v>0</v>
      </c>
      <c r="R764" s="0" t="n">
        <v>0</v>
      </c>
      <c r="S764" s="0" t="n">
        <v>0</v>
      </c>
      <c r="T764" s="0" t="s">
        <v>624</v>
      </c>
      <c r="U764" s="0" t="s">
        <v>137</v>
      </c>
      <c r="V764" s="0" t="s">
        <v>624</v>
      </c>
      <c r="W764" s="0" t="s">
        <v>569</v>
      </c>
      <c r="X764" s="0" t="s">
        <v>624</v>
      </c>
      <c r="Y764" s="0" t="s">
        <v>627</v>
      </c>
      <c r="Z764" s="0" t="s">
        <v>629</v>
      </c>
      <c r="AA764" s="0" t="s">
        <v>624</v>
      </c>
      <c r="AB764" s="0" t="s">
        <v>580</v>
      </c>
      <c r="AC764" s="254" t="n">
        <v>310000</v>
      </c>
      <c r="AD764" s="254" t="n">
        <v>21980.8197959616</v>
      </c>
      <c r="AE764" s="0" t="n">
        <v>0</v>
      </c>
      <c r="AF764" s="0" t="n">
        <v>0</v>
      </c>
      <c r="AG764" s="0" t="n">
        <v>0</v>
      </c>
      <c r="AH764" s="254" t="n">
        <v>-9175.03712544189</v>
      </c>
      <c r="AI764" s="0" t="n">
        <v>226</v>
      </c>
      <c r="AJ764" s="0" t="s">
        <v>630</v>
      </c>
      <c r="AK764" s="0" t="n">
        <v>0</v>
      </c>
      <c r="AL764" s="0" t="n">
        <v>0</v>
      </c>
      <c r="AM764" s="0" t="n">
        <v>0</v>
      </c>
    </row>
    <row r="765" customFormat="false" ht="12.75" hidden="false" customHeight="false" outlineLevel="0" collapsed="false">
      <c r="A765" s="0" t="s">
        <v>631</v>
      </c>
      <c r="B765" s="0" t="s">
        <v>449</v>
      </c>
      <c r="C765" s="0" t="s">
        <v>622</v>
      </c>
      <c r="D765" s="0" t="s">
        <v>623</v>
      </c>
      <c r="E765" s="0" t="s">
        <v>131</v>
      </c>
      <c r="F765" s="0" t="s">
        <v>198</v>
      </c>
      <c r="G765" s="0" t="s">
        <v>628</v>
      </c>
      <c r="H765" s="0" t="s">
        <v>625</v>
      </c>
      <c r="I765" s="0" t="s">
        <v>626</v>
      </c>
      <c r="J765" s="0" t="s">
        <v>627</v>
      </c>
      <c r="K765" s="475" t="n">
        <v>36923</v>
      </c>
      <c r="L765" s="254" t="n">
        <v>111996.564153306</v>
      </c>
      <c r="M765" s="475" t="n">
        <v>36921</v>
      </c>
      <c r="N765" s="0" t="s">
        <v>136</v>
      </c>
      <c r="O765" s="0" t="n">
        <v>0.6</v>
      </c>
      <c r="P765" s="0" t="n">
        <v>0</v>
      </c>
      <c r="Q765" s="0" t="n">
        <v>0</v>
      </c>
      <c r="R765" s="0" t="n">
        <v>0</v>
      </c>
      <c r="S765" s="0" t="n">
        <v>0</v>
      </c>
      <c r="T765" s="0" t="s">
        <v>624</v>
      </c>
      <c r="U765" s="0" t="s">
        <v>137</v>
      </c>
      <c r="V765" s="0" t="s">
        <v>624</v>
      </c>
      <c r="W765" s="0" t="s">
        <v>569</v>
      </c>
      <c r="X765" s="0" t="s">
        <v>624</v>
      </c>
      <c r="Y765" s="0" t="s">
        <v>627</v>
      </c>
      <c r="Z765" s="0" t="s">
        <v>629</v>
      </c>
      <c r="AA765" s="0" t="s">
        <v>624</v>
      </c>
      <c r="AB765" s="0" t="s">
        <v>580</v>
      </c>
      <c r="AC765" s="254" t="n">
        <v>280000</v>
      </c>
      <c r="AD765" s="254" t="n">
        <v>22019.7833944338</v>
      </c>
      <c r="AE765" s="0" t="n">
        <v>0</v>
      </c>
      <c r="AF765" s="0" t="n">
        <v>0</v>
      </c>
      <c r="AG765" s="0" t="n">
        <v>0</v>
      </c>
      <c r="AH765" s="254" t="n">
        <v>-7277.56280429514</v>
      </c>
      <c r="AI765" s="0" t="n">
        <v>226</v>
      </c>
      <c r="AJ765" s="0" t="s">
        <v>630</v>
      </c>
      <c r="AK765" s="0" t="n">
        <v>0</v>
      </c>
      <c r="AL765" s="0" t="n">
        <v>0</v>
      </c>
      <c r="AM765" s="0" t="n">
        <v>0</v>
      </c>
    </row>
    <row r="766" customFormat="false" ht="12.75" hidden="false" customHeight="false" outlineLevel="0" collapsed="false">
      <c r="A766" s="0" t="s">
        <v>631</v>
      </c>
      <c r="B766" s="0" t="s">
        <v>449</v>
      </c>
      <c r="C766" s="0" t="s">
        <v>622</v>
      </c>
      <c r="D766" s="0" t="s">
        <v>623</v>
      </c>
      <c r="E766" s="0" t="s">
        <v>131</v>
      </c>
      <c r="F766" s="0" t="s">
        <v>198</v>
      </c>
      <c r="G766" s="0" t="s">
        <v>628</v>
      </c>
      <c r="H766" s="0" t="s">
        <v>625</v>
      </c>
      <c r="I766" s="0" t="s">
        <v>626</v>
      </c>
      <c r="J766" s="0" t="s">
        <v>627</v>
      </c>
      <c r="K766" s="475" t="n">
        <v>36951</v>
      </c>
      <c r="L766" s="254" t="n">
        <v>110981.223672312</v>
      </c>
      <c r="M766" s="475" t="n">
        <v>36949</v>
      </c>
      <c r="N766" s="0" t="s">
        <v>136</v>
      </c>
      <c r="O766" s="0" t="n">
        <v>0.6</v>
      </c>
      <c r="P766" s="0" t="n">
        <v>0</v>
      </c>
      <c r="Q766" s="0" t="n">
        <v>0</v>
      </c>
      <c r="R766" s="0" t="n">
        <v>0</v>
      </c>
      <c r="S766" s="0" t="n">
        <v>0</v>
      </c>
      <c r="T766" s="0" t="s">
        <v>624</v>
      </c>
      <c r="U766" s="0" t="s">
        <v>137</v>
      </c>
      <c r="V766" s="0" t="s">
        <v>624</v>
      </c>
      <c r="W766" s="0" t="s">
        <v>569</v>
      </c>
      <c r="X766" s="0" t="s">
        <v>624</v>
      </c>
      <c r="Y766" s="0" t="s">
        <v>627</v>
      </c>
      <c r="Z766" s="0" t="s">
        <v>629</v>
      </c>
      <c r="AA766" s="0" t="s">
        <v>624</v>
      </c>
      <c r="AB766" s="0" t="s">
        <v>580</v>
      </c>
      <c r="AC766" s="254" t="n">
        <v>310000</v>
      </c>
      <c r="AD766" s="254" t="n">
        <v>23618.6760726711</v>
      </c>
      <c r="AE766" s="0" t="n">
        <v>0</v>
      </c>
      <c r="AF766" s="0" t="n">
        <v>0</v>
      </c>
      <c r="AG766" s="0" t="n">
        <v>0</v>
      </c>
      <c r="AH766" s="254" t="n">
        <v>-7843.40597904872</v>
      </c>
      <c r="AI766" s="0" t="n">
        <v>226</v>
      </c>
      <c r="AJ766" s="0" t="s">
        <v>630</v>
      </c>
      <c r="AK766" s="0" t="n">
        <v>0</v>
      </c>
      <c r="AL766" s="0" t="n">
        <v>0</v>
      </c>
      <c r="AM766" s="0" t="n">
        <v>0</v>
      </c>
    </row>
    <row r="767" customFormat="false" ht="12.75" hidden="false" customHeight="false" outlineLevel="0" collapsed="false">
      <c r="A767" s="0" t="s">
        <v>631</v>
      </c>
      <c r="B767" s="0" t="s">
        <v>450</v>
      </c>
      <c r="C767" s="0" t="s">
        <v>622</v>
      </c>
      <c r="D767" s="0" t="s">
        <v>623</v>
      </c>
      <c r="E767" s="0" t="s">
        <v>131</v>
      </c>
      <c r="F767" s="0" t="s">
        <v>275</v>
      </c>
      <c r="G767" s="0" t="s">
        <v>628</v>
      </c>
      <c r="H767" s="0" t="s">
        <v>625</v>
      </c>
      <c r="I767" s="0" t="s">
        <v>626</v>
      </c>
      <c r="J767" s="0" t="s">
        <v>627</v>
      </c>
      <c r="K767" s="475" t="n">
        <v>36831</v>
      </c>
      <c r="L767" s="254" t="n">
        <v>-4650.15755874533</v>
      </c>
      <c r="M767" s="475" t="n">
        <v>36829</v>
      </c>
      <c r="N767" s="0" t="s">
        <v>136</v>
      </c>
      <c r="O767" s="0" t="n">
        <v>0.15</v>
      </c>
      <c r="P767" s="0" t="n">
        <v>0</v>
      </c>
      <c r="Q767" s="0" t="n">
        <v>0</v>
      </c>
      <c r="R767" s="0" t="n">
        <v>0</v>
      </c>
      <c r="S767" s="0" t="n">
        <v>0</v>
      </c>
      <c r="T767" s="0" t="s">
        <v>624</v>
      </c>
      <c r="U767" s="0" t="s">
        <v>632</v>
      </c>
      <c r="V767" s="0" t="s">
        <v>624</v>
      </c>
      <c r="W767" s="0" t="s">
        <v>569</v>
      </c>
      <c r="X767" s="0" t="s">
        <v>624</v>
      </c>
      <c r="Y767" s="0" t="s">
        <v>627</v>
      </c>
      <c r="Z767" s="0" t="s">
        <v>629</v>
      </c>
      <c r="AA767" s="0" t="s">
        <v>624</v>
      </c>
      <c r="AB767" s="0" t="s">
        <v>580</v>
      </c>
      <c r="AC767" s="254" t="n">
        <v>-300000</v>
      </c>
      <c r="AD767" s="254" t="n">
        <v>-1734.98226946498</v>
      </c>
      <c r="AE767" s="0" t="n">
        <v>0</v>
      </c>
      <c r="AF767" s="0" t="n">
        <v>0</v>
      </c>
      <c r="AG767" s="0" t="n">
        <v>0</v>
      </c>
      <c r="AH767" s="254" t="n">
        <v>-93.5962156755977</v>
      </c>
      <c r="AI767" s="0" t="n">
        <v>226</v>
      </c>
      <c r="AJ767" s="0" t="s">
        <v>630</v>
      </c>
      <c r="AK767" s="0" t="n">
        <v>0</v>
      </c>
      <c r="AL767" s="0" t="n">
        <v>0</v>
      </c>
      <c r="AM767" s="0" t="n">
        <v>0</v>
      </c>
    </row>
    <row r="768" customFormat="false" ht="12.75" hidden="false" customHeight="false" outlineLevel="0" collapsed="false">
      <c r="A768" s="0" t="s">
        <v>631</v>
      </c>
      <c r="B768" s="0" t="s">
        <v>450</v>
      </c>
      <c r="C768" s="0" t="s">
        <v>622</v>
      </c>
      <c r="D768" s="0" t="s">
        <v>623</v>
      </c>
      <c r="E768" s="0" t="s">
        <v>131</v>
      </c>
      <c r="F768" s="0" t="s">
        <v>275</v>
      </c>
      <c r="G768" s="0" t="s">
        <v>628</v>
      </c>
      <c r="H768" s="0" t="s">
        <v>625</v>
      </c>
      <c r="I768" s="0" t="s">
        <v>626</v>
      </c>
      <c r="J768" s="0" t="s">
        <v>627</v>
      </c>
      <c r="K768" s="475" t="n">
        <v>36861</v>
      </c>
      <c r="L768" s="254" t="n">
        <v>-8475.9519561766</v>
      </c>
      <c r="M768" s="475" t="n">
        <v>36859</v>
      </c>
      <c r="N768" s="0" t="s">
        <v>136</v>
      </c>
      <c r="O768" s="0" t="n">
        <v>0.15</v>
      </c>
      <c r="P768" s="0" t="n">
        <v>0</v>
      </c>
      <c r="Q768" s="0" t="n">
        <v>0</v>
      </c>
      <c r="R768" s="0" t="n">
        <v>0</v>
      </c>
      <c r="S768" s="0" t="n">
        <v>0</v>
      </c>
      <c r="T768" s="0" t="s">
        <v>624</v>
      </c>
      <c r="U768" s="0" t="s">
        <v>632</v>
      </c>
      <c r="V768" s="0" t="s">
        <v>624</v>
      </c>
      <c r="W768" s="0" t="s">
        <v>569</v>
      </c>
      <c r="X768" s="0" t="s">
        <v>624</v>
      </c>
      <c r="Y768" s="0" t="s">
        <v>627</v>
      </c>
      <c r="Z768" s="0" t="s">
        <v>629</v>
      </c>
      <c r="AA768" s="0" t="s">
        <v>624</v>
      </c>
      <c r="AB768" s="0" t="s">
        <v>580</v>
      </c>
      <c r="AC768" s="254" t="n">
        <v>-310000</v>
      </c>
      <c r="AD768" s="254" t="n">
        <v>-2456.57577587196</v>
      </c>
      <c r="AE768" s="0" t="n">
        <v>0</v>
      </c>
      <c r="AF768" s="0" t="n">
        <v>0</v>
      </c>
      <c r="AG768" s="0" t="n">
        <v>0</v>
      </c>
      <c r="AH768" s="254" t="n">
        <v>-123.681540860103</v>
      </c>
      <c r="AI768" s="0" t="n">
        <v>226</v>
      </c>
      <c r="AJ768" s="0" t="s">
        <v>630</v>
      </c>
      <c r="AK768" s="0" t="n">
        <v>0</v>
      </c>
      <c r="AL768" s="0" t="n">
        <v>0</v>
      </c>
      <c r="AM768" s="0" t="n">
        <v>0</v>
      </c>
    </row>
    <row r="769" customFormat="false" ht="12.75" hidden="false" customHeight="false" outlineLevel="0" collapsed="false">
      <c r="A769" s="0" t="s">
        <v>631</v>
      </c>
      <c r="B769" s="0" t="s">
        <v>450</v>
      </c>
      <c r="C769" s="0" t="s">
        <v>622</v>
      </c>
      <c r="D769" s="0" t="s">
        <v>623</v>
      </c>
      <c r="E769" s="0" t="s">
        <v>131</v>
      </c>
      <c r="F769" s="0" t="s">
        <v>275</v>
      </c>
      <c r="G769" s="0" t="s">
        <v>628</v>
      </c>
      <c r="H769" s="0" t="s">
        <v>625</v>
      </c>
      <c r="I769" s="0" t="s">
        <v>626</v>
      </c>
      <c r="J769" s="0" t="s">
        <v>627</v>
      </c>
      <c r="K769" s="475" t="n">
        <v>36892</v>
      </c>
      <c r="L769" s="254" t="n">
        <v>-13795.9436319022</v>
      </c>
      <c r="M769" s="475" t="n">
        <v>36888</v>
      </c>
      <c r="N769" s="0" t="s">
        <v>136</v>
      </c>
      <c r="O769" s="0" t="n">
        <v>0.15</v>
      </c>
      <c r="P769" s="0" t="n">
        <v>0</v>
      </c>
      <c r="Q769" s="0" t="n">
        <v>0</v>
      </c>
      <c r="R769" s="0" t="n">
        <v>0</v>
      </c>
      <c r="S769" s="0" t="n">
        <v>0</v>
      </c>
      <c r="T769" s="0" t="s">
        <v>624</v>
      </c>
      <c r="U769" s="0" t="s">
        <v>632</v>
      </c>
      <c r="V769" s="0" t="s">
        <v>624</v>
      </c>
      <c r="W769" s="0" t="s">
        <v>569</v>
      </c>
      <c r="X769" s="0" t="s">
        <v>624</v>
      </c>
      <c r="Y769" s="0" t="s">
        <v>627</v>
      </c>
      <c r="Z769" s="0" t="s">
        <v>629</v>
      </c>
      <c r="AA769" s="0" t="s">
        <v>624</v>
      </c>
      <c r="AB769" s="0" t="s">
        <v>580</v>
      </c>
      <c r="AC769" s="254" t="n">
        <v>-310000</v>
      </c>
      <c r="AD769" s="254" t="n">
        <v>-3011.45366360046</v>
      </c>
      <c r="AE769" s="0" t="n">
        <v>0</v>
      </c>
      <c r="AF769" s="0" t="n">
        <v>0</v>
      </c>
      <c r="AG769" s="0" t="n">
        <v>0</v>
      </c>
      <c r="AH769" s="254" t="n">
        <v>-144.940974188927</v>
      </c>
      <c r="AI769" s="0" t="n">
        <v>226</v>
      </c>
      <c r="AJ769" s="0" t="s">
        <v>630</v>
      </c>
      <c r="AK769" s="0" t="n">
        <v>0</v>
      </c>
      <c r="AL769" s="0" t="n">
        <v>0</v>
      </c>
      <c r="AM769" s="0" t="n">
        <v>0</v>
      </c>
    </row>
    <row r="770" customFormat="false" ht="12.75" hidden="false" customHeight="false" outlineLevel="0" collapsed="false">
      <c r="A770" s="0" t="s">
        <v>631</v>
      </c>
      <c r="B770" s="0" t="s">
        <v>450</v>
      </c>
      <c r="C770" s="0" t="s">
        <v>622</v>
      </c>
      <c r="D770" s="0" t="s">
        <v>623</v>
      </c>
      <c r="E770" s="0" t="s">
        <v>131</v>
      </c>
      <c r="F770" s="0" t="s">
        <v>275</v>
      </c>
      <c r="G770" s="0" t="s">
        <v>628</v>
      </c>
      <c r="H770" s="0" t="s">
        <v>625</v>
      </c>
      <c r="I770" s="0" t="s">
        <v>626</v>
      </c>
      <c r="J770" s="0" t="s">
        <v>627</v>
      </c>
      <c r="K770" s="475" t="n">
        <v>36923</v>
      </c>
      <c r="L770" s="254" t="n">
        <v>-14498.1025608081</v>
      </c>
      <c r="M770" s="475" t="n">
        <v>36921</v>
      </c>
      <c r="N770" s="0" t="s">
        <v>136</v>
      </c>
      <c r="O770" s="0" t="n">
        <v>0.15</v>
      </c>
      <c r="P770" s="0" t="n">
        <v>0</v>
      </c>
      <c r="Q770" s="0" t="n">
        <v>0</v>
      </c>
      <c r="R770" s="0" t="n">
        <v>0</v>
      </c>
      <c r="S770" s="0" t="n">
        <v>0</v>
      </c>
      <c r="T770" s="0" t="s">
        <v>624</v>
      </c>
      <c r="U770" s="0" t="s">
        <v>632</v>
      </c>
      <c r="V770" s="0" t="s">
        <v>624</v>
      </c>
      <c r="W770" s="0" t="s">
        <v>569</v>
      </c>
      <c r="X770" s="0" t="s">
        <v>624</v>
      </c>
      <c r="Y770" s="0" t="s">
        <v>627</v>
      </c>
      <c r="Z770" s="0" t="s">
        <v>629</v>
      </c>
      <c r="AA770" s="0" t="s">
        <v>624</v>
      </c>
      <c r="AB770" s="0" t="s">
        <v>580</v>
      </c>
      <c r="AC770" s="254" t="n">
        <v>-280000</v>
      </c>
      <c r="AD770" s="254" t="n">
        <v>-2988.67122489288</v>
      </c>
      <c r="AE770" s="0" t="n">
        <v>0</v>
      </c>
      <c r="AF770" s="0" t="n">
        <v>0</v>
      </c>
      <c r="AG770" s="0" t="n">
        <v>0</v>
      </c>
      <c r="AH770" s="254" t="n">
        <v>-143.438397494288</v>
      </c>
      <c r="AI770" s="0" t="n">
        <v>226</v>
      </c>
      <c r="AJ770" s="0" t="s">
        <v>630</v>
      </c>
      <c r="AK770" s="0" t="n">
        <v>0</v>
      </c>
      <c r="AL770" s="0" t="n">
        <v>0</v>
      </c>
      <c r="AM770" s="0" t="n">
        <v>0</v>
      </c>
    </row>
    <row r="771" customFormat="false" ht="12.75" hidden="false" customHeight="false" outlineLevel="0" collapsed="false">
      <c r="A771" s="0" t="s">
        <v>631</v>
      </c>
      <c r="B771" s="0" t="s">
        <v>450</v>
      </c>
      <c r="C771" s="0" t="s">
        <v>622</v>
      </c>
      <c r="D771" s="0" t="s">
        <v>623</v>
      </c>
      <c r="E771" s="0" t="s">
        <v>131</v>
      </c>
      <c r="F771" s="0" t="s">
        <v>275</v>
      </c>
      <c r="G771" s="0" t="s">
        <v>628</v>
      </c>
      <c r="H771" s="0" t="s">
        <v>625</v>
      </c>
      <c r="I771" s="0" t="s">
        <v>626</v>
      </c>
      <c r="J771" s="0" t="s">
        <v>627</v>
      </c>
      <c r="K771" s="475" t="n">
        <v>36951</v>
      </c>
      <c r="L771" s="254" t="n">
        <v>-12666.1475605658</v>
      </c>
      <c r="M771" s="475" t="n">
        <v>36949</v>
      </c>
      <c r="N771" s="0" t="s">
        <v>136</v>
      </c>
      <c r="O771" s="0" t="n">
        <v>0.15</v>
      </c>
      <c r="P771" s="0" t="n">
        <v>0</v>
      </c>
      <c r="Q771" s="0" t="n">
        <v>0</v>
      </c>
      <c r="R771" s="0" t="n">
        <v>0</v>
      </c>
      <c r="S771" s="0" t="n">
        <v>0</v>
      </c>
      <c r="T771" s="0" t="s">
        <v>624</v>
      </c>
      <c r="U771" s="0" t="s">
        <v>632</v>
      </c>
      <c r="V771" s="0" t="s">
        <v>624</v>
      </c>
      <c r="W771" s="0" t="s">
        <v>569</v>
      </c>
      <c r="X771" s="0" t="s">
        <v>624</v>
      </c>
      <c r="Y771" s="0" t="s">
        <v>627</v>
      </c>
      <c r="Z771" s="0" t="s">
        <v>629</v>
      </c>
      <c r="AA771" s="0" t="s">
        <v>624</v>
      </c>
      <c r="AB771" s="0" t="s">
        <v>580</v>
      </c>
      <c r="AC771" s="254" t="n">
        <v>-310000</v>
      </c>
      <c r="AD771" s="254" t="n">
        <v>-3147.17922765094</v>
      </c>
      <c r="AE771" s="0" t="n">
        <v>0</v>
      </c>
      <c r="AF771" s="0" t="n">
        <v>0</v>
      </c>
      <c r="AG771" s="0" t="n">
        <v>0</v>
      </c>
      <c r="AH771" s="254" t="n">
        <v>-160.050336929131</v>
      </c>
      <c r="AI771" s="0" t="n">
        <v>226</v>
      </c>
      <c r="AJ771" s="0" t="s">
        <v>630</v>
      </c>
      <c r="AK771" s="0" t="n">
        <v>0</v>
      </c>
      <c r="AL771" s="0" t="n">
        <v>0</v>
      </c>
      <c r="AM771" s="0" t="n">
        <v>0</v>
      </c>
    </row>
    <row r="772" customFormat="false" ht="12.75" hidden="false" customHeight="false" outlineLevel="0" collapsed="false">
      <c r="A772" s="0" t="s">
        <v>631</v>
      </c>
      <c r="B772" s="0" t="s">
        <v>451</v>
      </c>
      <c r="C772" s="0" t="s">
        <v>622</v>
      </c>
      <c r="D772" s="0" t="s">
        <v>623</v>
      </c>
      <c r="E772" s="0" t="s">
        <v>131</v>
      </c>
      <c r="F772" s="0" t="s">
        <v>255</v>
      </c>
      <c r="G772" s="0" t="s">
        <v>628</v>
      </c>
      <c r="H772" s="0" t="s">
        <v>625</v>
      </c>
      <c r="I772" s="0" t="s">
        <v>626</v>
      </c>
      <c r="J772" s="0" t="s">
        <v>627</v>
      </c>
      <c r="K772" s="475" t="n">
        <v>36831</v>
      </c>
      <c r="L772" s="254" t="n">
        <v>-4650.15755874533</v>
      </c>
      <c r="M772" s="475" t="n">
        <v>36829</v>
      </c>
      <c r="N772" s="0" t="s">
        <v>136</v>
      </c>
      <c r="O772" s="0" t="n">
        <v>0.15</v>
      </c>
      <c r="P772" s="0" t="n">
        <v>0</v>
      </c>
      <c r="Q772" s="0" t="n">
        <v>0</v>
      </c>
      <c r="R772" s="0" t="n">
        <v>0</v>
      </c>
      <c r="S772" s="0" t="n">
        <v>0</v>
      </c>
      <c r="T772" s="0" t="s">
        <v>624</v>
      </c>
      <c r="U772" s="0" t="s">
        <v>632</v>
      </c>
      <c r="V772" s="0" t="s">
        <v>624</v>
      </c>
      <c r="W772" s="0" t="s">
        <v>569</v>
      </c>
      <c r="X772" s="0" t="s">
        <v>624</v>
      </c>
      <c r="Y772" s="0" t="s">
        <v>627</v>
      </c>
      <c r="Z772" s="0" t="s">
        <v>629</v>
      </c>
      <c r="AA772" s="0" t="s">
        <v>624</v>
      </c>
      <c r="AB772" s="0" t="s">
        <v>580</v>
      </c>
      <c r="AC772" s="254" t="n">
        <v>-300000</v>
      </c>
      <c r="AD772" s="254" t="n">
        <v>-1734.98226946498</v>
      </c>
      <c r="AE772" s="0" t="n">
        <v>0</v>
      </c>
      <c r="AF772" s="0" t="n">
        <v>0</v>
      </c>
      <c r="AG772" s="0" t="n">
        <v>0</v>
      </c>
      <c r="AH772" s="254" t="n">
        <v>-93.5962156755977</v>
      </c>
      <c r="AI772" s="0" t="n">
        <v>226</v>
      </c>
      <c r="AJ772" s="0" t="s">
        <v>630</v>
      </c>
      <c r="AK772" s="0" t="n">
        <v>0</v>
      </c>
      <c r="AL772" s="0" t="n">
        <v>0</v>
      </c>
      <c r="AM772" s="0" t="n">
        <v>0</v>
      </c>
    </row>
    <row r="773" customFormat="false" ht="12.75" hidden="false" customHeight="false" outlineLevel="0" collapsed="false">
      <c r="A773" s="0" t="s">
        <v>631</v>
      </c>
      <c r="B773" s="0" t="s">
        <v>451</v>
      </c>
      <c r="C773" s="0" t="s">
        <v>622</v>
      </c>
      <c r="D773" s="0" t="s">
        <v>623</v>
      </c>
      <c r="E773" s="0" t="s">
        <v>131</v>
      </c>
      <c r="F773" s="0" t="s">
        <v>255</v>
      </c>
      <c r="G773" s="0" t="s">
        <v>628</v>
      </c>
      <c r="H773" s="0" t="s">
        <v>625</v>
      </c>
      <c r="I773" s="0" t="s">
        <v>626</v>
      </c>
      <c r="J773" s="0" t="s">
        <v>627</v>
      </c>
      <c r="K773" s="475" t="n">
        <v>36861</v>
      </c>
      <c r="L773" s="254" t="n">
        <v>-8475.9519561766</v>
      </c>
      <c r="M773" s="475" t="n">
        <v>36859</v>
      </c>
      <c r="N773" s="0" t="s">
        <v>136</v>
      </c>
      <c r="O773" s="0" t="n">
        <v>0.15</v>
      </c>
      <c r="P773" s="0" t="n">
        <v>0</v>
      </c>
      <c r="Q773" s="0" t="n">
        <v>0</v>
      </c>
      <c r="R773" s="0" t="n">
        <v>0</v>
      </c>
      <c r="S773" s="0" t="n">
        <v>0</v>
      </c>
      <c r="T773" s="0" t="s">
        <v>624</v>
      </c>
      <c r="U773" s="0" t="s">
        <v>632</v>
      </c>
      <c r="V773" s="0" t="s">
        <v>624</v>
      </c>
      <c r="W773" s="0" t="s">
        <v>569</v>
      </c>
      <c r="X773" s="0" t="s">
        <v>624</v>
      </c>
      <c r="Y773" s="0" t="s">
        <v>627</v>
      </c>
      <c r="Z773" s="0" t="s">
        <v>629</v>
      </c>
      <c r="AA773" s="0" t="s">
        <v>624</v>
      </c>
      <c r="AB773" s="0" t="s">
        <v>580</v>
      </c>
      <c r="AC773" s="254" t="n">
        <v>-310000</v>
      </c>
      <c r="AD773" s="254" t="n">
        <v>-2456.57577587196</v>
      </c>
      <c r="AE773" s="0" t="n">
        <v>0</v>
      </c>
      <c r="AF773" s="0" t="n">
        <v>0</v>
      </c>
      <c r="AG773" s="0" t="n">
        <v>0</v>
      </c>
      <c r="AH773" s="254" t="n">
        <v>-123.681540860103</v>
      </c>
      <c r="AI773" s="0" t="n">
        <v>226</v>
      </c>
      <c r="AJ773" s="0" t="s">
        <v>630</v>
      </c>
      <c r="AK773" s="0" t="n">
        <v>0</v>
      </c>
      <c r="AL773" s="0" t="n">
        <v>0</v>
      </c>
      <c r="AM773" s="0" t="n">
        <v>0</v>
      </c>
    </row>
    <row r="774" customFormat="false" ht="12.75" hidden="false" customHeight="false" outlineLevel="0" collapsed="false">
      <c r="A774" s="0" t="s">
        <v>631</v>
      </c>
      <c r="B774" s="0" t="s">
        <v>451</v>
      </c>
      <c r="C774" s="0" t="s">
        <v>622</v>
      </c>
      <c r="D774" s="0" t="s">
        <v>623</v>
      </c>
      <c r="E774" s="0" t="s">
        <v>131</v>
      </c>
      <c r="F774" s="0" t="s">
        <v>255</v>
      </c>
      <c r="G774" s="0" t="s">
        <v>628</v>
      </c>
      <c r="H774" s="0" t="s">
        <v>625</v>
      </c>
      <c r="I774" s="0" t="s">
        <v>626</v>
      </c>
      <c r="J774" s="0" t="s">
        <v>627</v>
      </c>
      <c r="K774" s="475" t="n">
        <v>36892</v>
      </c>
      <c r="L774" s="254" t="n">
        <v>-13795.9436319022</v>
      </c>
      <c r="M774" s="475" t="n">
        <v>36888</v>
      </c>
      <c r="N774" s="0" t="s">
        <v>136</v>
      </c>
      <c r="O774" s="0" t="n">
        <v>0.15</v>
      </c>
      <c r="P774" s="0" t="n">
        <v>0</v>
      </c>
      <c r="Q774" s="0" t="n">
        <v>0</v>
      </c>
      <c r="R774" s="0" t="n">
        <v>0</v>
      </c>
      <c r="S774" s="0" t="n">
        <v>0</v>
      </c>
      <c r="T774" s="0" t="s">
        <v>624</v>
      </c>
      <c r="U774" s="0" t="s">
        <v>632</v>
      </c>
      <c r="V774" s="0" t="s">
        <v>624</v>
      </c>
      <c r="W774" s="0" t="s">
        <v>569</v>
      </c>
      <c r="X774" s="0" t="s">
        <v>624</v>
      </c>
      <c r="Y774" s="0" t="s">
        <v>627</v>
      </c>
      <c r="Z774" s="0" t="s">
        <v>629</v>
      </c>
      <c r="AA774" s="0" t="s">
        <v>624</v>
      </c>
      <c r="AB774" s="0" t="s">
        <v>580</v>
      </c>
      <c r="AC774" s="254" t="n">
        <v>-310000</v>
      </c>
      <c r="AD774" s="254" t="n">
        <v>-3011.45366360046</v>
      </c>
      <c r="AE774" s="0" t="n">
        <v>0</v>
      </c>
      <c r="AF774" s="0" t="n">
        <v>0</v>
      </c>
      <c r="AG774" s="0" t="n">
        <v>0</v>
      </c>
      <c r="AH774" s="254" t="n">
        <v>-144.940974188927</v>
      </c>
      <c r="AI774" s="0" t="n">
        <v>226</v>
      </c>
      <c r="AJ774" s="0" t="s">
        <v>630</v>
      </c>
      <c r="AK774" s="0" t="n">
        <v>0</v>
      </c>
      <c r="AL774" s="0" t="n">
        <v>0</v>
      </c>
      <c r="AM774" s="0" t="n">
        <v>0</v>
      </c>
    </row>
    <row r="775" customFormat="false" ht="12.75" hidden="false" customHeight="false" outlineLevel="0" collapsed="false">
      <c r="A775" s="0" t="s">
        <v>631</v>
      </c>
      <c r="B775" s="0" t="s">
        <v>451</v>
      </c>
      <c r="C775" s="0" t="s">
        <v>622</v>
      </c>
      <c r="D775" s="0" t="s">
        <v>623</v>
      </c>
      <c r="E775" s="0" t="s">
        <v>131</v>
      </c>
      <c r="F775" s="0" t="s">
        <v>255</v>
      </c>
      <c r="G775" s="0" t="s">
        <v>628</v>
      </c>
      <c r="H775" s="0" t="s">
        <v>625</v>
      </c>
      <c r="I775" s="0" t="s">
        <v>626</v>
      </c>
      <c r="J775" s="0" t="s">
        <v>627</v>
      </c>
      <c r="K775" s="475" t="n">
        <v>36923</v>
      </c>
      <c r="L775" s="254" t="n">
        <v>-14498.1025608081</v>
      </c>
      <c r="M775" s="475" t="n">
        <v>36921</v>
      </c>
      <c r="N775" s="0" t="s">
        <v>136</v>
      </c>
      <c r="O775" s="0" t="n">
        <v>0.15</v>
      </c>
      <c r="P775" s="0" t="n">
        <v>0</v>
      </c>
      <c r="Q775" s="0" t="n">
        <v>0</v>
      </c>
      <c r="R775" s="0" t="n">
        <v>0</v>
      </c>
      <c r="S775" s="0" t="n">
        <v>0</v>
      </c>
      <c r="T775" s="0" t="s">
        <v>624</v>
      </c>
      <c r="U775" s="0" t="s">
        <v>632</v>
      </c>
      <c r="V775" s="0" t="s">
        <v>624</v>
      </c>
      <c r="W775" s="0" t="s">
        <v>569</v>
      </c>
      <c r="X775" s="0" t="s">
        <v>624</v>
      </c>
      <c r="Y775" s="0" t="s">
        <v>627</v>
      </c>
      <c r="Z775" s="0" t="s">
        <v>629</v>
      </c>
      <c r="AA775" s="0" t="s">
        <v>624</v>
      </c>
      <c r="AB775" s="0" t="s">
        <v>580</v>
      </c>
      <c r="AC775" s="254" t="n">
        <v>-280000</v>
      </c>
      <c r="AD775" s="254" t="n">
        <v>-2988.67122489288</v>
      </c>
      <c r="AE775" s="0" t="n">
        <v>0</v>
      </c>
      <c r="AF775" s="0" t="n">
        <v>0</v>
      </c>
      <c r="AG775" s="0" t="n">
        <v>0</v>
      </c>
      <c r="AH775" s="254" t="n">
        <v>-143.438397494288</v>
      </c>
      <c r="AI775" s="0" t="n">
        <v>226</v>
      </c>
      <c r="AJ775" s="0" t="s">
        <v>630</v>
      </c>
      <c r="AK775" s="0" t="n">
        <v>0</v>
      </c>
      <c r="AL775" s="0" t="n">
        <v>0</v>
      </c>
      <c r="AM775" s="0" t="n">
        <v>0</v>
      </c>
    </row>
    <row r="776" customFormat="false" ht="12.75" hidden="false" customHeight="false" outlineLevel="0" collapsed="false">
      <c r="A776" s="0" t="s">
        <v>631</v>
      </c>
      <c r="B776" s="0" t="s">
        <v>451</v>
      </c>
      <c r="C776" s="0" t="s">
        <v>622</v>
      </c>
      <c r="D776" s="0" t="s">
        <v>623</v>
      </c>
      <c r="E776" s="0" t="s">
        <v>131</v>
      </c>
      <c r="F776" s="0" t="s">
        <v>255</v>
      </c>
      <c r="G776" s="0" t="s">
        <v>628</v>
      </c>
      <c r="H776" s="0" t="s">
        <v>625</v>
      </c>
      <c r="I776" s="0" t="s">
        <v>626</v>
      </c>
      <c r="J776" s="0" t="s">
        <v>627</v>
      </c>
      <c r="K776" s="475" t="n">
        <v>36951</v>
      </c>
      <c r="L776" s="254" t="n">
        <v>-12666.1475605658</v>
      </c>
      <c r="M776" s="475" t="n">
        <v>36949</v>
      </c>
      <c r="N776" s="0" t="s">
        <v>136</v>
      </c>
      <c r="O776" s="0" t="n">
        <v>0.15</v>
      </c>
      <c r="P776" s="0" t="n">
        <v>0</v>
      </c>
      <c r="Q776" s="0" t="n">
        <v>0</v>
      </c>
      <c r="R776" s="0" t="n">
        <v>0</v>
      </c>
      <c r="S776" s="0" t="n">
        <v>0</v>
      </c>
      <c r="T776" s="0" t="s">
        <v>624</v>
      </c>
      <c r="U776" s="0" t="s">
        <v>632</v>
      </c>
      <c r="V776" s="0" t="s">
        <v>624</v>
      </c>
      <c r="W776" s="0" t="s">
        <v>569</v>
      </c>
      <c r="X776" s="0" t="s">
        <v>624</v>
      </c>
      <c r="Y776" s="0" t="s">
        <v>627</v>
      </c>
      <c r="Z776" s="0" t="s">
        <v>629</v>
      </c>
      <c r="AA776" s="0" t="s">
        <v>624</v>
      </c>
      <c r="AB776" s="0" t="s">
        <v>580</v>
      </c>
      <c r="AC776" s="254" t="n">
        <v>-310000</v>
      </c>
      <c r="AD776" s="254" t="n">
        <v>-3147.17922765094</v>
      </c>
      <c r="AE776" s="0" t="n">
        <v>0</v>
      </c>
      <c r="AF776" s="0" t="n">
        <v>0</v>
      </c>
      <c r="AG776" s="0" t="n">
        <v>0</v>
      </c>
      <c r="AH776" s="254" t="n">
        <v>-160.050336929131</v>
      </c>
      <c r="AI776" s="0" t="n">
        <v>226</v>
      </c>
      <c r="AJ776" s="0" t="s">
        <v>630</v>
      </c>
      <c r="AK776" s="0" t="n">
        <v>0</v>
      </c>
      <c r="AL776" s="0" t="n">
        <v>0</v>
      </c>
      <c r="AM776" s="0" t="n">
        <v>0</v>
      </c>
    </row>
    <row r="777" customFormat="false" ht="12.75" hidden="false" customHeight="false" outlineLevel="0" collapsed="false">
      <c r="A777" s="0" t="s">
        <v>631</v>
      </c>
      <c r="B777" s="0" t="s">
        <v>452</v>
      </c>
      <c r="C777" s="0" t="s">
        <v>622</v>
      </c>
      <c r="D777" s="0" t="s">
        <v>623</v>
      </c>
      <c r="E777" s="0" t="s">
        <v>131</v>
      </c>
      <c r="F777" s="0" t="s">
        <v>301</v>
      </c>
      <c r="G777" s="0" t="s">
        <v>628</v>
      </c>
      <c r="H777" s="0" t="s">
        <v>625</v>
      </c>
      <c r="I777" s="0" t="s">
        <v>626</v>
      </c>
      <c r="J777" s="0" t="s">
        <v>627</v>
      </c>
      <c r="K777" s="475" t="n">
        <v>36831</v>
      </c>
      <c r="L777" s="254" t="n">
        <v>-4650.15755874533</v>
      </c>
      <c r="M777" s="475" t="n">
        <v>36829</v>
      </c>
      <c r="N777" s="0" t="s">
        <v>136</v>
      </c>
      <c r="O777" s="0" t="n">
        <v>0.15</v>
      </c>
      <c r="P777" s="0" t="n">
        <v>0</v>
      </c>
      <c r="Q777" s="0" t="n">
        <v>0</v>
      </c>
      <c r="R777" s="0" t="n">
        <v>0</v>
      </c>
      <c r="S777" s="0" t="n">
        <v>0</v>
      </c>
      <c r="T777" s="0" t="s">
        <v>624</v>
      </c>
      <c r="U777" s="0" t="s">
        <v>632</v>
      </c>
      <c r="V777" s="0" t="s">
        <v>624</v>
      </c>
      <c r="W777" s="0" t="s">
        <v>569</v>
      </c>
      <c r="X777" s="0" t="s">
        <v>624</v>
      </c>
      <c r="Y777" s="0" t="s">
        <v>627</v>
      </c>
      <c r="Z777" s="0" t="s">
        <v>629</v>
      </c>
      <c r="AA777" s="0" t="s">
        <v>624</v>
      </c>
      <c r="AB777" s="0" t="s">
        <v>580</v>
      </c>
      <c r="AC777" s="254" t="n">
        <v>-300000</v>
      </c>
      <c r="AD777" s="254" t="n">
        <v>-1734.98226946498</v>
      </c>
      <c r="AE777" s="0" t="n">
        <v>0</v>
      </c>
      <c r="AF777" s="0" t="n">
        <v>0</v>
      </c>
      <c r="AG777" s="0" t="n">
        <v>0</v>
      </c>
      <c r="AH777" s="254" t="n">
        <v>-93.5962156755977</v>
      </c>
      <c r="AI777" s="0" t="n">
        <v>226</v>
      </c>
      <c r="AJ777" s="0" t="s">
        <v>630</v>
      </c>
      <c r="AK777" s="0" t="n">
        <v>0</v>
      </c>
      <c r="AL777" s="0" t="n">
        <v>0</v>
      </c>
      <c r="AM777" s="0" t="n">
        <v>0</v>
      </c>
    </row>
    <row r="778" customFormat="false" ht="12.75" hidden="false" customHeight="false" outlineLevel="0" collapsed="false">
      <c r="A778" s="0" t="s">
        <v>631</v>
      </c>
      <c r="B778" s="0" t="s">
        <v>452</v>
      </c>
      <c r="C778" s="0" t="s">
        <v>622</v>
      </c>
      <c r="D778" s="0" t="s">
        <v>623</v>
      </c>
      <c r="E778" s="0" t="s">
        <v>131</v>
      </c>
      <c r="F778" s="0" t="s">
        <v>301</v>
      </c>
      <c r="G778" s="0" t="s">
        <v>628</v>
      </c>
      <c r="H778" s="0" t="s">
        <v>625</v>
      </c>
      <c r="I778" s="0" t="s">
        <v>626</v>
      </c>
      <c r="J778" s="0" t="s">
        <v>627</v>
      </c>
      <c r="K778" s="475" t="n">
        <v>36861</v>
      </c>
      <c r="L778" s="254" t="n">
        <v>-8475.9519561766</v>
      </c>
      <c r="M778" s="475" t="n">
        <v>36859</v>
      </c>
      <c r="N778" s="0" t="s">
        <v>136</v>
      </c>
      <c r="O778" s="0" t="n">
        <v>0.15</v>
      </c>
      <c r="P778" s="0" t="n">
        <v>0</v>
      </c>
      <c r="Q778" s="0" t="n">
        <v>0</v>
      </c>
      <c r="R778" s="0" t="n">
        <v>0</v>
      </c>
      <c r="S778" s="0" t="n">
        <v>0</v>
      </c>
      <c r="T778" s="0" t="s">
        <v>624</v>
      </c>
      <c r="U778" s="0" t="s">
        <v>632</v>
      </c>
      <c r="V778" s="0" t="s">
        <v>624</v>
      </c>
      <c r="W778" s="0" t="s">
        <v>569</v>
      </c>
      <c r="X778" s="0" t="s">
        <v>624</v>
      </c>
      <c r="Y778" s="0" t="s">
        <v>627</v>
      </c>
      <c r="Z778" s="0" t="s">
        <v>629</v>
      </c>
      <c r="AA778" s="0" t="s">
        <v>624</v>
      </c>
      <c r="AB778" s="0" t="s">
        <v>580</v>
      </c>
      <c r="AC778" s="254" t="n">
        <v>-310000</v>
      </c>
      <c r="AD778" s="254" t="n">
        <v>-2456.57577587196</v>
      </c>
      <c r="AE778" s="0" t="n">
        <v>0</v>
      </c>
      <c r="AF778" s="0" t="n">
        <v>0</v>
      </c>
      <c r="AG778" s="0" t="n">
        <v>0</v>
      </c>
      <c r="AH778" s="254" t="n">
        <v>-123.681540860103</v>
      </c>
      <c r="AI778" s="0" t="n">
        <v>226</v>
      </c>
      <c r="AJ778" s="0" t="s">
        <v>630</v>
      </c>
      <c r="AK778" s="0" t="n">
        <v>0</v>
      </c>
      <c r="AL778" s="0" t="n">
        <v>0</v>
      </c>
      <c r="AM778" s="0" t="n">
        <v>0</v>
      </c>
    </row>
    <row r="779" customFormat="false" ht="12.75" hidden="false" customHeight="false" outlineLevel="0" collapsed="false">
      <c r="A779" s="0" t="s">
        <v>631</v>
      </c>
      <c r="B779" s="0" t="s">
        <v>452</v>
      </c>
      <c r="C779" s="0" t="s">
        <v>622</v>
      </c>
      <c r="D779" s="0" t="s">
        <v>623</v>
      </c>
      <c r="E779" s="0" t="s">
        <v>131</v>
      </c>
      <c r="F779" s="0" t="s">
        <v>301</v>
      </c>
      <c r="G779" s="0" t="s">
        <v>628</v>
      </c>
      <c r="H779" s="0" t="s">
        <v>625</v>
      </c>
      <c r="I779" s="0" t="s">
        <v>626</v>
      </c>
      <c r="J779" s="0" t="s">
        <v>627</v>
      </c>
      <c r="K779" s="475" t="n">
        <v>36892</v>
      </c>
      <c r="L779" s="254" t="n">
        <v>-13795.9436319022</v>
      </c>
      <c r="M779" s="475" t="n">
        <v>36888</v>
      </c>
      <c r="N779" s="0" t="s">
        <v>136</v>
      </c>
      <c r="O779" s="0" t="n">
        <v>0.15</v>
      </c>
      <c r="P779" s="0" t="n">
        <v>0</v>
      </c>
      <c r="Q779" s="0" t="n">
        <v>0</v>
      </c>
      <c r="R779" s="0" t="n">
        <v>0</v>
      </c>
      <c r="S779" s="0" t="n">
        <v>0</v>
      </c>
      <c r="T779" s="0" t="s">
        <v>624</v>
      </c>
      <c r="U779" s="0" t="s">
        <v>632</v>
      </c>
      <c r="V779" s="0" t="s">
        <v>624</v>
      </c>
      <c r="W779" s="0" t="s">
        <v>569</v>
      </c>
      <c r="X779" s="0" t="s">
        <v>624</v>
      </c>
      <c r="Y779" s="0" t="s">
        <v>627</v>
      </c>
      <c r="Z779" s="0" t="s">
        <v>629</v>
      </c>
      <c r="AA779" s="0" t="s">
        <v>624</v>
      </c>
      <c r="AB779" s="0" t="s">
        <v>580</v>
      </c>
      <c r="AC779" s="254" t="n">
        <v>-310000</v>
      </c>
      <c r="AD779" s="254" t="n">
        <v>-3011.45366360046</v>
      </c>
      <c r="AE779" s="0" t="n">
        <v>0</v>
      </c>
      <c r="AF779" s="0" t="n">
        <v>0</v>
      </c>
      <c r="AG779" s="0" t="n">
        <v>0</v>
      </c>
      <c r="AH779" s="254" t="n">
        <v>-144.940974188927</v>
      </c>
      <c r="AI779" s="0" t="n">
        <v>226</v>
      </c>
      <c r="AJ779" s="0" t="s">
        <v>630</v>
      </c>
      <c r="AK779" s="0" t="n">
        <v>0</v>
      </c>
      <c r="AL779" s="0" t="n">
        <v>0</v>
      </c>
      <c r="AM779" s="0" t="n">
        <v>0</v>
      </c>
    </row>
    <row r="780" customFormat="false" ht="12.75" hidden="false" customHeight="false" outlineLevel="0" collapsed="false">
      <c r="A780" s="0" t="s">
        <v>631</v>
      </c>
      <c r="B780" s="0" t="s">
        <v>452</v>
      </c>
      <c r="C780" s="0" t="s">
        <v>622</v>
      </c>
      <c r="D780" s="0" t="s">
        <v>623</v>
      </c>
      <c r="E780" s="0" t="s">
        <v>131</v>
      </c>
      <c r="F780" s="0" t="s">
        <v>301</v>
      </c>
      <c r="G780" s="0" t="s">
        <v>628</v>
      </c>
      <c r="H780" s="0" t="s">
        <v>625</v>
      </c>
      <c r="I780" s="0" t="s">
        <v>626</v>
      </c>
      <c r="J780" s="0" t="s">
        <v>627</v>
      </c>
      <c r="K780" s="475" t="n">
        <v>36923</v>
      </c>
      <c r="L780" s="254" t="n">
        <v>-14498.1025608081</v>
      </c>
      <c r="M780" s="475" t="n">
        <v>36921</v>
      </c>
      <c r="N780" s="0" t="s">
        <v>136</v>
      </c>
      <c r="O780" s="0" t="n">
        <v>0.15</v>
      </c>
      <c r="P780" s="0" t="n">
        <v>0</v>
      </c>
      <c r="Q780" s="0" t="n">
        <v>0</v>
      </c>
      <c r="R780" s="0" t="n">
        <v>0</v>
      </c>
      <c r="S780" s="0" t="n">
        <v>0</v>
      </c>
      <c r="T780" s="0" t="s">
        <v>624</v>
      </c>
      <c r="U780" s="0" t="s">
        <v>632</v>
      </c>
      <c r="V780" s="0" t="s">
        <v>624</v>
      </c>
      <c r="W780" s="0" t="s">
        <v>569</v>
      </c>
      <c r="X780" s="0" t="s">
        <v>624</v>
      </c>
      <c r="Y780" s="0" t="s">
        <v>627</v>
      </c>
      <c r="Z780" s="0" t="s">
        <v>629</v>
      </c>
      <c r="AA780" s="0" t="s">
        <v>624</v>
      </c>
      <c r="AB780" s="0" t="s">
        <v>580</v>
      </c>
      <c r="AC780" s="254" t="n">
        <v>-280000</v>
      </c>
      <c r="AD780" s="254" t="n">
        <v>-2988.67122489288</v>
      </c>
      <c r="AE780" s="0" t="n">
        <v>0</v>
      </c>
      <c r="AF780" s="0" t="n">
        <v>0</v>
      </c>
      <c r="AG780" s="0" t="n">
        <v>0</v>
      </c>
      <c r="AH780" s="254" t="n">
        <v>-143.438397494288</v>
      </c>
      <c r="AI780" s="0" t="n">
        <v>226</v>
      </c>
      <c r="AJ780" s="0" t="s">
        <v>630</v>
      </c>
      <c r="AK780" s="0" t="n">
        <v>0</v>
      </c>
      <c r="AL780" s="0" t="n">
        <v>0</v>
      </c>
      <c r="AM780" s="0" t="n">
        <v>0</v>
      </c>
    </row>
    <row r="781" customFormat="false" ht="12.75" hidden="false" customHeight="false" outlineLevel="0" collapsed="false">
      <c r="A781" s="0" t="s">
        <v>631</v>
      </c>
      <c r="B781" s="0" t="s">
        <v>452</v>
      </c>
      <c r="C781" s="0" t="s">
        <v>622</v>
      </c>
      <c r="D781" s="0" t="s">
        <v>623</v>
      </c>
      <c r="E781" s="0" t="s">
        <v>131</v>
      </c>
      <c r="F781" s="0" t="s">
        <v>301</v>
      </c>
      <c r="G781" s="0" t="s">
        <v>628</v>
      </c>
      <c r="H781" s="0" t="s">
        <v>625</v>
      </c>
      <c r="I781" s="0" t="s">
        <v>626</v>
      </c>
      <c r="J781" s="0" t="s">
        <v>627</v>
      </c>
      <c r="K781" s="475" t="n">
        <v>36951</v>
      </c>
      <c r="L781" s="254" t="n">
        <v>-12666.1475605658</v>
      </c>
      <c r="M781" s="475" t="n">
        <v>36949</v>
      </c>
      <c r="N781" s="0" t="s">
        <v>136</v>
      </c>
      <c r="O781" s="0" t="n">
        <v>0.15</v>
      </c>
      <c r="P781" s="0" t="n">
        <v>0</v>
      </c>
      <c r="Q781" s="0" t="n">
        <v>0</v>
      </c>
      <c r="R781" s="0" t="n">
        <v>0</v>
      </c>
      <c r="S781" s="0" t="n">
        <v>0</v>
      </c>
      <c r="T781" s="0" t="s">
        <v>624</v>
      </c>
      <c r="U781" s="0" t="s">
        <v>632</v>
      </c>
      <c r="V781" s="0" t="s">
        <v>624</v>
      </c>
      <c r="W781" s="0" t="s">
        <v>569</v>
      </c>
      <c r="X781" s="0" t="s">
        <v>624</v>
      </c>
      <c r="Y781" s="0" t="s">
        <v>627</v>
      </c>
      <c r="Z781" s="0" t="s">
        <v>629</v>
      </c>
      <c r="AA781" s="0" t="s">
        <v>624</v>
      </c>
      <c r="AB781" s="0" t="s">
        <v>580</v>
      </c>
      <c r="AC781" s="254" t="n">
        <v>-310000</v>
      </c>
      <c r="AD781" s="254" t="n">
        <v>-3147.17922765094</v>
      </c>
      <c r="AE781" s="0" t="n">
        <v>0</v>
      </c>
      <c r="AF781" s="0" t="n">
        <v>0</v>
      </c>
      <c r="AG781" s="0" t="n">
        <v>0</v>
      </c>
      <c r="AH781" s="254" t="n">
        <v>-160.050336929131</v>
      </c>
      <c r="AI781" s="0" t="n">
        <v>226</v>
      </c>
      <c r="AJ781" s="0" t="s">
        <v>630</v>
      </c>
      <c r="AK781" s="0" t="n">
        <v>0</v>
      </c>
      <c r="AL781" s="0" t="n">
        <v>0</v>
      </c>
      <c r="AM781" s="0" t="n">
        <v>0</v>
      </c>
    </row>
    <row r="782" customFormat="false" ht="12.75" hidden="false" customHeight="false" outlineLevel="0" collapsed="false">
      <c r="A782" s="0" t="s">
        <v>631</v>
      </c>
      <c r="B782" s="0" t="s">
        <v>453</v>
      </c>
      <c r="C782" s="0" t="s">
        <v>622</v>
      </c>
      <c r="D782" s="0" t="s">
        <v>623</v>
      </c>
      <c r="E782" s="0" t="s">
        <v>131</v>
      </c>
      <c r="F782" s="0" t="s">
        <v>198</v>
      </c>
      <c r="G782" s="0" t="s">
        <v>628</v>
      </c>
      <c r="H782" s="0" t="s">
        <v>625</v>
      </c>
      <c r="I782" s="0" t="s">
        <v>626</v>
      </c>
      <c r="J782" s="0" t="s">
        <v>627</v>
      </c>
      <c r="K782" s="475" t="n">
        <v>36831</v>
      </c>
      <c r="L782" s="254" t="n">
        <v>-642397.119190219</v>
      </c>
      <c r="M782" s="475" t="n">
        <v>36829</v>
      </c>
      <c r="N782" s="0" t="s">
        <v>136</v>
      </c>
      <c r="O782" s="0" t="n">
        <v>1</v>
      </c>
      <c r="P782" s="0" t="n">
        <v>0</v>
      </c>
      <c r="Q782" s="0" t="n">
        <v>0</v>
      </c>
      <c r="R782" s="0" t="n">
        <v>0</v>
      </c>
      <c r="S782" s="0" t="n">
        <v>0</v>
      </c>
      <c r="T782" s="0" t="s">
        <v>624</v>
      </c>
      <c r="U782" s="0" t="s">
        <v>137</v>
      </c>
      <c r="V782" s="0" t="s">
        <v>624</v>
      </c>
      <c r="W782" s="0" t="s">
        <v>569</v>
      </c>
      <c r="X782" s="0" t="s">
        <v>624</v>
      </c>
      <c r="Y782" s="0" t="s">
        <v>627</v>
      </c>
      <c r="Z782" s="0" t="s">
        <v>629</v>
      </c>
      <c r="AA782" s="0" t="s">
        <v>624</v>
      </c>
      <c r="AB782" s="0" t="s">
        <v>580</v>
      </c>
      <c r="AC782" s="254" t="n">
        <v>-1000000</v>
      </c>
      <c r="AD782" s="254" t="n">
        <v>-38449.8963215894</v>
      </c>
      <c r="AE782" s="0" t="n">
        <v>0</v>
      </c>
      <c r="AF782" s="0" t="n">
        <v>0</v>
      </c>
      <c r="AG782" s="0" t="n">
        <v>0</v>
      </c>
      <c r="AH782" s="254" t="n">
        <v>-155576.52408112</v>
      </c>
      <c r="AI782" s="0" t="n">
        <v>226</v>
      </c>
      <c r="AJ782" s="0" t="s">
        <v>630</v>
      </c>
      <c r="AK782" s="0" t="n">
        <v>0</v>
      </c>
      <c r="AL782" s="0" t="n">
        <v>0</v>
      </c>
      <c r="AM782" s="0" t="n">
        <v>0</v>
      </c>
    </row>
    <row r="783" customFormat="false" ht="12.75" hidden="false" customHeight="false" outlineLevel="0" collapsed="false">
      <c r="A783" s="0" t="s">
        <v>631</v>
      </c>
      <c r="B783" s="0" t="s">
        <v>453</v>
      </c>
      <c r="C783" s="0" t="s">
        <v>622</v>
      </c>
      <c r="D783" s="0" t="s">
        <v>623</v>
      </c>
      <c r="E783" s="0" t="s">
        <v>131</v>
      </c>
      <c r="F783" s="0" t="s">
        <v>198</v>
      </c>
      <c r="G783" s="0" t="s">
        <v>628</v>
      </c>
      <c r="H783" s="0" t="s">
        <v>625</v>
      </c>
      <c r="I783" s="0" t="s">
        <v>626</v>
      </c>
      <c r="J783" s="0" t="s">
        <v>627</v>
      </c>
      <c r="K783" s="475" t="n">
        <v>36861</v>
      </c>
      <c r="L783" s="254" t="n">
        <v>-354685.270749122</v>
      </c>
      <c r="M783" s="475" t="n">
        <v>36859</v>
      </c>
      <c r="N783" s="0" t="s">
        <v>136</v>
      </c>
      <c r="O783" s="0" t="n">
        <v>1</v>
      </c>
      <c r="P783" s="0" t="n">
        <v>0</v>
      </c>
      <c r="Q783" s="0" t="n">
        <v>0</v>
      </c>
      <c r="R783" s="0" t="n">
        <v>0</v>
      </c>
      <c r="S783" s="0" t="n">
        <v>0</v>
      </c>
      <c r="T783" s="0" t="s">
        <v>624</v>
      </c>
      <c r="U783" s="0" t="s">
        <v>137</v>
      </c>
      <c r="V783" s="0" t="s">
        <v>624</v>
      </c>
      <c r="W783" s="0" t="s">
        <v>569</v>
      </c>
      <c r="X783" s="0" t="s">
        <v>624</v>
      </c>
      <c r="Y783" s="0" t="s">
        <v>627</v>
      </c>
      <c r="Z783" s="0" t="s">
        <v>629</v>
      </c>
      <c r="AA783" s="0" t="s">
        <v>624</v>
      </c>
      <c r="AB783" s="0" t="s">
        <v>580</v>
      </c>
      <c r="AC783" s="254" t="n">
        <v>-1000000</v>
      </c>
      <c r="AD783" s="254" t="n">
        <v>-60658.5788301517</v>
      </c>
      <c r="AE783" s="0" t="n">
        <v>0</v>
      </c>
      <c r="AF783" s="0" t="n">
        <v>0</v>
      </c>
      <c r="AG783" s="0" t="n">
        <v>0</v>
      </c>
      <c r="AH783" s="254" t="n">
        <v>-74397.0184344191</v>
      </c>
      <c r="AI783" s="0" t="n">
        <v>226</v>
      </c>
      <c r="AJ783" s="0" t="s">
        <v>630</v>
      </c>
      <c r="AK783" s="0" t="n">
        <v>0</v>
      </c>
      <c r="AL783" s="0" t="n">
        <v>0</v>
      </c>
      <c r="AM783" s="0" t="n">
        <v>0</v>
      </c>
    </row>
    <row r="784" customFormat="false" ht="12.75" hidden="false" customHeight="false" outlineLevel="0" collapsed="false">
      <c r="A784" s="0" t="s">
        <v>631</v>
      </c>
      <c r="B784" s="0" t="s">
        <v>453</v>
      </c>
      <c r="C784" s="0" t="s">
        <v>622</v>
      </c>
      <c r="D784" s="0" t="s">
        <v>623</v>
      </c>
      <c r="E784" s="0" t="s">
        <v>131</v>
      </c>
      <c r="F784" s="0" t="s">
        <v>198</v>
      </c>
      <c r="G784" s="0" t="s">
        <v>628</v>
      </c>
      <c r="H784" s="0" t="s">
        <v>625</v>
      </c>
      <c r="I784" s="0" t="s">
        <v>626</v>
      </c>
      <c r="J784" s="0" t="s">
        <v>627</v>
      </c>
      <c r="K784" s="475" t="n">
        <v>36892</v>
      </c>
      <c r="L784" s="254" t="n">
        <v>-289320.604392444</v>
      </c>
      <c r="M784" s="475" t="n">
        <v>36888</v>
      </c>
      <c r="N784" s="0" t="s">
        <v>136</v>
      </c>
      <c r="O784" s="0" t="n">
        <v>1</v>
      </c>
      <c r="P784" s="0" t="n">
        <v>0</v>
      </c>
      <c r="Q784" s="0" t="n">
        <v>0</v>
      </c>
      <c r="R784" s="0" t="n">
        <v>0</v>
      </c>
      <c r="S784" s="0" t="n">
        <v>0</v>
      </c>
      <c r="T784" s="0" t="s">
        <v>624</v>
      </c>
      <c r="U784" s="0" t="s">
        <v>137</v>
      </c>
      <c r="V784" s="0" t="s">
        <v>624</v>
      </c>
      <c r="W784" s="0" t="s">
        <v>569</v>
      </c>
      <c r="X784" s="0" t="s">
        <v>624</v>
      </c>
      <c r="Y784" s="0" t="s">
        <v>627</v>
      </c>
      <c r="Z784" s="0" t="s">
        <v>629</v>
      </c>
      <c r="AA784" s="0" t="s">
        <v>624</v>
      </c>
      <c r="AB784" s="0" t="s">
        <v>580</v>
      </c>
      <c r="AC784" s="254" t="n">
        <v>-1000000</v>
      </c>
      <c r="AD784" s="254" t="n">
        <v>-67756.3072153985</v>
      </c>
      <c r="AE784" s="0" t="n">
        <v>0</v>
      </c>
      <c r="AF784" s="0" t="n">
        <v>0</v>
      </c>
      <c r="AG784" s="0" t="n">
        <v>0</v>
      </c>
      <c r="AH784" s="254" t="n">
        <v>21169.0977367656</v>
      </c>
      <c r="AI784" s="0" t="n">
        <v>226</v>
      </c>
      <c r="AJ784" s="0" t="s">
        <v>630</v>
      </c>
      <c r="AK784" s="0" t="n">
        <v>0</v>
      </c>
      <c r="AL784" s="0" t="n">
        <v>0</v>
      </c>
      <c r="AM784" s="0" t="n">
        <v>0</v>
      </c>
    </row>
    <row r="785" customFormat="false" ht="12.75" hidden="false" customHeight="false" outlineLevel="0" collapsed="false">
      <c r="A785" s="0" t="s">
        <v>631</v>
      </c>
      <c r="B785" s="0" t="s">
        <v>453</v>
      </c>
      <c r="C785" s="0" t="s">
        <v>622</v>
      </c>
      <c r="D785" s="0" t="s">
        <v>623</v>
      </c>
      <c r="E785" s="0" t="s">
        <v>131</v>
      </c>
      <c r="F785" s="0" t="s">
        <v>198</v>
      </c>
      <c r="G785" s="0" t="s">
        <v>628</v>
      </c>
      <c r="H785" s="0" t="s">
        <v>625</v>
      </c>
      <c r="I785" s="0" t="s">
        <v>626</v>
      </c>
      <c r="J785" s="0" t="s">
        <v>627</v>
      </c>
      <c r="K785" s="475" t="n">
        <v>36923</v>
      </c>
      <c r="L785" s="254" t="n">
        <v>-245876.991753873</v>
      </c>
      <c r="M785" s="475" t="n">
        <v>36921</v>
      </c>
      <c r="N785" s="0" t="s">
        <v>136</v>
      </c>
      <c r="O785" s="0" t="n">
        <v>1</v>
      </c>
      <c r="P785" s="0" t="n">
        <v>0</v>
      </c>
      <c r="Q785" s="0" t="n">
        <v>0</v>
      </c>
      <c r="R785" s="0" t="n">
        <v>0</v>
      </c>
      <c r="S785" s="0" t="n">
        <v>0</v>
      </c>
      <c r="T785" s="0" t="s">
        <v>624</v>
      </c>
      <c r="U785" s="0" t="s">
        <v>137</v>
      </c>
      <c r="V785" s="0" t="s">
        <v>624</v>
      </c>
      <c r="W785" s="0" t="s">
        <v>569</v>
      </c>
      <c r="X785" s="0" t="s">
        <v>624</v>
      </c>
      <c r="Y785" s="0" t="s">
        <v>627</v>
      </c>
      <c r="Z785" s="0" t="s">
        <v>629</v>
      </c>
      <c r="AA785" s="0" t="s">
        <v>624</v>
      </c>
      <c r="AB785" s="0" t="s">
        <v>580</v>
      </c>
      <c r="AC785" s="254" t="n">
        <v>-1000000</v>
      </c>
      <c r="AD785" s="254" t="n">
        <v>-71027.4872211102</v>
      </c>
      <c r="AE785" s="0" t="n">
        <v>0</v>
      </c>
      <c r="AF785" s="0" t="n">
        <v>0</v>
      </c>
      <c r="AG785" s="0" t="n">
        <v>0</v>
      </c>
      <c r="AH785" s="254" t="n">
        <v>18188.1930871971</v>
      </c>
      <c r="AI785" s="0" t="n">
        <v>226</v>
      </c>
      <c r="AJ785" s="0" t="s">
        <v>630</v>
      </c>
      <c r="AK785" s="0" t="n">
        <v>0</v>
      </c>
      <c r="AL785" s="0" t="n">
        <v>0</v>
      </c>
      <c r="AM785" s="0" t="n">
        <v>0</v>
      </c>
    </row>
    <row r="786" customFormat="false" ht="12.75" hidden="false" customHeight="false" outlineLevel="0" collapsed="false">
      <c r="A786" s="0" t="s">
        <v>631</v>
      </c>
      <c r="B786" s="0" t="s">
        <v>453</v>
      </c>
      <c r="C786" s="0" t="s">
        <v>622</v>
      </c>
      <c r="D786" s="0" t="s">
        <v>623</v>
      </c>
      <c r="E786" s="0" t="s">
        <v>131</v>
      </c>
      <c r="F786" s="0" t="s">
        <v>198</v>
      </c>
      <c r="G786" s="0" t="s">
        <v>628</v>
      </c>
      <c r="H786" s="0" t="s">
        <v>625</v>
      </c>
      <c r="I786" s="0" t="s">
        <v>626</v>
      </c>
      <c r="J786" s="0" t="s">
        <v>627</v>
      </c>
      <c r="K786" s="475" t="n">
        <v>36951</v>
      </c>
      <c r="L786" s="254" t="n">
        <v>-210305.604389878</v>
      </c>
      <c r="M786" s="475" t="n">
        <v>36949</v>
      </c>
      <c r="N786" s="0" t="s">
        <v>136</v>
      </c>
      <c r="O786" s="0" t="n">
        <v>1</v>
      </c>
      <c r="P786" s="0" t="n">
        <v>0</v>
      </c>
      <c r="Q786" s="0" t="n">
        <v>0</v>
      </c>
      <c r="R786" s="0" t="n">
        <v>0</v>
      </c>
      <c r="S786" s="0" t="n">
        <v>0</v>
      </c>
      <c r="T786" s="0" t="s">
        <v>624</v>
      </c>
      <c r="U786" s="0" t="s">
        <v>137</v>
      </c>
      <c r="V786" s="0" t="s">
        <v>624</v>
      </c>
      <c r="W786" s="0" t="s">
        <v>569</v>
      </c>
      <c r="X786" s="0" t="s">
        <v>624</v>
      </c>
      <c r="Y786" s="0" t="s">
        <v>627</v>
      </c>
      <c r="Z786" s="0" t="s">
        <v>629</v>
      </c>
      <c r="AA786" s="0" t="s">
        <v>624</v>
      </c>
      <c r="AB786" s="0" t="s">
        <v>580</v>
      </c>
      <c r="AC786" s="254" t="n">
        <v>-1000000</v>
      </c>
      <c r="AD786" s="254" t="n">
        <v>-67294.13212583</v>
      </c>
      <c r="AE786" s="0" t="n">
        <v>0</v>
      </c>
      <c r="AF786" s="0" t="n">
        <v>0</v>
      </c>
      <c r="AG786" s="0" t="n">
        <v>0</v>
      </c>
      <c r="AH786" s="254" t="n">
        <v>17005.5494836039</v>
      </c>
      <c r="AI786" s="0" t="n">
        <v>226</v>
      </c>
      <c r="AJ786" s="0" t="s">
        <v>630</v>
      </c>
      <c r="AK786" s="0" t="n">
        <v>0</v>
      </c>
      <c r="AL786" s="0" t="n">
        <v>0</v>
      </c>
      <c r="AM786" s="0" t="n">
        <v>0</v>
      </c>
    </row>
    <row r="787" customFormat="false" ht="12.75" hidden="false" customHeight="false" outlineLevel="0" collapsed="false">
      <c r="A787" s="0" t="s">
        <v>631</v>
      </c>
      <c r="B787" s="0" t="s">
        <v>454</v>
      </c>
      <c r="C787" s="0" t="s">
        <v>622</v>
      </c>
      <c r="D787" s="0" t="s">
        <v>623</v>
      </c>
      <c r="E787" s="0" t="s">
        <v>131</v>
      </c>
      <c r="F787" s="0" t="s">
        <v>275</v>
      </c>
      <c r="G787" s="0" t="s">
        <v>628</v>
      </c>
      <c r="H787" s="0" t="s">
        <v>625</v>
      </c>
      <c r="I787" s="0" t="s">
        <v>626</v>
      </c>
      <c r="J787" s="0" t="s">
        <v>627</v>
      </c>
      <c r="K787" s="475" t="n">
        <v>36831</v>
      </c>
      <c r="L787" s="254" t="n">
        <v>-39178.7476949087</v>
      </c>
      <c r="M787" s="475" t="n">
        <v>36829</v>
      </c>
      <c r="N787" s="0" t="s">
        <v>136</v>
      </c>
      <c r="O787" s="0" t="n">
        <v>-0.2</v>
      </c>
      <c r="P787" s="0" t="n">
        <v>0</v>
      </c>
      <c r="Q787" s="0" t="n">
        <v>0</v>
      </c>
      <c r="R787" s="0" t="n">
        <v>0</v>
      </c>
      <c r="S787" s="0" t="n">
        <v>0</v>
      </c>
      <c r="T787" s="0" t="s">
        <v>624</v>
      </c>
      <c r="U787" s="0" t="s">
        <v>151</v>
      </c>
      <c r="V787" s="0" t="s">
        <v>624</v>
      </c>
      <c r="W787" s="0" t="s">
        <v>569</v>
      </c>
      <c r="X787" s="0" t="s">
        <v>624</v>
      </c>
      <c r="Y787" s="0" t="s">
        <v>627</v>
      </c>
      <c r="Z787" s="0" t="s">
        <v>629</v>
      </c>
      <c r="AA787" s="0" t="s">
        <v>624</v>
      </c>
      <c r="AB787" s="0" t="s">
        <v>580</v>
      </c>
      <c r="AC787" s="254" t="n">
        <v>-600000</v>
      </c>
      <c r="AD787" s="254" t="n">
        <v>-17440.03762725</v>
      </c>
      <c r="AE787" s="0" t="n">
        <v>0</v>
      </c>
      <c r="AF787" s="0" t="n">
        <v>0</v>
      </c>
      <c r="AG787" s="0" t="n">
        <v>0</v>
      </c>
      <c r="AH787" s="254" t="n">
        <v>6021.46293551247</v>
      </c>
      <c r="AI787" s="0" t="n">
        <v>226</v>
      </c>
      <c r="AJ787" s="0" t="s">
        <v>630</v>
      </c>
      <c r="AK787" s="0" t="n">
        <v>0</v>
      </c>
      <c r="AL787" s="0" t="n">
        <v>0</v>
      </c>
      <c r="AM787" s="0" t="n">
        <v>0</v>
      </c>
    </row>
    <row r="788" customFormat="false" ht="12.75" hidden="false" customHeight="false" outlineLevel="0" collapsed="false">
      <c r="A788" s="0" t="s">
        <v>631</v>
      </c>
      <c r="B788" s="0" t="s">
        <v>454</v>
      </c>
      <c r="C788" s="0" t="s">
        <v>622</v>
      </c>
      <c r="D788" s="0" t="s">
        <v>623</v>
      </c>
      <c r="E788" s="0" t="s">
        <v>131</v>
      </c>
      <c r="F788" s="0" t="s">
        <v>275</v>
      </c>
      <c r="G788" s="0" t="s">
        <v>628</v>
      </c>
      <c r="H788" s="0" t="s">
        <v>625</v>
      </c>
      <c r="I788" s="0" t="s">
        <v>626</v>
      </c>
      <c r="J788" s="0" t="s">
        <v>627</v>
      </c>
      <c r="K788" s="475" t="n">
        <v>36861</v>
      </c>
      <c r="L788" s="254" t="n">
        <v>-85439.2260701363</v>
      </c>
      <c r="M788" s="475" t="n">
        <v>36859</v>
      </c>
      <c r="N788" s="0" t="s">
        <v>136</v>
      </c>
      <c r="O788" s="0" t="n">
        <v>-0.2</v>
      </c>
      <c r="P788" s="0" t="n">
        <v>0</v>
      </c>
      <c r="Q788" s="0" t="n">
        <v>0</v>
      </c>
      <c r="R788" s="0" t="n">
        <v>0</v>
      </c>
      <c r="S788" s="0" t="n">
        <v>0</v>
      </c>
      <c r="T788" s="0" t="s">
        <v>624</v>
      </c>
      <c r="U788" s="0" t="s">
        <v>151</v>
      </c>
      <c r="V788" s="0" t="s">
        <v>624</v>
      </c>
      <c r="W788" s="0" t="s">
        <v>569</v>
      </c>
      <c r="X788" s="0" t="s">
        <v>624</v>
      </c>
      <c r="Y788" s="0" t="s">
        <v>627</v>
      </c>
      <c r="Z788" s="0" t="s">
        <v>629</v>
      </c>
      <c r="AA788" s="0" t="s">
        <v>624</v>
      </c>
      <c r="AB788" s="0" t="s">
        <v>580</v>
      </c>
      <c r="AC788" s="254" t="n">
        <v>-620000</v>
      </c>
      <c r="AD788" s="254" t="n">
        <v>-25765.3300667871</v>
      </c>
      <c r="AE788" s="0" t="n">
        <v>0</v>
      </c>
      <c r="AF788" s="0" t="n">
        <v>0</v>
      </c>
      <c r="AG788" s="0" t="n">
        <v>0</v>
      </c>
      <c r="AH788" s="254" t="n">
        <v>8892.75891056376</v>
      </c>
      <c r="AI788" s="0" t="n">
        <v>226</v>
      </c>
      <c r="AJ788" s="0" t="s">
        <v>630</v>
      </c>
      <c r="AK788" s="0" t="n">
        <v>0</v>
      </c>
      <c r="AL788" s="0" t="n">
        <v>0</v>
      </c>
      <c r="AM788" s="0" t="n">
        <v>0</v>
      </c>
    </row>
    <row r="789" customFormat="false" ht="12.75" hidden="false" customHeight="false" outlineLevel="0" collapsed="false">
      <c r="A789" s="0" t="s">
        <v>631</v>
      </c>
      <c r="B789" s="0" t="s">
        <v>454</v>
      </c>
      <c r="C789" s="0" t="s">
        <v>622</v>
      </c>
      <c r="D789" s="0" t="s">
        <v>623</v>
      </c>
      <c r="E789" s="0" t="s">
        <v>131</v>
      </c>
      <c r="F789" s="0" t="s">
        <v>275</v>
      </c>
      <c r="G789" s="0" t="s">
        <v>628</v>
      </c>
      <c r="H789" s="0" t="s">
        <v>625</v>
      </c>
      <c r="I789" s="0" t="s">
        <v>626</v>
      </c>
      <c r="J789" s="0" t="s">
        <v>627</v>
      </c>
      <c r="K789" s="475" t="n">
        <v>36892</v>
      </c>
      <c r="L789" s="254" t="n">
        <v>-99678.1266187636</v>
      </c>
      <c r="M789" s="475" t="n">
        <v>36888</v>
      </c>
      <c r="N789" s="0" t="s">
        <v>136</v>
      </c>
      <c r="O789" s="0" t="n">
        <v>-0.2</v>
      </c>
      <c r="P789" s="0" t="n">
        <v>0</v>
      </c>
      <c r="Q789" s="0" t="n">
        <v>0</v>
      </c>
      <c r="R789" s="0" t="n">
        <v>0</v>
      </c>
      <c r="S789" s="0" t="n">
        <v>0</v>
      </c>
      <c r="T789" s="0" t="s">
        <v>624</v>
      </c>
      <c r="U789" s="0" t="s">
        <v>151</v>
      </c>
      <c r="V789" s="0" t="s">
        <v>624</v>
      </c>
      <c r="W789" s="0" t="s">
        <v>569</v>
      </c>
      <c r="X789" s="0" t="s">
        <v>624</v>
      </c>
      <c r="Y789" s="0" t="s">
        <v>627</v>
      </c>
      <c r="Z789" s="0" t="s">
        <v>629</v>
      </c>
      <c r="AA789" s="0" t="s">
        <v>624</v>
      </c>
      <c r="AB789" s="0" t="s">
        <v>580</v>
      </c>
      <c r="AC789" s="254" t="n">
        <v>-620000</v>
      </c>
      <c r="AD789" s="254" t="n">
        <v>-29756.4166096237</v>
      </c>
      <c r="AE789" s="0" t="n">
        <v>0</v>
      </c>
      <c r="AF789" s="0" t="n">
        <v>0</v>
      </c>
      <c r="AG789" s="0" t="n">
        <v>0</v>
      </c>
      <c r="AH789" s="254" t="n">
        <v>8920.09635283827</v>
      </c>
      <c r="AI789" s="0" t="n">
        <v>226</v>
      </c>
      <c r="AJ789" s="0" t="s">
        <v>630</v>
      </c>
      <c r="AK789" s="0" t="n">
        <v>0</v>
      </c>
      <c r="AL789" s="0" t="n">
        <v>0</v>
      </c>
      <c r="AM789" s="0" t="n">
        <v>0</v>
      </c>
    </row>
    <row r="790" customFormat="false" ht="12.75" hidden="false" customHeight="false" outlineLevel="0" collapsed="false">
      <c r="A790" s="0" t="s">
        <v>631</v>
      </c>
      <c r="B790" s="0" t="s">
        <v>454</v>
      </c>
      <c r="C790" s="0" t="s">
        <v>622</v>
      </c>
      <c r="D790" s="0" t="s">
        <v>623</v>
      </c>
      <c r="E790" s="0" t="s">
        <v>131</v>
      </c>
      <c r="F790" s="0" t="s">
        <v>275</v>
      </c>
      <c r="G790" s="0" t="s">
        <v>628</v>
      </c>
      <c r="H790" s="0" t="s">
        <v>625</v>
      </c>
      <c r="I790" s="0" t="s">
        <v>626</v>
      </c>
      <c r="J790" s="0" t="s">
        <v>627</v>
      </c>
      <c r="K790" s="475" t="n">
        <v>36923</v>
      </c>
      <c r="L790" s="254" t="n">
        <v>-90154.1147470891</v>
      </c>
      <c r="M790" s="475" t="n">
        <v>36921</v>
      </c>
      <c r="N790" s="0" t="s">
        <v>136</v>
      </c>
      <c r="O790" s="0" t="n">
        <v>-0.2</v>
      </c>
      <c r="P790" s="0" t="n">
        <v>0</v>
      </c>
      <c r="Q790" s="0" t="n">
        <v>0</v>
      </c>
      <c r="R790" s="0" t="n">
        <v>0</v>
      </c>
      <c r="S790" s="0" t="n">
        <v>0</v>
      </c>
      <c r="T790" s="0" t="s">
        <v>624</v>
      </c>
      <c r="U790" s="0" t="s">
        <v>151</v>
      </c>
      <c r="V790" s="0" t="s">
        <v>624</v>
      </c>
      <c r="W790" s="0" t="s">
        <v>569</v>
      </c>
      <c r="X790" s="0" t="s">
        <v>624</v>
      </c>
      <c r="Y790" s="0" t="s">
        <v>627</v>
      </c>
      <c r="Z790" s="0" t="s">
        <v>629</v>
      </c>
      <c r="AA790" s="0" t="s">
        <v>624</v>
      </c>
      <c r="AB790" s="0" t="s">
        <v>580</v>
      </c>
      <c r="AC790" s="254" t="n">
        <v>-560000</v>
      </c>
      <c r="AD790" s="254" t="n">
        <v>-29263.6861397042</v>
      </c>
      <c r="AE790" s="0" t="n">
        <v>0</v>
      </c>
      <c r="AF790" s="0" t="n">
        <v>0</v>
      </c>
      <c r="AG790" s="0" t="n">
        <v>0</v>
      </c>
      <c r="AH790" s="254" t="n">
        <v>7738.58808885384</v>
      </c>
      <c r="AI790" s="0" t="n">
        <v>226</v>
      </c>
      <c r="AJ790" s="0" t="s">
        <v>630</v>
      </c>
      <c r="AK790" s="0" t="n">
        <v>0</v>
      </c>
      <c r="AL790" s="0" t="n">
        <v>0</v>
      </c>
      <c r="AM790" s="0" t="n">
        <v>0</v>
      </c>
    </row>
    <row r="791" customFormat="false" ht="12.75" hidden="false" customHeight="false" outlineLevel="0" collapsed="false">
      <c r="A791" s="0" t="s">
        <v>631</v>
      </c>
      <c r="B791" s="0" t="s">
        <v>454</v>
      </c>
      <c r="C791" s="0" t="s">
        <v>622</v>
      </c>
      <c r="D791" s="0" t="s">
        <v>623</v>
      </c>
      <c r="E791" s="0" t="s">
        <v>131</v>
      </c>
      <c r="F791" s="0" t="s">
        <v>275</v>
      </c>
      <c r="G791" s="0" t="s">
        <v>628</v>
      </c>
      <c r="H791" s="0" t="s">
        <v>625</v>
      </c>
      <c r="I791" s="0" t="s">
        <v>626</v>
      </c>
      <c r="J791" s="0" t="s">
        <v>627</v>
      </c>
      <c r="K791" s="475" t="n">
        <v>36951</v>
      </c>
      <c r="L791" s="254" t="n">
        <v>-85246.3347606717</v>
      </c>
      <c r="M791" s="475" t="n">
        <v>36949</v>
      </c>
      <c r="N791" s="0" t="s">
        <v>136</v>
      </c>
      <c r="O791" s="0" t="n">
        <v>-0.2</v>
      </c>
      <c r="P791" s="0" t="n">
        <v>0</v>
      </c>
      <c r="Q791" s="0" t="n">
        <v>0</v>
      </c>
      <c r="R791" s="0" t="n">
        <v>0</v>
      </c>
      <c r="S791" s="0" t="n">
        <v>0</v>
      </c>
      <c r="T791" s="0" t="s">
        <v>624</v>
      </c>
      <c r="U791" s="0" t="s">
        <v>151</v>
      </c>
      <c r="V791" s="0" t="s">
        <v>624</v>
      </c>
      <c r="W791" s="0" t="s">
        <v>569</v>
      </c>
      <c r="X791" s="0" t="s">
        <v>624</v>
      </c>
      <c r="Y791" s="0" t="s">
        <v>627</v>
      </c>
      <c r="Z791" s="0" t="s">
        <v>629</v>
      </c>
      <c r="AA791" s="0" t="s">
        <v>624</v>
      </c>
      <c r="AB791" s="0" t="s">
        <v>580</v>
      </c>
      <c r="AC791" s="254" t="n">
        <v>-620000</v>
      </c>
      <c r="AD791" s="254" t="n">
        <v>-30975.2851643087</v>
      </c>
      <c r="AE791" s="0" t="n">
        <v>0</v>
      </c>
      <c r="AF791" s="0" t="n">
        <v>0</v>
      </c>
      <c r="AG791" s="0" t="n">
        <v>0</v>
      </c>
      <c r="AH791" s="254" t="n">
        <v>8069.11811345986</v>
      </c>
      <c r="AI791" s="0" t="n">
        <v>226</v>
      </c>
      <c r="AJ791" s="0" t="s">
        <v>630</v>
      </c>
      <c r="AK791" s="0" t="n">
        <v>0</v>
      </c>
      <c r="AL791" s="0" t="n">
        <v>0</v>
      </c>
      <c r="AM791" s="0" t="n">
        <v>0</v>
      </c>
    </row>
    <row r="792" customFormat="false" ht="12.75" hidden="false" customHeight="false" outlineLevel="0" collapsed="false">
      <c r="A792" s="0" t="s">
        <v>631</v>
      </c>
      <c r="B792" s="0" t="s">
        <v>455</v>
      </c>
      <c r="C792" s="0" t="s">
        <v>622</v>
      </c>
      <c r="D792" s="0" t="s">
        <v>623</v>
      </c>
      <c r="E792" s="0" t="s">
        <v>131</v>
      </c>
      <c r="F792" s="0" t="s">
        <v>275</v>
      </c>
      <c r="G792" s="0" t="s">
        <v>628</v>
      </c>
      <c r="H792" s="0" t="s">
        <v>625</v>
      </c>
      <c r="I792" s="0" t="s">
        <v>626</v>
      </c>
      <c r="J792" s="0" t="s">
        <v>627</v>
      </c>
      <c r="K792" s="475" t="n">
        <v>36831</v>
      </c>
      <c r="L792" s="254" t="n">
        <v>-94672.0382748317</v>
      </c>
      <c r="M792" s="475" t="n">
        <v>36829</v>
      </c>
      <c r="N792" s="0" t="s">
        <v>132</v>
      </c>
      <c r="O792" s="0" t="n">
        <v>-0.5</v>
      </c>
      <c r="P792" s="0" t="n">
        <v>0</v>
      </c>
      <c r="Q792" s="0" t="n">
        <v>0</v>
      </c>
      <c r="R792" s="0" t="n">
        <v>0</v>
      </c>
      <c r="S792" s="0" t="n">
        <v>0</v>
      </c>
      <c r="T792" s="0" t="s">
        <v>624</v>
      </c>
      <c r="U792" s="0" t="s">
        <v>151</v>
      </c>
      <c r="V792" s="0" t="s">
        <v>624</v>
      </c>
      <c r="W792" s="0" t="s">
        <v>569</v>
      </c>
      <c r="X792" s="0" t="s">
        <v>624</v>
      </c>
      <c r="Y792" s="0" t="s">
        <v>627</v>
      </c>
      <c r="Z792" s="0" t="s">
        <v>629</v>
      </c>
      <c r="AA792" s="0" t="s">
        <v>624</v>
      </c>
      <c r="AB792" s="0" t="s">
        <v>580</v>
      </c>
      <c r="AC792" s="254" t="n">
        <v>-600000</v>
      </c>
      <c r="AD792" s="254" t="n">
        <v>-20711.2951663896</v>
      </c>
      <c r="AE792" s="0" t="n">
        <v>0</v>
      </c>
      <c r="AF792" s="0" t="n">
        <v>0</v>
      </c>
      <c r="AG792" s="0" t="n">
        <v>0</v>
      </c>
      <c r="AH792" s="254" t="n">
        <v>-11464.4083171261</v>
      </c>
      <c r="AI792" s="0" t="n">
        <v>226</v>
      </c>
      <c r="AJ792" s="0" t="s">
        <v>630</v>
      </c>
      <c r="AK792" s="0" t="n">
        <v>0</v>
      </c>
      <c r="AL792" s="0" t="n">
        <v>0</v>
      </c>
      <c r="AM792" s="0" t="n">
        <v>0</v>
      </c>
    </row>
    <row r="793" customFormat="false" ht="12.75" hidden="false" customHeight="false" outlineLevel="0" collapsed="false">
      <c r="A793" s="0" t="s">
        <v>631</v>
      </c>
      <c r="B793" s="0" t="s">
        <v>455</v>
      </c>
      <c r="C793" s="0" t="s">
        <v>622</v>
      </c>
      <c r="D793" s="0" t="s">
        <v>623</v>
      </c>
      <c r="E793" s="0" t="s">
        <v>131</v>
      </c>
      <c r="F793" s="0" t="s">
        <v>275</v>
      </c>
      <c r="G793" s="0" t="s">
        <v>628</v>
      </c>
      <c r="H793" s="0" t="s">
        <v>625</v>
      </c>
      <c r="I793" s="0" t="s">
        <v>626</v>
      </c>
      <c r="J793" s="0" t="s">
        <v>627</v>
      </c>
      <c r="K793" s="475" t="n">
        <v>36861</v>
      </c>
      <c r="L793" s="254" t="n">
        <v>-94999.2770598143</v>
      </c>
      <c r="M793" s="475" t="n">
        <v>36859</v>
      </c>
      <c r="N793" s="0" t="s">
        <v>132</v>
      </c>
      <c r="O793" s="0" t="n">
        <v>-0.5</v>
      </c>
      <c r="P793" s="0" t="n">
        <v>0</v>
      </c>
      <c r="Q793" s="0" t="n">
        <v>0</v>
      </c>
      <c r="R793" s="0" t="n">
        <v>0</v>
      </c>
      <c r="S793" s="0" t="n">
        <v>0</v>
      </c>
      <c r="T793" s="0" t="s">
        <v>624</v>
      </c>
      <c r="U793" s="0" t="s">
        <v>151</v>
      </c>
      <c r="V793" s="0" t="s">
        <v>624</v>
      </c>
      <c r="W793" s="0" t="s">
        <v>569</v>
      </c>
      <c r="X793" s="0" t="s">
        <v>624</v>
      </c>
      <c r="Y793" s="0" t="s">
        <v>627</v>
      </c>
      <c r="Z793" s="0" t="s">
        <v>629</v>
      </c>
      <c r="AA793" s="0" t="s">
        <v>624</v>
      </c>
      <c r="AB793" s="0" t="s">
        <v>580</v>
      </c>
      <c r="AC793" s="254" t="n">
        <v>-620000</v>
      </c>
      <c r="AD793" s="254" t="n">
        <v>-25379.2291814378</v>
      </c>
      <c r="AE793" s="0" t="n">
        <v>0</v>
      </c>
      <c r="AF793" s="0" t="n">
        <v>0</v>
      </c>
      <c r="AG793" s="0" t="n">
        <v>0</v>
      </c>
      <c r="AH793" s="254" t="n">
        <v>-10168.3308239658</v>
      </c>
      <c r="AI793" s="0" t="n">
        <v>226</v>
      </c>
      <c r="AJ793" s="0" t="s">
        <v>630</v>
      </c>
      <c r="AK793" s="0" t="n">
        <v>0</v>
      </c>
      <c r="AL793" s="0" t="n">
        <v>0</v>
      </c>
      <c r="AM793" s="0" t="n">
        <v>0</v>
      </c>
    </row>
    <row r="794" customFormat="false" ht="12.75" hidden="false" customHeight="false" outlineLevel="0" collapsed="false">
      <c r="A794" s="0" t="s">
        <v>631</v>
      </c>
      <c r="B794" s="0" t="s">
        <v>455</v>
      </c>
      <c r="C794" s="0" t="s">
        <v>622</v>
      </c>
      <c r="D794" s="0" t="s">
        <v>623</v>
      </c>
      <c r="E794" s="0" t="s">
        <v>131</v>
      </c>
      <c r="F794" s="0" t="s">
        <v>275</v>
      </c>
      <c r="G794" s="0" t="s">
        <v>628</v>
      </c>
      <c r="H794" s="0" t="s">
        <v>625</v>
      </c>
      <c r="I794" s="0" t="s">
        <v>626</v>
      </c>
      <c r="J794" s="0" t="s">
        <v>627</v>
      </c>
      <c r="K794" s="475" t="n">
        <v>36892</v>
      </c>
      <c r="L794" s="254" t="n">
        <v>-115258.372549066</v>
      </c>
      <c r="M794" s="475" t="n">
        <v>36888</v>
      </c>
      <c r="N794" s="0" t="s">
        <v>132</v>
      </c>
      <c r="O794" s="0" t="n">
        <v>-0.5</v>
      </c>
      <c r="P794" s="0" t="n">
        <v>0</v>
      </c>
      <c r="Q794" s="0" t="n">
        <v>0</v>
      </c>
      <c r="R794" s="0" t="n">
        <v>0</v>
      </c>
      <c r="S794" s="0" t="n">
        <v>0</v>
      </c>
      <c r="T794" s="0" t="s">
        <v>624</v>
      </c>
      <c r="U794" s="0" t="s">
        <v>151</v>
      </c>
      <c r="V794" s="0" t="s">
        <v>624</v>
      </c>
      <c r="W794" s="0" t="s">
        <v>569</v>
      </c>
      <c r="X794" s="0" t="s">
        <v>624</v>
      </c>
      <c r="Y794" s="0" t="s">
        <v>627</v>
      </c>
      <c r="Z794" s="0" t="s">
        <v>629</v>
      </c>
      <c r="AA794" s="0" t="s">
        <v>624</v>
      </c>
      <c r="AB794" s="0" t="s">
        <v>580</v>
      </c>
      <c r="AC794" s="254" t="n">
        <v>-620000</v>
      </c>
      <c r="AD794" s="254" t="n">
        <v>-29446.5584904346</v>
      </c>
      <c r="AE794" s="0" t="n">
        <v>0</v>
      </c>
      <c r="AF794" s="0" t="n">
        <v>0</v>
      </c>
      <c r="AG794" s="0" t="n">
        <v>0</v>
      </c>
      <c r="AH794" s="254" t="n">
        <v>-10666.1122704053</v>
      </c>
      <c r="AI794" s="0" t="n">
        <v>226</v>
      </c>
      <c r="AJ794" s="0" t="s">
        <v>630</v>
      </c>
      <c r="AK794" s="0" t="n">
        <v>0</v>
      </c>
      <c r="AL794" s="0" t="n">
        <v>0</v>
      </c>
      <c r="AM794" s="0" t="n">
        <v>0</v>
      </c>
    </row>
    <row r="795" customFormat="false" ht="12.75" hidden="false" customHeight="false" outlineLevel="0" collapsed="false">
      <c r="A795" s="0" t="s">
        <v>631</v>
      </c>
      <c r="B795" s="0" t="s">
        <v>455</v>
      </c>
      <c r="C795" s="0" t="s">
        <v>622</v>
      </c>
      <c r="D795" s="0" t="s">
        <v>623</v>
      </c>
      <c r="E795" s="0" t="s">
        <v>131</v>
      </c>
      <c r="F795" s="0" t="s">
        <v>275</v>
      </c>
      <c r="G795" s="0" t="s">
        <v>628</v>
      </c>
      <c r="H795" s="0" t="s">
        <v>625</v>
      </c>
      <c r="I795" s="0" t="s">
        <v>626</v>
      </c>
      <c r="J795" s="0" t="s">
        <v>627</v>
      </c>
      <c r="K795" s="475" t="n">
        <v>36923</v>
      </c>
      <c r="L795" s="254" t="n">
        <v>-114024.040492127</v>
      </c>
      <c r="M795" s="475" t="n">
        <v>36921</v>
      </c>
      <c r="N795" s="0" t="s">
        <v>132</v>
      </c>
      <c r="O795" s="0" t="n">
        <v>-0.5</v>
      </c>
      <c r="P795" s="0" t="n">
        <v>0</v>
      </c>
      <c r="Q795" s="0" t="n">
        <v>0</v>
      </c>
      <c r="R795" s="0" t="n">
        <v>0</v>
      </c>
      <c r="S795" s="0" t="n">
        <v>0</v>
      </c>
      <c r="T795" s="0" t="s">
        <v>624</v>
      </c>
      <c r="U795" s="0" t="s">
        <v>151</v>
      </c>
      <c r="V795" s="0" t="s">
        <v>624</v>
      </c>
      <c r="W795" s="0" t="s">
        <v>569</v>
      </c>
      <c r="X795" s="0" t="s">
        <v>624</v>
      </c>
      <c r="Y795" s="0" t="s">
        <v>627</v>
      </c>
      <c r="Z795" s="0" t="s">
        <v>629</v>
      </c>
      <c r="AA795" s="0" t="s">
        <v>624</v>
      </c>
      <c r="AB795" s="0" t="s">
        <v>580</v>
      </c>
      <c r="AC795" s="254" t="n">
        <v>-560000</v>
      </c>
      <c r="AD795" s="254" t="n">
        <v>-29265.3954259949</v>
      </c>
      <c r="AE795" s="0" t="n">
        <v>0</v>
      </c>
      <c r="AF795" s="0" t="n">
        <v>0</v>
      </c>
      <c r="AG795" s="0" t="n">
        <v>0</v>
      </c>
      <c r="AH795" s="254" t="n">
        <v>-10003.7429116535</v>
      </c>
      <c r="AI795" s="0" t="n">
        <v>226</v>
      </c>
      <c r="AJ795" s="0" t="s">
        <v>630</v>
      </c>
      <c r="AK795" s="0" t="n">
        <v>0</v>
      </c>
      <c r="AL795" s="0" t="n">
        <v>0</v>
      </c>
      <c r="AM795" s="0" t="n">
        <v>0</v>
      </c>
    </row>
    <row r="796" customFormat="false" ht="12.75" hidden="false" customHeight="false" outlineLevel="0" collapsed="false">
      <c r="A796" s="0" t="s">
        <v>631</v>
      </c>
      <c r="B796" s="0" t="s">
        <v>455</v>
      </c>
      <c r="C796" s="0" t="s">
        <v>622</v>
      </c>
      <c r="D796" s="0" t="s">
        <v>623</v>
      </c>
      <c r="E796" s="0" t="s">
        <v>131</v>
      </c>
      <c r="F796" s="0" t="s">
        <v>275</v>
      </c>
      <c r="G796" s="0" t="s">
        <v>628</v>
      </c>
      <c r="H796" s="0" t="s">
        <v>625</v>
      </c>
      <c r="I796" s="0" t="s">
        <v>626</v>
      </c>
      <c r="J796" s="0" t="s">
        <v>627</v>
      </c>
      <c r="K796" s="475" t="n">
        <v>36951</v>
      </c>
      <c r="L796" s="254" t="n">
        <v>-116041.74956695</v>
      </c>
      <c r="M796" s="475" t="n">
        <v>36949</v>
      </c>
      <c r="N796" s="0" t="s">
        <v>132</v>
      </c>
      <c r="O796" s="0" t="n">
        <v>-0.5</v>
      </c>
      <c r="P796" s="0" t="n">
        <v>0</v>
      </c>
      <c r="Q796" s="0" t="n">
        <v>0</v>
      </c>
      <c r="R796" s="0" t="n">
        <v>0</v>
      </c>
      <c r="S796" s="0" t="n">
        <v>0</v>
      </c>
      <c r="T796" s="0" t="s">
        <v>624</v>
      </c>
      <c r="U796" s="0" t="s">
        <v>151</v>
      </c>
      <c r="V796" s="0" t="s">
        <v>624</v>
      </c>
      <c r="W796" s="0" t="s">
        <v>569</v>
      </c>
      <c r="X796" s="0" t="s">
        <v>624</v>
      </c>
      <c r="Y796" s="0" t="s">
        <v>627</v>
      </c>
      <c r="Z796" s="0" t="s">
        <v>629</v>
      </c>
      <c r="AA796" s="0" t="s">
        <v>624</v>
      </c>
      <c r="AB796" s="0" t="s">
        <v>580</v>
      </c>
      <c r="AC796" s="254" t="n">
        <v>-620000</v>
      </c>
      <c r="AD796" s="254" t="n">
        <v>-31331.1640419054</v>
      </c>
      <c r="AE796" s="0" t="n">
        <v>0</v>
      </c>
      <c r="AF796" s="0" t="n">
        <v>0</v>
      </c>
      <c r="AG796" s="0" t="n">
        <v>0</v>
      </c>
      <c r="AH796" s="254" t="n">
        <v>-11078.8550331207</v>
      </c>
      <c r="AI796" s="0" t="n">
        <v>226</v>
      </c>
      <c r="AJ796" s="0" t="s">
        <v>630</v>
      </c>
      <c r="AK796" s="0" t="n">
        <v>0</v>
      </c>
      <c r="AL796" s="0" t="n">
        <v>0</v>
      </c>
      <c r="AM796" s="0" t="n">
        <v>0</v>
      </c>
    </row>
    <row r="797" customFormat="false" ht="12.75" hidden="false" customHeight="false" outlineLevel="0" collapsed="false">
      <c r="A797" s="0" t="s">
        <v>631</v>
      </c>
      <c r="B797" s="0" t="s">
        <v>456</v>
      </c>
      <c r="C797" s="0" t="s">
        <v>622</v>
      </c>
      <c r="D797" s="0" t="s">
        <v>623</v>
      </c>
      <c r="E797" s="0" t="s">
        <v>131</v>
      </c>
      <c r="F797" s="0" t="s">
        <v>255</v>
      </c>
      <c r="G797" s="0" t="s">
        <v>628</v>
      </c>
      <c r="H797" s="0" t="s">
        <v>625</v>
      </c>
      <c r="I797" s="0" t="s">
        <v>626</v>
      </c>
      <c r="J797" s="0" t="s">
        <v>627</v>
      </c>
      <c r="K797" s="475" t="n">
        <v>36831</v>
      </c>
      <c r="L797" s="254" t="n">
        <v>-7049.24557303187</v>
      </c>
      <c r="M797" s="475" t="n">
        <v>36829</v>
      </c>
      <c r="N797" s="0" t="s">
        <v>136</v>
      </c>
      <c r="O797" s="0" t="n">
        <v>0.2</v>
      </c>
      <c r="P797" s="0" t="n">
        <v>0</v>
      </c>
      <c r="Q797" s="0" t="n">
        <v>0</v>
      </c>
      <c r="R797" s="0" t="n">
        <v>0</v>
      </c>
      <c r="S797" s="0" t="n">
        <v>0</v>
      </c>
      <c r="T797" s="0" t="s">
        <v>624</v>
      </c>
      <c r="U797" s="0" t="s">
        <v>632</v>
      </c>
      <c r="V797" s="0" t="s">
        <v>624</v>
      </c>
      <c r="W797" s="0" t="s">
        <v>569</v>
      </c>
      <c r="X797" s="0" t="s">
        <v>624</v>
      </c>
      <c r="Y797" s="0" t="s">
        <v>627</v>
      </c>
      <c r="Z797" s="0" t="s">
        <v>629</v>
      </c>
      <c r="AA797" s="0" t="s">
        <v>624</v>
      </c>
      <c r="AB797" s="0" t="s">
        <v>580</v>
      </c>
      <c r="AC797" s="254" t="n">
        <v>-1000000</v>
      </c>
      <c r="AD797" s="254" t="n">
        <v>-3784.49390190924</v>
      </c>
      <c r="AE797" s="0" t="n">
        <v>0</v>
      </c>
      <c r="AF797" s="0" t="n">
        <v>0</v>
      </c>
      <c r="AG797" s="0" t="n">
        <v>0</v>
      </c>
      <c r="AH797" s="254" t="n">
        <v>-205.842299126556</v>
      </c>
      <c r="AI797" s="0" t="n">
        <v>226</v>
      </c>
      <c r="AJ797" s="0" t="s">
        <v>630</v>
      </c>
      <c r="AK797" s="0" t="n">
        <v>0</v>
      </c>
      <c r="AL797" s="0" t="n">
        <v>0</v>
      </c>
      <c r="AM797" s="0" t="n">
        <v>0</v>
      </c>
    </row>
    <row r="798" customFormat="false" ht="12.75" hidden="false" customHeight="false" outlineLevel="0" collapsed="false">
      <c r="A798" s="0" t="s">
        <v>631</v>
      </c>
      <c r="B798" s="0" t="s">
        <v>456</v>
      </c>
      <c r="C798" s="0" t="s">
        <v>622</v>
      </c>
      <c r="D798" s="0" t="s">
        <v>623</v>
      </c>
      <c r="E798" s="0" t="s">
        <v>131</v>
      </c>
      <c r="F798" s="0" t="s">
        <v>255</v>
      </c>
      <c r="G798" s="0" t="s">
        <v>628</v>
      </c>
      <c r="H798" s="0" t="s">
        <v>625</v>
      </c>
      <c r="I798" s="0" t="s">
        <v>626</v>
      </c>
      <c r="J798" s="0" t="s">
        <v>627</v>
      </c>
      <c r="K798" s="475" t="n">
        <v>36861</v>
      </c>
      <c r="L798" s="254" t="n">
        <v>-15540.5173200066</v>
      </c>
      <c r="M798" s="475" t="n">
        <v>36859</v>
      </c>
      <c r="N798" s="0" t="s">
        <v>136</v>
      </c>
      <c r="O798" s="0" t="n">
        <v>0.2</v>
      </c>
      <c r="P798" s="0" t="n">
        <v>0</v>
      </c>
      <c r="Q798" s="0" t="n">
        <v>0</v>
      </c>
      <c r="R798" s="0" t="n">
        <v>0</v>
      </c>
      <c r="S798" s="0" t="n">
        <v>0</v>
      </c>
      <c r="T798" s="0" t="s">
        <v>624</v>
      </c>
      <c r="U798" s="0" t="s">
        <v>632</v>
      </c>
      <c r="V798" s="0" t="s">
        <v>624</v>
      </c>
      <c r="W798" s="0" t="s">
        <v>569</v>
      </c>
      <c r="X798" s="0" t="s">
        <v>624</v>
      </c>
      <c r="Y798" s="0" t="s">
        <v>627</v>
      </c>
      <c r="Z798" s="0" t="s">
        <v>629</v>
      </c>
      <c r="AA798" s="0" t="s">
        <v>624</v>
      </c>
      <c r="AB798" s="0" t="s">
        <v>580</v>
      </c>
      <c r="AC798" s="254" t="n">
        <v>-1000000</v>
      </c>
      <c r="AD798" s="254" t="n">
        <v>-6169.7623906165</v>
      </c>
      <c r="AE798" s="0" t="n">
        <v>0</v>
      </c>
      <c r="AF798" s="0" t="n">
        <v>0</v>
      </c>
      <c r="AG798" s="0" t="n">
        <v>0</v>
      </c>
      <c r="AH798" s="254" t="n">
        <v>-311.083836819107</v>
      </c>
      <c r="AI798" s="0" t="n">
        <v>226</v>
      </c>
      <c r="AJ798" s="0" t="s">
        <v>630</v>
      </c>
      <c r="AK798" s="0" t="n">
        <v>0</v>
      </c>
      <c r="AL798" s="0" t="n">
        <v>0</v>
      </c>
      <c r="AM798" s="0" t="n">
        <v>0</v>
      </c>
    </row>
    <row r="799" customFormat="false" ht="12.75" hidden="false" customHeight="false" outlineLevel="0" collapsed="false">
      <c r="A799" s="0" t="s">
        <v>631</v>
      </c>
      <c r="B799" s="0" t="s">
        <v>456</v>
      </c>
      <c r="C799" s="0" t="s">
        <v>622</v>
      </c>
      <c r="D799" s="0" t="s">
        <v>623</v>
      </c>
      <c r="E799" s="0" t="s">
        <v>131</v>
      </c>
      <c r="F799" s="0" t="s">
        <v>255</v>
      </c>
      <c r="G799" s="0" t="s">
        <v>628</v>
      </c>
      <c r="H799" s="0" t="s">
        <v>625</v>
      </c>
      <c r="I799" s="0" t="s">
        <v>626</v>
      </c>
      <c r="J799" s="0" t="s">
        <v>627</v>
      </c>
      <c r="K799" s="475" t="n">
        <v>36892</v>
      </c>
      <c r="L799" s="254" t="n">
        <v>-28711.8987177352</v>
      </c>
      <c r="M799" s="475" t="n">
        <v>36888</v>
      </c>
      <c r="N799" s="0" t="s">
        <v>136</v>
      </c>
      <c r="O799" s="0" t="n">
        <v>0.2</v>
      </c>
      <c r="P799" s="0" t="n">
        <v>0</v>
      </c>
      <c r="Q799" s="0" t="n">
        <v>0</v>
      </c>
      <c r="R799" s="0" t="n">
        <v>0</v>
      </c>
      <c r="S799" s="0" t="n">
        <v>0</v>
      </c>
      <c r="T799" s="0" t="s">
        <v>624</v>
      </c>
      <c r="U799" s="0" t="s">
        <v>632</v>
      </c>
      <c r="V799" s="0" t="s">
        <v>624</v>
      </c>
      <c r="W799" s="0" t="s">
        <v>569</v>
      </c>
      <c r="X799" s="0" t="s">
        <v>624</v>
      </c>
      <c r="Y799" s="0" t="s">
        <v>627</v>
      </c>
      <c r="Z799" s="0" t="s">
        <v>629</v>
      </c>
      <c r="AA799" s="0" t="s">
        <v>624</v>
      </c>
      <c r="AB799" s="0" t="s">
        <v>580</v>
      </c>
      <c r="AC799" s="254" t="n">
        <v>-1000000</v>
      </c>
      <c r="AD799" s="254" t="n">
        <v>-8458.08813513262</v>
      </c>
      <c r="AE799" s="0" t="n">
        <v>0</v>
      </c>
      <c r="AF799" s="0" t="n">
        <v>0</v>
      </c>
      <c r="AG799" s="0" t="n">
        <v>0</v>
      </c>
      <c r="AH799" s="254" t="n">
        <v>-407.037405835876</v>
      </c>
      <c r="AI799" s="0" t="n">
        <v>226</v>
      </c>
      <c r="AJ799" s="0" t="s">
        <v>630</v>
      </c>
      <c r="AK799" s="0" t="n">
        <v>0</v>
      </c>
      <c r="AL799" s="0" t="n">
        <v>0</v>
      </c>
      <c r="AM799" s="0" t="n">
        <v>0</v>
      </c>
    </row>
    <row r="800" customFormat="false" ht="12.75" hidden="false" customHeight="false" outlineLevel="0" collapsed="false">
      <c r="A800" s="0" t="s">
        <v>631</v>
      </c>
      <c r="B800" s="0" t="s">
        <v>456</v>
      </c>
      <c r="C800" s="0" t="s">
        <v>622</v>
      </c>
      <c r="D800" s="0" t="s">
        <v>623</v>
      </c>
      <c r="E800" s="0" t="s">
        <v>131</v>
      </c>
      <c r="F800" s="0" t="s">
        <v>255</v>
      </c>
      <c r="G800" s="0" t="s">
        <v>628</v>
      </c>
      <c r="H800" s="0" t="s">
        <v>625</v>
      </c>
      <c r="I800" s="0" t="s">
        <v>626</v>
      </c>
      <c r="J800" s="0" t="s">
        <v>627</v>
      </c>
      <c r="K800" s="475" t="n">
        <v>36923</v>
      </c>
      <c r="L800" s="254" t="n">
        <v>-34991.207679825</v>
      </c>
      <c r="M800" s="475" t="n">
        <v>36921</v>
      </c>
      <c r="N800" s="0" t="s">
        <v>136</v>
      </c>
      <c r="O800" s="0" t="n">
        <v>0.2</v>
      </c>
      <c r="P800" s="0" t="n">
        <v>0</v>
      </c>
      <c r="Q800" s="0" t="n">
        <v>0</v>
      </c>
      <c r="R800" s="0" t="n">
        <v>0</v>
      </c>
      <c r="S800" s="0" t="n">
        <v>0</v>
      </c>
      <c r="T800" s="0" t="s">
        <v>624</v>
      </c>
      <c r="U800" s="0" t="s">
        <v>632</v>
      </c>
      <c r="V800" s="0" t="s">
        <v>624</v>
      </c>
      <c r="W800" s="0" t="s">
        <v>569</v>
      </c>
      <c r="X800" s="0" t="s">
        <v>624</v>
      </c>
      <c r="Y800" s="0" t="s">
        <v>627</v>
      </c>
      <c r="Z800" s="0" t="s">
        <v>629</v>
      </c>
      <c r="AA800" s="0" t="s">
        <v>624</v>
      </c>
      <c r="AB800" s="0" t="s">
        <v>580</v>
      </c>
      <c r="AC800" s="254" t="n">
        <v>-1000000</v>
      </c>
      <c r="AD800" s="254" t="n">
        <v>-9589.11843832536</v>
      </c>
      <c r="AE800" s="0" t="n">
        <v>0</v>
      </c>
      <c r="AF800" s="0" t="n">
        <v>0</v>
      </c>
      <c r="AG800" s="0" t="n">
        <v>0</v>
      </c>
      <c r="AH800" s="254" t="n">
        <v>-459.966013406702</v>
      </c>
      <c r="AI800" s="0" t="n">
        <v>226</v>
      </c>
      <c r="AJ800" s="0" t="s">
        <v>630</v>
      </c>
      <c r="AK800" s="0" t="n">
        <v>0</v>
      </c>
      <c r="AL800" s="0" t="n">
        <v>0</v>
      </c>
      <c r="AM800" s="0" t="n">
        <v>0</v>
      </c>
    </row>
    <row r="801" customFormat="false" ht="12.75" hidden="false" customHeight="false" outlineLevel="0" collapsed="false">
      <c r="A801" s="0" t="s">
        <v>631</v>
      </c>
      <c r="B801" s="0" t="s">
        <v>456</v>
      </c>
      <c r="C801" s="0" t="s">
        <v>622</v>
      </c>
      <c r="D801" s="0" t="s">
        <v>623</v>
      </c>
      <c r="E801" s="0" t="s">
        <v>131</v>
      </c>
      <c r="F801" s="0" t="s">
        <v>255</v>
      </c>
      <c r="G801" s="0" t="s">
        <v>628</v>
      </c>
      <c r="H801" s="0" t="s">
        <v>625</v>
      </c>
      <c r="I801" s="0" t="s">
        <v>626</v>
      </c>
      <c r="J801" s="0" t="s">
        <v>627</v>
      </c>
      <c r="K801" s="475" t="n">
        <v>36951</v>
      </c>
      <c r="L801" s="254" t="n">
        <v>-26314.0572922367</v>
      </c>
      <c r="M801" s="475" t="n">
        <v>36949</v>
      </c>
      <c r="N801" s="0" t="s">
        <v>136</v>
      </c>
      <c r="O801" s="0" t="n">
        <v>0.2</v>
      </c>
      <c r="P801" s="0" t="n">
        <v>0</v>
      </c>
      <c r="Q801" s="0" t="n">
        <v>0</v>
      </c>
      <c r="R801" s="0" t="n">
        <v>0</v>
      </c>
      <c r="S801" s="0" t="n">
        <v>0</v>
      </c>
      <c r="T801" s="0" t="s">
        <v>624</v>
      </c>
      <c r="U801" s="0" t="s">
        <v>632</v>
      </c>
      <c r="V801" s="0" t="s">
        <v>624</v>
      </c>
      <c r="W801" s="0" t="s">
        <v>569</v>
      </c>
      <c r="X801" s="0" t="s">
        <v>624</v>
      </c>
      <c r="Y801" s="0" t="s">
        <v>627</v>
      </c>
      <c r="Z801" s="0" t="s">
        <v>629</v>
      </c>
      <c r="AA801" s="0" t="s">
        <v>624</v>
      </c>
      <c r="AB801" s="0" t="s">
        <v>580</v>
      </c>
      <c r="AC801" s="254" t="n">
        <v>-1000000</v>
      </c>
      <c r="AD801" s="254" t="n">
        <v>-8714.59753260284</v>
      </c>
      <c r="AE801" s="0" t="n">
        <v>0</v>
      </c>
      <c r="AF801" s="0" t="n">
        <v>0</v>
      </c>
      <c r="AG801" s="0" t="n">
        <v>0</v>
      </c>
      <c r="AH801" s="254" t="n">
        <v>-442.509629958389</v>
      </c>
      <c r="AI801" s="0" t="n">
        <v>226</v>
      </c>
      <c r="AJ801" s="0" t="s">
        <v>630</v>
      </c>
      <c r="AK801" s="0" t="n">
        <v>0</v>
      </c>
      <c r="AL801" s="0" t="n">
        <v>0</v>
      </c>
      <c r="AM801" s="0" t="n">
        <v>0</v>
      </c>
    </row>
    <row r="802" customFormat="false" ht="12.75" hidden="false" customHeight="false" outlineLevel="0" collapsed="false">
      <c r="A802" s="0" t="s">
        <v>631</v>
      </c>
      <c r="B802" s="0" t="s">
        <v>457</v>
      </c>
      <c r="C802" s="0" t="s">
        <v>622</v>
      </c>
      <c r="D802" s="0" t="s">
        <v>623</v>
      </c>
      <c r="E802" s="0" t="s">
        <v>131</v>
      </c>
      <c r="F802" s="0" t="s">
        <v>281</v>
      </c>
      <c r="G802" s="0" t="s">
        <v>628</v>
      </c>
      <c r="H802" s="0" t="s">
        <v>625</v>
      </c>
      <c r="I802" s="0" t="s">
        <v>626</v>
      </c>
      <c r="J802" s="0" t="s">
        <v>627</v>
      </c>
      <c r="K802" s="475" t="n">
        <v>36831</v>
      </c>
      <c r="L802" s="254" t="n">
        <v>14939.6868429022</v>
      </c>
      <c r="M802" s="475" t="n">
        <v>36829</v>
      </c>
      <c r="N802" s="0" t="s">
        <v>132</v>
      </c>
      <c r="O802" s="0" t="n">
        <v>0.11</v>
      </c>
      <c r="P802" s="0" t="n">
        <v>0</v>
      </c>
      <c r="Q802" s="0" t="n">
        <v>0</v>
      </c>
      <c r="R802" s="0" t="n">
        <v>0</v>
      </c>
      <c r="S802" s="0" t="n">
        <v>0</v>
      </c>
      <c r="T802" s="0" t="s">
        <v>624</v>
      </c>
      <c r="U802" s="0" t="s">
        <v>632</v>
      </c>
      <c r="V802" s="0" t="s">
        <v>624</v>
      </c>
      <c r="W802" s="0" t="s">
        <v>569</v>
      </c>
      <c r="X802" s="0" t="s">
        <v>624</v>
      </c>
      <c r="Y802" s="0" t="s">
        <v>627</v>
      </c>
      <c r="Z802" s="0" t="s">
        <v>629</v>
      </c>
      <c r="AA802" s="0" t="s">
        <v>624</v>
      </c>
      <c r="AB802" s="0" t="s">
        <v>580</v>
      </c>
      <c r="AC802" s="254" t="n">
        <v>300000</v>
      </c>
      <c r="AD802" s="254" t="n">
        <v>2114.24587268769</v>
      </c>
      <c r="AE802" s="0" t="n">
        <v>0</v>
      </c>
      <c r="AF802" s="0" t="n">
        <v>0</v>
      </c>
      <c r="AG802" s="0" t="n">
        <v>0</v>
      </c>
      <c r="AH802" s="254" t="n">
        <v>113.678416802277</v>
      </c>
      <c r="AI802" s="0" t="n">
        <v>226</v>
      </c>
      <c r="AJ802" s="0" t="s">
        <v>630</v>
      </c>
      <c r="AK802" s="0" t="n">
        <v>0</v>
      </c>
      <c r="AL802" s="0" t="n">
        <v>0</v>
      </c>
      <c r="AM802" s="0" t="n">
        <v>0</v>
      </c>
    </row>
    <row r="803" customFormat="false" ht="12.75" hidden="false" customHeight="false" outlineLevel="0" collapsed="false">
      <c r="A803" s="0" t="s">
        <v>631</v>
      </c>
      <c r="B803" s="0" t="s">
        <v>457</v>
      </c>
      <c r="C803" s="0" t="s">
        <v>622</v>
      </c>
      <c r="D803" s="0" t="s">
        <v>623</v>
      </c>
      <c r="E803" s="0" t="s">
        <v>131</v>
      </c>
      <c r="F803" s="0" t="s">
        <v>281</v>
      </c>
      <c r="G803" s="0" t="s">
        <v>628</v>
      </c>
      <c r="H803" s="0" t="s">
        <v>625</v>
      </c>
      <c r="I803" s="0" t="s">
        <v>626</v>
      </c>
      <c r="J803" s="0" t="s">
        <v>627</v>
      </c>
      <c r="K803" s="475" t="n">
        <v>36861</v>
      </c>
      <c r="L803" s="254" t="n">
        <v>15994.0626541134</v>
      </c>
      <c r="M803" s="475" t="n">
        <v>36859</v>
      </c>
      <c r="N803" s="0" t="s">
        <v>132</v>
      </c>
      <c r="O803" s="0" t="n">
        <v>0.11</v>
      </c>
      <c r="P803" s="0" t="n">
        <v>0</v>
      </c>
      <c r="Q803" s="0" t="n">
        <v>0</v>
      </c>
      <c r="R803" s="0" t="n">
        <v>0</v>
      </c>
      <c r="S803" s="0" t="n">
        <v>0</v>
      </c>
      <c r="T803" s="0" t="s">
        <v>624</v>
      </c>
      <c r="U803" s="0" t="s">
        <v>632</v>
      </c>
      <c r="V803" s="0" t="s">
        <v>624</v>
      </c>
      <c r="W803" s="0" t="s">
        <v>569</v>
      </c>
      <c r="X803" s="0" t="s">
        <v>624</v>
      </c>
      <c r="Y803" s="0" t="s">
        <v>627</v>
      </c>
      <c r="Z803" s="0" t="s">
        <v>629</v>
      </c>
      <c r="AA803" s="0" t="s">
        <v>624</v>
      </c>
      <c r="AB803" s="0" t="s">
        <v>580</v>
      </c>
      <c r="AC803" s="254" t="n">
        <v>310000</v>
      </c>
      <c r="AD803" s="254" t="n">
        <v>2726.40393755559</v>
      </c>
      <c r="AE803" s="0" t="n">
        <v>0</v>
      </c>
      <c r="AF803" s="0" t="n">
        <v>0</v>
      </c>
      <c r="AG803" s="0" t="n">
        <v>0</v>
      </c>
      <c r="AH803" s="254" t="n">
        <v>137.219781914579</v>
      </c>
      <c r="AI803" s="0" t="n">
        <v>226</v>
      </c>
      <c r="AJ803" s="0" t="s">
        <v>630</v>
      </c>
      <c r="AK803" s="0" t="n">
        <v>0</v>
      </c>
      <c r="AL803" s="0" t="n">
        <v>0</v>
      </c>
      <c r="AM803" s="0" t="n">
        <v>0</v>
      </c>
    </row>
    <row r="804" customFormat="false" ht="12.75" hidden="false" customHeight="false" outlineLevel="0" collapsed="false">
      <c r="A804" s="0" t="s">
        <v>631</v>
      </c>
      <c r="B804" s="0" t="s">
        <v>457</v>
      </c>
      <c r="C804" s="0" t="s">
        <v>622</v>
      </c>
      <c r="D804" s="0" t="s">
        <v>623</v>
      </c>
      <c r="E804" s="0" t="s">
        <v>131</v>
      </c>
      <c r="F804" s="0" t="s">
        <v>281</v>
      </c>
      <c r="G804" s="0" t="s">
        <v>628</v>
      </c>
      <c r="H804" s="0" t="s">
        <v>625</v>
      </c>
      <c r="I804" s="0" t="s">
        <v>626</v>
      </c>
      <c r="J804" s="0" t="s">
        <v>627</v>
      </c>
      <c r="K804" s="475" t="n">
        <v>36892</v>
      </c>
      <c r="L804" s="254" t="n">
        <v>13936.513340406</v>
      </c>
      <c r="M804" s="475" t="n">
        <v>36888</v>
      </c>
      <c r="N804" s="0" t="s">
        <v>132</v>
      </c>
      <c r="O804" s="0" t="n">
        <v>0.11</v>
      </c>
      <c r="P804" s="0" t="n">
        <v>0</v>
      </c>
      <c r="Q804" s="0" t="n">
        <v>0</v>
      </c>
      <c r="R804" s="0" t="n">
        <v>0</v>
      </c>
      <c r="S804" s="0" t="n">
        <v>0</v>
      </c>
      <c r="T804" s="0" t="s">
        <v>624</v>
      </c>
      <c r="U804" s="0" t="s">
        <v>632</v>
      </c>
      <c r="V804" s="0" t="s">
        <v>624</v>
      </c>
      <c r="W804" s="0" t="s">
        <v>569</v>
      </c>
      <c r="X804" s="0" t="s">
        <v>624</v>
      </c>
      <c r="Y804" s="0" t="s">
        <v>627</v>
      </c>
      <c r="Z804" s="0" t="s">
        <v>629</v>
      </c>
      <c r="AA804" s="0" t="s">
        <v>624</v>
      </c>
      <c r="AB804" s="0" t="s">
        <v>580</v>
      </c>
      <c r="AC804" s="254" t="n">
        <v>310000</v>
      </c>
      <c r="AD804" s="254" t="n">
        <v>3106.28001157907</v>
      </c>
      <c r="AE804" s="0" t="n">
        <v>0</v>
      </c>
      <c r="AF804" s="0" t="n">
        <v>0</v>
      </c>
      <c r="AG804" s="0" t="n">
        <v>0</v>
      </c>
      <c r="AH804" s="254" t="n">
        <v>149.529306512866</v>
      </c>
      <c r="AI804" s="0" t="n">
        <v>226</v>
      </c>
      <c r="AJ804" s="0" t="s">
        <v>630</v>
      </c>
      <c r="AK804" s="0" t="n">
        <v>0</v>
      </c>
      <c r="AL804" s="0" t="n">
        <v>0</v>
      </c>
      <c r="AM804" s="0" t="n">
        <v>0</v>
      </c>
    </row>
    <row r="805" customFormat="false" ht="12.75" hidden="false" customHeight="false" outlineLevel="0" collapsed="false">
      <c r="A805" s="0" t="s">
        <v>631</v>
      </c>
      <c r="B805" s="0" t="s">
        <v>457</v>
      </c>
      <c r="C805" s="0" t="s">
        <v>622</v>
      </c>
      <c r="D805" s="0" t="s">
        <v>623</v>
      </c>
      <c r="E805" s="0" t="s">
        <v>131</v>
      </c>
      <c r="F805" s="0" t="s">
        <v>281</v>
      </c>
      <c r="G805" s="0" t="s">
        <v>628</v>
      </c>
      <c r="H805" s="0" t="s">
        <v>625</v>
      </c>
      <c r="I805" s="0" t="s">
        <v>626</v>
      </c>
      <c r="J805" s="0" t="s">
        <v>627</v>
      </c>
      <c r="K805" s="475" t="n">
        <v>36923</v>
      </c>
      <c r="L805" s="254" t="n">
        <v>12112.7848620301</v>
      </c>
      <c r="M805" s="475" t="n">
        <v>36921</v>
      </c>
      <c r="N805" s="0" t="s">
        <v>132</v>
      </c>
      <c r="O805" s="0" t="n">
        <v>0.11</v>
      </c>
      <c r="P805" s="0" t="n">
        <v>0</v>
      </c>
      <c r="Q805" s="0" t="n">
        <v>0</v>
      </c>
      <c r="R805" s="0" t="n">
        <v>0</v>
      </c>
      <c r="S805" s="0" t="n">
        <v>0</v>
      </c>
      <c r="T805" s="0" t="s">
        <v>624</v>
      </c>
      <c r="U805" s="0" t="s">
        <v>632</v>
      </c>
      <c r="V805" s="0" t="s">
        <v>624</v>
      </c>
      <c r="W805" s="0" t="s">
        <v>569</v>
      </c>
      <c r="X805" s="0" t="s">
        <v>624</v>
      </c>
      <c r="Y805" s="0" t="s">
        <v>627</v>
      </c>
      <c r="Z805" s="0" t="s">
        <v>629</v>
      </c>
      <c r="AA805" s="0" t="s">
        <v>624</v>
      </c>
      <c r="AB805" s="0" t="s">
        <v>580</v>
      </c>
      <c r="AC805" s="254" t="n">
        <v>280000</v>
      </c>
      <c r="AD805" s="254" t="n">
        <v>3029.91310925377</v>
      </c>
      <c r="AE805" s="0" t="n">
        <v>0</v>
      </c>
      <c r="AF805" s="0" t="n">
        <v>0</v>
      </c>
      <c r="AG805" s="0" t="n">
        <v>0</v>
      </c>
      <c r="AH805" s="254" t="n">
        <v>145.428163261307</v>
      </c>
      <c r="AI805" s="0" t="n">
        <v>226</v>
      </c>
      <c r="AJ805" s="0" t="s">
        <v>630</v>
      </c>
      <c r="AK805" s="0" t="n">
        <v>0</v>
      </c>
      <c r="AL805" s="0" t="n">
        <v>0</v>
      </c>
      <c r="AM805" s="0" t="n">
        <v>0</v>
      </c>
    </row>
    <row r="806" customFormat="false" ht="12.75" hidden="false" customHeight="false" outlineLevel="0" collapsed="false">
      <c r="A806" s="0" t="s">
        <v>631</v>
      </c>
      <c r="B806" s="0" t="s">
        <v>457</v>
      </c>
      <c r="C806" s="0" t="s">
        <v>622</v>
      </c>
      <c r="D806" s="0" t="s">
        <v>623</v>
      </c>
      <c r="E806" s="0" t="s">
        <v>131</v>
      </c>
      <c r="F806" s="0" t="s">
        <v>281</v>
      </c>
      <c r="G806" s="0" t="s">
        <v>628</v>
      </c>
      <c r="H806" s="0" t="s">
        <v>625</v>
      </c>
      <c r="I806" s="0" t="s">
        <v>626</v>
      </c>
      <c r="J806" s="0" t="s">
        <v>627</v>
      </c>
      <c r="K806" s="475" t="n">
        <v>36951</v>
      </c>
      <c r="L806" s="254" t="n">
        <v>14023.127398223</v>
      </c>
      <c r="M806" s="475" t="n">
        <v>36949</v>
      </c>
      <c r="N806" s="0" t="s">
        <v>132</v>
      </c>
      <c r="O806" s="0" t="n">
        <v>0.11</v>
      </c>
      <c r="P806" s="0" t="n">
        <v>0</v>
      </c>
      <c r="Q806" s="0" t="n">
        <v>0</v>
      </c>
      <c r="R806" s="0" t="n">
        <v>0</v>
      </c>
      <c r="S806" s="0" t="n">
        <v>0</v>
      </c>
      <c r="T806" s="0" t="s">
        <v>624</v>
      </c>
      <c r="U806" s="0" t="s">
        <v>632</v>
      </c>
      <c r="V806" s="0" t="s">
        <v>624</v>
      </c>
      <c r="W806" s="0" t="s">
        <v>569</v>
      </c>
      <c r="X806" s="0" t="s">
        <v>624</v>
      </c>
      <c r="Y806" s="0" t="s">
        <v>627</v>
      </c>
      <c r="Z806" s="0" t="s">
        <v>629</v>
      </c>
      <c r="AA806" s="0" t="s">
        <v>624</v>
      </c>
      <c r="AB806" s="0" t="s">
        <v>580</v>
      </c>
      <c r="AC806" s="254" t="n">
        <v>310000</v>
      </c>
      <c r="AD806" s="254" t="n">
        <v>3290.77351931366</v>
      </c>
      <c r="AE806" s="0" t="n">
        <v>0</v>
      </c>
      <c r="AF806" s="0" t="n">
        <v>0</v>
      </c>
      <c r="AG806" s="0" t="n">
        <v>0</v>
      </c>
      <c r="AH806" s="254" t="n">
        <v>167.417466463134</v>
      </c>
      <c r="AI806" s="0" t="n">
        <v>226</v>
      </c>
      <c r="AJ806" s="0" t="s">
        <v>630</v>
      </c>
      <c r="AK806" s="0" t="n">
        <v>0</v>
      </c>
      <c r="AL806" s="0" t="n">
        <v>0</v>
      </c>
      <c r="AM806" s="0" t="n">
        <v>0</v>
      </c>
    </row>
    <row r="807" customFormat="false" ht="12.75" hidden="false" customHeight="false" outlineLevel="0" collapsed="false">
      <c r="A807" s="0" t="s">
        <v>631</v>
      </c>
      <c r="B807" s="0" t="s">
        <v>458</v>
      </c>
      <c r="C807" s="0" t="s">
        <v>622</v>
      </c>
      <c r="D807" s="0" t="s">
        <v>623</v>
      </c>
      <c r="E807" s="0" t="s">
        <v>131</v>
      </c>
      <c r="F807" s="0" t="s">
        <v>281</v>
      </c>
      <c r="G807" s="0" t="s">
        <v>628</v>
      </c>
      <c r="H807" s="0" t="s">
        <v>625</v>
      </c>
      <c r="I807" s="0" t="s">
        <v>626</v>
      </c>
      <c r="J807" s="0" t="s">
        <v>627</v>
      </c>
      <c r="K807" s="475" t="n">
        <v>36831</v>
      </c>
      <c r="L807" s="254" t="n">
        <v>14939.6868429022</v>
      </c>
      <c r="M807" s="475" t="n">
        <v>36829</v>
      </c>
      <c r="N807" s="0" t="s">
        <v>132</v>
      </c>
      <c r="O807" s="0" t="n">
        <v>0.11</v>
      </c>
      <c r="P807" s="0" t="n">
        <v>0</v>
      </c>
      <c r="Q807" s="0" t="n">
        <v>0</v>
      </c>
      <c r="R807" s="0" t="n">
        <v>0</v>
      </c>
      <c r="S807" s="0" t="n">
        <v>0</v>
      </c>
      <c r="T807" s="0" t="s">
        <v>624</v>
      </c>
      <c r="U807" s="0" t="s">
        <v>632</v>
      </c>
      <c r="V807" s="0" t="s">
        <v>624</v>
      </c>
      <c r="W807" s="0" t="s">
        <v>569</v>
      </c>
      <c r="X807" s="0" t="s">
        <v>624</v>
      </c>
      <c r="Y807" s="0" t="s">
        <v>627</v>
      </c>
      <c r="Z807" s="0" t="s">
        <v>629</v>
      </c>
      <c r="AA807" s="0" t="s">
        <v>624</v>
      </c>
      <c r="AB807" s="0" t="s">
        <v>580</v>
      </c>
      <c r="AC807" s="254" t="n">
        <v>300000</v>
      </c>
      <c r="AD807" s="254" t="n">
        <v>2114.24587268769</v>
      </c>
      <c r="AE807" s="0" t="n">
        <v>0</v>
      </c>
      <c r="AF807" s="0" t="n">
        <v>0</v>
      </c>
      <c r="AG807" s="0" t="n">
        <v>0</v>
      </c>
      <c r="AH807" s="254" t="n">
        <v>113.678416802277</v>
      </c>
      <c r="AI807" s="0" t="n">
        <v>226</v>
      </c>
      <c r="AJ807" s="0" t="s">
        <v>630</v>
      </c>
      <c r="AK807" s="0" t="n">
        <v>0</v>
      </c>
      <c r="AL807" s="0" t="n">
        <v>0</v>
      </c>
      <c r="AM807" s="0" t="n">
        <v>0</v>
      </c>
    </row>
    <row r="808" customFormat="false" ht="12.75" hidden="false" customHeight="false" outlineLevel="0" collapsed="false">
      <c r="A808" s="0" t="s">
        <v>631</v>
      </c>
      <c r="B808" s="0" t="s">
        <v>458</v>
      </c>
      <c r="C808" s="0" t="s">
        <v>622</v>
      </c>
      <c r="D808" s="0" t="s">
        <v>623</v>
      </c>
      <c r="E808" s="0" t="s">
        <v>131</v>
      </c>
      <c r="F808" s="0" t="s">
        <v>281</v>
      </c>
      <c r="G808" s="0" t="s">
        <v>628</v>
      </c>
      <c r="H808" s="0" t="s">
        <v>625</v>
      </c>
      <c r="I808" s="0" t="s">
        <v>626</v>
      </c>
      <c r="J808" s="0" t="s">
        <v>627</v>
      </c>
      <c r="K808" s="475" t="n">
        <v>36861</v>
      </c>
      <c r="L808" s="254" t="n">
        <v>15994.0626541134</v>
      </c>
      <c r="M808" s="475" t="n">
        <v>36859</v>
      </c>
      <c r="N808" s="0" t="s">
        <v>132</v>
      </c>
      <c r="O808" s="0" t="n">
        <v>0.11</v>
      </c>
      <c r="P808" s="0" t="n">
        <v>0</v>
      </c>
      <c r="Q808" s="0" t="n">
        <v>0</v>
      </c>
      <c r="R808" s="0" t="n">
        <v>0</v>
      </c>
      <c r="S808" s="0" t="n">
        <v>0</v>
      </c>
      <c r="T808" s="0" t="s">
        <v>624</v>
      </c>
      <c r="U808" s="0" t="s">
        <v>632</v>
      </c>
      <c r="V808" s="0" t="s">
        <v>624</v>
      </c>
      <c r="W808" s="0" t="s">
        <v>569</v>
      </c>
      <c r="X808" s="0" t="s">
        <v>624</v>
      </c>
      <c r="Y808" s="0" t="s">
        <v>627</v>
      </c>
      <c r="Z808" s="0" t="s">
        <v>629</v>
      </c>
      <c r="AA808" s="0" t="s">
        <v>624</v>
      </c>
      <c r="AB808" s="0" t="s">
        <v>580</v>
      </c>
      <c r="AC808" s="254" t="n">
        <v>310000</v>
      </c>
      <c r="AD808" s="254" t="n">
        <v>2726.40393755559</v>
      </c>
      <c r="AE808" s="0" t="n">
        <v>0</v>
      </c>
      <c r="AF808" s="0" t="n">
        <v>0</v>
      </c>
      <c r="AG808" s="0" t="n">
        <v>0</v>
      </c>
      <c r="AH808" s="254" t="n">
        <v>137.219781914579</v>
      </c>
      <c r="AI808" s="0" t="n">
        <v>226</v>
      </c>
      <c r="AJ808" s="0" t="s">
        <v>630</v>
      </c>
      <c r="AK808" s="0" t="n">
        <v>0</v>
      </c>
      <c r="AL808" s="0" t="n">
        <v>0</v>
      </c>
      <c r="AM808" s="0" t="n">
        <v>0</v>
      </c>
    </row>
    <row r="809" customFormat="false" ht="12.75" hidden="false" customHeight="false" outlineLevel="0" collapsed="false">
      <c r="A809" s="0" t="s">
        <v>631</v>
      </c>
      <c r="B809" s="0" t="s">
        <v>458</v>
      </c>
      <c r="C809" s="0" t="s">
        <v>622</v>
      </c>
      <c r="D809" s="0" t="s">
        <v>623</v>
      </c>
      <c r="E809" s="0" t="s">
        <v>131</v>
      </c>
      <c r="F809" s="0" t="s">
        <v>281</v>
      </c>
      <c r="G809" s="0" t="s">
        <v>628</v>
      </c>
      <c r="H809" s="0" t="s">
        <v>625</v>
      </c>
      <c r="I809" s="0" t="s">
        <v>626</v>
      </c>
      <c r="J809" s="0" t="s">
        <v>627</v>
      </c>
      <c r="K809" s="475" t="n">
        <v>36892</v>
      </c>
      <c r="L809" s="254" t="n">
        <v>13936.513340406</v>
      </c>
      <c r="M809" s="475" t="n">
        <v>36888</v>
      </c>
      <c r="N809" s="0" t="s">
        <v>132</v>
      </c>
      <c r="O809" s="0" t="n">
        <v>0.11</v>
      </c>
      <c r="P809" s="0" t="n">
        <v>0</v>
      </c>
      <c r="Q809" s="0" t="n">
        <v>0</v>
      </c>
      <c r="R809" s="0" t="n">
        <v>0</v>
      </c>
      <c r="S809" s="0" t="n">
        <v>0</v>
      </c>
      <c r="T809" s="0" t="s">
        <v>624</v>
      </c>
      <c r="U809" s="0" t="s">
        <v>632</v>
      </c>
      <c r="V809" s="0" t="s">
        <v>624</v>
      </c>
      <c r="W809" s="0" t="s">
        <v>569</v>
      </c>
      <c r="X809" s="0" t="s">
        <v>624</v>
      </c>
      <c r="Y809" s="0" t="s">
        <v>627</v>
      </c>
      <c r="Z809" s="0" t="s">
        <v>629</v>
      </c>
      <c r="AA809" s="0" t="s">
        <v>624</v>
      </c>
      <c r="AB809" s="0" t="s">
        <v>580</v>
      </c>
      <c r="AC809" s="254" t="n">
        <v>310000</v>
      </c>
      <c r="AD809" s="254" t="n">
        <v>3106.28001157907</v>
      </c>
      <c r="AE809" s="0" t="n">
        <v>0</v>
      </c>
      <c r="AF809" s="0" t="n">
        <v>0</v>
      </c>
      <c r="AG809" s="0" t="n">
        <v>0</v>
      </c>
      <c r="AH809" s="254" t="n">
        <v>149.529306512866</v>
      </c>
      <c r="AI809" s="0" t="n">
        <v>226</v>
      </c>
      <c r="AJ809" s="0" t="s">
        <v>630</v>
      </c>
      <c r="AK809" s="0" t="n">
        <v>0</v>
      </c>
      <c r="AL809" s="0" t="n">
        <v>0</v>
      </c>
      <c r="AM809" s="0" t="n">
        <v>0</v>
      </c>
    </row>
    <row r="810" customFormat="false" ht="12.75" hidden="false" customHeight="false" outlineLevel="0" collapsed="false">
      <c r="A810" s="0" t="s">
        <v>631</v>
      </c>
      <c r="B810" s="0" t="s">
        <v>458</v>
      </c>
      <c r="C810" s="0" t="s">
        <v>622</v>
      </c>
      <c r="D810" s="0" t="s">
        <v>623</v>
      </c>
      <c r="E810" s="0" t="s">
        <v>131</v>
      </c>
      <c r="F810" s="0" t="s">
        <v>281</v>
      </c>
      <c r="G810" s="0" t="s">
        <v>628</v>
      </c>
      <c r="H810" s="0" t="s">
        <v>625</v>
      </c>
      <c r="I810" s="0" t="s">
        <v>626</v>
      </c>
      <c r="J810" s="0" t="s">
        <v>627</v>
      </c>
      <c r="K810" s="475" t="n">
        <v>36923</v>
      </c>
      <c r="L810" s="254" t="n">
        <v>12112.7848620301</v>
      </c>
      <c r="M810" s="475" t="n">
        <v>36921</v>
      </c>
      <c r="N810" s="0" t="s">
        <v>132</v>
      </c>
      <c r="O810" s="0" t="n">
        <v>0.11</v>
      </c>
      <c r="P810" s="0" t="n">
        <v>0</v>
      </c>
      <c r="Q810" s="0" t="n">
        <v>0</v>
      </c>
      <c r="R810" s="0" t="n">
        <v>0</v>
      </c>
      <c r="S810" s="0" t="n">
        <v>0</v>
      </c>
      <c r="T810" s="0" t="s">
        <v>624</v>
      </c>
      <c r="U810" s="0" t="s">
        <v>632</v>
      </c>
      <c r="V810" s="0" t="s">
        <v>624</v>
      </c>
      <c r="W810" s="0" t="s">
        <v>569</v>
      </c>
      <c r="X810" s="0" t="s">
        <v>624</v>
      </c>
      <c r="Y810" s="0" t="s">
        <v>627</v>
      </c>
      <c r="Z810" s="0" t="s">
        <v>629</v>
      </c>
      <c r="AA810" s="0" t="s">
        <v>624</v>
      </c>
      <c r="AB810" s="0" t="s">
        <v>580</v>
      </c>
      <c r="AC810" s="254" t="n">
        <v>280000</v>
      </c>
      <c r="AD810" s="254" t="n">
        <v>3029.91310925377</v>
      </c>
      <c r="AE810" s="0" t="n">
        <v>0</v>
      </c>
      <c r="AF810" s="0" t="n">
        <v>0</v>
      </c>
      <c r="AG810" s="0" t="n">
        <v>0</v>
      </c>
      <c r="AH810" s="254" t="n">
        <v>145.428163261307</v>
      </c>
      <c r="AI810" s="0" t="n">
        <v>226</v>
      </c>
      <c r="AJ810" s="0" t="s">
        <v>630</v>
      </c>
      <c r="AK810" s="0" t="n">
        <v>0</v>
      </c>
      <c r="AL810" s="0" t="n">
        <v>0</v>
      </c>
      <c r="AM810" s="0" t="n">
        <v>0</v>
      </c>
    </row>
    <row r="811" customFormat="false" ht="12.75" hidden="false" customHeight="false" outlineLevel="0" collapsed="false">
      <c r="A811" s="0" t="s">
        <v>631</v>
      </c>
      <c r="B811" s="0" t="s">
        <v>459</v>
      </c>
      <c r="C811" s="0" t="s">
        <v>622</v>
      </c>
      <c r="D811" s="0" t="s">
        <v>623</v>
      </c>
      <c r="E811" s="0" t="s">
        <v>131</v>
      </c>
      <c r="F811" s="0" t="s">
        <v>244</v>
      </c>
      <c r="G811" s="0" t="s">
        <v>628</v>
      </c>
      <c r="H811" s="0" t="s">
        <v>625</v>
      </c>
      <c r="I811" s="0" t="s">
        <v>626</v>
      </c>
      <c r="J811" s="0" t="s">
        <v>627</v>
      </c>
      <c r="K811" s="475" t="n">
        <v>36831</v>
      </c>
      <c r="L811" s="254" t="n">
        <v>85217.7819305855</v>
      </c>
      <c r="M811" s="475" t="n">
        <v>36829</v>
      </c>
      <c r="N811" s="0" t="s">
        <v>136</v>
      </c>
      <c r="O811" s="0" t="n">
        <v>1</v>
      </c>
      <c r="P811" s="0" t="n">
        <v>0</v>
      </c>
      <c r="Q811" s="0" t="n">
        <v>0</v>
      </c>
      <c r="R811" s="0" t="n">
        <v>0</v>
      </c>
      <c r="S811" s="0" t="n">
        <v>0</v>
      </c>
      <c r="T811" s="0" t="s">
        <v>624</v>
      </c>
      <c r="U811" s="0" t="s">
        <v>149</v>
      </c>
      <c r="V811" s="0" t="s">
        <v>624</v>
      </c>
      <c r="W811" s="0" t="s">
        <v>569</v>
      </c>
      <c r="X811" s="0" t="s">
        <v>624</v>
      </c>
      <c r="Y811" s="0" t="s">
        <v>627</v>
      </c>
      <c r="Z811" s="0" t="s">
        <v>629</v>
      </c>
      <c r="AA811" s="0" t="s">
        <v>624</v>
      </c>
      <c r="AB811" s="0" t="s">
        <v>580</v>
      </c>
      <c r="AC811" s="254" t="n">
        <v>500000</v>
      </c>
      <c r="AD811" s="254" t="n">
        <v>20906.9546718727</v>
      </c>
      <c r="AE811" s="0" t="n">
        <v>0</v>
      </c>
      <c r="AF811" s="0" t="n">
        <v>0</v>
      </c>
      <c r="AG811" s="0" t="n">
        <v>0</v>
      </c>
      <c r="AH811" s="254" t="n">
        <v>8666.53669829646</v>
      </c>
      <c r="AI811" s="0" t="n">
        <v>226</v>
      </c>
      <c r="AJ811" s="0" t="s">
        <v>630</v>
      </c>
      <c r="AK811" s="0" t="n">
        <v>0</v>
      </c>
      <c r="AL811" s="0" t="n">
        <v>0</v>
      </c>
      <c r="AM811" s="0" t="n">
        <v>0</v>
      </c>
    </row>
    <row r="812" customFormat="false" ht="12.75" hidden="false" customHeight="false" outlineLevel="0" collapsed="false">
      <c r="A812" s="0" t="s">
        <v>631</v>
      </c>
      <c r="B812" s="0" t="s">
        <v>460</v>
      </c>
      <c r="C812" s="0" t="s">
        <v>622</v>
      </c>
      <c r="D812" s="0" t="s">
        <v>623</v>
      </c>
      <c r="E812" s="0" t="s">
        <v>131</v>
      </c>
      <c r="F812" s="0" t="s">
        <v>363</v>
      </c>
      <c r="G812" s="0" t="s">
        <v>628</v>
      </c>
      <c r="H812" s="0" t="s">
        <v>625</v>
      </c>
      <c r="I812" s="0" t="s">
        <v>626</v>
      </c>
      <c r="J812" s="0" t="s">
        <v>627</v>
      </c>
      <c r="K812" s="475" t="n">
        <v>36831</v>
      </c>
      <c r="L812" s="254" t="n">
        <v>139888.754209716</v>
      </c>
      <c r="M812" s="475" t="n">
        <v>36829</v>
      </c>
      <c r="N812" s="0" t="s">
        <v>132</v>
      </c>
      <c r="O812" s="0" t="n">
        <v>0.5</v>
      </c>
      <c r="P812" s="0" t="n">
        <v>0</v>
      </c>
      <c r="Q812" s="0" t="n">
        <v>0</v>
      </c>
      <c r="R812" s="0" t="n">
        <v>0</v>
      </c>
      <c r="S812" s="0" t="n">
        <v>0</v>
      </c>
      <c r="T812" s="0" t="s">
        <v>624</v>
      </c>
      <c r="U812" s="0" t="s">
        <v>149</v>
      </c>
      <c r="V812" s="0" t="s">
        <v>624</v>
      </c>
      <c r="W812" s="0" t="s">
        <v>569</v>
      </c>
      <c r="X812" s="0" t="s">
        <v>624</v>
      </c>
      <c r="Y812" s="0" t="s">
        <v>627</v>
      </c>
      <c r="Z812" s="0" t="s">
        <v>629</v>
      </c>
      <c r="AA812" s="0" t="s">
        <v>624</v>
      </c>
      <c r="AB812" s="0" t="s">
        <v>580</v>
      </c>
      <c r="AC812" s="254" t="n">
        <v>1000000</v>
      </c>
      <c r="AD812" s="254" t="n">
        <v>42144.3480736854</v>
      </c>
      <c r="AE812" s="0" t="n">
        <v>0</v>
      </c>
      <c r="AF812" s="0" t="n">
        <v>0</v>
      </c>
      <c r="AG812" s="0" t="n">
        <v>0</v>
      </c>
      <c r="AH812" s="254" t="n">
        <v>-10607.014926701</v>
      </c>
      <c r="AI812" s="0" t="n">
        <v>226</v>
      </c>
      <c r="AJ812" s="0" t="s">
        <v>630</v>
      </c>
      <c r="AK812" s="0" t="n">
        <v>0</v>
      </c>
      <c r="AL812" s="0" t="n">
        <v>0</v>
      </c>
      <c r="AM812" s="0" t="n">
        <v>0</v>
      </c>
    </row>
    <row r="813" customFormat="false" ht="12.75" hidden="false" customHeight="false" outlineLevel="0" collapsed="false">
      <c r="A813" s="0" t="s">
        <v>631</v>
      </c>
      <c r="B813" s="0" t="s">
        <v>462</v>
      </c>
      <c r="C813" s="0" t="s">
        <v>622</v>
      </c>
      <c r="D813" s="0" t="s">
        <v>623</v>
      </c>
      <c r="E813" s="0" t="s">
        <v>131</v>
      </c>
      <c r="F813" s="0" t="s">
        <v>461</v>
      </c>
      <c r="G813" s="0" t="s">
        <v>628</v>
      </c>
      <c r="H813" s="0" t="s">
        <v>625</v>
      </c>
      <c r="I813" s="0" t="s">
        <v>626</v>
      </c>
      <c r="J813" s="0" t="s">
        <v>627</v>
      </c>
      <c r="K813" s="475" t="n">
        <v>36831</v>
      </c>
      <c r="L813" s="254" t="n">
        <v>51130.6691583513</v>
      </c>
      <c r="M813" s="475" t="n">
        <v>36829</v>
      </c>
      <c r="N813" s="0" t="s">
        <v>136</v>
      </c>
      <c r="O813" s="0" t="n">
        <v>1</v>
      </c>
      <c r="P813" s="0" t="n">
        <v>0</v>
      </c>
      <c r="Q813" s="0" t="n">
        <v>0</v>
      </c>
      <c r="R813" s="0" t="n">
        <v>0</v>
      </c>
      <c r="S813" s="0" t="n">
        <v>0</v>
      </c>
      <c r="T813" s="0" t="s">
        <v>624</v>
      </c>
      <c r="U813" s="0" t="s">
        <v>149</v>
      </c>
      <c r="V813" s="0" t="s">
        <v>624</v>
      </c>
      <c r="W813" s="0" t="s">
        <v>569</v>
      </c>
      <c r="X813" s="0" t="s">
        <v>624</v>
      </c>
      <c r="Y813" s="0" t="s">
        <v>627</v>
      </c>
      <c r="Z813" s="0" t="s">
        <v>629</v>
      </c>
      <c r="AA813" s="0" t="s">
        <v>624</v>
      </c>
      <c r="AB813" s="0" t="s">
        <v>580</v>
      </c>
      <c r="AC813" s="254" t="n">
        <v>300000</v>
      </c>
      <c r="AD813" s="254" t="n">
        <v>12544.1728031236</v>
      </c>
      <c r="AE813" s="0" t="n">
        <v>0</v>
      </c>
      <c r="AF813" s="0" t="n">
        <v>0</v>
      </c>
      <c r="AG813" s="0" t="n">
        <v>0</v>
      </c>
      <c r="AH813" s="254" t="n">
        <v>5199.92201897788</v>
      </c>
      <c r="AI813" s="0" t="n">
        <v>226</v>
      </c>
      <c r="AJ813" s="0" t="s">
        <v>630</v>
      </c>
      <c r="AK813" s="0" t="n">
        <v>0</v>
      </c>
      <c r="AL813" s="0" t="n">
        <v>0</v>
      </c>
      <c r="AM813" s="0" t="n">
        <v>0</v>
      </c>
    </row>
    <row r="814" customFormat="false" ht="12.75" hidden="false" customHeight="false" outlineLevel="0" collapsed="false">
      <c r="A814" s="0" t="s">
        <v>631</v>
      </c>
      <c r="B814" s="0" t="s">
        <v>463</v>
      </c>
      <c r="C814" s="0" t="s">
        <v>622</v>
      </c>
      <c r="D814" s="0" t="s">
        <v>623</v>
      </c>
      <c r="E814" s="0" t="s">
        <v>131</v>
      </c>
      <c r="F814" s="0" t="s">
        <v>196</v>
      </c>
      <c r="G814" s="0" t="s">
        <v>628</v>
      </c>
      <c r="H814" s="0" t="s">
        <v>625</v>
      </c>
      <c r="I814" s="0" t="s">
        <v>626</v>
      </c>
      <c r="J814" s="0" t="s">
        <v>627</v>
      </c>
      <c r="K814" s="475" t="n">
        <v>36831</v>
      </c>
      <c r="L814" s="254" t="n">
        <v>-3788.79158190172</v>
      </c>
      <c r="M814" s="475" t="n">
        <v>36829</v>
      </c>
      <c r="N814" s="0" t="s">
        <v>132</v>
      </c>
      <c r="O814" s="0" t="n">
        <v>0.5</v>
      </c>
      <c r="P814" s="0" t="n">
        <v>0</v>
      </c>
      <c r="Q814" s="0" t="n">
        <v>0</v>
      </c>
      <c r="R814" s="0" t="n">
        <v>0</v>
      </c>
      <c r="S814" s="0" t="n">
        <v>0</v>
      </c>
      <c r="T814" s="0" t="s">
        <v>624</v>
      </c>
      <c r="U814" s="0" t="s">
        <v>137</v>
      </c>
      <c r="V814" s="0" t="s">
        <v>624</v>
      </c>
      <c r="W814" s="0" t="s">
        <v>569</v>
      </c>
      <c r="X814" s="0" t="s">
        <v>624</v>
      </c>
      <c r="Y814" s="0" t="s">
        <v>627</v>
      </c>
      <c r="Z814" s="0" t="s">
        <v>629</v>
      </c>
      <c r="AA814" s="0" t="s">
        <v>624</v>
      </c>
      <c r="AB814" s="0" t="s">
        <v>580</v>
      </c>
      <c r="AC814" s="254" t="n">
        <v>-150000</v>
      </c>
      <c r="AD814" s="254" t="n">
        <v>-2837.0161956928</v>
      </c>
      <c r="AE814" s="0" t="n">
        <v>0</v>
      </c>
      <c r="AF814" s="0" t="n">
        <v>0</v>
      </c>
      <c r="AG814" s="0" t="n">
        <v>0</v>
      </c>
      <c r="AH814" s="254" t="n">
        <v>2620.86240866926</v>
      </c>
      <c r="AI814" s="0" t="n">
        <v>226</v>
      </c>
      <c r="AJ814" s="0" t="s">
        <v>630</v>
      </c>
      <c r="AK814" s="0" t="n">
        <v>0</v>
      </c>
      <c r="AL814" s="0" t="n">
        <v>0</v>
      </c>
      <c r="AM814" s="0" t="n">
        <v>0</v>
      </c>
    </row>
    <row r="815" customFormat="false" ht="12.75" hidden="false" customHeight="false" outlineLevel="0" collapsed="false">
      <c r="A815" s="0" t="s">
        <v>631</v>
      </c>
      <c r="B815" s="0" t="s">
        <v>463</v>
      </c>
      <c r="C815" s="0" t="s">
        <v>622</v>
      </c>
      <c r="D815" s="0" t="s">
        <v>623</v>
      </c>
      <c r="E815" s="0" t="s">
        <v>131</v>
      </c>
      <c r="F815" s="0" t="s">
        <v>196</v>
      </c>
      <c r="G815" s="0" t="s">
        <v>628</v>
      </c>
      <c r="H815" s="0" t="s">
        <v>625</v>
      </c>
      <c r="I815" s="0" t="s">
        <v>626</v>
      </c>
      <c r="J815" s="0" t="s">
        <v>627</v>
      </c>
      <c r="K815" s="475" t="n">
        <v>36861</v>
      </c>
      <c r="L815" s="254" t="n">
        <v>-23023.9947071395</v>
      </c>
      <c r="M815" s="475" t="n">
        <v>36859</v>
      </c>
      <c r="N815" s="0" t="s">
        <v>132</v>
      </c>
      <c r="O815" s="0" t="n">
        <v>0.5</v>
      </c>
      <c r="P815" s="0" t="n">
        <v>0</v>
      </c>
      <c r="Q815" s="0" t="n">
        <v>0</v>
      </c>
      <c r="R815" s="0" t="n">
        <v>0</v>
      </c>
      <c r="S815" s="0" t="n">
        <v>0</v>
      </c>
      <c r="T815" s="0" t="s">
        <v>624</v>
      </c>
      <c r="U815" s="0" t="s">
        <v>137</v>
      </c>
      <c r="V815" s="0" t="s">
        <v>624</v>
      </c>
      <c r="W815" s="0" t="s">
        <v>569</v>
      </c>
      <c r="X815" s="0" t="s">
        <v>624</v>
      </c>
      <c r="Y815" s="0" t="s">
        <v>627</v>
      </c>
      <c r="Z815" s="0" t="s">
        <v>629</v>
      </c>
      <c r="AA815" s="0" t="s">
        <v>624</v>
      </c>
      <c r="AB815" s="0" t="s">
        <v>580</v>
      </c>
      <c r="AC815" s="254" t="n">
        <v>-155000</v>
      </c>
      <c r="AD815" s="254" t="n">
        <v>-8276.00012094174</v>
      </c>
      <c r="AE815" s="0" t="n">
        <v>0</v>
      </c>
      <c r="AF815" s="0" t="n">
        <v>0</v>
      </c>
      <c r="AG815" s="0" t="n">
        <v>0</v>
      </c>
      <c r="AH815" s="254" t="n">
        <v>5784.32752648522</v>
      </c>
      <c r="AI815" s="0" t="n">
        <v>226</v>
      </c>
      <c r="AJ815" s="0" t="s">
        <v>630</v>
      </c>
      <c r="AK815" s="0" t="n">
        <v>0</v>
      </c>
      <c r="AL815" s="0" t="n">
        <v>0</v>
      </c>
      <c r="AM815" s="0" t="n">
        <v>0</v>
      </c>
    </row>
    <row r="816" customFormat="false" ht="12.75" hidden="false" customHeight="false" outlineLevel="0" collapsed="false">
      <c r="A816" s="0" t="s">
        <v>631</v>
      </c>
      <c r="B816" s="0" t="s">
        <v>463</v>
      </c>
      <c r="C816" s="0" t="s">
        <v>622</v>
      </c>
      <c r="D816" s="0" t="s">
        <v>623</v>
      </c>
      <c r="E816" s="0" t="s">
        <v>131</v>
      </c>
      <c r="F816" s="0" t="s">
        <v>196</v>
      </c>
      <c r="G816" s="0" t="s">
        <v>628</v>
      </c>
      <c r="H816" s="0" t="s">
        <v>625</v>
      </c>
      <c r="I816" s="0" t="s">
        <v>626</v>
      </c>
      <c r="J816" s="0" t="s">
        <v>627</v>
      </c>
      <c r="K816" s="475" t="n">
        <v>36892</v>
      </c>
      <c r="L816" s="254" t="n">
        <v>-40704.5496568353</v>
      </c>
      <c r="M816" s="475" t="n">
        <v>36888</v>
      </c>
      <c r="N816" s="0" t="s">
        <v>132</v>
      </c>
      <c r="O816" s="0" t="n">
        <v>0.5</v>
      </c>
      <c r="P816" s="0" t="n">
        <v>0</v>
      </c>
      <c r="Q816" s="0" t="n">
        <v>0</v>
      </c>
      <c r="R816" s="0" t="n">
        <v>0</v>
      </c>
      <c r="S816" s="0" t="n">
        <v>0</v>
      </c>
      <c r="T816" s="0" t="s">
        <v>624</v>
      </c>
      <c r="U816" s="0" t="s">
        <v>137</v>
      </c>
      <c r="V816" s="0" t="s">
        <v>624</v>
      </c>
      <c r="W816" s="0" t="s">
        <v>569</v>
      </c>
      <c r="X816" s="0" t="s">
        <v>624</v>
      </c>
      <c r="Y816" s="0" t="s">
        <v>627</v>
      </c>
      <c r="Z816" s="0" t="s">
        <v>629</v>
      </c>
      <c r="AA816" s="0" t="s">
        <v>624</v>
      </c>
      <c r="AB816" s="0" t="s">
        <v>580</v>
      </c>
      <c r="AC816" s="254" t="n">
        <v>-155000</v>
      </c>
      <c r="AD816" s="254" t="n">
        <v>-10813.7157661247</v>
      </c>
      <c r="AE816" s="0" t="n">
        <v>0</v>
      </c>
      <c r="AF816" s="0" t="n">
        <v>0</v>
      </c>
      <c r="AG816" s="0" t="n">
        <v>0</v>
      </c>
      <c r="AH816" s="254" t="n">
        <v>-3404.45674345082</v>
      </c>
      <c r="AI816" s="0" t="n">
        <v>226</v>
      </c>
      <c r="AJ816" s="0" t="s">
        <v>630</v>
      </c>
      <c r="AK816" s="0" t="n">
        <v>0</v>
      </c>
      <c r="AL816" s="0" t="n">
        <v>0</v>
      </c>
      <c r="AM816" s="0" t="n">
        <v>0</v>
      </c>
    </row>
    <row r="817" customFormat="false" ht="12.75" hidden="false" customHeight="false" outlineLevel="0" collapsed="false">
      <c r="A817" s="0" t="s">
        <v>631</v>
      </c>
      <c r="B817" s="0" t="s">
        <v>463</v>
      </c>
      <c r="C817" s="0" t="s">
        <v>622</v>
      </c>
      <c r="D817" s="0" t="s">
        <v>623</v>
      </c>
      <c r="E817" s="0" t="s">
        <v>131</v>
      </c>
      <c r="F817" s="0" t="s">
        <v>196</v>
      </c>
      <c r="G817" s="0" t="s">
        <v>628</v>
      </c>
      <c r="H817" s="0" t="s">
        <v>625</v>
      </c>
      <c r="I817" s="0" t="s">
        <v>626</v>
      </c>
      <c r="J817" s="0" t="s">
        <v>627</v>
      </c>
      <c r="K817" s="475" t="n">
        <v>36923</v>
      </c>
      <c r="L817" s="254" t="n">
        <v>-46862.0279951138</v>
      </c>
      <c r="M817" s="475" t="n">
        <v>36921</v>
      </c>
      <c r="N817" s="0" t="s">
        <v>132</v>
      </c>
      <c r="O817" s="0" t="n">
        <v>0.5</v>
      </c>
      <c r="P817" s="0" t="n">
        <v>0</v>
      </c>
      <c r="Q817" s="0" t="n">
        <v>0</v>
      </c>
      <c r="R817" s="0" t="n">
        <v>0</v>
      </c>
      <c r="S817" s="0" t="n">
        <v>0</v>
      </c>
      <c r="T817" s="0" t="s">
        <v>624</v>
      </c>
      <c r="U817" s="0" t="s">
        <v>137</v>
      </c>
      <c r="V817" s="0" t="s">
        <v>624</v>
      </c>
      <c r="W817" s="0" t="s">
        <v>569</v>
      </c>
      <c r="X817" s="0" t="s">
        <v>624</v>
      </c>
      <c r="Y817" s="0" t="s">
        <v>627</v>
      </c>
      <c r="Z817" s="0" t="s">
        <v>629</v>
      </c>
      <c r="AA817" s="0" t="s">
        <v>624</v>
      </c>
      <c r="AB817" s="0" t="s">
        <v>580</v>
      </c>
      <c r="AC817" s="254" t="n">
        <v>-140000</v>
      </c>
      <c r="AD817" s="254" t="n">
        <v>-11019.8914478834</v>
      </c>
      <c r="AE817" s="0" t="n">
        <v>0</v>
      </c>
      <c r="AF817" s="0" t="n">
        <v>0</v>
      </c>
      <c r="AG817" s="0" t="n">
        <v>0</v>
      </c>
      <c r="AH817" s="254" t="n">
        <v>-3541.71980857256</v>
      </c>
      <c r="AI817" s="0" t="n">
        <v>226</v>
      </c>
      <c r="AJ817" s="0" t="s">
        <v>630</v>
      </c>
      <c r="AK817" s="0" t="n">
        <v>0</v>
      </c>
      <c r="AL817" s="0" t="n">
        <v>0</v>
      </c>
      <c r="AM817" s="0" t="n">
        <v>0</v>
      </c>
    </row>
    <row r="818" customFormat="false" ht="12.75" hidden="false" customHeight="false" outlineLevel="0" collapsed="false">
      <c r="A818" s="0" t="s">
        <v>631</v>
      </c>
      <c r="B818" s="0" t="s">
        <v>463</v>
      </c>
      <c r="C818" s="0" t="s">
        <v>622</v>
      </c>
      <c r="D818" s="0" t="s">
        <v>623</v>
      </c>
      <c r="E818" s="0" t="s">
        <v>131</v>
      </c>
      <c r="F818" s="0" t="s">
        <v>196</v>
      </c>
      <c r="G818" s="0" t="s">
        <v>628</v>
      </c>
      <c r="H818" s="0" t="s">
        <v>625</v>
      </c>
      <c r="I818" s="0" t="s">
        <v>626</v>
      </c>
      <c r="J818" s="0" t="s">
        <v>627</v>
      </c>
      <c r="K818" s="475" t="n">
        <v>36951</v>
      </c>
      <c r="L818" s="254" t="n">
        <v>-48312.224250617</v>
      </c>
      <c r="M818" s="475" t="n">
        <v>36949</v>
      </c>
      <c r="N818" s="0" t="s">
        <v>132</v>
      </c>
      <c r="O818" s="0" t="n">
        <v>0.5</v>
      </c>
      <c r="P818" s="0" t="n">
        <v>0</v>
      </c>
      <c r="Q818" s="0" t="n">
        <v>0</v>
      </c>
      <c r="R818" s="0" t="n">
        <v>0</v>
      </c>
      <c r="S818" s="0" t="n">
        <v>0</v>
      </c>
      <c r="T818" s="0" t="s">
        <v>624</v>
      </c>
      <c r="U818" s="0" t="s">
        <v>137</v>
      </c>
      <c r="V818" s="0" t="s">
        <v>624</v>
      </c>
      <c r="W818" s="0" t="s">
        <v>569</v>
      </c>
      <c r="X818" s="0" t="s">
        <v>624</v>
      </c>
      <c r="Y818" s="0" t="s">
        <v>627</v>
      </c>
      <c r="Z818" s="0" t="s">
        <v>629</v>
      </c>
      <c r="AA818" s="0" t="s">
        <v>624</v>
      </c>
      <c r="AB818" s="0" t="s">
        <v>580</v>
      </c>
      <c r="AC818" s="254" t="n">
        <v>-155000</v>
      </c>
      <c r="AD818" s="254" t="n">
        <v>-11843.0043848492</v>
      </c>
      <c r="AE818" s="0" t="n">
        <v>0</v>
      </c>
      <c r="AF818" s="0" t="n">
        <v>0</v>
      </c>
      <c r="AG818" s="0" t="n">
        <v>0</v>
      </c>
      <c r="AH818" s="254" t="n">
        <v>-3957.61945353519</v>
      </c>
      <c r="AI818" s="0" t="n">
        <v>226</v>
      </c>
      <c r="AJ818" s="0" t="s">
        <v>630</v>
      </c>
      <c r="AK818" s="0" t="n">
        <v>0</v>
      </c>
      <c r="AL818" s="0" t="n">
        <v>0</v>
      </c>
      <c r="AM818" s="0" t="n">
        <v>0</v>
      </c>
    </row>
    <row r="819" customFormat="false" ht="12.75" hidden="false" customHeight="false" outlineLevel="0" collapsed="false">
      <c r="A819" s="0" t="s">
        <v>631</v>
      </c>
      <c r="B819" s="0" t="s">
        <v>464</v>
      </c>
      <c r="C819" s="0" t="s">
        <v>622</v>
      </c>
      <c r="D819" s="0" t="s">
        <v>623</v>
      </c>
      <c r="E819" s="0" t="s">
        <v>131</v>
      </c>
      <c r="F819" s="0" t="s">
        <v>244</v>
      </c>
      <c r="G819" s="0" t="s">
        <v>628</v>
      </c>
      <c r="H819" s="0" t="s">
        <v>625</v>
      </c>
      <c r="I819" s="0" t="s">
        <v>626</v>
      </c>
      <c r="J819" s="0" t="s">
        <v>627</v>
      </c>
      <c r="K819" s="475" t="n">
        <v>36831</v>
      </c>
      <c r="L819" s="254" t="n">
        <v>-25258.6105460115</v>
      </c>
      <c r="M819" s="475" t="n">
        <v>36829</v>
      </c>
      <c r="N819" s="0" t="s">
        <v>132</v>
      </c>
      <c r="O819" s="0" t="n">
        <v>0.5</v>
      </c>
      <c r="P819" s="0" t="n">
        <v>0</v>
      </c>
      <c r="Q819" s="0" t="n">
        <v>0</v>
      </c>
      <c r="R819" s="0" t="n">
        <v>0</v>
      </c>
      <c r="S819" s="0" t="n">
        <v>0</v>
      </c>
      <c r="T819" s="0" t="s">
        <v>624</v>
      </c>
      <c r="U819" s="0" t="s">
        <v>137</v>
      </c>
      <c r="V819" s="0" t="s">
        <v>624</v>
      </c>
      <c r="W819" s="0" t="s">
        <v>569</v>
      </c>
      <c r="X819" s="0" t="s">
        <v>624</v>
      </c>
      <c r="Y819" s="0" t="s">
        <v>627</v>
      </c>
      <c r="Z819" s="0" t="s">
        <v>629</v>
      </c>
      <c r="AA819" s="0" t="s">
        <v>624</v>
      </c>
      <c r="AB819" s="0" t="s">
        <v>580</v>
      </c>
      <c r="AC819" s="254" t="n">
        <v>-1000000</v>
      </c>
      <c r="AD819" s="254" t="n">
        <v>-18913.4413046187</v>
      </c>
      <c r="AE819" s="0" t="n">
        <v>0</v>
      </c>
      <c r="AF819" s="0" t="n">
        <v>0</v>
      </c>
      <c r="AG819" s="0" t="n">
        <v>0</v>
      </c>
      <c r="AH819" s="254" t="n">
        <v>17472.416057795</v>
      </c>
      <c r="AI819" s="0" t="n">
        <v>226</v>
      </c>
      <c r="AJ819" s="0" t="s">
        <v>630</v>
      </c>
      <c r="AK819" s="0" t="n">
        <v>0</v>
      </c>
      <c r="AL819" s="0" t="n">
        <v>0</v>
      </c>
      <c r="AM819" s="0" t="n">
        <v>0</v>
      </c>
    </row>
    <row r="820" customFormat="false" ht="12.75" hidden="false" customHeight="false" outlineLevel="0" collapsed="false">
      <c r="A820" s="0" t="s">
        <v>631</v>
      </c>
      <c r="B820" s="0" t="s">
        <v>464</v>
      </c>
      <c r="C820" s="0" t="s">
        <v>622</v>
      </c>
      <c r="D820" s="0" t="s">
        <v>623</v>
      </c>
      <c r="E820" s="0" t="s">
        <v>131</v>
      </c>
      <c r="F820" s="0" t="s">
        <v>244</v>
      </c>
      <c r="G820" s="0" t="s">
        <v>628</v>
      </c>
      <c r="H820" s="0" t="s">
        <v>625</v>
      </c>
      <c r="I820" s="0" t="s">
        <v>626</v>
      </c>
      <c r="J820" s="0" t="s">
        <v>627</v>
      </c>
      <c r="K820" s="475" t="n">
        <v>36861</v>
      </c>
      <c r="L820" s="254" t="n">
        <v>-148541.901336384</v>
      </c>
      <c r="M820" s="475" t="n">
        <v>36859</v>
      </c>
      <c r="N820" s="0" t="s">
        <v>132</v>
      </c>
      <c r="O820" s="0" t="n">
        <v>0.5</v>
      </c>
      <c r="P820" s="0" t="n">
        <v>0</v>
      </c>
      <c r="Q820" s="0" t="n">
        <v>0</v>
      </c>
      <c r="R820" s="0" t="n">
        <v>0</v>
      </c>
      <c r="S820" s="0" t="n">
        <v>0</v>
      </c>
      <c r="T820" s="0" t="s">
        <v>624</v>
      </c>
      <c r="U820" s="0" t="s">
        <v>137</v>
      </c>
      <c r="V820" s="0" t="s">
        <v>624</v>
      </c>
      <c r="W820" s="0" t="s">
        <v>569</v>
      </c>
      <c r="X820" s="0" t="s">
        <v>624</v>
      </c>
      <c r="Y820" s="0" t="s">
        <v>627</v>
      </c>
      <c r="Z820" s="0" t="s">
        <v>629</v>
      </c>
      <c r="AA820" s="0" t="s">
        <v>624</v>
      </c>
      <c r="AB820" s="0" t="s">
        <v>580</v>
      </c>
      <c r="AC820" s="254" t="n">
        <v>-1000000</v>
      </c>
      <c r="AD820" s="254" t="n">
        <v>-53393.5491673661</v>
      </c>
      <c r="AE820" s="0" t="n">
        <v>0</v>
      </c>
      <c r="AF820" s="0" t="n">
        <v>0</v>
      </c>
      <c r="AG820" s="0" t="n">
        <v>0</v>
      </c>
      <c r="AH820" s="254" t="n">
        <v>37318.2421063563</v>
      </c>
      <c r="AI820" s="0" t="n">
        <v>226</v>
      </c>
      <c r="AJ820" s="0" t="s">
        <v>630</v>
      </c>
      <c r="AK820" s="0" t="n">
        <v>0</v>
      </c>
      <c r="AL820" s="0" t="n">
        <v>0</v>
      </c>
      <c r="AM820" s="0" t="n">
        <v>0</v>
      </c>
    </row>
    <row r="821" customFormat="false" ht="12.75" hidden="false" customHeight="false" outlineLevel="0" collapsed="false">
      <c r="A821" s="0" t="s">
        <v>631</v>
      </c>
      <c r="B821" s="0" t="s">
        <v>464</v>
      </c>
      <c r="C821" s="0" t="s">
        <v>622</v>
      </c>
      <c r="D821" s="0" t="s">
        <v>623</v>
      </c>
      <c r="E821" s="0" t="s">
        <v>131</v>
      </c>
      <c r="F821" s="0" t="s">
        <v>244</v>
      </c>
      <c r="G821" s="0" t="s">
        <v>628</v>
      </c>
      <c r="H821" s="0" t="s">
        <v>625</v>
      </c>
      <c r="I821" s="0" t="s">
        <v>626</v>
      </c>
      <c r="J821" s="0" t="s">
        <v>627</v>
      </c>
      <c r="K821" s="475" t="n">
        <v>36892</v>
      </c>
      <c r="L821" s="254" t="n">
        <v>-262609.997786034</v>
      </c>
      <c r="M821" s="475" t="n">
        <v>36888</v>
      </c>
      <c r="N821" s="0" t="s">
        <v>132</v>
      </c>
      <c r="O821" s="0" t="n">
        <v>0.5</v>
      </c>
      <c r="P821" s="0" t="n">
        <v>0</v>
      </c>
      <c r="Q821" s="0" t="n">
        <v>0</v>
      </c>
      <c r="R821" s="0" t="n">
        <v>0</v>
      </c>
      <c r="S821" s="0" t="n">
        <v>0</v>
      </c>
      <c r="T821" s="0" t="s">
        <v>624</v>
      </c>
      <c r="U821" s="0" t="s">
        <v>137</v>
      </c>
      <c r="V821" s="0" t="s">
        <v>624</v>
      </c>
      <c r="W821" s="0" t="s">
        <v>569</v>
      </c>
      <c r="X821" s="0" t="s">
        <v>624</v>
      </c>
      <c r="Y821" s="0" t="s">
        <v>627</v>
      </c>
      <c r="Z821" s="0" t="s">
        <v>629</v>
      </c>
      <c r="AA821" s="0" t="s">
        <v>624</v>
      </c>
      <c r="AB821" s="0" t="s">
        <v>580</v>
      </c>
      <c r="AC821" s="254" t="n">
        <v>-1000000</v>
      </c>
      <c r="AD821" s="254" t="n">
        <v>-69765.9081685466</v>
      </c>
      <c r="AE821" s="0" t="n">
        <v>0</v>
      </c>
      <c r="AF821" s="0" t="n">
        <v>0</v>
      </c>
      <c r="AG821" s="0" t="n">
        <v>0</v>
      </c>
      <c r="AH821" s="254" t="n">
        <v>-21964.2370545215</v>
      </c>
      <c r="AI821" s="0" t="n">
        <v>226</v>
      </c>
      <c r="AJ821" s="0" t="s">
        <v>630</v>
      </c>
      <c r="AK821" s="0" t="n">
        <v>0</v>
      </c>
      <c r="AL821" s="0" t="n">
        <v>0</v>
      </c>
      <c r="AM821" s="0" t="n">
        <v>0</v>
      </c>
    </row>
    <row r="822" customFormat="false" ht="12.75" hidden="false" customHeight="false" outlineLevel="0" collapsed="false">
      <c r="A822" s="0" t="s">
        <v>631</v>
      </c>
      <c r="B822" s="0" t="s">
        <v>464</v>
      </c>
      <c r="C822" s="0" t="s">
        <v>622</v>
      </c>
      <c r="D822" s="0" t="s">
        <v>623</v>
      </c>
      <c r="E822" s="0" t="s">
        <v>131</v>
      </c>
      <c r="F822" s="0" t="s">
        <v>244</v>
      </c>
      <c r="G822" s="0" t="s">
        <v>628</v>
      </c>
      <c r="H822" s="0" t="s">
        <v>625</v>
      </c>
      <c r="I822" s="0" t="s">
        <v>626</v>
      </c>
      <c r="J822" s="0" t="s">
        <v>627</v>
      </c>
      <c r="K822" s="475" t="n">
        <v>36923</v>
      </c>
      <c r="L822" s="254" t="n">
        <v>-334728.77139367</v>
      </c>
      <c r="M822" s="475" t="n">
        <v>36921</v>
      </c>
      <c r="N822" s="0" t="s">
        <v>132</v>
      </c>
      <c r="O822" s="0" t="n">
        <v>0.5</v>
      </c>
      <c r="P822" s="0" t="n">
        <v>0</v>
      </c>
      <c r="Q822" s="0" t="n">
        <v>0</v>
      </c>
      <c r="R822" s="0" t="n">
        <v>0</v>
      </c>
      <c r="S822" s="0" t="n">
        <v>0</v>
      </c>
      <c r="T822" s="0" t="s">
        <v>624</v>
      </c>
      <c r="U822" s="0" t="s">
        <v>137</v>
      </c>
      <c r="V822" s="0" t="s">
        <v>624</v>
      </c>
      <c r="W822" s="0" t="s">
        <v>569</v>
      </c>
      <c r="X822" s="0" t="s">
        <v>624</v>
      </c>
      <c r="Y822" s="0" t="s">
        <v>627</v>
      </c>
      <c r="Z822" s="0" t="s">
        <v>629</v>
      </c>
      <c r="AA822" s="0" t="s">
        <v>624</v>
      </c>
      <c r="AB822" s="0" t="s">
        <v>580</v>
      </c>
      <c r="AC822" s="254" t="n">
        <v>-1000000</v>
      </c>
      <c r="AD822" s="254" t="n">
        <v>-78713.5103420246</v>
      </c>
      <c r="AE822" s="0" t="n">
        <v>0</v>
      </c>
      <c r="AF822" s="0" t="n">
        <v>0</v>
      </c>
      <c r="AG822" s="0" t="n">
        <v>0</v>
      </c>
      <c r="AH822" s="254" t="n">
        <v>-25297.9986326611</v>
      </c>
      <c r="AI822" s="0" t="n">
        <v>226</v>
      </c>
      <c r="AJ822" s="0" t="s">
        <v>630</v>
      </c>
      <c r="AK822" s="0" t="n">
        <v>0</v>
      </c>
      <c r="AL822" s="0" t="n">
        <v>0</v>
      </c>
      <c r="AM822" s="0" t="n">
        <v>0</v>
      </c>
    </row>
    <row r="823" customFormat="false" ht="12.75" hidden="false" customHeight="false" outlineLevel="0" collapsed="false">
      <c r="A823" s="0" t="s">
        <v>631</v>
      </c>
      <c r="B823" s="0" t="s">
        <v>464</v>
      </c>
      <c r="C823" s="0" t="s">
        <v>622</v>
      </c>
      <c r="D823" s="0" t="s">
        <v>623</v>
      </c>
      <c r="E823" s="0" t="s">
        <v>131</v>
      </c>
      <c r="F823" s="0" t="s">
        <v>244</v>
      </c>
      <c r="G823" s="0" t="s">
        <v>628</v>
      </c>
      <c r="H823" s="0" t="s">
        <v>625</v>
      </c>
      <c r="I823" s="0" t="s">
        <v>626</v>
      </c>
      <c r="J823" s="0" t="s">
        <v>627</v>
      </c>
      <c r="K823" s="475" t="n">
        <v>36951</v>
      </c>
      <c r="L823" s="254" t="n">
        <v>-311691.769358819</v>
      </c>
      <c r="M823" s="475" t="n">
        <v>36949</v>
      </c>
      <c r="N823" s="0" t="s">
        <v>132</v>
      </c>
      <c r="O823" s="0" t="n">
        <v>0.5</v>
      </c>
      <c r="P823" s="0" t="n">
        <v>0</v>
      </c>
      <c r="Q823" s="0" t="n">
        <v>0</v>
      </c>
      <c r="R823" s="0" t="n">
        <v>0</v>
      </c>
      <c r="S823" s="0" t="n">
        <v>0</v>
      </c>
      <c r="T823" s="0" t="s">
        <v>624</v>
      </c>
      <c r="U823" s="0" t="s">
        <v>137</v>
      </c>
      <c r="V823" s="0" t="s">
        <v>624</v>
      </c>
      <c r="W823" s="0" t="s">
        <v>569</v>
      </c>
      <c r="X823" s="0" t="s">
        <v>624</v>
      </c>
      <c r="Y823" s="0" t="s">
        <v>627</v>
      </c>
      <c r="Z823" s="0" t="s">
        <v>629</v>
      </c>
      <c r="AA823" s="0" t="s">
        <v>624</v>
      </c>
      <c r="AB823" s="0" t="s">
        <v>580</v>
      </c>
      <c r="AC823" s="254" t="n">
        <v>-1000000</v>
      </c>
      <c r="AD823" s="254" t="n">
        <v>-76406.4799022531</v>
      </c>
      <c r="AE823" s="0" t="n">
        <v>0</v>
      </c>
      <c r="AF823" s="0" t="n">
        <v>0</v>
      </c>
      <c r="AG823" s="0" t="n">
        <v>0</v>
      </c>
      <c r="AH823" s="254" t="n">
        <v>-25533.0287324851</v>
      </c>
      <c r="AI823" s="0" t="n">
        <v>226</v>
      </c>
      <c r="AJ823" s="0" t="s">
        <v>630</v>
      </c>
      <c r="AK823" s="0" t="n">
        <v>0</v>
      </c>
      <c r="AL823" s="0" t="n">
        <v>0</v>
      </c>
      <c r="AM823" s="0" t="n">
        <v>0</v>
      </c>
    </row>
    <row r="824" customFormat="false" ht="12.75" hidden="false" customHeight="false" outlineLevel="0" collapsed="false">
      <c r="A824" s="0" t="s">
        <v>631</v>
      </c>
      <c r="B824" s="0" t="s">
        <v>466</v>
      </c>
      <c r="C824" s="0" t="s">
        <v>622</v>
      </c>
      <c r="D824" s="0" t="s">
        <v>623</v>
      </c>
      <c r="E824" s="0" t="s">
        <v>131</v>
      </c>
      <c r="F824" s="0" t="s">
        <v>465</v>
      </c>
      <c r="G824" s="0" t="s">
        <v>628</v>
      </c>
      <c r="H824" s="0" t="s">
        <v>625</v>
      </c>
      <c r="I824" s="0" t="s">
        <v>626</v>
      </c>
      <c r="J824" s="0" t="s">
        <v>627</v>
      </c>
      <c r="K824" s="475" t="n">
        <v>36831</v>
      </c>
      <c r="L824" s="254" t="n">
        <v>143948.985723739</v>
      </c>
      <c r="M824" s="475" t="n">
        <v>36829</v>
      </c>
      <c r="N824" s="0" t="s">
        <v>136</v>
      </c>
      <c r="O824" s="0" t="n">
        <v>0.15</v>
      </c>
      <c r="P824" s="0" t="n">
        <v>0</v>
      </c>
      <c r="Q824" s="0" t="n">
        <v>0</v>
      </c>
      <c r="R824" s="0" t="n">
        <v>0</v>
      </c>
      <c r="S824" s="0" t="n">
        <v>0</v>
      </c>
      <c r="T824" s="0" t="s">
        <v>624</v>
      </c>
      <c r="U824" s="0" t="s">
        <v>158</v>
      </c>
      <c r="V824" s="0" t="s">
        <v>624</v>
      </c>
      <c r="W824" s="0" t="s">
        <v>569</v>
      </c>
      <c r="X824" s="0" t="s">
        <v>624</v>
      </c>
      <c r="Y824" s="0" t="s">
        <v>627</v>
      </c>
      <c r="Z824" s="0" t="s">
        <v>629</v>
      </c>
      <c r="AA824" s="0" t="s">
        <v>624</v>
      </c>
      <c r="AB824" s="0" t="s">
        <v>580</v>
      </c>
      <c r="AC824" s="254" t="n">
        <v>2500000</v>
      </c>
      <c r="AD824" s="254" t="n">
        <v>69756.4709593472</v>
      </c>
      <c r="AE824" s="0" t="n">
        <v>0</v>
      </c>
      <c r="AF824" s="0" t="n">
        <v>0</v>
      </c>
      <c r="AG824" s="0" t="n">
        <v>0</v>
      </c>
      <c r="AH824" s="254" t="n">
        <v>21073.9700115652</v>
      </c>
      <c r="AI824" s="0" t="n">
        <v>226</v>
      </c>
      <c r="AJ824" s="0" t="s">
        <v>630</v>
      </c>
      <c r="AK824" s="0" t="n">
        <v>0</v>
      </c>
      <c r="AL824" s="0" t="n">
        <v>0</v>
      </c>
      <c r="AM824" s="0" t="n">
        <v>0</v>
      </c>
    </row>
    <row r="825" customFormat="false" ht="12.75" hidden="false" customHeight="false" outlineLevel="0" collapsed="false">
      <c r="A825" s="0" t="s">
        <v>631</v>
      </c>
      <c r="B825" s="0" t="s">
        <v>466</v>
      </c>
      <c r="C825" s="0" t="s">
        <v>622</v>
      </c>
      <c r="D825" s="0" t="s">
        <v>623</v>
      </c>
      <c r="E825" s="0" t="s">
        <v>131</v>
      </c>
      <c r="F825" s="0" t="s">
        <v>465</v>
      </c>
      <c r="G825" s="0" t="s">
        <v>628</v>
      </c>
      <c r="H825" s="0" t="s">
        <v>625</v>
      </c>
      <c r="I825" s="0" t="s">
        <v>626</v>
      </c>
      <c r="J825" s="0" t="s">
        <v>627</v>
      </c>
      <c r="K825" s="475" t="n">
        <v>36861</v>
      </c>
      <c r="L825" s="254" t="n">
        <v>1156193.06364836</v>
      </c>
      <c r="M825" s="475" t="n">
        <v>36859</v>
      </c>
      <c r="N825" s="0" t="s">
        <v>136</v>
      </c>
      <c r="O825" s="0" t="n">
        <v>0.15</v>
      </c>
      <c r="P825" s="0" t="n">
        <v>0</v>
      </c>
      <c r="Q825" s="0" t="n">
        <v>0</v>
      </c>
      <c r="R825" s="0" t="n">
        <v>0</v>
      </c>
      <c r="S825" s="0" t="n">
        <v>0</v>
      </c>
      <c r="T825" s="0" t="s">
        <v>624</v>
      </c>
      <c r="U825" s="0" t="s">
        <v>158</v>
      </c>
      <c r="V825" s="0" t="s">
        <v>624</v>
      </c>
      <c r="W825" s="0" t="s">
        <v>569</v>
      </c>
      <c r="X825" s="0" t="s">
        <v>624</v>
      </c>
      <c r="Y825" s="0" t="s">
        <v>627</v>
      </c>
      <c r="Z825" s="0" t="s">
        <v>629</v>
      </c>
      <c r="AA825" s="0" t="s">
        <v>624</v>
      </c>
      <c r="AB825" s="0" t="s">
        <v>580</v>
      </c>
      <c r="AC825" s="254" t="n">
        <v>2500000</v>
      </c>
      <c r="AD825" s="254" t="n">
        <v>90569.552200825</v>
      </c>
      <c r="AE825" s="0" t="n">
        <v>0</v>
      </c>
      <c r="AF825" s="0" t="n">
        <v>0</v>
      </c>
      <c r="AG825" s="0" t="n">
        <v>0</v>
      </c>
      <c r="AH825" s="254" t="n">
        <v>54548.6975256437</v>
      </c>
      <c r="AI825" s="0" t="n">
        <v>226</v>
      </c>
      <c r="AJ825" s="0" t="s">
        <v>630</v>
      </c>
      <c r="AK825" s="0" t="n">
        <v>0</v>
      </c>
      <c r="AL825" s="0" t="n">
        <v>0</v>
      </c>
      <c r="AM825" s="0" t="n">
        <v>0</v>
      </c>
    </row>
    <row r="826" customFormat="false" ht="12.75" hidden="false" customHeight="false" outlineLevel="0" collapsed="false">
      <c r="A826" s="0" t="s">
        <v>631</v>
      </c>
      <c r="B826" s="0" t="s">
        <v>466</v>
      </c>
      <c r="C826" s="0" t="s">
        <v>622</v>
      </c>
      <c r="D826" s="0" t="s">
        <v>623</v>
      </c>
      <c r="E826" s="0" t="s">
        <v>131</v>
      </c>
      <c r="F826" s="0" t="s">
        <v>465</v>
      </c>
      <c r="G826" s="0" t="s">
        <v>628</v>
      </c>
      <c r="H826" s="0" t="s">
        <v>625</v>
      </c>
      <c r="I826" s="0" t="s">
        <v>626</v>
      </c>
      <c r="J826" s="0" t="s">
        <v>627</v>
      </c>
      <c r="K826" s="475" t="n">
        <v>36892</v>
      </c>
      <c r="L826" s="254" t="n">
        <v>1217034.88237699</v>
      </c>
      <c r="M826" s="475" t="n">
        <v>36888</v>
      </c>
      <c r="N826" s="0" t="s">
        <v>136</v>
      </c>
      <c r="O826" s="0" t="n">
        <v>0.15</v>
      </c>
      <c r="P826" s="0" t="n">
        <v>0</v>
      </c>
      <c r="Q826" s="0" t="n">
        <v>0</v>
      </c>
      <c r="R826" s="0" t="n">
        <v>0</v>
      </c>
      <c r="S826" s="0" t="n">
        <v>0</v>
      </c>
      <c r="T826" s="0" t="s">
        <v>624</v>
      </c>
      <c r="U826" s="0" t="s">
        <v>158</v>
      </c>
      <c r="V826" s="0" t="s">
        <v>624</v>
      </c>
      <c r="W826" s="0" t="s">
        <v>569</v>
      </c>
      <c r="X826" s="0" t="s">
        <v>624</v>
      </c>
      <c r="Y826" s="0" t="s">
        <v>627</v>
      </c>
      <c r="Z826" s="0" t="s">
        <v>629</v>
      </c>
      <c r="AA826" s="0" t="s">
        <v>624</v>
      </c>
      <c r="AB826" s="0" t="s">
        <v>580</v>
      </c>
      <c r="AC826" s="254" t="n">
        <v>2500000</v>
      </c>
      <c r="AD826" s="254" t="n">
        <v>109252.017899617</v>
      </c>
      <c r="AE826" s="0" t="n">
        <v>0</v>
      </c>
      <c r="AF826" s="0" t="n">
        <v>0</v>
      </c>
      <c r="AG826" s="0" t="n">
        <v>0</v>
      </c>
      <c r="AH826" s="254" t="n">
        <v>53531.249850011</v>
      </c>
      <c r="AI826" s="0" t="n">
        <v>226</v>
      </c>
      <c r="AJ826" s="0" t="s">
        <v>630</v>
      </c>
      <c r="AK826" s="0" t="n">
        <v>0</v>
      </c>
      <c r="AL826" s="0" t="n">
        <v>0</v>
      </c>
      <c r="AM826" s="0" t="n">
        <v>0</v>
      </c>
    </row>
    <row r="827" customFormat="false" ht="12.75" hidden="false" customHeight="false" outlineLevel="0" collapsed="false">
      <c r="A827" s="0" t="s">
        <v>631</v>
      </c>
      <c r="B827" s="0" t="s">
        <v>466</v>
      </c>
      <c r="C827" s="0" t="s">
        <v>622</v>
      </c>
      <c r="D827" s="0" t="s">
        <v>623</v>
      </c>
      <c r="E827" s="0" t="s">
        <v>131</v>
      </c>
      <c r="F827" s="0" t="s">
        <v>465</v>
      </c>
      <c r="G827" s="0" t="s">
        <v>628</v>
      </c>
      <c r="H827" s="0" t="s">
        <v>625</v>
      </c>
      <c r="I827" s="0" t="s">
        <v>626</v>
      </c>
      <c r="J827" s="0" t="s">
        <v>627</v>
      </c>
      <c r="K827" s="475" t="n">
        <v>36923</v>
      </c>
      <c r="L827" s="254" t="n">
        <v>926223.197147526</v>
      </c>
      <c r="M827" s="475" t="n">
        <v>36921</v>
      </c>
      <c r="N827" s="0" t="s">
        <v>136</v>
      </c>
      <c r="O827" s="0" t="n">
        <v>0.15</v>
      </c>
      <c r="P827" s="0" t="n">
        <v>0</v>
      </c>
      <c r="Q827" s="0" t="n">
        <v>0</v>
      </c>
      <c r="R827" s="0" t="n">
        <v>0</v>
      </c>
      <c r="S827" s="0" t="n">
        <v>0</v>
      </c>
      <c r="T827" s="0" t="s">
        <v>624</v>
      </c>
      <c r="U827" s="0" t="s">
        <v>158</v>
      </c>
      <c r="V827" s="0" t="s">
        <v>624</v>
      </c>
      <c r="W827" s="0" t="s">
        <v>569</v>
      </c>
      <c r="X827" s="0" t="s">
        <v>624</v>
      </c>
      <c r="Y827" s="0" t="s">
        <v>627</v>
      </c>
      <c r="Z827" s="0" t="s">
        <v>629</v>
      </c>
      <c r="AA827" s="0" t="s">
        <v>624</v>
      </c>
      <c r="AB827" s="0" t="s">
        <v>580</v>
      </c>
      <c r="AC827" s="254" t="n">
        <v>2500000</v>
      </c>
      <c r="AD827" s="254" t="n">
        <v>135189.855276515</v>
      </c>
      <c r="AE827" s="0" t="n">
        <v>0</v>
      </c>
      <c r="AF827" s="0" t="n">
        <v>0</v>
      </c>
      <c r="AG827" s="0" t="n">
        <v>0</v>
      </c>
      <c r="AH827" s="254" t="n">
        <v>52535.7316134762</v>
      </c>
      <c r="AI827" s="0" t="n">
        <v>226</v>
      </c>
      <c r="AJ827" s="0" t="s">
        <v>630</v>
      </c>
      <c r="AK827" s="0" t="n">
        <v>0</v>
      </c>
      <c r="AL827" s="0" t="n">
        <v>0</v>
      </c>
      <c r="AM827" s="0" t="n">
        <v>0</v>
      </c>
    </row>
    <row r="828" customFormat="false" ht="12.75" hidden="false" customHeight="false" outlineLevel="0" collapsed="false">
      <c r="A828" s="0" t="s">
        <v>631</v>
      </c>
      <c r="B828" s="0" t="s">
        <v>466</v>
      </c>
      <c r="C828" s="0" t="s">
        <v>622</v>
      </c>
      <c r="D828" s="0" t="s">
        <v>623</v>
      </c>
      <c r="E828" s="0" t="s">
        <v>131</v>
      </c>
      <c r="F828" s="0" t="s">
        <v>465</v>
      </c>
      <c r="G828" s="0" t="s">
        <v>628</v>
      </c>
      <c r="H828" s="0" t="s">
        <v>625</v>
      </c>
      <c r="I828" s="0" t="s">
        <v>626</v>
      </c>
      <c r="J828" s="0" t="s">
        <v>627</v>
      </c>
      <c r="K828" s="475" t="n">
        <v>36951</v>
      </c>
      <c r="L828" s="254" t="n">
        <v>390136.404647414</v>
      </c>
      <c r="M828" s="475" t="n">
        <v>36949</v>
      </c>
      <c r="N828" s="0" t="s">
        <v>136</v>
      </c>
      <c r="O828" s="0" t="n">
        <v>0.15</v>
      </c>
      <c r="P828" s="0" t="n">
        <v>0</v>
      </c>
      <c r="Q828" s="0" t="n">
        <v>0</v>
      </c>
      <c r="R828" s="0" t="n">
        <v>0</v>
      </c>
      <c r="S828" s="0" t="n">
        <v>0</v>
      </c>
      <c r="T828" s="0" t="s">
        <v>624</v>
      </c>
      <c r="U828" s="0" t="s">
        <v>158</v>
      </c>
      <c r="V828" s="0" t="s">
        <v>624</v>
      </c>
      <c r="W828" s="0" t="s">
        <v>569</v>
      </c>
      <c r="X828" s="0" t="s">
        <v>624</v>
      </c>
      <c r="Y828" s="0" t="s">
        <v>627</v>
      </c>
      <c r="Z828" s="0" t="s">
        <v>629</v>
      </c>
      <c r="AA828" s="0" t="s">
        <v>624</v>
      </c>
      <c r="AB828" s="0" t="s">
        <v>580</v>
      </c>
      <c r="AC828" s="254" t="n">
        <v>2500000</v>
      </c>
      <c r="AD828" s="254" t="n">
        <v>130753.781589593</v>
      </c>
      <c r="AE828" s="0" t="n">
        <v>0</v>
      </c>
      <c r="AF828" s="0" t="n">
        <v>0</v>
      </c>
      <c r="AG828" s="0" t="n">
        <v>0</v>
      </c>
      <c r="AH828" s="254" t="n">
        <v>35522.873997504</v>
      </c>
      <c r="AI828" s="0" t="n">
        <v>226</v>
      </c>
      <c r="AJ828" s="0" t="s">
        <v>630</v>
      </c>
      <c r="AK828" s="0" t="n">
        <v>0</v>
      </c>
      <c r="AL828" s="0" t="n">
        <v>0</v>
      </c>
      <c r="AM828" s="0" t="n">
        <v>0</v>
      </c>
    </row>
    <row r="829" customFormat="false" ht="12.75" hidden="false" customHeight="false" outlineLevel="0" collapsed="false">
      <c r="A829" s="0" t="s">
        <v>631</v>
      </c>
      <c r="B829" s="0" t="s">
        <v>467</v>
      </c>
      <c r="C829" s="0" t="s">
        <v>622</v>
      </c>
      <c r="D829" s="0" t="s">
        <v>623</v>
      </c>
      <c r="E829" s="0" t="s">
        <v>131</v>
      </c>
      <c r="F829" s="0" t="s">
        <v>198</v>
      </c>
      <c r="G829" s="0" t="s">
        <v>628</v>
      </c>
      <c r="H829" s="0" t="s">
        <v>625</v>
      </c>
      <c r="I829" s="0" t="s">
        <v>626</v>
      </c>
      <c r="J829" s="0" t="s">
        <v>627</v>
      </c>
      <c r="K829" s="475" t="n">
        <v>36831</v>
      </c>
      <c r="L829" s="254" t="n">
        <v>-101129.432305009</v>
      </c>
      <c r="M829" s="475" t="n">
        <v>36829</v>
      </c>
      <c r="N829" s="0" t="s">
        <v>136</v>
      </c>
      <c r="O829" s="0" t="n">
        <v>1.5</v>
      </c>
      <c r="P829" s="0" t="n">
        <v>0</v>
      </c>
      <c r="Q829" s="0" t="n">
        <v>0</v>
      </c>
      <c r="R829" s="0" t="n">
        <v>0</v>
      </c>
      <c r="S829" s="0" t="n">
        <v>0</v>
      </c>
      <c r="T829" s="0" t="s">
        <v>624</v>
      </c>
      <c r="U829" s="0" t="s">
        <v>137</v>
      </c>
      <c r="V829" s="0" t="s">
        <v>624</v>
      </c>
      <c r="W829" s="0" t="s">
        <v>569</v>
      </c>
      <c r="X829" s="0" t="s">
        <v>624</v>
      </c>
      <c r="Y829" s="0" t="s">
        <v>627</v>
      </c>
      <c r="Z829" s="0" t="s">
        <v>629</v>
      </c>
      <c r="AA829" s="0" t="s">
        <v>624</v>
      </c>
      <c r="AB829" s="0" t="s">
        <v>580</v>
      </c>
      <c r="AC829" s="254" t="n">
        <v>-300000</v>
      </c>
      <c r="AD829" s="254" t="n">
        <v>-14131.4977036344</v>
      </c>
      <c r="AE829" s="0" t="n">
        <v>0</v>
      </c>
      <c r="AF829" s="0" t="n">
        <v>0</v>
      </c>
      <c r="AG829" s="0" t="n">
        <v>0</v>
      </c>
      <c r="AH829" s="254" t="n">
        <v>0</v>
      </c>
      <c r="AI829" s="0" t="n">
        <v>226</v>
      </c>
      <c r="AJ829" s="0" t="s">
        <v>630</v>
      </c>
      <c r="AK829" s="0" t="n">
        <v>0</v>
      </c>
      <c r="AL829" s="0" t="n">
        <v>0</v>
      </c>
      <c r="AM829" s="0" t="n">
        <v>0</v>
      </c>
    </row>
    <row r="830" customFormat="false" ht="12.75" hidden="false" customHeight="false" outlineLevel="0" collapsed="false">
      <c r="A830" s="0" t="s">
        <v>631</v>
      </c>
      <c r="B830" s="0" t="s">
        <v>467</v>
      </c>
      <c r="C830" s="0" t="s">
        <v>622</v>
      </c>
      <c r="D830" s="0" t="s">
        <v>623</v>
      </c>
      <c r="E830" s="0" t="s">
        <v>131</v>
      </c>
      <c r="F830" s="0" t="s">
        <v>198</v>
      </c>
      <c r="G830" s="0" t="s">
        <v>628</v>
      </c>
      <c r="H830" s="0" t="s">
        <v>625</v>
      </c>
      <c r="I830" s="0" t="s">
        <v>626</v>
      </c>
      <c r="J830" s="0" t="s">
        <v>627</v>
      </c>
      <c r="K830" s="475" t="n">
        <v>36861</v>
      </c>
      <c r="L830" s="254" t="n">
        <v>-54737.7367128516</v>
      </c>
      <c r="M830" s="475" t="n">
        <v>36859</v>
      </c>
      <c r="N830" s="0" t="s">
        <v>136</v>
      </c>
      <c r="O830" s="0" t="n">
        <v>1.5</v>
      </c>
      <c r="P830" s="0" t="n">
        <v>0</v>
      </c>
      <c r="Q830" s="0" t="n">
        <v>0</v>
      </c>
      <c r="R830" s="0" t="n">
        <v>0</v>
      </c>
      <c r="S830" s="0" t="n">
        <v>0</v>
      </c>
      <c r="T830" s="0" t="s">
        <v>624</v>
      </c>
      <c r="U830" s="0" t="s">
        <v>137</v>
      </c>
      <c r="V830" s="0" t="s">
        <v>624</v>
      </c>
      <c r="W830" s="0" t="s">
        <v>569</v>
      </c>
      <c r="X830" s="0" t="s">
        <v>624</v>
      </c>
      <c r="Y830" s="0" t="s">
        <v>627</v>
      </c>
      <c r="Z830" s="0" t="s">
        <v>629</v>
      </c>
      <c r="AA830" s="0" t="s">
        <v>624</v>
      </c>
      <c r="AB830" s="0" t="s">
        <v>580</v>
      </c>
      <c r="AC830" s="254" t="n">
        <v>-310000</v>
      </c>
      <c r="AD830" s="254" t="n">
        <v>-15672.5663678835</v>
      </c>
      <c r="AE830" s="0" t="n">
        <v>0</v>
      </c>
      <c r="AF830" s="0" t="n">
        <v>0</v>
      </c>
      <c r="AG830" s="0" t="n">
        <v>0</v>
      </c>
      <c r="AH830" s="254" t="n">
        <v>0</v>
      </c>
      <c r="AI830" s="0" t="n">
        <v>226</v>
      </c>
      <c r="AJ830" s="0" t="s">
        <v>630</v>
      </c>
      <c r="AK830" s="0" t="n">
        <v>0</v>
      </c>
      <c r="AL830" s="0" t="n">
        <v>0</v>
      </c>
      <c r="AM830" s="0" t="n">
        <v>0</v>
      </c>
    </row>
    <row r="831" customFormat="false" ht="12.75" hidden="false" customHeight="false" outlineLevel="0" collapsed="false">
      <c r="A831" s="0" t="s">
        <v>631</v>
      </c>
      <c r="B831" s="0" t="s">
        <v>467</v>
      </c>
      <c r="C831" s="0" t="s">
        <v>622</v>
      </c>
      <c r="D831" s="0" t="s">
        <v>623</v>
      </c>
      <c r="E831" s="0" t="s">
        <v>131</v>
      </c>
      <c r="F831" s="0" t="s">
        <v>198</v>
      </c>
      <c r="G831" s="0" t="s">
        <v>628</v>
      </c>
      <c r="H831" s="0" t="s">
        <v>625</v>
      </c>
      <c r="I831" s="0" t="s">
        <v>626</v>
      </c>
      <c r="J831" s="0" t="s">
        <v>627</v>
      </c>
      <c r="K831" s="475" t="n">
        <v>36892</v>
      </c>
      <c r="L831" s="254" t="n">
        <v>-46480.9888539862</v>
      </c>
      <c r="M831" s="475" t="n">
        <v>36888</v>
      </c>
      <c r="N831" s="0" t="s">
        <v>136</v>
      </c>
      <c r="O831" s="0" t="n">
        <v>1.5</v>
      </c>
      <c r="P831" s="0" t="n">
        <v>0</v>
      </c>
      <c r="Q831" s="0" t="n">
        <v>0</v>
      </c>
      <c r="R831" s="0" t="n">
        <v>0</v>
      </c>
      <c r="S831" s="0" t="n">
        <v>0</v>
      </c>
      <c r="T831" s="0" t="s">
        <v>624</v>
      </c>
      <c r="U831" s="0" t="s">
        <v>137</v>
      </c>
      <c r="V831" s="0" t="s">
        <v>624</v>
      </c>
      <c r="W831" s="0" t="s">
        <v>569</v>
      </c>
      <c r="X831" s="0" t="s">
        <v>624</v>
      </c>
      <c r="Y831" s="0" t="s">
        <v>627</v>
      </c>
      <c r="Z831" s="0" t="s">
        <v>629</v>
      </c>
      <c r="AA831" s="0" t="s">
        <v>624</v>
      </c>
      <c r="AB831" s="0" t="s">
        <v>580</v>
      </c>
      <c r="AC831" s="254" t="n">
        <v>-310000</v>
      </c>
      <c r="AD831" s="254" t="n">
        <v>-16293.7417163716</v>
      </c>
      <c r="AE831" s="0" t="n">
        <v>0</v>
      </c>
      <c r="AF831" s="0" t="n">
        <v>0</v>
      </c>
      <c r="AG831" s="0" t="n">
        <v>0</v>
      </c>
      <c r="AH831" s="254" t="n">
        <v>0</v>
      </c>
      <c r="AI831" s="0" t="n">
        <v>226</v>
      </c>
      <c r="AJ831" s="0" t="s">
        <v>630</v>
      </c>
      <c r="AK831" s="0" t="n">
        <v>0</v>
      </c>
      <c r="AL831" s="0" t="n">
        <v>0</v>
      </c>
      <c r="AM831" s="0" t="n">
        <v>0</v>
      </c>
    </row>
    <row r="832" customFormat="false" ht="12.75" hidden="false" customHeight="false" outlineLevel="0" collapsed="false">
      <c r="A832" s="0" t="s">
        <v>631</v>
      </c>
      <c r="B832" s="0" t="s">
        <v>467</v>
      </c>
      <c r="C832" s="0" t="s">
        <v>622</v>
      </c>
      <c r="D832" s="0" t="s">
        <v>623</v>
      </c>
      <c r="E832" s="0" t="s">
        <v>131</v>
      </c>
      <c r="F832" s="0" t="s">
        <v>198</v>
      </c>
      <c r="G832" s="0" t="s">
        <v>628</v>
      </c>
      <c r="H832" s="0" t="s">
        <v>625</v>
      </c>
      <c r="I832" s="0" t="s">
        <v>626</v>
      </c>
      <c r="J832" s="0" t="s">
        <v>627</v>
      </c>
      <c r="K832" s="475" t="n">
        <v>36923</v>
      </c>
      <c r="L832" s="254" t="n">
        <v>-36120.4704558714</v>
      </c>
      <c r="M832" s="475" t="n">
        <v>36921</v>
      </c>
      <c r="N832" s="0" t="s">
        <v>136</v>
      </c>
      <c r="O832" s="0" t="n">
        <v>1.5</v>
      </c>
      <c r="P832" s="0" t="n">
        <v>0</v>
      </c>
      <c r="Q832" s="0" t="n">
        <v>0</v>
      </c>
      <c r="R832" s="0" t="n">
        <v>0</v>
      </c>
      <c r="S832" s="0" t="n">
        <v>0</v>
      </c>
      <c r="T832" s="0" t="s">
        <v>624</v>
      </c>
      <c r="U832" s="0" t="s">
        <v>137</v>
      </c>
      <c r="V832" s="0" t="s">
        <v>624</v>
      </c>
      <c r="W832" s="0" t="s">
        <v>569</v>
      </c>
      <c r="X832" s="0" t="s">
        <v>624</v>
      </c>
      <c r="Y832" s="0" t="s">
        <v>627</v>
      </c>
      <c r="Z832" s="0" t="s">
        <v>629</v>
      </c>
      <c r="AA832" s="0" t="s">
        <v>624</v>
      </c>
      <c r="AB832" s="0" t="s">
        <v>580</v>
      </c>
      <c r="AC832" s="254" t="n">
        <v>-280000</v>
      </c>
      <c r="AD832" s="254" t="n">
        <v>-14837.7355763466</v>
      </c>
      <c r="AE832" s="0" t="n">
        <v>0</v>
      </c>
      <c r="AF832" s="0" t="n">
        <v>0</v>
      </c>
      <c r="AG832" s="0" t="n">
        <v>0</v>
      </c>
      <c r="AH832" s="254" t="n">
        <v>0</v>
      </c>
      <c r="AI832" s="0" t="n">
        <v>226</v>
      </c>
      <c r="AJ832" s="0" t="s">
        <v>630</v>
      </c>
      <c r="AK832" s="0" t="n">
        <v>0</v>
      </c>
      <c r="AL832" s="0" t="n">
        <v>0</v>
      </c>
      <c r="AM832" s="0" t="n">
        <v>0</v>
      </c>
    </row>
    <row r="833" customFormat="false" ht="12.75" hidden="false" customHeight="false" outlineLevel="0" collapsed="false">
      <c r="A833" s="0" t="s">
        <v>631</v>
      </c>
      <c r="B833" s="0" t="s">
        <v>467</v>
      </c>
      <c r="C833" s="0" t="s">
        <v>622</v>
      </c>
      <c r="D833" s="0" t="s">
        <v>623</v>
      </c>
      <c r="E833" s="0" t="s">
        <v>131</v>
      </c>
      <c r="F833" s="0" t="s">
        <v>198</v>
      </c>
      <c r="G833" s="0" t="s">
        <v>628</v>
      </c>
      <c r="H833" s="0" t="s">
        <v>625</v>
      </c>
      <c r="I833" s="0" t="s">
        <v>626</v>
      </c>
      <c r="J833" s="0" t="s">
        <v>627</v>
      </c>
      <c r="K833" s="475" t="n">
        <v>36951</v>
      </c>
      <c r="L833" s="254" t="n">
        <v>-32140.086069051</v>
      </c>
      <c r="M833" s="475" t="n">
        <v>36949</v>
      </c>
      <c r="N833" s="0" t="s">
        <v>136</v>
      </c>
      <c r="O833" s="0" t="n">
        <v>1.5</v>
      </c>
      <c r="P833" s="0" t="n">
        <v>0</v>
      </c>
      <c r="Q833" s="0" t="n">
        <v>0</v>
      </c>
      <c r="R833" s="0" t="n">
        <v>0</v>
      </c>
      <c r="S833" s="0" t="n">
        <v>0</v>
      </c>
      <c r="T833" s="0" t="s">
        <v>624</v>
      </c>
      <c r="U833" s="0" t="s">
        <v>137</v>
      </c>
      <c r="V833" s="0" t="s">
        <v>624</v>
      </c>
      <c r="W833" s="0" t="s">
        <v>569</v>
      </c>
      <c r="X833" s="0" t="s">
        <v>624</v>
      </c>
      <c r="Y833" s="0" t="s">
        <v>627</v>
      </c>
      <c r="Z833" s="0" t="s">
        <v>629</v>
      </c>
      <c r="AA833" s="0" t="s">
        <v>624</v>
      </c>
      <c r="AB833" s="0" t="s">
        <v>580</v>
      </c>
      <c r="AC833" s="254" t="n">
        <v>-310000</v>
      </c>
      <c r="AD833" s="254" t="n">
        <v>-14834.9396607733</v>
      </c>
      <c r="AE833" s="0" t="n">
        <v>0</v>
      </c>
      <c r="AF833" s="0" t="n">
        <v>0</v>
      </c>
      <c r="AG833" s="0" t="n">
        <v>0</v>
      </c>
      <c r="AH833" s="254" t="n">
        <v>0</v>
      </c>
      <c r="AI833" s="0" t="n">
        <v>226</v>
      </c>
      <c r="AJ833" s="0" t="s">
        <v>630</v>
      </c>
      <c r="AK833" s="0" t="n">
        <v>0</v>
      </c>
      <c r="AL833" s="0" t="n">
        <v>0</v>
      </c>
      <c r="AM833" s="0" t="n">
        <v>0</v>
      </c>
    </row>
    <row r="834" customFormat="false" ht="12.75" hidden="false" customHeight="false" outlineLevel="0" collapsed="false">
      <c r="A834" s="0" t="s">
        <v>631</v>
      </c>
      <c r="B834" s="0" t="s">
        <v>468</v>
      </c>
      <c r="C834" s="0" t="s">
        <v>622</v>
      </c>
      <c r="D834" s="0" t="s">
        <v>623</v>
      </c>
      <c r="E834" s="0" t="s">
        <v>131</v>
      </c>
      <c r="F834" s="0" t="s">
        <v>198</v>
      </c>
      <c r="G834" s="0" t="s">
        <v>628</v>
      </c>
      <c r="H834" s="0" t="s">
        <v>625</v>
      </c>
      <c r="I834" s="0" t="s">
        <v>626</v>
      </c>
      <c r="J834" s="0" t="s">
        <v>627</v>
      </c>
      <c r="K834" s="475" t="n">
        <v>36831</v>
      </c>
      <c r="L834" s="254" t="n">
        <v>337098.107683364</v>
      </c>
      <c r="M834" s="475" t="n">
        <v>36829</v>
      </c>
      <c r="N834" s="0" t="s">
        <v>136</v>
      </c>
      <c r="O834" s="0" t="n">
        <v>1.5</v>
      </c>
      <c r="P834" s="0" t="n">
        <v>0</v>
      </c>
      <c r="Q834" s="0" t="n">
        <v>0</v>
      </c>
      <c r="R834" s="0" t="n">
        <v>0</v>
      </c>
      <c r="S834" s="0" t="n">
        <v>0</v>
      </c>
      <c r="T834" s="0" t="s">
        <v>624</v>
      </c>
      <c r="U834" s="0" t="s">
        <v>137</v>
      </c>
      <c r="V834" s="0" t="s">
        <v>624</v>
      </c>
      <c r="W834" s="0" t="s">
        <v>569</v>
      </c>
      <c r="X834" s="0" t="s">
        <v>624</v>
      </c>
      <c r="Y834" s="0" t="s">
        <v>627</v>
      </c>
      <c r="Z834" s="0" t="s">
        <v>629</v>
      </c>
      <c r="AA834" s="0" t="s">
        <v>624</v>
      </c>
      <c r="AB834" s="0" t="s">
        <v>580</v>
      </c>
      <c r="AC834" s="254" t="n">
        <v>1000000</v>
      </c>
      <c r="AD834" s="254" t="n">
        <v>47104.9923454479</v>
      </c>
      <c r="AE834" s="0" t="n">
        <v>0</v>
      </c>
      <c r="AF834" s="0" t="n">
        <v>0</v>
      </c>
      <c r="AG834" s="0" t="n">
        <v>0</v>
      </c>
      <c r="AH834" s="254" t="n">
        <v>0</v>
      </c>
      <c r="AI834" s="0" t="n">
        <v>226</v>
      </c>
      <c r="AJ834" s="0" t="s">
        <v>630</v>
      </c>
      <c r="AK834" s="0" t="n">
        <v>0</v>
      </c>
      <c r="AL834" s="0" t="n">
        <v>0</v>
      </c>
      <c r="AM834" s="0" t="n">
        <v>0</v>
      </c>
    </row>
    <row r="835" customFormat="false" ht="12.75" hidden="false" customHeight="false" outlineLevel="0" collapsed="false">
      <c r="A835" s="0" t="s">
        <v>631</v>
      </c>
      <c r="B835" s="0" t="s">
        <v>468</v>
      </c>
      <c r="C835" s="0" t="s">
        <v>622</v>
      </c>
      <c r="D835" s="0" t="s">
        <v>623</v>
      </c>
      <c r="E835" s="0" t="s">
        <v>131</v>
      </c>
      <c r="F835" s="0" t="s">
        <v>198</v>
      </c>
      <c r="G835" s="0" t="s">
        <v>628</v>
      </c>
      <c r="H835" s="0" t="s">
        <v>625</v>
      </c>
      <c r="I835" s="0" t="s">
        <v>626</v>
      </c>
      <c r="J835" s="0" t="s">
        <v>627</v>
      </c>
      <c r="K835" s="475" t="n">
        <v>36861</v>
      </c>
      <c r="L835" s="254" t="n">
        <v>176573.344235005</v>
      </c>
      <c r="M835" s="475" t="n">
        <v>36859</v>
      </c>
      <c r="N835" s="0" t="s">
        <v>136</v>
      </c>
      <c r="O835" s="0" t="n">
        <v>1.5</v>
      </c>
      <c r="P835" s="0" t="n">
        <v>0</v>
      </c>
      <c r="Q835" s="0" t="n">
        <v>0</v>
      </c>
      <c r="R835" s="0" t="n">
        <v>0</v>
      </c>
      <c r="S835" s="0" t="n">
        <v>0</v>
      </c>
      <c r="T835" s="0" t="s">
        <v>624</v>
      </c>
      <c r="U835" s="0" t="s">
        <v>137</v>
      </c>
      <c r="V835" s="0" t="s">
        <v>624</v>
      </c>
      <c r="W835" s="0" t="s">
        <v>569</v>
      </c>
      <c r="X835" s="0" t="s">
        <v>624</v>
      </c>
      <c r="Y835" s="0" t="s">
        <v>627</v>
      </c>
      <c r="Z835" s="0" t="s">
        <v>629</v>
      </c>
      <c r="AA835" s="0" t="s">
        <v>624</v>
      </c>
      <c r="AB835" s="0" t="s">
        <v>580</v>
      </c>
      <c r="AC835" s="254" t="n">
        <v>1000000</v>
      </c>
      <c r="AD835" s="254" t="n">
        <v>50556.66570285</v>
      </c>
      <c r="AE835" s="0" t="n">
        <v>0</v>
      </c>
      <c r="AF835" s="0" t="n">
        <v>0</v>
      </c>
      <c r="AG835" s="0" t="n">
        <v>0</v>
      </c>
      <c r="AH835" s="254" t="n">
        <v>0</v>
      </c>
      <c r="AI835" s="0" t="n">
        <v>226</v>
      </c>
      <c r="AJ835" s="0" t="s">
        <v>630</v>
      </c>
      <c r="AK835" s="0" t="n">
        <v>0</v>
      </c>
      <c r="AL835" s="0" t="n">
        <v>0</v>
      </c>
      <c r="AM835" s="0" t="n">
        <v>0</v>
      </c>
    </row>
    <row r="836" customFormat="false" ht="12.75" hidden="false" customHeight="false" outlineLevel="0" collapsed="false">
      <c r="A836" s="0" t="s">
        <v>631</v>
      </c>
      <c r="B836" s="0" t="s">
        <v>468</v>
      </c>
      <c r="C836" s="0" t="s">
        <v>622</v>
      </c>
      <c r="D836" s="0" t="s">
        <v>623</v>
      </c>
      <c r="E836" s="0" t="s">
        <v>131</v>
      </c>
      <c r="F836" s="0" t="s">
        <v>198</v>
      </c>
      <c r="G836" s="0" t="s">
        <v>628</v>
      </c>
      <c r="H836" s="0" t="s">
        <v>625</v>
      </c>
      <c r="I836" s="0" t="s">
        <v>626</v>
      </c>
      <c r="J836" s="0" t="s">
        <v>627</v>
      </c>
      <c r="K836" s="475" t="n">
        <v>36892</v>
      </c>
      <c r="L836" s="254" t="n">
        <v>149938.673722536</v>
      </c>
      <c r="M836" s="475" t="n">
        <v>36888</v>
      </c>
      <c r="N836" s="0" t="s">
        <v>136</v>
      </c>
      <c r="O836" s="0" t="n">
        <v>1.5</v>
      </c>
      <c r="P836" s="0" t="n">
        <v>0</v>
      </c>
      <c r="Q836" s="0" t="n">
        <v>0</v>
      </c>
      <c r="R836" s="0" t="n">
        <v>0</v>
      </c>
      <c r="S836" s="0" t="n">
        <v>0</v>
      </c>
      <c r="T836" s="0" t="s">
        <v>624</v>
      </c>
      <c r="U836" s="0" t="s">
        <v>137</v>
      </c>
      <c r="V836" s="0" t="s">
        <v>624</v>
      </c>
      <c r="W836" s="0" t="s">
        <v>569</v>
      </c>
      <c r="X836" s="0" t="s">
        <v>624</v>
      </c>
      <c r="Y836" s="0" t="s">
        <v>627</v>
      </c>
      <c r="Z836" s="0" t="s">
        <v>629</v>
      </c>
      <c r="AA836" s="0" t="s">
        <v>624</v>
      </c>
      <c r="AB836" s="0" t="s">
        <v>580</v>
      </c>
      <c r="AC836" s="254" t="n">
        <v>1000000</v>
      </c>
      <c r="AD836" s="254" t="n">
        <v>52560.4571495859</v>
      </c>
      <c r="AE836" s="0" t="n">
        <v>0</v>
      </c>
      <c r="AF836" s="0" t="n">
        <v>0</v>
      </c>
      <c r="AG836" s="0" t="n">
        <v>0</v>
      </c>
      <c r="AH836" s="254" t="n">
        <v>0</v>
      </c>
      <c r="AI836" s="0" t="n">
        <v>226</v>
      </c>
      <c r="AJ836" s="0" t="s">
        <v>630</v>
      </c>
      <c r="AK836" s="0" t="n">
        <v>0</v>
      </c>
      <c r="AL836" s="0" t="n">
        <v>0</v>
      </c>
      <c r="AM836" s="0" t="n">
        <v>0</v>
      </c>
    </row>
    <row r="837" customFormat="false" ht="12.75" hidden="false" customHeight="false" outlineLevel="0" collapsed="false">
      <c r="A837" s="0" t="s">
        <v>631</v>
      </c>
      <c r="B837" s="0" t="s">
        <v>468</v>
      </c>
      <c r="C837" s="0" t="s">
        <v>622</v>
      </c>
      <c r="D837" s="0" t="s">
        <v>623</v>
      </c>
      <c r="E837" s="0" t="s">
        <v>131</v>
      </c>
      <c r="F837" s="0" t="s">
        <v>198</v>
      </c>
      <c r="G837" s="0" t="s">
        <v>628</v>
      </c>
      <c r="H837" s="0" t="s">
        <v>625</v>
      </c>
      <c r="I837" s="0" t="s">
        <v>626</v>
      </c>
      <c r="J837" s="0" t="s">
        <v>627</v>
      </c>
      <c r="K837" s="475" t="n">
        <v>36923</v>
      </c>
      <c r="L837" s="254" t="n">
        <v>129001.680199541</v>
      </c>
      <c r="M837" s="475" t="n">
        <v>36921</v>
      </c>
      <c r="N837" s="0" t="s">
        <v>136</v>
      </c>
      <c r="O837" s="0" t="n">
        <v>1.5</v>
      </c>
      <c r="P837" s="0" t="n">
        <v>0</v>
      </c>
      <c r="Q837" s="0" t="n">
        <v>0</v>
      </c>
      <c r="R837" s="0" t="n">
        <v>0</v>
      </c>
      <c r="S837" s="0" t="n">
        <v>0</v>
      </c>
      <c r="T837" s="0" t="s">
        <v>624</v>
      </c>
      <c r="U837" s="0" t="s">
        <v>137</v>
      </c>
      <c r="V837" s="0" t="s">
        <v>624</v>
      </c>
      <c r="W837" s="0" t="s">
        <v>569</v>
      </c>
      <c r="X837" s="0" t="s">
        <v>624</v>
      </c>
      <c r="Y837" s="0" t="s">
        <v>627</v>
      </c>
      <c r="Z837" s="0" t="s">
        <v>629</v>
      </c>
      <c r="AA837" s="0" t="s">
        <v>624</v>
      </c>
      <c r="AB837" s="0" t="s">
        <v>580</v>
      </c>
      <c r="AC837" s="254" t="n">
        <v>1000000</v>
      </c>
      <c r="AD837" s="254" t="n">
        <v>52991.9127726666</v>
      </c>
      <c r="AE837" s="0" t="n">
        <v>0</v>
      </c>
      <c r="AF837" s="0" t="n">
        <v>0</v>
      </c>
      <c r="AG837" s="0" t="n">
        <v>0</v>
      </c>
      <c r="AH837" s="254" t="n">
        <v>0</v>
      </c>
      <c r="AI837" s="0" t="n">
        <v>226</v>
      </c>
      <c r="AJ837" s="0" t="s">
        <v>630</v>
      </c>
      <c r="AK837" s="0" t="n">
        <v>0</v>
      </c>
      <c r="AL837" s="0" t="n">
        <v>0</v>
      </c>
      <c r="AM837" s="0" t="n">
        <v>0</v>
      </c>
    </row>
    <row r="838" customFormat="false" ht="12.75" hidden="false" customHeight="false" outlineLevel="0" collapsed="false">
      <c r="A838" s="0" t="s">
        <v>631</v>
      </c>
      <c r="B838" s="0" t="s">
        <v>468</v>
      </c>
      <c r="C838" s="0" t="s">
        <v>622</v>
      </c>
      <c r="D838" s="0" t="s">
        <v>623</v>
      </c>
      <c r="E838" s="0" t="s">
        <v>131</v>
      </c>
      <c r="F838" s="0" t="s">
        <v>198</v>
      </c>
      <c r="G838" s="0" t="s">
        <v>628</v>
      </c>
      <c r="H838" s="0" t="s">
        <v>625</v>
      </c>
      <c r="I838" s="0" t="s">
        <v>626</v>
      </c>
      <c r="J838" s="0" t="s">
        <v>627</v>
      </c>
      <c r="K838" s="475" t="n">
        <v>36951</v>
      </c>
      <c r="L838" s="254" t="n">
        <v>103677.696996939</v>
      </c>
      <c r="M838" s="475" t="n">
        <v>36949</v>
      </c>
      <c r="N838" s="0" t="s">
        <v>136</v>
      </c>
      <c r="O838" s="0" t="n">
        <v>1.5</v>
      </c>
      <c r="P838" s="0" t="n">
        <v>0</v>
      </c>
      <c r="Q838" s="0" t="n">
        <v>0</v>
      </c>
      <c r="R838" s="0" t="n">
        <v>0</v>
      </c>
      <c r="S838" s="0" t="n">
        <v>0</v>
      </c>
      <c r="T838" s="0" t="s">
        <v>624</v>
      </c>
      <c r="U838" s="0" t="s">
        <v>137</v>
      </c>
      <c r="V838" s="0" t="s">
        <v>624</v>
      </c>
      <c r="W838" s="0" t="s">
        <v>569</v>
      </c>
      <c r="X838" s="0" t="s">
        <v>624</v>
      </c>
      <c r="Y838" s="0" t="s">
        <v>627</v>
      </c>
      <c r="Z838" s="0" t="s">
        <v>629</v>
      </c>
      <c r="AA838" s="0" t="s">
        <v>624</v>
      </c>
      <c r="AB838" s="0" t="s">
        <v>580</v>
      </c>
      <c r="AC838" s="254" t="n">
        <v>1000000</v>
      </c>
      <c r="AD838" s="254" t="n">
        <v>47854.6440670107</v>
      </c>
      <c r="AE838" s="0" t="n">
        <v>0</v>
      </c>
      <c r="AF838" s="0" t="n">
        <v>0</v>
      </c>
      <c r="AG838" s="0" t="n">
        <v>0</v>
      </c>
      <c r="AH838" s="254" t="n">
        <v>0</v>
      </c>
      <c r="AI838" s="0" t="n">
        <v>226</v>
      </c>
      <c r="AJ838" s="0" t="s">
        <v>630</v>
      </c>
      <c r="AK838" s="0" t="n">
        <v>0</v>
      </c>
      <c r="AL838" s="0" t="n">
        <v>0</v>
      </c>
      <c r="AM838" s="0" t="n">
        <v>0</v>
      </c>
    </row>
    <row r="839" customFormat="false" ht="12.75" hidden="false" customHeight="false" outlineLevel="0" collapsed="false">
      <c r="A839" s="0" t="s">
        <v>631</v>
      </c>
      <c r="B839" s="0" t="s">
        <v>469</v>
      </c>
      <c r="C839" s="0" t="s">
        <v>622</v>
      </c>
      <c r="D839" s="0" t="s">
        <v>623</v>
      </c>
      <c r="E839" s="0" t="s">
        <v>131</v>
      </c>
      <c r="F839" s="0" t="s">
        <v>198</v>
      </c>
      <c r="G839" s="0" t="s">
        <v>628</v>
      </c>
      <c r="H839" s="0" t="s">
        <v>625</v>
      </c>
      <c r="I839" s="0" t="s">
        <v>626</v>
      </c>
      <c r="J839" s="0" t="s">
        <v>627</v>
      </c>
      <c r="K839" s="475" t="n">
        <v>36982</v>
      </c>
      <c r="L839" s="254" t="n">
        <v>-28264.7658857092</v>
      </c>
      <c r="M839" s="475" t="n">
        <v>36979</v>
      </c>
      <c r="N839" s="0" t="s">
        <v>136</v>
      </c>
      <c r="O839" s="0" t="n">
        <v>1.5</v>
      </c>
      <c r="P839" s="0" t="n">
        <v>0</v>
      </c>
      <c r="Q839" s="0" t="n">
        <v>0</v>
      </c>
      <c r="R839" s="0" t="n">
        <v>0</v>
      </c>
      <c r="S839" s="0" t="n">
        <v>0</v>
      </c>
      <c r="T839" s="0" t="s">
        <v>624</v>
      </c>
      <c r="U839" s="0" t="s">
        <v>137</v>
      </c>
      <c r="V839" s="0" t="s">
        <v>624</v>
      </c>
      <c r="W839" s="0" t="s">
        <v>569</v>
      </c>
      <c r="X839" s="0" t="s">
        <v>624</v>
      </c>
      <c r="Y839" s="0" t="s">
        <v>627</v>
      </c>
      <c r="Z839" s="0" t="s">
        <v>629</v>
      </c>
      <c r="AA839" s="0" t="s">
        <v>624</v>
      </c>
      <c r="AB839" s="0" t="s">
        <v>580</v>
      </c>
      <c r="AC839" s="254" t="n">
        <v>-500000</v>
      </c>
      <c r="AD839" s="254" t="n">
        <v>-15567.3996910619</v>
      </c>
      <c r="AE839" s="0" t="n">
        <v>0</v>
      </c>
      <c r="AF839" s="0" t="n">
        <v>0</v>
      </c>
      <c r="AG839" s="0" t="n">
        <v>0</v>
      </c>
      <c r="AH839" s="254" t="n">
        <v>0</v>
      </c>
      <c r="AI839" s="0" t="n">
        <v>226</v>
      </c>
      <c r="AJ839" s="0" t="s">
        <v>630</v>
      </c>
      <c r="AK839" s="0" t="n">
        <v>0</v>
      </c>
      <c r="AL839" s="0" t="n">
        <v>0</v>
      </c>
      <c r="AM839" s="0" t="n">
        <v>0</v>
      </c>
    </row>
    <row r="840" customFormat="false" ht="12.75" hidden="false" customHeight="false" outlineLevel="0" collapsed="false">
      <c r="A840" s="0" t="s">
        <v>631</v>
      </c>
      <c r="B840" s="0" t="s">
        <v>469</v>
      </c>
      <c r="C840" s="0" t="s">
        <v>622</v>
      </c>
      <c r="D840" s="0" t="s">
        <v>623</v>
      </c>
      <c r="E840" s="0" t="s">
        <v>131</v>
      </c>
      <c r="F840" s="0" t="s">
        <v>198</v>
      </c>
      <c r="G840" s="0" t="s">
        <v>628</v>
      </c>
      <c r="H840" s="0" t="s">
        <v>625</v>
      </c>
      <c r="I840" s="0" t="s">
        <v>626</v>
      </c>
      <c r="J840" s="0" t="s">
        <v>627</v>
      </c>
      <c r="K840" s="475" t="n">
        <v>37012</v>
      </c>
      <c r="L840" s="254" t="n">
        <v>-25116.8547735615</v>
      </c>
      <c r="M840" s="475" t="n">
        <v>37008</v>
      </c>
      <c r="N840" s="0" t="s">
        <v>136</v>
      </c>
      <c r="O840" s="0" t="n">
        <v>1.5</v>
      </c>
      <c r="P840" s="0" t="n">
        <v>0</v>
      </c>
      <c r="Q840" s="0" t="n">
        <v>0</v>
      </c>
      <c r="R840" s="0" t="n">
        <v>0</v>
      </c>
      <c r="S840" s="0" t="n">
        <v>0</v>
      </c>
      <c r="T840" s="0" t="s">
        <v>624</v>
      </c>
      <c r="U840" s="0" t="s">
        <v>137</v>
      </c>
      <c r="V840" s="0" t="s">
        <v>624</v>
      </c>
      <c r="W840" s="0" t="s">
        <v>569</v>
      </c>
      <c r="X840" s="0" t="s">
        <v>624</v>
      </c>
      <c r="Y840" s="0" t="s">
        <v>627</v>
      </c>
      <c r="Z840" s="0" t="s">
        <v>629</v>
      </c>
      <c r="AA840" s="0" t="s">
        <v>624</v>
      </c>
      <c r="AB840" s="0" t="s">
        <v>580</v>
      </c>
      <c r="AC840" s="254" t="n">
        <v>-500000</v>
      </c>
      <c r="AD840" s="254" t="n">
        <v>-14459.5788766825</v>
      </c>
      <c r="AE840" s="0" t="n">
        <v>0</v>
      </c>
      <c r="AF840" s="0" t="n">
        <v>0</v>
      </c>
      <c r="AG840" s="0" t="n">
        <v>0</v>
      </c>
      <c r="AH840" s="254" t="n">
        <v>0</v>
      </c>
      <c r="AI840" s="0" t="n">
        <v>226</v>
      </c>
      <c r="AJ840" s="0" t="s">
        <v>630</v>
      </c>
      <c r="AK840" s="0" t="n">
        <v>0</v>
      </c>
      <c r="AL840" s="0" t="n">
        <v>0</v>
      </c>
      <c r="AM840" s="0" t="n">
        <v>0</v>
      </c>
    </row>
    <row r="841" customFormat="false" ht="12.75" hidden="false" customHeight="false" outlineLevel="0" collapsed="false">
      <c r="A841" s="0" t="s">
        <v>631</v>
      </c>
      <c r="B841" s="0" t="s">
        <v>469</v>
      </c>
      <c r="C841" s="0" t="s">
        <v>622</v>
      </c>
      <c r="D841" s="0" t="s">
        <v>623</v>
      </c>
      <c r="E841" s="0" t="s">
        <v>131</v>
      </c>
      <c r="F841" s="0" t="s">
        <v>198</v>
      </c>
      <c r="G841" s="0" t="s">
        <v>628</v>
      </c>
      <c r="H841" s="0" t="s">
        <v>625</v>
      </c>
      <c r="I841" s="0" t="s">
        <v>626</v>
      </c>
      <c r="J841" s="0" t="s">
        <v>627</v>
      </c>
      <c r="K841" s="475" t="n">
        <v>37043</v>
      </c>
      <c r="L841" s="254" t="n">
        <v>-30653.9703200064</v>
      </c>
      <c r="M841" s="475" t="n">
        <v>37041</v>
      </c>
      <c r="N841" s="0" t="s">
        <v>136</v>
      </c>
      <c r="O841" s="0" t="n">
        <v>1.5</v>
      </c>
      <c r="P841" s="0" t="n">
        <v>0</v>
      </c>
      <c r="Q841" s="0" t="n">
        <v>0</v>
      </c>
      <c r="R841" s="0" t="n">
        <v>0</v>
      </c>
      <c r="S841" s="0" t="n">
        <v>0</v>
      </c>
      <c r="T841" s="0" t="s">
        <v>624</v>
      </c>
      <c r="U841" s="0" t="s">
        <v>137</v>
      </c>
      <c r="V841" s="0" t="s">
        <v>624</v>
      </c>
      <c r="W841" s="0" t="s">
        <v>569</v>
      </c>
      <c r="X841" s="0" t="s">
        <v>624</v>
      </c>
      <c r="Y841" s="0" t="s">
        <v>627</v>
      </c>
      <c r="Z841" s="0" t="s">
        <v>629</v>
      </c>
      <c r="AA841" s="0" t="s">
        <v>624</v>
      </c>
      <c r="AB841" s="0" t="s">
        <v>580</v>
      </c>
      <c r="AC841" s="254" t="n">
        <v>-500000</v>
      </c>
      <c r="AD841" s="254" t="n">
        <v>-16456.6569630105</v>
      </c>
      <c r="AE841" s="0" t="n">
        <v>0</v>
      </c>
      <c r="AF841" s="0" t="n">
        <v>0</v>
      </c>
      <c r="AG841" s="0" t="n">
        <v>0</v>
      </c>
      <c r="AH841" s="254" t="n">
        <v>0</v>
      </c>
      <c r="AI841" s="0" t="n">
        <v>226</v>
      </c>
      <c r="AJ841" s="0" t="s">
        <v>630</v>
      </c>
      <c r="AK841" s="0" t="n">
        <v>0</v>
      </c>
      <c r="AL841" s="0" t="n">
        <v>0</v>
      </c>
      <c r="AM841" s="0" t="n">
        <v>0</v>
      </c>
    </row>
    <row r="842" customFormat="false" ht="12.75" hidden="false" customHeight="false" outlineLevel="0" collapsed="false">
      <c r="A842" s="0" t="s">
        <v>631</v>
      </c>
      <c r="B842" s="0" t="s">
        <v>469</v>
      </c>
      <c r="C842" s="0" t="s">
        <v>622</v>
      </c>
      <c r="D842" s="0" t="s">
        <v>623</v>
      </c>
      <c r="E842" s="0" t="s">
        <v>131</v>
      </c>
      <c r="F842" s="0" t="s">
        <v>198</v>
      </c>
      <c r="G842" s="0" t="s">
        <v>628</v>
      </c>
      <c r="H842" s="0" t="s">
        <v>625</v>
      </c>
      <c r="I842" s="0" t="s">
        <v>626</v>
      </c>
      <c r="J842" s="0" t="s">
        <v>627</v>
      </c>
      <c r="K842" s="475" t="n">
        <v>37073</v>
      </c>
      <c r="L842" s="254" t="n">
        <v>-120718.475069725</v>
      </c>
      <c r="M842" s="475" t="n">
        <v>37070</v>
      </c>
      <c r="N842" s="0" t="s">
        <v>136</v>
      </c>
      <c r="O842" s="0" t="n">
        <v>1.5</v>
      </c>
      <c r="P842" s="0" t="n">
        <v>0</v>
      </c>
      <c r="Q842" s="0" t="n">
        <v>0</v>
      </c>
      <c r="R842" s="0" t="n">
        <v>0</v>
      </c>
      <c r="S842" s="0" t="n">
        <v>0</v>
      </c>
      <c r="T842" s="0" t="s">
        <v>624</v>
      </c>
      <c r="U842" s="0" t="s">
        <v>137</v>
      </c>
      <c r="V842" s="0" t="s">
        <v>624</v>
      </c>
      <c r="W842" s="0" t="s">
        <v>569</v>
      </c>
      <c r="X842" s="0" t="s">
        <v>624</v>
      </c>
      <c r="Y842" s="0" t="s">
        <v>627</v>
      </c>
      <c r="Z842" s="0" t="s">
        <v>629</v>
      </c>
      <c r="AA842" s="0" t="s">
        <v>624</v>
      </c>
      <c r="AB842" s="0" t="s">
        <v>580</v>
      </c>
      <c r="AC842" s="254" t="n">
        <v>-500000</v>
      </c>
      <c r="AD842" s="254" t="n">
        <v>-27571.1427158308</v>
      </c>
      <c r="AE842" s="0" t="n">
        <v>0</v>
      </c>
      <c r="AF842" s="0" t="n">
        <v>0</v>
      </c>
      <c r="AG842" s="0" t="n">
        <v>0</v>
      </c>
      <c r="AH842" s="254" t="n">
        <v>0</v>
      </c>
      <c r="AI842" s="0" t="n">
        <v>226</v>
      </c>
      <c r="AJ842" s="0" t="s">
        <v>630</v>
      </c>
      <c r="AK842" s="0" t="n">
        <v>0</v>
      </c>
      <c r="AL842" s="0" t="n">
        <v>0</v>
      </c>
      <c r="AM842" s="0" t="n">
        <v>0</v>
      </c>
    </row>
    <row r="843" customFormat="false" ht="12.75" hidden="false" customHeight="false" outlineLevel="0" collapsed="false">
      <c r="A843" s="0" t="s">
        <v>631</v>
      </c>
      <c r="B843" s="0" t="s">
        <v>469</v>
      </c>
      <c r="C843" s="0" t="s">
        <v>622</v>
      </c>
      <c r="D843" s="0" t="s">
        <v>623</v>
      </c>
      <c r="E843" s="0" t="s">
        <v>131</v>
      </c>
      <c r="F843" s="0" t="s">
        <v>198</v>
      </c>
      <c r="G843" s="0" t="s">
        <v>628</v>
      </c>
      <c r="H843" s="0" t="s">
        <v>625</v>
      </c>
      <c r="I843" s="0" t="s">
        <v>626</v>
      </c>
      <c r="J843" s="0" t="s">
        <v>627</v>
      </c>
      <c r="K843" s="475" t="n">
        <v>37104</v>
      </c>
      <c r="L843" s="254" t="n">
        <v>-139258.940509251</v>
      </c>
      <c r="M843" s="475" t="n">
        <v>37102</v>
      </c>
      <c r="N843" s="0" t="s">
        <v>136</v>
      </c>
      <c r="O843" s="0" t="n">
        <v>1.5</v>
      </c>
      <c r="P843" s="0" t="n">
        <v>0</v>
      </c>
      <c r="Q843" s="0" t="n">
        <v>0</v>
      </c>
      <c r="R843" s="0" t="n">
        <v>0</v>
      </c>
      <c r="S843" s="0" t="n">
        <v>0</v>
      </c>
      <c r="T843" s="0" t="s">
        <v>624</v>
      </c>
      <c r="U843" s="0" t="s">
        <v>137</v>
      </c>
      <c r="V843" s="0" t="s">
        <v>624</v>
      </c>
      <c r="W843" s="0" t="s">
        <v>569</v>
      </c>
      <c r="X843" s="0" t="s">
        <v>624</v>
      </c>
      <c r="Y843" s="0" t="s">
        <v>627</v>
      </c>
      <c r="Z843" s="0" t="s">
        <v>629</v>
      </c>
      <c r="AA843" s="0" t="s">
        <v>624</v>
      </c>
      <c r="AB843" s="0" t="s">
        <v>580</v>
      </c>
      <c r="AC843" s="254" t="n">
        <v>-500000</v>
      </c>
      <c r="AD843" s="254" t="n">
        <v>-29248.8236592701</v>
      </c>
      <c r="AE843" s="0" t="n">
        <v>0</v>
      </c>
      <c r="AF843" s="0" t="n">
        <v>0</v>
      </c>
      <c r="AG843" s="0" t="n">
        <v>0</v>
      </c>
      <c r="AH843" s="254" t="n">
        <v>0</v>
      </c>
      <c r="AI843" s="0" t="n">
        <v>226</v>
      </c>
      <c r="AJ843" s="0" t="s">
        <v>630</v>
      </c>
      <c r="AK843" s="0" t="n">
        <v>0</v>
      </c>
      <c r="AL843" s="0" t="n">
        <v>0</v>
      </c>
      <c r="AM843" s="0" t="n">
        <v>0</v>
      </c>
    </row>
    <row r="844" customFormat="false" ht="12.75" hidden="false" customHeight="false" outlineLevel="0" collapsed="false">
      <c r="A844" s="0" t="s">
        <v>631</v>
      </c>
      <c r="B844" s="0" t="s">
        <v>469</v>
      </c>
      <c r="C844" s="0" t="s">
        <v>622</v>
      </c>
      <c r="D844" s="0" t="s">
        <v>623</v>
      </c>
      <c r="E844" s="0" t="s">
        <v>131</v>
      </c>
      <c r="F844" s="0" t="s">
        <v>198</v>
      </c>
      <c r="G844" s="0" t="s">
        <v>628</v>
      </c>
      <c r="H844" s="0" t="s">
        <v>625</v>
      </c>
      <c r="I844" s="0" t="s">
        <v>626</v>
      </c>
      <c r="J844" s="0" t="s">
        <v>627</v>
      </c>
      <c r="K844" s="475" t="n">
        <v>37135</v>
      </c>
      <c r="L844" s="254" t="n">
        <v>-141304.736052762</v>
      </c>
      <c r="M844" s="475" t="n">
        <v>37133</v>
      </c>
      <c r="N844" s="0" t="s">
        <v>136</v>
      </c>
      <c r="O844" s="0" t="n">
        <v>1.5</v>
      </c>
      <c r="P844" s="0" t="n">
        <v>0</v>
      </c>
      <c r="Q844" s="0" t="n">
        <v>0</v>
      </c>
      <c r="R844" s="0" t="n">
        <v>0</v>
      </c>
      <c r="S844" s="0" t="n">
        <v>0</v>
      </c>
      <c r="T844" s="0" t="s">
        <v>624</v>
      </c>
      <c r="U844" s="0" t="s">
        <v>137</v>
      </c>
      <c r="V844" s="0" t="s">
        <v>624</v>
      </c>
      <c r="W844" s="0" t="s">
        <v>569</v>
      </c>
      <c r="X844" s="0" t="s">
        <v>624</v>
      </c>
      <c r="Y844" s="0" t="s">
        <v>627</v>
      </c>
      <c r="Z844" s="0" t="s">
        <v>629</v>
      </c>
      <c r="AA844" s="0" t="s">
        <v>624</v>
      </c>
      <c r="AB844" s="0" t="s">
        <v>580</v>
      </c>
      <c r="AC844" s="254" t="n">
        <v>-500000</v>
      </c>
      <c r="AD844" s="254" t="n">
        <v>-30313.214591835</v>
      </c>
      <c r="AE844" s="0" t="n">
        <v>0</v>
      </c>
      <c r="AF844" s="0" t="n">
        <v>0</v>
      </c>
      <c r="AG844" s="0" t="n">
        <v>0</v>
      </c>
      <c r="AH844" s="254" t="n">
        <v>0</v>
      </c>
      <c r="AI844" s="0" t="n">
        <v>226</v>
      </c>
      <c r="AJ844" s="0" t="s">
        <v>630</v>
      </c>
      <c r="AK844" s="0" t="n">
        <v>0</v>
      </c>
      <c r="AL844" s="0" t="n">
        <v>0</v>
      </c>
      <c r="AM844" s="0" t="n">
        <v>0</v>
      </c>
    </row>
    <row r="845" customFormat="false" ht="12.75" hidden="false" customHeight="false" outlineLevel="0" collapsed="false">
      <c r="A845" s="0" t="s">
        <v>631</v>
      </c>
      <c r="B845" s="0" t="s">
        <v>469</v>
      </c>
      <c r="C845" s="0" t="s">
        <v>622</v>
      </c>
      <c r="D845" s="0" t="s">
        <v>623</v>
      </c>
      <c r="E845" s="0" t="s">
        <v>131</v>
      </c>
      <c r="F845" s="0" t="s">
        <v>198</v>
      </c>
      <c r="G845" s="0" t="s">
        <v>628</v>
      </c>
      <c r="H845" s="0" t="s">
        <v>625</v>
      </c>
      <c r="I845" s="0" t="s">
        <v>626</v>
      </c>
      <c r="J845" s="0" t="s">
        <v>627</v>
      </c>
      <c r="K845" s="475" t="n">
        <v>37165</v>
      </c>
      <c r="L845" s="254" t="n">
        <v>-64273.509868813</v>
      </c>
      <c r="M845" s="475" t="n">
        <v>37161</v>
      </c>
      <c r="N845" s="0" t="s">
        <v>136</v>
      </c>
      <c r="O845" s="0" t="n">
        <v>1.5</v>
      </c>
      <c r="P845" s="0" t="n">
        <v>0</v>
      </c>
      <c r="Q845" s="0" t="n">
        <v>0</v>
      </c>
      <c r="R845" s="0" t="n">
        <v>0</v>
      </c>
      <c r="S845" s="0" t="n">
        <v>0</v>
      </c>
      <c r="T845" s="0" t="s">
        <v>624</v>
      </c>
      <c r="U845" s="0" t="s">
        <v>137</v>
      </c>
      <c r="V845" s="0" t="s">
        <v>624</v>
      </c>
      <c r="W845" s="0" t="s">
        <v>569</v>
      </c>
      <c r="X845" s="0" t="s">
        <v>624</v>
      </c>
      <c r="Y845" s="0" t="s">
        <v>627</v>
      </c>
      <c r="Z845" s="0" t="s">
        <v>629</v>
      </c>
      <c r="AA845" s="0" t="s">
        <v>624</v>
      </c>
      <c r="AB845" s="0" t="s">
        <v>580</v>
      </c>
      <c r="AC845" s="254" t="n">
        <v>-500000</v>
      </c>
      <c r="AD845" s="254" t="n">
        <v>-25421.5336249432</v>
      </c>
      <c r="AE845" s="0" t="n">
        <v>0</v>
      </c>
      <c r="AF845" s="0" t="n">
        <v>0</v>
      </c>
      <c r="AG845" s="0" t="n">
        <v>0</v>
      </c>
      <c r="AH845" s="254" t="n">
        <v>0</v>
      </c>
      <c r="AI845" s="0" t="n">
        <v>226</v>
      </c>
      <c r="AJ845" s="0" t="s">
        <v>630</v>
      </c>
      <c r="AK845" s="0" t="n">
        <v>0</v>
      </c>
      <c r="AL845" s="0" t="n">
        <v>0</v>
      </c>
      <c r="AM845" s="0" t="n">
        <v>0</v>
      </c>
    </row>
    <row r="846" customFormat="false" ht="12.75" hidden="false" customHeight="false" outlineLevel="0" collapsed="false">
      <c r="A846" s="0" t="s">
        <v>631</v>
      </c>
      <c r="B846" s="0" t="s">
        <v>470</v>
      </c>
      <c r="C846" s="0" t="s">
        <v>622</v>
      </c>
      <c r="D846" s="0" t="s">
        <v>623</v>
      </c>
      <c r="E846" s="0" t="s">
        <v>131</v>
      </c>
      <c r="F846" s="0" t="s">
        <v>198</v>
      </c>
      <c r="G846" s="0" t="s">
        <v>628</v>
      </c>
      <c r="H846" s="0" t="s">
        <v>625</v>
      </c>
      <c r="I846" s="0" t="s">
        <v>626</v>
      </c>
      <c r="J846" s="0" t="s">
        <v>627</v>
      </c>
      <c r="K846" s="475" t="n">
        <v>36982</v>
      </c>
      <c r="L846" s="254" t="n">
        <v>-28264.7658857092</v>
      </c>
      <c r="M846" s="475" t="n">
        <v>36979</v>
      </c>
      <c r="N846" s="0" t="s">
        <v>136</v>
      </c>
      <c r="O846" s="0" t="n">
        <v>1.5</v>
      </c>
      <c r="P846" s="0" t="n">
        <v>0</v>
      </c>
      <c r="Q846" s="0" t="n">
        <v>0</v>
      </c>
      <c r="R846" s="0" t="n">
        <v>0</v>
      </c>
      <c r="S846" s="0" t="n">
        <v>0</v>
      </c>
      <c r="T846" s="0" t="s">
        <v>624</v>
      </c>
      <c r="U846" s="0" t="s">
        <v>137</v>
      </c>
      <c r="V846" s="0" t="s">
        <v>624</v>
      </c>
      <c r="W846" s="0" t="s">
        <v>569</v>
      </c>
      <c r="X846" s="0" t="s">
        <v>624</v>
      </c>
      <c r="Y846" s="0" t="s">
        <v>627</v>
      </c>
      <c r="Z846" s="0" t="s">
        <v>629</v>
      </c>
      <c r="AA846" s="0" t="s">
        <v>624</v>
      </c>
      <c r="AB846" s="0" t="s">
        <v>580</v>
      </c>
      <c r="AC846" s="254" t="n">
        <v>-500000</v>
      </c>
      <c r="AD846" s="254" t="n">
        <v>-15567.3996910619</v>
      </c>
      <c r="AE846" s="0" t="n">
        <v>0</v>
      </c>
      <c r="AF846" s="0" t="n">
        <v>0</v>
      </c>
      <c r="AG846" s="0" t="n">
        <v>0</v>
      </c>
      <c r="AH846" s="254" t="n">
        <v>0</v>
      </c>
      <c r="AI846" s="0" t="n">
        <v>226</v>
      </c>
      <c r="AJ846" s="0" t="s">
        <v>630</v>
      </c>
      <c r="AK846" s="0" t="n">
        <v>0</v>
      </c>
      <c r="AL846" s="0" t="n">
        <v>0</v>
      </c>
      <c r="AM846" s="0" t="n">
        <v>0</v>
      </c>
    </row>
    <row r="847" customFormat="false" ht="12.75" hidden="false" customHeight="false" outlineLevel="0" collapsed="false">
      <c r="A847" s="0" t="s">
        <v>631</v>
      </c>
      <c r="B847" s="0" t="s">
        <v>470</v>
      </c>
      <c r="C847" s="0" t="s">
        <v>622</v>
      </c>
      <c r="D847" s="0" t="s">
        <v>623</v>
      </c>
      <c r="E847" s="0" t="s">
        <v>131</v>
      </c>
      <c r="F847" s="0" t="s">
        <v>198</v>
      </c>
      <c r="G847" s="0" t="s">
        <v>628</v>
      </c>
      <c r="H847" s="0" t="s">
        <v>625</v>
      </c>
      <c r="I847" s="0" t="s">
        <v>626</v>
      </c>
      <c r="J847" s="0" t="s">
        <v>627</v>
      </c>
      <c r="K847" s="475" t="n">
        <v>37012</v>
      </c>
      <c r="L847" s="254" t="n">
        <v>-25116.8547735615</v>
      </c>
      <c r="M847" s="475" t="n">
        <v>37008</v>
      </c>
      <c r="N847" s="0" t="s">
        <v>136</v>
      </c>
      <c r="O847" s="0" t="n">
        <v>1.5</v>
      </c>
      <c r="P847" s="0" t="n">
        <v>0</v>
      </c>
      <c r="Q847" s="0" t="n">
        <v>0</v>
      </c>
      <c r="R847" s="0" t="n">
        <v>0</v>
      </c>
      <c r="S847" s="0" t="n">
        <v>0</v>
      </c>
      <c r="T847" s="0" t="s">
        <v>624</v>
      </c>
      <c r="U847" s="0" t="s">
        <v>137</v>
      </c>
      <c r="V847" s="0" t="s">
        <v>624</v>
      </c>
      <c r="W847" s="0" t="s">
        <v>569</v>
      </c>
      <c r="X847" s="0" t="s">
        <v>624</v>
      </c>
      <c r="Y847" s="0" t="s">
        <v>627</v>
      </c>
      <c r="Z847" s="0" t="s">
        <v>629</v>
      </c>
      <c r="AA847" s="0" t="s">
        <v>624</v>
      </c>
      <c r="AB847" s="0" t="s">
        <v>580</v>
      </c>
      <c r="AC847" s="254" t="n">
        <v>-500000</v>
      </c>
      <c r="AD847" s="254" t="n">
        <v>-14459.5788766825</v>
      </c>
      <c r="AE847" s="0" t="n">
        <v>0</v>
      </c>
      <c r="AF847" s="0" t="n">
        <v>0</v>
      </c>
      <c r="AG847" s="0" t="n">
        <v>0</v>
      </c>
      <c r="AH847" s="254" t="n">
        <v>0</v>
      </c>
      <c r="AI847" s="0" t="n">
        <v>226</v>
      </c>
      <c r="AJ847" s="0" t="s">
        <v>630</v>
      </c>
      <c r="AK847" s="0" t="n">
        <v>0</v>
      </c>
      <c r="AL847" s="0" t="n">
        <v>0</v>
      </c>
      <c r="AM847" s="0" t="n">
        <v>0</v>
      </c>
    </row>
    <row r="848" customFormat="false" ht="12.75" hidden="false" customHeight="false" outlineLevel="0" collapsed="false">
      <c r="A848" s="0" t="s">
        <v>631</v>
      </c>
      <c r="B848" s="0" t="s">
        <v>470</v>
      </c>
      <c r="C848" s="0" t="s">
        <v>622</v>
      </c>
      <c r="D848" s="0" t="s">
        <v>623</v>
      </c>
      <c r="E848" s="0" t="s">
        <v>131</v>
      </c>
      <c r="F848" s="0" t="s">
        <v>198</v>
      </c>
      <c r="G848" s="0" t="s">
        <v>628</v>
      </c>
      <c r="H848" s="0" t="s">
        <v>625</v>
      </c>
      <c r="I848" s="0" t="s">
        <v>626</v>
      </c>
      <c r="J848" s="0" t="s">
        <v>627</v>
      </c>
      <c r="K848" s="475" t="n">
        <v>37043</v>
      </c>
      <c r="L848" s="254" t="n">
        <v>-30653.9703200064</v>
      </c>
      <c r="M848" s="475" t="n">
        <v>37041</v>
      </c>
      <c r="N848" s="0" t="s">
        <v>136</v>
      </c>
      <c r="O848" s="0" t="n">
        <v>1.5</v>
      </c>
      <c r="P848" s="0" t="n">
        <v>0</v>
      </c>
      <c r="Q848" s="0" t="n">
        <v>0</v>
      </c>
      <c r="R848" s="0" t="n">
        <v>0</v>
      </c>
      <c r="S848" s="0" t="n">
        <v>0</v>
      </c>
      <c r="T848" s="0" t="s">
        <v>624</v>
      </c>
      <c r="U848" s="0" t="s">
        <v>137</v>
      </c>
      <c r="V848" s="0" t="s">
        <v>624</v>
      </c>
      <c r="W848" s="0" t="s">
        <v>569</v>
      </c>
      <c r="X848" s="0" t="s">
        <v>624</v>
      </c>
      <c r="Y848" s="0" t="s">
        <v>627</v>
      </c>
      <c r="Z848" s="0" t="s">
        <v>629</v>
      </c>
      <c r="AA848" s="0" t="s">
        <v>624</v>
      </c>
      <c r="AB848" s="0" t="s">
        <v>580</v>
      </c>
      <c r="AC848" s="254" t="n">
        <v>-500000</v>
      </c>
      <c r="AD848" s="254" t="n">
        <v>-16456.6569630105</v>
      </c>
      <c r="AE848" s="0" t="n">
        <v>0</v>
      </c>
      <c r="AF848" s="0" t="n">
        <v>0</v>
      </c>
      <c r="AG848" s="0" t="n">
        <v>0</v>
      </c>
      <c r="AH848" s="254" t="n">
        <v>0</v>
      </c>
      <c r="AI848" s="0" t="n">
        <v>226</v>
      </c>
      <c r="AJ848" s="0" t="s">
        <v>630</v>
      </c>
      <c r="AK848" s="0" t="n">
        <v>0</v>
      </c>
      <c r="AL848" s="0" t="n">
        <v>0</v>
      </c>
      <c r="AM848" s="0" t="n">
        <v>0</v>
      </c>
    </row>
    <row r="849" customFormat="false" ht="12.75" hidden="false" customHeight="false" outlineLevel="0" collapsed="false">
      <c r="A849" s="0" t="s">
        <v>631</v>
      </c>
      <c r="B849" s="0" t="s">
        <v>470</v>
      </c>
      <c r="C849" s="0" t="s">
        <v>622</v>
      </c>
      <c r="D849" s="0" t="s">
        <v>623</v>
      </c>
      <c r="E849" s="0" t="s">
        <v>131</v>
      </c>
      <c r="F849" s="0" t="s">
        <v>198</v>
      </c>
      <c r="G849" s="0" t="s">
        <v>628</v>
      </c>
      <c r="H849" s="0" t="s">
        <v>625</v>
      </c>
      <c r="I849" s="0" t="s">
        <v>626</v>
      </c>
      <c r="J849" s="0" t="s">
        <v>627</v>
      </c>
      <c r="K849" s="475" t="n">
        <v>37073</v>
      </c>
      <c r="L849" s="254" t="n">
        <v>-120718.475069725</v>
      </c>
      <c r="M849" s="475" t="n">
        <v>37070</v>
      </c>
      <c r="N849" s="0" t="s">
        <v>136</v>
      </c>
      <c r="O849" s="0" t="n">
        <v>1.5</v>
      </c>
      <c r="P849" s="0" t="n">
        <v>0</v>
      </c>
      <c r="Q849" s="0" t="n">
        <v>0</v>
      </c>
      <c r="R849" s="0" t="n">
        <v>0</v>
      </c>
      <c r="S849" s="0" t="n">
        <v>0</v>
      </c>
      <c r="T849" s="0" t="s">
        <v>624</v>
      </c>
      <c r="U849" s="0" t="s">
        <v>137</v>
      </c>
      <c r="V849" s="0" t="s">
        <v>624</v>
      </c>
      <c r="W849" s="0" t="s">
        <v>569</v>
      </c>
      <c r="X849" s="0" t="s">
        <v>624</v>
      </c>
      <c r="Y849" s="0" t="s">
        <v>627</v>
      </c>
      <c r="Z849" s="0" t="s">
        <v>629</v>
      </c>
      <c r="AA849" s="0" t="s">
        <v>624</v>
      </c>
      <c r="AB849" s="0" t="s">
        <v>580</v>
      </c>
      <c r="AC849" s="254" t="n">
        <v>-500000</v>
      </c>
      <c r="AD849" s="254" t="n">
        <v>-27571.1427158308</v>
      </c>
      <c r="AE849" s="0" t="n">
        <v>0</v>
      </c>
      <c r="AF849" s="0" t="n">
        <v>0</v>
      </c>
      <c r="AG849" s="0" t="n">
        <v>0</v>
      </c>
      <c r="AH849" s="254" t="n">
        <v>0</v>
      </c>
      <c r="AI849" s="0" t="n">
        <v>226</v>
      </c>
      <c r="AJ849" s="0" t="s">
        <v>630</v>
      </c>
      <c r="AK849" s="0" t="n">
        <v>0</v>
      </c>
      <c r="AL849" s="0" t="n">
        <v>0</v>
      </c>
      <c r="AM849" s="0" t="n">
        <v>0</v>
      </c>
    </row>
    <row r="850" customFormat="false" ht="12.75" hidden="false" customHeight="false" outlineLevel="0" collapsed="false">
      <c r="A850" s="0" t="s">
        <v>631</v>
      </c>
      <c r="B850" s="0" t="s">
        <v>470</v>
      </c>
      <c r="C850" s="0" t="s">
        <v>622</v>
      </c>
      <c r="D850" s="0" t="s">
        <v>623</v>
      </c>
      <c r="E850" s="0" t="s">
        <v>131</v>
      </c>
      <c r="F850" s="0" t="s">
        <v>198</v>
      </c>
      <c r="G850" s="0" t="s">
        <v>628</v>
      </c>
      <c r="H850" s="0" t="s">
        <v>625</v>
      </c>
      <c r="I850" s="0" t="s">
        <v>626</v>
      </c>
      <c r="J850" s="0" t="s">
        <v>627</v>
      </c>
      <c r="K850" s="475" t="n">
        <v>37104</v>
      </c>
      <c r="L850" s="254" t="n">
        <v>-139258.940509251</v>
      </c>
      <c r="M850" s="475" t="n">
        <v>37102</v>
      </c>
      <c r="N850" s="0" t="s">
        <v>136</v>
      </c>
      <c r="O850" s="0" t="n">
        <v>1.5</v>
      </c>
      <c r="P850" s="0" t="n">
        <v>0</v>
      </c>
      <c r="Q850" s="0" t="n">
        <v>0</v>
      </c>
      <c r="R850" s="0" t="n">
        <v>0</v>
      </c>
      <c r="S850" s="0" t="n">
        <v>0</v>
      </c>
      <c r="T850" s="0" t="s">
        <v>624</v>
      </c>
      <c r="U850" s="0" t="s">
        <v>137</v>
      </c>
      <c r="V850" s="0" t="s">
        <v>624</v>
      </c>
      <c r="W850" s="0" t="s">
        <v>569</v>
      </c>
      <c r="X850" s="0" t="s">
        <v>624</v>
      </c>
      <c r="Y850" s="0" t="s">
        <v>627</v>
      </c>
      <c r="Z850" s="0" t="s">
        <v>629</v>
      </c>
      <c r="AA850" s="0" t="s">
        <v>624</v>
      </c>
      <c r="AB850" s="0" t="s">
        <v>580</v>
      </c>
      <c r="AC850" s="254" t="n">
        <v>-500000</v>
      </c>
      <c r="AD850" s="254" t="n">
        <v>-29248.8236592701</v>
      </c>
      <c r="AE850" s="0" t="n">
        <v>0</v>
      </c>
      <c r="AF850" s="0" t="n">
        <v>0</v>
      </c>
      <c r="AG850" s="0" t="n">
        <v>0</v>
      </c>
      <c r="AH850" s="254" t="n">
        <v>0</v>
      </c>
      <c r="AI850" s="0" t="n">
        <v>226</v>
      </c>
      <c r="AJ850" s="0" t="s">
        <v>630</v>
      </c>
      <c r="AK850" s="0" t="n">
        <v>0</v>
      </c>
      <c r="AL850" s="0" t="n">
        <v>0</v>
      </c>
      <c r="AM850" s="0" t="n">
        <v>0</v>
      </c>
    </row>
    <row r="851" customFormat="false" ht="12.75" hidden="false" customHeight="false" outlineLevel="0" collapsed="false">
      <c r="A851" s="0" t="s">
        <v>631</v>
      </c>
      <c r="B851" s="0" t="s">
        <v>470</v>
      </c>
      <c r="C851" s="0" t="s">
        <v>622</v>
      </c>
      <c r="D851" s="0" t="s">
        <v>623</v>
      </c>
      <c r="E851" s="0" t="s">
        <v>131</v>
      </c>
      <c r="F851" s="0" t="s">
        <v>198</v>
      </c>
      <c r="G851" s="0" t="s">
        <v>628</v>
      </c>
      <c r="H851" s="0" t="s">
        <v>625</v>
      </c>
      <c r="I851" s="0" t="s">
        <v>626</v>
      </c>
      <c r="J851" s="0" t="s">
        <v>627</v>
      </c>
      <c r="K851" s="475" t="n">
        <v>37135</v>
      </c>
      <c r="L851" s="254" t="n">
        <v>-141304.736052762</v>
      </c>
      <c r="M851" s="475" t="n">
        <v>37133</v>
      </c>
      <c r="N851" s="0" t="s">
        <v>136</v>
      </c>
      <c r="O851" s="0" t="n">
        <v>1.5</v>
      </c>
      <c r="P851" s="0" t="n">
        <v>0</v>
      </c>
      <c r="Q851" s="0" t="n">
        <v>0</v>
      </c>
      <c r="R851" s="0" t="n">
        <v>0</v>
      </c>
      <c r="S851" s="0" t="n">
        <v>0</v>
      </c>
      <c r="T851" s="0" t="s">
        <v>624</v>
      </c>
      <c r="U851" s="0" t="s">
        <v>137</v>
      </c>
      <c r="V851" s="0" t="s">
        <v>624</v>
      </c>
      <c r="W851" s="0" t="s">
        <v>569</v>
      </c>
      <c r="X851" s="0" t="s">
        <v>624</v>
      </c>
      <c r="Y851" s="0" t="s">
        <v>627</v>
      </c>
      <c r="Z851" s="0" t="s">
        <v>629</v>
      </c>
      <c r="AA851" s="0" t="s">
        <v>624</v>
      </c>
      <c r="AB851" s="0" t="s">
        <v>580</v>
      </c>
      <c r="AC851" s="254" t="n">
        <v>-500000</v>
      </c>
      <c r="AD851" s="254" t="n">
        <v>-30313.214591835</v>
      </c>
      <c r="AE851" s="0" t="n">
        <v>0</v>
      </c>
      <c r="AF851" s="0" t="n">
        <v>0</v>
      </c>
      <c r="AG851" s="0" t="n">
        <v>0</v>
      </c>
      <c r="AH851" s="254" t="n">
        <v>0</v>
      </c>
      <c r="AI851" s="0" t="n">
        <v>226</v>
      </c>
      <c r="AJ851" s="0" t="s">
        <v>630</v>
      </c>
      <c r="AK851" s="0" t="n">
        <v>0</v>
      </c>
      <c r="AL851" s="0" t="n">
        <v>0</v>
      </c>
      <c r="AM851" s="0" t="n">
        <v>0</v>
      </c>
    </row>
    <row r="852" customFormat="false" ht="12.75" hidden="false" customHeight="false" outlineLevel="0" collapsed="false">
      <c r="A852" s="0" t="s">
        <v>631</v>
      </c>
      <c r="B852" s="0" t="s">
        <v>470</v>
      </c>
      <c r="C852" s="0" t="s">
        <v>622</v>
      </c>
      <c r="D852" s="0" t="s">
        <v>623</v>
      </c>
      <c r="E852" s="0" t="s">
        <v>131</v>
      </c>
      <c r="F852" s="0" t="s">
        <v>198</v>
      </c>
      <c r="G852" s="0" t="s">
        <v>628</v>
      </c>
      <c r="H852" s="0" t="s">
        <v>625</v>
      </c>
      <c r="I852" s="0" t="s">
        <v>626</v>
      </c>
      <c r="J852" s="0" t="s">
        <v>627</v>
      </c>
      <c r="K852" s="475" t="n">
        <v>37165</v>
      </c>
      <c r="L852" s="254" t="n">
        <v>-64273.509868813</v>
      </c>
      <c r="M852" s="475" t="n">
        <v>37161</v>
      </c>
      <c r="N852" s="0" t="s">
        <v>136</v>
      </c>
      <c r="O852" s="0" t="n">
        <v>1.5</v>
      </c>
      <c r="P852" s="0" t="n">
        <v>0</v>
      </c>
      <c r="Q852" s="0" t="n">
        <v>0</v>
      </c>
      <c r="R852" s="0" t="n">
        <v>0</v>
      </c>
      <c r="S852" s="0" t="n">
        <v>0</v>
      </c>
      <c r="T852" s="0" t="s">
        <v>624</v>
      </c>
      <c r="U852" s="0" t="s">
        <v>137</v>
      </c>
      <c r="V852" s="0" t="s">
        <v>624</v>
      </c>
      <c r="W852" s="0" t="s">
        <v>569</v>
      </c>
      <c r="X852" s="0" t="s">
        <v>624</v>
      </c>
      <c r="Y852" s="0" t="s">
        <v>627</v>
      </c>
      <c r="Z852" s="0" t="s">
        <v>629</v>
      </c>
      <c r="AA852" s="0" t="s">
        <v>624</v>
      </c>
      <c r="AB852" s="0" t="s">
        <v>580</v>
      </c>
      <c r="AC852" s="254" t="n">
        <v>-500000</v>
      </c>
      <c r="AD852" s="254" t="n">
        <v>-25421.5336249432</v>
      </c>
      <c r="AE852" s="0" t="n">
        <v>0</v>
      </c>
      <c r="AF852" s="0" t="n">
        <v>0</v>
      </c>
      <c r="AG852" s="0" t="n">
        <v>0</v>
      </c>
      <c r="AH852" s="254" t="n">
        <v>0</v>
      </c>
      <c r="AI852" s="0" t="n">
        <v>226</v>
      </c>
      <c r="AJ852" s="0" t="s">
        <v>630</v>
      </c>
      <c r="AK852" s="0" t="n">
        <v>0</v>
      </c>
      <c r="AL852" s="0" t="n">
        <v>0</v>
      </c>
      <c r="AM852" s="0" t="n">
        <v>0</v>
      </c>
    </row>
    <row r="853" customFormat="false" ht="12.75" hidden="false" customHeight="false" outlineLevel="0" collapsed="false">
      <c r="A853" s="0" t="s">
        <v>631</v>
      </c>
      <c r="B853" s="0" t="s">
        <v>471</v>
      </c>
      <c r="C853" s="0" t="s">
        <v>622</v>
      </c>
      <c r="D853" s="0" t="s">
        <v>623</v>
      </c>
      <c r="E853" s="0" t="s">
        <v>131</v>
      </c>
      <c r="F853" s="0" t="s">
        <v>198</v>
      </c>
      <c r="G853" s="0" t="s">
        <v>628</v>
      </c>
      <c r="H853" s="0" t="s">
        <v>625</v>
      </c>
      <c r="I853" s="0" t="s">
        <v>626</v>
      </c>
      <c r="J853" s="0" t="s">
        <v>627</v>
      </c>
      <c r="K853" s="475" t="n">
        <v>36982</v>
      </c>
      <c r="L853" s="254" t="n">
        <v>-28264.7658857092</v>
      </c>
      <c r="M853" s="475" t="n">
        <v>36979</v>
      </c>
      <c r="N853" s="0" t="s">
        <v>136</v>
      </c>
      <c r="O853" s="0" t="n">
        <v>1.5</v>
      </c>
      <c r="P853" s="0" t="n">
        <v>0</v>
      </c>
      <c r="Q853" s="0" t="n">
        <v>0</v>
      </c>
      <c r="R853" s="0" t="n">
        <v>0</v>
      </c>
      <c r="S853" s="0" t="n">
        <v>0</v>
      </c>
      <c r="T853" s="0" t="s">
        <v>624</v>
      </c>
      <c r="U853" s="0" t="s">
        <v>137</v>
      </c>
      <c r="V853" s="0" t="s">
        <v>624</v>
      </c>
      <c r="W853" s="0" t="s">
        <v>569</v>
      </c>
      <c r="X853" s="0" t="s">
        <v>624</v>
      </c>
      <c r="Y853" s="0" t="s">
        <v>627</v>
      </c>
      <c r="Z853" s="0" t="s">
        <v>629</v>
      </c>
      <c r="AA853" s="0" t="s">
        <v>624</v>
      </c>
      <c r="AB853" s="0" t="s">
        <v>580</v>
      </c>
      <c r="AC853" s="254" t="n">
        <v>-500000</v>
      </c>
      <c r="AD853" s="254" t="n">
        <v>-15567.3996910619</v>
      </c>
      <c r="AE853" s="0" t="n">
        <v>0</v>
      </c>
      <c r="AF853" s="0" t="n">
        <v>0</v>
      </c>
      <c r="AG853" s="0" t="n">
        <v>0</v>
      </c>
      <c r="AH853" s="254" t="n">
        <v>0</v>
      </c>
      <c r="AI853" s="0" t="n">
        <v>226</v>
      </c>
      <c r="AJ853" s="0" t="s">
        <v>630</v>
      </c>
      <c r="AK853" s="0" t="n">
        <v>0</v>
      </c>
      <c r="AL853" s="0" t="n">
        <v>0</v>
      </c>
      <c r="AM853" s="0" t="n">
        <v>0</v>
      </c>
    </row>
    <row r="854" customFormat="false" ht="12.75" hidden="false" customHeight="false" outlineLevel="0" collapsed="false">
      <c r="A854" s="0" t="s">
        <v>631</v>
      </c>
      <c r="B854" s="0" t="s">
        <v>471</v>
      </c>
      <c r="C854" s="0" t="s">
        <v>622</v>
      </c>
      <c r="D854" s="0" t="s">
        <v>623</v>
      </c>
      <c r="E854" s="0" t="s">
        <v>131</v>
      </c>
      <c r="F854" s="0" t="s">
        <v>198</v>
      </c>
      <c r="G854" s="0" t="s">
        <v>628</v>
      </c>
      <c r="H854" s="0" t="s">
        <v>625</v>
      </c>
      <c r="I854" s="0" t="s">
        <v>626</v>
      </c>
      <c r="J854" s="0" t="s">
        <v>627</v>
      </c>
      <c r="K854" s="475" t="n">
        <v>37012</v>
      </c>
      <c r="L854" s="254" t="n">
        <v>-25116.8547735615</v>
      </c>
      <c r="M854" s="475" t="n">
        <v>37008</v>
      </c>
      <c r="N854" s="0" t="s">
        <v>136</v>
      </c>
      <c r="O854" s="0" t="n">
        <v>1.5</v>
      </c>
      <c r="P854" s="0" t="n">
        <v>0</v>
      </c>
      <c r="Q854" s="0" t="n">
        <v>0</v>
      </c>
      <c r="R854" s="0" t="n">
        <v>0</v>
      </c>
      <c r="S854" s="0" t="n">
        <v>0</v>
      </c>
      <c r="T854" s="0" t="s">
        <v>624</v>
      </c>
      <c r="U854" s="0" t="s">
        <v>137</v>
      </c>
      <c r="V854" s="0" t="s">
        <v>624</v>
      </c>
      <c r="W854" s="0" t="s">
        <v>569</v>
      </c>
      <c r="X854" s="0" t="s">
        <v>624</v>
      </c>
      <c r="Y854" s="0" t="s">
        <v>627</v>
      </c>
      <c r="Z854" s="0" t="s">
        <v>629</v>
      </c>
      <c r="AA854" s="0" t="s">
        <v>624</v>
      </c>
      <c r="AB854" s="0" t="s">
        <v>580</v>
      </c>
      <c r="AC854" s="254" t="n">
        <v>-500000</v>
      </c>
      <c r="AD854" s="254" t="n">
        <v>-14459.5788766825</v>
      </c>
      <c r="AE854" s="0" t="n">
        <v>0</v>
      </c>
      <c r="AF854" s="0" t="n">
        <v>0</v>
      </c>
      <c r="AG854" s="0" t="n">
        <v>0</v>
      </c>
      <c r="AH854" s="254" t="n">
        <v>0</v>
      </c>
      <c r="AI854" s="0" t="n">
        <v>226</v>
      </c>
      <c r="AJ854" s="0" t="s">
        <v>630</v>
      </c>
      <c r="AK854" s="0" t="n">
        <v>0</v>
      </c>
      <c r="AL854" s="0" t="n">
        <v>0</v>
      </c>
      <c r="AM854" s="0" t="n">
        <v>0</v>
      </c>
    </row>
    <row r="855" customFormat="false" ht="12.75" hidden="false" customHeight="false" outlineLevel="0" collapsed="false">
      <c r="A855" s="0" t="s">
        <v>631</v>
      </c>
      <c r="B855" s="0" t="s">
        <v>471</v>
      </c>
      <c r="C855" s="0" t="s">
        <v>622</v>
      </c>
      <c r="D855" s="0" t="s">
        <v>623</v>
      </c>
      <c r="E855" s="0" t="s">
        <v>131</v>
      </c>
      <c r="F855" s="0" t="s">
        <v>198</v>
      </c>
      <c r="G855" s="0" t="s">
        <v>628</v>
      </c>
      <c r="H855" s="0" t="s">
        <v>625</v>
      </c>
      <c r="I855" s="0" t="s">
        <v>626</v>
      </c>
      <c r="J855" s="0" t="s">
        <v>627</v>
      </c>
      <c r="K855" s="475" t="n">
        <v>37043</v>
      </c>
      <c r="L855" s="254" t="n">
        <v>-30653.9703200064</v>
      </c>
      <c r="M855" s="475" t="n">
        <v>37041</v>
      </c>
      <c r="N855" s="0" t="s">
        <v>136</v>
      </c>
      <c r="O855" s="0" t="n">
        <v>1.5</v>
      </c>
      <c r="P855" s="0" t="n">
        <v>0</v>
      </c>
      <c r="Q855" s="0" t="n">
        <v>0</v>
      </c>
      <c r="R855" s="0" t="n">
        <v>0</v>
      </c>
      <c r="S855" s="0" t="n">
        <v>0</v>
      </c>
      <c r="T855" s="0" t="s">
        <v>624</v>
      </c>
      <c r="U855" s="0" t="s">
        <v>137</v>
      </c>
      <c r="V855" s="0" t="s">
        <v>624</v>
      </c>
      <c r="W855" s="0" t="s">
        <v>569</v>
      </c>
      <c r="X855" s="0" t="s">
        <v>624</v>
      </c>
      <c r="Y855" s="0" t="s">
        <v>627</v>
      </c>
      <c r="Z855" s="0" t="s">
        <v>629</v>
      </c>
      <c r="AA855" s="0" t="s">
        <v>624</v>
      </c>
      <c r="AB855" s="0" t="s">
        <v>580</v>
      </c>
      <c r="AC855" s="254" t="n">
        <v>-500000</v>
      </c>
      <c r="AD855" s="254" t="n">
        <v>-16456.6569630105</v>
      </c>
      <c r="AE855" s="0" t="n">
        <v>0</v>
      </c>
      <c r="AF855" s="0" t="n">
        <v>0</v>
      </c>
      <c r="AG855" s="0" t="n">
        <v>0</v>
      </c>
      <c r="AH855" s="254" t="n">
        <v>0</v>
      </c>
      <c r="AI855" s="0" t="n">
        <v>226</v>
      </c>
      <c r="AJ855" s="0" t="s">
        <v>630</v>
      </c>
      <c r="AK855" s="0" t="n">
        <v>0</v>
      </c>
      <c r="AL855" s="0" t="n">
        <v>0</v>
      </c>
      <c r="AM855" s="0" t="n">
        <v>0</v>
      </c>
    </row>
    <row r="856" customFormat="false" ht="12.75" hidden="false" customHeight="false" outlineLevel="0" collapsed="false">
      <c r="A856" s="0" t="s">
        <v>631</v>
      </c>
      <c r="B856" s="0" t="s">
        <v>471</v>
      </c>
      <c r="C856" s="0" t="s">
        <v>622</v>
      </c>
      <c r="D856" s="0" t="s">
        <v>623</v>
      </c>
      <c r="E856" s="0" t="s">
        <v>131</v>
      </c>
      <c r="F856" s="0" t="s">
        <v>198</v>
      </c>
      <c r="G856" s="0" t="s">
        <v>628</v>
      </c>
      <c r="H856" s="0" t="s">
        <v>625</v>
      </c>
      <c r="I856" s="0" t="s">
        <v>626</v>
      </c>
      <c r="J856" s="0" t="s">
        <v>627</v>
      </c>
      <c r="K856" s="475" t="n">
        <v>37073</v>
      </c>
      <c r="L856" s="254" t="n">
        <v>-120718.475069725</v>
      </c>
      <c r="M856" s="475" t="n">
        <v>37070</v>
      </c>
      <c r="N856" s="0" t="s">
        <v>136</v>
      </c>
      <c r="O856" s="0" t="n">
        <v>1.5</v>
      </c>
      <c r="P856" s="0" t="n">
        <v>0</v>
      </c>
      <c r="Q856" s="0" t="n">
        <v>0</v>
      </c>
      <c r="R856" s="0" t="n">
        <v>0</v>
      </c>
      <c r="S856" s="0" t="n">
        <v>0</v>
      </c>
      <c r="T856" s="0" t="s">
        <v>624</v>
      </c>
      <c r="U856" s="0" t="s">
        <v>137</v>
      </c>
      <c r="V856" s="0" t="s">
        <v>624</v>
      </c>
      <c r="W856" s="0" t="s">
        <v>569</v>
      </c>
      <c r="X856" s="0" t="s">
        <v>624</v>
      </c>
      <c r="Y856" s="0" t="s">
        <v>627</v>
      </c>
      <c r="Z856" s="0" t="s">
        <v>629</v>
      </c>
      <c r="AA856" s="0" t="s">
        <v>624</v>
      </c>
      <c r="AB856" s="0" t="s">
        <v>580</v>
      </c>
      <c r="AC856" s="254" t="n">
        <v>-500000</v>
      </c>
      <c r="AD856" s="254" t="n">
        <v>-27571.1427158308</v>
      </c>
      <c r="AE856" s="0" t="n">
        <v>0</v>
      </c>
      <c r="AF856" s="0" t="n">
        <v>0</v>
      </c>
      <c r="AG856" s="0" t="n">
        <v>0</v>
      </c>
      <c r="AH856" s="254" t="n">
        <v>0</v>
      </c>
      <c r="AI856" s="0" t="n">
        <v>226</v>
      </c>
      <c r="AJ856" s="0" t="s">
        <v>630</v>
      </c>
      <c r="AK856" s="0" t="n">
        <v>0</v>
      </c>
      <c r="AL856" s="0" t="n">
        <v>0</v>
      </c>
      <c r="AM856" s="0" t="n">
        <v>0</v>
      </c>
    </row>
    <row r="857" customFormat="false" ht="12.75" hidden="false" customHeight="false" outlineLevel="0" collapsed="false">
      <c r="A857" s="0" t="s">
        <v>631</v>
      </c>
      <c r="B857" s="0" t="s">
        <v>471</v>
      </c>
      <c r="C857" s="0" t="s">
        <v>622</v>
      </c>
      <c r="D857" s="0" t="s">
        <v>623</v>
      </c>
      <c r="E857" s="0" t="s">
        <v>131</v>
      </c>
      <c r="F857" s="0" t="s">
        <v>198</v>
      </c>
      <c r="G857" s="0" t="s">
        <v>628</v>
      </c>
      <c r="H857" s="0" t="s">
        <v>625</v>
      </c>
      <c r="I857" s="0" t="s">
        <v>626</v>
      </c>
      <c r="J857" s="0" t="s">
        <v>627</v>
      </c>
      <c r="K857" s="475" t="n">
        <v>37104</v>
      </c>
      <c r="L857" s="254" t="n">
        <v>-139258.940509251</v>
      </c>
      <c r="M857" s="475" t="n">
        <v>37102</v>
      </c>
      <c r="N857" s="0" t="s">
        <v>136</v>
      </c>
      <c r="O857" s="0" t="n">
        <v>1.5</v>
      </c>
      <c r="P857" s="0" t="n">
        <v>0</v>
      </c>
      <c r="Q857" s="0" t="n">
        <v>0</v>
      </c>
      <c r="R857" s="0" t="n">
        <v>0</v>
      </c>
      <c r="S857" s="0" t="n">
        <v>0</v>
      </c>
      <c r="T857" s="0" t="s">
        <v>624</v>
      </c>
      <c r="U857" s="0" t="s">
        <v>137</v>
      </c>
      <c r="V857" s="0" t="s">
        <v>624</v>
      </c>
      <c r="W857" s="0" t="s">
        <v>569</v>
      </c>
      <c r="X857" s="0" t="s">
        <v>624</v>
      </c>
      <c r="Y857" s="0" t="s">
        <v>627</v>
      </c>
      <c r="Z857" s="0" t="s">
        <v>629</v>
      </c>
      <c r="AA857" s="0" t="s">
        <v>624</v>
      </c>
      <c r="AB857" s="0" t="s">
        <v>580</v>
      </c>
      <c r="AC857" s="254" t="n">
        <v>-500000</v>
      </c>
      <c r="AD857" s="254" t="n">
        <v>-29248.8236592701</v>
      </c>
      <c r="AE857" s="0" t="n">
        <v>0</v>
      </c>
      <c r="AF857" s="0" t="n">
        <v>0</v>
      </c>
      <c r="AG857" s="0" t="n">
        <v>0</v>
      </c>
      <c r="AH857" s="254" t="n">
        <v>0</v>
      </c>
      <c r="AI857" s="0" t="n">
        <v>226</v>
      </c>
      <c r="AJ857" s="0" t="s">
        <v>630</v>
      </c>
      <c r="AK857" s="0" t="n">
        <v>0</v>
      </c>
      <c r="AL857" s="0" t="n">
        <v>0</v>
      </c>
      <c r="AM857" s="0" t="n">
        <v>0</v>
      </c>
    </row>
    <row r="858" customFormat="false" ht="12.75" hidden="false" customHeight="false" outlineLevel="0" collapsed="false">
      <c r="A858" s="0" t="s">
        <v>631</v>
      </c>
      <c r="B858" s="0" t="s">
        <v>471</v>
      </c>
      <c r="C858" s="0" t="s">
        <v>622</v>
      </c>
      <c r="D858" s="0" t="s">
        <v>623</v>
      </c>
      <c r="E858" s="0" t="s">
        <v>131</v>
      </c>
      <c r="F858" s="0" t="s">
        <v>198</v>
      </c>
      <c r="G858" s="0" t="s">
        <v>628</v>
      </c>
      <c r="H858" s="0" t="s">
        <v>625</v>
      </c>
      <c r="I858" s="0" t="s">
        <v>626</v>
      </c>
      <c r="J858" s="0" t="s">
        <v>627</v>
      </c>
      <c r="K858" s="475" t="n">
        <v>37135</v>
      </c>
      <c r="L858" s="254" t="n">
        <v>-141304.736052762</v>
      </c>
      <c r="M858" s="475" t="n">
        <v>37133</v>
      </c>
      <c r="N858" s="0" t="s">
        <v>136</v>
      </c>
      <c r="O858" s="0" t="n">
        <v>1.5</v>
      </c>
      <c r="P858" s="0" t="n">
        <v>0</v>
      </c>
      <c r="Q858" s="0" t="n">
        <v>0</v>
      </c>
      <c r="R858" s="0" t="n">
        <v>0</v>
      </c>
      <c r="S858" s="0" t="n">
        <v>0</v>
      </c>
      <c r="T858" s="0" t="s">
        <v>624</v>
      </c>
      <c r="U858" s="0" t="s">
        <v>137</v>
      </c>
      <c r="V858" s="0" t="s">
        <v>624</v>
      </c>
      <c r="W858" s="0" t="s">
        <v>569</v>
      </c>
      <c r="X858" s="0" t="s">
        <v>624</v>
      </c>
      <c r="Y858" s="0" t="s">
        <v>627</v>
      </c>
      <c r="Z858" s="0" t="s">
        <v>629</v>
      </c>
      <c r="AA858" s="0" t="s">
        <v>624</v>
      </c>
      <c r="AB858" s="0" t="s">
        <v>580</v>
      </c>
      <c r="AC858" s="254" t="n">
        <v>-500000</v>
      </c>
      <c r="AD858" s="254" t="n">
        <v>-30313.214591835</v>
      </c>
      <c r="AE858" s="0" t="n">
        <v>0</v>
      </c>
      <c r="AF858" s="0" t="n">
        <v>0</v>
      </c>
      <c r="AG858" s="0" t="n">
        <v>0</v>
      </c>
      <c r="AH858" s="254" t="n">
        <v>0</v>
      </c>
      <c r="AI858" s="0" t="n">
        <v>226</v>
      </c>
      <c r="AJ858" s="0" t="s">
        <v>630</v>
      </c>
      <c r="AK858" s="0" t="n">
        <v>0</v>
      </c>
      <c r="AL858" s="0" t="n">
        <v>0</v>
      </c>
      <c r="AM858" s="0" t="n">
        <v>0</v>
      </c>
    </row>
    <row r="859" customFormat="false" ht="12.75" hidden="false" customHeight="false" outlineLevel="0" collapsed="false">
      <c r="A859" s="0" t="s">
        <v>631</v>
      </c>
      <c r="B859" s="0" t="s">
        <v>471</v>
      </c>
      <c r="C859" s="0" t="s">
        <v>622</v>
      </c>
      <c r="D859" s="0" t="s">
        <v>623</v>
      </c>
      <c r="E859" s="0" t="s">
        <v>131</v>
      </c>
      <c r="F859" s="0" t="s">
        <v>198</v>
      </c>
      <c r="G859" s="0" t="s">
        <v>628</v>
      </c>
      <c r="H859" s="0" t="s">
        <v>625</v>
      </c>
      <c r="I859" s="0" t="s">
        <v>626</v>
      </c>
      <c r="J859" s="0" t="s">
        <v>627</v>
      </c>
      <c r="K859" s="475" t="n">
        <v>37165</v>
      </c>
      <c r="L859" s="254" t="n">
        <v>-64273.509868813</v>
      </c>
      <c r="M859" s="475" t="n">
        <v>37161</v>
      </c>
      <c r="N859" s="0" t="s">
        <v>136</v>
      </c>
      <c r="O859" s="0" t="n">
        <v>1.5</v>
      </c>
      <c r="P859" s="0" t="n">
        <v>0</v>
      </c>
      <c r="Q859" s="0" t="n">
        <v>0</v>
      </c>
      <c r="R859" s="0" t="n">
        <v>0</v>
      </c>
      <c r="S859" s="0" t="n">
        <v>0</v>
      </c>
      <c r="T859" s="0" t="s">
        <v>624</v>
      </c>
      <c r="U859" s="0" t="s">
        <v>137</v>
      </c>
      <c r="V859" s="0" t="s">
        <v>624</v>
      </c>
      <c r="W859" s="0" t="s">
        <v>569</v>
      </c>
      <c r="X859" s="0" t="s">
        <v>624</v>
      </c>
      <c r="Y859" s="0" t="s">
        <v>627</v>
      </c>
      <c r="Z859" s="0" t="s">
        <v>629</v>
      </c>
      <c r="AA859" s="0" t="s">
        <v>624</v>
      </c>
      <c r="AB859" s="0" t="s">
        <v>580</v>
      </c>
      <c r="AC859" s="254" t="n">
        <v>-500000</v>
      </c>
      <c r="AD859" s="254" t="n">
        <v>-25421.5336249432</v>
      </c>
      <c r="AE859" s="0" t="n">
        <v>0</v>
      </c>
      <c r="AF859" s="0" t="n">
        <v>0</v>
      </c>
      <c r="AG859" s="0" t="n">
        <v>0</v>
      </c>
      <c r="AH859" s="254" t="n">
        <v>0</v>
      </c>
      <c r="AI859" s="0" t="n">
        <v>226</v>
      </c>
      <c r="AJ859" s="0" t="s">
        <v>630</v>
      </c>
      <c r="AK859" s="0" t="n">
        <v>0</v>
      </c>
      <c r="AL859" s="0" t="n">
        <v>0</v>
      </c>
      <c r="AM859" s="0" t="n">
        <v>0</v>
      </c>
    </row>
    <row r="860" customFormat="false" ht="12.75" hidden="false" customHeight="false" outlineLevel="0" collapsed="false">
      <c r="A860" s="0" t="s">
        <v>631</v>
      </c>
      <c r="B860" s="0" t="s">
        <v>472</v>
      </c>
      <c r="C860" s="0" t="s">
        <v>622</v>
      </c>
      <c r="D860" s="0" t="s">
        <v>623</v>
      </c>
      <c r="E860" s="0" t="s">
        <v>131</v>
      </c>
      <c r="F860" s="0" t="s">
        <v>206</v>
      </c>
      <c r="G860" s="0" t="s">
        <v>628</v>
      </c>
      <c r="H860" s="0" t="s">
        <v>625</v>
      </c>
      <c r="I860" s="0" t="s">
        <v>626</v>
      </c>
      <c r="J860" s="0" t="s">
        <v>627</v>
      </c>
      <c r="K860" s="475" t="n">
        <v>36770</v>
      </c>
      <c r="L860" s="254" t="n">
        <v>-5354.94437548717</v>
      </c>
      <c r="M860" s="475" t="n">
        <v>36768</v>
      </c>
      <c r="N860" s="0" t="s">
        <v>132</v>
      </c>
      <c r="O860" s="0" t="n">
        <v>0.3</v>
      </c>
      <c r="P860" s="0" t="n">
        <v>0</v>
      </c>
      <c r="Q860" s="0" t="n">
        <v>0</v>
      </c>
      <c r="R860" s="0" t="n">
        <v>0</v>
      </c>
      <c r="S860" s="0" t="n">
        <v>0</v>
      </c>
      <c r="T860" s="0" t="s">
        <v>624</v>
      </c>
      <c r="U860" s="0" t="s">
        <v>149</v>
      </c>
      <c r="V860" s="0" t="s">
        <v>624</v>
      </c>
      <c r="W860" s="0" t="s">
        <v>569</v>
      </c>
      <c r="X860" s="0" t="s">
        <v>624</v>
      </c>
      <c r="Y860" s="0" t="s">
        <v>627</v>
      </c>
      <c r="Z860" s="0" t="s">
        <v>629</v>
      </c>
      <c r="AA860" s="0" t="s">
        <v>624</v>
      </c>
      <c r="AB860" s="0" t="s">
        <v>580</v>
      </c>
      <c r="AC860" s="254" t="n">
        <v>-2500000</v>
      </c>
      <c r="AD860" s="254" t="n">
        <v>-2284.70258195256</v>
      </c>
      <c r="AE860" s="0" t="n">
        <v>0</v>
      </c>
      <c r="AF860" s="0" t="n">
        <v>0</v>
      </c>
      <c r="AG860" s="0" t="n">
        <v>0</v>
      </c>
      <c r="AH860" s="254" t="n">
        <v>0</v>
      </c>
      <c r="AI860" s="0" t="n">
        <v>226</v>
      </c>
      <c r="AJ860" s="0" t="s">
        <v>630</v>
      </c>
      <c r="AK860" s="0" t="n">
        <v>0</v>
      </c>
      <c r="AL860" s="0" t="n">
        <v>0</v>
      </c>
      <c r="AM860" s="0" t="n">
        <v>0</v>
      </c>
    </row>
    <row r="861" customFormat="false" ht="12.75" hidden="false" customHeight="false" outlineLevel="0" collapsed="false">
      <c r="A861" s="0" t="s">
        <v>631</v>
      </c>
      <c r="B861" s="0" t="s">
        <v>473</v>
      </c>
      <c r="C861" s="0" t="s">
        <v>622</v>
      </c>
      <c r="D861" s="0" t="s">
        <v>623</v>
      </c>
      <c r="E861" s="0" t="s">
        <v>131</v>
      </c>
      <c r="F861" s="0" t="s">
        <v>465</v>
      </c>
      <c r="G861" s="0" t="s">
        <v>628</v>
      </c>
      <c r="H861" s="0" t="s">
        <v>625</v>
      </c>
      <c r="I861" s="0" t="s">
        <v>626</v>
      </c>
      <c r="J861" s="0" t="s">
        <v>627</v>
      </c>
      <c r="K861" s="475" t="n">
        <v>36831</v>
      </c>
      <c r="L861" s="254" t="n">
        <v>189392.018749093</v>
      </c>
      <c r="M861" s="475" t="n">
        <v>36829</v>
      </c>
      <c r="N861" s="0" t="s">
        <v>132</v>
      </c>
      <c r="O861" s="0" t="n">
        <v>0.15</v>
      </c>
      <c r="P861" s="0" t="n">
        <v>0</v>
      </c>
      <c r="Q861" s="0" t="n">
        <v>0</v>
      </c>
      <c r="R861" s="0" t="n">
        <v>0</v>
      </c>
      <c r="S861" s="0" t="n">
        <v>0</v>
      </c>
      <c r="T861" s="0" t="s">
        <v>624</v>
      </c>
      <c r="U861" s="0" t="s">
        <v>158</v>
      </c>
      <c r="V861" s="0" t="s">
        <v>624</v>
      </c>
      <c r="W861" s="0" t="s">
        <v>569</v>
      </c>
      <c r="X861" s="0" t="s">
        <v>624</v>
      </c>
      <c r="Y861" s="0" t="s">
        <v>627</v>
      </c>
      <c r="Z861" s="0" t="s">
        <v>629</v>
      </c>
      <c r="AA861" s="0" t="s">
        <v>624</v>
      </c>
      <c r="AB861" s="0" t="s">
        <v>580</v>
      </c>
      <c r="AC861" s="254" t="n">
        <v>500000</v>
      </c>
      <c r="AD861" s="254" t="n">
        <v>13951.2941918694</v>
      </c>
      <c r="AE861" s="0" t="n">
        <v>0</v>
      </c>
      <c r="AF861" s="0" t="n">
        <v>0</v>
      </c>
      <c r="AG861" s="0" t="n">
        <v>0</v>
      </c>
      <c r="AH861" s="254" t="n">
        <v>0</v>
      </c>
      <c r="AI861" s="0" t="n">
        <v>226</v>
      </c>
      <c r="AJ861" s="0" t="s">
        <v>630</v>
      </c>
      <c r="AK861" s="0" t="n">
        <v>0</v>
      </c>
      <c r="AL861" s="0" t="n">
        <v>0</v>
      </c>
      <c r="AM861" s="0" t="n">
        <v>0</v>
      </c>
    </row>
    <row r="862" customFormat="false" ht="12.75" hidden="false" customHeight="false" outlineLevel="0" collapsed="false">
      <c r="A862" s="0" t="s">
        <v>631</v>
      </c>
      <c r="B862" s="0" t="s">
        <v>473</v>
      </c>
      <c r="C862" s="0" t="s">
        <v>622</v>
      </c>
      <c r="D862" s="0" t="s">
        <v>623</v>
      </c>
      <c r="E862" s="0" t="s">
        <v>131</v>
      </c>
      <c r="F862" s="0" t="s">
        <v>465</v>
      </c>
      <c r="G862" s="0" t="s">
        <v>628</v>
      </c>
      <c r="H862" s="0" t="s">
        <v>625</v>
      </c>
      <c r="I862" s="0" t="s">
        <v>626</v>
      </c>
      <c r="J862" s="0" t="s">
        <v>627</v>
      </c>
      <c r="K862" s="475" t="n">
        <v>36861</v>
      </c>
      <c r="L862" s="254" t="n">
        <v>44514.9198576735</v>
      </c>
      <c r="M862" s="475" t="n">
        <v>36859</v>
      </c>
      <c r="N862" s="0" t="s">
        <v>132</v>
      </c>
      <c r="O862" s="0" t="n">
        <v>0.15</v>
      </c>
      <c r="P862" s="0" t="n">
        <v>0</v>
      </c>
      <c r="Q862" s="0" t="n">
        <v>0</v>
      </c>
      <c r="R862" s="0" t="n">
        <v>0</v>
      </c>
      <c r="S862" s="0" t="n">
        <v>0</v>
      </c>
      <c r="T862" s="0" t="s">
        <v>624</v>
      </c>
      <c r="U862" s="0" t="s">
        <v>158</v>
      </c>
      <c r="V862" s="0" t="s">
        <v>624</v>
      </c>
      <c r="W862" s="0" t="s">
        <v>569</v>
      </c>
      <c r="X862" s="0" t="s">
        <v>624</v>
      </c>
      <c r="Y862" s="0" t="s">
        <v>627</v>
      </c>
      <c r="Z862" s="0" t="s">
        <v>629</v>
      </c>
      <c r="AA862" s="0" t="s">
        <v>624</v>
      </c>
      <c r="AB862" s="0" t="s">
        <v>580</v>
      </c>
      <c r="AC862" s="254" t="n">
        <v>500000</v>
      </c>
      <c r="AD862" s="254" t="n">
        <v>18113.910440165</v>
      </c>
      <c r="AE862" s="0" t="n">
        <v>0</v>
      </c>
      <c r="AF862" s="0" t="n">
        <v>0</v>
      </c>
      <c r="AG862" s="0" t="n">
        <v>0</v>
      </c>
      <c r="AH862" s="254" t="n">
        <v>0</v>
      </c>
      <c r="AI862" s="0" t="n">
        <v>226</v>
      </c>
      <c r="AJ862" s="0" t="s">
        <v>630</v>
      </c>
      <c r="AK862" s="0" t="n">
        <v>0</v>
      </c>
      <c r="AL862" s="0" t="n">
        <v>0</v>
      </c>
      <c r="AM862" s="0" t="n">
        <v>0</v>
      </c>
    </row>
    <row r="863" customFormat="false" ht="12.75" hidden="false" customHeight="false" outlineLevel="0" collapsed="false">
      <c r="A863" s="0" t="s">
        <v>631</v>
      </c>
      <c r="B863" s="0" t="s">
        <v>473</v>
      </c>
      <c r="C863" s="0" t="s">
        <v>622</v>
      </c>
      <c r="D863" s="0" t="s">
        <v>623</v>
      </c>
      <c r="E863" s="0" t="s">
        <v>131</v>
      </c>
      <c r="F863" s="0" t="s">
        <v>465</v>
      </c>
      <c r="G863" s="0" t="s">
        <v>628</v>
      </c>
      <c r="H863" s="0" t="s">
        <v>625</v>
      </c>
      <c r="I863" s="0" t="s">
        <v>626</v>
      </c>
      <c r="J863" s="0" t="s">
        <v>627</v>
      </c>
      <c r="K863" s="475" t="n">
        <v>36892</v>
      </c>
      <c r="L863" s="254" t="n">
        <v>57697.0981987212</v>
      </c>
      <c r="M863" s="475" t="n">
        <v>36888</v>
      </c>
      <c r="N863" s="0" t="s">
        <v>132</v>
      </c>
      <c r="O863" s="0" t="n">
        <v>0.15</v>
      </c>
      <c r="P863" s="0" t="n">
        <v>0</v>
      </c>
      <c r="Q863" s="0" t="n">
        <v>0</v>
      </c>
      <c r="R863" s="0" t="n">
        <v>0</v>
      </c>
      <c r="S863" s="0" t="n">
        <v>0</v>
      </c>
      <c r="T863" s="0" t="s">
        <v>624</v>
      </c>
      <c r="U863" s="0" t="s">
        <v>158</v>
      </c>
      <c r="V863" s="0" t="s">
        <v>624</v>
      </c>
      <c r="W863" s="0" t="s">
        <v>569</v>
      </c>
      <c r="X863" s="0" t="s">
        <v>624</v>
      </c>
      <c r="Y863" s="0" t="s">
        <v>627</v>
      </c>
      <c r="Z863" s="0" t="s">
        <v>629</v>
      </c>
      <c r="AA863" s="0" t="s">
        <v>624</v>
      </c>
      <c r="AB863" s="0" t="s">
        <v>580</v>
      </c>
      <c r="AC863" s="254" t="n">
        <v>500000</v>
      </c>
      <c r="AD863" s="254" t="n">
        <v>21850.4035799234</v>
      </c>
      <c r="AE863" s="0" t="n">
        <v>0</v>
      </c>
      <c r="AF863" s="0" t="n">
        <v>0</v>
      </c>
      <c r="AG863" s="0" t="n">
        <v>0</v>
      </c>
      <c r="AH863" s="254" t="n">
        <v>0</v>
      </c>
      <c r="AI863" s="0" t="n">
        <v>226</v>
      </c>
      <c r="AJ863" s="0" t="s">
        <v>630</v>
      </c>
      <c r="AK863" s="0" t="n">
        <v>0</v>
      </c>
      <c r="AL863" s="0" t="n">
        <v>0</v>
      </c>
      <c r="AM863" s="0" t="n">
        <v>0</v>
      </c>
    </row>
    <row r="864" customFormat="false" ht="12.75" hidden="false" customHeight="false" outlineLevel="0" collapsed="false">
      <c r="A864" s="0" t="s">
        <v>631</v>
      </c>
      <c r="B864" s="0" t="s">
        <v>473</v>
      </c>
      <c r="C864" s="0" t="s">
        <v>622</v>
      </c>
      <c r="D864" s="0" t="s">
        <v>623</v>
      </c>
      <c r="E864" s="0" t="s">
        <v>131</v>
      </c>
      <c r="F864" s="0" t="s">
        <v>465</v>
      </c>
      <c r="G864" s="0" t="s">
        <v>628</v>
      </c>
      <c r="H864" s="0" t="s">
        <v>625</v>
      </c>
      <c r="I864" s="0" t="s">
        <v>626</v>
      </c>
      <c r="J864" s="0" t="s">
        <v>627</v>
      </c>
      <c r="K864" s="475" t="n">
        <v>36923</v>
      </c>
      <c r="L864" s="254" t="n">
        <v>90543.7144773226</v>
      </c>
      <c r="M864" s="475" t="n">
        <v>36921</v>
      </c>
      <c r="N864" s="0" t="s">
        <v>132</v>
      </c>
      <c r="O864" s="0" t="n">
        <v>0.15</v>
      </c>
      <c r="P864" s="0" t="n">
        <v>0</v>
      </c>
      <c r="Q864" s="0" t="n">
        <v>0</v>
      </c>
      <c r="R864" s="0" t="n">
        <v>0</v>
      </c>
      <c r="S864" s="0" t="n">
        <v>0</v>
      </c>
      <c r="T864" s="0" t="s">
        <v>624</v>
      </c>
      <c r="U864" s="0" t="s">
        <v>158</v>
      </c>
      <c r="V864" s="0" t="s">
        <v>624</v>
      </c>
      <c r="W864" s="0" t="s">
        <v>569</v>
      </c>
      <c r="X864" s="0" t="s">
        <v>624</v>
      </c>
      <c r="Y864" s="0" t="s">
        <v>627</v>
      </c>
      <c r="Z864" s="0" t="s">
        <v>629</v>
      </c>
      <c r="AA864" s="0" t="s">
        <v>624</v>
      </c>
      <c r="AB864" s="0" t="s">
        <v>580</v>
      </c>
      <c r="AC864" s="254" t="n">
        <v>500000</v>
      </c>
      <c r="AD864" s="254" t="n">
        <v>27037.9710553029</v>
      </c>
      <c r="AE864" s="0" t="n">
        <v>0</v>
      </c>
      <c r="AF864" s="0" t="n">
        <v>0</v>
      </c>
      <c r="AG864" s="0" t="n">
        <v>0</v>
      </c>
      <c r="AH864" s="254" t="n">
        <v>0</v>
      </c>
      <c r="AI864" s="0" t="n">
        <v>226</v>
      </c>
      <c r="AJ864" s="0" t="s">
        <v>630</v>
      </c>
      <c r="AK864" s="0" t="n">
        <v>0</v>
      </c>
      <c r="AL864" s="0" t="n">
        <v>0</v>
      </c>
      <c r="AM864" s="0" t="n">
        <v>0</v>
      </c>
    </row>
    <row r="865" customFormat="false" ht="12.75" hidden="false" customHeight="false" outlineLevel="0" collapsed="false">
      <c r="A865" s="0" t="s">
        <v>631</v>
      </c>
      <c r="B865" s="0" t="s">
        <v>473</v>
      </c>
      <c r="C865" s="0" t="s">
        <v>622</v>
      </c>
      <c r="D865" s="0" t="s">
        <v>623</v>
      </c>
      <c r="E865" s="0" t="s">
        <v>131</v>
      </c>
      <c r="F865" s="0" t="s">
        <v>465</v>
      </c>
      <c r="G865" s="0" t="s">
        <v>628</v>
      </c>
      <c r="H865" s="0" t="s">
        <v>625</v>
      </c>
      <c r="I865" s="0" t="s">
        <v>626</v>
      </c>
      <c r="J865" s="0" t="s">
        <v>627</v>
      </c>
      <c r="K865" s="475" t="n">
        <v>36951</v>
      </c>
      <c r="L865" s="254" t="n">
        <v>164974.307599671</v>
      </c>
      <c r="M865" s="475" t="n">
        <v>36949</v>
      </c>
      <c r="N865" s="0" t="s">
        <v>132</v>
      </c>
      <c r="O865" s="0" t="n">
        <v>0.15</v>
      </c>
      <c r="P865" s="0" t="n">
        <v>0</v>
      </c>
      <c r="Q865" s="0" t="n">
        <v>0</v>
      </c>
      <c r="R865" s="0" t="n">
        <v>0</v>
      </c>
      <c r="S865" s="0" t="n">
        <v>0</v>
      </c>
      <c r="T865" s="0" t="s">
        <v>624</v>
      </c>
      <c r="U865" s="0" t="s">
        <v>158</v>
      </c>
      <c r="V865" s="0" t="s">
        <v>624</v>
      </c>
      <c r="W865" s="0" t="s">
        <v>569</v>
      </c>
      <c r="X865" s="0" t="s">
        <v>624</v>
      </c>
      <c r="Y865" s="0" t="s">
        <v>627</v>
      </c>
      <c r="Z865" s="0" t="s">
        <v>629</v>
      </c>
      <c r="AA865" s="0" t="s">
        <v>624</v>
      </c>
      <c r="AB865" s="0" t="s">
        <v>580</v>
      </c>
      <c r="AC865" s="254" t="n">
        <v>500000</v>
      </c>
      <c r="AD865" s="254" t="n">
        <v>26150.7563179187</v>
      </c>
      <c r="AE865" s="0" t="n">
        <v>0</v>
      </c>
      <c r="AF865" s="0" t="n">
        <v>0</v>
      </c>
      <c r="AG865" s="0" t="n">
        <v>0</v>
      </c>
      <c r="AH865" s="254" t="n">
        <v>0</v>
      </c>
      <c r="AI865" s="0" t="n">
        <v>226</v>
      </c>
      <c r="AJ865" s="0" t="s">
        <v>630</v>
      </c>
      <c r="AK865" s="0" t="n">
        <v>0</v>
      </c>
      <c r="AL865" s="0" t="n">
        <v>0</v>
      </c>
      <c r="AM865" s="0" t="n">
        <v>0</v>
      </c>
    </row>
    <row r="866" customFormat="false" ht="12.75" hidden="false" customHeight="false" outlineLevel="0" collapsed="false">
      <c r="A866" s="0" t="s">
        <v>631</v>
      </c>
      <c r="B866" s="0" t="s">
        <v>495</v>
      </c>
      <c r="C866" s="0" t="s">
        <v>622</v>
      </c>
      <c r="D866" s="0" t="s">
        <v>623</v>
      </c>
      <c r="E866" s="0" t="s">
        <v>131</v>
      </c>
      <c r="F866" s="0" t="s">
        <v>206</v>
      </c>
      <c r="G866" s="0" t="s">
        <v>628</v>
      </c>
      <c r="H866" s="0" t="s">
        <v>625</v>
      </c>
      <c r="I866" s="0" t="s">
        <v>626</v>
      </c>
      <c r="J866" s="0" t="s">
        <v>627</v>
      </c>
      <c r="K866" s="475" t="n">
        <v>36831</v>
      </c>
      <c r="L866" s="254" t="n">
        <v>55000</v>
      </c>
      <c r="M866" s="475" t="n">
        <v>36860</v>
      </c>
      <c r="N866" s="0" t="s">
        <v>132</v>
      </c>
      <c r="O866" s="0" t="n">
        <v>0.5</v>
      </c>
      <c r="P866" s="0" t="n">
        <v>0</v>
      </c>
      <c r="Q866" s="0" t="n">
        <v>0</v>
      </c>
      <c r="R866" s="0" t="n">
        <v>0</v>
      </c>
      <c r="S866" s="0" t="n">
        <v>0</v>
      </c>
      <c r="T866" s="0" t="s">
        <v>624</v>
      </c>
      <c r="U866" s="0" t="s">
        <v>496</v>
      </c>
      <c r="V866" s="0" t="s">
        <v>497</v>
      </c>
      <c r="W866" s="0" t="s">
        <v>569</v>
      </c>
      <c r="X866" s="0" t="s">
        <v>569</v>
      </c>
      <c r="Y866" s="0" t="s">
        <v>627</v>
      </c>
      <c r="Z866" s="0" t="s">
        <v>629</v>
      </c>
      <c r="AA866" s="0" t="s">
        <v>629</v>
      </c>
      <c r="AB866" s="0" t="s">
        <v>580</v>
      </c>
      <c r="AC866" s="254" t="n">
        <v>500000</v>
      </c>
      <c r="AD866" s="254" t="n">
        <v>1.25612232853208</v>
      </c>
      <c r="AE866" s="0" t="n">
        <v>0</v>
      </c>
      <c r="AF866" s="0" t="n">
        <v>0</v>
      </c>
      <c r="AG866" s="0" t="n">
        <v>0</v>
      </c>
      <c r="AH866" s="254" t="n">
        <v>0</v>
      </c>
      <c r="AI866" s="0" t="n">
        <v>0</v>
      </c>
      <c r="AJ866" s="0" t="s">
        <v>630</v>
      </c>
      <c r="AK866" s="0" t="n">
        <v>0</v>
      </c>
      <c r="AL866" s="0" t="n">
        <v>0</v>
      </c>
      <c r="AM866" s="0" t="n">
        <v>0</v>
      </c>
    </row>
    <row r="867" customFormat="false" ht="12.75" hidden="false" customHeight="false" outlineLevel="0" collapsed="false">
      <c r="A867" s="0" t="s">
        <v>631</v>
      </c>
      <c r="B867" s="0" t="s">
        <v>495</v>
      </c>
      <c r="C867" s="0" t="s">
        <v>622</v>
      </c>
      <c r="D867" s="0" t="s">
        <v>623</v>
      </c>
      <c r="E867" s="0" t="s">
        <v>131</v>
      </c>
      <c r="F867" s="0" t="s">
        <v>206</v>
      </c>
      <c r="G867" s="0" t="s">
        <v>628</v>
      </c>
      <c r="H867" s="0" t="s">
        <v>625</v>
      </c>
      <c r="I867" s="0" t="s">
        <v>626</v>
      </c>
      <c r="J867" s="0" t="s">
        <v>627</v>
      </c>
      <c r="K867" s="475" t="n">
        <v>36861</v>
      </c>
      <c r="L867" s="254" t="n">
        <v>55000</v>
      </c>
      <c r="M867" s="475" t="n">
        <v>36891</v>
      </c>
      <c r="N867" s="0" t="s">
        <v>132</v>
      </c>
      <c r="O867" s="0" t="n">
        <v>0.5</v>
      </c>
      <c r="P867" s="0" t="n">
        <v>0</v>
      </c>
      <c r="Q867" s="0" t="n">
        <v>0</v>
      </c>
      <c r="R867" s="0" t="n">
        <v>0</v>
      </c>
      <c r="S867" s="0" t="n">
        <v>0</v>
      </c>
      <c r="T867" s="0" t="s">
        <v>624</v>
      </c>
      <c r="U867" s="0" t="s">
        <v>496</v>
      </c>
      <c r="V867" s="0" t="s">
        <v>497</v>
      </c>
      <c r="W867" s="0" t="s">
        <v>569</v>
      </c>
      <c r="X867" s="0" t="s">
        <v>569</v>
      </c>
      <c r="Y867" s="0" t="s">
        <v>627</v>
      </c>
      <c r="Z867" s="0" t="s">
        <v>629</v>
      </c>
      <c r="AA867" s="0" t="s">
        <v>629</v>
      </c>
      <c r="AB867" s="0" t="s">
        <v>580</v>
      </c>
      <c r="AC867" s="254" t="n">
        <v>500000</v>
      </c>
      <c r="AD867" s="254" t="n">
        <v>0.243547346684991</v>
      </c>
      <c r="AE867" s="0" t="n">
        <v>0</v>
      </c>
      <c r="AF867" s="0" t="n">
        <v>0</v>
      </c>
      <c r="AG867" s="0" t="n">
        <v>0</v>
      </c>
      <c r="AH867" s="254" t="n">
        <v>0</v>
      </c>
      <c r="AI867" s="0" t="n">
        <v>0</v>
      </c>
      <c r="AJ867" s="0" t="s">
        <v>630</v>
      </c>
      <c r="AK867" s="0" t="n">
        <v>0</v>
      </c>
      <c r="AL867" s="0" t="n">
        <v>0</v>
      </c>
      <c r="AM867" s="0" t="n">
        <v>0</v>
      </c>
    </row>
    <row r="868" customFormat="false" ht="12.75" hidden="false" customHeight="false" outlineLevel="0" collapsed="false">
      <c r="A868" s="0" t="s">
        <v>631</v>
      </c>
      <c r="B868" s="0" t="s">
        <v>495</v>
      </c>
      <c r="C868" s="0" t="s">
        <v>622</v>
      </c>
      <c r="D868" s="0" t="s">
        <v>623</v>
      </c>
      <c r="E868" s="0" t="s">
        <v>131</v>
      </c>
      <c r="F868" s="0" t="s">
        <v>206</v>
      </c>
      <c r="G868" s="0" t="s">
        <v>628</v>
      </c>
      <c r="H868" s="0" t="s">
        <v>625</v>
      </c>
      <c r="I868" s="0" t="s">
        <v>626</v>
      </c>
      <c r="J868" s="0" t="s">
        <v>627</v>
      </c>
      <c r="K868" s="475" t="n">
        <v>36892</v>
      </c>
      <c r="L868" s="254" t="n">
        <v>55000</v>
      </c>
      <c r="M868" s="475" t="n">
        <v>36922</v>
      </c>
      <c r="N868" s="0" t="s">
        <v>132</v>
      </c>
      <c r="O868" s="0" t="n">
        <v>0.5</v>
      </c>
      <c r="P868" s="0" t="n">
        <v>0</v>
      </c>
      <c r="Q868" s="0" t="n">
        <v>0</v>
      </c>
      <c r="R868" s="0" t="n">
        <v>0</v>
      </c>
      <c r="S868" s="0" t="n">
        <v>0</v>
      </c>
      <c r="T868" s="0" t="s">
        <v>624</v>
      </c>
      <c r="U868" s="0" t="s">
        <v>496</v>
      </c>
      <c r="V868" s="0" t="s">
        <v>497</v>
      </c>
      <c r="W868" s="0" t="s">
        <v>569</v>
      </c>
      <c r="X868" s="0" t="s">
        <v>569</v>
      </c>
      <c r="Y868" s="0" t="s">
        <v>627</v>
      </c>
      <c r="Z868" s="0" t="s">
        <v>629</v>
      </c>
      <c r="AA868" s="0" t="s">
        <v>629</v>
      </c>
      <c r="AB868" s="0" t="s">
        <v>580</v>
      </c>
      <c r="AC868" s="254" t="n">
        <v>500000</v>
      </c>
      <c r="AD868" s="254" t="n">
        <v>0.14148846438003</v>
      </c>
      <c r="AE868" s="0" t="n">
        <v>0</v>
      </c>
      <c r="AF868" s="0" t="n">
        <v>0</v>
      </c>
      <c r="AG868" s="0" t="n">
        <v>0</v>
      </c>
      <c r="AH868" s="254" t="n">
        <v>0</v>
      </c>
      <c r="AI868" s="0" t="n">
        <v>0</v>
      </c>
      <c r="AJ868" s="0" t="s">
        <v>630</v>
      </c>
      <c r="AK868" s="0" t="n">
        <v>0</v>
      </c>
      <c r="AL868" s="0" t="n">
        <v>0</v>
      </c>
      <c r="AM868" s="0" t="n">
        <v>0</v>
      </c>
    </row>
    <row r="869" customFormat="false" ht="12.75" hidden="false" customHeight="false" outlineLevel="0" collapsed="false">
      <c r="A869" s="0" t="s">
        <v>631</v>
      </c>
      <c r="B869" s="0" t="s">
        <v>495</v>
      </c>
      <c r="C869" s="0" t="s">
        <v>622</v>
      </c>
      <c r="D869" s="0" t="s">
        <v>623</v>
      </c>
      <c r="E869" s="0" t="s">
        <v>131</v>
      </c>
      <c r="F869" s="0" t="s">
        <v>206</v>
      </c>
      <c r="G869" s="0" t="s">
        <v>628</v>
      </c>
      <c r="H869" s="0" t="s">
        <v>625</v>
      </c>
      <c r="I869" s="0" t="s">
        <v>626</v>
      </c>
      <c r="J869" s="0" t="s">
        <v>627</v>
      </c>
      <c r="K869" s="475" t="n">
        <v>36923</v>
      </c>
      <c r="L869" s="254" t="n">
        <v>55000</v>
      </c>
      <c r="M869" s="475" t="n">
        <v>36950</v>
      </c>
      <c r="N869" s="0" t="s">
        <v>132</v>
      </c>
      <c r="O869" s="0" t="n">
        <v>0.5</v>
      </c>
      <c r="P869" s="0" t="n">
        <v>0</v>
      </c>
      <c r="Q869" s="0" t="n">
        <v>0</v>
      </c>
      <c r="R869" s="0" t="n">
        <v>0</v>
      </c>
      <c r="S869" s="0" t="n">
        <v>0</v>
      </c>
      <c r="T869" s="0" t="s">
        <v>624</v>
      </c>
      <c r="U869" s="0" t="s">
        <v>496</v>
      </c>
      <c r="V869" s="0" t="s">
        <v>497</v>
      </c>
      <c r="W869" s="0" t="s">
        <v>569</v>
      </c>
      <c r="X869" s="0" t="s">
        <v>569</v>
      </c>
      <c r="Y869" s="0" t="s">
        <v>627</v>
      </c>
      <c r="Z869" s="0" t="s">
        <v>629</v>
      </c>
      <c r="AA869" s="0" t="s">
        <v>629</v>
      </c>
      <c r="AB869" s="0" t="s">
        <v>580</v>
      </c>
      <c r="AC869" s="254" t="n">
        <v>500000</v>
      </c>
      <c r="AD869" s="254" t="n">
        <v>0.392222895353089</v>
      </c>
      <c r="AE869" s="0" t="n">
        <v>0</v>
      </c>
      <c r="AF869" s="0" t="n">
        <v>0</v>
      </c>
      <c r="AG869" s="0" t="n">
        <v>0</v>
      </c>
      <c r="AH869" s="254" t="n">
        <v>0</v>
      </c>
      <c r="AI869" s="0" t="n">
        <v>0</v>
      </c>
      <c r="AJ869" s="0" t="s">
        <v>630</v>
      </c>
      <c r="AK869" s="0" t="n">
        <v>0</v>
      </c>
      <c r="AL869" s="0" t="n">
        <v>0</v>
      </c>
      <c r="AM869" s="0" t="n">
        <v>0</v>
      </c>
    </row>
    <row r="870" customFormat="false" ht="12.75" hidden="false" customHeight="false" outlineLevel="0" collapsed="false">
      <c r="A870" s="0" t="s">
        <v>631</v>
      </c>
      <c r="B870" s="0" t="s">
        <v>495</v>
      </c>
      <c r="C870" s="0" t="s">
        <v>622</v>
      </c>
      <c r="D870" s="0" t="s">
        <v>623</v>
      </c>
      <c r="E870" s="0" t="s">
        <v>131</v>
      </c>
      <c r="F870" s="0" t="s">
        <v>206</v>
      </c>
      <c r="G870" s="0" t="s">
        <v>628</v>
      </c>
      <c r="H870" s="0" t="s">
        <v>625</v>
      </c>
      <c r="I870" s="0" t="s">
        <v>626</v>
      </c>
      <c r="J870" s="0" t="s">
        <v>627</v>
      </c>
      <c r="K870" s="475" t="n">
        <v>36951</v>
      </c>
      <c r="L870" s="254" t="n">
        <v>55000</v>
      </c>
      <c r="M870" s="475" t="n">
        <v>36981</v>
      </c>
      <c r="N870" s="0" t="s">
        <v>132</v>
      </c>
      <c r="O870" s="0" t="n">
        <v>0.5</v>
      </c>
      <c r="P870" s="0" t="n">
        <v>0</v>
      </c>
      <c r="Q870" s="0" t="n">
        <v>0</v>
      </c>
      <c r="R870" s="0" t="n">
        <v>0</v>
      </c>
      <c r="S870" s="0" t="n">
        <v>0</v>
      </c>
      <c r="T870" s="0" t="s">
        <v>624</v>
      </c>
      <c r="U870" s="0" t="s">
        <v>496</v>
      </c>
      <c r="V870" s="0" t="s">
        <v>497</v>
      </c>
      <c r="W870" s="0" t="s">
        <v>569</v>
      </c>
      <c r="X870" s="0" t="s">
        <v>569</v>
      </c>
      <c r="Y870" s="0" t="s">
        <v>627</v>
      </c>
      <c r="Z870" s="0" t="s">
        <v>629</v>
      </c>
      <c r="AA870" s="0" t="s">
        <v>629</v>
      </c>
      <c r="AB870" s="0" t="s">
        <v>580</v>
      </c>
      <c r="AC870" s="254" t="n">
        <v>500000</v>
      </c>
      <c r="AD870" s="254" t="n">
        <v>1.69891189887054</v>
      </c>
      <c r="AE870" s="0" t="n">
        <v>0</v>
      </c>
      <c r="AF870" s="0" t="n">
        <v>0</v>
      </c>
      <c r="AG870" s="0" t="n">
        <v>0</v>
      </c>
      <c r="AH870" s="254" t="n">
        <v>0</v>
      </c>
      <c r="AI870" s="0" t="n">
        <v>0</v>
      </c>
      <c r="AJ870" s="0" t="s">
        <v>630</v>
      </c>
      <c r="AK870" s="0" t="n">
        <v>0</v>
      </c>
      <c r="AL870" s="0" t="n">
        <v>0</v>
      </c>
      <c r="AM870" s="0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87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475" width="10.71"/>
    <col collapsed="false" customWidth="true" hidden="false" outlineLevel="0" max="12" min="12" style="254" width="11.99"/>
    <col collapsed="false" customWidth="true" hidden="false" outlineLevel="0" max="13" min="13" style="475" width="11.56"/>
    <col collapsed="false" customWidth="true" hidden="false" outlineLevel="0" max="19" min="15" style="0" width="9.28"/>
    <col collapsed="false" customWidth="true" hidden="false" outlineLevel="0" max="21" min="21" style="0" width="18.7"/>
    <col collapsed="false" customWidth="true" hidden="false" outlineLevel="0" max="29" min="29" style="254" width="13.56"/>
    <col collapsed="false" customWidth="true" hidden="false" outlineLevel="0" max="30" min="30" style="254" width="10.13"/>
    <col collapsed="false" customWidth="true" hidden="false" outlineLevel="0" max="33" min="31" style="0" width="9.28"/>
    <col collapsed="false" customWidth="true" hidden="false" outlineLevel="0" max="34" min="34" style="254" width="11.99"/>
    <col collapsed="false" customWidth="true" hidden="false" outlineLevel="0" max="35" min="35" style="0" width="9.28"/>
    <col collapsed="false" customWidth="true" hidden="false" outlineLevel="0" max="39" min="37" style="0" width="9.28"/>
  </cols>
  <sheetData>
    <row r="1" customFormat="false" ht="12.75" hidden="false" customHeight="false" outlineLevel="0" collapsed="false">
      <c r="A1" s="0" t="s">
        <v>582</v>
      </c>
      <c r="B1" s="0" t="s">
        <v>583</v>
      </c>
      <c r="C1" s="0" t="s">
        <v>584</v>
      </c>
      <c r="D1" s="0" t="s">
        <v>585</v>
      </c>
      <c r="E1" s="0" t="s">
        <v>586</v>
      </c>
      <c r="F1" s="0" t="s">
        <v>587</v>
      </c>
      <c r="G1" s="0" t="s">
        <v>588</v>
      </c>
      <c r="H1" s="0" t="s">
        <v>589</v>
      </c>
      <c r="I1" s="0" t="s">
        <v>590</v>
      </c>
      <c r="J1" s="0" t="s">
        <v>591</v>
      </c>
      <c r="K1" s="475" t="s">
        <v>592</v>
      </c>
      <c r="L1" s="254" t="s">
        <v>593</v>
      </c>
      <c r="M1" s="475" t="s">
        <v>594</v>
      </c>
      <c r="N1" s="0" t="s">
        <v>595</v>
      </c>
      <c r="O1" s="0" t="s">
        <v>596</v>
      </c>
      <c r="P1" s="0" t="s">
        <v>597</v>
      </c>
      <c r="Q1" s="0" t="s">
        <v>598</v>
      </c>
      <c r="R1" s="0" t="s">
        <v>599</v>
      </c>
      <c r="S1" s="0" t="s">
        <v>600</v>
      </c>
      <c r="T1" s="0" t="s">
        <v>601</v>
      </c>
      <c r="U1" s="0" t="s">
        <v>602</v>
      </c>
      <c r="V1" s="0" t="s">
        <v>603</v>
      </c>
      <c r="W1" s="0" t="s">
        <v>604</v>
      </c>
      <c r="X1" s="0" t="s">
        <v>605</v>
      </c>
      <c r="Y1" s="0" t="s">
        <v>606</v>
      </c>
      <c r="Z1" s="0" t="s">
        <v>607</v>
      </c>
      <c r="AA1" s="0" t="s">
        <v>608</v>
      </c>
      <c r="AB1" s="0" t="s">
        <v>609</v>
      </c>
      <c r="AC1" s="254" t="s">
        <v>610</v>
      </c>
      <c r="AD1" s="254" t="s">
        <v>611</v>
      </c>
      <c r="AE1" s="0" t="s">
        <v>612</v>
      </c>
      <c r="AF1" s="0" t="s">
        <v>613</v>
      </c>
      <c r="AG1" s="0" t="s">
        <v>614</v>
      </c>
      <c r="AH1" s="254" t="s">
        <v>615</v>
      </c>
      <c r="AI1" s="0" t="s">
        <v>616</v>
      </c>
      <c r="AJ1" s="0" t="s">
        <v>617</v>
      </c>
      <c r="AK1" s="0" t="s">
        <v>618</v>
      </c>
      <c r="AL1" s="0" t="s">
        <v>619</v>
      </c>
      <c r="AM1" s="0" t="s">
        <v>620</v>
      </c>
      <c r="GS1" s="0" t="s">
        <v>621</v>
      </c>
      <c r="GT1" s="0" t="n">
        <v>0</v>
      </c>
      <c r="GU1" s="0" t="s">
        <v>622</v>
      </c>
      <c r="GV1" s="0" t="s">
        <v>623</v>
      </c>
      <c r="GW1" s="0" t="s">
        <v>131</v>
      </c>
      <c r="GX1" s="0" t="n">
        <v>0</v>
      </c>
      <c r="GY1" s="0" t="s">
        <v>624</v>
      </c>
      <c r="GZ1" s="0" t="s">
        <v>625</v>
      </c>
      <c r="HA1" s="0" t="s">
        <v>626</v>
      </c>
      <c r="HB1" s="0" t="s">
        <v>627</v>
      </c>
      <c r="HC1" s="0" t="n">
        <v>0</v>
      </c>
      <c r="HD1" s="0" t="e">
        <f aca="false"/>
        <v>#VALUE!</v>
      </c>
      <c r="HE1" s="0" t="n">
        <v>36637</v>
      </c>
    </row>
    <row r="2" customFormat="false" ht="12.75" hidden="false" customHeight="false" outlineLevel="0" collapsed="false">
      <c r="A2" s="0" t="s">
        <v>621</v>
      </c>
      <c r="B2" s="0" t="s">
        <v>193</v>
      </c>
      <c r="C2" s="0" t="s">
        <v>622</v>
      </c>
      <c r="D2" s="0" t="s">
        <v>623</v>
      </c>
      <c r="E2" s="0" t="s">
        <v>131</v>
      </c>
      <c r="F2" s="0" t="s">
        <v>191</v>
      </c>
      <c r="G2" s="0" t="s">
        <v>628</v>
      </c>
      <c r="H2" s="0" t="s">
        <v>625</v>
      </c>
      <c r="I2" s="0" t="s">
        <v>626</v>
      </c>
      <c r="J2" s="0" t="s">
        <v>627</v>
      </c>
      <c r="K2" s="475" t="n">
        <v>37316</v>
      </c>
      <c r="L2" s="254" t="n">
        <v>-332681.398916417</v>
      </c>
      <c r="M2" s="475" t="n">
        <v>37314</v>
      </c>
      <c r="N2" s="0" t="s">
        <v>136</v>
      </c>
      <c r="O2" s="0" t="n">
        <v>0.95</v>
      </c>
      <c r="P2" s="0" t="n">
        <v>0</v>
      </c>
      <c r="Q2" s="0" t="n">
        <v>0</v>
      </c>
      <c r="R2" s="0" t="n">
        <v>0</v>
      </c>
      <c r="S2" s="0" t="n">
        <v>0</v>
      </c>
      <c r="T2" s="0" t="s">
        <v>624</v>
      </c>
      <c r="U2" s="0" t="s">
        <v>149</v>
      </c>
      <c r="V2" s="0" t="s">
        <v>624</v>
      </c>
      <c r="W2" s="0" t="s">
        <v>569</v>
      </c>
      <c r="X2" s="0" t="s">
        <v>624</v>
      </c>
      <c r="Y2" s="0" t="s">
        <v>627</v>
      </c>
      <c r="Z2" s="0" t="s">
        <v>629</v>
      </c>
      <c r="AA2" s="0" t="s">
        <v>624</v>
      </c>
      <c r="AB2" s="0" t="s">
        <v>132</v>
      </c>
      <c r="AC2" s="254" t="n">
        <v>-1000000</v>
      </c>
      <c r="AD2" s="254" t="n">
        <v>-48929.7139680468</v>
      </c>
      <c r="AE2" s="0" t="n">
        <v>0</v>
      </c>
      <c r="AF2" s="0" t="n">
        <v>0</v>
      </c>
      <c r="AG2" s="0" t="n">
        <v>0</v>
      </c>
      <c r="AH2" s="254" t="n">
        <v>-17191.0566138274</v>
      </c>
      <c r="AI2" s="0" t="n">
        <v>226</v>
      </c>
      <c r="AJ2" s="0" t="s">
        <v>630</v>
      </c>
      <c r="AK2" s="0" t="n">
        <v>0</v>
      </c>
      <c r="AL2" s="0" t="n">
        <v>0</v>
      </c>
      <c r="AM2" s="0" t="n">
        <v>0</v>
      </c>
    </row>
    <row r="3" customFormat="false" ht="12.75" hidden="false" customHeight="false" outlineLevel="0" collapsed="false">
      <c r="A3" s="0" t="s">
        <v>621</v>
      </c>
      <c r="B3" s="0" t="s">
        <v>193</v>
      </c>
      <c r="C3" s="0" t="s">
        <v>622</v>
      </c>
      <c r="D3" s="0" t="s">
        <v>623</v>
      </c>
      <c r="E3" s="0" t="s">
        <v>131</v>
      </c>
      <c r="F3" s="0" t="s">
        <v>191</v>
      </c>
      <c r="G3" s="0" t="s">
        <v>628</v>
      </c>
      <c r="H3" s="0" t="s">
        <v>625</v>
      </c>
      <c r="I3" s="0" t="s">
        <v>626</v>
      </c>
      <c r="J3" s="0" t="s">
        <v>627</v>
      </c>
      <c r="K3" s="475" t="n">
        <v>37288</v>
      </c>
      <c r="L3" s="254" t="n">
        <v>-708613.97715581</v>
      </c>
      <c r="M3" s="475" t="n">
        <v>37286</v>
      </c>
      <c r="N3" s="0" t="s">
        <v>136</v>
      </c>
      <c r="O3" s="0" t="n">
        <v>0.95</v>
      </c>
      <c r="P3" s="0" t="n">
        <v>0</v>
      </c>
      <c r="Q3" s="0" t="n">
        <v>0</v>
      </c>
      <c r="R3" s="0" t="n">
        <v>0</v>
      </c>
      <c r="S3" s="0" t="n">
        <v>0</v>
      </c>
      <c r="T3" s="0" t="s">
        <v>624</v>
      </c>
      <c r="U3" s="0" t="s">
        <v>149</v>
      </c>
      <c r="V3" s="0" t="s">
        <v>624</v>
      </c>
      <c r="W3" s="0" t="s">
        <v>569</v>
      </c>
      <c r="X3" s="0" t="s">
        <v>624</v>
      </c>
      <c r="Y3" s="0" t="s">
        <v>627</v>
      </c>
      <c r="Z3" s="0" t="s">
        <v>629</v>
      </c>
      <c r="AA3" s="0" t="s">
        <v>624</v>
      </c>
      <c r="AB3" s="0" t="s">
        <v>132</v>
      </c>
      <c r="AC3" s="254" t="n">
        <v>-1000000</v>
      </c>
      <c r="AD3" s="254" t="n">
        <v>-41105.3251797783</v>
      </c>
      <c r="AE3" s="0" t="n">
        <v>0</v>
      </c>
      <c r="AF3" s="0" t="n">
        <v>0</v>
      </c>
      <c r="AG3" s="0" t="n">
        <v>0</v>
      </c>
      <c r="AH3" s="254" t="n">
        <v>-22524.2196673508</v>
      </c>
      <c r="AI3" s="0" t="n">
        <v>226</v>
      </c>
      <c r="AJ3" s="0" t="s">
        <v>630</v>
      </c>
      <c r="AK3" s="0" t="n">
        <v>0</v>
      </c>
      <c r="AL3" s="0" t="n">
        <v>0</v>
      </c>
      <c r="AM3" s="0" t="n">
        <v>0</v>
      </c>
    </row>
    <row r="4" customFormat="false" ht="12.75" hidden="false" customHeight="false" outlineLevel="0" collapsed="false">
      <c r="A4" s="0" t="s">
        <v>621</v>
      </c>
      <c r="B4" s="0" t="s">
        <v>193</v>
      </c>
      <c r="C4" s="0" t="s">
        <v>622</v>
      </c>
      <c r="D4" s="0" t="s">
        <v>623</v>
      </c>
      <c r="E4" s="0" t="s">
        <v>131</v>
      </c>
      <c r="F4" s="0" t="s">
        <v>191</v>
      </c>
      <c r="G4" s="0" t="s">
        <v>628</v>
      </c>
      <c r="H4" s="0" t="s">
        <v>625</v>
      </c>
      <c r="I4" s="0" t="s">
        <v>626</v>
      </c>
      <c r="J4" s="0" t="s">
        <v>627</v>
      </c>
      <c r="K4" s="475" t="n">
        <v>37257</v>
      </c>
      <c r="L4" s="254" t="n">
        <v>-723208.05016235</v>
      </c>
      <c r="M4" s="475" t="n">
        <v>37253</v>
      </c>
      <c r="N4" s="0" t="s">
        <v>136</v>
      </c>
      <c r="O4" s="0" t="n">
        <v>0.95</v>
      </c>
      <c r="P4" s="0" t="n">
        <v>0</v>
      </c>
      <c r="Q4" s="0" t="n">
        <v>0</v>
      </c>
      <c r="R4" s="0" t="n">
        <v>0</v>
      </c>
      <c r="S4" s="0" t="n">
        <v>0</v>
      </c>
      <c r="T4" s="0" t="s">
        <v>624</v>
      </c>
      <c r="U4" s="0" t="s">
        <v>149</v>
      </c>
      <c r="V4" s="0" t="s">
        <v>624</v>
      </c>
      <c r="W4" s="0" t="s">
        <v>569</v>
      </c>
      <c r="X4" s="0" t="s">
        <v>624</v>
      </c>
      <c r="Y4" s="0" t="s">
        <v>627</v>
      </c>
      <c r="Z4" s="0" t="s">
        <v>629</v>
      </c>
      <c r="AA4" s="0" t="s">
        <v>624</v>
      </c>
      <c r="AB4" s="0" t="s">
        <v>132</v>
      </c>
      <c r="AC4" s="254" t="n">
        <v>-1000000</v>
      </c>
      <c r="AD4" s="254" t="n">
        <v>-42724.8331510957</v>
      </c>
      <c r="AE4" s="0" t="n">
        <v>0</v>
      </c>
      <c r="AF4" s="0" t="n">
        <v>0</v>
      </c>
      <c r="AG4" s="0" t="n">
        <v>0</v>
      </c>
      <c r="AH4" s="254" t="n">
        <v>-22683.0112348726</v>
      </c>
      <c r="AI4" s="0" t="n">
        <v>226</v>
      </c>
      <c r="AJ4" s="0" t="s">
        <v>630</v>
      </c>
      <c r="AK4" s="0" t="n">
        <v>0</v>
      </c>
      <c r="AL4" s="0" t="n">
        <v>0</v>
      </c>
      <c r="AM4" s="0" t="n">
        <v>0</v>
      </c>
    </row>
    <row r="5" customFormat="false" ht="12.75" hidden="false" customHeight="false" outlineLevel="0" collapsed="false">
      <c r="A5" s="0" t="s">
        <v>621</v>
      </c>
      <c r="B5" s="0" t="s">
        <v>193</v>
      </c>
      <c r="C5" s="0" t="s">
        <v>622</v>
      </c>
      <c r="D5" s="0" t="s">
        <v>623</v>
      </c>
      <c r="E5" s="0" t="s">
        <v>131</v>
      </c>
      <c r="F5" s="0" t="s">
        <v>191</v>
      </c>
      <c r="G5" s="0" t="s">
        <v>628</v>
      </c>
      <c r="H5" s="0" t="s">
        <v>625</v>
      </c>
      <c r="I5" s="0" t="s">
        <v>626</v>
      </c>
      <c r="J5" s="0" t="s">
        <v>627</v>
      </c>
      <c r="K5" s="475" t="n">
        <v>37226</v>
      </c>
      <c r="L5" s="254" t="n">
        <v>-546942.903012875</v>
      </c>
      <c r="M5" s="475" t="n">
        <v>37224</v>
      </c>
      <c r="N5" s="0" t="s">
        <v>136</v>
      </c>
      <c r="O5" s="0" t="n">
        <v>0.95</v>
      </c>
      <c r="P5" s="0" t="n">
        <v>0</v>
      </c>
      <c r="Q5" s="0" t="n">
        <v>0</v>
      </c>
      <c r="R5" s="0" t="n">
        <v>0</v>
      </c>
      <c r="S5" s="0" t="n">
        <v>0</v>
      </c>
      <c r="T5" s="0" t="s">
        <v>624</v>
      </c>
      <c r="U5" s="0" t="s">
        <v>149</v>
      </c>
      <c r="V5" s="0" t="s">
        <v>624</v>
      </c>
      <c r="W5" s="0" t="s">
        <v>569</v>
      </c>
      <c r="X5" s="0" t="s">
        <v>624</v>
      </c>
      <c r="Y5" s="0" t="s">
        <v>627</v>
      </c>
      <c r="Z5" s="0" t="s">
        <v>629</v>
      </c>
      <c r="AA5" s="0" t="s">
        <v>624</v>
      </c>
      <c r="AB5" s="0" t="s">
        <v>132</v>
      </c>
      <c r="AC5" s="254" t="n">
        <v>-1000000</v>
      </c>
      <c r="AD5" s="254" t="n">
        <v>-46630.5862305667</v>
      </c>
      <c r="AE5" s="0" t="n">
        <v>0</v>
      </c>
      <c r="AF5" s="0" t="n">
        <v>0</v>
      </c>
      <c r="AG5" s="0" t="n">
        <v>0</v>
      </c>
      <c r="AH5" s="254" t="n">
        <v>-21067.4225859472</v>
      </c>
      <c r="AI5" s="0" t="n">
        <v>226</v>
      </c>
      <c r="AJ5" s="0" t="s">
        <v>630</v>
      </c>
      <c r="AK5" s="0" t="n">
        <v>0</v>
      </c>
      <c r="AL5" s="0" t="n">
        <v>0</v>
      </c>
      <c r="AM5" s="0" t="n">
        <v>0</v>
      </c>
    </row>
    <row r="6" customFormat="false" ht="12.75" hidden="false" customHeight="false" outlineLevel="0" collapsed="false">
      <c r="A6" s="0" t="s">
        <v>621</v>
      </c>
      <c r="B6" s="0" t="s">
        <v>193</v>
      </c>
      <c r="C6" s="0" t="s">
        <v>622</v>
      </c>
      <c r="D6" s="0" t="s">
        <v>623</v>
      </c>
      <c r="E6" s="0" t="s">
        <v>131</v>
      </c>
      <c r="F6" s="0" t="s">
        <v>191</v>
      </c>
      <c r="G6" s="0" t="s">
        <v>628</v>
      </c>
      <c r="H6" s="0" t="s">
        <v>625</v>
      </c>
      <c r="I6" s="0" t="s">
        <v>626</v>
      </c>
      <c r="J6" s="0" t="s">
        <v>627</v>
      </c>
      <c r="K6" s="475" t="n">
        <v>37196</v>
      </c>
      <c r="L6" s="254" t="n">
        <v>-295233.343513885</v>
      </c>
      <c r="M6" s="475" t="n">
        <v>37194</v>
      </c>
      <c r="N6" s="0" t="s">
        <v>136</v>
      </c>
      <c r="O6" s="0" t="n">
        <v>0.95</v>
      </c>
      <c r="P6" s="0" t="n">
        <v>0</v>
      </c>
      <c r="Q6" s="0" t="n">
        <v>0</v>
      </c>
      <c r="R6" s="0" t="n">
        <v>0</v>
      </c>
      <c r="S6" s="0" t="n">
        <v>0</v>
      </c>
      <c r="T6" s="0" t="s">
        <v>624</v>
      </c>
      <c r="U6" s="0" t="s">
        <v>149</v>
      </c>
      <c r="V6" s="0" t="s">
        <v>624</v>
      </c>
      <c r="W6" s="0" t="s">
        <v>569</v>
      </c>
      <c r="X6" s="0" t="s">
        <v>624</v>
      </c>
      <c r="Y6" s="0" t="s">
        <v>627</v>
      </c>
      <c r="Z6" s="0" t="s">
        <v>629</v>
      </c>
      <c r="AA6" s="0" t="s">
        <v>624</v>
      </c>
      <c r="AB6" s="0" t="s">
        <v>132</v>
      </c>
      <c r="AC6" s="254" t="n">
        <v>-1000000</v>
      </c>
      <c r="AD6" s="254" t="n">
        <v>-49712.2634615444</v>
      </c>
      <c r="AE6" s="0" t="n">
        <v>0</v>
      </c>
      <c r="AF6" s="0" t="n">
        <v>0</v>
      </c>
      <c r="AG6" s="0" t="n">
        <v>0</v>
      </c>
      <c r="AH6" s="254" t="n">
        <v>-16574.3128747327</v>
      </c>
      <c r="AI6" s="0" t="n">
        <v>226</v>
      </c>
      <c r="AJ6" s="0" t="s">
        <v>630</v>
      </c>
      <c r="AK6" s="0" t="n">
        <v>0</v>
      </c>
      <c r="AL6" s="0" t="n">
        <v>0</v>
      </c>
      <c r="AM6" s="0" t="n">
        <v>0</v>
      </c>
    </row>
    <row r="7" customFormat="false" ht="12.75" hidden="false" customHeight="false" outlineLevel="0" collapsed="false">
      <c r="A7" s="0" t="s">
        <v>621</v>
      </c>
      <c r="B7" s="0" t="s">
        <v>195</v>
      </c>
      <c r="C7" s="0" t="s">
        <v>622</v>
      </c>
      <c r="D7" s="0" t="s">
        <v>623</v>
      </c>
      <c r="E7" s="0" t="s">
        <v>131</v>
      </c>
      <c r="F7" s="0" t="s">
        <v>194</v>
      </c>
      <c r="G7" s="0" t="s">
        <v>628</v>
      </c>
      <c r="H7" s="0" t="s">
        <v>625</v>
      </c>
      <c r="I7" s="0" t="s">
        <v>626</v>
      </c>
      <c r="J7" s="0" t="s">
        <v>627</v>
      </c>
      <c r="K7" s="475" t="n">
        <v>37165</v>
      </c>
      <c r="L7" s="254" t="n">
        <v>115820.013950716</v>
      </c>
      <c r="M7" s="475" t="n">
        <v>37161</v>
      </c>
      <c r="N7" s="0" t="s">
        <v>136</v>
      </c>
      <c r="O7" s="0" t="n">
        <v>0.3</v>
      </c>
      <c r="P7" s="0" t="n">
        <v>0</v>
      </c>
      <c r="Q7" s="0" t="n">
        <v>0</v>
      </c>
      <c r="R7" s="0" t="n">
        <v>0</v>
      </c>
      <c r="S7" s="0" t="n">
        <v>0</v>
      </c>
      <c r="T7" s="0" t="s">
        <v>624</v>
      </c>
      <c r="U7" s="0" t="s">
        <v>149</v>
      </c>
      <c r="V7" s="0" t="s">
        <v>624</v>
      </c>
      <c r="W7" s="0" t="s">
        <v>569</v>
      </c>
      <c r="X7" s="0" t="s">
        <v>624</v>
      </c>
      <c r="Y7" s="0" t="s">
        <v>627</v>
      </c>
      <c r="Z7" s="0" t="s">
        <v>629</v>
      </c>
      <c r="AA7" s="0" t="s">
        <v>624</v>
      </c>
      <c r="AB7" s="0" t="s">
        <v>132</v>
      </c>
      <c r="AC7" s="254" t="n">
        <v>500000</v>
      </c>
      <c r="AD7" s="254" t="n">
        <v>15233.2177012048</v>
      </c>
      <c r="AE7" s="0" t="n">
        <v>0</v>
      </c>
      <c r="AF7" s="0" t="n">
        <v>0</v>
      </c>
      <c r="AG7" s="0" t="n">
        <v>0</v>
      </c>
      <c r="AH7" s="254" t="n">
        <v>723.033758621881</v>
      </c>
      <c r="AI7" s="0" t="n">
        <v>226</v>
      </c>
      <c r="AJ7" s="0" t="s">
        <v>630</v>
      </c>
      <c r="AK7" s="0" t="n">
        <v>0</v>
      </c>
      <c r="AL7" s="0" t="n">
        <v>0</v>
      </c>
      <c r="AM7" s="0" t="n">
        <v>0</v>
      </c>
    </row>
    <row r="8" customFormat="false" ht="12.75" hidden="false" customHeight="false" outlineLevel="0" collapsed="false">
      <c r="A8" s="0" t="s">
        <v>621</v>
      </c>
      <c r="B8" s="0" t="s">
        <v>195</v>
      </c>
      <c r="C8" s="0" t="s">
        <v>622</v>
      </c>
      <c r="D8" s="0" t="s">
        <v>623</v>
      </c>
      <c r="E8" s="0" t="s">
        <v>131</v>
      </c>
      <c r="F8" s="0" t="s">
        <v>194</v>
      </c>
      <c r="G8" s="0" t="s">
        <v>628</v>
      </c>
      <c r="H8" s="0" t="s">
        <v>625</v>
      </c>
      <c r="I8" s="0" t="s">
        <v>626</v>
      </c>
      <c r="J8" s="0" t="s">
        <v>627</v>
      </c>
      <c r="K8" s="475" t="n">
        <v>37135</v>
      </c>
      <c r="L8" s="254" t="n">
        <v>93914.8279421874</v>
      </c>
      <c r="M8" s="475" t="n">
        <v>37133</v>
      </c>
      <c r="N8" s="0" t="s">
        <v>136</v>
      </c>
      <c r="O8" s="0" t="n">
        <v>0.3</v>
      </c>
      <c r="P8" s="0" t="n">
        <v>0</v>
      </c>
      <c r="Q8" s="0" t="n">
        <v>0</v>
      </c>
      <c r="R8" s="0" t="n">
        <v>0</v>
      </c>
      <c r="S8" s="0" t="n">
        <v>0</v>
      </c>
      <c r="T8" s="0" t="s">
        <v>624</v>
      </c>
      <c r="U8" s="0" t="s">
        <v>149</v>
      </c>
      <c r="V8" s="0" t="s">
        <v>624</v>
      </c>
      <c r="W8" s="0" t="s">
        <v>569</v>
      </c>
      <c r="X8" s="0" t="s">
        <v>624</v>
      </c>
      <c r="Y8" s="0" t="s">
        <v>627</v>
      </c>
      <c r="Z8" s="0" t="s">
        <v>629</v>
      </c>
      <c r="AA8" s="0" t="s">
        <v>624</v>
      </c>
      <c r="AB8" s="0" t="s">
        <v>132</v>
      </c>
      <c r="AC8" s="254" t="n">
        <v>500000</v>
      </c>
      <c r="AD8" s="254" t="n">
        <v>15498.0185062565</v>
      </c>
      <c r="AE8" s="0" t="n">
        <v>0</v>
      </c>
      <c r="AF8" s="0" t="n">
        <v>0</v>
      </c>
      <c r="AG8" s="0" t="n">
        <v>0</v>
      </c>
      <c r="AH8" s="254" t="n">
        <v>736.172469000318</v>
      </c>
      <c r="AI8" s="0" t="n">
        <v>226</v>
      </c>
      <c r="AJ8" s="0" t="s">
        <v>630</v>
      </c>
      <c r="AK8" s="0" t="n">
        <v>0</v>
      </c>
      <c r="AL8" s="0" t="n">
        <v>0</v>
      </c>
      <c r="AM8" s="0" t="n">
        <v>0</v>
      </c>
    </row>
    <row r="9" customFormat="false" ht="12.75" hidden="false" customHeight="false" outlineLevel="0" collapsed="false">
      <c r="A9" s="0" t="s">
        <v>621</v>
      </c>
      <c r="B9" s="0" t="s">
        <v>195</v>
      </c>
      <c r="C9" s="0" t="s">
        <v>622</v>
      </c>
      <c r="D9" s="0" t="s">
        <v>623</v>
      </c>
      <c r="E9" s="0" t="s">
        <v>131</v>
      </c>
      <c r="F9" s="0" t="s">
        <v>194</v>
      </c>
      <c r="G9" s="0" t="s">
        <v>628</v>
      </c>
      <c r="H9" s="0" t="s">
        <v>625</v>
      </c>
      <c r="I9" s="0" t="s">
        <v>626</v>
      </c>
      <c r="J9" s="0" t="s">
        <v>627</v>
      </c>
      <c r="K9" s="475" t="n">
        <v>37104</v>
      </c>
      <c r="L9" s="254" t="n">
        <v>111793.333918776</v>
      </c>
      <c r="M9" s="475" t="n">
        <v>37102</v>
      </c>
      <c r="N9" s="0" t="s">
        <v>136</v>
      </c>
      <c r="O9" s="0" t="n">
        <v>0.3</v>
      </c>
      <c r="P9" s="0" t="n">
        <v>0</v>
      </c>
      <c r="Q9" s="0" t="n">
        <v>0</v>
      </c>
      <c r="R9" s="0" t="n">
        <v>0</v>
      </c>
      <c r="S9" s="0" t="n">
        <v>0</v>
      </c>
      <c r="T9" s="0" t="s">
        <v>624</v>
      </c>
      <c r="U9" s="0" t="s">
        <v>149</v>
      </c>
      <c r="V9" s="0" t="s">
        <v>624</v>
      </c>
      <c r="W9" s="0" t="s">
        <v>569</v>
      </c>
      <c r="X9" s="0" t="s">
        <v>624</v>
      </c>
      <c r="Y9" s="0" t="s">
        <v>627</v>
      </c>
      <c r="Z9" s="0" t="s">
        <v>629</v>
      </c>
      <c r="AA9" s="0" t="s">
        <v>624</v>
      </c>
      <c r="AB9" s="0" t="s">
        <v>132</v>
      </c>
      <c r="AC9" s="254" t="n">
        <v>500000</v>
      </c>
      <c r="AD9" s="254" t="n">
        <v>13959.9948662259</v>
      </c>
      <c r="AE9" s="0" t="n">
        <v>0</v>
      </c>
      <c r="AF9" s="0" t="n">
        <v>0</v>
      </c>
      <c r="AG9" s="0" t="n">
        <v>0</v>
      </c>
      <c r="AH9" s="254" t="n">
        <v>662.099315974367</v>
      </c>
      <c r="AI9" s="0" t="n">
        <v>226</v>
      </c>
      <c r="AJ9" s="0" t="s">
        <v>630</v>
      </c>
      <c r="AK9" s="0" t="n">
        <v>0</v>
      </c>
      <c r="AL9" s="0" t="n">
        <v>0</v>
      </c>
      <c r="AM9" s="0" t="n">
        <v>0</v>
      </c>
    </row>
    <row r="10" customFormat="false" ht="12.75" hidden="false" customHeight="false" outlineLevel="0" collapsed="false">
      <c r="A10" s="0" t="s">
        <v>621</v>
      </c>
      <c r="B10" s="0" t="s">
        <v>195</v>
      </c>
      <c r="C10" s="0" t="s">
        <v>622</v>
      </c>
      <c r="D10" s="0" t="s">
        <v>623</v>
      </c>
      <c r="E10" s="0" t="s">
        <v>131</v>
      </c>
      <c r="F10" s="0" t="s">
        <v>194</v>
      </c>
      <c r="G10" s="0" t="s">
        <v>628</v>
      </c>
      <c r="H10" s="0" t="s">
        <v>625</v>
      </c>
      <c r="I10" s="0" t="s">
        <v>626</v>
      </c>
      <c r="J10" s="0" t="s">
        <v>627</v>
      </c>
      <c r="K10" s="475" t="n">
        <v>37073</v>
      </c>
      <c r="L10" s="254" t="n">
        <v>109392.045667279</v>
      </c>
      <c r="M10" s="475" t="n">
        <v>37070</v>
      </c>
      <c r="N10" s="0" t="s">
        <v>136</v>
      </c>
      <c r="O10" s="0" t="n">
        <v>0.3</v>
      </c>
      <c r="P10" s="0" t="n">
        <v>0</v>
      </c>
      <c r="Q10" s="0" t="n">
        <v>0</v>
      </c>
      <c r="R10" s="0" t="n">
        <v>0</v>
      </c>
      <c r="S10" s="0" t="n">
        <v>0</v>
      </c>
      <c r="T10" s="0" t="s">
        <v>624</v>
      </c>
      <c r="U10" s="0" t="s">
        <v>149</v>
      </c>
      <c r="V10" s="0" t="s">
        <v>624</v>
      </c>
      <c r="W10" s="0" t="s">
        <v>569</v>
      </c>
      <c r="X10" s="0" t="s">
        <v>624</v>
      </c>
      <c r="Y10" s="0" t="s">
        <v>627</v>
      </c>
      <c r="Z10" s="0" t="s">
        <v>629</v>
      </c>
      <c r="AA10" s="0" t="s">
        <v>624</v>
      </c>
      <c r="AB10" s="0" t="s">
        <v>132</v>
      </c>
      <c r="AC10" s="254" t="n">
        <v>500000</v>
      </c>
      <c r="AD10" s="254" t="n">
        <v>13219.7639566304</v>
      </c>
      <c r="AE10" s="0" t="n">
        <v>0</v>
      </c>
      <c r="AF10" s="0" t="n">
        <v>0</v>
      </c>
      <c r="AG10" s="0" t="n">
        <v>0</v>
      </c>
      <c r="AH10" s="254" t="n">
        <v>627.126382526156</v>
      </c>
      <c r="AI10" s="0" t="n">
        <v>226</v>
      </c>
      <c r="AJ10" s="0" t="s">
        <v>630</v>
      </c>
      <c r="AK10" s="0" t="n">
        <v>0</v>
      </c>
      <c r="AL10" s="0" t="n">
        <v>0</v>
      </c>
      <c r="AM10" s="0" t="n">
        <v>0</v>
      </c>
    </row>
    <row r="11" customFormat="false" ht="12.75" hidden="false" customHeight="false" outlineLevel="0" collapsed="false">
      <c r="A11" s="0" t="s">
        <v>621</v>
      </c>
      <c r="B11" s="0" t="s">
        <v>195</v>
      </c>
      <c r="C11" s="0" t="s">
        <v>622</v>
      </c>
      <c r="D11" s="0" t="s">
        <v>623</v>
      </c>
      <c r="E11" s="0" t="s">
        <v>131</v>
      </c>
      <c r="F11" s="0" t="s">
        <v>194</v>
      </c>
      <c r="G11" s="0" t="s">
        <v>628</v>
      </c>
      <c r="H11" s="0" t="s">
        <v>625</v>
      </c>
      <c r="I11" s="0" t="s">
        <v>626</v>
      </c>
      <c r="J11" s="0" t="s">
        <v>627</v>
      </c>
      <c r="K11" s="475" t="n">
        <v>37043</v>
      </c>
      <c r="L11" s="254" t="n">
        <v>86775.4791446277</v>
      </c>
      <c r="M11" s="475" t="n">
        <v>37041</v>
      </c>
      <c r="N11" s="0" t="s">
        <v>136</v>
      </c>
      <c r="O11" s="0" t="n">
        <v>0.3</v>
      </c>
      <c r="P11" s="0" t="n">
        <v>0</v>
      </c>
      <c r="Q11" s="0" t="n">
        <v>0</v>
      </c>
      <c r="R11" s="0" t="n">
        <v>0</v>
      </c>
      <c r="S11" s="0" t="n">
        <v>0</v>
      </c>
      <c r="T11" s="0" t="s">
        <v>624</v>
      </c>
      <c r="U11" s="0" t="s">
        <v>149</v>
      </c>
      <c r="V11" s="0" t="s">
        <v>624</v>
      </c>
      <c r="W11" s="0" t="s">
        <v>569</v>
      </c>
      <c r="X11" s="0" t="s">
        <v>624</v>
      </c>
      <c r="Y11" s="0" t="s">
        <v>627</v>
      </c>
      <c r="Z11" s="0" t="s">
        <v>629</v>
      </c>
      <c r="AA11" s="0" t="s">
        <v>624</v>
      </c>
      <c r="AB11" s="0" t="s">
        <v>132</v>
      </c>
      <c r="AC11" s="254" t="n">
        <v>500000</v>
      </c>
      <c r="AD11" s="254" t="n">
        <v>13532.0605108581</v>
      </c>
      <c r="AE11" s="0" t="n">
        <v>0</v>
      </c>
      <c r="AF11" s="0" t="n">
        <v>0</v>
      </c>
      <c r="AG11" s="0" t="n">
        <v>0</v>
      </c>
      <c r="AH11" s="254" t="n">
        <v>643.4602554718</v>
      </c>
      <c r="AI11" s="0" t="n">
        <v>226</v>
      </c>
      <c r="AJ11" s="0" t="s">
        <v>630</v>
      </c>
      <c r="AK11" s="0" t="n">
        <v>0</v>
      </c>
      <c r="AL11" s="0" t="n">
        <v>0</v>
      </c>
      <c r="AM11" s="0" t="n">
        <v>0</v>
      </c>
    </row>
    <row r="12" customFormat="false" ht="12.75" hidden="false" customHeight="false" outlineLevel="0" collapsed="false">
      <c r="A12" s="0" t="s">
        <v>621</v>
      </c>
      <c r="B12" s="0" t="s">
        <v>195</v>
      </c>
      <c r="C12" s="0" t="s">
        <v>622</v>
      </c>
      <c r="D12" s="0" t="s">
        <v>623</v>
      </c>
      <c r="E12" s="0" t="s">
        <v>131</v>
      </c>
      <c r="F12" s="0" t="s">
        <v>194</v>
      </c>
      <c r="G12" s="0" t="s">
        <v>628</v>
      </c>
      <c r="H12" s="0" t="s">
        <v>625</v>
      </c>
      <c r="I12" s="0" t="s">
        <v>626</v>
      </c>
      <c r="J12" s="0" t="s">
        <v>627</v>
      </c>
      <c r="K12" s="475" t="n">
        <v>37012</v>
      </c>
      <c r="L12" s="254" t="n">
        <v>87670.7765248109</v>
      </c>
      <c r="M12" s="475" t="n">
        <v>37008</v>
      </c>
      <c r="N12" s="0" t="s">
        <v>136</v>
      </c>
      <c r="O12" s="0" t="n">
        <v>0.3</v>
      </c>
      <c r="P12" s="0" t="n">
        <v>0</v>
      </c>
      <c r="Q12" s="0" t="n">
        <v>0</v>
      </c>
      <c r="R12" s="0" t="n">
        <v>0</v>
      </c>
      <c r="S12" s="0" t="n">
        <v>0</v>
      </c>
      <c r="T12" s="0" t="s">
        <v>624</v>
      </c>
      <c r="U12" s="0" t="s">
        <v>149</v>
      </c>
      <c r="V12" s="0" t="s">
        <v>624</v>
      </c>
      <c r="W12" s="0" t="s">
        <v>569</v>
      </c>
      <c r="X12" s="0" t="s">
        <v>624</v>
      </c>
      <c r="Y12" s="0" t="s">
        <v>627</v>
      </c>
      <c r="Z12" s="0" t="s">
        <v>629</v>
      </c>
      <c r="AA12" s="0" t="s">
        <v>624</v>
      </c>
      <c r="AB12" s="0" t="s">
        <v>132</v>
      </c>
      <c r="AC12" s="254" t="n">
        <v>500000</v>
      </c>
      <c r="AD12" s="254" t="n">
        <v>12755.6127572131</v>
      </c>
      <c r="AE12" s="0" t="n">
        <v>0</v>
      </c>
      <c r="AF12" s="0" t="n">
        <v>0</v>
      </c>
      <c r="AG12" s="0" t="n">
        <v>0</v>
      </c>
      <c r="AH12" s="254" t="n">
        <v>606.893188177754</v>
      </c>
      <c r="AI12" s="0" t="n">
        <v>226</v>
      </c>
      <c r="AJ12" s="0" t="s">
        <v>630</v>
      </c>
      <c r="AK12" s="0" t="n">
        <v>0</v>
      </c>
      <c r="AL12" s="0" t="n">
        <v>0</v>
      </c>
      <c r="AM12" s="0" t="n">
        <v>0</v>
      </c>
    </row>
    <row r="13" customFormat="false" ht="12.75" hidden="false" customHeight="false" outlineLevel="0" collapsed="false">
      <c r="A13" s="0" t="s">
        <v>621</v>
      </c>
      <c r="B13" s="0" t="s">
        <v>195</v>
      </c>
      <c r="C13" s="0" t="s">
        <v>622</v>
      </c>
      <c r="D13" s="0" t="s">
        <v>623</v>
      </c>
      <c r="E13" s="0" t="s">
        <v>131</v>
      </c>
      <c r="F13" s="0" t="s">
        <v>194</v>
      </c>
      <c r="G13" s="0" t="s">
        <v>628</v>
      </c>
      <c r="H13" s="0" t="s">
        <v>625</v>
      </c>
      <c r="I13" s="0" t="s">
        <v>626</v>
      </c>
      <c r="J13" s="0" t="s">
        <v>627</v>
      </c>
      <c r="K13" s="475" t="n">
        <v>36982</v>
      </c>
      <c r="L13" s="254" t="n">
        <v>129723.275210626</v>
      </c>
      <c r="M13" s="475" t="n">
        <v>36979</v>
      </c>
      <c r="N13" s="0" t="s">
        <v>136</v>
      </c>
      <c r="O13" s="0" t="n">
        <v>0.3</v>
      </c>
      <c r="P13" s="0" t="n">
        <v>0</v>
      </c>
      <c r="Q13" s="0" t="n">
        <v>0</v>
      </c>
      <c r="R13" s="0" t="n">
        <v>0</v>
      </c>
      <c r="S13" s="0" t="n">
        <v>0</v>
      </c>
      <c r="T13" s="0" t="s">
        <v>624</v>
      </c>
      <c r="U13" s="0" t="s">
        <v>149</v>
      </c>
      <c r="V13" s="0" t="s">
        <v>624</v>
      </c>
      <c r="W13" s="0" t="s">
        <v>569</v>
      </c>
      <c r="X13" s="0" t="s">
        <v>624</v>
      </c>
      <c r="Y13" s="0" t="s">
        <v>627</v>
      </c>
      <c r="Z13" s="0" t="s">
        <v>629</v>
      </c>
      <c r="AA13" s="0" t="s">
        <v>624</v>
      </c>
      <c r="AB13" s="0" t="s">
        <v>132</v>
      </c>
      <c r="AC13" s="254" t="n">
        <v>500000</v>
      </c>
      <c r="AD13" s="254" t="n">
        <v>11158.954066136</v>
      </c>
      <c r="AE13" s="0" t="n">
        <v>0</v>
      </c>
      <c r="AF13" s="0" t="n">
        <v>0</v>
      </c>
      <c r="AG13" s="0" t="n">
        <v>0</v>
      </c>
      <c r="AH13" s="254" t="n">
        <v>530.283518713186</v>
      </c>
      <c r="AI13" s="0" t="n">
        <v>226</v>
      </c>
      <c r="AJ13" s="0" t="s">
        <v>630</v>
      </c>
      <c r="AK13" s="0" t="n">
        <v>0</v>
      </c>
      <c r="AL13" s="0" t="n">
        <v>0</v>
      </c>
      <c r="AM13" s="0" t="n">
        <v>0</v>
      </c>
    </row>
    <row r="14" customFormat="false" ht="12.75" hidden="false" customHeight="false" outlineLevel="0" collapsed="false">
      <c r="A14" s="0" t="s">
        <v>621</v>
      </c>
      <c r="B14" s="0" t="s">
        <v>195</v>
      </c>
      <c r="C14" s="0" t="s">
        <v>622</v>
      </c>
      <c r="D14" s="0" t="s">
        <v>623</v>
      </c>
      <c r="E14" s="0" t="s">
        <v>131</v>
      </c>
      <c r="F14" s="0" t="s">
        <v>194</v>
      </c>
      <c r="G14" s="0" t="s">
        <v>628</v>
      </c>
      <c r="H14" s="0" t="s">
        <v>625</v>
      </c>
      <c r="I14" s="0" t="s">
        <v>626</v>
      </c>
      <c r="J14" s="0" t="s">
        <v>627</v>
      </c>
      <c r="K14" s="475" t="n">
        <v>36800</v>
      </c>
      <c r="L14" s="254" t="n">
        <v>60873.3375446555</v>
      </c>
      <c r="M14" s="475" t="n">
        <v>36797</v>
      </c>
      <c r="N14" s="0" t="s">
        <v>136</v>
      </c>
      <c r="O14" s="0" t="n">
        <v>0.3</v>
      </c>
      <c r="P14" s="0" t="n">
        <v>0</v>
      </c>
      <c r="Q14" s="0" t="n">
        <v>0</v>
      </c>
      <c r="R14" s="0" t="n">
        <v>0</v>
      </c>
      <c r="S14" s="0" t="n">
        <v>0</v>
      </c>
      <c r="T14" s="0" t="s">
        <v>624</v>
      </c>
      <c r="U14" s="0" t="s">
        <v>149</v>
      </c>
      <c r="V14" s="0" t="s">
        <v>624</v>
      </c>
      <c r="W14" s="0" t="s">
        <v>569</v>
      </c>
      <c r="X14" s="0" t="s">
        <v>624</v>
      </c>
      <c r="Y14" s="0" t="s">
        <v>627</v>
      </c>
      <c r="Z14" s="0" t="s">
        <v>629</v>
      </c>
      <c r="AA14" s="0" t="s">
        <v>624</v>
      </c>
      <c r="AB14" s="0" t="s">
        <v>132</v>
      </c>
      <c r="AC14" s="254" t="n">
        <v>500000</v>
      </c>
      <c r="AD14" s="254" t="n">
        <v>1957.06194256572</v>
      </c>
      <c r="AE14" s="0" t="n">
        <v>0</v>
      </c>
      <c r="AF14" s="0" t="n">
        <v>0</v>
      </c>
      <c r="AG14" s="0" t="n">
        <v>0</v>
      </c>
      <c r="AH14" s="254" t="n">
        <v>113.31568075961</v>
      </c>
      <c r="AI14" s="0" t="n">
        <v>226</v>
      </c>
      <c r="AJ14" s="0" t="s">
        <v>630</v>
      </c>
      <c r="AK14" s="0" t="n">
        <v>0</v>
      </c>
      <c r="AL14" s="0" t="n">
        <v>0</v>
      </c>
      <c r="AM14" s="0" t="n">
        <v>0</v>
      </c>
    </row>
    <row r="15" customFormat="false" ht="12.75" hidden="false" customHeight="false" outlineLevel="0" collapsed="false">
      <c r="A15" s="0" t="s">
        <v>621</v>
      </c>
      <c r="B15" s="0" t="s">
        <v>195</v>
      </c>
      <c r="C15" s="0" t="s">
        <v>622</v>
      </c>
      <c r="D15" s="0" t="s">
        <v>623</v>
      </c>
      <c r="E15" s="0" t="s">
        <v>131</v>
      </c>
      <c r="F15" s="0" t="s">
        <v>194</v>
      </c>
      <c r="G15" s="0" t="s">
        <v>628</v>
      </c>
      <c r="H15" s="0" t="s">
        <v>625</v>
      </c>
      <c r="I15" s="0" t="s">
        <v>626</v>
      </c>
      <c r="J15" s="0" t="s">
        <v>627</v>
      </c>
      <c r="K15" s="475" t="n">
        <v>36770</v>
      </c>
      <c r="L15" s="254" t="n">
        <v>8568.22896429346</v>
      </c>
      <c r="M15" s="475" t="n">
        <v>36768</v>
      </c>
      <c r="N15" s="0" t="s">
        <v>136</v>
      </c>
      <c r="O15" s="0" t="n">
        <v>0.3</v>
      </c>
      <c r="P15" s="0" t="n">
        <v>0</v>
      </c>
      <c r="Q15" s="0" t="n">
        <v>0</v>
      </c>
      <c r="R15" s="0" t="n">
        <v>0</v>
      </c>
      <c r="S15" s="0" t="n">
        <v>0</v>
      </c>
      <c r="T15" s="0" t="s">
        <v>624</v>
      </c>
      <c r="U15" s="0" t="s">
        <v>149</v>
      </c>
      <c r="V15" s="0" t="s">
        <v>624</v>
      </c>
      <c r="W15" s="0" t="s">
        <v>569</v>
      </c>
      <c r="X15" s="0" t="s">
        <v>624</v>
      </c>
      <c r="Y15" s="0" t="s">
        <v>627</v>
      </c>
      <c r="Z15" s="0" t="s">
        <v>629</v>
      </c>
      <c r="AA15" s="0" t="s">
        <v>624</v>
      </c>
      <c r="AB15" s="0" t="s">
        <v>132</v>
      </c>
      <c r="AC15" s="254" t="n">
        <v>500000</v>
      </c>
      <c r="AD15" s="254" t="n">
        <v>456.940516390489</v>
      </c>
      <c r="AE15" s="0" t="n">
        <v>0</v>
      </c>
      <c r="AF15" s="0" t="n">
        <v>0</v>
      </c>
      <c r="AG15" s="0" t="n">
        <v>0</v>
      </c>
      <c r="AH15" s="254" t="n">
        <v>68.8695579734576</v>
      </c>
      <c r="AI15" s="0" t="n">
        <v>226</v>
      </c>
      <c r="AJ15" s="0" t="s">
        <v>630</v>
      </c>
      <c r="AK15" s="0" t="n">
        <v>0</v>
      </c>
      <c r="AL15" s="0" t="n">
        <v>0</v>
      </c>
      <c r="AM15" s="0" t="n">
        <v>0</v>
      </c>
    </row>
    <row r="16" customFormat="false" ht="12.75" hidden="false" customHeight="false" outlineLevel="0" collapsed="false">
      <c r="A16" s="0" t="s">
        <v>621</v>
      </c>
      <c r="B16" s="0" t="s">
        <v>197</v>
      </c>
      <c r="C16" s="0" t="s">
        <v>622</v>
      </c>
      <c r="D16" s="0" t="s">
        <v>623</v>
      </c>
      <c r="E16" s="0" t="s">
        <v>131</v>
      </c>
      <c r="F16" s="0" t="s">
        <v>196</v>
      </c>
      <c r="G16" s="0" t="s">
        <v>628</v>
      </c>
      <c r="H16" s="0" t="s">
        <v>625</v>
      </c>
      <c r="I16" s="0" t="s">
        <v>626</v>
      </c>
      <c r="J16" s="0" t="s">
        <v>627</v>
      </c>
      <c r="K16" s="475" t="n">
        <v>36800</v>
      </c>
      <c r="L16" s="254" t="n">
        <v>135478.046934191</v>
      </c>
      <c r="M16" s="475" t="n">
        <v>36797</v>
      </c>
      <c r="N16" s="0" t="s">
        <v>132</v>
      </c>
      <c r="O16" s="0" t="n">
        <v>-0.4</v>
      </c>
      <c r="P16" s="0" t="n">
        <v>0</v>
      </c>
      <c r="Q16" s="0" t="n">
        <v>0</v>
      </c>
      <c r="R16" s="0" t="n">
        <v>0</v>
      </c>
      <c r="S16" s="0" t="n">
        <v>0</v>
      </c>
      <c r="T16" s="0" t="s">
        <v>624</v>
      </c>
      <c r="U16" s="0" t="s">
        <v>151</v>
      </c>
      <c r="V16" s="0" t="s">
        <v>624</v>
      </c>
      <c r="W16" s="0" t="s">
        <v>569</v>
      </c>
      <c r="X16" s="0" t="s">
        <v>624</v>
      </c>
      <c r="Y16" s="0" t="s">
        <v>627</v>
      </c>
      <c r="Z16" s="0" t="s">
        <v>629</v>
      </c>
      <c r="AA16" s="0" t="s">
        <v>624</v>
      </c>
      <c r="AB16" s="0" t="s">
        <v>132</v>
      </c>
      <c r="AC16" s="254" t="n">
        <v>310000</v>
      </c>
      <c r="AD16" s="254" t="n">
        <v>6913.59368224576</v>
      </c>
      <c r="AE16" s="0" t="n">
        <v>0</v>
      </c>
      <c r="AF16" s="0" t="n">
        <v>0</v>
      </c>
      <c r="AG16" s="0" t="n">
        <v>0</v>
      </c>
      <c r="AH16" s="254" t="n">
        <v>16486.2899877134</v>
      </c>
      <c r="AI16" s="0" t="n">
        <v>226</v>
      </c>
      <c r="AJ16" s="0" t="s">
        <v>630</v>
      </c>
      <c r="AK16" s="0" t="n">
        <v>0</v>
      </c>
      <c r="AL16" s="0" t="n">
        <v>0</v>
      </c>
      <c r="AM16" s="0" t="n">
        <v>0</v>
      </c>
    </row>
    <row r="17" customFormat="false" ht="12.75" hidden="false" customHeight="false" outlineLevel="0" collapsed="false">
      <c r="A17" s="0" t="s">
        <v>621</v>
      </c>
      <c r="B17" s="0" t="s">
        <v>197</v>
      </c>
      <c r="C17" s="0" t="s">
        <v>622</v>
      </c>
      <c r="D17" s="0" t="s">
        <v>623</v>
      </c>
      <c r="E17" s="0" t="s">
        <v>131</v>
      </c>
      <c r="F17" s="0" t="s">
        <v>196</v>
      </c>
      <c r="G17" s="0" t="s">
        <v>628</v>
      </c>
      <c r="H17" s="0" t="s">
        <v>625</v>
      </c>
      <c r="I17" s="0" t="s">
        <v>626</v>
      </c>
      <c r="J17" s="0" t="s">
        <v>627</v>
      </c>
      <c r="K17" s="475" t="n">
        <v>36770</v>
      </c>
      <c r="L17" s="254" t="n">
        <v>251907.300024418</v>
      </c>
      <c r="M17" s="475" t="n">
        <v>36768</v>
      </c>
      <c r="N17" s="0" t="s">
        <v>132</v>
      </c>
      <c r="O17" s="0" t="n">
        <v>-0.4</v>
      </c>
      <c r="P17" s="0" t="n">
        <v>0</v>
      </c>
      <c r="Q17" s="0" t="n">
        <v>0</v>
      </c>
      <c r="R17" s="0" t="n">
        <v>0</v>
      </c>
      <c r="S17" s="0" t="n">
        <v>0</v>
      </c>
      <c r="T17" s="0" t="s">
        <v>624</v>
      </c>
      <c r="U17" s="0" t="s">
        <v>151</v>
      </c>
      <c r="V17" s="0" t="s">
        <v>624</v>
      </c>
      <c r="W17" s="0" t="s">
        <v>569</v>
      </c>
      <c r="X17" s="0" t="s">
        <v>624</v>
      </c>
      <c r="Y17" s="0" t="s">
        <v>627</v>
      </c>
      <c r="Z17" s="0" t="s">
        <v>629</v>
      </c>
      <c r="AA17" s="0" t="s">
        <v>624</v>
      </c>
      <c r="AB17" s="0" t="s">
        <v>132</v>
      </c>
      <c r="AC17" s="254" t="n">
        <v>300000</v>
      </c>
      <c r="AD17" s="254" t="n">
        <v>-0.0115735644940287</v>
      </c>
      <c r="AE17" s="0" t="n">
        <v>0</v>
      </c>
      <c r="AF17" s="0" t="n">
        <v>0</v>
      </c>
      <c r="AG17" s="0" t="n">
        <v>0</v>
      </c>
      <c r="AH17" s="254" t="n">
        <v>17983.4596552936</v>
      </c>
      <c r="AI17" s="0" t="n">
        <v>226</v>
      </c>
      <c r="AJ17" s="0" t="s">
        <v>630</v>
      </c>
      <c r="AK17" s="0" t="n">
        <v>0</v>
      </c>
      <c r="AL17" s="0" t="n">
        <v>0</v>
      </c>
      <c r="AM17" s="0" t="n">
        <v>0</v>
      </c>
    </row>
    <row r="18" customFormat="false" ht="12.75" hidden="false" customHeight="false" outlineLevel="0" collapsed="false">
      <c r="A18" s="0" t="s">
        <v>621</v>
      </c>
      <c r="B18" s="0" t="s">
        <v>199</v>
      </c>
      <c r="C18" s="0" t="s">
        <v>622</v>
      </c>
      <c r="D18" s="0" t="s">
        <v>623</v>
      </c>
      <c r="E18" s="0" t="s">
        <v>131</v>
      </c>
      <c r="F18" s="0" t="s">
        <v>198</v>
      </c>
      <c r="G18" s="0" t="s">
        <v>628</v>
      </c>
      <c r="H18" s="0" t="s">
        <v>625</v>
      </c>
      <c r="I18" s="0" t="s">
        <v>626</v>
      </c>
      <c r="J18" s="0" t="s">
        <v>627</v>
      </c>
      <c r="K18" s="475" t="n">
        <v>36800</v>
      </c>
      <c r="L18" s="254" t="n">
        <v>51599.6075839146</v>
      </c>
      <c r="M18" s="475" t="n">
        <v>36797</v>
      </c>
      <c r="N18" s="0" t="s">
        <v>136</v>
      </c>
      <c r="O18" s="0" t="n">
        <v>0.25</v>
      </c>
      <c r="P18" s="0" t="n">
        <v>0</v>
      </c>
      <c r="Q18" s="0" t="n">
        <v>0</v>
      </c>
      <c r="R18" s="0" t="n">
        <v>0</v>
      </c>
      <c r="S18" s="0" t="n">
        <v>0</v>
      </c>
      <c r="T18" s="0" t="s">
        <v>624</v>
      </c>
      <c r="U18" s="0" t="s">
        <v>149</v>
      </c>
      <c r="V18" s="0" t="s">
        <v>624</v>
      </c>
      <c r="W18" s="0" t="s">
        <v>569</v>
      </c>
      <c r="X18" s="0" t="s">
        <v>624</v>
      </c>
      <c r="Y18" s="0" t="s">
        <v>627</v>
      </c>
      <c r="Z18" s="0" t="s">
        <v>629</v>
      </c>
      <c r="AA18" s="0" t="s">
        <v>624</v>
      </c>
      <c r="AB18" s="0" t="s">
        <v>132</v>
      </c>
      <c r="AC18" s="254" t="n">
        <v>310000</v>
      </c>
      <c r="AD18" s="254" t="n">
        <v>636.008121044608</v>
      </c>
      <c r="AE18" s="0" t="n">
        <v>0</v>
      </c>
      <c r="AF18" s="0" t="n">
        <v>0</v>
      </c>
      <c r="AG18" s="0" t="n">
        <v>0</v>
      </c>
      <c r="AH18" s="254" t="n">
        <v>37.5164297216761</v>
      </c>
      <c r="AI18" s="0" t="n">
        <v>226</v>
      </c>
      <c r="AJ18" s="0" t="s">
        <v>630</v>
      </c>
      <c r="AK18" s="0" t="n">
        <v>0</v>
      </c>
      <c r="AL18" s="0" t="n">
        <v>0</v>
      </c>
      <c r="AM18" s="0" t="n">
        <v>0</v>
      </c>
    </row>
    <row r="19" customFormat="false" ht="12.75" hidden="false" customHeight="false" outlineLevel="0" collapsed="false">
      <c r="A19" s="0" t="s">
        <v>621</v>
      </c>
      <c r="B19" s="0" t="s">
        <v>199</v>
      </c>
      <c r="C19" s="0" t="s">
        <v>622</v>
      </c>
      <c r="D19" s="0" t="s">
        <v>623</v>
      </c>
      <c r="E19" s="0" t="s">
        <v>131</v>
      </c>
      <c r="F19" s="0" t="s">
        <v>198</v>
      </c>
      <c r="G19" s="0" t="s">
        <v>628</v>
      </c>
      <c r="H19" s="0" t="s">
        <v>625</v>
      </c>
      <c r="I19" s="0" t="s">
        <v>626</v>
      </c>
      <c r="J19" s="0" t="s">
        <v>627</v>
      </c>
      <c r="K19" s="475" t="n">
        <v>36770</v>
      </c>
      <c r="L19" s="254" t="n">
        <v>19493.021280464</v>
      </c>
      <c r="M19" s="475" t="n">
        <v>36768</v>
      </c>
      <c r="N19" s="0" t="s">
        <v>136</v>
      </c>
      <c r="O19" s="0" t="n">
        <v>0.25</v>
      </c>
      <c r="P19" s="0" t="n">
        <v>0</v>
      </c>
      <c r="Q19" s="0" t="n">
        <v>0</v>
      </c>
      <c r="R19" s="0" t="n">
        <v>0</v>
      </c>
      <c r="S19" s="0" t="n">
        <v>0</v>
      </c>
      <c r="T19" s="0" t="s">
        <v>624</v>
      </c>
      <c r="U19" s="0" t="s">
        <v>149</v>
      </c>
      <c r="V19" s="0" t="s">
        <v>624</v>
      </c>
      <c r="W19" s="0" t="s">
        <v>569</v>
      </c>
      <c r="X19" s="0" t="s">
        <v>624</v>
      </c>
      <c r="Y19" s="0" t="s">
        <v>627</v>
      </c>
      <c r="Z19" s="0" t="s">
        <v>629</v>
      </c>
      <c r="AA19" s="0" t="s">
        <v>624</v>
      </c>
      <c r="AB19" s="0" t="s">
        <v>132</v>
      </c>
      <c r="AC19" s="254" t="n">
        <v>300000</v>
      </c>
      <c r="AD19" s="254" t="n">
        <v>0.565640543005429</v>
      </c>
      <c r="AE19" s="0" t="n">
        <v>0</v>
      </c>
      <c r="AF19" s="0" t="n">
        <v>0</v>
      </c>
      <c r="AG19" s="0" t="n">
        <v>0</v>
      </c>
      <c r="AH19" s="254" t="n">
        <v>9.72443223204755</v>
      </c>
      <c r="AI19" s="0" t="n">
        <v>226</v>
      </c>
      <c r="AJ19" s="0" t="s">
        <v>630</v>
      </c>
      <c r="AK19" s="0" t="n">
        <v>0</v>
      </c>
      <c r="AL19" s="0" t="n">
        <v>0</v>
      </c>
      <c r="AM19" s="0" t="n">
        <v>0</v>
      </c>
    </row>
    <row r="20" customFormat="false" ht="12.75" hidden="false" customHeight="false" outlineLevel="0" collapsed="false">
      <c r="A20" s="0" t="s">
        <v>621</v>
      </c>
      <c r="B20" s="0" t="s">
        <v>200</v>
      </c>
      <c r="C20" s="0" t="s">
        <v>622</v>
      </c>
      <c r="D20" s="0" t="s">
        <v>623</v>
      </c>
      <c r="E20" s="0" t="s">
        <v>131</v>
      </c>
      <c r="F20" s="0" t="s">
        <v>194</v>
      </c>
      <c r="G20" s="0" t="s">
        <v>628</v>
      </c>
      <c r="H20" s="0" t="s">
        <v>625</v>
      </c>
      <c r="I20" s="0" t="s">
        <v>626</v>
      </c>
      <c r="J20" s="0" t="s">
        <v>627</v>
      </c>
      <c r="K20" s="475" t="n">
        <v>36800</v>
      </c>
      <c r="L20" s="254" t="n">
        <v>28384.3895123824</v>
      </c>
      <c r="M20" s="475" t="n">
        <v>36797</v>
      </c>
      <c r="N20" s="0" t="s">
        <v>136</v>
      </c>
      <c r="O20" s="0" t="n">
        <v>0.16</v>
      </c>
      <c r="P20" s="0" t="n">
        <v>0</v>
      </c>
      <c r="Q20" s="0" t="n">
        <v>0</v>
      </c>
      <c r="R20" s="0" t="n">
        <v>0</v>
      </c>
      <c r="S20" s="0" t="n">
        <v>0</v>
      </c>
      <c r="T20" s="0" t="s">
        <v>624</v>
      </c>
      <c r="U20" s="0" t="s">
        <v>150</v>
      </c>
      <c r="V20" s="0" t="s">
        <v>624</v>
      </c>
      <c r="W20" s="0" t="s">
        <v>569</v>
      </c>
      <c r="X20" s="0" t="s">
        <v>624</v>
      </c>
      <c r="Y20" s="0" t="s">
        <v>627</v>
      </c>
      <c r="Z20" s="0" t="s">
        <v>629</v>
      </c>
      <c r="AA20" s="0" t="s">
        <v>624</v>
      </c>
      <c r="AB20" s="0" t="s">
        <v>132</v>
      </c>
      <c r="AC20" s="254" t="n">
        <v>620000</v>
      </c>
      <c r="AD20" s="254" t="n">
        <v>3737.90416248271</v>
      </c>
      <c r="AE20" s="0" t="n">
        <v>0</v>
      </c>
      <c r="AF20" s="0" t="n">
        <v>0</v>
      </c>
      <c r="AG20" s="0" t="n">
        <v>0</v>
      </c>
      <c r="AH20" s="254" t="n">
        <v>213.662198762835</v>
      </c>
      <c r="AI20" s="0" t="n">
        <v>226</v>
      </c>
      <c r="AJ20" s="0" t="s">
        <v>630</v>
      </c>
      <c r="AK20" s="0" t="n">
        <v>0</v>
      </c>
      <c r="AL20" s="0" t="n">
        <v>0</v>
      </c>
      <c r="AM20" s="0" t="n">
        <v>0</v>
      </c>
    </row>
    <row r="21" customFormat="false" ht="12.75" hidden="false" customHeight="false" outlineLevel="0" collapsed="false">
      <c r="A21" s="0" t="s">
        <v>621</v>
      </c>
      <c r="B21" s="0" t="s">
        <v>200</v>
      </c>
      <c r="C21" s="0" t="s">
        <v>622</v>
      </c>
      <c r="D21" s="0" t="s">
        <v>623</v>
      </c>
      <c r="E21" s="0" t="s">
        <v>131</v>
      </c>
      <c r="F21" s="0" t="s">
        <v>194</v>
      </c>
      <c r="G21" s="0" t="s">
        <v>628</v>
      </c>
      <c r="H21" s="0" t="s">
        <v>625</v>
      </c>
      <c r="I21" s="0" t="s">
        <v>626</v>
      </c>
      <c r="J21" s="0" t="s">
        <v>627</v>
      </c>
      <c r="K21" s="475" t="n">
        <v>36770</v>
      </c>
      <c r="L21" s="254" t="n">
        <v>7187.32794540612</v>
      </c>
      <c r="M21" s="475" t="n">
        <v>36768</v>
      </c>
      <c r="N21" s="0" t="s">
        <v>136</v>
      </c>
      <c r="O21" s="0" t="n">
        <v>0.16</v>
      </c>
      <c r="P21" s="0" t="n">
        <v>0</v>
      </c>
      <c r="Q21" s="0" t="n">
        <v>0</v>
      </c>
      <c r="R21" s="0" t="n">
        <v>0</v>
      </c>
      <c r="S21" s="0" t="n">
        <v>0</v>
      </c>
      <c r="T21" s="0" t="s">
        <v>624</v>
      </c>
      <c r="U21" s="0" t="s">
        <v>150</v>
      </c>
      <c r="V21" s="0" t="s">
        <v>624</v>
      </c>
      <c r="W21" s="0" t="s">
        <v>569</v>
      </c>
      <c r="X21" s="0" t="s">
        <v>624</v>
      </c>
      <c r="Y21" s="0" t="s">
        <v>627</v>
      </c>
      <c r="Z21" s="0" t="s">
        <v>629</v>
      </c>
      <c r="AA21" s="0" t="s">
        <v>624</v>
      </c>
      <c r="AB21" s="0" t="s">
        <v>132</v>
      </c>
      <c r="AC21" s="254" t="n">
        <v>600000</v>
      </c>
      <c r="AD21" s="254" t="n">
        <v>525.716372784926</v>
      </c>
      <c r="AE21" s="0" t="n">
        <v>0</v>
      </c>
      <c r="AF21" s="0" t="n">
        <v>0</v>
      </c>
      <c r="AG21" s="0" t="n">
        <v>0</v>
      </c>
      <c r="AH21" s="254" t="n">
        <v>74.4090093541854</v>
      </c>
      <c r="AI21" s="0" t="n">
        <v>226</v>
      </c>
      <c r="AJ21" s="0" t="s">
        <v>630</v>
      </c>
      <c r="AK21" s="0" t="n">
        <v>0</v>
      </c>
      <c r="AL21" s="0" t="n">
        <v>0</v>
      </c>
      <c r="AM21" s="0" t="n">
        <v>0</v>
      </c>
    </row>
    <row r="22" customFormat="false" ht="12.75" hidden="false" customHeight="false" outlineLevel="0" collapsed="false">
      <c r="A22" s="0" t="s">
        <v>621</v>
      </c>
      <c r="B22" s="0" t="s">
        <v>203</v>
      </c>
      <c r="C22" s="0" t="s">
        <v>622</v>
      </c>
      <c r="D22" s="0" t="s">
        <v>623</v>
      </c>
      <c r="E22" s="0" t="s">
        <v>131</v>
      </c>
      <c r="F22" s="0" t="s">
        <v>201</v>
      </c>
      <c r="G22" s="0" t="s">
        <v>628</v>
      </c>
      <c r="H22" s="0" t="s">
        <v>625</v>
      </c>
      <c r="I22" s="0" t="s">
        <v>626</v>
      </c>
      <c r="J22" s="0" t="s">
        <v>627</v>
      </c>
      <c r="K22" s="475" t="n">
        <v>36800</v>
      </c>
      <c r="L22" s="254" t="n">
        <v>14192.1947561912</v>
      </c>
      <c r="M22" s="475" t="n">
        <v>36797</v>
      </c>
      <c r="N22" s="0" t="s">
        <v>136</v>
      </c>
      <c r="O22" s="0" t="n">
        <v>0.16</v>
      </c>
      <c r="P22" s="0" t="n">
        <v>0</v>
      </c>
      <c r="Q22" s="0" t="n">
        <v>0</v>
      </c>
      <c r="R22" s="0" t="n">
        <v>0</v>
      </c>
      <c r="S22" s="0" t="n">
        <v>0</v>
      </c>
      <c r="T22" s="0" t="s">
        <v>624</v>
      </c>
      <c r="U22" s="0" t="s">
        <v>150</v>
      </c>
      <c r="V22" s="0" t="s">
        <v>624</v>
      </c>
      <c r="W22" s="0" t="s">
        <v>569</v>
      </c>
      <c r="X22" s="0" t="s">
        <v>624</v>
      </c>
      <c r="Y22" s="0" t="s">
        <v>627</v>
      </c>
      <c r="Z22" s="0" t="s">
        <v>629</v>
      </c>
      <c r="AA22" s="0" t="s">
        <v>624</v>
      </c>
      <c r="AB22" s="0" t="s">
        <v>132</v>
      </c>
      <c r="AC22" s="254" t="n">
        <v>310000</v>
      </c>
      <c r="AD22" s="254" t="n">
        <v>1868.95208124135</v>
      </c>
      <c r="AE22" s="0" t="n">
        <v>0</v>
      </c>
      <c r="AF22" s="0" t="n">
        <v>0</v>
      </c>
      <c r="AG22" s="0" t="n">
        <v>0</v>
      </c>
      <c r="AH22" s="254" t="n">
        <v>106.831099381418</v>
      </c>
      <c r="AI22" s="0" t="n">
        <v>226</v>
      </c>
      <c r="AJ22" s="0" t="s">
        <v>630</v>
      </c>
      <c r="AK22" s="0" t="n">
        <v>0</v>
      </c>
      <c r="AL22" s="0" t="n">
        <v>0</v>
      </c>
      <c r="AM22" s="0" t="n">
        <v>0</v>
      </c>
    </row>
    <row r="23" customFormat="false" ht="12.75" hidden="false" customHeight="false" outlineLevel="0" collapsed="false">
      <c r="A23" s="0" t="s">
        <v>621</v>
      </c>
      <c r="B23" s="0" t="s">
        <v>203</v>
      </c>
      <c r="C23" s="0" t="s">
        <v>622</v>
      </c>
      <c r="D23" s="0" t="s">
        <v>623</v>
      </c>
      <c r="E23" s="0" t="s">
        <v>131</v>
      </c>
      <c r="F23" s="0" t="s">
        <v>201</v>
      </c>
      <c r="G23" s="0" t="s">
        <v>628</v>
      </c>
      <c r="H23" s="0" t="s">
        <v>625</v>
      </c>
      <c r="I23" s="0" t="s">
        <v>626</v>
      </c>
      <c r="J23" s="0" t="s">
        <v>627</v>
      </c>
      <c r="K23" s="475" t="n">
        <v>36770</v>
      </c>
      <c r="L23" s="254" t="n">
        <v>3593.66397270306</v>
      </c>
      <c r="M23" s="475" t="n">
        <v>36768</v>
      </c>
      <c r="N23" s="0" t="s">
        <v>136</v>
      </c>
      <c r="O23" s="0" t="n">
        <v>0.16</v>
      </c>
      <c r="P23" s="0" t="n">
        <v>0</v>
      </c>
      <c r="Q23" s="0" t="n">
        <v>0</v>
      </c>
      <c r="R23" s="0" t="n">
        <v>0</v>
      </c>
      <c r="S23" s="0" t="n">
        <v>0</v>
      </c>
      <c r="T23" s="0" t="s">
        <v>624</v>
      </c>
      <c r="U23" s="0" t="s">
        <v>150</v>
      </c>
      <c r="V23" s="0" t="s">
        <v>624</v>
      </c>
      <c r="W23" s="0" t="s">
        <v>569</v>
      </c>
      <c r="X23" s="0" t="s">
        <v>624</v>
      </c>
      <c r="Y23" s="0" t="s">
        <v>627</v>
      </c>
      <c r="Z23" s="0" t="s">
        <v>629</v>
      </c>
      <c r="AA23" s="0" t="s">
        <v>624</v>
      </c>
      <c r="AB23" s="0" t="s">
        <v>132</v>
      </c>
      <c r="AC23" s="254" t="n">
        <v>300000</v>
      </c>
      <c r="AD23" s="254" t="n">
        <v>262.858186392463</v>
      </c>
      <c r="AE23" s="0" t="n">
        <v>0</v>
      </c>
      <c r="AF23" s="0" t="n">
        <v>0</v>
      </c>
      <c r="AG23" s="0" t="n">
        <v>0</v>
      </c>
      <c r="AH23" s="254" t="n">
        <v>37.2045046770927</v>
      </c>
      <c r="AI23" s="0" t="n">
        <v>226</v>
      </c>
      <c r="AJ23" s="0" t="s">
        <v>630</v>
      </c>
      <c r="AK23" s="0" t="n">
        <v>0</v>
      </c>
      <c r="AL23" s="0" t="n">
        <v>0</v>
      </c>
      <c r="AM23" s="0" t="n">
        <v>0</v>
      </c>
    </row>
    <row r="24" customFormat="false" ht="12.75" hidden="false" customHeight="false" outlineLevel="0" collapsed="false">
      <c r="A24" s="0" t="s">
        <v>621</v>
      </c>
      <c r="B24" s="0" t="s">
        <v>205</v>
      </c>
      <c r="C24" s="0" t="s">
        <v>622</v>
      </c>
      <c r="D24" s="0" t="s">
        <v>623</v>
      </c>
      <c r="E24" s="0" t="s">
        <v>131</v>
      </c>
      <c r="F24" s="0" t="s">
        <v>204</v>
      </c>
      <c r="G24" s="0" t="s">
        <v>628</v>
      </c>
      <c r="H24" s="0" t="s">
        <v>625</v>
      </c>
      <c r="I24" s="0" t="s">
        <v>626</v>
      </c>
      <c r="J24" s="0" t="s">
        <v>627</v>
      </c>
      <c r="K24" s="475" t="n">
        <v>36951</v>
      </c>
      <c r="L24" s="254" t="n">
        <v>23306.2198268903</v>
      </c>
      <c r="M24" s="475" t="n">
        <v>36949</v>
      </c>
      <c r="N24" s="0" t="s">
        <v>136</v>
      </c>
      <c r="O24" s="0" t="n">
        <v>0.33</v>
      </c>
      <c r="P24" s="0" t="n">
        <v>0</v>
      </c>
      <c r="Q24" s="0" t="n">
        <v>0</v>
      </c>
      <c r="R24" s="0" t="n">
        <v>0</v>
      </c>
      <c r="S24" s="0" t="n">
        <v>0</v>
      </c>
      <c r="T24" s="0" t="s">
        <v>624</v>
      </c>
      <c r="U24" s="0" t="s">
        <v>150</v>
      </c>
      <c r="V24" s="0" t="s">
        <v>624</v>
      </c>
      <c r="W24" s="0" t="s">
        <v>569</v>
      </c>
      <c r="X24" s="0" t="s">
        <v>624</v>
      </c>
      <c r="Y24" s="0" t="s">
        <v>627</v>
      </c>
      <c r="Z24" s="0" t="s">
        <v>629</v>
      </c>
      <c r="AA24" s="0" t="s">
        <v>624</v>
      </c>
      <c r="AB24" s="0" t="s">
        <v>132</v>
      </c>
      <c r="AC24" s="254" t="n">
        <v>310000</v>
      </c>
      <c r="AD24" s="254" t="n">
        <v>5563.65088526977</v>
      </c>
      <c r="AE24" s="0" t="n">
        <v>0</v>
      </c>
      <c r="AF24" s="0" t="n">
        <v>0</v>
      </c>
      <c r="AG24" s="0" t="n">
        <v>0</v>
      </c>
      <c r="AH24" s="254" t="n">
        <v>282.867519158564</v>
      </c>
      <c r="AI24" s="0" t="n">
        <v>226</v>
      </c>
      <c r="AJ24" s="0" t="s">
        <v>630</v>
      </c>
      <c r="AK24" s="0" t="n">
        <v>0</v>
      </c>
      <c r="AL24" s="0" t="n">
        <v>0</v>
      </c>
      <c r="AM24" s="0" t="n">
        <v>0</v>
      </c>
    </row>
    <row r="25" customFormat="false" ht="12.75" hidden="false" customHeight="false" outlineLevel="0" collapsed="false">
      <c r="A25" s="0" t="s">
        <v>621</v>
      </c>
      <c r="B25" s="0" t="s">
        <v>205</v>
      </c>
      <c r="C25" s="0" t="s">
        <v>622</v>
      </c>
      <c r="D25" s="0" t="s">
        <v>623</v>
      </c>
      <c r="E25" s="0" t="s">
        <v>131</v>
      </c>
      <c r="F25" s="0" t="s">
        <v>204</v>
      </c>
      <c r="G25" s="0" t="s">
        <v>628</v>
      </c>
      <c r="H25" s="0" t="s">
        <v>625</v>
      </c>
      <c r="I25" s="0" t="s">
        <v>626</v>
      </c>
      <c r="J25" s="0" t="s">
        <v>627</v>
      </c>
      <c r="K25" s="475" t="n">
        <v>36923</v>
      </c>
      <c r="L25" s="254" t="n">
        <v>26279.5557959811</v>
      </c>
      <c r="M25" s="475" t="n">
        <v>36921</v>
      </c>
      <c r="N25" s="0" t="s">
        <v>136</v>
      </c>
      <c r="O25" s="0" t="n">
        <v>0.33</v>
      </c>
      <c r="P25" s="0" t="n">
        <v>0</v>
      </c>
      <c r="Q25" s="0" t="n">
        <v>0</v>
      </c>
      <c r="R25" s="0" t="n">
        <v>0</v>
      </c>
      <c r="S25" s="0" t="n">
        <v>0</v>
      </c>
      <c r="T25" s="0" t="s">
        <v>624</v>
      </c>
      <c r="U25" s="0" t="s">
        <v>150</v>
      </c>
      <c r="V25" s="0" t="s">
        <v>624</v>
      </c>
      <c r="W25" s="0" t="s">
        <v>569</v>
      </c>
      <c r="X25" s="0" t="s">
        <v>624</v>
      </c>
      <c r="Y25" s="0" t="s">
        <v>627</v>
      </c>
      <c r="Z25" s="0" t="s">
        <v>629</v>
      </c>
      <c r="AA25" s="0" t="s">
        <v>624</v>
      </c>
      <c r="AB25" s="0" t="s">
        <v>132</v>
      </c>
      <c r="AC25" s="254" t="n">
        <v>280000</v>
      </c>
      <c r="AD25" s="254" t="n">
        <v>5301.21364348065</v>
      </c>
      <c r="AE25" s="0" t="n">
        <v>0</v>
      </c>
      <c r="AF25" s="0" t="n">
        <v>0</v>
      </c>
      <c r="AG25" s="0" t="n">
        <v>0</v>
      </c>
      <c r="AH25" s="254" t="n">
        <v>254.378518751197</v>
      </c>
      <c r="AI25" s="0" t="n">
        <v>226</v>
      </c>
      <c r="AJ25" s="0" t="s">
        <v>630</v>
      </c>
      <c r="AK25" s="0" t="n">
        <v>0</v>
      </c>
      <c r="AL25" s="0" t="n">
        <v>0</v>
      </c>
      <c r="AM25" s="0" t="n">
        <v>0</v>
      </c>
    </row>
    <row r="26" customFormat="false" ht="12.75" hidden="false" customHeight="false" outlineLevel="0" collapsed="false">
      <c r="A26" s="0" t="s">
        <v>621</v>
      </c>
      <c r="B26" s="0" t="s">
        <v>205</v>
      </c>
      <c r="C26" s="0" t="s">
        <v>622</v>
      </c>
      <c r="D26" s="0" t="s">
        <v>623</v>
      </c>
      <c r="E26" s="0" t="s">
        <v>131</v>
      </c>
      <c r="F26" s="0" t="s">
        <v>204</v>
      </c>
      <c r="G26" s="0" t="s">
        <v>628</v>
      </c>
      <c r="H26" s="0" t="s">
        <v>625</v>
      </c>
      <c r="I26" s="0" t="s">
        <v>626</v>
      </c>
      <c r="J26" s="0" t="s">
        <v>627</v>
      </c>
      <c r="K26" s="475" t="n">
        <v>36892</v>
      </c>
      <c r="L26" s="254" t="n">
        <v>28095.2502225027</v>
      </c>
      <c r="M26" s="475" t="n">
        <v>36888</v>
      </c>
      <c r="N26" s="0" t="s">
        <v>136</v>
      </c>
      <c r="O26" s="0" t="n">
        <v>0.33</v>
      </c>
      <c r="P26" s="0" t="n">
        <v>0</v>
      </c>
      <c r="Q26" s="0" t="n">
        <v>0</v>
      </c>
      <c r="R26" s="0" t="n">
        <v>0</v>
      </c>
      <c r="S26" s="0" t="n">
        <v>0</v>
      </c>
      <c r="T26" s="0" t="s">
        <v>624</v>
      </c>
      <c r="U26" s="0" t="s">
        <v>150</v>
      </c>
      <c r="V26" s="0" t="s">
        <v>624</v>
      </c>
      <c r="W26" s="0" t="s">
        <v>569</v>
      </c>
      <c r="X26" s="0" t="s">
        <v>624</v>
      </c>
      <c r="Y26" s="0" t="s">
        <v>627</v>
      </c>
      <c r="Z26" s="0" t="s">
        <v>629</v>
      </c>
      <c r="AA26" s="0" t="s">
        <v>624</v>
      </c>
      <c r="AB26" s="0" t="s">
        <v>132</v>
      </c>
      <c r="AC26" s="254" t="n">
        <v>310000</v>
      </c>
      <c r="AD26" s="254" t="n">
        <v>5395.21568664897</v>
      </c>
      <c r="AE26" s="0" t="n">
        <v>0</v>
      </c>
      <c r="AF26" s="0" t="n">
        <v>0</v>
      </c>
      <c r="AG26" s="0" t="n">
        <v>0</v>
      </c>
      <c r="AH26" s="254" t="n">
        <v>259.626266490133</v>
      </c>
      <c r="AI26" s="0" t="n">
        <v>226</v>
      </c>
      <c r="AJ26" s="0" t="s">
        <v>630</v>
      </c>
      <c r="AK26" s="0" t="n">
        <v>0</v>
      </c>
      <c r="AL26" s="0" t="n">
        <v>0</v>
      </c>
      <c r="AM26" s="0" t="n">
        <v>0</v>
      </c>
    </row>
    <row r="27" customFormat="false" ht="12.75" hidden="false" customHeight="false" outlineLevel="0" collapsed="false">
      <c r="A27" s="0" t="s">
        <v>621</v>
      </c>
      <c r="B27" s="0" t="s">
        <v>205</v>
      </c>
      <c r="C27" s="0" t="s">
        <v>622</v>
      </c>
      <c r="D27" s="0" t="s">
        <v>623</v>
      </c>
      <c r="E27" s="0" t="s">
        <v>131</v>
      </c>
      <c r="F27" s="0" t="s">
        <v>204</v>
      </c>
      <c r="G27" s="0" t="s">
        <v>628</v>
      </c>
      <c r="H27" s="0" t="s">
        <v>625</v>
      </c>
      <c r="I27" s="0" t="s">
        <v>626</v>
      </c>
      <c r="J27" s="0" t="s">
        <v>627</v>
      </c>
      <c r="K27" s="475" t="n">
        <v>36861</v>
      </c>
      <c r="L27" s="254" t="n">
        <v>23452.8444098174</v>
      </c>
      <c r="M27" s="475" t="n">
        <v>36859</v>
      </c>
      <c r="N27" s="0" t="s">
        <v>136</v>
      </c>
      <c r="O27" s="0" t="n">
        <v>0.33</v>
      </c>
      <c r="P27" s="0" t="n">
        <v>0</v>
      </c>
      <c r="Q27" s="0" t="n">
        <v>0</v>
      </c>
      <c r="R27" s="0" t="n">
        <v>0</v>
      </c>
      <c r="S27" s="0" t="n">
        <v>0</v>
      </c>
      <c r="T27" s="0" t="s">
        <v>624</v>
      </c>
      <c r="U27" s="0" t="s">
        <v>150</v>
      </c>
      <c r="V27" s="0" t="s">
        <v>624</v>
      </c>
      <c r="W27" s="0" t="s">
        <v>569</v>
      </c>
      <c r="X27" s="0" t="s">
        <v>624</v>
      </c>
      <c r="Y27" s="0" t="s">
        <v>627</v>
      </c>
      <c r="Z27" s="0" t="s">
        <v>629</v>
      </c>
      <c r="AA27" s="0" t="s">
        <v>624</v>
      </c>
      <c r="AB27" s="0" t="s">
        <v>132</v>
      </c>
      <c r="AC27" s="254" t="n">
        <v>310000</v>
      </c>
      <c r="AD27" s="254" t="n">
        <v>4683.931960466</v>
      </c>
      <c r="AE27" s="0" t="n">
        <v>0</v>
      </c>
      <c r="AF27" s="0" t="n">
        <v>0</v>
      </c>
      <c r="AG27" s="0" t="n">
        <v>0</v>
      </c>
      <c r="AH27" s="254" t="n">
        <v>235.662685247538</v>
      </c>
      <c r="AI27" s="0" t="n">
        <v>226</v>
      </c>
      <c r="AJ27" s="0" t="s">
        <v>630</v>
      </c>
      <c r="AK27" s="0" t="n">
        <v>0</v>
      </c>
      <c r="AL27" s="0" t="n">
        <v>0</v>
      </c>
      <c r="AM27" s="0" t="n">
        <v>0</v>
      </c>
    </row>
    <row r="28" customFormat="false" ht="12.75" hidden="false" customHeight="false" outlineLevel="0" collapsed="false">
      <c r="A28" s="0" t="s">
        <v>621</v>
      </c>
      <c r="B28" s="0" t="s">
        <v>205</v>
      </c>
      <c r="C28" s="0" t="s">
        <v>622</v>
      </c>
      <c r="D28" s="0" t="s">
        <v>623</v>
      </c>
      <c r="E28" s="0" t="s">
        <v>131</v>
      </c>
      <c r="F28" s="0" t="s">
        <v>204</v>
      </c>
      <c r="G28" s="0" t="s">
        <v>628</v>
      </c>
      <c r="H28" s="0" t="s">
        <v>625</v>
      </c>
      <c r="I28" s="0" t="s">
        <v>626</v>
      </c>
      <c r="J28" s="0" t="s">
        <v>627</v>
      </c>
      <c r="K28" s="475" t="n">
        <v>36831</v>
      </c>
      <c r="L28" s="254" t="n">
        <v>13944.933442901</v>
      </c>
      <c r="M28" s="475" t="n">
        <v>36829</v>
      </c>
      <c r="N28" s="0" t="s">
        <v>136</v>
      </c>
      <c r="O28" s="0" t="n">
        <v>0.33</v>
      </c>
      <c r="P28" s="0" t="n">
        <v>0</v>
      </c>
      <c r="Q28" s="0" t="n">
        <v>0</v>
      </c>
      <c r="R28" s="0" t="n">
        <v>0</v>
      </c>
      <c r="S28" s="0" t="n">
        <v>0</v>
      </c>
      <c r="T28" s="0" t="s">
        <v>624</v>
      </c>
      <c r="U28" s="0" t="s">
        <v>150</v>
      </c>
      <c r="V28" s="0" t="s">
        <v>624</v>
      </c>
      <c r="W28" s="0" t="s">
        <v>569</v>
      </c>
      <c r="X28" s="0" t="s">
        <v>624</v>
      </c>
      <c r="Y28" s="0" t="s">
        <v>627</v>
      </c>
      <c r="Z28" s="0" t="s">
        <v>629</v>
      </c>
      <c r="AA28" s="0" t="s">
        <v>624</v>
      </c>
      <c r="AB28" s="0" t="s">
        <v>132</v>
      </c>
      <c r="AC28" s="254" t="n">
        <v>300000</v>
      </c>
      <c r="AD28" s="254" t="n">
        <v>3549.42311354687</v>
      </c>
      <c r="AE28" s="0" t="n">
        <v>0</v>
      </c>
      <c r="AF28" s="0" t="n">
        <v>0</v>
      </c>
      <c r="AG28" s="0" t="n">
        <v>0</v>
      </c>
      <c r="AH28" s="254" t="n">
        <v>190.902276072358</v>
      </c>
      <c r="AI28" s="0" t="n">
        <v>226</v>
      </c>
      <c r="AJ28" s="0" t="s">
        <v>630</v>
      </c>
      <c r="AK28" s="0" t="n">
        <v>0</v>
      </c>
      <c r="AL28" s="0" t="n">
        <v>0</v>
      </c>
      <c r="AM28" s="0" t="n">
        <v>0</v>
      </c>
    </row>
    <row r="29" customFormat="false" ht="12.75" hidden="false" customHeight="false" outlineLevel="0" collapsed="false">
      <c r="A29" s="0" t="s">
        <v>621</v>
      </c>
      <c r="B29" s="0" t="s">
        <v>207</v>
      </c>
      <c r="C29" s="0" t="s">
        <v>622</v>
      </c>
      <c r="D29" s="0" t="s">
        <v>623</v>
      </c>
      <c r="E29" s="0" t="s">
        <v>131</v>
      </c>
      <c r="F29" s="0" t="s">
        <v>206</v>
      </c>
      <c r="G29" s="0" t="s">
        <v>628</v>
      </c>
      <c r="H29" s="0" t="s">
        <v>625</v>
      </c>
      <c r="I29" s="0" t="s">
        <v>626</v>
      </c>
      <c r="J29" s="0" t="s">
        <v>627</v>
      </c>
      <c r="K29" s="475" t="n">
        <v>36831</v>
      </c>
      <c r="L29" s="254" t="n">
        <v>153392.007475054</v>
      </c>
      <c r="M29" s="475" t="n">
        <v>36829</v>
      </c>
      <c r="N29" s="0" t="s">
        <v>136</v>
      </c>
      <c r="O29" s="0" t="n">
        <v>1</v>
      </c>
      <c r="P29" s="0" t="n">
        <v>0</v>
      </c>
      <c r="Q29" s="0" t="n">
        <v>0</v>
      </c>
      <c r="R29" s="0" t="n">
        <v>0</v>
      </c>
      <c r="S29" s="0" t="n">
        <v>0</v>
      </c>
      <c r="T29" s="0" t="s">
        <v>624</v>
      </c>
      <c r="U29" s="0" t="s">
        <v>149</v>
      </c>
      <c r="V29" s="0" t="s">
        <v>624</v>
      </c>
      <c r="W29" s="0" t="s">
        <v>569</v>
      </c>
      <c r="X29" s="0" t="s">
        <v>624</v>
      </c>
      <c r="Y29" s="0" t="s">
        <v>627</v>
      </c>
      <c r="Z29" s="0" t="s">
        <v>629</v>
      </c>
      <c r="AA29" s="0" t="s">
        <v>624</v>
      </c>
      <c r="AB29" s="0" t="s">
        <v>132</v>
      </c>
      <c r="AC29" s="254" t="n">
        <v>900000</v>
      </c>
      <c r="AD29" s="254" t="n">
        <v>37632.5184093709</v>
      </c>
      <c r="AE29" s="0" t="n">
        <v>0</v>
      </c>
      <c r="AF29" s="0" t="n">
        <v>0</v>
      </c>
      <c r="AG29" s="0" t="n">
        <v>0</v>
      </c>
      <c r="AH29" s="254" t="n">
        <v>15599.7660569336</v>
      </c>
      <c r="AI29" s="0" t="n">
        <v>226</v>
      </c>
      <c r="AJ29" s="0" t="s">
        <v>630</v>
      </c>
      <c r="AK29" s="0" t="n">
        <v>0</v>
      </c>
      <c r="AL29" s="0" t="n">
        <v>0</v>
      </c>
      <c r="AM29" s="0" t="n">
        <v>0</v>
      </c>
    </row>
    <row r="30" customFormat="false" ht="12.75" hidden="false" customHeight="false" outlineLevel="0" collapsed="false">
      <c r="A30" s="0" t="s">
        <v>621</v>
      </c>
      <c r="B30" s="0" t="s">
        <v>209</v>
      </c>
      <c r="C30" s="0" t="s">
        <v>622</v>
      </c>
      <c r="D30" s="0" t="s">
        <v>623</v>
      </c>
      <c r="E30" s="0" t="s">
        <v>131</v>
      </c>
      <c r="F30" s="0" t="s">
        <v>208</v>
      </c>
      <c r="G30" s="0" t="s">
        <v>628</v>
      </c>
      <c r="H30" s="0" t="s">
        <v>625</v>
      </c>
      <c r="I30" s="0" t="s">
        <v>626</v>
      </c>
      <c r="J30" s="0" t="s">
        <v>627</v>
      </c>
      <c r="K30" s="475" t="n">
        <v>36831</v>
      </c>
      <c r="L30" s="254" t="n">
        <v>36813.0355660425</v>
      </c>
      <c r="M30" s="475" t="n">
        <v>36829</v>
      </c>
      <c r="N30" s="0" t="s">
        <v>132</v>
      </c>
      <c r="O30" s="0" t="n">
        <v>0.45</v>
      </c>
      <c r="P30" s="0" t="n">
        <v>0</v>
      </c>
      <c r="Q30" s="0" t="n">
        <v>0</v>
      </c>
      <c r="R30" s="0" t="n">
        <v>0</v>
      </c>
      <c r="S30" s="0" t="n">
        <v>0</v>
      </c>
      <c r="T30" s="0" t="s">
        <v>624</v>
      </c>
      <c r="U30" s="0" t="s">
        <v>149</v>
      </c>
      <c r="V30" s="0" t="s">
        <v>624</v>
      </c>
      <c r="W30" s="0" t="s">
        <v>569</v>
      </c>
      <c r="X30" s="0" t="s">
        <v>624</v>
      </c>
      <c r="Y30" s="0" t="s">
        <v>627</v>
      </c>
      <c r="Z30" s="0" t="s">
        <v>629</v>
      </c>
      <c r="AA30" s="0" t="s">
        <v>624</v>
      </c>
      <c r="AB30" s="0" t="s">
        <v>132</v>
      </c>
      <c r="AC30" s="254" t="n">
        <v>300000</v>
      </c>
      <c r="AD30" s="254" t="n">
        <v>12219.3017145426</v>
      </c>
      <c r="AE30" s="0" t="n">
        <v>0</v>
      </c>
      <c r="AF30" s="0" t="n">
        <v>0</v>
      </c>
      <c r="AG30" s="0" t="n">
        <v>0</v>
      </c>
      <c r="AH30" s="254" t="n">
        <v>-2865.75856393112</v>
      </c>
      <c r="AI30" s="0" t="n">
        <v>226</v>
      </c>
      <c r="AJ30" s="0" t="s">
        <v>630</v>
      </c>
      <c r="AK30" s="0" t="n">
        <v>0</v>
      </c>
      <c r="AL30" s="0" t="n">
        <v>0</v>
      </c>
      <c r="AM30" s="0" t="n">
        <v>0</v>
      </c>
    </row>
    <row r="31" customFormat="false" ht="12.75" hidden="false" customHeight="false" outlineLevel="0" collapsed="false">
      <c r="A31" s="0" t="s">
        <v>621</v>
      </c>
      <c r="B31" s="0" t="s">
        <v>211</v>
      </c>
      <c r="C31" s="0" t="s">
        <v>622</v>
      </c>
      <c r="D31" s="0" t="s">
        <v>623</v>
      </c>
      <c r="E31" s="0" t="s">
        <v>131</v>
      </c>
      <c r="F31" s="0" t="s">
        <v>210</v>
      </c>
      <c r="G31" s="0" t="s">
        <v>628</v>
      </c>
      <c r="H31" s="0" t="s">
        <v>625</v>
      </c>
      <c r="I31" s="0" t="s">
        <v>626</v>
      </c>
      <c r="J31" s="0" t="s">
        <v>627</v>
      </c>
      <c r="K31" s="475" t="n">
        <v>36831</v>
      </c>
      <c r="L31" s="254" t="n">
        <v>110439.106698127</v>
      </c>
      <c r="M31" s="475" t="n">
        <v>36829</v>
      </c>
      <c r="N31" s="0" t="s">
        <v>132</v>
      </c>
      <c r="O31" s="0" t="n">
        <v>0.45</v>
      </c>
      <c r="P31" s="0" t="n">
        <v>0</v>
      </c>
      <c r="Q31" s="0" t="n">
        <v>0</v>
      </c>
      <c r="R31" s="0" t="n">
        <v>0</v>
      </c>
      <c r="S31" s="0" t="n">
        <v>0</v>
      </c>
      <c r="T31" s="0" t="s">
        <v>624</v>
      </c>
      <c r="U31" s="0" t="s">
        <v>149</v>
      </c>
      <c r="V31" s="0" t="s">
        <v>624</v>
      </c>
      <c r="W31" s="0" t="s">
        <v>569</v>
      </c>
      <c r="X31" s="0" t="s">
        <v>624</v>
      </c>
      <c r="Y31" s="0" t="s">
        <v>627</v>
      </c>
      <c r="Z31" s="0" t="s">
        <v>629</v>
      </c>
      <c r="AA31" s="0" t="s">
        <v>624</v>
      </c>
      <c r="AB31" s="0" t="s">
        <v>132</v>
      </c>
      <c r="AC31" s="254" t="n">
        <v>900000</v>
      </c>
      <c r="AD31" s="254" t="n">
        <v>36657.9051436278</v>
      </c>
      <c r="AE31" s="0" t="n">
        <v>0</v>
      </c>
      <c r="AF31" s="0" t="n">
        <v>0</v>
      </c>
      <c r="AG31" s="0" t="n">
        <v>0</v>
      </c>
      <c r="AH31" s="254" t="n">
        <v>-8597.27569179336</v>
      </c>
      <c r="AI31" s="0" t="n">
        <v>226</v>
      </c>
      <c r="AJ31" s="0" t="s">
        <v>630</v>
      </c>
      <c r="AK31" s="0" t="n">
        <v>0</v>
      </c>
      <c r="AL31" s="0" t="n">
        <v>0</v>
      </c>
      <c r="AM31" s="0" t="n">
        <v>0</v>
      </c>
    </row>
    <row r="32" customFormat="false" ht="12.75" hidden="false" customHeight="false" outlineLevel="0" collapsed="false">
      <c r="A32" s="0" t="s">
        <v>621</v>
      </c>
      <c r="B32" s="0" t="s">
        <v>213</v>
      </c>
      <c r="C32" s="0" t="s">
        <v>622</v>
      </c>
      <c r="D32" s="0" t="s">
        <v>623</v>
      </c>
      <c r="E32" s="0" t="s">
        <v>131</v>
      </c>
      <c r="F32" s="0" t="s">
        <v>212</v>
      </c>
      <c r="G32" s="0" t="s">
        <v>628</v>
      </c>
      <c r="H32" s="0" t="s">
        <v>625</v>
      </c>
      <c r="I32" s="0" t="s">
        <v>626</v>
      </c>
      <c r="J32" s="0" t="s">
        <v>627</v>
      </c>
      <c r="K32" s="475" t="n">
        <v>36831</v>
      </c>
      <c r="L32" s="254" t="n">
        <v>184065.177830212</v>
      </c>
      <c r="M32" s="475" t="n">
        <v>36829</v>
      </c>
      <c r="N32" s="0" t="s">
        <v>132</v>
      </c>
      <c r="O32" s="0" t="n">
        <v>0.45</v>
      </c>
      <c r="P32" s="0" t="n">
        <v>0</v>
      </c>
      <c r="Q32" s="0" t="n">
        <v>0</v>
      </c>
      <c r="R32" s="0" t="n">
        <v>0</v>
      </c>
      <c r="S32" s="0" t="n">
        <v>0</v>
      </c>
      <c r="T32" s="0" t="s">
        <v>624</v>
      </c>
      <c r="U32" s="0" t="s">
        <v>149</v>
      </c>
      <c r="V32" s="0" t="s">
        <v>624</v>
      </c>
      <c r="W32" s="0" t="s">
        <v>569</v>
      </c>
      <c r="X32" s="0" t="s">
        <v>624</v>
      </c>
      <c r="Y32" s="0" t="s">
        <v>627</v>
      </c>
      <c r="Z32" s="0" t="s">
        <v>629</v>
      </c>
      <c r="AA32" s="0" t="s">
        <v>624</v>
      </c>
      <c r="AB32" s="0" t="s">
        <v>132</v>
      </c>
      <c r="AC32" s="254" t="n">
        <v>1500000</v>
      </c>
      <c r="AD32" s="254" t="n">
        <v>61096.508572713</v>
      </c>
      <c r="AE32" s="0" t="n">
        <v>0</v>
      </c>
      <c r="AF32" s="0" t="n">
        <v>0</v>
      </c>
      <c r="AG32" s="0" t="n">
        <v>0</v>
      </c>
      <c r="AH32" s="254" t="n">
        <v>-14328.7928196556</v>
      </c>
      <c r="AI32" s="0" t="n">
        <v>226</v>
      </c>
      <c r="AJ32" s="0" t="s">
        <v>630</v>
      </c>
      <c r="AK32" s="0" t="n">
        <v>0</v>
      </c>
      <c r="AL32" s="0" t="n">
        <v>0</v>
      </c>
      <c r="AM32" s="0" t="n">
        <v>0</v>
      </c>
    </row>
    <row r="33" customFormat="false" ht="12.75" hidden="false" customHeight="false" outlineLevel="0" collapsed="false">
      <c r="A33" s="0" t="s">
        <v>621</v>
      </c>
      <c r="B33" s="0" t="s">
        <v>214</v>
      </c>
      <c r="C33" s="0" t="s">
        <v>622</v>
      </c>
      <c r="D33" s="0" t="s">
        <v>623</v>
      </c>
      <c r="E33" s="0" t="s">
        <v>131</v>
      </c>
      <c r="F33" s="0" t="s">
        <v>206</v>
      </c>
      <c r="G33" s="0" t="s">
        <v>628</v>
      </c>
      <c r="H33" s="0" t="s">
        <v>625</v>
      </c>
      <c r="I33" s="0" t="s">
        <v>626</v>
      </c>
      <c r="J33" s="0" t="s">
        <v>627</v>
      </c>
      <c r="K33" s="475" t="n">
        <v>36951</v>
      </c>
      <c r="L33" s="254" t="n">
        <v>544946.369830862</v>
      </c>
      <c r="M33" s="475" t="n">
        <v>36949</v>
      </c>
      <c r="N33" s="0" t="s">
        <v>215</v>
      </c>
      <c r="O33" s="0" t="n">
        <v>1.25</v>
      </c>
      <c r="P33" s="0" t="n">
        <v>0</v>
      </c>
      <c r="Q33" s="0" t="n">
        <v>0</v>
      </c>
      <c r="R33" s="0" t="n">
        <v>0</v>
      </c>
      <c r="S33" s="0" t="n">
        <v>0</v>
      </c>
      <c r="T33" s="0" t="s">
        <v>624</v>
      </c>
      <c r="U33" s="0" t="s">
        <v>149</v>
      </c>
      <c r="V33" s="0" t="s">
        <v>624</v>
      </c>
      <c r="W33" s="0" t="s">
        <v>569</v>
      </c>
      <c r="X33" s="0" t="s">
        <v>624</v>
      </c>
      <c r="Y33" s="0" t="s">
        <v>627</v>
      </c>
      <c r="Z33" s="0" t="s">
        <v>629</v>
      </c>
      <c r="AA33" s="0" t="s">
        <v>624</v>
      </c>
      <c r="AB33" s="0" t="s">
        <v>132</v>
      </c>
      <c r="AC33" s="254" t="n">
        <v>1240000</v>
      </c>
      <c r="AD33" s="254" t="n">
        <v>108135.68292497</v>
      </c>
      <c r="AE33" s="0" t="n">
        <v>0</v>
      </c>
      <c r="AF33" s="0" t="n">
        <v>0</v>
      </c>
      <c r="AG33" s="0" t="n">
        <v>0</v>
      </c>
      <c r="AH33" s="254" t="n">
        <v>40752.6608324178</v>
      </c>
      <c r="AI33" s="0" t="n">
        <v>226</v>
      </c>
      <c r="AJ33" s="0" t="s">
        <v>630</v>
      </c>
      <c r="AK33" s="0" t="n">
        <v>0</v>
      </c>
      <c r="AL33" s="0" t="n">
        <v>0</v>
      </c>
      <c r="AM33" s="0" t="n">
        <v>0</v>
      </c>
    </row>
    <row r="34" customFormat="false" ht="12.75" hidden="false" customHeight="false" outlineLevel="0" collapsed="false">
      <c r="A34" s="0" t="s">
        <v>621</v>
      </c>
      <c r="B34" s="0" t="s">
        <v>217</v>
      </c>
      <c r="C34" s="0" t="s">
        <v>622</v>
      </c>
      <c r="D34" s="0" t="s">
        <v>623</v>
      </c>
      <c r="E34" s="0" t="s">
        <v>131</v>
      </c>
      <c r="F34" s="0" t="s">
        <v>216</v>
      </c>
      <c r="G34" s="0" t="s">
        <v>628</v>
      </c>
      <c r="H34" s="0" t="s">
        <v>625</v>
      </c>
      <c r="I34" s="0" t="s">
        <v>626</v>
      </c>
      <c r="J34" s="0" t="s">
        <v>627</v>
      </c>
      <c r="K34" s="475" t="n">
        <v>36951</v>
      </c>
      <c r="L34" s="254" t="n">
        <v>-136236.592457716</v>
      </c>
      <c r="M34" s="475" t="n">
        <v>36949</v>
      </c>
      <c r="N34" s="0" t="s">
        <v>136</v>
      </c>
      <c r="O34" s="0" t="n">
        <v>1.25</v>
      </c>
      <c r="P34" s="0" t="n">
        <v>0</v>
      </c>
      <c r="Q34" s="0" t="n">
        <v>0</v>
      </c>
      <c r="R34" s="0" t="n">
        <v>0</v>
      </c>
      <c r="S34" s="0" t="n">
        <v>0</v>
      </c>
      <c r="T34" s="0" t="s">
        <v>624</v>
      </c>
      <c r="U34" s="0" t="s">
        <v>149</v>
      </c>
      <c r="V34" s="0" t="s">
        <v>624</v>
      </c>
      <c r="W34" s="0" t="s">
        <v>569</v>
      </c>
      <c r="X34" s="0" t="s">
        <v>624</v>
      </c>
      <c r="Y34" s="0" t="s">
        <v>627</v>
      </c>
      <c r="Z34" s="0" t="s">
        <v>629</v>
      </c>
      <c r="AA34" s="0" t="s">
        <v>624</v>
      </c>
      <c r="AB34" s="0" t="s">
        <v>132</v>
      </c>
      <c r="AC34" s="254" t="n">
        <v>-310000</v>
      </c>
      <c r="AD34" s="254" t="n">
        <v>-27033.9207312425</v>
      </c>
      <c r="AE34" s="0" t="n">
        <v>0</v>
      </c>
      <c r="AF34" s="0" t="n">
        <v>0</v>
      </c>
      <c r="AG34" s="0" t="n">
        <v>0</v>
      </c>
      <c r="AH34" s="254" t="n">
        <v>-10188.1652081044</v>
      </c>
      <c r="AI34" s="0" t="n">
        <v>226</v>
      </c>
      <c r="AJ34" s="0" t="s">
        <v>630</v>
      </c>
      <c r="AK34" s="0" t="n">
        <v>0</v>
      </c>
      <c r="AL34" s="0" t="n">
        <v>0</v>
      </c>
      <c r="AM34" s="0" t="n">
        <v>0</v>
      </c>
    </row>
    <row r="35" customFormat="false" ht="12.75" hidden="false" customHeight="false" outlineLevel="0" collapsed="false">
      <c r="A35" s="0" t="s">
        <v>621</v>
      </c>
      <c r="B35" s="0" t="s">
        <v>219</v>
      </c>
      <c r="C35" s="0" t="s">
        <v>622</v>
      </c>
      <c r="D35" s="0" t="s">
        <v>623</v>
      </c>
      <c r="E35" s="0" t="s">
        <v>131</v>
      </c>
      <c r="F35" s="0" t="s">
        <v>218</v>
      </c>
      <c r="G35" s="0" t="s">
        <v>628</v>
      </c>
      <c r="H35" s="0" t="s">
        <v>625</v>
      </c>
      <c r="I35" s="0" t="s">
        <v>626</v>
      </c>
      <c r="J35" s="0" t="s">
        <v>627</v>
      </c>
      <c r="K35" s="475" t="n">
        <v>36800</v>
      </c>
      <c r="L35" s="254" t="n">
        <v>7066.6235968552</v>
      </c>
      <c r="M35" s="475" t="n">
        <v>36797</v>
      </c>
      <c r="N35" s="0" t="s">
        <v>136</v>
      </c>
      <c r="O35" s="0" t="n">
        <v>-0.32</v>
      </c>
      <c r="P35" s="0" t="n">
        <v>0</v>
      </c>
      <c r="Q35" s="0" t="n">
        <v>0</v>
      </c>
      <c r="R35" s="0" t="n">
        <v>0</v>
      </c>
      <c r="S35" s="0" t="n">
        <v>0</v>
      </c>
      <c r="T35" s="0" t="s">
        <v>624</v>
      </c>
      <c r="U35" s="0" t="s">
        <v>151</v>
      </c>
      <c r="V35" s="0" t="s">
        <v>624</v>
      </c>
      <c r="W35" s="0" t="s">
        <v>569</v>
      </c>
      <c r="X35" s="0" t="s">
        <v>624</v>
      </c>
      <c r="Y35" s="0" t="s">
        <v>627</v>
      </c>
      <c r="Z35" s="0" t="s">
        <v>629</v>
      </c>
      <c r="AA35" s="0" t="s">
        <v>624</v>
      </c>
      <c r="AB35" s="0" t="s">
        <v>132</v>
      </c>
      <c r="AC35" s="254" t="n">
        <v>310000</v>
      </c>
      <c r="AD35" s="254" t="n">
        <v>5556.46592316229</v>
      </c>
      <c r="AE35" s="0" t="n">
        <v>0</v>
      </c>
      <c r="AF35" s="0" t="n">
        <v>0</v>
      </c>
      <c r="AG35" s="0" t="n">
        <v>0</v>
      </c>
      <c r="AH35" s="254" t="n">
        <v>-2595.06928209068</v>
      </c>
      <c r="AI35" s="0" t="n">
        <v>226</v>
      </c>
      <c r="AJ35" s="0" t="s">
        <v>630</v>
      </c>
      <c r="AK35" s="0" t="n">
        <v>0</v>
      </c>
      <c r="AL35" s="0" t="n">
        <v>0</v>
      </c>
      <c r="AM35" s="0" t="n">
        <v>0</v>
      </c>
    </row>
    <row r="36" customFormat="false" ht="12.75" hidden="false" customHeight="false" outlineLevel="0" collapsed="false">
      <c r="A36" s="0" t="s">
        <v>621</v>
      </c>
      <c r="B36" s="0" t="s">
        <v>219</v>
      </c>
      <c r="C36" s="0" t="s">
        <v>622</v>
      </c>
      <c r="D36" s="0" t="s">
        <v>623</v>
      </c>
      <c r="E36" s="0" t="s">
        <v>131</v>
      </c>
      <c r="F36" s="0" t="s">
        <v>218</v>
      </c>
      <c r="G36" s="0" t="s">
        <v>628</v>
      </c>
      <c r="H36" s="0" t="s">
        <v>625</v>
      </c>
      <c r="I36" s="0" t="s">
        <v>626</v>
      </c>
      <c r="J36" s="0" t="s">
        <v>627</v>
      </c>
      <c r="K36" s="475" t="n">
        <v>36770</v>
      </c>
      <c r="L36" s="254" t="n">
        <v>0.0361732286957572</v>
      </c>
      <c r="M36" s="475" t="n">
        <v>36768</v>
      </c>
      <c r="N36" s="0" t="s">
        <v>136</v>
      </c>
      <c r="O36" s="0" t="n">
        <v>-0.32</v>
      </c>
      <c r="P36" s="0" t="n">
        <v>0</v>
      </c>
      <c r="Q36" s="0" t="n">
        <v>0</v>
      </c>
      <c r="R36" s="0" t="n">
        <v>0</v>
      </c>
      <c r="S36" s="0" t="n">
        <v>0</v>
      </c>
      <c r="T36" s="0" t="s">
        <v>624</v>
      </c>
      <c r="U36" s="0" t="s">
        <v>151</v>
      </c>
      <c r="V36" s="0" t="s">
        <v>624</v>
      </c>
      <c r="W36" s="0" t="s">
        <v>569</v>
      </c>
      <c r="X36" s="0" t="s">
        <v>624</v>
      </c>
      <c r="Y36" s="0" t="s">
        <v>627</v>
      </c>
      <c r="Z36" s="0" t="s">
        <v>629</v>
      </c>
      <c r="AA36" s="0" t="s">
        <v>624</v>
      </c>
      <c r="AB36" s="0" t="s">
        <v>132</v>
      </c>
      <c r="AC36" s="254" t="n">
        <v>300000</v>
      </c>
      <c r="AD36" s="254" t="n">
        <v>-0.0115735644401482</v>
      </c>
      <c r="AE36" s="0" t="n">
        <v>0</v>
      </c>
      <c r="AF36" s="0" t="n">
        <v>0</v>
      </c>
      <c r="AG36" s="0" t="n">
        <v>0</v>
      </c>
      <c r="AH36" s="254" t="n">
        <v>0.00235167432194316</v>
      </c>
      <c r="AI36" s="0" t="n">
        <v>226</v>
      </c>
      <c r="AJ36" s="0" t="s">
        <v>630</v>
      </c>
      <c r="AK36" s="0" t="n">
        <v>0</v>
      </c>
      <c r="AL36" s="0" t="n">
        <v>0</v>
      </c>
      <c r="AM36" s="0" t="n">
        <v>0</v>
      </c>
    </row>
    <row r="37" customFormat="false" ht="12.75" hidden="false" customHeight="false" outlineLevel="0" collapsed="false">
      <c r="A37" s="0" t="s">
        <v>621</v>
      </c>
      <c r="B37" s="0" t="s">
        <v>220</v>
      </c>
      <c r="C37" s="0" t="s">
        <v>622</v>
      </c>
      <c r="D37" s="0" t="s">
        <v>623</v>
      </c>
      <c r="E37" s="0" t="s">
        <v>131</v>
      </c>
      <c r="F37" s="0" t="s">
        <v>218</v>
      </c>
      <c r="G37" s="0" t="s">
        <v>628</v>
      </c>
      <c r="H37" s="0" t="s">
        <v>625</v>
      </c>
      <c r="I37" s="0" t="s">
        <v>626</v>
      </c>
      <c r="J37" s="0" t="s">
        <v>627</v>
      </c>
      <c r="K37" s="475" t="n">
        <v>36800</v>
      </c>
      <c r="L37" s="254" t="n">
        <v>156550.750002717</v>
      </c>
      <c r="M37" s="475" t="n">
        <v>36797</v>
      </c>
      <c r="N37" s="0" t="s">
        <v>132</v>
      </c>
      <c r="O37" s="0" t="n">
        <v>-0.32</v>
      </c>
      <c r="P37" s="0" t="n">
        <v>0</v>
      </c>
      <c r="Q37" s="0" t="n">
        <v>0</v>
      </c>
      <c r="R37" s="0" t="n">
        <v>0</v>
      </c>
      <c r="S37" s="0" t="n">
        <v>0</v>
      </c>
      <c r="T37" s="0" t="s">
        <v>624</v>
      </c>
      <c r="U37" s="0" t="s">
        <v>151</v>
      </c>
      <c r="V37" s="0" t="s">
        <v>624</v>
      </c>
      <c r="W37" s="0" t="s">
        <v>569</v>
      </c>
      <c r="X37" s="0" t="s">
        <v>624</v>
      </c>
      <c r="Y37" s="0" t="s">
        <v>627</v>
      </c>
      <c r="Z37" s="0" t="s">
        <v>629</v>
      </c>
      <c r="AA37" s="0" t="s">
        <v>624</v>
      </c>
      <c r="AB37" s="0" t="s">
        <v>132</v>
      </c>
      <c r="AC37" s="254" t="n">
        <v>310000</v>
      </c>
      <c r="AD37" s="254" t="n">
        <v>5556.46592316229</v>
      </c>
      <c r="AE37" s="0" t="n">
        <v>0</v>
      </c>
      <c r="AF37" s="0" t="n">
        <v>0</v>
      </c>
      <c r="AG37" s="0" t="n">
        <v>0</v>
      </c>
      <c r="AH37" s="254" t="n">
        <v>17427.849339428</v>
      </c>
      <c r="AI37" s="0" t="n">
        <v>226</v>
      </c>
      <c r="AJ37" s="0" t="s">
        <v>630</v>
      </c>
      <c r="AK37" s="0" t="n">
        <v>0</v>
      </c>
      <c r="AL37" s="0" t="n">
        <v>0</v>
      </c>
      <c r="AM37" s="0" t="n">
        <v>0</v>
      </c>
    </row>
    <row r="38" customFormat="false" ht="12.75" hidden="false" customHeight="false" outlineLevel="0" collapsed="false">
      <c r="A38" s="0" t="s">
        <v>621</v>
      </c>
      <c r="B38" s="0" t="s">
        <v>220</v>
      </c>
      <c r="C38" s="0" t="s">
        <v>622</v>
      </c>
      <c r="D38" s="0" t="s">
        <v>623</v>
      </c>
      <c r="E38" s="0" t="s">
        <v>131</v>
      </c>
      <c r="F38" s="0" t="s">
        <v>218</v>
      </c>
      <c r="G38" s="0" t="s">
        <v>628</v>
      </c>
      <c r="H38" s="0" t="s">
        <v>625</v>
      </c>
      <c r="I38" s="0" t="s">
        <v>626</v>
      </c>
      <c r="J38" s="0" t="s">
        <v>627</v>
      </c>
      <c r="K38" s="475" t="n">
        <v>36770</v>
      </c>
      <c r="L38" s="254" t="n">
        <v>275898.471455648</v>
      </c>
      <c r="M38" s="475" t="n">
        <v>36768</v>
      </c>
      <c r="N38" s="0" t="s">
        <v>132</v>
      </c>
      <c r="O38" s="0" t="n">
        <v>-0.32</v>
      </c>
      <c r="P38" s="0" t="n">
        <v>0</v>
      </c>
      <c r="Q38" s="0" t="n">
        <v>0</v>
      </c>
      <c r="R38" s="0" t="n">
        <v>0</v>
      </c>
      <c r="S38" s="0" t="n">
        <v>0</v>
      </c>
      <c r="T38" s="0" t="s">
        <v>624</v>
      </c>
      <c r="U38" s="0" t="s">
        <v>151</v>
      </c>
      <c r="V38" s="0" t="s">
        <v>624</v>
      </c>
      <c r="W38" s="0" t="s">
        <v>569</v>
      </c>
      <c r="X38" s="0" t="s">
        <v>624</v>
      </c>
      <c r="Y38" s="0" t="s">
        <v>627</v>
      </c>
      <c r="Z38" s="0" t="s">
        <v>629</v>
      </c>
      <c r="AA38" s="0" t="s">
        <v>624</v>
      </c>
      <c r="AB38" s="0" t="s">
        <v>132</v>
      </c>
      <c r="AC38" s="254" t="n">
        <v>300000</v>
      </c>
      <c r="AD38" s="254" t="n">
        <v>-0.011573564435821</v>
      </c>
      <c r="AE38" s="0" t="n">
        <v>0</v>
      </c>
      <c r="AF38" s="0" t="n">
        <v>0</v>
      </c>
      <c r="AG38" s="0" t="n">
        <v>0</v>
      </c>
      <c r="AH38" s="254" t="n">
        <v>17983.4597272024</v>
      </c>
      <c r="AI38" s="0" t="n">
        <v>226</v>
      </c>
      <c r="AJ38" s="0" t="s">
        <v>630</v>
      </c>
      <c r="AK38" s="0" t="n">
        <v>0</v>
      </c>
      <c r="AL38" s="0" t="n">
        <v>0</v>
      </c>
      <c r="AM38" s="0" t="n">
        <v>0</v>
      </c>
    </row>
    <row r="39" customFormat="false" ht="12.75" hidden="false" customHeight="false" outlineLevel="0" collapsed="false">
      <c r="A39" s="0" t="s">
        <v>621</v>
      </c>
      <c r="B39" s="0" t="s">
        <v>221</v>
      </c>
      <c r="C39" s="0" t="s">
        <v>622</v>
      </c>
      <c r="D39" s="0" t="s">
        <v>623</v>
      </c>
      <c r="E39" s="0" t="s">
        <v>131</v>
      </c>
      <c r="F39" s="0" t="s">
        <v>218</v>
      </c>
      <c r="G39" s="0" t="s">
        <v>628</v>
      </c>
      <c r="H39" s="0" t="s">
        <v>625</v>
      </c>
      <c r="I39" s="0" t="s">
        <v>626</v>
      </c>
      <c r="J39" s="0" t="s">
        <v>627</v>
      </c>
      <c r="K39" s="475" t="n">
        <v>36800</v>
      </c>
      <c r="L39" s="254" t="n">
        <v>270956.093868382</v>
      </c>
      <c r="M39" s="475" t="n">
        <v>36797</v>
      </c>
      <c r="N39" s="0" t="s">
        <v>132</v>
      </c>
      <c r="O39" s="0" t="n">
        <v>-0.4</v>
      </c>
      <c r="P39" s="0" t="n">
        <v>0</v>
      </c>
      <c r="Q39" s="0" t="n">
        <v>0</v>
      </c>
      <c r="R39" s="0" t="n">
        <v>0</v>
      </c>
      <c r="S39" s="0" t="n">
        <v>0</v>
      </c>
      <c r="T39" s="0" t="s">
        <v>624</v>
      </c>
      <c r="U39" s="0" t="s">
        <v>151</v>
      </c>
      <c r="V39" s="0" t="s">
        <v>624</v>
      </c>
      <c r="W39" s="0" t="s">
        <v>569</v>
      </c>
      <c r="X39" s="0" t="s">
        <v>624</v>
      </c>
      <c r="Y39" s="0" t="s">
        <v>627</v>
      </c>
      <c r="Z39" s="0" t="s">
        <v>629</v>
      </c>
      <c r="AA39" s="0" t="s">
        <v>624</v>
      </c>
      <c r="AB39" s="0" t="s">
        <v>132</v>
      </c>
      <c r="AC39" s="254" t="n">
        <v>620000</v>
      </c>
      <c r="AD39" s="254" t="n">
        <v>13827.1873644915</v>
      </c>
      <c r="AE39" s="0" t="n">
        <v>0</v>
      </c>
      <c r="AF39" s="0" t="n">
        <v>0</v>
      </c>
      <c r="AG39" s="0" t="n">
        <v>0</v>
      </c>
      <c r="AH39" s="254" t="n">
        <v>32972.5799754268</v>
      </c>
      <c r="AI39" s="0" t="n">
        <v>226</v>
      </c>
      <c r="AJ39" s="0" t="s">
        <v>630</v>
      </c>
      <c r="AK39" s="0" t="n">
        <v>0</v>
      </c>
      <c r="AL39" s="0" t="n">
        <v>0</v>
      </c>
      <c r="AM39" s="0" t="n">
        <v>0</v>
      </c>
    </row>
    <row r="40" customFormat="false" ht="12.75" hidden="false" customHeight="false" outlineLevel="0" collapsed="false">
      <c r="A40" s="0" t="s">
        <v>621</v>
      </c>
      <c r="B40" s="0" t="s">
        <v>221</v>
      </c>
      <c r="C40" s="0" t="s">
        <v>622</v>
      </c>
      <c r="D40" s="0" t="s">
        <v>623</v>
      </c>
      <c r="E40" s="0" t="s">
        <v>131</v>
      </c>
      <c r="F40" s="0" t="s">
        <v>218</v>
      </c>
      <c r="G40" s="0" t="s">
        <v>628</v>
      </c>
      <c r="H40" s="0" t="s">
        <v>625</v>
      </c>
      <c r="I40" s="0" t="s">
        <v>626</v>
      </c>
      <c r="J40" s="0" t="s">
        <v>627</v>
      </c>
      <c r="K40" s="475" t="n">
        <v>36770</v>
      </c>
      <c r="L40" s="254" t="n">
        <v>503814.600048837</v>
      </c>
      <c r="M40" s="475" t="n">
        <v>36768</v>
      </c>
      <c r="N40" s="0" t="s">
        <v>132</v>
      </c>
      <c r="O40" s="0" t="n">
        <v>-0.4</v>
      </c>
      <c r="P40" s="0" t="n">
        <v>0</v>
      </c>
      <c r="Q40" s="0" t="n">
        <v>0</v>
      </c>
      <c r="R40" s="0" t="n">
        <v>0</v>
      </c>
      <c r="S40" s="0" t="n">
        <v>0</v>
      </c>
      <c r="T40" s="0" t="s">
        <v>624</v>
      </c>
      <c r="U40" s="0" t="s">
        <v>151</v>
      </c>
      <c r="V40" s="0" t="s">
        <v>624</v>
      </c>
      <c r="W40" s="0" t="s">
        <v>569</v>
      </c>
      <c r="X40" s="0" t="s">
        <v>624</v>
      </c>
      <c r="Y40" s="0" t="s">
        <v>627</v>
      </c>
      <c r="Z40" s="0" t="s">
        <v>629</v>
      </c>
      <c r="AA40" s="0" t="s">
        <v>624</v>
      </c>
      <c r="AB40" s="0" t="s">
        <v>132</v>
      </c>
      <c r="AC40" s="254" t="n">
        <v>600000</v>
      </c>
      <c r="AD40" s="254" t="n">
        <v>-0.0231471289880574</v>
      </c>
      <c r="AE40" s="0" t="n">
        <v>0</v>
      </c>
      <c r="AF40" s="0" t="n">
        <v>0</v>
      </c>
      <c r="AG40" s="0" t="n">
        <v>0</v>
      </c>
      <c r="AH40" s="254" t="n">
        <v>35966.9193105872</v>
      </c>
      <c r="AI40" s="0" t="n">
        <v>226</v>
      </c>
      <c r="AJ40" s="0" t="s">
        <v>630</v>
      </c>
      <c r="AK40" s="0" t="n">
        <v>0</v>
      </c>
      <c r="AL40" s="0" t="n">
        <v>0</v>
      </c>
      <c r="AM40" s="0" t="n">
        <v>0</v>
      </c>
    </row>
    <row r="41" customFormat="false" ht="12.75" hidden="false" customHeight="false" outlineLevel="0" collapsed="false">
      <c r="A41" s="0" t="s">
        <v>621</v>
      </c>
      <c r="B41" s="0" t="s">
        <v>222</v>
      </c>
      <c r="C41" s="0" t="s">
        <v>622</v>
      </c>
      <c r="D41" s="0" t="s">
        <v>623</v>
      </c>
      <c r="E41" s="0" t="s">
        <v>131</v>
      </c>
      <c r="F41" s="0" t="s">
        <v>196</v>
      </c>
      <c r="G41" s="0" t="s">
        <v>628</v>
      </c>
      <c r="H41" s="0" t="s">
        <v>625</v>
      </c>
      <c r="I41" s="0" t="s">
        <v>626</v>
      </c>
      <c r="J41" s="0" t="s">
        <v>627</v>
      </c>
      <c r="K41" s="475" t="n">
        <v>36800</v>
      </c>
      <c r="L41" s="254" t="n">
        <v>4800.77646601753</v>
      </c>
      <c r="M41" s="475" t="n">
        <v>36797</v>
      </c>
      <c r="N41" s="0" t="s">
        <v>136</v>
      </c>
      <c r="O41" s="0" t="n">
        <v>-0.25</v>
      </c>
      <c r="P41" s="0" t="n">
        <v>0</v>
      </c>
      <c r="Q41" s="0" t="n">
        <v>0</v>
      </c>
      <c r="R41" s="0" t="n">
        <v>0</v>
      </c>
      <c r="S41" s="0" t="n">
        <v>0</v>
      </c>
      <c r="T41" s="0" t="s">
        <v>624</v>
      </c>
      <c r="U41" s="0" t="s">
        <v>151</v>
      </c>
      <c r="V41" s="0" t="s">
        <v>624</v>
      </c>
      <c r="W41" s="0" t="s">
        <v>569</v>
      </c>
      <c r="X41" s="0" t="s">
        <v>624</v>
      </c>
      <c r="Y41" s="0" t="s">
        <v>627</v>
      </c>
      <c r="Z41" s="0" t="s">
        <v>629</v>
      </c>
      <c r="AA41" s="0" t="s">
        <v>624</v>
      </c>
      <c r="AB41" s="0" t="s">
        <v>132</v>
      </c>
      <c r="AC41" s="254" t="n">
        <v>310000</v>
      </c>
      <c r="AD41" s="254" t="n">
        <v>4423.47794496204</v>
      </c>
      <c r="AE41" s="0" t="n">
        <v>0</v>
      </c>
      <c r="AF41" s="0" t="n">
        <v>0</v>
      </c>
      <c r="AG41" s="0" t="n">
        <v>0</v>
      </c>
      <c r="AH41" s="254" t="n">
        <v>-1922.44708243849</v>
      </c>
      <c r="AI41" s="0" t="n">
        <v>226</v>
      </c>
      <c r="AJ41" s="0" t="s">
        <v>630</v>
      </c>
      <c r="AK41" s="0" t="n">
        <v>0</v>
      </c>
      <c r="AL41" s="0" t="n">
        <v>0</v>
      </c>
      <c r="AM41" s="0" t="n">
        <v>0</v>
      </c>
    </row>
    <row r="42" customFormat="false" ht="12.75" hidden="false" customHeight="false" outlineLevel="0" collapsed="false">
      <c r="A42" s="0" t="s">
        <v>621</v>
      </c>
      <c r="B42" s="0" t="s">
        <v>222</v>
      </c>
      <c r="C42" s="0" t="s">
        <v>622</v>
      </c>
      <c r="D42" s="0" t="s">
        <v>623</v>
      </c>
      <c r="E42" s="0" t="s">
        <v>131</v>
      </c>
      <c r="F42" s="0" t="s">
        <v>196</v>
      </c>
      <c r="G42" s="0" t="s">
        <v>628</v>
      </c>
      <c r="H42" s="0" t="s">
        <v>625</v>
      </c>
      <c r="I42" s="0" t="s">
        <v>626</v>
      </c>
      <c r="J42" s="0" t="s">
        <v>627</v>
      </c>
      <c r="K42" s="475" t="n">
        <v>36770</v>
      </c>
      <c r="L42" s="254" t="n">
        <v>0.0389258054206421</v>
      </c>
      <c r="M42" s="475" t="n">
        <v>36768</v>
      </c>
      <c r="N42" s="0" t="s">
        <v>136</v>
      </c>
      <c r="O42" s="0" t="n">
        <v>-0.25</v>
      </c>
      <c r="P42" s="0" t="n">
        <v>0</v>
      </c>
      <c r="Q42" s="0" t="n">
        <v>0</v>
      </c>
      <c r="R42" s="0" t="n">
        <v>0</v>
      </c>
      <c r="S42" s="0" t="n">
        <v>0</v>
      </c>
      <c r="T42" s="0" t="s">
        <v>624</v>
      </c>
      <c r="U42" s="0" t="s">
        <v>151</v>
      </c>
      <c r="V42" s="0" t="s">
        <v>624</v>
      </c>
      <c r="W42" s="0" t="s">
        <v>569</v>
      </c>
      <c r="X42" s="0" t="s">
        <v>624</v>
      </c>
      <c r="Y42" s="0" t="s">
        <v>627</v>
      </c>
      <c r="Z42" s="0" t="s">
        <v>629</v>
      </c>
      <c r="AA42" s="0" t="s">
        <v>624</v>
      </c>
      <c r="AB42" s="0" t="s">
        <v>132</v>
      </c>
      <c r="AC42" s="254" t="n">
        <v>300000</v>
      </c>
      <c r="AD42" s="254" t="n">
        <v>-0.0115735646732951</v>
      </c>
      <c r="AE42" s="0" t="n">
        <v>0</v>
      </c>
      <c r="AF42" s="0" t="n">
        <v>0</v>
      </c>
      <c r="AG42" s="0" t="n">
        <v>0</v>
      </c>
      <c r="AH42" s="254" t="n">
        <v>0.0023531673942756</v>
      </c>
      <c r="AI42" s="0" t="n">
        <v>226</v>
      </c>
      <c r="AJ42" s="0" t="s">
        <v>630</v>
      </c>
      <c r="AK42" s="0" t="n">
        <v>0</v>
      </c>
      <c r="AL42" s="0" t="n">
        <v>0</v>
      </c>
      <c r="AM42" s="0" t="n">
        <v>0</v>
      </c>
    </row>
    <row r="43" customFormat="false" ht="12.75" hidden="false" customHeight="false" outlineLevel="0" collapsed="false">
      <c r="A43" s="0" t="s">
        <v>621</v>
      </c>
      <c r="B43" s="0" t="s">
        <v>223</v>
      </c>
      <c r="C43" s="0" t="s">
        <v>622</v>
      </c>
      <c r="D43" s="0" t="s">
        <v>623</v>
      </c>
      <c r="E43" s="0" t="s">
        <v>131</v>
      </c>
      <c r="F43" s="0" t="s">
        <v>212</v>
      </c>
      <c r="G43" s="0" t="s">
        <v>628</v>
      </c>
      <c r="H43" s="0" t="s">
        <v>625</v>
      </c>
      <c r="I43" s="0" t="s">
        <v>626</v>
      </c>
      <c r="J43" s="0" t="s">
        <v>627</v>
      </c>
      <c r="K43" s="475" t="n">
        <v>36800</v>
      </c>
      <c r="L43" s="254" t="n">
        <v>6344.34669827868</v>
      </c>
      <c r="M43" s="475" t="n">
        <v>36797</v>
      </c>
      <c r="N43" s="0" t="s">
        <v>136</v>
      </c>
      <c r="O43" s="0" t="n">
        <v>-0.3</v>
      </c>
      <c r="P43" s="0" t="n">
        <v>0</v>
      </c>
      <c r="Q43" s="0" t="n">
        <v>0</v>
      </c>
      <c r="R43" s="0" t="n">
        <v>0</v>
      </c>
      <c r="S43" s="0" t="n">
        <v>0</v>
      </c>
      <c r="T43" s="0" t="s">
        <v>624</v>
      </c>
      <c r="U43" s="0" t="s">
        <v>151</v>
      </c>
      <c r="V43" s="0" t="s">
        <v>624</v>
      </c>
      <c r="W43" s="0" t="s">
        <v>569</v>
      </c>
      <c r="X43" s="0" t="s">
        <v>624</v>
      </c>
      <c r="Y43" s="0" t="s">
        <v>627</v>
      </c>
      <c r="Z43" s="0" t="s">
        <v>629</v>
      </c>
      <c r="AA43" s="0" t="s">
        <v>624</v>
      </c>
      <c r="AB43" s="0" t="s">
        <v>132</v>
      </c>
      <c r="AC43" s="254" t="n">
        <v>310000</v>
      </c>
      <c r="AD43" s="254" t="n">
        <v>5224.33411068699</v>
      </c>
      <c r="AE43" s="0" t="n">
        <v>0</v>
      </c>
      <c r="AF43" s="0" t="n">
        <v>0</v>
      </c>
      <c r="AG43" s="0" t="n">
        <v>0</v>
      </c>
      <c r="AH43" s="254" t="n">
        <v>-2388.56298392639</v>
      </c>
      <c r="AI43" s="0" t="n">
        <v>226</v>
      </c>
      <c r="AJ43" s="0" t="s">
        <v>630</v>
      </c>
      <c r="AK43" s="0" t="n">
        <v>0</v>
      </c>
      <c r="AL43" s="0" t="n">
        <v>0</v>
      </c>
      <c r="AM43" s="0" t="n">
        <v>0</v>
      </c>
    </row>
    <row r="44" customFormat="false" ht="12.75" hidden="false" customHeight="false" outlineLevel="0" collapsed="false">
      <c r="A44" s="0" t="s">
        <v>621</v>
      </c>
      <c r="B44" s="0" t="s">
        <v>223</v>
      </c>
      <c r="C44" s="0" t="s">
        <v>622</v>
      </c>
      <c r="D44" s="0" t="s">
        <v>623</v>
      </c>
      <c r="E44" s="0" t="s">
        <v>131</v>
      </c>
      <c r="F44" s="0" t="s">
        <v>212</v>
      </c>
      <c r="G44" s="0" t="s">
        <v>628</v>
      </c>
      <c r="H44" s="0" t="s">
        <v>625</v>
      </c>
      <c r="I44" s="0" t="s">
        <v>626</v>
      </c>
      <c r="J44" s="0" t="s">
        <v>627</v>
      </c>
      <c r="K44" s="475" t="n">
        <v>36800</v>
      </c>
      <c r="L44" s="254" t="n">
        <v>161992.766976547</v>
      </c>
      <c r="M44" s="475" t="n">
        <v>36797</v>
      </c>
      <c r="N44" s="0" t="s">
        <v>132</v>
      </c>
      <c r="O44" s="0" t="n">
        <v>-0.3</v>
      </c>
      <c r="P44" s="0" t="n">
        <v>0</v>
      </c>
      <c r="Q44" s="0" t="n">
        <v>0</v>
      </c>
      <c r="R44" s="0" t="n">
        <v>0</v>
      </c>
      <c r="S44" s="0" t="n">
        <v>0</v>
      </c>
      <c r="T44" s="0" t="s">
        <v>624</v>
      </c>
      <c r="U44" s="0" t="s">
        <v>151</v>
      </c>
      <c r="V44" s="0" t="s">
        <v>624</v>
      </c>
      <c r="W44" s="0" t="s">
        <v>569</v>
      </c>
      <c r="X44" s="0" t="s">
        <v>624</v>
      </c>
      <c r="Y44" s="0" t="s">
        <v>627</v>
      </c>
      <c r="Z44" s="0" t="s">
        <v>629</v>
      </c>
      <c r="AA44" s="0" t="s">
        <v>624</v>
      </c>
      <c r="AB44" s="0" t="s">
        <v>132</v>
      </c>
      <c r="AC44" s="254" t="n">
        <v>310000</v>
      </c>
      <c r="AD44" s="254" t="n">
        <v>5224.33411068702</v>
      </c>
      <c r="AE44" s="0" t="n">
        <v>0</v>
      </c>
      <c r="AF44" s="0" t="n">
        <v>0</v>
      </c>
      <c r="AG44" s="0" t="n">
        <v>0</v>
      </c>
      <c r="AH44" s="254" t="n">
        <v>17634.3556375926</v>
      </c>
      <c r="AI44" s="0" t="n">
        <v>226</v>
      </c>
      <c r="AJ44" s="0" t="s">
        <v>630</v>
      </c>
      <c r="AK44" s="0" t="n">
        <v>0</v>
      </c>
      <c r="AL44" s="0" t="n">
        <v>0</v>
      </c>
      <c r="AM44" s="0" t="n">
        <v>0</v>
      </c>
    </row>
    <row r="45" customFormat="false" ht="12.75" hidden="false" customHeight="false" outlineLevel="0" collapsed="false">
      <c r="A45" s="0" t="s">
        <v>621</v>
      </c>
      <c r="B45" s="0" t="s">
        <v>223</v>
      </c>
      <c r="C45" s="0" t="s">
        <v>622</v>
      </c>
      <c r="D45" s="0" t="s">
        <v>623</v>
      </c>
      <c r="E45" s="0" t="s">
        <v>131</v>
      </c>
      <c r="F45" s="0" t="s">
        <v>212</v>
      </c>
      <c r="G45" s="0" t="s">
        <v>628</v>
      </c>
      <c r="H45" s="0" t="s">
        <v>625</v>
      </c>
      <c r="I45" s="0" t="s">
        <v>626</v>
      </c>
      <c r="J45" s="0" t="s">
        <v>627</v>
      </c>
      <c r="K45" s="475" t="n">
        <v>36770</v>
      </c>
      <c r="L45" s="254" t="n">
        <v>0.0369596792837434</v>
      </c>
      <c r="M45" s="475" t="n">
        <v>36768</v>
      </c>
      <c r="N45" s="0" t="s">
        <v>136</v>
      </c>
      <c r="O45" s="0" t="n">
        <v>-0.3</v>
      </c>
      <c r="P45" s="0" t="n">
        <v>0</v>
      </c>
      <c r="Q45" s="0" t="n">
        <v>0</v>
      </c>
      <c r="R45" s="0" t="n">
        <v>0</v>
      </c>
      <c r="S45" s="0" t="n">
        <v>0</v>
      </c>
      <c r="T45" s="0" t="s">
        <v>624</v>
      </c>
      <c r="U45" s="0" t="s">
        <v>151</v>
      </c>
      <c r="V45" s="0" t="s">
        <v>624</v>
      </c>
      <c r="W45" s="0" t="s">
        <v>569</v>
      </c>
      <c r="X45" s="0" t="s">
        <v>624</v>
      </c>
      <c r="Y45" s="0" t="s">
        <v>627</v>
      </c>
      <c r="Z45" s="0" t="s">
        <v>629</v>
      </c>
      <c r="AA45" s="0" t="s">
        <v>624</v>
      </c>
      <c r="AB45" s="0" t="s">
        <v>132</v>
      </c>
      <c r="AC45" s="254" t="n">
        <v>300000</v>
      </c>
      <c r="AD45" s="254" t="n">
        <v>-0.0115735646066817</v>
      </c>
      <c r="AE45" s="0" t="n">
        <v>0</v>
      </c>
      <c r="AF45" s="0" t="n">
        <v>0</v>
      </c>
      <c r="AG45" s="0" t="n">
        <v>0</v>
      </c>
      <c r="AH45" s="254" t="n">
        <v>0.00235265820158759</v>
      </c>
      <c r="AI45" s="0" t="n">
        <v>226</v>
      </c>
      <c r="AJ45" s="0" t="s">
        <v>630</v>
      </c>
      <c r="AK45" s="0" t="n">
        <v>0</v>
      </c>
      <c r="AL45" s="0" t="n">
        <v>0</v>
      </c>
      <c r="AM45" s="0" t="n">
        <v>0</v>
      </c>
    </row>
    <row r="46" customFormat="false" ht="12.75" hidden="false" customHeight="false" outlineLevel="0" collapsed="false">
      <c r="A46" s="0" t="s">
        <v>621</v>
      </c>
      <c r="B46" s="0" t="s">
        <v>223</v>
      </c>
      <c r="C46" s="0" t="s">
        <v>622</v>
      </c>
      <c r="D46" s="0" t="s">
        <v>623</v>
      </c>
      <c r="E46" s="0" t="s">
        <v>131</v>
      </c>
      <c r="F46" s="0" t="s">
        <v>212</v>
      </c>
      <c r="G46" s="0" t="s">
        <v>628</v>
      </c>
      <c r="H46" s="0" t="s">
        <v>625</v>
      </c>
      <c r="I46" s="0" t="s">
        <v>626</v>
      </c>
      <c r="J46" s="0" t="s">
        <v>627</v>
      </c>
      <c r="K46" s="475" t="n">
        <v>36770</v>
      </c>
      <c r="L46" s="254" t="n">
        <v>281896.264313456</v>
      </c>
      <c r="M46" s="475" t="n">
        <v>36768</v>
      </c>
      <c r="N46" s="0" t="s">
        <v>132</v>
      </c>
      <c r="O46" s="0" t="n">
        <v>-0.3</v>
      </c>
      <c r="P46" s="0" t="n">
        <v>0</v>
      </c>
      <c r="Q46" s="0" t="n">
        <v>0</v>
      </c>
      <c r="R46" s="0" t="n">
        <v>0</v>
      </c>
      <c r="S46" s="0" t="n">
        <v>0</v>
      </c>
      <c r="T46" s="0" t="s">
        <v>624</v>
      </c>
      <c r="U46" s="0" t="s">
        <v>151</v>
      </c>
      <c r="V46" s="0" t="s">
        <v>624</v>
      </c>
      <c r="W46" s="0" t="s">
        <v>569</v>
      </c>
      <c r="X46" s="0" t="s">
        <v>624</v>
      </c>
      <c r="Y46" s="0" t="s">
        <v>627</v>
      </c>
      <c r="Z46" s="0" t="s">
        <v>629</v>
      </c>
      <c r="AA46" s="0" t="s">
        <v>624</v>
      </c>
      <c r="AB46" s="0" t="s">
        <v>132</v>
      </c>
      <c r="AC46" s="254" t="n">
        <v>300000</v>
      </c>
      <c r="AD46" s="254" t="n">
        <v>-0.011573564610444</v>
      </c>
      <c r="AE46" s="0" t="n">
        <v>0</v>
      </c>
      <c r="AF46" s="0" t="n">
        <v>0</v>
      </c>
      <c r="AG46" s="0" t="n">
        <v>0</v>
      </c>
      <c r="AH46" s="254" t="n">
        <v>17983.4597281862</v>
      </c>
      <c r="AI46" s="0" t="n">
        <v>226</v>
      </c>
      <c r="AJ46" s="0" t="s">
        <v>630</v>
      </c>
      <c r="AK46" s="0" t="n">
        <v>0</v>
      </c>
      <c r="AL46" s="0" t="n">
        <v>0</v>
      </c>
      <c r="AM46" s="0" t="n">
        <v>0</v>
      </c>
    </row>
    <row r="47" customFormat="false" ht="12.75" hidden="false" customHeight="false" outlineLevel="0" collapsed="false">
      <c r="A47" s="0" t="s">
        <v>621</v>
      </c>
      <c r="B47" s="0" t="s">
        <v>224</v>
      </c>
      <c r="C47" s="0" t="s">
        <v>622</v>
      </c>
      <c r="D47" s="0" t="s">
        <v>623</v>
      </c>
      <c r="E47" s="0" t="s">
        <v>131</v>
      </c>
      <c r="F47" s="0" t="s">
        <v>198</v>
      </c>
      <c r="G47" s="0" t="s">
        <v>628</v>
      </c>
      <c r="H47" s="0" t="s">
        <v>625</v>
      </c>
      <c r="I47" s="0" t="s">
        <v>626</v>
      </c>
      <c r="J47" s="0" t="s">
        <v>627</v>
      </c>
      <c r="K47" s="475" t="n">
        <v>36923</v>
      </c>
      <c r="L47" s="254" t="n">
        <v>102538.003686066</v>
      </c>
      <c r="M47" s="475" t="n">
        <v>36921</v>
      </c>
      <c r="N47" s="0" t="s">
        <v>132</v>
      </c>
      <c r="O47" s="0" t="n">
        <v>1</v>
      </c>
      <c r="P47" s="0" t="n">
        <v>0</v>
      </c>
      <c r="Q47" s="0" t="n">
        <v>0</v>
      </c>
      <c r="R47" s="0" t="n">
        <v>0</v>
      </c>
      <c r="S47" s="0" t="n">
        <v>0</v>
      </c>
      <c r="T47" s="0" t="s">
        <v>624</v>
      </c>
      <c r="U47" s="0" t="s">
        <v>149</v>
      </c>
      <c r="V47" s="0" t="s">
        <v>624</v>
      </c>
      <c r="W47" s="0" t="s">
        <v>569</v>
      </c>
      <c r="X47" s="0" t="s">
        <v>624</v>
      </c>
      <c r="Y47" s="0" t="s">
        <v>627</v>
      </c>
      <c r="Z47" s="0" t="s">
        <v>629</v>
      </c>
      <c r="AA47" s="0" t="s">
        <v>624</v>
      </c>
      <c r="AB47" s="0" t="s">
        <v>132</v>
      </c>
      <c r="AC47" s="254" t="n">
        <v>500000</v>
      </c>
      <c r="AD47" s="254" t="n">
        <v>35321.2542050723</v>
      </c>
      <c r="AE47" s="0" t="n">
        <v>0</v>
      </c>
      <c r="AF47" s="0" t="n">
        <v>0</v>
      </c>
      <c r="AG47" s="0" t="n">
        <v>0</v>
      </c>
      <c r="AH47" s="254" t="n">
        <v>-5238.98510989307</v>
      </c>
      <c r="AI47" s="0" t="n">
        <v>226</v>
      </c>
      <c r="AJ47" s="0" t="s">
        <v>630</v>
      </c>
      <c r="AK47" s="0" t="n">
        <v>0</v>
      </c>
      <c r="AL47" s="0" t="n">
        <v>0</v>
      </c>
      <c r="AM47" s="0" t="n">
        <v>0</v>
      </c>
    </row>
    <row r="48" customFormat="false" ht="12.75" hidden="false" customHeight="false" outlineLevel="0" collapsed="false">
      <c r="A48" s="0" t="s">
        <v>621</v>
      </c>
      <c r="B48" s="0" t="s">
        <v>224</v>
      </c>
      <c r="C48" s="0" t="s">
        <v>622</v>
      </c>
      <c r="D48" s="0" t="s">
        <v>623</v>
      </c>
      <c r="E48" s="0" t="s">
        <v>131</v>
      </c>
      <c r="F48" s="0" t="s">
        <v>198</v>
      </c>
      <c r="G48" s="0" t="s">
        <v>628</v>
      </c>
      <c r="H48" s="0" t="s">
        <v>625</v>
      </c>
      <c r="I48" s="0" t="s">
        <v>626</v>
      </c>
      <c r="J48" s="0" t="s">
        <v>627</v>
      </c>
      <c r="K48" s="475" t="n">
        <v>36892</v>
      </c>
      <c r="L48" s="254" t="n">
        <v>83410.8043609005</v>
      </c>
      <c r="M48" s="475" t="n">
        <v>36888</v>
      </c>
      <c r="N48" s="0" t="s">
        <v>132</v>
      </c>
      <c r="O48" s="0" t="n">
        <v>1</v>
      </c>
      <c r="P48" s="0" t="n">
        <v>0</v>
      </c>
      <c r="Q48" s="0" t="n">
        <v>0</v>
      </c>
      <c r="R48" s="0" t="n">
        <v>0</v>
      </c>
      <c r="S48" s="0" t="n">
        <v>0</v>
      </c>
      <c r="T48" s="0" t="s">
        <v>624</v>
      </c>
      <c r="U48" s="0" t="s">
        <v>149</v>
      </c>
      <c r="V48" s="0" t="s">
        <v>624</v>
      </c>
      <c r="W48" s="0" t="s">
        <v>569</v>
      </c>
      <c r="X48" s="0" t="s">
        <v>624</v>
      </c>
      <c r="Y48" s="0" t="s">
        <v>627</v>
      </c>
      <c r="Z48" s="0" t="s">
        <v>629</v>
      </c>
      <c r="AA48" s="0" t="s">
        <v>624</v>
      </c>
      <c r="AB48" s="0" t="s">
        <v>132</v>
      </c>
      <c r="AC48" s="254" t="n">
        <v>500000</v>
      </c>
      <c r="AD48" s="254" t="n">
        <v>30166.8315425294</v>
      </c>
      <c r="AE48" s="0" t="n">
        <v>0</v>
      </c>
      <c r="AF48" s="0" t="n">
        <v>0</v>
      </c>
      <c r="AG48" s="0" t="n">
        <v>0</v>
      </c>
      <c r="AH48" s="254" t="n">
        <v>-3871.83074039887</v>
      </c>
      <c r="AI48" s="0" t="n">
        <v>226</v>
      </c>
      <c r="AJ48" s="0" t="s">
        <v>630</v>
      </c>
      <c r="AK48" s="0" t="n">
        <v>0</v>
      </c>
      <c r="AL48" s="0" t="n">
        <v>0</v>
      </c>
      <c r="AM48" s="0" t="n">
        <v>0</v>
      </c>
    </row>
    <row r="49" customFormat="false" ht="12.75" hidden="false" customHeight="false" outlineLevel="0" collapsed="false">
      <c r="A49" s="0" t="s">
        <v>621</v>
      </c>
      <c r="B49" s="0" t="s">
        <v>224</v>
      </c>
      <c r="C49" s="0" t="s">
        <v>622</v>
      </c>
      <c r="D49" s="0" t="s">
        <v>623</v>
      </c>
      <c r="E49" s="0" t="s">
        <v>131</v>
      </c>
      <c r="F49" s="0" t="s">
        <v>198</v>
      </c>
      <c r="G49" s="0" t="s">
        <v>628</v>
      </c>
      <c r="H49" s="0" t="s">
        <v>625</v>
      </c>
      <c r="I49" s="0" t="s">
        <v>626</v>
      </c>
      <c r="J49" s="0" t="s">
        <v>627</v>
      </c>
      <c r="K49" s="475" t="n">
        <v>36861</v>
      </c>
      <c r="L49" s="254" t="n">
        <v>111797.448559784</v>
      </c>
      <c r="M49" s="475" t="n">
        <v>36859</v>
      </c>
      <c r="N49" s="0" t="s">
        <v>132</v>
      </c>
      <c r="O49" s="0" t="n">
        <v>1</v>
      </c>
      <c r="P49" s="0" t="n">
        <v>0</v>
      </c>
      <c r="Q49" s="0" t="n">
        <v>0</v>
      </c>
      <c r="R49" s="0" t="n">
        <v>0</v>
      </c>
      <c r="S49" s="0" t="n">
        <v>0</v>
      </c>
      <c r="T49" s="0" t="s">
        <v>624</v>
      </c>
      <c r="U49" s="0" t="s">
        <v>149</v>
      </c>
      <c r="V49" s="0" t="s">
        <v>624</v>
      </c>
      <c r="W49" s="0" t="s">
        <v>569</v>
      </c>
      <c r="X49" s="0" t="s">
        <v>624</v>
      </c>
      <c r="Y49" s="0" t="s">
        <v>627</v>
      </c>
      <c r="Z49" s="0" t="s">
        <v>629</v>
      </c>
      <c r="AA49" s="0" t="s">
        <v>624</v>
      </c>
      <c r="AB49" s="0" t="s">
        <v>132</v>
      </c>
      <c r="AC49" s="254" t="n">
        <v>500000</v>
      </c>
      <c r="AD49" s="254" t="n">
        <v>31757.1267130173</v>
      </c>
      <c r="AE49" s="0" t="n">
        <v>0</v>
      </c>
      <c r="AF49" s="0" t="n">
        <v>0</v>
      </c>
      <c r="AG49" s="0" t="n">
        <v>0</v>
      </c>
      <c r="AH49" s="254" t="n">
        <v>-4345.4608277247</v>
      </c>
      <c r="AI49" s="0" t="n">
        <v>226</v>
      </c>
      <c r="AJ49" s="0" t="s">
        <v>630</v>
      </c>
      <c r="AK49" s="0" t="n">
        <v>0</v>
      </c>
      <c r="AL49" s="0" t="n">
        <v>0</v>
      </c>
      <c r="AM49" s="0" t="n">
        <v>0</v>
      </c>
    </row>
    <row r="50" customFormat="false" ht="12.75" hidden="false" customHeight="false" outlineLevel="0" collapsed="false">
      <c r="A50" s="0" t="s">
        <v>621</v>
      </c>
      <c r="B50" s="0" t="s">
        <v>225</v>
      </c>
      <c r="C50" s="0" t="s">
        <v>622</v>
      </c>
      <c r="D50" s="0" t="s">
        <v>623</v>
      </c>
      <c r="E50" s="0" t="s">
        <v>131</v>
      </c>
      <c r="F50" s="0" t="s">
        <v>218</v>
      </c>
      <c r="G50" s="0" t="s">
        <v>628</v>
      </c>
      <c r="H50" s="0" t="s">
        <v>625</v>
      </c>
      <c r="I50" s="0" t="s">
        <v>626</v>
      </c>
      <c r="J50" s="0" t="s">
        <v>627</v>
      </c>
      <c r="K50" s="475" t="n">
        <v>36951</v>
      </c>
      <c r="L50" s="254" t="n">
        <v>171077.448472127</v>
      </c>
      <c r="M50" s="475" t="n">
        <v>36949</v>
      </c>
      <c r="N50" s="0" t="s">
        <v>132</v>
      </c>
      <c r="O50" s="0" t="n">
        <v>0.75</v>
      </c>
      <c r="P50" s="0" t="n">
        <v>0</v>
      </c>
      <c r="Q50" s="0" t="n">
        <v>0</v>
      </c>
      <c r="R50" s="0" t="n">
        <v>0</v>
      </c>
      <c r="S50" s="0" t="n">
        <v>0</v>
      </c>
      <c r="T50" s="0" t="s">
        <v>624</v>
      </c>
      <c r="U50" s="0" t="s">
        <v>149</v>
      </c>
      <c r="V50" s="0" t="s">
        <v>624</v>
      </c>
      <c r="W50" s="0" t="s">
        <v>569</v>
      </c>
      <c r="X50" s="0" t="s">
        <v>624</v>
      </c>
      <c r="Y50" s="0" t="s">
        <v>627</v>
      </c>
      <c r="Z50" s="0" t="s">
        <v>629</v>
      </c>
      <c r="AA50" s="0" t="s">
        <v>624</v>
      </c>
      <c r="AB50" s="0" t="s">
        <v>132</v>
      </c>
      <c r="AC50" s="254" t="n">
        <v>500000</v>
      </c>
      <c r="AD50" s="254" t="n">
        <v>43710.1514735721</v>
      </c>
      <c r="AE50" s="0" t="n">
        <v>0</v>
      </c>
      <c r="AF50" s="0" t="n">
        <v>0</v>
      </c>
      <c r="AG50" s="0" t="n">
        <v>0</v>
      </c>
      <c r="AH50" s="254" t="n">
        <v>-8168.60971240452</v>
      </c>
      <c r="AI50" s="0" t="n">
        <v>226</v>
      </c>
      <c r="AJ50" s="0" t="s">
        <v>630</v>
      </c>
      <c r="AK50" s="0" t="n">
        <v>0</v>
      </c>
      <c r="AL50" s="0" t="n">
        <v>0</v>
      </c>
      <c r="AM50" s="0" t="n">
        <v>0</v>
      </c>
    </row>
    <row r="51" customFormat="false" ht="12.75" hidden="false" customHeight="false" outlineLevel="0" collapsed="false">
      <c r="A51" s="0" t="s">
        <v>621</v>
      </c>
      <c r="B51" s="0" t="s">
        <v>225</v>
      </c>
      <c r="C51" s="0" t="s">
        <v>622</v>
      </c>
      <c r="D51" s="0" t="s">
        <v>623</v>
      </c>
      <c r="E51" s="0" t="s">
        <v>131</v>
      </c>
      <c r="F51" s="0" t="s">
        <v>218</v>
      </c>
      <c r="G51" s="0" t="s">
        <v>628</v>
      </c>
      <c r="H51" s="0" t="s">
        <v>625</v>
      </c>
      <c r="I51" s="0" t="s">
        <v>626</v>
      </c>
      <c r="J51" s="0" t="s">
        <v>627</v>
      </c>
      <c r="K51" s="475" t="n">
        <v>36923</v>
      </c>
      <c r="L51" s="254" t="n">
        <v>70124.2496111585</v>
      </c>
      <c r="M51" s="475" t="n">
        <v>36921</v>
      </c>
      <c r="N51" s="0" t="s">
        <v>132</v>
      </c>
      <c r="O51" s="0" t="n">
        <v>0.75</v>
      </c>
      <c r="P51" s="0" t="n">
        <v>0</v>
      </c>
      <c r="Q51" s="0" t="n">
        <v>0</v>
      </c>
      <c r="R51" s="0" t="n">
        <v>0</v>
      </c>
      <c r="S51" s="0" t="n">
        <v>0</v>
      </c>
      <c r="T51" s="0" t="s">
        <v>624</v>
      </c>
      <c r="U51" s="0" t="s">
        <v>149</v>
      </c>
      <c r="V51" s="0" t="s">
        <v>624</v>
      </c>
      <c r="W51" s="0" t="s">
        <v>569</v>
      </c>
      <c r="X51" s="0" t="s">
        <v>624</v>
      </c>
      <c r="Y51" s="0" t="s">
        <v>627</v>
      </c>
      <c r="Z51" s="0" t="s">
        <v>629</v>
      </c>
      <c r="AA51" s="0" t="s">
        <v>624</v>
      </c>
      <c r="AB51" s="0" t="s">
        <v>132</v>
      </c>
      <c r="AC51" s="254" t="n">
        <v>500000</v>
      </c>
      <c r="AD51" s="254" t="n">
        <v>30734.7857962365</v>
      </c>
      <c r="AE51" s="0" t="n">
        <v>0</v>
      </c>
      <c r="AF51" s="0" t="n">
        <v>0</v>
      </c>
      <c r="AG51" s="0" t="n">
        <v>0</v>
      </c>
      <c r="AH51" s="254" t="n">
        <v>-3753.35106402775</v>
      </c>
      <c r="AI51" s="0" t="n">
        <v>226</v>
      </c>
      <c r="AJ51" s="0" t="s">
        <v>630</v>
      </c>
      <c r="AK51" s="0" t="n">
        <v>0</v>
      </c>
      <c r="AL51" s="0" t="n">
        <v>0</v>
      </c>
      <c r="AM51" s="0" t="n">
        <v>0</v>
      </c>
    </row>
    <row r="52" customFormat="false" ht="12.75" hidden="false" customHeight="false" outlineLevel="0" collapsed="false">
      <c r="A52" s="0" t="s">
        <v>621</v>
      </c>
      <c r="B52" s="0" t="s">
        <v>225</v>
      </c>
      <c r="C52" s="0" t="s">
        <v>622</v>
      </c>
      <c r="D52" s="0" t="s">
        <v>623</v>
      </c>
      <c r="E52" s="0" t="s">
        <v>131</v>
      </c>
      <c r="F52" s="0" t="s">
        <v>218</v>
      </c>
      <c r="G52" s="0" t="s">
        <v>628</v>
      </c>
      <c r="H52" s="0" t="s">
        <v>625</v>
      </c>
      <c r="I52" s="0" t="s">
        <v>626</v>
      </c>
      <c r="J52" s="0" t="s">
        <v>627</v>
      </c>
      <c r="K52" s="475" t="n">
        <v>36892</v>
      </c>
      <c r="L52" s="254" t="n">
        <v>55369.8447248119</v>
      </c>
      <c r="M52" s="475" t="n">
        <v>36888</v>
      </c>
      <c r="N52" s="0" t="s">
        <v>132</v>
      </c>
      <c r="O52" s="0" t="n">
        <v>0.75</v>
      </c>
      <c r="P52" s="0" t="n">
        <v>0</v>
      </c>
      <c r="Q52" s="0" t="n">
        <v>0</v>
      </c>
      <c r="R52" s="0" t="n">
        <v>0</v>
      </c>
      <c r="S52" s="0" t="n">
        <v>0</v>
      </c>
      <c r="T52" s="0" t="s">
        <v>624</v>
      </c>
      <c r="U52" s="0" t="s">
        <v>149</v>
      </c>
      <c r="V52" s="0" t="s">
        <v>624</v>
      </c>
      <c r="W52" s="0" t="s">
        <v>569</v>
      </c>
      <c r="X52" s="0" t="s">
        <v>624</v>
      </c>
      <c r="Y52" s="0" t="s">
        <v>627</v>
      </c>
      <c r="Z52" s="0" t="s">
        <v>629</v>
      </c>
      <c r="AA52" s="0" t="s">
        <v>624</v>
      </c>
      <c r="AB52" s="0" t="s">
        <v>132</v>
      </c>
      <c r="AC52" s="254" t="n">
        <v>500000</v>
      </c>
      <c r="AD52" s="254" t="n">
        <v>25488.8717669226</v>
      </c>
      <c r="AE52" s="0" t="n">
        <v>0</v>
      </c>
      <c r="AF52" s="0" t="n">
        <v>0</v>
      </c>
      <c r="AG52" s="0" t="n">
        <v>0</v>
      </c>
      <c r="AH52" s="254" t="n">
        <v>-2670.91259701058</v>
      </c>
      <c r="AI52" s="0" t="n">
        <v>226</v>
      </c>
      <c r="AJ52" s="0" t="s">
        <v>630</v>
      </c>
      <c r="AK52" s="0" t="n">
        <v>0</v>
      </c>
      <c r="AL52" s="0" t="n">
        <v>0</v>
      </c>
      <c r="AM52" s="0" t="n">
        <v>0</v>
      </c>
    </row>
    <row r="53" customFormat="false" ht="12.75" hidden="false" customHeight="false" outlineLevel="0" collapsed="false">
      <c r="A53" s="0" t="s">
        <v>621</v>
      </c>
      <c r="B53" s="0" t="s">
        <v>225</v>
      </c>
      <c r="C53" s="0" t="s">
        <v>622</v>
      </c>
      <c r="D53" s="0" t="s">
        <v>623</v>
      </c>
      <c r="E53" s="0" t="s">
        <v>131</v>
      </c>
      <c r="F53" s="0" t="s">
        <v>218</v>
      </c>
      <c r="G53" s="0" t="s">
        <v>628</v>
      </c>
      <c r="H53" s="0" t="s">
        <v>625</v>
      </c>
      <c r="I53" s="0" t="s">
        <v>626</v>
      </c>
      <c r="J53" s="0" t="s">
        <v>627</v>
      </c>
      <c r="K53" s="475" t="n">
        <v>36861</v>
      </c>
      <c r="L53" s="254" t="n">
        <v>73958.4925856365</v>
      </c>
      <c r="M53" s="475" t="n">
        <v>36859</v>
      </c>
      <c r="N53" s="0" t="s">
        <v>132</v>
      </c>
      <c r="O53" s="0" t="n">
        <v>0.75</v>
      </c>
      <c r="P53" s="0" t="n">
        <v>0</v>
      </c>
      <c r="Q53" s="0" t="n">
        <v>0</v>
      </c>
      <c r="R53" s="0" t="n">
        <v>0</v>
      </c>
      <c r="S53" s="0" t="n">
        <v>0</v>
      </c>
      <c r="T53" s="0" t="s">
        <v>624</v>
      </c>
      <c r="U53" s="0" t="s">
        <v>149</v>
      </c>
      <c r="V53" s="0" t="s">
        <v>624</v>
      </c>
      <c r="W53" s="0" t="s">
        <v>569</v>
      </c>
      <c r="X53" s="0" t="s">
        <v>624</v>
      </c>
      <c r="Y53" s="0" t="s">
        <v>627</v>
      </c>
      <c r="Z53" s="0" t="s">
        <v>629</v>
      </c>
      <c r="AA53" s="0" t="s">
        <v>624</v>
      </c>
      <c r="AB53" s="0" t="s">
        <v>132</v>
      </c>
      <c r="AC53" s="254" t="n">
        <v>500000</v>
      </c>
      <c r="AD53" s="254" t="n">
        <v>27791.5401500405</v>
      </c>
      <c r="AE53" s="0" t="n">
        <v>0</v>
      </c>
      <c r="AF53" s="0" t="n">
        <v>0</v>
      </c>
      <c r="AG53" s="0" t="n">
        <v>0</v>
      </c>
      <c r="AH53" s="254" t="n">
        <v>-3004.03763279801</v>
      </c>
      <c r="AI53" s="0" t="n">
        <v>226</v>
      </c>
      <c r="AJ53" s="0" t="s">
        <v>630</v>
      </c>
      <c r="AK53" s="0" t="n">
        <v>0</v>
      </c>
      <c r="AL53" s="0" t="n">
        <v>0</v>
      </c>
      <c r="AM53" s="0" t="n">
        <v>0</v>
      </c>
    </row>
    <row r="54" customFormat="false" ht="12.75" hidden="false" customHeight="false" outlineLevel="0" collapsed="false">
      <c r="A54" s="0" t="s">
        <v>621</v>
      </c>
      <c r="B54" s="0" t="s">
        <v>225</v>
      </c>
      <c r="C54" s="0" t="s">
        <v>622</v>
      </c>
      <c r="D54" s="0" t="s">
        <v>623</v>
      </c>
      <c r="E54" s="0" t="s">
        <v>131</v>
      </c>
      <c r="F54" s="0" t="s">
        <v>218</v>
      </c>
      <c r="G54" s="0" t="s">
        <v>628</v>
      </c>
      <c r="H54" s="0" t="s">
        <v>625</v>
      </c>
      <c r="I54" s="0" t="s">
        <v>626</v>
      </c>
      <c r="J54" s="0" t="s">
        <v>627</v>
      </c>
      <c r="K54" s="475" t="n">
        <v>36831</v>
      </c>
      <c r="L54" s="254" t="n">
        <v>124808.946292206</v>
      </c>
      <c r="M54" s="475" t="n">
        <v>36829</v>
      </c>
      <c r="N54" s="0" t="s">
        <v>132</v>
      </c>
      <c r="O54" s="0" t="n">
        <v>0.75</v>
      </c>
      <c r="P54" s="0" t="n">
        <v>0</v>
      </c>
      <c r="Q54" s="0" t="n">
        <v>0</v>
      </c>
      <c r="R54" s="0" t="n">
        <v>0</v>
      </c>
      <c r="S54" s="0" t="n">
        <v>0</v>
      </c>
      <c r="T54" s="0" t="s">
        <v>624</v>
      </c>
      <c r="U54" s="0" t="s">
        <v>149</v>
      </c>
      <c r="V54" s="0" t="s">
        <v>624</v>
      </c>
      <c r="W54" s="0" t="s">
        <v>569</v>
      </c>
      <c r="X54" s="0" t="s">
        <v>624</v>
      </c>
      <c r="Y54" s="0" t="s">
        <v>627</v>
      </c>
      <c r="Z54" s="0" t="s">
        <v>629</v>
      </c>
      <c r="AA54" s="0" t="s">
        <v>624</v>
      </c>
      <c r="AB54" s="0" t="s">
        <v>132</v>
      </c>
      <c r="AC54" s="254" t="n">
        <v>500000</v>
      </c>
      <c r="AD54" s="254" t="n">
        <v>22575.2973415849</v>
      </c>
      <c r="AE54" s="0" t="n">
        <v>0</v>
      </c>
      <c r="AF54" s="0" t="n">
        <v>0</v>
      </c>
      <c r="AG54" s="0" t="n">
        <v>0</v>
      </c>
      <c r="AH54" s="254" t="n">
        <v>-8179.17666208156</v>
      </c>
      <c r="AI54" s="0" t="n">
        <v>226</v>
      </c>
      <c r="AJ54" s="0" t="s">
        <v>630</v>
      </c>
      <c r="AK54" s="0" t="n">
        <v>0</v>
      </c>
      <c r="AL54" s="0" t="n">
        <v>0</v>
      </c>
      <c r="AM54" s="0" t="n">
        <v>0</v>
      </c>
    </row>
    <row r="55" customFormat="false" ht="12.75" hidden="false" customHeight="false" outlineLevel="0" collapsed="false">
      <c r="A55" s="0" t="s">
        <v>621</v>
      </c>
      <c r="B55" s="0" t="s">
        <v>226</v>
      </c>
      <c r="C55" s="0" t="s">
        <v>622</v>
      </c>
      <c r="D55" s="0" t="s">
        <v>623</v>
      </c>
      <c r="E55" s="0" t="s">
        <v>131</v>
      </c>
      <c r="F55" s="0" t="s">
        <v>198</v>
      </c>
      <c r="G55" s="0" t="s">
        <v>628</v>
      </c>
      <c r="H55" s="0" t="s">
        <v>625</v>
      </c>
      <c r="I55" s="0" t="s">
        <v>626</v>
      </c>
      <c r="J55" s="0" t="s">
        <v>627</v>
      </c>
      <c r="K55" s="475" t="n">
        <v>36951</v>
      </c>
      <c r="L55" s="254" t="n">
        <v>-238329.280769459</v>
      </c>
      <c r="M55" s="475" t="n">
        <v>36949</v>
      </c>
      <c r="N55" s="0" t="s">
        <v>136</v>
      </c>
      <c r="O55" s="0" t="n">
        <v>1.15</v>
      </c>
      <c r="P55" s="0" t="n">
        <v>0</v>
      </c>
      <c r="Q55" s="0" t="n">
        <v>0</v>
      </c>
      <c r="R55" s="0" t="n">
        <v>0</v>
      </c>
      <c r="S55" s="0" t="n">
        <v>0</v>
      </c>
      <c r="T55" s="0" t="s">
        <v>624</v>
      </c>
      <c r="U55" s="0" t="s">
        <v>149</v>
      </c>
      <c r="V55" s="0" t="s">
        <v>624</v>
      </c>
      <c r="W55" s="0" t="s">
        <v>569</v>
      </c>
      <c r="X55" s="0" t="s">
        <v>624</v>
      </c>
      <c r="Y55" s="0" t="s">
        <v>627</v>
      </c>
      <c r="Z55" s="0" t="s">
        <v>629</v>
      </c>
      <c r="AA55" s="0" t="s">
        <v>624</v>
      </c>
      <c r="AB55" s="0" t="s">
        <v>132</v>
      </c>
      <c r="AC55" s="254" t="n">
        <v>-500000</v>
      </c>
      <c r="AD55" s="254" t="n">
        <v>-44116.9430543898</v>
      </c>
      <c r="AE55" s="0" t="n">
        <v>0</v>
      </c>
      <c r="AF55" s="0" t="n">
        <v>0</v>
      </c>
      <c r="AG55" s="0" t="n">
        <v>0</v>
      </c>
      <c r="AH55" s="254" t="n">
        <v>-17294.7441003328</v>
      </c>
      <c r="AI55" s="0" t="n">
        <v>226</v>
      </c>
      <c r="AJ55" s="0" t="s">
        <v>630</v>
      </c>
      <c r="AK55" s="0" t="n">
        <v>0</v>
      </c>
      <c r="AL55" s="0" t="n">
        <v>0</v>
      </c>
      <c r="AM55" s="0" t="n">
        <v>0</v>
      </c>
    </row>
    <row r="56" customFormat="false" ht="12.75" hidden="false" customHeight="false" outlineLevel="0" collapsed="false">
      <c r="A56" s="0" t="s">
        <v>621</v>
      </c>
      <c r="B56" s="0" t="s">
        <v>226</v>
      </c>
      <c r="C56" s="0" t="s">
        <v>622</v>
      </c>
      <c r="D56" s="0" t="s">
        <v>623</v>
      </c>
      <c r="E56" s="0" t="s">
        <v>131</v>
      </c>
      <c r="F56" s="0" t="s">
        <v>198</v>
      </c>
      <c r="G56" s="0" t="s">
        <v>628</v>
      </c>
      <c r="H56" s="0" t="s">
        <v>625</v>
      </c>
      <c r="I56" s="0" t="s">
        <v>626</v>
      </c>
      <c r="J56" s="0" t="s">
        <v>627</v>
      </c>
      <c r="K56" s="475" t="n">
        <v>36923</v>
      </c>
      <c r="L56" s="254" t="n">
        <v>-582577.672706908</v>
      </c>
      <c r="M56" s="475" t="n">
        <v>36921</v>
      </c>
      <c r="N56" s="0" t="s">
        <v>136</v>
      </c>
      <c r="O56" s="0" t="n">
        <v>1.15</v>
      </c>
      <c r="P56" s="0" t="n">
        <v>0</v>
      </c>
      <c r="Q56" s="0" t="n">
        <v>0</v>
      </c>
      <c r="R56" s="0" t="n">
        <v>0</v>
      </c>
      <c r="S56" s="0" t="n">
        <v>0</v>
      </c>
      <c r="T56" s="0" t="s">
        <v>624</v>
      </c>
      <c r="U56" s="0" t="s">
        <v>149</v>
      </c>
      <c r="V56" s="0" t="s">
        <v>624</v>
      </c>
      <c r="W56" s="0" t="s">
        <v>569</v>
      </c>
      <c r="X56" s="0" t="s">
        <v>624</v>
      </c>
      <c r="Y56" s="0" t="s">
        <v>627</v>
      </c>
      <c r="Z56" s="0" t="s">
        <v>629</v>
      </c>
      <c r="AA56" s="0" t="s">
        <v>624</v>
      </c>
      <c r="AB56" s="0" t="s">
        <v>132</v>
      </c>
      <c r="AC56" s="254" t="n">
        <v>-500000</v>
      </c>
      <c r="AD56" s="254" t="n">
        <v>-37594.5991460063</v>
      </c>
      <c r="AE56" s="0" t="n">
        <v>0</v>
      </c>
      <c r="AF56" s="0" t="n">
        <v>0</v>
      </c>
      <c r="AG56" s="0" t="n">
        <v>0</v>
      </c>
      <c r="AH56" s="254" t="n">
        <v>-27744.3495190281</v>
      </c>
      <c r="AI56" s="0" t="n">
        <v>226</v>
      </c>
      <c r="AJ56" s="0" t="s">
        <v>630</v>
      </c>
      <c r="AK56" s="0" t="n">
        <v>0</v>
      </c>
      <c r="AL56" s="0" t="n">
        <v>0</v>
      </c>
      <c r="AM56" s="0" t="n">
        <v>0</v>
      </c>
    </row>
    <row r="57" customFormat="false" ht="12.75" hidden="false" customHeight="false" outlineLevel="0" collapsed="false">
      <c r="A57" s="0" t="s">
        <v>621</v>
      </c>
      <c r="B57" s="0" t="s">
        <v>226</v>
      </c>
      <c r="C57" s="0" t="s">
        <v>622</v>
      </c>
      <c r="D57" s="0" t="s">
        <v>623</v>
      </c>
      <c r="E57" s="0" t="s">
        <v>131</v>
      </c>
      <c r="F57" s="0" t="s">
        <v>198</v>
      </c>
      <c r="G57" s="0" t="s">
        <v>628</v>
      </c>
      <c r="H57" s="0" t="s">
        <v>625</v>
      </c>
      <c r="I57" s="0" t="s">
        <v>626</v>
      </c>
      <c r="J57" s="0" t="s">
        <v>627</v>
      </c>
      <c r="K57" s="475" t="n">
        <v>36892</v>
      </c>
      <c r="L57" s="254" t="n">
        <v>-602722.513984753</v>
      </c>
      <c r="M57" s="475" t="n">
        <v>36888</v>
      </c>
      <c r="N57" s="0" t="s">
        <v>136</v>
      </c>
      <c r="O57" s="0" t="n">
        <v>1.15</v>
      </c>
      <c r="P57" s="0" t="n">
        <v>0</v>
      </c>
      <c r="Q57" s="0" t="n">
        <v>0</v>
      </c>
      <c r="R57" s="0" t="n">
        <v>0</v>
      </c>
      <c r="S57" s="0" t="n">
        <v>0</v>
      </c>
      <c r="T57" s="0" t="s">
        <v>624</v>
      </c>
      <c r="U57" s="0" t="s">
        <v>149</v>
      </c>
      <c r="V57" s="0" t="s">
        <v>624</v>
      </c>
      <c r="W57" s="0" t="s">
        <v>569</v>
      </c>
      <c r="X57" s="0" t="s">
        <v>624</v>
      </c>
      <c r="Y57" s="0" t="s">
        <v>627</v>
      </c>
      <c r="Z57" s="0" t="s">
        <v>629</v>
      </c>
      <c r="AA57" s="0" t="s">
        <v>624</v>
      </c>
      <c r="AB57" s="0" t="s">
        <v>132</v>
      </c>
      <c r="AC57" s="254" t="n">
        <v>-500000</v>
      </c>
      <c r="AD57" s="254" t="n">
        <v>-32597.0298489969</v>
      </c>
      <c r="AE57" s="0" t="n">
        <v>0</v>
      </c>
      <c r="AF57" s="0" t="n">
        <v>0</v>
      </c>
      <c r="AG57" s="0" t="n">
        <v>0</v>
      </c>
      <c r="AH57" s="254" t="n">
        <v>-24606.5678551612</v>
      </c>
      <c r="AI57" s="0" t="n">
        <v>226</v>
      </c>
      <c r="AJ57" s="0" t="s">
        <v>630</v>
      </c>
      <c r="AK57" s="0" t="n">
        <v>0</v>
      </c>
      <c r="AL57" s="0" t="n">
        <v>0</v>
      </c>
      <c r="AM57" s="0" t="n">
        <v>0</v>
      </c>
    </row>
    <row r="58" customFormat="false" ht="12.75" hidden="false" customHeight="false" outlineLevel="0" collapsed="false">
      <c r="A58" s="0" t="s">
        <v>621</v>
      </c>
      <c r="B58" s="0" t="s">
        <v>226</v>
      </c>
      <c r="C58" s="0" t="s">
        <v>622</v>
      </c>
      <c r="D58" s="0" t="s">
        <v>623</v>
      </c>
      <c r="E58" s="0" t="s">
        <v>131</v>
      </c>
      <c r="F58" s="0" t="s">
        <v>198</v>
      </c>
      <c r="G58" s="0" t="s">
        <v>628</v>
      </c>
      <c r="H58" s="0" t="s">
        <v>625</v>
      </c>
      <c r="I58" s="0" t="s">
        <v>626</v>
      </c>
      <c r="J58" s="0" t="s">
        <v>627</v>
      </c>
      <c r="K58" s="475" t="n">
        <v>36861</v>
      </c>
      <c r="L58" s="254" t="n">
        <v>-382811.886675987</v>
      </c>
      <c r="M58" s="475" t="n">
        <v>36859</v>
      </c>
      <c r="N58" s="0" t="s">
        <v>136</v>
      </c>
      <c r="O58" s="0" t="n">
        <v>1.15</v>
      </c>
      <c r="P58" s="0" t="n">
        <v>0</v>
      </c>
      <c r="Q58" s="0" t="n">
        <v>0</v>
      </c>
      <c r="R58" s="0" t="n">
        <v>0</v>
      </c>
      <c r="S58" s="0" t="n">
        <v>0</v>
      </c>
      <c r="T58" s="0" t="s">
        <v>624</v>
      </c>
      <c r="U58" s="0" t="s">
        <v>149</v>
      </c>
      <c r="V58" s="0" t="s">
        <v>624</v>
      </c>
      <c r="W58" s="0" t="s">
        <v>569</v>
      </c>
      <c r="X58" s="0" t="s">
        <v>624</v>
      </c>
      <c r="Y58" s="0" t="s">
        <v>627</v>
      </c>
      <c r="Z58" s="0" t="s">
        <v>629</v>
      </c>
      <c r="AA58" s="0" t="s">
        <v>624</v>
      </c>
      <c r="AB58" s="0" t="s">
        <v>132</v>
      </c>
      <c r="AC58" s="254" t="n">
        <v>-500000</v>
      </c>
      <c r="AD58" s="254" t="n">
        <v>-33465.8645798535</v>
      </c>
      <c r="AE58" s="0" t="n">
        <v>0</v>
      </c>
      <c r="AF58" s="0" t="n">
        <v>0</v>
      </c>
      <c r="AG58" s="0" t="n">
        <v>0</v>
      </c>
      <c r="AH58" s="254" t="n">
        <v>-16853.365497509</v>
      </c>
      <c r="AI58" s="0" t="n">
        <v>226</v>
      </c>
      <c r="AJ58" s="0" t="s">
        <v>630</v>
      </c>
      <c r="AK58" s="0" t="n">
        <v>0</v>
      </c>
      <c r="AL58" s="0" t="n">
        <v>0</v>
      </c>
      <c r="AM58" s="0" t="n">
        <v>0</v>
      </c>
    </row>
    <row r="59" customFormat="false" ht="12.75" hidden="false" customHeight="false" outlineLevel="0" collapsed="false">
      <c r="A59" s="0" t="s">
        <v>621</v>
      </c>
      <c r="B59" s="0" t="s">
        <v>226</v>
      </c>
      <c r="C59" s="0" t="s">
        <v>622</v>
      </c>
      <c r="D59" s="0" t="s">
        <v>623</v>
      </c>
      <c r="E59" s="0" t="s">
        <v>131</v>
      </c>
      <c r="F59" s="0" t="s">
        <v>198</v>
      </c>
      <c r="G59" s="0" t="s">
        <v>628</v>
      </c>
      <c r="H59" s="0" t="s">
        <v>625</v>
      </c>
      <c r="I59" s="0" t="s">
        <v>626</v>
      </c>
      <c r="J59" s="0" t="s">
        <v>627</v>
      </c>
      <c r="K59" s="475" t="n">
        <v>36831</v>
      </c>
      <c r="L59" s="254" t="n">
        <v>-63565.1007274428</v>
      </c>
      <c r="M59" s="475" t="n">
        <v>36829</v>
      </c>
      <c r="N59" s="0" t="s">
        <v>136</v>
      </c>
      <c r="O59" s="0" t="n">
        <v>1.15</v>
      </c>
      <c r="P59" s="0" t="n">
        <v>0</v>
      </c>
      <c r="Q59" s="0" t="n">
        <v>0</v>
      </c>
      <c r="R59" s="0" t="n">
        <v>0</v>
      </c>
      <c r="S59" s="0" t="n">
        <v>0</v>
      </c>
      <c r="T59" s="0" t="s">
        <v>624</v>
      </c>
      <c r="U59" s="0" t="s">
        <v>149</v>
      </c>
      <c r="V59" s="0" t="s">
        <v>624</v>
      </c>
      <c r="W59" s="0" t="s">
        <v>569</v>
      </c>
      <c r="X59" s="0" t="s">
        <v>624</v>
      </c>
      <c r="Y59" s="0" t="s">
        <v>627</v>
      </c>
      <c r="Z59" s="0" t="s">
        <v>629</v>
      </c>
      <c r="AA59" s="0" t="s">
        <v>624</v>
      </c>
      <c r="AB59" s="0" t="s">
        <v>132</v>
      </c>
      <c r="AC59" s="254" t="n">
        <v>-500000</v>
      </c>
      <c r="AD59" s="254" t="n">
        <v>-18869.3457147865</v>
      </c>
      <c r="AE59" s="0" t="n">
        <v>0</v>
      </c>
      <c r="AF59" s="0" t="n">
        <v>0</v>
      </c>
      <c r="AG59" s="0" t="n">
        <v>0</v>
      </c>
      <c r="AH59" s="254" t="n">
        <v>-7077.95341871211</v>
      </c>
      <c r="AI59" s="0" t="n">
        <v>226</v>
      </c>
      <c r="AJ59" s="0" t="s">
        <v>630</v>
      </c>
      <c r="AK59" s="0" t="n">
        <v>0</v>
      </c>
      <c r="AL59" s="0" t="n">
        <v>0</v>
      </c>
      <c r="AM59" s="0" t="n">
        <v>0</v>
      </c>
    </row>
    <row r="60" customFormat="false" ht="12.75" hidden="false" customHeight="false" outlineLevel="0" collapsed="false">
      <c r="A60" s="0" t="s">
        <v>621</v>
      </c>
      <c r="B60" s="0" t="s">
        <v>227</v>
      </c>
      <c r="C60" s="0" t="s">
        <v>622</v>
      </c>
      <c r="D60" s="0" t="s">
        <v>623</v>
      </c>
      <c r="E60" s="0" t="s">
        <v>131</v>
      </c>
      <c r="F60" s="0" t="s">
        <v>218</v>
      </c>
      <c r="G60" s="0" t="s">
        <v>628</v>
      </c>
      <c r="H60" s="0" t="s">
        <v>625</v>
      </c>
      <c r="I60" s="0" t="s">
        <v>626</v>
      </c>
      <c r="J60" s="0" t="s">
        <v>627</v>
      </c>
      <c r="K60" s="475" t="n">
        <v>36800</v>
      </c>
      <c r="L60" s="254" t="n">
        <v>-30436.6687723278</v>
      </c>
      <c r="M60" s="475" t="n">
        <v>36797</v>
      </c>
      <c r="N60" s="0" t="s">
        <v>136</v>
      </c>
      <c r="O60" s="0" t="n">
        <v>0.3</v>
      </c>
      <c r="P60" s="0" t="n">
        <v>0</v>
      </c>
      <c r="Q60" s="0" t="n">
        <v>0</v>
      </c>
      <c r="R60" s="0" t="n">
        <v>0</v>
      </c>
      <c r="S60" s="0" t="n">
        <v>0</v>
      </c>
      <c r="T60" s="0" t="s">
        <v>624</v>
      </c>
      <c r="U60" s="0" t="s">
        <v>149</v>
      </c>
      <c r="V60" s="0" t="s">
        <v>624</v>
      </c>
      <c r="W60" s="0" t="s">
        <v>569</v>
      </c>
      <c r="X60" s="0" t="s">
        <v>624</v>
      </c>
      <c r="Y60" s="0" t="s">
        <v>627</v>
      </c>
      <c r="Z60" s="0" t="s">
        <v>629</v>
      </c>
      <c r="AA60" s="0" t="s">
        <v>624</v>
      </c>
      <c r="AB60" s="0" t="s">
        <v>132</v>
      </c>
      <c r="AC60" s="254" t="n">
        <v>-250000</v>
      </c>
      <c r="AD60" s="254" t="n">
        <v>-978.53097128286</v>
      </c>
      <c r="AE60" s="0" t="n">
        <v>0</v>
      </c>
      <c r="AF60" s="0" t="n">
        <v>0</v>
      </c>
      <c r="AG60" s="0" t="n">
        <v>0</v>
      </c>
      <c r="AH60" s="254" t="n">
        <v>-56.6578403798048</v>
      </c>
      <c r="AI60" s="0" t="n">
        <v>226</v>
      </c>
      <c r="AJ60" s="0" t="s">
        <v>630</v>
      </c>
      <c r="AK60" s="0" t="n">
        <v>0</v>
      </c>
      <c r="AL60" s="0" t="n">
        <v>0</v>
      </c>
      <c r="AM60" s="0" t="n">
        <v>0</v>
      </c>
    </row>
    <row r="61" customFormat="false" ht="12.75" hidden="false" customHeight="false" outlineLevel="0" collapsed="false">
      <c r="A61" s="0" t="s">
        <v>621</v>
      </c>
      <c r="B61" s="0" t="s">
        <v>227</v>
      </c>
      <c r="C61" s="0" t="s">
        <v>622</v>
      </c>
      <c r="D61" s="0" t="s">
        <v>623</v>
      </c>
      <c r="E61" s="0" t="s">
        <v>131</v>
      </c>
      <c r="F61" s="0" t="s">
        <v>218</v>
      </c>
      <c r="G61" s="0" t="s">
        <v>628</v>
      </c>
      <c r="H61" s="0" t="s">
        <v>625</v>
      </c>
      <c r="I61" s="0" t="s">
        <v>626</v>
      </c>
      <c r="J61" s="0" t="s">
        <v>627</v>
      </c>
      <c r="K61" s="475" t="n">
        <v>36770</v>
      </c>
      <c r="L61" s="254" t="n">
        <v>-4284.11448214673</v>
      </c>
      <c r="M61" s="475" t="n">
        <v>36768</v>
      </c>
      <c r="N61" s="0" t="s">
        <v>136</v>
      </c>
      <c r="O61" s="0" t="n">
        <v>0.3</v>
      </c>
      <c r="P61" s="0" t="n">
        <v>0</v>
      </c>
      <c r="Q61" s="0" t="n">
        <v>0</v>
      </c>
      <c r="R61" s="0" t="n">
        <v>0</v>
      </c>
      <c r="S61" s="0" t="n">
        <v>0</v>
      </c>
      <c r="T61" s="0" t="s">
        <v>624</v>
      </c>
      <c r="U61" s="0" t="s">
        <v>149</v>
      </c>
      <c r="V61" s="0" t="s">
        <v>624</v>
      </c>
      <c r="W61" s="0" t="s">
        <v>569</v>
      </c>
      <c r="X61" s="0" t="s">
        <v>624</v>
      </c>
      <c r="Y61" s="0" t="s">
        <v>627</v>
      </c>
      <c r="Z61" s="0" t="s">
        <v>629</v>
      </c>
      <c r="AA61" s="0" t="s">
        <v>624</v>
      </c>
      <c r="AB61" s="0" t="s">
        <v>132</v>
      </c>
      <c r="AC61" s="254" t="n">
        <v>-250000</v>
      </c>
      <c r="AD61" s="254" t="n">
        <v>-228.470258195244</v>
      </c>
      <c r="AE61" s="0" t="n">
        <v>0</v>
      </c>
      <c r="AF61" s="0" t="n">
        <v>0</v>
      </c>
      <c r="AG61" s="0" t="n">
        <v>0</v>
      </c>
      <c r="AH61" s="254" t="n">
        <v>-34.4347789867288</v>
      </c>
      <c r="AI61" s="0" t="n">
        <v>226</v>
      </c>
      <c r="AJ61" s="0" t="s">
        <v>630</v>
      </c>
      <c r="AK61" s="0" t="n">
        <v>0</v>
      </c>
      <c r="AL61" s="0" t="n">
        <v>0</v>
      </c>
      <c r="AM61" s="0" t="n">
        <v>0</v>
      </c>
    </row>
    <row r="62" customFormat="false" ht="12.75" hidden="false" customHeight="false" outlineLevel="0" collapsed="false">
      <c r="A62" s="0" t="s">
        <v>621</v>
      </c>
      <c r="B62" s="0" t="s">
        <v>228</v>
      </c>
      <c r="C62" s="0" t="s">
        <v>622</v>
      </c>
      <c r="D62" s="0" t="s">
        <v>623</v>
      </c>
      <c r="E62" s="0" t="s">
        <v>131</v>
      </c>
      <c r="F62" s="0" t="s">
        <v>218</v>
      </c>
      <c r="G62" s="0" t="s">
        <v>628</v>
      </c>
      <c r="H62" s="0" t="s">
        <v>625</v>
      </c>
      <c r="I62" s="0" t="s">
        <v>626</v>
      </c>
      <c r="J62" s="0" t="s">
        <v>627</v>
      </c>
      <c r="K62" s="475" t="n">
        <v>36800</v>
      </c>
      <c r="L62" s="254" t="n">
        <v>-1852.24154140975</v>
      </c>
      <c r="M62" s="475" t="n">
        <v>36797</v>
      </c>
      <c r="N62" s="0" t="s">
        <v>132</v>
      </c>
      <c r="O62" s="0" t="n">
        <v>0.3</v>
      </c>
      <c r="P62" s="0" t="n">
        <v>0</v>
      </c>
      <c r="Q62" s="0" t="n">
        <v>0</v>
      </c>
      <c r="R62" s="0" t="n">
        <v>0</v>
      </c>
      <c r="S62" s="0" t="n">
        <v>0</v>
      </c>
      <c r="T62" s="0" t="s">
        <v>624</v>
      </c>
      <c r="U62" s="0" t="s">
        <v>149</v>
      </c>
      <c r="V62" s="0" t="s">
        <v>624</v>
      </c>
      <c r="W62" s="0" t="s">
        <v>569</v>
      </c>
      <c r="X62" s="0" t="s">
        <v>624</v>
      </c>
      <c r="Y62" s="0" t="s">
        <v>627</v>
      </c>
      <c r="Z62" s="0" t="s">
        <v>629</v>
      </c>
      <c r="AA62" s="0" t="s">
        <v>624</v>
      </c>
      <c r="AB62" s="0" t="s">
        <v>132</v>
      </c>
      <c r="AC62" s="254" t="n">
        <v>-250000</v>
      </c>
      <c r="AD62" s="254" t="n">
        <v>-978.53097128286</v>
      </c>
      <c r="AE62" s="0" t="n">
        <v>0</v>
      </c>
      <c r="AF62" s="0" t="n">
        <v>0</v>
      </c>
      <c r="AG62" s="0" t="n">
        <v>0</v>
      </c>
      <c r="AH62" s="254" t="n">
        <v>-56.6578403800033</v>
      </c>
      <c r="AI62" s="0" t="n">
        <v>226</v>
      </c>
      <c r="AJ62" s="0" t="s">
        <v>630</v>
      </c>
      <c r="AK62" s="0" t="n">
        <v>0</v>
      </c>
      <c r="AL62" s="0" t="n">
        <v>0</v>
      </c>
      <c r="AM62" s="0" t="n">
        <v>0</v>
      </c>
    </row>
    <row r="63" customFormat="false" ht="12.75" hidden="false" customHeight="false" outlineLevel="0" collapsed="false">
      <c r="A63" s="0" t="s">
        <v>621</v>
      </c>
      <c r="B63" s="0" t="s">
        <v>228</v>
      </c>
      <c r="C63" s="0" t="s">
        <v>622</v>
      </c>
      <c r="D63" s="0" t="s">
        <v>623</v>
      </c>
      <c r="E63" s="0" t="s">
        <v>131</v>
      </c>
      <c r="F63" s="0" t="s">
        <v>218</v>
      </c>
      <c r="G63" s="0" t="s">
        <v>628</v>
      </c>
      <c r="H63" s="0" t="s">
        <v>625</v>
      </c>
      <c r="I63" s="0" t="s">
        <v>626</v>
      </c>
      <c r="J63" s="0" t="s">
        <v>627</v>
      </c>
      <c r="K63" s="475" t="n">
        <v>36770</v>
      </c>
      <c r="L63" s="254" t="n">
        <v>-535.494437548717</v>
      </c>
      <c r="M63" s="475" t="n">
        <v>36768</v>
      </c>
      <c r="N63" s="0" t="s">
        <v>132</v>
      </c>
      <c r="O63" s="0" t="n">
        <v>0.3</v>
      </c>
      <c r="P63" s="0" t="n">
        <v>0</v>
      </c>
      <c r="Q63" s="0" t="n">
        <v>0</v>
      </c>
      <c r="R63" s="0" t="n">
        <v>0</v>
      </c>
      <c r="S63" s="0" t="n">
        <v>0</v>
      </c>
      <c r="T63" s="0" t="s">
        <v>624</v>
      </c>
      <c r="U63" s="0" t="s">
        <v>149</v>
      </c>
      <c r="V63" s="0" t="s">
        <v>624</v>
      </c>
      <c r="W63" s="0" t="s">
        <v>569</v>
      </c>
      <c r="X63" s="0" t="s">
        <v>624</v>
      </c>
      <c r="Y63" s="0" t="s">
        <v>627</v>
      </c>
      <c r="Z63" s="0" t="s">
        <v>629</v>
      </c>
      <c r="AA63" s="0" t="s">
        <v>624</v>
      </c>
      <c r="AB63" s="0" t="s">
        <v>132</v>
      </c>
      <c r="AC63" s="254" t="n">
        <v>-250000</v>
      </c>
      <c r="AD63" s="254" t="n">
        <v>-228.470258195252</v>
      </c>
      <c r="AE63" s="0" t="n">
        <v>0</v>
      </c>
      <c r="AF63" s="0" t="n">
        <v>0</v>
      </c>
      <c r="AG63" s="0" t="n">
        <v>0</v>
      </c>
      <c r="AH63" s="254" t="n">
        <v>-34.4347789866806</v>
      </c>
      <c r="AI63" s="0" t="n">
        <v>226</v>
      </c>
      <c r="AJ63" s="0" t="s">
        <v>630</v>
      </c>
      <c r="AK63" s="0" t="n">
        <v>0</v>
      </c>
      <c r="AL63" s="0" t="n">
        <v>0</v>
      </c>
      <c r="AM63" s="0" t="n">
        <v>0</v>
      </c>
    </row>
    <row r="64" customFormat="false" ht="12.75" hidden="false" customHeight="false" outlineLevel="0" collapsed="false">
      <c r="A64" s="0" t="s">
        <v>621</v>
      </c>
      <c r="B64" s="0" t="s">
        <v>229</v>
      </c>
      <c r="C64" s="0" t="s">
        <v>622</v>
      </c>
      <c r="D64" s="0" t="s">
        <v>623</v>
      </c>
      <c r="E64" s="0" t="s">
        <v>131</v>
      </c>
      <c r="F64" s="0" t="s">
        <v>198</v>
      </c>
      <c r="G64" s="0" t="s">
        <v>628</v>
      </c>
      <c r="H64" s="0" t="s">
        <v>625</v>
      </c>
      <c r="I64" s="0" t="s">
        <v>626</v>
      </c>
      <c r="J64" s="0" t="s">
        <v>627</v>
      </c>
      <c r="K64" s="475" t="n">
        <v>36800</v>
      </c>
      <c r="L64" s="254" t="n">
        <v>-30436.6687723278</v>
      </c>
      <c r="M64" s="475" t="n">
        <v>36797</v>
      </c>
      <c r="N64" s="0" t="s">
        <v>136</v>
      </c>
      <c r="O64" s="0" t="n">
        <v>0.3</v>
      </c>
      <c r="P64" s="0" t="n">
        <v>0</v>
      </c>
      <c r="Q64" s="0" t="n">
        <v>0</v>
      </c>
      <c r="R64" s="0" t="n">
        <v>0</v>
      </c>
      <c r="S64" s="0" t="n">
        <v>0</v>
      </c>
      <c r="T64" s="0" t="s">
        <v>624</v>
      </c>
      <c r="U64" s="0" t="s">
        <v>149</v>
      </c>
      <c r="V64" s="0" t="s">
        <v>624</v>
      </c>
      <c r="W64" s="0" t="s">
        <v>569</v>
      </c>
      <c r="X64" s="0" t="s">
        <v>624</v>
      </c>
      <c r="Y64" s="0" t="s">
        <v>627</v>
      </c>
      <c r="Z64" s="0" t="s">
        <v>629</v>
      </c>
      <c r="AA64" s="0" t="s">
        <v>624</v>
      </c>
      <c r="AB64" s="0" t="s">
        <v>132</v>
      </c>
      <c r="AC64" s="254" t="n">
        <v>-250000</v>
      </c>
      <c r="AD64" s="254" t="n">
        <v>-978.53097128286</v>
      </c>
      <c r="AE64" s="0" t="n">
        <v>0</v>
      </c>
      <c r="AF64" s="0" t="n">
        <v>0</v>
      </c>
      <c r="AG64" s="0" t="n">
        <v>0</v>
      </c>
      <c r="AH64" s="254" t="n">
        <v>-56.6578403798048</v>
      </c>
      <c r="AI64" s="0" t="n">
        <v>226</v>
      </c>
      <c r="AJ64" s="0" t="s">
        <v>630</v>
      </c>
      <c r="AK64" s="0" t="n">
        <v>0</v>
      </c>
      <c r="AL64" s="0" t="n">
        <v>0</v>
      </c>
      <c r="AM64" s="0" t="n">
        <v>0</v>
      </c>
    </row>
    <row r="65" customFormat="false" ht="12.75" hidden="false" customHeight="false" outlineLevel="0" collapsed="false">
      <c r="A65" s="0" t="s">
        <v>621</v>
      </c>
      <c r="B65" s="0" t="s">
        <v>229</v>
      </c>
      <c r="C65" s="0" t="s">
        <v>622</v>
      </c>
      <c r="D65" s="0" t="s">
        <v>623</v>
      </c>
      <c r="E65" s="0" t="s">
        <v>131</v>
      </c>
      <c r="F65" s="0" t="s">
        <v>198</v>
      </c>
      <c r="G65" s="0" t="s">
        <v>628</v>
      </c>
      <c r="H65" s="0" t="s">
        <v>625</v>
      </c>
      <c r="I65" s="0" t="s">
        <v>626</v>
      </c>
      <c r="J65" s="0" t="s">
        <v>627</v>
      </c>
      <c r="K65" s="475" t="n">
        <v>36800</v>
      </c>
      <c r="L65" s="254" t="n">
        <v>-60873.3375446555</v>
      </c>
      <c r="M65" s="475" t="n">
        <v>36797</v>
      </c>
      <c r="N65" s="0" t="s">
        <v>136</v>
      </c>
      <c r="O65" s="0" t="n">
        <v>0.3</v>
      </c>
      <c r="P65" s="0" t="n">
        <v>0</v>
      </c>
      <c r="Q65" s="0" t="n">
        <v>0</v>
      </c>
      <c r="R65" s="0" t="n">
        <v>0</v>
      </c>
      <c r="S65" s="0" t="n">
        <v>0</v>
      </c>
      <c r="T65" s="0" t="s">
        <v>624</v>
      </c>
      <c r="U65" s="0" t="s">
        <v>149</v>
      </c>
      <c r="V65" s="0" t="s">
        <v>624</v>
      </c>
      <c r="W65" s="0" t="s">
        <v>569</v>
      </c>
      <c r="X65" s="0" t="s">
        <v>624</v>
      </c>
      <c r="Y65" s="0" t="s">
        <v>627</v>
      </c>
      <c r="Z65" s="0" t="s">
        <v>629</v>
      </c>
      <c r="AA65" s="0" t="s">
        <v>624</v>
      </c>
      <c r="AB65" s="0" t="s">
        <v>132</v>
      </c>
      <c r="AC65" s="254" t="n">
        <v>-500000</v>
      </c>
      <c r="AD65" s="254" t="n">
        <v>-1957.06194256572</v>
      </c>
      <c r="AE65" s="0" t="n">
        <v>0</v>
      </c>
      <c r="AF65" s="0" t="n">
        <v>0</v>
      </c>
      <c r="AG65" s="0" t="n">
        <v>0</v>
      </c>
      <c r="AH65" s="254" t="n">
        <v>-113.31568075961</v>
      </c>
      <c r="AI65" s="0" t="n">
        <v>226</v>
      </c>
      <c r="AJ65" s="0" t="s">
        <v>630</v>
      </c>
      <c r="AK65" s="0" t="n">
        <v>0</v>
      </c>
      <c r="AL65" s="0" t="n">
        <v>0</v>
      </c>
      <c r="AM65" s="0" t="n">
        <v>0</v>
      </c>
    </row>
    <row r="66" customFormat="false" ht="12.75" hidden="false" customHeight="false" outlineLevel="0" collapsed="false">
      <c r="A66" s="0" t="s">
        <v>621</v>
      </c>
      <c r="B66" s="0" t="s">
        <v>229</v>
      </c>
      <c r="C66" s="0" t="s">
        <v>622</v>
      </c>
      <c r="D66" s="0" t="s">
        <v>623</v>
      </c>
      <c r="E66" s="0" t="s">
        <v>131</v>
      </c>
      <c r="F66" s="0" t="s">
        <v>198</v>
      </c>
      <c r="G66" s="0" t="s">
        <v>628</v>
      </c>
      <c r="H66" s="0" t="s">
        <v>625</v>
      </c>
      <c r="I66" s="0" t="s">
        <v>626</v>
      </c>
      <c r="J66" s="0" t="s">
        <v>627</v>
      </c>
      <c r="K66" s="475" t="n">
        <v>36770</v>
      </c>
      <c r="L66" s="254" t="n">
        <v>-4284.11448214673</v>
      </c>
      <c r="M66" s="475" t="n">
        <v>36768</v>
      </c>
      <c r="N66" s="0" t="s">
        <v>136</v>
      </c>
      <c r="O66" s="0" t="n">
        <v>0.3</v>
      </c>
      <c r="P66" s="0" t="n">
        <v>0</v>
      </c>
      <c r="Q66" s="0" t="n">
        <v>0</v>
      </c>
      <c r="R66" s="0" t="n">
        <v>0</v>
      </c>
      <c r="S66" s="0" t="n">
        <v>0</v>
      </c>
      <c r="T66" s="0" t="s">
        <v>624</v>
      </c>
      <c r="U66" s="0" t="s">
        <v>149</v>
      </c>
      <c r="V66" s="0" t="s">
        <v>624</v>
      </c>
      <c r="W66" s="0" t="s">
        <v>569</v>
      </c>
      <c r="X66" s="0" t="s">
        <v>624</v>
      </c>
      <c r="Y66" s="0" t="s">
        <v>627</v>
      </c>
      <c r="Z66" s="0" t="s">
        <v>629</v>
      </c>
      <c r="AA66" s="0" t="s">
        <v>624</v>
      </c>
      <c r="AB66" s="0" t="s">
        <v>132</v>
      </c>
      <c r="AC66" s="254" t="n">
        <v>-250000</v>
      </c>
      <c r="AD66" s="254" t="n">
        <v>-228.470258195244</v>
      </c>
      <c r="AE66" s="0" t="n">
        <v>0</v>
      </c>
      <c r="AF66" s="0" t="n">
        <v>0</v>
      </c>
      <c r="AG66" s="0" t="n">
        <v>0</v>
      </c>
      <c r="AH66" s="254" t="n">
        <v>-34.4347789867288</v>
      </c>
      <c r="AI66" s="0" t="n">
        <v>226</v>
      </c>
      <c r="AJ66" s="0" t="s">
        <v>630</v>
      </c>
      <c r="AK66" s="0" t="n">
        <v>0</v>
      </c>
      <c r="AL66" s="0" t="n">
        <v>0</v>
      </c>
      <c r="AM66" s="0" t="n">
        <v>0</v>
      </c>
    </row>
    <row r="67" customFormat="false" ht="12.75" hidden="false" customHeight="false" outlineLevel="0" collapsed="false">
      <c r="A67" s="0" t="s">
        <v>621</v>
      </c>
      <c r="B67" s="0" t="s">
        <v>229</v>
      </c>
      <c r="C67" s="0" t="s">
        <v>622</v>
      </c>
      <c r="D67" s="0" t="s">
        <v>623</v>
      </c>
      <c r="E67" s="0" t="s">
        <v>131</v>
      </c>
      <c r="F67" s="0" t="s">
        <v>198</v>
      </c>
      <c r="G67" s="0" t="s">
        <v>628</v>
      </c>
      <c r="H67" s="0" t="s">
        <v>625</v>
      </c>
      <c r="I67" s="0" t="s">
        <v>626</v>
      </c>
      <c r="J67" s="0" t="s">
        <v>627</v>
      </c>
      <c r="K67" s="475" t="n">
        <v>36770</v>
      </c>
      <c r="L67" s="254" t="n">
        <v>-8568.22896429346</v>
      </c>
      <c r="M67" s="475" t="n">
        <v>36768</v>
      </c>
      <c r="N67" s="0" t="s">
        <v>136</v>
      </c>
      <c r="O67" s="0" t="n">
        <v>0.3</v>
      </c>
      <c r="P67" s="0" t="n">
        <v>0</v>
      </c>
      <c r="Q67" s="0" t="n">
        <v>0</v>
      </c>
      <c r="R67" s="0" t="n">
        <v>0</v>
      </c>
      <c r="S67" s="0" t="n">
        <v>0</v>
      </c>
      <c r="T67" s="0" t="s">
        <v>624</v>
      </c>
      <c r="U67" s="0" t="s">
        <v>149</v>
      </c>
      <c r="V67" s="0" t="s">
        <v>624</v>
      </c>
      <c r="W67" s="0" t="s">
        <v>569</v>
      </c>
      <c r="X67" s="0" t="s">
        <v>624</v>
      </c>
      <c r="Y67" s="0" t="s">
        <v>627</v>
      </c>
      <c r="Z67" s="0" t="s">
        <v>629</v>
      </c>
      <c r="AA67" s="0" t="s">
        <v>624</v>
      </c>
      <c r="AB67" s="0" t="s">
        <v>132</v>
      </c>
      <c r="AC67" s="254" t="n">
        <v>-500000</v>
      </c>
      <c r="AD67" s="254" t="n">
        <v>-456.940516390489</v>
      </c>
      <c r="AE67" s="0" t="n">
        <v>0</v>
      </c>
      <c r="AF67" s="0" t="n">
        <v>0</v>
      </c>
      <c r="AG67" s="0" t="n">
        <v>0</v>
      </c>
      <c r="AH67" s="254" t="n">
        <v>-68.8695579734576</v>
      </c>
      <c r="AI67" s="0" t="n">
        <v>226</v>
      </c>
      <c r="AJ67" s="0" t="s">
        <v>630</v>
      </c>
      <c r="AK67" s="0" t="n">
        <v>0</v>
      </c>
      <c r="AL67" s="0" t="n">
        <v>0</v>
      </c>
      <c r="AM67" s="0" t="n">
        <v>0</v>
      </c>
    </row>
    <row r="68" customFormat="false" ht="12.75" hidden="false" customHeight="false" outlineLevel="0" collapsed="false">
      <c r="A68" s="0" t="s">
        <v>621</v>
      </c>
      <c r="B68" s="0" t="s">
        <v>230</v>
      </c>
      <c r="C68" s="0" t="s">
        <v>622</v>
      </c>
      <c r="D68" s="0" t="s">
        <v>623</v>
      </c>
      <c r="E68" s="0" t="s">
        <v>131</v>
      </c>
      <c r="F68" s="0" t="s">
        <v>198</v>
      </c>
      <c r="G68" s="0" t="s">
        <v>628</v>
      </c>
      <c r="H68" s="0" t="s">
        <v>625</v>
      </c>
      <c r="I68" s="0" t="s">
        <v>626</v>
      </c>
      <c r="J68" s="0" t="s">
        <v>627</v>
      </c>
      <c r="K68" s="475" t="n">
        <v>36800</v>
      </c>
      <c r="L68" s="254" t="n">
        <v>-1852.24154140975</v>
      </c>
      <c r="M68" s="475" t="n">
        <v>36797</v>
      </c>
      <c r="N68" s="0" t="s">
        <v>132</v>
      </c>
      <c r="O68" s="0" t="n">
        <v>0.3</v>
      </c>
      <c r="P68" s="0" t="n">
        <v>0</v>
      </c>
      <c r="Q68" s="0" t="n">
        <v>0</v>
      </c>
      <c r="R68" s="0" t="n">
        <v>0</v>
      </c>
      <c r="S68" s="0" t="n">
        <v>0</v>
      </c>
      <c r="T68" s="0" t="s">
        <v>624</v>
      </c>
      <c r="U68" s="0" t="s">
        <v>149</v>
      </c>
      <c r="V68" s="0" t="s">
        <v>624</v>
      </c>
      <c r="W68" s="0" t="s">
        <v>569</v>
      </c>
      <c r="X68" s="0" t="s">
        <v>624</v>
      </c>
      <c r="Y68" s="0" t="s">
        <v>627</v>
      </c>
      <c r="Z68" s="0" t="s">
        <v>629</v>
      </c>
      <c r="AA68" s="0" t="s">
        <v>624</v>
      </c>
      <c r="AB68" s="0" t="s">
        <v>132</v>
      </c>
      <c r="AC68" s="254" t="n">
        <v>-250000</v>
      </c>
      <c r="AD68" s="254" t="n">
        <v>-978.53097128286</v>
      </c>
      <c r="AE68" s="0" t="n">
        <v>0</v>
      </c>
      <c r="AF68" s="0" t="n">
        <v>0</v>
      </c>
      <c r="AG68" s="0" t="n">
        <v>0</v>
      </c>
      <c r="AH68" s="254" t="n">
        <v>-56.6578403800033</v>
      </c>
      <c r="AI68" s="0" t="n">
        <v>226</v>
      </c>
      <c r="AJ68" s="0" t="s">
        <v>630</v>
      </c>
      <c r="AK68" s="0" t="n">
        <v>0</v>
      </c>
      <c r="AL68" s="0" t="n">
        <v>0</v>
      </c>
      <c r="AM68" s="0" t="n">
        <v>0</v>
      </c>
    </row>
    <row r="69" customFormat="false" ht="12.75" hidden="false" customHeight="false" outlineLevel="0" collapsed="false">
      <c r="A69" s="0" t="s">
        <v>621</v>
      </c>
      <c r="B69" s="0" t="s">
        <v>230</v>
      </c>
      <c r="C69" s="0" t="s">
        <v>622</v>
      </c>
      <c r="D69" s="0" t="s">
        <v>623</v>
      </c>
      <c r="E69" s="0" t="s">
        <v>131</v>
      </c>
      <c r="F69" s="0" t="s">
        <v>198</v>
      </c>
      <c r="G69" s="0" t="s">
        <v>628</v>
      </c>
      <c r="H69" s="0" t="s">
        <v>625</v>
      </c>
      <c r="I69" s="0" t="s">
        <v>626</v>
      </c>
      <c r="J69" s="0" t="s">
        <v>627</v>
      </c>
      <c r="K69" s="475" t="n">
        <v>36800</v>
      </c>
      <c r="L69" s="254" t="n">
        <v>-3704.48308281951</v>
      </c>
      <c r="M69" s="475" t="n">
        <v>36797</v>
      </c>
      <c r="N69" s="0" t="s">
        <v>132</v>
      </c>
      <c r="O69" s="0" t="n">
        <v>0.3</v>
      </c>
      <c r="P69" s="0" t="n">
        <v>0</v>
      </c>
      <c r="Q69" s="0" t="n">
        <v>0</v>
      </c>
      <c r="R69" s="0" t="n">
        <v>0</v>
      </c>
      <c r="S69" s="0" t="n">
        <v>0</v>
      </c>
      <c r="T69" s="0" t="s">
        <v>624</v>
      </c>
      <c r="U69" s="0" t="s">
        <v>149</v>
      </c>
      <c r="V69" s="0" t="s">
        <v>624</v>
      </c>
      <c r="W69" s="0" t="s">
        <v>569</v>
      </c>
      <c r="X69" s="0" t="s">
        <v>624</v>
      </c>
      <c r="Y69" s="0" t="s">
        <v>627</v>
      </c>
      <c r="Z69" s="0" t="s">
        <v>629</v>
      </c>
      <c r="AA69" s="0" t="s">
        <v>624</v>
      </c>
      <c r="AB69" s="0" t="s">
        <v>132</v>
      </c>
      <c r="AC69" s="254" t="n">
        <v>-500000</v>
      </c>
      <c r="AD69" s="254" t="n">
        <v>-1957.06194256572</v>
      </c>
      <c r="AE69" s="0" t="n">
        <v>0</v>
      </c>
      <c r="AF69" s="0" t="n">
        <v>0</v>
      </c>
      <c r="AG69" s="0" t="n">
        <v>0</v>
      </c>
      <c r="AH69" s="254" t="n">
        <v>-113.315680760007</v>
      </c>
      <c r="AI69" s="0" t="n">
        <v>226</v>
      </c>
      <c r="AJ69" s="0" t="s">
        <v>630</v>
      </c>
      <c r="AK69" s="0" t="n">
        <v>0</v>
      </c>
      <c r="AL69" s="0" t="n">
        <v>0</v>
      </c>
      <c r="AM69" s="0" t="n">
        <v>0</v>
      </c>
    </row>
    <row r="70" customFormat="false" ht="12.75" hidden="false" customHeight="false" outlineLevel="0" collapsed="false">
      <c r="A70" s="0" t="s">
        <v>621</v>
      </c>
      <c r="B70" s="0" t="s">
        <v>230</v>
      </c>
      <c r="C70" s="0" t="s">
        <v>622</v>
      </c>
      <c r="D70" s="0" t="s">
        <v>623</v>
      </c>
      <c r="E70" s="0" t="s">
        <v>131</v>
      </c>
      <c r="F70" s="0" t="s">
        <v>198</v>
      </c>
      <c r="G70" s="0" t="s">
        <v>628</v>
      </c>
      <c r="H70" s="0" t="s">
        <v>625</v>
      </c>
      <c r="I70" s="0" t="s">
        <v>626</v>
      </c>
      <c r="J70" s="0" t="s">
        <v>627</v>
      </c>
      <c r="K70" s="475" t="n">
        <v>36770</v>
      </c>
      <c r="L70" s="254" t="n">
        <v>-535.494437548717</v>
      </c>
      <c r="M70" s="475" t="n">
        <v>36768</v>
      </c>
      <c r="N70" s="0" t="s">
        <v>132</v>
      </c>
      <c r="O70" s="0" t="n">
        <v>0.3</v>
      </c>
      <c r="P70" s="0" t="n">
        <v>0</v>
      </c>
      <c r="Q70" s="0" t="n">
        <v>0</v>
      </c>
      <c r="R70" s="0" t="n">
        <v>0</v>
      </c>
      <c r="S70" s="0" t="n">
        <v>0</v>
      </c>
      <c r="T70" s="0" t="s">
        <v>624</v>
      </c>
      <c r="U70" s="0" t="s">
        <v>149</v>
      </c>
      <c r="V70" s="0" t="s">
        <v>624</v>
      </c>
      <c r="W70" s="0" t="s">
        <v>569</v>
      </c>
      <c r="X70" s="0" t="s">
        <v>624</v>
      </c>
      <c r="Y70" s="0" t="s">
        <v>627</v>
      </c>
      <c r="Z70" s="0" t="s">
        <v>629</v>
      </c>
      <c r="AA70" s="0" t="s">
        <v>624</v>
      </c>
      <c r="AB70" s="0" t="s">
        <v>132</v>
      </c>
      <c r="AC70" s="254" t="n">
        <v>-250000</v>
      </c>
      <c r="AD70" s="254" t="n">
        <v>-228.470258195252</v>
      </c>
      <c r="AE70" s="0" t="n">
        <v>0</v>
      </c>
      <c r="AF70" s="0" t="n">
        <v>0</v>
      </c>
      <c r="AG70" s="0" t="n">
        <v>0</v>
      </c>
      <c r="AH70" s="254" t="n">
        <v>-34.4347789866806</v>
      </c>
      <c r="AI70" s="0" t="n">
        <v>226</v>
      </c>
      <c r="AJ70" s="0" t="s">
        <v>630</v>
      </c>
      <c r="AK70" s="0" t="n">
        <v>0</v>
      </c>
      <c r="AL70" s="0" t="n">
        <v>0</v>
      </c>
      <c r="AM70" s="0" t="n">
        <v>0</v>
      </c>
    </row>
    <row r="71" customFormat="false" ht="12.75" hidden="false" customHeight="false" outlineLevel="0" collapsed="false">
      <c r="A71" s="0" t="s">
        <v>621</v>
      </c>
      <c r="B71" s="0" t="s">
        <v>230</v>
      </c>
      <c r="C71" s="0" t="s">
        <v>622</v>
      </c>
      <c r="D71" s="0" t="s">
        <v>623</v>
      </c>
      <c r="E71" s="0" t="s">
        <v>131</v>
      </c>
      <c r="F71" s="0" t="s">
        <v>198</v>
      </c>
      <c r="G71" s="0" t="s">
        <v>628</v>
      </c>
      <c r="H71" s="0" t="s">
        <v>625</v>
      </c>
      <c r="I71" s="0" t="s">
        <v>626</v>
      </c>
      <c r="J71" s="0" t="s">
        <v>627</v>
      </c>
      <c r="K71" s="475" t="n">
        <v>36770</v>
      </c>
      <c r="L71" s="254" t="n">
        <v>-1070.98887509743</v>
      </c>
      <c r="M71" s="475" t="n">
        <v>36768</v>
      </c>
      <c r="N71" s="0" t="s">
        <v>132</v>
      </c>
      <c r="O71" s="0" t="n">
        <v>0.3</v>
      </c>
      <c r="P71" s="0" t="n">
        <v>0</v>
      </c>
      <c r="Q71" s="0" t="n">
        <v>0</v>
      </c>
      <c r="R71" s="0" t="n">
        <v>0</v>
      </c>
      <c r="S71" s="0" t="n">
        <v>0</v>
      </c>
      <c r="T71" s="0" t="s">
        <v>624</v>
      </c>
      <c r="U71" s="0" t="s">
        <v>149</v>
      </c>
      <c r="V71" s="0" t="s">
        <v>624</v>
      </c>
      <c r="W71" s="0" t="s">
        <v>569</v>
      </c>
      <c r="X71" s="0" t="s">
        <v>624</v>
      </c>
      <c r="Y71" s="0" t="s">
        <v>627</v>
      </c>
      <c r="Z71" s="0" t="s">
        <v>629</v>
      </c>
      <c r="AA71" s="0" t="s">
        <v>624</v>
      </c>
      <c r="AB71" s="0" t="s">
        <v>132</v>
      </c>
      <c r="AC71" s="254" t="n">
        <v>-500000</v>
      </c>
      <c r="AD71" s="254" t="n">
        <v>-456.940516390503</v>
      </c>
      <c r="AE71" s="0" t="n">
        <v>0</v>
      </c>
      <c r="AF71" s="0" t="n">
        <v>0</v>
      </c>
      <c r="AG71" s="0" t="n">
        <v>0</v>
      </c>
      <c r="AH71" s="254" t="n">
        <v>-68.8695579733612</v>
      </c>
      <c r="AI71" s="0" t="n">
        <v>226</v>
      </c>
      <c r="AJ71" s="0" t="s">
        <v>630</v>
      </c>
      <c r="AK71" s="0" t="n">
        <v>0</v>
      </c>
      <c r="AL71" s="0" t="n">
        <v>0</v>
      </c>
      <c r="AM71" s="0" t="n">
        <v>0</v>
      </c>
    </row>
    <row r="72" customFormat="false" ht="12.75" hidden="false" customHeight="false" outlineLevel="0" collapsed="false">
      <c r="A72" s="0" t="s">
        <v>621</v>
      </c>
      <c r="B72" s="0" t="s">
        <v>231</v>
      </c>
      <c r="C72" s="0" t="s">
        <v>622</v>
      </c>
      <c r="D72" s="0" t="s">
        <v>623</v>
      </c>
      <c r="E72" s="0" t="s">
        <v>131</v>
      </c>
      <c r="F72" s="0" t="s">
        <v>198</v>
      </c>
      <c r="G72" s="0" t="s">
        <v>628</v>
      </c>
      <c r="H72" s="0" t="s">
        <v>625</v>
      </c>
      <c r="I72" s="0" t="s">
        <v>626</v>
      </c>
      <c r="J72" s="0" t="s">
        <v>627</v>
      </c>
      <c r="K72" s="475" t="n">
        <v>36800</v>
      </c>
      <c r="L72" s="254" t="n">
        <v>-15486.3756968308</v>
      </c>
      <c r="M72" s="475" t="n">
        <v>36797</v>
      </c>
      <c r="N72" s="0" t="s">
        <v>136</v>
      </c>
      <c r="O72" s="0" t="n">
        <v>-0.25</v>
      </c>
      <c r="P72" s="0" t="n">
        <v>0</v>
      </c>
      <c r="Q72" s="0" t="n">
        <v>0</v>
      </c>
      <c r="R72" s="0" t="n">
        <v>0</v>
      </c>
      <c r="S72" s="0" t="n">
        <v>0</v>
      </c>
      <c r="T72" s="0" t="s">
        <v>624</v>
      </c>
      <c r="U72" s="0" t="s">
        <v>151</v>
      </c>
      <c r="V72" s="0" t="s">
        <v>624</v>
      </c>
      <c r="W72" s="0" t="s">
        <v>569</v>
      </c>
      <c r="X72" s="0" t="s">
        <v>624</v>
      </c>
      <c r="Y72" s="0" t="s">
        <v>627</v>
      </c>
      <c r="Z72" s="0" t="s">
        <v>629</v>
      </c>
      <c r="AA72" s="0" t="s">
        <v>624</v>
      </c>
      <c r="AB72" s="0" t="s">
        <v>132</v>
      </c>
      <c r="AC72" s="254" t="n">
        <v>-1000000</v>
      </c>
      <c r="AD72" s="254" t="n">
        <v>-14269.283693426</v>
      </c>
      <c r="AE72" s="0" t="n">
        <v>0</v>
      </c>
      <c r="AF72" s="0" t="n">
        <v>0</v>
      </c>
      <c r="AG72" s="0" t="n">
        <v>0</v>
      </c>
      <c r="AH72" s="254" t="n">
        <v>6201.4422014145</v>
      </c>
      <c r="AI72" s="0" t="n">
        <v>226</v>
      </c>
      <c r="AJ72" s="0" t="s">
        <v>630</v>
      </c>
      <c r="AK72" s="0" t="n">
        <v>0</v>
      </c>
      <c r="AL72" s="0" t="n">
        <v>0</v>
      </c>
      <c r="AM72" s="0" t="n">
        <v>0</v>
      </c>
    </row>
    <row r="73" customFormat="false" ht="12.75" hidden="false" customHeight="false" outlineLevel="0" collapsed="false">
      <c r="A73" s="0" t="s">
        <v>621</v>
      </c>
      <c r="B73" s="0" t="s">
        <v>231</v>
      </c>
      <c r="C73" s="0" t="s">
        <v>622</v>
      </c>
      <c r="D73" s="0" t="s">
        <v>623</v>
      </c>
      <c r="E73" s="0" t="s">
        <v>131</v>
      </c>
      <c r="F73" s="0" t="s">
        <v>198</v>
      </c>
      <c r="G73" s="0" t="s">
        <v>628</v>
      </c>
      <c r="H73" s="0" t="s">
        <v>625</v>
      </c>
      <c r="I73" s="0" t="s">
        <v>626</v>
      </c>
      <c r="J73" s="0" t="s">
        <v>627</v>
      </c>
      <c r="K73" s="475" t="n">
        <v>36770</v>
      </c>
      <c r="L73" s="254" t="n">
        <v>-0.129752684735474</v>
      </c>
      <c r="M73" s="475" t="n">
        <v>36768</v>
      </c>
      <c r="N73" s="0" t="s">
        <v>136</v>
      </c>
      <c r="O73" s="0" t="n">
        <v>-0.25</v>
      </c>
      <c r="P73" s="0" t="n">
        <v>0</v>
      </c>
      <c r="Q73" s="0" t="n">
        <v>0</v>
      </c>
      <c r="R73" s="0" t="n">
        <v>0</v>
      </c>
      <c r="S73" s="0" t="n">
        <v>0</v>
      </c>
      <c r="T73" s="0" t="s">
        <v>624</v>
      </c>
      <c r="U73" s="0" t="s">
        <v>151</v>
      </c>
      <c r="V73" s="0" t="s">
        <v>624</v>
      </c>
      <c r="W73" s="0" t="s">
        <v>569</v>
      </c>
      <c r="X73" s="0" t="s">
        <v>624</v>
      </c>
      <c r="Y73" s="0" t="s">
        <v>627</v>
      </c>
      <c r="Z73" s="0" t="s">
        <v>629</v>
      </c>
      <c r="AA73" s="0" t="s">
        <v>624</v>
      </c>
      <c r="AB73" s="0" t="s">
        <v>132</v>
      </c>
      <c r="AC73" s="254" t="n">
        <v>-1000000</v>
      </c>
      <c r="AD73" s="254" t="n">
        <v>0.0385785489109836</v>
      </c>
      <c r="AE73" s="0" t="n">
        <v>0</v>
      </c>
      <c r="AF73" s="0" t="n">
        <v>0</v>
      </c>
      <c r="AG73" s="0" t="n">
        <v>0</v>
      </c>
      <c r="AH73" s="254" t="n">
        <v>-0.00784389131425201</v>
      </c>
      <c r="AI73" s="0" t="n">
        <v>226</v>
      </c>
      <c r="AJ73" s="0" t="s">
        <v>630</v>
      </c>
      <c r="AK73" s="0" t="n">
        <v>0</v>
      </c>
      <c r="AL73" s="0" t="n">
        <v>0</v>
      </c>
      <c r="AM73" s="0" t="n">
        <v>0</v>
      </c>
    </row>
    <row r="74" customFormat="false" ht="12.75" hidden="false" customHeight="false" outlineLevel="0" collapsed="false">
      <c r="A74" s="0" t="s">
        <v>621</v>
      </c>
      <c r="B74" s="0" t="s">
        <v>232</v>
      </c>
      <c r="C74" s="0" t="s">
        <v>622</v>
      </c>
      <c r="D74" s="0" t="s">
        <v>623</v>
      </c>
      <c r="E74" s="0" t="s">
        <v>131</v>
      </c>
      <c r="F74" s="0" t="s">
        <v>198</v>
      </c>
      <c r="G74" s="0" t="s">
        <v>628</v>
      </c>
      <c r="H74" s="0" t="s">
        <v>625</v>
      </c>
      <c r="I74" s="0" t="s">
        <v>626</v>
      </c>
      <c r="J74" s="0" t="s">
        <v>627</v>
      </c>
      <c r="K74" s="475" t="n">
        <v>36800</v>
      </c>
      <c r="L74" s="254" t="n">
        <v>437025.957852228</v>
      </c>
      <c r="M74" s="475" t="n">
        <v>36797</v>
      </c>
      <c r="N74" s="0" t="s">
        <v>132</v>
      </c>
      <c r="O74" s="0" t="n">
        <v>-0.4</v>
      </c>
      <c r="P74" s="0" t="n">
        <v>0</v>
      </c>
      <c r="Q74" s="0" t="n">
        <v>0</v>
      </c>
      <c r="R74" s="0" t="n">
        <v>0</v>
      </c>
      <c r="S74" s="0" t="n">
        <v>0</v>
      </c>
      <c r="T74" s="0" t="s">
        <v>624</v>
      </c>
      <c r="U74" s="0" t="s">
        <v>151</v>
      </c>
      <c r="V74" s="0" t="s">
        <v>624</v>
      </c>
      <c r="W74" s="0" t="s">
        <v>569</v>
      </c>
      <c r="X74" s="0" t="s">
        <v>624</v>
      </c>
      <c r="Y74" s="0" t="s">
        <v>627</v>
      </c>
      <c r="Z74" s="0" t="s">
        <v>629</v>
      </c>
      <c r="AA74" s="0" t="s">
        <v>624</v>
      </c>
      <c r="AB74" s="0" t="s">
        <v>132</v>
      </c>
      <c r="AC74" s="254" t="n">
        <v>1000000</v>
      </c>
      <c r="AD74" s="254" t="n">
        <v>22301.9151040185</v>
      </c>
      <c r="AE74" s="0" t="n">
        <v>0</v>
      </c>
      <c r="AF74" s="0" t="n">
        <v>0</v>
      </c>
      <c r="AG74" s="0" t="n">
        <v>0</v>
      </c>
      <c r="AH74" s="254" t="n">
        <v>53181.5806055271</v>
      </c>
      <c r="AI74" s="0" t="n">
        <v>226</v>
      </c>
      <c r="AJ74" s="0" t="s">
        <v>630</v>
      </c>
      <c r="AK74" s="0" t="n">
        <v>0</v>
      </c>
      <c r="AL74" s="0" t="n">
        <v>0</v>
      </c>
      <c r="AM74" s="0" t="n">
        <v>0</v>
      </c>
    </row>
    <row r="75" customFormat="false" ht="12.75" hidden="false" customHeight="false" outlineLevel="0" collapsed="false">
      <c r="A75" s="0" t="s">
        <v>621</v>
      </c>
      <c r="B75" s="0" t="s">
        <v>232</v>
      </c>
      <c r="C75" s="0" t="s">
        <v>622</v>
      </c>
      <c r="D75" s="0" t="s">
        <v>623</v>
      </c>
      <c r="E75" s="0" t="s">
        <v>131</v>
      </c>
      <c r="F75" s="0" t="s">
        <v>198</v>
      </c>
      <c r="G75" s="0" t="s">
        <v>628</v>
      </c>
      <c r="H75" s="0" t="s">
        <v>625</v>
      </c>
      <c r="I75" s="0" t="s">
        <v>626</v>
      </c>
      <c r="J75" s="0" t="s">
        <v>627</v>
      </c>
      <c r="K75" s="475" t="n">
        <v>36770</v>
      </c>
      <c r="L75" s="254" t="n">
        <v>839691.000081394</v>
      </c>
      <c r="M75" s="475" t="n">
        <v>36768</v>
      </c>
      <c r="N75" s="0" t="s">
        <v>132</v>
      </c>
      <c r="O75" s="0" t="n">
        <v>-0.4</v>
      </c>
      <c r="P75" s="0" t="n">
        <v>0</v>
      </c>
      <c r="Q75" s="0" t="n">
        <v>0</v>
      </c>
      <c r="R75" s="0" t="n">
        <v>0</v>
      </c>
      <c r="S75" s="0" t="n">
        <v>0</v>
      </c>
      <c r="T75" s="0" t="s">
        <v>624</v>
      </c>
      <c r="U75" s="0" t="s">
        <v>151</v>
      </c>
      <c r="V75" s="0" t="s">
        <v>624</v>
      </c>
      <c r="W75" s="0" t="s">
        <v>569</v>
      </c>
      <c r="X75" s="0" t="s">
        <v>624</v>
      </c>
      <c r="Y75" s="0" t="s">
        <v>627</v>
      </c>
      <c r="Z75" s="0" t="s">
        <v>629</v>
      </c>
      <c r="AA75" s="0" t="s">
        <v>624</v>
      </c>
      <c r="AB75" s="0" t="s">
        <v>132</v>
      </c>
      <c r="AC75" s="254" t="n">
        <v>1000000</v>
      </c>
      <c r="AD75" s="254" t="n">
        <v>-0.0385785482358187</v>
      </c>
      <c r="AE75" s="0" t="n">
        <v>0</v>
      </c>
      <c r="AF75" s="0" t="n">
        <v>0</v>
      </c>
      <c r="AG75" s="0" t="n">
        <v>0</v>
      </c>
      <c r="AH75" s="254" t="n">
        <v>59944.8655176451</v>
      </c>
      <c r="AI75" s="0" t="n">
        <v>226</v>
      </c>
      <c r="AJ75" s="0" t="s">
        <v>630</v>
      </c>
      <c r="AK75" s="0" t="n">
        <v>0</v>
      </c>
      <c r="AL75" s="0" t="n">
        <v>0</v>
      </c>
      <c r="AM75" s="0" t="n">
        <v>0</v>
      </c>
    </row>
    <row r="76" customFormat="false" ht="12.75" hidden="false" customHeight="false" outlineLevel="0" collapsed="false">
      <c r="A76" s="0" t="s">
        <v>621</v>
      </c>
      <c r="B76" s="0" t="s">
        <v>233</v>
      </c>
      <c r="C76" s="0" t="s">
        <v>622</v>
      </c>
      <c r="D76" s="0" t="s">
        <v>623</v>
      </c>
      <c r="E76" s="0" t="s">
        <v>131</v>
      </c>
      <c r="F76" s="0" t="s">
        <v>198</v>
      </c>
      <c r="G76" s="0" t="s">
        <v>628</v>
      </c>
      <c r="H76" s="0" t="s">
        <v>625</v>
      </c>
      <c r="I76" s="0" t="s">
        <v>626</v>
      </c>
      <c r="J76" s="0" t="s">
        <v>627</v>
      </c>
      <c r="K76" s="475" t="n">
        <v>36951</v>
      </c>
      <c r="L76" s="254" t="n">
        <v>-119164.640384729</v>
      </c>
      <c r="M76" s="475" t="n">
        <v>36949</v>
      </c>
      <c r="N76" s="0" t="s">
        <v>136</v>
      </c>
      <c r="O76" s="0" t="n">
        <v>1.15</v>
      </c>
      <c r="P76" s="0" t="n">
        <v>0</v>
      </c>
      <c r="Q76" s="0" t="n">
        <v>0</v>
      </c>
      <c r="R76" s="0" t="n">
        <v>0</v>
      </c>
      <c r="S76" s="0" t="n">
        <v>0</v>
      </c>
      <c r="T76" s="0" t="s">
        <v>624</v>
      </c>
      <c r="U76" s="0" t="s">
        <v>149</v>
      </c>
      <c r="V76" s="0" t="s">
        <v>624</v>
      </c>
      <c r="W76" s="0" t="s">
        <v>569</v>
      </c>
      <c r="X76" s="0" t="s">
        <v>624</v>
      </c>
      <c r="Y76" s="0" t="s">
        <v>627</v>
      </c>
      <c r="Z76" s="0" t="s">
        <v>629</v>
      </c>
      <c r="AA76" s="0" t="s">
        <v>624</v>
      </c>
      <c r="AB76" s="0" t="s">
        <v>132</v>
      </c>
      <c r="AC76" s="254" t="n">
        <v>-250000</v>
      </c>
      <c r="AD76" s="254" t="n">
        <v>-22058.4715271949</v>
      </c>
      <c r="AE76" s="0" t="n">
        <v>0</v>
      </c>
      <c r="AF76" s="0" t="n">
        <v>0</v>
      </c>
      <c r="AG76" s="0" t="n">
        <v>0</v>
      </c>
      <c r="AH76" s="254" t="n">
        <v>-8647.37205016641</v>
      </c>
      <c r="AI76" s="0" t="n">
        <v>226</v>
      </c>
      <c r="AJ76" s="0" t="s">
        <v>630</v>
      </c>
      <c r="AK76" s="0" t="n">
        <v>0</v>
      </c>
      <c r="AL76" s="0" t="n">
        <v>0</v>
      </c>
      <c r="AM76" s="0" t="n">
        <v>0</v>
      </c>
    </row>
    <row r="77" customFormat="false" ht="12.75" hidden="false" customHeight="false" outlineLevel="0" collapsed="false">
      <c r="A77" s="0" t="s">
        <v>621</v>
      </c>
      <c r="B77" s="0" t="s">
        <v>233</v>
      </c>
      <c r="C77" s="0" t="s">
        <v>622</v>
      </c>
      <c r="D77" s="0" t="s">
        <v>623</v>
      </c>
      <c r="E77" s="0" t="s">
        <v>131</v>
      </c>
      <c r="F77" s="0" t="s">
        <v>198</v>
      </c>
      <c r="G77" s="0" t="s">
        <v>628</v>
      </c>
      <c r="H77" s="0" t="s">
        <v>625</v>
      </c>
      <c r="I77" s="0" t="s">
        <v>626</v>
      </c>
      <c r="J77" s="0" t="s">
        <v>627</v>
      </c>
      <c r="K77" s="475" t="n">
        <v>36923</v>
      </c>
      <c r="L77" s="254" t="n">
        <v>-291288.836353454</v>
      </c>
      <c r="M77" s="475" t="n">
        <v>36921</v>
      </c>
      <c r="N77" s="0" t="s">
        <v>136</v>
      </c>
      <c r="O77" s="0" t="n">
        <v>1.15</v>
      </c>
      <c r="P77" s="0" t="n">
        <v>0</v>
      </c>
      <c r="Q77" s="0" t="n">
        <v>0</v>
      </c>
      <c r="R77" s="0" t="n">
        <v>0</v>
      </c>
      <c r="S77" s="0" t="n">
        <v>0</v>
      </c>
      <c r="T77" s="0" t="s">
        <v>624</v>
      </c>
      <c r="U77" s="0" t="s">
        <v>149</v>
      </c>
      <c r="V77" s="0" t="s">
        <v>624</v>
      </c>
      <c r="W77" s="0" t="s">
        <v>569</v>
      </c>
      <c r="X77" s="0" t="s">
        <v>624</v>
      </c>
      <c r="Y77" s="0" t="s">
        <v>627</v>
      </c>
      <c r="Z77" s="0" t="s">
        <v>629</v>
      </c>
      <c r="AA77" s="0" t="s">
        <v>624</v>
      </c>
      <c r="AB77" s="0" t="s">
        <v>132</v>
      </c>
      <c r="AC77" s="254" t="n">
        <v>-250000</v>
      </c>
      <c r="AD77" s="254" t="n">
        <v>-18797.2995730032</v>
      </c>
      <c r="AE77" s="0" t="n">
        <v>0</v>
      </c>
      <c r="AF77" s="0" t="n">
        <v>0</v>
      </c>
      <c r="AG77" s="0" t="n">
        <v>0</v>
      </c>
      <c r="AH77" s="254" t="n">
        <v>-13872.174759514</v>
      </c>
      <c r="AI77" s="0" t="n">
        <v>226</v>
      </c>
      <c r="AJ77" s="0" t="s">
        <v>630</v>
      </c>
      <c r="AK77" s="0" t="n">
        <v>0</v>
      </c>
      <c r="AL77" s="0" t="n">
        <v>0</v>
      </c>
      <c r="AM77" s="0" t="n">
        <v>0</v>
      </c>
    </row>
    <row r="78" customFormat="false" ht="12.75" hidden="false" customHeight="false" outlineLevel="0" collapsed="false">
      <c r="A78" s="0" t="s">
        <v>621</v>
      </c>
      <c r="B78" s="0" t="s">
        <v>233</v>
      </c>
      <c r="C78" s="0" t="s">
        <v>622</v>
      </c>
      <c r="D78" s="0" t="s">
        <v>623</v>
      </c>
      <c r="E78" s="0" t="s">
        <v>131</v>
      </c>
      <c r="F78" s="0" t="s">
        <v>198</v>
      </c>
      <c r="G78" s="0" t="s">
        <v>628</v>
      </c>
      <c r="H78" s="0" t="s">
        <v>625</v>
      </c>
      <c r="I78" s="0" t="s">
        <v>626</v>
      </c>
      <c r="J78" s="0" t="s">
        <v>627</v>
      </c>
      <c r="K78" s="475" t="n">
        <v>36892</v>
      </c>
      <c r="L78" s="254" t="n">
        <v>-301361.256992376</v>
      </c>
      <c r="M78" s="475" t="n">
        <v>36888</v>
      </c>
      <c r="N78" s="0" t="s">
        <v>136</v>
      </c>
      <c r="O78" s="0" t="n">
        <v>1.15</v>
      </c>
      <c r="P78" s="0" t="n">
        <v>0</v>
      </c>
      <c r="Q78" s="0" t="n">
        <v>0</v>
      </c>
      <c r="R78" s="0" t="n">
        <v>0</v>
      </c>
      <c r="S78" s="0" t="n">
        <v>0</v>
      </c>
      <c r="T78" s="0" t="s">
        <v>624</v>
      </c>
      <c r="U78" s="0" t="s">
        <v>149</v>
      </c>
      <c r="V78" s="0" t="s">
        <v>624</v>
      </c>
      <c r="W78" s="0" t="s">
        <v>569</v>
      </c>
      <c r="X78" s="0" t="s">
        <v>624</v>
      </c>
      <c r="Y78" s="0" t="s">
        <v>627</v>
      </c>
      <c r="Z78" s="0" t="s">
        <v>629</v>
      </c>
      <c r="AA78" s="0" t="s">
        <v>624</v>
      </c>
      <c r="AB78" s="0" t="s">
        <v>132</v>
      </c>
      <c r="AC78" s="254" t="n">
        <v>-250000</v>
      </c>
      <c r="AD78" s="254" t="n">
        <v>-16298.5149244985</v>
      </c>
      <c r="AE78" s="0" t="n">
        <v>0</v>
      </c>
      <c r="AF78" s="0" t="n">
        <v>0</v>
      </c>
      <c r="AG78" s="0" t="n">
        <v>0</v>
      </c>
      <c r="AH78" s="254" t="n">
        <v>-12303.2839275806</v>
      </c>
      <c r="AI78" s="0" t="n">
        <v>226</v>
      </c>
      <c r="AJ78" s="0" t="s">
        <v>630</v>
      </c>
      <c r="AK78" s="0" t="n">
        <v>0</v>
      </c>
      <c r="AL78" s="0" t="n">
        <v>0</v>
      </c>
      <c r="AM78" s="0" t="n">
        <v>0</v>
      </c>
    </row>
    <row r="79" customFormat="false" ht="12.75" hidden="false" customHeight="false" outlineLevel="0" collapsed="false">
      <c r="A79" s="0" t="s">
        <v>621</v>
      </c>
      <c r="B79" s="0" t="s">
        <v>233</v>
      </c>
      <c r="C79" s="0" t="s">
        <v>622</v>
      </c>
      <c r="D79" s="0" t="s">
        <v>623</v>
      </c>
      <c r="E79" s="0" t="s">
        <v>131</v>
      </c>
      <c r="F79" s="0" t="s">
        <v>198</v>
      </c>
      <c r="G79" s="0" t="s">
        <v>628</v>
      </c>
      <c r="H79" s="0" t="s">
        <v>625</v>
      </c>
      <c r="I79" s="0" t="s">
        <v>626</v>
      </c>
      <c r="J79" s="0" t="s">
        <v>627</v>
      </c>
      <c r="K79" s="475" t="n">
        <v>36861</v>
      </c>
      <c r="L79" s="254" t="n">
        <v>-191405.943337993</v>
      </c>
      <c r="M79" s="475" t="n">
        <v>36859</v>
      </c>
      <c r="N79" s="0" t="s">
        <v>136</v>
      </c>
      <c r="O79" s="0" t="n">
        <v>1.15</v>
      </c>
      <c r="P79" s="0" t="n">
        <v>0</v>
      </c>
      <c r="Q79" s="0" t="n">
        <v>0</v>
      </c>
      <c r="R79" s="0" t="n">
        <v>0</v>
      </c>
      <c r="S79" s="0" t="n">
        <v>0</v>
      </c>
      <c r="T79" s="0" t="s">
        <v>624</v>
      </c>
      <c r="U79" s="0" t="s">
        <v>149</v>
      </c>
      <c r="V79" s="0" t="s">
        <v>624</v>
      </c>
      <c r="W79" s="0" t="s">
        <v>569</v>
      </c>
      <c r="X79" s="0" t="s">
        <v>624</v>
      </c>
      <c r="Y79" s="0" t="s">
        <v>627</v>
      </c>
      <c r="Z79" s="0" t="s">
        <v>629</v>
      </c>
      <c r="AA79" s="0" t="s">
        <v>624</v>
      </c>
      <c r="AB79" s="0" t="s">
        <v>132</v>
      </c>
      <c r="AC79" s="254" t="n">
        <v>-250000</v>
      </c>
      <c r="AD79" s="254" t="n">
        <v>-16732.9322899267</v>
      </c>
      <c r="AE79" s="0" t="n">
        <v>0</v>
      </c>
      <c r="AF79" s="0" t="n">
        <v>0</v>
      </c>
      <c r="AG79" s="0" t="n">
        <v>0</v>
      </c>
      <c r="AH79" s="254" t="n">
        <v>-8426.68274875451</v>
      </c>
      <c r="AI79" s="0" t="n">
        <v>226</v>
      </c>
      <c r="AJ79" s="0" t="s">
        <v>630</v>
      </c>
      <c r="AK79" s="0" t="n">
        <v>0</v>
      </c>
      <c r="AL79" s="0" t="n">
        <v>0</v>
      </c>
      <c r="AM79" s="0" t="n">
        <v>0</v>
      </c>
    </row>
    <row r="80" customFormat="false" ht="12.75" hidden="false" customHeight="false" outlineLevel="0" collapsed="false">
      <c r="A80" s="0" t="s">
        <v>621</v>
      </c>
      <c r="B80" s="0" t="s">
        <v>233</v>
      </c>
      <c r="C80" s="0" t="s">
        <v>622</v>
      </c>
      <c r="D80" s="0" t="s">
        <v>623</v>
      </c>
      <c r="E80" s="0" t="s">
        <v>131</v>
      </c>
      <c r="F80" s="0" t="s">
        <v>198</v>
      </c>
      <c r="G80" s="0" t="s">
        <v>628</v>
      </c>
      <c r="H80" s="0" t="s">
        <v>625</v>
      </c>
      <c r="I80" s="0" t="s">
        <v>626</v>
      </c>
      <c r="J80" s="0" t="s">
        <v>627</v>
      </c>
      <c r="K80" s="475" t="n">
        <v>36831</v>
      </c>
      <c r="L80" s="254" t="n">
        <v>-31782.5503637214</v>
      </c>
      <c r="M80" s="475" t="n">
        <v>36829</v>
      </c>
      <c r="N80" s="0" t="s">
        <v>136</v>
      </c>
      <c r="O80" s="0" t="n">
        <v>1.15</v>
      </c>
      <c r="P80" s="0" t="n">
        <v>0</v>
      </c>
      <c r="Q80" s="0" t="n">
        <v>0</v>
      </c>
      <c r="R80" s="0" t="n">
        <v>0</v>
      </c>
      <c r="S80" s="0" t="n">
        <v>0</v>
      </c>
      <c r="T80" s="0" t="s">
        <v>624</v>
      </c>
      <c r="U80" s="0" t="s">
        <v>149</v>
      </c>
      <c r="V80" s="0" t="s">
        <v>624</v>
      </c>
      <c r="W80" s="0" t="s">
        <v>569</v>
      </c>
      <c r="X80" s="0" t="s">
        <v>624</v>
      </c>
      <c r="Y80" s="0" t="s">
        <v>627</v>
      </c>
      <c r="Z80" s="0" t="s">
        <v>629</v>
      </c>
      <c r="AA80" s="0" t="s">
        <v>624</v>
      </c>
      <c r="AB80" s="0" t="s">
        <v>132</v>
      </c>
      <c r="AC80" s="254" t="n">
        <v>-250000</v>
      </c>
      <c r="AD80" s="254" t="n">
        <v>-9434.67285739325</v>
      </c>
      <c r="AE80" s="0" t="n">
        <v>0</v>
      </c>
      <c r="AF80" s="0" t="n">
        <v>0</v>
      </c>
      <c r="AG80" s="0" t="n">
        <v>0</v>
      </c>
      <c r="AH80" s="254" t="n">
        <v>-3538.97670935606</v>
      </c>
      <c r="AI80" s="0" t="n">
        <v>226</v>
      </c>
      <c r="AJ80" s="0" t="s">
        <v>630</v>
      </c>
      <c r="AK80" s="0" t="n">
        <v>0</v>
      </c>
      <c r="AL80" s="0" t="n">
        <v>0</v>
      </c>
      <c r="AM80" s="0" t="n">
        <v>0</v>
      </c>
    </row>
    <row r="81" customFormat="false" ht="12.75" hidden="false" customHeight="false" outlineLevel="0" collapsed="false">
      <c r="A81" s="0" t="s">
        <v>621</v>
      </c>
      <c r="B81" s="0" t="s">
        <v>234</v>
      </c>
      <c r="C81" s="0" t="s">
        <v>622</v>
      </c>
      <c r="D81" s="0" t="s">
        <v>623</v>
      </c>
      <c r="E81" s="0" t="s">
        <v>131</v>
      </c>
      <c r="F81" s="0" t="s">
        <v>198</v>
      </c>
      <c r="G81" s="0" t="s">
        <v>628</v>
      </c>
      <c r="H81" s="0" t="s">
        <v>625</v>
      </c>
      <c r="I81" s="0" t="s">
        <v>626</v>
      </c>
      <c r="J81" s="0" t="s">
        <v>627</v>
      </c>
      <c r="K81" s="475" t="n">
        <v>36951</v>
      </c>
      <c r="L81" s="254" t="n">
        <v>-137278.604274352</v>
      </c>
      <c r="M81" s="475" t="n">
        <v>36949</v>
      </c>
      <c r="N81" s="0" t="s">
        <v>132</v>
      </c>
      <c r="O81" s="0" t="n">
        <v>1.15</v>
      </c>
      <c r="P81" s="0" t="n">
        <v>0</v>
      </c>
      <c r="Q81" s="0" t="n">
        <v>0</v>
      </c>
      <c r="R81" s="0" t="n">
        <v>0</v>
      </c>
      <c r="S81" s="0" t="n">
        <v>0</v>
      </c>
      <c r="T81" s="0" t="s">
        <v>624</v>
      </c>
      <c r="U81" s="0" t="s">
        <v>149</v>
      </c>
      <c r="V81" s="0" t="s">
        <v>624</v>
      </c>
      <c r="W81" s="0" t="s">
        <v>569</v>
      </c>
      <c r="X81" s="0" t="s">
        <v>624</v>
      </c>
      <c r="Y81" s="0" t="s">
        <v>627</v>
      </c>
      <c r="Z81" s="0" t="s">
        <v>629</v>
      </c>
      <c r="AA81" s="0" t="s">
        <v>624</v>
      </c>
      <c r="AB81" s="0" t="s">
        <v>132</v>
      </c>
      <c r="AC81" s="254" t="n">
        <v>-250000</v>
      </c>
      <c r="AD81" s="254" t="n">
        <v>-22058.4715271949</v>
      </c>
      <c r="AE81" s="0" t="n">
        <v>0</v>
      </c>
      <c r="AF81" s="0" t="n">
        <v>0</v>
      </c>
      <c r="AG81" s="0" t="n">
        <v>0</v>
      </c>
      <c r="AH81" s="254" t="n">
        <v>5836.66142672091</v>
      </c>
      <c r="AI81" s="0" t="n">
        <v>226</v>
      </c>
      <c r="AJ81" s="0" t="s">
        <v>630</v>
      </c>
      <c r="AK81" s="0" t="n">
        <v>0</v>
      </c>
      <c r="AL81" s="0" t="n">
        <v>0</v>
      </c>
      <c r="AM81" s="0" t="n">
        <v>0</v>
      </c>
    </row>
    <row r="82" customFormat="false" ht="12.75" hidden="false" customHeight="false" outlineLevel="0" collapsed="false">
      <c r="A82" s="0" t="s">
        <v>621</v>
      </c>
      <c r="B82" s="0" t="s">
        <v>234</v>
      </c>
      <c r="C82" s="0" t="s">
        <v>622</v>
      </c>
      <c r="D82" s="0" t="s">
        <v>623</v>
      </c>
      <c r="E82" s="0" t="s">
        <v>131</v>
      </c>
      <c r="F82" s="0" t="s">
        <v>198</v>
      </c>
      <c r="G82" s="0" t="s">
        <v>628</v>
      </c>
      <c r="H82" s="0" t="s">
        <v>625</v>
      </c>
      <c r="I82" s="0" t="s">
        <v>626</v>
      </c>
      <c r="J82" s="0" t="s">
        <v>627</v>
      </c>
      <c r="K82" s="475" t="n">
        <v>36923</v>
      </c>
      <c r="L82" s="254" t="n">
        <v>-63035.3249302444</v>
      </c>
      <c r="M82" s="475" t="n">
        <v>36921</v>
      </c>
      <c r="N82" s="0" t="s">
        <v>132</v>
      </c>
      <c r="O82" s="0" t="n">
        <v>1.15</v>
      </c>
      <c r="P82" s="0" t="n">
        <v>0</v>
      </c>
      <c r="Q82" s="0" t="n">
        <v>0</v>
      </c>
      <c r="R82" s="0" t="n">
        <v>0</v>
      </c>
      <c r="S82" s="0" t="n">
        <v>0</v>
      </c>
      <c r="T82" s="0" t="s">
        <v>624</v>
      </c>
      <c r="U82" s="0" t="s">
        <v>149</v>
      </c>
      <c r="V82" s="0" t="s">
        <v>624</v>
      </c>
      <c r="W82" s="0" t="s">
        <v>569</v>
      </c>
      <c r="X82" s="0" t="s">
        <v>624</v>
      </c>
      <c r="Y82" s="0" t="s">
        <v>627</v>
      </c>
      <c r="Z82" s="0" t="s">
        <v>629</v>
      </c>
      <c r="AA82" s="0" t="s">
        <v>624</v>
      </c>
      <c r="AB82" s="0" t="s">
        <v>132</v>
      </c>
      <c r="AC82" s="254" t="n">
        <v>-250000</v>
      </c>
      <c r="AD82" s="254" t="n">
        <v>-18797.2995730032</v>
      </c>
      <c r="AE82" s="0" t="n">
        <v>0</v>
      </c>
      <c r="AF82" s="0" t="n">
        <v>0</v>
      </c>
      <c r="AG82" s="0" t="n">
        <v>0</v>
      </c>
      <c r="AH82" s="254" t="n">
        <v>3116.68939537423</v>
      </c>
      <c r="AI82" s="0" t="n">
        <v>226</v>
      </c>
      <c r="AJ82" s="0" t="s">
        <v>630</v>
      </c>
      <c r="AK82" s="0" t="n">
        <v>0</v>
      </c>
      <c r="AL82" s="0" t="n">
        <v>0</v>
      </c>
      <c r="AM82" s="0" t="n">
        <v>0</v>
      </c>
    </row>
    <row r="83" customFormat="false" ht="12.75" hidden="false" customHeight="false" outlineLevel="0" collapsed="false">
      <c r="A83" s="0" t="s">
        <v>621</v>
      </c>
      <c r="B83" s="0" t="s">
        <v>234</v>
      </c>
      <c r="C83" s="0" t="s">
        <v>622</v>
      </c>
      <c r="D83" s="0" t="s">
        <v>623</v>
      </c>
      <c r="E83" s="0" t="s">
        <v>131</v>
      </c>
      <c r="F83" s="0" t="s">
        <v>198</v>
      </c>
      <c r="G83" s="0" t="s">
        <v>628</v>
      </c>
      <c r="H83" s="0" t="s">
        <v>625</v>
      </c>
      <c r="I83" s="0" t="s">
        <v>626</v>
      </c>
      <c r="J83" s="0" t="s">
        <v>627</v>
      </c>
      <c r="K83" s="475" t="n">
        <v>36892</v>
      </c>
      <c r="L83" s="254" t="n">
        <v>-52119.0519368378</v>
      </c>
      <c r="M83" s="475" t="n">
        <v>36888</v>
      </c>
      <c r="N83" s="0" t="s">
        <v>132</v>
      </c>
      <c r="O83" s="0" t="n">
        <v>1.15</v>
      </c>
      <c r="P83" s="0" t="n">
        <v>0</v>
      </c>
      <c r="Q83" s="0" t="n">
        <v>0</v>
      </c>
      <c r="R83" s="0" t="n">
        <v>0</v>
      </c>
      <c r="S83" s="0" t="n">
        <v>0</v>
      </c>
      <c r="T83" s="0" t="s">
        <v>624</v>
      </c>
      <c r="U83" s="0" t="s">
        <v>149</v>
      </c>
      <c r="V83" s="0" t="s">
        <v>624</v>
      </c>
      <c r="W83" s="0" t="s">
        <v>569</v>
      </c>
      <c r="X83" s="0" t="s">
        <v>624</v>
      </c>
      <c r="Y83" s="0" t="s">
        <v>627</v>
      </c>
      <c r="Z83" s="0" t="s">
        <v>629</v>
      </c>
      <c r="AA83" s="0" t="s">
        <v>624</v>
      </c>
      <c r="AB83" s="0" t="s">
        <v>132</v>
      </c>
      <c r="AC83" s="254" t="n">
        <v>-250000</v>
      </c>
      <c r="AD83" s="254" t="n">
        <v>-16298.5149244984</v>
      </c>
      <c r="AE83" s="0" t="n">
        <v>0</v>
      </c>
      <c r="AF83" s="0" t="n">
        <v>0</v>
      </c>
      <c r="AG83" s="0" t="n">
        <v>0</v>
      </c>
      <c r="AH83" s="254" t="n">
        <v>2350.2053849036</v>
      </c>
      <c r="AI83" s="0" t="n">
        <v>226</v>
      </c>
      <c r="AJ83" s="0" t="s">
        <v>630</v>
      </c>
      <c r="AK83" s="0" t="n">
        <v>0</v>
      </c>
      <c r="AL83" s="0" t="n">
        <v>0</v>
      </c>
      <c r="AM83" s="0" t="n">
        <v>0</v>
      </c>
    </row>
    <row r="84" customFormat="false" ht="12.75" hidden="false" customHeight="false" outlineLevel="0" collapsed="false">
      <c r="A84" s="0" t="s">
        <v>621</v>
      </c>
      <c r="B84" s="0" t="s">
        <v>234</v>
      </c>
      <c r="C84" s="0" t="s">
        <v>622</v>
      </c>
      <c r="D84" s="0" t="s">
        <v>623</v>
      </c>
      <c r="E84" s="0" t="s">
        <v>131</v>
      </c>
      <c r="F84" s="0" t="s">
        <v>198</v>
      </c>
      <c r="G84" s="0" t="s">
        <v>628</v>
      </c>
      <c r="H84" s="0" t="s">
        <v>625</v>
      </c>
      <c r="I84" s="0" t="s">
        <v>626</v>
      </c>
      <c r="J84" s="0" t="s">
        <v>627</v>
      </c>
      <c r="K84" s="475" t="n">
        <v>36861</v>
      </c>
      <c r="L84" s="254" t="n">
        <v>-69789.8539016262</v>
      </c>
      <c r="M84" s="475" t="n">
        <v>36859</v>
      </c>
      <c r="N84" s="0" t="s">
        <v>132</v>
      </c>
      <c r="O84" s="0" t="n">
        <v>1.15</v>
      </c>
      <c r="P84" s="0" t="n">
        <v>0</v>
      </c>
      <c r="Q84" s="0" t="n">
        <v>0</v>
      </c>
      <c r="R84" s="0" t="n">
        <v>0</v>
      </c>
      <c r="S84" s="0" t="n">
        <v>0</v>
      </c>
      <c r="T84" s="0" t="s">
        <v>624</v>
      </c>
      <c r="U84" s="0" t="s">
        <v>149</v>
      </c>
      <c r="V84" s="0" t="s">
        <v>624</v>
      </c>
      <c r="W84" s="0" t="s">
        <v>569</v>
      </c>
      <c r="X84" s="0" t="s">
        <v>624</v>
      </c>
      <c r="Y84" s="0" t="s">
        <v>627</v>
      </c>
      <c r="Z84" s="0" t="s">
        <v>629</v>
      </c>
      <c r="AA84" s="0" t="s">
        <v>624</v>
      </c>
      <c r="AB84" s="0" t="s">
        <v>132</v>
      </c>
      <c r="AC84" s="254" t="n">
        <v>-250000</v>
      </c>
      <c r="AD84" s="254" t="n">
        <v>-16732.9322899268</v>
      </c>
      <c r="AE84" s="0" t="n">
        <v>0</v>
      </c>
      <c r="AF84" s="0" t="n">
        <v>0</v>
      </c>
      <c r="AG84" s="0" t="n">
        <v>0</v>
      </c>
      <c r="AH84" s="254" t="n">
        <v>2623.2436886049</v>
      </c>
      <c r="AI84" s="0" t="n">
        <v>226</v>
      </c>
      <c r="AJ84" s="0" t="s">
        <v>630</v>
      </c>
      <c r="AK84" s="0" t="n">
        <v>0</v>
      </c>
      <c r="AL84" s="0" t="n">
        <v>0</v>
      </c>
      <c r="AM84" s="0" t="n">
        <v>0</v>
      </c>
    </row>
    <row r="85" customFormat="false" ht="12.75" hidden="false" customHeight="false" outlineLevel="0" collapsed="false">
      <c r="A85" s="0" t="s">
        <v>621</v>
      </c>
      <c r="B85" s="0" t="s">
        <v>234</v>
      </c>
      <c r="C85" s="0" t="s">
        <v>622</v>
      </c>
      <c r="D85" s="0" t="s">
        <v>623</v>
      </c>
      <c r="E85" s="0" t="s">
        <v>131</v>
      </c>
      <c r="F85" s="0" t="s">
        <v>198</v>
      </c>
      <c r="G85" s="0" t="s">
        <v>628</v>
      </c>
      <c r="H85" s="0" t="s">
        <v>625</v>
      </c>
      <c r="I85" s="0" t="s">
        <v>626</v>
      </c>
      <c r="J85" s="0" t="s">
        <v>627</v>
      </c>
      <c r="K85" s="475" t="n">
        <v>36831</v>
      </c>
      <c r="L85" s="254" t="n">
        <v>-125673.079917031</v>
      </c>
      <c r="M85" s="475" t="n">
        <v>36829</v>
      </c>
      <c r="N85" s="0" t="s">
        <v>132</v>
      </c>
      <c r="O85" s="0" t="n">
        <v>1.15</v>
      </c>
      <c r="P85" s="0" t="n">
        <v>0</v>
      </c>
      <c r="Q85" s="0" t="n">
        <v>0</v>
      </c>
      <c r="R85" s="0" t="n">
        <v>0</v>
      </c>
      <c r="S85" s="0" t="n">
        <v>0</v>
      </c>
      <c r="T85" s="0" t="s">
        <v>624</v>
      </c>
      <c r="U85" s="0" t="s">
        <v>149</v>
      </c>
      <c r="V85" s="0" t="s">
        <v>624</v>
      </c>
      <c r="W85" s="0" t="s">
        <v>569</v>
      </c>
      <c r="X85" s="0" t="s">
        <v>624</v>
      </c>
      <c r="Y85" s="0" t="s">
        <v>627</v>
      </c>
      <c r="Z85" s="0" t="s">
        <v>629</v>
      </c>
      <c r="AA85" s="0" t="s">
        <v>624</v>
      </c>
      <c r="AB85" s="0" t="s">
        <v>132</v>
      </c>
      <c r="AC85" s="254" t="n">
        <v>-250000</v>
      </c>
      <c r="AD85" s="254" t="n">
        <v>-9434.67285739325</v>
      </c>
      <c r="AE85" s="0" t="n">
        <v>0</v>
      </c>
      <c r="AF85" s="0" t="n">
        <v>0</v>
      </c>
      <c r="AG85" s="0" t="n">
        <v>0</v>
      </c>
      <c r="AH85" s="254" t="n">
        <v>6338.79514378634</v>
      </c>
      <c r="AI85" s="0" t="n">
        <v>226</v>
      </c>
      <c r="AJ85" s="0" t="s">
        <v>630</v>
      </c>
      <c r="AK85" s="0" t="n">
        <v>0</v>
      </c>
      <c r="AL85" s="0" t="n">
        <v>0</v>
      </c>
      <c r="AM85" s="0" t="n">
        <v>0</v>
      </c>
    </row>
    <row r="86" customFormat="false" ht="12.75" hidden="false" customHeight="false" outlineLevel="0" collapsed="false">
      <c r="A86" s="0" t="s">
        <v>621</v>
      </c>
      <c r="B86" s="0" t="s">
        <v>235</v>
      </c>
      <c r="C86" s="0" t="s">
        <v>622</v>
      </c>
      <c r="D86" s="0" t="s">
        <v>623</v>
      </c>
      <c r="E86" s="0" t="s">
        <v>131</v>
      </c>
      <c r="F86" s="0" t="s">
        <v>198</v>
      </c>
      <c r="G86" s="0" t="s">
        <v>628</v>
      </c>
      <c r="H86" s="0" t="s">
        <v>625</v>
      </c>
      <c r="I86" s="0" t="s">
        <v>626</v>
      </c>
      <c r="J86" s="0" t="s">
        <v>627</v>
      </c>
      <c r="K86" s="475" t="n">
        <v>36800</v>
      </c>
      <c r="L86" s="254" t="n">
        <v>-11397.7799949277</v>
      </c>
      <c r="M86" s="475" t="n">
        <v>36797</v>
      </c>
      <c r="N86" s="0" t="s">
        <v>136</v>
      </c>
      <c r="O86" s="0" t="n">
        <v>-0.32</v>
      </c>
      <c r="P86" s="0" t="n">
        <v>0</v>
      </c>
      <c r="Q86" s="0" t="n">
        <v>0</v>
      </c>
      <c r="R86" s="0" t="n">
        <v>0</v>
      </c>
      <c r="S86" s="0" t="n">
        <v>0</v>
      </c>
      <c r="T86" s="0" t="s">
        <v>624</v>
      </c>
      <c r="U86" s="0" t="s">
        <v>151</v>
      </c>
      <c r="V86" s="0" t="s">
        <v>624</v>
      </c>
      <c r="W86" s="0" t="s">
        <v>569</v>
      </c>
      <c r="X86" s="0" t="s">
        <v>624</v>
      </c>
      <c r="Y86" s="0" t="s">
        <v>627</v>
      </c>
      <c r="Z86" s="0" t="s">
        <v>629</v>
      </c>
      <c r="AA86" s="0" t="s">
        <v>624</v>
      </c>
      <c r="AB86" s="0" t="s">
        <v>132</v>
      </c>
      <c r="AC86" s="254" t="n">
        <v>-500000</v>
      </c>
      <c r="AD86" s="254" t="n">
        <v>-8962.04181155208</v>
      </c>
      <c r="AE86" s="0" t="n">
        <v>0</v>
      </c>
      <c r="AF86" s="0" t="n">
        <v>0</v>
      </c>
      <c r="AG86" s="0" t="n">
        <v>0</v>
      </c>
      <c r="AH86" s="254" t="n">
        <v>4185.59561627529</v>
      </c>
      <c r="AI86" s="0" t="n">
        <v>226</v>
      </c>
      <c r="AJ86" s="0" t="s">
        <v>630</v>
      </c>
      <c r="AK86" s="0" t="n">
        <v>0</v>
      </c>
      <c r="AL86" s="0" t="n">
        <v>0</v>
      </c>
      <c r="AM86" s="0" t="n">
        <v>0</v>
      </c>
    </row>
    <row r="87" customFormat="false" ht="12.75" hidden="false" customHeight="false" outlineLevel="0" collapsed="false">
      <c r="A87" s="0" t="s">
        <v>621</v>
      </c>
      <c r="B87" s="0" t="s">
        <v>235</v>
      </c>
      <c r="C87" s="0" t="s">
        <v>622</v>
      </c>
      <c r="D87" s="0" t="s">
        <v>623</v>
      </c>
      <c r="E87" s="0" t="s">
        <v>131</v>
      </c>
      <c r="F87" s="0" t="s">
        <v>198</v>
      </c>
      <c r="G87" s="0" t="s">
        <v>628</v>
      </c>
      <c r="H87" s="0" t="s">
        <v>625</v>
      </c>
      <c r="I87" s="0" t="s">
        <v>626</v>
      </c>
      <c r="J87" s="0" t="s">
        <v>627</v>
      </c>
      <c r="K87" s="475" t="n">
        <v>36770</v>
      </c>
      <c r="L87" s="254" t="n">
        <v>-0.0602887144929287</v>
      </c>
      <c r="M87" s="475" t="n">
        <v>36768</v>
      </c>
      <c r="N87" s="0" t="s">
        <v>136</v>
      </c>
      <c r="O87" s="0" t="n">
        <v>-0.32</v>
      </c>
      <c r="P87" s="0" t="n">
        <v>0</v>
      </c>
      <c r="Q87" s="0" t="n">
        <v>0</v>
      </c>
      <c r="R87" s="0" t="n">
        <v>0</v>
      </c>
      <c r="S87" s="0" t="n">
        <v>0</v>
      </c>
      <c r="T87" s="0" t="s">
        <v>624</v>
      </c>
      <c r="U87" s="0" t="s">
        <v>151</v>
      </c>
      <c r="V87" s="0" t="s">
        <v>624</v>
      </c>
      <c r="W87" s="0" t="s">
        <v>569</v>
      </c>
      <c r="X87" s="0" t="s">
        <v>624</v>
      </c>
      <c r="Y87" s="0" t="s">
        <v>627</v>
      </c>
      <c r="Z87" s="0" t="s">
        <v>629</v>
      </c>
      <c r="AA87" s="0" t="s">
        <v>624</v>
      </c>
      <c r="AB87" s="0" t="s">
        <v>132</v>
      </c>
      <c r="AC87" s="254" t="n">
        <v>-500000</v>
      </c>
      <c r="AD87" s="254" t="n">
        <v>0.0192892740669137</v>
      </c>
      <c r="AE87" s="0" t="n">
        <v>0</v>
      </c>
      <c r="AF87" s="0" t="n">
        <v>0</v>
      </c>
      <c r="AG87" s="0" t="n">
        <v>0</v>
      </c>
      <c r="AH87" s="254" t="n">
        <v>-0.00391945720323861</v>
      </c>
      <c r="AI87" s="0" t="n">
        <v>226</v>
      </c>
      <c r="AJ87" s="0" t="s">
        <v>630</v>
      </c>
      <c r="AK87" s="0" t="n">
        <v>0</v>
      </c>
      <c r="AL87" s="0" t="n">
        <v>0</v>
      </c>
      <c r="AM87" s="0" t="n">
        <v>0</v>
      </c>
    </row>
    <row r="88" customFormat="false" ht="12.75" hidden="false" customHeight="false" outlineLevel="0" collapsed="false">
      <c r="A88" s="0" t="s">
        <v>621</v>
      </c>
      <c r="B88" s="0" t="s">
        <v>236</v>
      </c>
      <c r="C88" s="0" t="s">
        <v>622</v>
      </c>
      <c r="D88" s="0" t="s">
        <v>623</v>
      </c>
      <c r="E88" s="0" t="s">
        <v>131</v>
      </c>
      <c r="F88" s="0" t="s">
        <v>198</v>
      </c>
      <c r="G88" s="0" t="s">
        <v>628</v>
      </c>
      <c r="H88" s="0" t="s">
        <v>625</v>
      </c>
      <c r="I88" s="0" t="s">
        <v>626</v>
      </c>
      <c r="J88" s="0" t="s">
        <v>627</v>
      </c>
      <c r="K88" s="475" t="n">
        <v>36800</v>
      </c>
      <c r="L88" s="254" t="n">
        <v>-252501.209681802</v>
      </c>
      <c r="M88" s="475" t="n">
        <v>36797</v>
      </c>
      <c r="N88" s="0" t="s">
        <v>132</v>
      </c>
      <c r="O88" s="0" t="n">
        <v>-0.32</v>
      </c>
      <c r="P88" s="0" t="n">
        <v>0</v>
      </c>
      <c r="Q88" s="0" t="n">
        <v>0</v>
      </c>
      <c r="R88" s="0" t="n">
        <v>0</v>
      </c>
      <c r="S88" s="0" t="n">
        <v>0</v>
      </c>
      <c r="T88" s="0" t="s">
        <v>624</v>
      </c>
      <c r="U88" s="0" t="s">
        <v>151</v>
      </c>
      <c r="V88" s="0" t="s">
        <v>624</v>
      </c>
      <c r="W88" s="0" t="s">
        <v>569</v>
      </c>
      <c r="X88" s="0" t="s">
        <v>624</v>
      </c>
      <c r="Y88" s="0" t="s">
        <v>627</v>
      </c>
      <c r="Z88" s="0" t="s">
        <v>629</v>
      </c>
      <c r="AA88" s="0" t="s">
        <v>624</v>
      </c>
      <c r="AB88" s="0" t="s">
        <v>132</v>
      </c>
      <c r="AC88" s="254" t="n">
        <v>-500000</v>
      </c>
      <c r="AD88" s="254" t="n">
        <v>-8962.04181155207</v>
      </c>
      <c r="AE88" s="0" t="n">
        <v>0</v>
      </c>
      <c r="AF88" s="0" t="n">
        <v>0</v>
      </c>
      <c r="AG88" s="0" t="n">
        <v>0</v>
      </c>
      <c r="AH88" s="254" t="n">
        <v>-28109.4344184323</v>
      </c>
      <c r="AI88" s="0" t="n">
        <v>226</v>
      </c>
      <c r="AJ88" s="0" t="s">
        <v>630</v>
      </c>
      <c r="AK88" s="0" t="n">
        <v>0</v>
      </c>
      <c r="AL88" s="0" t="n">
        <v>0</v>
      </c>
      <c r="AM88" s="0" t="n">
        <v>0</v>
      </c>
    </row>
    <row r="89" customFormat="false" ht="12.75" hidden="false" customHeight="false" outlineLevel="0" collapsed="false">
      <c r="A89" s="0" t="s">
        <v>621</v>
      </c>
      <c r="B89" s="0" t="s">
        <v>236</v>
      </c>
      <c r="C89" s="0" t="s">
        <v>622</v>
      </c>
      <c r="D89" s="0" t="s">
        <v>623</v>
      </c>
      <c r="E89" s="0" t="s">
        <v>131</v>
      </c>
      <c r="F89" s="0" t="s">
        <v>198</v>
      </c>
      <c r="G89" s="0" t="s">
        <v>628</v>
      </c>
      <c r="H89" s="0" t="s">
        <v>625</v>
      </c>
      <c r="I89" s="0" t="s">
        <v>626</v>
      </c>
      <c r="J89" s="0" t="s">
        <v>627</v>
      </c>
      <c r="K89" s="475" t="n">
        <v>36770</v>
      </c>
      <c r="L89" s="254" t="n">
        <v>-459830.785759414</v>
      </c>
      <c r="M89" s="475" t="n">
        <v>36768</v>
      </c>
      <c r="N89" s="0" t="s">
        <v>132</v>
      </c>
      <c r="O89" s="0" t="n">
        <v>-0.32</v>
      </c>
      <c r="P89" s="0" t="n">
        <v>0</v>
      </c>
      <c r="Q89" s="0" t="n">
        <v>0</v>
      </c>
      <c r="R89" s="0" t="n">
        <v>0</v>
      </c>
      <c r="S89" s="0" t="n">
        <v>0</v>
      </c>
      <c r="T89" s="0" t="s">
        <v>624</v>
      </c>
      <c r="U89" s="0" t="s">
        <v>151</v>
      </c>
      <c r="V89" s="0" t="s">
        <v>624</v>
      </c>
      <c r="W89" s="0" t="s">
        <v>569</v>
      </c>
      <c r="X89" s="0" t="s">
        <v>624</v>
      </c>
      <c r="Y89" s="0" t="s">
        <v>627</v>
      </c>
      <c r="Z89" s="0" t="s">
        <v>629</v>
      </c>
      <c r="AA89" s="0" t="s">
        <v>624</v>
      </c>
      <c r="AB89" s="0" t="s">
        <v>132</v>
      </c>
      <c r="AC89" s="254" t="n">
        <v>-500000</v>
      </c>
      <c r="AD89" s="254" t="n">
        <v>0.0192892740597017</v>
      </c>
      <c r="AE89" s="0" t="n">
        <v>0</v>
      </c>
      <c r="AF89" s="0" t="n">
        <v>0</v>
      </c>
      <c r="AG89" s="0" t="n">
        <v>0</v>
      </c>
      <c r="AH89" s="254" t="n">
        <v>-29972.4328786707</v>
      </c>
      <c r="AI89" s="0" t="n">
        <v>226</v>
      </c>
      <c r="AJ89" s="0" t="s">
        <v>630</v>
      </c>
      <c r="AK89" s="0" t="n">
        <v>0</v>
      </c>
      <c r="AL89" s="0" t="n">
        <v>0</v>
      </c>
      <c r="AM89" s="0" t="n">
        <v>0</v>
      </c>
    </row>
    <row r="90" customFormat="false" ht="12.75" hidden="false" customHeight="false" outlineLevel="0" collapsed="false">
      <c r="A90" s="0" t="s">
        <v>621</v>
      </c>
      <c r="B90" s="0" t="s">
        <v>237</v>
      </c>
      <c r="C90" s="0" t="s">
        <v>622</v>
      </c>
      <c r="D90" s="0" t="s">
        <v>623</v>
      </c>
      <c r="E90" s="0" t="s">
        <v>131</v>
      </c>
      <c r="F90" s="0" t="s">
        <v>198</v>
      </c>
      <c r="G90" s="0" t="s">
        <v>628</v>
      </c>
      <c r="H90" s="0" t="s">
        <v>625</v>
      </c>
      <c r="I90" s="0" t="s">
        <v>626</v>
      </c>
      <c r="J90" s="0" t="s">
        <v>627</v>
      </c>
      <c r="K90" s="475" t="n">
        <v>36800</v>
      </c>
      <c r="L90" s="254" t="n">
        <v>-52680.866995455</v>
      </c>
      <c r="M90" s="475" t="n">
        <v>36797</v>
      </c>
      <c r="N90" s="0" t="s">
        <v>136</v>
      </c>
      <c r="O90" s="0" t="n">
        <v>0.32</v>
      </c>
      <c r="P90" s="0" t="n">
        <v>0</v>
      </c>
      <c r="Q90" s="0" t="n">
        <v>0</v>
      </c>
      <c r="R90" s="0" t="n">
        <v>0</v>
      </c>
      <c r="S90" s="0" t="n">
        <v>0</v>
      </c>
      <c r="T90" s="0" t="s">
        <v>624</v>
      </c>
      <c r="U90" s="0" t="s">
        <v>149</v>
      </c>
      <c r="V90" s="0" t="s">
        <v>624</v>
      </c>
      <c r="W90" s="0" t="s">
        <v>569</v>
      </c>
      <c r="X90" s="0" t="s">
        <v>624</v>
      </c>
      <c r="Y90" s="0" t="s">
        <v>627</v>
      </c>
      <c r="Z90" s="0" t="s">
        <v>629</v>
      </c>
      <c r="AA90" s="0" t="s">
        <v>624</v>
      </c>
      <c r="AB90" s="0" t="s">
        <v>132</v>
      </c>
      <c r="AC90" s="254" t="n">
        <v>-500000</v>
      </c>
      <c r="AD90" s="254" t="n">
        <v>-2344.6881448924</v>
      </c>
      <c r="AE90" s="0" t="n">
        <v>0</v>
      </c>
      <c r="AF90" s="0" t="n">
        <v>0</v>
      </c>
      <c r="AG90" s="0" t="n">
        <v>0</v>
      </c>
      <c r="AH90" s="254" t="n">
        <v>-135.032784930379</v>
      </c>
      <c r="AI90" s="0" t="n">
        <v>226</v>
      </c>
      <c r="AJ90" s="0" t="s">
        <v>630</v>
      </c>
      <c r="AK90" s="0" t="n">
        <v>0</v>
      </c>
      <c r="AL90" s="0" t="n">
        <v>0</v>
      </c>
      <c r="AM90" s="0" t="n">
        <v>0</v>
      </c>
    </row>
    <row r="91" customFormat="false" ht="12.75" hidden="false" customHeight="false" outlineLevel="0" collapsed="false">
      <c r="A91" s="0" t="s">
        <v>621</v>
      </c>
      <c r="B91" s="0" t="s">
        <v>237</v>
      </c>
      <c r="C91" s="0" t="s">
        <v>622</v>
      </c>
      <c r="D91" s="0" t="s">
        <v>623</v>
      </c>
      <c r="E91" s="0" t="s">
        <v>131</v>
      </c>
      <c r="F91" s="0" t="s">
        <v>198</v>
      </c>
      <c r="G91" s="0" t="s">
        <v>628</v>
      </c>
      <c r="H91" s="0" t="s">
        <v>625</v>
      </c>
      <c r="I91" s="0" t="s">
        <v>626</v>
      </c>
      <c r="J91" s="0" t="s">
        <v>627</v>
      </c>
      <c r="K91" s="475" t="n">
        <v>36770</v>
      </c>
      <c r="L91" s="254" t="n">
        <v>-2581.92745646662</v>
      </c>
      <c r="M91" s="475" t="n">
        <v>36768</v>
      </c>
      <c r="N91" s="0" t="s">
        <v>136</v>
      </c>
      <c r="O91" s="0" t="n">
        <v>0.32</v>
      </c>
      <c r="P91" s="0" t="n">
        <v>0</v>
      </c>
      <c r="Q91" s="0" t="n">
        <v>0</v>
      </c>
      <c r="R91" s="0" t="n">
        <v>0</v>
      </c>
      <c r="S91" s="0" t="n">
        <v>0</v>
      </c>
      <c r="T91" s="0" t="s">
        <v>624</v>
      </c>
      <c r="U91" s="0" t="s">
        <v>149</v>
      </c>
      <c r="V91" s="0" t="s">
        <v>624</v>
      </c>
      <c r="W91" s="0" t="s">
        <v>569</v>
      </c>
      <c r="X91" s="0" t="s">
        <v>624</v>
      </c>
      <c r="Y91" s="0" t="s">
        <v>627</v>
      </c>
      <c r="Z91" s="0" t="s">
        <v>629</v>
      </c>
      <c r="AA91" s="0" t="s">
        <v>624</v>
      </c>
      <c r="AB91" s="0" t="s">
        <v>132</v>
      </c>
      <c r="AC91" s="254" t="n">
        <v>-500000</v>
      </c>
      <c r="AD91" s="254" t="n">
        <v>-607.139739001694</v>
      </c>
      <c r="AE91" s="0" t="n">
        <v>0</v>
      </c>
      <c r="AF91" s="0" t="n">
        <v>0</v>
      </c>
      <c r="AG91" s="0" t="n">
        <v>0</v>
      </c>
      <c r="AH91" s="254" t="n">
        <v>-72.9608457674394</v>
      </c>
      <c r="AI91" s="0" t="n">
        <v>226</v>
      </c>
      <c r="AJ91" s="0" t="s">
        <v>630</v>
      </c>
      <c r="AK91" s="0" t="n">
        <v>0</v>
      </c>
      <c r="AL91" s="0" t="n">
        <v>0</v>
      </c>
      <c r="AM91" s="0" t="n">
        <v>0</v>
      </c>
    </row>
    <row r="92" customFormat="false" ht="12.75" hidden="false" customHeight="false" outlineLevel="0" collapsed="false">
      <c r="A92" s="0" t="s">
        <v>621</v>
      </c>
      <c r="B92" s="0" t="s">
        <v>238</v>
      </c>
      <c r="C92" s="0" t="s">
        <v>622</v>
      </c>
      <c r="D92" s="0" t="s">
        <v>623</v>
      </c>
      <c r="E92" s="0" t="s">
        <v>131</v>
      </c>
      <c r="F92" s="0" t="s">
        <v>198</v>
      </c>
      <c r="G92" s="0" t="s">
        <v>628</v>
      </c>
      <c r="H92" s="0" t="s">
        <v>625</v>
      </c>
      <c r="I92" s="0" t="s">
        <v>626</v>
      </c>
      <c r="J92" s="0" t="s">
        <v>627</v>
      </c>
      <c r="K92" s="475" t="n">
        <v>36800</v>
      </c>
      <c r="L92" s="254" t="n">
        <v>-5454.42200524293</v>
      </c>
      <c r="M92" s="475" t="n">
        <v>36797</v>
      </c>
      <c r="N92" s="0" t="s">
        <v>132</v>
      </c>
      <c r="O92" s="0" t="n">
        <v>0.32</v>
      </c>
      <c r="P92" s="0" t="n">
        <v>0</v>
      </c>
      <c r="Q92" s="0" t="n">
        <v>0</v>
      </c>
      <c r="R92" s="0" t="n">
        <v>0</v>
      </c>
      <c r="S92" s="0" t="n">
        <v>0</v>
      </c>
      <c r="T92" s="0" t="s">
        <v>624</v>
      </c>
      <c r="U92" s="0" t="s">
        <v>149</v>
      </c>
      <c r="V92" s="0" t="s">
        <v>624</v>
      </c>
      <c r="W92" s="0" t="s">
        <v>569</v>
      </c>
      <c r="X92" s="0" t="s">
        <v>624</v>
      </c>
      <c r="Y92" s="0" t="s">
        <v>627</v>
      </c>
      <c r="Z92" s="0" t="s">
        <v>629</v>
      </c>
      <c r="AA92" s="0" t="s">
        <v>624</v>
      </c>
      <c r="AB92" s="0" t="s">
        <v>132</v>
      </c>
      <c r="AC92" s="254" t="n">
        <v>-500000</v>
      </c>
      <c r="AD92" s="254" t="n">
        <v>-2344.68814489241</v>
      </c>
      <c r="AE92" s="0" t="n">
        <v>0</v>
      </c>
      <c r="AF92" s="0" t="n">
        <v>0</v>
      </c>
      <c r="AG92" s="0" t="n">
        <v>0</v>
      </c>
      <c r="AH92" s="254" t="n">
        <v>-135.032784930544</v>
      </c>
      <c r="AI92" s="0" t="n">
        <v>226</v>
      </c>
      <c r="AJ92" s="0" t="s">
        <v>630</v>
      </c>
      <c r="AK92" s="0" t="n">
        <v>0</v>
      </c>
      <c r="AL92" s="0" t="n">
        <v>0</v>
      </c>
      <c r="AM92" s="0" t="n">
        <v>0</v>
      </c>
    </row>
    <row r="93" customFormat="false" ht="12.75" hidden="false" customHeight="false" outlineLevel="0" collapsed="false">
      <c r="A93" s="0" t="s">
        <v>621</v>
      </c>
      <c r="B93" s="0" t="s">
        <v>238</v>
      </c>
      <c r="C93" s="0" t="s">
        <v>622</v>
      </c>
      <c r="D93" s="0" t="s">
        <v>623</v>
      </c>
      <c r="E93" s="0" t="s">
        <v>131</v>
      </c>
      <c r="F93" s="0" t="s">
        <v>198</v>
      </c>
      <c r="G93" s="0" t="s">
        <v>628</v>
      </c>
      <c r="H93" s="0" t="s">
        <v>625</v>
      </c>
      <c r="I93" s="0" t="s">
        <v>626</v>
      </c>
      <c r="J93" s="0" t="s">
        <v>627</v>
      </c>
      <c r="K93" s="475" t="n">
        <v>36770</v>
      </c>
      <c r="L93" s="254" t="n">
        <v>-5081.00748619847</v>
      </c>
      <c r="M93" s="475" t="n">
        <v>36768</v>
      </c>
      <c r="N93" s="0" t="s">
        <v>132</v>
      </c>
      <c r="O93" s="0" t="n">
        <v>0.32</v>
      </c>
      <c r="P93" s="0" t="n">
        <v>0</v>
      </c>
      <c r="Q93" s="0" t="n">
        <v>0</v>
      </c>
      <c r="R93" s="0" t="n">
        <v>0</v>
      </c>
      <c r="S93" s="0" t="n">
        <v>0</v>
      </c>
      <c r="T93" s="0" t="s">
        <v>624</v>
      </c>
      <c r="U93" s="0" t="s">
        <v>149</v>
      </c>
      <c r="V93" s="0" t="s">
        <v>624</v>
      </c>
      <c r="W93" s="0" t="s">
        <v>569</v>
      </c>
      <c r="X93" s="0" t="s">
        <v>624</v>
      </c>
      <c r="Y93" s="0" t="s">
        <v>627</v>
      </c>
      <c r="Z93" s="0" t="s">
        <v>629</v>
      </c>
      <c r="AA93" s="0" t="s">
        <v>624</v>
      </c>
      <c r="AB93" s="0" t="s">
        <v>132</v>
      </c>
      <c r="AC93" s="254" t="n">
        <v>-500000</v>
      </c>
      <c r="AD93" s="254" t="n">
        <v>-607.139739001636</v>
      </c>
      <c r="AE93" s="0" t="n">
        <v>0</v>
      </c>
      <c r="AF93" s="0" t="n">
        <v>0</v>
      </c>
      <c r="AG93" s="0" t="n">
        <v>0</v>
      </c>
      <c r="AH93" s="254" t="n">
        <v>-72.9608457676895</v>
      </c>
      <c r="AI93" s="0" t="n">
        <v>226</v>
      </c>
      <c r="AJ93" s="0" t="s">
        <v>630</v>
      </c>
      <c r="AK93" s="0" t="n">
        <v>0</v>
      </c>
      <c r="AL93" s="0" t="n">
        <v>0</v>
      </c>
      <c r="AM93" s="0" t="n">
        <v>0</v>
      </c>
    </row>
    <row r="94" customFormat="false" ht="12.75" hidden="false" customHeight="false" outlineLevel="0" collapsed="false">
      <c r="A94" s="0" t="s">
        <v>621</v>
      </c>
      <c r="B94" s="0" t="s">
        <v>239</v>
      </c>
      <c r="C94" s="0" t="s">
        <v>622</v>
      </c>
      <c r="D94" s="0" t="s">
        <v>623</v>
      </c>
      <c r="E94" s="0" t="s">
        <v>131</v>
      </c>
      <c r="F94" s="0" t="s">
        <v>198</v>
      </c>
      <c r="G94" s="0" t="s">
        <v>628</v>
      </c>
      <c r="H94" s="0" t="s">
        <v>625</v>
      </c>
      <c r="I94" s="0" t="s">
        <v>626</v>
      </c>
      <c r="J94" s="0" t="s">
        <v>627</v>
      </c>
      <c r="K94" s="475" t="n">
        <v>36800</v>
      </c>
      <c r="L94" s="254" t="n">
        <v>-52680.866995455</v>
      </c>
      <c r="M94" s="475" t="n">
        <v>36797</v>
      </c>
      <c r="N94" s="0" t="s">
        <v>136</v>
      </c>
      <c r="O94" s="0" t="n">
        <v>0.32</v>
      </c>
      <c r="P94" s="0" t="n">
        <v>0</v>
      </c>
      <c r="Q94" s="0" t="n">
        <v>0</v>
      </c>
      <c r="R94" s="0" t="n">
        <v>0</v>
      </c>
      <c r="S94" s="0" t="n">
        <v>0</v>
      </c>
      <c r="T94" s="0" t="s">
        <v>624</v>
      </c>
      <c r="U94" s="0" t="s">
        <v>149</v>
      </c>
      <c r="V94" s="0" t="s">
        <v>624</v>
      </c>
      <c r="W94" s="0" t="s">
        <v>569</v>
      </c>
      <c r="X94" s="0" t="s">
        <v>624</v>
      </c>
      <c r="Y94" s="0" t="s">
        <v>627</v>
      </c>
      <c r="Z94" s="0" t="s">
        <v>629</v>
      </c>
      <c r="AA94" s="0" t="s">
        <v>624</v>
      </c>
      <c r="AB94" s="0" t="s">
        <v>132</v>
      </c>
      <c r="AC94" s="254" t="n">
        <v>-500000</v>
      </c>
      <c r="AD94" s="254" t="n">
        <v>-2344.6881448924</v>
      </c>
      <c r="AE94" s="0" t="n">
        <v>0</v>
      </c>
      <c r="AF94" s="0" t="n">
        <v>0</v>
      </c>
      <c r="AG94" s="0" t="n">
        <v>0</v>
      </c>
      <c r="AH94" s="254" t="n">
        <v>-135.032784930379</v>
      </c>
      <c r="AI94" s="0" t="n">
        <v>226</v>
      </c>
      <c r="AJ94" s="0" t="s">
        <v>630</v>
      </c>
      <c r="AK94" s="0" t="n">
        <v>0</v>
      </c>
      <c r="AL94" s="0" t="n">
        <v>0</v>
      </c>
      <c r="AM94" s="0" t="n">
        <v>0</v>
      </c>
    </row>
    <row r="95" customFormat="false" ht="12.75" hidden="false" customHeight="false" outlineLevel="0" collapsed="false">
      <c r="A95" s="0" t="s">
        <v>621</v>
      </c>
      <c r="B95" s="0" t="s">
        <v>239</v>
      </c>
      <c r="C95" s="0" t="s">
        <v>622</v>
      </c>
      <c r="D95" s="0" t="s">
        <v>623</v>
      </c>
      <c r="E95" s="0" t="s">
        <v>131</v>
      </c>
      <c r="F95" s="0" t="s">
        <v>198</v>
      </c>
      <c r="G95" s="0" t="s">
        <v>628</v>
      </c>
      <c r="H95" s="0" t="s">
        <v>625</v>
      </c>
      <c r="I95" s="0" t="s">
        <v>626</v>
      </c>
      <c r="J95" s="0" t="s">
        <v>627</v>
      </c>
      <c r="K95" s="475" t="n">
        <v>36770</v>
      </c>
      <c r="L95" s="254" t="n">
        <v>-2581.92745646662</v>
      </c>
      <c r="M95" s="475" t="n">
        <v>36768</v>
      </c>
      <c r="N95" s="0" t="s">
        <v>136</v>
      </c>
      <c r="O95" s="0" t="n">
        <v>0.32</v>
      </c>
      <c r="P95" s="0" t="n">
        <v>0</v>
      </c>
      <c r="Q95" s="0" t="n">
        <v>0</v>
      </c>
      <c r="R95" s="0" t="n">
        <v>0</v>
      </c>
      <c r="S95" s="0" t="n">
        <v>0</v>
      </c>
      <c r="T95" s="0" t="s">
        <v>624</v>
      </c>
      <c r="U95" s="0" t="s">
        <v>149</v>
      </c>
      <c r="V95" s="0" t="s">
        <v>624</v>
      </c>
      <c r="W95" s="0" t="s">
        <v>569</v>
      </c>
      <c r="X95" s="0" t="s">
        <v>624</v>
      </c>
      <c r="Y95" s="0" t="s">
        <v>627</v>
      </c>
      <c r="Z95" s="0" t="s">
        <v>629</v>
      </c>
      <c r="AA95" s="0" t="s">
        <v>624</v>
      </c>
      <c r="AB95" s="0" t="s">
        <v>132</v>
      </c>
      <c r="AC95" s="254" t="n">
        <v>-500000</v>
      </c>
      <c r="AD95" s="254" t="n">
        <v>-607.139739001694</v>
      </c>
      <c r="AE95" s="0" t="n">
        <v>0</v>
      </c>
      <c r="AF95" s="0" t="n">
        <v>0</v>
      </c>
      <c r="AG95" s="0" t="n">
        <v>0</v>
      </c>
      <c r="AH95" s="254" t="n">
        <v>-72.9608457674394</v>
      </c>
      <c r="AI95" s="0" t="n">
        <v>226</v>
      </c>
      <c r="AJ95" s="0" t="s">
        <v>630</v>
      </c>
      <c r="AK95" s="0" t="n">
        <v>0</v>
      </c>
      <c r="AL95" s="0" t="n">
        <v>0</v>
      </c>
      <c r="AM95" s="0" t="n">
        <v>0</v>
      </c>
    </row>
    <row r="96" customFormat="false" ht="12.75" hidden="false" customHeight="false" outlineLevel="0" collapsed="false">
      <c r="A96" s="0" t="s">
        <v>621</v>
      </c>
      <c r="B96" s="0" t="s">
        <v>240</v>
      </c>
      <c r="C96" s="0" t="s">
        <v>622</v>
      </c>
      <c r="D96" s="0" t="s">
        <v>623</v>
      </c>
      <c r="E96" s="0" t="s">
        <v>131</v>
      </c>
      <c r="F96" s="0" t="s">
        <v>198</v>
      </c>
      <c r="G96" s="0" t="s">
        <v>628</v>
      </c>
      <c r="H96" s="0" t="s">
        <v>625</v>
      </c>
      <c r="I96" s="0" t="s">
        <v>626</v>
      </c>
      <c r="J96" s="0" t="s">
        <v>627</v>
      </c>
      <c r="K96" s="475" t="n">
        <v>36800</v>
      </c>
      <c r="L96" s="254" t="n">
        <v>-5454.42200524293</v>
      </c>
      <c r="M96" s="475" t="n">
        <v>36797</v>
      </c>
      <c r="N96" s="0" t="s">
        <v>132</v>
      </c>
      <c r="O96" s="0" t="n">
        <v>0.32</v>
      </c>
      <c r="P96" s="0" t="n">
        <v>0</v>
      </c>
      <c r="Q96" s="0" t="n">
        <v>0</v>
      </c>
      <c r="R96" s="0" t="n">
        <v>0</v>
      </c>
      <c r="S96" s="0" t="n">
        <v>0</v>
      </c>
      <c r="T96" s="0" t="s">
        <v>624</v>
      </c>
      <c r="U96" s="0" t="s">
        <v>149</v>
      </c>
      <c r="V96" s="0" t="s">
        <v>624</v>
      </c>
      <c r="W96" s="0" t="s">
        <v>569</v>
      </c>
      <c r="X96" s="0" t="s">
        <v>624</v>
      </c>
      <c r="Y96" s="0" t="s">
        <v>627</v>
      </c>
      <c r="Z96" s="0" t="s">
        <v>629</v>
      </c>
      <c r="AA96" s="0" t="s">
        <v>624</v>
      </c>
      <c r="AB96" s="0" t="s">
        <v>132</v>
      </c>
      <c r="AC96" s="254" t="n">
        <v>-500000</v>
      </c>
      <c r="AD96" s="254" t="n">
        <v>-2344.68814489241</v>
      </c>
      <c r="AE96" s="0" t="n">
        <v>0</v>
      </c>
      <c r="AF96" s="0" t="n">
        <v>0</v>
      </c>
      <c r="AG96" s="0" t="n">
        <v>0</v>
      </c>
      <c r="AH96" s="254" t="n">
        <v>-135.032784930544</v>
      </c>
      <c r="AI96" s="0" t="n">
        <v>226</v>
      </c>
      <c r="AJ96" s="0" t="s">
        <v>630</v>
      </c>
      <c r="AK96" s="0" t="n">
        <v>0</v>
      </c>
      <c r="AL96" s="0" t="n">
        <v>0</v>
      </c>
      <c r="AM96" s="0" t="n">
        <v>0</v>
      </c>
    </row>
    <row r="97" customFormat="false" ht="12.75" hidden="false" customHeight="false" outlineLevel="0" collapsed="false">
      <c r="A97" s="0" t="s">
        <v>621</v>
      </c>
      <c r="B97" s="0" t="s">
        <v>240</v>
      </c>
      <c r="C97" s="0" t="s">
        <v>622</v>
      </c>
      <c r="D97" s="0" t="s">
        <v>623</v>
      </c>
      <c r="E97" s="0" t="s">
        <v>131</v>
      </c>
      <c r="F97" s="0" t="s">
        <v>198</v>
      </c>
      <c r="G97" s="0" t="s">
        <v>628</v>
      </c>
      <c r="H97" s="0" t="s">
        <v>625</v>
      </c>
      <c r="I97" s="0" t="s">
        <v>626</v>
      </c>
      <c r="J97" s="0" t="s">
        <v>627</v>
      </c>
      <c r="K97" s="475" t="n">
        <v>36770</v>
      </c>
      <c r="L97" s="254" t="n">
        <v>-5081.00748619847</v>
      </c>
      <c r="M97" s="475" t="n">
        <v>36768</v>
      </c>
      <c r="N97" s="0" t="s">
        <v>132</v>
      </c>
      <c r="O97" s="0" t="n">
        <v>0.32</v>
      </c>
      <c r="P97" s="0" t="n">
        <v>0</v>
      </c>
      <c r="Q97" s="0" t="n">
        <v>0</v>
      </c>
      <c r="R97" s="0" t="n">
        <v>0</v>
      </c>
      <c r="S97" s="0" t="n">
        <v>0</v>
      </c>
      <c r="T97" s="0" t="s">
        <v>624</v>
      </c>
      <c r="U97" s="0" t="s">
        <v>149</v>
      </c>
      <c r="V97" s="0" t="s">
        <v>624</v>
      </c>
      <c r="W97" s="0" t="s">
        <v>569</v>
      </c>
      <c r="X97" s="0" t="s">
        <v>624</v>
      </c>
      <c r="Y97" s="0" t="s">
        <v>627</v>
      </c>
      <c r="Z97" s="0" t="s">
        <v>629</v>
      </c>
      <c r="AA97" s="0" t="s">
        <v>624</v>
      </c>
      <c r="AB97" s="0" t="s">
        <v>132</v>
      </c>
      <c r="AC97" s="254" t="n">
        <v>-500000</v>
      </c>
      <c r="AD97" s="254" t="n">
        <v>-607.139739001636</v>
      </c>
      <c r="AE97" s="0" t="n">
        <v>0</v>
      </c>
      <c r="AF97" s="0" t="n">
        <v>0</v>
      </c>
      <c r="AG97" s="0" t="n">
        <v>0</v>
      </c>
      <c r="AH97" s="254" t="n">
        <v>-72.9608457676895</v>
      </c>
      <c r="AI97" s="0" t="n">
        <v>226</v>
      </c>
      <c r="AJ97" s="0" t="s">
        <v>630</v>
      </c>
      <c r="AK97" s="0" t="n">
        <v>0</v>
      </c>
      <c r="AL97" s="0" t="n">
        <v>0</v>
      </c>
      <c r="AM97" s="0" t="n">
        <v>0</v>
      </c>
    </row>
    <row r="98" customFormat="false" ht="12.75" hidden="false" customHeight="false" outlineLevel="0" collapsed="false">
      <c r="A98" s="0" t="s">
        <v>621</v>
      </c>
      <c r="B98" s="0" t="s">
        <v>241</v>
      </c>
      <c r="C98" s="0" t="s">
        <v>622</v>
      </c>
      <c r="D98" s="0" t="s">
        <v>623</v>
      </c>
      <c r="E98" s="0" t="s">
        <v>131</v>
      </c>
      <c r="F98" s="0" t="s">
        <v>198</v>
      </c>
      <c r="G98" s="0" t="s">
        <v>628</v>
      </c>
      <c r="H98" s="0" t="s">
        <v>625</v>
      </c>
      <c r="I98" s="0" t="s">
        <v>626</v>
      </c>
      <c r="J98" s="0" t="s">
        <v>627</v>
      </c>
      <c r="K98" s="475" t="n">
        <v>36800</v>
      </c>
      <c r="L98" s="254" t="n">
        <v>-2727.21100262147</v>
      </c>
      <c r="M98" s="475" t="n">
        <v>36797</v>
      </c>
      <c r="N98" s="0" t="s">
        <v>132</v>
      </c>
      <c r="O98" s="0" t="n">
        <v>0.32</v>
      </c>
      <c r="P98" s="0" t="n">
        <v>0</v>
      </c>
      <c r="Q98" s="0" t="n">
        <v>0</v>
      </c>
      <c r="R98" s="0" t="n">
        <v>0</v>
      </c>
      <c r="S98" s="0" t="n">
        <v>0</v>
      </c>
      <c r="T98" s="0" t="s">
        <v>624</v>
      </c>
      <c r="U98" s="0" t="s">
        <v>149</v>
      </c>
      <c r="V98" s="0" t="s">
        <v>624</v>
      </c>
      <c r="W98" s="0" t="s">
        <v>569</v>
      </c>
      <c r="X98" s="0" t="s">
        <v>624</v>
      </c>
      <c r="Y98" s="0" t="s">
        <v>627</v>
      </c>
      <c r="Z98" s="0" t="s">
        <v>629</v>
      </c>
      <c r="AA98" s="0" t="s">
        <v>624</v>
      </c>
      <c r="AB98" s="0" t="s">
        <v>132</v>
      </c>
      <c r="AC98" s="254" t="n">
        <v>-250000</v>
      </c>
      <c r="AD98" s="254" t="n">
        <v>-1172.34407244621</v>
      </c>
      <c r="AE98" s="0" t="n">
        <v>0</v>
      </c>
      <c r="AF98" s="0" t="n">
        <v>0</v>
      </c>
      <c r="AG98" s="0" t="n">
        <v>0</v>
      </c>
      <c r="AH98" s="254" t="n">
        <v>-67.516392465272</v>
      </c>
      <c r="AI98" s="0" t="n">
        <v>226</v>
      </c>
      <c r="AJ98" s="0" t="s">
        <v>630</v>
      </c>
      <c r="AK98" s="0" t="n">
        <v>0</v>
      </c>
      <c r="AL98" s="0" t="n">
        <v>0</v>
      </c>
      <c r="AM98" s="0" t="n">
        <v>0</v>
      </c>
    </row>
    <row r="99" customFormat="false" ht="12.75" hidden="false" customHeight="false" outlineLevel="0" collapsed="false">
      <c r="A99" s="0" t="s">
        <v>621</v>
      </c>
      <c r="B99" s="0" t="s">
        <v>241</v>
      </c>
      <c r="C99" s="0" t="s">
        <v>622</v>
      </c>
      <c r="D99" s="0" t="s">
        <v>623</v>
      </c>
      <c r="E99" s="0" t="s">
        <v>131</v>
      </c>
      <c r="F99" s="0" t="s">
        <v>198</v>
      </c>
      <c r="G99" s="0" t="s">
        <v>628</v>
      </c>
      <c r="H99" s="0" t="s">
        <v>625</v>
      </c>
      <c r="I99" s="0" t="s">
        <v>626</v>
      </c>
      <c r="J99" s="0" t="s">
        <v>627</v>
      </c>
      <c r="K99" s="475" t="n">
        <v>36770</v>
      </c>
      <c r="L99" s="254" t="n">
        <v>-2540.50374309923</v>
      </c>
      <c r="M99" s="475" t="n">
        <v>36768</v>
      </c>
      <c r="N99" s="0" t="s">
        <v>132</v>
      </c>
      <c r="O99" s="0" t="n">
        <v>0.32</v>
      </c>
      <c r="P99" s="0" t="n">
        <v>0</v>
      </c>
      <c r="Q99" s="0" t="n">
        <v>0</v>
      </c>
      <c r="R99" s="0" t="n">
        <v>0</v>
      </c>
      <c r="S99" s="0" t="n">
        <v>0</v>
      </c>
      <c r="T99" s="0" t="s">
        <v>624</v>
      </c>
      <c r="U99" s="0" t="s">
        <v>149</v>
      </c>
      <c r="V99" s="0" t="s">
        <v>624</v>
      </c>
      <c r="W99" s="0" t="s">
        <v>569</v>
      </c>
      <c r="X99" s="0" t="s">
        <v>624</v>
      </c>
      <c r="Y99" s="0" t="s">
        <v>627</v>
      </c>
      <c r="Z99" s="0" t="s">
        <v>629</v>
      </c>
      <c r="AA99" s="0" t="s">
        <v>624</v>
      </c>
      <c r="AB99" s="0" t="s">
        <v>132</v>
      </c>
      <c r="AC99" s="254" t="n">
        <v>-250000</v>
      </c>
      <c r="AD99" s="254" t="n">
        <v>-303.569869500818</v>
      </c>
      <c r="AE99" s="0" t="n">
        <v>0</v>
      </c>
      <c r="AF99" s="0" t="n">
        <v>0</v>
      </c>
      <c r="AG99" s="0" t="n">
        <v>0</v>
      </c>
      <c r="AH99" s="254" t="n">
        <v>-36.4804228838448</v>
      </c>
      <c r="AI99" s="0" t="n">
        <v>226</v>
      </c>
      <c r="AJ99" s="0" t="s">
        <v>630</v>
      </c>
      <c r="AK99" s="0" t="n">
        <v>0</v>
      </c>
      <c r="AL99" s="0" t="n">
        <v>0</v>
      </c>
      <c r="AM99" s="0" t="n">
        <v>0</v>
      </c>
    </row>
    <row r="100" customFormat="false" ht="12.75" hidden="false" customHeight="false" outlineLevel="0" collapsed="false">
      <c r="A100" s="0" t="s">
        <v>621</v>
      </c>
      <c r="B100" s="0" t="s">
        <v>242</v>
      </c>
      <c r="C100" s="0" t="s">
        <v>622</v>
      </c>
      <c r="D100" s="0" t="s">
        <v>623</v>
      </c>
      <c r="E100" s="0" t="s">
        <v>131</v>
      </c>
      <c r="F100" s="0" t="s">
        <v>198</v>
      </c>
      <c r="G100" s="0" t="s">
        <v>628</v>
      </c>
      <c r="H100" s="0" t="s">
        <v>625</v>
      </c>
      <c r="I100" s="0" t="s">
        <v>626</v>
      </c>
      <c r="J100" s="0" t="s">
        <v>627</v>
      </c>
      <c r="K100" s="475" t="n">
        <v>36800</v>
      </c>
      <c r="L100" s="254" t="n">
        <v>-766.234349142123</v>
      </c>
      <c r="M100" s="475" t="n">
        <v>36797</v>
      </c>
      <c r="N100" s="0" t="s">
        <v>132</v>
      </c>
      <c r="O100" s="0" t="n">
        <v>0.26</v>
      </c>
      <c r="P100" s="0" t="n">
        <v>0</v>
      </c>
      <c r="Q100" s="0" t="n">
        <v>0</v>
      </c>
      <c r="R100" s="0" t="n">
        <v>0</v>
      </c>
      <c r="S100" s="0" t="n">
        <v>0</v>
      </c>
      <c r="T100" s="0" t="s">
        <v>624</v>
      </c>
      <c r="U100" s="0" t="s">
        <v>149</v>
      </c>
      <c r="V100" s="0" t="s">
        <v>624</v>
      </c>
      <c r="W100" s="0" t="s">
        <v>569</v>
      </c>
      <c r="X100" s="0" t="s">
        <v>624</v>
      </c>
      <c r="Y100" s="0" t="s">
        <v>627</v>
      </c>
      <c r="Z100" s="0" t="s">
        <v>629</v>
      </c>
      <c r="AA100" s="0" t="s">
        <v>624</v>
      </c>
      <c r="AB100" s="0" t="s">
        <v>132</v>
      </c>
      <c r="AC100" s="254" t="n">
        <v>-250000</v>
      </c>
      <c r="AD100" s="254" t="n">
        <v>-597.214338036363</v>
      </c>
      <c r="AE100" s="0" t="n">
        <v>0</v>
      </c>
      <c r="AF100" s="0" t="n">
        <v>0</v>
      </c>
      <c r="AG100" s="0" t="n">
        <v>0</v>
      </c>
      <c r="AH100" s="254" t="n">
        <v>-35.0757596714325</v>
      </c>
      <c r="AI100" s="0" t="n">
        <v>226</v>
      </c>
      <c r="AJ100" s="0" t="s">
        <v>630</v>
      </c>
      <c r="AK100" s="0" t="n">
        <v>0</v>
      </c>
      <c r="AL100" s="0" t="n">
        <v>0</v>
      </c>
      <c r="AM100" s="0" t="n">
        <v>0</v>
      </c>
    </row>
    <row r="101" customFormat="false" ht="12.75" hidden="false" customHeight="false" outlineLevel="0" collapsed="false">
      <c r="A101" s="0" t="s">
        <v>621</v>
      </c>
      <c r="B101" s="0" t="s">
        <v>242</v>
      </c>
      <c r="C101" s="0" t="s">
        <v>622</v>
      </c>
      <c r="D101" s="0" t="s">
        <v>623</v>
      </c>
      <c r="E101" s="0" t="s">
        <v>131</v>
      </c>
      <c r="F101" s="0" t="s">
        <v>198</v>
      </c>
      <c r="G101" s="0" t="s">
        <v>628</v>
      </c>
      <c r="H101" s="0" t="s">
        <v>625</v>
      </c>
      <c r="I101" s="0" t="s">
        <v>626</v>
      </c>
      <c r="J101" s="0" t="s">
        <v>627</v>
      </c>
      <c r="K101" s="475" t="n">
        <v>36770</v>
      </c>
      <c r="L101" s="254" t="n">
        <v>-1.44411803026934</v>
      </c>
      <c r="M101" s="475" t="n">
        <v>36768</v>
      </c>
      <c r="N101" s="0" t="s">
        <v>132</v>
      </c>
      <c r="O101" s="0" t="n">
        <v>0.26</v>
      </c>
      <c r="P101" s="0" t="n">
        <v>0</v>
      </c>
      <c r="Q101" s="0" t="n">
        <v>0</v>
      </c>
      <c r="R101" s="0" t="n">
        <v>0</v>
      </c>
      <c r="S101" s="0" t="n">
        <v>0</v>
      </c>
      <c r="T101" s="0" t="s">
        <v>624</v>
      </c>
      <c r="U101" s="0" t="s">
        <v>149</v>
      </c>
      <c r="V101" s="0" t="s">
        <v>624</v>
      </c>
      <c r="W101" s="0" t="s">
        <v>569</v>
      </c>
      <c r="X101" s="0" t="s">
        <v>624</v>
      </c>
      <c r="Y101" s="0" t="s">
        <v>627</v>
      </c>
      <c r="Z101" s="0" t="s">
        <v>629</v>
      </c>
      <c r="AA101" s="0" t="s">
        <v>624</v>
      </c>
      <c r="AB101" s="0" t="s">
        <v>132</v>
      </c>
      <c r="AC101" s="254" t="n">
        <v>-250000</v>
      </c>
      <c r="AD101" s="254" t="n">
        <v>-3.13154728476263</v>
      </c>
      <c r="AE101" s="0" t="n">
        <v>0</v>
      </c>
      <c r="AF101" s="0" t="n">
        <v>0</v>
      </c>
      <c r="AG101" s="0" t="n">
        <v>0</v>
      </c>
      <c r="AH101" s="254" t="n">
        <v>-12.6547789849329</v>
      </c>
      <c r="AI101" s="0" t="n">
        <v>226</v>
      </c>
      <c r="AJ101" s="0" t="s">
        <v>630</v>
      </c>
      <c r="AK101" s="0" t="n">
        <v>0</v>
      </c>
      <c r="AL101" s="0" t="n">
        <v>0</v>
      </c>
      <c r="AM101" s="0" t="n">
        <v>0</v>
      </c>
    </row>
    <row r="102" customFormat="false" ht="12.75" hidden="false" customHeight="false" outlineLevel="0" collapsed="false">
      <c r="A102" s="0" t="s">
        <v>621</v>
      </c>
      <c r="B102" s="0" t="s">
        <v>243</v>
      </c>
      <c r="C102" s="0" t="s">
        <v>622</v>
      </c>
      <c r="D102" s="0" t="s">
        <v>623</v>
      </c>
      <c r="E102" s="0" t="s">
        <v>131</v>
      </c>
      <c r="F102" s="0" t="s">
        <v>210</v>
      </c>
      <c r="G102" s="0" t="s">
        <v>628</v>
      </c>
      <c r="H102" s="0" t="s">
        <v>625</v>
      </c>
      <c r="I102" s="0" t="s">
        <v>626</v>
      </c>
      <c r="J102" s="0" t="s">
        <v>627</v>
      </c>
      <c r="K102" s="475" t="n">
        <v>36951</v>
      </c>
      <c r="L102" s="254" t="n">
        <v>124938.119627837</v>
      </c>
      <c r="M102" s="475" t="n">
        <v>36949</v>
      </c>
      <c r="N102" s="0" t="s">
        <v>136</v>
      </c>
      <c r="O102" s="0" t="n">
        <v>2.2</v>
      </c>
      <c r="P102" s="0" t="n">
        <v>0</v>
      </c>
      <c r="Q102" s="0" t="n">
        <v>0</v>
      </c>
      <c r="R102" s="0" t="n">
        <v>0</v>
      </c>
      <c r="S102" s="0" t="n">
        <v>0</v>
      </c>
      <c r="T102" s="0" t="s">
        <v>624</v>
      </c>
      <c r="U102" s="0" t="s">
        <v>149</v>
      </c>
      <c r="V102" s="0" t="s">
        <v>624</v>
      </c>
      <c r="W102" s="0" t="s">
        <v>569</v>
      </c>
      <c r="X102" s="0" t="s">
        <v>624</v>
      </c>
      <c r="Y102" s="0" t="s">
        <v>627</v>
      </c>
      <c r="Z102" s="0" t="s">
        <v>629</v>
      </c>
      <c r="AA102" s="0" t="s">
        <v>624</v>
      </c>
      <c r="AB102" s="0" t="s">
        <v>132</v>
      </c>
      <c r="AC102" s="254" t="n">
        <v>620000</v>
      </c>
      <c r="AD102" s="254" t="n">
        <v>40586.6171070616</v>
      </c>
      <c r="AE102" s="0" t="n">
        <v>0</v>
      </c>
      <c r="AF102" s="0" t="n">
        <v>0</v>
      </c>
      <c r="AG102" s="0" t="n">
        <v>0</v>
      </c>
      <c r="AH102" s="254" t="n">
        <v>11748.0848062936</v>
      </c>
      <c r="AI102" s="0" t="n">
        <v>226</v>
      </c>
      <c r="AJ102" s="0" t="s">
        <v>630</v>
      </c>
      <c r="AK102" s="0" t="n">
        <v>0</v>
      </c>
      <c r="AL102" s="0" t="n">
        <v>0</v>
      </c>
      <c r="AM102" s="0" t="n">
        <v>0</v>
      </c>
    </row>
    <row r="103" customFormat="false" ht="12.75" hidden="false" customHeight="false" outlineLevel="0" collapsed="false">
      <c r="A103" s="0" t="s">
        <v>621</v>
      </c>
      <c r="B103" s="0" t="s">
        <v>243</v>
      </c>
      <c r="C103" s="0" t="s">
        <v>622</v>
      </c>
      <c r="D103" s="0" t="s">
        <v>623</v>
      </c>
      <c r="E103" s="0" t="s">
        <v>131</v>
      </c>
      <c r="F103" s="0" t="s">
        <v>210</v>
      </c>
      <c r="G103" s="0" t="s">
        <v>628</v>
      </c>
      <c r="H103" s="0" t="s">
        <v>625</v>
      </c>
      <c r="I103" s="0" t="s">
        <v>626</v>
      </c>
      <c r="J103" s="0" t="s">
        <v>627</v>
      </c>
      <c r="K103" s="475" t="n">
        <v>36923</v>
      </c>
      <c r="L103" s="254" t="n">
        <v>358702.787583092</v>
      </c>
      <c r="M103" s="475" t="n">
        <v>36921</v>
      </c>
      <c r="N103" s="0" t="s">
        <v>136</v>
      </c>
      <c r="O103" s="0" t="n">
        <v>2.2</v>
      </c>
      <c r="P103" s="0" t="n">
        <v>0</v>
      </c>
      <c r="Q103" s="0" t="n">
        <v>0</v>
      </c>
      <c r="R103" s="0" t="n">
        <v>0</v>
      </c>
      <c r="S103" s="0" t="n">
        <v>0</v>
      </c>
      <c r="T103" s="0" t="s">
        <v>624</v>
      </c>
      <c r="U103" s="0" t="s">
        <v>149</v>
      </c>
      <c r="V103" s="0" t="s">
        <v>624</v>
      </c>
      <c r="W103" s="0" t="s">
        <v>569</v>
      </c>
      <c r="X103" s="0" t="s">
        <v>624</v>
      </c>
      <c r="Y103" s="0" t="s">
        <v>627</v>
      </c>
      <c r="Z103" s="0" t="s">
        <v>629</v>
      </c>
      <c r="AA103" s="0" t="s">
        <v>624</v>
      </c>
      <c r="AB103" s="0" t="s">
        <v>132</v>
      </c>
      <c r="AC103" s="254" t="n">
        <v>560000</v>
      </c>
      <c r="AD103" s="254" t="n">
        <v>47797.078140472</v>
      </c>
      <c r="AE103" s="0" t="n">
        <v>0</v>
      </c>
      <c r="AF103" s="0" t="n">
        <v>0</v>
      </c>
      <c r="AG103" s="0" t="n">
        <v>0</v>
      </c>
      <c r="AH103" s="254" t="n">
        <v>22299.1158173473</v>
      </c>
      <c r="AI103" s="0" t="n">
        <v>226</v>
      </c>
      <c r="AJ103" s="0" t="s">
        <v>630</v>
      </c>
      <c r="AK103" s="0" t="n">
        <v>0</v>
      </c>
      <c r="AL103" s="0" t="n">
        <v>0</v>
      </c>
      <c r="AM103" s="0" t="n">
        <v>0</v>
      </c>
    </row>
    <row r="104" customFormat="false" ht="12.75" hidden="false" customHeight="false" outlineLevel="0" collapsed="false">
      <c r="A104" s="0" t="s">
        <v>621</v>
      </c>
      <c r="B104" s="0" t="s">
        <v>243</v>
      </c>
      <c r="C104" s="0" t="s">
        <v>622</v>
      </c>
      <c r="D104" s="0" t="s">
        <v>623</v>
      </c>
      <c r="E104" s="0" t="s">
        <v>131</v>
      </c>
      <c r="F104" s="0" t="s">
        <v>210</v>
      </c>
      <c r="G104" s="0" t="s">
        <v>628</v>
      </c>
      <c r="H104" s="0" t="s">
        <v>625</v>
      </c>
      <c r="I104" s="0" t="s">
        <v>626</v>
      </c>
      <c r="J104" s="0" t="s">
        <v>627</v>
      </c>
      <c r="K104" s="475" t="n">
        <v>36892</v>
      </c>
      <c r="L104" s="254" t="n">
        <v>398427.194933903</v>
      </c>
      <c r="M104" s="475" t="n">
        <v>36888</v>
      </c>
      <c r="N104" s="0" t="s">
        <v>136</v>
      </c>
      <c r="O104" s="0" t="n">
        <v>2.2</v>
      </c>
      <c r="P104" s="0" t="n">
        <v>0</v>
      </c>
      <c r="Q104" s="0" t="n">
        <v>0</v>
      </c>
      <c r="R104" s="0" t="n">
        <v>0</v>
      </c>
      <c r="S104" s="0" t="n">
        <v>0</v>
      </c>
      <c r="T104" s="0" t="s">
        <v>624</v>
      </c>
      <c r="U104" s="0" t="s">
        <v>149</v>
      </c>
      <c r="V104" s="0" t="s">
        <v>624</v>
      </c>
      <c r="W104" s="0" t="s">
        <v>569</v>
      </c>
      <c r="X104" s="0" t="s">
        <v>624</v>
      </c>
      <c r="Y104" s="0" t="s">
        <v>627</v>
      </c>
      <c r="Z104" s="0" t="s">
        <v>629</v>
      </c>
      <c r="AA104" s="0" t="s">
        <v>624</v>
      </c>
      <c r="AB104" s="0" t="s">
        <v>132</v>
      </c>
      <c r="AC104" s="254" t="n">
        <v>620000</v>
      </c>
      <c r="AD104" s="254" t="n">
        <v>48615.0062956162</v>
      </c>
      <c r="AE104" s="0" t="n">
        <v>0</v>
      </c>
      <c r="AF104" s="0" t="n">
        <v>0</v>
      </c>
      <c r="AG104" s="0" t="n">
        <v>0</v>
      </c>
      <c r="AH104" s="254" t="n">
        <v>21884.5755490481</v>
      </c>
      <c r="AI104" s="0" t="n">
        <v>226</v>
      </c>
      <c r="AJ104" s="0" t="s">
        <v>630</v>
      </c>
      <c r="AK104" s="0" t="n">
        <v>0</v>
      </c>
      <c r="AL104" s="0" t="n">
        <v>0</v>
      </c>
      <c r="AM104" s="0" t="n">
        <v>0</v>
      </c>
    </row>
    <row r="105" customFormat="false" ht="12.75" hidden="false" customHeight="false" outlineLevel="0" collapsed="false">
      <c r="A105" s="0" t="s">
        <v>621</v>
      </c>
      <c r="B105" s="0" t="s">
        <v>243</v>
      </c>
      <c r="C105" s="0" t="s">
        <v>622</v>
      </c>
      <c r="D105" s="0" t="s">
        <v>623</v>
      </c>
      <c r="E105" s="0" t="s">
        <v>131</v>
      </c>
      <c r="F105" s="0" t="s">
        <v>210</v>
      </c>
      <c r="G105" s="0" t="s">
        <v>628</v>
      </c>
      <c r="H105" s="0" t="s">
        <v>625</v>
      </c>
      <c r="I105" s="0" t="s">
        <v>626</v>
      </c>
      <c r="J105" s="0" t="s">
        <v>627</v>
      </c>
      <c r="K105" s="475" t="n">
        <v>36861</v>
      </c>
      <c r="L105" s="254" t="n">
        <v>199738.29047235</v>
      </c>
      <c r="M105" s="475" t="n">
        <v>36859</v>
      </c>
      <c r="N105" s="0" t="s">
        <v>136</v>
      </c>
      <c r="O105" s="0" t="n">
        <v>2.2</v>
      </c>
      <c r="P105" s="0" t="n">
        <v>0</v>
      </c>
      <c r="Q105" s="0" t="n">
        <v>0</v>
      </c>
      <c r="R105" s="0" t="n">
        <v>0</v>
      </c>
      <c r="S105" s="0" t="n">
        <v>0</v>
      </c>
      <c r="T105" s="0" t="s">
        <v>624</v>
      </c>
      <c r="U105" s="0" t="s">
        <v>149</v>
      </c>
      <c r="V105" s="0" t="s">
        <v>624</v>
      </c>
      <c r="W105" s="0" t="s">
        <v>569</v>
      </c>
      <c r="X105" s="0" t="s">
        <v>624</v>
      </c>
      <c r="Y105" s="0" t="s">
        <v>627</v>
      </c>
      <c r="Z105" s="0" t="s">
        <v>629</v>
      </c>
      <c r="AA105" s="0" t="s">
        <v>624</v>
      </c>
      <c r="AB105" s="0" t="s">
        <v>132</v>
      </c>
      <c r="AC105" s="254" t="n">
        <v>620000</v>
      </c>
      <c r="AD105" s="254" t="n">
        <v>39788.0274591485</v>
      </c>
      <c r="AE105" s="0" t="n">
        <v>0</v>
      </c>
      <c r="AF105" s="0" t="n">
        <v>0</v>
      </c>
      <c r="AG105" s="0" t="n">
        <v>0</v>
      </c>
      <c r="AH105" s="254" t="n">
        <v>12505.8450214535</v>
      </c>
      <c r="AI105" s="0" t="n">
        <v>226</v>
      </c>
      <c r="AJ105" s="0" t="s">
        <v>630</v>
      </c>
      <c r="AK105" s="0" t="n">
        <v>0</v>
      </c>
      <c r="AL105" s="0" t="n">
        <v>0</v>
      </c>
      <c r="AM105" s="0" t="n">
        <v>0</v>
      </c>
    </row>
    <row r="106" customFormat="false" ht="12.75" hidden="false" customHeight="false" outlineLevel="0" collapsed="false">
      <c r="A106" s="0" t="s">
        <v>621</v>
      </c>
      <c r="B106" s="0" t="s">
        <v>243</v>
      </c>
      <c r="C106" s="0" t="s">
        <v>622</v>
      </c>
      <c r="D106" s="0" t="s">
        <v>623</v>
      </c>
      <c r="E106" s="0" t="s">
        <v>131</v>
      </c>
      <c r="F106" s="0" t="s">
        <v>210</v>
      </c>
      <c r="G106" s="0" t="s">
        <v>628</v>
      </c>
      <c r="H106" s="0" t="s">
        <v>625</v>
      </c>
      <c r="I106" s="0" t="s">
        <v>626</v>
      </c>
      <c r="J106" s="0" t="s">
        <v>627</v>
      </c>
      <c r="K106" s="475" t="n">
        <v>36831</v>
      </c>
      <c r="L106" s="254" t="n">
        <v>7728.16207572301</v>
      </c>
      <c r="M106" s="475" t="n">
        <v>36829</v>
      </c>
      <c r="N106" s="0" t="s">
        <v>136</v>
      </c>
      <c r="O106" s="0" t="n">
        <v>2.2</v>
      </c>
      <c r="P106" s="0" t="n">
        <v>0</v>
      </c>
      <c r="Q106" s="0" t="n">
        <v>0</v>
      </c>
      <c r="R106" s="0" t="n">
        <v>0</v>
      </c>
      <c r="S106" s="0" t="n">
        <v>0</v>
      </c>
      <c r="T106" s="0" t="s">
        <v>624</v>
      </c>
      <c r="U106" s="0" t="s">
        <v>149</v>
      </c>
      <c r="V106" s="0" t="s">
        <v>624</v>
      </c>
      <c r="W106" s="0" t="s">
        <v>569</v>
      </c>
      <c r="X106" s="0" t="s">
        <v>624</v>
      </c>
      <c r="Y106" s="0" t="s">
        <v>627</v>
      </c>
      <c r="Z106" s="0" t="s">
        <v>629</v>
      </c>
      <c r="AA106" s="0" t="s">
        <v>624</v>
      </c>
      <c r="AB106" s="0" t="s">
        <v>132</v>
      </c>
      <c r="AC106" s="254" t="n">
        <v>600000</v>
      </c>
      <c r="AD106" s="254" t="n">
        <v>5389.61632909822</v>
      </c>
      <c r="AE106" s="0" t="n">
        <v>0</v>
      </c>
      <c r="AF106" s="0" t="n">
        <v>0</v>
      </c>
      <c r="AG106" s="0" t="n">
        <v>0</v>
      </c>
      <c r="AH106" s="254" t="n">
        <v>1377.81334995839</v>
      </c>
      <c r="AI106" s="0" t="n">
        <v>226</v>
      </c>
      <c r="AJ106" s="0" t="s">
        <v>630</v>
      </c>
      <c r="AK106" s="0" t="n">
        <v>0</v>
      </c>
      <c r="AL106" s="0" t="n">
        <v>0</v>
      </c>
      <c r="AM106" s="0" t="n">
        <v>0</v>
      </c>
    </row>
    <row r="107" customFormat="false" ht="12.75" hidden="false" customHeight="false" outlineLevel="0" collapsed="false">
      <c r="A107" s="0" t="s">
        <v>621</v>
      </c>
      <c r="B107" s="0" t="s">
        <v>245</v>
      </c>
      <c r="C107" s="0" t="s">
        <v>622</v>
      </c>
      <c r="D107" s="0" t="s">
        <v>623</v>
      </c>
      <c r="E107" s="0" t="s">
        <v>131</v>
      </c>
      <c r="F107" s="0" t="s">
        <v>244</v>
      </c>
      <c r="G107" s="0" t="s">
        <v>628</v>
      </c>
      <c r="H107" s="0" t="s">
        <v>625</v>
      </c>
      <c r="I107" s="0" t="s">
        <v>626</v>
      </c>
      <c r="J107" s="0" t="s">
        <v>627</v>
      </c>
      <c r="K107" s="475" t="n">
        <v>36951</v>
      </c>
      <c r="L107" s="254" t="n">
        <v>160013.494654283</v>
      </c>
      <c r="M107" s="475" t="n">
        <v>36949</v>
      </c>
      <c r="N107" s="0" t="s">
        <v>132</v>
      </c>
      <c r="O107" s="0" t="n">
        <v>0.7</v>
      </c>
      <c r="P107" s="0" t="n">
        <v>0</v>
      </c>
      <c r="Q107" s="0" t="n">
        <v>0</v>
      </c>
      <c r="R107" s="0" t="n">
        <v>0</v>
      </c>
      <c r="S107" s="0" t="n">
        <v>0</v>
      </c>
      <c r="T107" s="0" t="s">
        <v>624</v>
      </c>
      <c r="U107" s="0" t="s">
        <v>149</v>
      </c>
      <c r="V107" s="0" t="s">
        <v>624</v>
      </c>
      <c r="W107" s="0" t="s">
        <v>569</v>
      </c>
      <c r="X107" s="0" t="s">
        <v>624</v>
      </c>
      <c r="Y107" s="0" t="s">
        <v>627</v>
      </c>
      <c r="Z107" s="0" t="s">
        <v>629</v>
      </c>
      <c r="AA107" s="0" t="s">
        <v>624</v>
      </c>
      <c r="AB107" s="0" t="s">
        <v>132</v>
      </c>
      <c r="AC107" s="254" t="n">
        <v>500000</v>
      </c>
      <c r="AD107" s="254" t="n">
        <v>43330.8707097487</v>
      </c>
      <c r="AE107" s="0" t="n">
        <v>0</v>
      </c>
      <c r="AF107" s="0" t="n">
        <v>0</v>
      </c>
      <c r="AG107" s="0" t="n">
        <v>0</v>
      </c>
      <c r="AH107" s="254" t="n">
        <v>-7738.76991280532</v>
      </c>
      <c r="AI107" s="0" t="n">
        <v>226</v>
      </c>
      <c r="AJ107" s="0" t="s">
        <v>630</v>
      </c>
      <c r="AK107" s="0" t="n">
        <v>0</v>
      </c>
      <c r="AL107" s="0" t="n">
        <v>0</v>
      </c>
      <c r="AM107" s="0" t="n">
        <v>0</v>
      </c>
    </row>
    <row r="108" customFormat="false" ht="12.75" hidden="false" customHeight="false" outlineLevel="0" collapsed="false">
      <c r="A108" s="0" t="s">
        <v>621</v>
      </c>
      <c r="B108" s="0" t="s">
        <v>245</v>
      </c>
      <c r="C108" s="0" t="s">
        <v>622</v>
      </c>
      <c r="D108" s="0" t="s">
        <v>623</v>
      </c>
      <c r="E108" s="0" t="s">
        <v>131</v>
      </c>
      <c r="F108" s="0" t="s">
        <v>244</v>
      </c>
      <c r="G108" s="0" t="s">
        <v>628</v>
      </c>
      <c r="H108" s="0" t="s">
        <v>625</v>
      </c>
      <c r="I108" s="0" t="s">
        <v>626</v>
      </c>
      <c r="J108" s="0" t="s">
        <v>627</v>
      </c>
      <c r="K108" s="475" t="n">
        <v>36923</v>
      </c>
      <c r="L108" s="254" t="n">
        <v>64633.941476257</v>
      </c>
      <c r="M108" s="475" t="n">
        <v>36921</v>
      </c>
      <c r="N108" s="0" t="s">
        <v>132</v>
      </c>
      <c r="O108" s="0" t="n">
        <v>0.7</v>
      </c>
      <c r="P108" s="0" t="n">
        <v>0</v>
      </c>
      <c r="Q108" s="0" t="n">
        <v>0</v>
      </c>
      <c r="R108" s="0" t="n">
        <v>0</v>
      </c>
      <c r="S108" s="0" t="n">
        <v>0</v>
      </c>
      <c r="T108" s="0" t="s">
        <v>624</v>
      </c>
      <c r="U108" s="0" t="s">
        <v>149</v>
      </c>
      <c r="V108" s="0" t="s">
        <v>624</v>
      </c>
      <c r="W108" s="0" t="s">
        <v>569</v>
      </c>
      <c r="X108" s="0" t="s">
        <v>624</v>
      </c>
      <c r="Y108" s="0" t="s">
        <v>627</v>
      </c>
      <c r="Z108" s="0" t="s">
        <v>629</v>
      </c>
      <c r="AA108" s="0" t="s">
        <v>624</v>
      </c>
      <c r="AB108" s="0" t="s">
        <v>132</v>
      </c>
      <c r="AC108" s="254" t="n">
        <v>500000</v>
      </c>
      <c r="AD108" s="254" t="n">
        <v>29717.6874512879</v>
      </c>
      <c r="AE108" s="0" t="n">
        <v>0</v>
      </c>
      <c r="AF108" s="0" t="n">
        <v>0</v>
      </c>
      <c r="AG108" s="0" t="n">
        <v>0</v>
      </c>
      <c r="AH108" s="254" t="n">
        <v>-3486.33141220711</v>
      </c>
      <c r="AI108" s="0" t="n">
        <v>226</v>
      </c>
      <c r="AJ108" s="0" t="s">
        <v>630</v>
      </c>
      <c r="AK108" s="0" t="n">
        <v>0</v>
      </c>
      <c r="AL108" s="0" t="n">
        <v>0</v>
      </c>
      <c r="AM108" s="0" t="n">
        <v>0</v>
      </c>
    </row>
    <row r="109" customFormat="false" ht="12.75" hidden="false" customHeight="false" outlineLevel="0" collapsed="false">
      <c r="A109" s="0" t="s">
        <v>621</v>
      </c>
      <c r="B109" s="0" t="s">
        <v>245</v>
      </c>
      <c r="C109" s="0" t="s">
        <v>622</v>
      </c>
      <c r="D109" s="0" t="s">
        <v>623</v>
      </c>
      <c r="E109" s="0" t="s">
        <v>131</v>
      </c>
      <c r="F109" s="0" t="s">
        <v>244</v>
      </c>
      <c r="G109" s="0" t="s">
        <v>628</v>
      </c>
      <c r="H109" s="0" t="s">
        <v>625</v>
      </c>
      <c r="I109" s="0" t="s">
        <v>626</v>
      </c>
      <c r="J109" s="0" t="s">
        <v>627</v>
      </c>
      <c r="K109" s="475" t="n">
        <v>36892</v>
      </c>
      <c r="L109" s="254" t="n">
        <v>50711.5763740942</v>
      </c>
      <c r="M109" s="475" t="n">
        <v>36888</v>
      </c>
      <c r="N109" s="0" t="s">
        <v>132</v>
      </c>
      <c r="O109" s="0" t="n">
        <v>0.7</v>
      </c>
      <c r="P109" s="0" t="n">
        <v>0</v>
      </c>
      <c r="Q109" s="0" t="n">
        <v>0</v>
      </c>
      <c r="R109" s="0" t="n">
        <v>0</v>
      </c>
      <c r="S109" s="0" t="n">
        <v>0</v>
      </c>
      <c r="T109" s="0" t="s">
        <v>624</v>
      </c>
      <c r="U109" s="0" t="s">
        <v>149</v>
      </c>
      <c r="V109" s="0" t="s">
        <v>624</v>
      </c>
      <c r="W109" s="0" t="s">
        <v>569</v>
      </c>
      <c r="X109" s="0" t="s">
        <v>624</v>
      </c>
      <c r="Y109" s="0" t="s">
        <v>627</v>
      </c>
      <c r="Z109" s="0" t="s">
        <v>629</v>
      </c>
      <c r="AA109" s="0" t="s">
        <v>624</v>
      </c>
      <c r="AB109" s="0" t="s">
        <v>132</v>
      </c>
      <c r="AC109" s="254" t="n">
        <v>500000</v>
      </c>
      <c r="AD109" s="254" t="n">
        <v>24485.5777553611</v>
      </c>
      <c r="AE109" s="0" t="n">
        <v>0</v>
      </c>
      <c r="AF109" s="0" t="n">
        <v>0</v>
      </c>
      <c r="AG109" s="0" t="n">
        <v>0</v>
      </c>
      <c r="AH109" s="254" t="n">
        <v>-2460.61232077333</v>
      </c>
      <c r="AI109" s="0" t="n">
        <v>226</v>
      </c>
      <c r="AJ109" s="0" t="s">
        <v>630</v>
      </c>
      <c r="AK109" s="0" t="n">
        <v>0</v>
      </c>
      <c r="AL109" s="0" t="n">
        <v>0</v>
      </c>
      <c r="AM109" s="0" t="n">
        <v>0</v>
      </c>
    </row>
    <row r="110" customFormat="false" ht="12.75" hidden="false" customHeight="false" outlineLevel="0" collapsed="false">
      <c r="A110" s="0" t="s">
        <v>621</v>
      </c>
      <c r="B110" s="0" t="s">
        <v>245</v>
      </c>
      <c r="C110" s="0" t="s">
        <v>622</v>
      </c>
      <c r="D110" s="0" t="s">
        <v>623</v>
      </c>
      <c r="E110" s="0" t="s">
        <v>131</v>
      </c>
      <c r="F110" s="0" t="s">
        <v>244</v>
      </c>
      <c r="G110" s="0" t="s">
        <v>628</v>
      </c>
      <c r="H110" s="0" t="s">
        <v>625</v>
      </c>
      <c r="I110" s="0" t="s">
        <v>626</v>
      </c>
      <c r="J110" s="0" t="s">
        <v>627</v>
      </c>
      <c r="K110" s="475" t="n">
        <v>36861</v>
      </c>
      <c r="L110" s="254" t="n">
        <v>67625.3262715833</v>
      </c>
      <c r="M110" s="475" t="n">
        <v>36859</v>
      </c>
      <c r="N110" s="0" t="s">
        <v>132</v>
      </c>
      <c r="O110" s="0" t="n">
        <v>0.7</v>
      </c>
      <c r="P110" s="0" t="n">
        <v>0</v>
      </c>
      <c r="Q110" s="0" t="n">
        <v>0</v>
      </c>
      <c r="R110" s="0" t="n">
        <v>0</v>
      </c>
      <c r="S110" s="0" t="n">
        <v>0</v>
      </c>
      <c r="T110" s="0" t="s">
        <v>624</v>
      </c>
      <c r="U110" s="0" t="s">
        <v>149</v>
      </c>
      <c r="V110" s="0" t="s">
        <v>624</v>
      </c>
      <c r="W110" s="0" t="s">
        <v>569</v>
      </c>
      <c r="X110" s="0" t="s">
        <v>624</v>
      </c>
      <c r="Y110" s="0" t="s">
        <v>627</v>
      </c>
      <c r="Z110" s="0" t="s">
        <v>629</v>
      </c>
      <c r="AA110" s="0" t="s">
        <v>624</v>
      </c>
      <c r="AB110" s="0" t="s">
        <v>132</v>
      </c>
      <c r="AC110" s="254" t="n">
        <v>500000</v>
      </c>
      <c r="AD110" s="254" t="n">
        <v>26854.2626189887</v>
      </c>
      <c r="AE110" s="0" t="n">
        <v>0</v>
      </c>
      <c r="AF110" s="0" t="n">
        <v>0</v>
      </c>
      <c r="AG110" s="0" t="n">
        <v>0</v>
      </c>
      <c r="AH110" s="254" t="n">
        <v>-2764.98327624796</v>
      </c>
      <c r="AI110" s="0" t="n">
        <v>226</v>
      </c>
      <c r="AJ110" s="0" t="s">
        <v>630</v>
      </c>
      <c r="AK110" s="0" t="n">
        <v>0</v>
      </c>
      <c r="AL110" s="0" t="n">
        <v>0</v>
      </c>
      <c r="AM110" s="0" t="n">
        <v>0</v>
      </c>
    </row>
    <row r="111" customFormat="false" ht="12.75" hidden="false" customHeight="false" outlineLevel="0" collapsed="false">
      <c r="A111" s="0" t="s">
        <v>621</v>
      </c>
      <c r="B111" s="0" t="s">
        <v>245</v>
      </c>
      <c r="C111" s="0" t="s">
        <v>622</v>
      </c>
      <c r="D111" s="0" t="s">
        <v>623</v>
      </c>
      <c r="E111" s="0" t="s">
        <v>131</v>
      </c>
      <c r="F111" s="0" t="s">
        <v>244</v>
      </c>
      <c r="G111" s="0" t="s">
        <v>628</v>
      </c>
      <c r="H111" s="0" t="s">
        <v>625</v>
      </c>
      <c r="I111" s="0" t="s">
        <v>626</v>
      </c>
      <c r="J111" s="0" t="s">
        <v>627</v>
      </c>
      <c r="K111" s="475" t="n">
        <v>36831</v>
      </c>
      <c r="L111" s="254" t="n">
        <v>112243.684198816</v>
      </c>
      <c r="M111" s="475" t="n">
        <v>36829</v>
      </c>
      <c r="N111" s="0" t="s">
        <v>132</v>
      </c>
      <c r="O111" s="0" t="n">
        <v>0.7</v>
      </c>
      <c r="P111" s="0" t="n">
        <v>0</v>
      </c>
      <c r="Q111" s="0" t="n">
        <v>0</v>
      </c>
      <c r="R111" s="0" t="n">
        <v>0</v>
      </c>
      <c r="S111" s="0" t="n">
        <v>0</v>
      </c>
      <c r="T111" s="0" t="s">
        <v>624</v>
      </c>
      <c r="U111" s="0" t="s">
        <v>149</v>
      </c>
      <c r="V111" s="0" t="s">
        <v>624</v>
      </c>
      <c r="W111" s="0" t="s">
        <v>569</v>
      </c>
      <c r="X111" s="0" t="s">
        <v>624</v>
      </c>
      <c r="Y111" s="0" t="s">
        <v>627</v>
      </c>
      <c r="Z111" s="0" t="s">
        <v>629</v>
      </c>
      <c r="AA111" s="0" t="s">
        <v>624</v>
      </c>
      <c r="AB111" s="0" t="s">
        <v>132</v>
      </c>
      <c r="AC111" s="254" t="n">
        <v>500000</v>
      </c>
      <c r="AD111" s="254" t="n">
        <v>22551.2171298701</v>
      </c>
      <c r="AE111" s="0" t="n">
        <v>0</v>
      </c>
      <c r="AF111" s="0" t="n">
        <v>0</v>
      </c>
      <c r="AG111" s="0" t="n">
        <v>0</v>
      </c>
      <c r="AH111" s="254" t="n">
        <v>-7585.65487872387</v>
      </c>
      <c r="AI111" s="0" t="n">
        <v>226</v>
      </c>
      <c r="AJ111" s="0" t="s">
        <v>630</v>
      </c>
      <c r="AK111" s="0" t="n">
        <v>0</v>
      </c>
      <c r="AL111" s="0" t="n">
        <v>0</v>
      </c>
      <c r="AM111" s="0" t="n">
        <v>0</v>
      </c>
    </row>
    <row r="112" customFormat="false" ht="12.75" hidden="false" customHeight="false" outlineLevel="0" collapsed="false">
      <c r="A112" s="0" t="s">
        <v>621</v>
      </c>
      <c r="B112" s="0" t="s">
        <v>246</v>
      </c>
      <c r="C112" s="0" t="s">
        <v>622</v>
      </c>
      <c r="D112" s="0" t="s">
        <v>623</v>
      </c>
      <c r="E112" s="0" t="s">
        <v>131</v>
      </c>
      <c r="F112" s="0" t="s">
        <v>244</v>
      </c>
      <c r="G112" s="0" t="s">
        <v>628</v>
      </c>
      <c r="H112" s="0" t="s">
        <v>625</v>
      </c>
      <c r="I112" s="0" t="s">
        <v>626</v>
      </c>
      <c r="J112" s="0" t="s">
        <v>627</v>
      </c>
      <c r="K112" s="475" t="n">
        <v>36923</v>
      </c>
      <c r="L112" s="254" t="n">
        <v>-507261.235922058</v>
      </c>
      <c r="M112" s="475" t="n">
        <v>36921</v>
      </c>
      <c r="N112" s="0" t="s">
        <v>136</v>
      </c>
      <c r="O112" s="0" t="n">
        <v>1.4</v>
      </c>
      <c r="P112" s="0" t="n">
        <v>0</v>
      </c>
      <c r="Q112" s="0" t="n">
        <v>0</v>
      </c>
      <c r="R112" s="0" t="n">
        <v>0</v>
      </c>
      <c r="S112" s="0" t="n">
        <v>0</v>
      </c>
      <c r="T112" s="0" t="s">
        <v>624</v>
      </c>
      <c r="U112" s="0" t="s">
        <v>149</v>
      </c>
      <c r="V112" s="0" t="s">
        <v>624</v>
      </c>
      <c r="W112" s="0" t="s">
        <v>569</v>
      </c>
      <c r="X112" s="0" t="s">
        <v>624</v>
      </c>
      <c r="Y112" s="0" t="s">
        <v>627</v>
      </c>
      <c r="Z112" s="0" t="s">
        <v>629</v>
      </c>
      <c r="AA112" s="0" t="s">
        <v>624</v>
      </c>
      <c r="AB112" s="0" t="s">
        <v>132</v>
      </c>
      <c r="AC112" s="254" t="n">
        <v>-500000</v>
      </c>
      <c r="AD112" s="254" t="n">
        <v>-40486.0254651181</v>
      </c>
      <c r="AE112" s="0" t="n">
        <v>0</v>
      </c>
      <c r="AF112" s="0" t="n">
        <v>0</v>
      </c>
      <c r="AG112" s="0" t="n">
        <v>0</v>
      </c>
      <c r="AH112" s="254" t="n">
        <v>-25962.4589863099</v>
      </c>
      <c r="AI112" s="0" t="n">
        <v>226</v>
      </c>
      <c r="AJ112" s="0" t="s">
        <v>630</v>
      </c>
      <c r="AK112" s="0" t="n">
        <v>0</v>
      </c>
      <c r="AL112" s="0" t="n">
        <v>0</v>
      </c>
      <c r="AM112" s="0" t="n">
        <v>0</v>
      </c>
    </row>
    <row r="113" customFormat="false" ht="12.75" hidden="false" customHeight="false" outlineLevel="0" collapsed="false">
      <c r="A113" s="0" t="s">
        <v>621</v>
      </c>
      <c r="B113" s="0" t="s">
        <v>246</v>
      </c>
      <c r="C113" s="0" t="s">
        <v>622</v>
      </c>
      <c r="D113" s="0" t="s">
        <v>623</v>
      </c>
      <c r="E113" s="0" t="s">
        <v>131</v>
      </c>
      <c r="F113" s="0" t="s">
        <v>244</v>
      </c>
      <c r="G113" s="0" t="s">
        <v>628</v>
      </c>
      <c r="H113" s="0" t="s">
        <v>625</v>
      </c>
      <c r="I113" s="0" t="s">
        <v>626</v>
      </c>
      <c r="J113" s="0" t="s">
        <v>627</v>
      </c>
      <c r="K113" s="475" t="n">
        <v>36892</v>
      </c>
      <c r="L113" s="254" t="n">
        <v>-522198.685159032</v>
      </c>
      <c r="M113" s="475" t="n">
        <v>36888</v>
      </c>
      <c r="N113" s="0" t="s">
        <v>136</v>
      </c>
      <c r="O113" s="0" t="n">
        <v>1.4</v>
      </c>
      <c r="P113" s="0" t="n">
        <v>0</v>
      </c>
      <c r="Q113" s="0" t="n">
        <v>0</v>
      </c>
      <c r="R113" s="0" t="n">
        <v>0</v>
      </c>
      <c r="S113" s="0" t="n">
        <v>0</v>
      </c>
      <c r="T113" s="0" t="s">
        <v>624</v>
      </c>
      <c r="U113" s="0" t="s">
        <v>149</v>
      </c>
      <c r="V113" s="0" t="s">
        <v>624</v>
      </c>
      <c r="W113" s="0" t="s">
        <v>569</v>
      </c>
      <c r="X113" s="0" t="s">
        <v>624</v>
      </c>
      <c r="Y113" s="0" t="s">
        <v>627</v>
      </c>
      <c r="Z113" s="0" t="s">
        <v>629</v>
      </c>
      <c r="AA113" s="0" t="s">
        <v>624</v>
      </c>
      <c r="AB113" s="0" t="s">
        <v>132</v>
      </c>
      <c r="AC113" s="254" t="n">
        <v>-500000</v>
      </c>
      <c r="AD113" s="254" t="n">
        <v>-35849.3773656747</v>
      </c>
      <c r="AE113" s="0" t="n">
        <v>0</v>
      </c>
      <c r="AF113" s="0" t="n">
        <v>0</v>
      </c>
      <c r="AG113" s="0" t="n">
        <v>0</v>
      </c>
      <c r="AH113" s="254" t="n">
        <v>-23082.2891502687</v>
      </c>
      <c r="AI113" s="0" t="n">
        <v>226</v>
      </c>
      <c r="AJ113" s="0" t="s">
        <v>630</v>
      </c>
      <c r="AK113" s="0" t="n">
        <v>0</v>
      </c>
      <c r="AL113" s="0" t="n">
        <v>0</v>
      </c>
      <c r="AM113" s="0" t="n">
        <v>0</v>
      </c>
    </row>
    <row r="114" customFormat="false" ht="12.75" hidden="false" customHeight="false" outlineLevel="0" collapsed="false">
      <c r="A114" s="0" t="s">
        <v>621</v>
      </c>
      <c r="B114" s="0" t="s">
        <v>246</v>
      </c>
      <c r="C114" s="0" t="s">
        <v>622</v>
      </c>
      <c r="D114" s="0" t="s">
        <v>623</v>
      </c>
      <c r="E114" s="0" t="s">
        <v>131</v>
      </c>
      <c r="F114" s="0" t="s">
        <v>244</v>
      </c>
      <c r="G114" s="0" t="s">
        <v>628</v>
      </c>
      <c r="H114" s="0" t="s">
        <v>625</v>
      </c>
      <c r="I114" s="0" t="s">
        <v>626</v>
      </c>
      <c r="J114" s="0" t="s">
        <v>627</v>
      </c>
      <c r="K114" s="475" t="n">
        <v>36861</v>
      </c>
      <c r="L114" s="254" t="n">
        <v>-314750.305543874</v>
      </c>
      <c r="M114" s="475" t="n">
        <v>36859</v>
      </c>
      <c r="N114" s="0" t="s">
        <v>136</v>
      </c>
      <c r="O114" s="0" t="n">
        <v>1.4</v>
      </c>
      <c r="P114" s="0" t="n">
        <v>0</v>
      </c>
      <c r="Q114" s="0" t="n">
        <v>0</v>
      </c>
      <c r="R114" s="0" t="n">
        <v>0</v>
      </c>
      <c r="S114" s="0" t="n">
        <v>0</v>
      </c>
      <c r="T114" s="0" t="s">
        <v>624</v>
      </c>
      <c r="U114" s="0" t="s">
        <v>149</v>
      </c>
      <c r="V114" s="0" t="s">
        <v>624</v>
      </c>
      <c r="W114" s="0" t="s">
        <v>569</v>
      </c>
      <c r="X114" s="0" t="s">
        <v>624</v>
      </c>
      <c r="Y114" s="0" t="s">
        <v>627</v>
      </c>
      <c r="Z114" s="0" t="s">
        <v>629</v>
      </c>
      <c r="AA114" s="0" t="s">
        <v>624</v>
      </c>
      <c r="AB114" s="0" t="s">
        <v>132</v>
      </c>
      <c r="AC114" s="254" t="n">
        <v>-500000</v>
      </c>
      <c r="AD114" s="254" t="n">
        <v>-35113.3919479792</v>
      </c>
      <c r="AE114" s="0" t="n">
        <v>0</v>
      </c>
      <c r="AF114" s="0" t="n">
        <v>0</v>
      </c>
      <c r="AG114" s="0" t="n">
        <v>0</v>
      </c>
      <c r="AH114" s="254" t="n">
        <v>-15248.9689529291</v>
      </c>
      <c r="AI114" s="0" t="n">
        <v>226</v>
      </c>
      <c r="AJ114" s="0" t="s">
        <v>630</v>
      </c>
      <c r="AK114" s="0" t="n">
        <v>0</v>
      </c>
      <c r="AL114" s="0" t="n">
        <v>0</v>
      </c>
      <c r="AM114" s="0" t="n">
        <v>0</v>
      </c>
    </row>
    <row r="115" customFormat="false" ht="12.75" hidden="false" customHeight="false" outlineLevel="0" collapsed="false">
      <c r="A115" s="0" t="s">
        <v>621</v>
      </c>
      <c r="B115" s="0" t="s">
        <v>247</v>
      </c>
      <c r="C115" s="0" t="s">
        <v>622</v>
      </c>
      <c r="D115" s="0" t="s">
        <v>623</v>
      </c>
      <c r="E115" s="0" t="s">
        <v>131</v>
      </c>
      <c r="F115" s="0" t="s">
        <v>244</v>
      </c>
      <c r="G115" s="0" t="s">
        <v>628</v>
      </c>
      <c r="H115" s="0" t="s">
        <v>625</v>
      </c>
      <c r="I115" s="0" t="s">
        <v>626</v>
      </c>
      <c r="J115" s="0" t="s">
        <v>627</v>
      </c>
      <c r="K115" s="475" t="n">
        <v>36923</v>
      </c>
      <c r="L115" s="254" t="n">
        <v>-172165.655322027</v>
      </c>
      <c r="M115" s="475" t="n">
        <v>36921</v>
      </c>
      <c r="N115" s="0" t="s">
        <v>132</v>
      </c>
      <c r="O115" s="0" t="n">
        <v>1.4</v>
      </c>
      <c r="P115" s="0" t="n">
        <v>0</v>
      </c>
      <c r="Q115" s="0" t="n">
        <v>0</v>
      </c>
      <c r="R115" s="0" t="n">
        <v>0</v>
      </c>
      <c r="S115" s="0" t="n">
        <v>0</v>
      </c>
      <c r="T115" s="0" t="s">
        <v>624</v>
      </c>
      <c r="U115" s="0" t="s">
        <v>149</v>
      </c>
      <c r="V115" s="0" t="s">
        <v>624</v>
      </c>
      <c r="W115" s="0" t="s">
        <v>569</v>
      </c>
      <c r="X115" s="0" t="s">
        <v>624</v>
      </c>
      <c r="Y115" s="0" t="s">
        <v>627</v>
      </c>
      <c r="Z115" s="0" t="s">
        <v>629</v>
      </c>
      <c r="AA115" s="0" t="s">
        <v>624</v>
      </c>
      <c r="AB115" s="0" t="s">
        <v>132</v>
      </c>
      <c r="AC115" s="254" t="n">
        <v>-500000</v>
      </c>
      <c r="AD115" s="254" t="n">
        <v>-40486.0254651181</v>
      </c>
      <c r="AE115" s="0" t="n">
        <v>0</v>
      </c>
      <c r="AF115" s="0" t="n">
        <v>0</v>
      </c>
      <c r="AG115" s="0" t="n">
        <v>0</v>
      </c>
      <c r="AH115" s="254" t="n">
        <v>8015.26932346608</v>
      </c>
      <c r="AI115" s="0" t="n">
        <v>226</v>
      </c>
      <c r="AJ115" s="0" t="s">
        <v>630</v>
      </c>
      <c r="AK115" s="0" t="n">
        <v>0</v>
      </c>
      <c r="AL115" s="0" t="n">
        <v>0</v>
      </c>
      <c r="AM115" s="0" t="n">
        <v>0</v>
      </c>
    </row>
    <row r="116" customFormat="false" ht="12.75" hidden="false" customHeight="false" outlineLevel="0" collapsed="false">
      <c r="A116" s="0" t="s">
        <v>621</v>
      </c>
      <c r="B116" s="0" t="s">
        <v>247</v>
      </c>
      <c r="C116" s="0" t="s">
        <v>622</v>
      </c>
      <c r="D116" s="0" t="s">
        <v>623</v>
      </c>
      <c r="E116" s="0" t="s">
        <v>131</v>
      </c>
      <c r="F116" s="0" t="s">
        <v>244</v>
      </c>
      <c r="G116" s="0" t="s">
        <v>628</v>
      </c>
      <c r="H116" s="0" t="s">
        <v>625</v>
      </c>
      <c r="I116" s="0" t="s">
        <v>626</v>
      </c>
      <c r="J116" s="0" t="s">
        <v>627</v>
      </c>
      <c r="K116" s="475" t="n">
        <v>36892</v>
      </c>
      <c r="L116" s="254" t="n">
        <v>-145891.826545768</v>
      </c>
      <c r="M116" s="475" t="n">
        <v>36888</v>
      </c>
      <c r="N116" s="0" t="s">
        <v>132</v>
      </c>
      <c r="O116" s="0" t="n">
        <v>1.4</v>
      </c>
      <c r="P116" s="0" t="n">
        <v>0</v>
      </c>
      <c r="Q116" s="0" t="n">
        <v>0</v>
      </c>
      <c r="R116" s="0" t="n">
        <v>0</v>
      </c>
      <c r="S116" s="0" t="n">
        <v>0</v>
      </c>
      <c r="T116" s="0" t="s">
        <v>624</v>
      </c>
      <c r="U116" s="0" t="s">
        <v>149</v>
      </c>
      <c r="V116" s="0" t="s">
        <v>624</v>
      </c>
      <c r="W116" s="0" t="s">
        <v>569</v>
      </c>
      <c r="X116" s="0" t="s">
        <v>624</v>
      </c>
      <c r="Y116" s="0" t="s">
        <v>627</v>
      </c>
      <c r="Z116" s="0" t="s">
        <v>629</v>
      </c>
      <c r="AA116" s="0" t="s">
        <v>624</v>
      </c>
      <c r="AB116" s="0" t="s">
        <v>132</v>
      </c>
      <c r="AC116" s="254" t="n">
        <v>-500000</v>
      </c>
      <c r="AD116" s="254" t="n">
        <v>-35849.3773656747</v>
      </c>
      <c r="AE116" s="0" t="n">
        <v>0</v>
      </c>
      <c r="AF116" s="0" t="n">
        <v>0</v>
      </c>
      <c r="AG116" s="0" t="n">
        <v>0</v>
      </c>
      <c r="AH116" s="254" t="n">
        <v>6224.68947469955</v>
      </c>
      <c r="AI116" s="0" t="n">
        <v>226</v>
      </c>
      <c r="AJ116" s="0" t="s">
        <v>630</v>
      </c>
      <c r="AK116" s="0" t="n">
        <v>0</v>
      </c>
      <c r="AL116" s="0" t="n">
        <v>0</v>
      </c>
      <c r="AM116" s="0" t="n">
        <v>0</v>
      </c>
    </row>
    <row r="117" customFormat="false" ht="12.75" hidden="false" customHeight="false" outlineLevel="0" collapsed="false">
      <c r="A117" s="0" t="s">
        <v>621</v>
      </c>
      <c r="B117" s="0" t="s">
        <v>247</v>
      </c>
      <c r="C117" s="0" t="s">
        <v>622</v>
      </c>
      <c r="D117" s="0" t="s">
        <v>623</v>
      </c>
      <c r="E117" s="0" t="s">
        <v>131</v>
      </c>
      <c r="F117" s="0" t="s">
        <v>244</v>
      </c>
      <c r="G117" s="0" t="s">
        <v>628</v>
      </c>
      <c r="H117" s="0" t="s">
        <v>625</v>
      </c>
      <c r="I117" s="0" t="s">
        <v>626</v>
      </c>
      <c r="J117" s="0" t="s">
        <v>627</v>
      </c>
      <c r="K117" s="475" t="n">
        <v>36861</v>
      </c>
      <c r="L117" s="254" t="n">
        <v>-194362.661455349</v>
      </c>
      <c r="M117" s="475" t="n">
        <v>36859</v>
      </c>
      <c r="N117" s="0" t="s">
        <v>132</v>
      </c>
      <c r="O117" s="0" t="n">
        <v>1.4</v>
      </c>
      <c r="P117" s="0" t="n">
        <v>0</v>
      </c>
      <c r="Q117" s="0" t="n">
        <v>0</v>
      </c>
      <c r="R117" s="0" t="n">
        <v>0</v>
      </c>
      <c r="S117" s="0" t="n">
        <v>0</v>
      </c>
      <c r="T117" s="0" t="s">
        <v>624</v>
      </c>
      <c r="U117" s="0" t="s">
        <v>149</v>
      </c>
      <c r="V117" s="0" t="s">
        <v>624</v>
      </c>
      <c r="W117" s="0" t="s">
        <v>569</v>
      </c>
      <c r="X117" s="0" t="s">
        <v>624</v>
      </c>
      <c r="Y117" s="0" t="s">
        <v>627</v>
      </c>
      <c r="Z117" s="0" t="s">
        <v>629</v>
      </c>
      <c r="AA117" s="0" t="s">
        <v>624</v>
      </c>
      <c r="AB117" s="0" t="s">
        <v>132</v>
      </c>
      <c r="AC117" s="254" t="n">
        <v>-500000</v>
      </c>
      <c r="AD117" s="254" t="n">
        <v>-35113.3919479792</v>
      </c>
      <c r="AE117" s="0" t="n">
        <v>0</v>
      </c>
      <c r="AF117" s="0" t="n">
        <v>0</v>
      </c>
      <c r="AG117" s="0" t="n">
        <v>0</v>
      </c>
      <c r="AH117" s="254" t="n">
        <v>6850.88392178956</v>
      </c>
      <c r="AI117" s="0" t="n">
        <v>226</v>
      </c>
      <c r="AJ117" s="0" t="s">
        <v>630</v>
      </c>
      <c r="AK117" s="0" t="n">
        <v>0</v>
      </c>
      <c r="AL117" s="0" t="n">
        <v>0</v>
      </c>
      <c r="AM117" s="0" t="n">
        <v>0</v>
      </c>
    </row>
    <row r="118" customFormat="false" ht="12.75" hidden="false" customHeight="false" outlineLevel="0" collapsed="false">
      <c r="A118" s="0" t="s">
        <v>621</v>
      </c>
      <c r="B118" s="0" t="s">
        <v>248</v>
      </c>
      <c r="C118" s="0" t="s">
        <v>622</v>
      </c>
      <c r="D118" s="0" t="s">
        <v>623</v>
      </c>
      <c r="E118" s="0" t="s">
        <v>131</v>
      </c>
      <c r="F118" s="0" t="s">
        <v>198</v>
      </c>
      <c r="G118" s="0" t="s">
        <v>628</v>
      </c>
      <c r="H118" s="0" t="s">
        <v>625</v>
      </c>
      <c r="I118" s="0" t="s">
        <v>626</v>
      </c>
      <c r="J118" s="0" t="s">
        <v>627</v>
      </c>
      <c r="K118" s="475" t="n">
        <v>36951</v>
      </c>
      <c r="L118" s="254" t="n">
        <v>-71142.6891006748</v>
      </c>
      <c r="M118" s="475" t="n">
        <v>36949</v>
      </c>
      <c r="N118" s="0" t="s">
        <v>136</v>
      </c>
      <c r="O118" s="0" t="n">
        <v>0</v>
      </c>
      <c r="P118" s="0" t="n">
        <v>0</v>
      </c>
      <c r="Q118" s="0" t="n">
        <v>0</v>
      </c>
      <c r="R118" s="0" t="n">
        <v>0</v>
      </c>
      <c r="S118" s="0" t="n">
        <v>0</v>
      </c>
      <c r="T118" s="0" t="s">
        <v>624</v>
      </c>
      <c r="U118" s="0" t="s">
        <v>153</v>
      </c>
      <c r="V118" s="0" t="s">
        <v>624</v>
      </c>
      <c r="W118" s="0" t="s">
        <v>569</v>
      </c>
      <c r="X118" s="0" t="s">
        <v>624</v>
      </c>
      <c r="Y118" s="0" t="s">
        <v>627</v>
      </c>
      <c r="Z118" s="0" t="s">
        <v>629</v>
      </c>
      <c r="AA118" s="0" t="s">
        <v>624</v>
      </c>
      <c r="AB118" s="0" t="s">
        <v>132</v>
      </c>
      <c r="AC118" s="254" t="n">
        <v>-1000000</v>
      </c>
      <c r="AD118" s="254" t="n">
        <v>-12428.8322519676</v>
      </c>
      <c r="AE118" s="0" t="n">
        <v>0</v>
      </c>
      <c r="AF118" s="0" t="n">
        <v>0</v>
      </c>
      <c r="AG118" s="0" t="n">
        <v>0</v>
      </c>
      <c r="AH118" s="254" t="n">
        <v>-634.616227812177</v>
      </c>
      <c r="AI118" s="0" t="n">
        <v>226</v>
      </c>
      <c r="AJ118" s="0" t="s">
        <v>630</v>
      </c>
      <c r="AK118" s="0" t="n">
        <v>0</v>
      </c>
      <c r="AL118" s="0" t="n">
        <v>0</v>
      </c>
      <c r="AM118" s="0" t="n">
        <v>0</v>
      </c>
    </row>
    <row r="119" customFormat="false" ht="12.75" hidden="false" customHeight="false" outlineLevel="0" collapsed="false">
      <c r="A119" s="0" t="s">
        <v>621</v>
      </c>
      <c r="B119" s="0" t="s">
        <v>248</v>
      </c>
      <c r="C119" s="0" t="s">
        <v>622</v>
      </c>
      <c r="D119" s="0" t="s">
        <v>623</v>
      </c>
      <c r="E119" s="0" t="s">
        <v>131</v>
      </c>
      <c r="F119" s="0" t="s">
        <v>198</v>
      </c>
      <c r="G119" s="0" t="s">
        <v>628</v>
      </c>
      <c r="H119" s="0" t="s">
        <v>625</v>
      </c>
      <c r="I119" s="0" t="s">
        <v>626</v>
      </c>
      <c r="J119" s="0" t="s">
        <v>627</v>
      </c>
      <c r="K119" s="475" t="n">
        <v>36923</v>
      </c>
      <c r="L119" s="254" t="n">
        <v>-77674.7575118251</v>
      </c>
      <c r="M119" s="475" t="n">
        <v>36921</v>
      </c>
      <c r="N119" s="0" t="s">
        <v>136</v>
      </c>
      <c r="O119" s="0" t="n">
        <v>0</v>
      </c>
      <c r="P119" s="0" t="n">
        <v>0</v>
      </c>
      <c r="Q119" s="0" t="n">
        <v>0</v>
      </c>
      <c r="R119" s="0" t="n">
        <v>0</v>
      </c>
      <c r="S119" s="0" t="n">
        <v>0</v>
      </c>
      <c r="T119" s="0" t="s">
        <v>624</v>
      </c>
      <c r="U119" s="0" t="s">
        <v>153</v>
      </c>
      <c r="V119" s="0" t="s">
        <v>624</v>
      </c>
      <c r="W119" s="0" t="s">
        <v>569</v>
      </c>
      <c r="X119" s="0" t="s">
        <v>624</v>
      </c>
      <c r="Y119" s="0" t="s">
        <v>627</v>
      </c>
      <c r="Z119" s="0" t="s">
        <v>629</v>
      </c>
      <c r="AA119" s="0" t="s">
        <v>624</v>
      </c>
      <c r="AB119" s="0" t="s">
        <v>132</v>
      </c>
      <c r="AC119" s="254" t="n">
        <v>-1000000</v>
      </c>
      <c r="AD119" s="254" t="n">
        <v>-12805.7923132989</v>
      </c>
      <c r="AE119" s="0" t="n">
        <v>0</v>
      </c>
      <c r="AF119" s="0" t="n">
        <v>0</v>
      </c>
      <c r="AG119" s="0" t="n">
        <v>0</v>
      </c>
      <c r="AH119" s="254" t="n">
        <v>-616.769239987625</v>
      </c>
      <c r="AI119" s="0" t="n">
        <v>226</v>
      </c>
      <c r="AJ119" s="0" t="s">
        <v>630</v>
      </c>
      <c r="AK119" s="0" t="n">
        <v>0</v>
      </c>
      <c r="AL119" s="0" t="n">
        <v>0</v>
      </c>
      <c r="AM119" s="0" t="n">
        <v>0</v>
      </c>
    </row>
    <row r="120" customFormat="false" ht="12.75" hidden="false" customHeight="false" outlineLevel="0" collapsed="false">
      <c r="A120" s="0" t="s">
        <v>621</v>
      </c>
      <c r="B120" s="0" t="s">
        <v>248</v>
      </c>
      <c r="C120" s="0" t="s">
        <v>622</v>
      </c>
      <c r="D120" s="0" t="s">
        <v>623</v>
      </c>
      <c r="E120" s="0" t="s">
        <v>131</v>
      </c>
      <c r="F120" s="0" t="s">
        <v>198</v>
      </c>
      <c r="G120" s="0" t="s">
        <v>628</v>
      </c>
      <c r="H120" s="0" t="s">
        <v>625</v>
      </c>
      <c r="I120" s="0" t="s">
        <v>626</v>
      </c>
      <c r="J120" s="0" t="s">
        <v>627</v>
      </c>
      <c r="K120" s="475" t="n">
        <v>36892</v>
      </c>
      <c r="L120" s="254" t="n">
        <v>-72817.7541820427</v>
      </c>
      <c r="M120" s="475" t="n">
        <v>36888</v>
      </c>
      <c r="N120" s="0" t="s">
        <v>136</v>
      </c>
      <c r="O120" s="0" t="n">
        <v>0</v>
      </c>
      <c r="P120" s="0" t="n">
        <v>0</v>
      </c>
      <c r="Q120" s="0" t="n">
        <v>0</v>
      </c>
      <c r="R120" s="0" t="n">
        <v>0</v>
      </c>
      <c r="S120" s="0" t="n">
        <v>0</v>
      </c>
      <c r="T120" s="0" t="s">
        <v>624</v>
      </c>
      <c r="U120" s="0" t="s">
        <v>153</v>
      </c>
      <c r="V120" s="0" t="s">
        <v>624</v>
      </c>
      <c r="W120" s="0" t="s">
        <v>569</v>
      </c>
      <c r="X120" s="0" t="s">
        <v>624</v>
      </c>
      <c r="Y120" s="0" t="s">
        <v>627</v>
      </c>
      <c r="Z120" s="0" t="s">
        <v>629</v>
      </c>
      <c r="AA120" s="0" t="s">
        <v>624</v>
      </c>
      <c r="AB120" s="0" t="s">
        <v>132</v>
      </c>
      <c r="AC120" s="254" t="n">
        <v>-1000000</v>
      </c>
      <c r="AD120" s="254" t="n">
        <v>-11719.0730119358</v>
      </c>
      <c r="AE120" s="0" t="n">
        <v>0</v>
      </c>
      <c r="AF120" s="0" t="n">
        <v>0</v>
      </c>
      <c r="AG120" s="0" t="n">
        <v>0</v>
      </c>
      <c r="AH120" s="254" t="n">
        <v>-566.00262099893</v>
      </c>
      <c r="AI120" s="0" t="n">
        <v>226</v>
      </c>
      <c r="AJ120" s="0" t="s">
        <v>630</v>
      </c>
      <c r="AK120" s="0" t="n">
        <v>0</v>
      </c>
      <c r="AL120" s="0" t="n">
        <v>0</v>
      </c>
      <c r="AM120" s="0" t="n">
        <v>0</v>
      </c>
    </row>
    <row r="121" customFormat="false" ht="12.75" hidden="false" customHeight="false" outlineLevel="0" collapsed="false">
      <c r="A121" s="0" t="s">
        <v>621</v>
      </c>
      <c r="B121" s="0" t="s">
        <v>248</v>
      </c>
      <c r="C121" s="0" t="s">
        <v>622</v>
      </c>
      <c r="D121" s="0" t="s">
        <v>623</v>
      </c>
      <c r="E121" s="0" t="s">
        <v>131</v>
      </c>
      <c r="F121" s="0" t="s">
        <v>198</v>
      </c>
      <c r="G121" s="0" t="s">
        <v>628</v>
      </c>
      <c r="H121" s="0" t="s">
        <v>625</v>
      </c>
      <c r="I121" s="0" t="s">
        <v>626</v>
      </c>
      <c r="J121" s="0" t="s">
        <v>627</v>
      </c>
      <c r="K121" s="475" t="n">
        <v>36861</v>
      </c>
      <c r="L121" s="254" t="n">
        <v>-59315.32694897</v>
      </c>
      <c r="M121" s="475" t="n">
        <v>36859</v>
      </c>
      <c r="N121" s="0" t="s">
        <v>136</v>
      </c>
      <c r="O121" s="0" t="n">
        <v>0</v>
      </c>
      <c r="P121" s="0" t="n">
        <v>0</v>
      </c>
      <c r="Q121" s="0" t="n">
        <v>0</v>
      </c>
      <c r="R121" s="0" t="n">
        <v>0</v>
      </c>
      <c r="S121" s="0" t="n">
        <v>0</v>
      </c>
      <c r="T121" s="0" t="s">
        <v>624</v>
      </c>
      <c r="U121" s="0" t="s">
        <v>153</v>
      </c>
      <c r="V121" s="0" t="s">
        <v>624</v>
      </c>
      <c r="W121" s="0" t="s">
        <v>569</v>
      </c>
      <c r="X121" s="0" t="s">
        <v>624</v>
      </c>
      <c r="Y121" s="0" t="s">
        <v>627</v>
      </c>
      <c r="Z121" s="0" t="s">
        <v>629</v>
      </c>
      <c r="AA121" s="0" t="s">
        <v>624</v>
      </c>
      <c r="AB121" s="0" t="s">
        <v>132</v>
      </c>
      <c r="AC121" s="254" t="n">
        <v>-1000000</v>
      </c>
      <c r="AD121" s="254" t="n">
        <v>-10352.4500349388</v>
      </c>
      <c r="AE121" s="0" t="n">
        <v>0</v>
      </c>
      <c r="AF121" s="0" t="n">
        <v>0</v>
      </c>
      <c r="AG121" s="0" t="n">
        <v>0</v>
      </c>
      <c r="AH121" s="254" t="n">
        <v>-522.772353813089</v>
      </c>
      <c r="AI121" s="0" t="n">
        <v>226</v>
      </c>
      <c r="AJ121" s="0" t="s">
        <v>630</v>
      </c>
      <c r="AK121" s="0" t="n">
        <v>0</v>
      </c>
      <c r="AL121" s="0" t="n">
        <v>0</v>
      </c>
      <c r="AM121" s="0" t="n">
        <v>0</v>
      </c>
    </row>
    <row r="122" customFormat="false" ht="12.75" hidden="false" customHeight="false" outlineLevel="0" collapsed="false">
      <c r="A122" s="0" t="s">
        <v>621</v>
      </c>
      <c r="B122" s="0" t="s">
        <v>248</v>
      </c>
      <c r="C122" s="0" t="s">
        <v>622</v>
      </c>
      <c r="D122" s="0" t="s">
        <v>623</v>
      </c>
      <c r="E122" s="0" t="s">
        <v>131</v>
      </c>
      <c r="F122" s="0" t="s">
        <v>198</v>
      </c>
      <c r="G122" s="0" t="s">
        <v>628</v>
      </c>
      <c r="H122" s="0" t="s">
        <v>625</v>
      </c>
      <c r="I122" s="0" t="s">
        <v>626</v>
      </c>
      <c r="J122" s="0" t="s">
        <v>627</v>
      </c>
      <c r="K122" s="475" t="n">
        <v>36831</v>
      </c>
      <c r="L122" s="254" t="n">
        <v>-39503.0385188713</v>
      </c>
      <c r="M122" s="475" t="n">
        <v>36829</v>
      </c>
      <c r="N122" s="0" t="s">
        <v>136</v>
      </c>
      <c r="O122" s="0" t="n">
        <v>0</v>
      </c>
      <c r="P122" s="0" t="n">
        <v>0</v>
      </c>
      <c r="Q122" s="0" t="n">
        <v>0</v>
      </c>
      <c r="R122" s="0" t="n">
        <v>0</v>
      </c>
      <c r="S122" s="0" t="n">
        <v>0</v>
      </c>
      <c r="T122" s="0" t="s">
        <v>624</v>
      </c>
      <c r="U122" s="0" t="s">
        <v>153</v>
      </c>
      <c r="V122" s="0" t="s">
        <v>624</v>
      </c>
      <c r="W122" s="0" t="s">
        <v>569</v>
      </c>
      <c r="X122" s="0" t="s">
        <v>624</v>
      </c>
      <c r="Y122" s="0" t="s">
        <v>627</v>
      </c>
      <c r="Z122" s="0" t="s">
        <v>629</v>
      </c>
      <c r="AA122" s="0" t="s">
        <v>624</v>
      </c>
      <c r="AB122" s="0" t="s">
        <v>132</v>
      </c>
      <c r="AC122" s="254" t="n">
        <v>-1000000</v>
      </c>
      <c r="AD122" s="254" t="n">
        <v>-8599.09313525487</v>
      </c>
      <c r="AE122" s="0" t="n">
        <v>0</v>
      </c>
      <c r="AF122" s="0" t="n">
        <v>0</v>
      </c>
      <c r="AG122" s="0" t="n">
        <v>0</v>
      </c>
      <c r="AH122" s="254" t="n">
        <v>-463.650302859402</v>
      </c>
      <c r="AI122" s="0" t="n">
        <v>226</v>
      </c>
      <c r="AJ122" s="0" t="s">
        <v>630</v>
      </c>
      <c r="AK122" s="0" t="n">
        <v>0</v>
      </c>
      <c r="AL122" s="0" t="n">
        <v>0</v>
      </c>
      <c r="AM122" s="0" t="n">
        <v>0</v>
      </c>
    </row>
    <row r="123" customFormat="false" ht="12.75" hidden="false" customHeight="false" outlineLevel="0" collapsed="false">
      <c r="A123" s="0" t="s">
        <v>621</v>
      </c>
      <c r="B123" s="0" t="s">
        <v>248</v>
      </c>
      <c r="C123" s="0" t="s">
        <v>622</v>
      </c>
      <c r="D123" s="0" t="s">
        <v>623</v>
      </c>
      <c r="E123" s="0" t="s">
        <v>131</v>
      </c>
      <c r="F123" s="0" t="s">
        <v>198</v>
      </c>
      <c r="G123" s="0" t="s">
        <v>628</v>
      </c>
      <c r="H123" s="0" t="s">
        <v>625</v>
      </c>
      <c r="I123" s="0" t="s">
        <v>626</v>
      </c>
      <c r="J123" s="0" t="s">
        <v>627</v>
      </c>
      <c r="K123" s="475" t="n">
        <v>36800</v>
      </c>
      <c r="L123" s="254" t="n">
        <v>-1170.31335042456</v>
      </c>
      <c r="M123" s="475" t="n">
        <v>36797</v>
      </c>
      <c r="N123" s="0" t="s">
        <v>136</v>
      </c>
      <c r="O123" s="0" t="n">
        <v>0</v>
      </c>
      <c r="P123" s="0" t="n">
        <v>0</v>
      </c>
      <c r="Q123" s="0" t="n">
        <v>0</v>
      </c>
      <c r="R123" s="0" t="n">
        <v>0</v>
      </c>
      <c r="S123" s="0" t="n">
        <v>0</v>
      </c>
      <c r="T123" s="0" t="s">
        <v>624</v>
      </c>
      <c r="U123" s="0" t="s">
        <v>153</v>
      </c>
      <c r="V123" s="0" t="s">
        <v>624</v>
      </c>
      <c r="W123" s="0" t="s">
        <v>569</v>
      </c>
      <c r="X123" s="0" t="s">
        <v>624</v>
      </c>
      <c r="Y123" s="0" t="s">
        <v>627</v>
      </c>
      <c r="Z123" s="0" t="s">
        <v>629</v>
      </c>
      <c r="AA123" s="0" t="s">
        <v>624</v>
      </c>
      <c r="AB123" s="0" t="s">
        <v>132</v>
      </c>
      <c r="AC123" s="254" t="n">
        <v>-1000000</v>
      </c>
      <c r="AD123" s="254" t="n">
        <v>-1234.21302857198</v>
      </c>
      <c r="AE123" s="0" t="n">
        <v>0</v>
      </c>
      <c r="AF123" s="0" t="n">
        <v>0</v>
      </c>
      <c r="AG123" s="0" t="n">
        <v>0</v>
      </c>
      <c r="AH123" s="254" t="n">
        <v>-73.0490748787538</v>
      </c>
      <c r="AI123" s="0" t="n">
        <v>226</v>
      </c>
      <c r="AJ123" s="0" t="s">
        <v>630</v>
      </c>
      <c r="AK123" s="0" t="n">
        <v>0</v>
      </c>
      <c r="AL123" s="0" t="n">
        <v>0</v>
      </c>
      <c r="AM123" s="0" t="n">
        <v>0</v>
      </c>
    </row>
    <row r="124" customFormat="false" ht="12.75" hidden="false" customHeight="false" outlineLevel="0" collapsed="false">
      <c r="A124" s="0" t="s">
        <v>621</v>
      </c>
      <c r="B124" s="0" t="s">
        <v>248</v>
      </c>
      <c r="C124" s="0" t="s">
        <v>622</v>
      </c>
      <c r="D124" s="0" t="s">
        <v>623</v>
      </c>
      <c r="E124" s="0" t="s">
        <v>131</v>
      </c>
      <c r="F124" s="0" t="s">
        <v>198</v>
      </c>
      <c r="G124" s="0" t="s">
        <v>628</v>
      </c>
      <c r="H124" s="0" t="s">
        <v>625</v>
      </c>
      <c r="I124" s="0" t="s">
        <v>626</v>
      </c>
      <c r="J124" s="0" t="s">
        <v>627</v>
      </c>
      <c r="K124" s="475" t="n">
        <v>36770</v>
      </c>
      <c r="L124" s="254" t="n">
        <v>-2.93171904940403E-027</v>
      </c>
      <c r="M124" s="475" t="n">
        <v>36768</v>
      </c>
      <c r="N124" s="0" t="s">
        <v>136</v>
      </c>
      <c r="O124" s="0" t="n">
        <v>0</v>
      </c>
      <c r="P124" s="0" t="n">
        <v>0</v>
      </c>
      <c r="Q124" s="0" t="n">
        <v>0</v>
      </c>
      <c r="R124" s="0" t="n">
        <v>0</v>
      </c>
      <c r="S124" s="0" t="n">
        <v>0</v>
      </c>
      <c r="T124" s="0" t="s">
        <v>624</v>
      </c>
      <c r="U124" s="0" t="s">
        <v>153</v>
      </c>
      <c r="V124" s="0" t="s">
        <v>624</v>
      </c>
      <c r="W124" s="0" t="s">
        <v>569</v>
      </c>
      <c r="X124" s="0" t="s">
        <v>624</v>
      </c>
      <c r="Y124" s="0" t="s">
        <v>627</v>
      </c>
      <c r="Z124" s="0" t="s">
        <v>629</v>
      </c>
      <c r="AA124" s="0" t="s">
        <v>624</v>
      </c>
      <c r="AB124" s="0" t="s">
        <v>132</v>
      </c>
      <c r="AC124" s="254" t="n">
        <v>-1000000</v>
      </c>
      <c r="AD124" s="254" t="n">
        <v>-8.97813429773927E-026</v>
      </c>
      <c r="AE124" s="0" t="n">
        <v>0</v>
      </c>
      <c r="AF124" s="0" t="n">
        <v>0</v>
      </c>
      <c r="AG124" s="0" t="n">
        <v>0</v>
      </c>
      <c r="AH124" s="254" t="n">
        <v>-4.83934009793317E-005</v>
      </c>
      <c r="AI124" s="0" t="n">
        <v>226</v>
      </c>
      <c r="AJ124" s="0" t="s">
        <v>630</v>
      </c>
      <c r="AK124" s="0" t="n">
        <v>0</v>
      </c>
      <c r="AL124" s="0" t="n">
        <v>0</v>
      </c>
      <c r="AM124" s="0" t="n">
        <v>0</v>
      </c>
    </row>
    <row r="125" customFormat="false" ht="12.75" hidden="false" customHeight="false" outlineLevel="0" collapsed="false">
      <c r="A125" s="0" t="s">
        <v>621</v>
      </c>
      <c r="B125" s="0" t="s">
        <v>249</v>
      </c>
      <c r="C125" s="0" t="s">
        <v>622</v>
      </c>
      <c r="D125" s="0" t="s">
        <v>623</v>
      </c>
      <c r="E125" s="0" t="s">
        <v>131</v>
      </c>
      <c r="F125" s="0" t="s">
        <v>198</v>
      </c>
      <c r="G125" s="0" t="s">
        <v>628</v>
      </c>
      <c r="H125" s="0" t="s">
        <v>625</v>
      </c>
      <c r="I125" s="0" t="s">
        <v>626</v>
      </c>
      <c r="J125" s="0" t="s">
        <v>627</v>
      </c>
      <c r="K125" s="475" t="n">
        <v>36951</v>
      </c>
      <c r="L125" s="254" t="n">
        <v>-39745.1516919958</v>
      </c>
      <c r="M125" s="475" t="n">
        <v>36949</v>
      </c>
      <c r="N125" s="0" t="s">
        <v>132</v>
      </c>
      <c r="O125" s="0" t="n">
        <v>0</v>
      </c>
      <c r="P125" s="0" t="n">
        <v>0</v>
      </c>
      <c r="Q125" s="0" t="n">
        <v>0</v>
      </c>
      <c r="R125" s="0" t="n">
        <v>0</v>
      </c>
      <c r="S125" s="0" t="n">
        <v>0</v>
      </c>
      <c r="T125" s="0" t="s">
        <v>624</v>
      </c>
      <c r="U125" s="0" t="s">
        <v>153</v>
      </c>
      <c r="V125" s="0" t="s">
        <v>624</v>
      </c>
      <c r="W125" s="0" t="s">
        <v>569</v>
      </c>
      <c r="X125" s="0" t="s">
        <v>624</v>
      </c>
      <c r="Y125" s="0" t="s">
        <v>627</v>
      </c>
      <c r="Z125" s="0" t="s">
        <v>629</v>
      </c>
      <c r="AA125" s="0" t="s">
        <v>624</v>
      </c>
      <c r="AB125" s="0" t="s">
        <v>132</v>
      </c>
      <c r="AC125" s="254" t="n">
        <v>-1000000</v>
      </c>
      <c r="AD125" s="254" t="n">
        <v>-12428.8322519676</v>
      </c>
      <c r="AE125" s="0" t="n">
        <v>0</v>
      </c>
      <c r="AF125" s="0" t="n">
        <v>0</v>
      </c>
      <c r="AG125" s="0" t="n">
        <v>0</v>
      </c>
      <c r="AH125" s="254" t="n">
        <v>-634.616227811246</v>
      </c>
      <c r="AI125" s="0" t="n">
        <v>226</v>
      </c>
      <c r="AJ125" s="0" t="s">
        <v>630</v>
      </c>
      <c r="AK125" s="0" t="n">
        <v>0</v>
      </c>
      <c r="AL125" s="0" t="n">
        <v>0</v>
      </c>
      <c r="AM125" s="0" t="n">
        <v>0</v>
      </c>
    </row>
    <row r="126" customFormat="false" ht="12.75" hidden="false" customHeight="false" outlineLevel="0" collapsed="false">
      <c r="A126" s="0" t="s">
        <v>621</v>
      </c>
      <c r="B126" s="0" t="s">
        <v>249</v>
      </c>
      <c r="C126" s="0" t="s">
        <v>622</v>
      </c>
      <c r="D126" s="0" t="s">
        <v>623</v>
      </c>
      <c r="E126" s="0" t="s">
        <v>131</v>
      </c>
      <c r="F126" s="0" t="s">
        <v>198</v>
      </c>
      <c r="G126" s="0" t="s">
        <v>628</v>
      </c>
      <c r="H126" s="0" t="s">
        <v>625</v>
      </c>
      <c r="I126" s="0" t="s">
        <v>626</v>
      </c>
      <c r="J126" s="0" t="s">
        <v>627</v>
      </c>
      <c r="K126" s="475" t="n">
        <v>36923</v>
      </c>
      <c r="L126" s="254" t="n">
        <v>-43679.5536828356</v>
      </c>
      <c r="M126" s="475" t="n">
        <v>36921</v>
      </c>
      <c r="N126" s="0" t="s">
        <v>132</v>
      </c>
      <c r="O126" s="0" t="n">
        <v>0</v>
      </c>
      <c r="P126" s="0" t="n">
        <v>0</v>
      </c>
      <c r="Q126" s="0" t="n">
        <v>0</v>
      </c>
      <c r="R126" s="0" t="n">
        <v>0</v>
      </c>
      <c r="S126" s="0" t="n">
        <v>0</v>
      </c>
      <c r="T126" s="0" t="s">
        <v>624</v>
      </c>
      <c r="U126" s="0" t="s">
        <v>153</v>
      </c>
      <c r="V126" s="0" t="s">
        <v>624</v>
      </c>
      <c r="W126" s="0" t="s">
        <v>569</v>
      </c>
      <c r="X126" s="0" t="s">
        <v>624</v>
      </c>
      <c r="Y126" s="0" t="s">
        <v>627</v>
      </c>
      <c r="Z126" s="0" t="s">
        <v>629</v>
      </c>
      <c r="AA126" s="0" t="s">
        <v>624</v>
      </c>
      <c r="AB126" s="0" t="s">
        <v>132</v>
      </c>
      <c r="AC126" s="254" t="n">
        <v>-1000000</v>
      </c>
      <c r="AD126" s="254" t="n">
        <v>-12805.792313299</v>
      </c>
      <c r="AE126" s="0" t="n">
        <v>0</v>
      </c>
      <c r="AF126" s="0" t="n">
        <v>0</v>
      </c>
      <c r="AG126" s="0" t="n">
        <v>0</v>
      </c>
      <c r="AH126" s="254" t="n">
        <v>-616.76923998721</v>
      </c>
      <c r="AI126" s="0" t="n">
        <v>226</v>
      </c>
      <c r="AJ126" s="0" t="s">
        <v>630</v>
      </c>
      <c r="AK126" s="0" t="n">
        <v>0</v>
      </c>
      <c r="AL126" s="0" t="n">
        <v>0</v>
      </c>
      <c r="AM126" s="0" t="n">
        <v>0</v>
      </c>
    </row>
    <row r="127" customFormat="false" ht="12.75" hidden="false" customHeight="false" outlineLevel="0" collapsed="false">
      <c r="A127" s="0" t="s">
        <v>621</v>
      </c>
      <c r="B127" s="0" t="s">
        <v>249</v>
      </c>
      <c r="C127" s="0" t="s">
        <v>622</v>
      </c>
      <c r="D127" s="0" t="s">
        <v>623</v>
      </c>
      <c r="E127" s="0" t="s">
        <v>131</v>
      </c>
      <c r="F127" s="0" t="s">
        <v>198</v>
      </c>
      <c r="G127" s="0" t="s">
        <v>628</v>
      </c>
      <c r="H127" s="0" t="s">
        <v>625</v>
      </c>
      <c r="I127" s="0" t="s">
        <v>626</v>
      </c>
      <c r="J127" s="0" t="s">
        <v>627</v>
      </c>
      <c r="K127" s="475" t="n">
        <v>36892</v>
      </c>
      <c r="L127" s="254" t="n">
        <v>-43495.1418225671</v>
      </c>
      <c r="M127" s="475" t="n">
        <v>36888</v>
      </c>
      <c r="N127" s="0" t="s">
        <v>132</v>
      </c>
      <c r="O127" s="0" t="n">
        <v>0</v>
      </c>
      <c r="P127" s="0" t="n">
        <v>0</v>
      </c>
      <c r="Q127" s="0" t="n">
        <v>0</v>
      </c>
      <c r="R127" s="0" t="n">
        <v>0</v>
      </c>
      <c r="S127" s="0" t="n">
        <v>0</v>
      </c>
      <c r="T127" s="0" t="s">
        <v>624</v>
      </c>
      <c r="U127" s="0" t="s">
        <v>153</v>
      </c>
      <c r="V127" s="0" t="s">
        <v>624</v>
      </c>
      <c r="W127" s="0" t="s">
        <v>569</v>
      </c>
      <c r="X127" s="0" t="s">
        <v>624</v>
      </c>
      <c r="Y127" s="0" t="s">
        <v>627</v>
      </c>
      <c r="Z127" s="0" t="s">
        <v>629</v>
      </c>
      <c r="AA127" s="0" t="s">
        <v>624</v>
      </c>
      <c r="AB127" s="0" t="s">
        <v>132</v>
      </c>
      <c r="AC127" s="254" t="n">
        <v>-1000000</v>
      </c>
      <c r="AD127" s="254" t="n">
        <v>-11719.0730119359</v>
      </c>
      <c r="AE127" s="0" t="n">
        <v>0</v>
      </c>
      <c r="AF127" s="0" t="n">
        <v>0</v>
      </c>
      <c r="AG127" s="0" t="n">
        <v>0</v>
      </c>
      <c r="AH127" s="254" t="n">
        <v>-566.002620999483</v>
      </c>
      <c r="AI127" s="0" t="n">
        <v>226</v>
      </c>
      <c r="AJ127" s="0" t="s">
        <v>630</v>
      </c>
      <c r="AK127" s="0" t="n">
        <v>0</v>
      </c>
      <c r="AL127" s="0" t="n">
        <v>0</v>
      </c>
      <c r="AM127" s="0" t="n">
        <v>0</v>
      </c>
    </row>
    <row r="128" customFormat="false" ht="12.75" hidden="false" customHeight="false" outlineLevel="0" collapsed="false">
      <c r="A128" s="0" t="s">
        <v>621</v>
      </c>
      <c r="B128" s="0" t="s">
        <v>249</v>
      </c>
      <c r="C128" s="0" t="s">
        <v>622</v>
      </c>
      <c r="D128" s="0" t="s">
        <v>623</v>
      </c>
      <c r="E128" s="0" t="s">
        <v>131</v>
      </c>
      <c r="F128" s="0" t="s">
        <v>198</v>
      </c>
      <c r="G128" s="0" t="s">
        <v>628</v>
      </c>
      <c r="H128" s="0" t="s">
        <v>625</v>
      </c>
      <c r="I128" s="0" t="s">
        <v>626</v>
      </c>
      <c r="J128" s="0" t="s">
        <v>627</v>
      </c>
      <c r="K128" s="475" t="n">
        <v>36861</v>
      </c>
      <c r="L128" s="254" t="n">
        <v>-42117.0920791809</v>
      </c>
      <c r="M128" s="475" t="n">
        <v>36859</v>
      </c>
      <c r="N128" s="0" t="s">
        <v>132</v>
      </c>
      <c r="O128" s="0" t="n">
        <v>0</v>
      </c>
      <c r="P128" s="0" t="n">
        <v>0</v>
      </c>
      <c r="Q128" s="0" t="n">
        <v>0</v>
      </c>
      <c r="R128" s="0" t="n">
        <v>0</v>
      </c>
      <c r="S128" s="0" t="n">
        <v>0</v>
      </c>
      <c r="T128" s="0" t="s">
        <v>624</v>
      </c>
      <c r="U128" s="0" t="s">
        <v>153</v>
      </c>
      <c r="V128" s="0" t="s">
        <v>624</v>
      </c>
      <c r="W128" s="0" t="s">
        <v>569</v>
      </c>
      <c r="X128" s="0" t="s">
        <v>624</v>
      </c>
      <c r="Y128" s="0" t="s">
        <v>627</v>
      </c>
      <c r="Z128" s="0" t="s">
        <v>629</v>
      </c>
      <c r="AA128" s="0" t="s">
        <v>624</v>
      </c>
      <c r="AB128" s="0" t="s">
        <v>132</v>
      </c>
      <c r="AC128" s="254" t="n">
        <v>-1000000</v>
      </c>
      <c r="AD128" s="254" t="n">
        <v>-10352.4500349386</v>
      </c>
      <c r="AE128" s="0" t="n">
        <v>0</v>
      </c>
      <c r="AF128" s="0" t="n">
        <v>0</v>
      </c>
      <c r="AG128" s="0" t="n">
        <v>0</v>
      </c>
      <c r="AH128" s="254" t="n">
        <v>-522.772353812157</v>
      </c>
      <c r="AI128" s="0" t="n">
        <v>226</v>
      </c>
      <c r="AJ128" s="0" t="s">
        <v>630</v>
      </c>
      <c r="AK128" s="0" t="n">
        <v>0</v>
      </c>
      <c r="AL128" s="0" t="n">
        <v>0</v>
      </c>
      <c r="AM128" s="0" t="n">
        <v>0</v>
      </c>
    </row>
    <row r="129" customFormat="false" ht="12.75" hidden="false" customHeight="false" outlineLevel="0" collapsed="false">
      <c r="A129" s="0" t="s">
        <v>621</v>
      </c>
      <c r="B129" s="0" t="s">
        <v>249</v>
      </c>
      <c r="C129" s="0" t="s">
        <v>622</v>
      </c>
      <c r="D129" s="0" t="s">
        <v>623</v>
      </c>
      <c r="E129" s="0" t="s">
        <v>131</v>
      </c>
      <c r="F129" s="0" t="s">
        <v>198</v>
      </c>
      <c r="G129" s="0" t="s">
        <v>628</v>
      </c>
      <c r="H129" s="0" t="s">
        <v>625</v>
      </c>
      <c r="I129" s="0" t="s">
        <v>626</v>
      </c>
      <c r="J129" s="0" t="s">
        <v>627</v>
      </c>
      <c r="K129" s="475" t="n">
        <v>36831</v>
      </c>
      <c r="L129" s="254" t="n">
        <v>-41973.8419281694</v>
      </c>
      <c r="M129" s="475" t="n">
        <v>36829</v>
      </c>
      <c r="N129" s="0" t="s">
        <v>132</v>
      </c>
      <c r="O129" s="0" t="n">
        <v>0</v>
      </c>
      <c r="P129" s="0" t="n">
        <v>0</v>
      </c>
      <c r="Q129" s="0" t="n">
        <v>0</v>
      </c>
      <c r="R129" s="0" t="n">
        <v>0</v>
      </c>
      <c r="S129" s="0" t="n">
        <v>0</v>
      </c>
      <c r="T129" s="0" t="s">
        <v>624</v>
      </c>
      <c r="U129" s="0" t="s">
        <v>153</v>
      </c>
      <c r="V129" s="0" t="s">
        <v>624</v>
      </c>
      <c r="W129" s="0" t="s">
        <v>569</v>
      </c>
      <c r="X129" s="0" t="s">
        <v>624</v>
      </c>
      <c r="Y129" s="0" t="s">
        <v>627</v>
      </c>
      <c r="Z129" s="0" t="s">
        <v>629</v>
      </c>
      <c r="AA129" s="0" t="s">
        <v>624</v>
      </c>
      <c r="AB129" s="0" t="s">
        <v>132</v>
      </c>
      <c r="AC129" s="254" t="n">
        <v>-1000000</v>
      </c>
      <c r="AD129" s="254" t="n">
        <v>-8599.09313525481</v>
      </c>
      <c r="AE129" s="0" t="n">
        <v>0</v>
      </c>
      <c r="AF129" s="0" t="n">
        <v>0</v>
      </c>
      <c r="AG129" s="0" t="n">
        <v>0</v>
      </c>
      <c r="AH129" s="254" t="n">
        <v>-463.650302859445</v>
      </c>
      <c r="AI129" s="0" t="n">
        <v>226</v>
      </c>
      <c r="AJ129" s="0" t="s">
        <v>630</v>
      </c>
      <c r="AK129" s="0" t="n">
        <v>0</v>
      </c>
      <c r="AL129" s="0" t="n">
        <v>0</v>
      </c>
      <c r="AM129" s="0" t="n">
        <v>0</v>
      </c>
    </row>
    <row r="130" customFormat="false" ht="12.75" hidden="false" customHeight="false" outlineLevel="0" collapsed="false">
      <c r="A130" s="0" t="s">
        <v>621</v>
      </c>
      <c r="B130" s="0" t="s">
        <v>249</v>
      </c>
      <c r="C130" s="0" t="s">
        <v>622</v>
      </c>
      <c r="D130" s="0" t="s">
        <v>623</v>
      </c>
      <c r="E130" s="0" t="s">
        <v>131</v>
      </c>
      <c r="F130" s="0" t="s">
        <v>198</v>
      </c>
      <c r="G130" s="0" t="s">
        <v>628</v>
      </c>
      <c r="H130" s="0" t="s">
        <v>625</v>
      </c>
      <c r="I130" s="0" t="s">
        <v>626</v>
      </c>
      <c r="J130" s="0" t="s">
        <v>627</v>
      </c>
      <c r="K130" s="475" t="n">
        <v>36800</v>
      </c>
      <c r="L130" s="254" t="n">
        <v>-90651.998595038</v>
      </c>
      <c r="M130" s="475" t="n">
        <v>36797</v>
      </c>
      <c r="N130" s="0" t="s">
        <v>132</v>
      </c>
      <c r="O130" s="0" t="n">
        <v>0</v>
      </c>
      <c r="P130" s="0" t="n">
        <v>0</v>
      </c>
      <c r="Q130" s="0" t="n">
        <v>0</v>
      </c>
      <c r="R130" s="0" t="n">
        <v>0</v>
      </c>
      <c r="S130" s="0" t="n">
        <v>0</v>
      </c>
      <c r="T130" s="0" t="s">
        <v>624</v>
      </c>
      <c r="U130" s="0" t="s">
        <v>153</v>
      </c>
      <c r="V130" s="0" t="s">
        <v>624</v>
      </c>
      <c r="W130" s="0" t="s">
        <v>569</v>
      </c>
      <c r="X130" s="0" t="s">
        <v>624</v>
      </c>
      <c r="Y130" s="0" t="s">
        <v>627</v>
      </c>
      <c r="Z130" s="0" t="s">
        <v>629</v>
      </c>
      <c r="AA130" s="0" t="s">
        <v>624</v>
      </c>
      <c r="AB130" s="0" t="s">
        <v>132</v>
      </c>
      <c r="AC130" s="254" t="n">
        <v>-1000000</v>
      </c>
      <c r="AD130" s="254" t="n">
        <v>-1234.21302857203</v>
      </c>
      <c r="AE130" s="0" t="n">
        <v>0</v>
      </c>
      <c r="AF130" s="0" t="n">
        <v>0</v>
      </c>
      <c r="AG130" s="0" t="n">
        <v>0</v>
      </c>
      <c r="AH130" s="254" t="n">
        <v>-73.0490748788143</v>
      </c>
      <c r="AI130" s="0" t="n">
        <v>226</v>
      </c>
      <c r="AJ130" s="0" t="s">
        <v>630</v>
      </c>
      <c r="AK130" s="0" t="n">
        <v>0</v>
      </c>
      <c r="AL130" s="0" t="n">
        <v>0</v>
      </c>
      <c r="AM130" s="0" t="n">
        <v>0</v>
      </c>
    </row>
    <row r="131" customFormat="false" ht="12.75" hidden="false" customHeight="false" outlineLevel="0" collapsed="false">
      <c r="A131" s="0" t="s">
        <v>621</v>
      </c>
      <c r="B131" s="0" t="s">
        <v>249</v>
      </c>
      <c r="C131" s="0" t="s">
        <v>622</v>
      </c>
      <c r="D131" s="0" t="s">
        <v>623</v>
      </c>
      <c r="E131" s="0" t="s">
        <v>131</v>
      </c>
      <c r="F131" s="0" t="s">
        <v>198</v>
      </c>
      <c r="G131" s="0" t="s">
        <v>628</v>
      </c>
      <c r="H131" s="0" t="s">
        <v>625</v>
      </c>
      <c r="I131" s="0" t="s">
        <v>626</v>
      </c>
      <c r="J131" s="0" t="s">
        <v>627</v>
      </c>
      <c r="K131" s="475" t="n">
        <v>36770</v>
      </c>
      <c r="L131" s="254" t="n">
        <v>-109959.521308211</v>
      </c>
      <c r="M131" s="475" t="n">
        <v>36768</v>
      </c>
      <c r="N131" s="0" t="s">
        <v>132</v>
      </c>
      <c r="O131" s="0" t="n">
        <v>0</v>
      </c>
      <c r="P131" s="0" t="n">
        <v>0</v>
      </c>
      <c r="Q131" s="0" t="n">
        <v>0</v>
      </c>
      <c r="R131" s="0" t="n">
        <v>0</v>
      </c>
      <c r="S131" s="0" t="n">
        <v>0</v>
      </c>
      <c r="T131" s="0" t="s">
        <v>624</v>
      </c>
      <c r="U131" s="0" t="s">
        <v>153</v>
      </c>
      <c r="V131" s="0" t="s">
        <v>624</v>
      </c>
      <c r="W131" s="0" t="s">
        <v>569</v>
      </c>
      <c r="X131" s="0" t="s">
        <v>624</v>
      </c>
      <c r="Y131" s="0" t="s">
        <v>627</v>
      </c>
      <c r="Z131" s="0" t="s">
        <v>629</v>
      </c>
      <c r="AA131" s="0" t="s">
        <v>624</v>
      </c>
      <c r="AB131" s="0" t="s">
        <v>132</v>
      </c>
      <c r="AC131" s="254" t="n">
        <v>-1000000</v>
      </c>
      <c r="AD131" s="254" t="n">
        <v>0</v>
      </c>
      <c r="AE131" s="0" t="n">
        <v>0</v>
      </c>
      <c r="AF131" s="0" t="n">
        <v>0</v>
      </c>
      <c r="AG131" s="0" t="n">
        <v>0</v>
      </c>
      <c r="AH131" s="254" t="n">
        <v>4995.40477814176</v>
      </c>
      <c r="AI131" s="0" t="n">
        <v>226</v>
      </c>
      <c r="AJ131" s="0" t="s">
        <v>630</v>
      </c>
      <c r="AK131" s="0" t="n">
        <v>0</v>
      </c>
      <c r="AL131" s="0" t="n">
        <v>0</v>
      </c>
      <c r="AM131" s="0" t="n">
        <v>0</v>
      </c>
    </row>
    <row r="132" customFormat="false" ht="12.75" hidden="false" customHeight="false" outlineLevel="0" collapsed="false">
      <c r="A132" s="0" t="s">
        <v>621</v>
      </c>
      <c r="B132" s="0" t="s">
        <v>250</v>
      </c>
      <c r="C132" s="0" t="s">
        <v>622</v>
      </c>
      <c r="D132" s="0" t="s">
        <v>623</v>
      </c>
      <c r="E132" s="0" t="s">
        <v>131</v>
      </c>
      <c r="F132" s="0" t="s">
        <v>210</v>
      </c>
      <c r="G132" s="0" t="s">
        <v>628</v>
      </c>
      <c r="H132" s="0" t="s">
        <v>625</v>
      </c>
      <c r="I132" s="0" t="s">
        <v>626</v>
      </c>
      <c r="J132" s="0" t="s">
        <v>627</v>
      </c>
      <c r="K132" s="475" t="n">
        <v>36951</v>
      </c>
      <c r="L132" s="254" t="n">
        <v>62469.0598139184</v>
      </c>
      <c r="M132" s="475" t="n">
        <v>36949</v>
      </c>
      <c r="N132" s="0" t="s">
        <v>136</v>
      </c>
      <c r="O132" s="0" t="n">
        <v>2.2</v>
      </c>
      <c r="P132" s="0" t="n">
        <v>0</v>
      </c>
      <c r="Q132" s="0" t="n">
        <v>0</v>
      </c>
      <c r="R132" s="0" t="n">
        <v>0</v>
      </c>
      <c r="S132" s="0" t="n">
        <v>0</v>
      </c>
      <c r="T132" s="0" t="s">
        <v>624</v>
      </c>
      <c r="U132" s="0" t="s">
        <v>149</v>
      </c>
      <c r="V132" s="0" t="s">
        <v>624</v>
      </c>
      <c r="W132" s="0" t="s">
        <v>569</v>
      </c>
      <c r="X132" s="0" t="s">
        <v>624</v>
      </c>
      <c r="Y132" s="0" t="s">
        <v>627</v>
      </c>
      <c r="Z132" s="0" t="s">
        <v>629</v>
      </c>
      <c r="AA132" s="0" t="s">
        <v>624</v>
      </c>
      <c r="AB132" s="0" t="s">
        <v>132</v>
      </c>
      <c r="AC132" s="254" t="n">
        <v>310000</v>
      </c>
      <c r="AD132" s="254" t="n">
        <v>20293.3085535308</v>
      </c>
      <c r="AE132" s="0" t="n">
        <v>0</v>
      </c>
      <c r="AF132" s="0" t="n">
        <v>0</v>
      </c>
      <c r="AG132" s="0" t="n">
        <v>0</v>
      </c>
      <c r="AH132" s="254" t="n">
        <v>5874.0424031468</v>
      </c>
      <c r="AI132" s="0" t="n">
        <v>226</v>
      </c>
      <c r="AJ132" s="0" t="s">
        <v>630</v>
      </c>
      <c r="AK132" s="0" t="n">
        <v>0</v>
      </c>
      <c r="AL132" s="0" t="n">
        <v>0</v>
      </c>
      <c r="AM132" s="0" t="n">
        <v>0</v>
      </c>
    </row>
    <row r="133" customFormat="false" ht="12.75" hidden="false" customHeight="false" outlineLevel="0" collapsed="false">
      <c r="A133" s="0" t="s">
        <v>621</v>
      </c>
      <c r="B133" s="0" t="s">
        <v>250</v>
      </c>
      <c r="C133" s="0" t="s">
        <v>622</v>
      </c>
      <c r="D133" s="0" t="s">
        <v>623</v>
      </c>
      <c r="E133" s="0" t="s">
        <v>131</v>
      </c>
      <c r="F133" s="0" t="s">
        <v>210</v>
      </c>
      <c r="G133" s="0" t="s">
        <v>628</v>
      </c>
      <c r="H133" s="0" t="s">
        <v>625</v>
      </c>
      <c r="I133" s="0" t="s">
        <v>626</v>
      </c>
      <c r="J133" s="0" t="s">
        <v>627</v>
      </c>
      <c r="K133" s="475" t="n">
        <v>36923</v>
      </c>
      <c r="L133" s="254" t="n">
        <v>179351.393791546</v>
      </c>
      <c r="M133" s="475" t="n">
        <v>36921</v>
      </c>
      <c r="N133" s="0" t="s">
        <v>136</v>
      </c>
      <c r="O133" s="0" t="n">
        <v>2.2</v>
      </c>
      <c r="P133" s="0" t="n">
        <v>0</v>
      </c>
      <c r="Q133" s="0" t="n">
        <v>0</v>
      </c>
      <c r="R133" s="0" t="n">
        <v>0</v>
      </c>
      <c r="S133" s="0" t="n">
        <v>0</v>
      </c>
      <c r="T133" s="0" t="s">
        <v>624</v>
      </c>
      <c r="U133" s="0" t="s">
        <v>149</v>
      </c>
      <c r="V133" s="0" t="s">
        <v>624</v>
      </c>
      <c r="W133" s="0" t="s">
        <v>569</v>
      </c>
      <c r="X133" s="0" t="s">
        <v>624</v>
      </c>
      <c r="Y133" s="0" t="s">
        <v>627</v>
      </c>
      <c r="Z133" s="0" t="s">
        <v>629</v>
      </c>
      <c r="AA133" s="0" t="s">
        <v>624</v>
      </c>
      <c r="AB133" s="0" t="s">
        <v>132</v>
      </c>
      <c r="AC133" s="254" t="n">
        <v>280000</v>
      </c>
      <c r="AD133" s="254" t="n">
        <v>23898.539070236</v>
      </c>
      <c r="AE133" s="0" t="n">
        <v>0</v>
      </c>
      <c r="AF133" s="0" t="n">
        <v>0</v>
      </c>
      <c r="AG133" s="0" t="n">
        <v>0</v>
      </c>
      <c r="AH133" s="254" t="n">
        <v>11149.5579086736</v>
      </c>
      <c r="AI133" s="0" t="n">
        <v>226</v>
      </c>
      <c r="AJ133" s="0" t="s">
        <v>630</v>
      </c>
      <c r="AK133" s="0" t="n">
        <v>0</v>
      </c>
      <c r="AL133" s="0" t="n">
        <v>0</v>
      </c>
      <c r="AM133" s="0" t="n">
        <v>0</v>
      </c>
    </row>
    <row r="134" customFormat="false" ht="12.75" hidden="false" customHeight="false" outlineLevel="0" collapsed="false">
      <c r="A134" s="0" t="s">
        <v>621</v>
      </c>
      <c r="B134" s="0" t="s">
        <v>250</v>
      </c>
      <c r="C134" s="0" t="s">
        <v>622</v>
      </c>
      <c r="D134" s="0" t="s">
        <v>623</v>
      </c>
      <c r="E134" s="0" t="s">
        <v>131</v>
      </c>
      <c r="F134" s="0" t="s">
        <v>210</v>
      </c>
      <c r="G134" s="0" t="s">
        <v>628</v>
      </c>
      <c r="H134" s="0" t="s">
        <v>625</v>
      </c>
      <c r="I134" s="0" t="s">
        <v>626</v>
      </c>
      <c r="J134" s="0" t="s">
        <v>627</v>
      </c>
      <c r="K134" s="475" t="n">
        <v>36892</v>
      </c>
      <c r="L134" s="254" t="n">
        <v>199213.597466951</v>
      </c>
      <c r="M134" s="475" t="n">
        <v>36888</v>
      </c>
      <c r="N134" s="0" t="s">
        <v>136</v>
      </c>
      <c r="O134" s="0" t="n">
        <v>2.2</v>
      </c>
      <c r="P134" s="0" t="n">
        <v>0</v>
      </c>
      <c r="Q134" s="0" t="n">
        <v>0</v>
      </c>
      <c r="R134" s="0" t="n">
        <v>0</v>
      </c>
      <c r="S134" s="0" t="n">
        <v>0</v>
      </c>
      <c r="T134" s="0" t="s">
        <v>624</v>
      </c>
      <c r="U134" s="0" t="s">
        <v>149</v>
      </c>
      <c r="V134" s="0" t="s">
        <v>624</v>
      </c>
      <c r="W134" s="0" t="s">
        <v>569</v>
      </c>
      <c r="X134" s="0" t="s">
        <v>624</v>
      </c>
      <c r="Y134" s="0" t="s">
        <v>627</v>
      </c>
      <c r="Z134" s="0" t="s">
        <v>629</v>
      </c>
      <c r="AA134" s="0" t="s">
        <v>624</v>
      </c>
      <c r="AB134" s="0" t="s">
        <v>132</v>
      </c>
      <c r="AC134" s="254" t="n">
        <v>310000</v>
      </c>
      <c r="AD134" s="254" t="n">
        <v>24307.5031478081</v>
      </c>
      <c r="AE134" s="0" t="n">
        <v>0</v>
      </c>
      <c r="AF134" s="0" t="n">
        <v>0</v>
      </c>
      <c r="AG134" s="0" t="n">
        <v>0</v>
      </c>
      <c r="AH134" s="254" t="n">
        <v>10942.2877745241</v>
      </c>
      <c r="AI134" s="0" t="n">
        <v>226</v>
      </c>
      <c r="AJ134" s="0" t="s">
        <v>630</v>
      </c>
      <c r="AK134" s="0" t="n">
        <v>0</v>
      </c>
      <c r="AL134" s="0" t="n">
        <v>0</v>
      </c>
      <c r="AM134" s="0" t="n">
        <v>0</v>
      </c>
    </row>
    <row r="135" customFormat="false" ht="12.75" hidden="false" customHeight="false" outlineLevel="0" collapsed="false">
      <c r="A135" s="0" t="s">
        <v>621</v>
      </c>
      <c r="B135" s="0" t="s">
        <v>250</v>
      </c>
      <c r="C135" s="0" t="s">
        <v>622</v>
      </c>
      <c r="D135" s="0" t="s">
        <v>623</v>
      </c>
      <c r="E135" s="0" t="s">
        <v>131</v>
      </c>
      <c r="F135" s="0" t="s">
        <v>210</v>
      </c>
      <c r="G135" s="0" t="s">
        <v>628</v>
      </c>
      <c r="H135" s="0" t="s">
        <v>625</v>
      </c>
      <c r="I135" s="0" t="s">
        <v>626</v>
      </c>
      <c r="J135" s="0" t="s">
        <v>627</v>
      </c>
      <c r="K135" s="475" t="n">
        <v>36861</v>
      </c>
      <c r="L135" s="254" t="n">
        <v>99869.1452361748</v>
      </c>
      <c r="M135" s="475" t="n">
        <v>36859</v>
      </c>
      <c r="N135" s="0" t="s">
        <v>136</v>
      </c>
      <c r="O135" s="0" t="n">
        <v>2.2</v>
      </c>
      <c r="P135" s="0" t="n">
        <v>0</v>
      </c>
      <c r="Q135" s="0" t="n">
        <v>0</v>
      </c>
      <c r="R135" s="0" t="n">
        <v>0</v>
      </c>
      <c r="S135" s="0" t="n">
        <v>0</v>
      </c>
      <c r="T135" s="0" t="s">
        <v>624</v>
      </c>
      <c r="U135" s="0" t="s">
        <v>149</v>
      </c>
      <c r="V135" s="0" t="s">
        <v>624</v>
      </c>
      <c r="W135" s="0" t="s">
        <v>569</v>
      </c>
      <c r="X135" s="0" t="s">
        <v>624</v>
      </c>
      <c r="Y135" s="0" t="s">
        <v>627</v>
      </c>
      <c r="Z135" s="0" t="s">
        <v>629</v>
      </c>
      <c r="AA135" s="0" t="s">
        <v>624</v>
      </c>
      <c r="AB135" s="0" t="s">
        <v>132</v>
      </c>
      <c r="AC135" s="254" t="n">
        <v>310000</v>
      </c>
      <c r="AD135" s="254" t="n">
        <v>19894.0137295742</v>
      </c>
      <c r="AE135" s="0" t="n">
        <v>0</v>
      </c>
      <c r="AF135" s="0" t="n">
        <v>0</v>
      </c>
      <c r="AG135" s="0" t="n">
        <v>0</v>
      </c>
      <c r="AH135" s="254" t="n">
        <v>6252.92251072674</v>
      </c>
      <c r="AI135" s="0" t="n">
        <v>226</v>
      </c>
      <c r="AJ135" s="0" t="s">
        <v>630</v>
      </c>
      <c r="AK135" s="0" t="n">
        <v>0</v>
      </c>
      <c r="AL135" s="0" t="n">
        <v>0</v>
      </c>
      <c r="AM135" s="0" t="n">
        <v>0</v>
      </c>
    </row>
    <row r="136" customFormat="false" ht="12.75" hidden="false" customHeight="false" outlineLevel="0" collapsed="false">
      <c r="A136" s="0" t="s">
        <v>621</v>
      </c>
      <c r="B136" s="0" t="s">
        <v>250</v>
      </c>
      <c r="C136" s="0" t="s">
        <v>622</v>
      </c>
      <c r="D136" s="0" t="s">
        <v>623</v>
      </c>
      <c r="E136" s="0" t="s">
        <v>131</v>
      </c>
      <c r="F136" s="0" t="s">
        <v>210</v>
      </c>
      <c r="G136" s="0" t="s">
        <v>628</v>
      </c>
      <c r="H136" s="0" t="s">
        <v>625</v>
      </c>
      <c r="I136" s="0" t="s">
        <v>626</v>
      </c>
      <c r="J136" s="0" t="s">
        <v>627</v>
      </c>
      <c r="K136" s="475" t="n">
        <v>36831</v>
      </c>
      <c r="L136" s="254" t="n">
        <v>3864.0810378615</v>
      </c>
      <c r="M136" s="475" t="n">
        <v>36829</v>
      </c>
      <c r="N136" s="0" t="s">
        <v>136</v>
      </c>
      <c r="O136" s="0" t="n">
        <v>2.2</v>
      </c>
      <c r="P136" s="0" t="n">
        <v>0</v>
      </c>
      <c r="Q136" s="0" t="n">
        <v>0</v>
      </c>
      <c r="R136" s="0" t="n">
        <v>0</v>
      </c>
      <c r="S136" s="0" t="n">
        <v>0</v>
      </c>
      <c r="T136" s="0" t="s">
        <v>624</v>
      </c>
      <c r="U136" s="0" t="s">
        <v>149</v>
      </c>
      <c r="V136" s="0" t="s">
        <v>624</v>
      </c>
      <c r="W136" s="0" t="s">
        <v>569</v>
      </c>
      <c r="X136" s="0" t="s">
        <v>624</v>
      </c>
      <c r="Y136" s="0" t="s">
        <v>627</v>
      </c>
      <c r="Z136" s="0" t="s">
        <v>629</v>
      </c>
      <c r="AA136" s="0" t="s">
        <v>624</v>
      </c>
      <c r="AB136" s="0" t="s">
        <v>132</v>
      </c>
      <c r="AC136" s="254" t="n">
        <v>300000</v>
      </c>
      <c r="AD136" s="254" t="n">
        <v>2694.80816454911</v>
      </c>
      <c r="AE136" s="0" t="n">
        <v>0</v>
      </c>
      <c r="AF136" s="0" t="n">
        <v>0</v>
      </c>
      <c r="AG136" s="0" t="n">
        <v>0</v>
      </c>
      <c r="AH136" s="254" t="n">
        <v>688.906674979194</v>
      </c>
      <c r="AI136" s="0" t="n">
        <v>226</v>
      </c>
      <c r="AJ136" s="0" t="s">
        <v>630</v>
      </c>
      <c r="AK136" s="0" t="n">
        <v>0</v>
      </c>
      <c r="AL136" s="0" t="n">
        <v>0</v>
      </c>
      <c r="AM136" s="0" t="n">
        <v>0</v>
      </c>
    </row>
    <row r="137" customFormat="false" ht="12.75" hidden="false" customHeight="false" outlineLevel="0" collapsed="false">
      <c r="A137" s="0" t="s">
        <v>621</v>
      </c>
      <c r="B137" s="0" t="s">
        <v>251</v>
      </c>
      <c r="C137" s="0" t="s">
        <v>622</v>
      </c>
      <c r="D137" s="0" t="s">
        <v>623</v>
      </c>
      <c r="E137" s="0" t="s">
        <v>131</v>
      </c>
      <c r="F137" s="0" t="s">
        <v>198</v>
      </c>
      <c r="G137" s="0" t="s">
        <v>628</v>
      </c>
      <c r="H137" s="0" t="s">
        <v>625</v>
      </c>
      <c r="I137" s="0" t="s">
        <v>626</v>
      </c>
      <c r="J137" s="0" t="s">
        <v>627</v>
      </c>
      <c r="K137" s="475" t="n">
        <v>36951</v>
      </c>
      <c r="L137" s="254" t="n">
        <v>-71142.6891006748</v>
      </c>
      <c r="M137" s="475" t="n">
        <v>36949</v>
      </c>
      <c r="N137" s="0" t="s">
        <v>136</v>
      </c>
      <c r="O137" s="0" t="n">
        <v>0</v>
      </c>
      <c r="P137" s="0" t="n">
        <v>0</v>
      </c>
      <c r="Q137" s="0" t="n">
        <v>0</v>
      </c>
      <c r="R137" s="0" t="n">
        <v>0</v>
      </c>
      <c r="S137" s="0" t="n">
        <v>0</v>
      </c>
      <c r="T137" s="0" t="s">
        <v>624</v>
      </c>
      <c r="U137" s="0" t="s">
        <v>153</v>
      </c>
      <c r="V137" s="0" t="s">
        <v>624</v>
      </c>
      <c r="W137" s="0" t="s">
        <v>569</v>
      </c>
      <c r="X137" s="0" t="s">
        <v>624</v>
      </c>
      <c r="Y137" s="0" t="s">
        <v>627</v>
      </c>
      <c r="Z137" s="0" t="s">
        <v>629</v>
      </c>
      <c r="AA137" s="0" t="s">
        <v>624</v>
      </c>
      <c r="AB137" s="0" t="s">
        <v>132</v>
      </c>
      <c r="AC137" s="254" t="n">
        <v>-1000000</v>
      </c>
      <c r="AD137" s="254" t="n">
        <v>-12428.8322519676</v>
      </c>
      <c r="AE137" s="0" t="n">
        <v>0</v>
      </c>
      <c r="AF137" s="0" t="n">
        <v>0</v>
      </c>
      <c r="AG137" s="0" t="n">
        <v>0</v>
      </c>
      <c r="AH137" s="254" t="n">
        <v>-634.616227812177</v>
      </c>
      <c r="AI137" s="0" t="n">
        <v>226</v>
      </c>
      <c r="AJ137" s="0" t="s">
        <v>630</v>
      </c>
      <c r="AK137" s="0" t="n">
        <v>0</v>
      </c>
      <c r="AL137" s="0" t="n">
        <v>0</v>
      </c>
      <c r="AM137" s="0" t="n">
        <v>0</v>
      </c>
    </row>
    <row r="138" customFormat="false" ht="12.75" hidden="false" customHeight="false" outlineLevel="0" collapsed="false">
      <c r="A138" s="0" t="s">
        <v>621</v>
      </c>
      <c r="B138" s="0" t="s">
        <v>251</v>
      </c>
      <c r="C138" s="0" t="s">
        <v>622</v>
      </c>
      <c r="D138" s="0" t="s">
        <v>623</v>
      </c>
      <c r="E138" s="0" t="s">
        <v>131</v>
      </c>
      <c r="F138" s="0" t="s">
        <v>198</v>
      </c>
      <c r="G138" s="0" t="s">
        <v>628</v>
      </c>
      <c r="H138" s="0" t="s">
        <v>625</v>
      </c>
      <c r="I138" s="0" t="s">
        <v>626</v>
      </c>
      <c r="J138" s="0" t="s">
        <v>627</v>
      </c>
      <c r="K138" s="475" t="n">
        <v>36923</v>
      </c>
      <c r="L138" s="254" t="n">
        <v>-77674.7575118251</v>
      </c>
      <c r="M138" s="475" t="n">
        <v>36921</v>
      </c>
      <c r="N138" s="0" t="s">
        <v>136</v>
      </c>
      <c r="O138" s="0" t="n">
        <v>0</v>
      </c>
      <c r="P138" s="0" t="n">
        <v>0</v>
      </c>
      <c r="Q138" s="0" t="n">
        <v>0</v>
      </c>
      <c r="R138" s="0" t="n">
        <v>0</v>
      </c>
      <c r="S138" s="0" t="n">
        <v>0</v>
      </c>
      <c r="T138" s="0" t="s">
        <v>624</v>
      </c>
      <c r="U138" s="0" t="s">
        <v>153</v>
      </c>
      <c r="V138" s="0" t="s">
        <v>624</v>
      </c>
      <c r="W138" s="0" t="s">
        <v>569</v>
      </c>
      <c r="X138" s="0" t="s">
        <v>624</v>
      </c>
      <c r="Y138" s="0" t="s">
        <v>627</v>
      </c>
      <c r="Z138" s="0" t="s">
        <v>629</v>
      </c>
      <c r="AA138" s="0" t="s">
        <v>624</v>
      </c>
      <c r="AB138" s="0" t="s">
        <v>132</v>
      </c>
      <c r="AC138" s="254" t="n">
        <v>-1000000</v>
      </c>
      <c r="AD138" s="254" t="n">
        <v>-12805.7923132989</v>
      </c>
      <c r="AE138" s="0" t="n">
        <v>0</v>
      </c>
      <c r="AF138" s="0" t="n">
        <v>0</v>
      </c>
      <c r="AG138" s="0" t="n">
        <v>0</v>
      </c>
      <c r="AH138" s="254" t="n">
        <v>-616.769239987625</v>
      </c>
      <c r="AI138" s="0" t="n">
        <v>226</v>
      </c>
      <c r="AJ138" s="0" t="s">
        <v>630</v>
      </c>
      <c r="AK138" s="0" t="n">
        <v>0</v>
      </c>
      <c r="AL138" s="0" t="n">
        <v>0</v>
      </c>
      <c r="AM138" s="0" t="n">
        <v>0</v>
      </c>
    </row>
    <row r="139" customFormat="false" ht="12.75" hidden="false" customHeight="false" outlineLevel="0" collapsed="false">
      <c r="A139" s="0" t="s">
        <v>621</v>
      </c>
      <c r="B139" s="0" t="s">
        <v>251</v>
      </c>
      <c r="C139" s="0" t="s">
        <v>622</v>
      </c>
      <c r="D139" s="0" t="s">
        <v>623</v>
      </c>
      <c r="E139" s="0" t="s">
        <v>131</v>
      </c>
      <c r="F139" s="0" t="s">
        <v>198</v>
      </c>
      <c r="G139" s="0" t="s">
        <v>628</v>
      </c>
      <c r="H139" s="0" t="s">
        <v>625</v>
      </c>
      <c r="I139" s="0" t="s">
        <v>626</v>
      </c>
      <c r="J139" s="0" t="s">
        <v>627</v>
      </c>
      <c r="K139" s="475" t="n">
        <v>36892</v>
      </c>
      <c r="L139" s="254" t="n">
        <v>-72817.7541820427</v>
      </c>
      <c r="M139" s="475" t="n">
        <v>36888</v>
      </c>
      <c r="N139" s="0" t="s">
        <v>136</v>
      </c>
      <c r="O139" s="0" t="n">
        <v>0</v>
      </c>
      <c r="P139" s="0" t="n">
        <v>0</v>
      </c>
      <c r="Q139" s="0" t="n">
        <v>0</v>
      </c>
      <c r="R139" s="0" t="n">
        <v>0</v>
      </c>
      <c r="S139" s="0" t="n">
        <v>0</v>
      </c>
      <c r="T139" s="0" t="s">
        <v>624</v>
      </c>
      <c r="U139" s="0" t="s">
        <v>153</v>
      </c>
      <c r="V139" s="0" t="s">
        <v>624</v>
      </c>
      <c r="W139" s="0" t="s">
        <v>569</v>
      </c>
      <c r="X139" s="0" t="s">
        <v>624</v>
      </c>
      <c r="Y139" s="0" t="s">
        <v>627</v>
      </c>
      <c r="Z139" s="0" t="s">
        <v>629</v>
      </c>
      <c r="AA139" s="0" t="s">
        <v>624</v>
      </c>
      <c r="AB139" s="0" t="s">
        <v>132</v>
      </c>
      <c r="AC139" s="254" t="n">
        <v>-1000000</v>
      </c>
      <c r="AD139" s="254" t="n">
        <v>-11719.0730119358</v>
      </c>
      <c r="AE139" s="0" t="n">
        <v>0</v>
      </c>
      <c r="AF139" s="0" t="n">
        <v>0</v>
      </c>
      <c r="AG139" s="0" t="n">
        <v>0</v>
      </c>
      <c r="AH139" s="254" t="n">
        <v>-566.00262099893</v>
      </c>
      <c r="AI139" s="0" t="n">
        <v>226</v>
      </c>
      <c r="AJ139" s="0" t="s">
        <v>630</v>
      </c>
      <c r="AK139" s="0" t="n">
        <v>0</v>
      </c>
      <c r="AL139" s="0" t="n">
        <v>0</v>
      </c>
      <c r="AM139" s="0" t="n">
        <v>0</v>
      </c>
    </row>
    <row r="140" customFormat="false" ht="12.75" hidden="false" customHeight="false" outlineLevel="0" collapsed="false">
      <c r="A140" s="0" t="s">
        <v>621</v>
      </c>
      <c r="B140" s="0" t="s">
        <v>251</v>
      </c>
      <c r="C140" s="0" t="s">
        <v>622</v>
      </c>
      <c r="D140" s="0" t="s">
        <v>623</v>
      </c>
      <c r="E140" s="0" t="s">
        <v>131</v>
      </c>
      <c r="F140" s="0" t="s">
        <v>198</v>
      </c>
      <c r="G140" s="0" t="s">
        <v>628</v>
      </c>
      <c r="H140" s="0" t="s">
        <v>625</v>
      </c>
      <c r="I140" s="0" t="s">
        <v>626</v>
      </c>
      <c r="J140" s="0" t="s">
        <v>627</v>
      </c>
      <c r="K140" s="475" t="n">
        <v>36861</v>
      </c>
      <c r="L140" s="254" t="n">
        <v>-59315.32694897</v>
      </c>
      <c r="M140" s="475" t="n">
        <v>36859</v>
      </c>
      <c r="N140" s="0" t="s">
        <v>136</v>
      </c>
      <c r="O140" s="0" t="n">
        <v>0</v>
      </c>
      <c r="P140" s="0" t="n">
        <v>0</v>
      </c>
      <c r="Q140" s="0" t="n">
        <v>0</v>
      </c>
      <c r="R140" s="0" t="n">
        <v>0</v>
      </c>
      <c r="S140" s="0" t="n">
        <v>0</v>
      </c>
      <c r="T140" s="0" t="s">
        <v>624</v>
      </c>
      <c r="U140" s="0" t="s">
        <v>153</v>
      </c>
      <c r="V140" s="0" t="s">
        <v>624</v>
      </c>
      <c r="W140" s="0" t="s">
        <v>569</v>
      </c>
      <c r="X140" s="0" t="s">
        <v>624</v>
      </c>
      <c r="Y140" s="0" t="s">
        <v>627</v>
      </c>
      <c r="Z140" s="0" t="s">
        <v>629</v>
      </c>
      <c r="AA140" s="0" t="s">
        <v>624</v>
      </c>
      <c r="AB140" s="0" t="s">
        <v>132</v>
      </c>
      <c r="AC140" s="254" t="n">
        <v>-1000000</v>
      </c>
      <c r="AD140" s="254" t="n">
        <v>-10352.4500349388</v>
      </c>
      <c r="AE140" s="0" t="n">
        <v>0</v>
      </c>
      <c r="AF140" s="0" t="n">
        <v>0</v>
      </c>
      <c r="AG140" s="0" t="n">
        <v>0</v>
      </c>
      <c r="AH140" s="254" t="n">
        <v>-522.772353813089</v>
      </c>
      <c r="AI140" s="0" t="n">
        <v>226</v>
      </c>
      <c r="AJ140" s="0" t="s">
        <v>630</v>
      </c>
      <c r="AK140" s="0" t="n">
        <v>0</v>
      </c>
      <c r="AL140" s="0" t="n">
        <v>0</v>
      </c>
      <c r="AM140" s="0" t="n">
        <v>0</v>
      </c>
    </row>
    <row r="141" customFormat="false" ht="12.75" hidden="false" customHeight="false" outlineLevel="0" collapsed="false">
      <c r="A141" s="0" t="s">
        <v>621</v>
      </c>
      <c r="B141" s="0" t="s">
        <v>251</v>
      </c>
      <c r="C141" s="0" t="s">
        <v>622</v>
      </c>
      <c r="D141" s="0" t="s">
        <v>623</v>
      </c>
      <c r="E141" s="0" t="s">
        <v>131</v>
      </c>
      <c r="F141" s="0" t="s">
        <v>198</v>
      </c>
      <c r="G141" s="0" t="s">
        <v>628</v>
      </c>
      <c r="H141" s="0" t="s">
        <v>625</v>
      </c>
      <c r="I141" s="0" t="s">
        <v>626</v>
      </c>
      <c r="J141" s="0" t="s">
        <v>627</v>
      </c>
      <c r="K141" s="475" t="n">
        <v>36831</v>
      </c>
      <c r="L141" s="254" t="n">
        <v>-39503.0385188713</v>
      </c>
      <c r="M141" s="475" t="n">
        <v>36829</v>
      </c>
      <c r="N141" s="0" t="s">
        <v>136</v>
      </c>
      <c r="O141" s="0" t="n">
        <v>0</v>
      </c>
      <c r="P141" s="0" t="n">
        <v>0</v>
      </c>
      <c r="Q141" s="0" t="n">
        <v>0</v>
      </c>
      <c r="R141" s="0" t="n">
        <v>0</v>
      </c>
      <c r="S141" s="0" t="n">
        <v>0</v>
      </c>
      <c r="T141" s="0" t="s">
        <v>624</v>
      </c>
      <c r="U141" s="0" t="s">
        <v>153</v>
      </c>
      <c r="V141" s="0" t="s">
        <v>624</v>
      </c>
      <c r="W141" s="0" t="s">
        <v>569</v>
      </c>
      <c r="X141" s="0" t="s">
        <v>624</v>
      </c>
      <c r="Y141" s="0" t="s">
        <v>627</v>
      </c>
      <c r="Z141" s="0" t="s">
        <v>629</v>
      </c>
      <c r="AA141" s="0" t="s">
        <v>624</v>
      </c>
      <c r="AB141" s="0" t="s">
        <v>132</v>
      </c>
      <c r="AC141" s="254" t="n">
        <v>-1000000</v>
      </c>
      <c r="AD141" s="254" t="n">
        <v>-8599.09313525487</v>
      </c>
      <c r="AE141" s="0" t="n">
        <v>0</v>
      </c>
      <c r="AF141" s="0" t="n">
        <v>0</v>
      </c>
      <c r="AG141" s="0" t="n">
        <v>0</v>
      </c>
      <c r="AH141" s="254" t="n">
        <v>-463.650302859402</v>
      </c>
      <c r="AI141" s="0" t="n">
        <v>226</v>
      </c>
      <c r="AJ141" s="0" t="s">
        <v>630</v>
      </c>
      <c r="AK141" s="0" t="n">
        <v>0</v>
      </c>
      <c r="AL141" s="0" t="n">
        <v>0</v>
      </c>
      <c r="AM141" s="0" t="n">
        <v>0</v>
      </c>
    </row>
    <row r="142" customFormat="false" ht="12.75" hidden="false" customHeight="false" outlineLevel="0" collapsed="false">
      <c r="A142" s="0" t="s">
        <v>621</v>
      </c>
      <c r="B142" s="0" t="s">
        <v>251</v>
      </c>
      <c r="C142" s="0" t="s">
        <v>622</v>
      </c>
      <c r="D142" s="0" t="s">
        <v>623</v>
      </c>
      <c r="E142" s="0" t="s">
        <v>131</v>
      </c>
      <c r="F142" s="0" t="s">
        <v>198</v>
      </c>
      <c r="G142" s="0" t="s">
        <v>628</v>
      </c>
      <c r="H142" s="0" t="s">
        <v>625</v>
      </c>
      <c r="I142" s="0" t="s">
        <v>626</v>
      </c>
      <c r="J142" s="0" t="s">
        <v>627</v>
      </c>
      <c r="K142" s="475" t="n">
        <v>36800</v>
      </c>
      <c r="L142" s="254" t="n">
        <v>-1170.31335042456</v>
      </c>
      <c r="M142" s="475" t="n">
        <v>36797</v>
      </c>
      <c r="N142" s="0" t="s">
        <v>136</v>
      </c>
      <c r="O142" s="0" t="n">
        <v>0</v>
      </c>
      <c r="P142" s="0" t="n">
        <v>0</v>
      </c>
      <c r="Q142" s="0" t="n">
        <v>0</v>
      </c>
      <c r="R142" s="0" t="n">
        <v>0</v>
      </c>
      <c r="S142" s="0" t="n">
        <v>0</v>
      </c>
      <c r="T142" s="0" t="s">
        <v>624</v>
      </c>
      <c r="U142" s="0" t="s">
        <v>153</v>
      </c>
      <c r="V142" s="0" t="s">
        <v>624</v>
      </c>
      <c r="W142" s="0" t="s">
        <v>569</v>
      </c>
      <c r="X142" s="0" t="s">
        <v>624</v>
      </c>
      <c r="Y142" s="0" t="s">
        <v>627</v>
      </c>
      <c r="Z142" s="0" t="s">
        <v>629</v>
      </c>
      <c r="AA142" s="0" t="s">
        <v>624</v>
      </c>
      <c r="AB142" s="0" t="s">
        <v>132</v>
      </c>
      <c r="AC142" s="254" t="n">
        <v>-1000000</v>
      </c>
      <c r="AD142" s="254" t="n">
        <v>-1234.21302857198</v>
      </c>
      <c r="AE142" s="0" t="n">
        <v>0</v>
      </c>
      <c r="AF142" s="0" t="n">
        <v>0</v>
      </c>
      <c r="AG142" s="0" t="n">
        <v>0</v>
      </c>
      <c r="AH142" s="254" t="n">
        <v>-73.0490748787538</v>
      </c>
      <c r="AI142" s="0" t="n">
        <v>226</v>
      </c>
      <c r="AJ142" s="0" t="s">
        <v>630</v>
      </c>
      <c r="AK142" s="0" t="n">
        <v>0</v>
      </c>
      <c r="AL142" s="0" t="n">
        <v>0</v>
      </c>
      <c r="AM142" s="0" t="n">
        <v>0</v>
      </c>
    </row>
    <row r="143" customFormat="false" ht="12.75" hidden="false" customHeight="false" outlineLevel="0" collapsed="false">
      <c r="A143" s="0" t="s">
        <v>621</v>
      </c>
      <c r="B143" s="0" t="s">
        <v>251</v>
      </c>
      <c r="C143" s="0" t="s">
        <v>622</v>
      </c>
      <c r="D143" s="0" t="s">
        <v>623</v>
      </c>
      <c r="E143" s="0" t="s">
        <v>131</v>
      </c>
      <c r="F143" s="0" t="s">
        <v>198</v>
      </c>
      <c r="G143" s="0" t="s">
        <v>628</v>
      </c>
      <c r="H143" s="0" t="s">
        <v>625</v>
      </c>
      <c r="I143" s="0" t="s">
        <v>626</v>
      </c>
      <c r="J143" s="0" t="s">
        <v>627</v>
      </c>
      <c r="K143" s="475" t="n">
        <v>36770</v>
      </c>
      <c r="L143" s="254" t="n">
        <v>-2.93171904940403E-027</v>
      </c>
      <c r="M143" s="475" t="n">
        <v>36768</v>
      </c>
      <c r="N143" s="0" t="s">
        <v>136</v>
      </c>
      <c r="O143" s="0" t="n">
        <v>0</v>
      </c>
      <c r="P143" s="0" t="n">
        <v>0</v>
      </c>
      <c r="Q143" s="0" t="n">
        <v>0</v>
      </c>
      <c r="R143" s="0" t="n">
        <v>0</v>
      </c>
      <c r="S143" s="0" t="n">
        <v>0</v>
      </c>
      <c r="T143" s="0" t="s">
        <v>624</v>
      </c>
      <c r="U143" s="0" t="s">
        <v>153</v>
      </c>
      <c r="V143" s="0" t="s">
        <v>624</v>
      </c>
      <c r="W143" s="0" t="s">
        <v>569</v>
      </c>
      <c r="X143" s="0" t="s">
        <v>624</v>
      </c>
      <c r="Y143" s="0" t="s">
        <v>627</v>
      </c>
      <c r="Z143" s="0" t="s">
        <v>629</v>
      </c>
      <c r="AA143" s="0" t="s">
        <v>624</v>
      </c>
      <c r="AB143" s="0" t="s">
        <v>132</v>
      </c>
      <c r="AC143" s="254" t="n">
        <v>-1000000</v>
      </c>
      <c r="AD143" s="254" t="n">
        <v>-8.97813429773927E-026</v>
      </c>
      <c r="AE143" s="0" t="n">
        <v>0</v>
      </c>
      <c r="AF143" s="0" t="n">
        <v>0</v>
      </c>
      <c r="AG143" s="0" t="n">
        <v>0</v>
      </c>
      <c r="AH143" s="254" t="n">
        <v>-4.83934009793317E-005</v>
      </c>
      <c r="AI143" s="0" t="n">
        <v>226</v>
      </c>
      <c r="AJ143" s="0" t="s">
        <v>630</v>
      </c>
      <c r="AK143" s="0" t="n">
        <v>0</v>
      </c>
      <c r="AL143" s="0" t="n">
        <v>0</v>
      </c>
      <c r="AM143" s="0" t="n">
        <v>0</v>
      </c>
    </row>
    <row r="144" customFormat="false" ht="12.75" hidden="false" customHeight="false" outlineLevel="0" collapsed="false">
      <c r="A144" s="0" t="s">
        <v>621</v>
      </c>
      <c r="B144" s="0" t="s">
        <v>252</v>
      </c>
      <c r="C144" s="0" t="s">
        <v>622</v>
      </c>
      <c r="D144" s="0" t="s">
        <v>623</v>
      </c>
      <c r="E144" s="0" t="s">
        <v>131</v>
      </c>
      <c r="F144" s="0" t="s">
        <v>198</v>
      </c>
      <c r="G144" s="0" t="s">
        <v>628</v>
      </c>
      <c r="H144" s="0" t="s">
        <v>625</v>
      </c>
      <c r="I144" s="0" t="s">
        <v>626</v>
      </c>
      <c r="J144" s="0" t="s">
        <v>627</v>
      </c>
      <c r="K144" s="475" t="n">
        <v>36951</v>
      </c>
      <c r="L144" s="254" t="n">
        <v>-39745.1516919958</v>
      </c>
      <c r="M144" s="475" t="n">
        <v>36949</v>
      </c>
      <c r="N144" s="0" t="s">
        <v>132</v>
      </c>
      <c r="O144" s="0" t="n">
        <v>0</v>
      </c>
      <c r="P144" s="0" t="n">
        <v>0</v>
      </c>
      <c r="Q144" s="0" t="n">
        <v>0</v>
      </c>
      <c r="R144" s="0" t="n">
        <v>0</v>
      </c>
      <c r="S144" s="0" t="n">
        <v>0</v>
      </c>
      <c r="T144" s="0" t="s">
        <v>624</v>
      </c>
      <c r="U144" s="0" t="s">
        <v>153</v>
      </c>
      <c r="V144" s="0" t="s">
        <v>624</v>
      </c>
      <c r="W144" s="0" t="s">
        <v>569</v>
      </c>
      <c r="X144" s="0" t="s">
        <v>624</v>
      </c>
      <c r="Y144" s="0" t="s">
        <v>627</v>
      </c>
      <c r="Z144" s="0" t="s">
        <v>629</v>
      </c>
      <c r="AA144" s="0" t="s">
        <v>624</v>
      </c>
      <c r="AB144" s="0" t="s">
        <v>132</v>
      </c>
      <c r="AC144" s="254" t="n">
        <v>-1000000</v>
      </c>
      <c r="AD144" s="254" t="n">
        <v>-12428.8322519676</v>
      </c>
      <c r="AE144" s="0" t="n">
        <v>0</v>
      </c>
      <c r="AF144" s="0" t="n">
        <v>0</v>
      </c>
      <c r="AG144" s="0" t="n">
        <v>0</v>
      </c>
      <c r="AH144" s="254" t="n">
        <v>-634.616227811246</v>
      </c>
      <c r="AI144" s="0" t="n">
        <v>226</v>
      </c>
      <c r="AJ144" s="0" t="s">
        <v>630</v>
      </c>
      <c r="AK144" s="0" t="n">
        <v>0</v>
      </c>
      <c r="AL144" s="0" t="n">
        <v>0</v>
      </c>
      <c r="AM144" s="0" t="n">
        <v>0</v>
      </c>
    </row>
    <row r="145" customFormat="false" ht="12.75" hidden="false" customHeight="false" outlineLevel="0" collapsed="false">
      <c r="A145" s="0" t="s">
        <v>621</v>
      </c>
      <c r="B145" s="0" t="s">
        <v>252</v>
      </c>
      <c r="C145" s="0" t="s">
        <v>622</v>
      </c>
      <c r="D145" s="0" t="s">
        <v>623</v>
      </c>
      <c r="E145" s="0" t="s">
        <v>131</v>
      </c>
      <c r="F145" s="0" t="s">
        <v>198</v>
      </c>
      <c r="G145" s="0" t="s">
        <v>628</v>
      </c>
      <c r="H145" s="0" t="s">
        <v>625</v>
      </c>
      <c r="I145" s="0" t="s">
        <v>626</v>
      </c>
      <c r="J145" s="0" t="s">
        <v>627</v>
      </c>
      <c r="K145" s="475" t="n">
        <v>36923</v>
      </c>
      <c r="L145" s="254" t="n">
        <v>-43679.5536828356</v>
      </c>
      <c r="M145" s="475" t="n">
        <v>36921</v>
      </c>
      <c r="N145" s="0" t="s">
        <v>132</v>
      </c>
      <c r="O145" s="0" t="n">
        <v>0</v>
      </c>
      <c r="P145" s="0" t="n">
        <v>0</v>
      </c>
      <c r="Q145" s="0" t="n">
        <v>0</v>
      </c>
      <c r="R145" s="0" t="n">
        <v>0</v>
      </c>
      <c r="S145" s="0" t="n">
        <v>0</v>
      </c>
      <c r="T145" s="0" t="s">
        <v>624</v>
      </c>
      <c r="U145" s="0" t="s">
        <v>153</v>
      </c>
      <c r="V145" s="0" t="s">
        <v>624</v>
      </c>
      <c r="W145" s="0" t="s">
        <v>569</v>
      </c>
      <c r="X145" s="0" t="s">
        <v>624</v>
      </c>
      <c r="Y145" s="0" t="s">
        <v>627</v>
      </c>
      <c r="Z145" s="0" t="s">
        <v>629</v>
      </c>
      <c r="AA145" s="0" t="s">
        <v>624</v>
      </c>
      <c r="AB145" s="0" t="s">
        <v>132</v>
      </c>
      <c r="AC145" s="254" t="n">
        <v>-1000000</v>
      </c>
      <c r="AD145" s="254" t="n">
        <v>-12805.792313299</v>
      </c>
      <c r="AE145" s="0" t="n">
        <v>0</v>
      </c>
      <c r="AF145" s="0" t="n">
        <v>0</v>
      </c>
      <c r="AG145" s="0" t="n">
        <v>0</v>
      </c>
      <c r="AH145" s="254" t="n">
        <v>-616.76923998721</v>
      </c>
      <c r="AI145" s="0" t="n">
        <v>226</v>
      </c>
      <c r="AJ145" s="0" t="s">
        <v>630</v>
      </c>
      <c r="AK145" s="0" t="n">
        <v>0</v>
      </c>
      <c r="AL145" s="0" t="n">
        <v>0</v>
      </c>
      <c r="AM145" s="0" t="n">
        <v>0</v>
      </c>
    </row>
    <row r="146" customFormat="false" ht="12.75" hidden="false" customHeight="false" outlineLevel="0" collapsed="false">
      <c r="A146" s="0" t="s">
        <v>621</v>
      </c>
      <c r="B146" s="0" t="s">
        <v>252</v>
      </c>
      <c r="C146" s="0" t="s">
        <v>622</v>
      </c>
      <c r="D146" s="0" t="s">
        <v>623</v>
      </c>
      <c r="E146" s="0" t="s">
        <v>131</v>
      </c>
      <c r="F146" s="0" t="s">
        <v>198</v>
      </c>
      <c r="G146" s="0" t="s">
        <v>628</v>
      </c>
      <c r="H146" s="0" t="s">
        <v>625</v>
      </c>
      <c r="I146" s="0" t="s">
        <v>626</v>
      </c>
      <c r="J146" s="0" t="s">
        <v>627</v>
      </c>
      <c r="K146" s="475" t="n">
        <v>36892</v>
      </c>
      <c r="L146" s="254" t="n">
        <v>-43495.1418225671</v>
      </c>
      <c r="M146" s="475" t="n">
        <v>36888</v>
      </c>
      <c r="N146" s="0" t="s">
        <v>132</v>
      </c>
      <c r="O146" s="0" t="n">
        <v>0</v>
      </c>
      <c r="P146" s="0" t="n">
        <v>0</v>
      </c>
      <c r="Q146" s="0" t="n">
        <v>0</v>
      </c>
      <c r="R146" s="0" t="n">
        <v>0</v>
      </c>
      <c r="S146" s="0" t="n">
        <v>0</v>
      </c>
      <c r="T146" s="0" t="s">
        <v>624</v>
      </c>
      <c r="U146" s="0" t="s">
        <v>153</v>
      </c>
      <c r="V146" s="0" t="s">
        <v>624</v>
      </c>
      <c r="W146" s="0" t="s">
        <v>569</v>
      </c>
      <c r="X146" s="0" t="s">
        <v>624</v>
      </c>
      <c r="Y146" s="0" t="s">
        <v>627</v>
      </c>
      <c r="Z146" s="0" t="s">
        <v>629</v>
      </c>
      <c r="AA146" s="0" t="s">
        <v>624</v>
      </c>
      <c r="AB146" s="0" t="s">
        <v>132</v>
      </c>
      <c r="AC146" s="254" t="n">
        <v>-1000000</v>
      </c>
      <c r="AD146" s="254" t="n">
        <v>-11719.0730119359</v>
      </c>
      <c r="AE146" s="0" t="n">
        <v>0</v>
      </c>
      <c r="AF146" s="0" t="n">
        <v>0</v>
      </c>
      <c r="AG146" s="0" t="n">
        <v>0</v>
      </c>
      <c r="AH146" s="254" t="n">
        <v>-566.002620999483</v>
      </c>
      <c r="AI146" s="0" t="n">
        <v>226</v>
      </c>
      <c r="AJ146" s="0" t="s">
        <v>630</v>
      </c>
      <c r="AK146" s="0" t="n">
        <v>0</v>
      </c>
      <c r="AL146" s="0" t="n">
        <v>0</v>
      </c>
      <c r="AM146" s="0" t="n">
        <v>0</v>
      </c>
    </row>
    <row r="147" customFormat="false" ht="12.75" hidden="false" customHeight="false" outlineLevel="0" collapsed="false">
      <c r="A147" s="0" t="s">
        <v>621</v>
      </c>
      <c r="B147" s="0" t="s">
        <v>252</v>
      </c>
      <c r="C147" s="0" t="s">
        <v>622</v>
      </c>
      <c r="D147" s="0" t="s">
        <v>623</v>
      </c>
      <c r="E147" s="0" t="s">
        <v>131</v>
      </c>
      <c r="F147" s="0" t="s">
        <v>198</v>
      </c>
      <c r="G147" s="0" t="s">
        <v>628</v>
      </c>
      <c r="H147" s="0" t="s">
        <v>625</v>
      </c>
      <c r="I147" s="0" t="s">
        <v>626</v>
      </c>
      <c r="J147" s="0" t="s">
        <v>627</v>
      </c>
      <c r="K147" s="475" t="n">
        <v>36861</v>
      </c>
      <c r="L147" s="254" t="n">
        <v>-42117.0920791809</v>
      </c>
      <c r="M147" s="475" t="n">
        <v>36859</v>
      </c>
      <c r="N147" s="0" t="s">
        <v>132</v>
      </c>
      <c r="O147" s="0" t="n">
        <v>0</v>
      </c>
      <c r="P147" s="0" t="n">
        <v>0</v>
      </c>
      <c r="Q147" s="0" t="n">
        <v>0</v>
      </c>
      <c r="R147" s="0" t="n">
        <v>0</v>
      </c>
      <c r="S147" s="0" t="n">
        <v>0</v>
      </c>
      <c r="T147" s="0" t="s">
        <v>624</v>
      </c>
      <c r="U147" s="0" t="s">
        <v>153</v>
      </c>
      <c r="V147" s="0" t="s">
        <v>624</v>
      </c>
      <c r="W147" s="0" t="s">
        <v>569</v>
      </c>
      <c r="X147" s="0" t="s">
        <v>624</v>
      </c>
      <c r="Y147" s="0" t="s">
        <v>627</v>
      </c>
      <c r="Z147" s="0" t="s">
        <v>629</v>
      </c>
      <c r="AA147" s="0" t="s">
        <v>624</v>
      </c>
      <c r="AB147" s="0" t="s">
        <v>132</v>
      </c>
      <c r="AC147" s="254" t="n">
        <v>-1000000</v>
      </c>
      <c r="AD147" s="254" t="n">
        <v>-10352.4500349386</v>
      </c>
      <c r="AE147" s="0" t="n">
        <v>0</v>
      </c>
      <c r="AF147" s="0" t="n">
        <v>0</v>
      </c>
      <c r="AG147" s="0" t="n">
        <v>0</v>
      </c>
      <c r="AH147" s="254" t="n">
        <v>-522.772353812157</v>
      </c>
      <c r="AI147" s="0" t="n">
        <v>226</v>
      </c>
      <c r="AJ147" s="0" t="s">
        <v>630</v>
      </c>
      <c r="AK147" s="0" t="n">
        <v>0</v>
      </c>
      <c r="AL147" s="0" t="n">
        <v>0</v>
      </c>
      <c r="AM147" s="0" t="n">
        <v>0</v>
      </c>
    </row>
    <row r="148" customFormat="false" ht="12.75" hidden="false" customHeight="false" outlineLevel="0" collapsed="false">
      <c r="A148" s="0" t="s">
        <v>621</v>
      </c>
      <c r="B148" s="0" t="s">
        <v>252</v>
      </c>
      <c r="C148" s="0" t="s">
        <v>622</v>
      </c>
      <c r="D148" s="0" t="s">
        <v>623</v>
      </c>
      <c r="E148" s="0" t="s">
        <v>131</v>
      </c>
      <c r="F148" s="0" t="s">
        <v>198</v>
      </c>
      <c r="G148" s="0" t="s">
        <v>628</v>
      </c>
      <c r="H148" s="0" t="s">
        <v>625</v>
      </c>
      <c r="I148" s="0" t="s">
        <v>626</v>
      </c>
      <c r="J148" s="0" t="s">
        <v>627</v>
      </c>
      <c r="K148" s="475" t="n">
        <v>36831</v>
      </c>
      <c r="L148" s="254" t="n">
        <v>-41973.8419281694</v>
      </c>
      <c r="M148" s="475" t="n">
        <v>36829</v>
      </c>
      <c r="N148" s="0" t="s">
        <v>132</v>
      </c>
      <c r="O148" s="0" t="n">
        <v>0</v>
      </c>
      <c r="P148" s="0" t="n">
        <v>0</v>
      </c>
      <c r="Q148" s="0" t="n">
        <v>0</v>
      </c>
      <c r="R148" s="0" t="n">
        <v>0</v>
      </c>
      <c r="S148" s="0" t="n">
        <v>0</v>
      </c>
      <c r="T148" s="0" t="s">
        <v>624</v>
      </c>
      <c r="U148" s="0" t="s">
        <v>153</v>
      </c>
      <c r="V148" s="0" t="s">
        <v>624</v>
      </c>
      <c r="W148" s="0" t="s">
        <v>569</v>
      </c>
      <c r="X148" s="0" t="s">
        <v>624</v>
      </c>
      <c r="Y148" s="0" t="s">
        <v>627</v>
      </c>
      <c r="Z148" s="0" t="s">
        <v>629</v>
      </c>
      <c r="AA148" s="0" t="s">
        <v>624</v>
      </c>
      <c r="AB148" s="0" t="s">
        <v>132</v>
      </c>
      <c r="AC148" s="254" t="n">
        <v>-1000000</v>
      </c>
      <c r="AD148" s="254" t="n">
        <v>-8599.09313525481</v>
      </c>
      <c r="AE148" s="0" t="n">
        <v>0</v>
      </c>
      <c r="AF148" s="0" t="n">
        <v>0</v>
      </c>
      <c r="AG148" s="0" t="n">
        <v>0</v>
      </c>
      <c r="AH148" s="254" t="n">
        <v>-463.650302859445</v>
      </c>
      <c r="AI148" s="0" t="n">
        <v>226</v>
      </c>
      <c r="AJ148" s="0" t="s">
        <v>630</v>
      </c>
      <c r="AK148" s="0" t="n">
        <v>0</v>
      </c>
      <c r="AL148" s="0" t="n">
        <v>0</v>
      </c>
      <c r="AM148" s="0" t="n">
        <v>0</v>
      </c>
    </row>
    <row r="149" customFormat="false" ht="12.75" hidden="false" customHeight="false" outlineLevel="0" collapsed="false">
      <c r="A149" s="0" t="s">
        <v>621</v>
      </c>
      <c r="B149" s="0" t="s">
        <v>252</v>
      </c>
      <c r="C149" s="0" t="s">
        <v>622</v>
      </c>
      <c r="D149" s="0" t="s">
        <v>623</v>
      </c>
      <c r="E149" s="0" t="s">
        <v>131</v>
      </c>
      <c r="F149" s="0" t="s">
        <v>198</v>
      </c>
      <c r="G149" s="0" t="s">
        <v>628</v>
      </c>
      <c r="H149" s="0" t="s">
        <v>625</v>
      </c>
      <c r="I149" s="0" t="s">
        <v>626</v>
      </c>
      <c r="J149" s="0" t="s">
        <v>627</v>
      </c>
      <c r="K149" s="475" t="n">
        <v>36800</v>
      </c>
      <c r="L149" s="254" t="n">
        <v>-90651.998595038</v>
      </c>
      <c r="M149" s="475" t="n">
        <v>36797</v>
      </c>
      <c r="N149" s="0" t="s">
        <v>132</v>
      </c>
      <c r="O149" s="0" t="n">
        <v>0</v>
      </c>
      <c r="P149" s="0" t="n">
        <v>0</v>
      </c>
      <c r="Q149" s="0" t="n">
        <v>0</v>
      </c>
      <c r="R149" s="0" t="n">
        <v>0</v>
      </c>
      <c r="S149" s="0" t="n">
        <v>0</v>
      </c>
      <c r="T149" s="0" t="s">
        <v>624</v>
      </c>
      <c r="U149" s="0" t="s">
        <v>153</v>
      </c>
      <c r="V149" s="0" t="s">
        <v>624</v>
      </c>
      <c r="W149" s="0" t="s">
        <v>569</v>
      </c>
      <c r="X149" s="0" t="s">
        <v>624</v>
      </c>
      <c r="Y149" s="0" t="s">
        <v>627</v>
      </c>
      <c r="Z149" s="0" t="s">
        <v>629</v>
      </c>
      <c r="AA149" s="0" t="s">
        <v>624</v>
      </c>
      <c r="AB149" s="0" t="s">
        <v>132</v>
      </c>
      <c r="AC149" s="254" t="n">
        <v>-1000000</v>
      </c>
      <c r="AD149" s="254" t="n">
        <v>-1234.21302857203</v>
      </c>
      <c r="AE149" s="0" t="n">
        <v>0</v>
      </c>
      <c r="AF149" s="0" t="n">
        <v>0</v>
      </c>
      <c r="AG149" s="0" t="n">
        <v>0</v>
      </c>
      <c r="AH149" s="254" t="n">
        <v>-73.0490748788143</v>
      </c>
      <c r="AI149" s="0" t="n">
        <v>226</v>
      </c>
      <c r="AJ149" s="0" t="s">
        <v>630</v>
      </c>
      <c r="AK149" s="0" t="n">
        <v>0</v>
      </c>
      <c r="AL149" s="0" t="n">
        <v>0</v>
      </c>
      <c r="AM149" s="0" t="n">
        <v>0</v>
      </c>
    </row>
    <row r="150" customFormat="false" ht="12.75" hidden="false" customHeight="false" outlineLevel="0" collapsed="false">
      <c r="A150" s="0" t="s">
        <v>621</v>
      </c>
      <c r="B150" s="0" t="s">
        <v>252</v>
      </c>
      <c r="C150" s="0" t="s">
        <v>622</v>
      </c>
      <c r="D150" s="0" t="s">
        <v>623</v>
      </c>
      <c r="E150" s="0" t="s">
        <v>131</v>
      </c>
      <c r="F150" s="0" t="s">
        <v>198</v>
      </c>
      <c r="G150" s="0" t="s">
        <v>628</v>
      </c>
      <c r="H150" s="0" t="s">
        <v>625</v>
      </c>
      <c r="I150" s="0" t="s">
        <v>626</v>
      </c>
      <c r="J150" s="0" t="s">
        <v>627</v>
      </c>
      <c r="K150" s="475" t="n">
        <v>36770</v>
      </c>
      <c r="L150" s="254" t="n">
        <v>-109959.521308211</v>
      </c>
      <c r="M150" s="475" t="n">
        <v>36768</v>
      </c>
      <c r="N150" s="0" t="s">
        <v>132</v>
      </c>
      <c r="O150" s="0" t="n">
        <v>0</v>
      </c>
      <c r="P150" s="0" t="n">
        <v>0</v>
      </c>
      <c r="Q150" s="0" t="n">
        <v>0</v>
      </c>
      <c r="R150" s="0" t="n">
        <v>0</v>
      </c>
      <c r="S150" s="0" t="n">
        <v>0</v>
      </c>
      <c r="T150" s="0" t="s">
        <v>624</v>
      </c>
      <c r="U150" s="0" t="s">
        <v>153</v>
      </c>
      <c r="V150" s="0" t="s">
        <v>624</v>
      </c>
      <c r="W150" s="0" t="s">
        <v>569</v>
      </c>
      <c r="X150" s="0" t="s">
        <v>624</v>
      </c>
      <c r="Y150" s="0" t="s">
        <v>627</v>
      </c>
      <c r="Z150" s="0" t="s">
        <v>629</v>
      </c>
      <c r="AA150" s="0" t="s">
        <v>624</v>
      </c>
      <c r="AB150" s="0" t="s">
        <v>132</v>
      </c>
      <c r="AC150" s="254" t="n">
        <v>-1000000</v>
      </c>
      <c r="AD150" s="254" t="n">
        <v>0</v>
      </c>
      <c r="AE150" s="0" t="n">
        <v>0</v>
      </c>
      <c r="AF150" s="0" t="n">
        <v>0</v>
      </c>
      <c r="AG150" s="0" t="n">
        <v>0</v>
      </c>
      <c r="AH150" s="254" t="n">
        <v>4995.40477814176</v>
      </c>
      <c r="AI150" s="0" t="n">
        <v>226</v>
      </c>
      <c r="AJ150" s="0" t="s">
        <v>630</v>
      </c>
      <c r="AK150" s="0" t="n">
        <v>0</v>
      </c>
      <c r="AL150" s="0" t="n">
        <v>0</v>
      </c>
      <c r="AM150" s="0" t="n">
        <v>0</v>
      </c>
    </row>
    <row r="151" customFormat="false" ht="12.75" hidden="false" customHeight="false" outlineLevel="0" collapsed="false">
      <c r="A151" s="0" t="s">
        <v>621</v>
      </c>
      <c r="B151" s="0" t="s">
        <v>253</v>
      </c>
      <c r="C151" s="0" t="s">
        <v>622</v>
      </c>
      <c r="D151" s="0" t="s">
        <v>623</v>
      </c>
      <c r="E151" s="0" t="s">
        <v>131</v>
      </c>
      <c r="F151" s="0" t="s">
        <v>218</v>
      </c>
      <c r="G151" s="0" t="s">
        <v>628</v>
      </c>
      <c r="H151" s="0" t="s">
        <v>625</v>
      </c>
      <c r="I151" s="0" t="s">
        <v>626</v>
      </c>
      <c r="J151" s="0" t="s">
        <v>627</v>
      </c>
      <c r="K151" s="475" t="n">
        <v>36951</v>
      </c>
      <c r="L151" s="254" t="n">
        <v>51553.3105977664</v>
      </c>
      <c r="M151" s="475" t="n">
        <v>36949</v>
      </c>
      <c r="N151" s="0" t="s">
        <v>136</v>
      </c>
      <c r="O151" s="0" t="n">
        <v>-0.27</v>
      </c>
      <c r="P151" s="0" t="n">
        <v>0</v>
      </c>
      <c r="Q151" s="0" t="n">
        <v>0</v>
      </c>
      <c r="R151" s="0" t="n">
        <v>0</v>
      </c>
      <c r="S151" s="0" t="n">
        <v>0</v>
      </c>
      <c r="T151" s="0" t="s">
        <v>624</v>
      </c>
      <c r="U151" s="0" t="s">
        <v>151</v>
      </c>
      <c r="V151" s="0" t="s">
        <v>624</v>
      </c>
      <c r="W151" s="0" t="s">
        <v>569</v>
      </c>
      <c r="X151" s="0" t="s">
        <v>624</v>
      </c>
      <c r="Y151" s="0" t="s">
        <v>627</v>
      </c>
      <c r="Z151" s="0" t="s">
        <v>629</v>
      </c>
      <c r="AA151" s="0" t="s">
        <v>624</v>
      </c>
      <c r="AB151" s="0" t="s">
        <v>132</v>
      </c>
      <c r="AC151" s="254" t="n">
        <v>310000</v>
      </c>
      <c r="AD151" s="254" t="n">
        <v>15937.3366543828</v>
      </c>
      <c r="AE151" s="0" t="n">
        <v>0</v>
      </c>
      <c r="AF151" s="0" t="n">
        <v>0</v>
      </c>
      <c r="AG151" s="0" t="n">
        <v>0</v>
      </c>
      <c r="AH151" s="254" t="n">
        <v>-4597.34568025213</v>
      </c>
      <c r="AI151" s="0" t="n">
        <v>226</v>
      </c>
      <c r="AJ151" s="0" t="s">
        <v>630</v>
      </c>
      <c r="AK151" s="0" t="n">
        <v>0</v>
      </c>
      <c r="AL151" s="0" t="n">
        <v>0</v>
      </c>
      <c r="AM151" s="0" t="n">
        <v>0</v>
      </c>
    </row>
    <row r="152" customFormat="false" ht="12.75" hidden="false" customHeight="false" outlineLevel="0" collapsed="false">
      <c r="A152" s="0" t="s">
        <v>621</v>
      </c>
      <c r="B152" s="0" t="s">
        <v>253</v>
      </c>
      <c r="C152" s="0" t="s">
        <v>622</v>
      </c>
      <c r="D152" s="0" t="s">
        <v>623</v>
      </c>
      <c r="E152" s="0" t="s">
        <v>131</v>
      </c>
      <c r="F152" s="0" t="s">
        <v>218</v>
      </c>
      <c r="G152" s="0" t="s">
        <v>628</v>
      </c>
      <c r="H152" s="0" t="s">
        <v>625</v>
      </c>
      <c r="I152" s="0" t="s">
        <v>626</v>
      </c>
      <c r="J152" s="0" t="s">
        <v>627</v>
      </c>
      <c r="K152" s="475" t="n">
        <v>36923</v>
      </c>
      <c r="L152" s="254" t="n">
        <v>53469.622275923</v>
      </c>
      <c r="M152" s="475" t="n">
        <v>36921</v>
      </c>
      <c r="N152" s="0" t="s">
        <v>136</v>
      </c>
      <c r="O152" s="0" t="n">
        <v>-0.27</v>
      </c>
      <c r="P152" s="0" t="n">
        <v>0</v>
      </c>
      <c r="Q152" s="0" t="n">
        <v>0</v>
      </c>
      <c r="R152" s="0" t="n">
        <v>0</v>
      </c>
      <c r="S152" s="0" t="n">
        <v>0</v>
      </c>
      <c r="T152" s="0" t="s">
        <v>624</v>
      </c>
      <c r="U152" s="0" t="s">
        <v>151</v>
      </c>
      <c r="V152" s="0" t="s">
        <v>624</v>
      </c>
      <c r="W152" s="0" t="s">
        <v>569</v>
      </c>
      <c r="X152" s="0" t="s">
        <v>624</v>
      </c>
      <c r="Y152" s="0" t="s">
        <v>627</v>
      </c>
      <c r="Z152" s="0" t="s">
        <v>629</v>
      </c>
      <c r="AA152" s="0" t="s">
        <v>624</v>
      </c>
      <c r="AB152" s="0" t="s">
        <v>132</v>
      </c>
      <c r="AC152" s="254" t="n">
        <v>280000</v>
      </c>
      <c r="AD152" s="254" t="n">
        <v>14954.9516124029</v>
      </c>
      <c r="AE152" s="0" t="n">
        <v>0</v>
      </c>
      <c r="AF152" s="0" t="n">
        <v>0</v>
      </c>
      <c r="AG152" s="0" t="n">
        <v>0</v>
      </c>
      <c r="AH152" s="254" t="n">
        <v>-4341.4144062943</v>
      </c>
      <c r="AI152" s="0" t="n">
        <v>226</v>
      </c>
      <c r="AJ152" s="0" t="s">
        <v>630</v>
      </c>
      <c r="AK152" s="0" t="n">
        <v>0</v>
      </c>
      <c r="AL152" s="0" t="n">
        <v>0</v>
      </c>
      <c r="AM152" s="0" t="n">
        <v>0</v>
      </c>
    </row>
    <row r="153" customFormat="false" ht="12.75" hidden="false" customHeight="false" outlineLevel="0" collapsed="false">
      <c r="A153" s="0" t="s">
        <v>621</v>
      </c>
      <c r="B153" s="0" t="s">
        <v>253</v>
      </c>
      <c r="C153" s="0" t="s">
        <v>622</v>
      </c>
      <c r="D153" s="0" t="s">
        <v>623</v>
      </c>
      <c r="E153" s="0" t="s">
        <v>131</v>
      </c>
      <c r="F153" s="0" t="s">
        <v>218</v>
      </c>
      <c r="G153" s="0" t="s">
        <v>628</v>
      </c>
      <c r="H153" s="0" t="s">
        <v>625</v>
      </c>
      <c r="I153" s="0" t="s">
        <v>626</v>
      </c>
      <c r="J153" s="0" t="s">
        <v>627</v>
      </c>
      <c r="K153" s="475" t="n">
        <v>36892</v>
      </c>
      <c r="L153" s="254" t="n">
        <v>59284.0305892131</v>
      </c>
      <c r="M153" s="475" t="n">
        <v>36888</v>
      </c>
      <c r="N153" s="0" t="s">
        <v>136</v>
      </c>
      <c r="O153" s="0" t="n">
        <v>-0.27</v>
      </c>
      <c r="P153" s="0" t="n">
        <v>0</v>
      </c>
      <c r="Q153" s="0" t="n">
        <v>0</v>
      </c>
      <c r="R153" s="0" t="n">
        <v>0</v>
      </c>
      <c r="S153" s="0" t="n">
        <v>0</v>
      </c>
      <c r="T153" s="0" t="s">
        <v>624</v>
      </c>
      <c r="U153" s="0" t="s">
        <v>151</v>
      </c>
      <c r="V153" s="0" t="s">
        <v>624</v>
      </c>
      <c r="W153" s="0" t="s">
        <v>569</v>
      </c>
      <c r="X153" s="0" t="s">
        <v>624</v>
      </c>
      <c r="Y153" s="0" t="s">
        <v>627</v>
      </c>
      <c r="Z153" s="0" t="s">
        <v>629</v>
      </c>
      <c r="AA153" s="0" t="s">
        <v>624</v>
      </c>
      <c r="AB153" s="0" t="s">
        <v>132</v>
      </c>
      <c r="AC153" s="254" t="n">
        <v>310000</v>
      </c>
      <c r="AD153" s="254" t="n">
        <v>15190.7087225643</v>
      </c>
      <c r="AE153" s="0" t="n">
        <v>0</v>
      </c>
      <c r="AF153" s="0" t="n">
        <v>0</v>
      </c>
      <c r="AG153" s="0" t="n">
        <v>0</v>
      </c>
      <c r="AH153" s="254" t="n">
        <v>-5008.64377782327</v>
      </c>
      <c r="AI153" s="0" t="n">
        <v>226</v>
      </c>
      <c r="AJ153" s="0" t="s">
        <v>630</v>
      </c>
      <c r="AK153" s="0" t="n">
        <v>0</v>
      </c>
      <c r="AL153" s="0" t="n">
        <v>0</v>
      </c>
      <c r="AM153" s="0" t="n">
        <v>0</v>
      </c>
    </row>
    <row r="154" customFormat="false" ht="12.75" hidden="false" customHeight="false" outlineLevel="0" collapsed="false">
      <c r="A154" s="0" t="s">
        <v>621</v>
      </c>
      <c r="B154" s="0" t="s">
        <v>253</v>
      </c>
      <c r="C154" s="0" t="s">
        <v>622</v>
      </c>
      <c r="D154" s="0" t="s">
        <v>623</v>
      </c>
      <c r="E154" s="0" t="s">
        <v>131</v>
      </c>
      <c r="F154" s="0" t="s">
        <v>218</v>
      </c>
      <c r="G154" s="0" t="s">
        <v>628</v>
      </c>
      <c r="H154" s="0" t="s">
        <v>625</v>
      </c>
      <c r="I154" s="0" t="s">
        <v>626</v>
      </c>
      <c r="J154" s="0" t="s">
        <v>627</v>
      </c>
      <c r="K154" s="475" t="n">
        <v>36861</v>
      </c>
      <c r="L154" s="254" t="n">
        <v>52016.8632768965</v>
      </c>
      <c r="M154" s="475" t="n">
        <v>36859</v>
      </c>
      <c r="N154" s="0" t="s">
        <v>136</v>
      </c>
      <c r="O154" s="0" t="n">
        <v>-0.27</v>
      </c>
      <c r="P154" s="0" t="n">
        <v>0</v>
      </c>
      <c r="Q154" s="0" t="n">
        <v>0</v>
      </c>
      <c r="R154" s="0" t="n">
        <v>0</v>
      </c>
      <c r="S154" s="0" t="n">
        <v>0</v>
      </c>
      <c r="T154" s="0" t="s">
        <v>624</v>
      </c>
      <c r="U154" s="0" t="s">
        <v>151</v>
      </c>
      <c r="V154" s="0" t="s">
        <v>624</v>
      </c>
      <c r="W154" s="0" t="s">
        <v>569</v>
      </c>
      <c r="X154" s="0" t="s">
        <v>624</v>
      </c>
      <c r="Y154" s="0" t="s">
        <v>627</v>
      </c>
      <c r="Z154" s="0" t="s">
        <v>629</v>
      </c>
      <c r="AA154" s="0" t="s">
        <v>624</v>
      </c>
      <c r="AB154" s="0" t="s">
        <v>132</v>
      </c>
      <c r="AC154" s="254" t="n">
        <v>310000</v>
      </c>
      <c r="AD154" s="254" t="n">
        <v>13224.5699440967</v>
      </c>
      <c r="AE154" s="0" t="n">
        <v>0</v>
      </c>
      <c r="AF154" s="0" t="n">
        <v>0</v>
      </c>
      <c r="AG154" s="0" t="n">
        <v>0</v>
      </c>
      <c r="AH154" s="254" t="n">
        <v>-5072.20502984765</v>
      </c>
      <c r="AI154" s="0" t="n">
        <v>226</v>
      </c>
      <c r="AJ154" s="0" t="s">
        <v>630</v>
      </c>
      <c r="AK154" s="0" t="n">
        <v>0</v>
      </c>
      <c r="AL154" s="0" t="n">
        <v>0</v>
      </c>
      <c r="AM154" s="0" t="n">
        <v>0</v>
      </c>
    </row>
    <row r="155" customFormat="false" ht="12.75" hidden="false" customHeight="false" outlineLevel="0" collapsed="false">
      <c r="A155" s="0" t="s">
        <v>621</v>
      </c>
      <c r="B155" s="0" t="s">
        <v>253</v>
      </c>
      <c r="C155" s="0" t="s">
        <v>622</v>
      </c>
      <c r="D155" s="0" t="s">
        <v>623</v>
      </c>
      <c r="E155" s="0" t="s">
        <v>131</v>
      </c>
      <c r="F155" s="0" t="s">
        <v>218</v>
      </c>
      <c r="G155" s="0" t="s">
        <v>628</v>
      </c>
      <c r="H155" s="0" t="s">
        <v>625</v>
      </c>
      <c r="I155" s="0" t="s">
        <v>626</v>
      </c>
      <c r="J155" s="0" t="s">
        <v>627</v>
      </c>
      <c r="K155" s="475" t="n">
        <v>36831</v>
      </c>
      <c r="L155" s="254" t="n">
        <v>26038.018439555</v>
      </c>
      <c r="M155" s="475" t="n">
        <v>36829</v>
      </c>
      <c r="N155" s="0" t="s">
        <v>136</v>
      </c>
      <c r="O155" s="0" t="n">
        <v>-0.27</v>
      </c>
      <c r="P155" s="0" t="n">
        <v>0</v>
      </c>
      <c r="Q155" s="0" t="n">
        <v>0</v>
      </c>
      <c r="R155" s="0" t="n">
        <v>0</v>
      </c>
      <c r="S155" s="0" t="n">
        <v>0</v>
      </c>
      <c r="T155" s="0" t="s">
        <v>624</v>
      </c>
      <c r="U155" s="0" t="s">
        <v>151</v>
      </c>
      <c r="V155" s="0" t="s">
        <v>624</v>
      </c>
      <c r="W155" s="0" t="s">
        <v>569</v>
      </c>
      <c r="X155" s="0" t="s">
        <v>624</v>
      </c>
      <c r="Y155" s="0" t="s">
        <v>627</v>
      </c>
      <c r="Z155" s="0" t="s">
        <v>629</v>
      </c>
      <c r="AA155" s="0" t="s">
        <v>624</v>
      </c>
      <c r="AB155" s="0" t="s">
        <v>132</v>
      </c>
      <c r="AC155" s="254" t="n">
        <v>300000</v>
      </c>
      <c r="AD155" s="254" t="n">
        <v>9537.22389840745</v>
      </c>
      <c r="AE155" s="0" t="n">
        <v>0</v>
      </c>
      <c r="AF155" s="0" t="n">
        <v>0</v>
      </c>
      <c r="AG155" s="0" t="n">
        <v>0</v>
      </c>
      <c r="AH155" s="254" t="n">
        <v>-3690.40107384926</v>
      </c>
      <c r="AI155" s="0" t="n">
        <v>226</v>
      </c>
      <c r="AJ155" s="0" t="s">
        <v>630</v>
      </c>
      <c r="AK155" s="0" t="n">
        <v>0</v>
      </c>
      <c r="AL155" s="0" t="n">
        <v>0</v>
      </c>
      <c r="AM155" s="0" t="n">
        <v>0</v>
      </c>
    </row>
    <row r="156" customFormat="false" ht="12.75" hidden="false" customHeight="false" outlineLevel="0" collapsed="false">
      <c r="A156" s="0" t="s">
        <v>621</v>
      </c>
      <c r="B156" s="0" t="s">
        <v>253</v>
      </c>
      <c r="C156" s="0" t="s">
        <v>622</v>
      </c>
      <c r="D156" s="0" t="s">
        <v>623</v>
      </c>
      <c r="E156" s="0" t="s">
        <v>131</v>
      </c>
      <c r="F156" s="0" t="s">
        <v>218</v>
      </c>
      <c r="G156" s="0" t="s">
        <v>628</v>
      </c>
      <c r="H156" s="0" t="s">
        <v>625</v>
      </c>
      <c r="I156" s="0" t="s">
        <v>626</v>
      </c>
      <c r="J156" s="0" t="s">
        <v>627</v>
      </c>
      <c r="K156" s="475" t="n">
        <v>36800</v>
      </c>
      <c r="L156" s="254" t="n">
        <v>5375.63774912892</v>
      </c>
      <c r="M156" s="475" t="n">
        <v>36797</v>
      </c>
      <c r="N156" s="0" t="s">
        <v>136</v>
      </c>
      <c r="O156" s="0" t="n">
        <v>-0.27</v>
      </c>
      <c r="P156" s="0" t="n">
        <v>0</v>
      </c>
      <c r="Q156" s="0" t="n">
        <v>0</v>
      </c>
      <c r="R156" s="0" t="n">
        <v>0</v>
      </c>
      <c r="S156" s="0" t="n">
        <v>0</v>
      </c>
      <c r="T156" s="0" t="s">
        <v>624</v>
      </c>
      <c r="U156" s="0" t="s">
        <v>151</v>
      </c>
      <c r="V156" s="0" t="s">
        <v>624</v>
      </c>
      <c r="W156" s="0" t="s">
        <v>569</v>
      </c>
      <c r="X156" s="0" t="s">
        <v>624</v>
      </c>
      <c r="Y156" s="0" t="s">
        <v>627</v>
      </c>
      <c r="Z156" s="0" t="s">
        <v>629</v>
      </c>
      <c r="AA156" s="0" t="s">
        <v>624</v>
      </c>
      <c r="AB156" s="0" t="s">
        <v>132</v>
      </c>
      <c r="AC156" s="254" t="n">
        <v>310000</v>
      </c>
      <c r="AD156" s="254" t="n">
        <v>4737.92135663131</v>
      </c>
      <c r="AE156" s="0" t="n">
        <v>0</v>
      </c>
      <c r="AF156" s="0" t="n">
        <v>0</v>
      </c>
      <c r="AG156" s="0" t="n">
        <v>0</v>
      </c>
      <c r="AH156" s="254" t="n">
        <v>-2100.38019188032</v>
      </c>
      <c r="AI156" s="0" t="n">
        <v>226</v>
      </c>
      <c r="AJ156" s="0" t="s">
        <v>630</v>
      </c>
      <c r="AK156" s="0" t="n">
        <v>0</v>
      </c>
      <c r="AL156" s="0" t="n">
        <v>0</v>
      </c>
      <c r="AM156" s="0" t="n">
        <v>0</v>
      </c>
    </row>
    <row r="157" customFormat="false" ht="12.75" hidden="false" customHeight="false" outlineLevel="0" collapsed="false">
      <c r="A157" s="0" t="s">
        <v>621</v>
      </c>
      <c r="B157" s="0" t="s">
        <v>253</v>
      </c>
      <c r="C157" s="0" t="s">
        <v>622</v>
      </c>
      <c r="D157" s="0" t="s">
        <v>623</v>
      </c>
      <c r="E157" s="0" t="s">
        <v>131</v>
      </c>
      <c r="F157" s="0" t="s">
        <v>218</v>
      </c>
      <c r="G157" s="0" t="s">
        <v>628</v>
      </c>
      <c r="H157" s="0" t="s">
        <v>625</v>
      </c>
      <c r="I157" s="0" t="s">
        <v>626</v>
      </c>
      <c r="J157" s="0" t="s">
        <v>627</v>
      </c>
      <c r="K157" s="475" t="n">
        <v>36770</v>
      </c>
      <c r="L157" s="254" t="n">
        <v>0.0381393548409825</v>
      </c>
      <c r="M157" s="475" t="n">
        <v>36768</v>
      </c>
      <c r="N157" s="0" t="s">
        <v>136</v>
      </c>
      <c r="O157" s="0" t="n">
        <v>-0.27</v>
      </c>
      <c r="P157" s="0" t="n">
        <v>0</v>
      </c>
      <c r="Q157" s="0" t="n">
        <v>0</v>
      </c>
      <c r="R157" s="0" t="n">
        <v>0</v>
      </c>
      <c r="S157" s="0" t="n">
        <v>0</v>
      </c>
      <c r="T157" s="0" t="s">
        <v>624</v>
      </c>
      <c r="U157" s="0" t="s">
        <v>151</v>
      </c>
      <c r="V157" s="0" t="s">
        <v>624</v>
      </c>
      <c r="W157" s="0" t="s">
        <v>569</v>
      </c>
      <c r="X157" s="0" t="s">
        <v>624</v>
      </c>
      <c r="Y157" s="0" t="s">
        <v>627</v>
      </c>
      <c r="Z157" s="0" t="s">
        <v>629</v>
      </c>
      <c r="AA157" s="0" t="s">
        <v>624</v>
      </c>
      <c r="AB157" s="0" t="s">
        <v>132</v>
      </c>
      <c r="AC157" s="254" t="n">
        <v>300000</v>
      </c>
      <c r="AD157" s="254" t="n">
        <v>-0.0115735649730553</v>
      </c>
      <c r="AE157" s="0" t="n">
        <v>0</v>
      </c>
      <c r="AF157" s="0" t="n">
        <v>0</v>
      </c>
      <c r="AG157" s="0" t="n">
        <v>0</v>
      </c>
      <c r="AH157" s="254" t="n">
        <v>0.00235309358664892</v>
      </c>
      <c r="AI157" s="0" t="n">
        <v>226</v>
      </c>
      <c r="AJ157" s="0" t="s">
        <v>630</v>
      </c>
      <c r="AK157" s="0" t="n">
        <v>0</v>
      </c>
      <c r="AL157" s="0" t="n">
        <v>0</v>
      </c>
      <c r="AM157" s="0" t="n">
        <v>0</v>
      </c>
    </row>
    <row r="158" customFormat="false" ht="12.75" hidden="false" customHeight="false" outlineLevel="0" collapsed="false">
      <c r="A158" s="0" t="s">
        <v>621</v>
      </c>
      <c r="B158" s="0" t="s">
        <v>254</v>
      </c>
      <c r="C158" s="0" t="s">
        <v>622</v>
      </c>
      <c r="D158" s="0" t="s">
        <v>623</v>
      </c>
      <c r="E158" s="0" t="s">
        <v>131</v>
      </c>
      <c r="F158" s="0" t="s">
        <v>198</v>
      </c>
      <c r="G158" s="0" t="s">
        <v>628</v>
      </c>
      <c r="H158" s="0" t="s">
        <v>625</v>
      </c>
      <c r="I158" s="0" t="s">
        <v>626</v>
      </c>
      <c r="J158" s="0" t="s">
        <v>627</v>
      </c>
      <c r="K158" s="475" t="n">
        <v>36951</v>
      </c>
      <c r="L158" s="254" t="n">
        <v>-476658.561538917</v>
      </c>
      <c r="M158" s="475" t="n">
        <v>36949</v>
      </c>
      <c r="N158" s="0" t="s">
        <v>136</v>
      </c>
      <c r="O158" s="0" t="n">
        <v>1.15</v>
      </c>
      <c r="P158" s="0" t="n">
        <v>0</v>
      </c>
      <c r="Q158" s="0" t="n">
        <v>0</v>
      </c>
      <c r="R158" s="0" t="n">
        <v>0</v>
      </c>
      <c r="S158" s="0" t="n">
        <v>0</v>
      </c>
      <c r="T158" s="0" t="s">
        <v>624</v>
      </c>
      <c r="U158" s="0" t="s">
        <v>149</v>
      </c>
      <c r="V158" s="0" t="s">
        <v>624</v>
      </c>
      <c r="W158" s="0" t="s">
        <v>569</v>
      </c>
      <c r="X158" s="0" t="s">
        <v>624</v>
      </c>
      <c r="Y158" s="0" t="s">
        <v>627</v>
      </c>
      <c r="Z158" s="0" t="s">
        <v>629</v>
      </c>
      <c r="AA158" s="0" t="s">
        <v>624</v>
      </c>
      <c r="AB158" s="0" t="s">
        <v>132</v>
      </c>
      <c r="AC158" s="254" t="n">
        <v>-1000000</v>
      </c>
      <c r="AD158" s="254" t="n">
        <v>-88233.8861087796</v>
      </c>
      <c r="AE158" s="0" t="n">
        <v>0</v>
      </c>
      <c r="AF158" s="0" t="n">
        <v>0</v>
      </c>
      <c r="AG158" s="0" t="n">
        <v>0</v>
      </c>
      <c r="AH158" s="254" t="n">
        <v>-34589.4882006656</v>
      </c>
      <c r="AI158" s="0" t="n">
        <v>226</v>
      </c>
      <c r="AJ158" s="0" t="s">
        <v>630</v>
      </c>
      <c r="AK158" s="0" t="n">
        <v>0</v>
      </c>
      <c r="AL158" s="0" t="n">
        <v>0</v>
      </c>
      <c r="AM158" s="0" t="n">
        <v>0</v>
      </c>
    </row>
    <row r="159" customFormat="false" ht="12.75" hidden="false" customHeight="false" outlineLevel="0" collapsed="false">
      <c r="A159" s="0" t="s">
        <v>621</v>
      </c>
      <c r="B159" s="0" t="s">
        <v>254</v>
      </c>
      <c r="C159" s="0" t="s">
        <v>622</v>
      </c>
      <c r="D159" s="0" t="s">
        <v>623</v>
      </c>
      <c r="E159" s="0" t="s">
        <v>131</v>
      </c>
      <c r="F159" s="0" t="s">
        <v>198</v>
      </c>
      <c r="G159" s="0" t="s">
        <v>628</v>
      </c>
      <c r="H159" s="0" t="s">
        <v>625</v>
      </c>
      <c r="I159" s="0" t="s">
        <v>626</v>
      </c>
      <c r="J159" s="0" t="s">
        <v>627</v>
      </c>
      <c r="K159" s="475" t="n">
        <v>36923</v>
      </c>
      <c r="L159" s="254" t="n">
        <v>-1165155.34541382</v>
      </c>
      <c r="M159" s="475" t="n">
        <v>36921</v>
      </c>
      <c r="N159" s="0" t="s">
        <v>136</v>
      </c>
      <c r="O159" s="0" t="n">
        <v>1.15</v>
      </c>
      <c r="P159" s="0" t="n">
        <v>0</v>
      </c>
      <c r="Q159" s="0" t="n">
        <v>0</v>
      </c>
      <c r="R159" s="0" t="n">
        <v>0</v>
      </c>
      <c r="S159" s="0" t="n">
        <v>0</v>
      </c>
      <c r="T159" s="0" t="s">
        <v>624</v>
      </c>
      <c r="U159" s="0" t="s">
        <v>149</v>
      </c>
      <c r="V159" s="0" t="s">
        <v>624</v>
      </c>
      <c r="W159" s="0" t="s">
        <v>569</v>
      </c>
      <c r="X159" s="0" t="s">
        <v>624</v>
      </c>
      <c r="Y159" s="0" t="s">
        <v>627</v>
      </c>
      <c r="Z159" s="0" t="s">
        <v>629</v>
      </c>
      <c r="AA159" s="0" t="s">
        <v>624</v>
      </c>
      <c r="AB159" s="0" t="s">
        <v>132</v>
      </c>
      <c r="AC159" s="254" t="n">
        <v>-1000000</v>
      </c>
      <c r="AD159" s="254" t="n">
        <v>-75189.1982920127</v>
      </c>
      <c r="AE159" s="0" t="n">
        <v>0</v>
      </c>
      <c r="AF159" s="0" t="n">
        <v>0</v>
      </c>
      <c r="AG159" s="0" t="n">
        <v>0</v>
      </c>
      <c r="AH159" s="254" t="n">
        <v>-55488.6990380562</v>
      </c>
      <c r="AI159" s="0" t="n">
        <v>226</v>
      </c>
      <c r="AJ159" s="0" t="s">
        <v>630</v>
      </c>
      <c r="AK159" s="0" t="n">
        <v>0</v>
      </c>
      <c r="AL159" s="0" t="n">
        <v>0</v>
      </c>
      <c r="AM159" s="0" t="n">
        <v>0</v>
      </c>
    </row>
    <row r="160" customFormat="false" ht="12.75" hidden="false" customHeight="false" outlineLevel="0" collapsed="false">
      <c r="A160" s="0" t="s">
        <v>621</v>
      </c>
      <c r="B160" s="0" t="s">
        <v>254</v>
      </c>
      <c r="C160" s="0" t="s">
        <v>622</v>
      </c>
      <c r="D160" s="0" t="s">
        <v>623</v>
      </c>
      <c r="E160" s="0" t="s">
        <v>131</v>
      </c>
      <c r="F160" s="0" t="s">
        <v>198</v>
      </c>
      <c r="G160" s="0" t="s">
        <v>628</v>
      </c>
      <c r="H160" s="0" t="s">
        <v>625</v>
      </c>
      <c r="I160" s="0" t="s">
        <v>626</v>
      </c>
      <c r="J160" s="0" t="s">
        <v>627</v>
      </c>
      <c r="K160" s="475" t="n">
        <v>36892</v>
      </c>
      <c r="L160" s="254" t="n">
        <v>-1205445.02796951</v>
      </c>
      <c r="M160" s="475" t="n">
        <v>36888</v>
      </c>
      <c r="N160" s="0" t="s">
        <v>136</v>
      </c>
      <c r="O160" s="0" t="n">
        <v>1.15</v>
      </c>
      <c r="P160" s="0" t="n">
        <v>0</v>
      </c>
      <c r="Q160" s="0" t="n">
        <v>0</v>
      </c>
      <c r="R160" s="0" t="n">
        <v>0</v>
      </c>
      <c r="S160" s="0" t="n">
        <v>0</v>
      </c>
      <c r="T160" s="0" t="s">
        <v>624</v>
      </c>
      <c r="U160" s="0" t="s">
        <v>149</v>
      </c>
      <c r="V160" s="0" t="s">
        <v>624</v>
      </c>
      <c r="W160" s="0" t="s">
        <v>569</v>
      </c>
      <c r="X160" s="0" t="s">
        <v>624</v>
      </c>
      <c r="Y160" s="0" t="s">
        <v>627</v>
      </c>
      <c r="Z160" s="0" t="s">
        <v>629</v>
      </c>
      <c r="AA160" s="0" t="s">
        <v>624</v>
      </c>
      <c r="AB160" s="0" t="s">
        <v>132</v>
      </c>
      <c r="AC160" s="254" t="n">
        <v>-1000000</v>
      </c>
      <c r="AD160" s="254" t="n">
        <v>-65194.0596979938</v>
      </c>
      <c r="AE160" s="0" t="n">
        <v>0</v>
      </c>
      <c r="AF160" s="0" t="n">
        <v>0</v>
      </c>
      <c r="AG160" s="0" t="n">
        <v>0</v>
      </c>
      <c r="AH160" s="254" t="n">
        <v>-49213.1357103223</v>
      </c>
      <c r="AI160" s="0" t="n">
        <v>226</v>
      </c>
      <c r="AJ160" s="0" t="s">
        <v>630</v>
      </c>
      <c r="AK160" s="0" t="n">
        <v>0</v>
      </c>
      <c r="AL160" s="0" t="n">
        <v>0</v>
      </c>
      <c r="AM160" s="0" t="n">
        <v>0</v>
      </c>
    </row>
    <row r="161" customFormat="false" ht="12.75" hidden="false" customHeight="false" outlineLevel="0" collapsed="false">
      <c r="A161" s="0" t="s">
        <v>621</v>
      </c>
      <c r="B161" s="0" t="s">
        <v>254</v>
      </c>
      <c r="C161" s="0" t="s">
        <v>622</v>
      </c>
      <c r="D161" s="0" t="s">
        <v>623</v>
      </c>
      <c r="E161" s="0" t="s">
        <v>131</v>
      </c>
      <c r="F161" s="0" t="s">
        <v>198</v>
      </c>
      <c r="G161" s="0" t="s">
        <v>628</v>
      </c>
      <c r="H161" s="0" t="s">
        <v>625</v>
      </c>
      <c r="I161" s="0" t="s">
        <v>626</v>
      </c>
      <c r="J161" s="0" t="s">
        <v>627</v>
      </c>
      <c r="K161" s="475" t="n">
        <v>36861</v>
      </c>
      <c r="L161" s="254" t="n">
        <v>-765623.773351974</v>
      </c>
      <c r="M161" s="475" t="n">
        <v>36859</v>
      </c>
      <c r="N161" s="0" t="s">
        <v>136</v>
      </c>
      <c r="O161" s="0" t="n">
        <v>1.15</v>
      </c>
      <c r="P161" s="0" t="n">
        <v>0</v>
      </c>
      <c r="Q161" s="0" t="n">
        <v>0</v>
      </c>
      <c r="R161" s="0" t="n">
        <v>0</v>
      </c>
      <c r="S161" s="0" t="n">
        <v>0</v>
      </c>
      <c r="T161" s="0" t="s">
        <v>624</v>
      </c>
      <c r="U161" s="0" t="s">
        <v>149</v>
      </c>
      <c r="V161" s="0" t="s">
        <v>624</v>
      </c>
      <c r="W161" s="0" t="s">
        <v>569</v>
      </c>
      <c r="X161" s="0" t="s">
        <v>624</v>
      </c>
      <c r="Y161" s="0" t="s">
        <v>627</v>
      </c>
      <c r="Z161" s="0" t="s">
        <v>629</v>
      </c>
      <c r="AA161" s="0" t="s">
        <v>624</v>
      </c>
      <c r="AB161" s="0" t="s">
        <v>132</v>
      </c>
      <c r="AC161" s="254" t="n">
        <v>-1000000</v>
      </c>
      <c r="AD161" s="254" t="n">
        <v>-66931.729159707</v>
      </c>
      <c r="AE161" s="0" t="n">
        <v>0</v>
      </c>
      <c r="AF161" s="0" t="n">
        <v>0</v>
      </c>
      <c r="AG161" s="0" t="n">
        <v>0</v>
      </c>
      <c r="AH161" s="254" t="n">
        <v>-33706.730995018</v>
      </c>
      <c r="AI161" s="0" t="n">
        <v>226</v>
      </c>
      <c r="AJ161" s="0" t="s">
        <v>630</v>
      </c>
      <c r="AK161" s="0" t="n">
        <v>0</v>
      </c>
      <c r="AL161" s="0" t="n">
        <v>0</v>
      </c>
      <c r="AM161" s="0" t="n">
        <v>0</v>
      </c>
    </row>
    <row r="162" customFormat="false" ht="12.75" hidden="false" customHeight="false" outlineLevel="0" collapsed="false">
      <c r="A162" s="0" t="s">
        <v>621</v>
      </c>
      <c r="B162" s="0" t="s">
        <v>254</v>
      </c>
      <c r="C162" s="0" t="s">
        <v>622</v>
      </c>
      <c r="D162" s="0" t="s">
        <v>623</v>
      </c>
      <c r="E162" s="0" t="s">
        <v>131</v>
      </c>
      <c r="F162" s="0" t="s">
        <v>198</v>
      </c>
      <c r="G162" s="0" t="s">
        <v>628</v>
      </c>
      <c r="H162" s="0" t="s">
        <v>625</v>
      </c>
      <c r="I162" s="0" t="s">
        <v>626</v>
      </c>
      <c r="J162" s="0" t="s">
        <v>627</v>
      </c>
      <c r="K162" s="475" t="n">
        <v>36831</v>
      </c>
      <c r="L162" s="254" t="n">
        <v>-127130.201454886</v>
      </c>
      <c r="M162" s="475" t="n">
        <v>36829</v>
      </c>
      <c r="N162" s="0" t="s">
        <v>136</v>
      </c>
      <c r="O162" s="0" t="n">
        <v>1.15</v>
      </c>
      <c r="P162" s="0" t="n">
        <v>0</v>
      </c>
      <c r="Q162" s="0" t="n">
        <v>0</v>
      </c>
      <c r="R162" s="0" t="n">
        <v>0</v>
      </c>
      <c r="S162" s="0" t="n">
        <v>0</v>
      </c>
      <c r="T162" s="0" t="s">
        <v>624</v>
      </c>
      <c r="U162" s="0" t="s">
        <v>149</v>
      </c>
      <c r="V162" s="0" t="s">
        <v>624</v>
      </c>
      <c r="W162" s="0" t="s">
        <v>569</v>
      </c>
      <c r="X162" s="0" t="s">
        <v>624</v>
      </c>
      <c r="Y162" s="0" t="s">
        <v>627</v>
      </c>
      <c r="Z162" s="0" t="s">
        <v>629</v>
      </c>
      <c r="AA162" s="0" t="s">
        <v>624</v>
      </c>
      <c r="AB162" s="0" t="s">
        <v>132</v>
      </c>
      <c r="AC162" s="254" t="n">
        <v>-1000000</v>
      </c>
      <c r="AD162" s="254" t="n">
        <v>-37738.691429573</v>
      </c>
      <c r="AE162" s="0" t="n">
        <v>0</v>
      </c>
      <c r="AF162" s="0" t="n">
        <v>0</v>
      </c>
      <c r="AG162" s="0" t="n">
        <v>0</v>
      </c>
      <c r="AH162" s="254" t="n">
        <v>-14155.9068374242</v>
      </c>
      <c r="AI162" s="0" t="n">
        <v>226</v>
      </c>
      <c r="AJ162" s="0" t="s">
        <v>630</v>
      </c>
      <c r="AK162" s="0" t="n">
        <v>0</v>
      </c>
      <c r="AL162" s="0" t="n">
        <v>0</v>
      </c>
      <c r="AM162" s="0" t="n">
        <v>0</v>
      </c>
    </row>
    <row r="163" customFormat="false" ht="12.75" hidden="false" customHeight="false" outlineLevel="0" collapsed="false">
      <c r="A163" s="0" t="s">
        <v>621</v>
      </c>
      <c r="B163" s="0" t="s">
        <v>256</v>
      </c>
      <c r="C163" s="0" t="s">
        <v>622</v>
      </c>
      <c r="D163" s="0" t="s">
        <v>623</v>
      </c>
      <c r="E163" s="0" t="s">
        <v>131</v>
      </c>
      <c r="F163" s="0" t="s">
        <v>255</v>
      </c>
      <c r="G163" s="0" t="s">
        <v>628</v>
      </c>
      <c r="H163" s="0" t="s">
        <v>625</v>
      </c>
      <c r="I163" s="0" t="s">
        <v>626</v>
      </c>
      <c r="J163" s="0" t="s">
        <v>627</v>
      </c>
      <c r="K163" s="475" t="n">
        <v>36800</v>
      </c>
      <c r="L163" s="254" t="n">
        <v>-105361.73399091</v>
      </c>
      <c r="M163" s="475" t="n">
        <v>36797</v>
      </c>
      <c r="N163" s="0" t="s">
        <v>136</v>
      </c>
      <c r="O163" s="0" t="n">
        <v>0.32</v>
      </c>
      <c r="P163" s="0" t="n">
        <v>0</v>
      </c>
      <c r="Q163" s="0" t="n">
        <v>0</v>
      </c>
      <c r="R163" s="0" t="n">
        <v>0</v>
      </c>
      <c r="S163" s="0" t="n">
        <v>0</v>
      </c>
      <c r="T163" s="0" t="s">
        <v>624</v>
      </c>
      <c r="U163" s="0" t="s">
        <v>149</v>
      </c>
      <c r="V163" s="0" t="s">
        <v>624</v>
      </c>
      <c r="W163" s="0" t="s">
        <v>569</v>
      </c>
      <c r="X163" s="0" t="s">
        <v>624</v>
      </c>
      <c r="Y163" s="0" t="s">
        <v>627</v>
      </c>
      <c r="Z163" s="0" t="s">
        <v>629</v>
      </c>
      <c r="AA163" s="0" t="s">
        <v>624</v>
      </c>
      <c r="AB163" s="0" t="s">
        <v>132</v>
      </c>
      <c r="AC163" s="254" t="n">
        <v>-1000000</v>
      </c>
      <c r="AD163" s="254" t="n">
        <v>-4689.37628978479</v>
      </c>
      <c r="AE163" s="0" t="n">
        <v>0</v>
      </c>
      <c r="AF163" s="0" t="n">
        <v>0</v>
      </c>
      <c r="AG163" s="0" t="n">
        <v>0</v>
      </c>
      <c r="AH163" s="254" t="n">
        <v>-270.065569860759</v>
      </c>
      <c r="AI163" s="0" t="n">
        <v>226</v>
      </c>
      <c r="AJ163" s="0" t="s">
        <v>630</v>
      </c>
      <c r="AK163" s="0" t="n">
        <v>0</v>
      </c>
      <c r="AL163" s="0" t="n">
        <v>0</v>
      </c>
      <c r="AM163" s="0" t="n">
        <v>0</v>
      </c>
    </row>
    <row r="164" customFormat="false" ht="12.75" hidden="false" customHeight="false" outlineLevel="0" collapsed="false">
      <c r="A164" s="0" t="s">
        <v>621</v>
      </c>
      <c r="B164" s="0" t="s">
        <v>256</v>
      </c>
      <c r="C164" s="0" t="s">
        <v>622</v>
      </c>
      <c r="D164" s="0" t="s">
        <v>623</v>
      </c>
      <c r="E164" s="0" t="s">
        <v>131</v>
      </c>
      <c r="F164" s="0" t="s">
        <v>255</v>
      </c>
      <c r="G164" s="0" t="s">
        <v>628</v>
      </c>
      <c r="H164" s="0" t="s">
        <v>625</v>
      </c>
      <c r="I164" s="0" t="s">
        <v>626</v>
      </c>
      <c r="J164" s="0" t="s">
        <v>627</v>
      </c>
      <c r="K164" s="475" t="n">
        <v>36770</v>
      </c>
      <c r="L164" s="254" t="n">
        <v>-5163.85491293323</v>
      </c>
      <c r="M164" s="475" t="n">
        <v>36768</v>
      </c>
      <c r="N164" s="0" t="s">
        <v>136</v>
      </c>
      <c r="O164" s="0" t="n">
        <v>0.32</v>
      </c>
      <c r="P164" s="0" t="n">
        <v>0</v>
      </c>
      <c r="Q164" s="0" t="n">
        <v>0</v>
      </c>
      <c r="R164" s="0" t="n">
        <v>0</v>
      </c>
      <c r="S164" s="0" t="n">
        <v>0</v>
      </c>
      <c r="T164" s="0" t="s">
        <v>624</v>
      </c>
      <c r="U164" s="0" t="s">
        <v>149</v>
      </c>
      <c r="V164" s="0" t="s">
        <v>624</v>
      </c>
      <c r="W164" s="0" t="s">
        <v>569</v>
      </c>
      <c r="X164" s="0" t="s">
        <v>624</v>
      </c>
      <c r="Y164" s="0" t="s">
        <v>627</v>
      </c>
      <c r="Z164" s="0" t="s">
        <v>629</v>
      </c>
      <c r="AA164" s="0" t="s">
        <v>624</v>
      </c>
      <c r="AB164" s="0" t="s">
        <v>132</v>
      </c>
      <c r="AC164" s="254" t="n">
        <v>-1000000</v>
      </c>
      <c r="AD164" s="254" t="n">
        <v>-1214.27947800339</v>
      </c>
      <c r="AE164" s="0" t="n">
        <v>0</v>
      </c>
      <c r="AF164" s="0" t="n">
        <v>0</v>
      </c>
      <c r="AG164" s="0" t="n">
        <v>0</v>
      </c>
      <c r="AH164" s="254" t="n">
        <v>-145.921691534879</v>
      </c>
      <c r="AI164" s="0" t="n">
        <v>226</v>
      </c>
      <c r="AJ164" s="0" t="s">
        <v>630</v>
      </c>
      <c r="AK164" s="0" t="n">
        <v>0</v>
      </c>
      <c r="AL164" s="0" t="n">
        <v>0</v>
      </c>
      <c r="AM164" s="0" t="n">
        <v>0</v>
      </c>
    </row>
    <row r="165" customFormat="false" ht="12.75" hidden="false" customHeight="false" outlineLevel="0" collapsed="false">
      <c r="A165" s="0" t="s">
        <v>621</v>
      </c>
      <c r="B165" s="0" t="s">
        <v>257</v>
      </c>
      <c r="C165" s="0" t="s">
        <v>622</v>
      </c>
      <c r="D165" s="0" t="s">
        <v>623</v>
      </c>
      <c r="E165" s="0" t="s">
        <v>131</v>
      </c>
      <c r="F165" s="0" t="s">
        <v>255</v>
      </c>
      <c r="G165" s="0" t="s">
        <v>628</v>
      </c>
      <c r="H165" s="0" t="s">
        <v>625</v>
      </c>
      <c r="I165" s="0" t="s">
        <v>626</v>
      </c>
      <c r="J165" s="0" t="s">
        <v>627</v>
      </c>
      <c r="K165" s="475" t="n">
        <v>36800</v>
      </c>
      <c r="L165" s="254" t="n">
        <v>-10908.8440104859</v>
      </c>
      <c r="M165" s="475" t="n">
        <v>36797</v>
      </c>
      <c r="N165" s="0" t="s">
        <v>132</v>
      </c>
      <c r="O165" s="0" t="n">
        <v>0.32</v>
      </c>
      <c r="P165" s="0" t="n">
        <v>0</v>
      </c>
      <c r="Q165" s="0" t="n">
        <v>0</v>
      </c>
      <c r="R165" s="0" t="n">
        <v>0</v>
      </c>
      <c r="S165" s="0" t="n">
        <v>0</v>
      </c>
      <c r="T165" s="0" t="s">
        <v>624</v>
      </c>
      <c r="U165" s="0" t="s">
        <v>149</v>
      </c>
      <c r="V165" s="0" t="s">
        <v>624</v>
      </c>
      <c r="W165" s="0" t="s">
        <v>569</v>
      </c>
      <c r="X165" s="0" t="s">
        <v>624</v>
      </c>
      <c r="Y165" s="0" t="s">
        <v>627</v>
      </c>
      <c r="Z165" s="0" t="s">
        <v>629</v>
      </c>
      <c r="AA165" s="0" t="s">
        <v>624</v>
      </c>
      <c r="AB165" s="0" t="s">
        <v>132</v>
      </c>
      <c r="AC165" s="254" t="n">
        <v>-1000000</v>
      </c>
      <c r="AD165" s="254" t="n">
        <v>-4689.37628978482</v>
      </c>
      <c r="AE165" s="0" t="n">
        <v>0</v>
      </c>
      <c r="AF165" s="0" t="n">
        <v>0</v>
      </c>
      <c r="AG165" s="0" t="n">
        <v>0</v>
      </c>
      <c r="AH165" s="254" t="n">
        <v>-270.065569861088</v>
      </c>
      <c r="AI165" s="0" t="n">
        <v>226</v>
      </c>
      <c r="AJ165" s="0" t="s">
        <v>630</v>
      </c>
      <c r="AK165" s="0" t="n">
        <v>0</v>
      </c>
      <c r="AL165" s="0" t="n">
        <v>0</v>
      </c>
      <c r="AM165" s="0" t="n">
        <v>0</v>
      </c>
    </row>
    <row r="166" customFormat="false" ht="12.75" hidden="false" customHeight="false" outlineLevel="0" collapsed="false">
      <c r="A166" s="0" t="s">
        <v>621</v>
      </c>
      <c r="B166" s="0" t="s">
        <v>257</v>
      </c>
      <c r="C166" s="0" t="s">
        <v>622</v>
      </c>
      <c r="D166" s="0" t="s">
        <v>623</v>
      </c>
      <c r="E166" s="0" t="s">
        <v>131</v>
      </c>
      <c r="F166" s="0" t="s">
        <v>255</v>
      </c>
      <c r="G166" s="0" t="s">
        <v>628</v>
      </c>
      <c r="H166" s="0" t="s">
        <v>625</v>
      </c>
      <c r="I166" s="0" t="s">
        <v>626</v>
      </c>
      <c r="J166" s="0" t="s">
        <v>627</v>
      </c>
      <c r="K166" s="475" t="n">
        <v>36770</v>
      </c>
      <c r="L166" s="254" t="n">
        <v>-10162.0149723969</v>
      </c>
      <c r="M166" s="475" t="n">
        <v>36768</v>
      </c>
      <c r="N166" s="0" t="s">
        <v>132</v>
      </c>
      <c r="O166" s="0" t="n">
        <v>0.32</v>
      </c>
      <c r="P166" s="0" t="n">
        <v>0</v>
      </c>
      <c r="Q166" s="0" t="n">
        <v>0</v>
      </c>
      <c r="R166" s="0" t="n">
        <v>0</v>
      </c>
      <c r="S166" s="0" t="n">
        <v>0</v>
      </c>
      <c r="T166" s="0" t="s">
        <v>624</v>
      </c>
      <c r="U166" s="0" t="s">
        <v>149</v>
      </c>
      <c r="V166" s="0" t="s">
        <v>624</v>
      </c>
      <c r="W166" s="0" t="s">
        <v>569</v>
      </c>
      <c r="X166" s="0" t="s">
        <v>624</v>
      </c>
      <c r="Y166" s="0" t="s">
        <v>627</v>
      </c>
      <c r="Z166" s="0" t="s">
        <v>629</v>
      </c>
      <c r="AA166" s="0" t="s">
        <v>624</v>
      </c>
      <c r="AB166" s="0" t="s">
        <v>132</v>
      </c>
      <c r="AC166" s="254" t="n">
        <v>-1000000</v>
      </c>
      <c r="AD166" s="254" t="n">
        <v>-1214.27947800327</v>
      </c>
      <c r="AE166" s="0" t="n">
        <v>0</v>
      </c>
      <c r="AF166" s="0" t="n">
        <v>0</v>
      </c>
      <c r="AG166" s="0" t="n">
        <v>0</v>
      </c>
      <c r="AH166" s="254" t="n">
        <v>-145.921691535379</v>
      </c>
      <c r="AI166" s="0" t="n">
        <v>226</v>
      </c>
      <c r="AJ166" s="0" t="s">
        <v>630</v>
      </c>
      <c r="AK166" s="0" t="n">
        <v>0</v>
      </c>
      <c r="AL166" s="0" t="n">
        <v>0</v>
      </c>
      <c r="AM166" s="0" t="n">
        <v>0</v>
      </c>
    </row>
    <row r="167" customFormat="false" ht="12.75" hidden="false" customHeight="false" outlineLevel="0" collapsed="false">
      <c r="A167" s="0" t="s">
        <v>621</v>
      </c>
      <c r="B167" s="0" t="s">
        <v>259</v>
      </c>
      <c r="C167" s="0" t="s">
        <v>622</v>
      </c>
      <c r="D167" s="0" t="s">
        <v>623</v>
      </c>
      <c r="E167" s="0" t="s">
        <v>131</v>
      </c>
      <c r="F167" s="0" t="s">
        <v>258</v>
      </c>
      <c r="G167" s="0" t="s">
        <v>628</v>
      </c>
      <c r="H167" s="0" t="s">
        <v>625</v>
      </c>
      <c r="I167" s="0" t="s">
        <v>626</v>
      </c>
      <c r="J167" s="0" t="s">
        <v>627</v>
      </c>
      <c r="K167" s="475" t="n">
        <v>36800</v>
      </c>
      <c r="L167" s="254" t="n">
        <v>218512.978926114</v>
      </c>
      <c r="M167" s="475" t="n">
        <v>36797</v>
      </c>
      <c r="N167" s="0" t="s">
        <v>132</v>
      </c>
      <c r="O167" s="0" t="n">
        <v>-0.4</v>
      </c>
      <c r="P167" s="0" t="n">
        <v>0</v>
      </c>
      <c r="Q167" s="0" t="n">
        <v>0</v>
      </c>
      <c r="R167" s="0" t="n">
        <v>0</v>
      </c>
      <c r="S167" s="0" t="n">
        <v>0</v>
      </c>
      <c r="T167" s="0" t="s">
        <v>624</v>
      </c>
      <c r="U167" s="0" t="s">
        <v>151</v>
      </c>
      <c r="V167" s="0" t="s">
        <v>624</v>
      </c>
      <c r="W167" s="0" t="s">
        <v>569</v>
      </c>
      <c r="X167" s="0" t="s">
        <v>624</v>
      </c>
      <c r="Y167" s="0" t="s">
        <v>627</v>
      </c>
      <c r="Z167" s="0" t="s">
        <v>629</v>
      </c>
      <c r="AA167" s="0" t="s">
        <v>624</v>
      </c>
      <c r="AB167" s="0" t="s">
        <v>132</v>
      </c>
      <c r="AC167" s="254" t="n">
        <v>500000</v>
      </c>
      <c r="AD167" s="254" t="n">
        <v>11150.9575520093</v>
      </c>
      <c r="AE167" s="0" t="n">
        <v>0</v>
      </c>
      <c r="AF167" s="0" t="n">
        <v>0</v>
      </c>
      <c r="AG167" s="0" t="n">
        <v>0</v>
      </c>
      <c r="AH167" s="254" t="n">
        <v>26590.7903027635</v>
      </c>
      <c r="AI167" s="0" t="n">
        <v>226</v>
      </c>
      <c r="AJ167" s="0" t="s">
        <v>630</v>
      </c>
      <c r="AK167" s="0" t="n">
        <v>0</v>
      </c>
      <c r="AL167" s="0" t="n">
        <v>0</v>
      </c>
      <c r="AM167" s="0" t="n">
        <v>0</v>
      </c>
    </row>
    <row r="168" customFormat="false" ht="12.75" hidden="false" customHeight="false" outlineLevel="0" collapsed="false">
      <c r="A168" s="0" t="s">
        <v>621</v>
      </c>
      <c r="B168" s="0" t="s">
        <v>259</v>
      </c>
      <c r="C168" s="0" t="s">
        <v>622</v>
      </c>
      <c r="D168" s="0" t="s">
        <v>623</v>
      </c>
      <c r="E168" s="0" t="s">
        <v>131</v>
      </c>
      <c r="F168" s="0" t="s">
        <v>258</v>
      </c>
      <c r="G168" s="0" t="s">
        <v>628</v>
      </c>
      <c r="H168" s="0" t="s">
        <v>625</v>
      </c>
      <c r="I168" s="0" t="s">
        <v>626</v>
      </c>
      <c r="J168" s="0" t="s">
        <v>627</v>
      </c>
      <c r="K168" s="475" t="n">
        <v>36770</v>
      </c>
      <c r="L168" s="254" t="n">
        <v>419845.500040697</v>
      </c>
      <c r="M168" s="475" t="n">
        <v>36768</v>
      </c>
      <c r="N168" s="0" t="s">
        <v>132</v>
      </c>
      <c r="O168" s="0" t="n">
        <v>-0.4</v>
      </c>
      <c r="P168" s="0" t="n">
        <v>0</v>
      </c>
      <c r="Q168" s="0" t="n">
        <v>0</v>
      </c>
      <c r="R168" s="0" t="n">
        <v>0</v>
      </c>
      <c r="S168" s="0" t="n">
        <v>0</v>
      </c>
      <c r="T168" s="0" t="s">
        <v>624</v>
      </c>
      <c r="U168" s="0" t="s">
        <v>151</v>
      </c>
      <c r="V168" s="0" t="s">
        <v>624</v>
      </c>
      <c r="W168" s="0" t="s">
        <v>569</v>
      </c>
      <c r="X168" s="0" t="s">
        <v>624</v>
      </c>
      <c r="Y168" s="0" t="s">
        <v>627</v>
      </c>
      <c r="Z168" s="0" t="s">
        <v>629</v>
      </c>
      <c r="AA168" s="0" t="s">
        <v>624</v>
      </c>
      <c r="AB168" s="0" t="s">
        <v>132</v>
      </c>
      <c r="AC168" s="254" t="n">
        <v>500000</v>
      </c>
      <c r="AD168" s="254" t="n">
        <v>-0.0192892741179094</v>
      </c>
      <c r="AE168" s="0" t="n">
        <v>0</v>
      </c>
      <c r="AF168" s="0" t="n">
        <v>0</v>
      </c>
      <c r="AG168" s="0" t="n">
        <v>0</v>
      </c>
      <c r="AH168" s="254" t="n">
        <v>29972.4327588226</v>
      </c>
      <c r="AI168" s="0" t="n">
        <v>226</v>
      </c>
      <c r="AJ168" s="0" t="s">
        <v>630</v>
      </c>
      <c r="AK168" s="0" t="n">
        <v>0</v>
      </c>
      <c r="AL168" s="0" t="n">
        <v>0</v>
      </c>
      <c r="AM168" s="0" t="n">
        <v>0</v>
      </c>
    </row>
    <row r="169" customFormat="false" ht="12.75" hidden="false" customHeight="false" outlineLevel="0" collapsed="false">
      <c r="A169" s="0" t="s">
        <v>621</v>
      </c>
      <c r="B169" s="0" t="s">
        <v>260</v>
      </c>
      <c r="C169" s="0" t="s">
        <v>622</v>
      </c>
      <c r="D169" s="0" t="s">
        <v>623</v>
      </c>
      <c r="E169" s="0" t="s">
        <v>131</v>
      </c>
      <c r="F169" s="0" t="s">
        <v>255</v>
      </c>
      <c r="G169" s="0" t="s">
        <v>628</v>
      </c>
      <c r="H169" s="0" t="s">
        <v>625</v>
      </c>
      <c r="I169" s="0" t="s">
        <v>626</v>
      </c>
      <c r="J169" s="0" t="s">
        <v>627</v>
      </c>
      <c r="K169" s="475" t="n">
        <v>36800</v>
      </c>
      <c r="L169" s="254" t="n">
        <v>-939571.331957599</v>
      </c>
      <c r="M169" s="475" t="n">
        <v>36797</v>
      </c>
      <c r="N169" s="0" t="s">
        <v>136</v>
      </c>
      <c r="O169" s="0" t="n">
        <v>0.1</v>
      </c>
      <c r="P169" s="0" t="n">
        <v>0</v>
      </c>
      <c r="Q169" s="0" t="n">
        <v>0</v>
      </c>
      <c r="R169" s="0" t="n">
        <v>0</v>
      </c>
      <c r="S169" s="0" t="n">
        <v>0</v>
      </c>
      <c r="T169" s="0" t="s">
        <v>624</v>
      </c>
      <c r="U169" s="0" t="s">
        <v>137</v>
      </c>
      <c r="V169" s="0" t="s">
        <v>624</v>
      </c>
      <c r="W169" s="0" t="s">
        <v>569</v>
      </c>
      <c r="X169" s="0" t="s">
        <v>624</v>
      </c>
      <c r="Y169" s="0" t="s">
        <v>627</v>
      </c>
      <c r="Z169" s="0" t="s">
        <v>629</v>
      </c>
      <c r="AA169" s="0" t="s">
        <v>624</v>
      </c>
      <c r="AB169" s="0" t="s">
        <v>132</v>
      </c>
      <c r="AC169" s="254" t="n">
        <v>-500000</v>
      </c>
      <c r="AD169" s="254" t="n">
        <v>-36.8795845604036</v>
      </c>
      <c r="AE169" s="0" t="n">
        <v>0</v>
      </c>
      <c r="AF169" s="0" t="n">
        <v>0</v>
      </c>
      <c r="AG169" s="0" t="n">
        <v>0</v>
      </c>
      <c r="AH169" s="254" t="n">
        <v>19867.9628120266</v>
      </c>
      <c r="AI169" s="0" t="n">
        <v>226</v>
      </c>
      <c r="AJ169" s="0" t="s">
        <v>630</v>
      </c>
      <c r="AK169" s="0" t="n">
        <v>0</v>
      </c>
      <c r="AL169" s="0" t="n">
        <v>0</v>
      </c>
      <c r="AM169" s="0" t="n">
        <v>0</v>
      </c>
    </row>
    <row r="170" customFormat="false" ht="12.75" hidden="false" customHeight="false" outlineLevel="0" collapsed="false">
      <c r="A170" s="0" t="s">
        <v>621</v>
      </c>
      <c r="B170" s="0" t="s">
        <v>260</v>
      </c>
      <c r="C170" s="0" t="s">
        <v>622</v>
      </c>
      <c r="D170" s="0" t="s">
        <v>623</v>
      </c>
      <c r="E170" s="0" t="s">
        <v>131</v>
      </c>
      <c r="F170" s="0" t="s">
        <v>255</v>
      </c>
      <c r="G170" s="0" t="s">
        <v>628</v>
      </c>
      <c r="H170" s="0" t="s">
        <v>625</v>
      </c>
      <c r="I170" s="0" t="s">
        <v>626</v>
      </c>
      <c r="J170" s="0" t="s">
        <v>627</v>
      </c>
      <c r="K170" s="475" t="n">
        <v>36770</v>
      </c>
      <c r="L170" s="254" t="n">
        <v>-1199558.57157534</v>
      </c>
      <c r="M170" s="475" t="n">
        <v>36768</v>
      </c>
      <c r="N170" s="0" t="s">
        <v>136</v>
      </c>
      <c r="O170" s="0" t="n">
        <v>0.1</v>
      </c>
      <c r="P170" s="0" t="n">
        <v>0</v>
      </c>
      <c r="Q170" s="0" t="n">
        <v>0</v>
      </c>
      <c r="R170" s="0" t="n">
        <v>0</v>
      </c>
      <c r="S170" s="0" t="n">
        <v>0</v>
      </c>
      <c r="T170" s="0" t="s">
        <v>624</v>
      </c>
      <c r="U170" s="0" t="s">
        <v>137</v>
      </c>
      <c r="V170" s="0" t="s">
        <v>624</v>
      </c>
      <c r="W170" s="0" t="s">
        <v>569</v>
      </c>
      <c r="X170" s="0" t="s">
        <v>624</v>
      </c>
      <c r="Y170" s="0" t="s">
        <v>627</v>
      </c>
      <c r="Z170" s="0" t="s">
        <v>629</v>
      </c>
      <c r="AA170" s="0" t="s">
        <v>624</v>
      </c>
      <c r="AB170" s="0" t="s">
        <v>132</v>
      </c>
      <c r="AC170" s="254" t="n">
        <v>-500000</v>
      </c>
      <c r="AD170" s="254" t="n">
        <v>0.0199514288688079</v>
      </c>
      <c r="AE170" s="0" t="n">
        <v>0</v>
      </c>
      <c r="AF170" s="0" t="n">
        <v>0</v>
      </c>
      <c r="AG170" s="0" t="n">
        <v>0</v>
      </c>
      <c r="AH170" s="254" t="n">
        <v>-132378.245234915</v>
      </c>
      <c r="AI170" s="0" t="n">
        <v>226</v>
      </c>
      <c r="AJ170" s="0" t="s">
        <v>630</v>
      </c>
      <c r="AK170" s="0" t="n">
        <v>0</v>
      </c>
      <c r="AL170" s="0" t="n">
        <v>0</v>
      </c>
      <c r="AM170" s="0" t="n">
        <v>0</v>
      </c>
    </row>
    <row r="171" customFormat="false" ht="12.75" hidden="false" customHeight="false" outlineLevel="0" collapsed="false">
      <c r="A171" s="0" t="s">
        <v>621</v>
      </c>
      <c r="B171" s="0" t="s">
        <v>261</v>
      </c>
      <c r="C171" s="0" t="s">
        <v>622</v>
      </c>
      <c r="D171" s="0" t="s">
        <v>623</v>
      </c>
      <c r="E171" s="0" t="s">
        <v>131</v>
      </c>
      <c r="F171" s="0" t="s">
        <v>244</v>
      </c>
      <c r="G171" s="0" t="s">
        <v>628</v>
      </c>
      <c r="H171" s="0" t="s">
        <v>625</v>
      </c>
      <c r="I171" s="0" t="s">
        <v>626</v>
      </c>
      <c r="J171" s="0" t="s">
        <v>627</v>
      </c>
      <c r="K171" s="475" t="n">
        <v>36951</v>
      </c>
      <c r="L171" s="254" t="n">
        <v>147764.154077064</v>
      </c>
      <c r="M171" s="475" t="n">
        <v>36949</v>
      </c>
      <c r="N171" s="0" t="s">
        <v>136</v>
      </c>
      <c r="O171" s="0" t="n">
        <v>1.15</v>
      </c>
      <c r="P171" s="0" t="n">
        <v>0</v>
      </c>
      <c r="Q171" s="0" t="n">
        <v>0</v>
      </c>
      <c r="R171" s="0" t="n">
        <v>0</v>
      </c>
      <c r="S171" s="0" t="n">
        <v>0</v>
      </c>
      <c r="T171" s="0" t="s">
        <v>624</v>
      </c>
      <c r="U171" s="0" t="s">
        <v>149</v>
      </c>
      <c r="V171" s="0" t="s">
        <v>624</v>
      </c>
      <c r="W171" s="0" t="s">
        <v>569</v>
      </c>
      <c r="X171" s="0" t="s">
        <v>624</v>
      </c>
      <c r="Y171" s="0" t="s">
        <v>627</v>
      </c>
      <c r="Z171" s="0" t="s">
        <v>629</v>
      </c>
      <c r="AA171" s="0" t="s">
        <v>624</v>
      </c>
      <c r="AB171" s="0" t="s">
        <v>132</v>
      </c>
      <c r="AC171" s="254" t="n">
        <v>310000</v>
      </c>
      <c r="AD171" s="254" t="n">
        <v>27352.5046937217</v>
      </c>
      <c r="AE171" s="0" t="n">
        <v>0</v>
      </c>
      <c r="AF171" s="0" t="n">
        <v>0</v>
      </c>
      <c r="AG171" s="0" t="n">
        <v>0</v>
      </c>
      <c r="AH171" s="254" t="n">
        <v>10722.7413422063</v>
      </c>
      <c r="AI171" s="0" t="n">
        <v>226</v>
      </c>
      <c r="AJ171" s="0" t="s">
        <v>630</v>
      </c>
      <c r="AK171" s="0" t="n">
        <v>0</v>
      </c>
      <c r="AL171" s="0" t="n">
        <v>0</v>
      </c>
      <c r="AM171" s="0" t="n">
        <v>0</v>
      </c>
    </row>
    <row r="172" customFormat="false" ht="12.75" hidden="false" customHeight="false" outlineLevel="0" collapsed="false">
      <c r="A172" s="0" t="s">
        <v>621</v>
      </c>
      <c r="B172" s="0" t="s">
        <v>261</v>
      </c>
      <c r="C172" s="0" t="s">
        <v>622</v>
      </c>
      <c r="D172" s="0" t="s">
        <v>623</v>
      </c>
      <c r="E172" s="0" t="s">
        <v>131</v>
      </c>
      <c r="F172" s="0" t="s">
        <v>244</v>
      </c>
      <c r="G172" s="0" t="s">
        <v>628</v>
      </c>
      <c r="H172" s="0" t="s">
        <v>625</v>
      </c>
      <c r="I172" s="0" t="s">
        <v>626</v>
      </c>
      <c r="J172" s="0" t="s">
        <v>627</v>
      </c>
      <c r="K172" s="475" t="n">
        <v>36923</v>
      </c>
      <c r="L172" s="254" t="n">
        <v>326243.496715869</v>
      </c>
      <c r="M172" s="475" t="n">
        <v>36921</v>
      </c>
      <c r="N172" s="0" t="s">
        <v>136</v>
      </c>
      <c r="O172" s="0" t="n">
        <v>1.15</v>
      </c>
      <c r="P172" s="0" t="n">
        <v>0</v>
      </c>
      <c r="Q172" s="0" t="n">
        <v>0</v>
      </c>
      <c r="R172" s="0" t="n">
        <v>0</v>
      </c>
      <c r="S172" s="0" t="n">
        <v>0</v>
      </c>
      <c r="T172" s="0" t="s">
        <v>624</v>
      </c>
      <c r="U172" s="0" t="s">
        <v>149</v>
      </c>
      <c r="V172" s="0" t="s">
        <v>624</v>
      </c>
      <c r="W172" s="0" t="s">
        <v>569</v>
      </c>
      <c r="X172" s="0" t="s">
        <v>624</v>
      </c>
      <c r="Y172" s="0" t="s">
        <v>627</v>
      </c>
      <c r="Z172" s="0" t="s">
        <v>629</v>
      </c>
      <c r="AA172" s="0" t="s">
        <v>624</v>
      </c>
      <c r="AB172" s="0" t="s">
        <v>132</v>
      </c>
      <c r="AC172" s="254" t="n">
        <v>280000</v>
      </c>
      <c r="AD172" s="254" t="n">
        <v>21052.9755217636</v>
      </c>
      <c r="AE172" s="0" t="n">
        <v>0</v>
      </c>
      <c r="AF172" s="0" t="n">
        <v>0</v>
      </c>
      <c r="AG172" s="0" t="n">
        <v>0</v>
      </c>
      <c r="AH172" s="254" t="n">
        <v>15536.8357306557</v>
      </c>
      <c r="AI172" s="0" t="n">
        <v>226</v>
      </c>
      <c r="AJ172" s="0" t="s">
        <v>630</v>
      </c>
      <c r="AK172" s="0" t="n">
        <v>0</v>
      </c>
      <c r="AL172" s="0" t="n">
        <v>0</v>
      </c>
      <c r="AM172" s="0" t="n">
        <v>0</v>
      </c>
    </row>
    <row r="173" customFormat="false" ht="12.75" hidden="false" customHeight="false" outlineLevel="0" collapsed="false">
      <c r="A173" s="0" t="s">
        <v>621</v>
      </c>
      <c r="B173" s="0" t="s">
        <v>261</v>
      </c>
      <c r="C173" s="0" t="s">
        <v>622</v>
      </c>
      <c r="D173" s="0" t="s">
        <v>623</v>
      </c>
      <c r="E173" s="0" t="s">
        <v>131</v>
      </c>
      <c r="F173" s="0" t="s">
        <v>244</v>
      </c>
      <c r="G173" s="0" t="s">
        <v>628</v>
      </c>
      <c r="H173" s="0" t="s">
        <v>625</v>
      </c>
      <c r="I173" s="0" t="s">
        <v>626</v>
      </c>
      <c r="J173" s="0" t="s">
        <v>627</v>
      </c>
      <c r="K173" s="475" t="n">
        <v>36892</v>
      </c>
      <c r="L173" s="254" t="n">
        <v>373687.958670547</v>
      </c>
      <c r="M173" s="475" t="n">
        <v>36888</v>
      </c>
      <c r="N173" s="0" t="s">
        <v>136</v>
      </c>
      <c r="O173" s="0" t="n">
        <v>1.15</v>
      </c>
      <c r="P173" s="0" t="n">
        <v>0</v>
      </c>
      <c r="Q173" s="0" t="n">
        <v>0</v>
      </c>
      <c r="R173" s="0" t="n">
        <v>0</v>
      </c>
      <c r="S173" s="0" t="n">
        <v>0</v>
      </c>
      <c r="T173" s="0" t="s">
        <v>624</v>
      </c>
      <c r="U173" s="0" t="s">
        <v>149</v>
      </c>
      <c r="V173" s="0" t="s">
        <v>624</v>
      </c>
      <c r="W173" s="0" t="s">
        <v>569</v>
      </c>
      <c r="X173" s="0" t="s">
        <v>624</v>
      </c>
      <c r="Y173" s="0" t="s">
        <v>627</v>
      </c>
      <c r="Z173" s="0" t="s">
        <v>629</v>
      </c>
      <c r="AA173" s="0" t="s">
        <v>624</v>
      </c>
      <c r="AB173" s="0" t="s">
        <v>132</v>
      </c>
      <c r="AC173" s="254" t="n">
        <v>310000</v>
      </c>
      <c r="AD173" s="254" t="n">
        <v>20210.1585063781</v>
      </c>
      <c r="AE173" s="0" t="n">
        <v>0</v>
      </c>
      <c r="AF173" s="0" t="n">
        <v>0</v>
      </c>
      <c r="AG173" s="0" t="n">
        <v>0</v>
      </c>
      <c r="AH173" s="254" t="n">
        <v>15256.0720701999</v>
      </c>
      <c r="AI173" s="0" t="n">
        <v>226</v>
      </c>
      <c r="AJ173" s="0" t="s">
        <v>630</v>
      </c>
      <c r="AK173" s="0" t="n">
        <v>0</v>
      </c>
      <c r="AL173" s="0" t="n">
        <v>0</v>
      </c>
      <c r="AM173" s="0" t="n">
        <v>0</v>
      </c>
    </row>
    <row r="174" customFormat="false" ht="12.75" hidden="false" customHeight="false" outlineLevel="0" collapsed="false">
      <c r="A174" s="0" t="s">
        <v>621</v>
      </c>
      <c r="B174" s="0" t="s">
        <v>261</v>
      </c>
      <c r="C174" s="0" t="s">
        <v>622</v>
      </c>
      <c r="D174" s="0" t="s">
        <v>623</v>
      </c>
      <c r="E174" s="0" t="s">
        <v>131</v>
      </c>
      <c r="F174" s="0" t="s">
        <v>244</v>
      </c>
      <c r="G174" s="0" t="s">
        <v>628</v>
      </c>
      <c r="H174" s="0" t="s">
        <v>625</v>
      </c>
      <c r="I174" s="0" t="s">
        <v>626</v>
      </c>
      <c r="J174" s="0" t="s">
        <v>627</v>
      </c>
      <c r="K174" s="475" t="n">
        <v>36861</v>
      </c>
      <c r="L174" s="254" t="n">
        <v>237343.369739112</v>
      </c>
      <c r="M174" s="475" t="n">
        <v>36859</v>
      </c>
      <c r="N174" s="0" t="s">
        <v>136</v>
      </c>
      <c r="O174" s="0" t="n">
        <v>1.15</v>
      </c>
      <c r="P174" s="0" t="n">
        <v>0</v>
      </c>
      <c r="Q174" s="0" t="n">
        <v>0</v>
      </c>
      <c r="R174" s="0" t="n">
        <v>0</v>
      </c>
      <c r="S174" s="0" t="n">
        <v>0</v>
      </c>
      <c r="T174" s="0" t="s">
        <v>624</v>
      </c>
      <c r="U174" s="0" t="s">
        <v>149</v>
      </c>
      <c r="V174" s="0" t="s">
        <v>624</v>
      </c>
      <c r="W174" s="0" t="s">
        <v>569</v>
      </c>
      <c r="X174" s="0" t="s">
        <v>624</v>
      </c>
      <c r="Y174" s="0" t="s">
        <v>627</v>
      </c>
      <c r="Z174" s="0" t="s">
        <v>629</v>
      </c>
      <c r="AA174" s="0" t="s">
        <v>624</v>
      </c>
      <c r="AB174" s="0" t="s">
        <v>132</v>
      </c>
      <c r="AC174" s="254" t="n">
        <v>310000</v>
      </c>
      <c r="AD174" s="254" t="n">
        <v>20748.8360395092</v>
      </c>
      <c r="AE174" s="0" t="n">
        <v>0</v>
      </c>
      <c r="AF174" s="0" t="n">
        <v>0</v>
      </c>
      <c r="AG174" s="0" t="n">
        <v>0</v>
      </c>
      <c r="AH174" s="254" t="n">
        <v>10449.0866084556</v>
      </c>
      <c r="AI174" s="0" t="n">
        <v>226</v>
      </c>
      <c r="AJ174" s="0" t="s">
        <v>630</v>
      </c>
      <c r="AK174" s="0" t="n">
        <v>0</v>
      </c>
      <c r="AL174" s="0" t="n">
        <v>0</v>
      </c>
      <c r="AM174" s="0" t="n">
        <v>0</v>
      </c>
    </row>
    <row r="175" customFormat="false" ht="12.75" hidden="false" customHeight="false" outlineLevel="0" collapsed="false">
      <c r="A175" s="0" t="s">
        <v>621</v>
      </c>
      <c r="B175" s="0" t="s">
        <v>261</v>
      </c>
      <c r="C175" s="0" t="s">
        <v>622</v>
      </c>
      <c r="D175" s="0" t="s">
        <v>623</v>
      </c>
      <c r="E175" s="0" t="s">
        <v>131</v>
      </c>
      <c r="F175" s="0" t="s">
        <v>244</v>
      </c>
      <c r="G175" s="0" t="s">
        <v>628</v>
      </c>
      <c r="H175" s="0" t="s">
        <v>625</v>
      </c>
      <c r="I175" s="0" t="s">
        <v>626</v>
      </c>
      <c r="J175" s="0" t="s">
        <v>627</v>
      </c>
      <c r="K175" s="475" t="n">
        <v>36831</v>
      </c>
      <c r="L175" s="254" t="n">
        <v>38139.0604364657</v>
      </c>
      <c r="M175" s="475" t="n">
        <v>36829</v>
      </c>
      <c r="N175" s="0" t="s">
        <v>136</v>
      </c>
      <c r="O175" s="0" t="n">
        <v>1.15</v>
      </c>
      <c r="P175" s="0" t="n">
        <v>0</v>
      </c>
      <c r="Q175" s="0" t="n">
        <v>0</v>
      </c>
      <c r="R175" s="0" t="n">
        <v>0</v>
      </c>
      <c r="S175" s="0" t="n">
        <v>0</v>
      </c>
      <c r="T175" s="0" t="s">
        <v>624</v>
      </c>
      <c r="U175" s="0" t="s">
        <v>149</v>
      </c>
      <c r="V175" s="0" t="s">
        <v>624</v>
      </c>
      <c r="W175" s="0" t="s">
        <v>569</v>
      </c>
      <c r="X175" s="0" t="s">
        <v>624</v>
      </c>
      <c r="Y175" s="0" t="s">
        <v>627</v>
      </c>
      <c r="Z175" s="0" t="s">
        <v>629</v>
      </c>
      <c r="AA175" s="0" t="s">
        <v>624</v>
      </c>
      <c r="AB175" s="0" t="s">
        <v>132</v>
      </c>
      <c r="AC175" s="254" t="n">
        <v>300000</v>
      </c>
      <c r="AD175" s="254" t="n">
        <v>11321.6074288719</v>
      </c>
      <c r="AE175" s="0" t="n">
        <v>0</v>
      </c>
      <c r="AF175" s="0" t="n">
        <v>0</v>
      </c>
      <c r="AG175" s="0" t="n">
        <v>0</v>
      </c>
      <c r="AH175" s="254" t="n">
        <v>4246.77205122726</v>
      </c>
      <c r="AI175" s="0" t="n">
        <v>226</v>
      </c>
      <c r="AJ175" s="0" t="s">
        <v>630</v>
      </c>
      <c r="AK175" s="0" t="n">
        <v>0</v>
      </c>
      <c r="AL175" s="0" t="n">
        <v>0</v>
      </c>
      <c r="AM175" s="0" t="n">
        <v>0</v>
      </c>
    </row>
    <row r="176" customFormat="false" ht="12.75" hidden="false" customHeight="false" outlineLevel="0" collapsed="false">
      <c r="A176" s="0" t="s">
        <v>621</v>
      </c>
      <c r="B176" s="0" t="s">
        <v>262</v>
      </c>
      <c r="C176" s="0" t="s">
        <v>622</v>
      </c>
      <c r="D176" s="0" t="s">
        <v>623</v>
      </c>
      <c r="E176" s="0" t="s">
        <v>131</v>
      </c>
      <c r="F176" s="0" t="s">
        <v>191</v>
      </c>
      <c r="G176" s="0" t="s">
        <v>628</v>
      </c>
      <c r="H176" s="0" t="s">
        <v>625</v>
      </c>
      <c r="I176" s="0" t="s">
        <v>626</v>
      </c>
      <c r="J176" s="0" t="s">
        <v>627</v>
      </c>
      <c r="K176" s="475" t="n">
        <v>36800</v>
      </c>
      <c r="L176" s="254" t="n">
        <v>28500.2895360974</v>
      </c>
      <c r="M176" s="475" t="n">
        <v>36797</v>
      </c>
      <c r="N176" s="0" t="s">
        <v>136</v>
      </c>
      <c r="O176" s="0" t="n">
        <v>0.3375</v>
      </c>
      <c r="P176" s="0" t="n">
        <v>0</v>
      </c>
      <c r="Q176" s="0" t="n">
        <v>0</v>
      </c>
      <c r="R176" s="0" t="n">
        <v>0</v>
      </c>
      <c r="S176" s="0" t="n">
        <v>0</v>
      </c>
      <c r="T176" s="0" t="s">
        <v>624</v>
      </c>
      <c r="U176" s="0" t="s">
        <v>149</v>
      </c>
      <c r="V176" s="0" t="s">
        <v>624</v>
      </c>
      <c r="W176" s="0" t="s">
        <v>569</v>
      </c>
      <c r="X176" s="0" t="s">
        <v>624</v>
      </c>
      <c r="Y176" s="0" t="s">
        <v>627</v>
      </c>
      <c r="Z176" s="0" t="s">
        <v>629</v>
      </c>
      <c r="AA176" s="0" t="s">
        <v>624</v>
      </c>
      <c r="AB176" s="0" t="s">
        <v>132</v>
      </c>
      <c r="AC176" s="254" t="n">
        <v>310000</v>
      </c>
      <c r="AD176" s="254" t="n">
        <v>1645.63442421946</v>
      </c>
      <c r="AE176" s="0" t="n">
        <v>0</v>
      </c>
      <c r="AF176" s="0" t="n">
        <v>0</v>
      </c>
      <c r="AG176" s="0" t="n">
        <v>0</v>
      </c>
      <c r="AH176" s="254" t="n">
        <v>94.4150841041701</v>
      </c>
      <c r="AI176" s="0" t="n">
        <v>226</v>
      </c>
      <c r="AJ176" s="0" t="s">
        <v>630</v>
      </c>
      <c r="AK176" s="0" t="n">
        <v>0</v>
      </c>
      <c r="AL176" s="0" t="n">
        <v>0</v>
      </c>
      <c r="AM176" s="0" t="n">
        <v>0</v>
      </c>
    </row>
    <row r="177" customFormat="false" ht="12.75" hidden="false" customHeight="false" outlineLevel="0" collapsed="false">
      <c r="A177" s="0" t="s">
        <v>621</v>
      </c>
      <c r="B177" s="0" t="s">
        <v>262</v>
      </c>
      <c r="C177" s="0" t="s">
        <v>622</v>
      </c>
      <c r="D177" s="0" t="s">
        <v>623</v>
      </c>
      <c r="E177" s="0" t="s">
        <v>131</v>
      </c>
      <c r="F177" s="0" t="s">
        <v>191</v>
      </c>
      <c r="G177" s="0" t="s">
        <v>628</v>
      </c>
      <c r="H177" s="0" t="s">
        <v>625</v>
      </c>
      <c r="I177" s="0" t="s">
        <v>626</v>
      </c>
      <c r="J177" s="0" t="s">
        <v>627</v>
      </c>
      <c r="K177" s="475" t="n">
        <v>36770</v>
      </c>
      <c r="L177" s="254" t="n">
        <v>313.221432800159</v>
      </c>
      <c r="M177" s="475" t="n">
        <v>36768</v>
      </c>
      <c r="N177" s="0" t="s">
        <v>136</v>
      </c>
      <c r="O177" s="0" t="n">
        <v>0.3375</v>
      </c>
      <c r="P177" s="0" t="n">
        <v>0</v>
      </c>
      <c r="Q177" s="0" t="n">
        <v>0</v>
      </c>
      <c r="R177" s="0" t="n">
        <v>0</v>
      </c>
      <c r="S177" s="0" t="n">
        <v>0</v>
      </c>
      <c r="T177" s="0" t="s">
        <v>624</v>
      </c>
      <c r="U177" s="0" t="s">
        <v>149</v>
      </c>
      <c r="V177" s="0" t="s">
        <v>624</v>
      </c>
      <c r="W177" s="0" t="s">
        <v>569</v>
      </c>
      <c r="X177" s="0" t="s">
        <v>624</v>
      </c>
      <c r="Y177" s="0" t="s">
        <v>627</v>
      </c>
      <c r="Z177" s="0" t="s">
        <v>629</v>
      </c>
      <c r="AA177" s="0" t="s">
        <v>624</v>
      </c>
      <c r="AB177" s="0" t="s">
        <v>132</v>
      </c>
      <c r="AC177" s="254" t="n">
        <v>300000</v>
      </c>
      <c r="AD177" s="254" t="n">
        <v>181.311429476758</v>
      </c>
      <c r="AE177" s="0" t="n">
        <v>0</v>
      </c>
      <c r="AF177" s="0" t="n">
        <v>0</v>
      </c>
      <c r="AG177" s="0" t="n">
        <v>0</v>
      </c>
      <c r="AH177" s="254" t="n">
        <v>36.7796861625964</v>
      </c>
      <c r="AI177" s="0" t="n">
        <v>226</v>
      </c>
      <c r="AJ177" s="0" t="s">
        <v>630</v>
      </c>
      <c r="AK177" s="0" t="n">
        <v>0</v>
      </c>
      <c r="AL177" s="0" t="n">
        <v>0</v>
      </c>
      <c r="AM177" s="0" t="n">
        <v>0</v>
      </c>
    </row>
    <row r="178" customFormat="false" ht="12.75" hidden="false" customHeight="false" outlineLevel="0" collapsed="false">
      <c r="A178" s="0" t="s">
        <v>621</v>
      </c>
      <c r="B178" s="0" t="s">
        <v>263</v>
      </c>
      <c r="C178" s="0" t="s">
        <v>622</v>
      </c>
      <c r="D178" s="0" t="s">
        <v>623</v>
      </c>
      <c r="E178" s="0" t="s">
        <v>131</v>
      </c>
      <c r="F178" s="0" t="s">
        <v>255</v>
      </c>
      <c r="G178" s="0" t="s">
        <v>628</v>
      </c>
      <c r="H178" s="0" t="s">
        <v>625</v>
      </c>
      <c r="I178" s="0" t="s">
        <v>626</v>
      </c>
      <c r="J178" s="0" t="s">
        <v>627</v>
      </c>
      <c r="K178" s="475" t="n">
        <v>36800</v>
      </c>
      <c r="L178" s="254" t="n">
        <v>-939571.331957599</v>
      </c>
      <c r="M178" s="475" t="n">
        <v>36797</v>
      </c>
      <c r="N178" s="0" t="s">
        <v>136</v>
      </c>
      <c r="O178" s="0" t="n">
        <v>0.1</v>
      </c>
      <c r="P178" s="0" t="n">
        <v>0</v>
      </c>
      <c r="Q178" s="0" t="n">
        <v>0</v>
      </c>
      <c r="R178" s="0" t="n">
        <v>0</v>
      </c>
      <c r="S178" s="0" t="n">
        <v>0</v>
      </c>
      <c r="T178" s="0" t="s">
        <v>624</v>
      </c>
      <c r="U178" s="0" t="s">
        <v>137</v>
      </c>
      <c r="V178" s="0" t="s">
        <v>624</v>
      </c>
      <c r="W178" s="0" t="s">
        <v>569</v>
      </c>
      <c r="X178" s="0" t="s">
        <v>624</v>
      </c>
      <c r="Y178" s="0" t="s">
        <v>627</v>
      </c>
      <c r="Z178" s="0" t="s">
        <v>629</v>
      </c>
      <c r="AA178" s="0" t="s">
        <v>624</v>
      </c>
      <c r="AB178" s="0" t="s">
        <v>132</v>
      </c>
      <c r="AC178" s="254" t="n">
        <v>-500000</v>
      </c>
      <c r="AD178" s="254" t="n">
        <v>-36.8795845604036</v>
      </c>
      <c r="AE178" s="0" t="n">
        <v>0</v>
      </c>
      <c r="AF178" s="0" t="n">
        <v>0</v>
      </c>
      <c r="AG178" s="0" t="n">
        <v>0</v>
      </c>
      <c r="AH178" s="254" t="n">
        <v>19867.9628120266</v>
      </c>
      <c r="AI178" s="0" t="n">
        <v>226</v>
      </c>
      <c r="AJ178" s="0" t="s">
        <v>630</v>
      </c>
      <c r="AK178" s="0" t="n">
        <v>0</v>
      </c>
      <c r="AL178" s="0" t="n">
        <v>0</v>
      </c>
      <c r="AM178" s="0" t="n">
        <v>0</v>
      </c>
    </row>
    <row r="179" customFormat="false" ht="12.75" hidden="false" customHeight="false" outlineLevel="0" collapsed="false">
      <c r="A179" s="0" t="s">
        <v>621</v>
      </c>
      <c r="B179" s="0" t="s">
        <v>263</v>
      </c>
      <c r="C179" s="0" t="s">
        <v>622</v>
      </c>
      <c r="D179" s="0" t="s">
        <v>623</v>
      </c>
      <c r="E179" s="0" t="s">
        <v>131</v>
      </c>
      <c r="F179" s="0" t="s">
        <v>255</v>
      </c>
      <c r="G179" s="0" t="s">
        <v>628</v>
      </c>
      <c r="H179" s="0" t="s">
        <v>625</v>
      </c>
      <c r="I179" s="0" t="s">
        <v>626</v>
      </c>
      <c r="J179" s="0" t="s">
        <v>627</v>
      </c>
      <c r="K179" s="475" t="n">
        <v>36770</v>
      </c>
      <c r="L179" s="254" t="n">
        <v>-1199558.57157534</v>
      </c>
      <c r="M179" s="475" t="n">
        <v>36768</v>
      </c>
      <c r="N179" s="0" t="s">
        <v>136</v>
      </c>
      <c r="O179" s="0" t="n">
        <v>0.1</v>
      </c>
      <c r="P179" s="0" t="n">
        <v>0</v>
      </c>
      <c r="Q179" s="0" t="n">
        <v>0</v>
      </c>
      <c r="R179" s="0" t="n">
        <v>0</v>
      </c>
      <c r="S179" s="0" t="n">
        <v>0</v>
      </c>
      <c r="T179" s="0" t="s">
        <v>624</v>
      </c>
      <c r="U179" s="0" t="s">
        <v>137</v>
      </c>
      <c r="V179" s="0" t="s">
        <v>624</v>
      </c>
      <c r="W179" s="0" t="s">
        <v>569</v>
      </c>
      <c r="X179" s="0" t="s">
        <v>624</v>
      </c>
      <c r="Y179" s="0" t="s">
        <v>627</v>
      </c>
      <c r="Z179" s="0" t="s">
        <v>629</v>
      </c>
      <c r="AA179" s="0" t="s">
        <v>624</v>
      </c>
      <c r="AB179" s="0" t="s">
        <v>132</v>
      </c>
      <c r="AC179" s="254" t="n">
        <v>-500000</v>
      </c>
      <c r="AD179" s="254" t="n">
        <v>0.0199514288688079</v>
      </c>
      <c r="AE179" s="0" t="n">
        <v>0</v>
      </c>
      <c r="AF179" s="0" t="n">
        <v>0</v>
      </c>
      <c r="AG179" s="0" t="n">
        <v>0</v>
      </c>
      <c r="AH179" s="254" t="n">
        <v>-132378.245234915</v>
      </c>
      <c r="AI179" s="0" t="n">
        <v>226</v>
      </c>
      <c r="AJ179" s="0" t="s">
        <v>630</v>
      </c>
      <c r="AK179" s="0" t="n">
        <v>0</v>
      </c>
      <c r="AL179" s="0" t="n">
        <v>0</v>
      </c>
      <c r="AM179" s="0" t="n">
        <v>0</v>
      </c>
    </row>
    <row r="180" customFormat="false" ht="12.75" hidden="false" customHeight="false" outlineLevel="0" collapsed="false">
      <c r="A180" s="0" t="s">
        <v>621</v>
      </c>
      <c r="B180" s="0" t="s">
        <v>265</v>
      </c>
      <c r="C180" s="0" t="s">
        <v>622</v>
      </c>
      <c r="D180" s="0" t="s">
        <v>623</v>
      </c>
      <c r="E180" s="0" t="s">
        <v>131</v>
      </c>
      <c r="F180" s="0" t="s">
        <v>264</v>
      </c>
      <c r="G180" s="0" t="s">
        <v>628</v>
      </c>
      <c r="H180" s="0" t="s">
        <v>625</v>
      </c>
      <c r="I180" s="0" t="s">
        <v>626</v>
      </c>
      <c r="J180" s="0" t="s">
        <v>627</v>
      </c>
      <c r="K180" s="475" t="n">
        <v>36800</v>
      </c>
      <c r="L180" s="254" t="n">
        <v>-599483.287113711</v>
      </c>
      <c r="M180" s="475" t="n">
        <v>36797</v>
      </c>
      <c r="N180" s="0" t="s">
        <v>136</v>
      </c>
      <c r="O180" s="0" t="n">
        <v>0.045</v>
      </c>
      <c r="P180" s="0" t="n">
        <v>0</v>
      </c>
      <c r="Q180" s="0" t="n">
        <v>0</v>
      </c>
      <c r="R180" s="0" t="n">
        <v>0</v>
      </c>
      <c r="S180" s="0" t="n">
        <v>0</v>
      </c>
      <c r="T180" s="0" t="s">
        <v>624</v>
      </c>
      <c r="U180" s="0" t="s">
        <v>137</v>
      </c>
      <c r="V180" s="0" t="s">
        <v>624</v>
      </c>
      <c r="W180" s="0" t="s">
        <v>569</v>
      </c>
      <c r="X180" s="0" t="s">
        <v>624</v>
      </c>
      <c r="Y180" s="0" t="s">
        <v>627</v>
      </c>
      <c r="Z180" s="0" t="s">
        <v>629</v>
      </c>
      <c r="AA180" s="0" t="s">
        <v>624</v>
      </c>
      <c r="AB180" s="0" t="s">
        <v>132</v>
      </c>
      <c r="AC180" s="254" t="n">
        <v>-310000</v>
      </c>
      <c r="AD180" s="254" t="n">
        <v>-16.0754946860252</v>
      </c>
      <c r="AE180" s="0" t="n">
        <v>0</v>
      </c>
      <c r="AF180" s="0" t="n">
        <v>0</v>
      </c>
      <c r="AG180" s="0" t="n">
        <v>0</v>
      </c>
      <c r="AH180" s="254" t="n">
        <v>12319.2479031901</v>
      </c>
      <c r="AI180" s="0" t="n">
        <v>226</v>
      </c>
      <c r="AJ180" s="0" t="s">
        <v>630</v>
      </c>
      <c r="AK180" s="0" t="n">
        <v>0</v>
      </c>
      <c r="AL180" s="0" t="n">
        <v>0</v>
      </c>
      <c r="AM180" s="0" t="n">
        <v>0</v>
      </c>
    </row>
    <row r="181" customFormat="false" ht="12.75" hidden="false" customHeight="false" outlineLevel="0" collapsed="false">
      <c r="A181" s="0" t="s">
        <v>621</v>
      </c>
      <c r="B181" s="0" t="s">
        <v>265</v>
      </c>
      <c r="C181" s="0" t="s">
        <v>622</v>
      </c>
      <c r="D181" s="0" t="s">
        <v>623</v>
      </c>
      <c r="E181" s="0" t="s">
        <v>131</v>
      </c>
      <c r="F181" s="0" t="s">
        <v>264</v>
      </c>
      <c r="G181" s="0" t="s">
        <v>628</v>
      </c>
      <c r="H181" s="0" t="s">
        <v>625</v>
      </c>
      <c r="I181" s="0" t="s">
        <v>626</v>
      </c>
      <c r="J181" s="0" t="s">
        <v>627</v>
      </c>
      <c r="K181" s="475" t="n">
        <v>36800</v>
      </c>
      <c r="L181" s="254" t="n">
        <v>-5.70802216166462</v>
      </c>
      <c r="M181" s="475" t="n">
        <v>36797</v>
      </c>
      <c r="N181" s="0" t="s">
        <v>132</v>
      </c>
      <c r="O181" s="0" t="n">
        <v>0.045</v>
      </c>
      <c r="P181" s="0" t="n">
        <v>0</v>
      </c>
      <c r="Q181" s="0" t="n">
        <v>0</v>
      </c>
      <c r="R181" s="0" t="n">
        <v>0</v>
      </c>
      <c r="S181" s="0" t="n">
        <v>0</v>
      </c>
      <c r="T181" s="0" t="s">
        <v>624</v>
      </c>
      <c r="U181" s="0" t="s">
        <v>137</v>
      </c>
      <c r="V181" s="0" t="s">
        <v>624</v>
      </c>
      <c r="W181" s="0" t="s">
        <v>569</v>
      </c>
      <c r="X181" s="0" t="s">
        <v>624</v>
      </c>
      <c r="Y181" s="0" t="s">
        <v>627</v>
      </c>
      <c r="Z181" s="0" t="s">
        <v>629</v>
      </c>
      <c r="AA181" s="0" t="s">
        <v>624</v>
      </c>
      <c r="AB181" s="0" t="s">
        <v>132</v>
      </c>
      <c r="AC181" s="254" t="n">
        <v>-310000</v>
      </c>
      <c r="AD181" s="254" t="n">
        <v>-16.0754946860542</v>
      </c>
      <c r="AE181" s="0" t="n">
        <v>0</v>
      </c>
      <c r="AF181" s="0" t="n">
        <v>0</v>
      </c>
      <c r="AG181" s="0" t="n">
        <v>0</v>
      </c>
      <c r="AH181" s="254" t="n">
        <v>-2.54817159083487</v>
      </c>
      <c r="AI181" s="0" t="n">
        <v>226</v>
      </c>
      <c r="AJ181" s="0" t="s">
        <v>630</v>
      </c>
      <c r="AK181" s="0" t="n">
        <v>0</v>
      </c>
      <c r="AL181" s="0" t="n">
        <v>0</v>
      </c>
      <c r="AM181" s="0" t="n">
        <v>0</v>
      </c>
    </row>
    <row r="182" customFormat="false" ht="12.75" hidden="false" customHeight="false" outlineLevel="0" collapsed="false">
      <c r="A182" s="0" t="s">
        <v>621</v>
      </c>
      <c r="B182" s="0" t="s">
        <v>265</v>
      </c>
      <c r="C182" s="0" t="s">
        <v>622</v>
      </c>
      <c r="D182" s="0" t="s">
        <v>623</v>
      </c>
      <c r="E182" s="0" t="s">
        <v>131</v>
      </c>
      <c r="F182" s="0" t="s">
        <v>264</v>
      </c>
      <c r="G182" s="0" t="s">
        <v>628</v>
      </c>
      <c r="H182" s="0" t="s">
        <v>625</v>
      </c>
      <c r="I182" s="0" t="s">
        <v>626</v>
      </c>
      <c r="J182" s="0" t="s">
        <v>627</v>
      </c>
      <c r="K182" s="475" t="n">
        <v>36770</v>
      </c>
      <c r="L182" s="254" t="n">
        <v>-736229.073304176</v>
      </c>
      <c r="M182" s="475" t="n">
        <v>36768</v>
      </c>
      <c r="N182" s="0" t="s">
        <v>136</v>
      </c>
      <c r="O182" s="0" t="n">
        <v>0.045</v>
      </c>
      <c r="P182" s="0" t="n">
        <v>0</v>
      </c>
      <c r="Q182" s="0" t="n">
        <v>0</v>
      </c>
      <c r="R182" s="0" t="n">
        <v>0</v>
      </c>
      <c r="S182" s="0" t="n">
        <v>0</v>
      </c>
      <c r="T182" s="0" t="s">
        <v>624</v>
      </c>
      <c r="U182" s="0" t="s">
        <v>137</v>
      </c>
      <c r="V182" s="0" t="s">
        <v>624</v>
      </c>
      <c r="W182" s="0" t="s">
        <v>569</v>
      </c>
      <c r="X182" s="0" t="s">
        <v>624</v>
      </c>
      <c r="Y182" s="0" t="s">
        <v>627</v>
      </c>
      <c r="Z182" s="0" t="s">
        <v>629</v>
      </c>
      <c r="AA182" s="0" t="s">
        <v>624</v>
      </c>
      <c r="AB182" s="0" t="s">
        <v>132</v>
      </c>
      <c r="AC182" s="254" t="n">
        <v>-300000</v>
      </c>
      <c r="AD182" s="254" t="n">
        <v>0.0119708575657569</v>
      </c>
      <c r="AE182" s="0" t="n">
        <v>0</v>
      </c>
      <c r="AF182" s="0" t="n">
        <v>0</v>
      </c>
      <c r="AG182" s="0" t="n">
        <v>0</v>
      </c>
      <c r="AH182" s="254" t="n">
        <v>-79426.9471409485</v>
      </c>
      <c r="AI182" s="0" t="n">
        <v>226</v>
      </c>
      <c r="AJ182" s="0" t="s">
        <v>630</v>
      </c>
      <c r="AK182" s="0" t="n">
        <v>0</v>
      </c>
      <c r="AL182" s="0" t="n">
        <v>0</v>
      </c>
      <c r="AM182" s="0" t="n">
        <v>0</v>
      </c>
    </row>
    <row r="183" customFormat="false" ht="12.75" hidden="false" customHeight="false" outlineLevel="0" collapsed="false">
      <c r="A183" s="0" t="s">
        <v>621</v>
      </c>
      <c r="B183" s="0" t="s">
        <v>265</v>
      </c>
      <c r="C183" s="0" t="s">
        <v>622</v>
      </c>
      <c r="D183" s="0" t="s">
        <v>623</v>
      </c>
      <c r="E183" s="0" t="s">
        <v>131</v>
      </c>
      <c r="F183" s="0" t="s">
        <v>264</v>
      </c>
      <c r="G183" s="0" t="s">
        <v>628</v>
      </c>
      <c r="H183" s="0" t="s">
        <v>625</v>
      </c>
      <c r="I183" s="0" t="s">
        <v>626</v>
      </c>
      <c r="J183" s="0" t="s">
        <v>627</v>
      </c>
      <c r="K183" s="475" t="n">
        <v>36770</v>
      </c>
      <c r="L183" s="254" t="n">
        <v>-0.0965451120528427</v>
      </c>
      <c r="M183" s="475" t="n">
        <v>36768</v>
      </c>
      <c r="N183" s="0" t="s">
        <v>132</v>
      </c>
      <c r="O183" s="0" t="n">
        <v>0.045</v>
      </c>
      <c r="P183" s="0" t="n">
        <v>0</v>
      </c>
      <c r="Q183" s="0" t="n">
        <v>0</v>
      </c>
      <c r="R183" s="0" t="n">
        <v>0</v>
      </c>
      <c r="S183" s="0" t="n">
        <v>0</v>
      </c>
      <c r="T183" s="0" t="s">
        <v>624</v>
      </c>
      <c r="U183" s="0" t="s">
        <v>137</v>
      </c>
      <c r="V183" s="0" t="s">
        <v>624</v>
      </c>
      <c r="W183" s="0" t="s">
        <v>569</v>
      </c>
      <c r="X183" s="0" t="s">
        <v>624</v>
      </c>
      <c r="Y183" s="0" t="s">
        <v>627</v>
      </c>
      <c r="Z183" s="0" t="s">
        <v>629</v>
      </c>
      <c r="AA183" s="0" t="s">
        <v>624</v>
      </c>
      <c r="AB183" s="0" t="s">
        <v>132</v>
      </c>
      <c r="AC183" s="254" t="n">
        <v>-300000</v>
      </c>
      <c r="AD183" s="254" t="n">
        <v>0.0119708576051814</v>
      </c>
      <c r="AE183" s="0" t="n">
        <v>0</v>
      </c>
      <c r="AF183" s="0" t="n">
        <v>0</v>
      </c>
      <c r="AG183" s="0" t="n">
        <v>0</v>
      </c>
      <c r="AH183" s="254" t="n">
        <v>-0.0103990339006543</v>
      </c>
      <c r="AI183" s="0" t="n">
        <v>226</v>
      </c>
      <c r="AJ183" s="0" t="s">
        <v>630</v>
      </c>
      <c r="AK183" s="0" t="n">
        <v>0</v>
      </c>
      <c r="AL183" s="0" t="n">
        <v>0</v>
      </c>
      <c r="AM183" s="0" t="n">
        <v>0</v>
      </c>
    </row>
    <row r="184" customFormat="false" ht="12.75" hidden="false" customHeight="false" outlineLevel="0" collapsed="false">
      <c r="A184" s="0" t="s">
        <v>621</v>
      </c>
      <c r="B184" s="0" t="s">
        <v>266</v>
      </c>
      <c r="C184" s="0" t="s">
        <v>622</v>
      </c>
      <c r="D184" s="0" t="s">
        <v>623</v>
      </c>
      <c r="E184" s="0" t="s">
        <v>131</v>
      </c>
      <c r="F184" s="0" t="s">
        <v>210</v>
      </c>
      <c r="G184" s="0" t="s">
        <v>628</v>
      </c>
      <c r="H184" s="0" t="s">
        <v>625</v>
      </c>
      <c r="I184" s="0" t="s">
        <v>626</v>
      </c>
      <c r="J184" s="0" t="s">
        <v>627</v>
      </c>
      <c r="K184" s="475" t="n">
        <v>36951</v>
      </c>
      <c r="L184" s="254" t="n">
        <v>237473.556823992</v>
      </c>
      <c r="M184" s="475" t="n">
        <v>36949</v>
      </c>
      <c r="N184" s="0" t="s">
        <v>136</v>
      </c>
      <c r="O184" s="0" t="n">
        <v>2</v>
      </c>
      <c r="P184" s="0" t="n">
        <v>0</v>
      </c>
      <c r="Q184" s="0" t="n">
        <v>0</v>
      </c>
      <c r="R184" s="0" t="n">
        <v>0</v>
      </c>
      <c r="S184" s="0" t="n">
        <v>0</v>
      </c>
      <c r="T184" s="0" t="s">
        <v>624</v>
      </c>
      <c r="U184" s="0" t="s">
        <v>149</v>
      </c>
      <c r="V184" s="0" t="s">
        <v>624</v>
      </c>
      <c r="W184" s="0" t="s">
        <v>569</v>
      </c>
      <c r="X184" s="0" t="s">
        <v>624</v>
      </c>
      <c r="Y184" s="0" t="s">
        <v>627</v>
      </c>
      <c r="Z184" s="0" t="s">
        <v>629</v>
      </c>
      <c r="AA184" s="0" t="s">
        <v>624</v>
      </c>
      <c r="AB184" s="0" t="s">
        <v>132</v>
      </c>
      <c r="AC184" s="254" t="n">
        <v>1000000</v>
      </c>
      <c r="AD184" s="254" t="n">
        <v>70922.7754364059</v>
      </c>
      <c r="AE184" s="0" t="n">
        <v>0</v>
      </c>
      <c r="AF184" s="0" t="n">
        <v>0</v>
      </c>
      <c r="AG184" s="0" t="n">
        <v>0</v>
      </c>
      <c r="AH184" s="254" t="n">
        <v>21432.6769767451</v>
      </c>
      <c r="AI184" s="0" t="n">
        <v>226</v>
      </c>
      <c r="AJ184" s="0" t="s">
        <v>630</v>
      </c>
      <c r="AK184" s="0" t="n">
        <v>0</v>
      </c>
      <c r="AL184" s="0" t="n">
        <v>0</v>
      </c>
      <c r="AM184" s="0" t="n">
        <v>0</v>
      </c>
    </row>
    <row r="185" customFormat="false" ht="12.75" hidden="false" customHeight="false" outlineLevel="0" collapsed="false">
      <c r="A185" s="0" t="s">
        <v>621</v>
      </c>
      <c r="B185" s="0" t="s">
        <v>266</v>
      </c>
      <c r="C185" s="0" t="s">
        <v>622</v>
      </c>
      <c r="D185" s="0" t="s">
        <v>623</v>
      </c>
      <c r="E185" s="0" t="s">
        <v>131</v>
      </c>
      <c r="F185" s="0" t="s">
        <v>210</v>
      </c>
      <c r="G185" s="0" t="s">
        <v>628</v>
      </c>
      <c r="H185" s="0" t="s">
        <v>625</v>
      </c>
      <c r="I185" s="0" t="s">
        <v>626</v>
      </c>
      <c r="J185" s="0" t="s">
        <v>627</v>
      </c>
      <c r="K185" s="475" t="n">
        <v>36923</v>
      </c>
      <c r="L185" s="254" t="n">
        <v>719788.605198734</v>
      </c>
      <c r="M185" s="475" t="n">
        <v>36921</v>
      </c>
      <c r="N185" s="0" t="s">
        <v>136</v>
      </c>
      <c r="O185" s="0" t="n">
        <v>2</v>
      </c>
      <c r="P185" s="0" t="n">
        <v>0</v>
      </c>
      <c r="Q185" s="0" t="n">
        <v>0</v>
      </c>
      <c r="R185" s="0" t="n">
        <v>0</v>
      </c>
      <c r="S185" s="0" t="n">
        <v>0</v>
      </c>
      <c r="T185" s="0" t="s">
        <v>624</v>
      </c>
      <c r="U185" s="0" t="s">
        <v>149</v>
      </c>
      <c r="V185" s="0" t="s">
        <v>624</v>
      </c>
      <c r="W185" s="0" t="s">
        <v>569</v>
      </c>
      <c r="X185" s="0" t="s">
        <v>624</v>
      </c>
      <c r="Y185" s="0" t="s">
        <v>627</v>
      </c>
      <c r="Z185" s="0" t="s">
        <v>629</v>
      </c>
      <c r="AA185" s="0" t="s">
        <v>624</v>
      </c>
      <c r="AB185" s="0" t="s">
        <v>132</v>
      </c>
      <c r="AC185" s="254" t="n">
        <v>1000000</v>
      </c>
      <c r="AD185" s="254" t="n">
        <v>86005.9370395042</v>
      </c>
      <c r="AE185" s="0" t="n">
        <v>0</v>
      </c>
      <c r="AF185" s="0" t="n">
        <v>0</v>
      </c>
      <c r="AG185" s="0" t="n">
        <v>0</v>
      </c>
      <c r="AH185" s="254" t="n">
        <v>42824.7581526882</v>
      </c>
      <c r="AI185" s="0" t="n">
        <v>226</v>
      </c>
      <c r="AJ185" s="0" t="s">
        <v>630</v>
      </c>
      <c r="AK185" s="0" t="n">
        <v>0</v>
      </c>
      <c r="AL185" s="0" t="n">
        <v>0</v>
      </c>
      <c r="AM185" s="0" t="n">
        <v>0</v>
      </c>
    </row>
    <row r="186" customFormat="false" ht="12.75" hidden="false" customHeight="false" outlineLevel="0" collapsed="false">
      <c r="A186" s="0" t="s">
        <v>621</v>
      </c>
      <c r="B186" s="0" t="s">
        <v>266</v>
      </c>
      <c r="C186" s="0" t="s">
        <v>622</v>
      </c>
      <c r="D186" s="0" t="s">
        <v>623</v>
      </c>
      <c r="E186" s="0" t="s">
        <v>131</v>
      </c>
      <c r="F186" s="0" t="s">
        <v>210</v>
      </c>
      <c r="G186" s="0" t="s">
        <v>628</v>
      </c>
      <c r="H186" s="0" t="s">
        <v>625</v>
      </c>
      <c r="I186" s="0" t="s">
        <v>626</v>
      </c>
      <c r="J186" s="0" t="s">
        <v>627</v>
      </c>
      <c r="K186" s="475" t="n">
        <v>36892</v>
      </c>
      <c r="L186" s="254" t="n">
        <v>727744.617813771</v>
      </c>
      <c r="M186" s="475" t="n">
        <v>36888</v>
      </c>
      <c r="N186" s="0" t="s">
        <v>136</v>
      </c>
      <c r="O186" s="0" t="n">
        <v>2</v>
      </c>
      <c r="P186" s="0" t="n">
        <v>0</v>
      </c>
      <c r="Q186" s="0" t="n">
        <v>0</v>
      </c>
      <c r="R186" s="0" t="n">
        <v>0</v>
      </c>
      <c r="S186" s="0" t="n">
        <v>0</v>
      </c>
      <c r="T186" s="0" t="s">
        <v>624</v>
      </c>
      <c r="U186" s="0" t="s">
        <v>149</v>
      </c>
      <c r="V186" s="0" t="s">
        <v>624</v>
      </c>
      <c r="W186" s="0" t="s">
        <v>569</v>
      </c>
      <c r="X186" s="0" t="s">
        <v>624</v>
      </c>
      <c r="Y186" s="0" t="s">
        <v>627</v>
      </c>
      <c r="Z186" s="0" t="s">
        <v>629</v>
      </c>
      <c r="AA186" s="0" t="s">
        <v>624</v>
      </c>
      <c r="AB186" s="0" t="s">
        <v>132</v>
      </c>
      <c r="AC186" s="254" t="n">
        <v>1000000</v>
      </c>
      <c r="AD186" s="254" t="n">
        <v>78586.0264372409</v>
      </c>
      <c r="AE186" s="0" t="n">
        <v>0</v>
      </c>
      <c r="AF186" s="0" t="n">
        <v>0</v>
      </c>
      <c r="AG186" s="0" t="n">
        <v>0</v>
      </c>
      <c r="AH186" s="254" t="n">
        <v>38049.7122923492</v>
      </c>
      <c r="AI186" s="0" t="n">
        <v>226</v>
      </c>
      <c r="AJ186" s="0" t="s">
        <v>630</v>
      </c>
      <c r="AK186" s="0" t="n">
        <v>0</v>
      </c>
      <c r="AL186" s="0" t="n">
        <v>0</v>
      </c>
      <c r="AM186" s="0" t="n">
        <v>0</v>
      </c>
    </row>
    <row r="187" customFormat="false" ht="12.75" hidden="false" customHeight="false" outlineLevel="0" collapsed="false">
      <c r="A187" s="0" t="s">
        <v>621</v>
      </c>
      <c r="B187" s="0" t="s">
        <v>266</v>
      </c>
      <c r="C187" s="0" t="s">
        <v>622</v>
      </c>
      <c r="D187" s="0" t="s">
        <v>623</v>
      </c>
      <c r="E187" s="0" t="s">
        <v>131</v>
      </c>
      <c r="F187" s="0" t="s">
        <v>210</v>
      </c>
      <c r="G187" s="0" t="s">
        <v>628</v>
      </c>
      <c r="H187" s="0" t="s">
        <v>625</v>
      </c>
      <c r="I187" s="0" t="s">
        <v>626</v>
      </c>
      <c r="J187" s="0" t="s">
        <v>627</v>
      </c>
      <c r="K187" s="475" t="n">
        <v>36861</v>
      </c>
      <c r="L187" s="254" t="n">
        <v>382740.66010562</v>
      </c>
      <c r="M187" s="475" t="n">
        <v>36859</v>
      </c>
      <c r="N187" s="0" t="s">
        <v>136</v>
      </c>
      <c r="O187" s="0" t="n">
        <v>2</v>
      </c>
      <c r="P187" s="0" t="n">
        <v>0</v>
      </c>
      <c r="Q187" s="0" t="n">
        <v>0</v>
      </c>
      <c r="R187" s="0" t="n">
        <v>0</v>
      </c>
      <c r="S187" s="0" t="n">
        <v>0</v>
      </c>
      <c r="T187" s="0" t="s">
        <v>624</v>
      </c>
      <c r="U187" s="0" t="s">
        <v>149</v>
      </c>
      <c r="V187" s="0" t="s">
        <v>624</v>
      </c>
      <c r="W187" s="0" t="s">
        <v>569</v>
      </c>
      <c r="X187" s="0" t="s">
        <v>624</v>
      </c>
      <c r="Y187" s="0" t="s">
        <v>627</v>
      </c>
      <c r="Z187" s="0" t="s">
        <v>629</v>
      </c>
      <c r="AA187" s="0" t="s">
        <v>624</v>
      </c>
      <c r="AB187" s="0" t="s">
        <v>132</v>
      </c>
      <c r="AC187" s="254" t="n">
        <v>1000000</v>
      </c>
      <c r="AD187" s="254" t="n">
        <v>67471.8688627148</v>
      </c>
      <c r="AE187" s="0" t="n">
        <v>0</v>
      </c>
      <c r="AF187" s="0" t="n">
        <v>0</v>
      </c>
      <c r="AG187" s="0" t="n">
        <v>0</v>
      </c>
      <c r="AH187" s="254" t="n">
        <v>22623.1556991881</v>
      </c>
      <c r="AI187" s="0" t="n">
        <v>226</v>
      </c>
      <c r="AJ187" s="0" t="s">
        <v>630</v>
      </c>
      <c r="AK187" s="0" t="n">
        <v>0</v>
      </c>
      <c r="AL187" s="0" t="n">
        <v>0</v>
      </c>
      <c r="AM187" s="0" t="n">
        <v>0</v>
      </c>
    </row>
    <row r="188" customFormat="false" ht="12.75" hidden="false" customHeight="false" outlineLevel="0" collapsed="false">
      <c r="A188" s="0" t="s">
        <v>621</v>
      </c>
      <c r="B188" s="0" t="s">
        <v>266</v>
      </c>
      <c r="C188" s="0" t="s">
        <v>622</v>
      </c>
      <c r="D188" s="0" t="s">
        <v>623</v>
      </c>
      <c r="E188" s="0" t="s">
        <v>131</v>
      </c>
      <c r="F188" s="0" t="s">
        <v>210</v>
      </c>
      <c r="G188" s="0" t="s">
        <v>628</v>
      </c>
      <c r="H188" s="0" t="s">
        <v>625</v>
      </c>
      <c r="I188" s="0" t="s">
        <v>626</v>
      </c>
      <c r="J188" s="0" t="s">
        <v>627</v>
      </c>
      <c r="K188" s="475" t="n">
        <v>36831</v>
      </c>
      <c r="L188" s="254" t="n">
        <v>20335.2360253772</v>
      </c>
      <c r="M188" s="475" t="n">
        <v>36829</v>
      </c>
      <c r="N188" s="0" t="s">
        <v>136</v>
      </c>
      <c r="O188" s="0" t="n">
        <v>2</v>
      </c>
      <c r="P188" s="0" t="n">
        <v>0</v>
      </c>
      <c r="Q188" s="0" t="n">
        <v>0</v>
      </c>
      <c r="R188" s="0" t="n">
        <v>0</v>
      </c>
      <c r="S188" s="0" t="n">
        <v>0</v>
      </c>
      <c r="T188" s="0" t="s">
        <v>624</v>
      </c>
      <c r="U188" s="0" t="s">
        <v>149</v>
      </c>
      <c r="V188" s="0" t="s">
        <v>624</v>
      </c>
      <c r="W188" s="0" t="s">
        <v>569</v>
      </c>
      <c r="X188" s="0" t="s">
        <v>624</v>
      </c>
      <c r="Y188" s="0" t="s">
        <v>627</v>
      </c>
      <c r="Z188" s="0" t="s">
        <v>629</v>
      </c>
      <c r="AA188" s="0" t="s">
        <v>624</v>
      </c>
      <c r="AB188" s="0" t="s">
        <v>132</v>
      </c>
      <c r="AC188" s="254" t="n">
        <v>1000000</v>
      </c>
      <c r="AD188" s="254" t="n">
        <v>12601.9488466961</v>
      </c>
      <c r="AE188" s="0" t="n">
        <v>0</v>
      </c>
      <c r="AF188" s="0" t="n">
        <v>0</v>
      </c>
      <c r="AG188" s="0" t="n">
        <v>0</v>
      </c>
      <c r="AH188" s="254" t="n">
        <v>3372.00752590267</v>
      </c>
      <c r="AI188" s="0" t="n">
        <v>226</v>
      </c>
      <c r="AJ188" s="0" t="s">
        <v>630</v>
      </c>
      <c r="AK188" s="0" t="n">
        <v>0</v>
      </c>
      <c r="AL188" s="0" t="n">
        <v>0</v>
      </c>
      <c r="AM188" s="0" t="n">
        <v>0</v>
      </c>
    </row>
    <row r="189" customFormat="false" ht="12.75" hidden="false" customHeight="false" outlineLevel="0" collapsed="false">
      <c r="A189" s="0" t="s">
        <v>621</v>
      </c>
      <c r="B189" s="0" t="s">
        <v>267</v>
      </c>
      <c r="C189" s="0" t="s">
        <v>622</v>
      </c>
      <c r="D189" s="0" t="s">
        <v>623</v>
      </c>
      <c r="E189" s="0" t="s">
        <v>131</v>
      </c>
      <c r="F189" s="0" t="s">
        <v>244</v>
      </c>
      <c r="G189" s="0" t="s">
        <v>628</v>
      </c>
      <c r="H189" s="0" t="s">
        <v>625</v>
      </c>
      <c r="I189" s="0" t="s">
        <v>626</v>
      </c>
      <c r="J189" s="0" t="s">
        <v>627</v>
      </c>
      <c r="K189" s="475" t="n">
        <v>36800</v>
      </c>
      <c r="L189" s="254" t="n">
        <v>27929.2757638274</v>
      </c>
      <c r="M189" s="475" t="n">
        <v>36797</v>
      </c>
      <c r="N189" s="0" t="s">
        <v>136</v>
      </c>
      <c r="O189" s="0" t="n">
        <v>0.34</v>
      </c>
      <c r="P189" s="0" t="n">
        <v>0</v>
      </c>
      <c r="Q189" s="0" t="n">
        <v>0</v>
      </c>
      <c r="R189" s="0" t="n">
        <v>0</v>
      </c>
      <c r="S189" s="0" t="n">
        <v>0</v>
      </c>
      <c r="T189" s="0" t="s">
        <v>624</v>
      </c>
      <c r="U189" s="0" t="s">
        <v>149</v>
      </c>
      <c r="V189" s="0" t="s">
        <v>624</v>
      </c>
      <c r="W189" s="0" t="s">
        <v>569</v>
      </c>
      <c r="X189" s="0" t="s">
        <v>624</v>
      </c>
      <c r="Y189" s="0" t="s">
        <v>627</v>
      </c>
      <c r="Z189" s="0" t="s">
        <v>629</v>
      </c>
      <c r="AA189" s="0" t="s">
        <v>624</v>
      </c>
      <c r="AB189" s="0" t="s">
        <v>132</v>
      </c>
      <c r="AC189" s="254" t="n">
        <v>310000</v>
      </c>
      <c r="AD189" s="254" t="n">
        <v>1670.85156821963</v>
      </c>
      <c r="AE189" s="0" t="n">
        <v>0</v>
      </c>
      <c r="AF189" s="0" t="n">
        <v>0</v>
      </c>
      <c r="AG189" s="0" t="n">
        <v>0</v>
      </c>
      <c r="AH189" s="254" t="n">
        <v>95.8165618004896</v>
      </c>
      <c r="AI189" s="0" t="n">
        <v>226</v>
      </c>
      <c r="AJ189" s="0" t="s">
        <v>630</v>
      </c>
      <c r="AK189" s="0" t="n">
        <v>0</v>
      </c>
      <c r="AL189" s="0" t="n">
        <v>0</v>
      </c>
      <c r="AM189" s="0" t="n">
        <v>0</v>
      </c>
    </row>
    <row r="190" customFormat="false" ht="12.75" hidden="false" customHeight="false" outlineLevel="0" collapsed="false">
      <c r="A190" s="0" t="s">
        <v>621</v>
      </c>
      <c r="B190" s="0" t="s">
        <v>267</v>
      </c>
      <c r="C190" s="0" t="s">
        <v>622</v>
      </c>
      <c r="D190" s="0" t="s">
        <v>623</v>
      </c>
      <c r="E190" s="0" t="s">
        <v>131</v>
      </c>
      <c r="F190" s="0" t="s">
        <v>244</v>
      </c>
      <c r="G190" s="0" t="s">
        <v>628</v>
      </c>
      <c r="H190" s="0" t="s">
        <v>625</v>
      </c>
      <c r="I190" s="0" t="s">
        <v>626</v>
      </c>
      <c r="J190" s="0" t="s">
        <v>627</v>
      </c>
      <c r="K190" s="475" t="n">
        <v>36770</v>
      </c>
      <c r="L190" s="254" t="n">
        <v>237.686014445738</v>
      </c>
      <c r="M190" s="475" t="n">
        <v>36768</v>
      </c>
      <c r="N190" s="0" t="s">
        <v>136</v>
      </c>
      <c r="O190" s="0" t="n">
        <v>0.34</v>
      </c>
      <c r="P190" s="0" t="n">
        <v>0</v>
      </c>
      <c r="Q190" s="0" t="n">
        <v>0</v>
      </c>
      <c r="R190" s="0" t="n">
        <v>0</v>
      </c>
      <c r="S190" s="0" t="n">
        <v>0</v>
      </c>
      <c r="T190" s="0" t="s">
        <v>624</v>
      </c>
      <c r="U190" s="0" t="s">
        <v>149</v>
      </c>
      <c r="V190" s="0" t="s">
        <v>624</v>
      </c>
      <c r="W190" s="0" t="s">
        <v>569</v>
      </c>
      <c r="X190" s="0" t="s">
        <v>624</v>
      </c>
      <c r="Y190" s="0" t="s">
        <v>627</v>
      </c>
      <c r="Z190" s="0" t="s">
        <v>629</v>
      </c>
      <c r="AA190" s="0" t="s">
        <v>624</v>
      </c>
      <c r="AB190" s="0" t="s">
        <v>132</v>
      </c>
      <c r="AC190" s="254" t="n">
        <v>300000</v>
      </c>
      <c r="AD190" s="254" t="n">
        <v>153.145011662768</v>
      </c>
      <c r="AE190" s="0" t="n">
        <v>0</v>
      </c>
      <c r="AF190" s="0" t="n">
        <v>0</v>
      </c>
      <c r="AG190" s="0" t="n">
        <v>0</v>
      </c>
      <c r="AH190" s="254" t="n">
        <v>35.2924776679354</v>
      </c>
      <c r="AI190" s="0" t="n">
        <v>226</v>
      </c>
      <c r="AJ190" s="0" t="s">
        <v>630</v>
      </c>
      <c r="AK190" s="0" t="n">
        <v>0</v>
      </c>
      <c r="AL190" s="0" t="n">
        <v>0</v>
      </c>
      <c r="AM190" s="0" t="n">
        <v>0</v>
      </c>
    </row>
    <row r="191" customFormat="false" ht="12.75" hidden="false" customHeight="false" outlineLevel="0" collapsed="false">
      <c r="A191" s="0" t="s">
        <v>621</v>
      </c>
      <c r="B191" s="0" t="s">
        <v>268</v>
      </c>
      <c r="C191" s="0" t="s">
        <v>622</v>
      </c>
      <c r="D191" s="0" t="s">
        <v>623</v>
      </c>
      <c r="E191" s="0" t="s">
        <v>131</v>
      </c>
      <c r="F191" s="0" t="s">
        <v>204</v>
      </c>
      <c r="G191" s="0" t="s">
        <v>628</v>
      </c>
      <c r="H191" s="0" t="s">
        <v>625</v>
      </c>
      <c r="I191" s="0" t="s">
        <v>626</v>
      </c>
      <c r="J191" s="0" t="s">
        <v>627</v>
      </c>
      <c r="K191" s="475" t="n">
        <v>36800</v>
      </c>
      <c r="L191" s="254" t="n">
        <v>23681.2191321083</v>
      </c>
      <c r="M191" s="475" t="n">
        <v>36797</v>
      </c>
      <c r="N191" s="0" t="s">
        <v>136</v>
      </c>
      <c r="O191" s="0" t="n">
        <v>0.3025</v>
      </c>
      <c r="P191" s="0" t="n">
        <v>0</v>
      </c>
      <c r="Q191" s="0" t="n">
        <v>0</v>
      </c>
      <c r="R191" s="0" t="n">
        <v>0</v>
      </c>
      <c r="S191" s="0" t="n">
        <v>0</v>
      </c>
      <c r="T191" s="0" t="s">
        <v>624</v>
      </c>
      <c r="U191" s="0" t="s">
        <v>155</v>
      </c>
      <c r="V191" s="0" t="s">
        <v>624</v>
      </c>
      <c r="W191" s="0" t="s">
        <v>569</v>
      </c>
      <c r="X191" s="0" t="s">
        <v>624</v>
      </c>
      <c r="Y191" s="0" t="s">
        <v>627</v>
      </c>
      <c r="Z191" s="0" t="s">
        <v>629</v>
      </c>
      <c r="AA191" s="0" t="s">
        <v>624</v>
      </c>
      <c r="AB191" s="0" t="s">
        <v>132</v>
      </c>
      <c r="AC191" s="254" t="n">
        <v>310000</v>
      </c>
      <c r="AD191" s="254" t="n">
        <v>1900.63894646658</v>
      </c>
      <c r="AE191" s="0" t="n">
        <v>0</v>
      </c>
      <c r="AF191" s="0" t="n">
        <v>0</v>
      </c>
      <c r="AG191" s="0" t="n">
        <v>0</v>
      </c>
      <c r="AH191" s="254" t="n">
        <v>108.782673987109</v>
      </c>
      <c r="AI191" s="0" t="n">
        <v>226</v>
      </c>
      <c r="AJ191" s="0" t="s">
        <v>630</v>
      </c>
      <c r="AK191" s="0" t="n">
        <v>0</v>
      </c>
      <c r="AL191" s="0" t="n">
        <v>0</v>
      </c>
      <c r="AM191" s="0" t="n">
        <v>0</v>
      </c>
    </row>
    <row r="192" customFormat="false" ht="12.75" hidden="false" customHeight="false" outlineLevel="0" collapsed="false">
      <c r="A192" s="0" t="s">
        <v>621</v>
      </c>
      <c r="B192" s="0" t="s">
        <v>268</v>
      </c>
      <c r="C192" s="0" t="s">
        <v>622</v>
      </c>
      <c r="D192" s="0" t="s">
        <v>623</v>
      </c>
      <c r="E192" s="0" t="s">
        <v>131</v>
      </c>
      <c r="F192" s="0" t="s">
        <v>204</v>
      </c>
      <c r="G192" s="0" t="s">
        <v>628</v>
      </c>
      <c r="H192" s="0" t="s">
        <v>625</v>
      </c>
      <c r="I192" s="0" t="s">
        <v>626</v>
      </c>
      <c r="J192" s="0" t="s">
        <v>627</v>
      </c>
      <c r="K192" s="475" t="n">
        <v>36770</v>
      </c>
      <c r="L192" s="254" t="n">
        <v>2592.07235126287</v>
      </c>
      <c r="M192" s="475" t="n">
        <v>36768</v>
      </c>
      <c r="N192" s="0" t="s">
        <v>136</v>
      </c>
      <c r="O192" s="0" t="n">
        <v>0.3025</v>
      </c>
      <c r="P192" s="0" t="n">
        <v>0</v>
      </c>
      <c r="Q192" s="0" t="n">
        <v>0</v>
      </c>
      <c r="R192" s="0" t="n">
        <v>0</v>
      </c>
      <c r="S192" s="0" t="n">
        <v>0</v>
      </c>
      <c r="T192" s="0" t="s">
        <v>624</v>
      </c>
      <c r="U192" s="0" t="s">
        <v>155</v>
      </c>
      <c r="V192" s="0" t="s">
        <v>624</v>
      </c>
      <c r="W192" s="0" t="s">
        <v>569</v>
      </c>
      <c r="X192" s="0" t="s">
        <v>624</v>
      </c>
      <c r="Y192" s="0" t="s">
        <v>627</v>
      </c>
      <c r="Z192" s="0" t="s">
        <v>629</v>
      </c>
      <c r="AA192" s="0" t="s">
        <v>624</v>
      </c>
      <c r="AB192" s="0" t="s">
        <v>132</v>
      </c>
      <c r="AC192" s="254" t="n">
        <v>300000</v>
      </c>
      <c r="AD192" s="254" t="n">
        <v>379.132070224063</v>
      </c>
      <c r="AE192" s="0" t="n">
        <v>0</v>
      </c>
      <c r="AF192" s="0" t="n">
        <v>0</v>
      </c>
      <c r="AG192" s="0" t="n">
        <v>0</v>
      </c>
      <c r="AH192" s="254" t="n">
        <v>44.6295203698646</v>
      </c>
      <c r="AI192" s="0" t="n">
        <v>226</v>
      </c>
      <c r="AJ192" s="0" t="s">
        <v>630</v>
      </c>
      <c r="AK192" s="0" t="n">
        <v>0</v>
      </c>
      <c r="AL192" s="0" t="n">
        <v>0</v>
      </c>
      <c r="AM192" s="0" t="n">
        <v>0</v>
      </c>
    </row>
    <row r="193" customFormat="false" ht="12.75" hidden="false" customHeight="false" outlineLevel="0" collapsed="false">
      <c r="A193" s="0" t="s">
        <v>621</v>
      </c>
      <c r="B193" s="0" t="s">
        <v>269</v>
      </c>
      <c r="C193" s="0" t="s">
        <v>622</v>
      </c>
      <c r="D193" s="0" t="s">
        <v>623</v>
      </c>
      <c r="E193" s="0" t="s">
        <v>131</v>
      </c>
      <c r="F193" s="0" t="s">
        <v>204</v>
      </c>
      <c r="G193" s="0" t="s">
        <v>628</v>
      </c>
      <c r="H193" s="0" t="s">
        <v>625</v>
      </c>
      <c r="I193" s="0" t="s">
        <v>626</v>
      </c>
      <c r="J193" s="0" t="s">
        <v>627</v>
      </c>
      <c r="K193" s="475" t="n">
        <v>36800</v>
      </c>
      <c r="L193" s="254" t="n">
        <v>7423.59087630946</v>
      </c>
      <c r="M193" s="475" t="n">
        <v>36797</v>
      </c>
      <c r="N193" s="0" t="s">
        <v>132</v>
      </c>
      <c r="O193" s="0" t="n">
        <v>0.1675</v>
      </c>
      <c r="P193" s="0" t="n">
        <v>0</v>
      </c>
      <c r="Q193" s="0" t="n">
        <v>0</v>
      </c>
      <c r="R193" s="0" t="n">
        <v>0</v>
      </c>
      <c r="S193" s="0" t="n">
        <v>0</v>
      </c>
      <c r="T193" s="0" t="s">
        <v>624</v>
      </c>
      <c r="U193" s="0" t="s">
        <v>150</v>
      </c>
      <c r="V193" s="0" t="s">
        <v>624</v>
      </c>
      <c r="W193" s="0" t="s">
        <v>569</v>
      </c>
      <c r="X193" s="0" t="s">
        <v>624</v>
      </c>
      <c r="Y193" s="0" t="s">
        <v>627</v>
      </c>
      <c r="Z193" s="0" t="s">
        <v>629</v>
      </c>
      <c r="AA193" s="0" t="s">
        <v>624</v>
      </c>
      <c r="AB193" s="0" t="s">
        <v>132</v>
      </c>
      <c r="AC193" s="254" t="n">
        <v>310000</v>
      </c>
      <c r="AD193" s="254" t="n">
        <v>1905.99462164415</v>
      </c>
      <c r="AE193" s="0" t="n">
        <v>0</v>
      </c>
      <c r="AF193" s="0" t="n">
        <v>0</v>
      </c>
      <c r="AG193" s="0" t="n">
        <v>0</v>
      </c>
      <c r="AH193" s="254" t="n">
        <v>108.869881212428</v>
      </c>
      <c r="AI193" s="0" t="n">
        <v>226</v>
      </c>
      <c r="AJ193" s="0" t="s">
        <v>630</v>
      </c>
      <c r="AK193" s="0" t="n">
        <v>0</v>
      </c>
      <c r="AL193" s="0" t="n">
        <v>0</v>
      </c>
      <c r="AM193" s="0" t="n">
        <v>0</v>
      </c>
    </row>
    <row r="194" customFormat="false" ht="12.75" hidden="false" customHeight="false" outlineLevel="0" collapsed="false">
      <c r="A194" s="0" t="s">
        <v>621</v>
      </c>
      <c r="B194" s="0" t="s">
        <v>269</v>
      </c>
      <c r="C194" s="0" t="s">
        <v>622</v>
      </c>
      <c r="D194" s="0" t="s">
        <v>623</v>
      </c>
      <c r="E194" s="0" t="s">
        <v>131</v>
      </c>
      <c r="F194" s="0" t="s">
        <v>204</v>
      </c>
      <c r="G194" s="0" t="s">
        <v>628</v>
      </c>
      <c r="H194" s="0" t="s">
        <v>625</v>
      </c>
      <c r="I194" s="0" t="s">
        <v>626</v>
      </c>
      <c r="J194" s="0" t="s">
        <v>627</v>
      </c>
      <c r="K194" s="475" t="n">
        <v>36770</v>
      </c>
      <c r="L194" s="254" t="n">
        <v>1342.01653445336</v>
      </c>
      <c r="M194" s="475" t="n">
        <v>36768</v>
      </c>
      <c r="N194" s="0" t="s">
        <v>132</v>
      </c>
      <c r="O194" s="0" t="n">
        <v>0.1675</v>
      </c>
      <c r="P194" s="0" t="n">
        <v>0</v>
      </c>
      <c r="Q194" s="0" t="n">
        <v>0</v>
      </c>
      <c r="R194" s="0" t="n">
        <v>0</v>
      </c>
      <c r="S194" s="0" t="n">
        <v>0</v>
      </c>
      <c r="T194" s="0" t="s">
        <v>624</v>
      </c>
      <c r="U194" s="0" t="s">
        <v>150</v>
      </c>
      <c r="V194" s="0" t="s">
        <v>624</v>
      </c>
      <c r="W194" s="0" t="s">
        <v>569</v>
      </c>
      <c r="X194" s="0" t="s">
        <v>624</v>
      </c>
      <c r="Y194" s="0" t="s">
        <v>627</v>
      </c>
      <c r="Z194" s="0" t="s">
        <v>629</v>
      </c>
      <c r="AA194" s="0" t="s">
        <v>624</v>
      </c>
      <c r="AB194" s="0" t="s">
        <v>132</v>
      </c>
      <c r="AC194" s="254" t="n">
        <v>300000</v>
      </c>
      <c r="AD194" s="254" t="n">
        <v>331.058882162819</v>
      </c>
      <c r="AE194" s="0" t="n">
        <v>0</v>
      </c>
      <c r="AF194" s="0" t="n">
        <v>0</v>
      </c>
      <c r="AG194" s="0" t="n">
        <v>0</v>
      </c>
      <c r="AH194" s="254" t="n">
        <v>39.1546016521361</v>
      </c>
      <c r="AI194" s="0" t="n">
        <v>226</v>
      </c>
      <c r="AJ194" s="0" t="s">
        <v>630</v>
      </c>
      <c r="AK194" s="0" t="n">
        <v>0</v>
      </c>
      <c r="AL194" s="0" t="n">
        <v>0</v>
      </c>
      <c r="AM194" s="0" t="n">
        <v>0</v>
      </c>
    </row>
    <row r="195" customFormat="false" ht="12.75" hidden="false" customHeight="false" outlineLevel="0" collapsed="false">
      <c r="A195" s="0" t="s">
        <v>621</v>
      </c>
      <c r="B195" s="0" t="s">
        <v>270</v>
      </c>
      <c r="C195" s="0" t="s">
        <v>622</v>
      </c>
      <c r="D195" s="0" t="s">
        <v>623</v>
      </c>
      <c r="E195" s="0" t="s">
        <v>131</v>
      </c>
      <c r="F195" s="0" t="s">
        <v>196</v>
      </c>
      <c r="G195" s="0" t="s">
        <v>628</v>
      </c>
      <c r="H195" s="0" t="s">
        <v>625</v>
      </c>
      <c r="I195" s="0" t="s">
        <v>626</v>
      </c>
      <c r="J195" s="0" t="s">
        <v>627</v>
      </c>
      <c r="K195" s="475" t="n">
        <v>36800</v>
      </c>
      <c r="L195" s="254" t="n">
        <v>291267.112906856</v>
      </c>
      <c r="M195" s="475" t="n">
        <v>36797</v>
      </c>
      <c r="N195" s="0" t="s">
        <v>136</v>
      </c>
      <c r="O195" s="0" t="n">
        <v>0.1</v>
      </c>
      <c r="P195" s="0" t="n">
        <v>0</v>
      </c>
      <c r="Q195" s="0" t="n">
        <v>0</v>
      </c>
      <c r="R195" s="0" t="n">
        <v>0</v>
      </c>
      <c r="S195" s="0" t="n">
        <v>0</v>
      </c>
      <c r="T195" s="0" t="s">
        <v>624</v>
      </c>
      <c r="U195" s="0" t="s">
        <v>137</v>
      </c>
      <c r="V195" s="0" t="s">
        <v>624</v>
      </c>
      <c r="W195" s="0" t="s">
        <v>569</v>
      </c>
      <c r="X195" s="0" t="s">
        <v>624</v>
      </c>
      <c r="Y195" s="0" t="s">
        <v>627</v>
      </c>
      <c r="Z195" s="0" t="s">
        <v>629</v>
      </c>
      <c r="AA195" s="0" t="s">
        <v>624</v>
      </c>
      <c r="AB195" s="0" t="s">
        <v>132</v>
      </c>
      <c r="AC195" s="254" t="n">
        <v>155000</v>
      </c>
      <c r="AD195" s="254" t="n">
        <v>11.4326712136972</v>
      </c>
      <c r="AE195" s="0" t="n">
        <v>0</v>
      </c>
      <c r="AF195" s="0" t="n">
        <v>0</v>
      </c>
      <c r="AG195" s="0" t="n">
        <v>0</v>
      </c>
      <c r="AH195" s="254" t="n">
        <v>-6159.06847172824</v>
      </c>
      <c r="AI195" s="0" t="n">
        <v>226</v>
      </c>
      <c r="AJ195" s="0" t="s">
        <v>630</v>
      </c>
      <c r="AK195" s="0" t="n">
        <v>0</v>
      </c>
      <c r="AL195" s="0" t="n">
        <v>0</v>
      </c>
      <c r="AM195" s="0" t="n">
        <v>0</v>
      </c>
    </row>
    <row r="196" customFormat="false" ht="12.75" hidden="false" customHeight="false" outlineLevel="0" collapsed="false">
      <c r="A196" s="0" t="s">
        <v>621</v>
      </c>
      <c r="B196" s="0" t="s">
        <v>270</v>
      </c>
      <c r="C196" s="0" t="s">
        <v>622</v>
      </c>
      <c r="D196" s="0" t="s">
        <v>623</v>
      </c>
      <c r="E196" s="0" t="s">
        <v>131</v>
      </c>
      <c r="F196" s="0" t="s">
        <v>196</v>
      </c>
      <c r="G196" s="0" t="s">
        <v>628</v>
      </c>
      <c r="H196" s="0" t="s">
        <v>625</v>
      </c>
      <c r="I196" s="0" t="s">
        <v>626</v>
      </c>
      <c r="J196" s="0" t="s">
        <v>627</v>
      </c>
      <c r="K196" s="475" t="n">
        <v>36770</v>
      </c>
      <c r="L196" s="254" t="n">
        <v>359867.571472603</v>
      </c>
      <c r="M196" s="475" t="n">
        <v>36768</v>
      </c>
      <c r="N196" s="0" t="s">
        <v>136</v>
      </c>
      <c r="O196" s="0" t="n">
        <v>0.1</v>
      </c>
      <c r="P196" s="0" t="n">
        <v>0</v>
      </c>
      <c r="Q196" s="0" t="n">
        <v>0</v>
      </c>
      <c r="R196" s="0" t="n">
        <v>0</v>
      </c>
      <c r="S196" s="0" t="n">
        <v>0</v>
      </c>
      <c r="T196" s="0" t="s">
        <v>624</v>
      </c>
      <c r="U196" s="0" t="s">
        <v>137</v>
      </c>
      <c r="V196" s="0" t="s">
        <v>624</v>
      </c>
      <c r="W196" s="0" t="s">
        <v>569</v>
      </c>
      <c r="X196" s="0" t="s">
        <v>624</v>
      </c>
      <c r="Y196" s="0" t="s">
        <v>627</v>
      </c>
      <c r="Z196" s="0" t="s">
        <v>629</v>
      </c>
      <c r="AA196" s="0" t="s">
        <v>624</v>
      </c>
      <c r="AB196" s="0" t="s">
        <v>132</v>
      </c>
      <c r="AC196" s="254" t="n">
        <v>150000</v>
      </c>
      <c r="AD196" s="254" t="n">
        <v>-0.00598542863735929</v>
      </c>
      <c r="AE196" s="0" t="n">
        <v>0</v>
      </c>
      <c r="AF196" s="0" t="n">
        <v>0</v>
      </c>
      <c r="AG196" s="0" t="n">
        <v>0</v>
      </c>
      <c r="AH196" s="254" t="n">
        <v>39713.4735704744</v>
      </c>
      <c r="AI196" s="0" t="n">
        <v>226</v>
      </c>
      <c r="AJ196" s="0" t="s">
        <v>630</v>
      </c>
      <c r="AK196" s="0" t="n">
        <v>0</v>
      </c>
      <c r="AL196" s="0" t="n">
        <v>0</v>
      </c>
      <c r="AM196" s="0" t="n">
        <v>0</v>
      </c>
    </row>
    <row r="197" customFormat="false" ht="12.75" hidden="false" customHeight="false" outlineLevel="0" collapsed="false">
      <c r="A197" s="0" t="s">
        <v>621</v>
      </c>
      <c r="B197" s="0" t="s">
        <v>271</v>
      </c>
      <c r="C197" s="0" t="s">
        <v>622</v>
      </c>
      <c r="D197" s="0" t="s">
        <v>623</v>
      </c>
      <c r="E197" s="0" t="s">
        <v>131</v>
      </c>
      <c r="F197" s="0" t="s">
        <v>244</v>
      </c>
      <c r="G197" s="0" t="s">
        <v>628</v>
      </c>
      <c r="H197" s="0" t="s">
        <v>625</v>
      </c>
      <c r="I197" s="0" t="s">
        <v>626</v>
      </c>
      <c r="J197" s="0" t="s">
        <v>627</v>
      </c>
      <c r="K197" s="475" t="n">
        <v>36951</v>
      </c>
      <c r="L197" s="254" t="n">
        <v>-62469.0598139184</v>
      </c>
      <c r="M197" s="475" t="n">
        <v>36949</v>
      </c>
      <c r="N197" s="0" t="s">
        <v>136</v>
      </c>
      <c r="O197" s="0" t="n">
        <v>2.2</v>
      </c>
      <c r="P197" s="0" t="n">
        <v>0</v>
      </c>
      <c r="Q197" s="0" t="n">
        <v>0</v>
      </c>
      <c r="R197" s="0" t="n">
        <v>0</v>
      </c>
      <c r="S197" s="0" t="n">
        <v>0</v>
      </c>
      <c r="T197" s="0" t="s">
        <v>624</v>
      </c>
      <c r="U197" s="0" t="s">
        <v>149</v>
      </c>
      <c r="V197" s="0" t="s">
        <v>624</v>
      </c>
      <c r="W197" s="0" t="s">
        <v>569</v>
      </c>
      <c r="X197" s="0" t="s">
        <v>624</v>
      </c>
      <c r="Y197" s="0" t="s">
        <v>627</v>
      </c>
      <c r="Z197" s="0" t="s">
        <v>629</v>
      </c>
      <c r="AA197" s="0" t="s">
        <v>624</v>
      </c>
      <c r="AB197" s="0" t="s">
        <v>132</v>
      </c>
      <c r="AC197" s="254" t="n">
        <v>-310000</v>
      </c>
      <c r="AD197" s="254" t="n">
        <v>-20293.3085535308</v>
      </c>
      <c r="AE197" s="0" t="n">
        <v>0</v>
      </c>
      <c r="AF197" s="0" t="n">
        <v>0</v>
      </c>
      <c r="AG197" s="0" t="n">
        <v>0</v>
      </c>
      <c r="AH197" s="254" t="n">
        <v>-5874.0424031468</v>
      </c>
      <c r="AI197" s="0" t="n">
        <v>226</v>
      </c>
      <c r="AJ197" s="0" t="s">
        <v>630</v>
      </c>
      <c r="AK197" s="0" t="n">
        <v>0</v>
      </c>
      <c r="AL197" s="0" t="n">
        <v>0</v>
      </c>
      <c r="AM197" s="0" t="n">
        <v>0</v>
      </c>
    </row>
    <row r="198" customFormat="false" ht="12.75" hidden="false" customHeight="false" outlineLevel="0" collapsed="false">
      <c r="A198" s="0" t="s">
        <v>621</v>
      </c>
      <c r="B198" s="0" t="s">
        <v>271</v>
      </c>
      <c r="C198" s="0" t="s">
        <v>622</v>
      </c>
      <c r="D198" s="0" t="s">
        <v>623</v>
      </c>
      <c r="E198" s="0" t="s">
        <v>131</v>
      </c>
      <c r="F198" s="0" t="s">
        <v>244</v>
      </c>
      <c r="G198" s="0" t="s">
        <v>628</v>
      </c>
      <c r="H198" s="0" t="s">
        <v>625</v>
      </c>
      <c r="I198" s="0" t="s">
        <v>626</v>
      </c>
      <c r="J198" s="0" t="s">
        <v>627</v>
      </c>
      <c r="K198" s="475" t="n">
        <v>36923</v>
      </c>
      <c r="L198" s="254" t="n">
        <v>-179351.393791546</v>
      </c>
      <c r="M198" s="475" t="n">
        <v>36921</v>
      </c>
      <c r="N198" s="0" t="s">
        <v>136</v>
      </c>
      <c r="O198" s="0" t="n">
        <v>2.2</v>
      </c>
      <c r="P198" s="0" t="n">
        <v>0</v>
      </c>
      <c r="Q198" s="0" t="n">
        <v>0</v>
      </c>
      <c r="R198" s="0" t="n">
        <v>0</v>
      </c>
      <c r="S198" s="0" t="n">
        <v>0</v>
      </c>
      <c r="T198" s="0" t="s">
        <v>624</v>
      </c>
      <c r="U198" s="0" t="s">
        <v>149</v>
      </c>
      <c r="V198" s="0" t="s">
        <v>624</v>
      </c>
      <c r="W198" s="0" t="s">
        <v>569</v>
      </c>
      <c r="X198" s="0" t="s">
        <v>624</v>
      </c>
      <c r="Y198" s="0" t="s">
        <v>627</v>
      </c>
      <c r="Z198" s="0" t="s">
        <v>629</v>
      </c>
      <c r="AA198" s="0" t="s">
        <v>624</v>
      </c>
      <c r="AB198" s="0" t="s">
        <v>132</v>
      </c>
      <c r="AC198" s="254" t="n">
        <v>-280000</v>
      </c>
      <c r="AD198" s="254" t="n">
        <v>-23898.539070236</v>
      </c>
      <c r="AE198" s="0" t="n">
        <v>0</v>
      </c>
      <c r="AF198" s="0" t="n">
        <v>0</v>
      </c>
      <c r="AG198" s="0" t="n">
        <v>0</v>
      </c>
      <c r="AH198" s="254" t="n">
        <v>-11149.5579086736</v>
      </c>
      <c r="AI198" s="0" t="n">
        <v>226</v>
      </c>
      <c r="AJ198" s="0" t="s">
        <v>630</v>
      </c>
      <c r="AK198" s="0" t="n">
        <v>0</v>
      </c>
      <c r="AL198" s="0" t="n">
        <v>0</v>
      </c>
      <c r="AM198" s="0" t="n">
        <v>0</v>
      </c>
    </row>
    <row r="199" customFormat="false" ht="12.75" hidden="false" customHeight="false" outlineLevel="0" collapsed="false">
      <c r="A199" s="0" t="s">
        <v>621</v>
      </c>
      <c r="B199" s="0" t="s">
        <v>271</v>
      </c>
      <c r="C199" s="0" t="s">
        <v>622</v>
      </c>
      <c r="D199" s="0" t="s">
        <v>623</v>
      </c>
      <c r="E199" s="0" t="s">
        <v>131</v>
      </c>
      <c r="F199" s="0" t="s">
        <v>244</v>
      </c>
      <c r="G199" s="0" t="s">
        <v>628</v>
      </c>
      <c r="H199" s="0" t="s">
        <v>625</v>
      </c>
      <c r="I199" s="0" t="s">
        <v>626</v>
      </c>
      <c r="J199" s="0" t="s">
        <v>627</v>
      </c>
      <c r="K199" s="475" t="n">
        <v>36892</v>
      </c>
      <c r="L199" s="254" t="n">
        <v>-199213.597466951</v>
      </c>
      <c r="M199" s="475" t="n">
        <v>36888</v>
      </c>
      <c r="N199" s="0" t="s">
        <v>136</v>
      </c>
      <c r="O199" s="0" t="n">
        <v>2.2</v>
      </c>
      <c r="P199" s="0" t="n">
        <v>0</v>
      </c>
      <c r="Q199" s="0" t="n">
        <v>0</v>
      </c>
      <c r="R199" s="0" t="n">
        <v>0</v>
      </c>
      <c r="S199" s="0" t="n">
        <v>0</v>
      </c>
      <c r="T199" s="0" t="s">
        <v>624</v>
      </c>
      <c r="U199" s="0" t="s">
        <v>149</v>
      </c>
      <c r="V199" s="0" t="s">
        <v>624</v>
      </c>
      <c r="W199" s="0" t="s">
        <v>569</v>
      </c>
      <c r="X199" s="0" t="s">
        <v>624</v>
      </c>
      <c r="Y199" s="0" t="s">
        <v>627</v>
      </c>
      <c r="Z199" s="0" t="s">
        <v>629</v>
      </c>
      <c r="AA199" s="0" t="s">
        <v>624</v>
      </c>
      <c r="AB199" s="0" t="s">
        <v>132</v>
      </c>
      <c r="AC199" s="254" t="n">
        <v>-310000</v>
      </c>
      <c r="AD199" s="254" t="n">
        <v>-24307.5031478081</v>
      </c>
      <c r="AE199" s="0" t="n">
        <v>0</v>
      </c>
      <c r="AF199" s="0" t="n">
        <v>0</v>
      </c>
      <c r="AG199" s="0" t="n">
        <v>0</v>
      </c>
      <c r="AH199" s="254" t="n">
        <v>-10942.2877745241</v>
      </c>
      <c r="AI199" s="0" t="n">
        <v>226</v>
      </c>
      <c r="AJ199" s="0" t="s">
        <v>630</v>
      </c>
      <c r="AK199" s="0" t="n">
        <v>0</v>
      </c>
      <c r="AL199" s="0" t="n">
        <v>0</v>
      </c>
      <c r="AM199" s="0" t="n">
        <v>0</v>
      </c>
    </row>
    <row r="200" customFormat="false" ht="12.75" hidden="false" customHeight="false" outlineLevel="0" collapsed="false">
      <c r="A200" s="0" t="s">
        <v>621</v>
      </c>
      <c r="B200" s="0" t="s">
        <v>271</v>
      </c>
      <c r="C200" s="0" t="s">
        <v>622</v>
      </c>
      <c r="D200" s="0" t="s">
        <v>623</v>
      </c>
      <c r="E200" s="0" t="s">
        <v>131</v>
      </c>
      <c r="F200" s="0" t="s">
        <v>244</v>
      </c>
      <c r="G200" s="0" t="s">
        <v>628</v>
      </c>
      <c r="H200" s="0" t="s">
        <v>625</v>
      </c>
      <c r="I200" s="0" t="s">
        <v>626</v>
      </c>
      <c r="J200" s="0" t="s">
        <v>627</v>
      </c>
      <c r="K200" s="475" t="n">
        <v>36861</v>
      </c>
      <c r="L200" s="254" t="n">
        <v>-99869.1452361748</v>
      </c>
      <c r="M200" s="475" t="n">
        <v>36859</v>
      </c>
      <c r="N200" s="0" t="s">
        <v>136</v>
      </c>
      <c r="O200" s="0" t="n">
        <v>2.2</v>
      </c>
      <c r="P200" s="0" t="n">
        <v>0</v>
      </c>
      <c r="Q200" s="0" t="n">
        <v>0</v>
      </c>
      <c r="R200" s="0" t="n">
        <v>0</v>
      </c>
      <c r="S200" s="0" t="n">
        <v>0</v>
      </c>
      <c r="T200" s="0" t="s">
        <v>624</v>
      </c>
      <c r="U200" s="0" t="s">
        <v>149</v>
      </c>
      <c r="V200" s="0" t="s">
        <v>624</v>
      </c>
      <c r="W200" s="0" t="s">
        <v>569</v>
      </c>
      <c r="X200" s="0" t="s">
        <v>624</v>
      </c>
      <c r="Y200" s="0" t="s">
        <v>627</v>
      </c>
      <c r="Z200" s="0" t="s">
        <v>629</v>
      </c>
      <c r="AA200" s="0" t="s">
        <v>624</v>
      </c>
      <c r="AB200" s="0" t="s">
        <v>132</v>
      </c>
      <c r="AC200" s="254" t="n">
        <v>-310000</v>
      </c>
      <c r="AD200" s="254" t="n">
        <v>-19894.0137295742</v>
      </c>
      <c r="AE200" s="0" t="n">
        <v>0</v>
      </c>
      <c r="AF200" s="0" t="n">
        <v>0</v>
      </c>
      <c r="AG200" s="0" t="n">
        <v>0</v>
      </c>
      <c r="AH200" s="254" t="n">
        <v>-6252.92251072674</v>
      </c>
      <c r="AI200" s="0" t="n">
        <v>226</v>
      </c>
      <c r="AJ200" s="0" t="s">
        <v>630</v>
      </c>
      <c r="AK200" s="0" t="n">
        <v>0</v>
      </c>
      <c r="AL200" s="0" t="n">
        <v>0</v>
      </c>
      <c r="AM200" s="0" t="n">
        <v>0</v>
      </c>
    </row>
    <row r="201" customFormat="false" ht="12.75" hidden="false" customHeight="false" outlineLevel="0" collapsed="false">
      <c r="A201" s="0" t="s">
        <v>621</v>
      </c>
      <c r="B201" s="0" t="s">
        <v>271</v>
      </c>
      <c r="C201" s="0" t="s">
        <v>622</v>
      </c>
      <c r="D201" s="0" t="s">
        <v>623</v>
      </c>
      <c r="E201" s="0" t="s">
        <v>131</v>
      </c>
      <c r="F201" s="0" t="s">
        <v>244</v>
      </c>
      <c r="G201" s="0" t="s">
        <v>628</v>
      </c>
      <c r="H201" s="0" t="s">
        <v>625</v>
      </c>
      <c r="I201" s="0" t="s">
        <v>626</v>
      </c>
      <c r="J201" s="0" t="s">
        <v>627</v>
      </c>
      <c r="K201" s="475" t="n">
        <v>36831</v>
      </c>
      <c r="L201" s="254" t="n">
        <v>-3864.0810378615</v>
      </c>
      <c r="M201" s="475" t="n">
        <v>36829</v>
      </c>
      <c r="N201" s="0" t="s">
        <v>136</v>
      </c>
      <c r="O201" s="0" t="n">
        <v>2.2</v>
      </c>
      <c r="P201" s="0" t="n">
        <v>0</v>
      </c>
      <c r="Q201" s="0" t="n">
        <v>0</v>
      </c>
      <c r="R201" s="0" t="n">
        <v>0</v>
      </c>
      <c r="S201" s="0" t="n">
        <v>0</v>
      </c>
      <c r="T201" s="0" t="s">
        <v>624</v>
      </c>
      <c r="U201" s="0" t="s">
        <v>149</v>
      </c>
      <c r="V201" s="0" t="s">
        <v>624</v>
      </c>
      <c r="W201" s="0" t="s">
        <v>569</v>
      </c>
      <c r="X201" s="0" t="s">
        <v>624</v>
      </c>
      <c r="Y201" s="0" t="s">
        <v>627</v>
      </c>
      <c r="Z201" s="0" t="s">
        <v>629</v>
      </c>
      <c r="AA201" s="0" t="s">
        <v>624</v>
      </c>
      <c r="AB201" s="0" t="s">
        <v>132</v>
      </c>
      <c r="AC201" s="254" t="n">
        <v>-300000</v>
      </c>
      <c r="AD201" s="254" t="n">
        <v>-2694.80816454911</v>
      </c>
      <c r="AE201" s="0" t="n">
        <v>0</v>
      </c>
      <c r="AF201" s="0" t="n">
        <v>0</v>
      </c>
      <c r="AG201" s="0" t="n">
        <v>0</v>
      </c>
      <c r="AH201" s="254" t="n">
        <v>-688.906674979194</v>
      </c>
      <c r="AI201" s="0" t="n">
        <v>226</v>
      </c>
      <c r="AJ201" s="0" t="s">
        <v>630</v>
      </c>
      <c r="AK201" s="0" t="n">
        <v>0</v>
      </c>
      <c r="AL201" s="0" t="n">
        <v>0</v>
      </c>
      <c r="AM201" s="0" t="n">
        <v>0</v>
      </c>
    </row>
    <row r="202" customFormat="false" ht="12.75" hidden="false" customHeight="false" outlineLevel="0" collapsed="false">
      <c r="A202" s="0" t="s">
        <v>621</v>
      </c>
      <c r="B202" s="0" t="s">
        <v>272</v>
      </c>
      <c r="C202" s="0" t="s">
        <v>622</v>
      </c>
      <c r="D202" s="0" t="s">
        <v>623</v>
      </c>
      <c r="E202" s="0" t="s">
        <v>131</v>
      </c>
      <c r="F202" s="0" t="s">
        <v>206</v>
      </c>
      <c r="G202" s="0" t="s">
        <v>628</v>
      </c>
      <c r="H202" s="0" t="s">
        <v>625</v>
      </c>
      <c r="I202" s="0" t="s">
        <v>626</v>
      </c>
      <c r="J202" s="0" t="s">
        <v>627</v>
      </c>
      <c r="K202" s="475" t="n">
        <v>36951</v>
      </c>
      <c r="L202" s="254" t="n">
        <v>-164993.618616551</v>
      </c>
      <c r="M202" s="475" t="n">
        <v>36949</v>
      </c>
      <c r="N202" s="0" t="s">
        <v>136</v>
      </c>
      <c r="O202" s="0" t="n">
        <v>1.6</v>
      </c>
      <c r="P202" s="0" t="n">
        <v>0</v>
      </c>
      <c r="Q202" s="0" t="n">
        <v>0</v>
      </c>
      <c r="R202" s="0" t="n">
        <v>0</v>
      </c>
      <c r="S202" s="0" t="n">
        <v>0</v>
      </c>
      <c r="T202" s="0" t="s">
        <v>624</v>
      </c>
      <c r="U202" s="0" t="s">
        <v>149</v>
      </c>
      <c r="V202" s="0" t="s">
        <v>624</v>
      </c>
      <c r="W202" s="0" t="s">
        <v>569</v>
      </c>
      <c r="X202" s="0" t="s">
        <v>624</v>
      </c>
      <c r="Y202" s="0" t="s">
        <v>627</v>
      </c>
      <c r="Z202" s="0" t="s">
        <v>629</v>
      </c>
      <c r="AA202" s="0" t="s">
        <v>624</v>
      </c>
      <c r="AB202" s="0" t="s">
        <v>132</v>
      </c>
      <c r="AC202" s="254" t="n">
        <v>-500000</v>
      </c>
      <c r="AD202" s="254" t="n">
        <v>-40486.3019028012</v>
      </c>
      <c r="AE202" s="0" t="n">
        <v>0</v>
      </c>
      <c r="AF202" s="0" t="n">
        <v>0</v>
      </c>
      <c r="AG202" s="0" t="n">
        <v>0</v>
      </c>
      <c r="AH202" s="254" t="n">
        <v>-13572.421626798</v>
      </c>
      <c r="AI202" s="0" t="n">
        <v>226</v>
      </c>
      <c r="AJ202" s="0" t="s">
        <v>630</v>
      </c>
      <c r="AK202" s="0" t="n">
        <v>0</v>
      </c>
      <c r="AL202" s="0" t="n">
        <v>0</v>
      </c>
      <c r="AM202" s="0" t="n">
        <v>0</v>
      </c>
    </row>
    <row r="203" customFormat="false" ht="12.75" hidden="false" customHeight="false" outlineLevel="0" collapsed="false">
      <c r="A203" s="0" t="s">
        <v>621</v>
      </c>
      <c r="B203" s="0" t="s">
        <v>272</v>
      </c>
      <c r="C203" s="0" t="s">
        <v>622</v>
      </c>
      <c r="D203" s="0" t="s">
        <v>623</v>
      </c>
      <c r="E203" s="0" t="s">
        <v>131</v>
      </c>
      <c r="F203" s="0" t="s">
        <v>206</v>
      </c>
      <c r="G203" s="0" t="s">
        <v>628</v>
      </c>
      <c r="H203" s="0" t="s">
        <v>625</v>
      </c>
      <c r="I203" s="0" t="s">
        <v>626</v>
      </c>
      <c r="J203" s="0" t="s">
        <v>627</v>
      </c>
      <c r="K203" s="475" t="n">
        <v>36923</v>
      </c>
      <c r="L203" s="254" t="n">
        <v>-453075.250208886</v>
      </c>
      <c r="M203" s="475" t="n">
        <v>36921</v>
      </c>
      <c r="N203" s="0" t="s">
        <v>136</v>
      </c>
      <c r="O203" s="0" t="n">
        <v>1.6</v>
      </c>
      <c r="P203" s="0" t="n">
        <v>0</v>
      </c>
      <c r="Q203" s="0" t="n">
        <v>0</v>
      </c>
      <c r="R203" s="0" t="n">
        <v>0</v>
      </c>
      <c r="S203" s="0" t="n">
        <v>0</v>
      </c>
      <c r="T203" s="0" t="s">
        <v>624</v>
      </c>
      <c r="U203" s="0" t="s">
        <v>149</v>
      </c>
      <c r="V203" s="0" t="s">
        <v>624</v>
      </c>
      <c r="W203" s="0" t="s">
        <v>569</v>
      </c>
      <c r="X203" s="0" t="s">
        <v>624</v>
      </c>
      <c r="Y203" s="0" t="s">
        <v>627</v>
      </c>
      <c r="Z203" s="0" t="s">
        <v>629</v>
      </c>
      <c r="AA203" s="0" t="s">
        <v>624</v>
      </c>
      <c r="AB203" s="0" t="s">
        <v>132</v>
      </c>
      <c r="AC203" s="254" t="n">
        <v>-500000</v>
      </c>
      <c r="AD203" s="254" t="n">
        <v>-41984.3190253582</v>
      </c>
      <c r="AE203" s="0" t="n">
        <v>0</v>
      </c>
      <c r="AF203" s="0" t="n">
        <v>0</v>
      </c>
      <c r="AG203" s="0" t="n">
        <v>0</v>
      </c>
      <c r="AH203" s="254" t="n">
        <v>-24464.7308334743</v>
      </c>
      <c r="AI203" s="0" t="n">
        <v>226</v>
      </c>
      <c r="AJ203" s="0" t="s">
        <v>630</v>
      </c>
      <c r="AK203" s="0" t="n">
        <v>0</v>
      </c>
      <c r="AL203" s="0" t="n">
        <v>0</v>
      </c>
      <c r="AM203" s="0" t="n">
        <v>0</v>
      </c>
    </row>
    <row r="204" customFormat="false" ht="12.75" hidden="false" customHeight="false" outlineLevel="0" collapsed="false">
      <c r="A204" s="0" t="s">
        <v>621</v>
      </c>
      <c r="B204" s="0" t="s">
        <v>272</v>
      </c>
      <c r="C204" s="0" t="s">
        <v>622</v>
      </c>
      <c r="D204" s="0" t="s">
        <v>623</v>
      </c>
      <c r="E204" s="0" t="s">
        <v>131</v>
      </c>
      <c r="F204" s="0" t="s">
        <v>206</v>
      </c>
      <c r="G204" s="0" t="s">
        <v>628</v>
      </c>
      <c r="H204" s="0" t="s">
        <v>625</v>
      </c>
      <c r="I204" s="0" t="s">
        <v>626</v>
      </c>
      <c r="J204" s="0" t="s">
        <v>627</v>
      </c>
      <c r="K204" s="475" t="n">
        <v>36892</v>
      </c>
      <c r="L204" s="254" t="n">
        <v>-464051.028212785</v>
      </c>
      <c r="M204" s="475" t="n">
        <v>36888</v>
      </c>
      <c r="N204" s="0" t="s">
        <v>136</v>
      </c>
      <c r="O204" s="0" t="n">
        <v>1.6</v>
      </c>
      <c r="P204" s="0" t="n">
        <v>0</v>
      </c>
      <c r="Q204" s="0" t="n">
        <v>0</v>
      </c>
      <c r="R204" s="0" t="n">
        <v>0</v>
      </c>
      <c r="S204" s="0" t="n">
        <v>0</v>
      </c>
      <c r="T204" s="0" t="s">
        <v>624</v>
      </c>
      <c r="U204" s="0" t="s">
        <v>149</v>
      </c>
      <c r="V204" s="0" t="s">
        <v>624</v>
      </c>
      <c r="W204" s="0" t="s">
        <v>569</v>
      </c>
      <c r="X204" s="0" t="s">
        <v>624</v>
      </c>
      <c r="Y204" s="0" t="s">
        <v>627</v>
      </c>
      <c r="Z204" s="0" t="s">
        <v>629</v>
      </c>
      <c r="AA204" s="0" t="s">
        <v>624</v>
      </c>
      <c r="AB204" s="0" t="s">
        <v>132</v>
      </c>
      <c r="AC204" s="254" t="n">
        <v>-500000</v>
      </c>
      <c r="AD204" s="254" t="n">
        <v>-37672.5296271704</v>
      </c>
      <c r="AE204" s="0" t="n">
        <v>0</v>
      </c>
      <c r="AF204" s="0" t="n">
        <v>0</v>
      </c>
      <c r="AG204" s="0" t="n">
        <v>0</v>
      </c>
      <c r="AH204" s="254" t="n">
        <v>-21769.1083987984</v>
      </c>
      <c r="AI204" s="0" t="n">
        <v>226</v>
      </c>
      <c r="AJ204" s="0" t="s">
        <v>630</v>
      </c>
      <c r="AK204" s="0" t="n">
        <v>0</v>
      </c>
      <c r="AL204" s="0" t="n">
        <v>0</v>
      </c>
      <c r="AM204" s="0" t="n">
        <v>0</v>
      </c>
    </row>
    <row r="205" customFormat="false" ht="12.75" hidden="false" customHeight="false" outlineLevel="0" collapsed="false">
      <c r="A205" s="0" t="s">
        <v>621</v>
      </c>
      <c r="B205" s="0" t="s">
        <v>272</v>
      </c>
      <c r="C205" s="0" t="s">
        <v>622</v>
      </c>
      <c r="D205" s="0" t="s">
        <v>623</v>
      </c>
      <c r="E205" s="0" t="s">
        <v>131</v>
      </c>
      <c r="F205" s="0" t="s">
        <v>206</v>
      </c>
      <c r="G205" s="0" t="s">
        <v>628</v>
      </c>
      <c r="H205" s="0" t="s">
        <v>625</v>
      </c>
      <c r="I205" s="0" t="s">
        <v>626</v>
      </c>
      <c r="J205" s="0" t="s">
        <v>627</v>
      </c>
      <c r="K205" s="475" t="n">
        <v>36861</v>
      </c>
      <c r="L205" s="254" t="n">
        <v>-267671.475447127</v>
      </c>
      <c r="M205" s="475" t="n">
        <v>36859</v>
      </c>
      <c r="N205" s="0" t="s">
        <v>136</v>
      </c>
      <c r="O205" s="0" t="n">
        <v>1.6</v>
      </c>
      <c r="P205" s="0" t="n">
        <v>0</v>
      </c>
      <c r="Q205" s="0" t="n">
        <v>0</v>
      </c>
      <c r="R205" s="0" t="n">
        <v>0</v>
      </c>
      <c r="S205" s="0" t="n">
        <v>0</v>
      </c>
      <c r="T205" s="0" t="s">
        <v>624</v>
      </c>
      <c r="U205" s="0" t="s">
        <v>149</v>
      </c>
      <c r="V205" s="0" t="s">
        <v>624</v>
      </c>
      <c r="W205" s="0" t="s">
        <v>569</v>
      </c>
      <c r="X205" s="0" t="s">
        <v>624</v>
      </c>
      <c r="Y205" s="0" t="s">
        <v>627</v>
      </c>
      <c r="Z205" s="0" t="s">
        <v>629</v>
      </c>
      <c r="AA205" s="0" t="s">
        <v>624</v>
      </c>
      <c r="AB205" s="0" t="s">
        <v>132</v>
      </c>
      <c r="AC205" s="254" t="n">
        <v>-500000</v>
      </c>
      <c r="AD205" s="254" t="n">
        <v>-35401.2014237187</v>
      </c>
      <c r="AE205" s="0" t="n">
        <v>0</v>
      </c>
      <c r="AF205" s="0" t="n">
        <v>0</v>
      </c>
      <c r="AG205" s="0" t="n">
        <v>0</v>
      </c>
      <c r="AH205" s="254" t="n">
        <v>-13921.8512695827</v>
      </c>
      <c r="AI205" s="0" t="n">
        <v>226</v>
      </c>
      <c r="AJ205" s="0" t="s">
        <v>630</v>
      </c>
      <c r="AK205" s="0" t="n">
        <v>0</v>
      </c>
      <c r="AL205" s="0" t="n">
        <v>0</v>
      </c>
      <c r="AM205" s="0" t="n">
        <v>0</v>
      </c>
    </row>
    <row r="206" customFormat="false" ht="12.75" hidden="false" customHeight="false" outlineLevel="0" collapsed="false">
      <c r="A206" s="0" t="s">
        <v>621</v>
      </c>
      <c r="B206" s="0" t="s">
        <v>272</v>
      </c>
      <c r="C206" s="0" t="s">
        <v>622</v>
      </c>
      <c r="D206" s="0" t="s">
        <v>623</v>
      </c>
      <c r="E206" s="0" t="s">
        <v>131</v>
      </c>
      <c r="F206" s="0" t="s">
        <v>206</v>
      </c>
      <c r="G206" s="0" t="s">
        <v>628</v>
      </c>
      <c r="H206" s="0" t="s">
        <v>625</v>
      </c>
      <c r="I206" s="0" t="s">
        <v>626</v>
      </c>
      <c r="J206" s="0" t="s">
        <v>627</v>
      </c>
      <c r="K206" s="475" t="n">
        <v>36831</v>
      </c>
      <c r="L206" s="254" t="n">
        <v>-24777.4772968778</v>
      </c>
      <c r="M206" s="475" t="n">
        <v>36829</v>
      </c>
      <c r="N206" s="0" t="s">
        <v>136</v>
      </c>
      <c r="O206" s="0" t="n">
        <v>1.6</v>
      </c>
      <c r="P206" s="0" t="n">
        <v>0</v>
      </c>
      <c r="Q206" s="0" t="n">
        <v>0</v>
      </c>
      <c r="R206" s="0" t="n">
        <v>0</v>
      </c>
      <c r="S206" s="0" t="n">
        <v>0</v>
      </c>
      <c r="T206" s="0" t="s">
        <v>624</v>
      </c>
      <c r="U206" s="0" t="s">
        <v>149</v>
      </c>
      <c r="V206" s="0" t="s">
        <v>624</v>
      </c>
      <c r="W206" s="0" t="s">
        <v>569</v>
      </c>
      <c r="X206" s="0" t="s">
        <v>624</v>
      </c>
      <c r="Y206" s="0" t="s">
        <v>627</v>
      </c>
      <c r="Z206" s="0" t="s">
        <v>629</v>
      </c>
      <c r="AA206" s="0" t="s">
        <v>624</v>
      </c>
      <c r="AB206" s="0" t="s">
        <v>132</v>
      </c>
      <c r="AC206" s="254" t="n">
        <v>-500000</v>
      </c>
      <c r="AD206" s="254" t="n">
        <v>-11503.9442741136</v>
      </c>
      <c r="AE206" s="0" t="n">
        <v>0</v>
      </c>
      <c r="AF206" s="0" t="n">
        <v>0</v>
      </c>
      <c r="AG206" s="0" t="n">
        <v>0</v>
      </c>
      <c r="AH206" s="254" t="n">
        <v>-3479.1637170616</v>
      </c>
      <c r="AI206" s="0" t="n">
        <v>226</v>
      </c>
      <c r="AJ206" s="0" t="s">
        <v>630</v>
      </c>
      <c r="AK206" s="0" t="n">
        <v>0</v>
      </c>
      <c r="AL206" s="0" t="n">
        <v>0</v>
      </c>
      <c r="AM206" s="0" t="n">
        <v>0</v>
      </c>
    </row>
    <row r="207" customFormat="false" ht="12.75" hidden="false" customHeight="false" outlineLevel="0" collapsed="false">
      <c r="A207" s="0" t="s">
        <v>621</v>
      </c>
      <c r="B207" s="0" t="s">
        <v>273</v>
      </c>
      <c r="C207" s="0" t="s">
        <v>622</v>
      </c>
      <c r="D207" s="0" t="s">
        <v>623</v>
      </c>
      <c r="E207" s="0" t="s">
        <v>131</v>
      </c>
      <c r="F207" s="0" t="s">
        <v>206</v>
      </c>
      <c r="G207" s="0" t="s">
        <v>628</v>
      </c>
      <c r="H207" s="0" t="s">
        <v>625</v>
      </c>
      <c r="I207" s="0" t="s">
        <v>626</v>
      </c>
      <c r="J207" s="0" t="s">
        <v>627</v>
      </c>
      <c r="K207" s="475" t="n">
        <v>36951</v>
      </c>
      <c r="L207" s="254" t="n">
        <v>109371.689823877</v>
      </c>
      <c r="M207" s="475" t="n">
        <v>36949</v>
      </c>
      <c r="N207" s="0" t="s">
        <v>136</v>
      </c>
      <c r="O207" s="0" t="n">
        <v>2.1</v>
      </c>
      <c r="P207" s="0" t="n">
        <v>0</v>
      </c>
      <c r="Q207" s="0" t="n">
        <v>0</v>
      </c>
      <c r="R207" s="0" t="n">
        <v>0</v>
      </c>
      <c r="S207" s="0" t="n">
        <v>0</v>
      </c>
      <c r="T207" s="0" t="s">
        <v>624</v>
      </c>
      <c r="U207" s="0" t="s">
        <v>149</v>
      </c>
      <c r="V207" s="0" t="s">
        <v>624</v>
      </c>
      <c r="W207" s="0" t="s">
        <v>569</v>
      </c>
      <c r="X207" s="0" t="s">
        <v>624</v>
      </c>
      <c r="Y207" s="0" t="s">
        <v>627</v>
      </c>
      <c r="Z207" s="0" t="s">
        <v>629</v>
      </c>
      <c r="AA207" s="0" t="s">
        <v>624</v>
      </c>
      <c r="AB207" s="0" t="s">
        <v>132</v>
      </c>
      <c r="AC207" s="254" t="n">
        <v>500000</v>
      </c>
      <c r="AD207" s="254" t="n">
        <v>34102.0647356588</v>
      </c>
      <c r="AE207" s="0" t="n">
        <v>0</v>
      </c>
      <c r="AF207" s="0" t="n">
        <v>0</v>
      </c>
      <c r="AG207" s="0" t="n">
        <v>0</v>
      </c>
      <c r="AH207" s="254" t="n">
        <v>10079.6736683059</v>
      </c>
      <c r="AI207" s="0" t="n">
        <v>226</v>
      </c>
      <c r="AJ207" s="0" t="s">
        <v>630</v>
      </c>
      <c r="AK207" s="0" t="n">
        <v>0</v>
      </c>
      <c r="AL207" s="0" t="n">
        <v>0</v>
      </c>
      <c r="AM207" s="0" t="n">
        <v>0</v>
      </c>
    </row>
    <row r="208" customFormat="false" ht="12.75" hidden="false" customHeight="false" outlineLevel="0" collapsed="false">
      <c r="A208" s="0" t="s">
        <v>621</v>
      </c>
      <c r="B208" s="0" t="s">
        <v>273</v>
      </c>
      <c r="C208" s="0" t="s">
        <v>622</v>
      </c>
      <c r="D208" s="0" t="s">
        <v>623</v>
      </c>
      <c r="E208" s="0" t="s">
        <v>131</v>
      </c>
      <c r="F208" s="0" t="s">
        <v>206</v>
      </c>
      <c r="G208" s="0" t="s">
        <v>628</v>
      </c>
      <c r="H208" s="0" t="s">
        <v>625</v>
      </c>
      <c r="I208" s="0" t="s">
        <v>626</v>
      </c>
      <c r="J208" s="0" t="s">
        <v>627</v>
      </c>
      <c r="K208" s="475" t="n">
        <v>36923</v>
      </c>
      <c r="L208" s="254" t="n">
        <v>339537.882994893</v>
      </c>
      <c r="M208" s="475" t="n">
        <v>36921</v>
      </c>
      <c r="N208" s="0" t="s">
        <v>136</v>
      </c>
      <c r="O208" s="0" t="n">
        <v>2.1</v>
      </c>
      <c r="P208" s="0" t="n">
        <v>0</v>
      </c>
      <c r="Q208" s="0" t="n">
        <v>0</v>
      </c>
      <c r="R208" s="0" t="n">
        <v>0</v>
      </c>
      <c r="S208" s="0" t="n">
        <v>0</v>
      </c>
      <c r="T208" s="0" t="s">
        <v>624</v>
      </c>
      <c r="U208" s="0" t="s">
        <v>149</v>
      </c>
      <c r="V208" s="0" t="s">
        <v>624</v>
      </c>
      <c r="W208" s="0" t="s">
        <v>569</v>
      </c>
      <c r="X208" s="0" t="s">
        <v>624</v>
      </c>
      <c r="Y208" s="0" t="s">
        <v>627</v>
      </c>
      <c r="Z208" s="0" t="s">
        <v>629</v>
      </c>
      <c r="AA208" s="0" t="s">
        <v>624</v>
      </c>
      <c r="AB208" s="0" t="s">
        <v>132</v>
      </c>
      <c r="AC208" s="254" t="n">
        <v>500000</v>
      </c>
      <c r="AD208" s="254" t="n">
        <v>42900.1831108571</v>
      </c>
      <c r="AE208" s="0" t="n">
        <v>0</v>
      </c>
      <c r="AF208" s="0" t="n">
        <v>0</v>
      </c>
      <c r="AG208" s="0" t="n">
        <v>0</v>
      </c>
      <c r="AH208" s="254" t="n">
        <v>20656.9088675829</v>
      </c>
      <c r="AI208" s="0" t="n">
        <v>226</v>
      </c>
      <c r="AJ208" s="0" t="s">
        <v>630</v>
      </c>
      <c r="AK208" s="0" t="n">
        <v>0</v>
      </c>
      <c r="AL208" s="0" t="n">
        <v>0</v>
      </c>
      <c r="AM208" s="0" t="n">
        <v>0</v>
      </c>
    </row>
    <row r="209" customFormat="false" ht="12.75" hidden="false" customHeight="false" outlineLevel="0" collapsed="false">
      <c r="A209" s="0" t="s">
        <v>621</v>
      </c>
      <c r="B209" s="0" t="s">
        <v>273</v>
      </c>
      <c r="C209" s="0" t="s">
        <v>622</v>
      </c>
      <c r="D209" s="0" t="s">
        <v>623</v>
      </c>
      <c r="E209" s="0" t="s">
        <v>131</v>
      </c>
      <c r="F209" s="0" t="s">
        <v>206</v>
      </c>
      <c r="G209" s="0" t="s">
        <v>628</v>
      </c>
      <c r="H209" s="0" t="s">
        <v>625</v>
      </c>
      <c r="I209" s="0" t="s">
        <v>626</v>
      </c>
      <c r="J209" s="0" t="s">
        <v>627</v>
      </c>
      <c r="K209" s="475" t="n">
        <v>36892</v>
      </c>
      <c r="L209" s="254" t="n">
        <v>341998.20047145</v>
      </c>
      <c r="M209" s="475" t="n">
        <v>36888</v>
      </c>
      <c r="N209" s="0" t="s">
        <v>136</v>
      </c>
      <c r="O209" s="0" t="n">
        <v>2.1</v>
      </c>
      <c r="P209" s="0" t="n">
        <v>0</v>
      </c>
      <c r="Q209" s="0" t="n">
        <v>0</v>
      </c>
      <c r="R209" s="0" t="n">
        <v>0</v>
      </c>
      <c r="S209" s="0" t="n">
        <v>0</v>
      </c>
      <c r="T209" s="0" t="s">
        <v>624</v>
      </c>
      <c r="U209" s="0" t="s">
        <v>149</v>
      </c>
      <c r="V209" s="0" t="s">
        <v>624</v>
      </c>
      <c r="W209" s="0" t="s">
        <v>569</v>
      </c>
      <c r="X209" s="0" t="s">
        <v>624</v>
      </c>
      <c r="Y209" s="0" t="s">
        <v>627</v>
      </c>
      <c r="Z209" s="0" t="s">
        <v>629</v>
      </c>
      <c r="AA209" s="0" t="s">
        <v>624</v>
      </c>
      <c r="AB209" s="0" t="s">
        <v>132</v>
      </c>
      <c r="AC209" s="254" t="n">
        <v>500000</v>
      </c>
      <c r="AD209" s="254" t="n">
        <v>39316.161845856</v>
      </c>
      <c r="AE209" s="0" t="n">
        <v>0</v>
      </c>
      <c r="AF209" s="0" t="n">
        <v>0</v>
      </c>
      <c r="AG209" s="0" t="n">
        <v>0</v>
      </c>
      <c r="AH209" s="254" t="n">
        <v>18334.6741251035</v>
      </c>
      <c r="AI209" s="0" t="n">
        <v>226</v>
      </c>
      <c r="AJ209" s="0" t="s">
        <v>630</v>
      </c>
      <c r="AK209" s="0" t="n">
        <v>0</v>
      </c>
      <c r="AL209" s="0" t="n">
        <v>0</v>
      </c>
      <c r="AM209" s="0" t="n">
        <v>0</v>
      </c>
    </row>
    <row r="210" customFormat="false" ht="12.75" hidden="false" customHeight="false" outlineLevel="0" collapsed="false">
      <c r="A210" s="0" t="s">
        <v>621</v>
      </c>
      <c r="B210" s="0" t="s">
        <v>273</v>
      </c>
      <c r="C210" s="0" t="s">
        <v>622</v>
      </c>
      <c r="D210" s="0" t="s">
        <v>623</v>
      </c>
      <c r="E210" s="0" t="s">
        <v>131</v>
      </c>
      <c r="F210" s="0" t="s">
        <v>206</v>
      </c>
      <c r="G210" s="0" t="s">
        <v>628</v>
      </c>
      <c r="H210" s="0" t="s">
        <v>625</v>
      </c>
      <c r="I210" s="0" t="s">
        <v>626</v>
      </c>
      <c r="J210" s="0" t="s">
        <v>627</v>
      </c>
      <c r="K210" s="475" t="n">
        <v>36861</v>
      </c>
      <c r="L210" s="254" t="n">
        <v>175629.046216954</v>
      </c>
      <c r="M210" s="475" t="n">
        <v>36859</v>
      </c>
      <c r="N210" s="0" t="s">
        <v>136</v>
      </c>
      <c r="O210" s="0" t="n">
        <v>2.1</v>
      </c>
      <c r="P210" s="0" t="n">
        <v>0</v>
      </c>
      <c r="Q210" s="0" t="n">
        <v>0</v>
      </c>
      <c r="R210" s="0" t="n">
        <v>0</v>
      </c>
      <c r="S210" s="0" t="n">
        <v>0</v>
      </c>
      <c r="T210" s="0" t="s">
        <v>624</v>
      </c>
      <c r="U210" s="0" t="s">
        <v>149</v>
      </c>
      <c r="V210" s="0" t="s">
        <v>624</v>
      </c>
      <c r="W210" s="0" t="s">
        <v>569</v>
      </c>
      <c r="X210" s="0" t="s">
        <v>624</v>
      </c>
      <c r="Y210" s="0" t="s">
        <v>627</v>
      </c>
      <c r="Z210" s="0" t="s">
        <v>629</v>
      </c>
      <c r="AA210" s="0" t="s">
        <v>624</v>
      </c>
      <c r="AB210" s="0" t="s">
        <v>132</v>
      </c>
      <c r="AC210" s="254" t="n">
        <v>500000</v>
      </c>
      <c r="AD210" s="254" t="n">
        <v>32963.3651911817</v>
      </c>
      <c r="AE210" s="0" t="n">
        <v>0</v>
      </c>
      <c r="AF210" s="0" t="n">
        <v>0</v>
      </c>
      <c r="AG210" s="0" t="n">
        <v>0</v>
      </c>
      <c r="AH210" s="254" t="n">
        <v>10689.6237188327</v>
      </c>
      <c r="AI210" s="0" t="n">
        <v>226</v>
      </c>
      <c r="AJ210" s="0" t="s">
        <v>630</v>
      </c>
      <c r="AK210" s="0" t="n">
        <v>0</v>
      </c>
      <c r="AL210" s="0" t="n">
        <v>0</v>
      </c>
      <c r="AM210" s="0" t="n">
        <v>0</v>
      </c>
    </row>
    <row r="211" customFormat="false" ht="12.75" hidden="false" customHeight="false" outlineLevel="0" collapsed="false">
      <c r="A211" s="0" t="s">
        <v>621</v>
      </c>
      <c r="B211" s="0" t="s">
        <v>273</v>
      </c>
      <c r="C211" s="0" t="s">
        <v>622</v>
      </c>
      <c r="D211" s="0" t="s">
        <v>623</v>
      </c>
      <c r="E211" s="0" t="s">
        <v>131</v>
      </c>
      <c r="F211" s="0" t="s">
        <v>206</v>
      </c>
      <c r="G211" s="0" t="s">
        <v>628</v>
      </c>
      <c r="H211" s="0" t="s">
        <v>625</v>
      </c>
      <c r="I211" s="0" t="s">
        <v>626</v>
      </c>
      <c r="J211" s="0" t="s">
        <v>627</v>
      </c>
      <c r="K211" s="475" t="n">
        <v>36831</v>
      </c>
      <c r="L211" s="254" t="n">
        <v>8097.71272854576</v>
      </c>
      <c r="M211" s="475" t="n">
        <v>36829</v>
      </c>
      <c r="N211" s="0" t="s">
        <v>136</v>
      </c>
      <c r="O211" s="0" t="n">
        <v>2.1</v>
      </c>
      <c r="P211" s="0" t="n">
        <v>0</v>
      </c>
      <c r="Q211" s="0" t="n">
        <v>0</v>
      </c>
      <c r="R211" s="0" t="n">
        <v>0</v>
      </c>
      <c r="S211" s="0" t="n">
        <v>0</v>
      </c>
      <c r="T211" s="0" t="s">
        <v>624</v>
      </c>
      <c r="U211" s="0" t="s">
        <v>149</v>
      </c>
      <c r="V211" s="0" t="s">
        <v>624</v>
      </c>
      <c r="W211" s="0" t="s">
        <v>569</v>
      </c>
      <c r="X211" s="0" t="s">
        <v>624</v>
      </c>
      <c r="Y211" s="0" t="s">
        <v>627</v>
      </c>
      <c r="Z211" s="0" t="s">
        <v>629</v>
      </c>
      <c r="AA211" s="0" t="s">
        <v>624</v>
      </c>
      <c r="AB211" s="0" t="s">
        <v>132</v>
      </c>
      <c r="AC211" s="254" t="n">
        <v>500000</v>
      </c>
      <c r="AD211" s="254" t="n">
        <v>5333.30390995144</v>
      </c>
      <c r="AE211" s="0" t="n">
        <v>0</v>
      </c>
      <c r="AF211" s="0" t="n">
        <v>0</v>
      </c>
      <c r="AG211" s="0" t="n">
        <v>0</v>
      </c>
      <c r="AH211" s="254" t="n">
        <v>1393.40333930981</v>
      </c>
      <c r="AI211" s="0" t="n">
        <v>226</v>
      </c>
      <c r="AJ211" s="0" t="s">
        <v>630</v>
      </c>
      <c r="AK211" s="0" t="n">
        <v>0</v>
      </c>
      <c r="AL211" s="0" t="n">
        <v>0</v>
      </c>
      <c r="AM211" s="0" t="n">
        <v>0</v>
      </c>
    </row>
    <row r="212" customFormat="false" ht="12.75" hidden="false" customHeight="false" outlineLevel="0" collapsed="false">
      <c r="A212" s="0" t="s">
        <v>621</v>
      </c>
      <c r="B212" s="0" t="s">
        <v>274</v>
      </c>
      <c r="C212" s="0" t="s">
        <v>622</v>
      </c>
      <c r="D212" s="0" t="s">
        <v>623</v>
      </c>
      <c r="E212" s="0" t="s">
        <v>131</v>
      </c>
      <c r="F212" s="0" t="s">
        <v>212</v>
      </c>
      <c r="G212" s="0" t="s">
        <v>628</v>
      </c>
      <c r="H212" s="0" t="s">
        <v>625</v>
      </c>
      <c r="I212" s="0" t="s">
        <v>626</v>
      </c>
      <c r="J212" s="0" t="s">
        <v>627</v>
      </c>
      <c r="K212" s="475" t="n">
        <v>36831</v>
      </c>
      <c r="L212" s="254" t="n">
        <v>170435.563861171</v>
      </c>
      <c r="M212" s="475" t="n">
        <v>36829</v>
      </c>
      <c r="N212" s="0" t="s">
        <v>136</v>
      </c>
      <c r="O212" s="0" t="n">
        <v>1</v>
      </c>
      <c r="P212" s="0" t="n">
        <v>0</v>
      </c>
      <c r="Q212" s="0" t="n">
        <v>0</v>
      </c>
      <c r="R212" s="0" t="n">
        <v>0</v>
      </c>
      <c r="S212" s="0" t="n">
        <v>0</v>
      </c>
      <c r="T212" s="0" t="s">
        <v>624</v>
      </c>
      <c r="U212" s="0" t="s">
        <v>149</v>
      </c>
      <c r="V212" s="0" t="s">
        <v>624</v>
      </c>
      <c r="W212" s="0" t="s">
        <v>569</v>
      </c>
      <c r="X212" s="0" t="s">
        <v>624</v>
      </c>
      <c r="Y212" s="0" t="s">
        <v>627</v>
      </c>
      <c r="Z212" s="0" t="s">
        <v>629</v>
      </c>
      <c r="AA212" s="0" t="s">
        <v>624</v>
      </c>
      <c r="AB212" s="0" t="s">
        <v>132</v>
      </c>
      <c r="AC212" s="254" t="n">
        <v>1000000</v>
      </c>
      <c r="AD212" s="254" t="n">
        <v>41813.9093437454</v>
      </c>
      <c r="AE212" s="0" t="n">
        <v>0</v>
      </c>
      <c r="AF212" s="0" t="n">
        <v>0</v>
      </c>
      <c r="AG212" s="0" t="n">
        <v>0</v>
      </c>
      <c r="AH212" s="254" t="n">
        <v>17333.0733965929</v>
      </c>
      <c r="AI212" s="0" t="n">
        <v>226</v>
      </c>
      <c r="AJ212" s="0" t="s">
        <v>630</v>
      </c>
      <c r="AK212" s="0" t="n">
        <v>0</v>
      </c>
      <c r="AL212" s="0" t="n">
        <v>0</v>
      </c>
      <c r="AM212" s="0" t="n">
        <v>0</v>
      </c>
    </row>
    <row r="213" customFormat="false" ht="12.75" hidden="false" customHeight="false" outlineLevel="0" collapsed="false">
      <c r="A213" s="0" t="s">
        <v>621</v>
      </c>
      <c r="B213" s="0" t="s">
        <v>276</v>
      </c>
      <c r="C213" s="0" t="s">
        <v>622</v>
      </c>
      <c r="D213" s="0" t="s">
        <v>623</v>
      </c>
      <c r="E213" s="0" t="s">
        <v>131</v>
      </c>
      <c r="F213" s="0" t="s">
        <v>275</v>
      </c>
      <c r="G213" s="0" t="s">
        <v>628</v>
      </c>
      <c r="H213" s="0" t="s">
        <v>625</v>
      </c>
      <c r="I213" s="0" t="s">
        <v>626</v>
      </c>
      <c r="J213" s="0" t="s">
        <v>627</v>
      </c>
      <c r="K213" s="475" t="n">
        <v>36951</v>
      </c>
      <c r="L213" s="254" t="n">
        <v>-102296.043542261</v>
      </c>
      <c r="M213" s="475" t="n">
        <v>36949</v>
      </c>
      <c r="N213" s="0" t="s">
        <v>136</v>
      </c>
      <c r="O213" s="0" t="n">
        <v>1.6</v>
      </c>
      <c r="P213" s="0" t="n">
        <v>0</v>
      </c>
      <c r="Q213" s="0" t="n">
        <v>0</v>
      </c>
      <c r="R213" s="0" t="n">
        <v>0</v>
      </c>
      <c r="S213" s="0" t="n">
        <v>0</v>
      </c>
      <c r="T213" s="0" t="s">
        <v>624</v>
      </c>
      <c r="U213" s="0" t="s">
        <v>149</v>
      </c>
      <c r="V213" s="0" t="s">
        <v>624</v>
      </c>
      <c r="W213" s="0" t="s">
        <v>569</v>
      </c>
      <c r="X213" s="0" t="s">
        <v>624</v>
      </c>
      <c r="Y213" s="0" t="s">
        <v>627</v>
      </c>
      <c r="Z213" s="0" t="s">
        <v>629</v>
      </c>
      <c r="AA213" s="0" t="s">
        <v>624</v>
      </c>
      <c r="AB213" s="0" t="s">
        <v>132</v>
      </c>
      <c r="AC213" s="254" t="n">
        <v>-310000</v>
      </c>
      <c r="AD213" s="254" t="n">
        <v>-25101.5071797367</v>
      </c>
      <c r="AE213" s="0" t="n">
        <v>0</v>
      </c>
      <c r="AF213" s="0" t="n">
        <v>0</v>
      </c>
      <c r="AG213" s="0" t="n">
        <v>0</v>
      </c>
      <c r="AH213" s="254" t="n">
        <v>-8414.90140861472</v>
      </c>
      <c r="AI213" s="0" t="n">
        <v>226</v>
      </c>
      <c r="AJ213" s="0" t="s">
        <v>630</v>
      </c>
      <c r="AK213" s="0" t="n">
        <v>0</v>
      </c>
      <c r="AL213" s="0" t="n">
        <v>0</v>
      </c>
      <c r="AM213" s="0" t="n">
        <v>0</v>
      </c>
    </row>
    <row r="214" customFormat="false" ht="12.75" hidden="false" customHeight="false" outlineLevel="0" collapsed="false">
      <c r="A214" s="0" t="s">
        <v>621</v>
      </c>
      <c r="B214" s="0" t="s">
        <v>276</v>
      </c>
      <c r="C214" s="0" t="s">
        <v>622</v>
      </c>
      <c r="D214" s="0" t="s">
        <v>623</v>
      </c>
      <c r="E214" s="0" t="s">
        <v>131</v>
      </c>
      <c r="F214" s="0" t="s">
        <v>275</v>
      </c>
      <c r="G214" s="0" t="s">
        <v>628</v>
      </c>
      <c r="H214" s="0" t="s">
        <v>625</v>
      </c>
      <c r="I214" s="0" t="s">
        <v>626</v>
      </c>
      <c r="J214" s="0" t="s">
        <v>627</v>
      </c>
      <c r="K214" s="475" t="n">
        <v>36923</v>
      </c>
      <c r="L214" s="254" t="n">
        <v>-253722.140116976</v>
      </c>
      <c r="M214" s="475" t="n">
        <v>36921</v>
      </c>
      <c r="N214" s="0" t="s">
        <v>136</v>
      </c>
      <c r="O214" s="0" t="n">
        <v>1.6</v>
      </c>
      <c r="P214" s="0" t="n">
        <v>0</v>
      </c>
      <c r="Q214" s="0" t="n">
        <v>0</v>
      </c>
      <c r="R214" s="0" t="n">
        <v>0</v>
      </c>
      <c r="S214" s="0" t="n">
        <v>0</v>
      </c>
      <c r="T214" s="0" t="s">
        <v>624</v>
      </c>
      <c r="U214" s="0" t="s">
        <v>149</v>
      </c>
      <c r="V214" s="0" t="s">
        <v>624</v>
      </c>
      <c r="W214" s="0" t="s">
        <v>569</v>
      </c>
      <c r="X214" s="0" t="s">
        <v>624</v>
      </c>
      <c r="Y214" s="0" t="s">
        <v>627</v>
      </c>
      <c r="Z214" s="0" t="s">
        <v>629</v>
      </c>
      <c r="AA214" s="0" t="s">
        <v>624</v>
      </c>
      <c r="AB214" s="0" t="s">
        <v>132</v>
      </c>
      <c r="AC214" s="254" t="n">
        <v>-280000</v>
      </c>
      <c r="AD214" s="254" t="n">
        <v>-23511.2186542006</v>
      </c>
      <c r="AE214" s="0" t="n">
        <v>0</v>
      </c>
      <c r="AF214" s="0" t="n">
        <v>0</v>
      </c>
      <c r="AG214" s="0" t="n">
        <v>0</v>
      </c>
      <c r="AH214" s="254" t="n">
        <v>-13700.2492667456</v>
      </c>
      <c r="AI214" s="0" t="n">
        <v>226</v>
      </c>
      <c r="AJ214" s="0" t="s">
        <v>630</v>
      </c>
      <c r="AK214" s="0" t="n">
        <v>0</v>
      </c>
      <c r="AL214" s="0" t="n">
        <v>0</v>
      </c>
      <c r="AM214" s="0" t="n">
        <v>0</v>
      </c>
    </row>
    <row r="215" customFormat="false" ht="12.75" hidden="false" customHeight="false" outlineLevel="0" collapsed="false">
      <c r="A215" s="0" t="s">
        <v>621</v>
      </c>
      <c r="B215" s="0" t="s">
        <v>276</v>
      </c>
      <c r="C215" s="0" t="s">
        <v>622</v>
      </c>
      <c r="D215" s="0" t="s">
        <v>623</v>
      </c>
      <c r="E215" s="0" t="s">
        <v>131</v>
      </c>
      <c r="F215" s="0" t="s">
        <v>275</v>
      </c>
      <c r="G215" s="0" t="s">
        <v>628</v>
      </c>
      <c r="H215" s="0" t="s">
        <v>625</v>
      </c>
      <c r="I215" s="0" t="s">
        <v>626</v>
      </c>
      <c r="J215" s="0" t="s">
        <v>627</v>
      </c>
      <c r="K215" s="475" t="n">
        <v>36892</v>
      </c>
      <c r="L215" s="254" t="n">
        <v>-287711.637491927</v>
      </c>
      <c r="M215" s="475" t="n">
        <v>36888</v>
      </c>
      <c r="N215" s="0" t="s">
        <v>136</v>
      </c>
      <c r="O215" s="0" t="n">
        <v>1.6</v>
      </c>
      <c r="P215" s="0" t="n">
        <v>0</v>
      </c>
      <c r="Q215" s="0" t="n">
        <v>0</v>
      </c>
      <c r="R215" s="0" t="n">
        <v>0</v>
      </c>
      <c r="S215" s="0" t="n">
        <v>0</v>
      </c>
      <c r="T215" s="0" t="s">
        <v>624</v>
      </c>
      <c r="U215" s="0" t="s">
        <v>149</v>
      </c>
      <c r="V215" s="0" t="s">
        <v>624</v>
      </c>
      <c r="W215" s="0" t="s">
        <v>569</v>
      </c>
      <c r="X215" s="0" t="s">
        <v>624</v>
      </c>
      <c r="Y215" s="0" t="s">
        <v>627</v>
      </c>
      <c r="Z215" s="0" t="s">
        <v>629</v>
      </c>
      <c r="AA215" s="0" t="s">
        <v>624</v>
      </c>
      <c r="AB215" s="0" t="s">
        <v>132</v>
      </c>
      <c r="AC215" s="254" t="n">
        <v>-310000</v>
      </c>
      <c r="AD215" s="254" t="n">
        <v>-23356.9683688456</v>
      </c>
      <c r="AE215" s="0" t="n">
        <v>0</v>
      </c>
      <c r="AF215" s="0" t="n">
        <v>0</v>
      </c>
      <c r="AG215" s="0" t="n">
        <v>0</v>
      </c>
      <c r="AH215" s="254" t="n">
        <v>-13496.8472072551</v>
      </c>
      <c r="AI215" s="0" t="n">
        <v>226</v>
      </c>
      <c r="AJ215" s="0" t="s">
        <v>630</v>
      </c>
      <c r="AK215" s="0" t="n">
        <v>0</v>
      </c>
      <c r="AL215" s="0" t="n">
        <v>0</v>
      </c>
      <c r="AM215" s="0" t="n">
        <v>0</v>
      </c>
    </row>
    <row r="216" customFormat="false" ht="12.75" hidden="false" customHeight="false" outlineLevel="0" collapsed="false">
      <c r="A216" s="0" t="s">
        <v>621</v>
      </c>
      <c r="B216" s="0" t="s">
        <v>276</v>
      </c>
      <c r="C216" s="0" t="s">
        <v>622</v>
      </c>
      <c r="D216" s="0" t="s">
        <v>623</v>
      </c>
      <c r="E216" s="0" t="s">
        <v>131</v>
      </c>
      <c r="F216" s="0" t="s">
        <v>275</v>
      </c>
      <c r="G216" s="0" t="s">
        <v>628</v>
      </c>
      <c r="H216" s="0" t="s">
        <v>625</v>
      </c>
      <c r="I216" s="0" t="s">
        <v>626</v>
      </c>
      <c r="J216" s="0" t="s">
        <v>627</v>
      </c>
      <c r="K216" s="475" t="n">
        <v>36861</v>
      </c>
      <c r="L216" s="254" t="n">
        <v>-165956.314777219</v>
      </c>
      <c r="M216" s="475" t="n">
        <v>36859</v>
      </c>
      <c r="N216" s="0" t="s">
        <v>136</v>
      </c>
      <c r="O216" s="0" t="n">
        <v>1.6</v>
      </c>
      <c r="P216" s="0" t="n">
        <v>0</v>
      </c>
      <c r="Q216" s="0" t="n">
        <v>0</v>
      </c>
      <c r="R216" s="0" t="n">
        <v>0</v>
      </c>
      <c r="S216" s="0" t="n">
        <v>0</v>
      </c>
      <c r="T216" s="0" t="s">
        <v>624</v>
      </c>
      <c r="U216" s="0" t="s">
        <v>149</v>
      </c>
      <c r="V216" s="0" t="s">
        <v>624</v>
      </c>
      <c r="W216" s="0" t="s">
        <v>569</v>
      </c>
      <c r="X216" s="0" t="s">
        <v>624</v>
      </c>
      <c r="Y216" s="0" t="s">
        <v>627</v>
      </c>
      <c r="Z216" s="0" t="s">
        <v>629</v>
      </c>
      <c r="AA216" s="0" t="s">
        <v>624</v>
      </c>
      <c r="AB216" s="0" t="s">
        <v>132</v>
      </c>
      <c r="AC216" s="254" t="n">
        <v>-310000</v>
      </c>
      <c r="AD216" s="254" t="n">
        <v>-21948.7448827056</v>
      </c>
      <c r="AE216" s="0" t="n">
        <v>0</v>
      </c>
      <c r="AF216" s="0" t="n">
        <v>0</v>
      </c>
      <c r="AG216" s="0" t="n">
        <v>0</v>
      </c>
      <c r="AH216" s="254" t="n">
        <v>-8631.54778714126</v>
      </c>
      <c r="AI216" s="0" t="n">
        <v>226</v>
      </c>
      <c r="AJ216" s="0" t="s">
        <v>630</v>
      </c>
      <c r="AK216" s="0" t="n">
        <v>0</v>
      </c>
      <c r="AL216" s="0" t="n">
        <v>0</v>
      </c>
      <c r="AM216" s="0" t="n">
        <v>0</v>
      </c>
    </row>
    <row r="217" customFormat="false" ht="12.75" hidden="false" customHeight="false" outlineLevel="0" collapsed="false">
      <c r="A217" s="0" t="s">
        <v>621</v>
      </c>
      <c r="B217" s="0" t="s">
        <v>276</v>
      </c>
      <c r="C217" s="0" t="s">
        <v>622</v>
      </c>
      <c r="D217" s="0" t="s">
        <v>623</v>
      </c>
      <c r="E217" s="0" t="s">
        <v>131</v>
      </c>
      <c r="F217" s="0" t="s">
        <v>275</v>
      </c>
      <c r="G217" s="0" t="s">
        <v>628</v>
      </c>
      <c r="H217" s="0" t="s">
        <v>625</v>
      </c>
      <c r="I217" s="0" t="s">
        <v>626</v>
      </c>
      <c r="J217" s="0" t="s">
        <v>627</v>
      </c>
      <c r="K217" s="475" t="n">
        <v>36831</v>
      </c>
      <c r="L217" s="254" t="n">
        <v>-14866.4863781267</v>
      </c>
      <c r="M217" s="475" t="n">
        <v>36829</v>
      </c>
      <c r="N217" s="0" t="s">
        <v>136</v>
      </c>
      <c r="O217" s="0" t="n">
        <v>1.6</v>
      </c>
      <c r="P217" s="0" t="n">
        <v>0</v>
      </c>
      <c r="Q217" s="0" t="n">
        <v>0</v>
      </c>
      <c r="R217" s="0" t="n">
        <v>0</v>
      </c>
      <c r="S217" s="0" t="n">
        <v>0</v>
      </c>
      <c r="T217" s="0" t="s">
        <v>624</v>
      </c>
      <c r="U217" s="0" t="s">
        <v>149</v>
      </c>
      <c r="V217" s="0" t="s">
        <v>624</v>
      </c>
      <c r="W217" s="0" t="s">
        <v>569</v>
      </c>
      <c r="X217" s="0" t="s">
        <v>624</v>
      </c>
      <c r="Y217" s="0" t="s">
        <v>627</v>
      </c>
      <c r="Z217" s="0" t="s">
        <v>629</v>
      </c>
      <c r="AA217" s="0" t="s">
        <v>624</v>
      </c>
      <c r="AB217" s="0" t="s">
        <v>132</v>
      </c>
      <c r="AC217" s="254" t="n">
        <v>-300000</v>
      </c>
      <c r="AD217" s="254" t="n">
        <v>-6902.36656446816</v>
      </c>
      <c r="AE217" s="0" t="n">
        <v>0</v>
      </c>
      <c r="AF217" s="0" t="n">
        <v>0</v>
      </c>
      <c r="AG217" s="0" t="n">
        <v>0</v>
      </c>
      <c r="AH217" s="254" t="n">
        <v>-2087.49823023696</v>
      </c>
      <c r="AI217" s="0" t="n">
        <v>226</v>
      </c>
      <c r="AJ217" s="0" t="s">
        <v>630</v>
      </c>
      <c r="AK217" s="0" t="n">
        <v>0</v>
      </c>
      <c r="AL217" s="0" t="n">
        <v>0</v>
      </c>
      <c r="AM217" s="0" t="n">
        <v>0</v>
      </c>
    </row>
    <row r="218" customFormat="false" ht="12.75" hidden="false" customHeight="false" outlineLevel="0" collapsed="false">
      <c r="A218" s="0" t="s">
        <v>621</v>
      </c>
      <c r="B218" s="0" t="s">
        <v>277</v>
      </c>
      <c r="C218" s="0" t="s">
        <v>622</v>
      </c>
      <c r="D218" s="0" t="s">
        <v>623</v>
      </c>
      <c r="E218" s="0" t="s">
        <v>131</v>
      </c>
      <c r="F218" s="0" t="s">
        <v>275</v>
      </c>
      <c r="G218" s="0" t="s">
        <v>628</v>
      </c>
      <c r="H218" s="0" t="s">
        <v>625</v>
      </c>
      <c r="I218" s="0" t="s">
        <v>626</v>
      </c>
      <c r="J218" s="0" t="s">
        <v>627</v>
      </c>
      <c r="K218" s="475" t="n">
        <v>36951</v>
      </c>
      <c r="L218" s="254" t="n">
        <v>67810.4476908038</v>
      </c>
      <c r="M218" s="475" t="n">
        <v>36949</v>
      </c>
      <c r="N218" s="0" t="s">
        <v>136</v>
      </c>
      <c r="O218" s="0" t="n">
        <v>2.1</v>
      </c>
      <c r="P218" s="0" t="n">
        <v>0</v>
      </c>
      <c r="Q218" s="0" t="n">
        <v>0</v>
      </c>
      <c r="R218" s="0" t="n">
        <v>0</v>
      </c>
      <c r="S218" s="0" t="n">
        <v>0</v>
      </c>
      <c r="T218" s="0" t="s">
        <v>624</v>
      </c>
      <c r="U218" s="0" t="s">
        <v>149</v>
      </c>
      <c r="V218" s="0" t="s">
        <v>624</v>
      </c>
      <c r="W218" s="0" t="s">
        <v>569</v>
      </c>
      <c r="X218" s="0" t="s">
        <v>624</v>
      </c>
      <c r="Y218" s="0" t="s">
        <v>627</v>
      </c>
      <c r="Z218" s="0" t="s">
        <v>629</v>
      </c>
      <c r="AA218" s="0" t="s">
        <v>624</v>
      </c>
      <c r="AB218" s="0" t="s">
        <v>132</v>
      </c>
      <c r="AC218" s="254" t="n">
        <v>310000</v>
      </c>
      <c r="AD218" s="254" t="n">
        <v>21143.2801361084</v>
      </c>
      <c r="AE218" s="0" t="n">
        <v>0</v>
      </c>
      <c r="AF218" s="0" t="n">
        <v>0</v>
      </c>
      <c r="AG218" s="0" t="n">
        <v>0</v>
      </c>
      <c r="AH218" s="254" t="n">
        <v>6249.39767434967</v>
      </c>
      <c r="AI218" s="0" t="n">
        <v>226</v>
      </c>
      <c r="AJ218" s="0" t="s">
        <v>630</v>
      </c>
      <c r="AK218" s="0" t="n">
        <v>0</v>
      </c>
      <c r="AL218" s="0" t="n">
        <v>0</v>
      </c>
      <c r="AM218" s="0" t="n">
        <v>0</v>
      </c>
    </row>
    <row r="219" customFormat="false" ht="12.75" hidden="false" customHeight="false" outlineLevel="0" collapsed="false">
      <c r="A219" s="0" t="s">
        <v>621</v>
      </c>
      <c r="B219" s="0" t="s">
        <v>277</v>
      </c>
      <c r="C219" s="0" t="s">
        <v>622</v>
      </c>
      <c r="D219" s="0" t="s">
        <v>623</v>
      </c>
      <c r="E219" s="0" t="s">
        <v>131</v>
      </c>
      <c r="F219" s="0" t="s">
        <v>275</v>
      </c>
      <c r="G219" s="0" t="s">
        <v>628</v>
      </c>
      <c r="H219" s="0" t="s">
        <v>625</v>
      </c>
      <c r="I219" s="0" t="s">
        <v>626</v>
      </c>
      <c r="J219" s="0" t="s">
        <v>627</v>
      </c>
      <c r="K219" s="475" t="n">
        <v>36923</v>
      </c>
      <c r="L219" s="254" t="n">
        <v>190141.21447714</v>
      </c>
      <c r="M219" s="475" t="n">
        <v>36921</v>
      </c>
      <c r="N219" s="0" t="s">
        <v>136</v>
      </c>
      <c r="O219" s="0" t="n">
        <v>2.1</v>
      </c>
      <c r="P219" s="0" t="n">
        <v>0</v>
      </c>
      <c r="Q219" s="0" t="n">
        <v>0</v>
      </c>
      <c r="R219" s="0" t="n">
        <v>0</v>
      </c>
      <c r="S219" s="0" t="n">
        <v>0</v>
      </c>
      <c r="T219" s="0" t="s">
        <v>624</v>
      </c>
      <c r="U219" s="0" t="s">
        <v>149</v>
      </c>
      <c r="V219" s="0" t="s">
        <v>624</v>
      </c>
      <c r="W219" s="0" t="s">
        <v>569</v>
      </c>
      <c r="X219" s="0" t="s">
        <v>624</v>
      </c>
      <c r="Y219" s="0" t="s">
        <v>627</v>
      </c>
      <c r="Z219" s="0" t="s">
        <v>629</v>
      </c>
      <c r="AA219" s="0" t="s">
        <v>624</v>
      </c>
      <c r="AB219" s="0" t="s">
        <v>132</v>
      </c>
      <c r="AC219" s="254" t="n">
        <v>280000</v>
      </c>
      <c r="AD219" s="254" t="n">
        <v>24024.1025420799</v>
      </c>
      <c r="AE219" s="0" t="n">
        <v>0</v>
      </c>
      <c r="AF219" s="0" t="n">
        <v>0</v>
      </c>
      <c r="AG219" s="0" t="n">
        <v>0</v>
      </c>
      <c r="AH219" s="254" t="n">
        <v>11567.8689658464</v>
      </c>
      <c r="AI219" s="0" t="n">
        <v>226</v>
      </c>
      <c r="AJ219" s="0" t="s">
        <v>630</v>
      </c>
      <c r="AK219" s="0" t="n">
        <v>0</v>
      </c>
      <c r="AL219" s="0" t="n">
        <v>0</v>
      </c>
      <c r="AM219" s="0" t="n">
        <v>0</v>
      </c>
    </row>
    <row r="220" customFormat="false" ht="12.75" hidden="false" customHeight="false" outlineLevel="0" collapsed="false">
      <c r="A220" s="0" t="s">
        <v>621</v>
      </c>
      <c r="B220" s="0" t="s">
        <v>277</v>
      </c>
      <c r="C220" s="0" t="s">
        <v>622</v>
      </c>
      <c r="D220" s="0" t="s">
        <v>623</v>
      </c>
      <c r="E220" s="0" t="s">
        <v>131</v>
      </c>
      <c r="F220" s="0" t="s">
        <v>275</v>
      </c>
      <c r="G220" s="0" t="s">
        <v>628</v>
      </c>
      <c r="H220" s="0" t="s">
        <v>625</v>
      </c>
      <c r="I220" s="0" t="s">
        <v>626</v>
      </c>
      <c r="J220" s="0" t="s">
        <v>627</v>
      </c>
      <c r="K220" s="475" t="n">
        <v>36892</v>
      </c>
      <c r="L220" s="254" t="n">
        <v>212038.884292299</v>
      </c>
      <c r="M220" s="475" t="n">
        <v>36888</v>
      </c>
      <c r="N220" s="0" t="s">
        <v>136</v>
      </c>
      <c r="O220" s="0" t="n">
        <v>2.1</v>
      </c>
      <c r="P220" s="0" t="n">
        <v>0</v>
      </c>
      <c r="Q220" s="0" t="n">
        <v>0</v>
      </c>
      <c r="R220" s="0" t="n">
        <v>0</v>
      </c>
      <c r="S220" s="0" t="n">
        <v>0</v>
      </c>
      <c r="T220" s="0" t="s">
        <v>624</v>
      </c>
      <c r="U220" s="0" t="s">
        <v>149</v>
      </c>
      <c r="V220" s="0" t="s">
        <v>624</v>
      </c>
      <c r="W220" s="0" t="s">
        <v>569</v>
      </c>
      <c r="X220" s="0" t="s">
        <v>624</v>
      </c>
      <c r="Y220" s="0" t="s">
        <v>627</v>
      </c>
      <c r="Z220" s="0" t="s">
        <v>629</v>
      </c>
      <c r="AA220" s="0" t="s">
        <v>624</v>
      </c>
      <c r="AB220" s="0" t="s">
        <v>132</v>
      </c>
      <c r="AC220" s="254" t="n">
        <v>310000</v>
      </c>
      <c r="AD220" s="254" t="n">
        <v>24376.0203444307</v>
      </c>
      <c r="AE220" s="0" t="n">
        <v>0</v>
      </c>
      <c r="AF220" s="0" t="n">
        <v>0</v>
      </c>
      <c r="AG220" s="0" t="n">
        <v>0</v>
      </c>
      <c r="AH220" s="254" t="n">
        <v>11367.4979575642</v>
      </c>
      <c r="AI220" s="0" t="n">
        <v>226</v>
      </c>
      <c r="AJ220" s="0" t="s">
        <v>630</v>
      </c>
      <c r="AK220" s="0" t="n">
        <v>0</v>
      </c>
      <c r="AL220" s="0" t="n">
        <v>0</v>
      </c>
      <c r="AM220" s="0" t="n">
        <v>0</v>
      </c>
    </row>
    <row r="221" customFormat="false" ht="12.75" hidden="false" customHeight="false" outlineLevel="0" collapsed="false">
      <c r="A221" s="0" t="s">
        <v>621</v>
      </c>
      <c r="B221" s="0" t="s">
        <v>277</v>
      </c>
      <c r="C221" s="0" t="s">
        <v>622</v>
      </c>
      <c r="D221" s="0" t="s">
        <v>623</v>
      </c>
      <c r="E221" s="0" t="s">
        <v>131</v>
      </c>
      <c r="F221" s="0" t="s">
        <v>275</v>
      </c>
      <c r="G221" s="0" t="s">
        <v>628</v>
      </c>
      <c r="H221" s="0" t="s">
        <v>625</v>
      </c>
      <c r="I221" s="0" t="s">
        <v>626</v>
      </c>
      <c r="J221" s="0" t="s">
        <v>627</v>
      </c>
      <c r="K221" s="475" t="n">
        <v>36861</v>
      </c>
      <c r="L221" s="254" t="n">
        <v>108890.008654511</v>
      </c>
      <c r="M221" s="475" t="n">
        <v>36859</v>
      </c>
      <c r="N221" s="0" t="s">
        <v>136</v>
      </c>
      <c r="O221" s="0" t="n">
        <v>2.1</v>
      </c>
      <c r="P221" s="0" t="n">
        <v>0</v>
      </c>
      <c r="Q221" s="0" t="n">
        <v>0</v>
      </c>
      <c r="R221" s="0" t="n">
        <v>0</v>
      </c>
      <c r="S221" s="0" t="n">
        <v>0</v>
      </c>
      <c r="T221" s="0" t="s">
        <v>624</v>
      </c>
      <c r="U221" s="0" t="s">
        <v>149</v>
      </c>
      <c r="V221" s="0" t="s">
        <v>624</v>
      </c>
      <c r="W221" s="0" t="s">
        <v>569</v>
      </c>
      <c r="X221" s="0" t="s">
        <v>624</v>
      </c>
      <c r="Y221" s="0" t="s">
        <v>627</v>
      </c>
      <c r="Z221" s="0" t="s">
        <v>629</v>
      </c>
      <c r="AA221" s="0" t="s">
        <v>624</v>
      </c>
      <c r="AB221" s="0" t="s">
        <v>132</v>
      </c>
      <c r="AC221" s="254" t="n">
        <v>310000</v>
      </c>
      <c r="AD221" s="254" t="n">
        <v>20437.2864185327</v>
      </c>
      <c r="AE221" s="0" t="n">
        <v>0</v>
      </c>
      <c r="AF221" s="0" t="n">
        <v>0</v>
      </c>
      <c r="AG221" s="0" t="n">
        <v>0</v>
      </c>
      <c r="AH221" s="254" t="n">
        <v>6627.56670567629</v>
      </c>
      <c r="AI221" s="0" t="n">
        <v>226</v>
      </c>
      <c r="AJ221" s="0" t="s">
        <v>630</v>
      </c>
      <c r="AK221" s="0" t="n">
        <v>0</v>
      </c>
      <c r="AL221" s="0" t="n">
        <v>0</v>
      </c>
      <c r="AM221" s="0" t="n">
        <v>0</v>
      </c>
    </row>
    <row r="222" customFormat="false" ht="12.75" hidden="false" customHeight="false" outlineLevel="0" collapsed="false">
      <c r="A222" s="0" t="s">
        <v>621</v>
      </c>
      <c r="B222" s="0" t="s">
        <v>277</v>
      </c>
      <c r="C222" s="0" t="s">
        <v>622</v>
      </c>
      <c r="D222" s="0" t="s">
        <v>623</v>
      </c>
      <c r="E222" s="0" t="s">
        <v>131</v>
      </c>
      <c r="F222" s="0" t="s">
        <v>275</v>
      </c>
      <c r="G222" s="0" t="s">
        <v>628</v>
      </c>
      <c r="H222" s="0" t="s">
        <v>625</v>
      </c>
      <c r="I222" s="0" t="s">
        <v>626</v>
      </c>
      <c r="J222" s="0" t="s">
        <v>627</v>
      </c>
      <c r="K222" s="475" t="n">
        <v>36831</v>
      </c>
      <c r="L222" s="254" t="n">
        <v>4858.62763712746</v>
      </c>
      <c r="M222" s="475" t="n">
        <v>36829</v>
      </c>
      <c r="N222" s="0" t="s">
        <v>136</v>
      </c>
      <c r="O222" s="0" t="n">
        <v>2.1</v>
      </c>
      <c r="P222" s="0" t="n">
        <v>0</v>
      </c>
      <c r="Q222" s="0" t="n">
        <v>0</v>
      </c>
      <c r="R222" s="0" t="n">
        <v>0</v>
      </c>
      <c r="S222" s="0" t="n">
        <v>0</v>
      </c>
      <c r="T222" s="0" t="s">
        <v>624</v>
      </c>
      <c r="U222" s="0" t="s">
        <v>149</v>
      </c>
      <c r="V222" s="0" t="s">
        <v>624</v>
      </c>
      <c r="W222" s="0" t="s">
        <v>569</v>
      </c>
      <c r="X222" s="0" t="s">
        <v>624</v>
      </c>
      <c r="Y222" s="0" t="s">
        <v>627</v>
      </c>
      <c r="Z222" s="0" t="s">
        <v>629</v>
      </c>
      <c r="AA222" s="0" t="s">
        <v>624</v>
      </c>
      <c r="AB222" s="0" t="s">
        <v>132</v>
      </c>
      <c r="AC222" s="254" t="n">
        <v>300000</v>
      </c>
      <c r="AD222" s="254" t="n">
        <v>3199.98234597087</v>
      </c>
      <c r="AE222" s="0" t="n">
        <v>0</v>
      </c>
      <c r="AF222" s="0" t="n">
        <v>0</v>
      </c>
      <c r="AG222" s="0" t="n">
        <v>0</v>
      </c>
      <c r="AH222" s="254" t="n">
        <v>836.042003585889</v>
      </c>
      <c r="AI222" s="0" t="n">
        <v>226</v>
      </c>
      <c r="AJ222" s="0" t="s">
        <v>630</v>
      </c>
      <c r="AK222" s="0" t="n">
        <v>0</v>
      </c>
      <c r="AL222" s="0" t="n">
        <v>0</v>
      </c>
      <c r="AM222" s="0" t="n">
        <v>0</v>
      </c>
    </row>
    <row r="223" customFormat="false" ht="12.75" hidden="false" customHeight="false" outlineLevel="0" collapsed="false">
      <c r="A223" s="0" t="s">
        <v>621</v>
      </c>
      <c r="B223" s="0" t="s">
        <v>279</v>
      </c>
      <c r="C223" s="0" t="s">
        <v>622</v>
      </c>
      <c r="D223" s="0" t="s">
        <v>623</v>
      </c>
      <c r="E223" s="0" t="s">
        <v>131</v>
      </c>
      <c r="F223" s="0" t="s">
        <v>278</v>
      </c>
      <c r="G223" s="0" t="s">
        <v>628</v>
      </c>
      <c r="H223" s="0" t="s">
        <v>625</v>
      </c>
      <c r="I223" s="0" t="s">
        <v>626</v>
      </c>
      <c r="J223" s="0" t="s">
        <v>627</v>
      </c>
      <c r="K223" s="475" t="n">
        <v>36892</v>
      </c>
      <c r="L223" s="254" t="n">
        <v>20693.9154478533</v>
      </c>
      <c r="M223" s="475" t="n">
        <v>36888</v>
      </c>
      <c r="N223" s="0" t="s">
        <v>136</v>
      </c>
      <c r="O223" s="0" t="n">
        <v>0.15</v>
      </c>
      <c r="P223" s="0" t="n">
        <v>0</v>
      </c>
      <c r="Q223" s="0" t="n">
        <v>0</v>
      </c>
      <c r="R223" s="0" t="n">
        <v>0</v>
      </c>
      <c r="S223" s="0" t="n">
        <v>0</v>
      </c>
      <c r="T223" s="0" t="s">
        <v>624</v>
      </c>
      <c r="U223" s="0" t="s">
        <v>632</v>
      </c>
      <c r="V223" s="0" t="s">
        <v>624</v>
      </c>
      <c r="W223" s="0" t="s">
        <v>569</v>
      </c>
      <c r="X223" s="0" t="s">
        <v>624</v>
      </c>
      <c r="Y223" s="0" t="s">
        <v>627</v>
      </c>
      <c r="Z223" s="0" t="s">
        <v>629</v>
      </c>
      <c r="AA223" s="0" t="s">
        <v>624</v>
      </c>
      <c r="AB223" s="0" t="s">
        <v>132</v>
      </c>
      <c r="AC223" s="254" t="n">
        <v>465000</v>
      </c>
      <c r="AD223" s="254" t="n">
        <v>4517.18049540071</v>
      </c>
      <c r="AE223" s="0" t="n">
        <v>0</v>
      </c>
      <c r="AF223" s="0" t="n">
        <v>0</v>
      </c>
      <c r="AG223" s="0" t="n">
        <v>0</v>
      </c>
      <c r="AH223" s="254" t="n">
        <v>217.411461283391</v>
      </c>
      <c r="AI223" s="0" t="n">
        <v>226</v>
      </c>
      <c r="AJ223" s="0" t="s">
        <v>630</v>
      </c>
      <c r="AK223" s="0" t="n">
        <v>0</v>
      </c>
      <c r="AL223" s="0" t="n">
        <v>0</v>
      </c>
      <c r="AM223" s="0" t="n">
        <v>0</v>
      </c>
    </row>
    <row r="224" customFormat="false" ht="12.75" hidden="false" customHeight="false" outlineLevel="0" collapsed="false">
      <c r="A224" s="0" t="s">
        <v>621</v>
      </c>
      <c r="B224" s="0" t="s">
        <v>279</v>
      </c>
      <c r="C224" s="0" t="s">
        <v>622</v>
      </c>
      <c r="D224" s="0" t="s">
        <v>623</v>
      </c>
      <c r="E224" s="0" t="s">
        <v>131</v>
      </c>
      <c r="F224" s="0" t="s">
        <v>278</v>
      </c>
      <c r="G224" s="0" t="s">
        <v>628</v>
      </c>
      <c r="H224" s="0" t="s">
        <v>625</v>
      </c>
      <c r="I224" s="0" t="s">
        <v>626</v>
      </c>
      <c r="J224" s="0" t="s">
        <v>627</v>
      </c>
      <c r="K224" s="475" t="n">
        <v>36861</v>
      </c>
      <c r="L224" s="254" t="n">
        <v>12713.9279342649</v>
      </c>
      <c r="M224" s="475" t="n">
        <v>36859</v>
      </c>
      <c r="N224" s="0" t="s">
        <v>136</v>
      </c>
      <c r="O224" s="0" t="n">
        <v>0.15</v>
      </c>
      <c r="P224" s="0" t="n">
        <v>0</v>
      </c>
      <c r="Q224" s="0" t="n">
        <v>0</v>
      </c>
      <c r="R224" s="0" t="n">
        <v>0</v>
      </c>
      <c r="S224" s="0" t="n">
        <v>0</v>
      </c>
      <c r="T224" s="0" t="s">
        <v>624</v>
      </c>
      <c r="U224" s="0" t="s">
        <v>632</v>
      </c>
      <c r="V224" s="0" t="s">
        <v>624</v>
      </c>
      <c r="W224" s="0" t="s">
        <v>569</v>
      </c>
      <c r="X224" s="0" t="s">
        <v>624</v>
      </c>
      <c r="Y224" s="0" t="s">
        <v>627</v>
      </c>
      <c r="Z224" s="0" t="s">
        <v>629</v>
      </c>
      <c r="AA224" s="0" t="s">
        <v>624</v>
      </c>
      <c r="AB224" s="0" t="s">
        <v>132</v>
      </c>
      <c r="AC224" s="254" t="n">
        <v>465000</v>
      </c>
      <c r="AD224" s="254" t="n">
        <v>3684.86366380792</v>
      </c>
      <c r="AE224" s="0" t="n">
        <v>0</v>
      </c>
      <c r="AF224" s="0" t="n">
        <v>0</v>
      </c>
      <c r="AG224" s="0" t="n">
        <v>0</v>
      </c>
      <c r="AH224" s="254" t="n">
        <v>185.522311290153</v>
      </c>
      <c r="AI224" s="0" t="n">
        <v>226</v>
      </c>
      <c r="AJ224" s="0" t="s">
        <v>630</v>
      </c>
      <c r="AK224" s="0" t="n">
        <v>0</v>
      </c>
      <c r="AL224" s="0" t="n">
        <v>0</v>
      </c>
      <c r="AM224" s="0" t="n">
        <v>0</v>
      </c>
    </row>
    <row r="225" customFormat="false" ht="12.75" hidden="false" customHeight="false" outlineLevel="0" collapsed="false">
      <c r="A225" s="0" t="s">
        <v>621</v>
      </c>
      <c r="B225" s="0" t="s">
        <v>280</v>
      </c>
      <c r="C225" s="0" t="s">
        <v>622</v>
      </c>
      <c r="D225" s="0" t="s">
        <v>623</v>
      </c>
      <c r="E225" s="0" t="s">
        <v>131</v>
      </c>
      <c r="F225" s="0" t="s">
        <v>210</v>
      </c>
      <c r="G225" s="0" t="s">
        <v>628</v>
      </c>
      <c r="H225" s="0" t="s">
        <v>625</v>
      </c>
      <c r="I225" s="0" t="s">
        <v>626</v>
      </c>
      <c r="J225" s="0" t="s">
        <v>627</v>
      </c>
      <c r="K225" s="475" t="n">
        <v>36800</v>
      </c>
      <c r="L225" s="254" t="n">
        <v>11483.8975567405</v>
      </c>
      <c r="M225" s="475" t="n">
        <v>36797</v>
      </c>
      <c r="N225" s="0" t="s">
        <v>132</v>
      </c>
      <c r="O225" s="0" t="n">
        <v>0.3</v>
      </c>
      <c r="P225" s="0" t="n">
        <v>0</v>
      </c>
      <c r="Q225" s="0" t="n">
        <v>0</v>
      </c>
      <c r="R225" s="0" t="n">
        <v>0</v>
      </c>
      <c r="S225" s="0" t="n">
        <v>0</v>
      </c>
      <c r="T225" s="0" t="s">
        <v>624</v>
      </c>
      <c r="U225" s="0" t="s">
        <v>149</v>
      </c>
      <c r="V225" s="0" t="s">
        <v>624</v>
      </c>
      <c r="W225" s="0" t="s">
        <v>569</v>
      </c>
      <c r="X225" s="0" t="s">
        <v>624</v>
      </c>
      <c r="Y225" s="0" t="s">
        <v>627</v>
      </c>
      <c r="Z225" s="0" t="s">
        <v>629</v>
      </c>
      <c r="AA225" s="0" t="s">
        <v>624</v>
      </c>
      <c r="AB225" s="0" t="s">
        <v>132</v>
      </c>
      <c r="AC225" s="254" t="n">
        <v>1550000</v>
      </c>
      <c r="AD225" s="254" t="n">
        <v>6066.89202195377</v>
      </c>
      <c r="AE225" s="0" t="n">
        <v>0</v>
      </c>
      <c r="AF225" s="0" t="n">
        <v>0</v>
      </c>
      <c r="AG225" s="0" t="n">
        <v>0</v>
      </c>
      <c r="AH225" s="254" t="n">
        <v>351.278610356019</v>
      </c>
      <c r="AI225" s="0" t="n">
        <v>226</v>
      </c>
      <c r="AJ225" s="0" t="s">
        <v>630</v>
      </c>
      <c r="AK225" s="0" t="n">
        <v>0</v>
      </c>
      <c r="AL225" s="0" t="n">
        <v>0</v>
      </c>
      <c r="AM225" s="0" t="n">
        <v>0</v>
      </c>
    </row>
    <row r="226" customFormat="false" ht="12.75" hidden="false" customHeight="false" outlineLevel="0" collapsed="false">
      <c r="A226" s="0" t="s">
        <v>621</v>
      </c>
      <c r="B226" s="0" t="s">
        <v>280</v>
      </c>
      <c r="C226" s="0" t="s">
        <v>622</v>
      </c>
      <c r="D226" s="0" t="s">
        <v>623</v>
      </c>
      <c r="E226" s="0" t="s">
        <v>131</v>
      </c>
      <c r="F226" s="0" t="s">
        <v>210</v>
      </c>
      <c r="G226" s="0" t="s">
        <v>628</v>
      </c>
      <c r="H226" s="0" t="s">
        <v>625</v>
      </c>
      <c r="I226" s="0" t="s">
        <v>626</v>
      </c>
      <c r="J226" s="0" t="s">
        <v>627</v>
      </c>
      <c r="K226" s="475" t="n">
        <v>36770</v>
      </c>
      <c r="L226" s="254" t="n">
        <v>3212.9666252923</v>
      </c>
      <c r="M226" s="475" t="n">
        <v>36768</v>
      </c>
      <c r="N226" s="0" t="s">
        <v>132</v>
      </c>
      <c r="O226" s="0" t="n">
        <v>0.3</v>
      </c>
      <c r="P226" s="0" t="n">
        <v>0</v>
      </c>
      <c r="Q226" s="0" t="n">
        <v>0</v>
      </c>
      <c r="R226" s="0" t="n">
        <v>0</v>
      </c>
      <c r="S226" s="0" t="n">
        <v>0</v>
      </c>
      <c r="T226" s="0" t="s">
        <v>624</v>
      </c>
      <c r="U226" s="0" t="s">
        <v>149</v>
      </c>
      <c r="V226" s="0" t="s">
        <v>624</v>
      </c>
      <c r="W226" s="0" t="s">
        <v>569</v>
      </c>
      <c r="X226" s="0" t="s">
        <v>624</v>
      </c>
      <c r="Y226" s="0" t="s">
        <v>627</v>
      </c>
      <c r="Z226" s="0" t="s">
        <v>629</v>
      </c>
      <c r="AA226" s="0" t="s">
        <v>624</v>
      </c>
      <c r="AB226" s="0" t="s">
        <v>132</v>
      </c>
      <c r="AC226" s="254" t="n">
        <v>1500000</v>
      </c>
      <c r="AD226" s="254" t="n">
        <v>1370.82154917147</v>
      </c>
      <c r="AE226" s="0" t="n">
        <v>0</v>
      </c>
      <c r="AF226" s="0" t="n">
        <v>0</v>
      </c>
      <c r="AG226" s="0" t="n">
        <v>0</v>
      </c>
      <c r="AH226" s="254" t="n">
        <v>206.608673920084</v>
      </c>
      <c r="AI226" s="0" t="n">
        <v>226</v>
      </c>
      <c r="AJ226" s="0" t="s">
        <v>630</v>
      </c>
      <c r="AK226" s="0" t="n">
        <v>0</v>
      </c>
      <c r="AL226" s="0" t="n">
        <v>0</v>
      </c>
      <c r="AM226" s="0" t="n">
        <v>0</v>
      </c>
    </row>
    <row r="227" customFormat="false" ht="12.75" hidden="false" customHeight="false" outlineLevel="0" collapsed="false">
      <c r="A227" s="0" t="s">
        <v>621</v>
      </c>
      <c r="B227" s="0" t="s">
        <v>282</v>
      </c>
      <c r="C227" s="0" t="s">
        <v>622</v>
      </c>
      <c r="D227" s="0" t="s">
        <v>623</v>
      </c>
      <c r="E227" s="0" t="s">
        <v>131</v>
      </c>
      <c r="F227" s="0" t="s">
        <v>281</v>
      </c>
      <c r="G227" s="0" t="s">
        <v>628</v>
      </c>
      <c r="H227" s="0" t="s">
        <v>625</v>
      </c>
      <c r="I227" s="0" t="s">
        <v>626</v>
      </c>
      <c r="J227" s="0" t="s">
        <v>627</v>
      </c>
      <c r="K227" s="475" t="n">
        <v>36951</v>
      </c>
      <c r="L227" s="254" t="n">
        <v>12666.1475605658</v>
      </c>
      <c r="M227" s="475" t="n">
        <v>36949</v>
      </c>
      <c r="N227" s="0" t="s">
        <v>136</v>
      </c>
      <c r="O227" s="0" t="n">
        <v>0.15</v>
      </c>
      <c r="P227" s="0" t="n">
        <v>0</v>
      </c>
      <c r="Q227" s="0" t="n">
        <v>0</v>
      </c>
      <c r="R227" s="0" t="n">
        <v>0</v>
      </c>
      <c r="S227" s="0" t="n">
        <v>0</v>
      </c>
      <c r="T227" s="0" t="s">
        <v>624</v>
      </c>
      <c r="U227" s="0" t="s">
        <v>632</v>
      </c>
      <c r="V227" s="0" t="s">
        <v>624</v>
      </c>
      <c r="W227" s="0" t="s">
        <v>569</v>
      </c>
      <c r="X227" s="0" t="s">
        <v>624</v>
      </c>
      <c r="Y227" s="0" t="s">
        <v>627</v>
      </c>
      <c r="Z227" s="0" t="s">
        <v>629</v>
      </c>
      <c r="AA227" s="0" t="s">
        <v>624</v>
      </c>
      <c r="AB227" s="0" t="s">
        <v>132</v>
      </c>
      <c r="AC227" s="254" t="n">
        <v>310000</v>
      </c>
      <c r="AD227" s="254" t="n">
        <v>3147.17922765094</v>
      </c>
      <c r="AE227" s="0" t="n">
        <v>0</v>
      </c>
      <c r="AF227" s="0" t="n">
        <v>0</v>
      </c>
      <c r="AG227" s="0" t="n">
        <v>0</v>
      </c>
      <c r="AH227" s="254" t="n">
        <v>160.050336929131</v>
      </c>
      <c r="AI227" s="0" t="n">
        <v>226</v>
      </c>
      <c r="AJ227" s="0" t="s">
        <v>630</v>
      </c>
      <c r="AK227" s="0" t="n">
        <v>0</v>
      </c>
      <c r="AL227" s="0" t="n">
        <v>0</v>
      </c>
      <c r="AM227" s="0" t="n">
        <v>0</v>
      </c>
    </row>
    <row r="228" customFormat="false" ht="12.75" hidden="false" customHeight="false" outlineLevel="0" collapsed="false">
      <c r="A228" s="0" t="s">
        <v>621</v>
      </c>
      <c r="B228" s="0" t="s">
        <v>282</v>
      </c>
      <c r="C228" s="0" t="s">
        <v>622</v>
      </c>
      <c r="D228" s="0" t="s">
        <v>623</v>
      </c>
      <c r="E228" s="0" t="s">
        <v>131</v>
      </c>
      <c r="F228" s="0" t="s">
        <v>281</v>
      </c>
      <c r="G228" s="0" t="s">
        <v>628</v>
      </c>
      <c r="H228" s="0" t="s">
        <v>625</v>
      </c>
      <c r="I228" s="0" t="s">
        <v>626</v>
      </c>
      <c r="J228" s="0" t="s">
        <v>627</v>
      </c>
      <c r="K228" s="475" t="n">
        <v>36923</v>
      </c>
      <c r="L228" s="254" t="n">
        <v>14498.1025608081</v>
      </c>
      <c r="M228" s="475" t="n">
        <v>36921</v>
      </c>
      <c r="N228" s="0" t="s">
        <v>136</v>
      </c>
      <c r="O228" s="0" t="n">
        <v>0.15</v>
      </c>
      <c r="P228" s="0" t="n">
        <v>0</v>
      </c>
      <c r="Q228" s="0" t="n">
        <v>0</v>
      </c>
      <c r="R228" s="0" t="n">
        <v>0</v>
      </c>
      <c r="S228" s="0" t="n">
        <v>0</v>
      </c>
      <c r="T228" s="0" t="s">
        <v>624</v>
      </c>
      <c r="U228" s="0" t="s">
        <v>632</v>
      </c>
      <c r="V228" s="0" t="s">
        <v>624</v>
      </c>
      <c r="W228" s="0" t="s">
        <v>569</v>
      </c>
      <c r="X228" s="0" t="s">
        <v>624</v>
      </c>
      <c r="Y228" s="0" t="s">
        <v>627</v>
      </c>
      <c r="Z228" s="0" t="s">
        <v>629</v>
      </c>
      <c r="AA228" s="0" t="s">
        <v>624</v>
      </c>
      <c r="AB228" s="0" t="s">
        <v>132</v>
      </c>
      <c r="AC228" s="254" t="n">
        <v>280000</v>
      </c>
      <c r="AD228" s="254" t="n">
        <v>2988.67122489288</v>
      </c>
      <c r="AE228" s="0" t="n">
        <v>0</v>
      </c>
      <c r="AF228" s="0" t="n">
        <v>0</v>
      </c>
      <c r="AG228" s="0" t="n">
        <v>0</v>
      </c>
      <c r="AH228" s="254" t="n">
        <v>143.438397494288</v>
      </c>
      <c r="AI228" s="0" t="n">
        <v>226</v>
      </c>
      <c r="AJ228" s="0" t="s">
        <v>630</v>
      </c>
      <c r="AK228" s="0" t="n">
        <v>0</v>
      </c>
      <c r="AL228" s="0" t="n">
        <v>0</v>
      </c>
      <c r="AM228" s="0" t="n">
        <v>0</v>
      </c>
    </row>
    <row r="229" customFormat="false" ht="12.75" hidden="false" customHeight="false" outlineLevel="0" collapsed="false">
      <c r="A229" s="0" t="s">
        <v>621</v>
      </c>
      <c r="B229" s="0" t="s">
        <v>282</v>
      </c>
      <c r="C229" s="0" t="s">
        <v>622</v>
      </c>
      <c r="D229" s="0" t="s">
        <v>623</v>
      </c>
      <c r="E229" s="0" t="s">
        <v>131</v>
      </c>
      <c r="F229" s="0" t="s">
        <v>281</v>
      </c>
      <c r="G229" s="0" t="s">
        <v>628</v>
      </c>
      <c r="H229" s="0" t="s">
        <v>625</v>
      </c>
      <c r="I229" s="0" t="s">
        <v>626</v>
      </c>
      <c r="J229" s="0" t="s">
        <v>627</v>
      </c>
      <c r="K229" s="475" t="n">
        <v>36892</v>
      </c>
      <c r="L229" s="254" t="n">
        <v>13795.9436319022</v>
      </c>
      <c r="M229" s="475" t="n">
        <v>36888</v>
      </c>
      <c r="N229" s="0" t="s">
        <v>136</v>
      </c>
      <c r="O229" s="0" t="n">
        <v>0.15</v>
      </c>
      <c r="P229" s="0" t="n">
        <v>0</v>
      </c>
      <c r="Q229" s="0" t="n">
        <v>0</v>
      </c>
      <c r="R229" s="0" t="n">
        <v>0</v>
      </c>
      <c r="S229" s="0" t="n">
        <v>0</v>
      </c>
      <c r="T229" s="0" t="s">
        <v>624</v>
      </c>
      <c r="U229" s="0" t="s">
        <v>632</v>
      </c>
      <c r="V229" s="0" t="s">
        <v>624</v>
      </c>
      <c r="W229" s="0" t="s">
        <v>569</v>
      </c>
      <c r="X229" s="0" t="s">
        <v>624</v>
      </c>
      <c r="Y229" s="0" t="s">
        <v>627</v>
      </c>
      <c r="Z229" s="0" t="s">
        <v>629</v>
      </c>
      <c r="AA229" s="0" t="s">
        <v>624</v>
      </c>
      <c r="AB229" s="0" t="s">
        <v>132</v>
      </c>
      <c r="AC229" s="254" t="n">
        <v>310000</v>
      </c>
      <c r="AD229" s="254" t="n">
        <v>3011.45366360046</v>
      </c>
      <c r="AE229" s="0" t="n">
        <v>0</v>
      </c>
      <c r="AF229" s="0" t="n">
        <v>0</v>
      </c>
      <c r="AG229" s="0" t="n">
        <v>0</v>
      </c>
      <c r="AH229" s="254" t="n">
        <v>144.940974188927</v>
      </c>
      <c r="AI229" s="0" t="n">
        <v>226</v>
      </c>
      <c r="AJ229" s="0" t="s">
        <v>630</v>
      </c>
      <c r="AK229" s="0" t="n">
        <v>0</v>
      </c>
      <c r="AL229" s="0" t="n">
        <v>0</v>
      </c>
      <c r="AM229" s="0" t="n">
        <v>0</v>
      </c>
    </row>
    <row r="230" customFormat="false" ht="12.75" hidden="false" customHeight="false" outlineLevel="0" collapsed="false">
      <c r="A230" s="0" t="s">
        <v>621</v>
      </c>
      <c r="B230" s="0" t="s">
        <v>282</v>
      </c>
      <c r="C230" s="0" t="s">
        <v>622</v>
      </c>
      <c r="D230" s="0" t="s">
        <v>623</v>
      </c>
      <c r="E230" s="0" t="s">
        <v>131</v>
      </c>
      <c r="F230" s="0" t="s">
        <v>281</v>
      </c>
      <c r="G230" s="0" t="s">
        <v>628</v>
      </c>
      <c r="H230" s="0" t="s">
        <v>625</v>
      </c>
      <c r="I230" s="0" t="s">
        <v>626</v>
      </c>
      <c r="J230" s="0" t="s">
        <v>627</v>
      </c>
      <c r="K230" s="475" t="n">
        <v>36861</v>
      </c>
      <c r="L230" s="254" t="n">
        <v>8475.9519561766</v>
      </c>
      <c r="M230" s="475" t="n">
        <v>36859</v>
      </c>
      <c r="N230" s="0" t="s">
        <v>136</v>
      </c>
      <c r="O230" s="0" t="n">
        <v>0.15</v>
      </c>
      <c r="P230" s="0" t="n">
        <v>0</v>
      </c>
      <c r="Q230" s="0" t="n">
        <v>0</v>
      </c>
      <c r="R230" s="0" t="n">
        <v>0</v>
      </c>
      <c r="S230" s="0" t="n">
        <v>0</v>
      </c>
      <c r="T230" s="0" t="s">
        <v>624</v>
      </c>
      <c r="U230" s="0" t="s">
        <v>632</v>
      </c>
      <c r="V230" s="0" t="s">
        <v>624</v>
      </c>
      <c r="W230" s="0" t="s">
        <v>569</v>
      </c>
      <c r="X230" s="0" t="s">
        <v>624</v>
      </c>
      <c r="Y230" s="0" t="s">
        <v>627</v>
      </c>
      <c r="Z230" s="0" t="s">
        <v>629</v>
      </c>
      <c r="AA230" s="0" t="s">
        <v>624</v>
      </c>
      <c r="AB230" s="0" t="s">
        <v>132</v>
      </c>
      <c r="AC230" s="254" t="n">
        <v>310000</v>
      </c>
      <c r="AD230" s="254" t="n">
        <v>2456.57577587196</v>
      </c>
      <c r="AE230" s="0" t="n">
        <v>0</v>
      </c>
      <c r="AF230" s="0" t="n">
        <v>0</v>
      </c>
      <c r="AG230" s="0" t="n">
        <v>0</v>
      </c>
      <c r="AH230" s="254" t="n">
        <v>123.681540860103</v>
      </c>
      <c r="AI230" s="0" t="n">
        <v>226</v>
      </c>
      <c r="AJ230" s="0" t="s">
        <v>630</v>
      </c>
      <c r="AK230" s="0" t="n">
        <v>0</v>
      </c>
      <c r="AL230" s="0" t="n">
        <v>0</v>
      </c>
      <c r="AM230" s="0" t="n">
        <v>0</v>
      </c>
    </row>
    <row r="231" customFormat="false" ht="12.75" hidden="false" customHeight="false" outlineLevel="0" collapsed="false">
      <c r="A231" s="0" t="s">
        <v>621</v>
      </c>
      <c r="B231" s="0" t="s">
        <v>282</v>
      </c>
      <c r="C231" s="0" t="s">
        <v>622</v>
      </c>
      <c r="D231" s="0" t="s">
        <v>623</v>
      </c>
      <c r="E231" s="0" t="s">
        <v>131</v>
      </c>
      <c r="F231" s="0" t="s">
        <v>281</v>
      </c>
      <c r="G231" s="0" t="s">
        <v>628</v>
      </c>
      <c r="H231" s="0" t="s">
        <v>625</v>
      </c>
      <c r="I231" s="0" t="s">
        <v>626</v>
      </c>
      <c r="J231" s="0" t="s">
        <v>627</v>
      </c>
      <c r="K231" s="475" t="n">
        <v>36831</v>
      </c>
      <c r="L231" s="254" t="n">
        <v>4650.15755874533</v>
      </c>
      <c r="M231" s="475" t="n">
        <v>36829</v>
      </c>
      <c r="N231" s="0" t="s">
        <v>136</v>
      </c>
      <c r="O231" s="0" t="n">
        <v>0.15</v>
      </c>
      <c r="P231" s="0" t="n">
        <v>0</v>
      </c>
      <c r="Q231" s="0" t="n">
        <v>0</v>
      </c>
      <c r="R231" s="0" t="n">
        <v>0</v>
      </c>
      <c r="S231" s="0" t="n">
        <v>0</v>
      </c>
      <c r="T231" s="0" t="s">
        <v>624</v>
      </c>
      <c r="U231" s="0" t="s">
        <v>632</v>
      </c>
      <c r="V231" s="0" t="s">
        <v>624</v>
      </c>
      <c r="W231" s="0" t="s">
        <v>569</v>
      </c>
      <c r="X231" s="0" t="s">
        <v>624</v>
      </c>
      <c r="Y231" s="0" t="s">
        <v>627</v>
      </c>
      <c r="Z231" s="0" t="s">
        <v>629</v>
      </c>
      <c r="AA231" s="0" t="s">
        <v>624</v>
      </c>
      <c r="AB231" s="0" t="s">
        <v>132</v>
      </c>
      <c r="AC231" s="254" t="n">
        <v>300000</v>
      </c>
      <c r="AD231" s="254" t="n">
        <v>1734.98226946498</v>
      </c>
      <c r="AE231" s="0" t="n">
        <v>0</v>
      </c>
      <c r="AF231" s="0" t="n">
        <v>0</v>
      </c>
      <c r="AG231" s="0" t="n">
        <v>0</v>
      </c>
      <c r="AH231" s="254" t="n">
        <v>93.5962156755977</v>
      </c>
      <c r="AI231" s="0" t="n">
        <v>226</v>
      </c>
      <c r="AJ231" s="0" t="s">
        <v>630</v>
      </c>
      <c r="AK231" s="0" t="n">
        <v>0</v>
      </c>
      <c r="AL231" s="0" t="n">
        <v>0</v>
      </c>
      <c r="AM231" s="0" t="n">
        <v>0</v>
      </c>
    </row>
    <row r="232" customFormat="false" ht="12.75" hidden="false" customHeight="false" outlineLevel="0" collapsed="false">
      <c r="A232" s="0" t="s">
        <v>621</v>
      </c>
      <c r="B232" s="0" t="s">
        <v>283</v>
      </c>
      <c r="C232" s="0" t="s">
        <v>622</v>
      </c>
      <c r="D232" s="0" t="s">
        <v>623</v>
      </c>
      <c r="E232" s="0" t="s">
        <v>131</v>
      </c>
      <c r="F232" s="0" t="s">
        <v>208</v>
      </c>
      <c r="G232" s="0" t="s">
        <v>628</v>
      </c>
      <c r="H232" s="0" t="s">
        <v>625</v>
      </c>
      <c r="I232" s="0" t="s">
        <v>626</v>
      </c>
      <c r="J232" s="0" t="s">
        <v>627</v>
      </c>
      <c r="K232" s="475" t="n">
        <v>36951</v>
      </c>
      <c r="L232" s="254" t="n">
        <v>12666.1475605658</v>
      </c>
      <c r="M232" s="475" t="n">
        <v>36949</v>
      </c>
      <c r="N232" s="0" t="s">
        <v>136</v>
      </c>
      <c r="O232" s="0" t="n">
        <v>0.15</v>
      </c>
      <c r="P232" s="0" t="n">
        <v>0</v>
      </c>
      <c r="Q232" s="0" t="n">
        <v>0</v>
      </c>
      <c r="R232" s="0" t="n">
        <v>0</v>
      </c>
      <c r="S232" s="0" t="n">
        <v>0</v>
      </c>
      <c r="T232" s="0" t="s">
        <v>624</v>
      </c>
      <c r="U232" s="0" t="s">
        <v>632</v>
      </c>
      <c r="V232" s="0" t="s">
        <v>624</v>
      </c>
      <c r="W232" s="0" t="s">
        <v>569</v>
      </c>
      <c r="X232" s="0" t="s">
        <v>624</v>
      </c>
      <c r="Y232" s="0" t="s">
        <v>627</v>
      </c>
      <c r="Z232" s="0" t="s">
        <v>629</v>
      </c>
      <c r="AA232" s="0" t="s">
        <v>624</v>
      </c>
      <c r="AB232" s="0" t="s">
        <v>132</v>
      </c>
      <c r="AC232" s="254" t="n">
        <v>310000</v>
      </c>
      <c r="AD232" s="254" t="n">
        <v>3147.17922765094</v>
      </c>
      <c r="AE232" s="0" t="n">
        <v>0</v>
      </c>
      <c r="AF232" s="0" t="n">
        <v>0</v>
      </c>
      <c r="AG232" s="0" t="n">
        <v>0</v>
      </c>
      <c r="AH232" s="254" t="n">
        <v>160.050336929131</v>
      </c>
      <c r="AI232" s="0" t="n">
        <v>226</v>
      </c>
      <c r="AJ232" s="0" t="s">
        <v>630</v>
      </c>
      <c r="AK232" s="0" t="n">
        <v>0</v>
      </c>
      <c r="AL232" s="0" t="n">
        <v>0</v>
      </c>
      <c r="AM232" s="0" t="n">
        <v>0</v>
      </c>
    </row>
    <row r="233" customFormat="false" ht="12.75" hidden="false" customHeight="false" outlineLevel="0" collapsed="false">
      <c r="A233" s="0" t="s">
        <v>621</v>
      </c>
      <c r="B233" s="0" t="s">
        <v>283</v>
      </c>
      <c r="C233" s="0" t="s">
        <v>622</v>
      </c>
      <c r="D233" s="0" t="s">
        <v>623</v>
      </c>
      <c r="E233" s="0" t="s">
        <v>131</v>
      </c>
      <c r="F233" s="0" t="s">
        <v>208</v>
      </c>
      <c r="G233" s="0" t="s">
        <v>628</v>
      </c>
      <c r="H233" s="0" t="s">
        <v>625</v>
      </c>
      <c r="I233" s="0" t="s">
        <v>626</v>
      </c>
      <c r="J233" s="0" t="s">
        <v>627</v>
      </c>
      <c r="K233" s="475" t="n">
        <v>36923</v>
      </c>
      <c r="L233" s="254" t="n">
        <v>14498.1025608081</v>
      </c>
      <c r="M233" s="475" t="n">
        <v>36921</v>
      </c>
      <c r="N233" s="0" t="s">
        <v>136</v>
      </c>
      <c r="O233" s="0" t="n">
        <v>0.15</v>
      </c>
      <c r="P233" s="0" t="n">
        <v>0</v>
      </c>
      <c r="Q233" s="0" t="n">
        <v>0</v>
      </c>
      <c r="R233" s="0" t="n">
        <v>0</v>
      </c>
      <c r="S233" s="0" t="n">
        <v>0</v>
      </c>
      <c r="T233" s="0" t="s">
        <v>624</v>
      </c>
      <c r="U233" s="0" t="s">
        <v>632</v>
      </c>
      <c r="V233" s="0" t="s">
        <v>624</v>
      </c>
      <c r="W233" s="0" t="s">
        <v>569</v>
      </c>
      <c r="X233" s="0" t="s">
        <v>624</v>
      </c>
      <c r="Y233" s="0" t="s">
        <v>627</v>
      </c>
      <c r="Z233" s="0" t="s">
        <v>629</v>
      </c>
      <c r="AA233" s="0" t="s">
        <v>624</v>
      </c>
      <c r="AB233" s="0" t="s">
        <v>132</v>
      </c>
      <c r="AC233" s="254" t="n">
        <v>280000</v>
      </c>
      <c r="AD233" s="254" t="n">
        <v>2988.67122489288</v>
      </c>
      <c r="AE233" s="0" t="n">
        <v>0</v>
      </c>
      <c r="AF233" s="0" t="n">
        <v>0</v>
      </c>
      <c r="AG233" s="0" t="n">
        <v>0</v>
      </c>
      <c r="AH233" s="254" t="n">
        <v>143.438397494288</v>
      </c>
      <c r="AI233" s="0" t="n">
        <v>226</v>
      </c>
      <c r="AJ233" s="0" t="s">
        <v>630</v>
      </c>
      <c r="AK233" s="0" t="n">
        <v>0</v>
      </c>
      <c r="AL233" s="0" t="n">
        <v>0</v>
      </c>
      <c r="AM233" s="0" t="n">
        <v>0</v>
      </c>
    </row>
    <row r="234" customFormat="false" ht="12.75" hidden="false" customHeight="false" outlineLevel="0" collapsed="false">
      <c r="A234" s="0" t="s">
        <v>621</v>
      </c>
      <c r="B234" s="0" t="s">
        <v>283</v>
      </c>
      <c r="C234" s="0" t="s">
        <v>622</v>
      </c>
      <c r="D234" s="0" t="s">
        <v>623</v>
      </c>
      <c r="E234" s="0" t="s">
        <v>131</v>
      </c>
      <c r="F234" s="0" t="s">
        <v>208</v>
      </c>
      <c r="G234" s="0" t="s">
        <v>628</v>
      </c>
      <c r="H234" s="0" t="s">
        <v>625</v>
      </c>
      <c r="I234" s="0" t="s">
        <v>626</v>
      </c>
      <c r="J234" s="0" t="s">
        <v>627</v>
      </c>
      <c r="K234" s="475" t="n">
        <v>36892</v>
      </c>
      <c r="L234" s="254" t="n">
        <v>13795.9436319022</v>
      </c>
      <c r="M234" s="475" t="n">
        <v>36888</v>
      </c>
      <c r="N234" s="0" t="s">
        <v>136</v>
      </c>
      <c r="O234" s="0" t="n">
        <v>0.15</v>
      </c>
      <c r="P234" s="0" t="n">
        <v>0</v>
      </c>
      <c r="Q234" s="0" t="n">
        <v>0</v>
      </c>
      <c r="R234" s="0" t="n">
        <v>0</v>
      </c>
      <c r="S234" s="0" t="n">
        <v>0</v>
      </c>
      <c r="T234" s="0" t="s">
        <v>624</v>
      </c>
      <c r="U234" s="0" t="s">
        <v>632</v>
      </c>
      <c r="V234" s="0" t="s">
        <v>624</v>
      </c>
      <c r="W234" s="0" t="s">
        <v>569</v>
      </c>
      <c r="X234" s="0" t="s">
        <v>624</v>
      </c>
      <c r="Y234" s="0" t="s">
        <v>627</v>
      </c>
      <c r="Z234" s="0" t="s">
        <v>629</v>
      </c>
      <c r="AA234" s="0" t="s">
        <v>624</v>
      </c>
      <c r="AB234" s="0" t="s">
        <v>132</v>
      </c>
      <c r="AC234" s="254" t="n">
        <v>310000</v>
      </c>
      <c r="AD234" s="254" t="n">
        <v>3011.45366360046</v>
      </c>
      <c r="AE234" s="0" t="n">
        <v>0</v>
      </c>
      <c r="AF234" s="0" t="n">
        <v>0</v>
      </c>
      <c r="AG234" s="0" t="n">
        <v>0</v>
      </c>
      <c r="AH234" s="254" t="n">
        <v>144.940974188927</v>
      </c>
      <c r="AI234" s="0" t="n">
        <v>226</v>
      </c>
      <c r="AJ234" s="0" t="s">
        <v>630</v>
      </c>
      <c r="AK234" s="0" t="n">
        <v>0</v>
      </c>
      <c r="AL234" s="0" t="n">
        <v>0</v>
      </c>
      <c r="AM234" s="0" t="n">
        <v>0</v>
      </c>
    </row>
    <row r="235" customFormat="false" ht="12.75" hidden="false" customHeight="false" outlineLevel="0" collapsed="false">
      <c r="A235" s="0" t="s">
        <v>621</v>
      </c>
      <c r="B235" s="0" t="s">
        <v>283</v>
      </c>
      <c r="C235" s="0" t="s">
        <v>622</v>
      </c>
      <c r="D235" s="0" t="s">
        <v>623</v>
      </c>
      <c r="E235" s="0" t="s">
        <v>131</v>
      </c>
      <c r="F235" s="0" t="s">
        <v>208</v>
      </c>
      <c r="G235" s="0" t="s">
        <v>628</v>
      </c>
      <c r="H235" s="0" t="s">
        <v>625</v>
      </c>
      <c r="I235" s="0" t="s">
        <v>626</v>
      </c>
      <c r="J235" s="0" t="s">
        <v>627</v>
      </c>
      <c r="K235" s="475" t="n">
        <v>36861</v>
      </c>
      <c r="L235" s="254" t="n">
        <v>8475.9519561766</v>
      </c>
      <c r="M235" s="475" t="n">
        <v>36859</v>
      </c>
      <c r="N235" s="0" t="s">
        <v>136</v>
      </c>
      <c r="O235" s="0" t="n">
        <v>0.15</v>
      </c>
      <c r="P235" s="0" t="n">
        <v>0</v>
      </c>
      <c r="Q235" s="0" t="n">
        <v>0</v>
      </c>
      <c r="R235" s="0" t="n">
        <v>0</v>
      </c>
      <c r="S235" s="0" t="n">
        <v>0</v>
      </c>
      <c r="T235" s="0" t="s">
        <v>624</v>
      </c>
      <c r="U235" s="0" t="s">
        <v>632</v>
      </c>
      <c r="V235" s="0" t="s">
        <v>624</v>
      </c>
      <c r="W235" s="0" t="s">
        <v>569</v>
      </c>
      <c r="X235" s="0" t="s">
        <v>624</v>
      </c>
      <c r="Y235" s="0" t="s">
        <v>627</v>
      </c>
      <c r="Z235" s="0" t="s">
        <v>629</v>
      </c>
      <c r="AA235" s="0" t="s">
        <v>624</v>
      </c>
      <c r="AB235" s="0" t="s">
        <v>132</v>
      </c>
      <c r="AC235" s="254" t="n">
        <v>310000</v>
      </c>
      <c r="AD235" s="254" t="n">
        <v>2456.57577587196</v>
      </c>
      <c r="AE235" s="0" t="n">
        <v>0</v>
      </c>
      <c r="AF235" s="0" t="n">
        <v>0</v>
      </c>
      <c r="AG235" s="0" t="n">
        <v>0</v>
      </c>
      <c r="AH235" s="254" t="n">
        <v>123.681540860103</v>
      </c>
      <c r="AI235" s="0" t="n">
        <v>226</v>
      </c>
      <c r="AJ235" s="0" t="s">
        <v>630</v>
      </c>
      <c r="AK235" s="0" t="n">
        <v>0</v>
      </c>
      <c r="AL235" s="0" t="n">
        <v>0</v>
      </c>
      <c r="AM235" s="0" t="n">
        <v>0</v>
      </c>
    </row>
    <row r="236" customFormat="false" ht="12.75" hidden="false" customHeight="false" outlineLevel="0" collapsed="false">
      <c r="A236" s="0" t="s">
        <v>621</v>
      </c>
      <c r="B236" s="0" t="s">
        <v>283</v>
      </c>
      <c r="C236" s="0" t="s">
        <v>622</v>
      </c>
      <c r="D236" s="0" t="s">
        <v>623</v>
      </c>
      <c r="E236" s="0" t="s">
        <v>131</v>
      </c>
      <c r="F236" s="0" t="s">
        <v>208</v>
      </c>
      <c r="G236" s="0" t="s">
        <v>628</v>
      </c>
      <c r="H236" s="0" t="s">
        <v>625</v>
      </c>
      <c r="I236" s="0" t="s">
        <v>626</v>
      </c>
      <c r="J236" s="0" t="s">
        <v>627</v>
      </c>
      <c r="K236" s="475" t="n">
        <v>36831</v>
      </c>
      <c r="L236" s="254" t="n">
        <v>4650.15755874533</v>
      </c>
      <c r="M236" s="475" t="n">
        <v>36829</v>
      </c>
      <c r="N236" s="0" t="s">
        <v>136</v>
      </c>
      <c r="O236" s="0" t="n">
        <v>0.15</v>
      </c>
      <c r="P236" s="0" t="n">
        <v>0</v>
      </c>
      <c r="Q236" s="0" t="n">
        <v>0</v>
      </c>
      <c r="R236" s="0" t="n">
        <v>0</v>
      </c>
      <c r="S236" s="0" t="n">
        <v>0</v>
      </c>
      <c r="T236" s="0" t="s">
        <v>624</v>
      </c>
      <c r="U236" s="0" t="s">
        <v>632</v>
      </c>
      <c r="V236" s="0" t="s">
        <v>624</v>
      </c>
      <c r="W236" s="0" t="s">
        <v>569</v>
      </c>
      <c r="X236" s="0" t="s">
        <v>624</v>
      </c>
      <c r="Y236" s="0" t="s">
        <v>627</v>
      </c>
      <c r="Z236" s="0" t="s">
        <v>629</v>
      </c>
      <c r="AA236" s="0" t="s">
        <v>624</v>
      </c>
      <c r="AB236" s="0" t="s">
        <v>132</v>
      </c>
      <c r="AC236" s="254" t="n">
        <v>300000</v>
      </c>
      <c r="AD236" s="254" t="n">
        <v>1734.98226946498</v>
      </c>
      <c r="AE236" s="0" t="n">
        <v>0</v>
      </c>
      <c r="AF236" s="0" t="n">
        <v>0</v>
      </c>
      <c r="AG236" s="0" t="n">
        <v>0</v>
      </c>
      <c r="AH236" s="254" t="n">
        <v>93.5962156755977</v>
      </c>
      <c r="AI236" s="0" t="n">
        <v>226</v>
      </c>
      <c r="AJ236" s="0" t="s">
        <v>630</v>
      </c>
      <c r="AK236" s="0" t="n">
        <v>0</v>
      </c>
      <c r="AL236" s="0" t="n">
        <v>0</v>
      </c>
      <c r="AM236" s="0" t="n">
        <v>0</v>
      </c>
    </row>
    <row r="237" customFormat="false" ht="12.75" hidden="false" customHeight="false" outlineLevel="0" collapsed="false">
      <c r="A237" s="0" t="s">
        <v>621</v>
      </c>
      <c r="B237" s="0" t="s">
        <v>284</v>
      </c>
      <c r="C237" s="0" t="s">
        <v>622</v>
      </c>
      <c r="D237" s="0" t="s">
        <v>623</v>
      </c>
      <c r="E237" s="0" t="s">
        <v>131</v>
      </c>
      <c r="F237" s="0" t="s">
        <v>244</v>
      </c>
      <c r="G237" s="0" t="s">
        <v>628</v>
      </c>
      <c r="H237" s="0" t="s">
        <v>625</v>
      </c>
      <c r="I237" s="0" t="s">
        <v>626</v>
      </c>
      <c r="J237" s="0" t="s">
        <v>627</v>
      </c>
      <c r="K237" s="475" t="n">
        <v>36951</v>
      </c>
      <c r="L237" s="254" t="n">
        <v>342154.896944254</v>
      </c>
      <c r="M237" s="475" t="n">
        <v>36949</v>
      </c>
      <c r="N237" s="0" t="s">
        <v>132</v>
      </c>
      <c r="O237" s="0" t="n">
        <v>0.75</v>
      </c>
      <c r="P237" s="0" t="n">
        <v>0</v>
      </c>
      <c r="Q237" s="0" t="n">
        <v>0</v>
      </c>
      <c r="R237" s="0" t="n">
        <v>0</v>
      </c>
      <c r="S237" s="0" t="n">
        <v>0</v>
      </c>
      <c r="T237" s="0" t="s">
        <v>624</v>
      </c>
      <c r="U237" s="0" t="s">
        <v>149</v>
      </c>
      <c r="V237" s="0" t="s">
        <v>624</v>
      </c>
      <c r="W237" s="0" t="s">
        <v>569</v>
      </c>
      <c r="X237" s="0" t="s">
        <v>624</v>
      </c>
      <c r="Y237" s="0" t="s">
        <v>627</v>
      </c>
      <c r="Z237" s="0" t="s">
        <v>629</v>
      </c>
      <c r="AA237" s="0" t="s">
        <v>624</v>
      </c>
      <c r="AB237" s="0" t="s">
        <v>132</v>
      </c>
      <c r="AC237" s="254" t="n">
        <v>1000000</v>
      </c>
      <c r="AD237" s="254" t="n">
        <v>87420.3029471442</v>
      </c>
      <c r="AE237" s="0" t="n">
        <v>0</v>
      </c>
      <c r="AF237" s="0" t="n">
        <v>0</v>
      </c>
      <c r="AG237" s="0" t="n">
        <v>0</v>
      </c>
      <c r="AH237" s="254" t="n">
        <v>-16337.219424809</v>
      </c>
      <c r="AI237" s="0" t="n">
        <v>226</v>
      </c>
      <c r="AJ237" s="0" t="s">
        <v>630</v>
      </c>
      <c r="AK237" s="0" t="n">
        <v>0</v>
      </c>
      <c r="AL237" s="0" t="n">
        <v>0</v>
      </c>
      <c r="AM237" s="0" t="n">
        <v>0</v>
      </c>
    </row>
    <row r="238" customFormat="false" ht="12.75" hidden="false" customHeight="false" outlineLevel="0" collapsed="false">
      <c r="A238" s="0" t="s">
        <v>621</v>
      </c>
      <c r="B238" s="0" t="s">
        <v>284</v>
      </c>
      <c r="C238" s="0" t="s">
        <v>622</v>
      </c>
      <c r="D238" s="0" t="s">
        <v>623</v>
      </c>
      <c r="E238" s="0" t="s">
        <v>131</v>
      </c>
      <c r="F238" s="0" t="s">
        <v>244</v>
      </c>
      <c r="G238" s="0" t="s">
        <v>628</v>
      </c>
      <c r="H238" s="0" t="s">
        <v>625</v>
      </c>
      <c r="I238" s="0" t="s">
        <v>626</v>
      </c>
      <c r="J238" s="0" t="s">
        <v>627</v>
      </c>
      <c r="K238" s="475" t="n">
        <v>36923</v>
      </c>
      <c r="L238" s="254" t="n">
        <v>140248.499222317</v>
      </c>
      <c r="M238" s="475" t="n">
        <v>36921</v>
      </c>
      <c r="N238" s="0" t="s">
        <v>132</v>
      </c>
      <c r="O238" s="0" t="n">
        <v>0.75</v>
      </c>
      <c r="P238" s="0" t="n">
        <v>0</v>
      </c>
      <c r="Q238" s="0" t="n">
        <v>0</v>
      </c>
      <c r="R238" s="0" t="n">
        <v>0</v>
      </c>
      <c r="S238" s="0" t="n">
        <v>0</v>
      </c>
      <c r="T238" s="0" t="s">
        <v>624</v>
      </c>
      <c r="U238" s="0" t="s">
        <v>149</v>
      </c>
      <c r="V238" s="0" t="s">
        <v>624</v>
      </c>
      <c r="W238" s="0" t="s">
        <v>569</v>
      </c>
      <c r="X238" s="0" t="s">
        <v>624</v>
      </c>
      <c r="Y238" s="0" t="s">
        <v>627</v>
      </c>
      <c r="Z238" s="0" t="s">
        <v>629</v>
      </c>
      <c r="AA238" s="0" t="s">
        <v>624</v>
      </c>
      <c r="AB238" s="0" t="s">
        <v>132</v>
      </c>
      <c r="AC238" s="254" t="n">
        <v>1000000</v>
      </c>
      <c r="AD238" s="254" t="n">
        <v>61469.571592473</v>
      </c>
      <c r="AE238" s="0" t="n">
        <v>0</v>
      </c>
      <c r="AF238" s="0" t="n">
        <v>0</v>
      </c>
      <c r="AG238" s="0" t="n">
        <v>0</v>
      </c>
      <c r="AH238" s="254" t="n">
        <v>-7506.70212805551</v>
      </c>
      <c r="AI238" s="0" t="n">
        <v>226</v>
      </c>
      <c r="AJ238" s="0" t="s">
        <v>630</v>
      </c>
      <c r="AK238" s="0" t="n">
        <v>0</v>
      </c>
      <c r="AL238" s="0" t="n">
        <v>0</v>
      </c>
      <c r="AM238" s="0" t="n">
        <v>0</v>
      </c>
    </row>
    <row r="239" customFormat="false" ht="12.75" hidden="false" customHeight="false" outlineLevel="0" collapsed="false">
      <c r="A239" s="0" t="s">
        <v>621</v>
      </c>
      <c r="B239" s="0" t="s">
        <v>284</v>
      </c>
      <c r="C239" s="0" t="s">
        <v>622</v>
      </c>
      <c r="D239" s="0" t="s">
        <v>623</v>
      </c>
      <c r="E239" s="0" t="s">
        <v>131</v>
      </c>
      <c r="F239" s="0" t="s">
        <v>244</v>
      </c>
      <c r="G239" s="0" t="s">
        <v>628</v>
      </c>
      <c r="H239" s="0" t="s">
        <v>625</v>
      </c>
      <c r="I239" s="0" t="s">
        <v>626</v>
      </c>
      <c r="J239" s="0" t="s">
        <v>627</v>
      </c>
      <c r="K239" s="475" t="n">
        <v>36892</v>
      </c>
      <c r="L239" s="254" t="n">
        <v>110739.689449624</v>
      </c>
      <c r="M239" s="475" t="n">
        <v>36888</v>
      </c>
      <c r="N239" s="0" t="s">
        <v>132</v>
      </c>
      <c r="O239" s="0" t="n">
        <v>0.75</v>
      </c>
      <c r="P239" s="0" t="n">
        <v>0</v>
      </c>
      <c r="Q239" s="0" t="n">
        <v>0</v>
      </c>
      <c r="R239" s="0" t="n">
        <v>0</v>
      </c>
      <c r="S239" s="0" t="n">
        <v>0</v>
      </c>
      <c r="T239" s="0" t="s">
        <v>624</v>
      </c>
      <c r="U239" s="0" t="s">
        <v>149</v>
      </c>
      <c r="V239" s="0" t="s">
        <v>624</v>
      </c>
      <c r="W239" s="0" t="s">
        <v>569</v>
      </c>
      <c r="X239" s="0" t="s">
        <v>624</v>
      </c>
      <c r="Y239" s="0" t="s">
        <v>627</v>
      </c>
      <c r="Z239" s="0" t="s">
        <v>629</v>
      </c>
      <c r="AA239" s="0" t="s">
        <v>624</v>
      </c>
      <c r="AB239" s="0" t="s">
        <v>132</v>
      </c>
      <c r="AC239" s="254" t="n">
        <v>1000000</v>
      </c>
      <c r="AD239" s="254" t="n">
        <v>50977.7435338451</v>
      </c>
      <c r="AE239" s="0" t="n">
        <v>0</v>
      </c>
      <c r="AF239" s="0" t="n">
        <v>0</v>
      </c>
      <c r="AG239" s="0" t="n">
        <v>0</v>
      </c>
      <c r="AH239" s="254" t="n">
        <v>-5341.82519402116</v>
      </c>
      <c r="AI239" s="0" t="n">
        <v>226</v>
      </c>
      <c r="AJ239" s="0" t="s">
        <v>630</v>
      </c>
      <c r="AK239" s="0" t="n">
        <v>0</v>
      </c>
      <c r="AL239" s="0" t="n">
        <v>0</v>
      </c>
      <c r="AM239" s="0" t="n">
        <v>0</v>
      </c>
    </row>
    <row r="240" customFormat="false" ht="12.75" hidden="false" customHeight="false" outlineLevel="0" collapsed="false">
      <c r="A240" s="0" t="s">
        <v>621</v>
      </c>
      <c r="B240" s="0" t="s">
        <v>284</v>
      </c>
      <c r="C240" s="0" t="s">
        <v>622</v>
      </c>
      <c r="D240" s="0" t="s">
        <v>623</v>
      </c>
      <c r="E240" s="0" t="s">
        <v>131</v>
      </c>
      <c r="F240" s="0" t="s">
        <v>244</v>
      </c>
      <c r="G240" s="0" t="s">
        <v>628</v>
      </c>
      <c r="H240" s="0" t="s">
        <v>625</v>
      </c>
      <c r="I240" s="0" t="s">
        <v>626</v>
      </c>
      <c r="J240" s="0" t="s">
        <v>627</v>
      </c>
      <c r="K240" s="475" t="n">
        <v>36861</v>
      </c>
      <c r="L240" s="254" t="n">
        <v>147916.985171273</v>
      </c>
      <c r="M240" s="475" t="n">
        <v>36859</v>
      </c>
      <c r="N240" s="0" t="s">
        <v>132</v>
      </c>
      <c r="O240" s="0" t="n">
        <v>0.75</v>
      </c>
      <c r="P240" s="0" t="n">
        <v>0</v>
      </c>
      <c r="Q240" s="0" t="n">
        <v>0</v>
      </c>
      <c r="R240" s="0" t="n">
        <v>0</v>
      </c>
      <c r="S240" s="0" t="n">
        <v>0</v>
      </c>
      <c r="T240" s="0" t="s">
        <v>624</v>
      </c>
      <c r="U240" s="0" t="s">
        <v>149</v>
      </c>
      <c r="V240" s="0" t="s">
        <v>624</v>
      </c>
      <c r="W240" s="0" t="s">
        <v>569</v>
      </c>
      <c r="X240" s="0" t="s">
        <v>624</v>
      </c>
      <c r="Y240" s="0" t="s">
        <v>627</v>
      </c>
      <c r="Z240" s="0" t="s">
        <v>629</v>
      </c>
      <c r="AA240" s="0" t="s">
        <v>624</v>
      </c>
      <c r="AB240" s="0" t="s">
        <v>132</v>
      </c>
      <c r="AC240" s="254" t="n">
        <v>1000000</v>
      </c>
      <c r="AD240" s="254" t="n">
        <v>55583.0803000811</v>
      </c>
      <c r="AE240" s="0" t="n">
        <v>0</v>
      </c>
      <c r="AF240" s="0" t="n">
        <v>0</v>
      </c>
      <c r="AG240" s="0" t="n">
        <v>0</v>
      </c>
      <c r="AH240" s="254" t="n">
        <v>-6008.07526559601</v>
      </c>
      <c r="AI240" s="0" t="n">
        <v>226</v>
      </c>
      <c r="AJ240" s="0" t="s">
        <v>630</v>
      </c>
      <c r="AK240" s="0" t="n">
        <v>0</v>
      </c>
      <c r="AL240" s="0" t="n">
        <v>0</v>
      </c>
      <c r="AM240" s="0" t="n">
        <v>0</v>
      </c>
    </row>
    <row r="241" customFormat="false" ht="12.75" hidden="false" customHeight="false" outlineLevel="0" collapsed="false">
      <c r="A241" s="0" t="s">
        <v>621</v>
      </c>
      <c r="B241" s="0" t="s">
        <v>284</v>
      </c>
      <c r="C241" s="0" t="s">
        <v>622</v>
      </c>
      <c r="D241" s="0" t="s">
        <v>623</v>
      </c>
      <c r="E241" s="0" t="s">
        <v>131</v>
      </c>
      <c r="F241" s="0" t="s">
        <v>244</v>
      </c>
      <c r="G241" s="0" t="s">
        <v>628</v>
      </c>
      <c r="H241" s="0" t="s">
        <v>625</v>
      </c>
      <c r="I241" s="0" t="s">
        <v>626</v>
      </c>
      <c r="J241" s="0" t="s">
        <v>627</v>
      </c>
      <c r="K241" s="475" t="n">
        <v>36831</v>
      </c>
      <c r="L241" s="254" t="n">
        <v>249617.892584412</v>
      </c>
      <c r="M241" s="475" t="n">
        <v>36829</v>
      </c>
      <c r="N241" s="0" t="s">
        <v>132</v>
      </c>
      <c r="O241" s="0" t="n">
        <v>0.75</v>
      </c>
      <c r="P241" s="0" t="n">
        <v>0</v>
      </c>
      <c r="Q241" s="0" t="n">
        <v>0</v>
      </c>
      <c r="R241" s="0" t="n">
        <v>0</v>
      </c>
      <c r="S241" s="0" t="n">
        <v>0</v>
      </c>
      <c r="T241" s="0" t="s">
        <v>624</v>
      </c>
      <c r="U241" s="0" t="s">
        <v>149</v>
      </c>
      <c r="V241" s="0" t="s">
        <v>624</v>
      </c>
      <c r="W241" s="0" t="s">
        <v>569</v>
      </c>
      <c r="X241" s="0" t="s">
        <v>624</v>
      </c>
      <c r="Y241" s="0" t="s">
        <v>627</v>
      </c>
      <c r="Z241" s="0" t="s">
        <v>629</v>
      </c>
      <c r="AA241" s="0" t="s">
        <v>624</v>
      </c>
      <c r="AB241" s="0" t="s">
        <v>132</v>
      </c>
      <c r="AC241" s="254" t="n">
        <v>1000000</v>
      </c>
      <c r="AD241" s="254" t="n">
        <v>45150.5946831699</v>
      </c>
      <c r="AE241" s="0" t="n">
        <v>0</v>
      </c>
      <c r="AF241" s="0" t="n">
        <v>0</v>
      </c>
      <c r="AG241" s="0" t="n">
        <v>0</v>
      </c>
      <c r="AH241" s="254" t="n">
        <v>-16358.3533241631</v>
      </c>
      <c r="AI241" s="0" t="n">
        <v>226</v>
      </c>
      <c r="AJ241" s="0" t="s">
        <v>630</v>
      </c>
      <c r="AK241" s="0" t="n">
        <v>0</v>
      </c>
      <c r="AL241" s="0" t="n">
        <v>0</v>
      </c>
      <c r="AM241" s="0" t="n">
        <v>0</v>
      </c>
    </row>
    <row r="242" customFormat="false" ht="12.75" hidden="false" customHeight="false" outlineLevel="0" collapsed="false">
      <c r="A242" s="0" t="s">
        <v>621</v>
      </c>
      <c r="B242" s="0" t="s">
        <v>285</v>
      </c>
      <c r="C242" s="0" t="s">
        <v>622</v>
      </c>
      <c r="D242" s="0" t="s">
        <v>623</v>
      </c>
      <c r="E242" s="0" t="s">
        <v>131</v>
      </c>
      <c r="F242" s="0" t="s">
        <v>198</v>
      </c>
      <c r="G242" s="0" t="s">
        <v>628</v>
      </c>
      <c r="H242" s="0" t="s">
        <v>625</v>
      </c>
      <c r="I242" s="0" t="s">
        <v>626</v>
      </c>
      <c r="J242" s="0" t="s">
        <v>627</v>
      </c>
      <c r="K242" s="475" t="n">
        <v>36951</v>
      </c>
      <c r="L242" s="254" t="n">
        <v>-340450.938600392</v>
      </c>
      <c r="M242" s="475" t="n">
        <v>36949</v>
      </c>
      <c r="N242" s="0" t="s">
        <v>132</v>
      </c>
      <c r="O242" s="0" t="n">
        <v>1.15</v>
      </c>
      <c r="P242" s="0" t="n">
        <v>0</v>
      </c>
      <c r="Q242" s="0" t="n">
        <v>0</v>
      </c>
      <c r="R242" s="0" t="n">
        <v>0</v>
      </c>
      <c r="S242" s="0" t="n">
        <v>0</v>
      </c>
      <c r="T242" s="0" t="s">
        <v>624</v>
      </c>
      <c r="U242" s="0" t="s">
        <v>149</v>
      </c>
      <c r="V242" s="0" t="s">
        <v>624</v>
      </c>
      <c r="W242" s="0" t="s">
        <v>569</v>
      </c>
      <c r="X242" s="0" t="s">
        <v>624</v>
      </c>
      <c r="Y242" s="0" t="s">
        <v>627</v>
      </c>
      <c r="Z242" s="0" t="s">
        <v>629</v>
      </c>
      <c r="AA242" s="0" t="s">
        <v>624</v>
      </c>
      <c r="AB242" s="0" t="s">
        <v>132</v>
      </c>
      <c r="AC242" s="254" t="n">
        <v>-620000</v>
      </c>
      <c r="AD242" s="254" t="n">
        <v>-54705.0093874434</v>
      </c>
      <c r="AE242" s="0" t="n">
        <v>0</v>
      </c>
      <c r="AF242" s="0" t="n">
        <v>0</v>
      </c>
      <c r="AG242" s="0" t="n">
        <v>0</v>
      </c>
      <c r="AH242" s="254" t="n">
        <v>14474.9203382678</v>
      </c>
      <c r="AI242" s="0" t="n">
        <v>226</v>
      </c>
      <c r="AJ242" s="0" t="s">
        <v>630</v>
      </c>
      <c r="AK242" s="0" t="n">
        <v>0</v>
      </c>
      <c r="AL242" s="0" t="n">
        <v>0</v>
      </c>
      <c r="AM242" s="0" t="n">
        <v>0</v>
      </c>
    </row>
    <row r="243" customFormat="false" ht="12.75" hidden="false" customHeight="false" outlineLevel="0" collapsed="false">
      <c r="A243" s="0" t="s">
        <v>621</v>
      </c>
      <c r="B243" s="0" t="s">
        <v>285</v>
      </c>
      <c r="C243" s="0" t="s">
        <v>622</v>
      </c>
      <c r="D243" s="0" t="s">
        <v>623</v>
      </c>
      <c r="E243" s="0" t="s">
        <v>131</v>
      </c>
      <c r="F243" s="0" t="s">
        <v>198</v>
      </c>
      <c r="G243" s="0" t="s">
        <v>628</v>
      </c>
      <c r="H243" s="0" t="s">
        <v>625</v>
      </c>
      <c r="I243" s="0" t="s">
        <v>626</v>
      </c>
      <c r="J243" s="0" t="s">
        <v>627</v>
      </c>
      <c r="K243" s="475" t="n">
        <v>36923</v>
      </c>
      <c r="L243" s="254" t="n">
        <v>-141199.127843747</v>
      </c>
      <c r="M243" s="475" t="n">
        <v>36921</v>
      </c>
      <c r="N243" s="0" t="s">
        <v>132</v>
      </c>
      <c r="O243" s="0" t="n">
        <v>1.15</v>
      </c>
      <c r="P243" s="0" t="n">
        <v>0</v>
      </c>
      <c r="Q243" s="0" t="n">
        <v>0</v>
      </c>
      <c r="R243" s="0" t="n">
        <v>0</v>
      </c>
      <c r="S243" s="0" t="n">
        <v>0</v>
      </c>
      <c r="T243" s="0" t="s">
        <v>624</v>
      </c>
      <c r="U243" s="0" t="s">
        <v>149</v>
      </c>
      <c r="V243" s="0" t="s">
        <v>624</v>
      </c>
      <c r="W243" s="0" t="s">
        <v>569</v>
      </c>
      <c r="X243" s="0" t="s">
        <v>624</v>
      </c>
      <c r="Y243" s="0" t="s">
        <v>627</v>
      </c>
      <c r="Z243" s="0" t="s">
        <v>629</v>
      </c>
      <c r="AA243" s="0" t="s">
        <v>624</v>
      </c>
      <c r="AB243" s="0" t="s">
        <v>132</v>
      </c>
      <c r="AC243" s="254" t="n">
        <v>-560000</v>
      </c>
      <c r="AD243" s="254" t="n">
        <v>-42105.9510435271</v>
      </c>
      <c r="AE243" s="0" t="n">
        <v>0</v>
      </c>
      <c r="AF243" s="0" t="n">
        <v>0</v>
      </c>
      <c r="AG243" s="0" t="n">
        <v>0</v>
      </c>
      <c r="AH243" s="254" t="n">
        <v>6981.3842456383</v>
      </c>
      <c r="AI243" s="0" t="n">
        <v>226</v>
      </c>
      <c r="AJ243" s="0" t="s">
        <v>630</v>
      </c>
      <c r="AK243" s="0" t="n">
        <v>0</v>
      </c>
      <c r="AL243" s="0" t="n">
        <v>0</v>
      </c>
      <c r="AM243" s="0" t="n">
        <v>0</v>
      </c>
    </row>
    <row r="244" customFormat="false" ht="12.75" hidden="false" customHeight="false" outlineLevel="0" collapsed="false">
      <c r="A244" s="0" t="s">
        <v>621</v>
      </c>
      <c r="B244" s="0" t="s">
        <v>285</v>
      </c>
      <c r="C244" s="0" t="s">
        <v>622</v>
      </c>
      <c r="D244" s="0" t="s">
        <v>623</v>
      </c>
      <c r="E244" s="0" t="s">
        <v>131</v>
      </c>
      <c r="F244" s="0" t="s">
        <v>198</v>
      </c>
      <c r="G244" s="0" t="s">
        <v>628</v>
      </c>
      <c r="H244" s="0" t="s">
        <v>625</v>
      </c>
      <c r="I244" s="0" t="s">
        <v>626</v>
      </c>
      <c r="J244" s="0" t="s">
        <v>627</v>
      </c>
      <c r="K244" s="475" t="n">
        <v>36892</v>
      </c>
      <c r="L244" s="254" t="n">
        <v>-129255.248803358</v>
      </c>
      <c r="M244" s="475" t="n">
        <v>36888</v>
      </c>
      <c r="N244" s="0" t="s">
        <v>132</v>
      </c>
      <c r="O244" s="0" t="n">
        <v>1.15</v>
      </c>
      <c r="P244" s="0" t="n">
        <v>0</v>
      </c>
      <c r="Q244" s="0" t="n">
        <v>0</v>
      </c>
      <c r="R244" s="0" t="n">
        <v>0</v>
      </c>
      <c r="S244" s="0" t="n">
        <v>0</v>
      </c>
      <c r="T244" s="0" t="s">
        <v>624</v>
      </c>
      <c r="U244" s="0" t="s">
        <v>149</v>
      </c>
      <c r="V244" s="0" t="s">
        <v>624</v>
      </c>
      <c r="W244" s="0" t="s">
        <v>569</v>
      </c>
      <c r="X244" s="0" t="s">
        <v>624</v>
      </c>
      <c r="Y244" s="0" t="s">
        <v>627</v>
      </c>
      <c r="Z244" s="0" t="s">
        <v>629</v>
      </c>
      <c r="AA244" s="0" t="s">
        <v>624</v>
      </c>
      <c r="AB244" s="0" t="s">
        <v>132</v>
      </c>
      <c r="AC244" s="254" t="n">
        <v>-620000</v>
      </c>
      <c r="AD244" s="254" t="n">
        <v>-40420.3170127561</v>
      </c>
      <c r="AE244" s="0" t="n">
        <v>0</v>
      </c>
      <c r="AF244" s="0" t="n">
        <v>0</v>
      </c>
      <c r="AG244" s="0" t="n">
        <v>0</v>
      </c>
      <c r="AH244" s="254" t="n">
        <v>5828.50935456094</v>
      </c>
      <c r="AI244" s="0" t="n">
        <v>226</v>
      </c>
      <c r="AJ244" s="0" t="s">
        <v>630</v>
      </c>
      <c r="AK244" s="0" t="n">
        <v>0</v>
      </c>
      <c r="AL244" s="0" t="n">
        <v>0</v>
      </c>
      <c r="AM244" s="0" t="n">
        <v>0</v>
      </c>
    </row>
    <row r="245" customFormat="false" ht="12.75" hidden="false" customHeight="false" outlineLevel="0" collapsed="false">
      <c r="A245" s="0" t="s">
        <v>621</v>
      </c>
      <c r="B245" s="0" t="s">
        <v>285</v>
      </c>
      <c r="C245" s="0" t="s">
        <v>622</v>
      </c>
      <c r="D245" s="0" t="s">
        <v>623</v>
      </c>
      <c r="E245" s="0" t="s">
        <v>131</v>
      </c>
      <c r="F245" s="0" t="s">
        <v>198</v>
      </c>
      <c r="G245" s="0" t="s">
        <v>628</v>
      </c>
      <c r="H245" s="0" t="s">
        <v>625</v>
      </c>
      <c r="I245" s="0" t="s">
        <v>626</v>
      </c>
      <c r="J245" s="0" t="s">
        <v>627</v>
      </c>
      <c r="K245" s="475" t="n">
        <v>36861</v>
      </c>
      <c r="L245" s="254" t="n">
        <v>-173078.837676033</v>
      </c>
      <c r="M245" s="475" t="n">
        <v>36859</v>
      </c>
      <c r="N245" s="0" t="s">
        <v>132</v>
      </c>
      <c r="O245" s="0" t="n">
        <v>1.15</v>
      </c>
      <c r="P245" s="0" t="n">
        <v>0</v>
      </c>
      <c r="Q245" s="0" t="n">
        <v>0</v>
      </c>
      <c r="R245" s="0" t="n">
        <v>0</v>
      </c>
      <c r="S245" s="0" t="n">
        <v>0</v>
      </c>
      <c r="T245" s="0" t="s">
        <v>624</v>
      </c>
      <c r="U245" s="0" t="s">
        <v>149</v>
      </c>
      <c r="V245" s="0" t="s">
        <v>624</v>
      </c>
      <c r="W245" s="0" t="s">
        <v>569</v>
      </c>
      <c r="X245" s="0" t="s">
        <v>624</v>
      </c>
      <c r="Y245" s="0" t="s">
        <v>627</v>
      </c>
      <c r="Z245" s="0" t="s">
        <v>629</v>
      </c>
      <c r="AA245" s="0" t="s">
        <v>624</v>
      </c>
      <c r="AB245" s="0" t="s">
        <v>132</v>
      </c>
      <c r="AC245" s="254" t="n">
        <v>-620000</v>
      </c>
      <c r="AD245" s="254" t="n">
        <v>-41497.6720790183</v>
      </c>
      <c r="AE245" s="0" t="n">
        <v>0</v>
      </c>
      <c r="AF245" s="0" t="n">
        <v>0</v>
      </c>
      <c r="AG245" s="0" t="n">
        <v>0</v>
      </c>
      <c r="AH245" s="254" t="n">
        <v>6505.64434774013</v>
      </c>
      <c r="AI245" s="0" t="n">
        <v>226</v>
      </c>
      <c r="AJ245" s="0" t="s">
        <v>630</v>
      </c>
      <c r="AK245" s="0" t="n">
        <v>0</v>
      </c>
      <c r="AL245" s="0" t="n">
        <v>0</v>
      </c>
      <c r="AM245" s="0" t="n">
        <v>0</v>
      </c>
    </row>
    <row r="246" customFormat="false" ht="12.75" hidden="false" customHeight="false" outlineLevel="0" collapsed="false">
      <c r="A246" s="0" t="s">
        <v>621</v>
      </c>
      <c r="B246" s="0" t="s">
        <v>285</v>
      </c>
      <c r="C246" s="0" t="s">
        <v>622</v>
      </c>
      <c r="D246" s="0" t="s">
        <v>623</v>
      </c>
      <c r="E246" s="0" t="s">
        <v>131</v>
      </c>
      <c r="F246" s="0" t="s">
        <v>198</v>
      </c>
      <c r="G246" s="0" t="s">
        <v>628</v>
      </c>
      <c r="H246" s="0" t="s">
        <v>625</v>
      </c>
      <c r="I246" s="0" t="s">
        <v>626</v>
      </c>
      <c r="J246" s="0" t="s">
        <v>627</v>
      </c>
      <c r="K246" s="475" t="n">
        <v>36831</v>
      </c>
      <c r="L246" s="254" t="n">
        <v>-301615.391800875</v>
      </c>
      <c r="M246" s="475" t="n">
        <v>36829</v>
      </c>
      <c r="N246" s="0" t="s">
        <v>132</v>
      </c>
      <c r="O246" s="0" t="n">
        <v>1.15</v>
      </c>
      <c r="P246" s="0" t="n">
        <v>0</v>
      </c>
      <c r="Q246" s="0" t="n">
        <v>0</v>
      </c>
      <c r="R246" s="0" t="n">
        <v>0</v>
      </c>
      <c r="S246" s="0" t="n">
        <v>0</v>
      </c>
      <c r="T246" s="0" t="s">
        <v>624</v>
      </c>
      <c r="U246" s="0" t="s">
        <v>149</v>
      </c>
      <c r="V246" s="0" t="s">
        <v>624</v>
      </c>
      <c r="W246" s="0" t="s">
        <v>569</v>
      </c>
      <c r="X246" s="0" t="s">
        <v>624</v>
      </c>
      <c r="Y246" s="0" t="s">
        <v>627</v>
      </c>
      <c r="Z246" s="0" t="s">
        <v>629</v>
      </c>
      <c r="AA246" s="0" t="s">
        <v>624</v>
      </c>
      <c r="AB246" s="0" t="s">
        <v>132</v>
      </c>
      <c r="AC246" s="254" t="n">
        <v>-600000</v>
      </c>
      <c r="AD246" s="254" t="n">
        <v>-22643.2148577438</v>
      </c>
      <c r="AE246" s="0" t="n">
        <v>0</v>
      </c>
      <c r="AF246" s="0" t="n">
        <v>0</v>
      </c>
      <c r="AG246" s="0" t="n">
        <v>0</v>
      </c>
      <c r="AH246" s="254" t="n">
        <v>15213.1083450872</v>
      </c>
      <c r="AI246" s="0" t="n">
        <v>226</v>
      </c>
      <c r="AJ246" s="0" t="s">
        <v>630</v>
      </c>
      <c r="AK246" s="0" t="n">
        <v>0</v>
      </c>
      <c r="AL246" s="0" t="n">
        <v>0</v>
      </c>
      <c r="AM246" s="0" t="n">
        <v>0</v>
      </c>
    </row>
    <row r="247" customFormat="false" ht="12.75" hidden="false" customHeight="false" outlineLevel="0" collapsed="false">
      <c r="A247" s="0" t="s">
        <v>621</v>
      </c>
      <c r="B247" s="0" t="s">
        <v>286</v>
      </c>
      <c r="C247" s="0" t="s">
        <v>622</v>
      </c>
      <c r="D247" s="0" t="s">
        <v>623</v>
      </c>
      <c r="E247" s="0" t="s">
        <v>131</v>
      </c>
      <c r="F247" s="0" t="s">
        <v>198</v>
      </c>
      <c r="G247" s="0" t="s">
        <v>628</v>
      </c>
      <c r="H247" s="0" t="s">
        <v>625</v>
      </c>
      <c r="I247" s="0" t="s">
        <v>626</v>
      </c>
      <c r="J247" s="0" t="s">
        <v>627</v>
      </c>
      <c r="K247" s="475" t="n">
        <v>36951</v>
      </c>
      <c r="L247" s="254" t="n">
        <v>-465509.916729815</v>
      </c>
      <c r="M247" s="475" t="n">
        <v>36949</v>
      </c>
      <c r="N247" s="0" t="s">
        <v>132</v>
      </c>
      <c r="O247" s="0" t="n">
        <v>1</v>
      </c>
      <c r="P247" s="0" t="n">
        <v>0</v>
      </c>
      <c r="Q247" s="0" t="n">
        <v>0</v>
      </c>
      <c r="R247" s="0" t="n">
        <v>0</v>
      </c>
      <c r="S247" s="0" t="n">
        <v>0</v>
      </c>
      <c r="T247" s="0" t="s">
        <v>624</v>
      </c>
      <c r="U247" s="0" t="s">
        <v>149</v>
      </c>
      <c r="V247" s="0" t="s">
        <v>624</v>
      </c>
      <c r="W247" s="0" t="s">
        <v>569</v>
      </c>
      <c r="X247" s="0" t="s">
        <v>624</v>
      </c>
      <c r="Y247" s="0" t="s">
        <v>627</v>
      </c>
      <c r="Z247" s="0" t="s">
        <v>629</v>
      </c>
      <c r="AA247" s="0" t="s">
        <v>624</v>
      </c>
      <c r="AB247" s="0" t="s">
        <v>132</v>
      </c>
      <c r="AC247" s="254" t="n">
        <v>-1000000</v>
      </c>
      <c r="AD247" s="254" t="n">
        <v>-88936.8209745341</v>
      </c>
      <c r="AE247" s="0" t="n">
        <v>0</v>
      </c>
      <c r="AF247" s="0" t="n">
        <v>0</v>
      </c>
      <c r="AG247" s="0" t="n">
        <v>0</v>
      </c>
      <c r="AH247" s="254" t="n">
        <v>20719.012783803</v>
      </c>
      <c r="AI247" s="0" t="n">
        <v>226</v>
      </c>
      <c r="AJ247" s="0" t="s">
        <v>630</v>
      </c>
      <c r="AK247" s="0" t="n">
        <v>0</v>
      </c>
      <c r="AL247" s="0" t="n">
        <v>0</v>
      </c>
      <c r="AM247" s="0" t="n">
        <v>0</v>
      </c>
    </row>
    <row r="248" customFormat="false" ht="12.75" hidden="false" customHeight="false" outlineLevel="0" collapsed="false">
      <c r="A248" s="0" t="s">
        <v>621</v>
      </c>
      <c r="B248" s="0" t="s">
        <v>287</v>
      </c>
      <c r="C248" s="0" t="s">
        <v>622</v>
      </c>
      <c r="D248" s="0" t="s">
        <v>623</v>
      </c>
      <c r="E248" s="0" t="s">
        <v>131</v>
      </c>
      <c r="F248" s="0" t="s">
        <v>198</v>
      </c>
      <c r="G248" s="0" t="s">
        <v>628</v>
      </c>
      <c r="H248" s="0" t="s">
        <v>625</v>
      </c>
      <c r="I248" s="0" t="s">
        <v>626</v>
      </c>
      <c r="J248" s="0" t="s">
        <v>627</v>
      </c>
      <c r="K248" s="475" t="n">
        <v>36951</v>
      </c>
      <c r="L248" s="254" t="n">
        <v>342154.896944254</v>
      </c>
      <c r="M248" s="475" t="n">
        <v>36949</v>
      </c>
      <c r="N248" s="0" t="s">
        <v>132</v>
      </c>
      <c r="O248" s="0" t="n">
        <v>0.75</v>
      </c>
      <c r="P248" s="0" t="n">
        <v>0</v>
      </c>
      <c r="Q248" s="0" t="n">
        <v>0</v>
      </c>
      <c r="R248" s="0" t="n">
        <v>0</v>
      </c>
      <c r="S248" s="0" t="n">
        <v>0</v>
      </c>
      <c r="T248" s="0" t="s">
        <v>624</v>
      </c>
      <c r="U248" s="0" t="s">
        <v>149</v>
      </c>
      <c r="V248" s="0" t="s">
        <v>624</v>
      </c>
      <c r="W248" s="0" t="s">
        <v>569</v>
      </c>
      <c r="X248" s="0" t="s">
        <v>624</v>
      </c>
      <c r="Y248" s="0" t="s">
        <v>627</v>
      </c>
      <c r="Z248" s="0" t="s">
        <v>629</v>
      </c>
      <c r="AA248" s="0" t="s">
        <v>624</v>
      </c>
      <c r="AB248" s="0" t="s">
        <v>132</v>
      </c>
      <c r="AC248" s="254" t="n">
        <v>1000000</v>
      </c>
      <c r="AD248" s="254" t="n">
        <v>87420.3029471442</v>
      </c>
      <c r="AE248" s="0" t="n">
        <v>0</v>
      </c>
      <c r="AF248" s="0" t="n">
        <v>0</v>
      </c>
      <c r="AG248" s="0" t="n">
        <v>0</v>
      </c>
      <c r="AH248" s="254" t="n">
        <v>-16337.219424809</v>
      </c>
      <c r="AI248" s="0" t="n">
        <v>226</v>
      </c>
      <c r="AJ248" s="0" t="s">
        <v>630</v>
      </c>
      <c r="AK248" s="0" t="n">
        <v>0</v>
      </c>
      <c r="AL248" s="0" t="n">
        <v>0</v>
      </c>
      <c r="AM248" s="0" t="n">
        <v>0</v>
      </c>
    </row>
    <row r="249" customFormat="false" ht="12.75" hidden="false" customHeight="false" outlineLevel="0" collapsed="false">
      <c r="A249" s="0" t="s">
        <v>621</v>
      </c>
      <c r="B249" s="0" t="s">
        <v>287</v>
      </c>
      <c r="C249" s="0" t="s">
        <v>622</v>
      </c>
      <c r="D249" s="0" t="s">
        <v>623</v>
      </c>
      <c r="E249" s="0" t="s">
        <v>131</v>
      </c>
      <c r="F249" s="0" t="s">
        <v>198</v>
      </c>
      <c r="G249" s="0" t="s">
        <v>628</v>
      </c>
      <c r="H249" s="0" t="s">
        <v>625</v>
      </c>
      <c r="I249" s="0" t="s">
        <v>626</v>
      </c>
      <c r="J249" s="0" t="s">
        <v>627</v>
      </c>
      <c r="K249" s="475" t="n">
        <v>36923</v>
      </c>
      <c r="L249" s="254" t="n">
        <v>140248.499222317</v>
      </c>
      <c r="M249" s="475" t="n">
        <v>36921</v>
      </c>
      <c r="N249" s="0" t="s">
        <v>132</v>
      </c>
      <c r="O249" s="0" t="n">
        <v>0.75</v>
      </c>
      <c r="P249" s="0" t="n">
        <v>0</v>
      </c>
      <c r="Q249" s="0" t="n">
        <v>0</v>
      </c>
      <c r="R249" s="0" t="n">
        <v>0</v>
      </c>
      <c r="S249" s="0" t="n">
        <v>0</v>
      </c>
      <c r="T249" s="0" t="s">
        <v>624</v>
      </c>
      <c r="U249" s="0" t="s">
        <v>149</v>
      </c>
      <c r="V249" s="0" t="s">
        <v>624</v>
      </c>
      <c r="W249" s="0" t="s">
        <v>569</v>
      </c>
      <c r="X249" s="0" t="s">
        <v>624</v>
      </c>
      <c r="Y249" s="0" t="s">
        <v>627</v>
      </c>
      <c r="Z249" s="0" t="s">
        <v>629</v>
      </c>
      <c r="AA249" s="0" t="s">
        <v>624</v>
      </c>
      <c r="AB249" s="0" t="s">
        <v>132</v>
      </c>
      <c r="AC249" s="254" t="n">
        <v>1000000</v>
      </c>
      <c r="AD249" s="254" t="n">
        <v>61469.571592473</v>
      </c>
      <c r="AE249" s="0" t="n">
        <v>0</v>
      </c>
      <c r="AF249" s="0" t="n">
        <v>0</v>
      </c>
      <c r="AG249" s="0" t="n">
        <v>0</v>
      </c>
      <c r="AH249" s="254" t="n">
        <v>-7506.70212805551</v>
      </c>
      <c r="AI249" s="0" t="n">
        <v>226</v>
      </c>
      <c r="AJ249" s="0" t="s">
        <v>630</v>
      </c>
      <c r="AK249" s="0" t="n">
        <v>0</v>
      </c>
      <c r="AL249" s="0" t="n">
        <v>0</v>
      </c>
      <c r="AM249" s="0" t="n">
        <v>0</v>
      </c>
    </row>
    <row r="250" customFormat="false" ht="12.75" hidden="false" customHeight="false" outlineLevel="0" collapsed="false">
      <c r="A250" s="0" t="s">
        <v>621</v>
      </c>
      <c r="B250" s="0" t="s">
        <v>287</v>
      </c>
      <c r="C250" s="0" t="s">
        <v>622</v>
      </c>
      <c r="D250" s="0" t="s">
        <v>623</v>
      </c>
      <c r="E250" s="0" t="s">
        <v>131</v>
      </c>
      <c r="F250" s="0" t="s">
        <v>198</v>
      </c>
      <c r="G250" s="0" t="s">
        <v>628</v>
      </c>
      <c r="H250" s="0" t="s">
        <v>625</v>
      </c>
      <c r="I250" s="0" t="s">
        <v>626</v>
      </c>
      <c r="J250" s="0" t="s">
        <v>627</v>
      </c>
      <c r="K250" s="475" t="n">
        <v>36892</v>
      </c>
      <c r="L250" s="254" t="n">
        <v>110739.689449624</v>
      </c>
      <c r="M250" s="475" t="n">
        <v>36888</v>
      </c>
      <c r="N250" s="0" t="s">
        <v>132</v>
      </c>
      <c r="O250" s="0" t="n">
        <v>0.75</v>
      </c>
      <c r="P250" s="0" t="n">
        <v>0</v>
      </c>
      <c r="Q250" s="0" t="n">
        <v>0</v>
      </c>
      <c r="R250" s="0" t="n">
        <v>0</v>
      </c>
      <c r="S250" s="0" t="n">
        <v>0</v>
      </c>
      <c r="T250" s="0" t="s">
        <v>624</v>
      </c>
      <c r="U250" s="0" t="s">
        <v>149</v>
      </c>
      <c r="V250" s="0" t="s">
        <v>624</v>
      </c>
      <c r="W250" s="0" t="s">
        <v>569</v>
      </c>
      <c r="X250" s="0" t="s">
        <v>624</v>
      </c>
      <c r="Y250" s="0" t="s">
        <v>627</v>
      </c>
      <c r="Z250" s="0" t="s">
        <v>629</v>
      </c>
      <c r="AA250" s="0" t="s">
        <v>624</v>
      </c>
      <c r="AB250" s="0" t="s">
        <v>132</v>
      </c>
      <c r="AC250" s="254" t="n">
        <v>1000000</v>
      </c>
      <c r="AD250" s="254" t="n">
        <v>50977.7435338451</v>
      </c>
      <c r="AE250" s="0" t="n">
        <v>0</v>
      </c>
      <c r="AF250" s="0" t="n">
        <v>0</v>
      </c>
      <c r="AG250" s="0" t="n">
        <v>0</v>
      </c>
      <c r="AH250" s="254" t="n">
        <v>-5341.82519402116</v>
      </c>
      <c r="AI250" s="0" t="n">
        <v>226</v>
      </c>
      <c r="AJ250" s="0" t="s">
        <v>630</v>
      </c>
      <c r="AK250" s="0" t="n">
        <v>0</v>
      </c>
      <c r="AL250" s="0" t="n">
        <v>0</v>
      </c>
      <c r="AM250" s="0" t="n">
        <v>0</v>
      </c>
    </row>
    <row r="251" customFormat="false" ht="12.75" hidden="false" customHeight="false" outlineLevel="0" collapsed="false">
      <c r="A251" s="0" t="s">
        <v>621</v>
      </c>
      <c r="B251" s="0" t="s">
        <v>287</v>
      </c>
      <c r="C251" s="0" t="s">
        <v>622</v>
      </c>
      <c r="D251" s="0" t="s">
        <v>623</v>
      </c>
      <c r="E251" s="0" t="s">
        <v>131</v>
      </c>
      <c r="F251" s="0" t="s">
        <v>198</v>
      </c>
      <c r="G251" s="0" t="s">
        <v>628</v>
      </c>
      <c r="H251" s="0" t="s">
        <v>625</v>
      </c>
      <c r="I251" s="0" t="s">
        <v>626</v>
      </c>
      <c r="J251" s="0" t="s">
        <v>627</v>
      </c>
      <c r="K251" s="475" t="n">
        <v>36861</v>
      </c>
      <c r="L251" s="254" t="n">
        <v>147916.985171273</v>
      </c>
      <c r="M251" s="475" t="n">
        <v>36859</v>
      </c>
      <c r="N251" s="0" t="s">
        <v>132</v>
      </c>
      <c r="O251" s="0" t="n">
        <v>0.75</v>
      </c>
      <c r="P251" s="0" t="n">
        <v>0</v>
      </c>
      <c r="Q251" s="0" t="n">
        <v>0</v>
      </c>
      <c r="R251" s="0" t="n">
        <v>0</v>
      </c>
      <c r="S251" s="0" t="n">
        <v>0</v>
      </c>
      <c r="T251" s="0" t="s">
        <v>624</v>
      </c>
      <c r="U251" s="0" t="s">
        <v>149</v>
      </c>
      <c r="V251" s="0" t="s">
        <v>624</v>
      </c>
      <c r="W251" s="0" t="s">
        <v>569</v>
      </c>
      <c r="X251" s="0" t="s">
        <v>624</v>
      </c>
      <c r="Y251" s="0" t="s">
        <v>627</v>
      </c>
      <c r="Z251" s="0" t="s">
        <v>629</v>
      </c>
      <c r="AA251" s="0" t="s">
        <v>624</v>
      </c>
      <c r="AB251" s="0" t="s">
        <v>132</v>
      </c>
      <c r="AC251" s="254" t="n">
        <v>1000000</v>
      </c>
      <c r="AD251" s="254" t="n">
        <v>55583.0803000811</v>
      </c>
      <c r="AE251" s="0" t="n">
        <v>0</v>
      </c>
      <c r="AF251" s="0" t="n">
        <v>0</v>
      </c>
      <c r="AG251" s="0" t="n">
        <v>0</v>
      </c>
      <c r="AH251" s="254" t="n">
        <v>-6008.07526559601</v>
      </c>
      <c r="AI251" s="0" t="n">
        <v>226</v>
      </c>
      <c r="AJ251" s="0" t="s">
        <v>630</v>
      </c>
      <c r="AK251" s="0" t="n">
        <v>0</v>
      </c>
      <c r="AL251" s="0" t="n">
        <v>0</v>
      </c>
      <c r="AM251" s="0" t="n">
        <v>0</v>
      </c>
    </row>
    <row r="252" customFormat="false" ht="12.75" hidden="false" customHeight="false" outlineLevel="0" collapsed="false">
      <c r="A252" s="0" t="s">
        <v>621</v>
      </c>
      <c r="B252" s="0" t="s">
        <v>287</v>
      </c>
      <c r="C252" s="0" t="s">
        <v>622</v>
      </c>
      <c r="D252" s="0" t="s">
        <v>623</v>
      </c>
      <c r="E252" s="0" t="s">
        <v>131</v>
      </c>
      <c r="F252" s="0" t="s">
        <v>198</v>
      </c>
      <c r="G252" s="0" t="s">
        <v>628</v>
      </c>
      <c r="H252" s="0" t="s">
        <v>625</v>
      </c>
      <c r="I252" s="0" t="s">
        <v>626</v>
      </c>
      <c r="J252" s="0" t="s">
        <v>627</v>
      </c>
      <c r="K252" s="475" t="n">
        <v>36831</v>
      </c>
      <c r="L252" s="254" t="n">
        <v>249617.892584412</v>
      </c>
      <c r="M252" s="475" t="n">
        <v>36829</v>
      </c>
      <c r="N252" s="0" t="s">
        <v>132</v>
      </c>
      <c r="O252" s="0" t="n">
        <v>0.75</v>
      </c>
      <c r="P252" s="0" t="n">
        <v>0</v>
      </c>
      <c r="Q252" s="0" t="n">
        <v>0</v>
      </c>
      <c r="R252" s="0" t="n">
        <v>0</v>
      </c>
      <c r="S252" s="0" t="n">
        <v>0</v>
      </c>
      <c r="T252" s="0" t="s">
        <v>624</v>
      </c>
      <c r="U252" s="0" t="s">
        <v>149</v>
      </c>
      <c r="V252" s="0" t="s">
        <v>624</v>
      </c>
      <c r="W252" s="0" t="s">
        <v>569</v>
      </c>
      <c r="X252" s="0" t="s">
        <v>624</v>
      </c>
      <c r="Y252" s="0" t="s">
        <v>627</v>
      </c>
      <c r="Z252" s="0" t="s">
        <v>629</v>
      </c>
      <c r="AA252" s="0" t="s">
        <v>624</v>
      </c>
      <c r="AB252" s="0" t="s">
        <v>132</v>
      </c>
      <c r="AC252" s="254" t="n">
        <v>1000000</v>
      </c>
      <c r="AD252" s="254" t="n">
        <v>45150.5946831699</v>
      </c>
      <c r="AE252" s="0" t="n">
        <v>0</v>
      </c>
      <c r="AF252" s="0" t="n">
        <v>0</v>
      </c>
      <c r="AG252" s="0" t="n">
        <v>0</v>
      </c>
      <c r="AH252" s="254" t="n">
        <v>-16358.3533241631</v>
      </c>
      <c r="AI252" s="0" t="n">
        <v>226</v>
      </c>
      <c r="AJ252" s="0" t="s">
        <v>630</v>
      </c>
      <c r="AK252" s="0" t="n">
        <v>0</v>
      </c>
      <c r="AL252" s="0" t="n">
        <v>0</v>
      </c>
      <c r="AM252" s="0" t="n">
        <v>0</v>
      </c>
    </row>
    <row r="253" customFormat="false" ht="12.75" hidden="false" customHeight="false" outlineLevel="0" collapsed="false">
      <c r="A253" s="0" t="s">
        <v>621</v>
      </c>
      <c r="B253" s="0" t="s">
        <v>288</v>
      </c>
      <c r="C253" s="0" t="s">
        <v>622</v>
      </c>
      <c r="D253" s="0" t="s">
        <v>623</v>
      </c>
      <c r="E253" s="0" t="s">
        <v>131</v>
      </c>
      <c r="F253" s="0" t="s">
        <v>198</v>
      </c>
      <c r="G253" s="0" t="s">
        <v>628</v>
      </c>
      <c r="H253" s="0" t="s">
        <v>625</v>
      </c>
      <c r="I253" s="0" t="s">
        <v>626</v>
      </c>
      <c r="J253" s="0" t="s">
        <v>627</v>
      </c>
      <c r="K253" s="475" t="n">
        <v>36951</v>
      </c>
      <c r="L253" s="254" t="n">
        <v>-32635.4078562562</v>
      </c>
      <c r="M253" s="475" t="n">
        <v>36949</v>
      </c>
      <c r="N253" s="0" t="s">
        <v>136</v>
      </c>
      <c r="O253" s="0" t="n">
        <v>3</v>
      </c>
      <c r="P253" s="0" t="n">
        <v>0</v>
      </c>
      <c r="Q253" s="0" t="n">
        <v>0</v>
      </c>
      <c r="R253" s="0" t="n">
        <v>0</v>
      </c>
      <c r="S253" s="0" t="n">
        <v>0</v>
      </c>
      <c r="T253" s="0" t="s">
        <v>624</v>
      </c>
      <c r="U253" s="0" t="s">
        <v>149</v>
      </c>
      <c r="V253" s="0" t="s">
        <v>624</v>
      </c>
      <c r="W253" s="0" t="s">
        <v>569</v>
      </c>
      <c r="X253" s="0" t="s">
        <v>624</v>
      </c>
      <c r="Y253" s="0" t="s">
        <v>627</v>
      </c>
      <c r="Z253" s="0" t="s">
        <v>629</v>
      </c>
      <c r="AA253" s="0" t="s">
        <v>624</v>
      </c>
      <c r="AB253" s="0" t="s">
        <v>132</v>
      </c>
      <c r="AC253" s="254" t="n">
        <v>-310000</v>
      </c>
      <c r="AD253" s="254" t="n">
        <v>-13882.7619273472</v>
      </c>
      <c r="AE253" s="0" t="n">
        <v>0</v>
      </c>
      <c r="AF253" s="0" t="n">
        <v>0</v>
      </c>
      <c r="AG253" s="0" t="n">
        <v>0</v>
      </c>
      <c r="AH253" s="254" t="n">
        <v>-3518.48856863906</v>
      </c>
      <c r="AI253" s="0" t="n">
        <v>226</v>
      </c>
      <c r="AJ253" s="0" t="s">
        <v>630</v>
      </c>
      <c r="AK253" s="0" t="n">
        <v>0</v>
      </c>
      <c r="AL253" s="0" t="n">
        <v>0</v>
      </c>
      <c r="AM253" s="0" t="n">
        <v>0</v>
      </c>
    </row>
    <row r="254" customFormat="false" ht="12.75" hidden="false" customHeight="false" outlineLevel="0" collapsed="false">
      <c r="A254" s="0" t="s">
        <v>621</v>
      </c>
      <c r="B254" s="0" t="s">
        <v>288</v>
      </c>
      <c r="C254" s="0" t="s">
        <v>622</v>
      </c>
      <c r="D254" s="0" t="s">
        <v>623</v>
      </c>
      <c r="E254" s="0" t="s">
        <v>131</v>
      </c>
      <c r="F254" s="0" t="s">
        <v>198</v>
      </c>
      <c r="G254" s="0" t="s">
        <v>628</v>
      </c>
      <c r="H254" s="0" t="s">
        <v>625</v>
      </c>
      <c r="I254" s="0" t="s">
        <v>626</v>
      </c>
      <c r="J254" s="0" t="s">
        <v>627</v>
      </c>
      <c r="K254" s="475" t="n">
        <v>36923</v>
      </c>
      <c r="L254" s="254" t="n">
        <v>-111967.305065231</v>
      </c>
      <c r="M254" s="475" t="n">
        <v>36921</v>
      </c>
      <c r="N254" s="0" t="s">
        <v>136</v>
      </c>
      <c r="O254" s="0" t="n">
        <v>3</v>
      </c>
      <c r="P254" s="0" t="n">
        <v>0</v>
      </c>
      <c r="Q254" s="0" t="n">
        <v>0</v>
      </c>
      <c r="R254" s="0" t="n">
        <v>0</v>
      </c>
      <c r="S254" s="0" t="n">
        <v>0</v>
      </c>
      <c r="T254" s="0" t="s">
        <v>624</v>
      </c>
      <c r="U254" s="0" t="s">
        <v>149</v>
      </c>
      <c r="V254" s="0" t="s">
        <v>624</v>
      </c>
      <c r="W254" s="0" t="s">
        <v>569</v>
      </c>
      <c r="X254" s="0" t="s">
        <v>624</v>
      </c>
      <c r="Y254" s="0" t="s">
        <v>627</v>
      </c>
      <c r="Z254" s="0" t="s">
        <v>629</v>
      </c>
      <c r="AA254" s="0" t="s">
        <v>624</v>
      </c>
      <c r="AB254" s="0" t="s">
        <v>132</v>
      </c>
      <c r="AC254" s="254" t="n">
        <v>-280000</v>
      </c>
      <c r="AD254" s="254" t="n">
        <v>-21157.7991487411</v>
      </c>
      <c r="AE254" s="0" t="n">
        <v>0</v>
      </c>
      <c r="AF254" s="0" t="n">
        <v>0</v>
      </c>
      <c r="AG254" s="0" t="n">
        <v>0</v>
      </c>
      <c r="AH254" s="254" t="n">
        <v>-8089.12418325619</v>
      </c>
      <c r="AI254" s="0" t="n">
        <v>226</v>
      </c>
      <c r="AJ254" s="0" t="s">
        <v>630</v>
      </c>
      <c r="AK254" s="0" t="n">
        <v>0</v>
      </c>
      <c r="AL254" s="0" t="n">
        <v>0</v>
      </c>
      <c r="AM254" s="0" t="n">
        <v>0</v>
      </c>
    </row>
    <row r="255" customFormat="false" ht="12.75" hidden="false" customHeight="false" outlineLevel="0" collapsed="false">
      <c r="A255" s="0" t="s">
        <v>621</v>
      </c>
      <c r="B255" s="0" t="s">
        <v>288</v>
      </c>
      <c r="C255" s="0" t="s">
        <v>622</v>
      </c>
      <c r="D255" s="0" t="s">
        <v>623</v>
      </c>
      <c r="E255" s="0" t="s">
        <v>131</v>
      </c>
      <c r="F255" s="0" t="s">
        <v>198</v>
      </c>
      <c r="G255" s="0" t="s">
        <v>628</v>
      </c>
      <c r="H255" s="0" t="s">
        <v>625</v>
      </c>
      <c r="I255" s="0" t="s">
        <v>626</v>
      </c>
      <c r="J255" s="0" t="s">
        <v>627</v>
      </c>
      <c r="K255" s="475" t="n">
        <v>36892</v>
      </c>
      <c r="L255" s="254" t="n">
        <v>-119727.306902056</v>
      </c>
      <c r="M255" s="475" t="n">
        <v>36888</v>
      </c>
      <c r="N255" s="0" t="s">
        <v>136</v>
      </c>
      <c r="O255" s="0" t="n">
        <v>3</v>
      </c>
      <c r="P255" s="0" t="n">
        <v>0</v>
      </c>
      <c r="Q255" s="0" t="n">
        <v>0</v>
      </c>
      <c r="R255" s="0" t="n">
        <v>0</v>
      </c>
      <c r="S255" s="0" t="n">
        <v>0</v>
      </c>
      <c r="T255" s="0" t="s">
        <v>624</v>
      </c>
      <c r="U255" s="0" t="s">
        <v>149</v>
      </c>
      <c r="V255" s="0" t="s">
        <v>624</v>
      </c>
      <c r="W255" s="0" t="s">
        <v>569</v>
      </c>
      <c r="X255" s="0" t="s">
        <v>624</v>
      </c>
      <c r="Y255" s="0" t="s">
        <v>627</v>
      </c>
      <c r="Z255" s="0" t="s">
        <v>629</v>
      </c>
      <c r="AA255" s="0" t="s">
        <v>624</v>
      </c>
      <c r="AB255" s="0" t="s">
        <v>132</v>
      </c>
      <c r="AC255" s="254" t="n">
        <v>-310000</v>
      </c>
      <c r="AD255" s="254" t="n">
        <v>-21579.3861759901</v>
      </c>
      <c r="AE255" s="0" t="n">
        <v>0</v>
      </c>
      <c r="AF255" s="0" t="n">
        <v>0</v>
      </c>
      <c r="AG255" s="0" t="n">
        <v>0</v>
      </c>
      <c r="AH255" s="254" t="n">
        <v>-7790.53137859397</v>
      </c>
      <c r="AI255" s="0" t="n">
        <v>226</v>
      </c>
      <c r="AJ255" s="0" t="s">
        <v>630</v>
      </c>
      <c r="AK255" s="0" t="n">
        <v>0</v>
      </c>
      <c r="AL255" s="0" t="n">
        <v>0</v>
      </c>
      <c r="AM255" s="0" t="n">
        <v>0</v>
      </c>
    </row>
    <row r="256" customFormat="false" ht="12.75" hidden="false" customHeight="false" outlineLevel="0" collapsed="false">
      <c r="A256" s="0" t="s">
        <v>621</v>
      </c>
      <c r="B256" s="0" t="s">
        <v>288</v>
      </c>
      <c r="C256" s="0" t="s">
        <v>622</v>
      </c>
      <c r="D256" s="0" t="s">
        <v>623</v>
      </c>
      <c r="E256" s="0" t="s">
        <v>131</v>
      </c>
      <c r="F256" s="0" t="s">
        <v>198</v>
      </c>
      <c r="G256" s="0" t="s">
        <v>628</v>
      </c>
      <c r="H256" s="0" t="s">
        <v>625</v>
      </c>
      <c r="I256" s="0" t="s">
        <v>626</v>
      </c>
      <c r="J256" s="0" t="s">
        <v>627</v>
      </c>
      <c r="K256" s="475" t="n">
        <v>36861</v>
      </c>
      <c r="L256" s="254" t="n">
        <v>-49190.2174237988</v>
      </c>
      <c r="M256" s="475" t="n">
        <v>36859</v>
      </c>
      <c r="N256" s="0" t="s">
        <v>136</v>
      </c>
      <c r="O256" s="0" t="n">
        <v>3</v>
      </c>
      <c r="P256" s="0" t="n">
        <v>0</v>
      </c>
      <c r="Q256" s="0" t="n">
        <v>0</v>
      </c>
      <c r="R256" s="0" t="n">
        <v>0</v>
      </c>
      <c r="S256" s="0" t="n">
        <v>0</v>
      </c>
      <c r="T256" s="0" t="s">
        <v>624</v>
      </c>
      <c r="U256" s="0" t="s">
        <v>149</v>
      </c>
      <c r="V256" s="0" t="s">
        <v>624</v>
      </c>
      <c r="W256" s="0" t="s">
        <v>569</v>
      </c>
      <c r="X256" s="0" t="s">
        <v>624</v>
      </c>
      <c r="Y256" s="0" t="s">
        <v>627</v>
      </c>
      <c r="Z256" s="0" t="s">
        <v>629</v>
      </c>
      <c r="AA256" s="0" t="s">
        <v>624</v>
      </c>
      <c r="AB256" s="0" t="s">
        <v>132</v>
      </c>
      <c r="AC256" s="254" t="n">
        <v>-310000</v>
      </c>
      <c r="AD256" s="254" t="n">
        <v>-14429.3786014605</v>
      </c>
      <c r="AE256" s="0" t="n">
        <v>0</v>
      </c>
      <c r="AF256" s="0" t="n">
        <v>0</v>
      </c>
      <c r="AG256" s="0" t="n">
        <v>0</v>
      </c>
      <c r="AH256" s="254" t="n">
        <v>-3744.28853759219</v>
      </c>
      <c r="AI256" s="0" t="n">
        <v>226</v>
      </c>
      <c r="AJ256" s="0" t="s">
        <v>630</v>
      </c>
      <c r="AK256" s="0" t="n">
        <v>0</v>
      </c>
      <c r="AL256" s="0" t="n">
        <v>0</v>
      </c>
      <c r="AM256" s="0" t="n">
        <v>0</v>
      </c>
    </row>
    <row r="257" customFormat="false" ht="12.75" hidden="false" customHeight="false" outlineLevel="0" collapsed="false">
      <c r="A257" s="0" t="s">
        <v>621</v>
      </c>
      <c r="B257" s="0" t="s">
        <v>288</v>
      </c>
      <c r="C257" s="0" t="s">
        <v>622</v>
      </c>
      <c r="D257" s="0" t="s">
        <v>623</v>
      </c>
      <c r="E257" s="0" t="s">
        <v>131</v>
      </c>
      <c r="F257" s="0" t="s">
        <v>198</v>
      </c>
      <c r="G257" s="0" t="s">
        <v>628</v>
      </c>
      <c r="H257" s="0" t="s">
        <v>625</v>
      </c>
      <c r="I257" s="0" t="s">
        <v>626</v>
      </c>
      <c r="J257" s="0" t="s">
        <v>627</v>
      </c>
      <c r="K257" s="475" t="n">
        <v>36831</v>
      </c>
      <c r="L257" s="254" t="n">
        <v>-602.540323558594</v>
      </c>
      <c r="M257" s="475" t="n">
        <v>36829</v>
      </c>
      <c r="N257" s="0" t="s">
        <v>136</v>
      </c>
      <c r="O257" s="0" t="n">
        <v>3</v>
      </c>
      <c r="P257" s="0" t="n">
        <v>0</v>
      </c>
      <c r="Q257" s="0" t="n">
        <v>0</v>
      </c>
      <c r="R257" s="0" t="n">
        <v>0</v>
      </c>
      <c r="S257" s="0" t="n">
        <v>0</v>
      </c>
      <c r="T257" s="0" t="s">
        <v>624</v>
      </c>
      <c r="U257" s="0" t="s">
        <v>149</v>
      </c>
      <c r="V257" s="0" t="s">
        <v>624</v>
      </c>
      <c r="W257" s="0" t="s">
        <v>569</v>
      </c>
      <c r="X257" s="0" t="s">
        <v>624</v>
      </c>
      <c r="Y257" s="0" t="s">
        <v>627</v>
      </c>
      <c r="Z257" s="0" t="s">
        <v>629</v>
      </c>
      <c r="AA257" s="0" t="s">
        <v>624</v>
      </c>
      <c r="AB257" s="0" t="s">
        <v>132</v>
      </c>
      <c r="AC257" s="254" t="n">
        <v>-300000</v>
      </c>
      <c r="AD257" s="254" t="n">
        <v>-601.410055669589</v>
      </c>
      <c r="AE257" s="0" t="n">
        <v>0</v>
      </c>
      <c r="AF257" s="0" t="n">
        <v>0</v>
      </c>
      <c r="AG257" s="0" t="n">
        <v>0</v>
      </c>
      <c r="AH257" s="254" t="n">
        <v>-136.496853795987</v>
      </c>
      <c r="AI257" s="0" t="n">
        <v>226</v>
      </c>
      <c r="AJ257" s="0" t="s">
        <v>630</v>
      </c>
      <c r="AK257" s="0" t="n">
        <v>0</v>
      </c>
      <c r="AL257" s="0" t="n">
        <v>0</v>
      </c>
      <c r="AM257" s="0" t="n">
        <v>0</v>
      </c>
    </row>
    <row r="258" customFormat="false" ht="12.75" hidden="false" customHeight="false" outlineLevel="0" collapsed="false">
      <c r="A258" s="0" t="s">
        <v>621</v>
      </c>
      <c r="B258" s="0" t="s">
        <v>289</v>
      </c>
      <c r="C258" s="0" t="s">
        <v>622</v>
      </c>
      <c r="D258" s="0" t="s">
        <v>623</v>
      </c>
      <c r="E258" s="0" t="s">
        <v>131</v>
      </c>
      <c r="F258" s="0" t="s">
        <v>198</v>
      </c>
      <c r="G258" s="0" t="s">
        <v>628</v>
      </c>
      <c r="H258" s="0" t="s">
        <v>625</v>
      </c>
      <c r="I258" s="0" t="s">
        <v>626</v>
      </c>
      <c r="J258" s="0" t="s">
        <v>627</v>
      </c>
      <c r="K258" s="475" t="n">
        <v>36951</v>
      </c>
      <c r="L258" s="254" t="n">
        <v>171077.448472127</v>
      </c>
      <c r="M258" s="475" t="n">
        <v>36949</v>
      </c>
      <c r="N258" s="0" t="s">
        <v>132</v>
      </c>
      <c r="O258" s="0" t="n">
        <v>0.75</v>
      </c>
      <c r="P258" s="0" t="n">
        <v>0</v>
      </c>
      <c r="Q258" s="0" t="n">
        <v>0</v>
      </c>
      <c r="R258" s="0" t="n">
        <v>0</v>
      </c>
      <c r="S258" s="0" t="n">
        <v>0</v>
      </c>
      <c r="T258" s="0" t="s">
        <v>624</v>
      </c>
      <c r="U258" s="0" t="s">
        <v>149</v>
      </c>
      <c r="V258" s="0" t="s">
        <v>624</v>
      </c>
      <c r="W258" s="0" t="s">
        <v>569</v>
      </c>
      <c r="X258" s="0" t="s">
        <v>624</v>
      </c>
      <c r="Y258" s="0" t="s">
        <v>627</v>
      </c>
      <c r="Z258" s="0" t="s">
        <v>629</v>
      </c>
      <c r="AA258" s="0" t="s">
        <v>624</v>
      </c>
      <c r="AB258" s="0" t="s">
        <v>132</v>
      </c>
      <c r="AC258" s="254" t="n">
        <v>500000</v>
      </c>
      <c r="AD258" s="254" t="n">
        <v>43710.1514735721</v>
      </c>
      <c r="AE258" s="0" t="n">
        <v>0</v>
      </c>
      <c r="AF258" s="0" t="n">
        <v>0</v>
      </c>
      <c r="AG258" s="0" t="n">
        <v>0</v>
      </c>
      <c r="AH258" s="254" t="n">
        <v>-8168.60971240452</v>
      </c>
      <c r="AI258" s="0" t="n">
        <v>226</v>
      </c>
      <c r="AJ258" s="0" t="s">
        <v>630</v>
      </c>
      <c r="AK258" s="0" t="n">
        <v>0</v>
      </c>
      <c r="AL258" s="0" t="n">
        <v>0</v>
      </c>
      <c r="AM258" s="0" t="n">
        <v>0</v>
      </c>
    </row>
    <row r="259" customFormat="false" ht="12.75" hidden="false" customHeight="false" outlineLevel="0" collapsed="false">
      <c r="A259" s="0" t="s">
        <v>621</v>
      </c>
      <c r="B259" s="0" t="s">
        <v>290</v>
      </c>
      <c r="C259" s="0" t="s">
        <v>622</v>
      </c>
      <c r="D259" s="0" t="s">
        <v>623</v>
      </c>
      <c r="E259" s="0" t="s">
        <v>131</v>
      </c>
      <c r="F259" s="0" t="s">
        <v>198</v>
      </c>
      <c r="G259" s="0" t="s">
        <v>628</v>
      </c>
      <c r="H259" s="0" t="s">
        <v>625</v>
      </c>
      <c r="I259" s="0" t="s">
        <v>626</v>
      </c>
      <c r="J259" s="0" t="s">
        <v>627</v>
      </c>
      <c r="K259" s="475" t="n">
        <v>36951</v>
      </c>
      <c r="L259" s="254" t="n">
        <v>-291693.534431983</v>
      </c>
      <c r="M259" s="475" t="n">
        <v>36949</v>
      </c>
      <c r="N259" s="0" t="s">
        <v>136</v>
      </c>
      <c r="O259" s="0" t="n">
        <v>1.75</v>
      </c>
      <c r="P259" s="0" t="n">
        <v>0</v>
      </c>
      <c r="Q259" s="0" t="n">
        <v>0</v>
      </c>
      <c r="R259" s="0" t="n">
        <v>0</v>
      </c>
      <c r="S259" s="0" t="n">
        <v>0</v>
      </c>
      <c r="T259" s="0" t="s">
        <v>624</v>
      </c>
      <c r="U259" s="0" t="s">
        <v>149</v>
      </c>
      <c r="V259" s="0" t="s">
        <v>624</v>
      </c>
      <c r="W259" s="0" t="s">
        <v>569</v>
      </c>
      <c r="X259" s="0" t="s">
        <v>624</v>
      </c>
      <c r="Y259" s="0" t="s">
        <v>627</v>
      </c>
      <c r="Z259" s="0" t="s">
        <v>629</v>
      </c>
      <c r="AA259" s="0" t="s">
        <v>624</v>
      </c>
      <c r="AB259" s="0" t="s">
        <v>132</v>
      </c>
      <c r="AC259" s="254" t="n">
        <v>-1000000</v>
      </c>
      <c r="AD259" s="254" t="n">
        <v>-77433.6704544291</v>
      </c>
      <c r="AE259" s="0" t="n">
        <v>0</v>
      </c>
      <c r="AF259" s="0" t="n">
        <v>0</v>
      </c>
      <c r="AG259" s="0" t="n">
        <v>0</v>
      </c>
      <c r="AH259" s="254" t="n">
        <v>-24889.264244557</v>
      </c>
      <c r="AI259" s="0" t="n">
        <v>226</v>
      </c>
      <c r="AJ259" s="0" t="s">
        <v>630</v>
      </c>
      <c r="AK259" s="0" t="n">
        <v>0</v>
      </c>
      <c r="AL259" s="0" t="n">
        <v>0</v>
      </c>
      <c r="AM259" s="0" t="n">
        <v>0</v>
      </c>
    </row>
    <row r="260" customFormat="false" ht="12.75" hidden="false" customHeight="false" outlineLevel="0" collapsed="false">
      <c r="A260" s="0" t="s">
        <v>621</v>
      </c>
      <c r="B260" s="0" t="s">
        <v>290</v>
      </c>
      <c r="C260" s="0" t="s">
        <v>622</v>
      </c>
      <c r="D260" s="0" t="s">
        <v>623</v>
      </c>
      <c r="E260" s="0" t="s">
        <v>131</v>
      </c>
      <c r="F260" s="0" t="s">
        <v>198</v>
      </c>
      <c r="G260" s="0" t="s">
        <v>628</v>
      </c>
      <c r="H260" s="0" t="s">
        <v>625</v>
      </c>
      <c r="I260" s="0" t="s">
        <v>626</v>
      </c>
      <c r="J260" s="0" t="s">
        <v>627</v>
      </c>
      <c r="K260" s="475" t="n">
        <v>36923</v>
      </c>
      <c r="L260" s="254" t="n">
        <v>-831675.698462662</v>
      </c>
      <c r="M260" s="475" t="n">
        <v>36921</v>
      </c>
      <c r="N260" s="0" t="s">
        <v>136</v>
      </c>
      <c r="O260" s="0" t="n">
        <v>1.75</v>
      </c>
      <c r="P260" s="0" t="n">
        <v>0</v>
      </c>
      <c r="Q260" s="0" t="n">
        <v>0</v>
      </c>
      <c r="R260" s="0" t="n">
        <v>0</v>
      </c>
      <c r="S260" s="0" t="n">
        <v>0</v>
      </c>
      <c r="T260" s="0" t="s">
        <v>624</v>
      </c>
      <c r="U260" s="0" t="s">
        <v>149</v>
      </c>
      <c r="V260" s="0" t="s">
        <v>624</v>
      </c>
      <c r="W260" s="0" t="s">
        <v>569</v>
      </c>
      <c r="X260" s="0" t="s">
        <v>624</v>
      </c>
      <c r="Y260" s="0" t="s">
        <v>627</v>
      </c>
      <c r="Z260" s="0" t="s">
        <v>629</v>
      </c>
      <c r="AA260" s="0" t="s">
        <v>624</v>
      </c>
      <c r="AB260" s="0" t="s">
        <v>132</v>
      </c>
      <c r="AC260" s="254" t="n">
        <v>-1000000</v>
      </c>
      <c r="AD260" s="254" t="n">
        <v>-85313.6237185702</v>
      </c>
      <c r="AE260" s="0" t="n">
        <v>0</v>
      </c>
      <c r="AF260" s="0" t="n">
        <v>0</v>
      </c>
      <c r="AG260" s="0" t="n">
        <v>0</v>
      </c>
      <c r="AH260" s="254" t="n">
        <v>-46642.1865176343</v>
      </c>
      <c r="AI260" s="0" t="n">
        <v>226</v>
      </c>
      <c r="AJ260" s="0" t="s">
        <v>630</v>
      </c>
      <c r="AK260" s="0" t="n">
        <v>0</v>
      </c>
      <c r="AL260" s="0" t="n">
        <v>0</v>
      </c>
      <c r="AM260" s="0" t="n">
        <v>0</v>
      </c>
    </row>
    <row r="261" customFormat="false" ht="12.75" hidden="false" customHeight="false" outlineLevel="0" collapsed="false">
      <c r="A261" s="0" t="s">
        <v>621</v>
      </c>
      <c r="B261" s="0" t="s">
        <v>290</v>
      </c>
      <c r="C261" s="0" t="s">
        <v>622</v>
      </c>
      <c r="D261" s="0" t="s">
        <v>623</v>
      </c>
      <c r="E261" s="0" t="s">
        <v>131</v>
      </c>
      <c r="F261" s="0" t="s">
        <v>198</v>
      </c>
      <c r="G261" s="0" t="s">
        <v>628</v>
      </c>
      <c r="H261" s="0" t="s">
        <v>625</v>
      </c>
      <c r="I261" s="0" t="s">
        <v>626</v>
      </c>
      <c r="J261" s="0" t="s">
        <v>627</v>
      </c>
      <c r="K261" s="475" t="n">
        <v>36892</v>
      </c>
      <c r="L261" s="254" t="n">
        <v>-848053.537132032</v>
      </c>
      <c r="M261" s="475" t="n">
        <v>36888</v>
      </c>
      <c r="N261" s="0" t="s">
        <v>136</v>
      </c>
      <c r="O261" s="0" t="n">
        <v>1.75</v>
      </c>
      <c r="P261" s="0" t="n">
        <v>0</v>
      </c>
      <c r="Q261" s="0" t="n">
        <v>0</v>
      </c>
      <c r="R261" s="0" t="n">
        <v>0</v>
      </c>
      <c r="S261" s="0" t="n">
        <v>0</v>
      </c>
      <c r="T261" s="0" t="s">
        <v>624</v>
      </c>
      <c r="U261" s="0" t="s">
        <v>149</v>
      </c>
      <c r="V261" s="0" t="s">
        <v>624</v>
      </c>
      <c r="W261" s="0" t="s">
        <v>569</v>
      </c>
      <c r="X261" s="0" t="s">
        <v>624</v>
      </c>
      <c r="Y261" s="0" t="s">
        <v>627</v>
      </c>
      <c r="Z261" s="0" t="s">
        <v>629</v>
      </c>
      <c r="AA261" s="0" t="s">
        <v>624</v>
      </c>
      <c r="AB261" s="0" t="s">
        <v>132</v>
      </c>
      <c r="AC261" s="254" t="n">
        <v>-1000000</v>
      </c>
      <c r="AD261" s="254" t="n">
        <v>-77169.9854420422</v>
      </c>
      <c r="AE261" s="0" t="n">
        <v>0</v>
      </c>
      <c r="AF261" s="0" t="n">
        <v>0</v>
      </c>
      <c r="AG261" s="0" t="n">
        <v>0</v>
      </c>
      <c r="AH261" s="254" t="n">
        <v>-41500.6923286252</v>
      </c>
      <c r="AI261" s="0" t="n">
        <v>226</v>
      </c>
      <c r="AJ261" s="0" t="s">
        <v>630</v>
      </c>
      <c r="AK261" s="0" t="n">
        <v>0</v>
      </c>
      <c r="AL261" s="0" t="n">
        <v>0</v>
      </c>
      <c r="AM261" s="0" t="n">
        <v>0</v>
      </c>
    </row>
    <row r="262" customFormat="false" ht="12.75" hidden="false" customHeight="false" outlineLevel="0" collapsed="false">
      <c r="A262" s="0" t="s">
        <v>621</v>
      </c>
      <c r="B262" s="0" t="s">
        <v>290</v>
      </c>
      <c r="C262" s="0" t="s">
        <v>622</v>
      </c>
      <c r="D262" s="0" t="s">
        <v>623</v>
      </c>
      <c r="E262" s="0" t="s">
        <v>131</v>
      </c>
      <c r="F262" s="0" t="s">
        <v>198</v>
      </c>
      <c r="G262" s="0" t="s">
        <v>628</v>
      </c>
      <c r="H262" s="0" t="s">
        <v>625</v>
      </c>
      <c r="I262" s="0" t="s">
        <v>626</v>
      </c>
      <c r="J262" s="0" t="s">
        <v>627</v>
      </c>
      <c r="K262" s="475" t="n">
        <v>36861</v>
      </c>
      <c r="L262" s="254" t="n">
        <v>-472812.586155134</v>
      </c>
      <c r="M262" s="475" t="n">
        <v>36859</v>
      </c>
      <c r="N262" s="0" t="s">
        <v>136</v>
      </c>
      <c r="O262" s="0" t="n">
        <v>1.75</v>
      </c>
      <c r="P262" s="0" t="n">
        <v>0</v>
      </c>
      <c r="Q262" s="0" t="n">
        <v>0</v>
      </c>
      <c r="R262" s="0" t="n">
        <v>0</v>
      </c>
      <c r="S262" s="0" t="n">
        <v>0</v>
      </c>
      <c r="T262" s="0" t="s">
        <v>624</v>
      </c>
      <c r="U262" s="0" t="s">
        <v>149</v>
      </c>
      <c r="V262" s="0" t="s">
        <v>624</v>
      </c>
      <c r="W262" s="0" t="s">
        <v>569</v>
      </c>
      <c r="X262" s="0" t="s">
        <v>624</v>
      </c>
      <c r="Y262" s="0" t="s">
        <v>627</v>
      </c>
      <c r="Z262" s="0" t="s">
        <v>629</v>
      </c>
      <c r="AA262" s="0" t="s">
        <v>624</v>
      </c>
      <c r="AB262" s="0" t="s">
        <v>132</v>
      </c>
      <c r="AC262" s="254" t="n">
        <v>-1000000</v>
      </c>
      <c r="AD262" s="254" t="n">
        <v>-70173.6701787232</v>
      </c>
      <c r="AE262" s="0" t="n">
        <v>0</v>
      </c>
      <c r="AF262" s="0" t="n">
        <v>0</v>
      </c>
      <c r="AG262" s="0" t="n">
        <v>0</v>
      </c>
      <c r="AH262" s="254" t="n">
        <v>-25854.3119018534</v>
      </c>
      <c r="AI262" s="0" t="n">
        <v>226</v>
      </c>
      <c r="AJ262" s="0" t="s">
        <v>630</v>
      </c>
      <c r="AK262" s="0" t="n">
        <v>0</v>
      </c>
      <c r="AL262" s="0" t="n">
        <v>0</v>
      </c>
      <c r="AM262" s="0" t="n">
        <v>0</v>
      </c>
    </row>
    <row r="263" customFormat="false" ht="12.75" hidden="false" customHeight="false" outlineLevel="0" collapsed="false">
      <c r="A263" s="0" t="s">
        <v>621</v>
      </c>
      <c r="B263" s="0" t="s">
        <v>290</v>
      </c>
      <c r="C263" s="0" t="s">
        <v>622</v>
      </c>
      <c r="D263" s="0" t="s">
        <v>623</v>
      </c>
      <c r="E263" s="0" t="s">
        <v>131</v>
      </c>
      <c r="F263" s="0" t="s">
        <v>198</v>
      </c>
      <c r="G263" s="0" t="s">
        <v>628</v>
      </c>
      <c r="H263" s="0" t="s">
        <v>625</v>
      </c>
      <c r="I263" s="0" t="s">
        <v>626</v>
      </c>
      <c r="J263" s="0" t="s">
        <v>627</v>
      </c>
      <c r="K263" s="475" t="n">
        <v>36831</v>
      </c>
      <c r="L263" s="254" t="n">
        <v>-35639.8050644462</v>
      </c>
      <c r="M263" s="475" t="n">
        <v>36829</v>
      </c>
      <c r="N263" s="0" t="s">
        <v>136</v>
      </c>
      <c r="O263" s="0" t="n">
        <v>1.75</v>
      </c>
      <c r="P263" s="0" t="n">
        <v>0</v>
      </c>
      <c r="Q263" s="0" t="n">
        <v>0</v>
      </c>
      <c r="R263" s="0" t="n">
        <v>0</v>
      </c>
      <c r="S263" s="0" t="n">
        <v>0</v>
      </c>
      <c r="T263" s="0" t="s">
        <v>624</v>
      </c>
      <c r="U263" s="0" t="s">
        <v>149</v>
      </c>
      <c r="V263" s="0" t="s">
        <v>624</v>
      </c>
      <c r="W263" s="0" t="s">
        <v>569</v>
      </c>
      <c r="X263" s="0" t="s">
        <v>624</v>
      </c>
      <c r="Y263" s="0" t="s">
        <v>627</v>
      </c>
      <c r="Z263" s="0" t="s">
        <v>629</v>
      </c>
      <c r="AA263" s="0" t="s">
        <v>624</v>
      </c>
      <c r="AB263" s="0" t="s">
        <v>132</v>
      </c>
      <c r="AC263" s="254" t="n">
        <v>-1000000</v>
      </c>
      <c r="AD263" s="254" t="n">
        <v>-18615.9750221113</v>
      </c>
      <c r="AE263" s="0" t="n">
        <v>0</v>
      </c>
      <c r="AF263" s="0" t="n">
        <v>0</v>
      </c>
      <c r="AG263" s="0" t="n">
        <v>0</v>
      </c>
      <c r="AH263" s="254" t="n">
        <v>-5346.40168215353</v>
      </c>
      <c r="AI263" s="0" t="n">
        <v>226</v>
      </c>
      <c r="AJ263" s="0" t="s">
        <v>630</v>
      </c>
      <c r="AK263" s="0" t="n">
        <v>0</v>
      </c>
      <c r="AL263" s="0" t="n">
        <v>0</v>
      </c>
      <c r="AM263" s="0" t="n">
        <v>0</v>
      </c>
    </row>
    <row r="264" customFormat="false" ht="12.75" hidden="false" customHeight="false" outlineLevel="0" collapsed="false">
      <c r="A264" s="0" t="s">
        <v>621</v>
      </c>
      <c r="B264" s="0" t="s">
        <v>291</v>
      </c>
      <c r="C264" s="0" t="s">
        <v>622</v>
      </c>
      <c r="D264" s="0" t="s">
        <v>623</v>
      </c>
      <c r="E264" s="0" t="s">
        <v>131</v>
      </c>
      <c r="F264" s="0" t="s">
        <v>198</v>
      </c>
      <c r="G264" s="0" t="s">
        <v>628</v>
      </c>
      <c r="H264" s="0" t="s">
        <v>625</v>
      </c>
      <c r="I264" s="0" t="s">
        <v>626</v>
      </c>
      <c r="J264" s="0" t="s">
        <v>627</v>
      </c>
      <c r="K264" s="475" t="n">
        <v>36951</v>
      </c>
      <c r="L264" s="254" t="n">
        <v>157698.06655469</v>
      </c>
      <c r="M264" s="475" t="n">
        <v>36949</v>
      </c>
      <c r="N264" s="0" t="s">
        <v>136</v>
      </c>
      <c r="O264" s="0" t="n">
        <v>2.5</v>
      </c>
      <c r="P264" s="0" t="n">
        <v>0</v>
      </c>
      <c r="Q264" s="0" t="n">
        <v>0</v>
      </c>
      <c r="R264" s="0" t="n">
        <v>0</v>
      </c>
      <c r="S264" s="0" t="n">
        <v>0</v>
      </c>
      <c r="T264" s="0" t="s">
        <v>624</v>
      </c>
      <c r="U264" s="0" t="s">
        <v>149</v>
      </c>
      <c r="V264" s="0" t="s">
        <v>624</v>
      </c>
      <c r="W264" s="0" t="s">
        <v>569</v>
      </c>
      <c r="X264" s="0" t="s">
        <v>624</v>
      </c>
      <c r="Y264" s="0" t="s">
        <v>627</v>
      </c>
      <c r="Z264" s="0" t="s">
        <v>629</v>
      </c>
      <c r="AA264" s="0" t="s">
        <v>624</v>
      </c>
      <c r="AB264" s="0" t="s">
        <v>132</v>
      </c>
      <c r="AC264" s="254" t="n">
        <v>1000000</v>
      </c>
      <c r="AD264" s="254" t="n">
        <v>57308.5893816178</v>
      </c>
      <c r="AE264" s="0" t="n">
        <v>0</v>
      </c>
      <c r="AF264" s="0" t="n">
        <v>0</v>
      </c>
      <c r="AG264" s="0" t="n">
        <v>0</v>
      </c>
      <c r="AH264" s="254" t="n">
        <v>15681.3978731459</v>
      </c>
      <c r="AI264" s="0" t="n">
        <v>226</v>
      </c>
      <c r="AJ264" s="0" t="s">
        <v>630</v>
      </c>
      <c r="AK264" s="0" t="n">
        <v>0</v>
      </c>
      <c r="AL264" s="0" t="n">
        <v>0</v>
      </c>
      <c r="AM264" s="0" t="n">
        <v>0</v>
      </c>
    </row>
    <row r="265" customFormat="false" ht="12.75" hidden="false" customHeight="false" outlineLevel="0" collapsed="false">
      <c r="A265" s="0" t="s">
        <v>621</v>
      </c>
      <c r="B265" s="0" t="s">
        <v>291</v>
      </c>
      <c r="C265" s="0" t="s">
        <v>622</v>
      </c>
      <c r="D265" s="0" t="s">
        <v>623</v>
      </c>
      <c r="E265" s="0" t="s">
        <v>131</v>
      </c>
      <c r="F265" s="0" t="s">
        <v>198</v>
      </c>
      <c r="G265" s="0" t="s">
        <v>628</v>
      </c>
      <c r="H265" s="0" t="s">
        <v>625</v>
      </c>
      <c r="I265" s="0" t="s">
        <v>626</v>
      </c>
      <c r="J265" s="0" t="s">
        <v>627</v>
      </c>
      <c r="K265" s="475" t="n">
        <v>36923</v>
      </c>
      <c r="L265" s="254" t="n">
        <v>537096.256319671</v>
      </c>
      <c r="M265" s="475" t="n">
        <v>36921</v>
      </c>
      <c r="N265" s="0" t="s">
        <v>136</v>
      </c>
      <c r="O265" s="0" t="n">
        <v>2.5</v>
      </c>
      <c r="P265" s="0" t="n">
        <v>0</v>
      </c>
      <c r="Q265" s="0" t="n">
        <v>0</v>
      </c>
      <c r="R265" s="0" t="n">
        <v>0</v>
      </c>
      <c r="S265" s="0" t="n">
        <v>0</v>
      </c>
      <c r="T265" s="0" t="s">
        <v>624</v>
      </c>
      <c r="U265" s="0" t="s">
        <v>149</v>
      </c>
      <c r="V265" s="0" t="s">
        <v>624</v>
      </c>
      <c r="W265" s="0" t="s">
        <v>569</v>
      </c>
      <c r="X265" s="0" t="s">
        <v>624</v>
      </c>
      <c r="Y265" s="0" t="s">
        <v>627</v>
      </c>
      <c r="Z265" s="0" t="s">
        <v>629</v>
      </c>
      <c r="AA265" s="0" t="s">
        <v>624</v>
      </c>
      <c r="AB265" s="0" t="s">
        <v>132</v>
      </c>
      <c r="AC265" s="254" t="n">
        <v>1000000</v>
      </c>
      <c r="AD265" s="254" t="n">
        <v>82769.6022361999</v>
      </c>
      <c r="AE265" s="0" t="n">
        <v>0</v>
      </c>
      <c r="AF265" s="0" t="n">
        <v>0</v>
      </c>
      <c r="AG265" s="0" t="n">
        <v>0</v>
      </c>
      <c r="AH265" s="254" t="n">
        <v>35480.636620919</v>
      </c>
      <c r="AI265" s="0" t="n">
        <v>226</v>
      </c>
      <c r="AJ265" s="0" t="s">
        <v>630</v>
      </c>
      <c r="AK265" s="0" t="n">
        <v>0</v>
      </c>
      <c r="AL265" s="0" t="n">
        <v>0</v>
      </c>
      <c r="AM265" s="0" t="n">
        <v>0</v>
      </c>
    </row>
    <row r="266" customFormat="false" ht="12.75" hidden="false" customHeight="false" outlineLevel="0" collapsed="false">
      <c r="A266" s="0" t="s">
        <v>621</v>
      </c>
      <c r="B266" s="0" t="s">
        <v>291</v>
      </c>
      <c r="C266" s="0" t="s">
        <v>622</v>
      </c>
      <c r="D266" s="0" t="s">
        <v>623</v>
      </c>
      <c r="E266" s="0" t="s">
        <v>131</v>
      </c>
      <c r="F266" s="0" t="s">
        <v>198</v>
      </c>
      <c r="G266" s="0" t="s">
        <v>628</v>
      </c>
      <c r="H266" s="0" t="s">
        <v>625</v>
      </c>
      <c r="I266" s="0" t="s">
        <v>626</v>
      </c>
      <c r="J266" s="0" t="s">
        <v>627</v>
      </c>
      <c r="K266" s="475" t="n">
        <v>36892</v>
      </c>
      <c r="L266" s="254" t="n">
        <v>531866.103970933</v>
      </c>
      <c r="M266" s="475" t="n">
        <v>36888</v>
      </c>
      <c r="N266" s="0" t="s">
        <v>136</v>
      </c>
      <c r="O266" s="0" t="n">
        <v>2.5</v>
      </c>
      <c r="P266" s="0" t="n">
        <v>0</v>
      </c>
      <c r="Q266" s="0" t="n">
        <v>0</v>
      </c>
      <c r="R266" s="0" t="n">
        <v>0</v>
      </c>
      <c r="S266" s="0" t="n">
        <v>0</v>
      </c>
      <c r="T266" s="0" t="s">
        <v>624</v>
      </c>
      <c r="U266" s="0" t="s">
        <v>149</v>
      </c>
      <c r="V266" s="0" t="s">
        <v>624</v>
      </c>
      <c r="W266" s="0" t="s">
        <v>569</v>
      </c>
      <c r="X266" s="0" t="s">
        <v>624</v>
      </c>
      <c r="Y266" s="0" t="s">
        <v>627</v>
      </c>
      <c r="Z266" s="0" t="s">
        <v>629</v>
      </c>
      <c r="AA266" s="0" t="s">
        <v>624</v>
      </c>
      <c r="AB266" s="0" t="s">
        <v>132</v>
      </c>
      <c r="AC266" s="254" t="n">
        <v>1000000</v>
      </c>
      <c r="AD266" s="254" t="n">
        <v>76361.8307989009</v>
      </c>
      <c r="AE266" s="0" t="n">
        <v>0</v>
      </c>
      <c r="AF266" s="0" t="n">
        <v>0</v>
      </c>
      <c r="AG266" s="0" t="n">
        <v>0</v>
      </c>
      <c r="AH266" s="254" t="n">
        <v>31282.8318713341</v>
      </c>
      <c r="AI266" s="0" t="n">
        <v>226</v>
      </c>
      <c r="AJ266" s="0" t="s">
        <v>630</v>
      </c>
      <c r="AK266" s="0" t="n">
        <v>0</v>
      </c>
      <c r="AL266" s="0" t="n">
        <v>0</v>
      </c>
      <c r="AM266" s="0" t="n">
        <v>0</v>
      </c>
    </row>
    <row r="267" customFormat="false" ht="12.75" hidden="false" customHeight="false" outlineLevel="0" collapsed="false">
      <c r="A267" s="0" t="s">
        <v>621</v>
      </c>
      <c r="B267" s="0" t="s">
        <v>291</v>
      </c>
      <c r="C267" s="0" t="s">
        <v>622</v>
      </c>
      <c r="D267" s="0" t="s">
        <v>623</v>
      </c>
      <c r="E267" s="0" t="s">
        <v>131</v>
      </c>
      <c r="F267" s="0" t="s">
        <v>198</v>
      </c>
      <c r="G267" s="0" t="s">
        <v>628</v>
      </c>
      <c r="H267" s="0" t="s">
        <v>625</v>
      </c>
      <c r="I267" s="0" t="s">
        <v>626</v>
      </c>
      <c r="J267" s="0" t="s">
        <v>627</v>
      </c>
      <c r="K267" s="475" t="n">
        <v>36861</v>
      </c>
      <c r="L267" s="254" t="n">
        <v>247737.519800556</v>
      </c>
      <c r="M267" s="475" t="n">
        <v>36859</v>
      </c>
      <c r="N267" s="0" t="s">
        <v>136</v>
      </c>
      <c r="O267" s="0" t="n">
        <v>2.5</v>
      </c>
      <c r="P267" s="0" t="n">
        <v>0</v>
      </c>
      <c r="Q267" s="0" t="n">
        <v>0</v>
      </c>
      <c r="R267" s="0" t="n">
        <v>0</v>
      </c>
      <c r="S267" s="0" t="n">
        <v>0</v>
      </c>
      <c r="T267" s="0" t="s">
        <v>624</v>
      </c>
      <c r="U267" s="0" t="s">
        <v>149</v>
      </c>
      <c r="V267" s="0" t="s">
        <v>624</v>
      </c>
      <c r="W267" s="0" t="s">
        <v>569</v>
      </c>
      <c r="X267" s="0" t="s">
        <v>624</v>
      </c>
      <c r="Y267" s="0" t="s">
        <v>627</v>
      </c>
      <c r="Z267" s="0" t="s">
        <v>629</v>
      </c>
      <c r="AA267" s="0" t="s">
        <v>624</v>
      </c>
      <c r="AB267" s="0" t="s">
        <v>132</v>
      </c>
      <c r="AC267" s="254" t="n">
        <v>1000000</v>
      </c>
      <c r="AD267" s="254" t="n">
        <v>58026.8265372112</v>
      </c>
      <c r="AE267" s="0" t="n">
        <v>0</v>
      </c>
      <c r="AF267" s="0" t="n">
        <v>0</v>
      </c>
      <c r="AG267" s="0" t="n">
        <v>0</v>
      </c>
      <c r="AH267" s="254" t="n">
        <v>16791.5075799229</v>
      </c>
      <c r="AI267" s="0" t="n">
        <v>226</v>
      </c>
      <c r="AJ267" s="0" t="s">
        <v>630</v>
      </c>
      <c r="AK267" s="0" t="n">
        <v>0</v>
      </c>
      <c r="AL267" s="0" t="n">
        <v>0</v>
      </c>
      <c r="AM267" s="0" t="n">
        <v>0</v>
      </c>
    </row>
    <row r="268" customFormat="false" ht="12.75" hidden="false" customHeight="false" outlineLevel="0" collapsed="false">
      <c r="A268" s="0" t="s">
        <v>621</v>
      </c>
      <c r="B268" s="0" t="s">
        <v>291</v>
      </c>
      <c r="C268" s="0" t="s">
        <v>622</v>
      </c>
      <c r="D268" s="0" t="s">
        <v>623</v>
      </c>
      <c r="E268" s="0" t="s">
        <v>131</v>
      </c>
      <c r="F268" s="0" t="s">
        <v>198</v>
      </c>
      <c r="G268" s="0" t="s">
        <v>628</v>
      </c>
      <c r="H268" s="0" t="s">
        <v>625</v>
      </c>
      <c r="I268" s="0" t="s">
        <v>626</v>
      </c>
      <c r="J268" s="0" t="s">
        <v>627</v>
      </c>
      <c r="K268" s="475" t="n">
        <v>36831</v>
      </c>
      <c r="L268" s="254" t="n">
        <v>6439.54750952907</v>
      </c>
      <c r="M268" s="475" t="n">
        <v>36829</v>
      </c>
      <c r="N268" s="0" t="s">
        <v>136</v>
      </c>
      <c r="O268" s="0" t="n">
        <v>2.5</v>
      </c>
      <c r="P268" s="0" t="n">
        <v>0</v>
      </c>
      <c r="Q268" s="0" t="n">
        <v>0</v>
      </c>
      <c r="R268" s="0" t="n">
        <v>0</v>
      </c>
      <c r="S268" s="0" t="n">
        <v>0</v>
      </c>
      <c r="T268" s="0" t="s">
        <v>624</v>
      </c>
      <c r="U268" s="0" t="s">
        <v>149</v>
      </c>
      <c r="V268" s="0" t="s">
        <v>624</v>
      </c>
      <c r="W268" s="0" t="s">
        <v>569</v>
      </c>
      <c r="X268" s="0" t="s">
        <v>624</v>
      </c>
      <c r="Y268" s="0" t="s">
        <v>627</v>
      </c>
      <c r="Z268" s="0" t="s">
        <v>629</v>
      </c>
      <c r="AA268" s="0" t="s">
        <v>624</v>
      </c>
      <c r="AB268" s="0" t="s">
        <v>132</v>
      </c>
      <c r="AC268" s="254" t="n">
        <v>1000000</v>
      </c>
      <c r="AD268" s="254" t="n">
        <v>5231.9733423917</v>
      </c>
      <c r="AE268" s="0" t="n">
        <v>0</v>
      </c>
      <c r="AF268" s="0" t="n">
        <v>0</v>
      </c>
      <c r="AG268" s="0" t="n">
        <v>0</v>
      </c>
      <c r="AH268" s="254" t="n">
        <v>1266.46117401503</v>
      </c>
      <c r="AI268" s="0" t="n">
        <v>226</v>
      </c>
      <c r="AJ268" s="0" t="s">
        <v>630</v>
      </c>
      <c r="AK268" s="0" t="n">
        <v>0</v>
      </c>
      <c r="AL268" s="0" t="n">
        <v>0</v>
      </c>
      <c r="AM268" s="0" t="n">
        <v>0</v>
      </c>
    </row>
    <row r="269" customFormat="false" ht="12.75" hidden="false" customHeight="false" outlineLevel="0" collapsed="false">
      <c r="A269" s="0" t="s">
        <v>621</v>
      </c>
      <c r="B269" s="0" t="s">
        <v>292</v>
      </c>
      <c r="C269" s="0" t="s">
        <v>622</v>
      </c>
      <c r="D269" s="0" t="s">
        <v>623</v>
      </c>
      <c r="E269" s="0" t="s">
        <v>131</v>
      </c>
      <c r="F269" s="0" t="s">
        <v>198</v>
      </c>
      <c r="G269" s="0" t="s">
        <v>628</v>
      </c>
      <c r="H269" s="0" t="s">
        <v>625</v>
      </c>
      <c r="I269" s="0" t="s">
        <v>626</v>
      </c>
      <c r="J269" s="0" t="s">
        <v>627</v>
      </c>
      <c r="K269" s="475" t="n">
        <v>36800</v>
      </c>
      <c r="L269" s="254" t="n">
        <v>-100935.677539376</v>
      </c>
      <c r="M269" s="475" t="n">
        <v>36797</v>
      </c>
      <c r="N269" s="0" t="s">
        <v>132</v>
      </c>
      <c r="O269" s="0" t="n">
        <v>0.5</v>
      </c>
      <c r="P269" s="0" t="n">
        <v>0</v>
      </c>
      <c r="Q269" s="0" t="n">
        <v>0</v>
      </c>
      <c r="R269" s="0" t="n">
        <v>0</v>
      </c>
      <c r="S269" s="0" t="n">
        <v>0</v>
      </c>
      <c r="T269" s="0" t="s">
        <v>624</v>
      </c>
      <c r="U269" s="0" t="s">
        <v>149</v>
      </c>
      <c r="V269" s="0" t="s">
        <v>624</v>
      </c>
      <c r="W269" s="0" t="s">
        <v>569</v>
      </c>
      <c r="X269" s="0" t="s">
        <v>624</v>
      </c>
      <c r="Y269" s="0" t="s">
        <v>627</v>
      </c>
      <c r="Z269" s="0" t="s">
        <v>629</v>
      </c>
      <c r="AA269" s="0" t="s">
        <v>624</v>
      </c>
      <c r="AB269" s="0" t="s">
        <v>132</v>
      </c>
      <c r="AC269" s="254" t="n">
        <v>-1000000</v>
      </c>
      <c r="AD269" s="254" t="n">
        <v>-4839.68967865245</v>
      </c>
      <c r="AE269" s="0" t="n">
        <v>0</v>
      </c>
      <c r="AF269" s="0" t="n">
        <v>0</v>
      </c>
      <c r="AG269" s="0" t="n">
        <v>0</v>
      </c>
      <c r="AH269" s="254" t="n">
        <v>-277.418370541403</v>
      </c>
      <c r="AI269" s="0" t="n">
        <v>226</v>
      </c>
      <c r="AJ269" s="0" t="s">
        <v>630</v>
      </c>
      <c r="AK269" s="0" t="n">
        <v>0</v>
      </c>
      <c r="AL269" s="0" t="n">
        <v>0</v>
      </c>
      <c r="AM269" s="0" t="n">
        <v>0</v>
      </c>
    </row>
    <row r="270" customFormat="false" ht="12.75" hidden="false" customHeight="false" outlineLevel="0" collapsed="false">
      <c r="A270" s="0" t="s">
        <v>621</v>
      </c>
      <c r="B270" s="0" t="s">
        <v>292</v>
      </c>
      <c r="C270" s="0" t="s">
        <v>622</v>
      </c>
      <c r="D270" s="0" t="s">
        <v>623</v>
      </c>
      <c r="E270" s="0" t="s">
        <v>131</v>
      </c>
      <c r="F270" s="0" t="s">
        <v>198</v>
      </c>
      <c r="G270" s="0" t="s">
        <v>628</v>
      </c>
      <c r="H270" s="0" t="s">
        <v>625</v>
      </c>
      <c r="I270" s="0" t="s">
        <v>626</v>
      </c>
      <c r="J270" s="0" t="s">
        <v>627</v>
      </c>
      <c r="K270" s="475" t="n">
        <v>36770</v>
      </c>
      <c r="L270" s="254" t="n">
        <v>-184931.922200172</v>
      </c>
      <c r="M270" s="475" t="n">
        <v>36768</v>
      </c>
      <c r="N270" s="0" t="s">
        <v>132</v>
      </c>
      <c r="O270" s="0" t="n">
        <v>0.5</v>
      </c>
      <c r="P270" s="0" t="n">
        <v>0</v>
      </c>
      <c r="Q270" s="0" t="n">
        <v>0</v>
      </c>
      <c r="R270" s="0" t="n">
        <v>0</v>
      </c>
      <c r="S270" s="0" t="n">
        <v>0</v>
      </c>
      <c r="T270" s="0" t="s">
        <v>624</v>
      </c>
      <c r="U270" s="0" t="s">
        <v>149</v>
      </c>
      <c r="V270" s="0" t="s">
        <v>624</v>
      </c>
      <c r="W270" s="0" t="s">
        <v>569</v>
      </c>
      <c r="X270" s="0" t="s">
        <v>624</v>
      </c>
      <c r="Y270" s="0" t="s">
        <v>627</v>
      </c>
      <c r="Z270" s="0" t="s">
        <v>629</v>
      </c>
      <c r="AA270" s="0" t="s">
        <v>624</v>
      </c>
      <c r="AB270" s="0" t="s">
        <v>132</v>
      </c>
      <c r="AC270" s="254" t="n">
        <v>-1000000</v>
      </c>
      <c r="AD270" s="254" t="n">
        <v>0</v>
      </c>
      <c r="AE270" s="0" t="n">
        <v>0</v>
      </c>
      <c r="AF270" s="0" t="n">
        <v>0</v>
      </c>
      <c r="AG270" s="0" t="n">
        <v>0</v>
      </c>
      <c r="AH270" s="254" t="n">
        <v>-0.00837082756333984</v>
      </c>
      <c r="AI270" s="0" t="n">
        <v>226</v>
      </c>
      <c r="AJ270" s="0" t="s">
        <v>630</v>
      </c>
      <c r="AK270" s="0" t="n">
        <v>0</v>
      </c>
      <c r="AL270" s="0" t="n">
        <v>0</v>
      </c>
      <c r="AM270" s="0" t="n">
        <v>0</v>
      </c>
    </row>
    <row r="271" customFormat="false" ht="12.75" hidden="false" customHeight="false" outlineLevel="0" collapsed="false">
      <c r="A271" s="0" t="s">
        <v>621</v>
      </c>
      <c r="B271" s="0" t="s">
        <v>293</v>
      </c>
      <c r="C271" s="0" t="s">
        <v>622</v>
      </c>
      <c r="D271" s="0" t="s">
        <v>623</v>
      </c>
      <c r="E271" s="0" t="s">
        <v>131</v>
      </c>
      <c r="F271" s="0" t="s">
        <v>198</v>
      </c>
      <c r="G271" s="0" t="s">
        <v>628</v>
      </c>
      <c r="H271" s="0" t="s">
        <v>625</v>
      </c>
      <c r="I271" s="0" t="s">
        <v>626</v>
      </c>
      <c r="J271" s="0" t="s">
        <v>627</v>
      </c>
      <c r="K271" s="475" t="n">
        <v>36800</v>
      </c>
      <c r="L271" s="254" t="n">
        <v>7408.96616563902</v>
      </c>
      <c r="M271" s="475" t="n">
        <v>36797</v>
      </c>
      <c r="N271" s="0" t="s">
        <v>132</v>
      </c>
      <c r="O271" s="0" t="n">
        <v>0.3</v>
      </c>
      <c r="P271" s="0" t="n">
        <v>0</v>
      </c>
      <c r="Q271" s="0" t="n">
        <v>0</v>
      </c>
      <c r="R271" s="0" t="n">
        <v>0</v>
      </c>
      <c r="S271" s="0" t="n">
        <v>0</v>
      </c>
      <c r="T271" s="0" t="s">
        <v>624</v>
      </c>
      <c r="U271" s="0" t="s">
        <v>149</v>
      </c>
      <c r="V271" s="0" t="s">
        <v>624</v>
      </c>
      <c r="W271" s="0" t="s">
        <v>569</v>
      </c>
      <c r="X271" s="0" t="s">
        <v>624</v>
      </c>
      <c r="Y271" s="0" t="s">
        <v>627</v>
      </c>
      <c r="Z271" s="0" t="s">
        <v>629</v>
      </c>
      <c r="AA271" s="0" t="s">
        <v>624</v>
      </c>
      <c r="AB271" s="0" t="s">
        <v>132</v>
      </c>
      <c r="AC271" s="254" t="n">
        <v>1000000</v>
      </c>
      <c r="AD271" s="254" t="n">
        <v>3914.12388513144</v>
      </c>
      <c r="AE271" s="0" t="n">
        <v>0</v>
      </c>
      <c r="AF271" s="0" t="n">
        <v>0</v>
      </c>
      <c r="AG271" s="0" t="n">
        <v>0</v>
      </c>
      <c r="AH271" s="254" t="n">
        <v>226.631361520013</v>
      </c>
      <c r="AI271" s="0" t="n">
        <v>226</v>
      </c>
      <c r="AJ271" s="0" t="s">
        <v>630</v>
      </c>
      <c r="AK271" s="0" t="n">
        <v>0</v>
      </c>
      <c r="AL271" s="0" t="n">
        <v>0</v>
      </c>
      <c r="AM271" s="0" t="n">
        <v>0</v>
      </c>
    </row>
    <row r="272" customFormat="false" ht="12.75" hidden="false" customHeight="false" outlineLevel="0" collapsed="false">
      <c r="A272" s="0" t="s">
        <v>621</v>
      </c>
      <c r="B272" s="0" t="s">
        <v>293</v>
      </c>
      <c r="C272" s="0" t="s">
        <v>622</v>
      </c>
      <c r="D272" s="0" t="s">
        <v>623</v>
      </c>
      <c r="E272" s="0" t="s">
        <v>131</v>
      </c>
      <c r="F272" s="0" t="s">
        <v>198</v>
      </c>
      <c r="G272" s="0" t="s">
        <v>628</v>
      </c>
      <c r="H272" s="0" t="s">
        <v>625</v>
      </c>
      <c r="I272" s="0" t="s">
        <v>626</v>
      </c>
      <c r="J272" s="0" t="s">
        <v>627</v>
      </c>
      <c r="K272" s="475" t="n">
        <v>36770</v>
      </c>
      <c r="L272" s="254" t="n">
        <v>2141.97775019487</v>
      </c>
      <c r="M272" s="475" t="n">
        <v>36768</v>
      </c>
      <c r="N272" s="0" t="s">
        <v>132</v>
      </c>
      <c r="O272" s="0" t="n">
        <v>0.3</v>
      </c>
      <c r="P272" s="0" t="n">
        <v>0</v>
      </c>
      <c r="Q272" s="0" t="n">
        <v>0</v>
      </c>
      <c r="R272" s="0" t="n">
        <v>0</v>
      </c>
      <c r="S272" s="0" t="n">
        <v>0</v>
      </c>
      <c r="T272" s="0" t="s">
        <v>624</v>
      </c>
      <c r="U272" s="0" t="s">
        <v>149</v>
      </c>
      <c r="V272" s="0" t="s">
        <v>624</v>
      </c>
      <c r="W272" s="0" t="s">
        <v>569</v>
      </c>
      <c r="X272" s="0" t="s">
        <v>624</v>
      </c>
      <c r="Y272" s="0" t="s">
        <v>627</v>
      </c>
      <c r="Z272" s="0" t="s">
        <v>629</v>
      </c>
      <c r="AA272" s="0" t="s">
        <v>624</v>
      </c>
      <c r="AB272" s="0" t="s">
        <v>132</v>
      </c>
      <c r="AC272" s="254" t="n">
        <v>1000000</v>
      </c>
      <c r="AD272" s="254" t="n">
        <v>913.881032781006</v>
      </c>
      <c r="AE272" s="0" t="n">
        <v>0</v>
      </c>
      <c r="AF272" s="0" t="n">
        <v>0</v>
      </c>
      <c r="AG272" s="0" t="n">
        <v>0</v>
      </c>
      <c r="AH272" s="254" t="n">
        <v>137.739115946722</v>
      </c>
      <c r="AI272" s="0" t="n">
        <v>226</v>
      </c>
      <c r="AJ272" s="0" t="s">
        <v>630</v>
      </c>
      <c r="AK272" s="0" t="n">
        <v>0</v>
      </c>
      <c r="AL272" s="0" t="n">
        <v>0</v>
      </c>
      <c r="AM272" s="0" t="n">
        <v>0</v>
      </c>
    </row>
    <row r="273" customFormat="false" ht="12.75" hidden="false" customHeight="false" outlineLevel="0" collapsed="false">
      <c r="A273" s="0" t="s">
        <v>621</v>
      </c>
      <c r="B273" s="0" t="s">
        <v>294</v>
      </c>
      <c r="C273" s="0" t="s">
        <v>622</v>
      </c>
      <c r="D273" s="0" t="s">
        <v>623</v>
      </c>
      <c r="E273" s="0" t="s">
        <v>131</v>
      </c>
      <c r="F273" s="0" t="s">
        <v>198</v>
      </c>
      <c r="G273" s="0" t="s">
        <v>628</v>
      </c>
      <c r="H273" s="0" t="s">
        <v>625</v>
      </c>
      <c r="I273" s="0" t="s">
        <v>626</v>
      </c>
      <c r="J273" s="0" t="s">
        <v>627</v>
      </c>
      <c r="K273" s="475" t="n">
        <v>36951</v>
      </c>
      <c r="L273" s="254" t="n">
        <v>-105275.50921373</v>
      </c>
      <c r="M273" s="475" t="n">
        <v>36949</v>
      </c>
      <c r="N273" s="0" t="s">
        <v>136</v>
      </c>
      <c r="O273" s="0" t="n">
        <v>3</v>
      </c>
      <c r="P273" s="0" t="n">
        <v>0</v>
      </c>
      <c r="Q273" s="0" t="n">
        <v>0</v>
      </c>
      <c r="R273" s="0" t="n">
        <v>0</v>
      </c>
      <c r="S273" s="0" t="n">
        <v>0</v>
      </c>
      <c r="T273" s="0" t="s">
        <v>624</v>
      </c>
      <c r="U273" s="0" t="s">
        <v>149</v>
      </c>
      <c r="V273" s="0" t="s">
        <v>624</v>
      </c>
      <c r="W273" s="0" t="s">
        <v>569</v>
      </c>
      <c r="X273" s="0" t="s">
        <v>624</v>
      </c>
      <c r="Y273" s="0" t="s">
        <v>627</v>
      </c>
      <c r="Z273" s="0" t="s">
        <v>629</v>
      </c>
      <c r="AA273" s="0" t="s">
        <v>624</v>
      </c>
      <c r="AB273" s="0" t="s">
        <v>132</v>
      </c>
      <c r="AC273" s="254" t="n">
        <v>-1000000</v>
      </c>
      <c r="AD273" s="254" t="n">
        <v>-44783.1029914426</v>
      </c>
      <c r="AE273" s="0" t="n">
        <v>0</v>
      </c>
      <c r="AF273" s="0" t="n">
        <v>0</v>
      </c>
      <c r="AG273" s="0" t="n">
        <v>0</v>
      </c>
      <c r="AH273" s="254" t="n">
        <v>-11349.9631246421</v>
      </c>
      <c r="AI273" s="0" t="n">
        <v>226</v>
      </c>
      <c r="AJ273" s="0" t="s">
        <v>630</v>
      </c>
      <c r="AK273" s="0" t="n">
        <v>0</v>
      </c>
      <c r="AL273" s="0" t="n">
        <v>0</v>
      </c>
      <c r="AM273" s="0" t="n">
        <v>0</v>
      </c>
    </row>
    <row r="274" customFormat="false" ht="12.75" hidden="false" customHeight="false" outlineLevel="0" collapsed="false">
      <c r="A274" s="0" t="s">
        <v>621</v>
      </c>
      <c r="B274" s="0" t="s">
        <v>294</v>
      </c>
      <c r="C274" s="0" t="s">
        <v>622</v>
      </c>
      <c r="D274" s="0" t="s">
        <v>623</v>
      </c>
      <c r="E274" s="0" t="s">
        <v>131</v>
      </c>
      <c r="F274" s="0" t="s">
        <v>198</v>
      </c>
      <c r="G274" s="0" t="s">
        <v>628</v>
      </c>
      <c r="H274" s="0" t="s">
        <v>625</v>
      </c>
      <c r="I274" s="0" t="s">
        <v>626</v>
      </c>
      <c r="J274" s="0" t="s">
        <v>627</v>
      </c>
      <c r="K274" s="475" t="n">
        <v>36923</v>
      </c>
      <c r="L274" s="254" t="n">
        <v>-399883.232375825</v>
      </c>
      <c r="M274" s="475" t="n">
        <v>36921</v>
      </c>
      <c r="N274" s="0" t="s">
        <v>136</v>
      </c>
      <c r="O274" s="0" t="n">
        <v>3</v>
      </c>
      <c r="P274" s="0" t="n">
        <v>0</v>
      </c>
      <c r="Q274" s="0" t="n">
        <v>0</v>
      </c>
      <c r="R274" s="0" t="n">
        <v>0</v>
      </c>
      <c r="S274" s="0" t="n">
        <v>0</v>
      </c>
      <c r="T274" s="0" t="s">
        <v>624</v>
      </c>
      <c r="U274" s="0" t="s">
        <v>149</v>
      </c>
      <c r="V274" s="0" t="s">
        <v>624</v>
      </c>
      <c r="W274" s="0" t="s">
        <v>569</v>
      </c>
      <c r="X274" s="0" t="s">
        <v>624</v>
      </c>
      <c r="Y274" s="0" t="s">
        <v>627</v>
      </c>
      <c r="Z274" s="0" t="s">
        <v>629</v>
      </c>
      <c r="AA274" s="0" t="s">
        <v>624</v>
      </c>
      <c r="AB274" s="0" t="s">
        <v>132</v>
      </c>
      <c r="AC274" s="254" t="n">
        <v>-1000000</v>
      </c>
      <c r="AD274" s="254" t="n">
        <v>-75563.5683883611</v>
      </c>
      <c r="AE274" s="0" t="n">
        <v>0</v>
      </c>
      <c r="AF274" s="0" t="n">
        <v>0</v>
      </c>
      <c r="AG274" s="0" t="n">
        <v>0</v>
      </c>
      <c r="AH274" s="254" t="n">
        <v>-28889.729225915</v>
      </c>
      <c r="AI274" s="0" t="n">
        <v>226</v>
      </c>
      <c r="AJ274" s="0" t="s">
        <v>630</v>
      </c>
      <c r="AK274" s="0" t="n">
        <v>0</v>
      </c>
      <c r="AL274" s="0" t="n">
        <v>0</v>
      </c>
      <c r="AM274" s="0" t="n">
        <v>0</v>
      </c>
    </row>
    <row r="275" customFormat="false" ht="12.75" hidden="false" customHeight="false" outlineLevel="0" collapsed="false">
      <c r="A275" s="0" t="s">
        <v>621</v>
      </c>
      <c r="B275" s="0" t="s">
        <v>294</v>
      </c>
      <c r="C275" s="0" t="s">
        <v>622</v>
      </c>
      <c r="D275" s="0" t="s">
        <v>623</v>
      </c>
      <c r="E275" s="0" t="s">
        <v>131</v>
      </c>
      <c r="F275" s="0" t="s">
        <v>198</v>
      </c>
      <c r="G275" s="0" t="s">
        <v>628</v>
      </c>
      <c r="H275" s="0" t="s">
        <v>625</v>
      </c>
      <c r="I275" s="0" t="s">
        <v>626</v>
      </c>
      <c r="J275" s="0" t="s">
        <v>627</v>
      </c>
      <c r="K275" s="475" t="n">
        <v>36892</v>
      </c>
      <c r="L275" s="254" t="n">
        <v>-386217.11903889</v>
      </c>
      <c r="M275" s="475" t="n">
        <v>36888</v>
      </c>
      <c r="N275" s="0" t="s">
        <v>136</v>
      </c>
      <c r="O275" s="0" t="n">
        <v>3</v>
      </c>
      <c r="P275" s="0" t="n">
        <v>0</v>
      </c>
      <c r="Q275" s="0" t="n">
        <v>0</v>
      </c>
      <c r="R275" s="0" t="n">
        <v>0</v>
      </c>
      <c r="S275" s="0" t="n">
        <v>0</v>
      </c>
      <c r="T275" s="0" t="s">
        <v>624</v>
      </c>
      <c r="U275" s="0" t="s">
        <v>149</v>
      </c>
      <c r="V275" s="0" t="s">
        <v>624</v>
      </c>
      <c r="W275" s="0" t="s">
        <v>569</v>
      </c>
      <c r="X275" s="0" t="s">
        <v>624</v>
      </c>
      <c r="Y275" s="0" t="s">
        <v>627</v>
      </c>
      <c r="Z275" s="0" t="s">
        <v>629</v>
      </c>
      <c r="AA275" s="0" t="s">
        <v>624</v>
      </c>
      <c r="AB275" s="0" t="s">
        <v>132</v>
      </c>
      <c r="AC275" s="254" t="n">
        <v>-1000000</v>
      </c>
      <c r="AD275" s="254" t="n">
        <v>-69610.9231483552</v>
      </c>
      <c r="AE275" s="0" t="n">
        <v>0</v>
      </c>
      <c r="AF275" s="0" t="n">
        <v>0</v>
      </c>
      <c r="AG275" s="0" t="n">
        <v>0</v>
      </c>
      <c r="AH275" s="254" t="n">
        <v>-25130.7463825612</v>
      </c>
      <c r="AI275" s="0" t="n">
        <v>226</v>
      </c>
      <c r="AJ275" s="0" t="s">
        <v>630</v>
      </c>
      <c r="AK275" s="0" t="n">
        <v>0</v>
      </c>
      <c r="AL275" s="0" t="n">
        <v>0</v>
      </c>
      <c r="AM275" s="0" t="n">
        <v>0</v>
      </c>
    </row>
    <row r="276" customFormat="false" ht="12.75" hidden="false" customHeight="false" outlineLevel="0" collapsed="false">
      <c r="A276" s="0" t="s">
        <v>621</v>
      </c>
      <c r="B276" s="0" t="s">
        <v>294</v>
      </c>
      <c r="C276" s="0" t="s">
        <v>622</v>
      </c>
      <c r="D276" s="0" t="s">
        <v>623</v>
      </c>
      <c r="E276" s="0" t="s">
        <v>131</v>
      </c>
      <c r="F276" s="0" t="s">
        <v>198</v>
      </c>
      <c r="G276" s="0" t="s">
        <v>628</v>
      </c>
      <c r="H276" s="0" t="s">
        <v>625</v>
      </c>
      <c r="I276" s="0" t="s">
        <v>626</v>
      </c>
      <c r="J276" s="0" t="s">
        <v>627</v>
      </c>
      <c r="K276" s="475" t="n">
        <v>36861</v>
      </c>
      <c r="L276" s="254" t="n">
        <v>-158678.120721932</v>
      </c>
      <c r="M276" s="475" t="n">
        <v>36859</v>
      </c>
      <c r="N276" s="0" t="s">
        <v>136</v>
      </c>
      <c r="O276" s="0" t="n">
        <v>3</v>
      </c>
      <c r="P276" s="0" t="n">
        <v>0</v>
      </c>
      <c r="Q276" s="0" t="n">
        <v>0</v>
      </c>
      <c r="R276" s="0" t="n">
        <v>0</v>
      </c>
      <c r="S276" s="0" t="n">
        <v>0</v>
      </c>
      <c r="T276" s="0" t="s">
        <v>624</v>
      </c>
      <c r="U276" s="0" t="s">
        <v>149</v>
      </c>
      <c r="V276" s="0" t="s">
        <v>624</v>
      </c>
      <c r="W276" s="0" t="s">
        <v>569</v>
      </c>
      <c r="X276" s="0" t="s">
        <v>624</v>
      </c>
      <c r="Y276" s="0" t="s">
        <v>627</v>
      </c>
      <c r="Z276" s="0" t="s">
        <v>629</v>
      </c>
      <c r="AA276" s="0" t="s">
        <v>624</v>
      </c>
      <c r="AB276" s="0" t="s">
        <v>132</v>
      </c>
      <c r="AC276" s="254" t="n">
        <v>-1000000</v>
      </c>
      <c r="AD276" s="254" t="n">
        <v>-46546.3825853563</v>
      </c>
      <c r="AE276" s="0" t="n">
        <v>0</v>
      </c>
      <c r="AF276" s="0" t="n">
        <v>0</v>
      </c>
      <c r="AG276" s="0" t="n">
        <v>0</v>
      </c>
      <c r="AH276" s="254" t="n">
        <v>-12078.3501212652</v>
      </c>
      <c r="AI276" s="0" t="n">
        <v>226</v>
      </c>
      <c r="AJ276" s="0" t="s">
        <v>630</v>
      </c>
      <c r="AK276" s="0" t="n">
        <v>0</v>
      </c>
      <c r="AL276" s="0" t="n">
        <v>0</v>
      </c>
      <c r="AM276" s="0" t="n">
        <v>0</v>
      </c>
    </row>
    <row r="277" customFormat="false" ht="12.75" hidden="false" customHeight="false" outlineLevel="0" collapsed="false">
      <c r="A277" s="0" t="s">
        <v>621</v>
      </c>
      <c r="B277" s="0" t="s">
        <v>294</v>
      </c>
      <c r="C277" s="0" t="s">
        <v>622</v>
      </c>
      <c r="D277" s="0" t="s">
        <v>623</v>
      </c>
      <c r="E277" s="0" t="s">
        <v>131</v>
      </c>
      <c r="F277" s="0" t="s">
        <v>198</v>
      </c>
      <c r="G277" s="0" t="s">
        <v>628</v>
      </c>
      <c r="H277" s="0" t="s">
        <v>625</v>
      </c>
      <c r="I277" s="0" t="s">
        <v>626</v>
      </c>
      <c r="J277" s="0" t="s">
        <v>627</v>
      </c>
      <c r="K277" s="475" t="n">
        <v>36831</v>
      </c>
      <c r="L277" s="254" t="n">
        <v>-2008.46774519531</v>
      </c>
      <c r="M277" s="475" t="n">
        <v>36829</v>
      </c>
      <c r="N277" s="0" t="s">
        <v>136</v>
      </c>
      <c r="O277" s="0" t="n">
        <v>3</v>
      </c>
      <c r="P277" s="0" t="n">
        <v>0</v>
      </c>
      <c r="Q277" s="0" t="n">
        <v>0</v>
      </c>
      <c r="R277" s="0" t="n">
        <v>0</v>
      </c>
      <c r="S277" s="0" t="n">
        <v>0</v>
      </c>
      <c r="T277" s="0" t="s">
        <v>624</v>
      </c>
      <c r="U277" s="0" t="s">
        <v>149</v>
      </c>
      <c r="V277" s="0" t="s">
        <v>624</v>
      </c>
      <c r="W277" s="0" t="s">
        <v>569</v>
      </c>
      <c r="X277" s="0" t="s">
        <v>624</v>
      </c>
      <c r="Y277" s="0" t="s">
        <v>627</v>
      </c>
      <c r="Z277" s="0" t="s">
        <v>629</v>
      </c>
      <c r="AA277" s="0" t="s">
        <v>624</v>
      </c>
      <c r="AB277" s="0" t="s">
        <v>132</v>
      </c>
      <c r="AC277" s="254" t="n">
        <v>-1000000</v>
      </c>
      <c r="AD277" s="254" t="n">
        <v>-2004.7001855653</v>
      </c>
      <c r="AE277" s="0" t="n">
        <v>0</v>
      </c>
      <c r="AF277" s="0" t="n">
        <v>0</v>
      </c>
      <c r="AG277" s="0" t="n">
        <v>0</v>
      </c>
      <c r="AH277" s="254" t="n">
        <v>-454.989512653291</v>
      </c>
      <c r="AI277" s="0" t="n">
        <v>226</v>
      </c>
      <c r="AJ277" s="0" t="s">
        <v>630</v>
      </c>
      <c r="AK277" s="0" t="n">
        <v>0</v>
      </c>
      <c r="AL277" s="0" t="n">
        <v>0</v>
      </c>
      <c r="AM277" s="0" t="n">
        <v>0</v>
      </c>
    </row>
    <row r="278" customFormat="false" ht="12.75" hidden="false" customHeight="false" outlineLevel="0" collapsed="false">
      <c r="A278" s="0" t="s">
        <v>621</v>
      </c>
      <c r="B278" s="0" t="s">
        <v>295</v>
      </c>
      <c r="C278" s="0" t="s">
        <v>622</v>
      </c>
      <c r="D278" s="0" t="s">
        <v>623</v>
      </c>
      <c r="E278" s="0" t="s">
        <v>131</v>
      </c>
      <c r="F278" s="0" t="s">
        <v>206</v>
      </c>
      <c r="G278" s="0" t="s">
        <v>628</v>
      </c>
      <c r="H278" s="0" t="s">
        <v>625</v>
      </c>
      <c r="I278" s="0" t="s">
        <v>626</v>
      </c>
      <c r="J278" s="0" t="s">
        <v>627</v>
      </c>
      <c r="K278" s="475" t="n">
        <v>36951</v>
      </c>
      <c r="L278" s="254" t="n">
        <v>120184.926412551</v>
      </c>
      <c r="M278" s="475" t="n">
        <v>36949</v>
      </c>
      <c r="N278" s="0" t="s">
        <v>132</v>
      </c>
      <c r="O278" s="0" t="n">
        <v>0.5</v>
      </c>
      <c r="P278" s="0" t="n">
        <v>0</v>
      </c>
      <c r="Q278" s="0" t="n">
        <v>0</v>
      </c>
      <c r="R278" s="0" t="n">
        <v>0</v>
      </c>
      <c r="S278" s="0" t="n">
        <v>0</v>
      </c>
      <c r="T278" s="0" t="s">
        <v>624</v>
      </c>
      <c r="U278" s="0" t="s">
        <v>149</v>
      </c>
      <c r="V278" s="0" t="s">
        <v>624</v>
      </c>
      <c r="W278" s="0" t="s">
        <v>569</v>
      </c>
      <c r="X278" s="0" t="s">
        <v>624</v>
      </c>
      <c r="Y278" s="0" t="s">
        <v>627</v>
      </c>
      <c r="Z278" s="0" t="s">
        <v>629</v>
      </c>
      <c r="AA278" s="0" t="s">
        <v>624</v>
      </c>
      <c r="AB278" s="0" t="s">
        <v>132</v>
      </c>
      <c r="AC278" s="254" t="n">
        <v>500000</v>
      </c>
      <c r="AD278" s="254" t="n">
        <v>40998.0249985839</v>
      </c>
      <c r="AE278" s="0" t="n">
        <v>0</v>
      </c>
      <c r="AF278" s="0" t="n">
        <v>0</v>
      </c>
      <c r="AG278" s="0" t="n">
        <v>0</v>
      </c>
      <c r="AH278" s="254" t="n">
        <v>-6083.16062452464</v>
      </c>
      <c r="AI278" s="0" t="n">
        <v>226</v>
      </c>
      <c r="AJ278" s="0" t="s">
        <v>630</v>
      </c>
      <c r="AK278" s="0" t="n">
        <v>0</v>
      </c>
      <c r="AL278" s="0" t="n">
        <v>0</v>
      </c>
      <c r="AM278" s="0" t="n">
        <v>0</v>
      </c>
    </row>
    <row r="279" customFormat="false" ht="12.75" hidden="false" customHeight="false" outlineLevel="0" collapsed="false">
      <c r="A279" s="0" t="s">
        <v>621</v>
      </c>
      <c r="B279" s="0" t="s">
        <v>633</v>
      </c>
      <c r="C279" s="0" t="s">
        <v>622</v>
      </c>
      <c r="D279" s="0" t="s">
        <v>623</v>
      </c>
      <c r="E279" s="0" t="s">
        <v>131</v>
      </c>
      <c r="F279" s="0" t="s">
        <v>206</v>
      </c>
      <c r="G279" s="0" t="s">
        <v>628</v>
      </c>
      <c r="H279" s="0" t="s">
        <v>625</v>
      </c>
      <c r="I279" s="0" t="s">
        <v>626</v>
      </c>
      <c r="J279" s="0" t="s">
        <v>627</v>
      </c>
      <c r="K279" s="475" t="n">
        <v>36951</v>
      </c>
      <c r="L279" s="254" t="n">
        <v>169110.836079318</v>
      </c>
      <c r="M279" s="475" t="n">
        <v>36949</v>
      </c>
      <c r="N279" s="0" t="s">
        <v>136</v>
      </c>
      <c r="O279" s="0" t="n">
        <v>1.57</v>
      </c>
      <c r="P279" s="0" t="n">
        <v>0</v>
      </c>
      <c r="Q279" s="0" t="n">
        <v>0</v>
      </c>
      <c r="R279" s="0" t="n">
        <v>0</v>
      </c>
      <c r="S279" s="0" t="n">
        <v>0</v>
      </c>
      <c r="T279" s="0" t="s">
        <v>624</v>
      </c>
      <c r="U279" s="0" t="s">
        <v>149</v>
      </c>
      <c r="V279" s="0" t="s">
        <v>624</v>
      </c>
      <c r="W279" s="0" t="s">
        <v>569</v>
      </c>
      <c r="X279" s="0" t="s">
        <v>624</v>
      </c>
      <c r="Y279" s="0" t="s">
        <v>627</v>
      </c>
      <c r="Z279" s="0" t="s">
        <v>629</v>
      </c>
      <c r="AA279" s="0" t="s">
        <v>624</v>
      </c>
      <c r="AB279" s="0" t="s">
        <v>132</v>
      </c>
      <c r="AC279" s="254" t="n">
        <v>500000</v>
      </c>
      <c r="AD279" s="254" t="n">
        <v>40815.8908133721</v>
      </c>
      <c r="AE279" s="0" t="n">
        <v>0</v>
      </c>
      <c r="AF279" s="0" t="n">
        <v>0</v>
      </c>
      <c r="AG279" s="0" t="n">
        <v>0</v>
      </c>
      <c r="AH279" s="254" t="n">
        <v>13805.6938619375</v>
      </c>
      <c r="AI279" s="0" t="n">
        <v>226</v>
      </c>
      <c r="AJ279" s="0" t="s">
        <v>630</v>
      </c>
      <c r="AK279" s="0" t="n">
        <v>0</v>
      </c>
      <c r="AL279" s="0" t="n">
        <v>0</v>
      </c>
      <c r="AM279" s="0" t="n">
        <v>0</v>
      </c>
    </row>
    <row r="280" customFormat="false" ht="12.75" hidden="false" customHeight="false" outlineLevel="0" collapsed="false">
      <c r="A280" s="0" t="s">
        <v>621</v>
      </c>
      <c r="B280" s="0" t="s">
        <v>633</v>
      </c>
      <c r="C280" s="0" t="s">
        <v>622</v>
      </c>
      <c r="D280" s="0" t="s">
        <v>623</v>
      </c>
      <c r="E280" s="0" t="s">
        <v>131</v>
      </c>
      <c r="F280" s="0" t="s">
        <v>206</v>
      </c>
      <c r="G280" s="0" t="s">
        <v>628</v>
      </c>
      <c r="H280" s="0" t="s">
        <v>625</v>
      </c>
      <c r="I280" s="0" t="s">
        <v>626</v>
      </c>
      <c r="J280" s="0" t="s">
        <v>627</v>
      </c>
      <c r="K280" s="475" t="n">
        <v>36923</v>
      </c>
      <c r="L280" s="254" t="n">
        <v>460867.77246677</v>
      </c>
      <c r="M280" s="475" t="n">
        <v>36921</v>
      </c>
      <c r="N280" s="0" t="s">
        <v>136</v>
      </c>
      <c r="O280" s="0" t="n">
        <v>1.57</v>
      </c>
      <c r="P280" s="0" t="n">
        <v>0</v>
      </c>
      <c r="Q280" s="0" t="n">
        <v>0</v>
      </c>
      <c r="R280" s="0" t="n">
        <v>0</v>
      </c>
      <c r="S280" s="0" t="n">
        <v>0</v>
      </c>
      <c r="T280" s="0" t="s">
        <v>624</v>
      </c>
      <c r="U280" s="0" t="s">
        <v>149</v>
      </c>
      <c r="V280" s="0" t="s">
        <v>624</v>
      </c>
      <c r="W280" s="0" t="s">
        <v>569</v>
      </c>
      <c r="X280" s="0" t="s">
        <v>624</v>
      </c>
      <c r="Y280" s="0" t="s">
        <v>627</v>
      </c>
      <c r="Z280" s="0" t="s">
        <v>629</v>
      </c>
      <c r="AA280" s="0" t="s">
        <v>624</v>
      </c>
      <c r="AB280" s="0" t="s">
        <v>132</v>
      </c>
      <c r="AC280" s="254" t="n">
        <v>500000</v>
      </c>
      <c r="AD280" s="254" t="n">
        <v>41804.4695281941</v>
      </c>
      <c r="AE280" s="0" t="n">
        <v>0</v>
      </c>
      <c r="AF280" s="0" t="n">
        <v>0</v>
      </c>
      <c r="AG280" s="0" t="n">
        <v>0</v>
      </c>
      <c r="AH280" s="254" t="n">
        <v>24691.972599182</v>
      </c>
      <c r="AI280" s="0" t="n">
        <v>226</v>
      </c>
      <c r="AJ280" s="0" t="s">
        <v>630</v>
      </c>
      <c r="AK280" s="0" t="n">
        <v>0</v>
      </c>
      <c r="AL280" s="0" t="n">
        <v>0</v>
      </c>
      <c r="AM280" s="0" t="n">
        <v>0</v>
      </c>
    </row>
    <row r="281" customFormat="false" ht="12.75" hidden="false" customHeight="false" outlineLevel="0" collapsed="false">
      <c r="A281" s="0" t="s">
        <v>621</v>
      </c>
      <c r="B281" s="0" t="s">
        <v>633</v>
      </c>
      <c r="C281" s="0" t="s">
        <v>622</v>
      </c>
      <c r="D281" s="0" t="s">
        <v>623</v>
      </c>
      <c r="E281" s="0" t="s">
        <v>131</v>
      </c>
      <c r="F281" s="0" t="s">
        <v>206</v>
      </c>
      <c r="G281" s="0" t="s">
        <v>628</v>
      </c>
      <c r="H281" s="0" t="s">
        <v>625</v>
      </c>
      <c r="I281" s="0" t="s">
        <v>626</v>
      </c>
      <c r="J281" s="0" t="s">
        <v>627</v>
      </c>
      <c r="K281" s="475" t="n">
        <v>36892</v>
      </c>
      <c r="L281" s="254" t="n">
        <v>472421.46868014</v>
      </c>
      <c r="M281" s="475" t="n">
        <v>36888</v>
      </c>
      <c r="N281" s="0" t="s">
        <v>136</v>
      </c>
      <c r="O281" s="0" t="n">
        <v>1.57</v>
      </c>
      <c r="P281" s="0" t="n">
        <v>0</v>
      </c>
      <c r="Q281" s="0" t="n">
        <v>0</v>
      </c>
      <c r="R281" s="0" t="n">
        <v>0</v>
      </c>
      <c r="S281" s="0" t="n">
        <v>0</v>
      </c>
      <c r="T281" s="0" t="s">
        <v>624</v>
      </c>
      <c r="U281" s="0" t="s">
        <v>149</v>
      </c>
      <c r="V281" s="0" t="s">
        <v>624</v>
      </c>
      <c r="W281" s="0" t="s">
        <v>569</v>
      </c>
      <c r="X281" s="0" t="s">
        <v>624</v>
      </c>
      <c r="Y281" s="0" t="s">
        <v>627</v>
      </c>
      <c r="Z281" s="0" t="s">
        <v>629</v>
      </c>
      <c r="AA281" s="0" t="s">
        <v>624</v>
      </c>
      <c r="AB281" s="0" t="s">
        <v>132</v>
      </c>
      <c r="AC281" s="254" t="n">
        <v>500000</v>
      </c>
      <c r="AD281" s="254" t="n">
        <v>37443.7092389034</v>
      </c>
      <c r="AE281" s="0" t="n">
        <v>0</v>
      </c>
      <c r="AF281" s="0" t="n">
        <v>0</v>
      </c>
      <c r="AG281" s="0" t="n">
        <v>0</v>
      </c>
      <c r="AH281" s="254" t="n">
        <v>21969.9741266863</v>
      </c>
      <c r="AI281" s="0" t="n">
        <v>226</v>
      </c>
      <c r="AJ281" s="0" t="s">
        <v>630</v>
      </c>
      <c r="AK281" s="0" t="n">
        <v>0</v>
      </c>
      <c r="AL281" s="0" t="n">
        <v>0</v>
      </c>
      <c r="AM281" s="0" t="n">
        <v>0</v>
      </c>
    </row>
    <row r="282" customFormat="false" ht="12.75" hidden="false" customHeight="false" outlineLevel="0" collapsed="false">
      <c r="A282" s="0" t="s">
        <v>621</v>
      </c>
      <c r="B282" s="0" t="s">
        <v>633</v>
      </c>
      <c r="C282" s="0" t="s">
        <v>622</v>
      </c>
      <c r="D282" s="0" t="s">
        <v>623</v>
      </c>
      <c r="E282" s="0" t="s">
        <v>131</v>
      </c>
      <c r="F282" s="0" t="s">
        <v>206</v>
      </c>
      <c r="G282" s="0" t="s">
        <v>628</v>
      </c>
      <c r="H282" s="0" t="s">
        <v>625</v>
      </c>
      <c r="I282" s="0" t="s">
        <v>626</v>
      </c>
      <c r="J282" s="0" t="s">
        <v>627</v>
      </c>
      <c r="K282" s="475" t="n">
        <v>36861</v>
      </c>
      <c r="L282" s="254" t="n">
        <v>274331.681115403</v>
      </c>
      <c r="M282" s="475" t="n">
        <v>36859</v>
      </c>
      <c r="N282" s="0" t="s">
        <v>136</v>
      </c>
      <c r="O282" s="0" t="n">
        <v>1.57</v>
      </c>
      <c r="P282" s="0" t="n">
        <v>0</v>
      </c>
      <c r="Q282" s="0" t="n">
        <v>0</v>
      </c>
      <c r="R282" s="0" t="n">
        <v>0</v>
      </c>
      <c r="S282" s="0" t="n">
        <v>0</v>
      </c>
      <c r="T282" s="0" t="s">
        <v>624</v>
      </c>
      <c r="U282" s="0" t="s">
        <v>149</v>
      </c>
      <c r="V282" s="0" t="s">
        <v>624</v>
      </c>
      <c r="W282" s="0" t="s">
        <v>569</v>
      </c>
      <c r="X282" s="0" t="s">
        <v>624</v>
      </c>
      <c r="Y282" s="0" t="s">
        <v>627</v>
      </c>
      <c r="Z282" s="0" t="s">
        <v>629</v>
      </c>
      <c r="AA282" s="0" t="s">
        <v>624</v>
      </c>
      <c r="AB282" s="0" t="s">
        <v>132</v>
      </c>
      <c r="AC282" s="254" t="n">
        <v>500000</v>
      </c>
      <c r="AD282" s="254" t="n">
        <v>35412.0882569489</v>
      </c>
      <c r="AE282" s="0" t="n">
        <v>0</v>
      </c>
      <c r="AF282" s="0" t="n">
        <v>0</v>
      </c>
      <c r="AG282" s="0" t="n">
        <v>0</v>
      </c>
      <c r="AH282" s="254" t="n">
        <v>14121.5520101192</v>
      </c>
      <c r="AI282" s="0" t="n">
        <v>226</v>
      </c>
      <c r="AJ282" s="0" t="s">
        <v>630</v>
      </c>
      <c r="AK282" s="0" t="n">
        <v>0</v>
      </c>
      <c r="AL282" s="0" t="n">
        <v>0</v>
      </c>
      <c r="AM282" s="0" t="n">
        <v>0</v>
      </c>
    </row>
    <row r="283" customFormat="false" ht="12.75" hidden="false" customHeight="false" outlineLevel="0" collapsed="false">
      <c r="A283" s="0" t="s">
        <v>621</v>
      </c>
      <c r="B283" s="0" t="s">
        <v>633</v>
      </c>
      <c r="C283" s="0" t="s">
        <v>622</v>
      </c>
      <c r="D283" s="0" t="s">
        <v>623</v>
      </c>
      <c r="E283" s="0" t="s">
        <v>131</v>
      </c>
      <c r="F283" s="0" t="s">
        <v>206</v>
      </c>
      <c r="G283" s="0" t="s">
        <v>628</v>
      </c>
      <c r="H283" s="0" t="s">
        <v>625</v>
      </c>
      <c r="I283" s="0" t="s">
        <v>626</v>
      </c>
      <c r="J283" s="0" t="s">
        <v>627</v>
      </c>
      <c r="K283" s="475" t="n">
        <v>36831</v>
      </c>
      <c r="L283" s="254" t="n">
        <v>26445.5025699939</v>
      </c>
      <c r="M283" s="475" t="n">
        <v>36829</v>
      </c>
      <c r="N283" s="0" t="s">
        <v>136</v>
      </c>
      <c r="O283" s="0" t="n">
        <v>1.57</v>
      </c>
      <c r="P283" s="0" t="n">
        <v>0</v>
      </c>
      <c r="Q283" s="0" t="n">
        <v>0</v>
      </c>
      <c r="R283" s="0" t="n">
        <v>0</v>
      </c>
      <c r="S283" s="0" t="n">
        <v>0</v>
      </c>
      <c r="T283" s="0" t="s">
        <v>624</v>
      </c>
      <c r="U283" s="0" t="s">
        <v>149</v>
      </c>
      <c r="V283" s="0" t="s">
        <v>624</v>
      </c>
      <c r="W283" s="0" t="s">
        <v>569</v>
      </c>
      <c r="X283" s="0" t="s">
        <v>624</v>
      </c>
      <c r="Y283" s="0" t="s">
        <v>627</v>
      </c>
      <c r="Z283" s="0" t="s">
        <v>629</v>
      </c>
      <c r="AA283" s="0" t="s">
        <v>624</v>
      </c>
      <c r="AB283" s="0" t="s">
        <v>132</v>
      </c>
      <c r="AC283" s="254" t="n">
        <v>500000</v>
      </c>
      <c r="AD283" s="254" t="n">
        <v>11973.4081913113</v>
      </c>
      <c r="AE283" s="0" t="n">
        <v>0</v>
      </c>
      <c r="AF283" s="0" t="n">
        <v>0</v>
      </c>
      <c r="AG283" s="0" t="n">
        <v>0</v>
      </c>
      <c r="AH283" s="254" t="n">
        <v>3662.40462719349</v>
      </c>
      <c r="AI283" s="0" t="n">
        <v>226</v>
      </c>
      <c r="AJ283" s="0" t="s">
        <v>630</v>
      </c>
      <c r="AK283" s="0" t="n">
        <v>0</v>
      </c>
      <c r="AL283" s="0" t="n">
        <v>0</v>
      </c>
      <c r="AM283" s="0" t="n">
        <v>0</v>
      </c>
    </row>
    <row r="284" customFormat="false" ht="12.75" hidden="false" customHeight="false" outlineLevel="0" collapsed="false">
      <c r="A284" s="0" t="s">
        <v>621</v>
      </c>
      <c r="B284" s="0" t="s">
        <v>634</v>
      </c>
      <c r="C284" s="0" t="s">
        <v>622</v>
      </c>
      <c r="D284" s="0" t="s">
        <v>623</v>
      </c>
      <c r="E284" s="0" t="s">
        <v>131</v>
      </c>
      <c r="F284" s="0" t="s">
        <v>206</v>
      </c>
      <c r="G284" s="0" t="s">
        <v>628</v>
      </c>
      <c r="H284" s="0" t="s">
        <v>625</v>
      </c>
      <c r="I284" s="0" t="s">
        <v>626</v>
      </c>
      <c r="J284" s="0" t="s">
        <v>627</v>
      </c>
      <c r="K284" s="475" t="n">
        <v>36951</v>
      </c>
      <c r="L284" s="254" t="n">
        <v>408215.159422334</v>
      </c>
      <c r="M284" s="475" t="n">
        <v>36949</v>
      </c>
      <c r="N284" s="0" t="s">
        <v>132</v>
      </c>
      <c r="O284" s="0" t="n">
        <v>1.57</v>
      </c>
      <c r="P284" s="0" t="n">
        <v>0</v>
      </c>
      <c r="Q284" s="0" t="n">
        <v>0</v>
      </c>
      <c r="R284" s="0" t="n">
        <v>0</v>
      </c>
      <c r="S284" s="0" t="n">
        <v>0</v>
      </c>
      <c r="T284" s="0" t="s">
        <v>624</v>
      </c>
      <c r="U284" s="0" t="s">
        <v>149</v>
      </c>
      <c r="V284" s="0" t="s">
        <v>624</v>
      </c>
      <c r="W284" s="0" t="s">
        <v>569</v>
      </c>
      <c r="X284" s="0" t="s">
        <v>624</v>
      </c>
      <c r="Y284" s="0" t="s">
        <v>627</v>
      </c>
      <c r="Z284" s="0" t="s">
        <v>629</v>
      </c>
      <c r="AA284" s="0" t="s">
        <v>624</v>
      </c>
      <c r="AB284" s="0" t="s">
        <v>132</v>
      </c>
      <c r="AC284" s="254" t="n">
        <v>500000</v>
      </c>
      <c r="AD284" s="254" t="n">
        <v>40815.890813372</v>
      </c>
      <c r="AE284" s="0" t="n">
        <v>0</v>
      </c>
      <c r="AF284" s="0" t="n">
        <v>0</v>
      </c>
      <c r="AG284" s="0" t="n">
        <v>0</v>
      </c>
      <c r="AH284" s="254" t="n">
        <v>-15162.3730918366</v>
      </c>
      <c r="AI284" s="0" t="n">
        <v>226</v>
      </c>
      <c r="AJ284" s="0" t="s">
        <v>630</v>
      </c>
      <c r="AK284" s="0" t="n">
        <v>0</v>
      </c>
      <c r="AL284" s="0" t="n">
        <v>0</v>
      </c>
      <c r="AM284" s="0" t="n">
        <v>0</v>
      </c>
    </row>
    <row r="285" customFormat="false" ht="12.75" hidden="false" customHeight="false" outlineLevel="0" collapsed="false">
      <c r="A285" s="0" t="s">
        <v>621</v>
      </c>
      <c r="B285" s="0" t="s">
        <v>634</v>
      </c>
      <c r="C285" s="0" t="s">
        <v>622</v>
      </c>
      <c r="D285" s="0" t="s">
        <v>623</v>
      </c>
      <c r="E285" s="0" t="s">
        <v>131</v>
      </c>
      <c r="F285" s="0" t="s">
        <v>206</v>
      </c>
      <c r="G285" s="0" t="s">
        <v>628</v>
      </c>
      <c r="H285" s="0" t="s">
        <v>625</v>
      </c>
      <c r="I285" s="0" t="s">
        <v>626</v>
      </c>
      <c r="J285" s="0" t="s">
        <v>627</v>
      </c>
      <c r="K285" s="475" t="n">
        <v>36923</v>
      </c>
      <c r="L285" s="254" t="n">
        <v>208331.972594283</v>
      </c>
      <c r="M285" s="475" t="n">
        <v>36921</v>
      </c>
      <c r="N285" s="0" t="s">
        <v>132</v>
      </c>
      <c r="O285" s="0" t="n">
        <v>1.57</v>
      </c>
      <c r="P285" s="0" t="n">
        <v>0</v>
      </c>
      <c r="Q285" s="0" t="n">
        <v>0</v>
      </c>
      <c r="R285" s="0" t="n">
        <v>0</v>
      </c>
      <c r="S285" s="0" t="n">
        <v>0</v>
      </c>
      <c r="T285" s="0" t="s">
        <v>624</v>
      </c>
      <c r="U285" s="0" t="s">
        <v>149</v>
      </c>
      <c r="V285" s="0" t="s">
        <v>624</v>
      </c>
      <c r="W285" s="0" t="s">
        <v>569</v>
      </c>
      <c r="X285" s="0" t="s">
        <v>624</v>
      </c>
      <c r="Y285" s="0" t="s">
        <v>627</v>
      </c>
      <c r="Z285" s="0" t="s">
        <v>629</v>
      </c>
      <c r="AA285" s="0" t="s">
        <v>624</v>
      </c>
      <c r="AB285" s="0" t="s">
        <v>132</v>
      </c>
      <c r="AC285" s="254" t="n">
        <v>500000</v>
      </c>
      <c r="AD285" s="254" t="n">
        <v>41804.4695281941</v>
      </c>
      <c r="AE285" s="0" t="n">
        <v>0</v>
      </c>
      <c r="AF285" s="0" t="n">
        <v>0</v>
      </c>
      <c r="AG285" s="0" t="n">
        <v>0</v>
      </c>
      <c r="AH285" s="254" t="n">
        <v>-9285.75571059433</v>
      </c>
      <c r="AI285" s="0" t="n">
        <v>226</v>
      </c>
      <c r="AJ285" s="0" t="s">
        <v>630</v>
      </c>
      <c r="AK285" s="0" t="n">
        <v>0</v>
      </c>
      <c r="AL285" s="0" t="n">
        <v>0</v>
      </c>
      <c r="AM285" s="0" t="n">
        <v>0</v>
      </c>
    </row>
    <row r="286" customFormat="false" ht="12.75" hidden="false" customHeight="false" outlineLevel="0" collapsed="false">
      <c r="A286" s="0" t="s">
        <v>621</v>
      </c>
      <c r="B286" s="0" t="s">
        <v>634</v>
      </c>
      <c r="C286" s="0" t="s">
        <v>622</v>
      </c>
      <c r="D286" s="0" t="s">
        <v>623</v>
      </c>
      <c r="E286" s="0" t="s">
        <v>131</v>
      </c>
      <c r="F286" s="0" t="s">
        <v>206</v>
      </c>
      <c r="G286" s="0" t="s">
        <v>628</v>
      </c>
      <c r="H286" s="0" t="s">
        <v>625</v>
      </c>
      <c r="I286" s="0" t="s">
        <v>626</v>
      </c>
      <c r="J286" s="0" t="s">
        <v>627</v>
      </c>
      <c r="K286" s="475" t="n">
        <v>36892</v>
      </c>
      <c r="L286" s="254" t="n">
        <v>179195.345085389</v>
      </c>
      <c r="M286" s="475" t="n">
        <v>36888</v>
      </c>
      <c r="N286" s="0" t="s">
        <v>132</v>
      </c>
      <c r="O286" s="0" t="n">
        <v>1.57</v>
      </c>
      <c r="P286" s="0" t="n">
        <v>0</v>
      </c>
      <c r="Q286" s="0" t="n">
        <v>0</v>
      </c>
      <c r="R286" s="0" t="n">
        <v>0</v>
      </c>
      <c r="S286" s="0" t="n">
        <v>0</v>
      </c>
      <c r="T286" s="0" t="s">
        <v>624</v>
      </c>
      <c r="U286" s="0" t="s">
        <v>149</v>
      </c>
      <c r="V286" s="0" t="s">
        <v>624</v>
      </c>
      <c r="W286" s="0" t="s">
        <v>569</v>
      </c>
      <c r="X286" s="0" t="s">
        <v>624</v>
      </c>
      <c r="Y286" s="0" t="s">
        <v>627</v>
      </c>
      <c r="Z286" s="0" t="s">
        <v>629</v>
      </c>
      <c r="AA286" s="0" t="s">
        <v>624</v>
      </c>
      <c r="AB286" s="0" t="s">
        <v>132</v>
      </c>
      <c r="AC286" s="254" t="n">
        <v>500000</v>
      </c>
      <c r="AD286" s="254" t="n">
        <v>37443.7092389034</v>
      </c>
      <c r="AE286" s="0" t="n">
        <v>0</v>
      </c>
      <c r="AF286" s="0" t="n">
        <v>0</v>
      </c>
      <c r="AG286" s="0" t="n">
        <v>0</v>
      </c>
      <c r="AH286" s="254" t="n">
        <v>-7337.00449828189</v>
      </c>
      <c r="AI286" s="0" t="n">
        <v>226</v>
      </c>
      <c r="AJ286" s="0" t="s">
        <v>630</v>
      </c>
      <c r="AK286" s="0" t="n">
        <v>0</v>
      </c>
      <c r="AL286" s="0" t="n">
        <v>0</v>
      </c>
      <c r="AM286" s="0" t="n">
        <v>0</v>
      </c>
    </row>
    <row r="287" customFormat="false" ht="12.75" hidden="false" customHeight="false" outlineLevel="0" collapsed="false">
      <c r="A287" s="0" t="s">
        <v>621</v>
      </c>
      <c r="B287" s="0" t="s">
        <v>634</v>
      </c>
      <c r="C287" s="0" t="s">
        <v>622</v>
      </c>
      <c r="D287" s="0" t="s">
        <v>623</v>
      </c>
      <c r="E287" s="0" t="s">
        <v>131</v>
      </c>
      <c r="F287" s="0" t="s">
        <v>206</v>
      </c>
      <c r="G287" s="0" t="s">
        <v>628</v>
      </c>
      <c r="H287" s="0" t="s">
        <v>625</v>
      </c>
      <c r="I287" s="0" t="s">
        <v>626</v>
      </c>
      <c r="J287" s="0" t="s">
        <v>627</v>
      </c>
      <c r="K287" s="475" t="n">
        <v>36861</v>
      </c>
      <c r="L287" s="254" t="n">
        <v>237478.32068014</v>
      </c>
      <c r="M287" s="475" t="n">
        <v>36859</v>
      </c>
      <c r="N287" s="0" t="s">
        <v>132</v>
      </c>
      <c r="O287" s="0" t="n">
        <v>1.57</v>
      </c>
      <c r="P287" s="0" t="n">
        <v>0</v>
      </c>
      <c r="Q287" s="0" t="n">
        <v>0</v>
      </c>
      <c r="R287" s="0" t="n">
        <v>0</v>
      </c>
      <c r="S287" s="0" t="n">
        <v>0</v>
      </c>
      <c r="T287" s="0" t="s">
        <v>624</v>
      </c>
      <c r="U287" s="0" t="s">
        <v>149</v>
      </c>
      <c r="V287" s="0" t="s">
        <v>624</v>
      </c>
      <c r="W287" s="0" t="s">
        <v>569</v>
      </c>
      <c r="X287" s="0" t="s">
        <v>624</v>
      </c>
      <c r="Y287" s="0" t="s">
        <v>627</v>
      </c>
      <c r="Z287" s="0" t="s">
        <v>629</v>
      </c>
      <c r="AA287" s="0" t="s">
        <v>624</v>
      </c>
      <c r="AB287" s="0" t="s">
        <v>132</v>
      </c>
      <c r="AC287" s="254" t="n">
        <v>500000</v>
      </c>
      <c r="AD287" s="254" t="n">
        <v>35412.0882569489</v>
      </c>
      <c r="AE287" s="0" t="n">
        <v>0</v>
      </c>
      <c r="AF287" s="0" t="n">
        <v>0</v>
      </c>
      <c r="AG287" s="0" t="n">
        <v>0</v>
      </c>
      <c r="AH287" s="254" t="n">
        <v>-7978.3008645995</v>
      </c>
      <c r="AI287" s="0" t="n">
        <v>226</v>
      </c>
      <c r="AJ287" s="0" t="s">
        <v>630</v>
      </c>
      <c r="AK287" s="0" t="n">
        <v>0</v>
      </c>
      <c r="AL287" s="0" t="n">
        <v>0</v>
      </c>
      <c r="AM287" s="0" t="n">
        <v>0</v>
      </c>
    </row>
    <row r="288" customFormat="false" ht="12.75" hidden="false" customHeight="false" outlineLevel="0" collapsed="false">
      <c r="A288" s="0" t="s">
        <v>621</v>
      </c>
      <c r="B288" s="0" t="s">
        <v>634</v>
      </c>
      <c r="C288" s="0" t="s">
        <v>622</v>
      </c>
      <c r="D288" s="0" t="s">
        <v>623</v>
      </c>
      <c r="E288" s="0" t="s">
        <v>131</v>
      </c>
      <c r="F288" s="0" t="s">
        <v>206</v>
      </c>
      <c r="G288" s="0" t="s">
        <v>628</v>
      </c>
      <c r="H288" s="0" t="s">
        <v>625</v>
      </c>
      <c r="I288" s="0" t="s">
        <v>626</v>
      </c>
      <c r="J288" s="0" t="s">
        <v>627</v>
      </c>
      <c r="K288" s="475" t="n">
        <v>36831</v>
      </c>
      <c r="L288" s="254" t="n">
        <v>421774.048057614</v>
      </c>
      <c r="M288" s="475" t="n">
        <v>36829</v>
      </c>
      <c r="N288" s="0" t="s">
        <v>132</v>
      </c>
      <c r="O288" s="0" t="n">
        <v>1.57</v>
      </c>
      <c r="P288" s="0" t="n">
        <v>0</v>
      </c>
      <c r="Q288" s="0" t="n">
        <v>0</v>
      </c>
      <c r="R288" s="0" t="n">
        <v>0</v>
      </c>
      <c r="S288" s="0" t="n">
        <v>0</v>
      </c>
      <c r="T288" s="0" t="s">
        <v>624</v>
      </c>
      <c r="U288" s="0" t="s">
        <v>149</v>
      </c>
      <c r="V288" s="0" t="s">
        <v>624</v>
      </c>
      <c r="W288" s="0" t="s">
        <v>569</v>
      </c>
      <c r="X288" s="0" t="s">
        <v>624</v>
      </c>
      <c r="Y288" s="0" t="s">
        <v>627</v>
      </c>
      <c r="Z288" s="0" t="s">
        <v>629</v>
      </c>
      <c r="AA288" s="0" t="s">
        <v>624</v>
      </c>
      <c r="AB288" s="0" t="s">
        <v>132</v>
      </c>
      <c r="AC288" s="254" t="n">
        <v>500000</v>
      </c>
      <c r="AD288" s="254" t="n">
        <v>11973.4081913113</v>
      </c>
      <c r="AE288" s="0" t="n">
        <v>0</v>
      </c>
      <c r="AF288" s="0" t="n">
        <v>0</v>
      </c>
      <c r="AG288" s="0" t="n">
        <v>0</v>
      </c>
      <c r="AH288" s="254" t="n">
        <v>-16093.139079091</v>
      </c>
      <c r="AI288" s="0" t="n">
        <v>226</v>
      </c>
      <c r="AJ288" s="0" t="s">
        <v>630</v>
      </c>
      <c r="AK288" s="0" t="n">
        <v>0</v>
      </c>
      <c r="AL288" s="0" t="n">
        <v>0</v>
      </c>
      <c r="AM288" s="0" t="n">
        <v>0</v>
      </c>
    </row>
    <row r="289" customFormat="false" ht="12.75" hidden="false" customHeight="false" outlineLevel="0" collapsed="false">
      <c r="A289" s="0" t="s">
        <v>621</v>
      </c>
      <c r="B289" s="0" t="s">
        <v>298</v>
      </c>
      <c r="C289" s="0" t="s">
        <v>622</v>
      </c>
      <c r="D289" s="0" t="s">
        <v>623</v>
      </c>
      <c r="E289" s="0" t="s">
        <v>131</v>
      </c>
      <c r="F289" s="0" t="s">
        <v>198</v>
      </c>
      <c r="G289" s="0" t="s">
        <v>628</v>
      </c>
      <c r="H289" s="0" t="s">
        <v>625</v>
      </c>
      <c r="I289" s="0" t="s">
        <v>626</v>
      </c>
      <c r="J289" s="0" t="s">
        <v>627</v>
      </c>
      <c r="K289" s="475" t="n">
        <v>36831</v>
      </c>
      <c r="L289" s="254" t="n">
        <v>-123011.946510946</v>
      </c>
      <c r="M289" s="475" t="n">
        <v>36829</v>
      </c>
      <c r="N289" s="0" t="s">
        <v>136</v>
      </c>
      <c r="O289" s="0" t="n">
        <v>1.5</v>
      </c>
      <c r="P289" s="0" t="n">
        <v>0</v>
      </c>
      <c r="Q289" s="0" t="n">
        <v>0</v>
      </c>
      <c r="R289" s="0" t="n">
        <v>0</v>
      </c>
      <c r="S289" s="0" t="n">
        <v>0</v>
      </c>
      <c r="T289" s="0" t="s">
        <v>624</v>
      </c>
      <c r="U289" s="0" t="s">
        <v>149</v>
      </c>
      <c r="V289" s="0" t="s">
        <v>624</v>
      </c>
      <c r="W289" s="0" t="s">
        <v>569</v>
      </c>
      <c r="X289" s="0" t="s">
        <v>624</v>
      </c>
      <c r="Y289" s="0" t="s">
        <v>627</v>
      </c>
      <c r="Z289" s="0" t="s">
        <v>629</v>
      </c>
      <c r="AA289" s="0" t="s">
        <v>624</v>
      </c>
      <c r="AB289" s="0" t="s">
        <v>132</v>
      </c>
      <c r="AC289" s="254" t="n">
        <v>-2000000</v>
      </c>
      <c r="AD289" s="254" t="n">
        <v>-52401.4551775209</v>
      </c>
      <c r="AE289" s="0" t="n">
        <v>0</v>
      </c>
      <c r="AF289" s="0" t="n">
        <v>0</v>
      </c>
      <c r="AG289" s="0" t="n">
        <v>0</v>
      </c>
      <c r="AH289" s="254" t="n">
        <v>-16481.3373155915</v>
      </c>
      <c r="AI289" s="0" t="n">
        <v>226</v>
      </c>
      <c r="AJ289" s="0" t="s">
        <v>630</v>
      </c>
      <c r="AK289" s="0" t="n">
        <v>0</v>
      </c>
      <c r="AL289" s="0" t="n">
        <v>0</v>
      </c>
      <c r="AM289" s="0" t="n">
        <v>0</v>
      </c>
    </row>
    <row r="290" customFormat="false" ht="12.75" hidden="false" customHeight="false" outlineLevel="0" collapsed="false">
      <c r="A290" s="0" t="s">
        <v>621</v>
      </c>
      <c r="B290" s="0" t="s">
        <v>299</v>
      </c>
      <c r="C290" s="0" t="s">
        <v>622</v>
      </c>
      <c r="D290" s="0" t="s">
        <v>623</v>
      </c>
      <c r="E290" s="0" t="s">
        <v>131</v>
      </c>
      <c r="F290" s="0" t="s">
        <v>216</v>
      </c>
      <c r="G290" s="0" t="s">
        <v>628</v>
      </c>
      <c r="H290" s="0" t="s">
        <v>625</v>
      </c>
      <c r="I290" s="0" t="s">
        <v>626</v>
      </c>
      <c r="J290" s="0" t="s">
        <v>627</v>
      </c>
      <c r="K290" s="475" t="n">
        <v>36831</v>
      </c>
      <c r="L290" s="254" t="n">
        <v>61505.9732554729</v>
      </c>
      <c r="M290" s="475" t="n">
        <v>36829</v>
      </c>
      <c r="N290" s="0" t="s">
        <v>136</v>
      </c>
      <c r="O290" s="0" t="n">
        <v>1.5</v>
      </c>
      <c r="P290" s="0" t="n">
        <v>0</v>
      </c>
      <c r="Q290" s="0" t="n">
        <v>0</v>
      </c>
      <c r="R290" s="0" t="n">
        <v>0</v>
      </c>
      <c r="S290" s="0" t="n">
        <v>0</v>
      </c>
      <c r="T290" s="0" t="s">
        <v>624</v>
      </c>
      <c r="U290" s="0" t="s">
        <v>149</v>
      </c>
      <c r="V290" s="0" t="s">
        <v>624</v>
      </c>
      <c r="W290" s="0" t="s">
        <v>569</v>
      </c>
      <c r="X290" s="0" t="s">
        <v>624</v>
      </c>
      <c r="Y290" s="0" t="s">
        <v>627</v>
      </c>
      <c r="Z290" s="0" t="s">
        <v>629</v>
      </c>
      <c r="AA290" s="0" t="s">
        <v>624</v>
      </c>
      <c r="AB290" s="0" t="s">
        <v>132</v>
      </c>
      <c r="AC290" s="254" t="n">
        <v>1000000</v>
      </c>
      <c r="AD290" s="254" t="n">
        <v>26200.7275887605</v>
      </c>
      <c r="AE290" s="0" t="n">
        <v>0</v>
      </c>
      <c r="AF290" s="0" t="n">
        <v>0</v>
      </c>
      <c r="AG290" s="0" t="n">
        <v>0</v>
      </c>
      <c r="AH290" s="254" t="n">
        <v>8240.66865779577</v>
      </c>
      <c r="AI290" s="0" t="n">
        <v>226</v>
      </c>
      <c r="AJ290" s="0" t="s">
        <v>630</v>
      </c>
      <c r="AK290" s="0" t="n">
        <v>0</v>
      </c>
      <c r="AL290" s="0" t="n">
        <v>0</v>
      </c>
      <c r="AM290" s="0" t="n">
        <v>0</v>
      </c>
    </row>
    <row r="291" customFormat="false" ht="12.75" hidden="false" customHeight="false" outlineLevel="0" collapsed="false">
      <c r="A291" s="0" t="s">
        <v>621</v>
      </c>
      <c r="B291" s="0" t="s">
        <v>300</v>
      </c>
      <c r="C291" s="0" t="s">
        <v>622</v>
      </c>
      <c r="D291" s="0" t="s">
        <v>623</v>
      </c>
      <c r="E291" s="0" t="s">
        <v>131</v>
      </c>
      <c r="F291" s="0" t="s">
        <v>198</v>
      </c>
      <c r="G291" s="0" t="s">
        <v>628</v>
      </c>
      <c r="H291" s="0" t="s">
        <v>625</v>
      </c>
      <c r="I291" s="0" t="s">
        <v>626</v>
      </c>
      <c r="J291" s="0" t="s">
        <v>627</v>
      </c>
      <c r="K291" s="475" t="n">
        <v>36982</v>
      </c>
      <c r="L291" s="254" t="n">
        <v>-74548.0841619564</v>
      </c>
      <c r="M291" s="475" t="n">
        <v>36979</v>
      </c>
      <c r="N291" s="0" t="s">
        <v>136</v>
      </c>
      <c r="O291" s="0" t="n">
        <v>0.7</v>
      </c>
      <c r="P291" s="0" t="n">
        <v>0</v>
      </c>
      <c r="Q291" s="0" t="n">
        <v>0</v>
      </c>
      <c r="R291" s="0" t="n">
        <v>0</v>
      </c>
      <c r="S291" s="0" t="n">
        <v>0</v>
      </c>
      <c r="T291" s="0" t="s">
        <v>624</v>
      </c>
      <c r="U291" s="0" t="s">
        <v>149</v>
      </c>
      <c r="V291" s="0" t="s">
        <v>624</v>
      </c>
      <c r="W291" s="0" t="s">
        <v>569</v>
      </c>
      <c r="X291" s="0" t="s">
        <v>624</v>
      </c>
      <c r="Y291" s="0" t="s">
        <v>627</v>
      </c>
      <c r="Z291" s="0" t="s">
        <v>629</v>
      </c>
      <c r="AA291" s="0" t="s">
        <v>624</v>
      </c>
      <c r="AB291" s="0" t="s">
        <v>132</v>
      </c>
      <c r="AC291" s="254" t="n">
        <v>-1000000</v>
      </c>
      <c r="AD291" s="254" t="n">
        <v>-21902.4850963094</v>
      </c>
      <c r="AE291" s="0" t="n">
        <v>0</v>
      </c>
      <c r="AF291" s="0" t="n">
        <v>0</v>
      </c>
      <c r="AG291" s="0" t="n">
        <v>0</v>
      </c>
      <c r="AH291" s="254" t="n">
        <v>-1042.24908708215</v>
      </c>
      <c r="AI291" s="0" t="n">
        <v>226</v>
      </c>
      <c r="AJ291" s="0" t="s">
        <v>630</v>
      </c>
      <c r="AK291" s="0" t="n">
        <v>0</v>
      </c>
      <c r="AL291" s="0" t="n">
        <v>0</v>
      </c>
      <c r="AM291" s="0" t="n">
        <v>0</v>
      </c>
    </row>
    <row r="292" customFormat="false" ht="12.75" hidden="false" customHeight="false" outlineLevel="0" collapsed="false">
      <c r="A292" s="0" t="s">
        <v>621</v>
      </c>
      <c r="B292" s="0" t="s">
        <v>302</v>
      </c>
      <c r="C292" s="0" t="s">
        <v>622</v>
      </c>
      <c r="D292" s="0" t="s">
        <v>623</v>
      </c>
      <c r="E292" s="0" t="s">
        <v>131</v>
      </c>
      <c r="F292" s="0" t="s">
        <v>301</v>
      </c>
      <c r="G292" s="0" t="s">
        <v>628</v>
      </c>
      <c r="H292" s="0" t="s">
        <v>625</v>
      </c>
      <c r="I292" s="0" t="s">
        <v>626</v>
      </c>
      <c r="J292" s="0" t="s">
        <v>627</v>
      </c>
      <c r="K292" s="475" t="n">
        <v>36982</v>
      </c>
      <c r="L292" s="254" t="n">
        <v>-156550.976740108</v>
      </c>
      <c r="M292" s="475" t="n">
        <v>36979</v>
      </c>
      <c r="N292" s="0" t="s">
        <v>136</v>
      </c>
      <c r="O292" s="0" t="n">
        <v>0.7</v>
      </c>
      <c r="P292" s="0" t="n">
        <v>0</v>
      </c>
      <c r="Q292" s="0" t="n">
        <v>0</v>
      </c>
      <c r="R292" s="0" t="n">
        <v>0</v>
      </c>
      <c r="S292" s="0" t="n">
        <v>0</v>
      </c>
      <c r="T292" s="0" t="s">
        <v>624</v>
      </c>
      <c r="U292" s="0" t="s">
        <v>149</v>
      </c>
      <c r="V292" s="0" t="s">
        <v>624</v>
      </c>
      <c r="W292" s="0" t="s">
        <v>569</v>
      </c>
      <c r="X292" s="0" t="s">
        <v>624</v>
      </c>
      <c r="Y292" s="0" t="s">
        <v>627</v>
      </c>
      <c r="Z292" s="0" t="s">
        <v>629</v>
      </c>
      <c r="AA292" s="0" t="s">
        <v>624</v>
      </c>
      <c r="AB292" s="0" t="s">
        <v>132</v>
      </c>
      <c r="AC292" s="254" t="n">
        <v>-2100000</v>
      </c>
      <c r="AD292" s="254" t="n">
        <v>-45995.2187022497</v>
      </c>
      <c r="AE292" s="0" t="n">
        <v>0</v>
      </c>
      <c r="AF292" s="0" t="n">
        <v>0</v>
      </c>
      <c r="AG292" s="0" t="n">
        <v>0</v>
      </c>
      <c r="AH292" s="254" t="n">
        <v>-2188.72308287252</v>
      </c>
      <c r="AI292" s="0" t="n">
        <v>226</v>
      </c>
      <c r="AJ292" s="0" t="s">
        <v>630</v>
      </c>
      <c r="AK292" s="0" t="n">
        <v>0</v>
      </c>
      <c r="AL292" s="0" t="n">
        <v>0</v>
      </c>
      <c r="AM292" s="0" t="n">
        <v>0</v>
      </c>
    </row>
    <row r="293" customFormat="false" ht="12.75" hidden="false" customHeight="false" outlineLevel="0" collapsed="false">
      <c r="A293" s="0" t="s">
        <v>621</v>
      </c>
      <c r="B293" s="0" t="s">
        <v>303</v>
      </c>
      <c r="C293" s="0" t="s">
        <v>622</v>
      </c>
      <c r="D293" s="0" t="s">
        <v>623</v>
      </c>
      <c r="E293" s="0" t="s">
        <v>131</v>
      </c>
      <c r="F293" s="0" t="s">
        <v>210</v>
      </c>
      <c r="G293" s="0" t="s">
        <v>628</v>
      </c>
      <c r="H293" s="0" t="s">
        <v>625</v>
      </c>
      <c r="I293" s="0" t="s">
        <v>626</v>
      </c>
      <c r="J293" s="0" t="s">
        <v>627</v>
      </c>
      <c r="K293" s="475" t="n">
        <v>36951</v>
      </c>
      <c r="L293" s="254" t="n">
        <v>318204.054158156</v>
      </c>
      <c r="M293" s="475" t="n">
        <v>36949</v>
      </c>
      <c r="N293" s="0" t="s">
        <v>132</v>
      </c>
      <c r="O293" s="0" t="n">
        <v>0.75</v>
      </c>
      <c r="P293" s="0" t="n">
        <v>0</v>
      </c>
      <c r="Q293" s="0" t="n">
        <v>0</v>
      </c>
      <c r="R293" s="0" t="n">
        <v>0</v>
      </c>
      <c r="S293" s="0" t="n">
        <v>0</v>
      </c>
      <c r="T293" s="0" t="s">
        <v>624</v>
      </c>
      <c r="U293" s="0" t="s">
        <v>149</v>
      </c>
      <c r="V293" s="0" t="s">
        <v>624</v>
      </c>
      <c r="W293" s="0" t="s">
        <v>569</v>
      </c>
      <c r="X293" s="0" t="s">
        <v>624</v>
      </c>
      <c r="Y293" s="0" t="s">
        <v>627</v>
      </c>
      <c r="Z293" s="0" t="s">
        <v>629</v>
      </c>
      <c r="AA293" s="0" t="s">
        <v>624</v>
      </c>
      <c r="AB293" s="0" t="s">
        <v>132</v>
      </c>
      <c r="AC293" s="254" t="n">
        <v>930000</v>
      </c>
      <c r="AD293" s="254" t="n">
        <v>81300.8817408441</v>
      </c>
      <c r="AE293" s="0" t="n">
        <v>0</v>
      </c>
      <c r="AF293" s="0" t="n">
        <v>0</v>
      </c>
      <c r="AG293" s="0" t="n">
        <v>0</v>
      </c>
      <c r="AH293" s="254" t="n">
        <v>-15193.6140650724</v>
      </c>
      <c r="AI293" s="0" t="n">
        <v>226</v>
      </c>
      <c r="AJ293" s="0" t="s">
        <v>630</v>
      </c>
      <c r="AK293" s="0" t="n">
        <v>0</v>
      </c>
      <c r="AL293" s="0" t="n">
        <v>0</v>
      </c>
      <c r="AM293" s="0" t="n">
        <v>0</v>
      </c>
    </row>
    <row r="294" customFormat="false" ht="12.75" hidden="false" customHeight="false" outlineLevel="0" collapsed="false">
      <c r="A294" s="0" t="s">
        <v>621</v>
      </c>
      <c r="B294" s="0" t="s">
        <v>303</v>
      </c>
      <c r="C294" s="0" t="s">
        <v>622</v>
      </c>
      <c r="D294" s="0" t="s">
        <v>623</v>
      </c>
      <c r="E294" s="0" t="s">
        <v>131</v>
      </c>
      <c r="F294" s="0" t="s">
        <v>210</v>
      </c>
      <c r="G294" s="0" t="s">
        <v>628</v>
      </c>
      <c r="H294" s="0" t="s">
        <v>625</v>
      </c>
      <c r="I294" s="0" t="s">
        <v>626</v>
      </c>
      <c r="J294" s="0" t="s">
        <v>627</v>
      </c>
      <c r="K294" s="475" t="n">
        <v>36923</v>
      </c>
      <c r="L294" s="254" t="n">
        <v>117808.739346746</v>
      </c>
      <c r="M294" s="475" t="n">
        <v>36921</v>
      </c>
      <c r="N294" s="0" t="s">
        <v>132</v>
      </c>
      <c r="O294" s="0" t="n">
        <v>0.75</v>
      </c>
      <c r="P294" s="0" t="n">
        <v>0</v>
      </c>
      <c r="Q294" s="0" t="n">
        <v>0</v>
      </c>
      <c r="R294" s="0" t="n">
        <v>0</v>
      </c>
      <c r="S294" s="0" t="n">
        <v>0</v>
      </c>
      <c r="T294" s="0" t="s">
        <v>624</v>
      </c>
      <c r="U294" s="0" t="s">
        <v>149</v>
      </c>
      <c r="V294" s="0" t="s">
        <v>624</v>
      </c>
      <c r="W294" s="0" t="s">
        <v>569</v>
      </c>
      <c r="X294" s="0" t="s">
        <v>624</v>
      </c>
      <c r="Y294" s="0" t="s">
        <v>627</v>
      </c>
      <c r="Z294" s="0" t="s">
        <v>629</v>
      </c>
      <c r="AA294" s="0" t="s">
        <v>624</v>
      </c>
      <c r="AB294" s="0" t="s">
        <v>132</v>
      </c>
      <c r="AC294" s="254" t="n">
        <v>840000</v>
      </c>
      <c r="AD294" s="254" t="n">
        <v>51634.4401376773</v>
      </c>
      <c r="AE294" s="0" t="n">
        <v>0</v>
      </c>
      <c r="AF294" s="0" t="n">
        <v>0</v>
      </c>
      <c r="AG294" s="0" t="n">
        <v>0</v>
      </c>
      <c r="AH294" s="254" t="n">
        <v>-6305.62978756661</v>
      </c>
      <c r="AI294" s="0" t="n">
        <v>226</v>
      </c>
      <c r="AJ294" s="0" t="s">
        <v>630</v>
      </c>
      <c r="AK294" s="0" t="n">
        <v>0</v>
      </c>
      <c r="AL294" s="0" t="n">
        <v>0</v>
      </c>
      <c r="AM294" s="0" t="n">
        <v>0</v>
      </c>
    </row>
    <row r="295" customFormat="false" ht="12.75" hidden="false" customHeight="false" outlineLevel="0" collapsed="false">
      <c r="A295" s="0" t="s">
        <v>621</v>
      </c>
      <c r="B295" s="0" t="s">
        <v>303</v>
      </c>
      <c r="C295" s="0" t="s">
        <v>622</v>
      </c>
      <c r="D295" s="0" t="s">
        <v>623</v>
      </c>
      <c r="E295" s="0" t="s">
        <v>131</v>
      </c>
      <c r="F295" s="0" t="s">
        <v>210</v>
      </c>
      <c r="G295" s="0" t="s">
        <v>628</v>
      </c>
      <c r="H295" s="0" t="s">
        <v>625</v>
      </c>
      <c r="I295" s="0" t="s">
        <v>626</v>
      </c>
      <c r="J295" s="0" t="s">
        <v>627</v>
      </c>
      <c r="K295" s="475" t="n">
        <v>36892</v>
      </c>
      <c r="L295" s="254" t="n">
        <v>102987.91118815</v>
      </c>
      <c r="M295" s="475" t="n">
        <v>36888</v>
      </c>
      <c r="N295" s="0" t="s">
        <v>132</v>
      </c>
      <c r="O295" s="0" t="n">
        <v>0.75</v>
      </c>
      <c r="P295" s="0" t="n">
        <v>0</v>
      </c>
      <c r="Q295" s="0" t="n">
        <v>0</v>
      </c>
      <c r="R295" s="0" t="n">
        <v>0</v>
      </c>
      <c r="S295" s="0" t="n">
        <v>0</v>
      </c>
      <c r="T295" s="0" t="s">
        <v>624</v>
      </c>
      <c r="U295" s="0" t="s">
        <v>149</v>
      </c>
      <c r="V295" s="0" t="s">
        <v>624</v>
      </c>
      <c r="W295" s="0" t="s">
        <v>569</v>
      </c>
      <c r="X295" s="0" t="s">
        <v>624</v>
      </c>
      <c r="Y295" s="0" t="s">
        <v>627</v>
      </c>
      <c r="Z295" s="0" t="s">
        <v>629</v>
      </c>
      <c r="AA295" s="0" t="s">
        <v>624</v>
      </c>
      <c r="AB295" s="0" t="s">
        <v>132</v>
      </c>
      <c r="AC295" s="254" t="n">
        <v>930000</v>
      </c>
      <c r="AD295" s="254" t="n">
        <v>47409.3014864759</v>
      </c>
      <c r="AE295" s="0" t="n">
        <v>0</v>
      </c>
      <c r="AF295" s="0" t="n">
        <v>0</v>
      </c>
      <c r="AG295" s="0" t="n">
        <v>0</v>
      </c>
      <c r="AH295" s="254" t="n">
        <v>-4967.89743043967</v>
      </c>
      <c r="AI295" s="0" t="n">
        <v>226</v>
      </c>
      <c r="AJ295" s="0" t="s">
        <v>630</v>
      </c>
      <c r="AK295" s="0" t="n">
        <v>0</v>
      </c>
      <c r="AL295" s="0" t="n">
        <v>0</v>
      </c>
      <c r="AM295" s="0" t="n">
        <v>0</v>
      </c>
    </row>
    <row r="296" customFormat="false" ht="12.75" hidden="false" customHeight="false" outlineLevel="0" collapsed="false">
      <c r="A296" s="0" t="s">
        <v>621</v>
      </c>
      <c r="B296" s="0" t="s">
        <v>303</v>
      </c>
      <c r="C296" s="0" t="s">
        <v>622</v>
      </c>
      <c r="D296" s="0" t="s">
        <v>623</v>
      </c>
      <c r="E296" s="0" t="s">
        <v>131</v>
      </c>
      <c r="F296" s="0" t="s">
        <v>210</v>
      </c>
      <c r="G296" s="0" t="s">
        <v>628</v>
      </c>
      <c r="H296" s="0" t="s">
        <v>625</v>
      </c>
      <c r="I296" s="0" t="s">
        <v>626</v>
      </c>
      <c r="J296" s="0" t="s">
        <v>627</v>
      </c>
      <c r="K296" s="475" t="n">
        <v>36861</v>
      </c>
      <c r="L296" s="254" t="n">
        <v>137562.796209284</v>
      </c>
      <c r="M296" s="475" t="n">
        <v>36859</v>
      </c>
      <c r="N296" s="0" t="s">
        <v>132</v>
      </c>
      <c r="O296" s="0" t="n">
        <v>0.75</v>
      </c>
      <c r="P296" s="0" t="n">
        <v>0</v>
      </c>
      <c r="Q296" s="0" t="n">
        <v>0</v>
      </c>
      <c r="R296" s="0" t="n">
        <v>0</v>
      </c>
      <c r="S296" s="0" t="n">
        <v>0</v>
      </c>
      <c r="T296" s="0" t="s">
        <v>624</v>
      </c>
      <c r="U296" s="0" t="s">
        <v>149</v>
      </c>
      <c r="V296" s="0" t="s">
        <v>624</v>
      </c>
      <c r="W296" s="0" t="s">
        <v>569</v>
      </c>
      <c r="X296" s="0" t="s">
        <v>624</v>
      </c>
      <c r="Y296" s="0" t="s">
        <v>627</v>
      </c>
      <c r="Z296" s="0" t="s">
        <v>629</v>
      </c>
      <c r="AA296" s="0" t="s">
        <v>624</v>
      </c>
      <c r="AB296" s="0" t="s">
        <v>132</v>
      </c>
      <c r="AC296" s="254" t="n">
        <v>930000</v>
      </c>
      <c r="AD296" s="254" t="n">
        <v>51692.2646790754</v>
      </c>
      <c r="AE296" s="0" t="n">
        <v>0</v>
      </c>
      <c r="AF296" s="0" t="n">
        <v>0</v>
      </c>
      <c r="AG296" s="0" t="n">
        <v>0</v>
      </c>
      <c r="AH296" s="254" t="n">
        <v>-5587.50999700427</v>
      </c>
      <c r="AI296" s="0" t="n">
        <v>226</v>
      </c>
      <c r="AJ296" s="0" t="s">
        <v>630</v>
      </c>
      <c r="AK296" s="0" t="n">
        <v>0</v>
      </c>
      <c r="AL296" s="0" t="n">
        <v>0</v>
      </c>
      <c r="AM296" s="0" t="n">
        <v>0</v>
      </c>
    </row>
    <row r="297" customFormat="false" ht="12.75" hidden="false" customHeight="false" outlineLevel="0" collapsed="false">
      <c r="A297" s="0" t="s">
        <v>621</v>
      </c>
      <c r="B297" s="0" t="s">
        <v>303</v>
      </c>
      <c r="C297" s="0" t="s">
        <v>622</v>
      </c>
      <c r="D297" s="0" t="s">
        <v>623</v>
      </c>
      <c r="E297" s="0" t="s">
        <v>131</v>
      </c>
      <c r="F297" s="0" t="s">
        <v>210</v>
      </c>
      <c r="G297" s="0" t="s">
        <v>628</v>
      </c>
      <c r="H297" s="0" t="s">
        <v>625</v>
      </c>
      <c r="I297" s="0" t="s">
        <v>626</v>
      </c>
      <c r="J297" s="0" t="s">
        <v>627</v>
      </c>
      <c r="K297" s="475" t="n">
        <v>36831</v>
      </c>
      <c r="L297" s="254" t="n">
        <v>224656.10332597</v>
      </c>
      <c r="M297" s="475" t="n">
        <v>36829</v>
      </c>
      <c r="N297" s="0" t="s">
        <v>132</v>
      </c>
      <c r="O297" s="0" t="n">
        <v>0.75</v>
      </c>
      <c r="P297" s="0" t="n">
        <v>0</v>
      </c>
      <c r="Q297" s="0" t="n">
        <v>0</v>
      </c>
      <c r="R297" s="0" t="n">
        <v>0</v>
      </c>
      <c r="S297" s="0" t="n">
        <v>0</v>
      </c>
      <c r="T297" s="0" t="s">
        <v>624</v>
      </c>
      <c r="U297" s="0" t="s">
        <v>149</v>
      </c>
      <c r="V297" s="0" t="s">
        <v>624</v>
      </c>
      <c r="W297" s="0" t="s">
        <v>569</v>
      </c>
      <c r="X297" s="0" t="s">
        <v>624</v>
      </c>
      <c r="Y297" s="0" t="s">
        <v>627</v>
      </c>
      <c r="Z297" s="0" t="s">
        <v>629</v>
      </c>
      <c r="AA297" s="0" t="s">
        <v>624</v>
      </c>
      <c r="AB297" s="0" t="s">
        <v>132</v>
      </c>
      <c r="AC297" s="254" t="n">
        <v>900000</v>
      </c>
      <c r="AD297" s="254" t="n">
        <v>40635.5352148529</v>
      </c>
      <c r="AE297" s="0" t="n">
        <v>0</v>
      </c>
      <c r="AF297" s="0" t="n">
        <v>0</v>
      </c>
      <c r="AG297" s="0" t="n">
        <v>0</v>
      </c>
      <c r="AH297" s="254" t="n">
        <v>-14722.5179917468</v>
      </c>
      <c r="AI297" s="0" t="n">
        <v>226</v>
      </c>
      <c r="AJ297" s="0" t="s">
        <v>630</v>
      </c>
      <c r="AK297" s="0" t="n">
        <v>0</v>
      </c>
      <c r="AL297" s="0" t="n">
        <v>0</v>
      </c>
      <c r="AM297" s="0" t="n">
        <v>0</v>
      </c>
    </row>
    <row r="298" customFormat="false" ht="12.75" hidden="false" customHeight="false" outlineLevel="0" collapsed="false">
      <c r="A298" s="0" t="s">
        <v>621</v>
      </c>
      <c r="B298" s="0" t="s">
        <v>304</v>
      </c>
      <c r="C298" s="0" t="s">
        <v>622</v>
      </c>
      <c r="D298" s="0" t="s">
        <v>623</v>
      </c>
      <c r="E298" s="0" t="s">
        <v>131</v>
      </c>
      <c r="F298" s="0" t="s">
        <v>198</v>
      </c>
      <c r="G298" s="0" t="s">
        <v>628</v>
      </c>
      <c r="H298" s="0" t="s">
        <v>625</v>
      </c>
      <c r="I298" s="0" t="s">
        <v>626</v>
      </c>
      <c r="J298" s="0" t="s">
        <v>627</v>
      </c>
      <c r="K298" s="475" t="n">
        <v>36800</v>
      </c>
      <c r="L298" s="254" t="n">
        <v>-758.923880181394</v>
      </c>
      <c r="M298" s="475" t="n">
        <v>36797</v>
      </c>
      <c r="N298" s="0" t="s">
        <v>136</v>
      </c>
      <c r="O298" s="0" t="n">
        <v>0.7</v>
      </c>
      <c r="P298" s="0" t="n">
        <v>0</v>
      </c>
      <c r="Q298" s="0" t="n">
        <v>0</v>
      </c>
      <c r="R298" s="0" t="n">
        <v>0</v>
      </c>
      <c r="S298" s="0" t="n">
        <v>0</v>
      </c>
      <c r="T298" s="0" t="s">
        <v>624</v>
      </c>
      <c r="U298" s="0" t="s">
        <v>149</v>
      </c>
      <c r="V298" s="0" t="s">
        <v>624</v>
      </c>
      <c r="W298" s="0" t="s">
        <v>569</v>
      </c>
      <c r="X298" s="0" t="s">
        <v>624</v>
      </c>
      <c r="Y298" s="0" t="s">
        <v>627</v>
      </c>
      <c r="Z298" s="0" t="s">
        <v>629</v>
      </c>
      <c r="AA298" s="0" t="s">
        <v>624</v>
      </c>
      <c r="AB298" s="0" t="s">
        <v>132</v>
      </c>
      <c r="AC298" s="254" t="n">
        <v>-1000000</v>
      </c>
      <c r="AD298" s="254" t="n">
        <v>-593.531025558143</v>
      </c>
      <c r="AE298" s="0" t="n">
        <v>0</v>
      </c>
      <c r="AF298" s="0" t="n">
        <v>0</v>
      </c>
      <c r="AG298" s="0" t="n">
        <v>0</v>
      </c>
      <c r="AH298" s="254" t="n">
        <v>-36.0331437836036</v>
      </c>
      <c r="AI298" s="0" t="n">
        <v>226</v>
      </c>
      <c r="AJ298" s="0" t="s">
        <v>630</v>
      </c>
      <c r="AK298" s="0" t="n">
        <v>0</v>
      </c>
      <c r="AL298" s="0" t="n">
        <v>0</v>
      </c>
      <c r="AM298" s="0" t="n">
        <v>0</v>
      </c>
    </row>
    <row r="299" customFormat="false" ht="12.75" hidden="false" customHeight="false" outlineLevel="0" collapsed="false">
      <c r="A299" s="0" t="s">
        <v>621</v>
      </c>
      <c r="B299" s="0" t="s">
        <v>305</v>
      </c>
      <c r="C299" s="0" t="s">
        <v>622</v>
      </c>
      <c r="D299" s="0" t="s">
        <v>623</v>
      </c>
      <c r="E299" s="0" t="s">
        <v>131</v>
      </c>
      <c r="F299" s="0" t="s">
        <v>198</v>
      </c>
      <c r="G299" s="0" t="s">
        <v>628</v>
      </c>
      <c r="H299" s="0" t="s">
        <v>625</v>
      </c>
      <c r="I299" s="0" t="s">
        <v>626</v>
      </c>
      <c r="J299" s="0" t="s">
        <v>627</v>
      </c>
      <c r="K299" s="475" t="n">
        <v>36800</v>
      </c>
      <c r="L299" s="254" t="n">
        <v>-758.923880181394</v>
      </c>
      <c r="M299" s="475" t="n">
        <v>36797</v>
      </c>
      <c r="N299" s="0" t="s">
        <v>136</v>
      </c>
      <c r="O299" s="0" t="n">
        <v>0.7</v>
      </c>
      <c r="P299" s="0" t="n">
        <v>0</v>
      </c>
      <c r="Q299" s="0" t="n">
        <v>0</v>
      </c>
      <c r="R299" s="0" t="n">
        <v>0</v>
      </c>
      <c r="S299" s="0" t="n">
        <v>0</v>
      </c>
      <c r="T299" s="0" t="s">
        <v>624</v>
      </c>
      <c r="U299" s="0" t="s">
        <v>149</v>
      </c>
      <c r="V299" s="0" t="s">
        <v>624</v>
      </c>
      <c r="W299" s="0" t="s">
        <v>569</v>
      </c>
      <c r="X299" s="0" t="s">
        <v>624</v>
      </c>
      <c r="Y299" s="0" t="s">
        <v>627</v>
      </c>
      <c r="Z299" s="0" t="s">
        <v>629</v>
      </c>
      <c r="AA299" s="0" t="s">
        <v>624</v>
      </c>
      <c r="AB299" s="0" t="s">
        <v>132</v>
      </c>
      <c r="AC299" s="254" t="n">
        <v>-1000000</v>
      </c>
      <c r="AD299" s="254" t="n">
        <v>-593.531025558143</v>
      </c>
      <c r="AE299" s="0" t="n">
        <v>0</v>
      </c>
      <c r="AF299" s="0" t="n">
        <v>0</v>
      </c>
      <c r="AG299" s="0" t="n">
        <v>0</v>
      </c>
      <c r="AH299" s="254" t="n">
        <v>-36.0331437836036</v>
      </c>
      <c r="AI299" s="0" t="n">
        <v>226</v>
      </c>
      <c r="AJ299" s="0" t="s">
        <v>630</v>
      </c>
      <c r="AK299" s="0" t="n">
        <v>0</v>
      </c>
      <c r="AL299" s="0" t="n">
        <v>0</v>
      </c>
      <c r="AM299" s="0" t="n">
        <v>0</v>
      </c>
    </row>
    <row r="300" customFormat="false" ht="12.75" hidden="false" customHeight="false" outlineLevel="0" collapsed="false">
      <c r="A300" s="0" t="s">
        <v>621</v>
      </c>
      <c r="B300" s="0" t="s">
        <v>306</v>
      </c>
      <c r="C300" s="0" t="s">
        <v>622</v>
      </c>
      <c r="D300" s="0" t="s">
        <v>623</v>
      </c>
      <c r="E300" s="0" t="s">
        <v>131</v>
      </c>
      <c r="F300" s="0" t="s">
        <v>198</v>
      </c>
      <c r="G300" s="0" t="s">
        <v>628</v>
      </c>
      <c r="H300" s="0" t="s">
        <v>625</v>
      </c>
      <c r="I300" s="0" t="s">
        <v>626</v>
      </c>
      <c r="J300" s="0" t="s">
        <v>627</v>
      </c>
      <c r="K300" s="475" t="n">
        <v>36800</v>
      </c>
      <c r="L300" s="254" t="n">
        <v>-758.923880181394</v>
      </c>
      <c r="M300" s="475" t="n">
        <v>36797</v>
      </c>
      <c r="N300" s="0" t="s">
        <v>136</v>
      </c>
      <c r="O300" s="0" t="n">
        <v>0.7</v>
      </c>
      <c r="P300" s="0" t="n">
        <v>0</v>
      </c>
      <c r="Q300" s="0" t="n">
        <v>0</v>
      </c>
      <c r="R300" s="0" t="n">
        <v>0</v>
      </c>
      <c r="S300" s="0" t="n">
        <v>0</v>
      </c>
      <c r="T300" s="0" t="s">
        <v>624</v>
      </c>
      <c r="U300" s="0" t="s">
        <v>149</v>
      </c>
      <c r="V300" s="0" t="s">
        <v>624</v>
      </c>
      <c r="W300" s="0" t="s">
        <v>569</v>
      </c>
      <c r="X300" s="0" t="s">
        <v>624</v>
      </c>
      <c r="Y300" s="0" t="s">
        <v>627</v>
      </c>
      <c r="Z300" s="0" t="s">
        <v>629</v>
      </c>
      <c r="AA300" s="0" t="s">
        <v>624</v>
      </c>
      <c r="AB300" s="0" t="s">
        <v>132</v>
      </c>
      <c r="AC300" s="254" t="n">
        <v>-1000000</v>
      </c>
      <c r="AD300" s="254" t="n">
        <v>-593.531025558143</v>
      </c>
      <c r="AE300" s="0" t="n">
        <v>0</v>
      </c>
      <c r="AF300" s="0" t="n">
        <v>0</v>
      </c>
      <c r="AG300" s="0" t="n">
        <v>0</v>
      </c>
      <c r="AH300" s="254" t="n">
        <v>-36.0331437836036</v>
      </c>
      <c r="AI300" s="0" t="n">
        <v>226</v>
      </c>
      <c r="AJ300" s="0" t="s">
        <v>630</v>
      </c>
      <c r="AK300" s="0" t="n">
        <v>0</v>
      </c>
      <c r="AL300" s="0" t="n">
        <v>0</v>
      </c>
      <c r="AM300" s="0" t="n">
        <v>0</v>
      </c>
    </row>
    <row r="301" customFormat="false" ht="12.75" hidden="false" customHeight="false" outlineLevel="0" collapsed="false">
      <c r="A301" s="0" t="s">
        <v>621</v>
      </c>
      <c r="B301" s="0" t="s">
        <v>307</v>
      </c>
      <c r="C301" s="0" t="s">
        <v>622</v>
      </c>
      <c r="D301" s="0" t="s">
        <v>623</v>
      </c>
      <c r="E301" s="0" t="s">
        <v>131</v>
      </c>
      <c r="F301" s="0" t="s">
        <v>212</v>
      </c>
      <c r="G301" s="0" t="s">
        <v>628</v>
      </c>
      <c r="H301" s="0" t="s">
        <v>625</v>
      </c>
      <c r="I301" s="0" t="s">
        <v>626</v>
      </c>
      <c r="J301" s="0" t="s">
        <v>627</v>
      </c>
      <c r="K301" s="475" t="n">
        <v>36951</v>
      </c>
      <c r="L301" s="254" t="n">
        <v>-90424.9956739147</v>
      </c>
      <c r="M301" s="475" t="n">
        <v>36949</v>
      </c>
      <c r="N301" s="0" t="s">
        <v>136</v>
      </c>
      <c r="O301" s="0" t="n">
        <v>1.75</v>
      </c>
      <c r="P301" s="0" t="n">
        <v>0</v>
      </c>
      <c r="Q301" s="0" t="n">
        <v>0</v>
      </c>
      <c r="R301" s="0" t="n">
        <v>0</v>
      </c>
      <c r="S301" s="0" t="n">
        <v>0</v>
      </c>
      <c r="T301" s="0" t="s">
        <v>624</v>
      </c>
      <c r="U301" s="0" t="s">
        <v>149</v>
      </c>
      <c r="V301" s="0" t="s">
        <v>624</v>
      </c>
      <c r="W301" s="0" t="s">
        <v>569</v>
      </c>
      <c r="X301" s="0" t="s">
        <v>624</v>
      </c>
      <c r="Y301" s="0" t="s">
        <v>627</v>
      </c>
      <c r="Z301" s="0" t="s">
        <v>629</v>
      </c>
      <c r="AA301" s="0" t="s">
        <v>624</v>
      </c>
      <c r="AB301" s="0" t="s">
        <v>132</v>
      </c>
      <c r="AC301" s="254" t="n">
        <v>-310000</v>
      </c>
      <c r="AD301" s="254" t="n">
        <v>-24004.437840873</v>
      </c>
      <c r="AE301" s="0" t="n">
        <v>0</v>
      </c>
      <c r="AF301" s="0" t="n">
        <v>0</v>
      </c>
      <c r="AG301" s="0" t="n">
        <v>0</v>
      </c>
      <c r="AH301" s="254" t="n">
        <v>-7715.67191581268</v>
      </c>
      <c r="AI301" s="0" t="n">
        <v>226</v>
      </c>
      <c r="AJ301" s="0" t="s">
        <v>630</v>
      </c>
      <c r="AK301" s="0" t="n">
        <v>0</v>
      </c>
      <c r="AL301" s="0" t="n">
        <v>0</v>
      </c>
      <c r="AM301" s="0" t="n">
        <v>0</v>
      </c>
    </row>
    <row r="302" customFormat="false" ht="12.75" hidden="false" customHeight="false" outlineLevel="0" collapsed="false">
      <c r="A302" s="0" t="s">
        <v>621</v>
      </c>
      <c r="B302" s="0" t="s">
        <v>307</v>
      </c>
      <c r="C302" s="0" t="s">
        <v>622</v>
      </c>
      <c r="D302" s="0" t="s">
        <v>623</v>
      </c>
      <c r="E302" s="0" t="s">
        <v>131</v>
      </c>
      <c r="F302" s="0" t="s">
        <v>212</v>
      </c>
      <c r="G302" s="0" t="s">
        <v>628</v>
      </c>
      <c r="H302" s="0" t="s">
        <v>625</v>
      </c>
      <c r="I302" s="0" t="s">
        <v>626</v>
      </c>
      <c r="J302" s="0" t="s">
        <v>627</v>
      </c>
      <c r="K302" s="475" t="n">
        <v>36923</v>
      </c>
      <c r="L302" s="254" t="n">
        <v>-232869.195569545</v>
      </c>
      <c r="M302" s="475" t="n">
        <v>36921</v>
      </c>
      <c r="N302" s="0" t="s">
        <v>136</v>
      </c>
      <c r="O302" s="0" t="n">
        <v>1.75</v>
      </c>
      <c r="P302" s="0" t="n">
        <v>0</v>
      </c>
      <c r="Q302" s="0" t="n">
        <v>0</v>
      </c>
      <c r="R302" s="0" t="n">
        <v>0</v>
      </c>
      <c r="S302" s="0" t="n">
        <v>0</v>
      </c>
      <c r="T302" s="0" t="s">
        <v>624</v>
      </c>
      <c r="U302" s="0" t="s">
        <v>149</v>
      </c>
      <c r="V302" s="0" t="s">
        <v>624</v>
      </c>
      <c r="W302" s="0" t="s">
        <v>569</v>
      </c>
      <c r="X302" s="0" t="s">
        <v>624</v>
      </c>
      <c r="Y302" s="0" t="s">
        <v>627</v>
      </c>
      <c r="Z302" s="0" t="s">
        <v>629</v>
      </c>
      <c r="AA302" s="0" t="s">
        <v>624</v>
      </c>
      <c r="AB302" s="0" t="s">
        <v>132</v>
      </c>
      <c r="AC302" s="254" t="n">
        <v>-280000</v>
      </c>
      <c r="AD302" s="254" t="n">
        <v>-23887.8146411997</v>
      </c>
      <c r="AE302" s="0" t="n">
        <v>0</v>
      </c>
      <c r="AF302" s="0" t="n">
        <v>0</v>
      </c>
      <c r="AG302" s="0" t="n">
        <v>0</v>
      </c>
      <c r="AH302" s="254" t="n">
        <v>-13059.8122249376</v>
      </c>
      <c r="AI302" s="0" t="n">
        <v>226</v>
      </c>
      <c r="AJ302" s="0" t="s">
        <v>630</v>
      </c>
      <c r="AK302" s="0" t="n">
        <v>0</v>
      </c>
      <c r="AL302" s="0" t="n">
        <v>0</v>
      </c>
      <c r="AM302" s="0" t="n">
        <v>0</v>
      </c>
    </row>
    <row r="303" customFormat="false" ht="12.75" hidden="false" customHeight="false" outlineLevel="0" collapsed="false">
      <c r="A303" s="0" t="s">
        <v>621</v>
      </c>
      <c r="B303" s="0" t="s">
        <v>307</v>
      </c>
      <c r="C303" s="0" t="s">
        <v>622</v>
      </c>
      <c r="D303" s="0" t="s">
        <v>623</v>
      </c>
      <c r="E303" s="0" t="s">
        <v>131</v>
      </c>
      <c r="F303" s="0" t="s">
        <v>212</v>
      </c>
      <c r="G303" s="0" t="s">
        <v>628</v>
      </c>
      <c r="H303" s="0" t="s">
        <v>625</v>
      </c>
      <c r="I303" s="0" t="s">
        <v>626</v>
      </c>
      <c r="J303" s="0" t="s">
        <v>627</v>
      </c>
      <c r="K303" s="475" t="n">
        <v>36892</v>
      </c>
      <c r="L303" s="254" t="n">
        <v>-262896.59651093</v>
      </c>
      <c r="M303" s="475" t="n">
        <v>36888</v>
      </c>
      <c r="N303" s="0" t="s">
        <v>136</v>
      </c>
      <c r="O303" s="0" t="n">
        <v>1.75</v>
      </c>
      <c r="P303" s="0" t="n">
        <v>0</v>
      </c>
      <c r="Q303" s="0" t="n">
        <v>0</v>
      </c>
      <c r="R303" s="0" t="n">
        <v>0</v>
      </c>
      <c r="S303" s="0" t="n">
        <v>0</v>
      </c>
      <c r="T303" s="0" t="s">
        <v>624</v>
      </c>
      <c r="U303" s="0" t="s">
        <v>149</v>
      </c>
      <c r="V303" s="0" t="s">
        <v>624</v>
      </c>
      <c r="W303" s="0" t="s">
        <v>569</v>
      </c>
      <c r="X303" s="0" t="s">
        <v>624</v>
      </c>
      <c r="Y303" s="0" t="s">
        <v>627</v>
      </c>
      <c r="Z303" s="0" t="s">
        <v>629</v>
      </c>
      <c r="AA303" s="0" t="s">
        <v>624</v>
      </c>
      <c r="AB303" s="0" t="s">
        <v>132</v>
      </c>
      <c r="AC303" s="254" t="n">
        <v>-310000</v>
      </c>
      <c r="AD303" s="254" t="n">
        <v>-23922.6954870331</v>
      </c>
      <c r="AE303" s="0" t="n">
        <v>0</v>
      </c>
      <c r="AF303" s="0" t="n">
        <v>0</v>
      </c>
      <c r="AG303" s="0" t="n">
        <v>0</v>
      </c>
      <c r="AH303" s="254" t="n">
        <v>-12865.2146218738</v>
      </c>
      <c r="AI303" s="0" t="n">
        <v>226</v>
      </c>
      <c r="AJ303" s="0" t="s">
        <v>630</v>
      </c>
      <c r="AK303" s="0" t="n">
        <v>0</v>
      </c>
      <c r="AL303" s="0" t="n">
        <v>0</v>
      </c>
      <c r="AM303" s="0" t="n">
        <v>0</v>
      </c>
    </row>
    <row r="304" customFormat="false" ht="12.75" hidden="false" customHeight="false" outlineLevel="0" collapsed="false">
      <c r="A304" s="0" t="s">
        <v>621</v>
      </c>
      <c r="B304" s="0" t="s">
        <v>307</v>
      </c>
      <c r="C304" s="0" t="s">
        <v>622</v>
      </c>
      <c r="D304" s="0" t="s">
        <v>623</v>
      </c>
      <c r="E304" s="0" t="s">
        <v>131</v>
      </c>
      <c r="F304" s="0" t="s">
        <v>212</v>
      </c>
      <c r="G304" s="0" t="s">
        <v>628</v>
      </c>
      <c r="H304" s="0" t="s">
        <v>625</v>
      </c>
      <c r="I304" s="0" t="s">
        <v>626</v>
      </c>
      <c r="J304" s="0" t="s">
        <v>627</v>
      </c>
      <c r="K304" s="475" t="n">
        <v>36861</v>
      </c>
      <c r="L304" s="254" t="n">
        <v>-146571.901708092</v>
      </c>
      <c r="M304" s="475" t="n">
        <v>36859</v>
      </c>
      <c r="N304" s="0" t="s">
        <v>136</v>
      </c>
      <c r="O304" s="0" t="n">
        <v>1.75</v>
      </c>
      <c r="P304" s="0" t="n">
        <v>0</v>
      </c>
      <c r="Q304" s="0" t="n">
        <v>0</v>
      </c>
      <c r="R304" s="0" t="n">
        <v>0</v>
      </c>
      <c r="S304" s="0" t="n">
        <v>0</v>
      </c>
      <c r="T304" s="0" t="s">
        <v>624</v>
      </c>
      <c r="U304" s="0" t="s">
        <v>149</v>
      </c>
      <c r="V304" s="0" t="s">
        <v>624</v>
      </c>
      <c r="W304" s="0" t="s">
        <v>569</v>
      </c>
      <c r="X304" s="0" t="s">
        <v>624</v>
      </c>
      <c r="Y304" s="0" t="s">
        <v>627</v>
      </c>
      <c r="Z304" s="0" t="s">
        <v>629</v>
      </c>
      <c r="AA304" s="0" t="s">
        <v>624</v>
      </c>
      <c r="AB304" s="0" t="s">
        <v>132</v>
      </c>
      <c r="AC304" s="254" t="n">
        <v>-310000</v>
      </c>
      <c r="AD304" s="254" t="n">
        <v>-21753.8377554042</v>
      </c>
      <c r="AE304" s="0" t="n">
        <v>0</v>
      </c>
      <c r="AF304" s="0" t="n">
        <v>0</v>
      </c>
      <c r="AG304" s="0" t="n">
        <v>0</v>
      </c>
      <c r="AH304" s="254" t="n">
        <v>-8014.83668957453</v>
      </c>
      <c r="AI304" s="0" t="n">
        <v>226</v>
      </c>
      <c r="AJ304" s="0" t="s">
        <v>630</v>
      </c>
      <c r="AK304" s="0" t="n">
        <v>0</v>
      </c>
      <c r="AL304" s="0" t="n">
        <v>0</v>
      </c>
      <c r="AM304" s="0" t="n">
        <v>0</v>
      </c>
    </row>
    <row r="305" customFormat="false" ht="12.75" hidden="false" customHeight="false" outlineLevel="0" collapsed="false">
      <c r="A305" s="0" t="s">
        <v>621</v>
      </c>
      <c r="B305" s="0" t="s">
        <v>307</v>
      </c>
      <c r="C305" s="0" t="s">
        <v>622</v>
      </c>
      <c r="D305" s="0" t="s">
        <v>623</v>
      </c>
      <c r="E305" s="0" t="s">
        <v>131</v>
      </c>
      <c r="F305" s="0" t="s">
        <v>212</v>
      </c>
      <c r="G305" s="0" t="s">
        <v>628</v>
      </c>
      <c r="H305" s="0" t="s">
        <v>625</v>
      </c>
      <c r="I305" s="0" t="s">
        <v>626</v>
      </c>
      <c r="J305" s="0" t="s">
        <v>627</v>
      </c>
      <c r="K305" s="475" t="n">
        <v>36831</v>
      </c>
      <c r="L305" s="254" t="n">
        <v>-10691.9415193339</v>
      </c>
      <c r="M305" s="475" t="n">
        <v>36829</v>
      </c>
      <c r="N305" s="0" t="s">
        <v>136</v>
      </c>
      <c r="O305" s="0" t="n">
        <v>1.75</v>
      </c>
      <c r="P305" s="0" t="n">
        <v>0</v>
      </c>
      <c r="Q305" s="0" t="n">
        <v>0</v>
      </c>
      <c r="R305" s="0" t="n">
        <v>0</v>
      </c>
      <c r="S305" s="0" t="n">
        <v>0</v>
      </c>
      <c r="T305" s="0" t="s">
        <v>624</v>
      </c>
      <c r="U305" s="0" t="s">
        <v>149</v>
      </c>
      <c r="V305" s="0" t="s">
        <v>624</v>
      </c>
      <c r="W305" s="0" t="s">
        <v>569</v>
      </c>
      <c r="X305" s="0" t="s">
        <v>624</v>
      </c>
      <c r="Y305" s="0" t="s">
        <v>627</v>
      </c>
      <c r="Z305" s="0" t="s">
        <v>629</v>
      </c>
      <c r="AA305" s="0" t="s">
        <v>624</v>
      </c>
      <c r="AB305" s="0" t="s">
        <v>132</v>
      </c>
      <c r="AC305" s="254" t="n">
        <v>-300000</v>
      </c>
      <c r="AD305" s="254" t="n">
        <v>-5584.79250663339</v>
      </c>
      <c r="AE305" s="0" t="n">
        <v>0</v>
      </c>
      <c r="AF305" s="0" t="n">
        <v>0</v>
      </c>
      <c r="AG305" s="0" t="n">
        <v>0</v>
      </c>
      <c r="AH305" s="254" t="n">
        <v>-1603.92050464606</v>
      </c>
      <c r="AI305" s="0" t="n">
        <v>226</v>
      </c>
      <c r="AJ305" s="0" t="s">
        <v>630</v>
      </c>
      <c r="AK305" s="0" t="n">
        <v>0</v>
      </c>
      <c r="AL305" s="0" t="n">
        <v>0</v>
      </c>
      <c r="AM305" s="0" t="n">
        <v>0</v>
      </c>
    </row>
    <row r="306" customFormat="false" ht="12.75" hidden="false" customHeight="false" outlineLevel="0" collapsed="false">
      <c r="A306" s="0" t="s">
        <v>621</v>
      </c>
      <c r="B306" s="0" t="s">
        <v>308</v>
      </c>
      <c r="C306" s="0" t="s">
        <v>622</v>
      </c>
      <c r="D306" s="0" t="s">
        <v>623</v>
      </c>
      <c r="E306" s="0" t="s">
        <v>131</v>
      </c>
      <c r="F306" s="0" t="s">
        <v>212</v>
      </c>
      <c r="G306" s="0" t="s">
        <v>628</v>
      </c>
      <c r="H306" s="0" t="s">
        <v>625</v>
      </c>
      <c r="I306" s="0" t="s">
        <v>626</v>
      </c>
      <c r="J306" s="0" t="s">
        <v>627</v>
      </c>
      <c r="K306" s="475" t="n">
        <v>36951</v>
      </c>
      <c r="L306" s="254" t="n">
        <v>48886.4006319538</v>
      </c>
      <c r="M306" s="475" t="n">
        <v>36949</v>
      </c>
      <c r="N306" s="0" t="s">
        <v>136</v>
      </c>
      <c r="O306" s="0" t="n">
        <v>2.5</v>
      </c>
      <c r="P306" s="0" t="n">
        <v>0</v>
      </c>
      <c r="Q306" s="0" t="n">
        <v>0</v>
      </c>
      <c r="R306" s="0" t="n">
        <v>0</v>
      </c>
      <c r="S306" s="0" t="n">
        <v>0</v>
      </c>
      <c r="T306" s="0" t="s">
        <v>624</v>
      </c>
      <c r="U306" s="0" t="s">
        <v>149</v>
      </c>
      <c r="V306" s="0" t="s">
        <v>624</v>
      </c>
      <c r="W306" s="0" t="s">
        <v>569</v>
      </c>
      <c r="X306" s="0" t="s">
        <v>624</v>
      </c>
      <c r="Y306" s="0" t="s">
        <v>627</v>
      </c>
      <c r="Z306" s="0" t="s">
        <v>629</v>
      </c>
      <c r="AA306" s="0" t="s">
        <v>624</v>
      </c>
      <c r="AB306" s="0" t="s">
        <v>132</v>
      </c>
      <c r="AC306" s="254" t="n">
        <v>310000</v>
      </c>
      <c r="AD306" s="254" t="n">
        <v>17765.6627083015</v>
      </c>
      <c r="AE306" s="0" t="n">
        <v>0</v>
      </c>
      <c r="AF306" s="0" t="n">
        <v>0</v>
      </c>
      <c r="AG306" s="0" t="n">
        <v>0</v>
      </c>
      <c r="AH306" s="254" t="n">
        <v>4861.23334067523</v>
      </c>
      <c r="AI306" s="0" t="n">
        <v>226</v>
      </c>
      <c r="AJ306" s="0" t="s">
        <v>630</v>
      </c>
      <c r="AK306" s="0" t="n">
        <v>0</v>
      </c>
      <c r="AL306" s="0" t="n">
        <v>0</v>
      </c>
      <c r="AM306" s="0" t="n">
        <v>0</v>
      </c>
    </row>
    <row r="307" customFormat="false" ht="12.75" hidden="false" customHeight="false" outlineLevel="0" collapsed="false">
      <c r="A307" s="0" t="s">
        <v>621</v>
      </c>
      <c r="B307" s="0" t="s">
        <v>308</v>
      </c>
      <c r="C307" s="0" t="s">
        <v>622</v>
      </c>
      <c r="D307" s="0" t="s">
        <v>623</v>
      </c>
      <c r="E307" s="0" t="s">
        <v>131</v>
      </c>
      <c r="F307" s="0" t="s">
        <v>212</v>
      </c>
      <c r="G307" s="0" t="s">
        <v>628</v>
      </c>
      <c r="H307" s="0" t="s">
        <v>625</v>
      </c>
      <c r="I307" s="0" t="s">
        <v>626</v>
      </c>
      <c r="J307" s="0" t="s">
        <v>627</v>
      </c>
      <c r="K307" s="475" t="n">
        <v>36923</v>
      </c>
      <c r="L307" s="254" t="n">
        <v>150386.951769508</v>
      </c>
      <c r="M307" s="475" t="n">
        <v>36921</v>
      </c>
      <c r="N307" s="0" t="s">
        <v>136</v>
      </c>
      <c r="O307" s="0" t="n">
        <v>2.5</v>
      </c>
      <c r="P307" s="0" t="n">
        <v>0</v>
      </c>
      <c r="Q307" s="0" t="n">
        <v>0</v>
      </c>
      <c r="R307" s="0" t="n">
        <v>0</v>
      </c>
      <c r="S307" s="0" t="n">
        <v>0</v>
      </c>
      <c r="T307" s="0" t="s">
        <v>624</v>
      </c>
      <c r="U307" s="0" t="s">
        <v>149</v>
      </c>
      <c r="V307" s="0" t="s">
        <v>624</v>
      </c>
      <c r="W307" s="0" t="s">
        <v>569</v>
      </c>
      <c r="X307" s="0" t="s">
        <v>624</v>
      </c>
      <c r="Y307" s="0" t="s">
        <v>627</v>
      </c>
      <c r="Z307" s="0" t="s">
        <v>629</v>
      </c>
      <c r="AA307" s="0" t="s">
        <v>624</v>
      </c>
      <c r="AB307" s="0" t="s">
        <v>132</v>
      </c>
      <c r="AC307" s="254" t="n">
        <v>280000</v>
      </c>
      <c r="AD307" s="254" t="n">
        <v>23175.488626136</v>
      </c>
      <c r="AE307" s="0" t="n">
        <v>0</v>
      </c>
      <c r="AF307" s="0" t="n">
        <v>0</v>
      </c>
      <c r="AG307" s="0" t="n">
        <v>0</v>
      </c>
      <c r="AH307" s="254" t="n">
        <v>9934.57825385733</v>
      </c>
      <c r="AI307" s="0" t="n">
        <v>226</v>
      </c>
      <c r="AJ307" s="0" t="s">
        <v>630</v>
      </c>
      <c r="AK307" s="0" t="n">
        <v>0</v>
      </c>
      <c r="AL307" s="0" t="n">
        <v>0</v>
      </c>
      <c r="AM307" s="0" t="n">
        <v>0</v>
      </c>
    </row>
    <row r="308" customFormat="false" ht="12.75" hidden="false" customHeight="false" outlineLevel="0" collapsed="false">
      <c r="A308" s="0" t="s">
        <v>621</v>
      </c>
      <c r="B308" s="0" t="s">
        <v>308</v>
      </c>
      <c r="C308" s="0" t="s">
        <v>622</v>
      </c>
      <c r="D308" s="0" t="s">
        <v>623</v>
      </c>
      <c r="E308" s="0" t="s">
        <v>131</v>
      </c>
      <c r="F308" s="0" t="s">
        <v>212</v>
      </c>
      <c r="G308" s="0" t="s">
        <v>628</v>
      </c>
      <c r="H308" s="0" t="s">
        <v>625</v>
      </c>
      <c r="I308" s="0" t="s">
        <v>626</v>
      </c>
      <c r="J308" s="0" t="s">
        <v>627</v>
      </c>
      <c r="K308" s="475" t="n">
        <v>36892</v>
      </c>
      <c r="L308" s="254" t="n">
        <v>164878.492230989</v>
      </c>
      <c r="M308" s="475" t="n">
        <v>36888</v>
      </c>
      <c r="N308" s="0" t="s">
        <v>136</v>
      </c>
      <c r="O308" s="0" t="n">
        <v>2.5</v>
      </c>
      <c r="P308" s="0" t="n">
        <v>0</v>
      </c>
      <c r="Q308" s="0" t="n">
        <v>0</v>
      </c>
      <c r="R308" s="0" t="n">
        <v>0</v>
      </c>
      <c r="S308" s="0" t="n">
        <v>0</v>
      </c>
      <c r="T308" s="0" t="s">
        <v>624</v>
      </c>
      <c r="U308" s="0" t="s">
        <v>149</v>
      </c>
      <c r="V308" s="0" t="s">
        <v>624</v>
      </c>
      <c r="W308" s="0" t="s">
        <v>569</v>
      </c>
      <c r="X308" s="0" t="s">
        <v>624</v>
      </c>
      <c r="Y308" s="0" t="s">
        <v>627</v>
      </c>
      <c r="Z308" s="0" t="s">
        <v>629</v>
      </c>
      <c r="AA308" s="0" t="s">
        <v>624</v>
      </c>
      <c r="AB308" s="0" t="s">
        <v>132</v>
      </c>
      <c r="AC308" s="254" t="n">
        <v>310000</v>
      </c>
      <c r="AD308" s="254" t="n">
        <v>23672.1675476593</v>
      </c>
      <c r="AE308" s="0" t="n">
        <v>0</v>
      </c>
      <c r="AF308" s="0" t="n">
        <v>0</v>
      </c>
      <c r="AG308" s="0" t="n">
        <v>0</v>
      </c>
      <c r="AH308" s="254" t="n">
        <v>9697.6778801136</v>
      </c>
      <c r="AI308" s="0" t="n">
        <v>226</v>
      </c>
      <c r="AJ308" s="0" t="s">
        <v>630</v>
      </c>
      <c r="AK308" s="0" t="n">
        <v>0</v>
      </c>
      <c r="AL308" s="0" t="n">
        <v>0</v>
      </c>
      <c r="AM308" s="0" t="n">
        <v>0</v>
      </c>
    </row>
    <row r="309" customFormat="false" ht="12.75" hidden="false" customHeight="false" outlineLevel="0" collapsed="false">
      <c r="A309" s="0" t="s">
        <v>621</v>
      </c>
      <c r="B309" s="0" t="s">
        <v>308</v>
      </c>
      <c r="C309" s="0" t="s">
        <v>622</v>
      </c>
      <c r="D309" s="0" t="s">
        <v>623</v>
      </c>
      <c r="E309" s="0" t="s">
        <v>131</v>
      </c>
      <c r="F309" s="0" t="s">
        <v>212</v>
      </c>
      <c r="G309" s="0" t="s">
        <v>628</v>
      </c>
      <c r="H309" s="0" t="s">
        <v>625</v>
      </c>
      <c r="I309" s="0" t="s">
        <v>626</v>
      </c>
      <c r="J309" s="0" t="s">
        <v>627</v>
      </c>
      <c r="K309" s="475" t="n">
        <v>36861</v>
      </c>
      <c r="L309" s="254" t="n">
        <v>76798.6311381724</v>
      </c>
      <c r="M309" s="475" t="n">
        <v>36859</v>
      </c>
      <c r="N309" s="0" t="s">
        <v>136</v>
      </c>
      <c r="O309" s="0" t="n">
        <v>2.5</v>
      </c>
      <c r="P309" s="0" t="n">
        <v>0</v>
      </c>
      <c r="Q309" s="0" t="n">
        <v>0</v>
      </c>
      <c r="R309" s="0" t="n">
        <v>0</v>
      </c>
      <c r="S309" s="0" t="n">
        <v>0</v>
      </c>
      <c r="T309" s="0" t="s">
        <v>624</v>
      </c>
      <c r="U309" s="0" t="s">
        <v>149</v>
      </c>
      <c r="V309" s="0" t="s">
        <v>624</v>
      </c>
      <c r="W309" s="0" t="s">
        <v>569</v>
      </c>
      <c r="X309" s="0" t="s">
        <v>624</v>
      </c>
      <c r="Y309" s="0" t="s">
        <v>627</v>
      </c>
      <c r="Z309" s="0" t="s">
        <v>629</v>
      </c>
      <c r="AA309" s="0" t="s">
        <v>624</v>
      </c>
      <c r="AB309" s="0" t="s">
        <v>132</v>
      </c>
      <c r="AC309" s="254" t="n">
        <v>310000</v>
      </c>
      <c r="AD309" s="254" t="n">
        <v>17988.3162265355</v>
      </c>
      <c r="AE309" s="0" t="n">
        <v>0</v>
      </c>
      <c r="AF309" s="0" t="n">
        <v>0</v>
      </c>
      <c r="AG309" s="0" t="n">
        <v>0</v>
      </c>
      <c r="AH309" s="254" t="n">
        <v>5205.36734977608</v>
      </c>
      <c r="AI309" s="0" t="n">
        <v>226</v>
      </c>
      <c r="AJ309" s="0" t="s">
        <v>630</v>
      </c>
      <c r="AK309" s="0" t="n">
        <v>0</v>
      </c>
      <c r="AL309" s="0" t="n">
        <v>0</v>
      </c>
      <c r="AM309" s="0" t="n">
        <v>0</v>
      </c>
    </row>
    <row r="310" customFormat="false" ht="12.75" hidden="false" customHeight="false" outlineLevel="0" collapsed="false">
      <c r="A310" s="0" t="s">
        <v>621</v>
      </c>
      <c r="B310" s="0" t="s">
        <v>308</v>
      </c>
      <c r="C310" s="0" t="s">
        <v>622</v>
      </c>
      <c r="D310" s="0" t="s">
        <v>623</v>
      </c>
      <c r="E310" s="0" t="s">
        <v>131</v>
      </c>
      <c r="F310" s="0" t="s">
        <v>212</v>
      </c>
      <c r="G310" s="0" t="s">
        <v>628</v>
      </c>
      <c r="H310" s="0" t="s">
        <v>625</v>
      </c>
      <c r="I310" s="0" t="s">
        <v>626</v>
      </c>
      <c r="J310" s="0" t="s">
        <v>627</v>
      </c>
      <c r="K310" s="475" t="n">
        <v>36831</v>
      </c>
      <c r="L310" s="254" t="n">
        <v>1931.86425285872</v>
      </c>
      <c r="M310" s="475" t="n">
        <v>36829</v>
      </c>
      <c r="N310" s="0" t="s">
        <v>136</v>
      </c>
      <c r="O310" s="0" t="n">
        <v>2.5</v>
      </c>
      <c r="P310" s="0" t="n">
        <v>0</v>
      </c>
      <c r="Q310" s="0" t="n">
        <v>0</v>
      </c>
      <c r="R310" s="0" t="n">
        <v>0</v>
      </c>
      <c r="S310" s="0" t="n">
        <v>0</v>
      </c>
      <c r="T310" s="0" t="s">
        <v>624</v>
      </c>
      <c r="U310" s="0" t="s">
        <v>149</v>
      </c>
      <c r="V310" s="0" t="s">
        <v>624</v>
      </c>
      <c r="W310" s="0" t="s">
        <v>569</v>
      </c>
      <c r="X310" s="0" t="s">
        <v>624</v>
      </c>
      <c r="Y310" s="0" t="s">
        <v>627</v>
      </c>
      <c r="Z310" s="0" t="s">
        <v>629</v>
      </c>
      <c r="AA310" s="0" t="s">
        <v>624</v>
      </c>
      <c r="AB310" s="0" t="s">
        <v>132</v>
      </c>
      <c r="AC310" s="254" t="n">
        <v>300000</v>
      </c>
      <c r="AD310" s="254" t="n">
        <v>1569.59200271751</v>
      </c>
      <c r="AE310" s="0" t="n">
        <v>0</v>
      </c>
      <c r="AF310" s="0" t="n">
        <v>0</v>
      </c>
      <c r="AG310" s="0" t="n">
        <v>0</v>
      </c>
      <c r="AH310" s="254" t="n">
        <v>379.938352204508</v>
      </c>
      <c r="AI310" s="0" t="n">
        <v>226</v>
      </c>
      <c r="AJ310" s="0" t="s">
        <v>630</v>
      </c>
      <c r="AK310" s="0" t="n">
        <v>0</v>
      </c>
      <c r="AL310" s="0" t="n">
        <v>0</v>
      </c>
      <c r="AM310" s="0" t="n">
        <v>0</v>
      </c>
    </row>
    <row r="311" customFormat="false" ht="12.75" hidden="false" customHeight="false" outlineLevel="0" collapsed="false">
      <c r="A311" s="0" t="s">
        <v>621</v>
      </c>
      <c r="B311" s="0" t="s">
        <v>310</v>
      </c>
      <c r="C311" s="0" t="s">
        <v>622</v>
      </c>
      <c r="D311" s="0" t="s">
        <v>623</v>
      </c>
      <c r="E311" s="0" t="s">
        <v>131</v>
      </c>
      <c r="F311" s="0" t="s">
        <v>309</v>
      </c>
      <c r="G311" s="0" t="s">
        <v>628</v>
      </c>
      <c r="H311" s="0" t="s">
        <v>625</v>
      </c>
      <c r="I311" s="0" t="s">
        <v>626</v>
      </c>
      <c r="J311" s="0" t="s">
        <v>627</v>
      </c>
      <c r="K311" s="475" t="n">
        <v>36951</v>
      </c>
      <c r="L311" s="254" t="n">
        <v>102961.737936264</v>
      </c>
      <c r="M311" s="475" t="n">
        <v>36949</v>
      </c>
      <c r="N311" s="0" t="s">
        <v>132</v>
      </c>
      <c r="O311" s="0" t="n">
        <v>0.4</v>
      </c>
      <c r="P311" s="0" t="n">
        <v>0</v>
      </c>
      <c r="Q311" s="0" t="n">
        <v>0</v>
      </c>
      <c r="R311" s="0" t="n">
        <v>0</v>
      </c>
      <c r="S311" s="0" t="n">
        <v>0</v>
      </c>
      <c r="T311" s="0" t="s">
        <v>624</v>
      </c>
      <c r="U311" s="0" t="s">
        <v>149</v>
      </c>
      <c r="V311" s="0" t="s">
        <v>624</v>
      </c>
      <c r="W311" s="0" t="s">
        <v>569</v>
      </c>
      <c r="X311" s="0" t="s">
        <v>624</v>
      </c>
      <c r="Y311" s="0" t="s">
        <v>627</v>
      </c>
      <c r="Z311" s="0" t="s">
        <v>629</v>
      </c>
      <c r="AA311" s="0" t="s">
        <v>624</v>
      </c>
      <c r="AB311" s="0" t="s">
        <v>132</v>
      </c>
      <c r="AC311" s="254" t="n">
        <v>500000</v>
      </c>
      <c r="AD311" s="254" t="n">
        <v>39342.6885239331</v>
      </c>
      <c r="AE311" s="0" t="n">
        <v>0</v>
      </c>
      <c r="AF311" s="0" t="n">
        <v>0</v>
      </c>
      <c r="AG311" s="0" t="n">
        <v>0</v>
      </c>
      <c r="AH311" s="254" t="n">
        <v>-5309.3776694686</v>
      </c>
      <c r="AI311" s="0" t="n">
        <v>226</v>
      </c>
      <c r="AJ311" s="0" t="s">
        <v>630</v>
      </c>
      <c r="AK311" s="0" t="n">
        <v>0</v>
      </c>
      <c r="AL311" s="0" t="n">
        <v>0</v>
      </c>
      <c r="AM311" s="0" t="n">
        <v>0</v>
      </c>
    </row>
    <row r="312" customFormat="false" ht="12.75" hidden="false" customHeight="false" outlineLevel="0" collapsed="false">
      <c r="A312" s="0" t="s">
        <v>621</v>
      </c>
      <c r="B312" s="0" t="s">
        <v>310</v>
      </c>
      <c r="C312" s="0" t="s">
        <v>622</v>
      </c>
      <c r="D312" s="0" t="s">
        <v>623</v>
      </c>
      <c r="E312" s="0" t="s">
        <v>131</v>
      </c>
      <c r="F312" s="0" t="s">
        <v>309</v>
      </c>
      <c r="G312" s="0" t="s">
        <v>628</v>
      </c>
      <c r="H312" s="0" t="s">
        <v>625</v>
      </c>
      <c r="I312" s="0" t="s">
        <v>626</v>
      </c>
      <c r="J312" s="0" t="s">
        <v>627</v>
      </c>
      <c r="K312" s="475" t="n">
        <v>36923</v>
      </c>
      <c r="L312" s="254" t="n">
        <v>38128.1494972453</v>
      </c>
      <c r="M312" s="475" t="n">
        <v>36921</v>
      </c>
      <c r="N312" s="0" t="s">
        <v>132</v>
      </c>
      <c r="O312" s="0" t="n">
        <v>0.4</v>
      </c>
      <c r="P312" s="0" t="n">
        <v>0</v>
      </c>
      <c r="Q312" s="0" t="n">
        <v>0</v>
      </c>
      <c r="R312" s="0" t="n">
        <v>0</v>
      </c>
      <c r="S312" s="0" t="n">
        <v>0</v>
      </c>
      <c r="T312" s="0" t="s">
        <v>624</v>
      </c>
      <c r="U312" s="0" t="s">
        <v>149</v>
      </c>
      <c r="V312" s="0" t="s">
        <v>624</v>
      </c>
      <c r="W312" s="0" t="s">
        <v>569</v>
      </c>
      <c r="X312" s="0" t="s">
        <v>624</v>
      </c>
      <c r="Y312" s="0" t="s">
        <v>627</v>
      </c>
      <c r="Z312" s="0" t="s">
        <v>629</v>
      </c>
      <c r="AA312" s="0" t="s">
        <v>624</v>
      </c>
      <c r="AB312" s="0" t="s">
        <v>132</v>
      </c>
      <c r="AC312" s="254" t="n">
        <v>500000</v>
      </c>
      <c r="AD312" s="254" t="n">
        <v>23201.0259799129</v>
      </c>
      <c r="AE312" s="0" t="n">
        <v>0</v>
      </c>
      <c r="AF312" s="0" t="n">
        <v>0</v>
      </c>
      <c r="AG312" s="0" t="n">
        <v>0</v>
      </c>
      <c r="AH312" s="254" t="n">
        <v>-2123.68239825755</v>
      </c>
      <c r="AI312" s="0" t="n">
        <v>226</v>
      </c>
      <c r="AJ312" s="0" t="s">
        <v>630</v>
      </c>
      <c r="AK312" s="0" t="n">
        <v>0</v>
      </c>
      <c r="AL312" s="0" t="n">
        <v>0</v>
      </c>
      <c r="AM312" s="0" t="n">
        <v>0</v>
      </c>
    </row>
    <row r="313" customFormat="false" ht="12.75" hidden="false" customHeight="false" outlineLevel="0" collapsed="false">
      <c r="A313" s="0" t="s">
        <v>621</v>
      </c>
      <c r="B313" s="0" t="s">
        <v>310</v>
      </c>
      <c r="C313" s="0" t="s">
        <v>622</v>
      </c>
      <c r="D313" s="0" t="s">
        <v>623</v>
      </c>
      <c r="E313" s="0" t="s">
        <v>131</v>
      </c>
      <c r="F313" s="0" t="s">
        <v>309</v>
      </c>
      <c r="G313" s="0" t="s">
        <v>628</v>
      </c>
      <c r="H313" s="0" t="s">
        <v>625</v>
      </c>
      <c r="I313" s="0" t="s">
        <v>626</v>
      </c>
      <c r="J313" s="0" t="s">
        <v>627</v>
      </c>
      <c r="K313" s="475" t="n">
        <v>36892</v>
      </c>
      <c r="L313" s="254" t="n">
        <v>28714.1137368078</v>
      </c>
      <c r="M313" s="475" t="n">
        <v>36888</v>
      </c>
      <c r="N313" s="0" t="s">
        <v>132</v>
      </c>
      <c r="O313" s="0" t="n">
        <v>0.4</v>
      </c>
      <c r="P313" s="0" t="n">
        <v>0</v>
      </c>
      <c r="Q313" s="0" t="n">
        <v>0</v>
      </c>
      <c r="R313" s="0" t="n">
        <v>0</v>
      </c>
      <c r="S313" s="0" t="n">
        <v>0</v>
      </c>
      <c r="T313" s="0" t="s">
        <v>624</v>
      </c>
      <c r="U313" s="0" t="s">
        <v>149</v>
      </c>
      <c r="V313" s="0" t="s">
        <v>624</v>
      </c>
      <c r="W313" s="0" t="s">
        <v>569</v>
      </c>
      <c r="X313" s="0" t="s">
        <v>624</v>
      </c>
      <c r="Y313" s="0" t="s">
        <v>627</v>
      </c>
      <c r="Z313" s="0" t="s">
        <v>629</v>
      </c>
      <c r="AA313" s="0" t="s">
        <v>624</v>
      </c>
      <c r="AB313" s="0" t="s">
        <v>132</v>
      </c>
      <c r="AC313" s="254" t="n">
        <v>500000</v>
      </c>
      <c r="AD313" s="254" t="n">
        <v>18311.6357576736</v>
      </c>
      <c r="AE313" s="0" t="n">
        <v>0</v>
      </c>
      <c r="AF313" s="0" t="n">
        <v>0</v>
      </c>
      <c r="AG313" s="0" t="n">
        <v>0</v>
      </c>
      <c r="AH313" s="254" t="n">
        <v>-1420.43640349909</v>
      </c>
      <c r="AI313" s="0" t="n">
        <v>226</v>
      </c>
      <c r="AJ313" s="0" t="s">
        <v>630</v>
      </c>
      <c r="AK313" s="0" t="n">
        <v>0</v>
      </c>
      <c r="AL313" s="0" t="n">
        <v>0</v>
      </c>
      <c r="AM313" s="0" t="n">
        <v>0</v>
      </c>
    </row>
    <row r="314" customFormat="false" ht="12.75" hidden="false" customHeight="false" outlineLevel="0" collapsed="false">
      <c r="A314" s="0" t="s">
        <v>621</v>
      </c>
      <c r="B314" s="0" t="s">
        <v>310</v>
      </c>
      <c r="C314" s="0" t="s">
        <v>622</v>
      </c>
      <c r="D314" s="0" t="s">
        <v>623</v>
      </c>
      <c r="E314" s="0" t="s">
        <v>131</v>
      </c>
      <c r="F314" s="0" t="s">
        <v>309</v>
      </c>
      <c r="G314" s="0" t="s">
        <v>628</v>
      </c>
      <c r="H314" s="0" t="s">
        <v>625</v>
      </c>
      <c r="I314" s="0" t="s">
        <v>626</v>
      </c>
      <c r="J314" s="0" t="s">
        <v>627</v>
      </c>
      <c r="K314" s="475" t="n">
        <v>36861</v>
      </c>
      <c r="L314" s="254" t="n">
        <v>37579.7925554042</v>
      </c>
      <c r="M314" s="475" t="n">
        <v>36859</v>
      </c>
      <c r="N314" s="0" t="s">
        <v>132</v>
      </c>
      <c r="O314" s="0" t="n">
        <v>0.4</v>
      </c>
      <c r="P314" s="0" t="n">
        <v>0</v>
      </c>
      <c r="Q314" s="0" t="n">
        <v>0</v>
      </c>
      <c r="R314" s="0" t="n">
        <v>0</v>
      </c>
      <c r="S314" s="0" t="n">
        <v>0</v>
      </c>
      <c r="T314" s="0" t="s">
        <v>624</v>
      </c>
      <c r="U314" s="0" t="s">
        <v>149</v>
      </c>
      <c r="V314" s="0" t="s">
        <v>624</v>
      </c>
      <c r="W314" s="0" t="s">
        <v>569</v>
      </c>
      <c r="X314" s="0" t="s">
        <v>624</v>
      </c>
      <c r="Y314" s="0" t="s">
        <v>627</v>
      </c>
      <c r="Z314" s="0" t="s">
        <v>629</v>
      </c>
      <c r="AA314" s="0" t="s">
        <v>624</v>
      </c>
      <c r="AB314" s="0" t="s">
        <v>132</v>
      </c>
      <c r="AC314" s="254" t="n">
        <v>500000</v>
      </c>
      <c r="AD314" s="254" t="n">
        <v>20590.9597569027</v>
      </c>
      <c r="AE314" s="0" t="n">
        <v>0</v>
      </c>
      <c r="AF314" s="0" t="n">
        <v>0</v>
      </c>
      <c r="AG314" s="0" t="n">
        <v>0</v>
      </c>
      <c r="AH314" s="254" t="n">
        <v>-1567.23128319092</v>
      </c>
      <c r="AI314" s="0" t="n">
        <v>226</v>
      </c>
      <c r="AJ314" s="0" t="s">
        <v>630</v>
      </c>
      <c r="AK314" s="0" t="n">
        <v>0</v>
      </c>
      <c r="AL314" s="0" t="n">
        <v>0</v>
      </c>
      <c r="AM314" s="0" t="n">
        <v>0</v>
      </c>
    </row>
    <row r="315" customFormat="false" ht="12.75" hidden="false" customHeight="false" outlineLevel="0" collapsed="false">
      <c r="A315" s="0" t="s">
        <v>621</v>
      </c>
      <c r="B315" s="0" t="s">
        <v>310</v>
      </c>
      <c r="C315" s="0" t="s">
        <v>622</v>
      </c>
      <c r="D315" s="0" t="s">
        <v>623</v>
      </c>
      <c r="E315" s="0" t="s">
        <v>131</v>
      </c>
      <c r="F315" s="0" t="s">
        <v>309</v>
      </c>
      <c r="G315" s="0" t="s">
        <v>628</v>
      </c>
      <c r="H315" s="0" t="s">
        <v>625</v>
      </c>
      <c r="I315" s="0" t="s">
        <v>626</v>
      </c>
      <c r="J315" s="0" t="s">
        <v>627</v>
      </c>
      <c r="K315" s="475" t="n">
        <v>36831</v>
      </c>
      <c r="L315" s="254" t="n">
        <v>53535.9340440782</v>
      </c>
      <c r="M315" s="475" t="n">
        <v>36829</v>
      </c>
      <c r="N315" s="0" t="s">
        <v>132</v>
      </c>
      <c r="O315" s="0" t="n">
        <v>0.4</v>
      </c>
      <c r="P315" s="0" t="n">
        <v>0</v>
      </c>
      <c r="Q315" s="0" t="n">
        <v>0</v>
      </c>
      <c r="R315" s="0" t="n">
        <v>0</v>
      </c>
      <c r="S315" s="0" t="n">
        <v>0</v>
      </c>
      <c r="T315" s="0" t="s">
        <v>624</v>
      </c>
      <c r="U315" s="0" t="s">
        <v>149</v>
      </c>
      <c r="V315" s="0" t="s">
        <v>624</v>
      </c>
      <c r="W315" s="0" t="s">
        <v>569</v>
      </c>
      <c r="X315" s="0" t="s">
        <v>624</v>
      </c>
      <c r="Y315" s="0" t="s">
        <v>627</v>
      </c>
      <c r="Z315" s="0" t="s">
        <v>629</v>
      </c>
      <c r="AA315" s="0" t="s">
        <v>624</v>
      </c>
      <c r="AB315" s="0" t="s">
        <v>132</v>
      </c>
      <c r="AC315" s="254" t="n">
        <v>500000</v>
      </c>
      <c r="AD315" s="254" t="n">
        <v>19539.2085933835</v>
      </c>
      <c r="AE315" s="0" t="n">
        <v>0</v>
      </c>
      <c r="AF315" s="0" t="n">
        <v>0</v>
      </c>
      <c r="AG315" s="0" t="n">
        <v>0</v>
      </c>
      <c r="AH315" s="254" t="n">
        <v>-4273.70471593802</v>
      </c>
      <c r="AI315" s="0" t="n">
        <v>226</v>
      </c>
      <c r="AJ315" s="0" t="s">
        <v>630</v>
      </c>
      <c r="AK315" s="0" t="n">
        <v>0</v>
      </c>
      <c r="AL315" s="0" t="n">
        <v>0</v>
      </c>
      <c r="AM315" s="0" t="n">
        <v>0</v>
      </c>
    </row>
    <row r="316" customFormat="false" ht="12.75" hidden="false" customHeight="false" outlineLevel="0" collapsed="false">
      <c r="A316" s="0" t="s">
        <v>621</v>
      </c>
      <c r="B316" s="0" t="s">
        <v>311</v>
      </c>
      <c r="C316" s="0" t="s">
        <v>622</v>
      </c>
      <c r="D316" s="0" t="s">
        <v>623</v>
      </c>
      <c r="E316" s="0" t="s">
        <v>131</v>
      </c>
      <c r="F316" s="0" t="s">
        <v>198</v>
      </c>
      <c r="G316" s="0" t="s">
        <v>628</v>
      </c>
      <c r="H316" s="0" t="s">
        <v>625</v>
      </c>
      <c r="I316" s="0" t="s">
        <v>626</v>
      </c>
      <c r="J316" s="0" t="s">
        <v>627</v>
      </c>
      <c r="K316" s="475" t="n">
        <v>36951</v>
      </c>
      <c r="L316" s="254" t="n">
        <v>-151970.792485802</v>
      </c>
      <c r="M316" s="475" t="n">
        <v>36949</v>
      </c>
      <c r="N316" s="0" t="s">
        <v>136</v>
      </c>
      <c r="O316" s="0" t="n">
        <v>1.7</v>
      </c>
      <c r="P316" s="0" t="n">
        <v>0</v>
      </c>
      <c r="Q316" s="0" t="n">
        <v>0</v>
      </c>
      <c r="R316" s="0" t="n">
        <v>0</v>
      </c>
      <c r="S316" s="0" t="n">
        <v>0</v>
      </c>
      <c r="T316" s="0" t="s">
        <v>624</v>
      </c>
      <c r="U316" s="0" t="s">
        <v>149</v>
      </c>
      <c r="V316" s="0" t="s">
        <v>624</v>
      </c>
      <c r="W316" s="0" t="s">
        <v>569</v>
      </c>
      <c r="X316" s="0" t="s">
        <v>624</v>
      </c>
      <c r="Y316" s="0" t="s">
        <v>627</v>
      </c>
      <c r="Z316" s="0" t="s">
        <v>629</v>
      </c>
      <c r="AA316" s="0" t="s">
        <v>624</v>
      </c>
      <c r="AB316" s="0" t="s">
        <v>132</v>
      </c>
      <c r="AC316" s="254" t="n">
        <v>-500000</v>
      </c>
      <c r="AD316" s="254" t="n">
        <v>-39326.8091706637</v>
      </c>
      <c r="AE316" s="0" t="n">
        <v>0</v>
      </c>
      <c r="AF316" s="0" t="n">
        <v>0</v>
      </c>
      <c r="AG316" s="0" t="n">
        <v>0</v>
      </c>
      <c r="AH316" s="254" t="n">
        <v>-12813.247177282</v>
      </c>
      <c r="AI316" s="0" t="n">
        <v>226</v>
      </c>
      <c r="AJ316" s="0" t="s">
        <v>630</v>
      </c>
      <c r="AK316" s="0" t="n">
        <v>0</v>
      </c>
      <c r="AL316" s="0" t="n">
        <v>0</v>
      </c>
      <c r="AM316" s="0" t="n">
        <v>0</v>
      </c>
    </row>
    <row r="317" customFormat="false" ht="12.75" hidden="false" customHeight="false" outlineLevel="0" collapsed="false">
      <c r="A317" s="0" t="s">
        <v>621</v>
      </c>
      <c r="B317" s="0" t="s">
        <v>312</v>
      </c>
      <c r="C317" s="0" t="s">
        <v>622</v>
      </c>
      <c r="D317" s="0" t="s">
        <v>623</v>
      </c>
      <c r="E317" s="0" t="s">
        <v>131</v>
      </c>
      <c r="F317" s="0" t="s">
        <v>198</v>
      </c>
      <c r="G317" s="0" t="s">
        <v>628</v>
      </c>
      <c r="H317" s="0" t="s">
        <v>625</v>
      </c>
      <c r="I317" s="0" t="s">
        <v>626</v>
      </c>
      <c r="J317" s="0" t="s">
        <v>627</v>
      </c>
      <c r="K317" s="475" t="n">
        <v>36951</v>
      </c>
      <c r="L317" s="254" t="n">
        <v>157698.06655469</v>
      </c>
      <c r="M317" s="475" t="n">
        <v>36949</v>
      </c>
      <c r="N317" s="0" t="s">
        <v>136</v>
      </c>
      <c r="O317" s="0" t="n">
        <v>2.5</v>
      </c>
      <c r="P317" s="0" t="n">
        <v>0</v>
      </c>
      <c r="Q317" s="0" t="n">
        <v>0</v>
      </c>
      <c r="R317" s="0" t="n">
        <v>0</v>
      </c>
      <c r="S317" s="0" t="n">
        <v>0</v>
      </c>
      <c r="T317" s="0" t="s">
        <v>624</v>
      </c>
      <c r="U317" s="0" t="s">
        <v>149</v>
      </c>
      <c r="V317" s="0" t="s">
        <v>624</v>
      </c>
      <c r="W317" s="0" t="s">
        <v>569</v>
      </c>
      <c r="X317" s="0" t="s">
        <v>624</v>
      </c>
      <c r="Y317" s="0" t="s">
        <v>627</v>
      </c>
      <c r="Z317" s="0" t="s">
        <v>629</v>
      </c>
      <c r="AA317" s="0" t="s">
        <v>624</v>
      </c>
      <c r="AB317" s="0" t="s">
        <v>132</v>
      </c>
      <c r="AC317" s="254" t="n">
        <v>1000000</v>
      </c>
      <c r="AD317" s="254" t="n">
        <v>57308.5893816178</v>
      </c>
      <c r="AE317" s="0" t="n">
        <v>0</v>
      </c>
      <c r="AF317" s="0" t="n">
        <v>0</v>
      </c>
      <c r="AG317" s="0" t="n">
        <v>0</v>
      </c>
      <c r="AH317" s="254" t="n">
        <v>15681.3978731459</v>
      </c>
      <c r="AI317" s="0" t="n">
        <v>226</v>
      </c>
      <c r="AJ317" s="0" t="s">
        <v>630</v>
      </c>
      <c r="AK317" s="0" t="n">
        <v>0</v>
      </c>
      <c r="AL317" s="0" t="n">
        <v>0</v>
      </c>
      <c r="AM317" s="0" t="n">
        <v>0</v>
      </c>
    </row>
    <row r="318" customFormat="false" ht="12.75" hidden="false" customHeight="false" outlineLevel="0" collapsed="false">
      <c r="A318" s="0" t="s">
        <v>621</v>
      </c>
      <c r="B318" s="0" t="s">
        <v>313</v>
      </c>
      <c r="C318" s="0" t="s">
        <v>622</v>
      </c>
      <c r="D318" s="0" t="s">
        <v>623</v>
      </c>
      <c r="E318" s="0" t="s">
        <v>131</v>
      </c>
      <c r="F318" s="0" t="s">
        <v>198</v>
      </c>
      <c r="G318" s="0" t="s">
        <v>628</v>
      </c>
      <c r="H318" s="0" t="s">
        <v>625</v>
      </c>
      <c r="I318" s="0" t="s">
        <v>626</v>
      </c>
      <c r="J318" s="0" t="s">
        <v>627</v>
      </c>
      <c r="K318" s="475" t="n">
        <v>36951</v>
      </c>
      <c r="L318" s="254" t="n">
        <v>-907740.381292351</v>
      </c>
      <c r="M318" s="475" t="n">
        <v>36949</v>
      </c>
      <c r="N318" s="0" t="s">
        <v>132</v>
      </c>
      <c r="O318" s="0" t="n">
        <v>1.7</v>
      </c>
      <c r="P318" s="0" t="n">
        <v>0</v>
      </c>
      <c r="Q318" s="0" t="n">
        <v>0</v>
      </c>
      <c r="R318" s="0" t="n">
        <v>0</v>
      </c>
      <c r="S318" s="0" t="n">
        <v>0</v>
      </c>
      <c r="T318" s="0" t="s">
        <v>624</v>
      </c>
      <c r="U318" s="0" t="s">
        <v>149</v>
      </c>
      <c r="V318" s="0" t="s">
        <v>624</v>
      </c>
      <c r="W318" s="0" t="s">
        <v>569</v>
      </c>
      <c r="X318" s="0" t="s">
        <v>624</v>
      </c>
      <c r="Y318" s="0" t="s">
        <v>627</v>
      </c>
      <c r="Z318" s="0" t="s">
        <v>629</v>
      </c>
      <c r="AA318" s="0" t="s">
        <v>624</v>
      </c>
      <c r="AB318" s="0" t="s">
        <v>132</v>
      </c>
      <c r="AC318" s="254" t="n">
        <v>-1000000</v>
      </c>
      <c r="AD318" s="254" t="n">
        <v>-78653.6183413273</v>
      </c>
      <c r="AE318" s="0" t="n">
        <v>0</v>
      </c>
      <c r="AF318" s="0" t="n">
        <v>0</v>
      </c>
      <c r="AG318" s="0" t="n">
        <v>0</v>
      </c>
      <c r="AH318" s="254" t="n">
        <v>32309.6395529845</v>
      </c>
      <c r="AI318" s="0" t="n">
        <v>226</v>
      </c>
      <c r="AJ318" s="0" t="s">
        <v>630</v>
      </c>
      <c r="AK318" s="0" t="n">
        <v>0</v>
      </c>
      <c r="AL318" s="0" t="n">
        <v>0</v>
      </c>
      <c r="AM318" s="0" t="n">
        <v>0</v>
      </c>
    </row>
    <row r="319" customFormat="false" ht="12.75" hidden="false" customHeight="false" outlineLevel="0" collapsed="false">
      <c r="A319" s="0" t="s">
        <v>621</v>
      </c>
      <c r="B319" s="0" t="s">
        <v>313</v>
      </c>
      <c r="C319" s="0" t="s">
        <v>622</v>
      </c>
      <c r="D319" s="0" t="s">
        <v>623</v>
      </c>
      <c r="E319" s="0" t="s">
        <v>131</v>
      </c>
      <c r="F319" s="0" t="s">
        <v>198</v>
      </c>
      <c r="G319" s="0" t="s">
        <v>628</v>
      </c>
      <c r="H319" s="0" t="s">
        <v>625</v>
      </c>
      <c r="I319" s="0" t="s">
        <v>626</v>
      </c>
      <c r="J319" s="0" t="s">
        <v>627</v>
      </c>
      <c r="K319" s="475" t="n">
        <v>36923</v>
      </c>
      <c r="L319" s="254" t="n">
        <v>-477065.632907757</v>
      </c>
      <c r="M319" s="475" t="n">
        <v>36921</v>
      </c>
      <c r="N319" s="0" t="s">
        <v>132</v>
      </c>
      <c r="O319" s="0" t="n">
        <v>1.7</v>
      </c>
      <c r="P319" s="0" t="n">
        <v>0</v>
      </c>
      <c r="Q319" s="0" t="n">
        <v>0</v>
      </c>
      <c r="R319" s="0" t="n">
        <v>0</v>
      </c>
      <c r="S319" s="0" t="n">
        <v>0</v>
      </c>
      <c r="T319" s="0" t="s">
        <v>624</v>
      </c>
      <c r="U319" s="0" t="s">
        <v>149</v>
      </c>
      <c r="V319" s="0" t="s">
        <v>624</v>
      </c>
      <c r="W319" s="0" t="s">
        <v>569</v>
      </c>
      <c r="X319" s="0" t="s">
        <v>624</v>
      </c>
      <c r="Y319" s="0" t="s">
        <v>627</v>
      </c>
      <c r="Z319" s="0" t="s">
        <v>629</v>
      </c>
      <c r="AA319" s="0" t="s">
        <v>624</v>
      </c>
      <c r="AB319" s="0" t="s">
        <v>132</v>
      </c>
      <c r="AC319" s="254" t="n">
        <v>-1000000</v>
      </c>
      <c r="AD319" s="254" t="n">
        <v>-84947.4916668227</v>
      </c>
      <c r="AE319" s="0" t="n">
        <v>0</v>
      </c>
      <c r="AF319" s="0" t="n">
        <v>0</v>
      </c>
      <c r="AG319" s="0" t="n">
        <v>0</v>
      </c>
      <c r="AH319" s="254" t="n">
        <v>20548.859436377</v>
      </c>
      <c r="AI319" s="0" t="n">
        <v>226</v>
      </c>
      <c r="AJ319" s="0" t="s">
        <v>630</v>
      </c>
      <c r="AK319" s="0" t="n">
        <v>0</v>
      </c>
      <c r="AL319" s="0" t="n">
        <v>0</v>
      </c>
      <c r="AM319" s="0" t="n">
        <v>0</v>
      </c>
    </row>
    <row r="320" customFormat="false" ht="12.75" hidden="false" customHeight="false" outlineLevel="0" collapsed="false">
      <c r="A320" s="0" t="s">
        <v>621</v>
      </c>
      <c r="B320" s="0" t="s">
        <v>313</v>
      </c>
      <c r="C320" s="0" t="s">
        <v>622</v>
      </c>
      <c r="D320" s="0" t="s">
        <v>623</v>
      </c>
      <c r="E320" s="0" t="s">
        <v>131</v>
      </c>
      <c r="F320" s="0" t="s">
        <v>198</v>
      </c>
      <c r="G320" s="0" t="s">
        <v>628</v>
      </c>
      <c r="H320" s="0" t="s">
        <v>625</v>
      </c>
      <c r="I320" s="0" t="s">
        <v>626</v>
      </c>
      <c r="J320" s="0" t="s">
        <v>627</v>
      </c>
      <c r="K320" s="475" t="n">
        <v>36892</v>
      </c>
      <c r="L320" s="254" t="n">
        <v>-414677.501556948</v>
      </c>
      <c r="M320" s="475" t="n">
        <v>36888</v>
      </c>
      <c r="N320" s="0" t="s">
        <v>132</v>
      </c>
      <c r="O320" s="0" t="n">
        <v>1.7</v>
      </c>
      <c r="P320" s="0" t="n">
        <v>0</v>
      </c>
      <c r="Q320" s="0" t="n">
        <v>0</v>
      </c>
      <c r="R320" s="0" t="n">
        <v>0</v>
      </c>
      <c r="S320" s="0" t="n">
        <v>0</v>
      </c>
      <c r="T320" s="0" t="s">
        <v>624</v>
      </c>
      <c r="U320" s="0" t="s">
        <v>149</v>
      </c>
      <c r="V320" s="0" t="s">
        <v>624</v>
      </c>
      <c r="W320" s="0" t="s">
        <v>569</v>
      </c>
      <c r="X320" s="0" t="s">
        <v>624</v>
      </c>
      <c r="Y320" s="0" t="s">
        <v>627</v>
      </c>
      <c r="Z320" s="0" t="s">
        <v>629</v>
      </c>
      <c r="AA320" s="0" t="s">
        <v>624</v>
      </c>
      <c r="AB320" s="0" t="s">
        <v>132</v>
      </c>
      <c r="AC320" s="254" t="n">
        <v>-1000000</v>
      </c>
      <c r="AD320" s="254" t="n">
        <v>-76646.4115827656</v>
      </c>
      <c r="AE320" s="0" t="n">
        <v>0</v>
      </c>
      <c r="AF320" s="0" t="n">
        <v>0</v>
      </c>
      <c r="AG320" s="0" t="n">
        <v>0</v>
      </c>
      <c r="AH320" s="254" t="n">
        <v>16429.5482475812</v>
      </c>
      <c r="AI320" s="0" t="n">
        <v>226</v>
      </c>
      <c r="AJ320" s="0" t="s">
        <v>630</v>
      </c>
      <c r="AK320" s="0" t="n">
        <v>0</v>
      </c>
      <c r="AL320" s="0" t="n">
        <v>0</v>
      </c>
      <c r="AM320" s="0" t="n">
        <v>0</v>
      </c>
    </row>
    <row r="321" customFormat="false" ht="12.75" hidden="false" customHeight="false" outlineLevel="0" collapsed="false">
      <c r="A321" s="0" t="s">
        <v>621</v>
      </c>
      <c r="B321" s="0" t="s">
        <v>314</v>
      </c>
      <c r="C321" s="0" t="s">
        <v>622</v>
      </c>
      <c r="D321" s="0" t="s">
        <v>623</v>
      </c>
      <c r="E321" s="0" t="s">
        <v>131</v>
      </c>
      <c r="F321" s="0" t="s">
        <v>198</v>
      </c>
      <c r="G321" s="0" t="s">
        <v>628</v>
      </c>
      <c r="H321" s="0" t="s">
        <v>625</v>
      </c>
      <c r="I321" s="0" t="s">
        <v>626</v>
      </c>
      <c r="J321" s="0" t="s">
        <v>627</v>
      </c>
      <c r="K321" s="475" t="n">
        <v>36951</v>
      </c>
      <c r="L321" s="254" t="n">
        <v>465509.916729815</v>
      </c>
      <c r="M321" s="475" t="n">
        <v>36949</v>
      </c>
      <c r="N321" s="0" t="s">
        <v>132</v>
      </c>
      <c r="O321" s="0" t="n">
        <v>1</v>
      </c>
      <c r="P321" s="0" t="n">
        <v>0</v>
      </c>
      <c r="Q321" s="0" t="n">
        <v>0</v>
      </c>
      <c r="R321" s="0" t="n">
        <v>0</v>
      </c>
      <c r="S321" s="0" t="n">
        <v>0</v>
      </c>
      <c r="T321" s="0" t="s">
        <v>624</v>
      </c>
      <c r="U321" s="0" t="s">
        <v>149</v>
      </c>
      <c r="V321" s="0" t="s">
        <v>624</v>
      </c>
      <c r="W321" s="0" t="s">
        <v>569</v>
      </c>
      <c r="X321" s="0" t="s">
        <v>624</v>
      </c>
      <c r="Y321" s="0" t="s">
        <v>627</v>
      </c>
      <c r="Z321" s="0" t="s">
        <v>629</v>
      </c>
      <c r="AA321" s="0" t="s">
        <v>624</v>
      </c>
      <c r="AB321" s="0" t="s">
        <v>132</v>
      </c>
      <c r="AC321" s="254" t="n">
        <v>1000000</v>
      </c>
      <c r="AD321" s="254" t="n">
        <v>88936.8209745341</v>
      </c>
      <c r="AE321" s="0" t="n">
        <v>0</v>
      </c>
      <c r="AF321" s="0" t="n">
        <v>0</v>
      </c>
      <c r="AG321" s="0" t="n">
        <v>0</v>
      </c>
      <c r="AH321" s="254" t="n">
        <v>-20719.012783803</v>
      </c>
      <c r="AI321" s="0" t="n">
        <v>226</v>
      </c>
      <c r="AJ321" s="0" t="s">
        <v>630</v>
      </c>
      <c r="AK321" s="0" t="n">
        <v>0</v>
      </c>
      <c r="AL321" s="0" t="n">
        <v>0</v>
      </c>
      <c r="AM321" s="0" t="n">
        <v>0</v>
      </c>
    </row>
    <row r="322" customFormat="false" ht="12.75" hidden="false" customHeight="false" outlineLevel="0" collapsed="false">
      <c r="A322" s="0" t="s">
        <v>621</v>
      </c>
      <c r="B322" s="0" t="s">
        <v>314</v>
      </c>
      <c r="C322" s="0" t="s">
        <v>622</v>
      </c>
      <c r="D322" s="0" t="s">
        <v>623</v>
      </c>
      <c r="E322" s="0" t="s">
        <v>131</v>
      </c>
      <c r="F322" s="0" t="s">
        <v>198</v>
      </c>
      <c r="G322" s="0" t="s">
        <v>628</v>
      </c>
      <c r="H322" s="0" t="s">
        <v>625</v>
      </c>
      <c r="I322" s="0" t="s">
        <v>626</v>
      </c>
      <c r="J322" s="0" t="s">
        <v>627</v>
      </c>
      <c r="K322" s="475" t="n">
        <v>36923</v>
      </c>
      <c r="L322" s="254" t="n">
        <v>205076.007372132</v>
      </c>
      <c r="M322" s="475" t="n">
        <v>36921</v>
      </c>
      <c r="N322" s="0" t="s">
        <v>132</v>
      </c>
      <c r="O322" s="0" t="n">
        <v>1</v>
      </c>
      <c r="P322" s="0" t="n">
        <v>0</v>
      </c>
      <c r="Q322" s="0" t="n">
        <v>0</v>
      </c>
      <c r="R322" s="0" t="n">
        <v>0</v>
      </c>
      <c r="S322" s="0" t="n">
        <v>0</v>
      </c>
      <c r="T322" s="0" t="s">
        <v>624</v>
      </c>
      <c r="U322" s="0" t="s">
        <v>149</v>
      </c>
      <c r="V322" s="0" t="s">
        <v>624</v>
      </c>
      <c r="W322" s="0" t="s">
        <v>569</v>
      </c>
      <c r="X322" s="0" t="s">
        <v>624</v>
      </c>
      <c r="Y322" s="0" t="s">
        <v>627</v>
      </c>
      <c r="Z322" s="0" t="s">
        <v>629</v>
      </c>
      <c r="AA322" s="0" t="s">
        <v>624</v>
      </c>
      <c r="AB322" s="0" t="s">
        <v>132</v>
      </c>
      <c r="AC322" s="254" t="n">
        <v>1000000</v>
      </c>
      <c r="AD322" s="254" t="n">
        <v>70642.5084101445</v>
      </c>
      <c r="AE322" s="0" t="n">
        <v>0</v>
      </c>
      <c r="AF322" s="0" t="n">
        <v>0</v>
      </c>
      <c r="AG322" s="0" t="n">
        <v>0</v>
      </c>
      <c r="AH322" s="254" t="n">
        <v>-10477.9702197861</v>
      </c>
      <c r="AI322" s="0" t="n">
        <v>226</v>
      </c>
      <c r="AJ322" s="0" t="s">
        <v>630</v>
      </c>
      <c r="AK322" s="0" t="n">
        <v>0</v>
      </c>
      <c r="AL322" s="0" t="n">
        <v>0</v>
      </c>
      <c r="AM322" s="0" t="n">
        <v>0</v>
      </c>
    </row>
    <row r="323" customFormat="false" ht="12.75" hidden="false" customHeight="false" outlineLevel="0" collapsed="false">
      <c r="A323" s="0" t="s">
        <v>621</v>
      </c>
      <c r="B323" s="0" t="s">
        <v>314</v>
      </c>
      <c r="C323" s="0" t="s">
        <v>622</v>
      </c>
      <c r="D323" s="0" t="s">
        <v>623</v>
      </c>
      <c r="E323" s="0" t="s">
        <v>131</v>
      </c>
      <c r="F323" s="0" t="s">
        <v>198</v>
      </c>
      <c r="G323" s="0" t="s">
        <v>628</v>
      </c>
      <c r="H323" s="0" t="s">
        <v>625</v>
      </c>
      <c r="I323" s="0" t="s">
        <v>626</v>
      </c>
      <c r="J323" s="0" t="s">
        <v>627</v>
      </c>
      <c r="K323" s="475" t="n">
        <v>36892</v>
      </c>
      <c r="L323" s="254" t="n">
        <v>166821.608721801</v>
      </c>
      <c r="M323" s="475" t="n">
        <v>36888</v>
      </c>
      <c r="N323" s="0" t="s">
        <v>132</v>
      </c>
      <c r="O323" s="0" t="n">
        <v>1</v>
      </c>
      <c r="P323" s="0" t="n">
        <v>0</v>
      </c>
      <c r="Q323" s="0" t="n">
        <v>0</v>
      </c>
      <c r="R323" s="0" t="n">
        <v>0</v>
      </c>
      <c r="S323" s="0" t="n">
        <v>0</v>
      </c>
      <c r="T323" s="0" t="s">
        <v>624</v>
      </c>
      <c r="U323" s="0" t="s">
        <v>149</v>
      </c>
      <c r="V323" s="0" t="s">
        <v>624</v>
      </c>
      <c r="W323" s="0" t="s">
        <v>569</v>
      </c>
      <c r="X323" s="0" t="s">
        <v>624</v>
      </c>
      <c r="Y323" s="0" t="s">
        <v>627</v>
      </c>
      <c r="Z323" s="0" t="s">
        <v>629</v>
      </c>
      <c r="AA323" s="0" t="s">
        <v>624</v>
      </c>
      <c r="AB323" s="0" t="s">
        <v>132</v>
      </c>
      <c r="AC323" s="254" t="n">
        <v>1000000</v>
      </c>
      <c r="AD323" s="254" t="n">
        <v>60333.6630850588</v>
      </c>
      <c r="AE323" s="0" t="n">
        <v>0</v>
      </c>
      <c r="AF323" s="0" t="n">
        <v>0</v>
      </c>
      <c r="AG323" s="0" t="n">
        <v>0</v>
      </c>
      <c r="AH323" s="254" t="n">
        <v>-7743.66148079775</v>
      </c>
      <c r="AI323" s="0" t="n">
        <v>226</v>
      </c>
      <c r="AJ323" s="0" t="s">
        <v>630</v>
      </c>
      <c r="AK323" s="0" t="n">
        <v>0</v>
      </c>
      <c r="AL323" s="0" t="n">
        <v>0</v>
      </c>
      <c r="AM323" s="0" t="n">
        <v>0</v>
      </c>
    </row>
    <row r="324" customFormat="false" ht="12.75" hidden="false" customHeight="false" outlineLevel="0" collapsed="false">
      <c r="A324" s="0" t="s">
        <v>621</v>
      </c>
      <c r="B324" s="0" t="s">
        <v>315</v>
      </c>
      <c r="C324" s="0" t="s">
        <v>622</v>
      </c>
      <c r="D324" s="0" t="s">
        <v>623</v>
      </c>
      <c r="E324" s="0" t="s">
        <v>131</v>
      </c>
      <c r="F324" s="0" t="s">
        <v>198</v>
      </c>
      <c r="G324" s="0" t="s">
        <v>628</v>
      </c>
      <c r="H324" s="0" t="s">
        <v>625</v>
      </c>
      <c r="I324" s="0" t="s">
        <v>626</v>
      </c>
      <c r="J324" s="0" t="s">
        <v>627</v>
      </c>
      <c r="K324" s="475" t="n">
        <v>36800</v>
      </c>
      <c r="L324" s="254" t="n">
        <v>-758.923880181394</v>
      </c>
      <c r="M324" s="475" t="n">
        <v>36797</v>
      </c>
      <c r="N324" s="0" t="s">
        <v>136</v>
      </c>
      <c r="O324" s="0" t="n">
        <v>0.7</v>
      </c>
      <c r="P324" s="0" t="n">
        <v>0</v>
      </c>
      <c r="Q324" s="0" t="n">
        <v>0</v>
      </c>
      <c r="R324" s="0" t="n">
        <v>0</v>
      </c>
      <c r="S324" s="0" t="n">
        <v>0</v>
      </c>
      <c r="T324" s="0" t="s">
        <v>624</v>
      </c>
      <c r="U324" s="0" t="s">
        <v>149</v>
      </c>
      <c r="V324" s="0" t="s">
        <v>624</v>
      </c>
      <c r="W324" s="0" t="s">
        <v>569</v>
      </c>
      <c r="X324" s="0" t="s">
        <v>624</v>
      </c>
      <c r="Y324" s="0" t="s">
        <v>627</v>
      </c>
      <c r="Z324" s="0" t="s">
        <v>629</v>
      </c>
      <c r="AA324" s="0" t="s">
        <v>624</v>
      </c>
      <c r="AB324" s="0" t="s">
        <v>132</v>
      </c>
      <c r="AC324" s="254" t="n">
        <v>-1000000</v>
      </c>
      <c r="AD324" s="254" t="n">
        <v>-593.531025558143</v>
      </c>
      <c r="AE324" s="0" t="n">
        <v>0</v>
      </c>
      <c r="AF324" s="0" t="n">
        <v>0</v>
      </c>
      <c r="AG324" s="0" t="n">
        <v>0</v>
      </c>
      <c r="AH324" s="254" t="n">
        <v>-36.0331437836036</v>
      </c>
      <c r="AI324" s="0" t="n">
        <v>226</v>
      </c>
      <c r="AJ324" s="0" t="s">
        <v>630</v>
      </c>
      <c r="AK324" s="0" t="n">
        <v>0</v>
      </c>
      <c r="AL324" s="0" t="n">
        <v>0</v>
      </c>
      <c r="AM324" s="0" t="n">
        <v>0</v>
      </c>
    </row>
    <row r="325" customFormat="false" ht="12.75" hidden="false" customHeight="false" outlineLevel="0" collapsed="false">
      <c r="A325" s="0" t="s">
        <v>621</v>
      </c>
      <c r="B325" s="0" t="s">
        <v>316</v>
      </c>
      <c r="C325" s="0" t="s">
        <v>622</v>
      </c>
      <c r="D325" s="0" t="s">
        <v>623</v>
      </c>
      <c r="E325" s="0" t="s">
        <v>131</v>
      </c>
      <c r="F325" s="0" t="s">
        <v>198</v>
      </c>
      <c r="G325" s="0" t="s">
        <v>628</v>
      </c>
      <c r="H325" s="0" t="s">
        <v>625</v>
      </c>
      <c r="I325" s="0" t="s">
        <v>626</v>
      </c>
      <c r="J325" s="0" t="s">
        <v>627</v>
      </c>
      <c r="K325" s="475" t="n">
        <v>36800</v>
      </c>
      <c r="L325" s="254" t="n">
        <v>-758.923880181394</v>
      </c>
      <c r="M325" s="475" t="n">
        <v>36797</v>
      </c>
      <c r="N325" s="0" t="s">
        <v>136</v>
      </c>
      <c r="O325" s="0" t="n">
        <v>0.7</v>
      </c>
      <c r="P325" s="0" t="n">
        <v>0</v>
      </c>
      <c r="Q325" s="0" t="n">
        <v>0</v>
      </c>
      <c r="R325" s="0" t="n">
        <v>0</v>
      </c>
      <c r="S325" s="0" t="n">
        <v>0</v>
      </c>
      <c r="T325" s="0" t="s">
        <v>624</v>
      </c>
      <c r="U325" s="0" t="s">
        <v>149</v>
      </c>
      <c r="V325" s="0" t="s">
        <v>624</v>
      </c>
      <c r="W325" s="0" t="s">
        <v>569</v>
      </c>
      <c r="X325" s="0" t="s">
        <v>624</v>
      </c>
      <c r="Y325" s="0" t="s">
        <v>627</v>
      </c>
      <c r="Z325" s="0" t="s">
        <v>629</v>
      </c>
      <c r="AA325" s="0" t="s">
        <v>624</v>
      </c>
      <c r="AB325" s="0" t="s">
        <v>132</v>
      </c>
      <c r="AC325" s="254" t="n">
        <v>-1000000</v>
      </c>
      <c r="AD325" s="254" t="n">
        <v>-593.531025558143</v>
      </c>
      <c r="AE325" s="0" t="n">
        <v>0</v>
      </c>
      <c r="AF325" s="0" t="n">
        <v>0</v>
      </c>
      <c r="AG325" s="0" t="n">
        <v>0</v>
      </c>
      <c r="AH325" s="254" t="n">
        <v>-36.0331437836036</v>
      </c>
      <c r="AI325" s="0" t="n">
        <v>226</v>
      </c>
      <c r="AJ325" s="0" t="s">
        <v>630</v>
      </c>
      <c r="AK325" s="0" t="n">
        <v>0</v>
      </c>
      <c r="AL325" s="0" t="n">
        <v>0</v>
      </c>
      <c r="AM325" s="0" t="n">
        <v>0</v>
      </c>
    </row>
    <row r="326" customFormat="false" ht="12.75" hidden="false" customHeight="false" outlineLevel="0" collapsed="false">
      <c r="A326" s="0" t="s">
        <v>621</v>
      </c>
      <c r="B326" s="0" t="s">
        <v>317</v>
      </c>
      <c r="C326" s="0" t="s">
        <v>622</v>
      </c>
      <c r="D326" s="0" t="s">
        <v>623</v>
      </c>
      <c r="E326" s="0" t="s">
        <v>131</v>
      </c>
      <c r="F326" s="0" t="s">
        <v>210</v>
      </c>
      <c r="G326" s="0" t="s">
        <v>628</v>
      </c>
      <c r="H326" s="0" t="s">
        <v>625</v>
      </c>
      <c r="I326" s="0" t="s">
        <v>626</v>
      </c>
      <c r="J326" s="0" t="s">
        <v>627</v>
      </c>
      <c r="K326" s="475" t="n">
        <v>36800</v>
      </c>
      <c r="L326" s="254" t="n">
        <v>115742.623955223</v>
      </c>
      <c r="M326" s="475" t="n">
        <v>36797</v>
      </c>
      <c r="N326" s="0" t="s">
        <v>132</v>
      </c>
      <c r="O326" s="0" t="n">
        <v>0.4</v>
      </c>
      <c r="P326" s="0" t="n">
        <v>0</v>
      </c>
      <c r="Q326" s="0" t="n">
        <v>0</v>
      </c>
      <c r="R326" s="0" t="n">
        <v>0</v>
      </c>
      <c r="S326" s="0" t="n">
        <v>0</v>
      </c>
      <c r="T326" s="0" t="s">
        <v>624</v>
      </c>
      <c r="U326" s="0" t="s">
        <v>149</v>
      </c>
      <c r="V326" s="0" t="s">
        <v>624</v>
      </c>
      <c r="W326" s="0" t="s">
        <v>569</v>
      </c>
      <c r="X326" s="0" t="s">
        <v>624</v>
      </c>
      <c r="Y326" s="0" t="s">
        <v>627</v>
      </c>
      <c r="Z326" s="0" t="s">
        <v>629</v>
      </c>
      <c r="AA326" s="0" t="s">
        <v>624</v>
      </c>
      <c r="AB326" s="0" t="s">
        <v>132</v>
      </c>
      <c r="AC326" s="254" t="n">
        <v>3100000</v>
      </c>
      <c r="AD326" s="254" t="n">
        <v>20232.8551050494</v>
      </c>
      <c r="AE326" s="0" t="n">
        <v>0</v>
      </c>
      <c r="AF326" s="0" t="n">
        <v>0</v>
      </c>
      <c r="AG326" s="0" t="n">
        <v>0</v>
      </c>
      <c r="AH326" s="254" t="n">
        <v>1152.55547557531</v>
      </c>
      <c r="AI326" s="0" t="n">
        <v>226</v>
      </c>
      <c r="AJ326" s="0" t="s">
        <v>630</v>
      </c>
      <c r="AK326" s="0" t="n">
        <v>0</v>
      </c>
      <c r="AL326" s="0" t="n">
        <v>0</v>
      </c>
      <c r="AM326" s="0" t="n">
        <v>0</v>
      </c>
    </row>
    <row r="327" customFormat="false" ht="12.75" hidden="false" customHeight="false" outlineLevel="0" collapsed="false">
      <c r="A327" s="0" t="s">
        <v>621</v>
      </c>
      <c r="B327" s="0" t="s">
        <v>318</v>
      </c>
      <c r="C327" s="0" t="s">
        <v>622</v>
      </c>
      <c r="D327" s="0" t="s">
        <v>623</v>
      </c>
      <c r="E327" s="0" t="s">
        <v>131</v>
      </c>
      <c r="F327" s="0" t="s">
        <v>198</v>
      </c>
      <c r="G327" s="0" t="s">
        <v>628</v>
      </c>
      <c r="H327" s="0" t="s">
        <v>625</v>
      </c>
      <c r="I327" s="0" t="s">
        <v>626</v>
      </c>
      <c r="J327" s="0" t="s">
        <v>627</v>
      </c>
      <c r="K327" s="475" t="n">
        <v>36831</v>
      </c>
      <c r="L327" s="254" t="n">
        <v>-53535.9340440782</v>
      </c>
      <c r="M327" s="475" t="n">
        <v>36829</v>
      </c>
      <c r="N327" s="0" t="s">
        <v>132</v>
      </c>
      <c r="O327" s="0" t="n">
        <v>0.4</v>
      </c>
      <c r="P327" s="0" t="n">
        <v>0</v>
      </c>
      <c r="Q327" s="0" t="n">
        <v>0</v>
      </c>
      <c r="R327" s="0" t="n">
        <v>0</v>
      </c>
      <c r="S327" s="0" t="n">
        <v>0</v>
      </c>
      <c r="T327" s="0" t="s">
        <v>624</v>
      </c>
      <c r="U327" s="0" t="s">
        <v>149</v>
      </c>
      <c r="V327" s="0" t="s">
        <v>624</v>
      </c>
      <c r="W327" s="0" t="s">
        <v>569</v>
      </c>
      <c r="X327" s="0" t="s">
        <v>624</v>
      </c>
      <c r="Y327" s="0" t="s">
        <v>627</v>
      </c>
      <c r="Z327" s="0" t="s">
        <v>629</v>
      </c>
      <c r="AA327" s="0" t="s">
        <v>624</v>
      </c>
      <c r="AB327" s="0" t="s">
        <v>132</v>
      </c>
      <c r="AC327" s="254" t="n">
        <v>-500000</v>
      </c>
      <c r="AD327" s="254" t="n">
        <v>-19539.2085933835</v>
      </c>
      <c r="AE327" s="0" t="n">
        <v>0</v>
      </c>
      <c r="AF327" s="0" t="n">
        <v>0</v>
      </c>
      <c r="AG327" s="0" t="n">
        <v>0</v>
      </c>
      <c r="AH327" s="254" t="n">
        <v>4273.70471593802</v>
      </c>
      <c r="AI327" s="0" t="n">
        <v>226</v>
      </c>
      <c r="AJ327" s="0" t="s">
        <v>630</v>
      </c>
      <c r="AK327" s="0" t="n">
        <v>0</v>
      </c>
      <c r="AL327" s="0" t="n">
        <v>0</v>
      </c>
      <c r="AM327" s="0" t="n">
        <v>0</v>
      </c>
    </row>
    <row r="328" customFormat="false" ht="12.75" hidden="false" customHeight="false" outlineLevel="0" collapsed="false">
      <c r="A328" s="0" t="s">
        <v>621</v>
      </c>
      <c r="B328" s="0" t="s">
        <v>319</v>
      </c>
      <c r="C328" s="0" t="s">
        <v>622</v>
      </c>
      <c r="D328" s="0" t="s">
        <v>623</v>
      </c>
      <c r="E328" s="0" t="s">
        <v>131</v>
      </c>
      <c r="F328" s="0" t="s">
        <v>309</v>
      </c>
      <c r="G328" s="0" t="s">
        <v>628</v>
      </c>
      <c r="H328" s="0" t="s">
        <v>625</v>
      </c>
      <c r="I328" s="0" t="s">
        <v>626</v>
      </c>
      <c r="J328" s="0" t="s">
        <v>627</v>
      </c>
      <c r="K328" s="475" t="n">
        <v>36831</v>
      </c>
      <c r="L328" s="254" t="n">
        <v>53535.9340440782</v>
      </c>
      <c r="M328" s="475" t="n">
        <v>36829</v>
      </c>
      <c r="N328" s="0" t="s">
        <v>132</v>
      </c>
      <c r="O328" s="0" t="n">
        <v>0.4</v>
      </c>
      <c r="P328" s="0" t="n">
        <v>0</v>
      </c>
      <c r="Q328" s="0" t="n">
        <v>0</v>
      </c>
      <c r="R328" s="0" t="n">
        <v>0</v>
      </c>
      <c r="S328" s="0" t="n">
        <v>0</v>
      </c>
      <c r="T328" s="0" t="s">
        <v>624</v>
      </c>
      <c r="U328" s="0" t="s">
        <v>149</v>
      </c>
      <c r="V328" s="0" t="s">
        <v>624</v>
      </c>
      <c r="W328" s="0" t="s">
        <v>569</v>
      </c>
      <c r="X328" s="0" t="s">
        <v>624</v>
      </c>
      <c r="Y328" s="0" t="s">
        <v>627</v>
      </c>
      <c r="Z328" s="0" t="s">
        <v>629</v>
      </c>
      <c r="AA328" s="0" t="s">
        <v>624</v>
      </c>
      <c r="AB328" s="0" t="s">
        <v>132</v>
      </c>
      <c r="AC328" s="254" t="n">
        <v>500000</v>
      </c>
      <c r="AD328" s="254" t="n">
        <v>19539.2085933835</v>
      </c>
      <c r="AE328" s="0" t="n">
        <v>0</v>
      </c>
      <c r="AF328" s="0" t="n">
        <v>0</v>
      </c>
      <c r="AG328" s="0" t="n">
        <v>0</v>
      </c>
      <c r="AH328" s="254" t="n">
        <v>-4273.70471593802</v>
      </c>
      <c r="AI328" s="0" t="n">
        <v>226</v>
      </c>
      <c r="AJ328" s="0" t="s">
        <v>630</v>
      </c>
      <c r="AK328" s="0" t="n">
        <v>0</v>
      </c>
      <c r="AL328" s="0" t="n">
        <v>0</v>
      </c>
      <c r="AM328" s="0" t="n">
        <v>0</v>
      </c>
    </row>
    <row r="329" customFormat="false" ht="12.75" hidden="false" customHeight="false" outlineLevel="0" collapsed="false">
      <c r="A329" s="0" t="s">
        <v>621</v>
      </c>
      <c r="B329" s="0" t="s">
        <v>320</v>
      </c>
      <c r="C329" s="0" t="s">
        <v>622</v>
      </c>
      <c r="D329" s="0" t="s">
        <v>623</v>
      </c>
      <c r="E329" s="0" t="s">
        <v>131</v>
      </c>
      <c r="F329" s="0" t="s">
        <v>198</v>
      </c>
      <c r="G329" s="0" t="s">
        <v>628</v>
      </c>
      <c r="H329" s="0" t="s">
        <v>625</v>
      </c>
      <c r="I329" s="0" t="s">
        <v>626</v>
      </c>
      <c r="J329" s="0" t="s">
        <v>627</v>
      </c>
      <c r="K329" s="475" t="n">
        <v>36800</v>
      </c>
      <c r="L329" s="254" t="n">
        <v>-470.532805712465</v>
      </c>
      <c r="M329" s="475" t="n">
        <v>36797</v>
      </c>
      <c r="N329" s="0" t="s">
        <v>136</v>
      </c>
      <c r="O329" s="0" t="n">
        <v>0.7</v>
      </c>
      <c r="P329" s="0" t="n">
        <v>0</v>
      </c>
      <c r="Q329" s="0" t="n">
        <v>0</v>
      </c>
      <c r="R329" s="0" t="n">
        <v>0</v>
      </c>
      <c r="S329" s="0" t="n">
        <v>0</v>
      </c>
      <c r="T329" s="0" t="s">
        <v>624</v>
      </c>
      <c r="U329" s="0" t="s">
        <v>149</v>
      </c>
      <c r="V329" s="0" t="s">
        <v>624</v>
      </c>
      <c r="W329" s="0" t="s">
        <v>569</v>
      </c>
      <c r="X329" s="0" t="s">
        <v>624</v>
      </c>
      <c r="Y329" s="0" t="s">
        <v>627</v>
      </c>
      <c r="Z329" s="0" t="s">
        <v>629</v>
      </c>
      <c r="AA329" s="0" t="s">
        <v>624</v>
      </c>
      <c r="AB329" s="0" t="s">
        <v>132</v>
      </c>
      <c r="AC329" s="254" t="n">
        <v>-620000</v>
      </c>
      <c r="AD329" s="254" t="n">
        <v>-367.989235846047</v>
      </c>
      <c r="AE329" s="0" t="n">
        <v>0</v>
      </c>
      <c r="AF329" s="0" t="n">
        <v>0</v>
      </c>
      <c r="AG329" s="0" t="n">
        <v>0</v>
      </c>
      <c r="AH329" s="254" t="n">
        <v>-22.3405491458342</v>
      </c>
      <c r="AI329" s="0" t="n">
        <v>226</v>
      </c>
      <c r="AJ329" s="0" t="s">
        <v>630</v>
      </c>
      <c r="AK329" s="0" t="n">
        <v>0</v>
      </c>
      <c r="AL329" s="0" t="n">
        <v>0</v>
      </c>
      <c r="AM329" s="0" t="n">
        <v>0</v>
      </c>
    </row>
    <row r="330" customFormat="false" ht="12.75" hidden="false" customHeight="false" outlineLevel="0" collapsed="false">
      <c r="A330" s="0" t="s">
        <v>621</v>
      </c>
      <c r="B330" s="0" t="s">
        <v>321</v>
      </c>
      <c r="C330" s="0" t="s">
        <v>622</v>
      </c>
      <c r="D330" s="0" t="s">
        <v>623</v>
      </c>
      <c r="E330" s="0" t="s">
        <v>131</v>
      </c>
      <c r="F330" s="0" t="s">
        <v>198</v>
      </c>
      <c r="G330" s="0" t="s">
        <v>628</v>
      </c>
      <c r="H330" s="0" t="s">
        <v>625</v>
      </c>
      <c r="I330" s="0" t="s">
        <v>626</v>
      </c>
      <c r="J330" s="0" t="s">
        <v>627</v>
      </c>
      <c r="K330" s="475" t="n">
        <v>36951</v>
      </c>
      <c r="L330" s="254" t="n">
        <v>-11320.7577196799</v>
      </c>
      <c r="M330" s="475" t="n">
        <v>36949</v>
      </c>
      <c r="N330" s="0" t="s">
        <v>136</v>
      </c>
      <c r="O330" s="0" t="n">
        <v>5</v>
      </c>
      <c r="P330" s="0" t="n">
        <v>0</v>
      </c>
      <c r="Q330" s="0" t="n">
        <v>0</v>
      </c>
      <c r="R330" s="0" t="n">
        <v>0</v>
      </c>
      <c r="S330" s="0" t="n">
        <v>0</v>
      </c>
      <c r="T330" s="0" t="s">
        <v>624</v>
      </c>
      <c r="U330" s="0" t="s">
        <v>149</v>
      </c>
      <c r="V330" s="0" t="s">
        <v>624</v>
      </c>
      <c r="W330" s="0" t="s">
        <v>569</v>
      </c>
      <c r="X330" s="0" t="s">
        <v>624</v>
      </c>
      <c r="Y330" s="0" t="s">
        <v>627</v>
      </c>
      <c r="Z330" s="0" t="s">
        <v>629</v>
      </c>
      <c r="AA330" s="0" t="s">
        <v>624</v>
      </c>
      <c r="AB330" s="0" t="s">
        <v>132</v>
      </c>
      <c r="AC330" s="254" t="n">
        <v>-500000</v>
      </c>
      <c r="AD330" s="254" t="n">
        <v>-7288.86333437969</v>
      </c>
      <c r="AE330" s="0" t="n">
        <v>0</v>
      </c>
      <c r="AF330" s="0" t="n">
        <v>0</v>
      </c>
      <c r="AG330" s="0" t="n">
        <v>0</v>
      </c>
      <c r="AH330" s="254" t="n">
        <v>-1528.47754330655</v>
      </c>
      <c r="AI330" s="0" t="n">
        <v>226</v>
      </c>
      <c r="AJ330" s="0" t="s">
        <v>630</v>
      </c>
      <c r="AK330" s="0" t="n">
        <v>0</v>
      </c>
      <c r="AL330" s="0" t="n">
        <v>0</v>
      </c>
      <c r="AM330" s="0" t="n">
        <v>0</v>
      </c>
    </row>
    <row r="331" customFormat="false" ht="12.75" hidden="false" customHeight="false" outlineLevel="0" collapsed="false">
      <c r="A331" s="0" t="s">
        <v>621</v>
      </c>
      <c r="B331" s="0" t="s">
        <v>321</v>
      </c>
      <c r="C331" s="0" t="s">
        <v>622</v>
      </c>
      <c r="D331" s="0" t="s">
        <v>623</v>
      </c>
      <c r="E331" s="0" t="s">
        <v>131</v>
      </c>
      <c r="F331" s="0" t="s">
        <v>198</v>
      </c>
      <c r="G331" s="0" t="s">
        <v>628</v>
      </c>
      <c r="H331" s="0" t="s">
        <v>625</v>
      </c>
      <c r="I331" s="0" t="s">
        <v>626</v>
      </c>
      <c r="J331" s="0" t="s">
        <v>627</v>
      </c>
      <c r="K331" s="475" t="n">
        <v>36923</v>
      </c>
      <c r="L331" s="254" t="n">
        <v>-62428.7196163354</v>
      </c>
      <c r="M331" s="475" t="n">
        <v>36921</v>
      </c>
      <c r="N331" s="0" t="s">
        <v>136</v>
      </c>
      <c r="O331" s="0" t="n">
        <v>5</v>
      </c>
      <c r="P331" s="0" t="n">
        <v>0</v>
      </c>
      <c r="Q331" s="0" t="n">
        <v>0</v>
      </c>
      <c r="R331" s="0" t="n">
        <v>0</v>
      </c>
      <c r="S331" s="0" t="n">
        <v>0</v>
      </c>
      <c r="T331" s="0" t="s">
        <v>624</v>
      </c>
      <c r="U331" s="0" t="s">
        <v>149</v>
      </c>
      <c r="V331" s="0" t="s">
        <v>624</v>
      </c>
      <c r="W331" s="0" t="s">
        <v>569</v>
      </c>
      <c r="X331" s="0" t="s">
        <v>624</v>
      </c>
      <c r="Y331" s="0" t="s">
        <v>627</v>
      </c>
      <c r="Z331" s="0" t="s">
        <v>629</v>
      </c>
      <c r="AA331" s="0" t="s">
        <v>624</v>
      </c>
      <c r="AB331" s="0" t="s">
        <v>132</v>
      </c>
      <c r="AC331" s="254" t="n">
        <v>-500000</v>
      </c>
      <c r="AD331" s="254" t="n">
        <v>-20082.8624809745</v>
      </c>
      <c r="AE331" s="0" t="n">
        <v>0</v>
      </c>
      <c r="AF331" s="0" t="n">
        <v>0</v>
      </c>
      <c r="AG331" s="0" t="n">
        <v>0</v>
      </c>
      <c r="AH331" s="254" t="n">
        <v>-5834.98999834767</v>
      </c>
      <c r="AI331" s="0" t="n">
        <v>226</v>
      </c>
      <c r="AJ331" s="0" t="s">
        <v>630</v>
      </c>
      <c r="AK331" s="0" t="n">
        <v>0</v>
      </c>
      <c r="AL331" s="0" t="n">
        <v>0</v>
      </c>
      <c r="AM331" s="0" t="n">
        <v>0</v>
      </c>
    </row>
    <row r="332" customFormat="false" ht="12.75" hidden="false" customHeight="false" outlineLevel="0" collapsed="false">
      <c r="A332" s="0" t="s">
        <v>621</v>
      </c>
      <c r="B332" s="0" t="s">
        <v>321</v>
      </c>
      <c r="C332" s="0" t="s">
        <v>622</v>
      </c>
      <c r="D332" s="0" t="s">
        <v>623</v>
      </c>
      <c r="E332" s="0" t="s">
        <v>131</v>
      </c>
      <c r="F332" s="0" t="s">
        <v>198</v>
      </c>
      <c r="G332" s="0" t="s">
        <v>628</v>
      </c>
      <c r="H332" s="0" t="s">
        <v>625</v>
      </c>
      <c r="I332" s="0" t="s">
        <v>626</v>
      </c>
      <c r="J332" s="0" t="s">
        <v>627</v>
      </c>
      <c r="K332" s="475" t="n">
        <v>36892</v>
      </c>
      <c r="L332" s="254" t="n">
        <v>-53134.9549225536</v>
      </c>
      <c r="M332" s="475" t="n">
        <v>36888</v>
      </c>
      <c r="N332" s="0" t="s">
        <v>136</v>
      </c>
      <c r="O332" s="0" t="n">
        <v>5</v>
      </c>
      <c r="P332" s="0" t="n">
        <v>0</v>
      </c>
      <c r="Q332" s="0" t="n">
        <v>0</v>
      </c>
      <c r="R332" s="0" t="n">
        <v>0</v>
      </c>
      <c r="S332" s="0" t="n">
        <v>0</v>
      </c>
      <c r="T332" s="0" t="s">
        <v>624</v>
      </c>
      <c r="U332" s="0" t="s">
        <v>149</v>
      </c>
      <c r="V332" s="0" t="s">
        <v>624</v>
      </c>
      <c r="W332" s="0" t="s">
        <v>569</v>
      </c>
      <c r="X332" s="0" t="s">
        <v>624</v>
      </c>
      <c r="Y332" s="0" t="s">
        <v>627</v>
      </c>
      <c r="Z332" s="0" t="s">
        <v>629</v>
      </c>
      <c r="AA332" s="0" t="s">
        <v>624</v>
      </c>
      <c r="AB332" s="0" t="s">
        <v>132</v>
      </c>
      <c r="AC332" s="254" t="n">
        <v>-500000</v>
      </c>
      <c r="AD332" s="254" t="n">
        <v>-17238.7530669763</v>
      </c>
      <c r="AE332" s="0" t="n">
        <v>0</v>
      </c>
      <c r="AF332" s="0" t="n">
        <v>0</v>
      </c>
      <c r="AG332" s="0" t="n">
        <v>0</v>
      </c>
      <c r="AH332" s="254" t="n">
        <v>-4623.9531420781</v>
      </c>
      <c r="AI332" s="0" t="n">
        <v>226</v>
      </c>
      <c r="AJ332" s="0" t="s">
        <v>630</v>
      </c>
      <c r="AK332" s="0" t="n">
        <v>0</v>
      </c>
      <c r="AL332" s="0" t="n">
        <v>0</v>
      </c>
      <c r="AM332" s="0" t="n">
        <v>0</v>
      </c>
    </row>
    <row r="333" customFormat="false" ht="12.75" hidden="false" customHeight="false" outlineLevel="0" collapsed="false">
      <c r="A333" s="0" t="s">
        <v>621</v>
      </c>
      <c r="B333" s="0" t="s">
        <v>321</v>
      </c>
      <c r="C333" s="0" t="s">
        <v>622</v>
      </c>
      <c r="D333" s="0" t="s">
        <v>623</v>
      </c>
      <c r="E333" s="0" t="s">
        <v>131</v>
      </c>
      <c r="F333" s="0" t="s">
        <v>198</v>
      </c>
      <c r="G333" s="0" t="s">
        <v>628</v>
      </c>
      <c r="H333" s="0" t="s">
        <v>625</v>
      </c>
      <c r="I333" s="0" t="s">
        <v>626</v>
      </c>
      <c r="J333" s="0" t="s">
        <v>627</v>
      </c>
      <c r="K333" s="475" t="n">
        <v>36861</v>
      </c>
      <c r="L333" s="254" t="n">
        <v>-13094.2650736354</v>
      </c>
      <c r="M333" s="475" t="n">
        <v>36859</v>
      </c>
      <c r="N333" s="0" t="s">
        <v>136</v>
      </c>
      <c r="O333" s="0" t="n">
        <v>5</v>
      </c>
      <c r="P333" s="0" t="n">
        <v>0</v>
      </c>
      <c r="Q333" s="0" t="n">
        <v>0</v>
      </c>
      <c r="R333" s="0" t="n">
        <v>0</v>
      </c>
      <c r="S333" s="0" t="n">
        <v>0</v>
      </c>
      <c r="T333" s="0" t="s">
        <v>624</v>
      </c>
      <c r="U333" s="0" t="s">
        <v>149</v>
      </c>
      <c r="V333" s="0" t="s">
        <v>624</v>
      </c>
      <c r="W333" s="0" t="s">
        <v>569</v>
      </c>
      <c r="X333" s="0" t="s">
        <v>624</v>
      </c>
      <c r="Y333" s="0" t="s">
        <v>627</v>
      </c>
      <c r="Z333" s="0" t="s">
        <v>629</v>
      </c>
      <c r="AA333" s="0" t="s">
        <v>624</v>
      </c>
      <c r="AB333" s="0" t="s">
        <v>132</v>
      </c>
      <c r="AC333" s="254" t="n">
        <v>-500000</v>
      </c>
      <c r="AD333" s="254" t="n">
        <v>-6824.57105527569</v>
      </c>
      <c r="AE333" s="0" t="n">
        <v>0</v>
      </c>
      <c r="AF333" s="0" t="n">
        <v>0</v>
      </c>
      <c r="AG333" s="0" t="n">
        <v>0</v>
      </c>
      <c r="AH333" s="254" t="n">
        <v>-1385.40975674192</v>
      </c>
      <c r="AI333" s="0" t="n">
        <v>226</v>
      </c>
      <c r="AJ333" s="0" t="s">
        <v>630</v>
      </c>
      <c r="AK333" s="0" t="n">
        <v>0</v>
      </c>
      <c r="AL333" s="0" t="n">
        <v>0</v>
      </c>
      <c r="AM333" s="0" t="n">
        <v>0</v>
      </c>
    </row>
    <row r="334" customFormat="false" ht="12.75" hidden="false" customHeight="false" outlineLevel="0" collapsed="false">
      <c r="A334" s="0" t="s">
        <v>621</v>
      </c>
      <c r="B334" s="0" t="s">
        <v>321</v>
      </c>
      <c r="C334" s="0" t="s">
        <v>622</v>
      </c>
      <c r="D334" s="0" t="s">
        <v>623</v>
      </c>
      <c r="E334" s="0" t="s">
        <v>131</v>
      </c>
      <c r="F334" s="0" t="s">
        <v>198</v>
      </c>
      <c r="G334" s="0" t="s">
        <v>628</v>
      </c>
      <c r="H334" s="0" t="s">
        <v>625</v>
      </c>
      <c r="I334" s="0" t="s">
        <v>626</v>
      </c>
      <c r="J334" s="0" t="s">
        <v>627</v>
      </c>
      <c r="K334" s="475" t="n">
        <v>36831</v>
      </c>
      <c r="L334" s="254" t="n">
        <v>-10.4741665738138</v>
      </c>
      <c r="M334" s="475" t="n">
        <v>36829</v>
      </c>
      <c r="N334" s="0" t="s">
        <v>136</v>
      </c>
      <c r="O334" s="0" t="n">
        <v>5</v>
      </c>
      <c r="P334" s="0" t="n">
        <v>0</v>
      </c>
      <c r="Q334" s="0" t="n">
        <v>0</v>
      </c>
      <c r="R334" s="0" t="n">
        <v>0</v>
      </c>
      <c r="S334" s="0" t="n">
        <v>0</v>
      </c>
      <c r="T334" s="0" t="s">
        <v>624</v>
      </c>
      <c r="U334" s="0" t="s">
        <v>149</v>
      </c>
      <c r="V334" s="0" t="s">
        <v>624</v>
      </c>
      <c r="W334" s="0" t="s">
        <v>569</v>
      </c>
      <c r="X334" s="0" t="s">
        <v>624</v>
      </c>
      <c r="Y334" s="0" t="s">
        <v>627</v>
      </c>
      <c r="Z334" s="0" t="s">
        <v>629</v>
      </c>
      <c r="AA334" s="0" t="s">
        <v>624</v>
      </c>
      <c r="AB334" s="0" t="s">
        <v>132</v>
      </c>
      <c r="AC334" s="254" t="n">
        <v>-500000</v>
      </c>
      <c r="AD334" s="254" t="n">
        <v>-17.2368308730049</v>
      </c>
      <c r="AE334" s="0" t="n">
        <v>0</v>
      </c>
      <c r="AF334" s="0" t="n">
        <v>0</v>
      </c>
      <c r="AG334" s="0" t="n">
        <v>0</v>
      </c>
      <c r="AH334" s="254" t="n">
        <v>-3.55446351211168</v>
      </c>
      <c r="AI334" s="0" t="n">
        <v>226</v>
      </c>
      <c r="AJ334" s="0" t="s">
        <v>630</v>
      </c>
      <c r="AK334" s="0" t="n">
        <v>0</v>
      </c>
      <c r="AL334" s="0" t="n">
        <v>0</v>
      </c>
      <c r="AM334" s="0" t="n">
        <v>0</v>
      </c>
    </row>
    <row r="335" customFormat="false" ht="12.75" hidden="false" customHeight="false" outlineLevel="0" collapsed="false">
      <c r="A335" s="0" t="s">
        <v>621</v>
      </c>
      <c r="B335" s="0" t="s">
        <v>322</v>
      </c>
      <c r="C335" s="0" t="s">
        <v>622</v>
      </c>
      <c r="D335" s="0" t="s">
        <v>623</v>
      </c>
      <c r="E335" s="0" t="s">
        <v>131</v>
      </c>
      <c r="F335" s="0" t="s">
        <v>198</v>
      </c>
      <c r="G335" s="0" t="s">
        <v>628</v>
      </c>
      <c r="H335" s="0" t="s">
        <v>625</v>
      </c>
      <c r="I335" s="0" t="s">
        <v>626</v>
      </c>
      <c r="J335" s="0" t="s">
        <v>627</v>
      </c>
      <c r="K335" s="475" t="n">
        <v>36982</v>
      </c>
      <c r="L335" s="254" t="n">
        <v>-80776.2328483606</v>
      </c>
      <c r="M335" s="475" t="n">
        <v>36979</v>
      </c>
      <c r="N335" s="0" t="s">
        <v>132</v>
      </c>
      <c r="O335" s="0" t="n">
        <v>0.4</v>
      </c>
      <c r="P335" s="0" t="n">
        <v>0</v>
      </c>
      <c r="Q335" s="0" t="n">
        <v>0</v>
      </c>
      <c r="R335" s="0" t="n">
        <v>0</v>
      </c>
      <c r="S335" s="0" t="n">
        <v>0</v>
      </c>
      <c r="T335" s="0" t="s">
        <v>624</v>
      </c>
      <c r="U335" s="0" t="s">
        <v>149</v>
      </c>
      <c r="V335" s="0" t="s">
        <v>624</v>
      </c>
      <c r="W335" s="0" t="s">
        <v>569</v>
      </c>
      <c r="X335" s="0" t="s">
        <v>624</v>
      </c>
      <c r="Y335" s="0" t="s">
        <v>627</v>
      </c>
      <c r="Z335" s="0" t="s">
        <v>629</v>
      </c>
      <c r="AA335" s="0" t="s">
        <v>624</v>
      </c>
      <c r="AB335" s="0" t="s">
        <v>132</v>
      </c>
      <c r="AC335" s="254" t="n">
        <v>-1000000</v>
      </c>
      <c r="AD335" s="254" t="n">
        <v>-25230.051973363</v>
      </c>
      <c r="AE335" s="0" t="n">
        <v>0</v>
      </c>
      <c r="AF335" s="0" t="n">
        <v>0</v>
      </c>
      <c r="AG335" s="0" t="n">
        <v>0</v>
      </c>
      <c r="AH335" s="254" t="n">
        <v>-1202.35417190085</v>
      </c>
      <c r="AI335" s="0" t="n">
        <v>226</v>
      </c>
      <c r="AJ335" s="0" t="s">
        <v>630</v>
      </c>
      <c r="AK335" s="0" t="n">
        <v>0</v>
      </c>
      <c r="AL335" s="0" t="n">
        <v>0</v>
      </c>
      <c r="AM335" s="0" t="n">
        <v>0</v>
      </c>
    </row>
    <row r="336" customFormat="false" ht="12.75" hidden="false" customHeight="false" outlineLevel="0" collapsed="false">
      <c r="A336" s="0" t="s">
        <v>621</v>
      </c>
      <c r="B336" s="0" t="s">
        <v>323</v>
      </c>
      <c r="C336" s="0" t="s">
        <v>622</v>
      </c>
      <c r="D336" s="0" t="s">
        <v>623</v>
      </c>
      <c r="E336" s="0" t="s">
        <v>131</v>
      </c>
      <c r="F336" s="0" t="s">
        <v>198</v>
      </c>
      <c r="G336" s="0" t="s">
        <v>628</v>
      </c>
      <c r="H336" s="0" t="s">
        <v>625</v>
      </c>
      <c r="I336" s="0" t="s">
        <v>626</v>
      </c>
      <c r="J336" s="0" t="s">
        <v>627</v>
      </c>
      <c r="K336" s="475" t="n">
        <v>36982</v>
      </c>
      <c r="L336" s="254" t="n">
        <v>-74548.0841619564</v>
      </c>
      <c r="M336" s="475" t="n">
        <v>36979</v>
      </c>
      <c r="N336" s="0" t="s">
        <v>136</v>
      </c>
      <c r="O336" s="0" t="n">
        <v>0.7</v>
      </c>
      <c r="P336" s="0" t="n">
        <v>0</v>
      </c>
      <c r="Q336" s="0" t="n">
        <v>0</v>
      </c>
      <c r="R336" s="0" t="n">
        <v>0</v>
      </c>
      <c r="S336" s="0" t="n">
        <v>0</v>
      </c>
      <c r="T336" s="0" t="s">
        <v>624</v>
      </c>
      <c r="U336" s="0" t="s">
        <v>149</v>
      </c>
      <c r="V336" s="0" t="s">
        <v>624</v>
      </c>
      <c r="W336" s="0" t="s">
        <v>569</v>
      </c>
      <c r="X336" s="0" t="s">
        <v>624</v>
      </c>
      <c r="Y336" s="0" t="s">
        <v>627</v>
      </c>
      <c r="Z336" s="0" t="s">
        <v>629</v>
      </c>
      <c r="AA336" s="0" t="s">
        <v>624</v>
      </c>
      <c r="AB336" s="0" t="s">
        <v>132</v>
      </c>
      <c r="AC336" s="254" t="n">
        <v>-1000000</v>
      </c>
      <c r="AD336" s="254" t="n">
        <v>-21902.4850963094</v>
      </c>
      <c r="AE336" s="0" t="n">
        <v>0</v>
      </c>
      <c r="AF336" s="0" t="n">
        <v>0</v>
      </c>
      <c r="AG336" s="0" t="n">
        <v>0</v>
      </c>
      <c r="AH336" s="254" t="n">
        <v>-1042.24908708215</v>
      </c>
      <c r="AI336" s="0" t="n">
        <v>226</v>
      </c>
      <c r="AJ336" s="0" t="s">
        <v>630</v>
      </c>
      <c r="AK336" s="0" t="n">
        <v>0</v>
      </c>
      <c r="AL336" s="0" t="n">
        <v>0</v>
      </c>
      <c r="AM336" s="0" t="n">
        <v>0</v>
      </c>
    </row>
    <row r="337" customFormat="false" ht="12.75" hidden="false" customHeight="false" outlineLevel="0" collapsed="false">
      <c r="A337" s="0" t="s">
        <v>621</v>
      </c>
      <c r="B337" s="0" t="s">
        <v>324</v>
      </c>
      <c r="C337" s="0" t="s">
        <v>622</v>
      </c>
      <c r="D337" s="0" t="s">
        <v>623</v>
      </c>
      <c r="E337" s="0" t="s">
        <v>131</v>
      </c>
      <c r="F337" s="0" t="s">
        <v>198</v>
      </c>
      <c r="G337" s="0" t="s">
        <v>628</v>
      </c>
      <c r="H337" s="0" t="s">
        <v>625</v>
      </c>
      <c r="I337" s="0" t="s">
        <v>626</v>
      </c>
      <c r="J337" s="0" t="s">
        <v>627</v>
      </c>
      <c r="K337" s="475" t="n">
        <v>36951</v>
      </c>
      <c r="L337" s="254" t="n">
        <v>-164993.618616551</v>
      </c>
      <c r="M337" s="475" t="n">
        <v>36949</v>
      </c>
      <c r="N337" s="0" t="s">
        <v>136</v>
      </c>
      <c r="O337" s="0" t="n">
        <v>1.6</v>
      </c>
      <c r="P337" s="0" t="n">
        <v>0</v>
      </c>
      <c r="Q337" s="0" t="n">
        <v>0</v>
      </c>
      <c r="R337" s="0" t="n">
        <v>0</v>
      </c>
      <c r="S337" s="0" t="n">
        <v>0</v>
      </c>
      <c r="T337" s="0" t="s">
        <v>624</v>
      </c>
      <c r="U337" s="0" t="s">
        <v>149</v>
      </c>
      <c r="V337" s="0" t="s">
        <v>624</v>
      </c>
      <c r="W337" s="0" t="s">
        <v>569</v>
      </c>
      <c r="X337" s="0" t="s">
        <v>624</v>
      </c>
      <c r="Y337" s="0" t="s">
        <v>627</v>
      </c>
      <c r="Z337" s="0" t="s">
        <v>629</v>
      </c>
      <c r="AA337" s="0" t="s">
        <v>624</v>
      </c>
      <c r="AB337" s="0" t="s">
        <v>132</v>
      </c>
      <c r="AC337" s="254" t="n">
        <v>-500000</v>
      </c>
      <c r="AD337" s="254" t="n">
        <v>-40486.3019028012</v>
      </c>
      <c r="AE337" s="0" t="n">
        <v>0</v>
      </c>
      <c r="AF337" s="0" t="n">
        <v>0</v>
      </c>
      <c r="AG337" s="0" t="n">
        <v>0</v>
      </c>
      <c r="AH337" s="254" t="n">
        <v>-13572.421626798</v>
      </c>
      <c r="AI337" s="0" t="n">
        <v>226</v>
      </c>
      <c r="AJ337" s="0" t="s">
        <v>630</v>
      </c>
      <c r="AK337" s="0" t="n">
        <v>0</v>
      </c>
      <c r="AL337" s="0" t="n">
        <v>0</v>
      </c>
      <c r="AM337" s="0" t="n">
        <v>0</v>
      </c>
    </row>
    <row r="338" customFormat="false" ht="12.75" hidden="false" customHeight="false" outlineLevel="0" collapsed="false">
      <c r="A338" s="0" t="s">
        <v>621</v>
      </c>
      <c r="B338" s="0" t="s">
        <v>324</v>
      </c>
      <c r="C338" s="0" t="s">
        <v>622</v>
      </c>
      <c r="D338" s="0" t="s">
        <v>623</v>
      </c>
      <c r="E338" s="0" t="s">
        <v>131</v>
      </c>
      <c r="F338" s="0" t="s">
        <v>198</v>
      </c>
      <c r="G338" s="0" t="s">
        <v>628</v>
      </c>
      <c r="H338" s="0" t="s">
        <v>625</v>
      </c>
      <c r="I338" s="0" t="s">
        <v>626</v>
      </c>
      <c r="J338" s="0" t="s">
        <v>627</v>
      </c>
      <c r="K338" s="475" t="n">
        <v>36923</v>
      </c>
      <c r="L338" s="254" t="n">
        <v>-453075.250208886</v>
      </c>
      <c r="M338" s="475" t="n">
        <v>36921</v>
      </c>
      <c r="N338" s="0" t="s">
        <v>136</v>
      </c>
      <c r="O338" s="0" t="n">
        <v>1.6</v>
      </c>
      <c r="P338" s="0" t="n">
        <v>0</v>
      </c>
      <c r="Q338" s="0" t="n">
        <v>0</v>
      </c>
      <c r="R338" s="0" t="n">
        <v>0</v>
      </c>
      <c r="S338" s="0" t="n">
        <v>0</v>
      </c>
      <c r="T338" s="0" t="s">
        <v>624</v>
      </c>
      <c r="U338" s="0" t="s">
        <v>149</v>
      </c>
      <c r="V338" s="0" t="s">
        <v>624</v>
      </c>
      <c r="W338" s="0" t="s">
        <v>569</v>
      </c>
      <c r="X338" s="0" t="s">
        <v>624</v>
      </c>
      <c r="Y338" s="0" t="s">
        <v>627</v>
      </c>
      <c r="Z338" s="0" t="s">
        <v>629</v>
      </c>
      <c r="AA338" s="0" t="s">
        <v>624</v>
      </c>
      <c r="AB338" s="0" t="s">
        <v>132</v>
      </c>
      <c r="AC338" s="254" t="n">
        <v>-500000</v>
      </c>
      <c r="AD338" s="254" t="n">
        <v>-41984.3190253582</v>
      </c>
      <c r="AE338" s="0" t="n">
        <v>0</v>
      </c>
      <c r="AF338" s="0" t="n">
        <v>0</v>
      </c>
      <c r="AG338" s="0" t="n">
        <v>0</v>
      </c>
      <c r="AH338" s="254" t="n">
        <v>-24464.7308334743</v>
      </c>
      <c r="AI338" s="0" t="n">
        <v>226</v>
      </c>
      <c r="AJ338" s="0" t="s">
        <v>630</v>
      </c>
      <c r="AK338" s="0" t="n">
        <v>0</v>
      </c>
      <c r="AL338" s="0" t="n">
        <v>0</v>
      </c>
      <c r="AM338" s="0" t="n">
        <v>0</v>
      </c>
    </row>
    <row r="339" customFormat="false" ht="12.75" hidden="false" customHeight="false" outlineLevel="0" collapsed="false">
      <c r="A339" s="0" t="s">
        <v>621</v>
      </c>
      <c r="B339" s="0" t="s">
        <v>324</v>
      </c>
      <c r="C339" s="0" t="s">
        <v>622</v>
      </c>
      <c r="D339" s="0" t="s">
        <v>623</v>
      </c>
      <c r="E339" s="0" t="s">
        <v>131</v>
      </c>
      <c r="F339" s="0" t="s">
        <v>198</v>
      </c>
      <c r="G339" s="0" t="s">
        <v>628</v>
      </c>
      <c r="H339" s="0" t="s">
        <v>625</v>
      </c>
      <c r="I339" s="0" t="s">
        <v>626</v>
      </c>
      <c r="J339" s="0" t="s">
        <v>627</v>
      </c>
      <c r="K339" s="475" t="n">
        <v>36892</v>
      </c>
      <c r="L339" s="254" t="n">
        <v>-464051.028212785</v>
      </c>
      <c r="M339" s="475" t="n">
        <v>36888</v>
      </c>
      <c r="N339" s="0" t="s">
        <v>136</v>
      </c>
      <c r="O339" s="0" t="n">
        <v>1.6</v>
      </c>
      <c r="P339" s="0" t="n">
        <v>0</v>
      </c>
      <c r="Q339" s="0" t="n">
        <v>0</v>
      </c>
      <c r="R339" s="0" t="n">
        <v>0</v>
      </c>
      <c r="S339" s="0" t="n">
        <v>0</v>
      </c>
      <c r="T339" s="0" t="s">
        <v>624</v>
      </c>
      <c r="U339" s="0" t="s">
        <v>149</v>
      </c>
      <c r="V339" s="0" t="s">
        <v>624</v>
      </c>
      <c r="W339" s="0" t="s">
        <v>569</v>
      </c>
      <c r="X339" s="0" t="s">
        <v>624</v>
      </c>
      <c r="Y339" s="0" t="s">
        <v>627</v>
      </c>
      <c r="Z339" s="0" t="s">
        <v>629</v>
      </c>
      <c r="AA339" s="0" t="s">
        <v>624</v>
      </c>
      <c r="AB339" s="0" t="s">
        <v>132</v>
      </c>
      <c r="AC339" s="254" t="n">
        <v>-500000</v>
      </c>
      <c r="AD339" s="254" t="n">
        <v>-37672.5296271704</v>
      </c>
      <c r="AE339" s="0" t="n">
        <v>0</v>
      </c>
      <c r="AF339" s="0" t="n">
        <v>0</v>
      </c>
      <c r="AG339" s="0" t="n">
        <v>0</v>
      </c>
      <c r="AH339" s="254" t="n">
        <v>-21769.1083987984</v>
      </c>
      <c r="AI339" s="0" t="n">
        <v>226</v>
      </c>
      <c r="AJ339" s="0" t="s">
        <v>630</v>
      </c>
      <c r="AK339" s="0" t="n">
        <v>0</v>
      </c>
      <c r="AL339" s="0" t="n">
        <v>0</v>
      </c>
      <c r="AM339" s="0" t="n">
        <v>0</v>
      </c>
    </row>
    <row r="340" customFormat="false" ht="12.75" hidden="false" customHeight="false" outlineLevel="0" collapsed="false">
      <c r="A340" s="0" t="s">
        <v>621</v>
      </c>
      <c r="B340" s="0" t="s">
        <v>324</v>
      </c>
      <c r="C340" s="0" t="s">
        <v>622</v>
      </c>
      <c r="D340" s="0" t="s">
        <v>623</v>
      </c>
      <c r="E340" s="0" t="s">
        <v>131</v>
      </c>
      <c r="F340" s="0" t="s">
        <v>198</v>
      </c>
      <c r="G340" s="0" t="s">
        <v>628</v>
      </c>
      <c r="H340" s="0" t="s">
        <v>625</v>
      </c>
      <c r="I340" s="0" t="s">
        <v>626</v>
      </c>
      <c r="J340" s="0" t="s">
        <v>627</v>
      </c>
      <c r="K340" s="475" t="n">
        <v>36861</v>
      </c>
      <c r="L340" s="254" t="n">
        <v>-267671.475447127</v>
      </c>
      <c r="M340" s="475" t="n">
        <v>36859</v>
      </c>
      <c r="N340" s="0" t="s">
        <v>136</v>
      </c>
      <c r="O340" s="0" t="n">
        <v>1.6</v>
      </c>
      <c r="P340" s="0" t="n">
        <v>0</v>
      </c>
      <c r="Q340" s="0" t="n">
        <v>0</v>
      </c>
      <c r="R340" s="0" t="n">
        <v>0</v>
      </c>
      <c r="S340" s="0" t="n">
        <v>0</v>
      </c>
      <c r="T340" s="0" t="s">
        <v>624</v>
      </c>
      <c r="U340" s="0" t="s">
        <v>149</v>
      </c>
      <c r="V340" s="0" t="s">
        <v>624</v>
      </c>
      <c r="W340" s="0" t="s">
        <v>569</v>
      </c>
      <c r="X340" s="0" t="s">
        <v>624</v>
      </c>
      <c r="Y340" s="0" t="s">
        <v>627</v>
      </c>
      <c r="Z340" s="0" t="s">
        <v>629</v>
      </c>
      <c r="AA340" s="0" t="s">
        <v>624</v>
      </c>
      <c r="AB340" s="0" t="s">
        <v>132</v>
      </c>
      <c r="AC340" s="254" t="n">
        <v>-500000</v>
      </c>
      <c r="AD340" s="254" t="n">
        <v>-35401.2014237187</v>
      </c>
      <c r="AE340" s="0" t="n">
        <v>0</v>
      </c>
      <c r="AF340" s="0" t="n">
        <v>0</v>
      </c>
      <c r="AG340" s="0" t="n">
        <v>0</v>
      </c>
      <c r="AH340" s="254" t="n">
        <v>-13921.8512695827</v>
      </c>
      <c r="AI340" s="0" t="n">
        <v>226</v>
      </c>
      <c r="AJ340" s="0" t="s">
        <v>630</v>
      </c>
      <c r="AK340" s="0" t="n">
        <v>0</v>
      </c>
      <c r="AL340" s="0" t="n">
        <v>0</v>
      </c>
      <c r="AM340" s="0" t="n">
        <v>0</v>
      </c>
    </row>
    <row r="341" customFormat="false" ht="12.75" hidden="false" customHeight="false" outlineLevel="0" collapsed="false">
      <c r="A341" s="0" t="s">
        <v>621</v>
      </c>
      <c r="B341" s="0" t="s">
        <v>324</v>
      </c>
      <c r="C341" s="0" t="s">
        <v>622</v>
      </c>
      <c r="D341" s="0" t="s">
        <v>623</v>
      </c>
      <c r="E341" s="0" t="s">
        <v>131</v>
      </c>
      <c r="F341" s="0" t="s">
        <v>198</v>
      </c>
      <c r="G341" s="0" t="s">
        <v>628</v>
      </c>
      <c r="H341" s="0" t="s">
        <v>625</v>
      </c>
      <c r="I341" s="0" t="s">
        <v>626</v>
      </c>
      <c r="J341" s="0" t="s">
        <v>627</v>
      </c>
      <c r="K341" s="475" t="n">
        <v>36831</v>
      </c>
      <c r="L341" s="254" t="n">
        <v>-24777.4772968778</v>
      </c>
      <c r="M341" s="475" t="n">
        <v>36829</v>
      </c>
      <c r="N341" s="0" t="s">
        <v>136</v>
      </c>
      <c r="O341" s="0" t="n">
        <v>1.6</v>
      </c>
      <c r="P341" s="0" t="n">
        <v>0</v>
      </c>
      <c r="Q341" s="0" t="n">
        <v>0</v>
      </c>
      <c r="R341" s="0" t="n">
        <v>0</v>
      </c>
      <c r="S341" s="0" t="n">
        <v>0</v>
      </c>
      <c r="T341" s="0" t="s">
        <v>624</v>
      </c>
      <c r="U341" s="0" t="s">
        <v>149</v>
      </c>
      <c r="V341" s="0" t="s">
        <v>624</v>
      </c>
      <c r="W341" s="0" t="s">
        <v>569</v>
      </c>
      <c r="X341" s="0" t="s">
        <v>624</v>
      </c>
      <c r="Y341" s="0" t="s">
        <v>627</v>
      </c>
      <c r="Z341" s="0" t="s">
        <v>629</v>
      </c>
      <c r="AA341" s="0" t="s">
        <v>624</v>
      </c>
      <c r="AB341" s="0" t="s">
        <v>132</v>
      </c>
      <c r="AC341" s="254" t="n">
        <v>-500000</v>
      </c>
      <c r="AD341" s="254" t="n">
        <v>-11503.9442741136</v>
      </c>
      <c r="AE341" s="0" t="n">
        <v>0</v>
      </c>
      <c r="AF341" s="0" t="n">
        <v>0</v>
      </c>
      <c r="AG341" s="0" t="n">
        <v>0</v>
      </c>
      <c r="AH341" s="254" t="n">
        <v>-3479.1637170616</v>
      </c>
      <c r="AI341" s="0" t="n">
        <v>226</v>
      </c>
      <c r="AJ341" s="0" t="s">
        <v>630</v>
      </c>
      <c r="AK341" s="0" t="n">
        <v>0</v>
      </c>
      <c r="AL341" s="0" t="n">
        <v>0</v>
      </c>
      <c r="AM341" s="0" t="n">
        <v>0</v>
      </c>
    </row>
    <row r="342" customFormat="false" ht="12.75" hidden="false" customHeight="false" outlineLevel="0" collapsed="false">
      <c r="A342" s="0" t="s">
        <v>621</v>
      </c>
      <c r="B342" s="0" t="s">
        <v>325</v>
      </c>
      <c r="C342" s="0" t="s">
        <v>622</v>
      </c>
      <c r="D342" s="0" t="s">
        <v>623</v>
      </c>
      <c r="E342" s="0" t="s">
        <v>131</v>
      </c>
      <c r="F342" s="0" t="s">
        <v>198</v>
      </c>
      <c r="G342" s="0" t="s">
        <v>628</v>
      </c>
      <c r="H342" s="0" t="s">
        <v>625</v>
      </c>
      <c r="I342" s="0" t="s">
        <v>626</v>
      </c>
      <c r="J342" s="0" t="s">
        <v>627</v>
      </c>
      <c r="K342" s="475" t="n">
        <v>36951</v>
      </c>
      <c r="L342" s="254" t="n">
        <v>-418589.113071264</v>
      </c>
      <c r="M342" s="475" t="n">
        <v>36949</v>
      </c>
      <c r="N342" s="0" t="s">
        <v>132</v>
      </c>
      <c r="O342" s="0" t="n">
        <v>1.6</v>
      </c>
      <c r="P342" s="0" t="n">
        <v>0</v>
      </c>
      <c r="Q342" s="0" t="n">
        <v>0</v>
      </c>
      <c r="R342" s="0" t="n">
        <v>0</v>
      </c>
      <c r="S342" s="0" t="n">
        <v>0</v>
      </c>
      <c r="T342" s="0" t="s">
        <v>624</v>
      </c>
      <c r="U342" s="0" t="s">
        <v>149</v>
      </c>
      <c r="V342" s="0" t="s">
        <v>624</v>
      </c>
      <c r="W342" s="0" t="s">
        <v>569</v>
      </c>
      <c r="X342" s="0" t="s">
        <v>624</v>
      </c>
      <c r="Y342" s="0" t="s">
        <v>627</v>
      </c>
      <c r="Z342" s="0" t="s">
        <v>629</v>
      </c>
      <c r="AA342" s="0" t="s">
        <v>624</v>
      </c>
      <c r="AB342" s="0" t="s">
        <v>132</v>
      </c>
      <c r="AC342" s="254" t="n">
        <v>-500000</v>
      </c>
      <c r="AD342" s="254" t="n">
        <v>-40486.3019028012</v>
      </c>
      <c r="AE342" s="0" t="n">
        <v>0</v>
      </c>
      <c r="AF342" s="0" t="n">
        <v>0</v>
      </c>
      <c r="AG342" s="0" t="n">
        <v>0</v>
      </c>
      <c r="AH342" s="254" t="n">
        <v>15395.6453269765</v>
      </c>
      <c r="AI342" s="0" t="n">
        <v>226</v>
      </c>
      <c r="AJ342" s="0" t="s">
        <v>630</v>
      </c>
      <c r="AK342" s="0" t="n">
        <v>0</v>
      </c>
      <c r="AL342" s="0" t="n">
        <v>0</v>
      </c>
      <c r="AM342" s="0" t="n">
        <v>0</v>
      </c>
    </row>
    <row r="343" customFormat="false" ht="12.75" hidden="false" customHeight="false" outlineLevel="0" collapsed="false">
      <c r="A343" s="0" t="s">
        <v>621</v>
      </c>
      <c r="B343" s="0" t="s">
        <v>325</v>
      </c>
      <c r="C343" s="0" t="s">
        <v>622</v>
      </c>
      <c r="D343" s="0" t="s">
        <v>623</v>
      </c>
      <c r="E343" s="0" t="s">
        <v>131</v>
      </c>
      <c r="F343" s="0" t="s">
        <v>198</v>
      </c>
      <c r="G343" s="0" t="s">
        <v>628</v>
      </c>
      <c r="H343" s="0" t="s">
        <v>625</v>
      </c>
      <c r="I343" s="0" t="s">
        <v>626</v>
      </c>
      <c r="J343" s="0" t="s">
        <v>627</v>
      </c>
      <c r="K343" s="475" t="n">
        <v>36923</v>
      </c>
      <c r="L343" s="254" t="n">
        <v>-215108.823405965</v>
      </c>
      <c r="M343" s="475" t="n">
        <v>36921</v>
      </c>
      <c r="N343" s="0" t="s">
        <v>132</v>
      </c>
      <c r="O343" s="0" t="n">
        <v>1.6</v>
      </c>
      <c r="P343" s="0" t="n">
        <v>0</v>
      </c>
      <c r="Q343" s="0" t="n">
        <v>0</v>
      </c>
      <c r="R343" s="0" t="n">
        <v>0</v>
      </c>
      <c r="S343" s="0" t="n">
        <v>0</v>
      </c>
      <c r="T343" s="0" t="s">
        <v>624</v>
      </c>
      <c r="U343" s="0" t="s">
        <v>149</v>
      </c>
      <c r="V343" s="0" t="s">
        <v>624</v>
      </c>
      <c r="W343" s="0" t="s">
        <v>569</v>
      </c>
      <c r="X343" s="0" t="s">
        <v>624</v>
      </c>
      <c r="Y343" s="0" t="s">
        <v>627</v>
      </c>
      <c r="Z343" s="0" t="s">
        <v>629</v>
      </c>
      <c r="AA343" s="0" t="s">
        <v>624</v>
      </c>
      <c r="AB343" s="0" t="s">
        <v>132</v>
      </c>
      <c r="AC343" s="254" t="n">
        <v>-500000</v>
      </c>
      <c r="AD343" s="254" t="n">
        <v>-41984.3190253582</v>
      </c>
      <c r="AE343" s="0" t="n">
        <v>0</v>
      </c>
      <c r="AF343" s="0" t="n">
        <v>0</v>
      </c>
      <c r="AG343" s="0" t="n">
        <v>0</v>
      </c>
      <c r="AH343" s="254" t="n">
        <v>9512.99747630197</v>
      </c>
      <c r="AI343" s="0" t="n">
        <v>226</v>
      </c>
      <c r="AJ343" s="0" t="s">
        <v>630</v>
      </c>
      <c r="AK343" s="0" t="n">
        <v>0</v>
      </c>
      <c r="AL343" s="0" t="n">
        <v>0</v>
      </c>
      <c r="AM343" s="0" t="n">
        <v>0</v>
      </c>
    </row>
    <row r="344" customFormat="false" ht="12.75" hidden="false" customHeight="false" outlineLevel="0" collapsed="false">
      <c r="A344" s="0" t="s">
        <v>621</v>
      </c>
      <c r="B344" s="0" t="s">
        <v>325</v>
      </c>
      <c r="C344" s="0" t="s">
        <v>622</v>
      </c>
      <c r="D344" s="0" t="s">
        <v>623</v>
      </c>
      <c r="E344" s="0" t="s">
        <v>131</v>
      </c>
      <c r="F344" s="0" t="s">
        <v>198</v>
      </c>
      <c r="G344" s="0" t="s">
        <v>628</v>
      </c>
      <c r="H344" s="0" t="s">
        <v>625</v>
      </c>
      <c r="I344" s="0" t="s">
        <v>626</v>
      </c>
      <c r="J344" s="0" t="s">
        <v>627</v>
      </c>
      <c r="K344" s="475" t="n">
        <v>36892</v>
      </c>
      <c r="L344" s="254" t="n">
        <v>-185486.210797771</v>
      </c>
      <c r="M344" s="475" t="n">
        <v>36888</v>
      </c>
      <c r="N344" s="0" t="s">
        <v>132</v>
      </c>
      <c r="O344" s="0" t="n">
        <v>1.6</v>
      </c>
      <c r="P344" s="0" t="n">
        <v>0</v>
      </c>
      <c r="Q344" s="0" t="n">
        <v>0</v>
      </c>
      <c r="R344" s="0" t="n">
        <v>0</v>
      </c>
      <c r="S344" s="0" t="n">
        <v>0</v>
      </c>
      <c r="T344" s="0" t="s">
        <v>624</v>
      </c>
      <c r="U344" s="0" t="s">
        <v>149</v>
      </c>
      <c r="V344" s="0" t="s">
        <v>624</v>
      </c>
      <c r="W344" s="0" t="s">
        <v>569</v>
      </c>
      <c r="X344" s="0" t="s">
        <v>624</v>
      </c>
      <c r="Y344" s="0" t="s">
        <v>627</v>
      </c>
      <c r="Z344" s="0" t="s">
        <v>629</v>
      </c>
      <c r="AA344" s="0" t="s">
        <v>624</v>
      </c>
      <c r="AB344" s="0" t="s">
        <v>132</v>
      </c>
      <c r="AC344" s="254" t="n">
        <v>-500000</v>
      </c>
      <c r="AD344" s="254" t="n">
        <v>-37672.5296271704</v>
      </c>
      <c r="AE344" s="0" t="n">
        <v>0</v>
      </c>
      <c r="AF344" s="0" t="n">
        <v>0</v>
      </c>
      <c r="AG344" s="0" t="n">
        <v>0</v>
      </c>
      <c r="AH344" s="254" t="n">
        <v>7537.87022616947</v>
      </c>
      <c r="AI344" s="0" t="n">
        <v>226</v>
      </c>
      <c r="AJ344" s="0" t="s">
        <v>630</v>
      </c>
      <c r="AK344" s="0" t="n">
        <v>0</v>
      </c>
      <c r="AL344" s="0" t="n">
        <v>0</v>
      </c>
      <c r="AM344" s="0" t="n">
        <v>0</v>
      </c>
    </row>
    <row r="345" customFormat="false" ht="12.75" hidden="false" customHeight="false" outlineLevel="0" collapsed="false">
      <c r="A345" s="0" t="s">
        <v>621</v>
      </c>
      <c r="B345" s="0" t="s">
        <v>325</v>
      </c>
      <c r="C345" s="0" t="s">
        <v>622</v>
      </c>
      <c r="D345" s="0" t="s">
        <v>623</v>
      </c>
      <c r="E345" s="0" t="s">
        <v>131</v>
      </c>
      <c r="F345" s="0" t="s">
        <v>198</v>
      </c>
      <c r="G345" s="0" t="s">
        <v>628</v>
      </c>
      <c r="H345" s="0" t="s">
        <v>625</v>
      </c>
      <c r="I345" s="0" t="s">
        <v>626</v>
      </c>
      <c r="J345" s="0" t="s">
        <v>627</v>
      </c>
      <c r="K345" s="475" t="n">
        <v>36861</v>
      </c>
      <c r="L345" s="254" t="n">
        <v>-245559.459185969</v>
      </c>
      <c r="M345" s="475" t="n">
        <v>36859</v>
      </c>
      <c r="N345" s="0" t="s">
        <v>132</v>
      </c>
      <c r="O345" s="0" t="n">
        <v>1.6</v>
      </c>
      <c r="P345" s="0" t="n">
        <v>0</v>
      </c>
      <c r="Q345" s="0" t="n">
        <v>0</v>
      </c>
      <c r="R345" s="0" t="n">
        <v>0</v>
      </c>
      <c r="S345" s="0" t="n">
        <v>0</v>
      </c>
      <c r="T345" s="0" t="s">
        <v>624</v>
      </c>
      <c r="U345" s="0" t="s">
        <v>149</v>
      </c>
      <c r="V345" s="0" t="s">
        <v>624</v>
      </c>
      <c r="W345" s="0" t="s">
        <v>569</v>
      </c>
      <c r="X345" s="0" t="s">
        <v>624</v>
      </c>
      <c r="Y345" s="0" t="s">
        <v>627</v>
      </c>
      <c r="Z345" s="0" t="s">
        <v>629</v>
      </c>
      <c r="AA345" s="0" t="s">
        <v>624</v>
      </c>
      <c r="AB345" s="0" t="s">
        <v>132</v>
      </c>
      <c r="AC345" s="254" t="n">
        <v>-500000</v>
      </c>
      <c r="AD345" s="254" t="n">
        <v>-35401.2014237187</v>
      </c>
      <c r="AE345" s="0" t="n">
        <v>0</v>
      </c>
      <c r="AF345" s="0" t="n">
        <v>0</v>
      </c>
      <c r="AG345" s="0" t="n">
        <v>0</v>
      </c>
      <c r="AH345" s="254" t="n">
        <v>8178.00160513603</v>
      </c>
      <c r="AI345" s="0" t="n">
        <v>226</v>
      </c>
      <c r="AJ345" s="0" t="s">
        <v>630</v>
      </c>
      <c r="AK345" s="0" t="n">
        <v>0</v>
      </c>
      <c r="AL345" s="0" t="n">
        <v>0</v>
      </c>
      <c r="AM345" s="0" t="n">
        <v>0</v>
      </c>
    </row>
    <row r="346" customFormat="false" ht="12.75" hidden="false" customHeight="false" outlineLevel="0" collapsed="false">
      <c r="A346" s="0" t="s">
        <v>621</v>
      </c>
      <c r="B346" s="0" t="s">
        <v>325</v>
      </c>
      <c r="C346" s="0" t="s">
        <v>622</v>
      </c>
      <c r="D346" s="0" t="s">
        <v>623</v>
      </c>
      <c r="E346" s="0" t="s">
        <v>131</v>
      </c>
      <c r="F346" s="0" t="s">
        <v>198</v>
      </c>
      <c r="G346" s="0" t="s">
        <v>628</v>
      </c>
      <c r="H346" s="0" t="s">
        <v>625</v>
      </c>
      <c r="I346" s="0" t="s">
        <v>626</v>
      </c>
      <c r="J346" s="0" t="s">
        <v>627</v>
      </c>
      <c r="K346" s="475" t="n">
        <v>36831</v>
      </c>
      <c r="L346" s="254" t="n">
        <v>-434930.843240284</v>
      </c>
      <c r="M346" s="475" t="n">
        <v>36829</v>
      </c>
      <c r="N346" s="0" t="s">
        <v>132</v>
      </c>
      <c r="O346" s="0" t="n">
        <v>1.6</v>
      </c>
      <c r="P346" s="0" t="n">
        <v>0</v>
      </c>
      <c r="Q346" s="0" t="n">
        <v>0</v>
      </c>
      <c r="R346" s="0" t="n">
        <v>0</v>
      </c>
      <c r="S346" s="0" t="n">
        <v>0</v>
      </c>
      <c r="T346" s="0" t="s">
        <v>624</v>
      </c>
      <c r="U346" s="0" t="s">
        <v>149</v>
      </c>
      <c r="V346" s="0" t="s">
        <v>624</v>
      </c>
      <c r="W346" s="0" t="s">
        <v>569</v>
      </c>
      <c r="X346" s="0" t="s">
        <v>624</v>
      </c>
      <c r="Y346" s="0" t="s">
        <v>627</v>
      </c>
      <c r="Z346" s="0" t="s">
        <v>629</v>
      </c>
      <c r="AA346" s="0" t="s">
        <v>624</v>
      </c>
      <c r="AB346" s="0" t="s">
        <v>132</v>
      </c>
      <c r="AC346" s="254" t="n">
        <v>-500000</v>
      </c>
      <c r="AD346" s="254" t="n">
        <v>-11503.9442741136</v>
      </c>
      <c r="AE346" s="0" t="n">
        <v>0</v>
      </c>
      <c r="AF346" s="0" t="n">
        <v>0</v>
      </c>
      <c r="AG346" s="0" t="n">
        <v>0</v>
      </c>
      <c r="AH346" s="254" t="n">
        <v>16276.3799892231</v>
      </c>
      <c r="AI346" s="0" t="n">
        <v>226</v>
      </c>
      <c r="AJ346" s="0" t="s">
        <v>630</v>
      </c>
      <c r="AK346" s="0" t="n">
        <v>0</v>
      </c>
      <c r="AL346" s="0" t="n">
        <v>0</v>
      </c>
      <c r="AM346" s="0" t="n">
        <v>0</v>
      </c>
    </row>
    <row r="347" customFormat="false" ht="12.75" hidden="false" customHeight="false" outlineLevel="0" collapsed="false">
      <c r="A347" s="0" t="s">
        <v>621</v>
      </c>
      <c r="B347" s="0" t="s">
        <v>326</v>
      </c>
      <c r="C347" s="0" t="s">
        <v>622</v>
      </c>
      <c r="D347" s="0" t="s">
        <v>623</v>
      </c>
      <c r="E347" s="0" t="s">
        <v>131</v>
      </c>
      <c r="F347" s="0" t="s">
        <v>198</v>
      </c>
      <c r="G347" s="0" t="s">
        <v>628</v>
      </c>
      <c r="H347" s="0" t="s">
        <v>625</v>
      </c>
      <c r="I347" s="0" t="s">
        <v>626</v>
      </c>
      <c r="J347" s="0" t="s">
        <v>627</v>
      </c>
      <c r="K347" s="475" t="n">
        <v>36923</v>
      </c>
      <c r="L347" s="254" t="n">
        <v>-268548.128159836</v>
      </c>
      <c r="M347" s="475" t="n">
        <v>36921</v>
      </c>
      <c r="N347" s="0" t="s">
        <v>136</v>
      </c>
      <c r="O347" s="0" t="n">
        <v>2.5</v>
      </c>
      <c r="P347" s="0" t="n">
        <v>0</v>
      </c>
      <c r="Q347" s="0" t="n">
        <v>0</v>
      </c>
      <c r="R347" s="0" t="n">
        <v>0</v>
      </c>
      <c r="S347" s="0" t="n">
        <v>0</v>
      </c>
      <c r="T347" s="0" t="s">
        <v>624</v>
      </c>
      <c r="U347" s="0" t="s">
        <v>149</v>
      </c>
      <c r="V347" s="0" t="s">
        <v>624</v>
      </c>
      <c r="W347" s="0" t="s">
        <v>569</v>
      </c>
      <c r="X347" s="0" t="s">
        <v>624</v>
      </c>
      <c r="Y347" s="0" t="s">
        <v>627</v>
      </c>
      <c r="Z347" s="0" t="s">
        <v>629</v>
      </c>
      <c r="AA347" s="0" t="s">
        <v>624</v>
      </c>
      <c r="AB347" s="0" t="s">
        <v>132</v>
      </c>
      <c r="AC347" s="254" t="n">
        <v>-500000</v>
      </c>
      <c r="AD347" s="254" t="n">
        <v>-41384.8011180999</v>
      </c>
      <c r="AE347" s="0" t="n">
        <v>0</v>
      </c>
      <c r="AF347" s="0" t="n">
        <v>0</v>
      </c>
      <c r="AG347" s="0" t="n">
        <v>0</v>
      </c>
      <c r="AH347" s="254" t="n">
        <v>-17740.3183104595</v>
      </c>
      <c r="AI347" s="0" t="n">
        <v>226</v>
      </c>
      <c r="AJ347" s="0" t="s">
        <v>630</v>
      </c>
      <c r="AK347" s="0" t="n">
        <v>0</v>
      </c>
      <c r="AL347" s="0" t="n">
        <v>0</v>
      </c>
      <c r="AM347" s="0" t="n">
        <v>0</v>
      </c>
    </row>
    <row r="348" customFormat="false" ht="12.75" hidden="false" customHeight="false" outlineLevel="0" collapsed="false">
      <c r="A348" s="0" t="s">
        <v>621</v>
      </c>
      <c r="B348" s="0" t="s">
        <v>326</v>
      </c>
      <c r="C348" s="0" t="s">
        <v>622</v>
      </c>
      <c r="D348" s="0" t="s">
        <v>623</v>
      </c>
      <c r="E348" s="0" t="s">
        <v>131</v>
      </c>
      <c r="F348" s="0" t="s">
        <v>198</v>
      </c>
      <c r="G348" s="0" t="s">
        <v>628</v>
      </c>
      <c r="H348" s="0" t="s">
        <v>625</v>
      </c>
      <c r="I348" s="0" t="s">
        <v>626</v>
      </c>
      <c r="J348" s="0" t="s">
        <v>627</v>
      </c>
      <c r="K348" s="475" t="n">
        <v>36892</v>
      </c>
      <c r="L348" s="254" t="n">
        <v>-265933.051985466</v>
      </c>
      <c r="M348" s="475" t="n">
        <v>36888</v>
      </c>
      <c r="N348" s="0" t="s">
        <v>136</v>
      </c>
      <c r="O348" s="0" t="n">
        <v>2.5</v>
      </c>
      <c r="P348" s="0" t="n">
        <v>0</v>
      </c>
      <c r="Q348" s="0" t="n">
        <v>0</v>
      </c>
      <c r="R348" s="0" t="n">
        <v>0</v>
      </c>
      <c r="S348" s="0" t="n">
        <v>0</v>
      </c>
      <c r="T348" s="0" t="s">
        <v>624</v>
      </c>
      <c r="U348" s="0" t="s">
        <v>149</v>
      </c>
      <c r="V348" s="0" t="s">
        <v>624</v>
      </c>
      <c r="W348" s="0" t="s">
        <v>569</v>
      </c>
      <c r="X348" s="0" t="s">
        <v>624</v>
      </c>
      <c r="Y348" s="0" t="s">
        <v>627</v>
      </c>
      <c r="Z348" s="0" t="s">
        <v>629</v>
      </c>
      <c r="AA348" s="0" t="s">
        <v>624</v>
      </c>
      <c r="AB348" s="0" t="s">
        <v>132</v>
      </c>
      <c r="AC348" s="254" t="n">
        <v>-500000</v>
      </c>
      <c r="AD348" s="254" t="n">
        <v>-38180.9153994505</v>
      </c>
      <c r="AE348" s="0" t="n">
        <v>0</v>
      </c>
      <c r="AF348" s="0" t="n">
        <v>0</v>
      </c>
      <c r="AG348" s="0" t="n">
        <v>0</v>
      </c>
      <c r="AH348" s="254" t="n">
        <v>-15641.4159356671</v>
      </c>
      <c r="AI348" s="0" t="n">
        <v>226</v>
      </c>
      <c r="AJ348" s="0" t="s">
        <v>630</v>
      </c>
      <c r="AK348" s="0" t="n">
        <v>0</v>
      </c>
      <c r="AL348" s="0" t="n">
        <v>0</v>
      </c>
      <c r="AM348" s="0" t="n">
        <v>0</v>
      </c>
    </row>
    <row r="349" customFormat="false" ht="12.75" hidden="false" customHeight="false" outlineLevel="0" collapsed="false">
      <c r="A349" s="0" t="s">
        <v>621</v>
      </c>
      <c r="B349" s="0" t="s">
        <v>326</v>
      </c>
      <c r="C349" s="0" t="s">
        <v>622</v>
      </c>
      <c r="D349" s="0" t="s">
        <v>623</v>
      </c>
      <c r="E349" s="0" t="s">
        <v>131</v>
      </c>
      <c r="F349" s="0" t="s">
        <v>198</v>
      </c>
      <c r="G349" s="0" t="s">
        <v>628</v>
      </c>
      <c r="H349" s="0" t="s">
        <v>625</v>
      </c>
      <c r="I349" s="0" t="s">
        <v>626</v>
      </c>
      <c r="J349" s="0" t="s">
        <v>627</v>
      </c>
      <c r="K349" s="475" t="n">
        <v>36861</v>
      </c>
      <c r="L349" s="254" t="n">
        <v>-123868.759900278</v>
      </c>
      <c r="M349" s="475" t="n">
        <v>36859</v>
      </c>
      <c r="N349" s="0" t="s">
        <v>136</v>
      </c>
      <c r="O349" s="0" t="n">
        <v>2.5</v>
      </c>
      <c r="P349" s="0" t="n">
        <v>0</v>
      </c>
      <c r="Q349" s="0" t="n">
        <v>0</v>
      </c>
      <c r="R349" s="0" t="n">
        <v>0</v>
      </c>
      <c r="S349" s="0" t="n">
        <v>0</v>
      </c>
      <c r="T349" s="0" t="s">
        <v>624</v>
      </c>
      <c r="U349" s="0" t="s">
        <v>149</v>
      </c>
      <c r="V349" s="0" t="s">
        <v>624</v>
      </c>
      <c r="W349" s="0" t="s">
        <v>569</v>
      </c>
      <c r="X349" s="0" t="s">
        <v>624</v>
      </c>
      <c r="Y349" s="0" t="s">
        <v>627</v>
      </c>
      <c r="Z349" s="0" t="s">
        <v>629</v>
      </c>
      <c r="AA349" s="0" t="s">
        <v>624</v>
      </c>
      <c r="AB349" s="0" t="s">
        <v>132</v>
      </c>
      <c r="AC349" s="254" t="n">
        <v>-500000</v>
      </c>
      <c r="AD349" s="254" t="n">
        <v>-29013.4132686056</v>
      </c>
      <c r="AE349" s="0" t="n">
        <v>0</v>
      </c>
      <c r="AF349" s="0" t="n">
        <v>0</v>
      </c>
      <c r="AG349" s="0" t="n">
        <v>0</v>
      </c>
      <c r="AH349" s="254" t="n">
        <v>-8395.75378996143</v>
      </c>
      <c r="AI349" s="0" t="n">
        <v>226</v>
      </c>
      <c r="AJ349" s="0" t="s">
        <v>630</v>
      </c>
      <c r="AK349" s="0" t="n">
        <v>0</v>
      </c>
      <c r="AL349" s="0" t="n">
        <v>0</v>
      </c>
      <c r="AM349" s="0" t="n">
        <v>0</v>
      </c>
    </row>
    <row r="350" customFormat="false" ht="12.75" hidden="false" customHeight="false" outlineLevel="0" collapsed="false">
      <c r="A350" s="0" t="s">
        <v>621</v>
      </c>
      <c r="B350" s="0" t="s">
        <v>327</v>
      </c>
      <c r="C350" s="0" t="s">
        <v>622</v>
      </c>
      <c r="D350" s="0" t="s">
        <v>623</v>
      </c>
      <c r="E350" s="0" t="s">
        <v>131</v>
      </c>
      <c r="F350" s="0" t="s">
        <v>198</v>
      </c>
      <c r="G350" s="0" t="s">
        <v>628</v>
      </c>
      <c r="H350" s="0" t="s">
        <v>625</v>
      </c>
      <c r="I350" s="0" t="s">
        <v>626</v>
      </c>
      <c r="J350" s="0" t="s">
        <v>627</v>
      </c>
      <c r="K350" s="475" t="n">
        <v>36951</v>
      </c>
      <c r="L350" s="254" t="n">
        <v>171077.448472127</v>
      </c>
      <c r="M350" s="475" t="n">
        <v>36949</v>
      </c>
      <c r="N350" s="0" t="s">
        <v>132</v>
      </c>
      <c r="O350" s="0" t="n">
        <v>0.75</v>
      </c>
      <c r="P350" s="0" t="n">
        <v>0</v>
      </c>
      <c r="Q350" s="0" t="n">
        <v>0</v>
      </c>
      <c r="R350" s="0" t="n">
        <v>0</v>
      </c>
      <c r="S350" s="0" t="n">
        <v>0</v>
      </c>
      <c r="T350" s="0" t="s">
        <v>624</v>
      </c>
      <c r="U350" s="0" t="s">
        <v>149</v>
      </c>
      <c r="V350" s="0" t="s">
        <v>624</v>
      </c>
      <c r="W350" s="0" t="s">
        <v>569</v>
      </c>
      <c r="X350" s="0" t="s">
        <v>624</v>
      </c>
      <c r="Y350" s="0" t="s">
        <v>627</v>
      </c>
      <c r="Z350" s="0" t="s">
        <v>629</v>
      </c>
      <c r="AA350" s="0" t="s">
        <v>624</v>
      </c>
      <c r="AB350" s="0" t="s">
        <v>132</v>
      </c>
      <c r="AC350" s="254" t="n">
        <v>500000</v>
      </c>
      <c r="AD350" s="254" t="n">
        <v>43710.1514735721</v>
      </c>
      <c r="AE350" s="0" t="n">
        <v>0</v>
      </c>
      <c r="AF350" s="0" t="n">
        <v>0</v>
      </c>
      <c r="AG350" s="0" t="n">
        <v>0</v>
      </c>
      <c r="AH350" s="254" t="n">
        <v>-8168.60971240452</v>
      </c>
      <c r="AI350" s="0" t="n">
        <v>226</v>
      </c>
      <c r="AJ350" s="0" t="s">
        <v>630</v>
      </c>
      <c r="AK350" s="0" t="n">
        <v>0</v>
      </c>
      <c r="AL350" s="0" t="n">
        <v>0</v>
      </c>
      <c r="AM350" s="0" t="n">
        <v>0</v>
      </c>
    </row>
    <row r="351" customFormat="false" ht="12.75" hidden="false" customHeight="false" outlineLevel="0" collapsed="false">
      <c r="A351" s="0" t="s">
        <v>621</v>
      </c>
      <c r="B351" s="0" t="s">
        <v>327</v>
      </c>
      <c r="C351" s="0" t="s">
        <v>622</v>
      </c>
      <c r="D351" s="0" t="s">
        <v>623</v>
      </c>
      <c r="E351" s="0" t="s">
        <v>131</v>
      </c>
      <c r="F351" s="0" t="s">
        <v>198</v>
      </c>
      <c r="G351" s="0" t="s">
        <v>628</v>
      </c>
      <c r="H351" s="0" t="s">
        <v>625</v>
      </c>
      <c r="I351" s="0" t="s">
        <v>626</v>
      </c>
      <c r="J351" s="0" t="s">
        <v>627</v>
      </c>
      <c r="K351" s="475" t="n">
        <v>36923</v>
      </c>
      <c r="L351" s="254" t="n">
        <v>70124.2496111585</v>
      </c>
      <c r="M351" s="475" t="n">
        <v>36921</v>
      </c>
      <c r="N351" s="0" t="s">
        <v>132</v>
      </c>
      <c r="O351" s="0" t="n">
        <v>0.75</v>
      </c>
      <c r="P351" s="0" t="n">
        <v>0</v>
      </c>
      <c r="Q351" s="0" t="n">
        <v>0</v>
      </c>
      <c r="R351" s="0" t="n">
        <v>0</v>
      </c>
      <c r="S351" s="0" t="n">
        <v>0</v>
      </c>
      <c r="T351" s="0" t="s">
        <v>624</v>
      </c>
      <c r="U351" s="0" t="s">
        <v>149</v>
      </c>
      <c r="V351" s="0" t="s">
        <v>624</v>
      </c>
      <c r="W351" s="0" t="s">
        <v>569</v>
      </c>
      <c r="X351" s="0" t="s">
        <v>624</v>
      </c>
      <c r="Y351" s="0" t="s">
        <v>627</v>
      </c>
      <c r="Z351" s="0" t="s">
        <v>629</v>
      </c>
      <c r="AA351" s="0" t="s">
        <v>624</v>
      </c>
      <c r="AB351" s="0" t="s">
        <v>132</v>
      </c>
      <c r="AC351" s="254" t="n">
        <v>500000</v>
      </c>
      <c r="AD351" s="254" t="n">
        <v>30734.7857962365</v>
      </c>
      <c r="AE351" s="0" t="n">
        <v>0</v>
      </c>
      <c r="AF351" s="0" t="n">
        <v>0</v>
      </c>
      <c r="AG351" s="0" t="n">
        <v>0</v>
      </c>
      <c r="AH351" s="254" t="n">
        <v>-3753.35106402775</v>
      </c>
      <c r="AI351" s="0" t="n">
        <v>226</v>
      </c>
      <c r="AJ351" s="0" t="s">
        <v>630</v>
      </c>
      <c r="AK351" s="0" t="n">
        <v>0</v>
      </c>
      <c r="AL351" s="0" t="n">
        <v>0</v>
      </c>
      <c r="AM351" s="0" t="n">
        <v>0</v>
      </c>
    </row>
    <row r="352" customFormat="false" ht="12.75" hidden="false" customHeight="false" outlineLevel="0" collapsed="false">
      <c r="A352" s="0" t="s">
        <v>621</v>
      </c>
      <c r="B352" s="0" t="s">
        <v>327</v>
      </c>
      <c r="C352" s="0" t="s">
        <v>622</v>
      </c>
      <c r="D352" s="0" t="s">
        <v>623</v>
      </c>
      <c r="E352" s="0" t="s">
        <v>131</v>
      </c>
      <c r="F352" s="0" t="s">
        <v>198</v>
      </c>
      <c r="G352" s="0" t="s">
        <v>628</v>
      </c>
      <c r="H352" s="0" t="s">
        <v>625</v>
      </c>
      <c r="I352" s="0" t="s">
        <v>626</v>
      </c>
      <c r="J352" s="0" t="s">
        <v>627</v>
      </c>
      <c r="K352" s="475" t="n">
        <v>36892</v>
      </c>
      <c r="L352" s="254" t="n">
        <v>55369.8447248119</v>
      </c>
      <c r="M352" s="475" t="n">
        <v>36888</v>
      </c>
      <c r="N352" s="0" t="s">
        <v>132</v>
      </c>
      <c r="O352" s="0" t="n">
        <v>0.75</v>
      </c>
      <c r="P352" s="0" t="n">
        <v>0</v>
      </c>
      <c r="Q352" s="0" t="n">
        <v>0</v>
      </c>
      <c r="R352" s="0" t="n">
        <v>0</v>
      </c>
      <c r="S352" s="0" t="n">
        <v>0</v>
      </c>
      <c r="T352" s="0" t="s">
        <v>624</v>
      </c>
      <c r="U352" s="0" t="s">
        <v>149</v>
      </c>
      <c r="V352" s="0" t="s">
        <v>624</v>
      </c>
      <c r="W352" s="0" t="s">
        <v>569</v>
      </c>
      <c r="X352" s="0" t="s">
        <v>624</v>
      </c>
      <c r="Y352" s="0" t="s">
        <v>627</v>
      </c>
      <c r="Z352" s="0" t="s">
        <v>629</v>
      </c>
      <c r="AA352" s="0" t="s">
        <v>624</v>
      </c>
      <c r="AB352" s="0" t="s">
        <v>132</v>
      </c>
      <c r="AC352" s="254" t="n">
        <v>500000</v>
      </c>
      <c r="AD352" s="254" t="n">
        <v>25488.8717669226</v>
      </c>
      <c r="AE352" s="0" t="n">
        <v>0</v>
      </c>
      <c r="AF352" s="0" t="n">
        <v>0</v>
      </c>
      <c r="AG352" s="0" t="n">
        <v>0</v>
      </c>
      <c r="AH352" s="254" t="n">
        <v>-2670.91259701058</v>
      </c>
      <c r="AI352" s="0" t="n">
        <v>226</v>
      </c>
      <c r="AJ352" s="0" t="s">
        <v>630</v>
      </c>
      <c r="AK352" s="0" t="n">
        <v>0</v>
      </c>
      <c r="AL352" s="0" t="n">
        <v>0</v>
      </c>
      <c r="AM352" s="0" t="n">
        <v>0</v>
      </c>
    </row>
    <row r="353" customFormat="false" ht="12.75" hidden="false" customHeight="false" outlineLevel="0" collapsed="false">
      <c r="A353" s="0" t="s">
        <v>621</v>
      </c>
      <c r="B353" s="0" t="s">
        <v>327</v>
      </c>
      <c r="C353" s="0" t="s">
        <v>622</v>
      </c>
      <c r="D353" s="0" t="s">
        <v>623</v>
      </c>
      <c r="E353" s="0" t="s">
        <v>131</v>
      </c>
      <c r="F353" s="0" t="s">
        <v>198</v>
      </c>
      <c r="G353" s="0" t="s">
        <v>628</v>
      </c>
      <c r="H353" s="0" t="s">
        <v>625</v>
      </c>
      <c r="I353" s="0" t="s">
        <v>626</v>
      </c>
      <c r="J353" s="0" t="s">
        <v>627</v>
      </c>
      <c r="K353" s="475" t="n">
        <v>36861</v>
      </c>
      <c r="L353" s="254" t="n">
        <v>73958.4925856365</v>
      </c>
      <c r="M353" s="475" t="n">
        <v>36859</v>
      </c>
      <c r="N353" s="0" t="s">
        <v>132</v>
      </c>
      <c r="O353" s="0" t="n">
        <v>0.75</v>
      </c>
      <c r="P353" s="0" t="n">
        <v>0</v>
      </c>
      <c r="Q353" s="0" t="n">
        <v>0</v>
      </c>
      <c r="R353" s="0" t="n">
        <v>0</v>
      </c>
      <c r="S353" s="0" t="n">
        <v>0</v>
      </c>
      <c r="T353" s="0" t="s">
        <v>624</v>
      </c>
      <c r="U353" s="0" t="s">
        <v>149</v>
      </c>
      <c r="V353" s="0" t="s">
        <v>624</v>
      </c>
      <c r="W353" s="0" t="s">
        <v>569</v>
      </c>
      <c r="X353" s="0" t="s">
        <v>624</v>
      </c>
      <c r="Y353" s="0" t="s">
        <v>627</v>
      </c>
      <c r="Z353" s="0" t="s">
        <v>629</v>
      </c>
      <c r="AA353" s="0" t="s">
        <v>624</v>
      </c>
      <c r="AB353" s="0" t="s">
        <v>132</v>
      </c>
      <c r="AC353" s="254" t="n">
        <v>500000</v>
      </c>
      <c r="AD353" s="254" t="n">
        <v>27791.5401500405</v>
      </c>
      <c r="AE353" s="0" t="n">
        <v>0</v>
      </c>
      <c r="AF353" s="0" t="n">
        <v>0</v>
      </c>
      <c r="AG353" s="0" t="n">
        <v>0</v>
      </c>
      <c r="AH353" s="254" t="n">
        <v>-3004.03763279801</v>
      </c>
      <c r="AI353" s="0" t="n">
        <v>226</v>
      </c>
      <c r="AJ353" s="0" t="s">
        <v>630</v>
      </c>
      <c r="AK353" s="0" t="n">
        <v>0</v>
      </c>
      <c r="AL353" s="0" t="n">
        <v>0</v>
      </c>
      <c r="AM353" s="0" t="n">
        <v>0</v>
      </c>
    </row>
    <row r="354" customFormat="false" ht="12.75" hidden="false" customHeight="false" outlineLevel="0" collapsed="false">
      <c r="A354" s="0" t="s">
        <v>621</v>
      </c>
      <c r="B354" s="0" t="s">
        <v>327</v>
      </c>
      <c r="C354" s="0" t="s">
        <v>622</v>
      </c>
      <c r="D354" s="0" t="s">
        <v>623</v>
      </c>
      <c r="E354" s="0" t="s">
        <v>131</v>
      </c>
      <c r="F354" s="0" t="s">
        <v>198</v>
      </c>
      <c r="G354" s="0" t="s">
        <v>628</v>
      </c>
      <c r="H354" s="0" t="s">
        <v>625</v>
      </c>
      <c r="I354" s="0" t="s">
        <v>626</v>
      </c>
      <c r="J354" s="0" t="s">
        <v>627</v>
      </c>
      <c r="K354" s="475" t="n">
        <v>36831</v>
      </c>
      <c r="L354" s="254" t="n">
        <v>124808.946292206</v>
      </c>
      <c r="M354" s="475" t="n">
        <v>36829</v>
      </c>
      <c r="N354" s="0" t="s">
        <v>132</v>
      </c>
      <c r="O354" s="0" t="n">
        <v>0.75</v>
      </c>
      <c r="P354" s="0" t="n">
        <v>0</v>
      </c>
      <c r="Q354" s="0" t="n">
        <v>0</v>
      </c>
      <c r="R354" s="0" t="n">
        <v>0</v>
      </c>
      <c r="S354" s="0" t="n">
        <v>0</v>
      </c>
      <c r="T354" s="0" t="s">
        <v>624</v>
      </c>
      <c r="U354" s="0" t="s">
        <v>149</v>
      </c>
      <c r="V354" s="0" t="s">
        <v>624</v>
      </c>
      <c r="W354" s="0" t="s">
        <v>569</v>
      </c>
      <c r="X354" s="0" t="s">
        <v>624</v>
      </c>
      <c r="Y354" s="0" t="s">
        <v>627</v>
      </c>
      <c r="Z354" s="0" t="s">
        <v>629</v>
      </c>
      <c r="AA354" s="0" t="s">
        <v>624</v>
      </c>
      <c r="AB354" s="0" t="s">
        <v>132</v>
      </c>
      <c r="AC354" s="254" t="n">
        <v>500000</v>
      </c>
      <c r="AD354" s="254" t="n">
        <v>22575.2973415849</v>
      </c>
      <c r="AE354" s="0" t="n">
        <v>0</v>
      </c>
      <c r="AF354" s="0" t="n">
        <v>0</v>
      </c>
      <c r="AG354" s="0" t="n">
        <v>0</v>
      </c>
      <c r="AH354" s="254" t="n">
        <v>-8179.17666208156</v>
      </c>
      <c r="AI354" s="0" t="n">
        <v>226</v>
      </c>
      <c r="AJ354" s="0" t="s">
        <v>630</v>
      </c>
      <c r="AK354" s="0" t="n">
        <v>0</v>
      </c>
      <c r="AL354" s="0" t="n">
        <v>0</v>
      </c>
      <c r="AM354" s="0" t="n">
        <v>0</v>
      </c>
    </row>
    <row r="355" customFormat="false" ht="12.75" hidden="false" customHeight="false" outlineLevel="0" collapsed="false">
      <c r="A355" s="0" t="s">
        <v>621</v>
      </c>
      <c r="B355" s="0" t="s">
        <v>328</v>
      </c>
      <c r="C355" s="0" t="s">
        <v>622</v>
      </c>
      <c r="D355" s="0" t="s">
        <v>623</v>
      </c>
      <c r="E355" s="0" t="s">
        <v>131</v>
      </c>
      <c r="F355" s="0" t="s">
        <v>198</v>
      </c>
      <c r="G355" s="0" t="s">
        <v>628</v>
      </c>
      <c r="H355" s="0" t="s">
        <v>625</v>
      </c>
      <c r="I355" s="0" t="s">
        <v>626</v>
      </c>
      <c r="J355" s="0" t="s">
        <v>627</v>
      </c>
      <c r="K355" s="475" t="n">
        <v>37316</v>
      </c>
      <c r="L355" s="254" t="n">
        <v>109370.950404371</v>
      </c>
      <c r="M355" s="475" t="n">
        <v>37314</v>
      </c>
      <c r="N355" s="0" t="s">
        <v>136</v>
      </c>
      <c r="O355" s="0" t="n">
        <v>1.33</v>
      </c>
      <c r="P355" s="0" t="n">
        <v>0</v>
      </c>
      <c r="Q355" s="0" t="n">
        <v>0</v>
      </c>
      <c r="R355" s="0" t="n">
        <v>0</v>
      </c>
      <c r="S355" s="0" t="n">
        <v>0</v>
      </c>
      <c r="T355" s="0" t="s">
        <v>624</v>
      </c>
      <c r="U355" s="0" t="s">
        <v>149</v>
      </c>
      <c r="V355" s="0" t="s">
        <v>624</v>
      </c>
      <c r="W355" s="0" t="s">
        <v>569</v>
      </c>
      <c r="X355" s="0" t="s">
        <v>624</v>
      </c>
      <c r="Y355" s="0" t="s">
        <v>627</v>
      </c>
      <c r="Z355" s="0" t="s">
        <v>629</v>
      </c>
      <c r="AA355" s="0" t="s">
        <v>624</v>
      </c>
      <c r="AB355" s="0" t="s">
        <v>132</v>
      </c>
      <c r="AC355" s="254" t="n">
        <v>500000</v>
      </c>
      <c r="AD355" s="254" t="n">
        <v>22787.9654282166</v>
      </c>
      <c r="AE355" s="0" t="n">
        <v>0</v>
      </c>
      <c r="AF355" s="0" t="n">
        <v>0</v>
      </c>
      <c r="AG355" s="0" t="n">
        <v>0</v>
      </c>
      <c r="AH355" s="254" t="n">
        <v>6500.70354078471</v>
      </c>
      <c r="AI355" s="0" t="n">
        <v>226</v>
      </c>
      <c r="AJ355" s="0" t="s">
        <v>630</v>
      </c>
      <c r="AK355" s="0" t="n">
        <v>0</v>
      </c>
      <c r="AL355" s="0" t="n">
        <v>0</v>
      </c>
      <c r="AM355" s="0" t="n">
        <v>0</v>
      </c>
    </row>
    <row r="356" customFormat="false" ht="12.75" hidden="false" customHeight="false" outlineLevel="0" collapsed="false">
      <c r="A356" s="0" t="s">
        <v>621</v>
      </c>
      <c r="B356" s="0" t="s">
        <v>328</v>
      </c>
      <c r="C356" s="0" t="s">
        <v>622</v>
      </c>
      <c r="D356" s="0" t="s">
        <v>623</v>
      </c>
      <c r="E356" s="0" t="s">
        <v>131</v>
      </c>
      <c r="F356" s="0" t="s">
        <v>198</v>
      </c>
      <c r="G356" s="0" t="s">
        <v>628</v>
      </c>
      <c r="H356" s="0" t="s">
        <v>625</v>
      </c>
      <c r="I356" s="0" t="s">
        <v>626</v>
      </c>
      <c r="J356" s="0" t="s">
        <v>627</v>
      </c>
      <c r="K356" s="475" t="n">
        <v>37288</v>
      </c>
      <c r="L356" s="254" t="n">
        <v>261739.461605564</v>
      </c>
      <c r="M356" s="475" t="n">
        <v>37286</v>
      </c>
      <c r="N356" s="0" t="s">
        <v>136</v>
      </c>
      <c r="O356" s="0" t="n">
        <v>1.33</v>
      </c>
      <c r="P356" s="0" t="n">
        <v>0</v>
      </c>
      <c r="Q356" s="0" t="n">
        <v>0</v>
      </c>
      <c r="R356" s="0" t="n">
        <v>0</v>
      </c>
      <c r="S356" s="0" t="n">
        <v>0</v>
      </c>
      <c r="T356" s="0" t="s">
        <v>624</v>
      </c>
      <c r="U356" s="0" t="s">
        <v>149</v>
      </c>
      <c r="V356" s="0" t="s">
        <v>624</v>
      </c>
      <c r="W356" s="0" t="s">
        <v>569</v>
      </c>
      <c r="X356" s="0" t="s">
        <v>624</v>
      </c>
      <c r="Y356" s="0" t="s">
        <v>627</v>
      </c>
      <c r="Z356" s="0" t="s">
        <v>629</v>
      </c>
      <c r="AA356" s="0" t="s">
        <v>624</v>
      </c>
      <c r="AB356" s="0" t="s">
        <v>132</v>
      </c>
      <c r="AC356" s="254" t="n">
        <v>500000</v>
      </c>
      <c r="AD356" s="254" t="n">
        <v>23535.213376363</v>
      </c>
      <c r="AE356" s="0" t="n">
        <v>0</v>
      </c>
      <c r="AF356" s="0" t="n">
        <v>0</v>
      </c>
      <c r="AG356" s="0" t="n">
        <v>0</v>
      </c>
      <c r="AH356" s="254" t="n">
        <v>9611.39798904886</v>
      </c>
      <c r="AI356" s="0" t="n">
        <v>226</v>
      </c>
      <c r="AJ356" s="0" t="s">
        <v>630</v>
      </c>
      <c r="AK356" s="0" t="n">
        <v>0</v>
      </c>
      <c r="AL356" s="0" t="n">
        <v>0</v>
      </c>
      <c r="AM356" s="0" t="n">
        <v>0</v>
      </c>
    </row>
    <row r="357" customFormat="false" ht="12.75" hidden="false" customHeight="false" outlineLevel="0" collapsed="false">
      <c r="A357" s="0" t="s">
        <v>621</v>
      </c>
      <c r="B357" s="0" t="s">
        <v>328</v>
      </c>
      <c r="C357" s="0" t="s">
        <v>622</v>
      </c>
      <c r="D357" s="0" t="s">
        <v>623</v>
      </c>
      <c r="E357" s="0" t="s">
        <v>131</v>
      </c>
      <c r="F357" s="0" t="s">
        <v>198</v>
      </c>
      <c r="G357" s="0" t="s">
        <v>628</v>
      </c>
      <c r="H357" s="0" t="s">
        <v>625</v>
      </c>
      <c r="I357" s="0" t="s">
        <v>626</v>
      </c>
      <c r="J357" s="0" t="s">
        <v>627</v>
      </c>
      <c r="K357" s="475" t="n">
        <v>37257</v>
      </c>
      <c r="L357" s="254" t="n">
        <v>269378.575619115</v>
      </c>
      <c r="M357" s="475" t="n">
        <v>37253</v>
      </c>
      <c r="N357" s="0" t="s">
        <v>136</v>
      </c>
      <c r="O357" s="0" t="n">
        <v>1.33</v>
      </c>
      <c r="P357" s="0" t="n">
        <v>0</v>
      </c>
      <c r="Q357" s="0" t="n">
        <v>0</v>
      </c>
      <c r="R357" s="0" t="n">
        <v>0</v>
      </c>
      <c r="S357" s="0" t="n">
        <v>0</v>
      </c>
      <c r="T357" s="0" t="s">
        <v>624</v>
      </c>
      <c r="U357" s="0" t="s">
        <v>149</v>
      </c>
      <c r="V357" s="0" t="s">
        <v>624</v>
      </c>
      <c r="W357" s="0" t="s">
        <v>569</v>
      </c>
      <c r="X357" s="0" t="s">
        <v>624</v>
      </c>
      <c r="Y357" s="0" t="s">
        <v>627</v>
      </c>
      <c r="Z357" s="0" t="s">
        <v>629</v>
      </c>
      <c r="AA357" s="0" t="s">
        <v>624</v>
      </c>
      <c r="AB357" s="0" t="s">
        <v>132</v>
      </c>
      <c r="AC357" s="254" t="n">
        <v>500000</v>
      </c>
      <c r="AD357" s="254" t="n">
        <v>24192.4395296326</v>
      </c>
      <c r="AE357" s="0" t="n">
        <v>0</v>
      </c>
      <c r="AF357" s="0" t="n">
        <v>0</v>
      </c>
      <c r="AG357" s="0" t="n">
        <v>0</v>
      </c>
      <c r="AH357" s="254" t="n">
        <v>9730.09496174089</v>
      </c>
      <c r="AI357" s="0" t="n">
        <v>226</v>
      </c>
      <c r="AJ357" s="0" t="s">
        <v>630</v>
      </c>
      <c r="AK357" s="0" t="n">
        <v>0</v>
      </c>
      <c r="AL357" s="0" t="n">
        <v>0</v>
      </c>
      <c r="AM357" s="0" t="n">
        <v>0</v>
      </c>
    </row>
    <row r="358" customFormat="false" ht="12.75" hidden="false" customHeight="false" outlineLevel="0" collapsed="false">
      <c r="A358" s="0" t="s">
        <v>621</v>
      </c>
      <c r="B358" s="0" t="s">
        <v>328</v>
      </c>
      <c r="C358" s="0" t="s">
        <v>622</v>
      </c>
      <c r="D358" s="0" t="s">
        <v>623</v>
      </c>
      <c r="E358" s="0" t="s">
        <v>131</v>
      </c>
      <c r="F358" s="0" t="s">
        <v>198</v>
      </c>
      <c r="G358" s="0" t="s">
        <v>628</v>
      </c>
      <c r="H358" s="0" t="s">
        <v>625</v>
      </c>
      <c r="I358" s="0" t="s">
        <v>626</v>
      </c>
      <c r="J358" s="0" t="s">
        <v>627</v>
      </c>
      <c r="K358" s="475" t="n">
        <v>37226</v>
      </c>
      <c r="L358" s="254" t="n">
        <v>194330.318778541</v>
      </c>
      <c r="M358" s="475" t="n">
        <v>37224</v>
      </c>
      <c r="N358" s="0" t="s">
        <v>136</v>
      </c>
      <c r="O358" s="0" t="n">
        <v>1.33</v>
      </c>
      <c r="P358" s="0" t="n">
        <v>0</v>
      </c>
      <c r="Q358" s="0" t="n">
        <v>0</v>
      </c>
      <c r="R358" s="0" t="n">
        <v>0</v>
      </c>
      <c r="S358" s="0" t="n">
        <v>0</v>
      </c>
      <c r="T358" s="0" t="s">
        <v>624</v>
      </c>
      <c r="U358" s="0" t="s">
        <v>149</v>
      </c>
      <c r="V358" s="0" t="s">
        <v>624</v>
      </c>
      <c r="W358" s="0" t="s">
        <v>569</v>
      </c>
      <c r="X358" s="0" t="s">
        <v>624</v>
      </c>
      <c r="Y358" s="0" t="s">
        <v>627</v>
      </c>
      <c r="Z358" s="0" t="s">
        <v>629</v>
      </c>
      <c r="AA358" s="0" t="s">
        <v>624</v>
      </c>
      <c r="AB358" s="0" t="s">
        <v>132</v>
      </c>
      <c r="AC358" s="254" t="n">
        <v>500000</v>
      </c>
      <c r="AD358" s="254" t="n">
        <v>24440.5937083041</v>
      </c>
      <c r="AE358" s="0" t="n">
        <v>0</v>
      </c>
      <c r="AF358" s="0" t="n">
        <v>0</v>
      </c>
      <c r="AG358" s="0" t="n">
        <v>0</v>
      </c>
      <c r="AH358" s="254" t="n">
        <v>8654.2372288765</v>
      </c>
      <c r="AI358" s="0" t="n">
        <v>226</v>
      </c>
      <c r="AJ358" s="0" t="s">
        <v>630</v>
      </c>
      <c r="AK358" s="0" t="n">
        <v>0</v>
      </c>
      <c r="AL358" s="0" t="n">
        <v>0</v>
      </c>
      <c r="AM358" s="0" t="n">
        <v>0</v>
      </c>
    </row>
    <row r="359" customFormat="false" ht="12.75" hidden="false" customHeight="false" outlineLevel="0" collapsed="false">
      <c r="A359" s="0" t="s">
        <v>621</v>
      </c>
      <c r="B359" s="0" t="s">
        <v>328</v>
      </c>
      <c r="C359" s="0" t="s">
        <v>622</v>
      </c>
      <c r="D359" s="0" t="s">
        <v>623</v>
      </c>
      <c r="E359" s="0" t="s">
        <v>131</v>
      </c>
      <c r="F359" s="0" t="s">
        <v>198</v>
      </c>
      <c r="G359" s="0" t="s">
        <v>628</v>
      </c>
      <c r="H359" s="0" t="s">
        <v>625</v>
      </c>
      <c r="I359" s="0" t="s">
        <v>626</v>
      </c>
      <c r="J359" s="0" t="s">
        <v>627</v>
      </c>
      <c r="K359" s="475" t="n">
        <v>37196</v>
      </c>
      <c r="L359" s="254" t="n">
        <v>95420.9962929732</v>
      </c>
      <c r="M359" s="475" t="n">
        <v>37194</v>
      </c>
      <c r="N359" s="0" t="s">
        <v>136</v>
      </c>
      <c r="O359" s="0" t="n">
        <v>1.33</v>
      </c>
      <c r="P359" s="0" t="n">
        <v>0</v>
      </c>
      <c r="Q359" s="0" t="n">
        <v>0</v>
      </c>
      <c r="R359" s="0" t="n">
        <v>0</v>
      </c>
      <c r="S359" s="0" t="n">
        <v>0</v>
      </c>
      <c r="T359" s="0" t="s">
        <v>624</v>
      </c>
      <c r="U359" s="0" t="s">
        <v>149</v>
      </c>
      <c r="V359" s="0" t="s">
        <v>624</v>
      </c>
      <c r="W359" s="0" t="s">
        <v>569</v>
      </c>
      <c r="X359" s="0" t="s">
        <v>624</v>
      </c>
      <c r="Y359" s="0" t="s">
        <v>627</v>
      </c>
      <c r="Z359" s="0" t="s">
        <v>629</v>
      </c>
      <c r="AA359" s="0" t="s">
        <v>624</v>
      </c>
      <c r="AB359" s="0" t="s">
        <v>132</v>
      </c>
      <c r="AC359" s="254" t="n">
        <v>500000</v>
      </c>
      <c r="AD359" s="254" t="n">
        <v>22239.8549820322</v>
      </c>
      <c r="AE359" s="0" t="n">
        <v>0</v>
      </c>
      <c r="AF359" s="0" t="n">
        <v>0</v>
      </c>
      <c r="AG359" s="0" t="n">
        <v>0</v>
      </c>
      <c r="AH359" s="254" t="n">
        <v>6160.72318916224</v>
      </c>
      <c r="AI359" s="0" t="n">
        <v>226</v>
      </c>
      <c r="AJ359" s="0" t="s">
        <v>630</v>
      </c>
      <c r="AK359" s="0" t="n">
        <v>0</v>
      </c>
      <c r="AL359" s="0" t="n">
        <v>0</v>
      </c>
      <c r="AM359" s="0" t="n">
        <v>0</v>
      </c>
    </row>
    <row r="360" customFormat="false" ht="12.75" hidden="false" customHeight="false" outlineLevel="0" collapsed="false">
      <c r="A360" s="0" t="s">
        <v>621</v>
      </c>
      <c r="B360" s="0" t="s">
        <v>329</v>
      </c>
      <c r="C360" s="0" t="s">
        <v>622</v>
      </c>
      <c r="D360" s="0" t="s">
        <v>623</v>
      </c>
      <c r="E360" s="0" t="s">
        <v>131</v>
      </c>
      <c r="F360" s="0" t="s">
        <v>198</v>
      </c>
      <c r="G360" s="0" t="s">
        <v>628</v>
      </c>
      <c r="H360" s="0" t="s">
        <v>625</v>
      </c>
      <c r="I360" s="0" t="s">
        <v>626</v>
      </c>
      <c r="J360" s="0" t="s">
        <v>627</v>
      </c>
      <c r="K360" s="475" t="n">
        <v>37316</v>
      </c>
      <c r="L360" s="254" t="n">
        <v>262537.34188407</v>
      </c>
      <c r="M360" s="475" t="n">
        <v>37314</v>
      </c>
      <c r="N360" s="0" t="s">
        <v>132</v>
      </c>
      <c r="O360" s="0" t="n">
        <v>1.33</v>
      </c>
      <c r="P360" s="0" t="n">
        <v>0</v>
      </c>
      <c r="Q360" s="0" t="n">
        <v>0</v>
      </c>
      <c r="R360" s="0" t="n">
        <v>0</v>
      </c>
      <c r="S360" s="0" t="n">
        <v>0</v>
      </c>
      <c r="T360" s="0" t="s">
        <v>624</v>
      </c>
      <c r="U360" s="0" t="s">
        <v>149</v>
      </c>
      <c r="V360" s="0" t="s">
        <v>624</v>
      </c>
      <c r="W360" s="0" t="s">
        <v>569</v>
      </c>
      <c r="X360" s="0" t="s">
        <v>624</v>
      </c>
      <c r="Y360" s="0" t="s">
        <v>627</v>
      </c>
      <c r="Z360" s="0" t="s">
        <v>629</v>
      </c>
      <c r="AA360" s="0" t="s">
        <v>624</v>
      </c>
      <c r="AB360" s="0" t="s">
        <v>132</v>
      </c>
      <c r="AC360" s="254" t="n">
        <v>500000</v>
      </c>
      <c r="AD360" s="254" t="n">
        <v>22787.9654282166</v>
      </c>
      <c r="AE360" s="0" t="n">
        <v>0</v>
      </c>
      <c r="AF360" s="0" t="n">
        <v>0</v>
      </c>
      <c r="AG360" s="0" t="n">
        <v>0</v>
      </c>
      <c r="AH360" s="254" t="n">
        <v>-7014.25388373231</v>
      </c>
      <c r="AI360" s="0" t="n">
        <v>226</v>
      </c>
      <c r="AJ360" s="0" t="s">
        <v>630</v>
      </c>
      <c r="AK360" s="0" t="n">
        <v>0</v>
      </c>
      <c r="AL360" s="0" t="n">
        <v>0</v>
      </c>
      <c r="AM360" s="0" t="n">
        <v>0</v>
      </c>
    </row>
    <row r="361" customFormat="false" ht="12.75" hidden="false" customHeight="false" outlineLevel="0" collapsed="false">
      <c r="A361" s="0" t="s">
        <v>621</v>
      </c>
      <c r="B361" s="0" t="s">
        <v>329</v>
      </c>
      <c r="C361" s="0" t="s">
        <v>622</v>
      </c>
      <c r="D361" s="0" t="s">
        <v>623</v>
      </c>
      <c r="E361" s="0" t="s">
        <v>131</v>
      </c>
      <c r="F361" s="0" t="s">
        <v>198</v>
      </c>
      <c r="G361" s="0" t="s">
        <v>628</v>
      </c>
      <c r="H361" s="0" t="s">
        <v>625</v>
      </c>
      <c r="I361" s="0" t="s">
        <v>626</v>
      </c>
      <c r="J361" s="0" t="s">
        <v>627</v>
      </c>
      <c r="K361" s="475" t="n">
        <v>37288</v>
      </c>
      <c r="L361" s="254" t="n">
        <v>157566.549637886</v>
      </c>
      <c r="M361" s="475" t="n">
        <v>37286</v>
      </c>
      <c r="N361" s="0" t="s">
        <v>132</v>
      </c>
      <c r="O361" s="0" t="n">
        <v>1.33</v>
      </c>
      <c r="P361" s="0" t="n">
        <v>0</v>
      </c>
      <c r="Q361" s="0" t="n">
        <v>0</v>
      </c>
      <c r="R361" s="0" t="n">
        <v>0</v>
      </c>
      <c r="S361" s="0" t="n">
        <v>0</v>
      </c>
      <c r="T361" s="0" t="s">
        <v>624</v>
      </c>
      <c r="U361" s="0" t="s">
        <v>149</v>
      </c>
      <c r="V361" s="0" t="s">
        <v>624</v>
      </c>
      <c r="W361" s="0" t="s">
        <v>569</v>
      </c>
      <c r="X361" s="0" t="s">
        <v>624</v>
      </c>
      <c r="Y361" s="0" t="s">
        <v>627</v>
      </c>
      <c r="Z361" s="0" t="s">
        <v>629</v>
      </c>
      <c r="AA361" s="0" t="s">
        <v>624</v>
      </c>
      <c r="AB361" s="0" t="s">
        <v>132</v>
      </c>
      <c r="AC361" s="254" t="n">
        <v>500000</v>
      </c>
      <c r="AD361" s="254" t="n">
        <v>23535.2133763631</v>
      </c>
      <c r="AE361" s="0" t="n">
        <v>0</v>
      </c>
      <c r="AF361" s="0" t="n">
        <v>0</v>
      </c>
      <c r="AG361" s="0" t="n">
        <v>0</v>
      </c>
      <c r="AH361" s="254" t="n">
        <v>-3976.04997671253</v>
      </c>
      <c r="AI361" s="0" t="n">
        <v>226</v>
      </c>
      <c r="AJ361" s="0" t="s">
        <v>630</v>
      </c>
      <c r="AK361" s="0" t="n">
        <v>0</v>
      </c>
      <c r="AL361" s="0" t="n">
        <v>0</v>
      </c>
      <c r="AM361" s="0" t="n">
        <v>0</v>
      </c>
    </row>
    <row r="362" customFormat="false" ht="12.75" hidden="false" customHeight="false" outlineLevel="0" collapsed="false">
      <c r="A362" s="0" t="s">
        <v>621</v>
      </c>
      <c r="B362" s="0" t="s">
        <v>329</v>
      </c>
      <c r="C362" s="0" t="s">
        <v>622</v>
      </c>
      <c r="D362" s="0" t="s">
        <v>623</v>
      </c>
      <c r="E362" s="0" t="s">
        <v>131</v>
      </c>
      <c r="F362" s="0" t="s">
        <v>198</v>
      </c>
      <c r="G362" s="0" t="s">
        <v>628</v>
      </c>
      <c r="H362" s="0" t="s">
        <v>625</v>
      </c>
      <c r="I362" s="0" t="s">
        <v>626</v>
      </c>
      <c r="J362" s="0" t="s">
        <v>627</v>
      </c>
      <c r="K362" s="475" t="n">
        <v>37257</v>
      </c>
      <c r="L362" s="254" t="n">
        <v>164542.769666932</v>
      </c>
      <c r="M362" s="475" t="n">
        <v>37253</v>
      </c>
      <c r="N362" s="0" t="s">
        <v>132</v>
      </c>
      <c r="O362" s="0" t="n">
        <v>1.33</v>
      </c>
      <c r="P362" s="0" t="n">
        <v>0</v>
      </c>
      <c r="Q362" s="0" t="n">
        <v>0</v>
      </c>
      <c r="R362" s="0" t="n">
        <v>0</v>
      </c>
      <c r="S362" s="0" t="n">
        <v>0</v>
      </c>
      <c r="T362" s="0" t="s">
        <v>624</v>
      </c>
      <c r="U362" s="0" t="s">
        <v>149</v>
      </c>
      <c r="V362" s="0" t="s">
        <v>624</v>
      </c>
      <c r="W362" s="0" t="s">
        <v>569</v>
      </c>
      <c r="X362" s="0" t="s">
        <v>624</v>
      </c>
      <c r="Y362" s="0" t="s">
        <v>627</v>
      </c>
      <c r="Z362" s="0" t="s">
        <v>629</v>
      </c>
      <c r="AA362" s="0" t="s">
        <v>624</v>
      </c>
      <c r="AB362" s="0" t="s">
        <v>132</v>
      </c>
      <c r="AC362" s="254" t="n">
        <v>500000</v>
      </c>
      <c r="AD362" s="254" t="n">
        <v>24192.4395296326</v>
      </c>
      <c r="AE362" s="0" t="n">
        <v>0</v>
      </c>
      <c r="AF362" s="0" t="n">
        <v>0</v>
      </c>
      <c r="AG362" s="0" t="n">
        <v>0</v>
      </c>
      <c r="AH362" s="254" t="n">
        <v>-3943.14343266489</v>
      </c>
      <c r="AI362" s="0" t="n">
        <v>226</v>
      </c>
      <c r="AJ362" s="0" t="s">
        <v>630</v>
      </c>
      <c r="AK362" s="0" t="n">
        <v>0</v>
      </c>
      <c r="AL362" s="0" t="n">
        <v>0</v>
      </c>
      <c r="AM362" s="0" t="n">
        <v>0</v>
      </c>
    </row>
    <row r="363" customFormat="false" ht="12.75" hidden="false" customHeight="false" outlineLevel="0" collapsed="false">
      <c r="A363" s="0" t="s">
        <v>621</v>
      </c>
      <c r="B363" s="0" t="s">
        <v>329</v>
      </c>
      <c r="C363" s="0" t="s">
        <v>622</v>
      </c>
      <c r="D363" s="0" t="s">
        <v>623</v>
      </c>
      <c r="E363" s="0" t="s">
        <v>131</v>
      </c>
      <c r="F363" s="0" t="s">
        <v>198</v>
      </c>
      <c r="G363" s="0" t="s">
        <v>628</v>
      </c>
      <c r="H363" s="0" t="s">
        <v>625</v>
      </c>
      <c r="I363" s="0" t="s">
        <v>626</v>
      </c>
      <c r="J363" s="0" t="s">
        <v>627</v>
      </c>
      <c r="K363" s="475" t="n">
        <v>37226</v>
      </c>
      <c r="L363" s="254" t="n">
        <v>203497.304593505</v>
      </c>
      <c r="M363" s="475" t="n">
        <v>37224</v>
      </c>
      <c r="N363" s="0" t="s">
        <v>132</v>
      </c>
      <c r="O363" s="0" t="n">
        <v>1.33</v>
      </c>
      <c r="P363" s="0" t="n">
        <v>0</v>
      </c>
      <c r="Q363" s="0" t="n">
        <v>0</v>
      </c>
      <c r="R363" s="0" t="n">
        <v>0</v>
      </c>
      <c r="S363" s="0" t="n">
        <v>0</v>
      </c>
      <c r="T363" s="0" t="s">
        <v>624</v>
      </c>
      <c r="U363" s="0" t="s">
        <v>149</v>
      </c>
      <c r="V363" s="0" t="s">
        <v>624</v>
      </c>
      <c r="W363" s="0" t="s">
        <v>569</v>
      </c>
      <c r="X363" s="0" t="s">
        <v>624</v>
      </c>
      <c r="Y363" s="0" t="s">
        <v>627</v>
      </c>
      <c r="Z363" s="0" t="s">
        <v>629</v>
      </c>
      <c r="AA363" s="0" t="s">
        <v>624</v>
      </c>
      <c r="AB363" s="0" t="s">
        <v>132</v>
      </c>
      <c r="AC363" s="254" t="n">
        <v>500000</v>
      </c>
      <c r="AD363" s="254" t="n">
        <v>24440.5937083041</v>
      </c>
      <c r="AE363" s="0" t="n">
        <v>0</v>
      </c>
      <c r="AF363" s="0" t="n">
        <v>0</v>
      </c>
      <c r="AG363" s="0" t="n">
        <v>0</v>
      </c>
      <c r="AH363" s="254" t="n">
        <v>-5094.59336835015</v>
      </c>
      <c r="AI363" s="0" t="n">
        <v>226</v>
      </c>
      <c r="AJ363" s="0" t="s">
        <v>630</v>
      </c>
      <c r="AK363" s="0" t="n">
        <v>0</v>
      </c>
      <c r="AL363" s="0" t="n">
        <v>0</v>
      </c>
      <c r="AM363" s="0" t="n">
        <v>0</v>
      </c>
    </row>
    <row r="364" customFormat="false" ht="12.75" hidden="false" customHeight="false" outlineLevel="0" collapsed="false">
      <c r="A364" s="0" t="s">
        <v>621</v>
      </c>
      <c r="B364" s="0" t="s">
        <v>329</v>
      </c>
      <c r="C364" s="0" t="s">
        <v>622</v>
      </c>
      <c r="D364" s="0" t="s">
        <v>623</v>
      </c>
      <c r="E364" s="0" t="s">
        <v>131</v>
      </c>
      <c r="F364" s="0" t="s">
        <v>198</v>
      </c>
      <c r="G364" s="0" t="s">
        <v>628</v>
      </c>
      <c r="H364" s="0" t="s">
        <v>625</v>
      </c>
      <c r="I364" s="0" t="s">
        <v>626</v>
      </c>
      <c r="J364" s="0" t="s">
        <v>627</v>
      </c>
      <c r="K364" s="475" t="n">
        <v>37196</v>
      </c>
      <c r="L364" s="254" t="n">
        <v>298254.166629302</v>
      </c>
      <c r="M364" s="475" t="n">
        <v>37194</v>
      </c>
      <c r="N364" s="0" t="s">
        <v>132</v>
      </c>
      <c r="O364" s="0" t="n">
        <v>1.33</v>
      </c>
      <c r="P364" s="0" t="n">
        <v>0</v>
      </c>
      <c r="Q364" s="0" t="n">
        <v>0</v>
      </c>
      <c r="R364" s="0" t="n">
        <v>0</v>
      </c>
      <c r="S364" s="0" t="n">
        <v>0</v>
      </c>
      <c r="T364" s="0" t="s">
        <v>624</v>
      </c>
      <c r="U364" s="0" t="s">
        <v>149</v>
      </c>
      <c r="V364" s="0" t="s">
        <v>624</v>
      </c>
      <c r="W364" s="0" t="s">
        <v>569</v>
      </c>
      <c r="X364" s="0" t="s">
        <v>624</v>
      </c>
      <c r="Y364" s="0" t="s">
        <v>627</v>
      </c>
      <c r="Z364" s="0" t="s">
        <v>629</v>
      </c>
      <c r="AA364" s="0" t="s">
        <v>624</v>
      </c>
      <c r="AB364" s="0" t="s">
        <v>132</v>
      </c>
      <c r="AC364" s="254" t="n">
        <v>500000</v>
      </c>
      <c r="AD364" s="254" t="n">
        <v>22239.8549820322</v>
      </c>
      <c r="AE364" s="0" t="n">
        <v>0</v>
      </c>
      <c r="AF364" s="0" t="n">
        <v>0</v>
      </c>
      <c r="AG364" s="0" t="n">
        <v>0</v>
      </c>
      <c r="AH364" s="254" t="n">
        <v>-7666.49579026614</v>
      </c>
      <c r="AI364" s="0" t="n">
        <v>226</v>
      </c>
      <c r="AJ364" s="0" t="s">
        <v>630</v>
      </c>
      <c r="AK364" s="0" t="n">
        <v>0</v>
      </c>
      <c r="AL364" s="0" t="n">
        <v>0</v>
      </c>
      <c r="AM364" s="0" t="n">
        <v>0</v>
      </c>
    </row>
    <row r="365" customFormat="false" ht="12.75" hidden="false" customHeight="false" outlineLevel="0" collapsed="false">
      <c r="A365" s="0" t="s">
        <v>621</v>
      </c>
      <c r="B365" s="0" t="s">
        <v>330</v>
      </c>
      <c r="C365" s="0" t="s">
        <v>622</v>
      </c>
      <c r="D365" s="0" t="s">
        <v>623</v>
      </c>
      <c r="E365" s="0" t="s">
        <v>131</v>
      </c>
      <c r="F365" s="0" t="s">
        <v>198</v>
      </c>
      <c r="G365" s="0" t="s">
        <v>628</v>
      </c>
      <c r="H365" s="0" t="s">
        <v>625</v>
      </c>
      <c r="I365" s="0" t="s">
        <v>626</v>
      </c>
      <c r="J365" s="0" t="s">
        <v>627</v>
      </c>
      <c r="K365" s="475" t="n">
        <v>36951</v>
      </c>
      <c r="L365" s="254" t="n">
        <v>-78849.0332773449</v>
      </c>
      <c r="M365" s="475" t="n">
        <v>36949</v>
      </c>
      <c r="N365" s="0" t="s">
        <v>136</v>
      </c>
      <c r="O365" s="0" t="n">
        <v>2.5</v>
      </c>
      <c r="P365" s="0" t="n">
        <v>0</v>
      </c>
      <c r="Q365" s="0" t="n">
        <v>0</v>
      </c>
      <c r="R365" s="0" t="n">
        <v>0</v>
      </c>
      <c r="S365" s="0" t="n">
        <v>0</v>
      </c>
      <c r="T365" s="0" t="s">
        <v>624</v>
      </c>
      <c r="U365" s="0" t="s">
        <v>149</v>
      </c>
      <c r="V365" s="0" t="s">
        <v>624</v>
      </c>
      <c r="W365" s="0" t="s">
        <v>569</v>
      </c>
      <c r="X365" s="0" t="s">
        <v>624</v>
      </c>
      <c r="Y365" s="0" t="s">
        <v>627</v>
      </c>
      <c r="Z365" s="0" t="s">
        <v>629</v>
      </c>
      <c r="AA365" s="0" t="s">
        <v>624</v>
      </c>
      <c r="AB365" s="0" t="s">
        <v>132</v>
      </c>
      <c r="AC365" s="254" t="n">
        <v>-500000</v>
      </c>
      <c r="AD365" s="254" t="n">
        <v>-28654.2946908089</v>
      </c>
      <c r="AE365" s="0" t="n">
        <v>0</v>
      </c>
      <c r="AF365" s="0" t="n">
        <v>0</v>
      </c>
      <c r="AG365" s="0" t="n">
        <v>0</v>
      </c>
      <c r="AH365" s="254" t="n">
        <v>-7840.69893657295</v>
      </c>
      <c r="AI365" s="0" t="n">
        <v>226</v>
      </c>
      <c r="AJ365" s="0" t="s">
        <v>630</v>
      </c>
      <c r="AK365" s="0" t="n">
        <v>0</v>
      </c>
      <c r="AL365" s="0" t="n">
        <v>0</v>
      </c>
      <c r="AM365" s="0" t="n">
        <v>0</v>
      </c>
    </row>
    <row r="366" customFormat="false" ht="12.75" hidden="false" customHeight="false" outlineLevel="0" collapsed="false">
      <c r="A366" s="0" t="s">
        <v>621</v>
      </c>
      <c r="B366" s="0" t="s">
        <v>330</v>
      </c>
      <c r="C366" s="0" t="s">
        <v>622</v>
      </c>
      <c r="D366" s="0" t="s">
        <v>623</v>
      </c>
      <c r="E366" s="0" t="s">
        <v>131</v>
      </c>
      <c r="F366" s="0" t="s">
        <v>198</v>
      </c>
      <c r="G366" s="0" t="s">
        <v>628</v>
      </c>
      <c r="H366" s="0" t="s">
        <v>625</v>
      </c>
      <c r="I366" s="0" t="s">
        <v>626</v>
      </c>
      <c r="J366" s="0" t="s">
        <v>627</v>
      </c>
      <c r="K366" s="475" t="n">
        <v>36923</v>
      </c>
      <c r="L366" s="254" t="n">
        <v>-268548.128159836</v>
      </c>
      <c r="M366" s="475" t="n">
        <v>36921</v>
      </c>
      <c r="N366" s="0" t="s">
        <v>136</v>
      </c>
      <c r="O366" s="0" t="n">
        <v>2.5</v>
      </c>
      <c r="P366" s="0" t="n">
        <v>0</v>
      </c>
      <c r="Q366" s="0" t="n">
        <v>0</v>
      </c>
      <c r="R366" s="0" t="n">
        <v>0</v>
      </c>
      <c r="S366" s="0" t="n">
        <v>0</v>
      </c>
      <c r="T366" s="0" t="s">
        <v>624</v>
      </c>
      <c r="U366" s="0" t="s">
        <v>149</v>
      </c>
      <c r="V366" s="0" t="s">
        <v>624</v>
      </c>
      <c r="W366" s="0" t="s">
        <v>569</v>
      </c>
      <c r="X366" s="0" t="s">
        <v>624</v>
      </c>
      <c r="Y366" s="0" t="s">
        <v>627</v>
      </c>
      <c r="Z366" s="0" t="s">
        <v>629</v>
      </c>
      <c r="AA366" s="0" t="s">
        <v>624</v>
      </c>
      <c r="AB366" s="0" t="s">
        <v>132</v>
      </c>
      <c r="AC366" s="254" t="n">
        <v>-500000</v>
      </c>
      <c r="AD366" s="254" t="n">
        <v>-41384.8011180999</v>
      </c>
      <c r="AE366" s="0" t="n">
        <v>0</v>
      </c>
      <c r="AF366" s="0" t="n">
        <v>0</v>
      </c>
      <c r="AG366" s="0" t="n">
        <v>0</v>
      </c>
      <c r="AH366" s="254" t="n">
        <v>-17740.3183104595</v>
      </c>
      <c r="AI366" s="0" t="n">
        <v>226</v>
      </c>
      <c r="AJ366" s="0" t="s">
        <v>630</v>
      </c>
      <c r="AK366" s="0" t="n">
        <v>0</v>
      </c>
      <c r="AL366" s="0" t="n">
        <v>0</v>
      </c>
      <c r="AM366" s="0" t="n">
        <v>0</v>
      </c>
    </row>
    <row r="367" customFormat="false" ht="12.75" hidden="false" customHeight="false" outlineLevel="0" collapsed="false">
      <c r="A367" s="0" t="s">
        <v>621</v>
      </c>
      <c r="B367" s="0" t="s">
        <v>330</v>
      </c>
      <c r="C367" s="0" t="s">
        <v>622</v>
      </c>
      <c r="D367" s="0" t="s">
        <v>623</v>
      </c>
      <c r="E367" s="0" t="s">
        <v>131</v>
      </c>
      <c r="F367" s="0" t="s">
        <v>198</v>
      </c>
      <c r="G367" s="0" t="s">
        <v>628</v>
      </c>
      <c r="H367" s="0" t="s">
        <v>625</v>
      </c>
      <c r="I367" s="0" t="s">
        <v>626</v>
      </c>
      <c r="J367" s="0" t="s">
        <v>627</v>
      </c>
      <c r="K367" s="475" t="n">
        <v>36892</v>
      </c>
      <c r="L367" s="254" t="n">
        <v>-265933.051985466</v>
      </c>
      <c r="M367" s="475" t="n">
        <v>36888</v>
      </c>
      <c r="N367" s="0" t="s">
        <v>136</v>
      </c>
      <c r="O367" s="0" t="n">
        <v>2.5</v>
      </c>
      <c r="P367" s="0" t="n">
        <v>0</v>
      </c>
      <c r="Q367" s="0" t="n">
        <v>0</v>
      </c>
      <c r="R367" s="0" t="n">
        <v>0</v>
      </c>
      <c r="S367" s="0" t="n">
        <v>0</v>
      </c>
      <c r="T367" s="0" t="s">
        <v>624</v>
      </c>
      <c r="U367" s="0" t="s">
        <v>149</v>
      </c>
      <c r="V367" s="0" t="s">
        <v>624</v>
      </c>
      <c r="W367" s="0" t="s">
        <v>569</v>
      </c>
      <c r="X367" s="0" t="s">
        <v>624</v>
      </c>
      <c r="Y367" s="0" t="s">
        <v>627</v>
      </c>
      <c r="Z367" s="0" t="s">
        <v>629</v>
      </c>
      <c r="AA367" s="0" t="s">
        <v>624</v>
      </c>
      <c r="AB367" s="0" t="s">
        <v>132</v>
      </c>
      <c r="AC367" s="254" t="n">
        <v>-500000</v>
      </c>
      <c r="AD367" s="254" t="n">
        <v>-38180.9153994505</v>
      </c>
      <c r="AE367" s="0" t="n">
        <v>0</v>
      </c>
      <c r="AF367" s="0" t="n">
        <v>0</v>
      </c>
      <c r="AG367" s="0" t="n">
        <v>0</v>
      </c>
      <c r="AH367" s="254" t="n">
        <v>-15641.4159356671</v>
      </c>
      <c r="AI367" s="0" t="n">
        <v>226</v>
      </c>
      <c r="AJ367" s="0" t="s">
        <v>630</v>
      </c>
      <c r="AK367" s="0" t="n">
        <v>0</v>
      </c>
      <c r="AL367" s="0" t="n">
        <v>0</v>
      </c>
      <c r="AM367" s="0" t="n">
        <v>0</v>
      </c>
    </row>
    <row r="368" customFormat="false" ht="12.75" hidden="false" customHeight="false" outlineLevel="0" collapsed="false">
      <c r="A368" s="0" t="s">
        <v>621</v>
      </c>
      <c r="B368" s="0" t="s">
        <v>330</v>
      </c>
      <c r="C368" s="0" t="s">
        <v>622</v>
      </c>
      <c r="D368" s="0" t="s">
        <v>623</v>
      </c>
      <c r="E368" s="0" t="s">
        <v>131</v>
      </c>
      <c r="F368" s="0" t="s">
        <v>198</v>
      </c>
      <c r="G368" s="0" t="s">
        <v>628</v>
      </c>
      <c r="H368" s="0" t="s">
        <v>625</v>
      </c>
      <c r="I368" s="0" t="s">
        <v>626</v>
      </c>
      <c r="J368" s="0" t="s">
        <v>627</v>
      </c>
      <c r="K368" s="475" t="n">
        <v>36861</v>
      </c>
      <c r="L368" s="254" t="n">
        <v>-123868.759900278</v>
      </c>
      <c r="M368" s="475" t="n">
        <v>36859</v>
      </c>
      <c r="N368" s="0" t="s">
        <v>136</v>
      </c>
      <c r="O368" s="0" t="n">
        <v>2.5</v>
      </c>
      <c r="P368" s="0" t="n">
        <v>0</v>
      </c>
      <c r="Q368" s="0" t="n">
        <v>0</v>
      </c>
      <c r="R368" s="0" t="n">
        <v>0</v>
      </c>
      <c r="S368" s="0" t="n">
        <v>0</v>
      </c>
      <c r="T368" s="0" t="s">
        <v>624</v>
      </c>
      <c r="U368" s="0" t="s">
        <v>149</v>
      </c>
      <c r="V368" s="0" t="s">
        <v>624</v>
      </c>
      <c r="W368" s="0" t="s">
        <v>569</v>
      </c>
      <c r="X368" s="0" t="s">
        <v>624</v>
      </c>
      <c r="Y368" s="0" t="s">
        <v>627</v>
      </c>
      <c r="Z368" s="0" t="s">
        <v>629</v>
      </c>
      <c r="AA368" s="0" t="s">
        <v>624</v>
      </c>
      <c r="AB368" s="0" t="s">
        <v>132</v>
      </c>
      <c r="AC368" s="254" t="n">
        <v>-500000</v>
      </c>
      <c r="AD368" s="254" t="n">
        <v>-29013.4132686056</v>
      </c>
      <c r="AE368" s="0" t="n">
        <v>0</v>
      </c>
      <c r="AF368" s="0" t="n">
        <v>0</v>
      </c>
      <c r="AG368" s="0" t="n">
        <v>0</v>
      </c>
      <c r="AH368" s="254" t="n">
        <v>-8395.75378996143</v>
      </c>
      <c r="AI368" s="0" t="n">
        <v>226</v>
      </c>
      <c r="AJ368" s="0" t="s">
        <v>630</v>
      </c>
      <c r="AK368" s="0" t="n">
        <v>0</v>
      </c>
      <c r="AL368" s="0" t="n">
        <v>0</v>
      </c>
      <c r="AM368" s="0" t="n">
        <v>0</v>
      </c>
    </row>
    <row r="369" customFormat="false" ht="12.75" hidden="false" customHeight="false" outlineLevel="0" collapsed="false">
      <c r="A369" s="0" t="s">
        <v>621</v>
      </c>
      <c r="B369" s="0" t="s">
        <v>330</v>
      </c>
      <c r="C369" s="0" t="s">
        <v>622</v>
      </c>
      <c r="D369" s="0" t="s">
        <v>623</v>
      </c>
      <c r="E369" s="0" t="s">
        <v>131</v>
      </c>
      <c r="F369" s="0" t="s">
        <v>198</v>
      </c>
      <c r="G369" s="0" t="s">
        <v>628</v>
      </c>
      <c r="H369" s="0" t="s">
        <v>625</v>
      </c>
      <c r="I369" s="0" t="s">
        <v>626</v>
      </c>
      <c r="J369" s="0" t="s">
        <v>627</v>
      </c>
      <c r="K369" s="475" t="n">
        <v>36831</v>
      </c>
      <c r="L369" s="254" t="n">
        <v>-3219.77375476454</v>
      </c>
      <c r="M369" s="475" t="n">
        <v>36829</v>
      </c>
      <c r="N369" s="0" t="s">
        <v>136</v>
      </c>
      <c r="O369" s="0" t="n">
        <v>2.5</v>
      </c>
      <c r="P369" s="0" t="n">
        <v>0</v>
      </c>
      <c r="Q369" s="0" t="n">
        <v>0</v>
      </c>
      <c r="R369" s="0" t="n">
        <v>0</v>
      </c>
      <c r="S369" s="0" t="n">
        <v>0</v>
      </c>
      <c r="T369" s="0" t="s">
        <v>624</v>
      </c>
      <c r="U369" s="0" t="s">
        <v>149</v>
      </c>
      <c r="V369" s="0" t="s">
        <v>624</v>
      </c>
      <c r="W369" s="0" t="s">
        <v>569</v>
      </c>
      <c r="X369" s="0" t="s">
        <v>624</v>
      </c>
      <c r="Y369" s="0" t="s">
        <v>627</v>
      </c>
      <c r="Z369" s="0" t="s">
        <v>629</v>
      </c>
      <c r="AA369" s="0" t="s">
        <v>624</v>
      </c>
      <c r="AB369" s="0" t="s">
        <v>132</v>
      </c>
      <c r="AC369" s="254" t="n">
        <v>-500000</v>
      </c>
      <c r="AD369" s="254" t="n">
        <v>-2615.98667119585</v>
      </c>
      <c r="AE369" s="0" t="n">
        <v>0</v>
      </c>
      <c r="AF369" s="0" t="n">
        <v>0</v>
      </c>
      <c r="AG369" s="0" t="n">
        <v>0</v>
      </c>
      <c r="AH369" s="254" t="n">
        <v>-633.230587007514</v>
      </c>
      <c r="AI369" s="0" t="n">
        <v>226</v>
      </c>
      <c r="AJ369" s="0" t="s">
        <v>630</v>
      </c>
      <c r="AK369" s="0" t="n">
        <v>0</v>
      </c>
      <c r="AL369" s="0" t="n">
        <v>0</v>
      </c>
      <c r="AM369" s="0" t="n">
        <v>0</v>
      </c>
    </row>
    <row r="370" customFormat="false" ht="12.75" hidden="false" customHeight="false" outlineLevel="0" collapsed="false">
      <c r="A370" s="0" t="s">
        <v>621</v>
      </c>
      <c r="B370" s="0" t="s">
        <v>331</v>
      </c>
      <c r="C370" s="0" t="s">
        <v>622</v>
      </c>
      <c r="D370" s="0" t="s">
        <v>623</v>
      </c>
      <c r="E370" s="0" t="s">
        <v>131</v>
      </c>
      <c r="F370" s="0" t="s">
        <v>218</v>
      </c>
      <c r="G370" s="0" t="s">
        <v>628</v>
      </c>
      <c r="H370" s="0" t="s">
        <v>625</v>
      </c>
      <c r="I370" s="0" t="s">
        <v>626</v>
      </c>
      <c r="J370" s="0" t="s">
        <v>627</v>
      </c>
      <c r="K370" s="475" t="n">
        <v>36951</v>
      </c>
      <c r="L370" s="254" t="n">
        <v>160013.494654283</v>
      </c>
      <c r="M370" s="475" t="n">
        <v>36949</v>
      </c>
      <c r="N370" s="0" t="s">
        <v>132</v>
      </c>
      <c r="O370" s="0" t="n">
        <v>0.7</v>
      </c>
      <c r="P370" s="0" t="n">
        <v>0</v>
      </c>
      <c r="Q370" s="0" t="n">
        <v>0</v>
      </c>
      <c r="R370" s="0" t="n">
        <v>0</v>
      </c>
      <c r="S370" s="0" t="n">
        <v>0</v>
      </c>
      <c r="T370" s="0" t="s">
        <v>624</v>
      </c>
      <c r="U370" s="0" t="s">
        <v>149</v>
      </c>
      <c r="V370" s="0" t="s">
        <v>624</v>
      </c>
      <c r="W370" s="0" t="s">
        <v>569</v>
      </c>
      <c r="X370" s="0" t="s">
        <v>624</v>
      </c>
      <c r="Y370" s="0" t="s">
        <v>627</v>
      </c>
      <c r="Z370" s="0" t="s">
        <v>629</v>
      </c>
      <c r="AA370" s="0" t="s">
        <v>624</v>
      </c>
      <c r="AB370" s="0" t="s">
        <v>132</v>
      </c>
      <c r="AC370" s="254" t="n">
        <v>500000</v>
      </c>
      <c r="AD370" s="254" t="n">
        <v>43330.8707097487</v>
      </c>
      <c r="AE370" s="0" t="n">
        <v>0</v>
      </c>
      <c r="AF370" s="0" t="n">
        <v>0</v>
      </c>
      <c r="AG370" s="0" t="n">
        <v>0</v>
      </c>
      <c r="AH370" s="254" t="n">
        <v>-7738.76991280532</v>
      </c>
      <c r="AI370" s="0" t="n">
        <v>226</v>
      </c>
      <c r="AJ370" s="0" t="s">
        <v>630</v>
      </c>
      <c r="AK370" s="0" t="n">
        <v>0</v>
      </c>
      <c r="AL370" s="0" t="n">
        <v>0</v>
      </c>
      <c r="AM370" s="0" t="n">
        <v>0</v>
      </c>
    </row>
    <row r="371" customFormat="false" ht="12.75" hidden="false" customHeight="false" outlineLevel="0" collapsed="false">
      <c r="A371" s="0" t="s">
        <v>621</v>
      </c>
      <c r="B371" s="0" t="s">
        <v>331</v>
      </c>
      <c r="C371" s="0" t="s">
        <v>622</v>
      </c>
      <c r="D371" s="0" t="s">
        <v>623</v>
      </c>
      <c r="E371" s="0" t="s">
        <v>131</v>
      </c>
      <c r="F371" s="0" t="s">
        <v>218</v>
      </c>
      <c r="G371" s="0" t="s">
        <v>628</v>
      </c>
      <c r="H371" s="0" t="s">
        <v>625</v>
      </c>
      <c r="I371" s="0" t="s">
        <v>626</v>
      </c>
      <c r="J371" s="0" t="s">
        <v>627</v>
      </c>
      <c r="K371" s="475" t="n">
        <v>36923</v>
      </c>
      <c r="L371" s="254" t="n">
        <v>64633.941476257</v>
      </c>
      <c r="M371" s="475" t="n">
        <v>36921</v>
      </c>
      <c r="N371" s="0" t="s">
        <v>132</v>
      </c>
      <c r="O371" s="0" t="n">
        <v>0.7</v>
      </c>
      <c r="P371" s="0" t="n">
        <v>0</v>
      </c>
      <c r="Q371" s="0" t="n">
        <v>0</v>
      </c>
      <c r="R371" s="0" t="n">
        <v>0</v>
      </c>
      <c r="S371" s="0" t="n">
        <v>0</v>
      </c>
      <c r="T371" s="0" t="s">
        <v>624</v>
      </c>
      <c r="U371" s="0" t="s">
        <v>149</v>
      </c>
      <c r="V371" s="0" t="s">
        <v>624</v>
      </c>
      <c r="W371" s="0" t="s">
        <v>569</v>
      </c>
      <c r="X371" s="0" t="s">
        <v>624</v>
      </c>
      <c r="Y371" s="0" t="s">
        <v>627</v>
      </c>
      <c r="Z371" s="0" t="s">
        <v>629</v>
      </c>
      <c r="AA371" s="0" t="s">
        <v>624</v>
      </c>
      <c r="AB371" s="0" t="s">
        <v>132</v>
      </c>
      <c r="AC371" s="254" t="n">
        <v>500000</v>
      </c>
      <c r="AD371" s="254" t="n">
        <v>29717.6874512879</v>
      </c>
      <c r="AE371" s="0" t="n">
        <v>0</v>
      </c>
      <c r="AF371" s="0" t="n">
        <v>0</v>
      </c>
      <c r="AG371" s="0" t="n">
        <v>0</v>
      </c>
      <c r="AH371" s="254" t="n">
        <v>-3486.33141220711</v>
      </c>
      <c r="AI371" s="0" t="n">
        <v>226</v>
      </c>
      <c r="AJ371" s="0" t="s">
        <v>630</v>
      </c>
      <c r="AK371" s="0" t="n">
        <v>0</v>
      </c>
      <c r="AL371" s="0" t="n">
        <v>0</v>
      </c>
      <c r="AM371" s="0" t="n">
        <v>0</v>
      </c>
    </row>
    <row r="372" customFormat="false" ht="12.75" hidden="false" customHeight="false" outlineLevel="0" collapsed="false">
      <c r="A372" s="0" t="s">
        <v>621</v>
      </c>
      <c r="B372" s="0" t="s">
        <v>331</v>
      </c>
      <c r="C372" s="0" t="s">
        <v>622</v>
      </c>
      <c r="D372" s="0" t="s">
        <v>623</v>
      </c>
      <c r="E372" s="0" t="s">
        <v>131</v>
      </c>
      <c r="F372" s="0" t="s">
        <v>218</v>
      </c>
      <c r="G372" s="0" t="s">
        <v>628</v>
      </c>
      <c r="H372" s="0" t="s">
        <v>625</v>
      </c>
      <c r="I372" s="0" t="s">
        <v>626</v>
      </c>
      <c r="J372" s="0" t="s">
        <v>627</v>
      </c>
      <c r="K372" s="475" t="n">
        <v>36892</v>
      </c>
      <c r="L372" s="254" t="n">
        <v>50711.5763740942</v>
      </c>
      <c r="M372" s="475" t="n">
        <v>36888</v>
      </c>
      <c r="N372" s="0" t="s">
        <v>132</v>
      </c>
      <c r="O372" s="0" t="n">
        <v>0.7</v>
      </c>
      <c r="P372" s="0" t="n">
        <v>0</v>
      </c>
      <c r="Q372" s="0" t="n">
        <v>0</v>
      </c>
      <c r="R372" s="0" t="n">
        <v>0</v>
      </c>
      <c r="S372" s="0" t="n">
        <v>0</v>
      </c>
      <c r="T372" s="0" t="s">
        <v>624</v>
      </c>
      <c r="U372" s="0" t="s">
        <v>149</v>
      </c>
      <c r="V372" s="0" t="s">
        <v>624</v>
      </c>
      <c r="W372" s="0" t="s">
        <v>569</v>
      </c>
      <c r="X372" s="0" t="s">
        <v>624</v>
      </c>
      <c r="Y372" s="0" t="s">
        <v>627</v>
      </c>
      <c r="Z372" s="0" t="s">
        <v>629</v>
      </c>
      <c r="AA372" s="0" t="s">
        <v>624</v>
      </c>
      <c r="AB372" s="0" t="s">
        <v>132</v>
      </c>
      <c r="AC372" s="254" t="n">
        <v>500000</v>
      </c>
      <c r="AD372" s="254" t="n">
        <v>24485.5777553611</v>
      </c>
      <c r="AE372" s="0" t="n">
        <v>0</v>
      </c>
      <c r="AF372" s="0" t="n">
        <v>0</v>
      </c>
      <c r="AG372" s="0" t="n">
        <v>0</v>
      </c>
      <c r="AH372" s="254" t="n">
        <v>-2460.61232077333</v>
      </c>
      <c r="AI372" s="0" t="n">
        <v>226</v>
      </c>
      <c r="AJ372" s="0" t="s">
        <v>630</v>
      </c>
      <c r="AK372" s="0" t="n">
        <v>0</v>
      </c>
      <c r="AL372" s="0" t="n">
        <v>0</v>
      </c>
      <c r="AM372" s="0" t="n">
        <v>0</v>
      </c>
    </row>
    <row r="373" customFormat="false" ht="12.75" hidden="false" customHeight="false" outlineLevel="0" collapsed="false">
      <c r="A373" s="0" t="s">
        <v>621</v>
      </c>
      <c r="B373" s="0" t="s">
        <v>331</v>
      </c>
      <c r="C373" s="0" t="s">
        <v>622</v>
      </c>
      <c r="D373" s="0" t="s">
        <v>623</v>
      </c>
      <c r="E373" s="0" t="s">
        <v>131</v>
      </c>
      <c r="F373" s="0" t="s">
        <v>218</v>
      </c>
      <c r="G373" s="0" t="s">
        <v>628</v>
      </c>
      <c r="H373" s="0" t="s">
        <v>625</v>
      </c>
      <c r="I373" s="0" t="s">
        <v>626</v>
      </c>
      <c r="J373" s="0" t="s">
        <v>627</v>
      </c>
      <c r="K373" s="475" t="n">
        <v>36861</v>
      </c>
      <c r="L373" s="254" t="n">
        <v>67625.3262715833</v>
      </c>
      <c r="M373" s="475" t="n">
        <v>36859</v>
      </c>
      <c r="N373" s="0" t="s">
        <v>132</v>
      </c>
      <c r="O373" s="0" t="n">
        <v>0.7</v>
      </c>
      <c r="P373" s="0" t="n">
        <v>0</v>
      </c>
      <c r="Q373" s="0" t="n">
        <v>0</v>
      </c>
      <c r="R373" s="0" t="n">
        <v>0</v>
      </c>
      <c r="S373" s="0" t="n">
        <v>0</v>
      </c>
      <c r="T373" s="0" t="s">
        <v>624</v>
      </c>
      <c r="U373" s="0" t="s">
        <v>149</v>
      </c>
      <c r="V373" s="0" t="s">
        <v>624</v>
      </c>
      <c r="W373" s="0" t="s">
        <v>569</v>
      </c>
      <c r="X373" s="0" t="s">
        <v>624</v>
      </c>
      <c r="Y373" s="0" t="s">
        <v>627</v>
      </c>
      <c r="Z373" s="0" t="s">
        <v>629</v>
      </c>
      <c r="AA373" s="0" t="s">
        <v>624</v>
      </c>
      <c r="AB373" s="0" t="s">
        <v>132</v>
      </c>
      <c r="AC373" s="254" t="n">
        <v>500000</v>
      </c>
      <c r="AD373" s="254" t="n">
        <v>26854.2626189887</v>
      </c>
      <c r="AE373" s="0" t="n">
        <v>0</v>
      </c>
      <c r="AF373" s="0" t="n">
        <v>0</v>
      </c>
      <c r="AG373" s="0" t="n">
        <v>0</v>
      </c>
      <c r="AH373" s="254" t="n">
        <v>-2764.98327624796</v>
      </c>
      <c r="AI373" s="0" t="n">
        <v>226</v>
      </c>
      <c r="AJ373" s="0" t="s">
        <v>630</v>
      </c>
      <c r="AK373" s="0" t="n">
        <v>0</v>
      </c>
      <c r="AL373" s="0" t="n">
        <v>0</v>
      </c>
      <c r="AM373" s="0" t="n">
        <v>0</v>
      </c>
    </row>
    <row r="374" customFormat="false" ht="12.75" hidden="false" customHeight="false" outlineLevel="0" collapsed="false">
      <c r="A374" s="0" t="s">
        <v>621</v>
      </c>
      <c r="B374" s="0" t="s">
        <v>331</v>
      </c>
      <c r="C374" s="0" t="s">
        <v>622</v>
      </c>
      <c r="D374" s="0" t="s">
        <v>623</v>
      </c>
      <c r="E374" s="0" t="s">
        <v>131</v>
      </c>
      <c r="F374" s="0" t="s">
        <v>218</v>
      </c>
      <c r="G374" s="0" t="s">
        <v>628</v>
      </c>
      <c r="H374" s="0" t="s">
        <v>625</v>
      </c>
      <c r="I374" s="0" t="s">
        <v>626</v>
      </c>
      <c r="J374" s="0" t="s">
        <v>627</v>
      </c>
      <c r="K374" s="475" t="n">
        <v>36831</v>
      </c>
      <c r="L374" s="254" t="n">
        <v>112243.684198816</v>
      </c>
      <c r="M374" s="475" t="n">
        <v>36829</v>
      </c>
      <c r="N374" s="0" t="s">
        <v>132</v>
      </c>
      <c r="O374" s="0" t="n">
        <v>0.7</v>
      </c>
      <c r="P374" s="0" t="n">
        <v>0</v>
      </c>
      <c r="Q374" s="0" t="n">
        <v>0</v>
      </c>
      <c r="R374" s="0" t="n">
        <v>0</v>
      </c>
      <c r="S374" s="0" t="n">
        <v>0</v>
      </c>
      <c r="T374" s="0" t="s">
        <v>624</v>
      </c>
      <c r="U374" s="0" t="s">
        <v>149</v>
      </c>
      <c r="V374" s="0" t="s">
        <v>624</v>
      </c>
      <c r="W374" s="0" t="s">
        <v>569</v>
      </c>
      <c r="X374" s="0" t="s">
        <v>624</v>
      </c>
      <c r="Y374" s="0" t="s">
        <v>627</v>
      </c>
      <c r="Z374" s="0" t="s">
        <v>629</v>
      </c>
      <c r="AA374" s="0" t="s">
        <v>624</v>
      </c>
      <c r="AB374" s="0" t="s">
        <v>132</v>
      </c>
      <c r="AC374" s="254" t="n">
        <v>500000</v>
      </c>
      <c r="AD374" s="254" t="n">
        <v>22551.2171298701</v>
      </c>
      <c r="AE374" s="0" t="n">
        <v>0</v>
      </c>
      <c r="AF374" s="0" t="n">
        <v>0</v>
      </c>
      <c r="AG374" s="0" t="n">
        <v>0</v>
      </c>
      <c r="AH374" s="254" t="n">
        <v>-7585.65487872387</v>
      </c>
      <c r="AI374" s="0" t="n">
        <v>226</v>
      </c>
      <c r="AJ374" s="0" t="s">
        <v>630</v>
      </c>
      <c r="AK374" s="0" t="n">
        <v>0</v>
      </c>
      <c r="AL374" s="0" t="n">
        <v>0</v>
      </c>
      <c r="AM374" s="0" t="n">
        <v>0</v>
      </c>
    </row>
    <row r="375" customFormat="false" ht="12.75" hidden="false" customHeight="false" outlineLevel="0" collapsed="false">
      <c r="A375" s="0" t="s">
        <v>621</v>
      </c>
      <c r="B375" s="0" t="s">
        <v>332</v>
      </c>
      <c r="C375" s="0" t="s">
        <v>622</v>
      </c>
      <c r="D375" s="0" t="s">
        <v>623</v>
      </c>
      <c r="E375" s="0" t="s">
        <v>131</v>
      </c>
      <c r="F375" s="0" t="s">
        <v>210</v>
      </c>
      <c r="G375" s="0" t="s">
        <v>628</v>
      </c>
      <c r="H375" s="0" t="s">
        <v>625</v>
      </c>
      <c r="I375" s="0" t="s">
        <v>626</v>
      </c>
      <c r="J375" s="0" t="s">
        <v>627</v>
      </c>
      <c r="K375" s="475" t="n">
        <v>36951</v>
      </c>
      <c r="L375" s="254" t="n">
        <v>513232.345416381</v>
      </c>
      <c r="M375" s="475" t="n">
        <v>36949</v>
      </c>
      <c r="N375" s="0" t="s">
        <v>132</v>
      </c>
      <c r="O375" s="0" t="n">
        <v>0.75</v>
      </c>
      <c r="P375" s="0" t="n">
        <v>0</v>
      </c>
      <c r="Q375" s="0" t="n">
        <v>0</v>
      </c>
      <c r="R375" s="0" t="n">
        <v>0</v>
      </c>
      <c r="S375" s="0" t="n">
        <v>0</v>
      </c>
      <c r="T375" s="0" t="s">
        <v>624</v>
      </c>
      <c r="U375" s="0" t="s">
        <v>149</v>
      </c>
      <c r="V375" s="0" t="s">
        <v>624</v>
      </c>
      <c r="W375" s="0" t="s">
        <v>569</v>
      </c>
      <c r="X375" s="0" t="s">
        <v>624</v>
      </c>
      <c r="Y375" s="0" t="s">
        <v>627</v>
      </c>
      <c r="Z375" s="0" t="s">
        <v>629</v>
      </c>
      <c r="AA375" s="0" t="s">
        <v>624</v>
      </c>
      <c r="AB375" s="0" t="s">
        <v>132</v>
      </c>
      <c r="AC375" s="254" t="n">
        <v>1500000</v>
      </c>
      <c r="AD375" s="254" t="n">
        <v>131130.454420716</v>
      </c>
      <c r="AE375" s="0" t="n">
        <v>0</v>
      </c>
      <c r="AF375" s="0" t="n">
        <v>0</v>
      </c>
      <c r="AG375" s="0" t="n">
        <v>0</v>
      </c>
      <c r="AH375" s="254" t="n">
        <v>-24505.8291372136</v>
      </c>
      <c r="AI375" s="0" t="n">
        <v>226</v>
      </c>
      <c r="AJ375" s="0" t="s">
        <v>630</v>
      </c>
      <c r="AK375" s="0" t="n">
        <v>0</v>
      </c>
      <c r="AL375" s="0" t="n">
        <v>0</v>
      </c>
      <c r="AM375" s="0" t="n">
        <v>0</v>
      </c>
    </row>
    <row r="376" customFormat="false" ht="12.75" hidden="false" customHeight="false" outlineLevel="0" collapsed="false">
      <c r="A376" s="0" t="s">
        <v>621</v>
      </c>
      <c r="B376" s="0" t="s">
        <v>332</v>
      </c>
      <c r="C376" s="0" t="s">
        <v>622</v>
      </c>
      <c r="D376" s="0" t="s">
        <v>623</v>
      </c>
      <c r="E376" s="0" t="s">
        <v>131</v>
      </c>
      <c r="F376" s="0" t="s">
        <v>210</v>
      </c>
      <c r="G376" s="0" t="s">
        <v>628</v>
      </c>
      <c r="H376" s="0" t="s">
        <v>625</v>
      </c>
      <c r="I376" s="0" t="s">
        <v>626</v>
      </c>
      <c r="J376" s="0" t="s">
        <v>627</v>
      </c>
      <c r="K376" s="475" t="n">
        <v>36923</v>
      </c>
      <c r="L376" s="254" t="n">
        <v>210372.748833476</v>
      </c>
      <c r="M376" s="475" t="n">
        <v>36921</v>
      </c>
      <c r="N376" s="0" t="s">
        <v>132</v>
      </c>
      <c r="O376" s="0" t="n">
        <v>0.75</v>
      </c>
      <c r="P376" s="0" t="n">
        <v>0</v>
      </c>
      <c r="Q376" s="0" t="n">
        <v>0</v>
      </c>
      <c r="R376" s="0" t="n">
        <v>0</v>
      </c>
      <c r="S376" s="0" t="n">
        <v>0</v>
      </c>
      <c r="T376" s="0" t="s">
        <v>624</v>
      </c>
      <c r="U376" s="0" t="s">
        <v>149</v>
      </c>
      <c r="V376" s="0" t="s">
        <v>624</v>
      </c>
      <c r="W376" s="0" t="s">
        <v>569</v>
      </c>
      <c r="X376" s="0" t="s">
        <v>624</v>
      </c>
      <c r="Y376" s="0" t="s">
        <v>627</v>
      </c>
      <c r="Z376" s="0" t="s">
        <v>629</v>
      </c>
      <c r="AA376" s="0" t="s">
        <v>624</v>
      </c>
      <c r="AB376" s="0" t="s">
        <v>132</v>
      </c>
      <c r="AC376" s="254" t="n">
        <v>1500000</v>
      </c>
      <c r="AD376" s="254" t="n">
        <v>92204.3573887095</v>
      </c>
      <c r="AE376" s="0" t="n">
        <v>0</v>
      </c>
      <c r="AF376" s="0" t="n">
        <v>0</v>
      </c>
      <c r="AG376" s="0" t="n">
        <v>0</v>
      </c>
      <c r="AH376" s="254" t="n">
        <v>-11260.0531920832</v>
      </c>
      <c r="AI376" s="0" t="n">
        <v>226</v>
      </c>
      <c r="AJ376" s="0" t="s">
        <v>630</v>
      </c>
      <c r="AK376" s="0" t="n">
        <v>0</v>
      </c>
      <c r="AL376" s="0" t="n">
        <v>0</v>
      </c>
      <c r="AM376" s="0" t="n">
        <v>0</v>
      </c>
    </row>
    <row r="377" customFormat="false" ht="12.75" hidden="false" customHeight="false" outlineLevel="0" collapsed="false">
      <c r="A377" s="0" t="s">
        <v>621</v>
      </c>
      <c r="B377" s="0" t="s">
        <v>332</v>
      </c>
      <c r="C377" s="0" t="s">
        <v>622</v>
      </c>
      <c r="D377" s="0" t="s">
        <v>623</v>
      </c>
      <c r="E377" s="0" t="s">
        <v>131</v>
      </c>
      <c r="F377" s="0" t="s">
        <v>210</v>
      </c>
      <c r="G377" s="0" t="s">
        <v>628</v>
      </c>
      <c r="H377" s="0" t="s">
        <v>625</v>
      </c>
      <c r="I377" s="0" t="s">
        <v>626</v>
      </c>
      <c r="J377" s="0" t="s">
        <v>627</v>
      </c>
      <c r="K377" s="475" t="n">
        <v>36892</v>
      </c>
      <c r="L377" s="254" t="n">
        <v>166109.534174436</v>
      </c>
      <c r="M377" s="475" t="n">
        <v>36888</v>
      </c>
      <c r="N377" s="0" t="s">
        <v>132</v>
      </c>
      <c r="O377" s="0" t="n">
        <v>0.75</v>
      </c>
      <c r="P377" s="0" t="n">
        <v>0</v>
      </c>
      <c r="Q377" s="0" t="n">
        <v>0</v>
      </c>
      <c r="R377" s="0" t="n">
        <v>0</v>
      </c>
      <c r="S377" s="0" t="n">
        <v>0</v>
      </c>
      <c r="T377" s="0" t="s">
        <v>624</v>
      </c>
      <c r="U377" s="0" t="s">
        <v>149</v>
      </c>
      <c r="V377" s="0" t="s">
        <v>624</v>
      </c>
      <c r="W377" s="0" t="s">
        <v>569</v>
      </c>
      <c r="X377" s="0" t="s">
        <v>624</v>
      </c>
      <c r="Y377" s="0" t="s">
        <v>627</v>
      </c>
      <c r="Z377" s="0" t="s">
        <v>629</v>
      </c>
      <c r="AA377" s="0" t="s">
        <v>624</v>
      </c>
      <c r="AB377" s="0" t="s">
        <v>132</v>
      </c>
      <c r="AC377" s="254" t="n">
        <v>1500000</v>
      </c>
      <c r="AD377" s="254" t="n">
        <v>76466.6153007676</v>
      </c>
      <c r="AE377" s="0" t="n">
        <v>0</v>
      </c>
      <c r="AF377" s="0" t="n">
        <v>0</v>
      </c>
      <c r="AG377" s="0" t="n">
        <v>0</v>
      </c>
      <c r="AH377" s="254" t="n">
        <v>-8012.73779103175</v>
      </c>
      <c r="AI377" s="0" t="n">
        <v>226</v>
      </c>
      <c r="AJ377" s="0" t="s">
        <v>630</v>
      </c>
      <c r="AK377" s="0" t="n">
        <v>0</v>
      </c>
      <c r="AL377" s="0" t="n">
        <v>0</v>
      </c>
      <c r="AM377" s="0" t="n">
        <v>0</v>
      </c>
    </row>
    <row r="378" customFormat="false" ht="12.75" hidden="false" customHeight="false" outlineLevel="0" collapsed="false">
      <c r="A378" s="0" t="s">
        <v>621</v>
      </c>
      <c r="B378" s="0" t="s">
        <v>332</v>
      </c>
      <c r="C378" s="0" t="s">
        <v>622</v>
      </c>
      <c r="D378" s="0" t="s">
        <v>623</v>
      </c>
      <c r="E378" s="0" t="s">
        <v>131</v>
      </c>
      <c r="F378" s="0" t="s">
        <v>210</v>
      </c>
      <c r="G378" s="0" t="s">
        <v>628</v>
      </c>
      <c r="H378" s="0" t="s">
        <v>625</v>
      </c>
      <c r="I378" s="0" t="s">
        <v>626</v>
      </c>
      <c r="J378" s="0" t="s">
        <v>627</v>
      </c>
      <c r="K378" s="475" t="n">
        <v>36861</v>
      </c>
      <c r="L378" s="254" t="n">
        <v>221875.477756909</v>
      </c>
      <c r="M378" s="475" t="n">
        <v>36859</v>
      </c>
      <c r="N378" s="0" t="s">
        <v>132</v>
      </c>
      <c r="O378" s="0" t="n">
        <v>0.75</v>
      </c>
      <c r="P378" s="0" t="n">
        <v>0</v>
      </c>
      <c r="Q378" s="0" t="n">
        <v>0</v>
      </c>
      <c r="R378" s="0" t="n">
        <v>0</v>
      </c>
      <c r="S378" s="0" t="n">
        <v>0</v>
      </c>
      <c r="T378" s="0" t="s">
        <v>624</v>
      </c>
      <c r="U378" s="0" t="s">
        <v>149</v>
      </c>
      <c r="V378" s="0" t="s">
        <v>624</v>
      </c>
      <c r="W378" s="0" t="s">
        <v>569</v>
      </c>
      <c r="X378" s="0" t="s">
        <v>624</v>
      </c>
      <c r="Y378" s="0" t="s">
        <v>627</v>
      </c>
      <c r="Z378" s="0" t="s">
        <v>629</v>
      </c>
      <c r="AA378" s="0" t="s">
        <v>624</v>
      </c>
      <c r="AB378" s="0" t="s">
        <v>132</v>
      </c>
      <c r="AC378" s="254" t="n">
        <v>1500000</v>
      </c>
      <c r="AD378" s="254" t="n">
        <v>83374.6204501216</v>
      </c>
      <c r="AE378" s="0" t="n">
        <v>0</v>
      </c>
      <c r="AF378" s="0" t="n">
        <v>0</v>
      </c>
      <c r="AG378" s="0" t="n">
        <v>0</v>
      </c>
      <c r="AH378" s="254" t="n">
        <v>-9012.112898394</v>
      </c>
      <c r="AI378" s="0" t="n">
        <v>226</v>
      </c>
      <c r="AJ378" s="0" t="s">
        <v>630</v>
      </c>
      <c r="AK378" s="0" t="n">
        <v>0</v>
      </c>
      <c r="AL378" s="0" t="n">
        <v>0</v>
      </c>
      <c r="AM378" s="0" t="n">
        <v>0</v>
      </c>
    </row>
    <row r="379" customFormat="false" ht="12.75" hidden="false" customHeight="false" outlineLevel="0" collapsed="false">
      <c r="A379" s="0" t="s">
        <v>621</v>
      </c>
      <c r="B379" s="0" t="s">
        <v>332</v>
      </c>
      <c r="C379" s="0" t="s">
        <v>622</v>
      </c>
      <c r="D379" s="0" t="s">
        <v>623</v>
      </c>
      <c r="E379" s="0" t="s">
        <v>131</v>
      </c>
      <c r="F379" s="0" t="s">
        <v>210</v>
      </c>
      <c r="G379" s="0" t="s">
        <v>628</v>
      </c>
      <c r="H379" s="0" t="s">
        <v>625</v>
      </c>
      <c r="I379" s="0" t="s">
        <v>626</v>
      </c>
      <c r="J379" s="0" t="s">
        <v>627</v>
      </c>
      <c r="K379" s="475" t="n">
        <v>36831</v>
      </c>
      <c r="L379" s="254" t="n">
        <v>374426.838876617</v>
      </c>
      <c r="M379" s="475" t="n">
        <v>36829</v>
      </c>
      <c r="N379" s="0" t="s">
        <v>132</v>
      </c>
      <c r="O379" s="0" t="n">
        <v>0.75</v>
      </c>
      <c r="P379" s="0" t="n">
        <v>0</v>
      </c>
      <c r="Q379" s="0" t="n">
        <v>0</v>
      </c>
      <c r="R379" s="0" t="n">
        <v>0</v>
      </c>
      <c r="S379" s="0" t="n">
        <v>0</v>
      </c>
      <c r="T379" s="0" t="s">
        <v>624</v>
      </c>
      <c r="U379" s="0" t="s">
        <v>149</v>
      </c>
      <c r="V379" s="0" t="s">
        <v>624</v>
      </c>
      <c r="W379" s="0" t="s">
        <v>569</v>
      </c>
      <c r="X379" s="0" t="s">
        <v>624</v>
      </c>
      <c r="Y379" s="0" t="s">
        <v>627</v>
      </c>
      <c r="Z379" s="0" t="s">
        <v>629</v>
      </c>
      <c r="AA379" s="0" t="s">
        <v>624</v>
      </c>
      <c r="AB379" s="0" t="s">
        <v>132</v>
      </c>
      <c r="AC379" s="254" t="n">
        <v>1500000</v>
      </c>
      <c r="AD379" s="254" t="n">
        <v>67725.8920247548</v>
      </c>
      <c r="AE379" s="0" t="n">
        <v>0</v>
      </c>
      <c r="AF379" s="0" t="n">
        <v>0</v>
      </c>
      <c r="AG379" s="0" t="n">
        <v>0</v>
      </c>
      <c r="AH379" s="254" t="n">
        <v>-24537.5299862447</v>
      </c>
      <c r="AI379" s="0" t="n">
        <v>226</v>
      </c>
      <c r="AJ379" s="0" t="s">
        <v>630</v>
      </c>
      <c r="AK379" s="0" t="n">
        <v>0</v>
      </c>
      <c r="AL379" s="0" t="n">
        <v>0</v>
      </c>
      <c r="AM379" s="0" t="n">
        <v>0</v>
      </c>
    </row>
    <row r="380" customFormat="false" ht="12.75" hidden="false" customHeight="false" outlineLevel="0" collapsed="false">
      <c r="A380" s="0" t="s">
        <v>621</v>
      </c>
      <c r="B380" s="0" t="s">
        <v>333</v>
      </c>
      <c r="C380" s="0" t="s">
        <v>622</v>
      </c>
      <c r="D380" s="0" t="s">
        <v>623</v>
      </c>
      <c r="E380" s="0" t="s">
        <v>131</v>
      </c>
      <c r="F380" s="0" t="s">
        <v>198</v>
      </c>
      <c r="G380" s="0" t="s">
        <v>628</v>
      </c>
      <c r="H380" s="0" t="s">
        <v>625</v>
      </c>
      <c r="I380" s="0" t="s">
        <v>626</v>
      </c>
      <c r="J380" s="0" t="s">
        <v>627</v>
      </c>
      <c r="K380" s="475" t="n">
        <v>36800</v>
      </c>
      <c r="L380" s="254" t="n">
        <v>-117705.961121822</v>
      </c>
      <c r="M380" s="475" t="n">
        <v>36797</v>
      </c>
      <c r="N380" s="0" t="s">
        <v>132</v>
      </c>
      <c r="O380" s="0" t="n">
        <v>0.65</v>
      </c>
      <c r="P380" s="0" t="n">
        <v>0</v>
      </c>
      <c r="Q380" s="0" t="n">
        <v>0</v>
      </c>
      <c r="R380" s="0" t="n">
        <v>0</v>
      </c>
      <c r="S380" s="0" t="n">
        <v>0</v>
      </c>
      <c r="T380" s="0" t="s">
        <v>624</v>
      </c>
      <c r="U380" s="0" t="s">
        <v>149</v>
      </c>
      <c r="V380" s="0" t="s">
        <v>624</v>
      </c>
      <c r="W380" s="0" t="s">
        <v>569</v>
      </c>
      <c r="X380" s="0" t="s">
        <v>624</v>
      </c>
      <c r="Y380" s="0" t="s">
        <v>627</v>
      </c>
      <c r="Z380" s="0" t="s">
        <v>629</v>
      </c>
      <c r="AA380" s="0" t="s">
        <v>624</v>
      </c>
      <c r="AB380" s="0" t="s">
        <v>132</v>
      </c>
      <c r="AC380" s="254" t="n">
        <v>-500000</v>
      </c>
      <c r="AD380" s="254" t="n">
        <v>-573.012660689419</v>
      </c>
      <c r="AE380" s="0" t="n">
        <v>0</v>
      </c>
      <c r="AF380" s="0" t="n">
        <v>0</v>
      </c>
      <c r="AG380" s="0" t="n">
        <v>0</v>
      </c>
      <c r="AH380" s="254" t="n">
        <v>-34.1483047203656</v>
      </c>
      <c r="AI380" s="0" t="n">
        <v>226</v>
      </c>
      <c r="AJ380" s="0" t="s">
        <v>630</v>
      </c>
      <c r="AK380" s="0" t="n">
        <v>0</v>
      </c>
      <c r="AL380" s="0" t="n">
        <v>0</v>
      </c>
      <c r="AM380" s="0" t="n">
        <v>0</v>
      </c>
    </row>
    <row r="381" customFormat="false" ht="12.75" hidden="false" customHeight="false" outlineLevel="0" collapsed="false">
      <c r="A381" s="0" t="s">
        <v>621</v>
      </c>
      <c r="B381" s="0" t="s">
        <v>334</v>
      </c>
      <c r="C381" s="0" t="s">
        <v>622</v>
      </c>
      <c r="D381" s="0" t="s">
        <v>623</v>
      </c>
      <c r="E381" s="0" t="s">
        <v>131</v>
      </c>
      <c r="F381" s="0" t="s">
        <v>198</v>
      </c>
      <c r="G381" s="0" t="s">
        <v>628</v>
      </c>
      <c r="H381" s="0" t="s">
        <v>625</v>
      </c>
      <c r="I381" s="0" t="s">
        <v>626</v>
      </c>
      <c r="J381" s="0" t="s">
        <v>627</v>
      </c>
      <c r="K381" s="475" t="n">
        <v>36800</v>
      </c>
      <c r="L381" s="254" t="n">
        <v>9150.58265996055</v>
      </c>
      <c r="M381" s="475" t="n">
        <v>36797</v>
      </c>
      <c r="N381" s="0" t="s">
        <v>132</v>
      </c>
      <c r="O381" s="0" t="n">
        <v>0.35</v>
      </c>
      <c r="P381" s="0" t="n">
        <v>0</v>
      </c>
      <c r="Q381" s="0" t="n">
        <v>0</v>
      </c>
      <c r="R381" s="0" t="n">
        <v>0</v>
      </c>
      <c r="S381" s="0" t="n">
        <v>0</v>
      </c>
      <c r="T381" s="0" t="s">
        <v>624</v>
      </c>
      <c r="U381" s="0" t="s">
        <v>149</v>
      </c>
      <c r="V381" s="0" t="s">
        <v>624</v>
      </c>
      <c r="W381" s="0" t="s">
        <v>569</v>
      </c>
      <c r="X381" s="0" t="s">
        <v>624</v>
      </c>
      <c r="Y381" s="0" t="s">
        <v>627</v>
      </c>
      <c r="Z381" s="0" t="s">
        <v>629</v>
      </c>
      <c r="AA381" s="0" t="s">
        <v>624</v>
      </c>
      <c r="AB381" s="0" t="s">
        <v>132</v>
      </c>
      <c r="AC381" s="254" t="n">
        <v>500000</v>
      </c>
      <c r="AD381" s="254" t="n">
        <v>2846.55896524034</v>
      </c>
      <c r="AE381" s="0" t="n">
        <v>0</v>
      </c>
      <c r="AF381" s="0" t="n">
        <v>0</v>
      </c>
      <c r="AG381" s="0" t="n">
        <v>0</v>
      </c>
      <c r="AH381" s="254" t="n">
        <v>162.955890573357</v>
      </c>
      <c r="AI381" s="0" t="n">
        <v>226</v>
      </c>
      <c r="AJ381" s="0" t="s">
        <v>630</v>
      </c>
      <c r="AK381" s="0" t="n">
        <v>0</v>
      </c>
      <c r="AL381" s="0" t="n">
        <v>0</v>
      </c>
      <c r="AM381" s="0" t="n">
        <v>0</v>
      </c>
    </row>
    <row r="382" customFormat="false" ht="12.75" hidden="false" customHeight="false" outlineLevel="0" collapsed="false">
      <c r="A382" s="0" t="s">
        <v>621</v>
      </c>
      <c r="B382" s="0" t="s">
        <v>335</v>
      </c>
      <c r="C382" s="0" t="s">
        <v>622</v>
      </c>
      <c r="D382" s="0" t="s">
        <v>623</v>
      </c>
      <c r="E382" s="0" t="s">
        <v>131</v>
      </c>
      <c r="F382" s="0" t="s">
        <v>198</v>
      </c>
      <c r="G382" s="0" t="s">
        <v>628</v>
      </c>
      <c r="H382" s="0" t="s">
        <v>625</v>
      </c>
      <c r="I382" s="0" t="s">
        <v>626</v>
      </c>
      <c r="J382" s="0" t="s">
        <v>627</v>
      </c>
      <c r="K382" s="475" t="n">
        <v>36951</v>
      </c>
      <c r="L382" s="254" t="n">
        <v>465509.916729815</v>
      </c>
      <c r="M382" s="475" t="n">
        <v>36949</v>
      </c>
      <c r="N382" s="0" t="s">
        <v>132</v>
      </c>
      <c r="O382" s="0" t="n">
        <v>1</v>
      </c>
      <c r="P382" s="0" t="n">
        <v>0</v>
      </c>
      <c r="Q382" s="0" t="n">
        <v>0</v>
      </c>
      <c r="R382" s="0" t="n">
        <v>0</v>
      </c>
      <c r="S382" s="0" t="n">
        <v>0</v>
      </c>
      <c r="T382" s="0" t="s">
        <v>624</v>
      </c>
      <c r="U382" s="0" t="s">
        <v>149</v>
      </c>
      <c r="V382" s="0" t="s">
        <v>624</v>
      </c>
      <c r="W382" s="0" t="s">
        <v>569</v>
      </c>
      <c r="X382" s="0" t="s">
        <v>624</v>
      </c>
      <c r="Y382" s="0" t="s">
        <v>627</v>
      </c>
      <c r="Z382" s="0" t="s">
        <v>629</v>
      </c>
      <c r="AA382" s="0" t="s">
        <v>624</v>
      </c>
      <c r="AB382" s="0" t="s">
        <v>132</v>
      </c>
      <c r="AC382" s="254" t="n">
        <v>1000000</v>
      </c>
      <c r="AD382" s="254" t="n">
        <v>88936.8209745341</v>
      </c>
      <c r="AE382" s="0" t="n">
        <v>0</v>
      </c>
      <c r="AF382" s="0" t="n">
        <v>0</v>
      </c>
      <c r="AG382" s="0" t="n">
        <v>0</v>
      </c>
      <c r="AH382" s="254" t="n">
        <v>-20719.012783803</v>
      </c>
      <c r="AI382" s="0" t="n">
        <v>226</v>
      </c>
      <c r="AJ382" s="0" t="s">
        <v>630</v>
      </c>
      <c r="AK382" s="0" t="n">
        <v>0</v>
      </c>
      <c r="AL382" s="0" t="n">
        <v>0</v>
      </c>
      <c r="AM382" s="0" t="n">
        <v>0</v>
      </c>
    </row>
    <row r="383" customFormat="false" ht="12.75" hidden="false" customHeight="false" outlineLevel="0" collapsed="false">
      <c r="A383" s="0" t="s">
        <v>621</v>
      </c>
      <c r="B383" s="0" t="s">
        <v>336</v>
      </c>
      <c r="C383" s="0" t="s">
        <v>622</v>
      </c>
      <c r="D383" s="0" t="s">
        <v>623</v>
      </c>
      <c r="E383" s="0" t="s">
        <v>131</v>
      </c>
      <c r="F383" s="0" t="s">
        <v>198</v>
      </c>
      <c r="G383" s="0" t="s">
        <v>628</v>
      </c>
      <c r="H383" s="0" t="s">
        <v>625</v>
      </c>
      <c r="I383" s="0" t="s">
        <v>626</v>
      </c>
      <c r="J383" s="0" t="s">
        <v>627</v>
      </c>
      <c r="K383" s="475" t="n">
        <v>36951</v>
      </c>
      <c r="L383" s="254" t="n">
        <v>549114.417097407</v>
      </c>
      <c r="M383" s="475" t="n">
        <v>36949</v>
      </c>
      <c r="N383" s="0" t="s">
        <v>132</v>
      </c>
      <c r="O383" s="0" t="n">
        <v>1.15</v>
      </c>
      <c r="P383" s="0" t="n">
        <v>0</v>
      </c>
      <c r="Q383" s="0" t="n">
        <v>0</v>
      </c>
      <c r="R383" s="0" t="n">
        <v>0</v>
      </c>
      <c r="S383" s="0" t="n">
        <v>0</v>
      </c>
      <c r="T383" s="0" t="s">
        <v>624</v>
      </c>
      <c r="U383" s="0" t="s">
        <v>149</v>
      </c>
      <c r="V383" s="0" t="s">
        <v>624</v>
      </c>
      <c r="W383" s="0" t="s">
        <v>569</v>
      </c>
      <c r="X383" s="0" t="s">
        <v>624</v>
      </c>
      <c r="Y383" s="0" t="s">
        <v>627</v>
      </c>
      <c r="Z383" s="0" t="s">
        <v>629</v>
      </c>
      <c r="AA383" s="0" t="s">
        <v>624</v>
      </c>
      <c r="AB383" s="0" t="s">
        <v>132</v>
      </c>
      <c r="AC383" s="254" t="n">
        <v>1000000</v>
      </c>
      <c r="AD383" s="254" t="n">
        <v>88233.8861087795</v>
      </c>
      <c r="AE383" s="0" t="n">
        <v>0</v>
      </c>
      <c r="AF383" s="0" t="n">
        <v>0</v>
      </c>
      <c r="AG383" s="0" t="n">
        <v>0</v>
      </c>
      <c r="AH383" s="254" t="n">
        <v>-23346.6457068836</v>
      </c>
      <c r="AI383" s="0" t="n">
        <v>226</v>
      </c>
      <c r="AJ383" s="0" t="s">
        <v>630</v>
      </c>
      <c r="AK383" s="0" t="n">
        <v>0</v>
      </c>
      <c r="AL383" s="0" t="n">
        <v>0</v>
      </c>
      <c r="AM383" s="0" t="n">
        <v>0</v>
      </c>
    </row>
    <row r="384" customFormat="false" ht="12.75" hidden="false" customHeight="false" outlineLevel="0" collapsed="false">
      <c r="A384" s="0" t="s">
        <v>621</v>
      </c>
      <c r="B384" s="0" t="s">
        <v>337</v>
      </c>
      <c r="C384" s="0" t="s">
        <v>622</v>
      </c>
      <c r="D384" s="0" t="s">
        <v>623</v>
      </c>
      <c r="E384" s="0" t="s">
        <v>131</v>
      </c>
      <c r="F384" s="0" t="s">
        <v>198</v>
      </c>
      <c r="G384" s="0" t="s">
        <v>628</v>
      </c>
      <c r="H384" s="0" t="s">
        <v>625</v>
      </c>
      <c r="I384" s="0" t="s">
        <v>626</v>
      </c>
      <c r="J384" s="0" t="s">
        <v>627</v>
      </c>
      <c r="K384" s="475" t="n">
        <v>36800</v>
      </c>
      <c r="L384" s="254" t="n">
        <v>-758.923880181394</v>
      </c>
      <c r="M384" s="475" t="n">
        <v>36797</v>
      </c>
      <c r="N384" s="0" t="s">
        <v>136</v>
      </c>
      <c r="O384" s="0" t="n">
        <v>0.7</v>
      </c>
      <c r="P384" s="0" t="n">
        <v>0</v>
      </c>
      <c r="Q384" s="0" t="n">
        <v>0</v>
      </c>
      <c r="R384" s="0" t="n">
        <v>0</v>
      </c>
      <c r="S384" s="0" t="n">
        <v>0</v>
      </c>
      <c r="T384" s="0" t="s">
        <v>624</v>
      </c>
      <c r="U384" s="0" t="s">
        <v>149</v>
      </c>
      <c r="V384" s="0" t="s">
        <v>624</v>
      </c>
      <c r="W384" s="0" t="s">
        <v>569</v>
      </c>
      <c r="X384" s="0" t="s">
        <v>624</v>
      </c>
      <c r="Y384" s="0" t="s">
        <v>627</v>
      </c>
      <c r="Z384" s="0" t="s">
        <v>629</v>
      </c>
      <c r="AA384" s="0" t="s">
        <v>624</v>
      </c>
      <c r="AB384" s="0" t="s">
        <v>132</v>
      </c>
      <c r="AC384" s="254" t="n">
        <v>-1000000</v>
      </c>
      <c r="AD384" s="254" t="n">
        <v>-593.531025558143</v>
      </c>
      <c r="AE384" s="0" t="n">
        <v>0</v>
      </c>
      <c r="AF384" s="0" t="n">
        <v>0</v>
      </c>
      <c r="AG384" s="0" t="n">
        <v>0</v>
      </c>
      <c r="AH384" s="254" t="n">
        <v>-36.0331437836036</v>
      </c>
      <c r="AI384" s="0" t="n">
        <v>226</v>
      </c>
      <c r="AJ384" s="0" t="s">
        <v>630</v>
      </c>
      <c r="AK384" s="0" t="n">
        <v>0</v>
      </c>
      <c r="AL384" s="0" t="n">
        <v>0</v>
      </c>
      <c r="AM384" s="0" t="n">
        <v>0</v>
      </c>
    </row>
    <row r="385" customFormat="false" ht="12.75" hidden="false" customHeight="false" outlineLevel="0" collapsed="false">
      <c r="A385" s="0" t="s">
        <v>621</v>
      </c>
      <c r="B385" s="0" t="s">
        <v>338</v>
      </c>
      <c r="C385" s="0" t="s">
        <v>622</v>
      </c>
      <c r="D385" s="0" t="s">
        <v>623</v>
      </c>
      <c r="E385" s="0" t="s">
        <v>131</v>
      </c>
      <c r="F385" s="0" t="s">
        <v>198</v>
      </c>
      <c r="G385" s="0" t="s">
        <v>628</v>
      </c>
      <c r="H385" s="0" t="s">
        <v>625</v>
      </c>
      <c r="I385" s="0" t="s">
        <v>626</v>
      </c>
      <c r="J385" s="0" t="s">
        <v>627</v>
      </c>
      <c r="K385" s="475" t="n">
        <v>36831</v>
      </c>
      <c r="L385" s="254" t="n">
        <v>-170435.563861171</v>
      </c>
      <c r="M385" s="475" t="n">
        <v>36829</v>
      </c>
      <c r="N385" s="0" t="s">
        <v>136</v>
      </c>
      <c r="O385" s="0" t="n">
        <v>1</v>
      </c>
      <c r="P385" s="0" t="n">
        <v>0</v>
      </c>
      <c r="Q385" s="0" t="n">
        <v>0</v>
      </c>
      <c r="R385" s="0" t="n">
        <v>0</v>
      </c>
      <c r="S385" s="0" t="n">
        <v>0</v>
      </c>
      <c r="T385" s="0" t="s">
        <v>624</v>
      </c>
      <c r="U385" s="0" t="s">
        <v>149</v>
      </c>
      <c r="V385" s="0" t="s">
        <v>624</v>
      </c>
      <c r="W385" s="0" t="s">
        <v>569</v>
      </c>
      <c r="X385" s="0" t="s">
        <v>624</v>
      </c>
      <c r="Y385" s="0" t="s">
        <v>627</v>
      </c>
      <c r="Z385" s="0" t="s">
        <v>629</v>
      </c>
      <c r="AA385" s="0" t="s">
        <v>624</v>
      </c>
      <c r="AB385" s="0" t="s">
        <v>132</v>
      </c>
      <c r="AC385" s="254" t="n">
        <v>-1000000</v>
      </c>
      <c r="AD385" s="254" t="n">
        <v>-41813.9093437454</v>
      </c>
      <c r="AE385" s="0" t="n">
        <v>0</v>
      </c>
      <c r="AF385" s="0" t="n">
        <v>0</v>
      </c>
      <c r="AG385" s="0" t="n">
        <v>0</v>
      </c>
      <c r="AH385" s="254" t="n">
        <v>-17333.0733965929</v>
      </c>
      <c r="AI385" s="0" t="n">
        <v>226</v>
      </c>
      <c r="AJ385" s="0" t="s">
        <v>630</v>
      </c>
      <c r="AK385" s="0" t="n">
        <v>0</v>
      </c>
      <c r="AL385" s="0" t="n">
        <v>0</v>
      </c>
      <c r="AM385" s="0" t="n">
        <v>0</v>
      </c>
    </row>
    <row r="386" customFormat="false" ht="12.75" hidden="false" customHeight="false" outlineLevel="0" collapsed="false">
      <c r="A386" s="0" t="s">
        <v>621</v>
      </c>
      <c r="B386" s="0" t="s">
        <v>339</v>
      </c>
      <c r="C386" s="0" t="s">
        <v>622</v>
      </c>
      <c r="D386" s="0" t="s">
        <v>623</v>
      </c>
      <c r="E386" s="0" t="s">
        <v>131</v>
      </c>
      <c r="F386" s="0" t="s">
        <v>198</v>
      </c>
      <c r="G386" s="0" t="s">
        <v>628</v>
      </c>
      <c r="H386" s="0" t="s">
        <v>625</v>
      </c>
      <c r="I386" s="0" t="s">
        <v>626</v>
      </c>
      <c r="J386" s="0" t="s">
        <v>627</v>
      </c>
      <c r="K386" s="475" t="n">
        <v>36951</v>
      </c>
      <c r="L386" s="254" t="n">
        <v>-16003.7973169964</v>
      </c>
      <c r="M386" s="475" t="n">
        <v>36949</v>
      </c>
      <c r="N386" s="0" t="s">
        <v>136</v>
      </c>
      <c r="O386" s="0" t="n">
        <v>0.3</v>
      </c>
      <c r="P386" s="0" t="n">
        <v>0</v>
      </c>
      <c r="Q386" s="0" t="n">
        <v>0</v>
      </c>
      <c r="R386" s="0" t="n">
        <v>0</v>
      </c>
      <c r="S386" s="0" t="n">
        <v>0</v>
      </c>
      <c r="T386" s="0" t="s">
        <v>624</v>
      </c>
      <c r="U386" s="0" t="s">
        <v>632</v>
      </c>
      <c r="V386" s="0" t="s">
        <v>624</v>
      </c>
      <c r="W386" s="0" t="s">
        <v>569</v>
      </c>
      <c r="X386" s="0" t="s">
        <v>624</v>
      </c>
      <c r="Y386" s="0" t="s">
        <v>627</v>
      </c>
      <c r="Z386" s="0" t="s">
        <v>629</v>
      </c>
      <c r="AA386" s="0" t="s">
        <v>624</v>
      </c>
      <c r="AB386" s="0" t="s">
        <v>132</v>
      </c>
      <c r="AC386" s="254" t="n">
        <v>-1500000</v>
      </c>
      <c r="AD386" s="254" t="n">
        <v>-7929.63543985295</v>
      </c>
      <c r="AE386" s="0" t="n">
        <v>0</v>
      </c>
      <c r="AF386" s="0" t="n">
        <v>0</v>
      </c>
      <c r="AG386" s="0" t="n">
        <v>0</v>
      </c>
      <c r="AH386" s="254" t="n">
        <v>-400.801877960153</v>
      </c>
      <c r="AI386" s="0" t="n">
        <v>226</v>
      </c>
      <c r="AJ386" s="0" t="s">
        <v>630</v>
      </c>
      <c r="AK386" s="0" t="n">
        <v>0</v>
      </c>
      <c r="AL386" s="0" t="n">
        <v>0</v>
      </c>
      <c r="AM386" s="0" t="n">
        <v>0</v>
      </c>
    </row>
    <row r="387" customFormat="false" ht="12.75" hidden="false" customHeight="false" outlineLevel="0" collapsed="false">
      <c r="A387" s="0" t="s">
        <v>621</v>
      </c>
      <c r="B387" s="0" t="s">
        <v>339</v>
      </c>
      <c r="C387" s="0" t="s">
        <v>622</v>
      </c>
      <c r="D387" s="0" t="s">
        <v>623</v>
      </c>
      <c r="E387" s="0" t="s">
        <v>131</v>
      </c>
      <c r="F387" s="0" t="s">
        <v>198</v>
      </c>
      <c r="G387" s="0" t="s">
        <v>628</v>
      </c>
      <c r="H387" s="0" t="s">
        <v>625</v>
      </c>
      <c r="I387" s="0" t="s">
        <v>626</v>
      </c>
      <c r="J387" s="0" t="s">
        <v>627</v>
      </c>
      <c r="K387" s="475" t="n">
        <v>36923</v>
      </c>
      <c r="L387" s="254" t="n">
        <v>-23423.3568076572</v>
      </c>
      <c r="M387" s="475" t="n">
        <v>36921</v>
      </c>
      <c r="N387" s="0" t="s">
        <v>136</v>
      </c>
      <c r="O387" s="0" t="n">
        <v>0.3</v>
      </c>
      <c r="P387" s="0" t="n">
        <v>0</v>
      </c>
      <c r="Q387" s="0" t="n">
        <v>0</v>
      </c>
      <c r="R387" s="0" t="n">
        <v>0</v>
      </c>
      <c r="S387" s="0" t="n">
        <v>0</v>
      </c>
      <c r="T387" s="0" t="s">
        <v>624</v>
      </c>
      <c r="U387" s="0" t="s">
        <v>632</v>
      </c>
      <c r="V387" s="0" t="s">
        <v>624</v>
      </c>
      <c r="W387" s="0" t="s">
        <v>569</v>
      </c>
      <c r="X387" s="0" t="s">
        <v>624</v>
      </c>
      <c r="Y387" s="0" t="s">
        <v>627</v>
      </c>
      <c r="Z387" s="0" t="s">
        <v>629</v>
      </c>
      <c r="AA387" s="0" t="s">
        <v>624</v>
      </c>
      <c r="AB387" s="0" t="s">
        <v>132</v>
      </c>
      <c r="AC387" s="254" t="n">
        <v>-1500000</v>
      </c>
      <c r="AD387" s="254" t="n">
        <v>-9620.13723780165</v>
      </c>
      <c r="AE387" s="0" t="n">
        <v>0</v>
      </c>
      <c r="AF387" s="0" t="n">
        <v>0</v>
      </c>
      <c r="AG387" s="0" t="n">
        <v>0</v>
      </c>
      <c r="AH387" s="254" t="n">
        <v>-460.707765170289</v>
      </c>
      <c r="AI387" s="0" t="n">
        <v>226</v>
      </c>
      <c r="AJ387" s="0" t="s">
        <v>630</v>
      </c>
      <c r="AK387" s="0" t="n">
        <v>0</v>
      </c>
      <c r="AL387" s="0" t="n">
        <v>0</v>
      </c>
      <c r="AM387" s="0" t="n">
        <v>0</v>
      </c>
    </row>
    <row r="388" customFormat="false" ht="12.75" hidden="false" customHeight="false" outlineLevel="0" collapsed="false">
      <c r="A388" s="0" t="s">
        <v>621</v>
      </c>
      <c r="B388" s="0" t="s">
        <v>339</v>
      </c>
      <c r="C388" s="0" t="s">
        <v>622</v>
      </c>
      <c r="D388" s="0" t="s">
        <v>623</v>
      </c>
      <c r="E388" s="0" t="s">
        <v>131</v>
      </c>
      <c r="F388" s="0" t="s">
        <v>198</v>
      </c>
      <c r="G388" s="0" t="s">
        <v>628</v>
      </c>
      <c r="H388" s="0" t="s">
        <v>625</v>
      </c>
      <c r="I388" s="0" t="s">
        <v>626</v>
      </c>
      <c r="J388" s="0" t="s">
        <v>627</v>
      </c>
      <c r="K388" s="475" t="n">
        <v>36892</v>
      </c>
      <c r="L388" s="254" t="n">
        <v>-17218.7413631534</v>
      </c>
      <c r="M388" s="475" t="n">
        <v>36888</v>
      </c>
      <c r="N388" s="0" t="s">
        <v>136</v>
      </c>
      <c r="O388" s="0" t="n">
        <v>0.3</v>
      </c>
      <c r="P388" s="0" t="n">
        <v>0</v>
      </c>
      <c r="Q388" s="0" t="n">
        <v>0</v>
      </c>
      <c r="R388" s="0" t="n">
        <v>0</v>
      </c>
      <c r="S388" s="0" t="n">
        <v>0</v>
      </c>
      <c r="T388" s="0" t="s">
        <v>624</v>
      </c>
      <c r="U388" s="0" t="s">
        <v>632</v>
      </c>
      <c r="V388" s="0" t="s">
        <v>624</v>
      </c>
      <c r="W388" s="0" t="s">
        <v>569</v>
      </c>
      <c r="X388" s="0" t="s">
        <v>624</v>
      </c>
      <c r="Y388" s="0" t="s">
        <v>627</v>
      </c>
      <c r="Z388" s="0" t="s">
        <v>629</v>
      </c>
      <c r="AA388" s="0" t="s">
        <v>624</v>
      </c>
      <c r="AB388" s="0" t="s">
        <v>132</v>
      </c>
      <c r="AC388" s="254" t="n">
        <v>-1500000</v>
      </c>
      <c r="AD388" s="254" t="n">
        <v>-7767.6696147458</v>
      </c>
      <c r="AE388" s="0" t="n">
        <v>0</v>
      </c>
      <c r="AF388" s="0" t="n">
        <v>0</v>
      </c>
      <c r="AG388" s="0" t="n">
        <v>0</v>
      </c>
      <c r="AH388" s="254" t="n">
        <v>-373.992032364251</v>
      </c>
      <c r="AI388" s="0" t="n">
        <v>226</v>
      </c>
      <c r="AJ388" s="0" t="s">
        <v>630</v>
      </c>
      <c r="AK388" s="0" t="n">
        <v>0</v>
      </c>
      <c r="AL388" s="0" t="n">
        <v>0</v>
      </c>
      <c r="AM388" s="0" t="n">
        <v>0</v>
      </c>
    </row>
    <row r="389" customFormat="false" ht="12.75" hidden="false" customHeight="false" outlineLevel="0" collapsed="false">
      <c r="A389" s="0" t="s">
        <v>621</v>
      </c>
      <c r="B389" s="0" t="s">
        <v>339</v>
      </c>
      <c r="C389" s="0" t="s">
        <v>622</v>
      </c>
      <c r="D389" s="0" t="s">
        <v>623</v>
      </c>
      <c r="E389" s="0" t="s">
        <v>131</v>
      </c>
      <c r="F389" s="0" t="s">
        <v>198</v>
      </c>
      <c r="G389" s="0" t="s">
        <v>628</v>
      </c>
      <c r="H389" s="0" t="s">
        <v>625</v>
      </c>
      <c r="I389" s="0" t="s">
        <v>626</v>
      </c>
      <c r="J389" s="0" t="s">
        <v>627</v>
      </c>
      <c r="K389" s="475" t="n">
        <v>36861</v>
      </c>
      <c r="L389" s="254" t="n">
        <v>-7040.64499756235</v>
      </c>
      <c r="M389" s="475" t="n">
        <v>36859</v>
      </c>
      <c r="N389" s="0" t="s">
        <v>136</v>
      </c>
      <c r="O389" s="0" t="n">
        <v>0.3</v>
      </c>
      <c r="P389" s="0" t="n">
        <v>0</v>
      </c>
      <c r="Q389" s="0" t="n">
        <v>0</v>
      </c>
      <c r="R389" s="0" t="n">
        <v>0</v>
      </c>
      <c r="S389" s="0" t="n">
        <v>0</v>
      </c>
      <c r="T389" s="0" t="s">
        <v>624</v>
      </c>
      <c r="U389" s="0" t="s">
        <v>632</v>
      </c>
      <c r="V389" s="0" t="s">
        <v>624</v>
      </c>
      <c r="W389" s="0" t="s">
        <v>569</v>
      </c>
      <c r="X389" s="0" t="s">
        <v>624</v>
      </c>
      <c r="Y389" s="0" t="s">
        <v>627</v>
      </c>
      <c r="Z389" s="0" t="s">
        <v>629</v>
      </c>
      <c r="AA389" s="0" t="s">
        <v>624</v>
      </c>
      <c r="AB389" s="0" t="s">
        <v>132</v>
      </c>
      <c r="AC389" s="254" t="n">
        <v>-1500000</v>
      </c>
      <c r="AD389" s="254" t="n">
        <v>-4349.44486372898</v>
      </c>
      <c r="AE389" s="0" t="n">
        <v>0</v>
      </c>
      <c r="AF389" s="0" t="n">
        <v>0</v>
      </c>
      <c r="AG389" s="0" t="n">
        <v>0</v>
      </c>
      <c r="AH389" s="254" t="n">
        <v>-220.592774549132</v>
      </c>
      <c r="AI389" s="0" t="n">
        <v>226</v>
      </c>
      <c r="AJ389" s="0" t="s">
        <v>630</v>
      </c>
      <c r="AK389" s="0" t="n">
        <v>0</v>
      </c>
      <c r="AL389" s="0" t="n">
        <v>0</v>
      </c>
      <c r="AM389" s="0" t="n">
        <v>0</v>
      </c>
    </row>
    <row r="390" customFormat="false" ht="12.75" hidden="false" customHeight="false" outlineLevel="0" collapsed="false">
      <c r="A390" s="0" t="s">
        <v>621</v>
      </c>
      <c r="B390" s="0" t="s">
        <v>339</v>
      </c>
      <c r="C390" s="0" t="s">
        <v>622</v>
      </c>
      <c r="D390" s="0" t="s">
        <v>623</v>
      </c>
      <c r="E390" s="0" t="s">
        <v>131</v>
      </c>
      <c r="F390" s="0" t="s">
        <v>198</v>
      </c>
      <c r="G390" s="0" t="s">
        <v>628</v>
      </c>
      <c r="H390" s="0" t="s">
        <v>625</v>
      </c>
      <c r="I390" s="0" t="s">
        <v>626</v>
      </c>
      <c r="J390" s="0" t="s">
        <v>627</v>
      </c>
      <c r="K390" s="475" t="n">
        <v>36831</v>
      </c>
      <c r="L390" s="254" t="n">
        <v>-1899.08722885814</v>
      </c>
      <c r="M390" s="475" t="n">
        <v>36829</v>
      </c>
      <c r="N390" s="0" t="s">
        <v>136</v>
      </c>
      <c r="O390" s="0" t="n">
        <v>0.3</v>
      </c>
      <c r="P390" s="0" t="n">
        <v>0</v>
      </c>
      <c r="Q390" s="0" t="n">
        <v>0</v>
      </c>
      <c r="R390" s="0" t="n">
        <v>0</v>
      </c>
      <c r="S390" s="0" t="n">
        <v>0</v>
      </c>
      <c r="T390" s="0" t="s">
        <v>624</v>
      </c>
      <c r="U390" s="0" t="s">
        <v>632</v>
      </c>
      <c r="V390" s="0" t="s">
        <v>624</v>
      </c>
      <c r="W390" s="0" t="s">
        <v>569</v>
      </c>
      <c r="X390" s="0" t="s">
        <v>624</v>
      </c>
      <c r="Y390" s="0" t="s">
        <v>627</v>
      </c>
      <c r="Z390" s="0" t="s">
        <v>629</v>
      </c>
      <c r="AA390" s="0" t="s">
        <v>624</v>
      </c>
      <c r="AB390" s="0" t="s">
        <v>132</v>
      </c>
      <c r="AC390" s="254" t="n">
        <v>-1500000</v>
      </c>
      <c r="AD390" s="254" t="n">
        <v>-1675.32291695227</v>
      </c>
      <c r="AE390" s="0" t="n">
        <v>0</v>
      </c>
      <c r="AF390" s="0" t="n">
        <v>0</v>
      </c>
      <c r="AG390" s="0" t="n">
        <v>0</v>
      </c>
      <c r="AH390" s="254" t="n">
        <v>-93.5451020250309</v>
      </c>
      <c r="AI390" s="0" t="n">
        <v>226</v>
      </c>
      <c r="AJ390" s="0" t="s">
        <v>630</v>
      </c>
      <c r="AK390" s="0" t="n">
        <v>0</v>
      </c>
      <c r="AL390" s="0" t="n">
        <v>0</v>
      </c>
      <c r="AM390" s="0" t="n">
        <v>0</v>
      </c>
    </row>
    <row r="391" customFormat="false" ht="12.75" hidden="false" customHeight="false" outlineLevel="0" collapsed="false">
      <c r="A391" s="0" t="s">
        <v>621</v>
      </c>
      <c r="B391" s="0" t="s">
        <v>340</v>
      </c>
      <c r="C391" s="0" t="s">
        <v>622</v>
      </c>
      <c r="D391" s="0" t="s">
        <v>623</v>
      </c>
      <c r="E391" s="0" t="s">
        <v>131</v>
      </c>
      <c r="F391" s="0" t="s">
        <v>210</v>
      </c>
      <c r="G391" s="0" t="s">
        <v>628</v>
      </c>
      <c r="H391" s="0" t="s">
        <v>625</v>
      </c>
      <c r="I391" s="0" t="s">
        <v>626</v>
      </c>
      <c r="J391" s="0" t="s">
        <v>627</v>
      </c>
      <c r="K391" s="475" t="n">
        <v>36800</v>
      </c>
      <c r="L391" s="254" t="n">
        <v>66262.8070872727</v>
      </c>
      <c r="M391" s="475" t="n">
        <v>36797</v>
      </c>
      <c r="N391" s="0" t="s">
        <v>132</v>
      </c>
      <c r="O391" s="0" t="n">
        <v>0.55</v>
      </c>
      <c r="P391" s="0" t="n">
        <v>0</v>
      </c>
      <c r="Q391" s="0" t="n">
        <v>0</v>
      </c>
      <c r="R391" s="0" t="n">
        <v>0</v>
      </c>
      <c r="S391" s="0" t="n">
        <v>0</v>
      </c>
      <c r="T391" s="0" t="s">
        <v>624</v>
      </c>
      <c r="U391" s="0" t="s">
        <v>149</v>
      </c>
      <c r="V391" s="0" t="s">
        <v>624</v>
      </c>
      <c r="W391" s="0" t="s">
        <v>569</v>
      </c>
      <c r="X391" s="0" t="s">
        <v>624</v>
      </c>
      <c r="Y391" s="0" t="s">
        <v>627</v>
      </c>
      <c r="Z391" s="0" t="s">
        <v>629</v>
      </c>
      <c r="AA391" s="0" t="s">
        <v>624</v>
      </c>
      <c r="AB391" s="0" t="s">
        <v>132</v>
      </c>
      <c r="AC391" s="254" t="n">
        <v>465000</v>
      </c>
      <c r="AD391" s="254" t="n">
        <v>1550.29193364398</v>
      </c>
      <c r="AE391" s="0" t="n">
        <v>0</v>
      </c>
      <c r="AF391" s="0" t="n">
        <v>0</v>
      </c>
      <c r="AG391" s="0" t="n">
        <v>0</v>
      </c>
      <c r="AH391" s="254" t="n">
        <v>89.7281450146256</v>
      </c>
      <c r="AI391" s="0" t="n">
        <v>226</v>
      </c>
      <c r="AJ391" s="0" t="s">
        <v>630</v>
      </c>
      <c r="AK391" s="0" t="n">
        <v>0</v>
      </c>
      <c r="AL391" s="0" t="n">
        <v>0</v>
      </c>
      <c r="AM391" s="0" t="n">
        <v>0</v>
      </c>
    </row>
    <row r="392" customFormat="false" ht="12.75" hidden="false" customHeight="false" outlineLevel="0" collapsed="false">
      <c r="A392" s="0" t="s">
        <v>621</v>
      </c>
      <c r="B392" s="0" t="s">
        <v>341</v>
      </c>
      <c r="C392" s="0" t="s">
        <v>622</v>
      </c>
      <c r="D392" s="0" t="s">
        <v>623</v>
      </c>
      <c r="E392" s="0" t="s">
        <v>131</v>
      </c>
      <c r="F392" s="0" t="s">
        <v>198</v>
      </c>
      <c r="G392" s="0" t="s">
        <v>628</v>
      </c>
      <c r="H392" s="0" t="s">
        <v>625</v>
      </c>
      <c r="I392" s="0" t="s">
        <v>626</v>
      </c>
      <c r="J392" s="0" t="s">
        <v>627</v>
      </c>
      <c r="K392" s="475" t="n">
        <v>36831</v>
      </c>
      <c r="L392" s="254" t="n">
        <v>-85217.7819305855</v>
      </c>
      <c r="M392" s="475" t="n">
        <v>36829</v>
      </c>
      <c r="N392" s="0" t="s">
        <v>136</v>
      </c>
      <c r="O392" s="0" t="n">
        <v>1</v>
      </c>
      <c r="P392" s="0" t="n">
        <v>0</v>
      </c>
      <c r="Q392" s="0" t="n">
        <v>0</v>
      </c>
      <c r="R392" s="0" t="n">
        <v>0</v>
      </c>
      <c r="S392" s="0" t="n">
        <v>0</v>
      </c>
      <c r="T392" s="0" t="s">
        <v>624</v>
      </c>
      <c r="U392" s="0" t="s">
        <v>149</v>
      </c>
      <c r="V392" s="0" t="s">
        <v>624</v>
      </c>
      <c r="W392" s="0" t="s">
        <v>569</v>
      </c>
      <c r="X392" s="0" t="s">
        <v>624</v>
      </c>
      <c r="Y392" s="0" t="s">
        <v>627</v>
      </c>
      <c r="Z392" s="0" t="s">
        <v>629</v>
      </c>
      <c r="AA392" s="0" t="s">
        <v>624</v>
      </c>
      <c r="AB392" s="0" t="s">
        <v>132</v>
      </c>
      <c r="AC392" s="254" t="n">
        <v>-500000</v>
      </c>
      <c r="AD392" s="254" t="n">
        <v>-20906.9546718727</v>
      </c>
      <c r="AE392" s="0" t="n">
        <v>0</v>
      </c>
      <c r="AF392" s="0" t="n">
        <v>0</v>
      </c>
      <c r="AG392" s="0" t="n">
        <v>0</v>
      </c>
      <c r="AH392" s="254" t="n">
        <v>-8666.53669829646</v>
      </c>
      <c r="AI392" s="0" t="n">
        <v>226</v>
      </c>
      <c r="AJ392" s="0" t="s">
        <v>630</v>
      </c>
      <c r="AK392" s="0" t="n">
        <v>0</v>
      </c>
      <c r="AL392" s="0" t="n">
        <v>0</v>
      </c>
      <c r="AM392" s="0" t="n">
        <v>0</v>
      </c>
    </row>
    <row r="393" customFormat="false" ht="12.75" hidden="false" customHeight="false" outlineLevel="0" collapsed="false">
      <c r="A393" s="0" t="s">
        <v>621</v>
      </c>
      <c r="B393" s="0" t="s">
        <v>342</v>
      </c>
      <c r="C393" s="0" t="s">
        <v>622</v>
      </c>
      <c r="D393" s="0" t="s">
        <v>623</v>
      </c>
      <c r="E393" s="0" t="s">
        <v>131</v>
      </c>
      <c r="F393" s="0" t="s">
        <v>210</v>
      </c>
      <c r="G393" s="0" t="s">
        <v>628</v>
      </c>
      <c r="H393" s="0" t="s">
        <v>625</v>
      </c>
      <c r="I393" s="0" t="s">
        <v>626</v>
      </c>
      <c r="J393" s="0" t="s">
        <v>627</v>
      </c>
      <c r="K393" s="475" t="n">
        <v>36923</v>
      </c>
      <c r="L393" s="254" t="n">
        <v>117808.739346746</v>
      </c>
      <c r="M393" s="475" t="n">
        <v>36921</v>
      </c>
      <c r="N393" s="0" t="s">
        <v>132</v>
      </c>
      <c r="O393" s="0" t="n">
        <v>0.75</v>
      </c>
      <c r="P393" s="0" t="n">
        <v>0</v>
      </c>
      <c r="Q393" s="0" t="n">
        <v>0</v>
      </c>
      <c r="R393" s="0" t="n">
        <v>0</v>
      </c>
      <c r="S393" s="0" t="n">
        <v>0</v>
      </c>
      <c r="T393" s="0" t="s">
        <v>624</v>
      </c>
      <c r="U393" s="0" t="s">
        <v>149</v>
      </c>
      <c r="V393" s="0" t="s">
        <v>624</v>
      </c>
      <c r="W393" s="0" t="s">
        <v>569</v>
      </c>
      <c r="X393" s="0" t="s">
        <v>624</v>
      </c>
      <c r="Y393" s="0" t="s">
        <v>627</v>
      </c>
      <c r="Z393" s="0" t="s">
        <v>629</v>
      </c>
      <c r="AA393" s="0" t="s">
        <v>624</v>
      </c>
      <c r="AB393" s="0" t="s">
        <v>132</v>
      </c>
      <c r="AC393" s="254" t="n">
        <v>840000</v>
      </c>
      <c r="AD393" s="254" t="n">
        <v>51634.4401376773</v>
      </c>
      <c r="AE393" s="0" t="n">
        <v>0</v>
      </c>
      <c r="AF393" s="0" t="n">
        <v>0</v>
      </c>
      <c r="AG393" s="0" t="n">
        <v>0</v>
      </c>
      <c r="AH393" s="254" t="n">
        <v>-6305.62978756661</v>
      </c>
      <c r="AI393" s="0" t="n">
        <v>226</v>
      </c>
      <c r="AJ393" s="0" t="s">
        <v>630</v>
      </c>
      <c r="AK393" s="0" t="n">
        <v>0</v>
      </c>
      <c r="AL393" s="0" t="n">
        <v>0</v>
      </c>
      <c r="AM393" s="0" t="n">
        <v>0</v>
      </c>
    </row>
    <row r="394" customFormat="false" ht="12.75" hidden="false" customHeight="false" outlineLevel="0" collapsed="false">
      <c r="A394" s="0" t="s">
        <v>621</v>
      </c>
      <c r="B394" s="0" t="s">
        <v>342</v>
      </c>
      <c r="C394" s="0" t="s">
        <v>622</v>
      </c>
      <c r="D394" s="0" t="s">
        <v>623</v>
      </c>
      <c r="E394" s="0" t="s">
        <v>131</v>
      </c>
      <c r="F394" s="0" t="s">
        <v>210</v>
      </c>
      <c r="G394" s="0" t="s">
        <v>628</v>
      </c>
      <c r="H394" s="0" t="s">
        <v>625</v>
      </c>
      <c r="I394" s="0" t="s">
        <v>626</v>
      </c>
      <c r="J394" s="0" t="s">
        <v>627</v>
      </c>
      <c r="K394" s="475" t="n">
        <v>36892</v>
      </c>
      <c r="L394" s="254" t="n">
        <v>102987.91118815</v>
      </c>
      <c r="M394" s="475" t="n">
        <v>36888</v>
      </c>
      <c r="N394" s="0" t="s">
        <v>132</v>
      </c>
      <c r="O394" s="0" t="n">
        <v>0.75</v>
      </c>
      <c r="P394" s="0" t="n">
        <v>0</v>
      </c>
      <c r="Q394" s="0" t="n">
        <v>0</v>
      </c>
      <c r="R394" s="0" t="n">
        <v>0</v>
      </c>
      <c r="S394" s="0" t="n">
        <v>0</v>
      </c>
      <c r="T394" s="0" t="s">
        <v>624</v>
      </c>
      <c r="U394" s="0" t="s">
        <v>149</v>
      </c>
      <c r="V394" s="0" t="s">
        <v>624</v>
      </c>
      <c r="W394" s="0" t="s">
        <v>569</v>
      </c>
      <c r="X394" s="0" t="s">
        <v>624</v>
      </c>
      <c r="Y394" s="0" t="s">
        <v>627</v>
      </c>
      <c r="Z394" s="0" t="s">
        <v>629</v>
      </c>
      <c r="AA394" s="0" t="s">
        <v>624</v>
      </c>
      <c r="AB394" s="0" t="s">
        <v>132</v>
      </c>
      <c r="AC394" s="254" t="n">
        <v>930000</v>
      </c>
      <c r="AD394" s="254" t="n">
        <v>47409.3014864759</v>
      </c>
      <c r="AE394" s="0" t="n">
        <v>0</v>
      </c>
      <c r="AF394" s="0" t="n">
        <v>0</v>
      </c>
      <c r="AG394" s="0" t="n">
        <v>0</v>
      </c>
      <c r="AH394" s="254" t="n">
        <v>-4967.89743043967</v>
      </c>
      <c r="AI394" s="0" t="n">
        <v>226</v>
      </c>
      <c r="AJ394" s="0" t="s">
        <v>630</v>
      </c>
      <c r="AK394" s="0" t="n">
        <v>0</v>
      </c>
      <c r="AL394" s="0" t="n">
        <v>0</v>
      </c>
      <c r="AM394" s="0" t="n">
        <v>0</v>
      </c>
    </row>
    <row r="395" customFormat="false" ht="12.75" hidden="false" customHeight="false" outlineLevel="0" collapsed="false">
      <c r="A395" s="0" t="s">
        <v>621</v>
      </c>
      <c r="B395" s="0" t="s">
        <v>342</v>
      </c>
      <c r="C395" s="0" t="s">
        <v>622</v>
      </c>
      <c r="D395" s="0" t="s">
        <v>623</v>
      </c>
      <c r="E395" s="0" t="s">
        <v>131</v>
      </c>
      <c r="F395" s="0" t="s">
        <v>210</v>
      </c>
      <c r="G395" s="0" t="s">
        <v>628</v>
      </c>
      <c r="H395" s="0" t="s">
        <v>625</v>
      </c>
      <c r="I395" s="0" t="s">
        <v>626</v>
      </c>
      <c r="J395" s="0" t="s">
        <v>627</v>
      </c>
      <c r="K395" s="475" t="n">
        <v>36861</v>
      </c>
      <c r="L395" s="254" t="n">
        <v>137562.796209284</v>
      </c>
      <c r="M395" s="475" t="n">
        <v>36859</v>
      </c>
      <c r="N395" s="0" t="s">
        <v>132</v>
      </c>
      <c r="O395" s="0" t="n">
        <v>0.75</v>
      </c>
      <c r="P395" s="0" t="n">
        <v>0</v>
      </c>
      <c r="Q395" s="0" t="n">
        <v>0</v>
      </c>
      <c r="R395" s="0" t="n">
        <v>0</v>
      </c>
      <c r="S395" s="0" t="n">
        <v>0</v>
      </c>
      <c r="T395" s="0" t="s">
        <v>624</v>
      </c>
      <c r="U395" s="0" t="s">
        <v>149</v>
      </c>
      <c r="V395" s="0" t="s">
        <v>624</v>
      </c>
      <c r="W395" s="0" t="s">
        <v>569</v>
      </c>
      <c r="X395" s="0" t="s">
        <v>624</v>
      </c>
      <c r="Y395" s="0" t="s">
        <v>627</v>
      </c>
      <c r="Z395" s="0" t="s">
        <v>629</v>
      </c>
      <c r="AA395" s="0" t="s">
        <v>624</v>
      </c>
      <c r="AB395" s="0" t="s">
        <v>132</v>
      </c>
      <c r="AC395" s="254" t="n">
        <v>930000</v>
      </c>
      <c r="AD395" s="254" t="n">
        <v>51692.2646790754</v>
      </c>
      <c r="AE395" s="0" t="n">
        <v>0</v>
      </c>
      <c r="AF395" s="0" t="n">
        <v>0</v>
      </c>
      <c r="AG395" s="0" t="n">
        <v>0</v>
      </c>
      <c r="AH395" s="254" t="n">
        <v>-5587.50999700427</v>
      </c>
      <c r="AI395" s="0" t="n">
        <v>226</v>
      </c>
      <c r="AJ395" s="0" t="s">
        <v>630</v>
      </c>
      <c r="AK395" s="0" t="n">
        <v>0</v>
      </c>
      <c r="AL395" s="0" t="n">
        <v>0</v>
      </c>
      <c r="AM395" s="0" t="n">
        <v>0</v>
      </c>
    </row>
    <row r="396" customFormat="false" ht="12.75" hidden="false" customHeight="false" outlineLevel="0" collapsed="false">
      <c r="A396" s="0" t="s">
        <v>621</v>
      </c>
      <c r="B396" s="0" t="s">
        <v>343</v>
      </c>
      <c r="C396" s="0" t="s">
        <v>622</v>
      </c>
      <c r="D396" s="0" t="s">
        <v>623</v>
      </c>
      <c r="E396" s="0" t="s">
        <v>131</v>
      </c>
      <c r="F396" s="0" t="s">
        <v>198</v>
      </c>
      <c r="G396" s="0" t="s">
        <v>628</v>
      </c>
      <c r="H396" s="0" t="s">
        <v>625</v>
      </c>
      <c r="I396" s="0" t="s">
        <v>626</v>
      </c>
      <c r="J396" s="0" t="s">
        <v>627</v>
      </c>
      <c r="K396" s="475" t="n">
        <v>36951</v>
      </c>
      <c r="L396" s="254" t="n">
        <v>-164993.618616551</v>
      </c>
      <c r="M396" s="475" t="n">
        <v>36949</v>
      </c>
      <c r="N396" s="0" t="s">
        <v>136</v>
      </c>
      <c r="O396" s="0" t="n">
        <v>1.6</v>
      </c>
      <c r="P396" s="0" t="n">
        <v>0</v>
      </c>
      <c r="Q396" s="0" t="n">
        <v>0</v>
      </c>
      <c r="R396" s="0" t="n">
        <v>0</v>
      </c>
      <c r="S396" s="0" t="n">
        <v>0</v>
      </c>
      <c r="T396" s="0" t="s">
        <v>624</v>
      </c>
      <c r="U396" s="0" t="s">
        <v>149</v>
      </c>
      <c r="V396" s="0" t="s">
        <v>624</v>
      </c>
      <c r="W396" s="0" t="s">
        <v>569</v>
      </c>
      <c r="X396" s="0" t="s">
        <v>624</v>
      </c>
      <c r="Y396" s="0" t="s">
        <v>627</v>
      </c>
      <c r="Z396" s="0" t="s">
        <v>629</v>
      </c>
      <c r="AA396" s="0" t="s">
        <v>624</v>
      </c>
      <c r="AB396" s="0" t="s">
        <v>132</v>
      </c>
      <c r="AC396" s="254" t="n">
        <v>-500000</v>
      </c>
      <c r="AD396" s="254" t="n">
        <v>-40486.3019028012</v>
      </c>
      <c r="AE396" s="0" t="n">
        <v>0</v>
      </c>
      <c r="AF396" s="0" t="n">
        <v>0</v>
      </c>
      <c r="AG396" s="0" t="n">
        <v>0</v>
      </c>
      <c r="AH396" s="254" t="n">
        <v>-13572.421626798</v>
      </c>
      <c r="AI396" s="0" t="n">
        <v>226</v>
      </c>
      <c r="AJ396" s="0" t="s">
        <v>630</v>
      </c>
      <c r="AK396" s="0" t="n">
        <v>0</v>
      </c>
      <c r="AL396" s="0" t="n">
        <v>0</v>
      </c>
      <c r="AM396" s="0" t="n">
        <v>0</v>
      </c>
    </row>
    <row r="397" customFormat="false" ht="12.75" hidden="false" customHeight="false" outlineLevel="0" collapsed="false">
      <c r="A397" s="0" t="s">
        <v>621</v>
      </c>
      <c r="B397" s="0" t="s">
        <v>343</v>
      </c>
      <c r="C397" s="0" t="s">
        <v>622</v>
      </c>
      <c r="D397" s="0" t="s">
        <v>623</v>
      </c>
      <c r="E397" s="0" t="s">
        <v>131</v>
      </c>
      <c r="F397" s="0" t="s">
        <v>198</v>
      </c>
      <c r="G397" s="0" t="s">
        <v>628</v>
      </c>
      <c r="H397" s="0" t="s">
        <v>625</v>
      </c>
      <c r="I397" s="0" t="s">
        <v>626</v>
      </c>
      <c r="J397" s="0" t="s">
        <v>627</v>
      </c>
      <c r="K397" s="475" t="n">
        <v>36923</v>
      </c>
      <c r="L397" s="254" t="n">
        <v>-453075.250208886</v>
      </c>
      <c r="M397" s="475" t="n">
        <v>36921</v>
      </c>
      <c r="N397" s="0" t="s">
        <v>136</v>
      </c>
      <c r="O397" s="0" t="n">
        <v>1.6</v>
      </c>
      <c r="P397" s="0" t="n">
        <v>0</v>
      </c>
      <c r="Q397" s="0" t="n">
        <v>0</v>
      </c>
      <c r="R397" s="0" t="n">
        <v>0</v>
      </c>
      <c r="S397" s="0" t="n">
        <v>0</v>
      </c>
      <c r="T397" s="0" t="s">
        <v>624</v>
      </c>
      <c r="U397" s="0" t="s">
        <v>149</v>
      </c>
      <c r="V397" s="0" t="s">
        <v>624</v>
      </c>
      <c r="W397" s="0" t="s">
        <v>569</v>
      </c>
      <c r="X397" s="0" t="s">
        <v>624</v>
      </c>
      <c r="Y397" s="0" t="s">
        <v>627</v>
      </c>
      <c r="Z397" s="0" t="s">
        <v>629</v>
      </c>
      <c r="AA397" s="0" t="s">
        <v>624</v>
      </c>
      <c r="AB397" s="0" t="s">
        <v>132</v>
      </c>
      <c r="AC397" s="254" t="n">
        <v>-500000</v>
      </c>
      <c r="AD397" s="254" t="n">
        <v>-41984.3190253582</v>
      </c>
      <c r="AE397" s="0" t="n">
        <v>0</v>
      </c>
      <c r="AF397" s="0" t="n">
        <v>0</v>
      </c>
      <c r="AG397" s="0" t="n">
        <v>0</v>
      </c>
      <c r="AH397" s="254" t="n">
        <v>-24464.7308334743</v>
      </c>
      <c r="AI397" s="0" t="n">
        <v>226</v>
      </c>
      <c r="AJ397" s="0" t="s">
        <v>630</v>
      </c>
      <c r="AK397" s="0" t="n">
        <v>0</v>
      </c>
      <c r="AL397" s="0" t="n">
        <v>0</v>
      </c>
      <c r="AM397" s="0" t="n">
        <v>0</v>
      </c>
    </row>
    <row r="398" customFormat="false" ht="12.75" hidden="false" customHeight="false" outlineLevel="0" collapsed="false">
      <c r="A398" s="0" t="s">
        <v>621</v>
      </c>
      <c r="B398" s="0" t="s">
        <v>343</v>
      </c>
      <c r="C398" s="0" t="s">
        <v>622</v>
      </c>
      <c r="D398" s="0" t="s">
        <v>623</v>
      </c>
      <c r="E398" s="0" t="s">
        <v>131</v>
      </c>
      <c r="F398" s="0" t="s">
        <v>198</v>
      </c>
      <c r="G398" s="0" t="s">
        <v>628</v>
      </c>
      <c r="H398" s="0" t="s">
        <v>625</v>
      </c>
      <c r="I398" s="0" t="s">
        <v>626</v>
      </c>
      <c r="J398" s="0" t="s">
        <v>627</v>
      </c>
      <c r="K398" s="475" t="n">
        <v>36892</v>
      </c>
      <c r="L398" s="254" t="n">
        <v>-464051.028212785</v>
      </c>
      <c r="M398" s="475" t="n">
        <v>36888</v>
      </c>
      <c r="N398" s="0" t="s">
        <v>136</v>
      </c>
      <c r="O398" s="0" t="n">
        <v>1.6</v>
      </c>
      <c r="P398" s="0" t="n">
        <v>0</v>
      </c>
      <c r="Q398" s="0" t="n">
        <v>0</v>
      </c>
      <c r="R398" s="0" t="n">
        <v>0</v>
      </c>
      <c r="S398" s="0" t="n">
        <v>0</v>
      </c>
      <c r="T398" s="0" t="s">
        <v>624</v>
      </c>
      <c r="U398" s="0" t="s">
        <v>149</v>
      </c>
      <c r="V398" s="0" t="s">
        <v>624</v>
      </c>
      <c r="W398" s="0" t="s">
        <v>569</v>
      </c>
      <c r="X398" s="0" t="s">
        <v>624</v>
      </c>
      <c r="Y398" s="0" t="s">
        <v>627</v>
      </c>
      <c r="Z398" s="0" t="s">
        <v>629</v>
      </c>
      <c r="AA398" s="0" t="s">
        <v>624</v>
      </c>
      <c r="AB398" s="0" t="s">
        <v>132</v>
      </c>
      <c r="AC398" s="254" t="n">
        <v>-500000</v>
      </c>
      <c r="AD398" s="254" t="n">
        <v>-37672.5296271704</v>
      </c>
      <c r="AE398" s="0" t="n">
        <v>0</v>
      </c>
      <c r="AF398" s="0" t="n">
        <v>0</v>
      </c>
      <c r="AG398" s="0" t="n">
        <v>0</v>
      </c>
      <c r="AH398" s="254" t="n">
        <v>-21769.1083987984</v>
      </c>
      <c r="AI398" s="0" t="n">
        <v>226</v>
      </c>
      <c r="AJ398" s="0" t="s">
        <v>630</v>
      </c>
      <c r="AK398" s="0" t="n">
        <v>0</v>
      </c>
      <c r="AL398" s="0" t="n">
        <v>0</v>
      </c>
      <c r="AM398" s="0" t="n">
        <v>0</v>
      </c>
    </row>
    <row r="399" customFormat="false" ht="12.75" hidden="false" customHeight="false" outlineLevel="0" collapsed="false">
      <c r="A399" s="0" t="s">
        <v>621</v>
      </c>
      <c r="B399" s="0" t="s">
        <v>343</v>
      </c>
      <c r="C399" s="0" t="s">
        <v>622</v>
      </c>
      <c r="D399" s="0" t="s">
        <v>623</v>
      </c>
      <c r="E399" s="0" t="s">
        <v>131</v>
      </c>
      <c r="F399" s="0" t="s">
        <v>198</v>
      </c>
      <c r="G399" s="0" t="s">
        <v>628</v>
      </c>
      <c r="H399" s="0" t="s">
        <v>625</v>
      </c>
      <c r="I399" s="0" t="s">
        <v>626</v>
      </c>
      <c r="J399" s="0" t="s">
        <v>627</v>
      </c>
      <c r="K399" s="475" t="n">
        <v>36861</v>
      </c>
      <c r="L399" s="254" t="n">
        <v>-267671.475447127</v>
      </c>
      <c r="M399" s="475" t="n">
        <v>36859</v>
      </c>
      <c r="N399" s="0" t="s">
        <v>136</v>
      </c>
      <c r="O399" s="0" t="n">
        <v>1.6</v>
      </c>
      <c r="P399" s="0" t="n">
        <v>0</v>
      </c>
      <c r="Q399" s="0" t="n">
        <v>0</v>
      </c>
      <c r="R399" s="0" t="n">
        <v>0</v>
      </c>
      <c r="S399" s="0" t="n">
        <v>0</v>
      </c>
      <c r="T399" s="0" t="s">
        <v>624</v>
      </c>
      <c r="U399" s="0" t="s">
        <v>149</v>
      </c>
      <c r="V399" s="0" t="s">
        <v>624</v>
      </c>
      <c r="W399" s="0" t="s">
        <v>569</v>
      </c>
      <c r="X399" s="0" t="s">
        <v>624</v>
      </c>
      <c r="Y399" s="0" t="s">
        <v>627</v>
      </c>
      <c r="Z399" s="0" t="s">
        <v>629</v>
      </c>
      <c r="AA399" s="0" t="s">
        <v>624</v>
      </c>
      <c r="AB399" s="0" t="s">
        <v>132</v>
      </c>
      <c r="AC399" s="254" t="n">
        <v>-500000</v>
      </c>
      <c r="AD399" s="254" t="n">
        <v>-35401.2014237187</v>
      </c>
      <c r="AE399" s="0" t="n">
        <v>0</v>
      </c>
      <c r="AF399" s="0" t="n">
        <v>0</v>
      </c>
      <c r="AG399" s="0" t="n">
        <v>0</v>
      </c>
      <c r="AH399" s="254" t="n">
        <v>-13921.8512695827</v>
      </c>
      <c r="AI399" s="0" t="n">
        <v>226</v>
      </c>
      <c r="AJ399" s="0" t="s">
        <v>630</v>
      </c>
      <c r="AK399" s="0" t="n">
        <v>0</v>
      </c>
      <c r="AL399" s="0" t="n">
        <v>0</v>
      </c>
      <c r="AM399" s="0" t="n">
        <v>0</v>
      </c>
    </row>
    <row r="400" customFormat="false" ht="12.75" hidden="false" customHeight="false" outlineLevel="0" collapsed="false">
      <c r="A400" s="0" t="s">
        <v>621</v>
      </c>
      <c r="B400" s="0" t="s">
        <v>343</v>
      </c>
      <c r="C400" s="0" t="s">
        <v>622</v>
      </c>
      <c r="D400" s="0" t="s">
        <v>623</v>
      </c>
      <c r="E400" s="0" t="s">
        <v>131</v>
      </c>
      <c r="F400" s="0" t="s">
        <v>198</v>
      </c>
      <c r="G400" s="0" t="s">
        <v>628</v>
      </c>
      <c r="H400" s="0" t="s">
        <v>625</v>
      </c>
      <c r="I400" s="0" t="s">
        <v>626</v>
      </c>
      <c r="J400" s="0" t="s">
        <v>627</v>
      </c>
      <c r="K400" s="475" t="n">
        <v>36831</v>
      </c>
      <c r="L400" s="254" t="n">
        <v>-24777.4772968778</v>
      </c>
      <c r="M400" s="475" t="n">
        <v>36829</v>
      </c>
      <c r="N400" s="0" t="s">
        <v>136</v>
      </c>
      <c r="O400" s="0" t="n">
        <v>1.6</v>
      </c>
      <c r="P400" s="0" t="n">
        <v>0</v>
      </c>
      <c r="Q400" s="0" t="n">
        <v>0</v>
      </c>
      <c r="R400" s="0" t="n">
        <v>0</v>
      </c>
      <c r="S400" s="0" t="n">
        <v>0</v>
      </c>
      <c r="T400" s="0" t="s">
        <v>624</v>
      </c>
      <c r="U400" s="0" t="s">
        <v>149</v>
      </c>
      <c r="V400" s="0" t="s">
        <v>624</v>
      </c>
      <c r="W400" s="0" t="s">
        <v>569</v>
      </c>
      <c r="X400" s="0" t="s">
        <v>624</v>
      </c>
      <c r="Y400" s="0" t="s">
        <v>627</v>
      </c>
      <c r="Z400" s="0" t="s">
        <v>629</v>
      </c>
      <c r="AA400" s="0" t="s">
        <v>624</v>
      </c>
      <c r="AB400" s="0" t="s">
        <v>132</v>
      </c>
      <c r="AC400" s="254" t="n">
        <v>-500000</v>
      </c>
      <c r="AD400" s="254" t="n">
        <v>-11503.9442741136</v>
      </c>
      <c r="AE400" s="0" t="n">
        <v>0</v>
      </c>
      <c r="AF400" s="0" t="n">
        <v>0</v>
      </c>
      <c r="AG400" s="0" t="n">
        <v>0</v>
      </c>
      <c r="AH400" s="254" t="n">
        <v>-3479.1637170616</v>
      </c>
      <c r="AI400" s="0" t="n">
        <v>226</v>
      </c>
      <c r="AJ400" s="0" t="s">
        <v>630</v>
      </c>
      <c r="AK400" s="0" t="n">
        <v>0</v>
      </c>
      <c r="AL400" s="0" t="n">
        <v>0</v>
      </c>
      <c r="AM400" s="0" t="n">
        <v>0</v>
      </c>
    </row>
    <row r="401" customFormat="false" ht="12.75" hidden="false" customHeight="false" outlineLevel="0" collapsed="false">
      <c r="A401" s="0" t="s">
        <v>621</v>
      </c>
      <c r="B401" s="0" t="s">
        <v>344</v>
      </c>
      <c r="C401" s="0" t="s">
        <v>622</v>
      </c>
      <c r="D401" s="0" t="s">
        <v>623</v>
      </c>
      <c r="E401" s="0" t="s">
        <v>131</v>
      </c>
      <c r="F401" s="0" t="s">
        <v>198</v>
      </c>
      <c r="G401" s="0" t="s">
        <v>628</v>
      </c>
      <c r="H401" s="0" t="s">
        <v>625</v>
      </c>
      <c r="I401" s="0" t="s">
        <v>626</v>
      </c>
      <c r="J401" s="0" t="s">
        <v>627</v>
      </c>
      <c r="K401" s="475" t="n">
        <v>36951</v>
      </c>
      <c r="L401" s="254" t="n">
        <v>-418589.113071264</v>
      </c>
      <c r="M401" s="475" t="n">
        <v>36949</v>
      </c>
      <c r="N401" s="0" t="s">
        <v>132</v>
      </c>
      <c r="O401" s="0" t="n">
        <v>1.6</v>
      </c>
      <c r="P401" s="0" t="n">
        <v>0</v>
      </c>
      <c r="Q401" s="0" t="n">
        <v>0</v>
      </c>
      <c r="R401" s="0" t="n">
        <v>0</v>
      </c>
      <c r="S401" s="0" t="n">
        <v>0</v>
      </c>
      <c r="T401" s="0" t="s">
        <v>624</v>
      </c>
      <c r="U401" s="0" t="s">
        <v>149</v>
      </c>
      <c r="V401" s="0" t="s">
        <v>624</v>
      </c>
      <c r="W401" s="0" t="s">
        <v>569</v>
      </c>
      <c r="X401" s="0" t="s">
        <v>624</v>
      </c>
      <c r="Y401" s="0" t="s">
        <v>627</v>
      </c>
      <c r="Z401" s="0" t="s">
        <v>629</v>
      </c>
      <c r="AA401" s="0" t="s">
        <v>624</v>
      </c>
      <c r="AB401" s="0" t="s">
        <v>132</v>
      </c>
      <c r="AC401" s="254" t="n">
        <v>-500000</v>
      </c>
      <c r="AD401" s="254" t="n">
        <v>-40486.3019028012</v>
      </c>
      <c r="AE401" s="0" t="n">
        <v>0</v>
      </c>
      <c r="AF401" s="0" t="n">
        <v>0</v>
      </c>
      <c r="AG401" s="0" t="n">
        <v>0</v>
      </c>
      <c r="AH401" s="254" t="n">
        <v>15395.6453269765</v>
      </c>
      <c r="AI401" s="0" t="n">
        <v>226</v>
      </c>
      <c r="AJ401" s="0" t="s">
        <v>630</v>
      </c>
      <c r="AK401" s="0" t="n">
        <v>0</v>
      </c>
      <c r="AL401" s="0" t="n">
        <v>0</v>
      </c>
      <c r="AM401" s="0" t="n">
        <v>0</v>
      </c>
    </row>
    <row r="402" customFormat="false" ht="12.75" hidden="false" customHeight="false" outlineLevel="0" collapsed="false">
      <c r="A402" s="0" t="s">
        <v>621</v>
      </c>
      <c r="B402" s="0" t="s">
        <v>344</v>
      </c>
      <c r="C402" s="0" t="s">
        <v>622</v>
      </c>
      <c r="D402" s="0" t="s">
        <v>623</v>
      </c>
      <c r="E402" s="0" t="s">
        <v>131</v>
      </c>
      <c r="F402" s="0" t="s">
        <v>198</v>
      </c>
      <c r="G402" s="0" t="s">
        <v>628</v>
      </c>
      <c r="H402" s="0" t="s">
        <v>625</v>
      </c>
      <c r="I402" s="0" t="s">
        <v>626</v>
      </c>
      <c r="J402" s="0" t="s">
        <v>627</v>
      </c>
      <c r="K402" s="475" t="n">
        <v>36923</v>
      </c>
      <c r="L402" s="254" t="n">
        <v>-215108.823405965</v>
      </c>
      <c r="M402" s="475" t="n">
        <v>36921</v>
      </c>
      <c r="N402" s="0" t="s">
        <v>132</v>
      </c>
      <c r="O402" s="0" t="n">
        <v>1.6</v>
      </c>
      <c r="P402" s="0" t="n">
        <v>0</v>
      </c>
      <c r="Q402" s="0" t="n">
        <v>0</v>
      </c>
      <c r="R402" s="0" t="n">
        <v>0</v>
      </c>
      <c r="S402" s="0" t="n">
        <v>0</v>
      </c>
      <c r="T402" s="0" t="s">
        <v>624</v>
      </c>
      <c r="U402" s="0" t="s">
        <v>149</v>
      </c>
      <c r="V402" s="0" t="s">
        <v>624</v>
      </c>
      <c r="W402" s="0" t="s">
        <v>569</v>
      </c>
      <c r="X402" s="0" t="s">
        <v>624</v>
      </c>
      <c r="Y402" s="0" t="s">
        <v>627</v>
      </c>
      <c r="Z402" s="0" t="s">
        <v>629</v>
      </c>
      <c r="AA402" s="0" t="s">
        <v>624</v>
      </c>
      <c r="AB402" s="0" t="s">
        <v>132</v>
      </c>
      <c r="AC402" s="254" t="n">
        <v>-500000</v>
      </c>
      <c r="AD402" s="254" t="n">
        <v>-41984.3190253582</v>
      </c>
      <c r="AE402" s="0" t="n">
        <v>0</v>
      </c>
      <c r="AF402" s="0" t="n">
        <v>0</v>
      </c>
      <c r="AG402" s="0" t="n">
        <v>0</v>
      </c>
      <c r="AH402" s="254" t="n">
        <v>9512.99747630197</v>
      </c>
      <c r="AI402" s="0" t="n">
        <v>226</v>
      </c>
      <c r="AJ402" s="0" t="s">
        <v>630</v>
      </c>
      <c r="AK402" s="0" t="n">
        <v>0</v>
      </c>
      <c r="AL402" s="0" t="n">
        <v>0</v>
      </c>
      <c r="AM402" s="0" t="n">
        <v>0</v>
      </c>
    </row>
    <row r="403" customFormat="false" ht="12.75" hidden="false" customHeight="false" outlineLevel="0" collapsed="false">
      <c r="A403" s="0" t="s">
        <v>621</v>
      </c>
      <c r="B403" s="0" t="s">
        <v>344</v>
      </c>
      <c r="C403" s="0" t="s">
        <v>622</v>
      </c>
      <c r="D403" s="0" t="s">
        <v>623</v>
      </c>
      <c r="E403" s="0" t="s">
        <v>131</v>
      </c>
      <c r="F403" s="0" t="s">
        <v>198</v>
      </c>
      <c r="G403" s="0" t="s">
        <v>628</v>
      </c>
      <c r="H403" s="0" t="s">
        <v>625</v>
      </c>
      <c r="I403" s="0" t="s">
        <v>626</v>
      </c>
      <c r="J403" s="0" t="s">
        <v>627</v>
      </c>
      <c r="K403" s="475" t="n">
        <v>36892</v>
      </c>
      <c r="L403" s="254" t="n">
        <v>-185486.210797771</v>
      </c>
      <c r="M403" s="475" t="n">
        <v>36888</v>
      </c>
      <c r="N403" s="0" t="s">
        <v>132</v>
      </c>
      <c r="O403" s="0" t="n">
        <v>1.6</v>
      </c>
      <c r="P403" s="0" t="n">
        <v>0</v>
      </c>
      <c r="Q403" s="0" t="n">
        <v>0</v>
      </c>
      <c r="R403" s="0" t="n">
        <v>0</v>
      </c>
      <c r="S403" s="0" t="n">
        <v>0</v>
      </c>
      <c r="T403" s="0" t="s">
        <v>624</v>
      </c>
      <c r="U403" s="0" t="s">
        <v>149</v>
      </c>
      <c r="V403" s="0" t="s">
        <v>624</v>
      </c>
      <c r="W403" s="0" t="s">
        <v>569</v>
      </c>
      <c r="X403" s="0" t="s">
        <v>624</v>
      </c>
      <c r="Y403" s="0" t="s">
        <v>627</v>
      </c>
      <c r="Z403" s="0" t="s">
        <v>629</v>
      </c>
      <c r="AA403" s="0" t="s">
        <v>624</v>
      </c>
      <c r="AB403" s="0" t="s">
        <v>132</v>
      </c>
      <c r="AC403" s="254" t="n">
        <v>-500000</v>
      </c>
      <c r="AD403" s="254" t="n">
        <v>-37672.5296271704</v>
      </c>
      <c r="AE403" s="0" t="n">
        <v>0</v>
      </c>
      <c r="AF403" s="0" t="n">
        <v>0</v>
      </c>
      <c r="AG403" s="0" t="n">
        <v>0</v>
      </c>
      <c r="AH403" s="254" t="n">
        <v>7537.87022616947</v>
      </c>
      <c r="AI403" s="0" t="n">
        <v>226</v>
      </c>
      <c r="AJ403" s="0" t="s">
        <v>630</v>
      </c>
      <c r="AK403" s="0" t="n">
        <v>0</v>
      </c>
      <c r="AL403" s="0" t="n">
        <v>0</v>
      </c>
      <c r="AM403" s="0" t="n">
        <v>0</v>
      </c>
    </row>
    <row r="404" customFormat="false" ht="12.75" hidden="false" customHeight="false" outlineLevel="0" collapsed="false">
      <c r="A404" s="0" t="s">
        <v>621</v>
      </c>
      <c r="B404" s="0" t="s">
        <v>344</v>
      </c>
      <c r="C404" s="0" t="s">
        <v>622</v>
      </c>
      <c r="D404" s="0" t="s">
        <v>623</v>
      </c>
      <c r="E404" s="0" t="s">
        <v>131</v>
      </c>
      <c r="F404" s="0" t="s">
        <v>198</v>
      </c>
      <c r="G404" s="0" t="s">
        <v>628</v>
      </c>
      <c r="H404" s="0" t="s">
        <v>625</v>
      </c>
      <c r="I404" s="0" t="s">
        <v>626</v>
      </c>
      <c r="J404" s="0" t="s">
        <v>627</v>
      </c>
      <c r="K404" s="475" t="n">
        <v>36861</v>
      </c>
      <c r="L404" s="254" t="n">
        <v>-245559.459185969</v>
      </c>
      <c r="M404" s="475" t="n">
        <v>36859</v>
      </c>
      <c r="N404" s="0" t="s">
        <v>132</v>
      </c>
      <c r="O404" s="0" t="n">
        <v>1.6</v>
      </c>
      <c r="P404" s="0" t="n">
        <v>0</v>
      </c>
      <c r="Q404" s="0" t="n">
        <v>0</v>
      </c>
      <c r="R404" s="0" t="n">
        <v>0</v>
      </c>
      <c r="S404" s="0" t="n">
        <v>0</v>
      </c>
      <c r="T404" s="0" t="s">
        <v>624</v>
      </c>
      <c r="U404" s="0" t="s">
        <v>149</v>
      </c>
      <c r="V404" s="0" t="s">
        <v>624</v>
      </c>
      <c r="W404" s="0" t="s">
        <v>569</v>
      </c>
      <c r="X404" s="0" t="s">
        <v>624</v>
      </c>
      <c r="Y404" s="0" t="s">
        <v>627</v>
      </c>
      <c r="Z404" s="0" t="s">
        <v>629</v>
      </c>
      <c r="AA404" s="0" t="s">
        <v>624</v>
      </c>
      <c r="AB404" s="0" t="s">
        <v>132</v>
      </c>
      <c r="AC404" s="254" t="n">
        <v>-500000</v>
      </c>
      <c r="AD404" s="254" t="n">
        <v>-35401.2014237187</v>
      </c>
      <c r="AE404" s="0" t="n">
        <v>0</v>
      </c>
      <c r="AF404" s="0" t="n">
        <v>0</v>
      </c>
      <c r="AG404" s="0" t="n">
        <v>0</v>
      </c>
      <c r="AH404" s="254" t="n">
        <v>8178.00160513603</v>
      </c>
      <c r="AI404" s="0" t="n">
        <v>226</v>
      </c>
      <c r="AJ404" s="0" t="s">
        <v>630</v>
      </c>
      <c r="AK404" s="0" t="n">
        <v>0</v>
      </c>
      <c r="AL404" s="0" t="n">
        <v>0</v>
      </c>
      <c r="AM404" s="0" t="n">
        <v>0</v>
      </c>
    </row>
    <row r="405" customFormat="false" ht="12.75" hidden="false" customHeight="false" outlineLevel="0" collapsed="false">
      <c r="A405" s="0" t="s">
        <v>621</v>
      </c>
      <c r="B405" s="0" t="s">
        <v>344</v>
      </c>
      <c r="C405" s="0" t="s">
        <v>622</v>
      </c>
      <c r="D405" s="0" t="s">
        <v>623</v>
      </c>
      <c r="E405" s="0" t="s">
        <v>131</v>
      </c>
      <c r="F405" s="0" t="s">
        <v>198</v>
      </c>
      <c r="G405" s="0" t="s">
        <v>628</v>
      </c>
      <c r="H405" s="0" t="s">
        <v>625</v>
      </c>
      <c r="I405" s="0" t="s">
        <v>626</v>
      </c>
      <c r="J405" s="0" t="s">
        <v>627</v>
      </c>
      <c r="K405" s="475" t="n">
        <v>36831</v>
      </c>
      <c r="L405" s="254" t="n">
        <v>-434930.843240284</v>
      </c>
      <c r="M405" s="475" t="n">
        <v>36829</v>
      </c>
      <c r="N405" s="0" t="s">
        <v>132</v>
      </c>
      <c r="O405" s="0" t="n">
        <v>1.6</v>
      </c>
      <c r="P405" s="0" t="n">
        <v>0</v>
      </c>
      <c r="Q405" s="0" t="n">
        <v>0</v>
      </c>
      <c r="R405" s="0" t="n">
        <v>0</v>
      </c>
      <c r="S405" s="0" t="n">
        <v>0</v>
      </c>
      <c r="T405" s="0" t="s">
        <v>624</v>
      </c>
      <c r="U405" s="0" t="s">
        <v>149</v>
      </c>
      <c r="V405" s="0" t="s">
        <v>624</v>
      </c>
      <c r="W405" s="0" t="s">
        <v>569</v>
      </c>
      <c r="X405" s="0" t="s">
        <v>624</v>
      </c>
      <c r="Y405" s="0" t="s">
        <v>627</v>
      </c>
      <c r="Z405" s="0" t="s">
        <v>629</v>
      </c>
      <c r="AA405" s="0" t="s">
        <v>624</v>
      </c>
      <c r="AB405" s="0" t="s">
        <v>132</v>
      </c>
      <c r="AC405" s="254" t="n">
        <v>-500000</v>
      </c>
      <c r="AD405" s="254" t="n">
        <v>-11503.9442741136</v>
      </c>
      <c r="AE405" s="0" t="n">
        <v>0</v>
      </c>
      <c r="AF405" s="0" t="n">
        <v>0</v>
      </c>
      <c r="AG405" s="0" t="n">
        <v>0</v>
      </c>
      <c r="AH405" s="254" t="n">
        <v>16276.3799892231</v>
      </c>
      <c r="AI405" s="0" t="n">
        <v>226</v>
      </c>
      <c r="AJ405" s="0" t="s">
        <v>630</v>
      </c>
      <c r="AK405" s="0" t="n">
        <v>0</v>
      </c>
      <c r="AL405" s="0" t="n">
        <v>0</v>
      </c>
      <c r="AM405" s="0" t="n">
        <v>0</v>
      </c>
    </row>
    <row r="406" customFormat="false" ht="12.75" hidden="false" customHeight="false" outlineLevel="0" collapsed="false">
      <c r="A406" s="0" t="s">
        <v>621</v>
      </c>
      <c r="B406" s="0" t="s">
        <v>346</v>
      </c>
      <c r="C406" s="0" t="s">
        <v>622</v>
      </c>
      <c r="D406" s="0" t="s">
        <v>623</v>
      </c>
      <c r="E406" s="0" t="s">
        <v>131</v>
      </c>
      <c r="F406" s="0" t="s">
        <v>345</v>
      </c>
      <c r="G406" s="0" t="s">
        <v>628</v>
      </c>
      <c r="H406" s="0" t="s">
        <v>625</v>
      </c>
      <c r="I406" s="0" t="s">
        <v>626</v>
      </c>
      <c r="J406" s="0" t="s">
        <v>627</v>
      </c>
      <c r="K406" s="475" t="n">
        <v>36800</v>
      </c>
      <c r="L406" s="254" t="n">
        <v>-309226.433073939</v>
      </c>
      <c r="M406" s="475" t="n">
        <v>36797</v>
      </c>
      <c r="N406" s="0" t="s">
        <v>132</v>
      </c>
      <c r="O406" s="0" t="n">
        <v>0.55</v>
      </c>
      <c r="P406" s="0" t="n">
        <v>0</v>
      </c>
      <c r="Q406" s="0" t="n">
        <v>0</v>
      </c>
      <c r="R406" s="0" t="n">
        <v>0</v>
      </c>
      <c r="S406" s="0" t="n">
        <v>0</v>
      </c>
      <c r="T406" s="0" t="s">
        <v>624</v>
      </c>
      <c r="U406" s="0" t="s">
        <v>149</v>
      </c>
      <c r="V406" s="0" t="s">
        <v>624</v>
      </c>
      <c r="W406" s="0" t="s">
        <v>569</v>
      </c>
      <c r="X406" s="0" t="s">
        <v>624</v>
      </c>
      <c r="Y406" s="0" t="s">
        <v>627</v>
      </c>
      <c r="Z406" s="0" t="s">
        <v>629</v>
      </c>
      <c r="AA406" s="0" t="s">
        <v>624</v>
      </c>
      <c r="AB406" s="0" t="s">
        <v>132</v>
      </c>
      <c r="AC406" s="254" t="n">
        <v>-2170000</v>
      </c>
      <c r="AD406" s="254" t="n">
        <v>-7234.69569033873</v>
      </c>
      <c r="AE406" s="0" t="n">
        <v>0</v>
      </c>
      <c r="AF406" s="0" t="n">
        <v>0</v>
      </c>
      <c r="AG406" s="0" t="n">
        <v>0</v>
      </c>
      <c r="AH406" s="254" t="n">
        <v>-418.731343401538</v>
      </c>
      <c r="AI406" s="0" t="n">
        <v>226</v>
      </c>
      <c r="AJ406" s="0" t="s">
        <v>630</v>
      </c>
      <c r="AK406" s="0" t="n">
        <v>0</v>
      </c>
      <c r="AL406" s="0" t="n">
        <v>0</v>
      </c>
      <c r="AM406" s="0" t="n">
        <v>0</v>
      </c>
    </row>
    <row r="407" customFormat="false" ht="12.75" hidden="false" customHeight="false" outlineLevel="0" collapsed="false">
      <c r="A407" s="0" t="s">
        <v>621</v>
      </c>
      <c r="B407" s="0" t="s">
        <v>347</v>
      </c>
      <c r="C407" s="0" t="s">
        <v>622</v>
      </c>
      <c r="D407" s="0" t="s">
        <v>623</v>
      </c>
      <c r="E407" s="0" t="s">
        <v>131</v>
      </c>
      <c r="F407" s="0" t="s">
        <v>345</v>
      </c>
      <c r="G407" s="0" t="s">
        <v>628</v>
      </c>
      <c r="H407" s="0" t="s">
        <v>625</v>
      </c>
      <c r="I407" s="0" t="s">
        <v>626</v>
      </c>
      <c r="J407" s="0" t="s">
        <v>627</v>
      </c>
      <c r="K407" s="475" t="n">
        <v>36800</v>
      </c>
      <c r="L407" s="254" t="n">
        <v>-132525.614174545</v>
      </c>
      <c r="M407" s="475" t="n">
        <v>36797</v>
      </c>
      <c r="N407" s="0" t="s">
        <v>132</v>
      </c>
      <c r="O407" s="0" t="n">
        <v>0.55</v>
      </c>
      <c r="P407" s="0" t="n">
        <v>0</v>
      </c>
      <c r="Q407" s="0" t="n">
        <v>0</v>
      </c>
      <c r="R407" s="0" t="n">
        <v>0</v>
      </c>
      <c r="S407" s="0" t="n">
        <v>0</v>
      </c>
      <c r="T407" s="0" t="s">
        <v>624</v>
      </c>
      <c r="U407" s="0" t="s">
        <v>149</v>
      </c>
      <c r="V407" s="0" t="s">
        <v>624</v>
      </c>
      <c r="W407" s="0" t="s">
        <v>569</v>
      </c>
      <c r="X407" s="0" t="s">
        <v>624</v>
      </c>
      <c r="Y407" s="0" t="s">
        <v>627</v>
      </c>
      <c r="Z407" s="0" t="s">
        <v>629</v>
      </c>
      <c r="AA407" s="0" t="s">
        <v>624</v>
      </c>
      <c r="AB407" s="0" t="s">
        <v>132</v>
      </c>
      <c r="AC407" s="254" t="n">
        <v>-930000</v>
      </c>
      <c r="AD407" s="254" t="n">
        <v>-3100.58386728796</v>
      </c>
      <c r="AE407" s="0" t="n">
        <v>0</v>
      </c>
      <c r="AF407" s="0" t="n">
        <v>0</v>
      </c>
      <c r="AG407" s="0" t="n">
        <v>0</v>
      </c>
      <c r="AH407" s="254" t="n">
        <v>-179.456290029251</v>
      </c>
      <c r="AI407" s="0" t="n">
        <v>226</v>
      </c>
      <c r="AJ407" s="0" t="s">
        <v>630</v>
      </c>
      <c r="AK407" s="0" t="n">
        <v>0</v>
      </c>
      <c r="AL407" s="0" t="n">
        <v>0</v>
      </c>
      <c r="AM407" s="0" t="n">
        <v>0</v>
      </c>
    </row>
    <row r="408" customFormat="false" ht="12.75" hidden="false" customHeight="false" outlineLevel="0" collapsed="false">
      <c r="A408" s="0" t="s">
        <v>621</v>
      </c>
      <c r="B408" s="0" t="s">
        <v>348</v>
      </c>
      <c r="C408" s="0" t="s">
        <v>622</v>
      </c>
      <c r="D408" s="0" t="s">
        <v>623</v>
      </c>
      <c r="E408" s="0" t="s">
        <v>131</v>
      </c>
      <c r="F408" s="0" t="s">
        <v>210</v>
      </c>
      <c r="G408" s="0" t="s">
        <v>628</v>
      </c>
      <c r="H408" s="0" t="s">
        <v>625</v>
      </c>
      <c r="I408" s="0" t="s">
        <v>626</v>
      </c>
      <c r="J408" s="0" t="s">
        <v>627</v>
      </c>
      <c r="K408" s="475" t="n">
        <v>36951</v>
      </c>
      <c r="L408" s="254" t="n">
        <v>-11963.2500377898</v>
      </c>
      <c r="M408" s="475" t="n">
        <v>36949</v>
      </c>
      <c r="N408" s="0" t="s">
        <v>132</v>
      </c>
      <c r="O408" s="0" t="n">
        <v>-0.3</v>
      </c>
      <c r="P408" s="0" t="n">
        <v>0</v>
      </c>
      <c r="Q408" s="0" t="n">
        <v>0</v>
      </c>
      <c r="R408" s="0" t="n">
        <v>0</v>
      </c>
      <c r="S408" s="0" t="n">
        <v>0</v>
      </c>
      <c r="T408" s="0" t="s">
        <v>624</v>
      </c>
      <c r="U408" s="0" t="s">
        <v>68</v>
      </c>
      <c r="V408" s="0" t="s">
        <v>624</v>
      </c>
      <c r="W408" s="0" t="s">
        <v>569</v>
      </c>
      <c r="X408" s="0" t="s">
        <v>624</v>
      </c>
      <c r="Y408" s="0" t="s">
        <v>627</v>
      </c>
      <c r="Z408" s="0" t="s">
        <v>629</v>
      </c>
      <c r="AA408" s="0" t="s">
        <v>624</v>
      </c>
      <c r="AB408" s="0" t="s">
        <v>132</v>
      </c>
      <c r="AC408" s="254" t="n">
        <v>-620000</v>
      </c>
      <c r="AD408" s="254" t="n">
        <v>-5428.57161405004</v>
      </c>
      <c r="AE408" s="0" t="n">
        <v>0</v>
      </c>
      <c r="AF408" s="0" t="n">
        <v>0</v>
      </c>
      <c r="AG408" s="0" t="n">
        <v>0</v>
      </c>
      <c r="AH408" s="254" t="n">
        <v>-561.917697721348</v>
      </c>
      <c r="AI408" s="0" t="n">
        <v>226</v>
      </c>
      <c r="AJ408" s="0" t="s">
        <v>630</v>
      </c>
      <c r="AK408" s="0" t="n">
        <v>0</v>
      </c>
      <c r="AL408" s="0" t="n">
        <v>0</v>
      </c>
      <c r="AM408" s="0" t="n">
        <v>0</v>
      </c>
    </row>
    <row r="409" customFormat="false" ht="12.75" hidden="false" customHeight="false" outlineLevel="0" collapsed="false">
      <c r="A409" s="0" t="s">
        <v>621</v>
      </c>
      <c r="B409" s="0" t="s">
        <v>348</v>
      </c>
      <c r="C409" s="0" t="s">
        <v>622</v>
      </c>
      <c r="D409" s="0" t="s">
        <v>623</v>
      </c>
      <c r="E409" s="0" t="s">
        <v>131</v>
      </c>
      <c r="F409" s="0" t="s">
        <v>210</v>
      </c>
      <c r="G409" s="0" t="s">
        <v>628</v>
      </c>
      <c r="H409" s="0" t="s">
        <v>625</v>
      </c>
      <c r="I409" s="0" t="s">
        <v>626</v>
      </c>
      <c r="J409" s="0" t="s">
        <v>627</v>
      </c>
      <c r="K409" s="475" t="n">
        <v>36923</v>
      </c>
      <c r="L409" s="254" t="n">
        <v>-13843.4340339551</v>
      </c>
      <c r="M409" s="475" t="n">
        <v>36921</v>
      </c>
      <c r="N409" s="0" t="s">
        <v>132</v>
      </c>
      <c r="O409" s="0" t="n">
        <v>-0.3</v>
      </c>
      <c r="P409" s="0" t="n">
        <v>0</v>
      </c>
      <c r="Q409" s="0" t="n">
        <v>0</v>
      </c>
      <c r="R409" s="0" t="n">
        <v>0</v>
      </c>
      <c r="S409" s="0" t="n">
        <v>0</v>
      </c>
      <c r="T409" s="0" t="s">
        <v>624</v>
      </c>
      <c r="U409" s="0" t="s">
        <v>68</v>
      </c>
      <c r="V409" s="0" t="s">
        <v>624</v>
      </c>
      <c r="W409" s="0" t="s">
        <v>569</v>
      </c>
      <c r="X409" s="0" t="s">
        <v>624</v>
      </c>
      <c r="Y409" s="0" t="s">
        <v>627</v>
      </c>
      <c r="Z409" s="0" t="s">
        <v>629</v>
      </c>
      <c r="AA409" s="0" t="s">
        <v>624</v>
      </c>
      <c r="AB409" s="0" t="s">
        <v>132</v>
      </c>
      <c r="AC409" s="254" t="n">
        <v>-560000</v>
      </c>
      <c r="AD409" s="254" t="n">
        <v>-5500.48814725703</v>
      </c>
      <c r="AE409" s="0" t="n">
        <v>0</v>
      </c>
      <c r="AF409" s="0" t="n">
        <v>0</v>
      </c>
      <c r="AG409" s="0" t="n">
        <v>0</v>
      </c>
      <c r="AH409" s="254" t="n">
        <v>-562.141179178483</v>
      </c>
      <c r="AI409" s="0" t="n">
        <v>226</v>
      </c>
      <c r="AJ409" s="0" t="s">
        <v>630</v>
      </c>
      <c r="AK409" s="0" t="n">
        <v>0</v>
      </c>
      <c r="AL409" s="0" t="n">
        <v>0</v>
      </c>
      <c r="AM409" s="0" t="n">
        <v>0</v>
      </c>
    </row>
    <row r="410" customFormat="false" ht="12.75" hidden="false" customHeight="false" outlineLevel="0" collapsed="false">
      <c r="A410" s="0" t="s">
        <v>621</v>
      </c>
      <c r="B410" s="0" t="s">
        <v>348</v>
      </c>
      <c r="C410" s="0" t="s">
        <v>622</v>
      </c>
      <c r="D410" s="0" t="s">
        <v>623</v>
      </c>
      <c r="E410" s="0" t="s">
        <v>131</v>
      </c>
      <c r="F410" s="0" t="s">
        <v>210</v>
      </c>
      <c r="G410" s="0" t="s">
        <v>628</v>
      </c>
      <c r="H410" s="0" t="s">
        <v>625</v>
      </c>
      <c r="I410" s="0" t="s">
        <v>626</v>
      </c>
      <c r="J410" s="0" t="s">
        <v>627</v>
      </c>
      <c r="K410" s="475" t="n">
        <v>36892</v>
      </c>
      <c r="L410" s="254" t="n">
        <v>-15624.1568485408</v>
      </c>
      <c r="M410" s="475" t="n">
        <v>36888</v>
      </c>
      <c r="N410" s="0" t="s">
        <v>132</v>
      </c>
      <c r="O410" s="0" t="n">
        <v>-0.3</v>
      </c>
      <c r="P410" s="0" t="n">
        <v>0</v>
      </c>
      <c r="Q410" s="0" t="n">
        <v>0</v>
      </c>
      <c r="R410" s="0" t="n">
        <v>0</v>
      </c>
      <c r="S410" s="0" t="n">
        <v>0</v>
      </c>
      <c r="T410" s="0" t="s">
        <v>624</v>
      </c>
      <c r="U410" s="0" t="s">
        <v>68</v>
      </c>
      <c r="V410" s="0" t="s">
        <v>624</v>
      </c>
      <c r="W410" s="0" t="s">
        <v>569</v>
      </c>
      <c r="X410" s="0" t="s">
        <v>624</v>
      </c>
      <c r="Y410" s="0" t="s">
        <v>627</v>
      </c>
      <c r="Z410" s="0" t="s">
        <v>629</v>
      </c>
      <c r="AA410" s="0" t="s">
        <v>624</v>
      </c>
      <c r="AB410" s="0" t="s">
        <v>132</v>
      </c>
      <c r="AC410" s="254" t="n">
        <v>-620000</v>
      </c>
      <c r="AD410" s="254" t="n">
        <v>-5733.934601427</v>
      </c>
      <c r="AE410" s="0" t="n">
        <v>0</v>
      </c>
      <c r="AF410" s="0" t="n">
        <v>0</v>
      </c>
      <c r="AG410" s="0" t="n">
        <v>0</v>
      </c>
      <c r="AH410" s="254" t="n">
        <v>-625.599760855468</v>
      </c>
      <c r="AI410" s="0" t="n">
        <v>226</v>
      </c>
      <c r="AJ410" s="0" t="s">
        <v>630</v>
      </c>
      <c r="AK410" s="0" t="n">
        <v>0</v>
      </c>
      <c r="AL410" s="0" t="n">
        <v>0</v>
      </c>
      <c r="AM410" s="0" t="n">
        <v>0</v>
      </c>
    </row>
    <row r="411" customFormat="false" ht="12.75" hidden="false" customHeight="false" outlineLevel="0" collapsed="false">
      <c r="A411" s="0" t="s">
        <v>621</v>
      </c>
      <c r="B411" s="0" t="s">
        <v>348</v>
      </c>
      <c r="C411" s="0" t="s">
        <v>622</v>
      </c>
      <c r="D411" s="0" t="s">
        <v>623</v>
      </c>
      <c r="E411" s="0" t="s">
        <v>131</v>
      </c>
      <c r="F411" s="0" t="s">
        <v>210</v>
      </c>
      <c r="G411" s="0" t="s">
        <v>628</v>
      </c>
      <c r="H411" s="0" t="s">
        <v>625</v>
      </c>
      <c r="I411" s="0" t="s">
        <v>626</v>
      </c>
      <c r="J411" s="0" t="s">
        <v>627</v>
      </c>
      <c r="K411" s="475" t="n">
        <v>36861</v>
      </c>
      <c r="L411" s="254" t="n">
        <v>-10486.9643957097</v>
      </c>
      <c r="M411" s="475" t="n">
        <v>36859</v>
      </c>
      <c r="N411" s="0" t="s">
        <v>132</v>
      </c>
      <c r="O411" s="0" t="n">
        <v>-0.3</v>
      </c>
      <c r="P411" s="0" t="n">
        <v>0</v>
      </c>
      <c r="Q411" s="0" t="n">
        <v>0</v>
      </c>
      <c r="R411" s="0" t="n">
        <v>0</v>
      </c>
      <c r="S411" s="0" t="n">
        <v>0</v>
      </c>
      <c r="T411" s="0" t="s">
        <v>624</v>
      </c>
      <c r="U411" s="0" t="s">
        <v>68</v>
      </c>
      <c r="V411" s="0" t="s">
        <v>624</v>
      </c>
      <c r="W411" s="0" t="s">
        <v>569</v>
      </c>
      <c r="X411" s="0" t="s">
        <v>624</v>
      </c>
      <c r="Y411" s="0" t="s">
        <v>627</v>
      </c>
      <c r="Z411" s="0" t="s">
        <v>629</v>
      </c>
      <c r="AA411" s="0" t="s">
        <v>624</v>
      </c>
      <c r="AB411" s="0" t="s">
        <v>132</v>
      </c>
      <c r="AC411" s="254" t="n">
        <v>-620000</v>
      </c>
      <c r="AD411" s="254" t="n">
        <v>-4428.88933603754</v>
      </c>
      <c r="AE411" s="0" t="n">
        <v>0</v>
      </c>
      <c r="AF411" s="0" t="n">
        <v>0</v>
      </c>
      <c r="AG411" s="0" t="n">
        <v>0</v>
      </c>
      <c r="AH411" s="254" t="n">
        <v>-508.682900167925</v>
      </c>
      <c r="AI411" s="0" t="n">
        <v>226</v>
      </c>
      <c r="AJ411" s="0" t="s">
        <v>630</v>
      </c>
      <c r="AK411" s="0" t="n">
        <v>0</v>
      </c>
      <c r="AL411" s="0" t="n">
        <v>0</v>
      </c>
      <c r="AM411" s="0" t="n">
        <v>0</v>
      </c>
    </row>
    <row r="412" customFormat="false" ht="12.75" hidden="false" customHeight="false" outlineLevel="0" collapsed="false">
      <c r="A412" s="0" t="s">
        <v>621</v>
      </c>
      <c r="B412" s="0" t="s">
        <v>348</v>
      </c>
      <c r="C412" s="0" t="s">
        <v>622</v>
      </c>
      <c r="D412" s="0" t="s">
        <v>623</v>
      </c>
      <c r="E412" s="0" t="s">
        <v>131</v>
      </c>
      <c r="F412" s="0" t="s">
        <v>210</v>
      </c>
      <c r="G412" s="0" t="s">
        <v>628</v>
      </c>
      <c r="H412" s="0" t="s">
        <v>625</v>
      </c>
      <c r="I412" s="0" t="s">
        <v>626</v>
      </c>
      <c r="J412" s="0" t="s">
        <v>627</v>
      </c>
      <c r="K412" s="475" t="n">
        <v>36831</v>
      </c>
      <c r="L412" s="254" t="n">
        <v>-4748.99608570411</v>
      </c>
      <c r="M412" s="475" t="n">
        <v>36829</v>
      </c>
      <c r="N412" s="0" t="s">
        <v>132</v>
      </c>
      <c r="O412" s="0" t="n">
        <v>-0.3</v>
      </c>
      <c r="P412" s="0" t="n">
        <v>0</v>
      </c>
      <c r="Q412" s="0" t="n">
        <v>0</v>
      </c>
      <c r="R412" s="0" t="n">
        <v>0</v>
      </c>
      <c r="S412" s="0" t="n">
        <v>0</v>
      </c>
      <c r="T412" s="0" t="s">
        <v>624</v>
      </c>
      <c r="U412" s="0" t="s">
        <v>68</v>
      </c>
      <c r="V412" s="0" t="s">
        <v>624</v>
      </c>
      <c r="W412" s="0" t="s">
        <v>569</v>
      </c>
      <c r="X412" s="0" t="s">
        <v>624</v>
      </c>
      <c r="Y412" s="0" t="s">
        <v>627</v>
      </c>
      <c r="Z412" s="0" t="s">
        <v>629</v>
      </c>
      <c r="AA412" s="0" t="s">
        <v>624</v>
      </c>
      <c r="AB412" s="0" t="s">
        <v>132</v>
      </c>
      <c r="AC412" s="254" t="n">
        <v>-600000</v>
      </c>
      <c r="AD412" s="254" t="n">
        <v>-2622.05052156077</v>
      </c>
      <c r="AE412" s="0" t="n">
        <v>0</v>
      </c>
      <c r="AF412" s="0" t="n">
        <v>0</v>
      </c>
      <c r="AG412" s="0" t="n">
        <v>0</v>
      </c>
      <c r="AH412" s="254" t="n">
        <v>-322.599695062495</v>
      </c>
      <c r="AI412" s="0" t="n">
        <v>226</v>
      </c>
      <c r="AJ412" s="0" t="s">
        <v>630</v>
      </c>
      <c r="AK412" s="0" t="n">
        <v>0</v>
      </c>
      <c r="AL412" s="0" t="n">
        <v>0</v>
      </c>
      <c r="AM412" s="0" t="n">
        <v>0</v>
      </c>
    </row>
    <row r="413" customFormat="false" ht="12.75" hidden="false" customHeight="false" outlineLevel="0" collapsed="false">
      <c r="A413" s="0" t="s">
        <v>621</v>
      </c>
      <c r="B413" s="0" t="s">
        <v>349</v>
      </c>
      <c r="C413" s="0" t="s">
        <v>622</v>
      </c>
      <c r="D413" s="0" t="s">
        <v>623</v>
      </c>
      <c r="E413" s="0" t="s">
        <v>131</v>
      </c>
      <c r="F413" s="0" t="s">
        <v>196</v>
      </c>
      <c r="G413" s="0" t="s">
        <v>628</v>
      </c>
      <c r="H413" s="0" t="s">
        <v>625</v>
      </c>
      <c r="I413" s="0" t="s">
        <v>626</v>
      </c>
      <c r="J413" s="0" t="s">
        <v>627</v>
      </c>
      <c r="K413" s="475" t="n">
        <v>36951</v>
      </c>
      <c r="L413" s="254" t="n">
        <v>-5981.62501889489</v>
      </c>
      <c r="M413" s="475" t="n">
        <v>36949</v>
      </c>
      <c r="N413" s="0" t="s">
        <v>132</v>
      </c>
      <c r="O413" s="0" t="n">
        <v>-0.3</v>
      </c>
      <c r="P413" s="0" t="n">
        <v>0</v>
      </c>
      <c r="Q413" s="0" t="n">
        <v>0</v>
      </c>
      <c r="R413" s="0" t="n">
        <v>0</v>
      </c>
      <c r="S413" s="0" t="n">
        <v>0</v>
      </c>
      <c r="T413" s="0" t="s">
        <v>624</v>
      </c>
      <c r="U413" s="0" t="s">
        <v>68</v>
      </c>
      <c r="V413" s="0" t="s">
        <v>624</v>
      </c>
      <c r="W413" s="0" t="s">
        <v>569</v>
      </c>
      <c r="X413" s="0" t="s">
        <v>624</v>
      </c>
      <c r="Y413" s="0" t="s">
        <v>627</v>
      </c>
      <c r="Z413" s="0" t="s">
        <v>629</v>
      </c>
      <c r="AA413" s="0" t="s">
        <v>624</v>
      </c>
      <c r="AB413" s="0" t="s">
        <v>132</v>
      </c>
      <c r="AC413" s="254" t="n">
        <v>-310000</v>
      </c>
      <c r="AD413" s="254" t="n">
        <v>-2714.28580702502</v>
      </c>
      <c r="AE413" s="0" t="n">
        <v>0</v>
      </c>
      <c r="AF413" s="0" t="n">
        <v>0</v>
      </c>
      <c r="AG413" s="0" t="n">
        <v>0</v>
      </c>
      <c r="AH413" s="254" t="n">
        <v>-280.958848860674</v>
      </c>
      <c r="AI413" s="0" t="n">
        <v>226</v>
      </c>
      <c r="AJ413" s="0" t="s">
        <v>630</v>
      </c>
      <c r="AK413" s="0" t="n">
        <v>0</v>
      </c>
      <c r="AL413" s="0" t="n">
        <v>0</v>
      </c>
      <c r="AM413" s="0" t="n">
        <v>0</v>
      </c>
    </row>
    <row r="414" customFormat="false" ht="12.75" hidden="false" customHeight="false" outlineLevel="0" collapsed="false">
      <c r="A414" s="0" t="s">
        <v>621</v>
      </c>
      <c r="B414" s="0" t="s">
        <v>349</v>
      </c>
      <c r="C414" s="0" t="s">
        <v>622</v>
      </c>
      <c r="D414" s="0" t="s">
        <v>623</v>
      </c>
      <c r="E414" s="0" t="s">
        <v>131</v>
      </c>
      <c r="F414" s="0" t="s">
        <v>196</v>
      </c>
      <c r="G414" s="0" t="s">
        <v>628</v>
      </c>
      <c r="H414" s="0" t="s">
        <v>625</v>
      </c>
      <c r="I414" s="0" t="s">
        <v>626</v>
      </c>
      <c r="J414" s="0" t="s">
        <v>627</v>
      </c>
      <c r="K414" s="475" t="n">
        <v>36923</v>
      </c>
      <c r="L414" s="254" t="n">
        <v>-6921.71701697757</v>
      </c>
      <c r="M414" s="475" t="n">
        <v>36921</v>
      </c>
      <c r="N414" s="0" t="s">
        <v>132</v>
      </c>
      <c r="O414" s="0" t="n">
        <v>-0.3</v>
      </c>
      <c r="P414" s="0" t="n">
        <v>0</v>
      </c>
      <c r="Q414" s="0" t="n">
        <v>0</v>
      </c>
      <c r="R414" s="0" t="n">
        <v>0</v>
      </c>
      <c r="S414" s="0" t="n">
        <v>0</v>
      </c>
      <c r="T414" s="0" t="s">
        <v>624</v>
      </c>
      <c r="U414" s="0" t="s">
        <v>68</v>
      </c>
      <c r="V414" s="0" t="s">
        <v>624</v>
      </c>
      <c r="W414" s="0" t="s">
        <v>569</v>
      </c>
      <c r="X414" s="0" t="s">
        <v>624</v>
      </c>
      <c r="Y414" s="0" t="s">
        <v>627</v>
      </c>
      <c r="Z414" s="0" t="s">
        <v>629</v>
      </c>
      <c r="AA414" s="0" t="s">
        <v>624</v>
      </c>
      <c r="AB414" s="0" t="s">
        <v>132</v>
      </c>
      <c r="AC414" s="254" t="n">
        <v>-280000</v>
      </c>
      <c r="AD414" s="254" t="n">
        <v>-2750.24407362851</v>
      </c>
      <c r="AE414" s="0" t="n">
        <v>0</v>
      </c>
      <c r="AF414" s="0" t="n">
        <v>0</v>
      </c>
      <c r="AG414" s="0" t="n">
        <v>0</v>
      </c>
      <c r="AH414" s="254" t="n">
        <v>-281.070589589242</v>
      </c>
      <c r="AI414" s="0" t="n">
        <v>226</v>
      </c>
      <c r="AJ414" s="0" t="s">
        <v>630</v>
      </c>
      <c r="AK414" s="0" t="n">
        <v>0</v>
      </c>
      <c r="AL414" s="0" t="n">
        <v>0</v>
      </c>
      <c r="AM414" s="0" t="n">
        <v>0</v>
      </c>
    </row>
    <row r="415" customFormat="false" ht="12.75" hidden="false" customHeight="false" outlineLevel="0" collapsed="false">
      <c r="A415" s="0" t="s">
        <v>621</v>
      </c>
      <c r="B415" s="0" t="s">
        <v>349</v>
      </c>
      <c r="C415" s="0" t="s">
        <v>622</v>
      </c>
      <c r="D415" s="0" t="s">
        <v>623</v>
      </c>
      <c r="E415" s="0" t="s">
        <v>131</v>
      </c>
      <c r="F415" s="0" t="s">
        <v>196</v>
      </c>
      <c r="G415" s="0" t="s">
        <v>628</v>
      </c>
      <c r="H415" s="0" t="s">
        <v>625</v>
      </c>
      <c r="I415" s="0" t="s">
        <v>626</v>
      </c>
      <c r="J415" s="0" t="s">
        <v>627</v>
      </c>
      <c r="K415" s="475" t="n">
        <v>36892</v>
      </c>
      <c r="L415" s="254" t="n">
        <v>-7812.07842427039</v>
      </c>
      <c r="M415" s="475" t="n">
        <v>36888</v>
      </c>
      <c r="N415" s="0" t="s">
        <v>132</v>
      </c>
      <c r="O415" s="0" t="n">
        <v>-0.3</v>
      </c>
      <c r="P415" s="0" t="n">
        <v>0</v>
      </c>
      <c r="Q415" s="0" t="n">
        <v>0</v>
      </c>
      <c r="R415" s="0" t="n">
        <v>0</v>
      </c>
      <c r="S415" s="0" t="n">
        <v>0</v>
      </c>
      <c r="T415" s="0" t="s">
        <v>624</v>
      </c>
      <c r="U415" s="0" t="s">
        <v>68</v>
      </c>
      <c r="V415" s="0" t="s">
        <v>624</v>
      </c>
      <c r="W415" s="0" t="s">
        <v>569</v>
      </c>
      <c r="X415" s="0" t="s">
        <v>624</v>
      </c>
      <c r="Y415" s="0" t="s">
        <v>627</v>
      </c>
      <c r="Z415" s="0" t="s">
        <v>629</v>
      </c>
      <c r="AA415" s="0" t="s">
        <v>624</v>
      </c>
      <c r="AB415" s="0" t="s">
        <v>132</v>
      </c>
      <c r="AC415" s="254" t="n">
        <v>-310000</v>
      </c>
      <c r="AD415" s="254" t="n">
        <v>-2866.9673007135</v>
      </c>
      <c r="AE415" s="0" t="n">
        <v>0</v>
      </c>
      <c r="AF415" s="0" t="n">
        <v>0</v>
      </c>
      <c r="AG415" s="0" t="n">
        <v>0</v>
      </c>
      <c r="AH415" s="254" t="n">
        <v>-312.799880427734</v>
      </c>
      <c r="AI415" s="0" t="n">
        <v>226</v>
      </c>
      <c r="AJ415" s="0" t="s">
        <v>630</v>
      </c>
      <c r="AK415" s="0" t="n">
        <v>0</v>
      </c>
      <c r="AL415" s="0" t="n">
        <v>0</v>
      </c>
      <c r="AM415" s="0" t="n">
        <v>0</v>
      </c>
    </row>
    <row r="416" customFormat="false" ht="12.75" hidden="false" customHeight="false" outlineLevel="0" collapsed="false">
      <c r="A416" s="0" t="s">
        <v>621</v>
      </c>
      <c r="B416" s="0" t="s">
        <v>349</v>
      </c>
      <c r="C416" s="0" t="s">
        <v>622</v>
      </c>
      <c r="D416" s="0" t="s">
        <v>623</v>
      </c>
      <c r="E416" s="0" t="s">
        <v>131</v>
      </c>
      <c r="F416" s="0" t="s">
        <v>196</v>
      </c>
      <c r="G416" s="0" t="s">
        <v>628</v>
      </c>
      <c r="H416" s="0" t="s">
        <v>625</v>
      </c>
      <c r="I416" s="0" t="s">
        <v>626</v>
      </c>
      <c r="J416" s="0" t="s">
        <v>627</v>
      </c>
      <c r="K416" s="475" t="n">
        <v>36861</v>
      </c>
      <c r="L416" s="254" t="n">
        <v>-5243.48219785483</v>
      </c>
      <c r="M416" s="475" t="n">
        <v>36859</v>
      </c>
      <c r="N416" s="0" t="s">
        <v>132</v>
      </c>
      <c r="O416" s="0" t="n">
        <v>-0.3</v>
      </c>
      <c r="P416" s="0" t="n">
        <v>0</v>
      </c>
      <c r="Q416" s="0" t="n">
        <v>0</v>
      </c>
      <c r="R416" s="0" t="n">
        <v>0</v>
      </c>
      <c r="S416" s="0" t="n">
        <v>0</v>
      </c>
      <c r="T416" s="0" t="s">
        <v>624</v>
      </c>
      <c r="U416" s="0" t="s">
        <v>68</v>
      </c>
      <c r="V416" s="0" t="s">
        <v>624</v>
      </c>
      <c r="W416" s="0" t="s">
        <v>569</v>
      </c>
      <c r="X416" s="0" t="s">
        <v>624</v>
      </c>
      <c r="Y416" s="0" t="s">
        <v>627</v>
      </c>
      <c r="Z416" s="0" t="s">
        <v>629</v>
      </c>
      <c r="AA416" s="0" t="s">
        <v>624</v>
      </c>
      <c r="AB416" s="0" t="s">
        <v>132</v>
      </c>
      <c r="AC416" s="254" t="n">
        <v>-310000</v>
      </c>
      <c r="AD416" s="254" t="n">
        <v>-2214.44466801877</v>
      </c>
      <c r="AE416" s="0" t="n">
        <v>0</v>
      </c>
      <c r="AF416" s="0" t="n">
        <v>0</v>
      </c>
      <c r="AG416" s="0" t="n">
        <v>0</v>
      </c>
      <c r="AH416" s="254" t="n">
        <v>-254.341450083963</v>
      </c>
      <c r="AI416" s="0" t="n">
        <v>226</v>
      </c>
      <c r="AJ416" s="0" t="s">
        <v>630</v>
      </c>
      <c r="AK416" s="0" t="n">
        <v>0</v>
      </c>
      <c r="AL416" s="0" t="n">
        <v>0</v>
      </c>
      <c r="AM416" s="0" t="n">
        <v>0</v>
      </c>
    </row>
    <row r="417" customFormat="false" ht="12.75" hidden="false" customHeight="false" outlineLevel="0" collapsed="false">
      <c r="A417" s="0" t="s">
        <v>621</v>
      </c>
      <c r="B417" s="0" t="s">
        <v>349</v>
      </c>
      <c r="C417" s="0" t="s">
        <v>622</v>
      </c>
      <c r="D417" s="0" t="s">
        <v>623</v>
      </c>
      <c r="E417" s="0" t="s">
        <v>131</v>
      </c>
      <c r="F417" s="0" t="s">
        <v>196</v>
      </c>
      <c r="G417" s="0" t="s">
        <v>628</v>
      </c>
      <c r="H417" s="0" t="s">
        <v>625</v>
      </c>
      <c r="I417" s="0" t="s">
        <v>626</v>
      </c>
      <c r="J417" s="0" t="s">
        <v>627</v>
      </c>
      <c r="K417" s="475" t="n">
        <v>36831</v>
      </c>
      <c r="L417" s="254" t="n">
        <v>-2374.49804285206</v>
      </c>
      <c r="M417" s="475" t="n">
        <v>36829</v>
      </c>
      <c r="N417" s="0" t="s">
        <v>132</v>
      </c>
      <c r="O417" s="0" t="n">
        <v>-0.3</v>
      </c>
      <c r="P417" s="0" t="n">
        <v>0</v>
      </c>
      <c r="Q417" s="0" t="n">
        <v>0</v>
      </c>
      <c r="R417" s="0" t="n">
        <v>0</v>
      </c>
      <c r="S417" s="0" t="n">
        <v>0</v>
      </c>
      <c r="T417" s="0" t="s">
        <v>624</v>
      </c>
      <c r="U417" s="0" t="s">
        <v>68</v>
      </c>
      <c r="V417" s="0" t="s">
        <v>624</v>
      </c>
      <c r="W417" s="0" t="s">
        <v>569</v>
      </c>
      <c r="X417" s="0" t="s">
        <v>624</v>
      </c>
      <c r="Y417" s="0" t="s">
        <v>627</v>
      </c>
      <c r="Z417" s="0" t="s">
        <v>629</v>
      </c>
      <c r="AA417" s="0" t="s">
        <v>624</v>
      </c>
      <c r="AB417" s="0" t="s">
        <v>132</v>
      </c>
      <c r="AC417" s="254" t="n">
        <v>-300000</v>
      </c>
      <c r="AD417" s="254" t="n">
        <v>-1311.02526078039</v>
      </c>
      <c r="AE417" s="0" t="n">
        <v>0</v>
      </c>
      <c r="AF417" s="0" t="n">
        <v>0</v>
      </c>
      <c r="AG417" s="0" t="n">
        <v>0</v>
      </c>
      <c r="AH417" s="254" t="n">
        <v>-161.299847531247</v>
      </c>
      <c r="AI417" s="0" t="n">
        <v>226</v>
      </c>
      <c r="AJ417" s="0" t="s">
        <v>630</v>
      </c>
      <c r="AK417" s="0" t="n">
        <v>0</v>
      </c>
      <c r="AL417" s="0" t="n">
        <v>0</v>
      </c>
      <c r="AM417" s="0" t="n">
        <v>0</v>
      </c>
    </row>
    <row r="418" customFormat="false" ht="12.75" hidden="false" customHeight="false" outlineLevel="0" collapsed="false">
      <c r="A418" s="0" t="s">
        <v>621</v>
      </c>
      <c r="B418" s="0" t="s">
        <v>350</v>
      </c>
      <c r="C418" s="0" t="s">
        <v>622</v>
      </c>
      <c r="D418" s="0" t="s">
        <v>623</v>
      </c>
      <c r="E418" s="0" t="s">
        <v>131</v>
      </c>
      <c r="F418" s="0" t="s">
        <v>345</v>
      </c>
      <c r="G418" s="0" t="s">
        <v>628</v>
      </c>
      <c r="H418" s="0" t="s">
        <v>625</v>
      </c>
      <c r="I418" s="0" t="s">
        <v>626</v>
      </c>
      <c r="J418" s="0" t="s">
        <v>627</v>
      </c>
      <c r="K418" s="475" t="n">
        <v>36800</v>
      </c>
      <c r="L418" s="254" t="n">
        <v>-220876.023624242</v>
      </c>
      <c r="M418" s="475" t="n">
        <v>36797</v>
      </c>
      <c r="N418" s="0" t="s">
        <v>132</v>
      </c>
      <c r="O418" s="0" t="n">
        <v>0.55</v>
      </c>
      <c r="P418" s="0" t="n">
        <v>0</v>
      </c>
      <c r="Q418" s="0" t="n">
        <v>0</v>
      </c>
      <c r="R418" s="0" t="n">
        <v>0</v>
      </c>
      <c r="S418" s="0" t="n">
        <v>0</v>
      </c>
      <c r="T418" s="0" t="s">
        <v>624</v>
      </c>
      <c r="U418" s="0" t="s">
        <v>149</v>
      </c>
      <c r="V418" s="0" t="s">
        <v>624</v>
      </c>
      <c r="W418" s="0" t="s">
        <v>569</v>
      </c>
      <c r="X418" s="0" t="s">
        <v>624</v>
      </c>
      <c r="Y418" s="0" t="s">
        <v>627</v>
      </c>
      <c r="Z418" s="0" t="s">
        <v>629</v>
      </c>
      <c r="AA418" s="0" t="s">
        <v>624</v>
      </c>
      <c r="AB418" s="0" t="s">
        <v>132</v>
      </c>
      <c r="AC418" s="254" t="n">
        <v>-1550000</v>
      </c>
      <c r="AD418" s="254" t="n">
        <v>-5167.63977881335</v>
      </c>
      <c r="AE418" s="0" t="n">
        <v>0</v>
      </c>
      <c r="AF418" s="0" t="n">
        <v>0</v>
      </c>
      <c r="AG418" s="0" t="n">
        <v>0</v>
      </c>
      <c r="AH418" s="254" t="n">
        <v>-299.09381671538</v>
      </c>
      <c r="AI418" s="0" t="n">
        <v>226</v>
      </c>
      <c r="AJ418" s="0" t="s">
        <v>630</v>
      </c>
      <c r="AK418" s="0" t="n">
        <v>0</v>
      </c>
      <c r="AL418" s="0" t="n">
        <v>0</v>
      </c>
      <c r="AM418" s="0" t="n">
        <v>0</v>
      </c>
    </row>
    <row r="419" customFormat="false" ht="12.75" hidden="false" customHeight="false" outlineLevel="0" collapsed="false">
      <c r="A419" s="0" t="s">
        <v>621</v>
      </c>
      <c r="B419" s="0" t="s">
        <v>351</v>
      </c>
      <c r="C419" s="0" t="s">
        <v>622</v>
      </c>
      <c r="D419" s="0" t="s">
        <v>623</v>
      </c>
      <c r="E419" s="0" t="s">
        <v>131</v>
      </c>
      <c r="F419" s="0" t="s">
        <v>198</v>
      </c>
      <c r="G419" s="0" t="s">
        <v>628</v>
      </c>
      <c r="H419" s="0" t="s">
        <v>625</v>
      </c>
      <c r="I419" s="0" t="s">
        <v>626</v>
      </c>
      <c r="J419" s="0" t="s">
        <v>627</v>
      </c>
      <c r="K419" s="475" t="n">
        <v>36951</v>
      </c>
      <c r="L419" s="254" t="n">
        <v>92833.2657534454</v>
      </c>
      <c r="M419" s="475" t="n">
        <v>36949</v>
      </c>
      <c r="N419" s="0" t="s">
        <v>136</v>
      </c>
      <c r="O419" s="0" t="n">
        <v>2.3</v>
      </c>
      <c r="P419" s="0" t="n">
        <v>0</v>
      </c>
      <c r="Q419" s="0" t="n">
        <v>0</v>
      </c>
      <c r="R419" s="0" t="n">
        <v>0</v>
      </c>
      <c r="S419" s="0" t="n">
        <v>0</v>
      </c>
      <c r="T419" s="0" t="s">
        <v>624</v>
      </c>
      <c r="U419" s="0" t="s">
        <v>149</v>
      </c>
      <c r="V419" s="0" t="s">
        <v>624</v>
      </c>
      <c r="W419" s="0" t="s">
        <v>569</v>
      </c>
      <c r="X419" s="0" t="s">
        <v>624</v>
      </c>
      <c r="Y419" s="0" t="s">
        <v>627</v>
      </c>
      <c r="Z419" s="0" t="s">
        <v>629</v>
      </c>
      <c r="AA419" s="0" t="s">
        <v>624</v>
      </c>
      <c r="AB419" s="0" t="s">
        <v>132</v>
      </c>
      <c r="AC419" s="254" t="n">
        <v>500000</v>
      </c>
      <c r="AD419" s="254" t="n">
        <v>31360.0183179755</v>
      </c>
      <c r="AE419" s="0" t="n">
        <v>0</v>
      </c>
      <c r="AF419" s="0" t="n">
        <v>0</v>
      </c>
      <c r="AG419" s="0" t="n">
        <v>0</v>
      </c>
      <c r="AH419" s="254" t="n">
        <v>8899.72213042676</v>
      </c>
      <c r="AI419" s="0" t="n">
        <v>226</v>
      </c>
      <c r="AJ419" s="0" t="s">
        <v>630</v>
      </c>
      <c r="AK419" s="0" t="n">
        <v>0</v>
      </c>
      <c r="AL419" s="0" t="n">
        <v>0</v>
      </c>
      <c r="AM419" s="0" t="n">
        <v>0</v>
      </c>
    </row>
    <row r="420" customFormat="false" ht="12.75" hidden="false" customHeight="false" outlineLevel="0" collapsed="false">
      <c r="A420" s="0" t="s">
        <v>621</v>
      </c>
      <c r="B420" s="0" t="s">
        <v>351</v>
      </c>
      <c r="C420" s="0" t="s">
        <v>622</v>
      </c>
      <c r="D420" s="0" t="s">
        <v>623</v>
      </c>
      <c r="E420" s="0" t="s">
        <v>131</v>
      </c>
      <c r="F420" s="0" t="s">
        <v>198</v>
      </c>
      <c r="G420" s="0" t="s">
        <v>628</v>
      </c>
      <c r="H420" s="0" t="s">
        <v>625</v>
      </c>
      <c r="I420" s="0" t="s">
        <v>626</v>
      </c>
      <c r="J420" s="0" t="s">
        <v>627</v>
      </c>
      <c r="K420" s="475" t="n">
        <v>36923</v>
      </c>
      <c r="L420" s="254" t="n">
        <v>302046.498624199</v>
      </c>
      <c r="M420" s="475" t="n">
        <v>36921</v>
      </c>
      <c r="N420" s="0" t="s">
        <v>136</v>
      </c>
      <c r="O420" s="0" t="n">
        <v>2.3</v>
      </c>
      <c r="P420" s="0" t="n">
        <v>0</v>
      </c>
      <c r="Q420" s="0" t="n">
        <v>0</v>
      </c>
      <c r="R420" s="0" t="n">
        <v>0</v>
      </c>
      <c r="S420" s="0" t="n">
        <v>0</v>
      </c>
      <c r="T420" s="0" t="s">
        <v>624</v>
      </c>
      <c r="U420" s="0" t="s">
        <v>149</v>
      </c>
      <c r="V420" s="0" t="s">
        <v>624</v>
      </c>
      <c r="W420" s="0" t="s">
        <v>569</v>
      </c>
      <c r="X420" s="0" t="s">
        <v>624</v>
      </c>
      <c r="Y420" s="0" t="s">
        <v>627</v>
      </c>
      <c r="Z420" s="0" t="s">
        <v>629</v>
      </c>
      <c r="AA420" s="0" t="s">
        <v>624</v>
      </c>
      <c r="AB420" s="0" t="s">
        <v>132</v>
      </c>
      <c r="AC420" s="254" t="n">
        <v>500000</v>
      </c>
      <c r="AD420" s="254" t="n">
        <v>42341.408086504</v>
      </c>
      <c r="AE420" s="0" t="n">
        <v>0</v>
      </c>
      <c r="AF420" s="0" t="n">
        <v>0</v>
      </c>
      <c r="AG420" s="0" t="n">
        <v>0</v>
      </c>
      <c r="AH420" s="254" t="n">
        <v>19173.6349035173</v>
      </c>
      <c r="AI420" s="0" t="n">
        <v>226</v>
      </c>
      <c r="AJ420" s="0" t="s">
        <v>630</v>
      </c>
      <c r="AK420" s="0" t="n">
        <v>0</v>
      </c>
      <c r="AL420" s="0" t="n">
        <v>0</v>
      </c>
      <c r="AM420" s="0" t="n">
        <v>0</v>
      </c>
    </row>
    <row r="421" customFormat="false" ht="12.75" hidden="false" customHeight="false" outlineLevel="0" collapsed="false">
      <c r="A421" s="0" t="s">
        <v>621</v>
      </c>
      <c r="B421" s="0" t="s">
        <v>351</v>
      </c>
      <c r="C421" s="0" t="s">
        <v>622</v>
      </c>
      <c r="D421" s="0" t="s">
        <v>623</v>
      </c>
      <c r="E421" s="0" t="s">
        <v>131</v>
      </c>
      <c r="F421" s="0" t="s">
        <v>198</v>
      </c>
      <c r="G421" s="0" t="s">
        <v>628</v>
      </c>
      <c r="H421" s="0" t="s">
        <v>625</v>
      </c>
      <c r="I421" s="0" t="s">
        <v>626</v>
      </c>
      <c r="J421" s="0" t="s">
        <v>627</v>
      </c>
      <c r="K421" s="475" t="n">
        <v>36892</v>
      </c>
      <c r="L421" s="254" t="n">
        <v>301770.064329813</v>
      </c>
      <c r="M421" s="475" t="n">
        <v>36888</v>
      </c>
      <c r="N421" s="0" t="s">
        <v>136</v>
      </c>
      <c r="O421" s="0" t="n">
        <v>2.3</v>
      </c>
      <c r="P421" s="0" t="n">
        <v>0</v>
      </c>
      <c r="Q421" s="0" t="n">
        <v>0</v>
      </c>
      <c r="R421" s="0" t="n">
        <v>0</v>
      </c>
      <c r="S421" s="0" t="n">
        <v>0</v>
      </c>
      <c r="T421" s="0" t="s">
        <v>624</v>
      </c>
      <c r="U421" s="0" t="s">
        <v>149</v>
      </c>
      <c r="V421" s="0" t="s">
        <v>624</v>
      </c>
      <c r="W421" s="0" t="s">
        <v>569</v>
      </c>
      <c r="X421" s="0" t="s">
        <v>624</v>
      </c>
      <c r="Y421" s="0" t="s">
        <v>627</v>
      </c>
      <c r="Z421" s="0" t="s">
        <v>629</v>
      </c>
      <c r="AA421" s="0" t="s">
        <v>624</v>
      </c>
      <c r="AB421" s="0" t="s">
        <v>132</v>
      </c>
      <c r="AC421" s="254" t="n">
        <v>500000</v>
      </c>
      <c r="AD421" s="254" t="n">
        <v>38972.259944287</v>
      </c>
      <c r="AE421" s="0" t="n">
        <v>0</v>
      </c>
      <c r="AF421" s="0" t="n">
        <v>0</v>
      </c>
      <c r="AG421" s="0" t="n">
        <v>0</v>
      </c>
      <c r="AH421" s="254" t="n">
        <v>16969.9094300178</v>
      </c>
      <c r="AI421" s="0" t="n">
        <v>226</v>
      </c>
      <c r="AJ421" s="0" t="s">
        <v>630</v>
      </c>
      <c r="AK421" s="0" t="n">
        <v>0</v>
      </c>
      <c r="AL421" s="0" t="n">
        <v>0</v>
      </c>
      <c r="AM421" s="0" t="n">
        <v>0</v>
      </c>
    </row>
    <row r="422" customFormat="false" ht="12.75" hidden="false" customHeight="false" outlineLevel="0" collapsed="false">
      <c r="A422" s="0" t="s">
        <v>621</v>
      </c>
      <c r="B422" s="0" t="s">
        <v>351</v>
      </c>
      <c r="C422" s="0" t="s">
        <v>622</v>
      </c>
      <c r="D422" s="0" t="s">
        <v>623</v>
      </c>
      <c r="E422" s="0" t="s">
        <v>131</v>
      </c>
      <c r="F422" s="0" t="s">
        <v>198</v>
      </c>
      <c r="G422" s="0" t="s">
        <v>628</v>
      </c>
      <c r="H422" s="0" t="s">
        <v>625</v>
      </c>
      <c r="I422" s="0" t="s">
        <v>626</v>
      </c>
      <c r="J422" s="0" t="s">
        <v>627</v>
      </c>
      <c r="K422" s="475" t="n">
        <v>36861</v>
      </c>
      <c r="L422" s="254" t="n">
        <v>147649.374861499</v>
      </c>
      <c r="M422" s="475" t="n">
        <v>36859</v>
      </c>
      <c r="N422" s="0" t="s">
        <v>136</v>
      </c>
      <c r="O422" s="0" t="n">
        <v>2.3</v>
      </c>
      <c r="P422" s="0" t="n">
        <v>0</v>
      </c>
      <c r="Q422" s="0" t="n">
        <v>0</v>
      </c>
      <c r="R422" s="0" t="n">
        <v>0</v>
      </c>
      <c r="S422" s="0" t="n">
        <v>0</v>
      </c>
      <c r="T422" s="0" t="s">
        <v>624</v>
      </c>
      <c r="U422" s="0" t="s">
        <v>149</v>
      </c>
      <c r="V422" s="0" t="s">
        <v>624</v>
      </c>
      <c r="W422" s="0" t="s">
        <v>569</v>
      </c>
      <c r="X422" s="0" t="s">
        <v>624</v>
      </c>
      <c r="Y422" s="0" t="s">
        <v>627</v>
      </c>
      <c r="Z422" s="0" t="s">
        <v>629</v>
      </c>
      <c r="AA422" s="0" t="s">
        <v>624</v>
      </c>
      <c r="AB422" s="0" t="s">
        <v>132</v>
      </c>
      <c r="AC422" s="254" t="n">
        <v>500000</v>
      </c>
      <c r="AD422" s="254" t="n">
        <v>31125.4881004667</v>
      </c>
      <c r="AE422" s="0" t="n">
        <v>0</v>
      </c>
      <c r="AF422" s="0" t="n">
        <v>0</v>
      </c>
      <c r="AG422" s="0" t="n">
        <v>0</v>
      </c>
      <c r="AH422" s="254" t="n">
        <v>9500.69631180327</v>
      </c>
      <c r="AI422" s="0" t="n">
        <v>226</v>
      </c>
      <c r="AJ422" s="0" t="s">
        <v>630</v>
      </c>
      <c r="AK422" s="0" t="n">
        <v>0</v>
      </c>
      <c r="AL422" s="0" t="n">
        <v>0</v>
      </c>
      <c r="AM422" s="0" t="n">
        <v>0</v>
      </c>
    </row>
    <row r="423" customFormat="false" ht="12.75" hidden="false" customHeight="false" outlineLevel="0" collapsed="false">
      <c r="A423" s="0" t="s">
        <v>621</v>
      </c>
      <c r="B423" s="0" t="s">
        <v>351</v>
      </c>
      <c r="C423" s="0" t="s">
        <v>622</v>
      </c>
      <c r="D423" s="0" t="s">
        <v>623</v>
      </c>
      <c r="E423" s="0" t="s">
        <v>131</v>
      </c>
      <c r="F423" s="0" t="s">
        <v>198</v>
      </c>
      <c r="G423" s="0" t="s">
        <v>628</v>
      </c>
      <c r="H423" s="0" t="s">
        <v>625</v>
      </c>
      <c r="I423" s="0" t="s">
        <v>626</v>
      </c>
      <c r="J423" s="0" t="s">
        <v>627</v>
      </c>
      <c r="K423" s="475" t="n">
        <v>36831</v>
      </c>
      <c r="L423" s="254" t="n">
        <v>5115.89340475928</v>
      </c>
      <c r="M423" s="475" t="n">
        <v>36829</v>
      </c>
      <c r="N423" s="0" t="s">
        <v>136</v>
      </c>
      <c r="O423" s="0" t="n">
        <v>2.3</v>
      </c>
      <c r="P423" s="0" t="n">
        <v>0</v>
      </c>
      <c r="Q423" s="0" t="n">
        <v>0</v>
      </c>
      <c r="R423" s="0" t="n">
        <v>0</v>
      </c>
      <c r="S423" s="0" t="n">
        <v>0</v>
      </c>
      <c r="T423" s="0" t="s">
        <v>624</v>
      </c>
      <c r="U423" s="0" t="s">
        <v>149</v>
      </c>
      <c r="V423" s="0" t="s">
        <v>624</v>
      </c>
      <c r="W423" s="0" t="s">
        <v>569</v>
      </c>
      <c r="X423" s="0" t="s">
        <v>624</v>
      </c>
      <c r="Y423" s="0" t="s">
        <v>627</v>
      </c>
      <c r="Z423" s="0" t="s">
        <v>629</v>
      </c>
      <c r="AA423" s="0" t="s">
        <v>624</v>
      </c>
      <c r="AB423" s="0" t="s">
        <v>132</v>
      </c>
      <c r="AC423" s="254" t="n">
        <v>500000</v>
      </c>
      <c r="AD423" s="254" t="n">
        <v>3765.28873848871</v>
      </c>
      <c r="AE423" s="0" t="n">
        <v>0</v>
      </c>
      <c r="AF423" s="0" t="n">
        <v>0</v>
      </c>
      <c r="AG423" s="0" t="n">
        <v>0</v>
      </c>
      <c r="AH423" s="254" t="n">
        <v>943.647138091983</v>
      </c>
      <c r="AI423" s="0" t="n">
        <v>226</v>
      </c>
      <c r="AJ423" s="0" t="s">
        <v>630</v>
      </c>
      <c r="AK423" s="0" t="n">
        <v>0</v>
      </c>
      <c r="AL423" s="0" t="n">
        <v>0</v>
      </c>
      <c r="AM423" s="0" t="n">
        <v>0</v>
      </c>
    </row>
    <row r="424" customFormat="false" ht="12.75" hidden="false" customHeight="false" outlineLevel="0" collapsed="false">
      <c r="A424" s="0" t="s">
        <v>621</v>
      </c>
      <c r="B424" s="0" t="s">
        <v>352</v>
      </c>
      <c r="C424" s="0" t="s">
        <v>622</v>
      </c>
      <c r="D424" s="0" t="s">
        <v>623</v>
      </c>
      <c r="E424" s="0" t="s">
        <v>131</v>
      </c>
      <c r="F424" s="0" t="s">
        <v>244</v>
      </c>
      <c r="G424" s="0" t="s">
        <v>628</v>
      </c>
      <c r="H424" s="0" t="s">
        <v>625</v>
      </c>
      <c r="I424" s="0" t="s">
        <v>626</v>
      </c>
      <c r="J424" s="0" t="s">
        <v>627</v>
      </c>
      <c r="K424" s="475" t="n">
        <v>36951</v>
      </c>
      <c r="L424" s="254" t="n">
        <v>439193.574841963</v>
      </c>
      <c r="M424" s="475" t="n">
        <v>36949</v>
      </c>
      <c r="N424" s="0" t="s">
        <v>132</v>
      </c>
      <c r="O424" s="0" t="n">
        <v>0.95</v>
      </c>
      <c r="P424" s="0" t="n">
        <v>0</v>
      </c>
      <c r="Q424" s="0" t="n">
        <v>0</v>
      </c>
      <c r="R424" s="0" t="n">
        <v>0</v>
      </c>
      <c r="S424" s="0" t="n">
        <v>0</v>
      </c>
      <c r="T424" s="0" t="s">
        <v>624</v>
      </c>
      <c r="U424" s="0" t="s">
        <v>149</v>
      </c>
      <c r="V424" s="0" t="s">
        <v>624</v>
      </c>
      <c r="W424" s="0" t="s">
        <v>569</v>
      </c>
      <c r="X424" s="0" t="s">
        <v>624</v>
      </c>
      <c r="Y424" s="0" t="s">
        <v>627</v>
      </c>
      <c r="Z424" s="0" t="s">
        <v>629</v>
      </c>
      <c r="AA424" s="0" t="s">
        <v>624</v>
      </c>
      <c r="AB424" s="0" t="s">
        <v>132</v>
      </c>
      <c r="AC424" s="254" t="n">
        <v>1000000</v>
      </c>
      <c r="AD424" s="254" t="n">
        <v>88919.3778648612</v>
      </c>
      <c r="AE424" s="0" t="n">
        <v>0</v>
      </c>
      <c r="AF424" s="0" t="n">
        <v>0</v>
      </c>
      <c r="AG424" s="0" t="n">
        <v>0</v>
      </c>
      <c r="AH424" s="254" t="n">
        <v>-19838.1830838166</v>
      </c>
      <c r="AI424" s="0" t="n">
        <v>226</v>
      </c>
      <c r="AJ424" s="0" t="s">
        <v>630</v>
      </c>
      <c r="AK424" s="0" t="n">
        <v>0</v>
      </c>
      <c r="AL424" s="0" t="n">
        <v>0</v>
      </c>
      <c r="AM424" s="0" t="n">
        <v>0</v>
      </c>
    </row>
    <row r="425" customFormat="false" ht="12.75" hidden="false" customHeight="false" outlineLevel="0" collapsed="false">
      <c r="A425" s="0" t="s">
        <v>621</v>
      </c>
      <c r="B425" s="0" t="s">
        <v>352</v>
      </c>
      <c r="C425" s="0" t="s">
        <v>622</v>
      </c>
      <c r="D425" s="0" t="s">
        <v>623</v>
      </c>
      <c r="E425" s="0" t="s">
        <v>131</v>
      </c>
      <c r="F425" s="0" t="s">
        <v>244</v>
      </c>
      <c r="G425" s="0" t="s">
        <v>628</v>
      </c>
      <c r="H425" s="0" t="s">
        <v>625</v>
      </c>
      <c r="I425" s="0" t="s">
        <v>626</v>
      </c>
      <c r="J425" s="0" t="s">
        <v>627</v>
      </c>
      <c r="K425" s="475" t="n">
        <v>36923</v>
      </c>
      <c r="L425" s="254" t="n">
        <v>190761.07387738</v>
      </c>
      <c r="M425" s="475" t="n">
        <v>36921</v>
      </c>
      <c r="N425" s="0" t="s">
        <v>132</v>
      </c>
      <c r="O425" s="0" t="n">
        <v>0.95</v>
      </c>
      <c r="P425" s="0" t="n">
        <v>0</v>
      </c>
      <c r="Q425" s="0" t="n">
        <v>0</v>
      </c>
      <c r="R425" s="0" t="n">
        <v>0</v>
      </c>
      <c r="S425" s="0" t="n">
        <v>0</v>
      </c>
      <c r="T425" s="0" t="s">
        <v>624</v>
      </c>
      <c r="U425" s="0" t="s">
        <v>149</v>
      </c>
      <c r="V425" s="0" t="s">
        <v>624</v>
      </c>
      <c r="W425" s="0" t="s">
        <v>569</v>
      </c>
      <c r="X425" s="0" t="s">
        <v>624</v>
      </c>
      <c r="Y425" s="0" t="s">
        <v>627</v>
      </c>
      <c r="Z425" s="0" t="s">
        <v>629</v>
      </c>
      <c r="AA425" s="0" t="s">
        <v>624</v>
      </c>
      <c r="AB425" s="0" t="s">
        <v>132</v>
      </c>
      <c r="AC425" s="254" t="n">
        <v>1000000</v>
      </c>
      <c r="AD425" s="254" t="n">
        <v>68957.8119889388</v>
      </c>
      <c r="AE425" s="0" t="n">
        <v>0</v>
      </c>
      <c r="AF425" s="0" t="n">
        <v>0</v>
      </c>
      <c r="AG425" s="0" t="n">
        <v>0</v>
      </c>
      <c r="AH425" s="254" t="n">
        <v>-9846.62615787357</v>
      </c>
      <c r="AI425" s="0" t="n">
        <v>226</v>
      </c>
      <c r="AJ425" s="0" t="s">
        <v>630</v>
      </c>
      <c r="AK425" s="0" t="n">
        <v>0</v>
      </c>
      <c r="AL425" s="0" t="n">
        <v>0</v>
      </c>
      <c r="AM425" s="0" t="n">
        <v>0</v>
      </c>
    </row>
    <row r="426" customFormat="false" ht="12.75" hidden="false" customHeight="false" outlineLevel="0" collapsed="false">
      <c r="A426" s="0" t="s">
        <v>621</v>
      </c>
      <c r="B426" s="0" t="s">
        <v>352</v>
      </c>
      <c r="C426" s="0" t="s">
        <v>622</v>
      </c>
      <c r="D426" s="0" t="s">
        <v>623</v>
      </c>
      <c r="E426" s="0" t="s">
        <v>131</v>
      </c>
      <c r="F426" s="0" t="s">
        <v>244</v>
      </c>
      <c r="G426" s="0" t="s">
        <v>628</v>
      </c>
      <c r="H426" s="0" t="s">
        <v>625</v>
      </c>
      <c r="I426" s="0" t="s">
        <v>626</v>
      </c>
      <c r="J426" s="0" t="s">
        <v>627</v>
      </c>
      <c r="K426" s="475" t="n">
        <v>36892</v>
      </c>
      <c r="L426" s="254" t="n">
        <v>154296.153120931</v>
      </c>
      <c r="M426" s="475" t="n">
        <v>36888</v>
      </c>
      <c r="N426" s="0" t="s">
        <v>132</v>
      </c>
      <c r="O426" s="0" t="n">
        <v>0.95</v>
      </c>
      <c r="P426" s="0" t="n">
        <v>0</v>
      </c>
      <c r="Q426" s="0" t="n">
        <v>0</v>
      </c>
      <c r="R426" s="0" t="n">
        <v>0</v>
      </c>
      <c r="S426" s="0" t="n">
        <v>0</v>
      </c>
      <c r="T426" s="0" t="s">
        <v>624</v>
      </c>
      <c r="U426" s="0" t="s">
        <v>149</v>
      </c>
      <c r="V426" s="0" t="s">
        <v>624</v>
      </c>
      <c r="W426" s="0" t="s">
        <v>569</v>
      </c>
      <c r="X426" s="0" t="s">
        <v>624</v>
      </c>
      <c r="Y426" s="0" t="s">
        <v>627</v>
      </c>
      <c r="Z426" s="0" t="s">
        <v>629</v>
      </c>
      <c r="AA426" s="0" t="s">
        <v>624</v>
      </c>
      <c r="AB426" s="0" t="s">
        <v>132</v>
      </c>
      <c r="AC426" s="254" t="n">
        <v>1000000</v>
      </c>
      <c r="AD426" s="254" t="n">
        <v>58574.1506508834</v>
      </c>
      <c r="AE426" s="0" t="n">
        <v>0</v>
      </c>
      <c r="AF426" s="0" t="n">
        <v>0</v>
      </c>
      <c r="AG426" s="0" t="n">
        <v>0</v>
      </c>
      <c r="AH426" s="254" t="n">
        <v>-7225.33047493725</v>
      </c>
      <c r="AI426" s="0" t="n">
        <v>226</v>
      </c>
      <c r="AJ426" s="0" t="s">
        <v>630</v>
      </c>
      <c r="AK426" s="0" t="n">
        <v>0</v>
      </c>
      <c r="AL426" s="0" t="n">
        <v>0</v>
      </c>
      <c r="AM426" s="0" t="n">
        <v>0</v>
      </c>
    </row>
    <row r="427" customFormat="false" ht="12.75" hidden="false" customHeight="false" outlineLevel="0" collapsed="false">
      <c r="A427" s="0" t="s">
        <v>621</v>
      </c>
      <c r="B427" s="0" t="s">
        <v>352</v>
      </c>
      <c r="C427" s="0" t="s">
        <v>622</v>
      </c>
      <c r="D427" s="0" t="s">
        <v>623</v>
      </c>
      <c r="E427" s="0" t="s">
        <v>131</v>
      </c>
      <c r="F427" s="0" t="s">
        <v>244</v>
      </c>
      <c r="G427" s="0" t="s">
        <v>628</v>
      </c>
      <c r="H427" s="0" t="s">
        <v>625</v>
      </c>
      <c r="I427" s="0" t="s">
        <v>626</v>
      </c>
      <c r="J427" s="0" t="s">
        <v>627</v>
      </c>
      <c r="K427" s="475" t="n">
        <v>36861</v>
      </c>
      <c r="L427" s="254" t="n">
        <v>206779.590233654</v>
      </c>
      <c r="M427" s="475" t="n">
        <v>36859</v>
      </c>
      <c r="N427" s="0" t="s">
        <v>132</v>
      </c>
      <c r="O427" s="0" t="n">
        <v>0.95</v>
      </c>
      <c r="P427" s="0" t="n">
        <v>0</v>
      </c>
      <c r="Q427" s="0" t="n">
        <v>0</v>
      </c>
      <c r="R427" s="0" t="n">
        <v>0</v>
      </c>
      <c r="S427" s="0" t="n">
        <v>0</v>
      </c>
      <c r="T427" s="0" t="s">
        <v>624</v>
      </c>
      <c r="U427" s="0" t="s">
        <v>149</v>
      </c>
      <c r="V427" s="0" t="s">
        <v>624</v>
      </c>
      <c r="W427" s="0" t="s">
        <v>569</v>
      </c>
      <c r="X427" s="0" t="s">
        <v>624</v>
      </c>
      <c r="Y427" s="0" t="s">
        <v>627</v>
      </c>
      <c r="Z427" s="0" t="s">
        <v>629</v>
      </c>
      <c r="AA427" s="0" t="s">
        <v>624</v>
      </c>
      <c r="AB427" s="0" t="s">
        <v>132</v>
      </c>
      <c r="AC427" s="254" t="n">
        <v>1000000</v>
      </c>
      <c r="AD427" s="254" t="n">
        <v>62140.9663420027</v>
      </c>
      <c r="AE427" s="0" t="n">
        <v>0</v>
      </c>
      <c r="AF427" s="0" t="n">
        <v>0</v>
      </c>
      <c r="AG427" s="0" t="n">
        <v>0</v>
      </c>
      <c r="AH427" s="254" t="n">
        <v>-8118.97310446328</v>
      </c>
      <c r="AI427" s="0" t="n">
        <v>226</v>
      </c>
      <c r="AJ427" s="0" t="s">
        <v>630</v>
      </c>
      <c r="AK427" s="0" t="n">
        <v>0</v>
      </c>
      <c r="AL427" s="0" t="n">
        <v>0</v>
      </c>
      <c r="AM427" s="0" t="n">
        <v>0</v>
      </c>
    </row>
    <row r="428" customFormat="false" ht="12.75" hidden="false" customHeight="false" outlineLevel="0" collapsed="false">
      <c r="A428" s="0" t="s">
        <v>621</v>
      </c>
      <c r="B428" s="0" t="s">
        <v>352</v>
      </c>
      <c r="C428" s="0" t="s">
        <v>622</v>
      </c>
      <c r="D428" s="0" t="s">
        <v>623</v>
      </c>
      <c r="E428" s="0" t="s">
        <v>131</v>
      </c>
      <c r="F428" s="0" t="s">
        <v>244</v>
      </c>
      <c r="G428" s="0" t="s">
        <v>628</v>
      </c>
      <c r="H428" s="0" t="s">
        <v>625</v>
      </c>
      <c r="I428" s="0" t="s">
        <v>626</v>
      </c>
      <c r="J428" s="0" t="s">
        <v>627</v>
      </c>
      <c r="K428" s="475" t="n">
        <v>36831</v>
      </c>
      <c r="L428" s="254" t="n">
        <v>365285.37794141</v>
      </c>
      <c r="M428" s="475" t="n">
        <v>36829</v>
      </c>
      <c r="N428" s="0" t="s">
        <v>132</v>
      </c>
      <c r="O428" s="0" t="n">
        <v>0.95</v>
      </c>
      <c r="P428" s="0" t="n">
        <v>0</v>
      </c>
      <c r="Q428" s="0" t="n">
        <v>0</v>
      </c>
      <c r="R428" s="0" t="n">
        <v>0</v>
      </c>
      <c r="S428" s="0" t="n">
        <v>0</v>
      </c>
      <c r="T428" s="0" t="s">
        <v>624</v>
      </c>
      <c r="U428" s="0" t="s">
        <v>149</v>
      </c>
      <c r="V428" s="0" t="s">
        <v>624</v>
      </c>
      <c r="W428" s="0" t="s">
        <v>569</v>
      </c>
      <c r="X428" s="0" t="s">
        <v>624</v>
      </c>
      <c r="Y428" s="0" t="s">
        <v>627</v>
      </c>
      <c r="Z428" s="0" t="s">
        <v>629</v>
      </c>
      <c r="AA428" s="0" t="s">
        <v>624</v>
      </c>
      <c r="AB428" s="0" t="s">
        <v>132</v>
      </c>
      <c r="AC428" s="254" t="n">
        <v>1000000</v>
      </c>
      <c r="AD428" s="254" t="n">
        <v>42890.9042801451</v>
      </c>
      <c r="AE428" s="0" t="n">
        <v>0</v>
      </c>
      <c r="AF428" s="0" t="n">
        <v>0</v>
      </c>
      <c r="AG428" s="0" t="n">
        <v>0</v>
      </c>
      <c r="AH428" s="254" t="n">
        <v>-21052.3130909106</v>
      </c>
      <c r="AI428" s="0" t="n">
        <v>226</v>
      </c>
      <c r="AJ428" s="0" t="s">
        <v>630</v>
      </c>
      <c r="AK428" s="0" t="n">
        <v>0</v>
      </c>
      <c r="AL428" s="0" t="n">
        <v>0</v>
      </c>
      <c r="AM428" s="0" t="n">
        <v>0</v>
      </c>
    </row>
    <row r="429" customFormat="false" ht="12.75" hidden="false" customHeight="false" outlineLevel="0" collapsed="false">
      <c r="A429" s="0" t="s">
        <v>621</v>
      </c>
      <c r="B429" s="0" t="s">
        <v>353</v>
      </c>
      <c r="C429" s="0" t="s">
        <v>622</v>
      </c>
      <c r="D429" s="0" t="s">
        <v>623</v>
      </c>
      <c r="E429" s="0" t="s">
        <v>131</v>
      </c>
      <c r="F429" s="0" t="s">
        <v>208</v>
      </c>
      <c r="G429" s="0" t="s">
        <v>628</v>
      </c>
      <c r="H429" s="0" t="s">
        <v>625</v>
      </c>
      <c r="I429" s="0" t="s">
        <v>626</v>
      </c>
      <c r="J429" s="0" t="s">
        <v>627</v>
      </c>
      <c r="K429" s="475" t="n">
        <v>36951</v>
      </c>
      <c r="L429" s="254" t="n">
        <v>-16936.1370965257</v>
      </c>
      <c r="M429" s="475" t="n">
        <v>36949</v>
      </c>
      <c r="N429" s="0" t="s">
        <v>136</v>
      </c>
      <c r="O429" s="0" t="n">
        <v>0.35</v>
      </c>
      <c r="P429" s="0" t="n">
        <v>0</v>
      </c>
      <c r="Q429" s="0" t="n">
        <v>0</v>
      </c>
      <c r="R429" s="0" t="n">
        <v>0</v>
      </c>
      <c r="S429" s="0" t="n">
        <v>0</v>
      </c>
      <c r="T429" s="0" t="s">
        <v>624</v>
      </c>
      <c r="U429" s="0" t="s">
        <v>156</v>
      </c>
      <c r="V429" s="0" t="s">
        <v>624</v>
      </c>
      <c r="W429" s="0" t="s">
        <v>569</v>
      </c>
      <c r="X429" s="0" t="s">
        <v>624</v>
      </c>
      <c r="Y429" s="0" t="s">
        <v>627</v>
      </c>
      <c r="Z429" s="0" t="s">
        <v>629</v>
      </c>
      <c r="AA429" s="0" t="s">
        <v>624</v>
      </c>
      <c r="AB429" s="0" t="s">
        <v>132</v>
      </c>
      <c r="AC429" s="254" t="n">
        <v>-500000</v>
      </c>
      <c r="AD429" s="254" t="n">
        <v>-5136.07450374053</v>
      </c>
      <c r="AE429" s="0" t="n">
        <v>0</v>
      </c>
      <c r="AF429" s="0" t="n">
        <v>0</v>
      </c>
      <c r="AG429" s="0" t="n">
        <v>0</v>
      </c>
      <c r="AH429" s="254" t="n">
        <v>-956.102642544616</v>
      </c>
      <c r="AI429" s="0" t="n">
        <v>226</v>
      </c>
      <c r="AJ429" s="0" t="s">
        <v>630</v>
      </c>
      <c r="AK429" s="0" t="n">
        <v>0</v>
      </c>
      <c r="AL429" s="0" t="n">
        <v>0</v>
      </c>
      <c r="AM429" s="0" t="n">
        <v>0</v>
      </c>
    </row>
    <row r="430" customFormat="false" ht="12.75" hidden="false" customHeight="false" outlineLevel="0" collapsed="false">
      <c r="A430" s="0" t="s">
        <v>621</v>
      </c>
      <c r="B430" s="0" t="s">
        <v>353</v>
      </c>
      <c r="C430" s="0" t="s">
        <v>622</v>
      </c>
      <c r="D430" s="0" t="s">
        <v>623</v>
      </c>
      <c r="E430" s="0" t="s">
        <v>131</v>
      </c>
      <c r="F430" s="0" t="s">
        <v>208</v>
      </c>
      <c r="G430" s="0" t="s">
        <v>628</v>
      </c>
      <c r="H430" s="0" t="s">
        <v>625</v>
      </c>
      <c r="I430" s="0" t="s">
        <v>626</v>
      </c>
      <c r="J430" s="0" t="s">
        <v>627</v>
      </c>
      <c r="K430" s="475" t="n">
        <v>36923</v>
      </c>
      <c r="L430" s="254" t="n">
        <v>-21185.9096396066</v>
      </c>
      <c r="M430" s="475" t="n">
        <v>36921</v>
      </c>
      <c r="N430" s="0" t="s">
        <v>136</v>
      </c>
      <c r="O430" s="0" t="n">
        <v>0.35</v>
      </c>
      <c r="P430" s="0" t="n">
        <v>0</v>
      </c>
      <c r="Q430" s="0" t="n">
        <v>0</v>
      </c>
      <c r="R430" s="0" t="n">
        <v>0</v>
      </c>
      <c r="S430" s="0" t="n">
        <v>0</v>
      </c>
      <c r="T430" s="0" t="s">
        <v>624</v>
      </c>
      <c r="U430" s="0" t="s">
        <v>156</v>
      </c>
      <c r="V430" s="0" t="s">
        <v>624</v>
      </c>
      <c r="W430" s="0" t="s">
        <v>569</v>
      </c>
      <c r="X430" s="0" t="s">
        <v>624</v>
      </c>
      <c r="Y430" s="0" t="s">
        <v>627</v>
      </c>
      <c r="Z430" s="0" t="s">
        <v>629</v>
      </c>
      <c r="AA430" s="0" t="s">
        <v>624</v>
      </c>
      <c r="AB430" s="0" t="s">
        <v>132</v>
      </c>
      <c r="AC430" s="254" t="n">
        <v>-500000</v>
      </c>
      <c r="AD430" s="254" t="n">
        <v>-5612.11087900351</v>
      </c>
      <c r="AE430" s="0" t="n">
        <v>0</v>
      </c>
      <c r="AF430" s="0" t="n">
        <v>0</v>
      </c>
      <c r="AG430" s="0" t="n">
        <v>0</v>
      </c>
      <c r="AH430" s="254" t="n">
        <v>-1050.76452710847</v>
      </c>
      <c r="AI430" s="0" t="n">
        <v>226</v>
      </c>
      <c r="AJ430" s="0" t="s">
        <v>630</v>
      </c>
      <c r="AK430" s="0" t="n">
        <v>0</v>
      </c>
      <c r="AL430" s="0" t="n">
        <v>0</v>
      </c>
      <c r="AM430" s="0" t="n">
        <v>0</v>
      </c>
    </row>
    <row r="431" customFormat="false" ht="12.75" hidden="false" customHeight="false" outlineLevel="0" collapsed="false">
      <c r="A431" s="0" t="s">
        <v>621</v>
      </c>
      <c r="B431" s="0" t="s">
        <v>353</v>
      </c>
      <c r="C431" s="0" t="s">
        <v>622</v>
      </c>
      <c r="D431" s="0" t="s">
        <v>623</v>
      </c>
      <c r="E431" s="0" t="s">
        <v>131</v>
      </c>
      <c r="F431" s="0" t="s">
        <v>208</v>
      </c>
      <c r="G431" s="0" t="s">
        <v>628</v>
      </c>
      <c r="H431" s="0" t="s">
        <v>625</v>
      </c>
      <c r="I431" s="0" t="s">
        <v>626</v>
      </c>
      <c r="J431" s="0" t="s">
        <v>627</v>
      </c>
      <c r="K431" s="475" t="n">
        <v>36892</v>
      </c>
      <c r="L431" s="254" t="n">
        <v>-16079.445464358</v>
      </c>
      <c r="M431" s="475" t="n">
        <v>36888</v>
      </c>
      <c r="N431" s="0" t="s">
        <v>136</v>
      </c>
      <c r="O431" s="0" t="n">
        <v>0.35</v>
      </c>
      <c r="P431" s="0" t="n">
        <v>0</v>
      </c>
      <c r="Q431" s="0" t="n">
        <v>0</v>
      </c>
      <c r="R431" s="0" t="n">
        <v>0</v>
      </c>
      <c r="S431" s="0" t="n">
        <v>0</v>
      </c>
      <c r="T431" s="0" t="s">
        <v>624</v>
      </c>
      <c r="U431" s="0" t="s">
        <v>156</v>
      </c>
      <c r="V431" s="0" t="s">
        <v>624</v>
      </c>
      <c r="W431" s="0" t="s">
        <v>569</v>
      </c>
      <c r="X431" s="0" t="s">
        <v>624</v>
      </c>
      <c r="Y431" s="0" t="s">
        <v>627</v>
      </c>
      <c r="Z431" s="0" t="s">
        <v>629</v>
      </c>
      <c r="AA431" s="0" t="s">
        <v>624</v>
      </c>
      <c r="AB431" s="0" t="s">
        <v>132</v>
      </c>
      <c r="AC431" s="254" t="n">
        <v>-500000</v>
      </c>
      <c r="AD431" s="254" t="n">
        <v>-4814.42232622665</v>
      </c>
      <c r="AE431" s="0" t="n">
        <v>0</v>
      </c>
      <c r="AF431" s="0" t="n">
        <v>0</v>
      </c>
      <c r="AG431" s="0" t="n">
        <v>0</v>
      </c>
      <c r="AH431" s="254" t="n">
        <v>-898.734673575755</v>
      </c>
      <c r="AI431" s="0" t="n">
        <v>226</v>
      </c>
      <c r="AJ431" s="0" t="s">
        <v>630</v>
      </c>
      <c r="AK431" s="0" t="n">
        <v>0</v>
      </c>
      <c r="AL431" s="0" t="n">
        <v>0</v>
      </c>
      <c r="AM431" s="0" t="n">
        <v>0</v>
      </c>
    </row>
    <row r="432" customFormat="false" ht="12.75" hidden="false" customHeight="false" outlineLevel="0" collapsed="false">
      <c r="A432" s="0" t="s">
        <v>621</v>
      </c>
      <c r="B432" s="0" t="s">
        <v>353</v>
      </c>
      <c r="C432" s="0" t="s">
        <v>622</v>
      </c>
      <c r="D432" s="0" t="s">
        <v>623</v>
      </c>
      <c r="E432" s="0" t="s">
        <v>131</v>
      </c>
      <c r="F432" s="0" t="s">
        <v>208</v>
      </c>
      <c r="G432" s="0" t="s">
        <v>628</v>
      </c>
      <c r="H432" s="0" t="s">
        <v>625</v>
      </c>
      <c r="I432" s="0" t="s">
        <v>626</v>
      </c>
      <c r="J432" s="0" t="s">
        <v>627</v>
      </c>
      <c r="K432" s="475" t="n">
        <v>36861</v>
      </c>
      <c r="L432" s="254" t="n">
        <v>-9082.04102239183</v>
      </c>
      <c r="M432" s="475" t="n">
        <v>36859</v>
      </c>
      <c r="N432" s="0" t="s">
        <v>136</v>
      </c>
      <c r="O432" s="0" t="n">
        <v>0.35</v>
      </c>
      <c r="P432" s="0" t="n">
        <v>0</v>
      </c>
      <c r="Q432" s="0" t="n">
        <v>0</v>
      </c>
      <c r="R432" s="0" t="n">
        <v>0</v>
      </c>
      <c r="S432" s="0" t="n">
        <v>0</v>
      </c>
      <c r="T432" s="0" t="s">
        <v>624</v>
      </c>
      <c r="U432" s="0" t="s">
        <v>156</v>
      </c>
      <c r="V432" s="0" t="s">
        <v>624</v>
      </c>
      <c r="W432" s="0" t="s">
        <v>569</v>
      </c>
      <c r="X432" s="0" t="s">
        <v>624</v>
      </c>
      <c r="Y432" s="0" t="s">
        <v>627</v>
      </c>
      <c r="Z432" s="0" t="s">
        <v>629</v>
      </c>
      <c r="AA432" s="0" t="s">
        <v>624</v>
      </c>
      <c r="AB432" s="0" t="s">
        <v>132</v>
      </c>
      <c r="AC432" s="254" t="n">
        <v>-500000</v>
      </c>
      <c r="AD432" s="254" t="n">
        <v>-3499.09851369813</v>
      </c>
      <c r="AE432" s="0" t="n">
        <v>0</v>
      </c>
      <c r="AF432" s="0" t="n">
        <v>0</v>
      </c>
      <c r="AG432" s="0" t="n">
        <v>0</v>
      </c>
      <c r="AH432" s="254" t="n">
        <v>-654.557036283002</v>
      </c>
      <c r="AI432" s="0" t="n">
        <v>226</v>
      </c>
      <c r="AJ432" s="0" t="s">
        <v>630</v>
      </c>
      <c r="AK432" s="0" t="n">
        <v>0</v>
      </c>
      <c r="AL432" s="0" t="n">
        <v>0</v>
      </c>
      <c r="AM432" s="0" t="n">
        <v>0</v>
      </c>
    </row>
    <row r="433" customFormat="false" ht="12.75" hidden="false" customHeight="false" outlineLevel="0" collapsed="false">
      <c r="A433" s="0" t="s">
        <v>621</v>
      </c>
      <c r="B433" s="0" t="s">
        <v>353</v>
      </c>
      <c r="C433" s="0" t="s">
        <v>622</v>
      </c>
      <c r="D433" s="0" t="s">
        <v>623</v>
      </c>
      <c r="E433" s="0" t="s">
        <v>131</v>
      </c>
      <c r="F433" s="0" t="s">
        <v>208</v>
      </c>
      <c r="G433" s="0" t="s">
        <v>628</v>
      </c>
      <c r="H433" s="0" t="s">
        <v>625</v>
      </c>
      <c r="I433" s="0" t="s">
        <v>626</v>
      </c>
      <c r="J433" s="0" t="s">
        <v>627</v>
      </c>
      <c r="K433" s="475" t="n">
        <v>36831</v>
      </c>
      <c r="L433" s="254" t="n">
        <v>-3550.60946449833</v>
      </c>
      <c r="M433" s="475" t="n">
        <v>36829</v>
      </c>
      <c r="N433" s="0" t="s">
        <v>136</v>
      </c>
      <c r="O433" s="0" t="n">
        <v>0.35</v>
      </c>
      <c r="P433" s="0" t="n">
        <v>0</v>
      </c>
      <c r="Q433" s="0" t="n">
        <v>0</v>
      </c>
      <c r="R433" s="0" t="n">
        <v>0</v>
      </c>
      <c r="S433" s="0" t="n">
        <v>0</v>
      </c>
      <c r="T433" s="0" t="s">
        <v>624</v>
      </c>
      <c r="U433" s="0" t="s">
        <v>156</v>
      </c>
      <c r="V433" s="0" t="s">
        <v>624</v>
      </c>
      <c r="W433" s="0" t="s">
        <v>569</v>
      </c>
      <c r="X433" s="0" t="s">
        <v>624</v>
      </c>
      <c r="Y433" s="0" t="s">
        <v>627</v>
      </c>
      <c r="Z433" s="0" t="s">
        <v>629</v>
      </c>
      <c r="AA433" s="0" t="s">
        <v>624</v>
      </c>
      <c r="AB433" s="0" t="s">
        <v>132</v>
      </c>
      <c r="AC433" s="254" t="n">
        <v>-500000</v>
      </c>
      <c r="AD433" s="254" t="n">
        <v>-1936.91219841251</v>
      </c>
      <c r="AE433" s="0" t="n">
        <v>0</v>
      </c>
      <c r="AF433" s="0" t="n">
        <v>0</v>
      </c>
      <c r="AG433" s="0" t="n">
        <v>0</v>
      </c>
      <c r="AH433" s="254" t="n">
        <v>-373.88152103667</v>
      </c>
      <c r="AI433" s="0" t="n">
        <v>226</v>
      </c>
      <c r="AJ433" s="0" t="s">
        <v>630</v>
      </c>
      <c r="AK433" s="0" t="n">
        <v>0</v>
      </c>
      <c r="AL433" s="0" t="n">
        <v>0</v>
      </c>
      <c r="AM433" s="0" t="n">
        <v>0</v>
      </c>
    </row>
    <row r="434" customFormat="false" ht="12.75" hidden="false" customHeight="false" outlineLevel="0" collapsed="false">
      <c r="A434" s="0" t="s">
        <v>621</v>
      </c>
      <c r="B434" s="0" t="s">
        <v>354</v>
      </c>
      <c r="C434" s="0" t="s">
        <v>622</v>
      </c>
      <c r="D434" s="0" t="s">
        <v>623</v>
      </c>
      <c r="E434" s="0" t="s">
        <v>131</v>
      </c>
      <c r="F434" s="0" t="s">
        <v>196</v>
      </c>
      <c r="G434" s="0" t="s">
        <v>628</v>
      </c>
      <c r="H434" s="0" t="s">
        <v>625</v>
      </c>
      <c r="I434" s="0" t="s">
        <v>626</v>
      </c>
      <c r="J434" s="0" t="s">
        <v>627</v>
      </c>
      <c r="K434" s="475" t="n">
        <v>36951</v>
      </c>
      <c r="L434" s="254" t="n">
        <v>-70390.601302093</v>
      </c>
      <c r="M434" s="475" t="n">
        <v>36949</v>
      </c>
      <c r="N434" s="0" t="s">
        <v>132</v>
      </c>
      <c r="O434" s="0" t="n">
        <v>-0.4</v>
      </c>
      <c r="P434" s="0" t="n">
        <v>0</v>
      </c>
      <c r="Q434" s="0" t="n">
        <v>0</v>
      </c>
      <c r="R434" s="0" t="n">
        <v>0</v>
      </c>
      <c r="S434" s="0" t="n">
        <v>0</v>
      </c>
      <c r="T434" s="0" t="s">
        <v>624</v>
      </c>
      <c r="U434" s="0" t="s">
        <v>151</v>
      </c>
      <c r="V434" s="0" t="s">
        <v>624</v>
      </c>
      <c r="W434" s="0" t="s">
        <v>569</v>
      </c>
      <c r="X434" s="0" t="s">
        <v>624</v>
      </c>
      <c r="Y434" s="0" t="s">
        <v>627</v>
      </c>
      <c r="Z434" s="0" t="s">
        <v>629</v>
      </c>
      <c r="AA434" s="0" t="s">
        <v>624</v>
      </c>
      <c r="AB434" s="0" t="s">
        <v>132</v>
      </c>
      <c r="AC434" s="254" t="n">
        <v>-310000</v>
      </c>
      <c r="AD434" s="254" t="n">
        <v>-16085.7129867453</v>
      </c>
      <c r="AE434" s="0" t="n">
        <v>0</v>
      </c>
      <c r="AF434" s="0" t="n">
        <v>0</v>
      </c>
      <c r="AG434" s="0" t="n">
        <v>0</v>
      </c>
      <c r="AH434" s="254" t="n">
        <v>-6322.40408956285</v>
      </c>
      <c r="AI434" s="0" t="n">
        <v>226</v>
      </c>
      <c r="AJ434" s="0" t="s">
        <v>630</v>
      </c>
      <c r="AK434" s="0" t="n">
        <v>0</v>
      </c>
      <c r="AL434" s="0" t="n">
        <v>0</v>
      </c>
      <c r="AM434" s="0" t="n">
        <v>0</v>
      </c>
    </row>
    <row r="435" customFormat="false" ht="12.75" hidden="false" customHeight="false" outlineLevel="0" collapsed="false">
      <c r="A435" s="0" t="s">
        <v>621</v>
      </c>
      <c r="B435" s="0" t="s">
        <v>354</v>
      </c>
      <c r="C435" s="0" t="s">
        <v>622</v>
      </c>
      <c r="D435" s="0" t="s">
        <v>623</v>
      </c>
      <c r="E435" s="0" t="s">
        <v>131</v>
      </c>
      <c r="F435" s="0" t="s">
        <v>196</v>
      </c>
      <c r="G435" s="0" t="s">
        <v>628</v>
      </c>
      <c r="H435" s="0" t="s">
        <v>625</v>
      </c>
      <c r="I435" s="0" t="s">
        <v>626</v>
      </c>
      <c r="J435" s="0" t="s">
        <v>627</v>
      </c>
      <c r="K435" s="475" t="n">
        <v>36923</v>
      </c>
      <c r="L435" s="254" t="n">
        <v>-68174.180278968</v>
      </c>
      <c r="M435" s="475" t="n">
        <v>36921</v>
      </c>
      <c r="N435" s="0" t="s">
        <v>132</v>
      </c>
      <c r="O435" s="0" t="n">
        <v>-0.4</v>
      </c>
      <c r="P435" s="0" t="n">
        <v>0</v>
      </c>
      <c r="Q435" s="0" t="n">
        <v>0</v>
      </c>
      <c r="R435" s="0" t="n">
        <v>0</v>
      </c>
      <c r="S435" s="0" t="n">
        <v>0</v>
      </c>
      <c r="T435" s="0" t="s">
        <v>624</v>
      </c>
      <c r="U435" s="0" t="s">
        <v>151</v>
      </c>
      <c r="V435" s="0" t="s">
        <v>624</v>
      </c>
      <c r="W435" s="0" t="s">
        <v>569</v>
      </c>
      <c r="X435" s="0" t="s">
        <v>624</v>
      </c>
      <c r="Y435" s="0" t="s">
        <v>627</v>
      </c>
      <c r="Z435" s="0" t="s">
        <v>629</v>
      </c>
      <c r="AA435" s="0" t="s">
        <v>624</v>
      </c>
      <c r="AB435" s="0" t="s">
        <v>132</v>
      </c>
      <c r="AC435" s="254" t="n">
        <v>-280000</v>
      </c>
      <c r="AD435" s="254" t="n">
        <v>-15011.2467873842</v>
      </c>
      <c r="AE435" s="0" t="n">
        <v>0</v>
      </c>
      <c r="AF435" s="0" t="n">
        <v>0</v>
      </c>
      <c r="AG435" s="0" t="n">
        <v>0</v>
      </c>
      <c r="AH435" s="254" t="n">
        <v>-5653.52234668901</v>
      </c>
      <c r="AI435" s="0" t="n">
        <v>226</v>
      </c>
      <c r="AJ435" s="0" t="s">
        <v>630</v>
      </c>
      <c r="AK435" s="0" t="n">
        <v>0</v>
      </c>
      <c r="AL435" s="0" t="n">
        <v>0</v>
      </c>
      <c r="AM435" s="0" t="n">
        <v>0</v>
      </c>
    </row>
    <row r="436" customFormat="false" ht="12.75" hidden="false" customHeight="false" outlineLevel="0" collapsed="false">
      <c r="A436" s="0" t="s">
        <v>621</v>
      </c>
      <c r="B436" s="0" t="s">
        <v>354</v>
      </c>
      <c r="C436" s="0" t="s">
        <v>622</v>
      </c>
      <c r="D436" s="0" t="s">
        <v>623</v>
      </c>
      <c r="E436" s="0" t="s">
        <v>131</v>
      </c>
      <c r="F436" s="0" t="s">
        <v>196</v>
      </c>
      <c r="G436" s="0" t="s">
        <v>628</v>
      </c>
      <c r="H436" s="0" t="s">
        <v>625</v>
      </c>
      <c r="I436" s="0" t="s">
        <v>626</v>
      </c>
      <c r="J436" s="0" t="s">
        <v>627</v>
      </c>
      <c r="K436" s="475" t="n">
        <v>36892</v>
      </c>
      <c r="L436" s="254" t="n">
        <v>-69836.1273455073</v>
      </c>
      <c r="M436" s="475" t="n">
        <v>36888</v>
      </c>
      <c r="N436" s="0" t="s">
        <v>132</v>
      </c>
      <c r="O436" s="0" t="n">
        <v>-0.4</v>
      </c>
      <c r="P436" s="0" t="n">
        <v>0</v>
      </c>
      <c r="Q436" s="0" t="n">
        <v>0</v>
      </c>
      <c r="R436" s="0" t="n">
        <v>0</v>
      </c>
      <c r="S436" s="0" t="n">
        <v>0</v>
      </c>
      <c r="T436" s="0" t="s">
        <v>624</v>
      </c>
      <c r="U436" s="0" t="s">
        <v>151</v>
      </c>
      <c r="V436" s="0" t="s">
        <v>624</v>
      </c>
      <c r="W436" s="0" t="s">
        <v>569</v>
      </c>
      <c r="X436" s="0" t="s">
        <v>624</v>
      </c>
      <c r="Y436" s="0" t="s">
        <v>627</v>
      </c>
      <c r="Z436" s="0" t="s">
        <v>629</v>
      </c>
      <c r="AA436" s="0" t="s">
        <v>624</v>
      </c>
      <c r="AB436" s="0" t="s">
        <v>132</v>
      </c>
      <c r="AC436" s="254" t="n">
        <v>-310000</v>
      </c>
      <c r="AD436" s="254" t="n">
        <v>-15184.8467368387</v>
      </c>
      <c r="AE436" s="0" t="n">
        <v>0</v>
      </c>
      <c r="AF436" s="0" t="n">
        <v>0</v>
      </c>
      <c r="AG436" s="0" t="n">
        <v>0</v>
      </c>
      <c r="AH436" s="254" t="n">
        <v>-6086.61355706946</v>
      </c>
      <c r="AI436" s="0" t="n">
        <v>226</v>
      </c>
      <c r="AJ436" s="0" t="s">
        <v>630</v>
      </c>
      <c r="AK436" s="0" t="n">
        <v>0</v>
      </c>
      <c r="AL436" s="0" t="n">
        <v>0</v>
      </c>
      <c r="AM436" s="0" t="n">
        <v>0</v>
      </c>
    </row>
    <row r="437" customFormat="false" ht="12.75" hidden="false" customHeight="false" outlineLevel="0" collapsed="false">
      <c r="A437" s="0" t="s">
        <v>621</v>
      </c>
      <c r="B437" s="0" t="s">
        <v>354</v>
      </c>
      <c r="C437" s="0" t="s">
        <v>622</v>
      </c>
      <c r="D437" s="0" t="s">
        <v>623</v>
      </c>
      <c r="E437" s="0" t="s">
        <v>131</v>
      </c>
      <c r="F437" s="0" t="s">
        <v>196</v>
      </c>
      <c r="G437" s="0" t="s">
        <v>628</v>
      </c>
      <c r="H437" s="0" t="s">
        <v>625</v>
      </c>
      <c r="I437" s="0" t="s">
        <v>626</v>
      </c>
      <c r="J437" s="0" t="s">
        <v>627</v>
      </c>
      <c r="K437" s="475" t="n">
        <v>36861</v>
      </c>
      <c r="L437" s="254" t="n">
        <v>-59532.2539056527</v>
      </c>
      <c r="M437" s="475" t="n">
        <v>36859</v>
      </c>
      <c r="N437" s="0" t="s">
        <v>132</v>
      </c>
      <c r="O437" s="0" t="n">
        <v>-0.4</v>
      </c>
      <c r="P437" s="0" t="n">
        <v>0</v>
      </c>
      <c r="Q437" s="0" t="n">
        <v>0</v>
      </c>
      <c r="R437" s="0" t="n">
        <v>0</v>
      </c>
      <c r="S437" s="0" t="n">
        <v>0</v>
      </c>
      <c r="T437" s="0" t="s">
        <v>624</v>
      </c>
      <c r="U437" s="0" t="s">
        <v>151</v>
      </c>
      <c r="V437" s="0" t="s">
        <v>624</v>
      </c>
      <c r="W437" s="0" t="s">
        <v>569</v>
      </c>
      <c r="X437" s="0" t="s">
        <v>624</v>
      </c>
      <c r="Y437" s="0" t="s">
        <v>627</v>
      </c>
      <c r="Z437" s="0" t="s">
        <v>629</v>
      </c>
      <c r="AA437" s="0" t="s">
        <v>624</v>
      </c>
      <c r="AB437" s="0" t="s">
        <v>132</v>
      </c>
      <c r="AC437" s="254" t="n">
        <v>-310000</v>
      </c>
      <c r="AD437" s="254" t="n">
        <v>-13209.9669929481</v>
      </c>
      <c r="AE437" s="0" t="n">
        <v>0</v>
      </c>
      <c r="AF437" s="0" t="n">
        <v>0</v>
      </c>
      <c r="AG437" s="0" t="n">
        <v>0</v>
      </c>
      <c r="AH437" s="254" t="n">
        <v>-5942.1145726394</v>
      </c>
      <c r="AI437" s="0" t="n">
        <v>226</v>
      </c>
      <c r="AJ437" s="0" t="s">
        <v>630</v>
      </c>
      <c r="AK437" s="0" t="n">
        <v>0</v>
      </c>
      <c r="AL437" s="0" t="n">
        <v>0</v>
      </c>
      <c r="AM437" s="0" t="n">
        <v>0</v>
      </c>
    </row>
    <row r="438" customFormat="false" ht="12.75" hidden="false" customHeight="false" outlineLevel="0" collapsed="false">
      <c r="A438" s="0" t="s">
        <v>621</v>
      </c>
      <c r="B438" s="0" t="s">
        <v>354</v>
      </c>
      <c r="C438" s="0" t="s">
        <v>622</v>
      </c>
      <c r="D438" s="0" t="s">
        <v>623</v>
      </c>
      <c r="E438" s="0" t="s">
        <v>131</v>
      </c>
      <c r="F438" s="0" t="s">
        <v>196</v>
      </c>
      <c r="G438" s="0" t="s">
        <v>628</v>
      </c>
      <c r="H438" s="0" t="s">
        <v>625</v>
      </c>
      <c r="I438" s="0" t="s">
        <v>626</v>
      </c>
      <c r="J438" s="0" t="s">
        <v>627</v>
      </c>
      <c r="K438" s="475" t="n">
        <v>36831</v>
      </c>
      <c r="L438" s="254" t="n">
        <v>-61675.1100863393</v>
      </c>
      <c r="M438" s="475" t="n">
        <v>36829</v>
      </c>
      <c r="N438" s="0" t="s">
        <v>132</v>
      </c>
      <c r="O438" s="0" t="n">
        <v>-0.4</v>
      </c>
      <c r="P438" s="0" t="n">
        <v>0</v>
      </c>
      <c r="Q438" s="0" t="n">
        <v>0</v>
      </c>
      <c r="R438" s="0" t="n">
        <v>0</v>
      </c>
      <c r="S438" s="0" t="n">
        <v>0</v>
      </c>
      <c r="T438" s="0" t="s">
        <v>624</v>
      </c>
      <c r="U438" s="0" t="s">
        <v>151</v>
      </c>
      <c r="V438" s="0" t="s">
        <v>624</v>
      </c>
      <c r="W438" s="0" t="s">
        <v>569</v>
      </c>
      <c r="X438" s="0" t="s">
        <v>624</v>
      </c>
      <c r="Y438" s="0" t="s">
        <v>627</v>
      </c>
      <c r="Z438" s="0" t="s">
        <v>629</v>
      </c>
      <c r="AA438" s="0" t="s">
        <v>624</v>
      </c>
      <c r="AB438" s="0" t="s">
        <v>132</v>
      </c>
      <c r="AC438" s="254" t="n">
        <v>-300000</v>
      </c>
      <c r="AD438" s="254" t="n">
        <v>-10372.8835157203</v>
      </c>
      <c r="AE438" s="0" t="n">
        <v>0</v>
      </c>
      <c r="AF438" s="0" t="n">
        <v>0</v>
      </c>
      <c r="AG438" s="0" t="n">
        <v>0</v>
      </c>
      <c r="AH438" s="254" t="n">
        <v>-6798.10498756394</v>
      </c>
      <c r="AI438" s="0" t="n">
        <v>226</v>
      </c>
      <c r="AJ438" s="0" t="s">
        <v>630</v>
      </c>
      <c r="AK438" s="0" t="n">
        <v>0</v>
      </c>
      <c r="AL438" s="0" t="n">
        <v>0</v>
      </c>
      <c r="AM438" s="0" t="n">
        <v>0</v>
      </c>
    </row>
    <row r="439" customFormat="false" ht="12.75" hidden="false" customHeight="false" outlineLevel="0" collapsed="false">
      <c r="A439" s="0" t="s">
        <v>621</v>
      </c>
      <c r="B439" s="0" t="s">
        <v>355</v>
      </c>
      <c r="C439" s="0" t="s">
        <v>622</v>
      </c>
      <c r="D439" s="0" t="s">
        <v>623</v>
      </c>
      <c r="E439" s="0" t="s">
        <v>131</v>
      </c>
      <c r="F439" s="0" t="s">
        <v>196</v>
      </c>
      <c r="G439" s="0" t="s">
        <v>628</v>
      </c>
      <c r="H439" s="0" t="s">
        <v>625</v>
      </c>
      <c r="I439" s="0" t="s">
        <v>626</v>
      </c>
      <c r="J439" s="0" t="s">
        <v>627</v>
      </c>
      <c r="K439" s="475" t="n">
        <v>36951</v>
      </c>
      <c r="L439" s="254" t="n">
        <v>31843.8659561137</v>
      </c>
      <c r="M439" s="475" t="n">
        <v>36949</v>
      </c>
      <c r="N439" s="0" t="s">
        <v>136</v>
      </c>
      <c r="O439" s="0" t="n">
        <v>-0.1</v>
      </c>
      <c r="P439" s="0" t="n">
        <v>0</v>
      </c>
      <c r="Q439" s="0" t="n">
        <v>0</v>
      </c>
      <c r="R439" s="0" t="n">
        <v>0</v>
      </c>
      <c r="S439" s="0" t="n">
        <v>0</v>
      </c>
      <c r="T439" s="0" t="s">
        <v>624</v>
      </c>
      <c r="U439" s="0" t="s">
        <v>151</v>
      </c>
      <c r="V439" s="0" t="s">
        <v>624</v>
      </c>
      <c r="W439" s="0" t="s">
        <v>569</v>
      </c>
      <c r="X439" s="0" t="s">
        <v>624</v>
      </c>
      <c r="Y439" s="0" t="s">
        <v>627</v>
      </c>
      <c r="Z439" s="0" t="s">
        <v>629</v>
      </c>
      <c r="AA439" s="0" t="s">
        <v>624</v>
      </c>
      <c r="AB439" s="0" t="s">
        <v>132</v>
      </c>
      <c r="AC439" s="254" t="n">
        <v>310000</v>
      </c>
      <c r="AD439" s="254" t="n">
        <v>14400.0920723579</v>
      </c>
      <c r="AE439" s="0" t="n">
        <v>0</v>
      </c>
      <c r="AF439" s="0" t="n">
        <v>0</v>
      </c>
      <c r="AG439" s="0" t="n">
        <v>0</v>
      </c>
      <c r="AH439" s="254" t="n">
        <v>-3266.10678429814</v>
      </c>
      <c r="AI439" s="0" t="n">
        <v>226</v>
      </c>
      <c r="AJ439" s="0" t="s">
        <v>630</v>
      </c>
      <c r="AK439" s="0" t="n">
        <v>0</v>
      </c>
      <c r="AL439" s="0" t="n">
        <v>0</v>
      </c>
      <c r="AM439" s="0" t="n">
        <v>0</v>
      </c>
    </row>
    <row r="440" customFormat="false" ht="12.75" hidden="false" customHeight="false" outlineLevel="0" collapsed="false">
      <c r="A440" s="0" t="s">
        <v>621</v>
      </c>
      <c r="B440" s="0" t="s">
        <v>355</v>
      </c>
      <c r="C440" s="0" t="s">
        <v>622</v>
      </c>
      <c r="D440" s="0" t="s">
        <v>623</v>
      </c>
      <c r="E440" s="0" t="s">
        <v>131</v>
      </c>
      <c r="F440" s="0" t="s">
        <v>196</v>
      </c>
      <c r="G440" s="0" t="s">
        <v>628</v>
      </c>
      <c r="H440" s="0" t="s">
        <v>625</v>
      </c>
      <c r="I440" s="0" t="s">
        <v>626</v>
      </c>
      <c r="J440" s="0" t="s">
        <v>627</v>
      </c>
      <c r="K440" s="475" t="n">
        <v>36923</v>
      </c>
      <c r="L440" s="254" t="n">
        <v>34757.8552239947</v>
      </c>
      <c r="M440" s="475" t="n">
        <v>36921</v>
      </c>
      <c r="N440" s="0" t="s">
        <v>136</v>
      </c>
      <c r="O440" s="0" t="n">
        <v>-0.1</v>
      </c>
      <c r="P440" s="0" t="n">
        <v>0</v>
      </c>
      <c r="Q440" s="0" t="n">
        <v>0</v>
      </c>
      <c r="R440" s="0" t="n">
        <v>0</v>
      </c>
      <c r="S440" s="0" t="n">
        <v>0</v>
      </c>
      <c r="T440" s="0" t="s">
        <v>624</v>
      </c>
      <c r="U440" s="0" t="s">
        <v>151</v>
      </c>
      <c r="V440" s="0" t="s">
        <v>624</v>
      </c>
      <c r="W440" s="0" t="s">
        <v>569</v>
      </c>
      <c r="X440" s="0" t="s">
        <v>624</v>
      </c>
      <c r="Y440" s="0" t="s">
        <v>627</v>
      </c>
      <c r="Z440" s="0" t="s">
        <v>629</v>
      </c>
      <c r="AA440" s="0" t="s">
        <v>624</v>
      </c>
      <c r="AB440" s="0" t="s">
        <v>132</v>
      </c>
      <c r="AC440" s="254" t="n">
        <v>280000</v>
      </c>
      <c r="AD440" s="254" t="n">
        <v>13809.8043027162</v>
      </c>
      <c r="AE440" s="0" t="n">
        <v>0</v>
      </c>
      <c r="AF440" s="0" t="n">
        <v>0</v>
      </c>
      <c r="AG440" s="0" t="n">
        <v>0</v>
      </c>
      <c r="AH440" s="254" t="n">
        <v>-3217.02055867565</v>
      </c>
      <c r="AI440" s="0" t="n">
        <v>226</v>
      </c>
      <c r="AJ440" s="0" t="s">
        <v>630</v>
      </c>
      <c r="AK440" s="0" t="n">
        <v>0</v>
      </c>
      <c r="AL440" s="0" t="n">
        <v>0</v>
      </c>
      <c r="AM440" s="0" t="n">
        <v>0</v>
      </c>
    </row>
    <row r="441" customFormat="false" ht="12.75" hidden="false" customHeight="false" outlineLevel="0" collapsed="false">
      <c r="A441" s="0" t="s">
        <v>621</v>
      </c>
      <c r="B441" s="0" t="s">
        <v>355</v>
      </c>
      <c r="C441" s="0" t="s">
        <v>622</v>
      </c>
      <c r="D441" s="0" t="s">
        <v>623</v>
      </c>
      <c r="E441" s="0" t="s">
        <v>131</v>
      </c>
      <c r="F441" s="0" t="s">
        <v>196</v>
      </c>
      <c r="G441" s="0" t="s">
        <v>628</v>
      </c>
      <c r="H441" s="0" t="s">
        <v>625</v>
      </c>
      <c r="I441" s="0" t="s">
        <v>626</v>
      </c>
      <c r="J441" s="0" t="s">
        <v>627</v>
      </c>
      <c r="K441" s="475" t="n">
        <v>36892</v>
      </c>
      <c r="L441" s="254" t="n">
        <v>38235.8529345907</v>
      </c>
      <c r="M441" s="475" t="n">
        <v>36888</v>
      </c>
      <c r="N441" s="0" t="s">
        <v>136</v>
      </c>
      <c r="O441" s="0" t="n">
        <v>-0.1</v>
      </c>
      <c r="P441" s="0" t="n">
        <v>0</v>
      </c>
      <c r="Q441" s="0" t="n">
        <v>0</v>
      </c>
      <c r="R441" s="0" t="n">
        <v>0</v>
      </c>
      <c r="S441" s="0" t="n">
        <v>0</v>
      </c>
      <c r="T441" s="0" t="s">
        <v>624</v>
      </c>
      <c r="U441" s="0" t="s">
        <v>151</v>
      </c>
      <c r="V441" s="0" t="s">
        <v>624</v>
      </c>
      <c r="W441" s="0" t="s">
        <v>569</v>
      </c>
      <c r="X441" s="0" t="s">
        <v>624</v>
      </c>
      <c r="Y441" s="0" t="s">
        <v>627</v>
      </c>
      <c r="Z441" s="0" t="s">
        <v>629</v>
      </c>
      <c r="AA441" s="0" t="s">
        <v>624</v>
      </c>
      <c r="AB441" s="0" t="s">
        <v>132</v>
      </c>
      <c r="AC441" s="254" t="n">
        <v>310000</v>
      </c>
      <c r="AD441" s="254" t="n">
        <v>14045.8682237634</v>
      </c>
      <c r="AE441" s="0" t="n">
        <v>0</v>
      </c>
      <c r="AF441" s="0" t="n">
        <v>0</v>
      </c>
      <c r="AG441" s="0" t="n">
        <v>0</v>
      </c>
      <c r="AH441" s="254" t="n">
        <v>-3701.25085748627</v>
      </c>
      <c r="AI441" s="0" t="n">
        <v>226</v>
      </c>
      <c r="AJ441" s="0" t="s">
        <v>630</v>
      </c>
      <c r="AK441" s="0" t="n">
        <v>0</v>
      </c>
      <c r="AL441" s="0" t="n">
        <v>0</v>
      </c>
      <c r="AM441" s="0" t="n">
        <v>0</v>
      </c>
    </row>
    <row r="442" customFormat="false" ht="12.75" hidden="false" customHeight="false" outlineLevel="0" collapsed="false">
      <c r="A442" s="0" t="s">
        <v>621</v>
      </c>
      <c r="B442" s="0" t="s">
        <v>355</v>
      </c>
      <c r="C442" s="0" t="s">
        <v>622</v>
      </c>
      <c r="D442" s="0" t="s">
        <v>623</v>
      </c>
      <c r="E442" s="0" t="s">
        <v>131</v>
      </c>
      <c r="F442" s="0" t="s">
        <v>196</v>
      </c>
      <c r="G442" s="0" t="s">
        <v>628</v>
      </c>
      <c r="H442" s="0" t="s">
        <v>625</v>
      </c>
      <c r="I442" s="0" t="s">
        <v>626</v>
      </c>
      <c r="J442" s="0" t="s">
        <v>627</v>
      </c>
      <c r="K442" s="475" t="n">
        <v>36861</v>
      </c>
      <c r="L442" s="254" t="n">
        <v>31529.2595891774</v>
      </c>
      <c r="M442" s="475" t="n">
        <v>36859</v>
      </c>
      <c r="N442" s="0" t="s">
        <v>136</v>
      </c>
      <c r="O442" s="0" t="n">
        <v>-0.1</v>
      </c>
      <c r="P442" s="0" t="n">
        <v>0</v>
      </c>
      <c r="Q442" s="0" t="n">
        <v>0</v>
      </c>
      <c r="R442" s="0" t="n">
        <v>0</v>
      </c>
      <c r="S442" s="0" t="n">
        <v>0</v>
      </c>
      <c r="T442" s="0" t="s">
        <v>624</v>
      </c>
      <c r="U442" s="0" t="s">
        <v>151</v>
      </c>
      <c r="V442" s="0" t="s">
        <v>624</v>
      </c>
      <c r="W442" s="0" t="s">
        <v>569</v>
      </c>
      <c r="X442" s="0" t="s">
        <v>624</v>
      </c>
      <c r="Y442" s="0" t="s">
        <v>627</v>
      </c>
      <c r="Z442" s="0" t="s">
        <v>629</v>
      </c>
      <c r="AA442" s="0" t="s">
        <v>624</v>
      </c>
      <c r="AB442" s="0" t="s">
        <v>132</v>
      </c>
      <c r="AC442" s="254" t="n">
        <v>310000</v>
      </c>
      <c r="AD442" s="254" t="n">
        <v>11978.9615178875</v>
      </c>
      <c r="AE442" s="0" t="n">
        <v>0</v>
      </c>
      <c r="AF442" s="0" t="n">
        <v>0</v>
      </c>
      <c r="AG442" s="0" t="n">
        <v>0</v>
      </c>
      <c r="AH442" s="254" t="n">
        <v>-3588.68859913165</v>
      </c>
      <c r="AI442" s="0" t="n">
        <v>226</v>
      </c>
      <c r="AJ442" s="0" t="s">
        <v>630</v>
      </c>
      <c r="AK442" s="0" t="n">
        <v>0</v>
      </c>
      <c r="AL442" s="0" t="n">
        <v>0</v>
      </c>
      <c r="AM442" s="0" t="n">
        <v>0</v>
      </c>
    </row>
    <row r="443" customFormat="false" ht="12.75" hidden="false" customHeight="false" outlineLevel="0" collapsed="false">
      <c r="A443" s="0" t="s">
        <v>621</v>
      </c>
      <c r="B443" s="0" t="s">
        <v>355</v>
      </c>
      <c r="C443" s="0" t="s">
        <v>622</v>
      </c>
      <c r="D443" s="0" t="s">
        <v>623</v>
      </c>
      <c r="E443" s="0" t="s">
        <v>131</v>
      </c>
      <c r="F443" s="0" t="s">
        <v>196</v>
      </c>
      <c r="G443" s="0" t="s">
        <v>628</v>
      </c>
      <c r="H443" s="0" t="s">
        <v>625</v>
      </c>
      <c r="I443" s="0" t="s">
        <v>626</v>
      </c>
      <c r="J443" s="0" t="s">
        <v>627</v>
      </c>
      <c r="K443" s="475" t="n">
        <v>36831</v>
      </c>
      <c r="L443" s="254" t="n">
        <v>12546.2341276636</v>
      </c>
      <c r="M443" s="475" t="n">
        <v>36829</v>
      </c>
      <c r="N443" s="0" t="s">
        <v>136</v>
      </c>
      <c r="O443" s="0" t="n">
        <v>-0.1</v>
      </c>
      <c r="P443" s="0" t="n">
        <v>0</v>
      </c>
      <c r="Q443" s="0" t="n">
        <v>0</v>
      </c>
      <c r="R443" s="0" t="n">
        <v>0</v>
      </c>
      <c r="S443" s="0" t="n">
        <v>0</v>
      </c>
      <c r="T443" s="0" t="s">
        <v>624</v>
      </c>
      <c r="U443" s="0" t="s">
        <v>151</v>
      </c>
      <c r="V443" s="0" t="s">
        <v>624</v>
      </c>
      <c r="W443" s="0" t="s">
        <v>569</v>
      </c>
      <c r="X443" s="0" t="s">
        <v>624</v>
      </c>
      <c r="Y443" s="0" t="s">
        <v>627</v>
      </c>
      <c r="Z443" s="0" t="s">
        <v>629</v>
      </c>
      <c r="AA443" s="0" t="s">
        <v>624</v>
      </c>
      <c r="AB443" s="0" t="s">
        <v>132</v>
      </c>
      <c r="AC443" s="254" t="n">
        <v>300000</v>
      </c>
      <c r="AD443" s="254" t="n">
        <v>7246.39153216596</v>
      </c>
      <c r="AE443" s="0" t="n">
        <v>0</v>
      </c>
      <c r="AF443" s="0" t="n">
        <v>0</v>
      </c>
      <c r="AG443" s="0" t="n">
        <v>0</v>
      </c>
      <c r="AH443" s="254" t="n">
        <v>-2154.47139196279</v>
      </c>
      <c r="AI443" s="0" t="n">
        <v>226</v>
      </c>
      <c r="AJ443" s="0" t="s">
        <v>630</v>
      </c>
      <c r="AK443" s="0" t="n">
        <v>0</v>
      </c>
      <c r="AL443" s="0" t="n">
        <v>0</v>
      </c>
      <c r="AM443" s="0" t="n">
        <v>0</v>
      </c>
    </row>
    <row r="444" customFormat="false" ht="12.75" hidden="false" customHeight="false" outlineLevel="0" collapsed="false">
      <c r="A444" s="0" t="s">
        <v>621</v>
      </c>
      <c r="B444" s="0" t="s">
        <v>356</v>
      </c>
      <c r="C444" s="0" t="s">
        <v>622</v>
      </c>
      <c r="D444" s="0" t="s">
        <v>623</v>
      </c>
      <c r="E444" s="0" t="s">
        <v>131</v>
      </c>
      <c r="F444" s="0" t="s">
        <v>210</v>
      </c>
      <c r="G444" s="0" t="s">
        <v>628</v>
      </c>
      <c r="H444" s="0" t="s">
        <v>625</v>
      </c>
      <c r="I444" s="0" t="s">
        <v>626</v>
      </c>
      <c r="J444" s="0" t="s">
        <v>627</v>
      </c>
      <c r="K444" s="475" t="n">
        <v>36951</v>
      </c>
      <c r="L444" s="254" t="n">
        <v>89526.2332422603</v>
      </c>
      <c r="M444" s="475" t="n">
        <v>36949</v>
      </c>
      <c r="N444" s="0" t="s">
        <v>136</v>
      </c>
      <c r="O444" s="0" t="n">
        <v>0.2</v>
      </c>
      <c r="P444" s="0" t="n">
        <v>0</v>
      </c>
      <c r="Q444" s="0" t="n">
        <v>0</v>
      </c>
      <c r="R444" s="0" t="n">
        <v>0</v>
      </c>
      <c r="S444" s="0" t="n">
        <v>0</v>
      </c>
      <c r="T444" s="0" t="s">
        <v>624</v>
      </c>
      <c r="U444" s="0" t="s">
        <v>137</v>
      </c>
      <c r="V444" s="0" t="s">
        <v>624</v>
      </c>
      <c r="W444" s="0" t="s">
        <v>569</v>
      </c>
      <c r="X444" s="0" t="s">
        <v>624</v>
      </c>
      <c r="Y444" s="0" t="s">
        <v>627</v>
      </c>
      <c r="Z444" s="0" t="s">
        <v>629</v>
      </c>
      <c r="AA444" s="0" t="s">
        <v>624</v>
      </c>
      <c r="AB444" s="0" t="s">
        <v>132</v>
      </c>
      <c r="AC444" s="254" t="n">
        <v>155000</v>
      </c>
      <c r="AD444" s="254" t="n">
        <v>11031.9075490926</v>
      </c>
      <c r="AE444" s="0" t="n">
        <v>0</v>
      </c>
      <c r="AF444" s="0" t="n">
        <v>0</v>
      </c>
      <c r="AG444" s="0" t="n">
        <v>0</v>
      </c>
      <c r="AH444" s="254" t="n">
        <v>-5325.30385950295</v>
      </c>
      <c r="AI444" s="0" t="n">
        <v>226</v>
      </c>
      <c r="AJ444" s="0" t="s">
        <v>630</v>
      </c>
      <c r="AK444" s="0" t="n">
        <v>0</v>
      </c>
      <c r="AL444" s="0" t="n">
        <v>0</v>
      </c>
      <c r="AM444" s="0" t="n">
        <v>0</v>
      </c>
    </row>
    <row r="445" customFormat="false" ht="12.75" hidden="false" customHeight="false" outlineLevel="0" collapsed="false">
      <c r="A445" s="0" t="s">
        <v>621</v>
      </c>
      <c r="B445" s="0" t="s">
        <v>356</v>
      </c>
      <c r="C445" s="0" t="s">
        <v>622</v>
      </c>
      <c r="D445" s="0" t="s">
        <v>623</v>
      </c>
      <c r="E445" s="0" t="s">
        <v>131</v>
      </c>
      <c r="F445" s="0" t="s">
        <v>210</v>
      </c>
      <c r="G445" s="0" t="s">
        <v>628</v>
      </c>
      <c r="H445" s="0" t="s">
        <v>625</v>
      </c>
      <c r="I445" s="0" t="s">
        <v>626</v>
      </c>
      <c r="J445" s="0" t="s">
        <v>627</v>
      </c>
      <c r="K445" s="475" t="n">
        <v>36923</v>
      </c>
      <c r="L445" s="254" t="n">
        <v>87028.8445743503</v>
      </c>
      <c r="M445" s="475" t="n">
        <v>36921</v>
      </c>
      <c r="N445" s="0" t="s">
        <v>136</v>
      </c>
      <c r="O445" s="0" t="n">
        <v>0.2</v>
      </c>
      <c r="P445" s="0" t="n">
        <v>0</v>
      </c>
      <c r="Q445" s="0" t="n">
        <v>0</v>
      </c>
      <c r="R445" s="0" t="n">
        <v>0</v>
      </c>
      <c r="S445" s="0" t="n">
        <v>0</v>
      </c>
      <c r="T445" s="0" t="s">
        <v>624</v>
      </c>
      <c r="U445" s="0" t="s">
        <v>137</v>
      </c>
      <c r="V445" s="0" t="s">
        <v>624</v>
      </c>
      <c r="W445" s="0" t="s">
        <v>569</v>
      </c>
      <c r="X445" s="0" t="s">
        <v>624</v>
      </c>
      <c r="Y445" s="0" t="s">
        <v>627</v>
      </c>
      <c r="Z445" s="0" t="s">
        <v>629</v>
      </c>
      <c r="AA445" s="0" t="s">
        <v>624</v>
      </c>
      <c r="AB445" s="0" t="s">
        <v>132</v>
      </c>
      <c r="AC445" s="254" t="n">
        <v>140000</v>
      </c>
      <c r="AD445" s="254" t="n">
        <v>10322.8620320313</v>
      </c>
      <c r="AE445" s="0" t="n">
        <v>0</v>
      </c>
      <c r="AF445" s="0" t="n">
        <v>0</v>
      </c>
      <c r="AG445" s="0" t="n">
        <v>0</v>
      </c>
      <c r="AH445" s="254" t="n">
        <v>-4809.24525445598</v>
      </c>
      <c r="AI445" s="0" t="n">
        <v>226</v>
      </c>
      <c r="AJ445" s="0" t="s">
        <v>630</v>
      </c>
      <c r="AK445" s="0" t="n">
        <v>0</v>
      </c>
      <c r="AL445" s="0" t="n">
        <v>0</v>
      </c>
      <c r="AM445" s="0" t="n">
        <v>0</v>
      </c>
    </row>
    <row r="446" customFormat="false" ht="12.75" hidden="false" customHeight="false" outlineLevel="0" collapsed="false">
      <c r="A446" s="0" t="s">
        <v>621</v>
      </c>
      <c r="B446" s="0" t="s">
        <v>356</v>
      </c>
      <c r="C446" s="0" t="s">
        <v>622</v>
      </c>
      <c r="D446" s="0" t="s">
        <v>623</v>
      </c>
      <c r="E446" s="0" t="s">
        <v>131</v>
      </c>
      <c r="F446" s="0" t="s">
        <v>210</v>
      </c>
      <c r="G446" s="0" t="s">
        <v>628</v>
      </c>
      <c r="H446" s="0" t="s">
        <v>625</v>
      </c>
      <c r="I446" s="0" t="s">
        <v>626</v>
      </c>
      <c r="J446" s="0" t="s">
        <v>627</v>
      </c>
      <c r="K446" s="475" t="n">
        <v>36892</v>
      </c>
      <c r="L446" s="254" t="n">
        <v>111089.578138219</v>
      </c>
      <c r="M446" s="475" t="n">
        <v>36888</v>
      </c>
      <c r="N446" s="0" t="s">
        <v>136</v>
      </c>
      <c r="O446" s="0" t="n">
        <v>0.2</v>
      </c>
      <c r="P446" s="0" t="n">
        <v>0</v>
      </c>
      <c r="Q446" s="0" t="n">
        <v>0</v>
      </c>
      <c r="R446" s="0" t="n">
        <v>0</v>
      </c>
      <c r="S446" s="0" t="n">
        <v>0</v>
      </c>
      <c r="T446" s="0" t="s">
        <v>624</v>
      </c>
      <c r="U446" s="0" t="s">
        <v>137</v>
      </c>
      <c r="V446" s="0" t="s">
        <v>624</v>
      </c>
      <c r="W446" s="0" t="s">
        <v>569</v>
      </c>
      <c r="X446" s="0" t="s">
        <v>624</v>
      </c>
      <c r="Y446" s="0" t="s">
        <v>627</v>
      </c>
      <c r="Z446" s="0" t="s">
        <v>629</v>
      </c>
      <c r="AA446" s="0" t="s">
        <v>624</v>
      </c>
      <c r="AB446" s="0" t="s">
        <v>132</v>
      </c>
      <c r="AC446" s="254" t="n">
        <v>155000</v>
      </c>
      <c r="AD446" s="254" t="n">
        <v>9580.28109114706</v>
      </c>
      <c r="AE446" s="0" t="n">
        <v>0</v>
      </c>
      <c r="AF446" s="0" t="n">
        <v>0</v>
      </c>
      <c r="AG446" s="0" t="n">
        <v>0</v>
      </c>
      <c r="AH446" s="254" t="n">
        <v>-5881.56510644702</v>
      </c>
      <c r="AI446" s="0" t="n">
        <v>226</v>
      </c>
      <c r="AJ446" s="0" t="s">
        <v>630</v>
      </c>
      <c r="AK446" s="0" t="n">
        <v>0</v>
      </c>
      <c r="AL446" s="0" t="n">
        <v>0</v>
      </c>
      <c r="AM446" s="0" t="n">
        <v>0</v>
      </c>
    </row>
    <row r="447" customFormat="false" ht="12.75" hidden="false" customHeight="false" outlineLevel="0" collapsed="false">
      <c r="A447" s="0" t="s">
        <v>621</v>
      </c>
      <c r="B447" s="0" t="s">
        <v>356</v>
      </c>
      <c r="C447" s="0" t="s">
        <v>622</v>
      </c>
      <c r="D447" s="0" t="s">
        <v>623</v>
      </c>
      <c r="E447" s="0" t="s">
        <v>131</v>
      </c>
      <c r="F447" s="0" t="s">
        <v>210</v>
      </c>
      <c r="G447" s="0" t="s">
        <v>628</v>
      </c>
      <c r="H447" s="0" t="s">
        <v>625</v>
      </c>
      <c r="I447" s="0" t="s">
        <v>626</v>
      </c>
      <c r="J447" s="0" t="s">
        <v>627</v>
      </c>
      <c r="K447" s="475" t="n">
        <v>36861</v>
      </c>
      <c r="L447" s="254" t="n">
        <v>135042.316930396</v>
      </c>
      <c r="M447" s="475" t="n">
        <v>36859</v>
      </c>
      <c r="N447" s="0" t="s">
        <v>136</v>
      </c>
      <c r="O447" s="0" t="n">
        <v>0.2</v>
      </c>
      <c r="P447" s="0" t="n">
        <v>0</v>
      </c>
      <c r="Q447" s="0" t="n">
        <v>0</v>
      </c>
      <c r="R447" s="0" t="n">
        <v>0</v>
      </c>
      <c r="S447" s="0" t="n">
        <v>0</v>
      </c>
      <c r="T447" s="0" t="s">
        <v>624</v>
      </c>
      <c r="U447" s="0" t="s">
        <v>137</v>
      </c>
      <c r="V447" s="0" t="s">
        <v>624</v>
      </c>
      <c r="W447" s="0" t="s">
        <v>569</v>
      </c>
      <c r="X447" s="0" t="s">
        <v>624</v>
      </c>
      <c r="Y447" s="0" t="s">
        <v>627</v>
      </c>
      <c r="Z447" s="0" t="s">
        <v>629</v>
      </c>
      <c r="AA447" s="0" t="s">
        <v>624</v>
      </c>
      <c r="AB447" s="0" t="s">
        <v>132</v>
      </c>
      <c r="AC447" s="254" t="n">
        <v>155000</v>
      </c>
      <c r="AD447" s="254" t="n">
        <v>6427.12057582635</v>
      </c>
      <c r="AE447" s="0" t="n">
        <v>0</v>
      </c>
      <c r="AF447" s="0" t="n">
        <v>0</v>
      </c>
      <c r="AG447" s="0" t="n">
        <v>0</v>
      </c>
      <c r="AH447" s="254" t="n">
        <v>18542.8905478364</v>
      </c>
      <c r="AI447" s="0" t="n">
        <v>226</v>
      </c>
      <c r="AJ447" s="0" t="s">
        <v>630</v>
      </c>
      <c r="AK447" s="0" t="n">
        <v>0</v>
      </c>
      <c r="AL447" s="0" t="n">
        <v>0</v>
      </c>
      <c r="AM447" s="0" t="n">
        <v>0</v>
      </c>
    </row>
    <row r="448" customFormat="false" ht="12.75" hidden="false" customHeight="false" outlineLevel="0" collapsed="false">
      <c r="A448" s="0" t="s">
        <v>621</v>
      </c>
      <c r="B448" s="0" t="s">
        <v>356</v>
      </c>
      <c r="C448" s="0" t="s">
        <v>622</v>
      </c>
      <c r="D448" s="0" t="s">
        <v>623</v>
      </c>
      <c r="E448" s="0" t="s">
        <v>131</v>
      </c>
      <c r="F448" s="0" t="s">
        <v>210</v>
      </c>
      <c r="G448" s="0" t="s">
        <v>628</v>
      </c>
      <c r="H448" s="0" t="s">
        <v>625</v>
      </c>
      <c r="I448" s="0" t="s">
        <v>626</v>
      </c>
      <c r="J448" s="0" t="s">
        <v>627</v>
      </c>
      <c r="K448" s="475" t="n">
        <v>36831</v>
      </c>
      <c r="L448" s="254" t="n">
        <v>200771.926062902</v>
      </c>
      <c r="M448" s="475" t="n">
        <v>36829</v>
      </c>
      <c r="N448" s="0" t="s">
        <v>136</v>
      </c>
      <c r="O448" s="0" t="n">
        <v>0.2</v>
      </c>
      <c r="P448" s="0" t="n">
        <v>0</v>
      </c>
      <c r="Q448" s="0" t="n">
        <v>0</v>
      </c>
      <c r="R448" s="0" t="n">
        <v>0</v>
      </c>
      <c r="S448" s="0" t="n">
        <v>0</v>
      </c>
      <c r="T448" s="0" t="s">
        <v>624</v>
      </c>
      <c r="U448" s="0" t="s">
        <v>137</v>
      </c>
      <c r="V448" s="0" t="s">
        <v>624</v>
      </c>
      <c r="W448" s="0" t="s">
        <v>569</v>
      </c>
      <c r="X448" s="0" t="s">
        <v>624</v>
      </c>
      <c r="Y448" s="0" t="s">
        <v>627</v>
      </c>
      <c r="Z448" s="0" t="s">
        <v>629</v>
      </c>
      <c r="AA448" s="0" t="s">
        <v>624</v>
      </c>
      <c r="AB448" s="0" t="s">
        <v>132</v>
      </c>
      <c r="AC448" s="254" t="n">
        <v>150000</v>
      </c>
      <c r="AD448" s="254" t="n">
        <v>1445.10823419015</v>
      </c>
      <c r="AE448" s="0" t="n">
        <v>0</v>
      </c>
      <c r="AF448" s="0" t="n">
        <v>0</v>
      </c>
      <c r="AG448" s="0" t="n">
        <v>0</v>
      </c>
      <c r="AH448" s="254" t="n">
        <v>29996.042094219</v>
      </c>
      <c r="AI448" s="0" t="n">
        <v>226</v>
      </c>
      <c r="AJ448" s="0" t="s">
        <v>630</v>
      </c>
      <c r="AK448" s="0" t="n">
        <v>0</v>
      </c>
      <c r="AL448" s="0" t="n">
        <v>0</v>
      </c>
      <c r="AM448" s="0" t="n">
        <v>0</v>
      </c>
    </row>
    <row r="449" customFormat="false" ht="12.75" hidden="false" customHeight="false" outlineLevel="0" collapsed="false">
      <c r="A449" s="0" t="s">
        <v>621</v>
      </c>
      <c r="B449" s="0" t="s">
        <v>357</v>
      </c>
      <c r="C449" s="0" t="s">
        <v>622</v>
      </c>
      <c r="D449" s="0" t="s">
        <v>623</v>
      </c>
      <c r="E449" s="0" t="s">
        <v>131</v>
      </c>
      <c r="F449" s="0" t="s">
        <v>244</v>
      </c>
      <c r="G449" s="0" t="s">
        <v>628</v>
      </c>
      <c r="H449" s="0" t="s">
        <v>625</v>
      </c>
      <c r="I449" s="0" t="s">
        <v>626</v>
      </c>
      <c r="J449" s="0" t="s">
        <v>627</v>
      </c>
      <c r="K449" s="475" t="n">
        <v>36951</v>
      </c>
      <c r="L449" s="254" t="n">
        <v>219596.787420982</v>
      </c>
      <c r="M449" s="475" t="n">
        <v>36949</v>
      </c>
      <c r="N449" s="0" t="s">
        <v>132</v>
      </c>
      <c r="O449" s="0" t="n">
        <v>0.95</v>
      </c>
      <c r="P449" s="0" t="n">
        <v>0</v>
      </c>
      <c r="Q449" s="0" t="n">
        <v>0</v>
      </c>
      <c r="R449" s="0" t="n">
        <v>0</v>
      </c>
      <c r="S449" s="0" t="n">
        <v>0</v>
      </c>
      <c r="T449" s="0" t="s">
        <v>624</v>
      </c>
      <c r="U449" s="0" t="s">
        <v>149</v>
      </c>
      <c r="V449" s="0" t="s">
        <v>624</v>
      </c>
      <c r="W449" s="0" t="s">
        <v>569</v>
      </c>
      <c r="X449" s="0" t="s">
        <v>624</v>
      </c>
      <c r="Y449" s="0" t="s">
        <v>627</v>
      </c>
      <c r="Z449" s="0" t="s">
        <v>629</v>
      </c>
      <c r="AA449" s="0" t="s">
        <v>624</v>
      </c>
      <c r="AB449" s="0" t="s">
        <v>132</v>
      </c>
      <c r="AC449" s="254" t="n">
        <v>500000</v>
      </c>
      <c r="AD449" s="254" t="n">
        <v>44459.6889324306</v>
      </c>
      <c r="AE449" s="0" t="n">
        <v>0</v>
      </c>
      <c r="AF449" s="0" t="n">
        <v>0</v>
      </c>
      <c r="AG449" s="0" t="n">
        <v>0</v>
      </c>
      <c r="AH449" s="254" t="n">
        <v>-9919.0915419083</v>
      </c>
      <c r="AI449" s="0" t="n">
        <v>226</v>
      </c>
      <c r="AJ449" s="0" t="s">
        <v>630</v>
      </c>
      <c r="AK449" s="0" t="n">
        <v>0</v>
      </c>
      <c r="AL449" s="0" t="n">
        <v>0</v>
      </c>
      <c r="AM449" s="0" t="n">
        <v>0</v>
      </c>
    </row>
    <row r="450" customFormat="false" ht="12.75" hidden="false" customHeight="false" outlineLevel="0" collapsed="false">
      <c r="A450" s="0" t="s">
        <v>621</v>
      </c>
      <c r="B450" s="0" t="s">
        <v>357</v>
      </c>
      <c r="C450" s="0" t="s">
        <v>622</v>
      </c>
      <c r="D450" s="0" t="s">
        <v>623</v>
      </c>
      <c r="E450" s="0" t="s">
        <v>131</v>
      </c>
      <c r="F450" s="0" t="s">
        <v>244</v>
      </c>
      <c r="G450" s="0" t="s">
        <v>628</v>
      </c>
      <c r="H450" s="0" t="s">
        <v>625</v>
      </c>
      <c r="I450" s="0" t="s">
        <v>626</v>
      </c>
      <c r="J450" s="0" t="s">
        <v>627</v>
      </c>
      <c r="K450" s="475" t="n">
        <v>36923</v>
      </c>
      <c r="L450" s="254" t="n">
        <v>95380.5369386898</v>
      </c>
      <c r="M450" s="475" t="n">
        <v>36921</v>
      </c>
      <c r="N450" s="0" t="s">
        <v>132</v>
      </c>
      <c r="O450" s="0" t="n">
        <v>0.95</v>
      </c>
      <c r="P450" s="0" t="n">
        <v>0</v>
      </c>
      <c r="Q450" s="0" t="n">
        <v>0</v>
      </c>
      <c r="R450" s="0" t="n">
        <v>0</v>
      </c>
      <c r="S450" s="0" t="n">
        <v>0</v>
      </c>
      <c r="T450" s="0" t="s">
        <v>624</v>
      </c>
      <c r="U450" s="0" t="s">
        <v>149</v>
      </c>
      <c r="V450" s="0" t="s">
        <v>624</v>
      </c>
      <c r="W450" s="0" t="s">
        <v>569</v>
      </c>
      <c r="X450" s="0" t="s">
        <v>624</v>
      </c>
      <c r="Y450" s="0" t="s">
        <v>627</v>
      </c>
      <c r="Z450" s="0" t="s">
        <v>629</v>
      </c>
      <c r="AA450" s="0" t="s">
        <v>624</v>
      </c>
      <c r="AB450" s="0" t="s">
        <v>132</v>
      </c>
      <c r="AC450" s="254" t="n">
        <v>500000</v>
      </c>
      <c r="AD450" s="254" t="n">
        <v>34478.9059944694</v>
      </c>
      <c r="AE450" s="0" t="n">
        <v>0</v>
      </c>
      <c r="AF450" s="0" t="n">
        <v>0</v>
      </c>
      <c r="AG450" s="0" t="n">
        <v>0</v>
      </c>
      <c r="AH450" s="254" t="n">
        <v>-4923.31307893679</v>
      </c>
      <c r="AI450" s="0" t="n">
        <v>226</v>
      </c>
      <c r="AJ450" s="0" t="s">
        <v>630</v>
      </c>
      <c r="AK450" s="0" t="n">
        <v>0</v>
      </c>
      <c r="AL450" s="0" t="n">
        <v>0</v>
      </c>
      <c r="AM450" s="0" t="n">
        <v>0</v>
      </c>
    </row>
    <row r="451" customFormat="false" ht="12.75" hidden="false" customHeight="false" outlineLevel="0" collapsed="false">
      <c r="A451" s="0" t="s">
        <v>621</v>
      </c>
      <c r="B451" s="0" t="s">
        <v>357</v>
      </c>
      <c r="C451" s="0" t="s">
        <v>622</v>
      </c>
      <c r="D451" s="0" t="s">
        <v>623</v>
      </c>
      <c r="E451" s="0" t="s">
        <v>131</v>
      </c>
      <c r="F451" s="0" t="s">
        <v>244</v>
      </c>
      <c r="G451" s="0" t="s">
        <v>628</v>
      </c>
      <c r="H451" s="0" t="s">
        <v>625</v>
      </c>
      <c r="I451" s="0" t="s">
        <v>626</v>
      </c>
      <c r="J451" s="0" t="s">
        <v>627</v>
      </c>
      <c r="K451" s="475" t="n">
        <v>36892</v>
      </c>
      <c r="L451" s="254" t="n">
        <v>77148.0765604655</v>
      </c>
      <c r="M451" s="475" t="n">
        <v>36888</v>
      </c>
      <c r="N451" s="0" t="s">
        <v>132</v>
      </c>
      <c r="O451" s="0" t="n">
        <v>0.95</v>
      </c>
      <c r="P451" s="0" t="n">
        <v>0</v>
      </c>
      <c r="Q451" s="0" t="n">
        <v>0</v>
      </c>
      <c r="R451" s="0" t="n">
        <v>0</v>
      </c>
      <c r="S451" s="0" t="n">
        <v>0</v>
      </c>
      <c r="T451" s="0" t="s">
        <v>624</v>
      </c>
      <c r="U451" s="0" t="s">
        <v>149</v>
      </c>
      <c r="V451" s="0" t="s">
        <v>624</v>
      </c>
      <c r="W451" s="0" t="s">
        <v>569</v>
      </c>
      <c r="X451" s="0" t="s">
        <v>624</v>
      </c>
      <c r="Y451" s="0" t="s">
        <v>627</v>
      </c>
      <c r="Z451" s="0" t="s">
        <v>629</v>
      </c>
      <c r="AA451" s="0" t="s">
        <v>624</v>
      </c>
      <c r="AB451" s="0" t="s">
        <v>132</v>
      </c>
      <c r="AC451" s="254" t="n">
        <v>500000</v>
      </c>
      <c r="AD451" s="254" t="n">
        <v>29287.0753254417</v>
      </c>
      <c r="AE451" s="0" t="n">
        <v>0</v>
      </c>
      <c r="AF451" s="0" t="n">
        <v>0</v>
      </c>
      <c r="AG451" s="0" t="n">
        <v>0</v>
      </c>
      <c r="AH451" s="254" t="n">
        <v>-3612.66523746862</v>
      </c>
      <c r="AI451" s="0" t="n">
        <v>226</v>
      </c>
      <c r="AJ451" s="0" t="s">
        <v>630</v>
      </c>
      <c r="AK451" s="0" t="n">
        <v>0</v>
      </c>
      <c r="AL451" s="0" t="n">
        <v>0</v>
      </c>
      <c r="AM451" s="0" t="n">
        <v>0</v>
      </c>
    </row>
    <row r="452" customFormat="false" ht="12.75" hidden="false" customHeight="false" outlineLevel="0" collapsed="false">
      <c r="A452" s="0" t="s">
        <v>621</v>
      </c>
      <c r="B452" s="0" t="s">
        <v>357</v>
      </c>
      <c r="C452" s="0" t="s">
        <v>622</v>
      </c>
      <c r="D452" s="0" t="s">
        <v>623</v>
      </c>
      <c r="E452" s="0" t="s">
        <v>131</v>
      </c>
      <c r="F452" s="0" t="s">
        <v>244</v>
      </c>
      <c r="G452" s="0" t="s">
        <v>628</v>
      </c>
      <c r="H452" s="0" t="s">
        <v>625</v>
      </c>
      <c r="I452" s="0" t="s">
        <v>626</v>
      </c>
      <c r="J452" s="0" t="s">
        <v>627</v>
      </c>
      <c r="K452" s="475" t="n">
        <v>36861</v>
      </c>
      <c r="L452" s="254" t="n">
        <v>103389.795116827</v>
      </c>
      <c r="M452" s="475" t="n">
        <v>36859</v>
      </c>
      <c r="N452" s="0" t="s">
        <v>132</v>
      </c>
      <c r="O452" s="0" t="n">
        <v>0.95</v>
      </c>
      <c r="P452" s="0" t="n">
        <v>0</v>
      </c>
      <c r="Q452" s="0" t="n">
        <v>0</v>
      </c>
      <c r="R452" s="0" t="n">
        <v>0</v>
      </c>
      <c r="S452" s="0" t="n">
        <v>0</v>
      </c>
      <c r="T452" s="0" t="s">
        <v>624</v>
      </c>
      <c r="U452" s="0" t="s">
        <v>149</v>
      </c>
      <c r="V452" s="0" t="s">
        <v>624</v>
      </c>
      <c r="W452" s="0" t="s">
        <v>569</v>
      </c>
      <c r="X452" s="0" t="s">
        <v>624</v>
      </c>
      <c r="Y452" s="0" t="s">
        <v>627</v>
      </c>
      <c r="Z452" s="0" t="s">
        <v>629</v>
      </c>
      <c r="AA452" s="0" t="s">
        <v>624</v>
      </c>
      <c r="AB452" s="0" t="s">
        <v>132</v>
      </c>
      <c r="AC452" s="254" t="n">
        <v>500000</v>
      </c>
      <c r="AD452" s="254" t="n">
        <v>31070.4831710014</v>
      </c>
      <c r="AE452" s="0" t="n">
        <v>0</v>
      </c>
      <c r="AF452" s="0" t="n">
        <v>0</v>
      </c>
      <c r="AG452" s="0" t="n">
        <v>0</v>
      </c>
      <c r="AH452" s="254" t="n">
        <v>-4059.48655223164</v>
      </c>
      <c r="AI452" s="0" t="n">
        <v>226</v>
      </c>
      <c r="AJ452" s="0" t="s">
        <v>630</v>
      </c>
      <c r="AK452" s="0" t="n">
        <v>0</v>
      </c>
      <c r="AL452" s="0" t="n">
        <v>0</v>
      </c>
      <c r="AM452" s="0" t="n">
        <v>0</v>
      </c>
    </row>
    <row r="453" customFormat="false" ht="12.75" hidden="false" customHeight="false" outlineLevel="0" collapsed="false">
      <c r="A453" s="0" t="s">
        <v>621</v>
      </c>
      <c r="B453" s="0" t="s">
        <v>357</v>
      </c>
      <c r="C453" s="0" t="s">
        <v>622</v>
      </c>
      <c r="D453" s="0" t="s">
        <v>623</v>
      </c>
      <c r="E453" s="0" t="s">
        <v>131</v>
      </c>
      <c r="F453" s="0" t="s">
        <v>244</v>
      </c>
      <c r="G453" s="0" t="s">
        <v>628</v>
      </c>
      <c r="H453" s="0" t="s">
        <v>625</v>
      </c>
      <c r="I453" s="0" t="s">
        <v>626</v>
      </c>
      <c r="J453" s="0" t="s">
        <v>627</v>
      </c>
      <c r="K453" s="475" t="n">
        <v>36831</v>
      </c>
      <c r="L453" s="254" t="n">
        <v>182642.688970705</v>
      </c>
      <c r="M453" s="475" t="n">
        <v>36829</v>
      </c>
      <c r="N453" s="0" t="s">
        <v>132</v>
      </c>
      <c r="O453" s="0" t="n">
        <v>0.95</v>
      </c>
      <c r="P453" s="0" t="n">
        <v>0</v>
      </c>
      <c r="Q453" s="0" t="n">
        <v>0</v>
      </c>
      <c r="R453" s="0" t="n">
        <v>0</v>
      </c>
      <c r="S453" s="0" t="n">
        <v>0</v>
      </c>
      <c r="T453" s="0" t="s">
        <v>624</v>
      </c>
      <c r="U453" s="0" t="s">
        <v>149</v>
      </c>
      <c r="V453" s="0" t="s">
        <v>624</v>
      </c>
      <c r="W453" s="0" t="s">
        <v>569</v>
      </c>
      <c r="X453" s="0" t="s">
        <v>624</v>
      </c>
      <c r="Y453" s="0" t="s">
        <v>627</v>
      </c>
      <c r="Z453" s="0" t="s">
        <v>629</v>
      </c>
      <c r="AA453" s="0" t="s">
        <v>624</v>
      </c>
      <c r="AB453" s="0" t="s">
        <v>132</v>
      </c>
      <c r="AC453" s="254" t="n">
        <v>500000</v>
      </c>
      <c r="AD453" s="254" t="n">
        <v>21445.4521400725</v>
      </c>
      <c r="AE453" s="0" t="n">
        <v>0</v>
      </c>
      <c r="AF453" s="0" t="n">
        <v>0</v>
      </c>
      <c r="AG453" s="0" t="n">
        <v>0</v>
      </c>
      <c r="AH453" s="254" t="n">
        <v>-10526.1565454553</v>
      </c>
      <c r="AI453" s="0" t="n">
        <v>226</v>
      </c>
      <c r="AJ453" s="0" t="s">
        <v>630</v>
      </c>
      <c r="AK453" s="0" t="n">
        <v>0</v>
      </c>
      <c r="AL453" s="0" t="n">
        <v>0</v>
      </c>
      <c r="AM453" s="0" t="n">
        <v>0</v>
      </c>
    </row>
    <row r="454" customFormat="false" ht="12.75" hidden="false" customHeight="false" outlineLevel="0" collapsed="false">
      <c r="A454" s="0" t="s">
        <v>621</v>
      </c>
      <c r="B454" s="0" t="s">
        <v>358</v>
      </c>
      <c r="C454" s="0" t="s">
        <v>622</v>
      </c>
      <c r="D454" s="0" t="s">
        <v>623</v>
      </c>
      <c r="E454" s="0" t="s">
        <v>131</v>
      </c>
      <c r="F454" s="0" t="s">
        <v>255</v>
      </c>
      <c r="G454" s="0" t="s">
        <v>628</v>
      </c>
      <c r="H454" s="0" t="s">
        <v>625</v>
      </c>
      <c r="I454" s="0" t="s">
        <v>626</v>
      </c>
      <c r="J454" s="0" t="s">
        <v>627</v>
      </c>
      <c r="K454" s="475" t="n">
        <v>37316</v>
      </c>
      <c r="L454" s="254" t="n">
        <v>-296642.247980018</v>
      </c>
      <c r="M454" s="475" t="n">
        <v>37314</v>
      </c>
      <c r="N454" s="0" t="s">
        <v>132</v>
      </c>
      <c r="O454" s="0" t="n">
        <v>0.95</v>
      </c>
      <c r="P454" s="0" t="n">
        <v>0</v>
      </c>
      <c r="Q454" s="0" t="n">
        <v>0</v>
      </c>
      <c r="R454" s="0" t="n">
        <v>0</v>
      </c>
      <c r="S454" s="0" t="n">
        <v>0</v>
      </c>
      <c r="T454" s="0" t="s">
        <v>624</v>
      </c>
      <c r="U454" s="0" t="s">
        <v>149</v>
      </c>
      <c r="V454" s="0" t="s">
        <v>624</v>
      </c>
      <c r="W454" s="0" t="s">
        <v>569</v>
      </c>
      <c r="X454" s="0" t="s">
        <v>624</v>
      </c>
      <c r="Y454" s="0" t="s">
        <v>627</v>
      </c>
      <c r="Z454" s="0" t="s">
        <v>629</v>
      </c>
      <c r="AA454" s="0" t="s">
        <v>624</v>
      </c>
      <c r="AB454" s="0" t="s">
        <v>132</v>
      </c>
      <c r="AC454" s="254" t="n">
        <v>-1000000</v>
      </c>
      <c r="AD454" s="254" t="n">
        <v>-48929.7139680469</v>
      </c>
      <c r="AE454" s="0" t="n">
        <v>0</v>
      </c>
      <c r="AF454" s="0" t="n">
        <v>0</v>
      </c>
      <c r="AG454" s="0" t="n">
        <v>0</v>
      </c>
      <c r="AH454" s="254" t="n">
        <v>9838.85823520669</v>
      </c>
      <c r="AI454" s="0" t="n">
        <v>226</v>
      </c>
      <c r="AJ454" s="0" t="s">
        <v>630</v>
      </c>
      <c r="AK454" s="0" t="n">
        <v>0</v>
      </c>
      <c r="AL454" s="0" t="n">
        <v>0</v>
      </c>
      <c r="AM454" s="0" t="n">
        <v>0</v>
      </c>
    </row>
    <row r="455" customFormat="false" ht="12.75" hidden="false" customHeight="false" outlineLevel="0" collapsed="false">
      <c r="A455" s="0" t="s">
        <v>621</v>
      </c>
      <c r="B455" s="0" t="s">
        <v>358</v>
      </c>
      <c r="C455" s="0" t="s">
        <v>622</v>
      </c>
      <c r="D455" s="0" t="s">
        <v>623</v>
      </c>
      <c r="E455" s="0" t="s">
        <v>131</v>
      </c>
      <c r="F455" s="0" t="s">
        <v>255</v>
      </c>
      <c r="G455" s="0" t="s">
        <v>628</v>
      </c>
      <c r="H455" s="0" t="s">
        <v>625</v>
      </c>
      <c r="I455" s="0" t="s">
        <v>626</v>
      </c>
      <c r="J455" s="0" t="s">
        <v>627</v>
      </c>
      <c r="K455" s="475" t="n">
        <v>37288</v>
      </c>
      <c r="L455" s="254" t="n">
        <v>-156044.618022908</v>
      </c>
      <c r="M455" s="475" t="n">
        <v>37286</v>
      </c>
      <c r="N455" s="0" t="s">
        <v>132</v>
      </c>
      <c r="O455" s="0" t="n">
        <v>0.95</v>
      </c>
      <c r="P455" s="0" t="n">
        <v>0</v>
      </c>
      <c r="Q455" s="0" t="n">
        <v>0</v>
      </c>
      <c r="R455" s="0" t="n">
        <v>0</v>
      </c>
      <c r="S455" s="0" t="n">
        <v>0</v>
      </c>
      <c r="T455" s="0" t="s">
        <v>624</v>
      </c>
      <c r="U455" s="0" t="s">
        <v>149</v>
      </c>
      <c r="V455" s="0" t="s">
        <v>624</v>
      </c>
      <c r="W455" s="0" t="s">
        <v>569</v>
      </c>
      <c r="X455" s="0" t="s">
        <v>624</v>
      </c>
      <c r="Y455" s="0" t="s">
        <v>627</v>
      </c>
      <c r="Z455" s="0" t="s">
        <v>629</v>
      </c>
      <c r="AA455" s="0" t="s">
        <v>624</v>
      </c>
      <c r="AB455" s="0" t="s">
        <v>132</v>
      </c>
      <c r="AC455" s="254" t="n">
        <v>-1000000</v>
      </c>
      <c r="AD455" s="254" t="n">
        <v>-41105.3251797784</v>
      </c>
      <c r="AE455" s="0" t="n">
        <v>0</v>
      </c>
      <c r="AF455" s="0" t="n">
        <v>0</v>
      </c>
      <c r="AG455" s="0" t="n">
        <v>0</v>
      </c>
      <c r="AH455" s="254" t="n">
        <v>4650.67626417292</v>
      </c>
      <c r="AI455" s="0" t="n">
        <v>226</v>
      </c>
      <c r="AJ455" s="0" t="s">
        <v>630</v>
      </c>
      <c r="AK455" s="0" t="n">
        <v>0</v>
      </c>
      <c r="AL455" s="0" t="n">
        <v>0</v>
      </c>
      <c r="AM455" s="0" t="n">
        <v>0</v>
      </c>
    </row>
    <row r="456" customFormat="false" ht="12.75" hidden="false" customHeight="false" outlineLevel="0" collapsed="false">
      <c r="A456" s="0" t="s">
        <v>621</v>
      </c>
      <c r="B456" s="0" t="s">
        <v>358</v>
      </c>
      <c r="C456" s="0" t="s">
        <v>622</v>
      </c>
      <c r="D456" s="0" t="s">
        <v>623</v>
      </c>
      <c r="E456" s="0" t="s">
        <v>131</v>
      </c>
      <c r="F456" s="0" t="s">
        <v>255</v>
      </c>
      <c r="G456" s="0" t="s">
        <v>628</v>
      </c>
      <c r="H456" s="0" t="s">
        <v>625</v>
      </c>
      <c r="I456" s="0" t="s">
        <v>626</v>
      </c>
      <c r="J456" s="0" t="s">
        <v>627</v>
      </c>
      <c r="K456" s="475" t="n">
        <v>37257</v>
      </c>
      <c r="L456" s="254" t="n">
        <v>-167122.470763814</v>
      </c>
      <c r="M456" s="475" t="n">
        <v>37253</v>
      </c>
      <c r="N456" s="0" t="s">
        <v>132</v>
      </c>
      <c r="O456" s="0" t="n">
        <v>0.95</v>
      </c>
      <c r="P456" s="0" t="n">
        <v>0</v>
      </c>
      <c r="Q456" s="0" t="n">
        <v>0</v>
      </c>
      <c r="R456" s="0" t="n">
        <v>0</v>
      </c>
      <c r="S456" s="0" t="n">
        <v>0</v>
      </c>
      <c r="T456" s="0" t="s">
        <v>624</v>
      </c>
      <c r="U456" s="0" t="s">
        <v>149</v>
      </c>
      <c r="V456" s="0" t="s">
        <v>624</v>
      </c>
      <c r="W456" s="0" t="s">
        <v>569</v>
      </c>
      <c r="X456" s="0" t="s">
        <v>624</v>
      </c>
      <c r="Y456" s="0" t="s">
        <v>627</v>
      </c>
      <c r="Z456" s="0" t="s">
        <v>629</v>
      </c>
      <c r="AA456" s="0" t="s">
        <v>624</v>
      </c>
      <c r="AB456" s="0" t="s">
        <v>132</v>
      </c>
      <c r="AC456" s="254" t="n">
        <v>-1000000</v>
      </c>
      <c r="AD456" s="254" t="n">
        <v>-42724.8331510956</v>
      </c>
      <c r="AE456" s="0" t="n">
        <v>0</v>
      </c>
      <c r="AF456" s="0" t="n">
        <v>0</v>
      </c>
      <c r="AG456" s="0" t="n">
        <v>0</v>
      </c>
      <c r="AH456" s="254" t="n">
        <v>4663.46555393835</v>
      </c>
      <c r="AI456" s="0" t="n">
        <v>226</v>
      </c>
      <c r="AJ456" s="0" t="s">
        <v>630</v>
      </c>
      <c r="AK456" s="0" t="n">
        <v>0</v>
      </c>
      <c r="AL456" s="0" t="n">
        <v>0</v>
      </c>
      <c r="AM456" s="0" t="n">
        <v>0</v>
      </c>
    </row>
    <row r="457" customFormat="false" ht="12.75" hidden="false" customHeight="false" outlineLevel="0" collapsed="false">
      <c r="A457" s="0" t="s">
        <v>621</v>
      </c>
      <c r="B457" s="0" t="s">
        <v>358</v>
      </c>
      <c r="C457" s="0" t="s">
        <v>622</v>
      </c>
      <c r="D457" s="0" t="s">
        <v>623</v>
      </c>
      <c r="E457" s="0" t="s">
        <v>131</v>
      </c>
      <c r="F457" s="0" t="s">
        <v>255</v>
      </c>
      <c r="G457" s="0" t="s">
        <v>628</v>
      </c>
      <c r="H457" s="0" t="s">
        <v>625</v>
      </c>
      <c r="I457" s="0" t="s">
        <v>626</v>
      </c>
      <c r="J457" s="0" t="s">
        <v>627</v>
      </c>
      <c r="K457" s="475" t="n">
        <v>37226</v>
      </c>
      <c r="L457" s="254" t="n">
        <v>-216931.413674174</v>
      </c>
      <c r="M457" s="475" t="n">
        <v>37224</v>
      </c>
      <c r="N457" s="0" t="s">
        <v>132</v>
      </c>
      <c r="O457" s="0" t="n">
        <v>0.95</v>
      </c>
      <c r="P457" s="0" t="n">
        <v>0</v>
      </c>
      <c r="Q457" s="0" t="n">
        <v>0</v>
      </c>
      <c r="R457" s="0" t="n">
        <v>0</v>
      </c>
      <c r="S457" s="0" t="n">
        <v>0</v>
      </c>
      <c r="T457" s="0" t="s">
        <v>624</v>
      </c>
      <c r="U457" s="0" t="s">
        <v>149</v>
      </c>
      <c r="V457" s="0" t="s">
        <v>624</v>
      </c>
      <c r="W457" s="0" t="s">
        <v>569</v>
      </c>
      <c r="X457" s="0" t="s">
        <v>624</v>
      </c>
      <c r="Y457" s="0" t="s">
        <v>627</v>
      </c>
      <c r="Z457" s="0" t="s">
        <v>629</v>
      </c>
      <c r="AA457" s="0" t="s">
        <v>624</v>
      </c>
      <c r="AB457" s="0" t="s">
        <v>132</v>
      </c>
      <c r="AC457" s="254" t="n">
        <v>-1000000</v>
      </c>
      <c r="AD457" s="254" t="n">
        <v>-46630.5862305667</v>
      </c>
      <c r="AE457" s="0" t="n">
        <v>0</v>
      </c>
      <c r="AF457" s="0" t="n">
        <v>0</v>
      </c>
      <c r="AG457" s="0" t="n">
        <v>0</v>
      </c>
      <c r="AH457" s="254" t="n">
        <v>6430.23860850625</v>
      </c>
      <c r="AI457" s="0" t="n">
        <v>226</v>
      </c>
      <c r="AJ457" s="0" t="s">
        <v>630</v>
      </c>
      <c r="AK457" s="0" t="n">
        <v>0</v>
      </c>
      <c r="AL457" s="0" t="n">
        <v>0</v>
      </c>
      <c r="AM457" s="0" t="n">
        <v>0</v>
      </c>
    </row>
    <row r="458" customFormat="false" ht="12.75" hidden="false" customHeight="false" outlineLevel="0" collapsed="false">
      <c r="A458" s="0" t="s">
        <v>621</v>
      </c>
      <c r="B458" s="0" t="s">
        <v>358</v>
      </c>
      <c r="C458" s="0" t="s">
        <v>622</v>
      </c>
      <c r="D458" s="0" t="s">
        <v>623</v>
      </c>
      <c r="E458" s="0" t="s">
        <v>131</v>
      </c>
      <c r="F458" s="0" t="s">
        <v>255</v>
      </c>
      <c r="G458" s="0" t="s">
        <v>628</v>
      </c>
      <c r="H458" s="0" t="s">
        <v>625</v>
      </c>
      <c r="I458" s="0" t="s">
        <v>626</v>
      </c>
      <c r="J458" s="0" t="s">
        <v>627</v>
      </c>
      <c r="K458" s="475" t="n">
        <v>37196</v>
      </c>
      <c r="L458" s="254" t="n">
        <v>-350551.480878338</v>
      </c>
      <c r="M458" s="475" t="n">
        <v>37194</v>
      </c>
      <c r="N458" s="0" t="s">
        <v>132</v>
      </c>
      <c r="O458" s="0" t="n">
        <v>0.95</v>
      </c>
      <c r="P458" s="0" t="n">
        <v>0</v>
      </c>
      <c r="Q458" s="0" t="n">
        <v>0</v>
      </c>
      <c r="R458" s="0" t="n">
        <v>0</v>
      </c>
      <c r="S458" s="0" t="n">
        <v>0</v>
      </c>
      <c r="T458" s="0" t="s">
        <v>624</v>
      </c>
      <c r="U458" s="0" t="s">
        <v>149</v>
      </c>
      <c r="V458" s="0" t="s">
        <v>624</v>
      </c>
      <c r="W458" s="0" t="s">
        <v>569</v>
      </c>
      <c r="X458" s="0" t="s">
        <v>624</v>
      </c>
      <c r="Y458" s="0" t="s">
        <v>627</v>
      </c>
      <c r="Z458" s="0" t="s">
        <v>629</v>
      </c>
      <c r="AA458" s="0" t="s">
        <v>624</v>
      </c>
      <c r="AB458" s="0" t="s">
        <v>132</v>
      </c>
      <c r="AC458" s="254" t="n">
        <v>-1000000</v>
      </c>
      <c r="AD458" s="254" t="n">
        <v>-49712.2634615444</v>
      </c>
      <c r="AE458" s="0" t="n">
        <v>0</v>
      </c>
      <c r="AF458" s="0" t="n">
        <v>0</v>
      </c>
      <c r="AG458" s="0" t="n">
        <v>0</v>
      </c>
      <c r="AH458" s="254" t="n">
        <v>11080.1250841242</v>
      </c>
      <c r="AI458" s="0" t="n">
        <v>226</v>
      </c>
      <c r="AJ458" s="0" t="s">
        <v>630</v>
      </c>
      <c r="AK458" s="0" t="n">
        <v>0</v>
      </c>
      <c r="AL458" s="0" t="n">
        <v>0</v>
      </c>
      <c r="AM458" s="0" t="n">
        <v>0</v>
      </c>
    </row>
    <row r="459" customFormat="false" ht="12.75" hidden="false" customHeight="false" outlineLevel="0" collapsed="false">
      <c r="A459" s="0" t="s">
        <v>621</v>
      </c>
      <c r="B459" s="0" t="s">
        <v>359</v>
      </c>
      <c r="C459" s="0" t="s">
        <v>622</v>
      </c>
      <c r="D459" s="0" t="s">
        <v>623</v>
      </c>
      <c r="E459" s="0" t="s">
        <v>131</v>
      </c>
      <c r="F459" s="0" t="s">
        <v>198</v>
      </c>
      <c r="G459" s="0" t="s">
        <v>628</v>
      </c>
      <c r="H459" s="0" t="s">
        <v>625</v>
      </c>
      <c r="I459" s="0" t="s">
        <v>626</v>
      </c>
      <c r="J459" s="0" t="s">
        <v>627</v>
      </c>
      <c r="K459" s="475" t="n">
        <v>36951</v>
      </c>
      <c r="L459" s="254" t="n">
        <v>-303941.584971605</v>
      </c>
      <c r="M459" s="475" t="n">
        <v>36949</v>
      </c>
      <c r="N459" s="0" t="s">
        <v>136</v>
      </c>
      <c r="O459" s="0" t="n">
        <v>1.7</v>
      </c>
      <c r="P459" s="0" t="n">
        <v>0</v>
      </c>
      <c r="Q459" s="0" t="n">
        <v>0</v>
      </c>
      <c r="R459" s="0" t="n">
        <v>0</v>
      </c>
      <c r="S459" s="0" t="n">
        <v>0</v>
      </c>
      <c r="T459" s="0" t="s">
        <v>624</v>
      </c>
      <c r="U459" s="0" t="s">
        <v>149</v>
      </c>
      <c r="V459" s="0" t="s">
        <v>624</v>
      </c>
      <c r="W459" s="0" t="s">
        <v>569</v>
      </c>
      <c r="X459" s="0" t="s">
        <v>624</v>
      </c>
      <c r="Y459" s="0" t="s">
        <v>627</v>
      </c>
      <c r="Z459" s="0" t="s">
        <v>629</v>
      </c>
      <c r="AA459" s="0" t="s">
        <v>624</v>
      </c>
      <c r="AB459" s="0" t="s">
        <v>132</v>
      </c>
      <c r="AC459" s="254" t="n">
        <v>-1000000</v>
      </c>
      <c r="AD459" s="254" t="n">
        <v>-78653.6183413274</v>
      </c>
      <c r="AE459" s="0" t="n">
        <v>0</v>
      </c>
      <c r="AF459" s="0" t="n">
        <v>0</v>
      </c>
      <c r="AG459" s="0" t="n">
        <v>0</v>
      </c>
      <c r="AH459" s="254" t="n">
        <v>-25626.494354564</v>
      </c>
      <c r="AI459" s="0" t="n">
        <v>226</v>
      </c>
      <c r="AJ459" s="0" t="s">
        <v>630</v>
      </c>
      <c r="AK459" s="0" t="n">
        <v>0</v>
      </c>
      <c r="AL459" s="0" t="n">
        <v>0</v>
      </c>
      <c r="AM459" s="0" t="n">
        <v>0</v>
      </c>
    </row>
    <row r="460" customFormat="false" ht="12.75" hidden="false" customHeight="false" outlineLevel="0" collapsed="false">
      <c r="A460" s="0" t="s">
        <v>621</v>
      </c>
      <c r="B460" s="0" t="s">
        <v>359</v>
      </c>
      <c r="C460" s="0" t="s">
        <v>622</v>
      </c>
      <c r="D460" s="0" t="s">
        <v>623</v>
      </c>
      <c r="E460" s="0" t="s">
        <v>131</v>
      </c>
      <c r="F460" s="0" t="s">
        <v>198</v>
      </c>
      <c r="G460" s="0" t="s">
        <v>628</v>
      </c>
      <c r="H460" s="0" t="s">
        <v>625</v>
      </c>
      <c r="I460" s="0" t="s">
        <v>626</v>
      </c>
      <c r="J460" s="0" t="s">
        <v>627</v>
      </c>
      <c r="K460" s="475" t="n">
        <v>36923</v>
      </c>
      <c r="L460" s="254" t="n">
        <v>-855869.332716489</v>
      </c>
      <c r="M460" s="475" t="n">
        <v>36921</v>
      </c>
      <c r="N460" s="0" t="s">
        <v>136</v>
      </c>
      <c r="O460" s="0" t="n">
        <v>1.7</v>
      </c>
      <c r="P460" s="0" t="n">
        <v>0</v>
      </c>
      <c r="Q460" s="0" t="n">
        <v>0</v>
      </c>
      <c r="R460" s="0" t="n">
        <v>0</v>
      </c>
      <c r="S460" s="0" t="n">
        <v>0</v>
      </c>
      <c r="T460" s="0" t="s">
        <v>624</v>
      </c>
      <c r="U460" s="0" t="s">
        <v>149</v>
      </c>
      <c r="V460" s="0" t="s">
        <v>624</v>
      </c>
      <c r="W460" s="0" t="s">
        <v>569</v>
      </c>
      <c r="X460" s="0" t="s">
        <v>624</v>
      </c>
      <c r="Y460" s="0" t="s">
        <v>627</v>
      </c>
      <c r="Z460" s="0" t="s">
        <v>629</v>
      </c>
      <c r="AA460" s="0" t="s">
        <v>624</v>
      </c>
      <c r="AB460" s="0" t="s">
        <v>132</v>
      </c>
      <c r="AC460" s="254" t="n">
        <v>-1000000</v>
      </c>
      <c r="AD460" s="254" t="n">
        <v>-84947.4916668227</v>
      </c>
      <c r="AE460" s="0" t="n">
        <v>0</v>
      </c>
      <c r="AF460" s="0" t="n">
        <v>0</v>
      </c>
      <c r="AG460" s="0" t="n">
        <v>0</v>
      </c>
      <c r="AH460" s="254" t="n">
        <v>-47406.5971831759</v>
      </c>
      <c r="AI460" s="0" t="n">
        <v>226</v>
      </c>
      <c r="AJ460" s="0" t="s">
        <v>630</v>
      </c>
      <c r="AK460" s="0" t="n">
        <v>0</v>
      </c>
      <c r="AL460" s="0" t="n">
        <v>0</v>
      </c>
      <c r="AM460" s="0" t="n">
        <v>0</v>
      </c>
    </row>
    <row r="461" customFormat="false" ht="12.75" hidden="false" customHeight="false" outlineLevel="0" collapsed="false">
      <c r="A461" s="0" t="s">
        <v>621</v>
      </c>
      <c r="B461" s="0" t="s">
        <v>359</v>
      </c>
      <c r="C461" s="0" t="s">
        <v>622</v>
      </c>
      <c r="D461" s="0" t="s">
        <v>623</v>
      </c>
      <c r="E461" s="0" t="s">
        <v>131</v>
      </c>
      <c r="F461" s="0" t="s">
        <v>198</v>
      </c>
      <c r="G461" s="0" t="s">
        <v>628</v>
      </c>
      <c r="H461" s="0" t="s">
        <v>625</v>
      </c>
      <c r="I461" s="0" t="s">
        <v>626</v>
      </c>
      <c r="J461" s="0" t="s">
        <v>627</v>
      </c>
      <c r="K461" s="475" t="n">
        <v>36892</v>
      </c>
      <c r="L461" s="254" t="n">
        <v>-874065.095188725</v>
      </c>
      <c r="M461" s="475" t="n">
        <v>36888</v>
      </c>
      <c r="N461" s="0" t="s">
        <v>136</v>
      </c>
      <c r="O461" s="0" t="n">
        <v>1.7</v>
      </c>
      <c r="P461" s="0" t="n">
        <v>0</v>
      </c>
      <c r="Q461" s="0" t="n">
        <v>0</v>
      </c>
      <c r="R461" s="0" t="n">
        <v>0</v>
      </c>
      <c r="S461" s="0" t="n">
        <v>0</v>
      </c>
      <c r="T461" s="0" t="s">
        <v>624</v>
      </c>
      <c r="U461" s="0" t="s">
        <v>149</v>
      </c>
      <c r="V461" s="0" t="s">
        <v>624</v>
      </c>
      <c r="W461" s="0" t="s">
        <v>569</v>
      </c>
      <c r="X461" s="0" t="s">
        <v>624</v>
      </c>
      <c r="Y461" s="0" t="s">
        <v>627</v>
      </c>
      <c r="Z461" s="0" t="s">
        <v>629</v>
      </c>
      <c r="AA461" s="0" t="s">
        <v>624</v>
      </c>
      <c r="AB461" s="0" t="s">
        <v>132</v>
      </c>
      <c r="AC461" s="254" t="n">
        <v>-1000000</v>
      </c>
      <c r="AD461" s="254" t="n">
        <v>-76646.4115827656</v>
      </c>
      <c r="AE461" s="0" t="n">
        <v>0</v>
      </c>
      <c r="AF461" s="0" t="n">
        <v>0</v>
      </c>
      <c r="AG461" s="0" t="n">
        <v>0</v>
      </c>
      <c r="AH461" s="254" t="n">
        <v>-42184.4090023559</v>
      </c>
      <c r="AI461" s="0" t="n">
        <v>226</v>
      </c>
      <c r="AJ461" s="0" t="s">
        <v>630</v>
      </c>
      <c r="AK461" s="0" t="n">
        <v>0</v>
      </c>
      <c r="AL461" s="0" t="n">
        <v>0</v>
      </c>
      <c r="AM461" s="0" t="n">
        <v>0</v>
      </c>
    </row>
    <row r="462" customFormat="false" ht="12.75" hidden="false" customHeight="false" outlineLevel="0" collapsed="false">
      <c r="A462" s="0" t="s">
        <v>621</v>
      </c>
      <c r="B462" s="0" t="s">
        <v>359</v>
      </c>
      <c r="C462" s="0" t="s">
        <v>622</v>
      </c>
      <c r="D462" s="0" t="s">
        <v>623</v>
      </c>
      <c r="E462" s="0" t="s">
        <v>131</v>
      </c>
      <c r="F462" s="0" t="s">
        <v>198</v>
      </c>
      <c r="G462" s="0" t="s">
        <v>628</v>
      </c>
      <c r="H462" s="0" t="s">
        <v>625</v>
      </c>
      <c r="I462" s="0" t="s">
        <v>626</v>
      </c>
      <c r="J462" s="0" t="s">
        <v>627</v>
      </c>
      <c r="K462" s="475" t="n">
        <v>36861</v>
      </c>
      <c r="L462" s="254" t="n">
        <v>-492915.467469331</v>
      </c>
      <c r="M462" s="475" t="n">
        <v>36859</v>
      </c>
      <c r="N462" s="0" t="s">
        <v>136</v>
      </c>
      <c r="O462" s="0" t="n">
        <v>1.7</v>
      </c>
      <c r="P462" s="0" t="n">
        <v>0</v>
      </c>
      <c r="Q462" s="0" t="n">
        <v>0</v>
      </c>
      <c r="R462" s="0" t="n">
        <v>0</v>
      </c>
      <c r="S462" s="0" t="n">
        <v>0</v>
      </c>
      <c r="T462" s="0" t="s">
        <v>624</v>
      </c>
      <c r="U462" s="0" t="s">
        <v>149</v>
      </c>
      <c r="V462" s="0" t="s">
        <v>624</v>
      </c>
      <c r="W462" s="0" t="s">
        <v>569</v>
      </c>
      <c r="X462" s="0" t="s">
        <v>624</v>
      </c>
      <c r="Y462" s="0" t="s">
        <v>627</v>
      </c>
      <c r="Z462" s="0" t="s">
        <v>629</v>
      </c>
      <c r="AA462" s="0" t="s">
        <v>624</v>
      </c>
      <c r="AB462" s="0" t="s">
        <v>132</v>
      </c>
      <c r="AC462" s="254" t="n">
        <v>-1000000</v>
      </c>
      <c r="AD462" s="254" t="n">
        <v>-70475.5846196589</v>
      </c>
      <c r="AE462" s="0" t="n">
        <v>0</v>
      </c>
      <c r="AF462" s="0" t="n">
        <v>0</v>
      </c>
      <c r="AG462" s="0" t="n">
        <v>0</v>
      </c>
      <c r="AH462" s="254" t="n">
        <v>-26515.1085327822</v>
      </c>
      <c r="AI462" s="0" t="n">
        <v>226</v>
      </c>
      <c r="AJ462" s="0" t="s">
        <v>630</v>
      </c>
      <c r="AK462" s="0" t="n">
        <v>0</v>
      </c>
      <c r="AL462" s="0" t="n">
        <v>0</v>
      </c>
      <c r="AM462" s="0" t="n">
        <v>0</v>
      </c>
    </row>
    <row r="463" customFormat="false" ht="12.75" hidden="false" customHeight="false" outlineLevel="0" collapsed="false">
      <c r="A463" s="0" t="s">
        <v>621</v>
      </c>
      <c r="B463" s="0" t="s">
        <v>359</v>
      </c>
      <c r="C463" s="0" t="s">
        <v>622</v>
      </c>
      <c r="D463" s="0" t="s">
        <v>623</v>
      </c>
      <c r="E463" s="0" t="s">
        <v>131</v>
      </c>
      <c r="F463" s="0" t="s">
        <v>198</v>
      </c>
      <c r="G463" s="0" t="s">
        <v>628</v>
      </c>
      <c r="H463" s="0" t="s">
        <v>625</v>
      </c>
      <c r="I463" s="0" t="s">
        <v>626</v>
      </c>
      <c r="J463" s="0" t="s">
        <v>627</v>
      </c>
      <c r="K463" s="475" t="n">
        <v>36831</v>
      </c>
      <c r="L463" s="254" t="n">
        <v>-39805.7070905871</v>
      </c>
      <c r="M463" s="475" t="n">
        <v>36829</v>
      </c>
      <c r="N463" s="0" t="s">
        <v>136</v>
      </c>
      <c r="O463" s="0" t="n">
        <v>1.7</v>
      </c>
      <c r="P463" s="0" t="n">
        <v>0</v>
      </c>
      <c r="Q463" s="0" t="n">
        <v>0</v>
      </c>
      <c r="R463" s="0" t="n">
        <v>0</v>
      </c>
      <c r="S463" s="0" t="n">
        <v>0</v>
      </c>
      <c r="T463" s="0" t="s">
        <v>624</v>
      </c>
      <c r="U463" s="0" t="s">
        <v>149</v>
      </c>
      <c r="V463" s="0" t="s">
        <v>624</v>
      </c>
      <c r="W463" s="0" t="s">
        <v>569</v>
      </c>
      <c r="X463" s="0" t="s">
        <v>624</v>
      </c>
      <c r="Y463" s="0" t="s">
        <v>627</v>
      </c>
      <c r="Z463" s="0" t="s">
        <v>629</v>
      </c>
      <c r="AA463" s="0" t="s">
        <v>624</v>
      </c>
      <c r="AB463" s="0" t="s">
        <v>132</v>
      </c>
      <c r="AC463" s="254" t="n">
        <v>-1000000</v>
      </c>
      <c r="AD463" s="254" t="n">
        <v>-20019.4925375773</v>
      </c>
      <c r="AE463" s="0" t="n">
        <v>0</v>
      </c>
      <c r="AF463" s="0" t="n">
        <v>0</v>
      </c>
      <c r="AG463" s="0" t="n">
        <v>0</v>
      </c>
      <c r="AH463" s="254" t="n">
        <v>-5844.34960801612</v>
      </c>
      <c r="AI463" s="0" t="n">
        <v>226</v>
      </c>
      <c r="AJ463" s="0" t="s">
        <v>630</v>
      </c>
      <c r="AK463" s="0" t="n">
        <v>0</v>
      </c>
      <c r="AL463" s="0" t="n">
        <v>0</v>
      </c>
      <c r="AM463" s="0" t="n">
        <v>0</v>
      </c>
    </row>
    <row r="464" customFormat="false" ht="12.75" hidden="false" customHeight="false" outlineLevel="0" collapsed="false">
      <c r="A464" s="0" t="s">
        <v>621</v>
      </c>
      <c r="B464" s="0" t="s">
        <v>360</v>
      </c>
      <c r="C464" s="0" t="s">
        <v>622</v>
      </c>
      <c r="D464" s="0" t="s">
        <v>623</v>
      </c>
      <c r="E464" s="0" t="s">
        <v>131</v>
      </c>
      <c r="F464" s="0" t="s">
        <v>198</v>
      </c>
      <c r="G464" s="0" t="s">
        <v>628</v>
      </c>
      <c r="H464" s="0" t="s">
        <v>625</v>
      </c>
      <c r="I464" s="0" t="s">
        <v>626</v>
      </c>
      <c r="J464" s="0" t="s">
        <v>627</v>
      </c>
      <c r="K464" s="475" t="n">
        <v>36951</v>
      </c>
      <c r="L464" s="254" t="n">
        <v>-907740.381292351</v>
      </c>
      <c r="M464" s="475" t="n">
        <v>36949</v>
      </c>
      <c r="N464" s="0" t="s">
        <v>132</v>
      </c>
      <c r="O464" s="0" t="n">
        <v>1.7</v>
      </c>
      <c r="P464" s="0" t="n">
        <v>0</v>
      </c>
      <c r="Q464" s="0" t="n">
        <v>0</v>
      </c>
      <c r="R464" s="0" t="n">
        <v>0</v>
      </c>
      <c r="S464" s="0" t="n">
        <v>0</v>
      </c>
      <c r="T464" s="0" t="s">
        <v>624</v>
      </c>
      <c r="U464" s="0" t="s">
        <v>149</v>
      </c>
      <c r="V464" s="0" t="s">
        <v>624</v>
      </c>
      <c r="W464" s="0" t="s">
        <v>569</v>
      </c>
      <c r="X464" s="0" t="s">
        <v>624</v>
      </c>
      <c r="Y464" s="0" t="s">
        <v>627</v>
      </c>
      <c r="Z464" s="0" t="s">
        <v>629</v>
      </c>
      <c r="AA464" s="0" t="s">
        <v>624</v>
      </c>
      <c r="AB464" s="0" t="s">
        <v>132</v>
      </c>
      <c r="AC464" s="254" t="n">
        <v>-1000000</v>
      </c>
      <c r="AD464" s="254" t="n">
        <v>-78653.6183413273</v>
      </c>
      <c r="AE464" s="0" t="n">
        <v>0</v>
      </c>
      <c r="AF464" s="0" t="n">
        <v>0</v>
      </c>
      <c r="AG464" s="0" t="n">
        <v>0</v>
      </c>
      <c r="AH464" s="254" t="n">
        <v>32309.6395529845</v>
      </c>
      <c r="AI464" s="0" t="n">
        <v>226</v>
      </c>
      <c r="AJ464" s="0" t="s">
        <v>630</v>
      </c>
      <c r="AK464" s="0" t="n">
        <v>0</v>
      </c>
      <c r="AL464" s="0" t="n">
        <v>0</v>
      </c>
      <c r="AM464" s="0" t="n">
        <v>0</v>
      </c>
    </row>
    <row r="465" customFormat="false" ht="12.75" hidden="false" customHeight="false" outlineLevel="0" collapsed="false">
      <c r="A465" s="0" t="s">
        <v>621</v>
      </c>
      <c r="B465" s="0" t="s">
        <v>360</v>
      </c>
      <c r="C465" s="0" t="s">
        <v>622</v>
      </c>
      <c r="D465" s="0" t="s">
        <v>623</v>
      </c>
      <c r="E465" s="0" t="s">
        <v>131</v>
      </c>
      <c r="F465" s="0" t="s">
        <v>198</v>
      </c>
      <c r="G465" s="0" t="s">
        <v>628</v>
      </c>
      <c r="H465" s="0" t="s">
        <v>625</v>
      </c>
      <c r="I465" s="0" t="s">
        <v>626</v>
      </c>
      <c r="J465" s="0" t="s">
        <v>627</v>
      </c>
      <c r="K465" s="475" t="n">
        <v>36923</v>
      </c>
      <c r="L465" s="254" t="n">
        <v>-477065.632907757</v>
      </c>
      <c r="M465" s="475" t="n">
        <v>36921</v>
      </c>
      <c r="N465" s="0" t="s">
        <v>132</v>
      </c>
      <c r="O465" s="0" t="n">
        <v>1.7</v>
      </c>
      <c r="P465" s="0" t="n">
        <v>0</v>
      </c>
      <c r="Q465" s="0" t="n">
        <v>0</v>
      </c>
      <c r="R465" s="0" t="n">
        <v>0</v>
      </c>
      <c r="S465" s="0" t="n">
        <v>0</v>
      </c>
      <c r="T465" s="0" t="s">
        <v>624</v>
      </c>
      <c r="U465" s="0" t="s">
        <v>149</v>
      </c>
      <c r="V465" s="0" t="s">
        <v>624</v>
      </c>
      <c r="W465" s="0" t="s">
        <v>569</v>
      </c>
      <c r="X465" s="0" t="s">
        <v>624</v>
      </c>
      <c r="Y465" s="0" t="s">
        <v>627</v>
      </c>
      <c r="Z465" s="0" t="s">
        <v>629</v>
      </c>
      <c r="AA465" s="0" t="s">
        <v>624</v>
      </c>
      <c r="AB465" s="0" t="s">
        <v>132</v>
      </c>
      <c r="AC465" s="254" t="n">
        <v>-1000000</v>
      </c>
      <c r="AD465" s="254" t="n">
        <v>-84947.4916668227</v>
      </c>
      <c r="AE465" s="0" t="n">
        <v>0</v>
      </c>
      <c r="AF465" s="0" t="n">
        <v>0</v>
      </c>
      <c r="AG465" s="0" t="n">
        <v>0</v>
      </c>
      <c r="AH465" s="254" t="n">
        <v>20548.859436377</v>
      </c>
      <c r="AI465" s="0" t="n">
        <v>226</v>
      </c>
      <c r="AJ465" s="0" t="s">
        <v>630</v>
      </c>
      <c r="AK465" s="0" t="n">
        <v>0</v>
      </c>
      <c r="AL465" s="0" t="n">
        <v>0</v>
      </c>
      <c r="AM465" s="0" t="n">
        <v>0</v>
      </c>
    </row>
    <row r="466" customFormat="false" ht="12.75" hidden="false" customHeight="false" outlineLevel="0" collapsed="false">
      <c r="A466" s="0" t="s">
        <v>621</v>
      </c>
      <c r="B466" s="0" t="s">
        <v>360</v>
      </c>
      <c r="C466" s="0" t="s">
        <v>622</v>
      </c>
      <c r="D466" s="0" t="s">
        <v>623</v>
      </c>
      <c r="E466" s="0" t="s">
        <v>131</v>
      </c>
      <c r="F466" s="0" t="s">
        <v>198</v>
      </c>
      <c r="G466" s="0" t="s">
        <v>628</v>
      </c>
      <c r="H466" s="0" t="s">
        <v>625</v>
      </c>
      <c r="I466" s="0" t="s">
        <v>626</v>
      </c>
      <c r="J466" s="0" t="s">
        <v>627</v>
      </c>
      <c r="K466" s="475" t="n">
        <v>36892</v>
      </c>
      <c r="L466" s="254" t="n">
        <v>-414677.501556948</v>
      </c>
      <c r="M466" s="475" t="n">
        <v>36888</v>
      </c>
      <c r="N466" s="0" t="s">
        <v>132</v>
      </c>
      <c r="O466" s="0" t="n">
        <v>1.7</v>
      </c>
      <c r="P466" s="0" t="n">
        <v>0</v>
      </c>
      <c r="Q466" s="0" t="n">
        <v>0</v>
      </c>
      <c r="R466" s="0" t="n">
        <v>0</v>
      </c>
      <c r="S466" s="0" t="n">
        <v>0</v>
      </c>
      <c r="T466" s="0" t="s">
        <v>624</v>
      </c>
      <c r="U466" s="0" t="s">
        <v>149</v>
      </c>
      <c r="V466" s="0" t="s">
        <v>624</v>
      </c>
      <c r="W466" s="0" t="s">
        <v>569</v>
      </c>
      <c r="X466" s="0" t="s">
        <v>624</v>
      </c>
      <c r="Y466" s="0" t="s">
        <v>627</v>
      </c>
      <c r="Z466" s="0" t="s">
        <v>629</v>
      </c>
      <c r="AA466" s="0" t="s">
        <v>624</v>
      </c>
      <c r="AB466" s="0" t="s">
        <v>132</v>
      </c>
      <c r="AC466" s="254" t="n">
        <v>-1000000</v>
      </c>
      <c r="AD466" s="254" t="n">
        <v>-76646.4115827656</v>
      </c>
      <c r="AE466" s="0" t="n">
        <v>0</v>
      </c>
      <c r="AF466" s="0" t="n">
        <v>0</v>
      </c>
      <c r="AG466" s="0" t="n">
        <v>0</v>
      </c>
      <c r="AH466" s="254" t="n">
        <v>16429.5482475812</v>
      </c>
      <c r="AI466" s="0" t="n">
        <v>226</v>
      </c>
      <c r="AJ466" s="0" t="s">
        <v>630</v>
      </c>
      <c r="AK466" s="0" t="n">
        <v>0</v>
      </c>
      <c r="AL466" s="0" t="n">
        <v>0</v>
      </c>
      <c r="AM466" s="0" t="n">
        <v>0</v>
      </c>
    </row>
    <row r="467" customFormat="false" ht="12.75" hidden="false" customHeight="false" outlineLevel="0" collapsed="false">
      <c r="A467" s="0" t="s">
        <v>621</v>
      </c>
      <c r="B467" s="0" t="s">
        <v>360</v>
      </c>
      <c r="C467" s="0" t="s">
        <v>622</v>
      </c>
      <c r="D467" s="0" t="s">
        <v>623</v>
      </c>
      <c r="E467" s="0" t="s">
        <v>131</v>
      </c>
      <c r="F467" s="0" t="s">
        <v>198</v>
      </c>
      <c r="G467" s="0" t="s">
        <v>628</v>
      </c>
      <c r="H467" s="0" t="s">
        <v>625</v>
      </c>
      <c r="I467" s="0" t="s">
        <v>626</v>
      </c>
      <c r="J467" s="0" t="s">
        <v>627</v>
      </c>
      <c r="K467" s="475" t="n">
        <v>36861</v>
      </c>
      <c r="L467" s="254" t="n">
        <v>-546967.062774382</v>
      </c>
      <c r="M467" s="475" t="n">
        <v>36859</v>
      </c>
      <c r="N467" s="0" t="s">
        <v>132</v>
      </c>
      <c r="O467" s="0" t="n">
        <v>1.7</v>
      </c>
      <c r="P467" s="0" t="n">
        <v>0</v>
      </c>
      <c r="Q467" s="0" t="n">
        <v>0</v>
      </c>
      <c r="R467" s="0" t="n">
        <v>0</v>
      </c>
      <c r="S467" s="0" t="n">
        <v>0</v>
      </c>
      <c r="T467" s="0" t="s">
        <v>624</v>
      </c>
      <c r="U467" s="0" t="s">
        <v>149</v>
      </c>
      <c r="V467" s="0" t="s">
        <v>624</v>
      </c>
      <c r="W467" s="0" t="s">
        <v>569</v>
      </c>
      <c r="X467" s="0" t="s">
        <v>624</v>
      </c>
      <c r="Y467" s="0" t="s">
        <v>627</v>
      </c>
      <c r="Z467" s="0" t="s">
        <v>629</v>
      </c>
      <c r="AA467" s="0" t="s">
        <v>624</v>
      </c>
      <c r="AB467" s="0" t="s">
        <v>132</v>
      </c>
      <c r="AC467" s="254" t="n">
        <v>-1000000</v>
      </c>
      <c r="AD467" s="254" t="n">
        <v>-70475.584619659</v>
      </c>
      <c r="AE467" s="0" t="n">
        <v>0</v>
      </c>
      <c r="AF467" s="0" t="n">
        <v>0</v>
      </c>
      <c r="AG467" s="0" t="n">
        <v>0</v>
      </c>
      <c r="AH467" s="254" t="n">
        <v>17684.5972166557</v>
      </c>
      <c r="AI467" s="0" t="n">
        <v>226</v>
      </c>
      <c r="AJ467" s="0" t="s">
        <v>630</v>
      </c>
      <c r="AK467" s="0" t="n">
        <v>0</v>
      </c>
      <c r="AL467" s="0" t="n">
        <v>0</v>
      </c>
      <c r="AM467" s="0" t="n">
        <v>0</v>
      </c>
    </row>
    <row r="468" customFormat="false" ht="12.75" hidden="false" customHeight="false" outlineLevel="0" collapsed="false">
      <c r="A468" s="0" t="s">
        <v>621</v>
      </c>
      <c r="B468" s="0" t="s">
        <v>360</v>
      </c>
      <c r="C468" s="0" t="s">
        <v>622</v>
      </c>
      <c r="D468" s="0" t="s">
        <v>623</v>
      </c>
      <c r="E468" s="0" t="s">
        <v>131</v>
      </c>
      <c r="F468" s="0" t="s">
        <v>198</v>
      </c>
      <c r="G468" s="0" t="s">
        <v>628</v>
      </c>
      <c r="H468" s="0" t="s">
        <v>625</v>
      </c>
      <c r="I468" s="0" t="s">
        <v>626</v>
      </c>
      <c r="J468" s="0" t="s">
        <v>627</v>
      </c>
      <c r="K468" s="475" t="n">
        <v>36831</v>
      </c>
      <c r="L468" s="254" t="n">
        <v>-958944.575349304</v>
      </c>
      <c r="M468" s="475" t="n">
        <v>36829</v>
      </c>
      <c r="N468" s="0" t="s">
        <v>132</v>
      </c>
      <c r="O468" s="0" t="n">
        <v>1.7</v>
      </c>
      <c r="P468" s="0" t="n">
        <v>0</v>
      </c>
      <c r="Q468" s="0" t="n">
        <v>0</v>
      </c>
      <c r="R468" s="0" t="n">
        <v>0</v>
      </c>
      <c r="S468" s="0" t="n">
        <v>0</v>
      </c>
      <c r="T468" s="0" t="s">
        <v>624</v>
      </c>
      <c r="U468" s="0" t="s">
        <v>149</v>
      </c>
      <c r="V468" s="0" t="s">
        <v>624</v>
      </c>
      <c r="W468" s="0" t="s">
        <v>569</v>
      </c>
      <c r="X468" s="0" t="s">
        <v>624</v>
      </c>
      <c r="Y468" s="0" t="s">
        <v>627</v>
      </c>
      <c r="Z468" s="0" t="s">
        <v>629</v>
      </c>
      <c r="AA468" s="0" t="s">
        <v>624</v>
      </c>
      <c r="AB468" s="0" t="s">
        <v>132</v>
      </c>
      <c r="AC468" s="254" t="n">
        <v>-1000000</v>
      </c>
      <c r="AD468" s="254" t="n">
        <v>-20019.4925375773</v>
      </c>
      <c r="AE468" s="0" t="n">
        <v>0</v>
      </c>
      <c r="AF468" s="0" t="n">
        <v>0</v>
      </c>
      <c r="AG468" s="0" t="n">
        <v>0</v>
      </c>
      <c r="AH468" s="254" t="n">
        <v>33666.7378045536</v>
      </c>
      <c r="AI468" s="0" t="n">
        <v>226</v>
      </c>
      <c r="AJ468" s="0" t="s">
        <v>630</v>
      </c>
      <c r="AK468" s="0" t="n">
        <v>0</v>
      </c>
      <c r="AL468" s="0" t="n">
        <v>0</v>
      </c>
      <c r="AM468" s="0" t="n">
        <v>0</v>
      </c>
    </row>
    <row r="469" customFormat="false" ht="12.75" hidden="false" customHeight="false" outlineLevel="0" collapsed="false">
      <c r="A469" s="0" t="s">
        <v>621</v>
      </c>
      <c r="B469" s="0" t="s">
        <v>361</v>
      </c>
      <c r="C469" s="0" t="s">
        <v>622</v>
      </c>
      <c r="D469" s="0" t="s">
        <v>623</v>
      </c>
      <c r="E469" s="0" t="s">
        <v>131</v>
      </c>
      <c r="F469" s="0" t="s">
        <v>345</v>
      </c>
      <c r="G469" s="0" t="s">
        <v>628</v>
      </c>
      <c r="H469" s="0" t="s">
        <v>625</v>
      </c>
      <c r="I469" s="0" t="s">
        <v>626</v>
      </c>
      <c r="J469" s="0" t="s">
        <v>627</v>
      </c>
      <c r="K469" s="475" t="n">
        <v>36951</v>
      </c>
      <c r="L469" s="254" t="n">
        <v>-6333.07378028289</v>
      </c>
      <c r="M469" s="475" t="n">
        <v>36949</v>
      </c>
      <c r="N469" s="0" t="s">
        <v>136</v>
      </c>
      <c r="O469" s="0" t="n">
        <v>0.15</v>
      </c>
      <c r="P469" s="0" t="n">
        <v>0</v>
      </c>
      <c r="Q469" s="0" t="n">
        <v>0</v>
      </c>
      <c r="R469" s="0" t="n">
        <v>0</v>
      </c>
      <c r="S469" s="0" t="n">
        <v>0</v>
      </c>
      <c r="T469" s="0" t="s">
        <v>624</v>
      </c>
      <c r="U469" s="0" t="s">
        <v>632</v>
      </c>
      <c r="V469" s="0" t="s">
        <v>624</v>
      </c>
      <c r="W469" s="0" t="s">
        <v>569</v>
      </c>
      <c r="X469" s="0" t="s">
        <v>624</v>
      </c>
      <c r="Y469" s="0" t="s">
        <v>627</v>
      </c>
      <c r="Z469" s="0" t="s">
        <v>629</v>
      </c>
      <c r="AA469" s="0" t="s">
        <v>624</v>
      </c>
      <c r="AB469" s="0" t="s">
        <v>132</v>
      </c>
      <c r="AC469" s="254" t="n">
        <v>-155000</v>
      </c>
      <c r="AD469" s="254" t="n">
        <v>-1573.58961382547</v>
      </c>
      <c r="AE469" s="0" t="n">
        <v>0</v>
      </c>
      <c r="AF469" s="0" t="n">
        <v>0</v>
      </c>
      <c r="AG469" s="0" t="n">
        <v>0</v>
      </c>
      <c r="AH469" s="254" t="n">
        <v>-80.0251684645655</v>
      </c>
      <c r="AI469" s="0" t="n">
        <v>226</v>
      </c>
      <c r="AJ469" s="0" t="s">
        <v>630</v>
      </c>
      <c r="AK469" s="0" t="n">
        <v>0</v>
      </c>
      <c r="AL469" s="0" t="n">
        <v>0</v>
      </c>
      <c r="AM469" s="0" t="n">
        <v>0</v>
      </c>
    </row>
    <row r="470" customFormat="false" ht="12.75" hidden="false" customHeight="false" outlineLevel="0" collapsed="false">
      <c r="A470" s="0" t="s">
        <v>621</v>
      </c>
      <c r="B470" s="0" t="s">
        <v>361</v>
      </c>
      <c r="C470" s="0" t="s">
        <v>622</v>
      </c>
      <c r="D470" s="0" t="s">
        <v>623</v>
      </c>
      <c r="E470" s="0" t="s">
        <v>131</v>
      </c>
      <c r="F470" s="0" t="s">
        <v>345</v>
      </c>
      <c r="G470" s="0" t="s">
        <v>628</v>
      </c>
      <c r="H470" s="0" t="s">
        <v>625</v>
      </c>
      <c r="I470" s="0" t="s">
        <v>626</v>
      </c>
      <c r="J470" s="0" t="s">
        <v>627</v>
      </c>
      <c r="K470" s="475" t="n">
        <v>36923</v>
      </c>
      <c r="L470" s="254" t="n">
        <v>-7249.05128040404</v>
      </c>
      <c r="M470" s="475" t="n">
        <v>36921</v>
      </c>
      <c r="N470" s="0" t="s">
        <v>136</v>
      </c>
      <c r="O470" s="0" t="n">
        <v>0.15</v>
      </c>
      <c r="P470" s="0" t="n">
        <v>0</v>
      </c>
      <c r="Q470" s="0" t="n">
        <v>0</v>
      </c>
      <c r="R470" s="0" t="n">
        <v>0</v>
      </c>
      <c r="S470" s="0" t="n">
        <v>0</v>
      </c>
      <c r="T470" s="0" t="s">
        <v>624</v>
      </c>
      <c r="U470" s="0" t="s">
        <v>632</v>
      </c>
      <c r="V470" s="0" t="s">
        <v>624</v>
      </c>
      <c r="W470" s="0" t="s">
        <v>569</v>
      </c>
      <c r="X470" s="0" t="s">
        <v>624</v>
      </c>
      <c r="Y470" s="0" t="s">
        <v>627</v>
      </c>
      <c r="Z470" s="0" t="s">
        <v>629</v>
      </c>
      <c r="AA470" s="0" t="s">
        <v>624</v>
      </c>
      <c r="AB470" s="0" t="s">
        <v>132</v>
      </c>
      <c r="AC470" s="254" t="n">
        <v>-140000</v>
      </c>
      <c r="AD470" s="254" t="n">
        <v>-1494.33561244644</v>
      </c>
      <c r="AE470" s="0" t="n">
        <v>0</v>
      </c>
      <c r="AF470" s="0" t="n">
        <v>0</v>
      </c>
      <c r="AG470" s="0" t="n">
        <v>0</v>
      </c>
      <c r="AH470" s="254" t="n">
        <v>-71.7191987471442</v>
      </c>
      <c r="AI470" s="0" t="n">
        <v>226</v>
      </c>
      <c r="AJ470" s="0" t="s">
        <v>630</v>
      </c>
      <c r="AK470" s="0" t="n">
        <v>0</v>
      </c>
      <c r="AL470" s="0" t="n">
        <v>0</v>
      </c>
      <c r="AM470" s="0" t="n">
        <v>0</v>
      </c>
    </row>
    <row r="471" customFormat="false" ht="12.75" hidden="false" customHeight="false" outlineLevel="0" collapsed="false">
      <c r="A471" s="0" t="s">
        <v>621</v>
      </c>
      <c r="B471" s="0" t="s">
        <v>361</v>
      </c>
      <c r="C471" s="0" t="s">
        <v>622</v>
      </c>
      <c r="D471" s="0" t="s">
        <v>623</v>
      </c>
      <c r="E471" s="0" t="s">
        <v>131</v>
      </c>
      <c r="F471" s="0" t="s">
        <v>345</v>
      </c>
      <c r="G471" s="0" t="s">
        <v>628</v>
      </c>
      <c r="H471" s="0" t="s">
        <v>625</v>
      </c>
      <c r="I471" s="0" t="s">
        <v>626</v>
      </c>
      <c r="J471" s="0" t="s">
        <v>627</v>
      </c>
      <c r="K471" s="475" t="n">
        <v>36892</v>
      </c>
      <c r="L471" s="254" t="n">
        <v>-6897.97181595108</v>
      </c>
      <c r="M471" s="475" t="n">
        <v>36888</v>
      </c>
      <c r="N471" s="0" t="s">
        <v>136</v>
      </c>
      <c r="O471" s="0" t="n">
        <v>0.15</v>
      </c>
      <c r="P471" s="0" t="n">
        <v>0</v>
      </c>
      <c r="Q471" s="0" t="n">
        <v>0</v>
      </c>
      <c r="R471" s="0" t="n">
        <v>0</v>
      </c>
      <c r="S471" s="0" t="n">
        <v>0</v>
      </c>
      <c r="T471" s="0" t="s">
        <v>624</v>
      </c>
      <c r="U471" s="0" t="s">
        <v>632</v>
      </c>
      <c r="V471" s="0" t="s">
        <v>624</v>
      </c>
      <c r="W471" s="0" t="s">
        <v>569</v>
      </c>
      <c r="X471" s="0" t="s">
        <v>624</v>
      </c>
      <c r="Y471" s="0" t="s">
        <v>627</v>
      </c>
      <c r="Z471" s="0" t="s">
        <v>629</v>
      </c>
      <c r="AA471" s="0" t="s">
        <v>624</v>
      </c>
      <c r="AB471" s="0" t="s">
        <v>132</v>
      </c>
      <c r="AC471" s="254" t="n">
        <v>-155000</v>
      </c>
      <c r="AD471" s="254" t="n">
        <v>-1505.72683180023</v>
      </c>
      <c r="AE471" s="0" t="n">
        <v>0</v>
      </c>
      <c r="AF471" s="0" t="n">
        <v>0</v>
      </c>
      <c r="AG471" s="0" t="n">
        <v>0</v>
      </c>
      <c r="AH471" s="254" t="n">
        <v>-72.4704870944634</v>
      </c>
      <c r="AI471" s="0" t="n">
        <v>226</v>
      </c>
      <c r="AJ471" s="0" t="s">
        <v>630</v>
      </c>
      <c r="AK471" s="0" t="n">
        <v>0</v>
      </c>
      <c r="AL471" s="0" t="n">
        <v>0</v>
      </c>
      <c r="AM471" s="0" t="n">
        <v>0</v>
      </c>
    </row>
    <row r="472" customFormat="false" ht="12.75" hidden="false" customHeight="false" outlineLevel="0" collapsed="false">
      <c r="A472" s="0" t="s">
        <v>621</v>
      </c>
      <c r="B472" s="0" t="s">
        <v>361</v>
      </c>
      <c r="C472" s="0" t="s">
        <v>622</v>
      </c>
      <c r="D472" s="0" t="s">
        <v>623</v>
      </c>
      <c r="E472" s="0" t="s">
        <v>131</v>
      </c>
      <c r="F472" s="0" t="s">
        <v>345</v>
      </c>
      <c r="G472" s="0" t="s">
        <v>628</v>
      </c>
      <c r="H472" s="0" t="s">
        <v>625</v>
      </c>
      <c r="I472" s="0" t="s">
        <v>626</v>
      </c>
      <c r="J472" s="0" t="s">
        <v>627</v>
      </c>
      <c r="K472" s="475" t="n">
        <v>36861</v>
      </c>
      <c r="L472" s="254" t="n">
        <v>-4237.9759780883</v>
      </c>
      <c r="M472" s="475" t="n">
        <v>36859</v>
      </c>
      <c r="N472" s="0" t="s">
        <v>136</v>
      </c>
      <c r="O472" s="0" t="n">
        <v>0.15</v>
      </c>
      <c r="P472" s="0" t="n">
        <v>0</v>
      </c>
      <c r="Q472" s="0" t="n">
        <v>0</v>
      </c>
      <c r="R472" s="0" t="n">
        <v>0</v>
      </c>
      <c r="S472" s="0" t="n">
        <v>0</v>
      </c>
      <c r="T472" s="0" t="s">
        <v>624</v>
      </c>
      <c r="U472" s="0" t="s">
        <v>632</v>
      </c>
      <c r="V472" s="0" t="s">
        <v>624</v>
      </c>
      <c r="W472" s="0" t="s">
        <v>569</v>
      </c>
      <c r="X472" s="0" t="s">
        <v>624</v>
      </c>
      <c r="Y472" s="0" t="s">
        <v>627</v>
      </c>
      <c r="Z472" s="0" t="s">
        <v>629</v>
      </c>
      <c r="AA472" s="0" t="s">
        <v>624</v>
      </c>
      <c r="AB472" s="0" t="s">
        <v>132</v>
      </c>
      <c r="AC472" s="254" t="n">
        <v>-155000</v>
      </c>
      <c r="AD472" s="254" t="n">
        <v>-1228.28788793598</v>
      </c>
      <c r="AE472" s="0" t="n">
        <v>0</v>
      </c>
      <c r="AF472" s="0" t="n">
        <v>0</v>
      </c>
      <c r="AG472" s="0" t="n">
        <v>0</v>
      </c>
      <c r="AH472" s="254" t="n">
        <v>-61.8407704300516</v>
      </c>
      <c r="AI472" s="0" t="n">
        <v>226</v>
      </c>
      <c r="AJ472" s="0" t="s">
        <v>630</v>
      </c>
      <c r="AK472" s="0" t="n">
        <v>0</v>
      </c>
      <c r="AL472" s="0" t="n">
        <v>0</v>
      </c>
      <c r="AM472" s="0" t="n">
        <v>0</v>
      </c>
    </row>
    <row r="473" customFormat="false" ht="12.75" hidden="false" customHeight="false" outlineLevel="0" collapsed="false">
      <c r="A473" s="0" t="s">
        <v>621</v>
      </c>
      <c r="B473" s="0" t="s">
        <v>361</v>
      </c>
      <c r="C473" s="0" t="s">
        <v>622</v>
      </c>
      <c r="D473" s="0" t="s">
        <v>623</v>
      </c>
      <c r="E473" s="0" t="s">
        <v>131</v>
      </c>
      <c r="F473" s="0" t="s">
        <v>345</v>
      </c>
      <c r="G473" s="0" t="s">
        <v>628</v>
      </c>
      <c r="H473" s="0" t="s">
        <v>625</v>
      </c>
      <c r="I473" s="0" t="s">
        <v>626</v>
      </c>
      <c r="J473" s="0" t="s">
        <v>627</v>
      </c>
      <c r="K473" s="475" t="n">
        <v>36831</v>
      </c>
      <c r="L473" s="254" t="n">
        <v>-2325.07877937267</v>
      </c>
      <c r="M473" s="475" t="n">
        <v>36829</v>
      </c>
      <c r="N473" s="0" t="s">
        <v>136</v>
      </c>
      <c r="O473" s="0" t="n">
        <v>0.15</v>
      </c>
      <c r="P473" s="0" t="n">
        <v>0</v>
      </c>
      <c r="Q473" s="0" t="n">
        <v>0</v>
      </c>
      <c r="R473" s="0" t="n">
        <v>0</v>
      </c>
      <c r="S473" s="0" t="n">
        <v>0</v>
      </c>
      <c r="T473" s="0" t="s">
        <v>624</v>
      </c>
      <c r="U473" s="0" t="s">
        <v>632</v>
      </c>
      <c r="V473" s="0" t="s">
        <v>624</v>
      </c>
      <c r="W473" s="0" t="s">
        <v>569</v>
      </c>
      <c r="X473" s="0" t="s">
        <v>624</v>
      </c>
      <c r="Y473" s="0" t="s">
        <v>627</v>
      </c>
      <c r="Z473" s="0" t="s">
        <v>629</v>
      </c>
      <c r="AA473" s="0" t="s">
        <v>624</v>
      </c>
      <c r="AB473" s="0" t="s">
        <v>132</v>
      </c>
      <c r="AC473" s="254" t="n">
        <v>-150000</v>
      </c>
      <c r="AD473" s="254" t="n">
        <v>-867.491134732489</v>
      </c>
      <c r="AE473" s="0" t="n">
        <v>0</v>
      </c>
      <c r="AF473" s="0" t="n">
        <v>0</v>
      </c>
      <c r="AG473" s="0" t="n">
        <v>0</v>
      </c>
      <c r="AH473" s="254" t="n">
        <v>-46.7981078377989</v>
      </c>
      <c r="AI473" s="0" t="n">
        <v>226</v>
      </c>
      <c r="AJ473" s="0" t="s">
        <v>630</v>
      </c>
      <c r="AK473" s="0" t="n">
        <v>0</v>
      </c>
      <c r="AL473" s="0" t="n">
        <v>0</v>
      </c>
      <c r="AM473" s="0" t="n">
        <v>0</v>
      </c>
    </row>
    <row r="474" customFormat="false" ht="12.75" hidden="false" customHeight="false" outlineLevel="0" collapsed="false">
      <c r="A474" s="0" t="s">
        <v>621</v>
      </c>
      <c r="B474" s="0" t="s">
        <v>362</v>
      </c>
      <c r="C474" s="0" t="s">
        <v>622</v>
      </c>
      <c r="D474" s="0" t="s">
        <v>623</v>
      </c>
      <c r="E474" s="0" t="s">
        <v>131</v>
      </c>
      <c r="F474" s="0" t="s">
        <v>198</v>
      </c>
      <c r="G474" s="0" t="s">
        <v>628</v>
      </c>
      <c r="H474" s="0" t="s">
        <v>625</v>
      </c>
      <c r="I474" s="0" t="s">
        <v>626</v>
      </c>
      <c r="J474" s="0" t="s">
        <v>627</v>
      </c>
      <c r="K474" s="475" t="n">
        <v>36951</v>
      </c>
      <c r="L474" s="254" t="n">
        <v>515721.107945852</v>
      </c>
      <c r="M474" s="475" t="n">
        <v>36949</v>
      </c>
      <c r="N474" s="0" t="s">
        <v>136</v>
      </c>
      <c r="O474" s="0" t="n">
        <v>0.3</v>
      </c>
      <c r="P474" s="0" t="n">
        <v>0</v>
      </c>
      <c r="Q474" s="0" t="n">
        <v>0</v>
      </c>
      <c r="R474" s="0" t="n">
        <v>0</v>
      </c>
      <c r="S474" s="0" t="n">
        <v>0</v>
      </c>
      <c r="T474" s="0" t="s">
        <v>624</v>
      </c>
      <c r="U474" s="0" t="s">
        <v>137</v>
      </c>
      <c r="V474" s="0" t="s">
        <v>624</v>
      </c>
      <c r="W474" s="0" t="s">
        <v>569</v>
      </c>
      <c r="X474" s="0" t="s">
        <v>624</v>
      </c>
      <c r="Y474" s="0" t="s">
        <v>627</v>
      </c>
      <c r="Z474" s="0" t="s">
        <v>629</v>
      </c>
      <c r="AA474" s="0" t="s">
        <v>624</v>
      </c>
      <c r="AB474" s="0" t="s">
        <v>132</v>
      </c>
      <c r="AC474" s="254" t="n">
        <v>1000000</v>
      </c>
      <c r="AD474" s="254" t="n">
        <v>73876.7965437725</v>
      </c>
      <c r="AE474" s="0" t="n">
        <v>0</v>
      </c>
      <c r="AF474" s="0" t="n">
        <v>0</v>
      </c>
      <c r="AG474" s="0" t="n">
        <v>0</v>
      </c>
      <c r="AH474" s="254" t="n">
        <v>-32141.3573248765</v>
      </c>
      <c r="AI474" s="0" t="n">
        <v>226</v>
      </c>
      <c r="AJ474" s="0" t="s">
        <v>630</v>
      </c>
      <c r="AK474" s="0" t="n">
        <v>0</v>
      </c>
      <c r="AL474" s="0" t="n">
        <v>0</v>
      </c>
      <c r="AM474" s="0" t="n">
        <v>0</v>
      </c>
    </row>
    <row r="475" customFormat="false" ht="12.75" hidden="false" customHeight="false" outlineLevel="0" collapsed="false">
      <c r="A475" s="0" t="s">
        <v>621</v>
      </c>
      <c r="B475" s="0" t="s">
        <v>362</v>
      </c>
      <c r="C475" s="0" t="s">
        <v>622</v>
      </c>
      <c r="D475" s="0" t="s">
        <v>623</v>
      </c>
      <c r="E475" s="0" t="s">
        <v>131</v>
      </c>
      <c r="F475" s="0" t="s">
        <v>198</v>
      </c>
      <c r="G475" s="0" t="s">
        <v>628</v>
      </c>
      <c r="H475" s="0" t="s">
        <v>625</v>
      </c>
      <c r="I475" s="0" t="s">
        <v>626</v>
      </c>
      <c r="J475" s="0" t="s">
        <v>627</v>
      </c>
      <c r="K475" s="475" t="n">
        <v>36923</v>
      </c>
      <c r="L475" s="254" t="n">
        <v>559723.103350231</v>
      </c>
      <c r="M475" s="475" t="n">
        <v>36921</v>
      </c>
      <c r="N475" s="0" t="s">
        <v>136</v>
      </c>
      <c r="O475" s="0" t="n">
        <v>0.3</v>
      </c>
      <c r="P475" s="0" t="n">
        <v>0</v>
      </c>
      <c r="Q475" s="0" t="n">
        <v>0</v>
      </c>
      <c r="R475" s="0" t="n">
        <v>0</v>
      </c>
      <c r="S475" s="0" t="n">
        <v>0</v>
      </c>
      <c r="T475" s="0" t="s">
        <v>624</v>
      </c>
      <c r="U475" s="0" t="s">
        <v>137</v>
      </c>
      <c r="V475" s="0" t="s">
        <v>624</v>
      </c>
      <c r="W475" s="0" t="s">
        <v>569</v>
      </c>
      <c r="X475" s="0" t="s">
        <v>624</v>
      </c>
      <c r="Y475" s="0" t="s">
        <v>627</v>
      </c>
      <c r="Z475" s="0" t="s">
        <v>629</v>
      </c>
      <c r="AA475" s="0" t="s">
        <v>624</v>
      </c>
      <c r="AB475" s="0" t="s">
        <v>132</v>
      </c>
      <c r="AC475" s="254" t="n">
        <v>1000000</v>
      </c>
      <c r="AD475" s="254" t="n">
        <v>76239.0231556131</v>
      </c>
      <c r="AE475" s="0" t="n">
        <v>0</v>
      </c>
      <c r="AF475" s="0" t="n">
        <v>0</v>
      </c>
      <c r="AG475" s="0" t="n">
        <v>0</v>
      </c>
      <c r="AH475" s="254" t="n">
        <v>-32306.4711008739</v>
      </c>
      <c r="AI475" s="0" t="n">
        <v>226</v>
      </c>
      <c r="AJ475" s="0" t="s">
        <v>630</v>
      </c>
      <c r="AK475" s="0" t="n">
        <v>0</v>
      </c>
      <c r="AL475" s="0" t="n">
        <v>0</v>
      </c>
      <c r="AM475" s="0" t="n">
        <v>0</v>
      </c>
    </row>
    <row r="476" customFormat="false" ht="12.75" hidden="false" customHeight="false" outlineLevel="0" collapsed="false">
      <c r="A476" s="0" t="s">
        <v>621</v>
      </c>
      <c r="B476" s="0" t="s">
        <v>362</v>
      </c>
      <c r="C476" s="0" t="s">
        <v>622</v>
      </c>
      <c r="D476" s="0" t="s">
        <v>623</v>
      </c>
      <c r="E476" s="0" t="s">
        <v>131</v>
      </c>
      <c r="F476" s="0" t="s">
        <v>198</v>
      </c>
      <c r="G476" s="0" t="s">
        <v>628</v>
      </c>
      <c r="H476" s="0" t="s">
        <v>625</v>
      </c>
      <c r="I476" s="0" t="s">
        <v>626</v>
      </c>
      <c r="J476" s="0" t="s">
        <v>627</v>
      </c>
      <c r="K476" s="475" t="n">
        <v>36892</v>
      </c>
      <c r="L476" s="254" t="n">
        <v>648345.904288768</v>
      </c>
      <c r="M476" s="475" t="n">
        <v>36888</v>
      </c>
      <c r="N476" s="0" t="s">
        <v>136</v>
      </c>
      <c r="O476" s="0" t="n">
        <v>0.3</v>
      </c>
      <c r="P476" s="0" t="n">
        <v>0</v>
      </c>
      <c r="Q476" s="0" t="n">
        <v>0</v>
      </c>
      <c r="R476" s="0" t="n">
        <v>0</v>
      </c>
      <c r="S476" s="0" t="n">
        <v>0</v>
      </c>
      <c r="T476" s="0" t="s">
        <v>624</v>
      </c>
      <c r="U476" s="0" t="s">
        <v>137</v>
      </c>
      <c r="V476" s="0" t="s">
        <v>624</v>
      </c>
      <c r="W476" s="0" t="s">
        <v>569</v>
      </c>
      <c r="X476" s="0" t="s">
        <v>624</v>
      </c>
      <c r="Y476" s="0" t="s">
        <v>627</v>
      </c>
      <c r="Z476" s="0" t="s">
        <v>629</v>
      </c>
      <c r="AA476" s="0" t="s">
        <v>624</v>
      </c>
      <c r="AB476" s="0" t="s">
        <v>132</v>
      </c>
      <c r="AC476" s="254" t="n">
        <v>1000000</v>
      </c>
      <c r="AD476" s="254" t="n">
        <v>65141.0709359262</v>
      </c>
      <c r="AE476" s="0" t="n">
        <v>0</v>
      </c>
      <c r="AF476" s="0" t="n">
        <v>0</v>
      </c>
      <c r="AG476" s="0" t="n">
        <v>0</v>
      </c>
      <c r="AH476" s="254" t="n">
        <v>-35968.992676337</v>
      </c>
      <c r="AI476" s="0" t="n">
        <v>226</v>
      </c>
      <c r="AJ476" s="0" t="s">
        <v>630</v>
      </c>
      <c r="AK476" s="0" t="n">
        <v>0</v>
      </c>
      <c r="AL476" s="0" t="n">
        <v>0</v>
      </c>
      <c r="AM476" s="0" t="n">
        <v>0</v>
      </c>
    </row>
    <row r="477" customFormat="false" ht="12.75" hidden="false" customHeight="false" outlineLevel="0" collapsed="false">
      <c r="A477" s="0" t="s">
        <v>621</v>
      </c>
      <c r="B477" s="0" t="s">
        <v>362</v>
      </c>
      <c r="C477" s="0" t="s">
        <v>622</v>
      </c>
      <c r="D477" s="0" t="s">
        <v>623</v>
      </c>
      <c r="E477" s="0" t="s">
        <v>131</v>
      </c>
      <c r="F477" s="0" t="s">
        <v>198</v>
      </c>
      <c r="G477" s="0" t="s">
        <v>628</v>
      </c>
      <c r="H477" s="0" t="s">
        <v>625</v>
      </c>
      <c r="I477" s="0" t="s">
        <v>626</v>
      </c>
      <c r="J477" s="0" t="s">
        <v>627</v>
      </c>
      <c r="K477" s="475" t="n">
        <v>36861</v>
      </c>
      <c r="L477" s="254" t="n">
        <v>792021.258401644</v>
      </c>
      <c r="M477" s="475" t="n">
        <v>36859</v>
      </c>
      <c r="N477" s="0" t="s">
        <v>136</v>
      </c>
      <c r="O477" s="0" t="n">
        <v>0.3</v>
      </c>
      <c r="P477" s="0" t="n">
        <v>0</v>
      </c>
      <c r="Q477" s="0" t="n">
        <v>0</v>
      </c>
      <c r="R477" s="0" t="n">
        <v>0</v>
      </c>
      <c r="S477" s="0" t="n">
        <v>0</v>
      </c>
      <c r="T477" s="0" t="s">
        <v>624</v>
      </c>
      <c r="U477" s="0" t="s">
        <v>137</v>
      </c>
      <c r="V477" s="0" t="s">
        <v>624</v>
      </c>
      <c r="W477" s="0" t="s">
        <v>569</v>
      </c>
      <c r="X477" s="0" t="s">
        <v>624</v>
      </c>
      <c r="Y477" s="0" t="s">
        <v>627</v>
      </c>
      <c r="Z477" s="0" t="s">
        <v>629</v>
      </c>
      <c r="AA477" s="0" t="s">
        <v>624</v>
      </c>
      <c r="AB477" s="0" t="s">
        <v>132</v>
      </c>
      <c r="AC477" s="254" t="n">
        <v>1000000</v>
      </c>
      <c r="AD477" s="254" t="n">
        <v>45779.4657514483</v>
      </c>
      <c r="AE477" s="0" t="n">
        <v>0</v>
      </c>
      <c r="AF477" s="0" t="n">
        <v>0</v>
      </c>
      <c r="AG477" s="0" t="n">
        <v>0</v>
      </c>
      <c r="AH477" s="254" t="n">
        <v>115274.518308935</v>
      </c>
      <c r="AI477" s="0" t="n">
        <v>226</v>
      </c>
      <c r="AJ477" s="0" t="s">
        <v>630</v>
      </c>
      <c r="AK477" s="0" t="n">
        <v>0</v>
      </c>
      <c r="AL477" s="0" t="n">
        <v>0</v>
      </c>
      <c r="AM477" s="0" t="n">
        <v>0</v>
      </c>
    </row>
    <row r="478" customFormat="false" ht="12.75" hidden="false" customHeight="false" outlineLevel="0" collapsed="false">
      <c r="A478" s="0" t="s">
        <v>621</v>
      </c>
      <c r="B478" s="0" t="s">
        <v>362</v>
      </c>
      <c r="C478" s="0" t="s">
        <v>622</v>
      </c>
      <c r="D478" s="0" t="s">
        <v>623</v>
      </c>
      <c r="E478" s="0" t="s">
        <v>131</v>
      </c>
      <c r="F478" s="0" t="s">
        <v>198</v>
      </c>
      <c r="G478" s="0" t="s">
        <v>628</v>
      </c>
      <c r="H478" s="0" t="s">
        <v>625</v>
      </c>
      <c r="I478" s="0" t="s">
        <v>626</v>
      </c>
      <c r="J478" s="0" t="s">
        <v>627</v>
      </c>
      <c r="K478" s="475" t="n">
        <v>36831</v>
      </c>
      <c r="L478" s="254" t="n">
        <v>1243475.23816916</v>
      </c>
      <c r="M478" s="475" t="n">
        <v>36829</v>
      </c>
      <c r="N478" s="0" t="s">
        <v>136</v>
      </c>
      <c r="O478" s="0" t="n">
        <v>0.3</v>
      </c>
      <c r="P478" s="0" t="n">
        <v>0</v>
      </c>
      <c r="Q478" s="0" t="n">
        <v>0</v>
      </c>
      <c r="R478" s="0" t="n">
        <v>0</v>
      </c>
      <c r="S478" s="0" t="n">
        <v>0</v>
      </c>
      <c r="T478" s="0" t="s">
        <v>624</v>
      </c>
      <c r="U478" s="0" t="s">
        <v>137</v>
      </c>
      <c r="V478" s="0" t="s">
        <v>624</v>
      </c>
      <c r="W478" s="0" t="s">
        <v>569</v>
      </c>
      <c r="X478" s="0" t="s">
        <v>624</v>
      </c>
      <c r="Y478" s="0" t="s">
        <v>627</v>
      </c>
      <c r="Z478" s="0" t="s">
        <v>629</v>
      </c>
      <c r="AA478" s="0" t="s">
        <v>624</v>
      </c>
      <c r="AB478" s="0" t="s">
        <v>132</v>
      </c>
      <c r="AC478" s="254" t="n">
        <v>1000000</v>
      </c>
      <c r="AD478" s="254" t="n">
        <v>12291.8958475392</v>
      </c>
      <c r="AE478" s="0" t="n">
        <v>0</v>
      </c>
      <c r="AF478" s="0" t="n">
        <v>0</v>
      </c>
      <c r="AG478" s="0" t="n">
        <v>0</v>
      </c>
      <c r="AH478" s="254" t="n">
        <v>197381.692653205</v>
      </c>
      <c r="AI478" s="0" t="n">
        <v>226</v>
      </c>
      <c r="AJ478" s="0" t="s">
        <v>630</v>
      </c>
      <c r="AK478" s="0" t="n">
        <v>0</v>
      </c>
      <c r="AL478" s="0" t="n">
        <v>0</v>
      </c>
      <c r="AM478" s="0" t="n">
        <v>0</v>
      </c>
    </row>
    <row r="479" customFormat="false" ht="12.75" hidden="false" customHeight="false" outlineLevel="0" collapsed="false">
      <c r="A479" s="0" t="s">
        <v>621</v>
      </c>
      <c r="B479" s="0" t="s">
        <v>364</v>
      </c>
      <c r="C479" s="0" t="s">
        <v>622</v>
      </c>
      <c r="D479" s="0" t="s">
        <v>623</v>
      </c>
      <c r="E479" s="0" t="s">
        <v>131</v>
      </c>
      <c r="F479" s="0" t="s">
        <v>363</v>
      </c>
      <c r="G479" s="0" t="s">
        <v>628</v>
      </c>
      <c r="H479" s="0" t="s">
        <v>625</v>
      </c>
      <c r="I479" s="0" t="s">
        <v>626</v>
      </c>
      <c r="J479" s="0" t="s">
        <v>627</v>
      </c>
      <c r="K479" s="475" t="n">
        <v>36951</v>
      </c>
      <c r="L479" s="254" t="n">
        <v>257860.553972926</v>
      </c>
      <c r="M479" s="475" t="n">
        <v>36949</v>
      </c>
      <c r="N479" s="0" t="s">
        <v>136</v>
      </c>
      <c r="O479" s="0" t="n">
        <v>0.3</v>
      </c>
      <c r="P479" s="0" t="n">
        <v>0</v>
      </c>
      <c r="Q479" s="0" t="n">
        <v>0</v>
      </c>
      <c r="R479" s="0" t="n">
        <v>0</v>
      </c>
      <c r="S479" s="0" t="n">
        <v>0</v>
      </c>
      <c r="T479" s="0" t="s">
        <v>624</v>
      </c>
      <c r="U479" s="0" t="s">
        <v>137</v>
      </c>
      <c r="V479" s="0" t="s">
        <v>624</v>
      </c>
      <c r="W479" s="0" t="s">
        <v>569</v>
      </c>
      <c r="X479" s="0" t="s">
        <v>624</v>
      </c>
      <c r="Y479" s="0" t="s">
        <v>627</v>
      </c>
      <c r="Z479" s="0" t="s">
        <v>629</v>
      </c>
      <c r="AA479" s="0" t="s">
        <v>624</v>
      </c>
      <c r="AB479" s="0" t="s">
        <v>132</v>
      </c>
      <c r="AC479" s="254" t="n">
        <v>500000</v>
      </c>
      <c r="AD479" s="254" t="n">
        <v>36938.3982718862</v>
      </c>
      <c r="AE479" s="0" t="n">
        <v>0</v>
      </c>
      <c r="AF479" s="0" t="n">
        <v>0</v>
      </c>
      <c r="AG479" s="0" t="n">
        <v>0</v>
      </c>
      <c r="AH479" s="254" t="n">
        <v>-16070.6786624382</v>
      </c>
      <c r="AI479" s="0" t="n">
        <v>226</v>
      </c>
      <c r="AJ479" s="0" t="s">
        <v>630</v>
      </c>
      <c r="AK479" s="0" t="n">
        <v>0</v>
      </c>
      <c r="AL479" s="0" t="n">
        <v>0</v>
      </c>
      <c r="AM479" s="0" t="n">
        <v>0</v>
      </c>
    </row>
    <row r="480" customFormat="false" ht="12.75" hidden="false" customHeight="false" outlineLevel="0" collapsed="false">
      <c r="A480" s="0" t="s">
        <v>621</v>
      </c>
      <c r="B480" s="0" t="s">
        <v>364</v>
      </c>
      <c r="C480" s="0" t="s">
        <v>622</v>
      </c>
      <c r="D480" s="0" t="s">
        <v>623</v>
      </c>
      <c r="E480" s="0" t="s">
        <v>131</v>
      </c>
      <c r="F480" s="0" t="s">
        <v>363</v>
      </c>
      <c r="G480" s="0" t="s">
        <v>628</v>
      </c>
      <c r="H480" s="0" t="s">
        <v>625</v>
      </c>
      <c r="I480" s="0" t="s">
        <v>626</v>
      </c>
      <c r="J480" s="0" t="s">
        <v>627</v>
      </c>
      <c r="K480" s="475" t="n">
        <v>36923</v>
      </c>
      <c r="L480" s="254" t="n">
        <v>279861.551675115</v>
      </c>
      <c r="M480" s="475" t="n">
        <v>36921</v>
      </c>
      <c r="N480" s="0" t="s">
        <v>136</v>
      </c>
      <c r="O480" s="0" t="n">
        <v>0.3</v>
      </c>
      <c r="P480" s="0" t="n">
        <v>0</v>
      </c>
      <c r="Q480" s="0" t="n">
        <v>0</v>
      </c>
      <c r="R480" s="0" t="n">
        <v>0</v>
      </c>
      <c r="S480" s="0" t="n">
        <v>0</v>
      </c>
      <c r="T480" s="0" t="s">
        <v>624</v>
      </c>
      <c r="U480" s="0" t="s">
        <v>137</v>
      </c>
      <c r="V480" s="0" t="s">
        <v>624</v>
      </c>
      <c r="W480" s="0" t="s">
        <v>569</v>
      </c>
      <c r="X480" s="0" t="s">
        <v>624</v>
      </c>
      <c r="Y480" s="0" t="s">
        <v>627</v>
      </c>
      <c r="Z480" s="0" t="s">
        <v>629</v>
      </c>
      <c r="AA480" s="0" t="s">
        <v>624</v>
      </c>
      <c r="AB480" s="0" t="s">
        <v>132</v>
      </c>
      <c r="AC480" s="254" t="n">
        <v>500000</v>
      </c>
      <c r="AD480" s="254" t="n">
        <v>38119.5115778066</v>
      </c>
      <c r="AE480" s="0" t="n">
        <v>0</v>
      </c>
      <c r="AF480" s="0" t="n">
        <v>0</v>
      </c>
      <c r="AG480" s="0" t="n">
        <v>0</v>
      </c>
      <c r="AH480" s="254" t="n">
        <v>-16153.2355504369</v>
      </c>
      <c r="AI480" s="0" t="n">
        <v>226</v>
      </c>
      <c r="AJ480" s="0" t="s">
        <v>630</v>
      </c>
      <c r="AK480" s="0" t="n">
        <v>0</v>
      </c>
      <c r="AL480" s="0" t="n">
        <v>0</v>
      </c>
      <c r="AM480" s="0" t="n">
        <v>0</v>
      </c>
    </row>
    <row r="481" customFormat="false" ht="12.75" hidden="false" customHeight="false" outlineLevel="0" collapsed="false">
      <c r="A481" s="0" t="s">
        <v>621</v>
      </c>
      <c r="B481" s="0" t="s">
        <v>364</v>
      </c>
      <c r="C481" s="0" t="s">
        <v>622</v>
      </c>
      <c r="D481" s="0" t="s">
        <v>623</v>
      </c>
      <c r="E481" s="0" t="s">
        <v>131</v>
      </c>
      <c r="F481" s="0" t="s">
        <v>363</v>
      </c>
      <c r="G481" s="0" t="s">
        <v>628</v>
      </c>
      <c r="H481" s="0" t="s">
        <v>625</v>
      </c>
      <c r="I481" s="0" t="s">
        <v>626</v>
      </c>
      <c r="J481" s="0" t="s">
        <v>627</v>
      </c>
      <c r="K481" s="475" t="n">
        <v>36892</v>
      </c>
      <c r="L481" s="254" t="n">
        <v>324172.952144384</v>
      </c>
      <c r="M481" s="475" t="n">
        <v>36888</v>
      </c>
      <c r="N481" s="0" t="s">
        <v>136</v>
      </c>
      <c r="O481" s="0" t="n">
        <v>0.3</v>
      </c>
      <c r="P481" s="0" t="n">
        <v>0</v>
      </c>
      <c r="Q481" s="0" t="n">
        <v>0</v>
      </c>
      <c r="R481" s="0" t="n">
        <v>0</v>
      </c>
      <c r="S481" s="0" t="n">
        <v>0</v>
      </c>
      <c r="T481" s="0" t="s">
        <v>624</v>
      </c>
      <c r="U481" s="0" t="s">
        <v>137</v>
      </c>
      <c r="V481" s="0" t="s">
        <v>624</v>
      </c>
      <c r="W481" s="0" t="s">
        <v>569</v>
      </c>
      <c r="X481" s="0" t="s">
        <v>624</v>
      </c>
      <c r="Y481" s="0" t="s">
        <v>627</v>
      </c>
      <c r="Z481" s="0" t="s">
        <v>629</v>
      </c>
      <c r="AA481" s="0" t="s">
        <v>624</v>
      </c>
      <c r="AB481" s="0" t="s">
        <v>132</v>
      </c>
      <c r="AC481" s="254" t="n">
        <v>500000</v>
      </c>
      <c r="AD481" s="254" t="n">
        <v>32570.5354679631</v>
      </c>
      <c r="AE481" s="0" t="n">
        <v>0</v>
      </c>
      <c r="AF481" s="0" t="n">
        <v>0</v>
      </c>
      <c r="AG481" s="0" t="n">
        <v>0</v>
      </c>
      <c r="AH481" s="254" t="n">
        <v>-17984.4963381685</v>
      </c>
      <c r="AI481" s="0" t="n">
        <v>226</v>
      </c>
      <c r="AJ481" s="0" t="s">
        <v>630</v>
      </c>
      <c r="AK481" s="0" t="n">
        <v>0</v>
      </c>
      <c r="AL481" s="0" t="n">
        <v>0</v>
      </c>
      <c r="AM481" s="0" t="n">
        <v>0</v>
      </c>
    </row>
    <row r="482" customFormat="false" ht="12.75" hidden="false" customHeight="false" outlineLevel="0" collapsed="false">
      <c r="A482" s="0" t="s">
        <v>621</v>
      </c>
      <c r="B482" s="0" t="s">
        <v>364</v>
      </c>
      <c r="C482" s="0" t="s">
        <v>622</v>
      </c>
      <c r="D482" s="0" t="s">
        <v>623</v>
      </c>
      <c r="E482" s="0" t="s">
        <v>131</v>
      </c>
      <c r="F482" s="0" t="s">
        <v>363</v>
      </c>
      <c r="G482" s="0" t="s">
        <v>628</v>
      </c>
      <c r="H482" s="0" t="s">
        <v>625</v>
      </c>
      <c r="I482" s="0" t="s">
        <v>626</v>
      </c>
      <c r="J482" s="0" t="s">
        <v>627</v>
      </c>
      <c r="K482" s="475" t="n">
        <v>36861</v>
      </c>
      <c r="L482" s="254" t="n">
        <v>396010.629200822</v>
      </c>
      <c r="M482" s="475" t="n">
        <v>36859</v>
      </c>
      <c r="N482" s="0" t="s">
        <v>136</v>
      </c>
      <c r="O482" s="0" t="n">
        <v>0.3</v>
      </c>
      <c r="P482" s="0" t="n">
        <v>0</v>
      </c>
      <c r="Q482" s="0" t="n">
        <v>0</v>
      </c>
      <c r="R482" s="0" t="n">
        <v>0</v>
      </c>
      <c r="S482" s="0" t="n">
        <v>0</v>
      </c>
      <c r="T482" s="0" t="s">
        <v>624</v>
      </c>
      <c r="U482" s="0" t="s">
        <v>137</v>
      </c>
      <c r="V482" s="0" t="s">
        <v>624</v>
      </c>
      <c r="W482" s="0" t="s">
        <v>569</v>
      </c>
      <c r="X482" s="0" t="s">
        <v>624</v>
      </c>
      <c r="Y482" s="0" t="s">
        <v>627</v>
      </c>
      <c r="Z482" s="0" t="s">
        <v>629</v>
      </c>
      <c r="AA482" s="0" t="s">
        <v>624</v>
      </c>
      <c r="AB482" s="0" t="s">
        <v>132</v>
      </c>
      <c r="AC482" s="254" t="n">
        <v>500000</v>
      </c>
      <c r="AD482" s="254" t="n">
        <v>22889.7328757242</v>
      </c>
      <c r="AE482" s="0" t="n">
        <v>0</v>
      </c>
      <c r="AF482" s="0" t="n">
        <v>0</v>
      </c>
      <c r="AG482" s="0" t="n">
        <v>0</v>
      </c>
      <c r="AH482" s="254" t="n">
        <v>57637.2591544675</v>
      </c>
      <c r="AI482" s="0" t="n">
        <v>226</v>
      </c>
      <c r="AJ482" s="0" t="s">
        <v>630</v>
      </c>
      <c r="AK482" s="0" t="n">
        <v>0</v>
      </c>
      <c r="AL482" s="0" t="n">
        <v>0</v>
      </c>
      <c r="AM482" s="0" t="n">
        <v>0</v>
      </c>
    </row>
    <row r="483" customFormat="false" ht="12.75" hidden="false" customHeight="false" outlineLevel="0" collapsed="false">
      <c r="A483" s="0" t="s">
        <v>621</v>
      </c>
      <c r="B483" s="0" t="s">
        <v>364</v>
      </c>
      <c r="C483" s="0" t="s">
        <v>622</v>
      </c>
      <c r="D483" s="0" t="s">
        <v>623</v>
      </c>
      <c r="E483" s="0" t="s">
        <v>131</v>
      </c>
      <c r="F483" s="0" t="s">
        <v>363</v>
      </c>
      <c r="G483" s="0" t="s">
        <v>628</v>
      </c>
      <c r="H483" s="0" t="s">
        <v>625</v>
      </c>
      <c r="I483" s="0" t="s">
        <v>626</v>
      </c>
      <c r="J483" s="0" t="s">
        <v>627</v>
      </c>
      <c r="K483" s="475" t="n">
        <v>36831</v>
      </c>
      <c r="L483" s="254" t="n">
        <v>621737.619084582</v>
      </c>
      <c r="M483" s="475" t="n">
        <v>36829</v>
      </c>
      <c r="N483" s="0" t="s">
        <v>136</v>
      </c>
      <c r="O483" s="0" t="n">
        <v>0.3</v>
      </c>
      <c r="P483" s="0" t="n">
        <v>0</v>
      </c>
      <c r="Q483" s="0" t="n">
        <v>0</v>
      </c>
      <c r="R483" s="0" t="n">
        <v>0</v>
      </c>
      <c r="S483" s="0" t="n">
        <v>0</v>
      </c>
      <c r="T483" s="0" t="s">
        <v>624</v>
      </c>
      <c r="U483" s="0" t="s">
        <v>137</v>
      </c>
      <c r="V483" s="0" t="s">
        <v>624</v>
      </c>
      <c r="W483" s="0" t="s">
        <v>569</v>
      </c>
      <c r="X483" s="0" t="s">
        <v>624</v>
      </c>
      <c r="Y483" s="0" t="s">
        <v>627</v>
      </c>
      <c r="Z483" s="0" t="s">
        <v>629</v>
      </c>
      <c r="AA483" s="0" t="s">
        <v>624</v>
      </c>
      <c r="AB483" s="0" t="s">
        <v>132</v>
      </c>
      <c r="AC483" s="254" t="n">
        <v>500000</v>
      </c>
      <c r="AD483" s="254" t="n">
        <v>6145.94792376959</v>
      </c>
      <c r="AE483" s="0" t="n">
        <v>0</v>
      </c>
      <c r="AF483" s="0" t="n">
        <v>0</v>
      </c>
      <c r="AG483" s="0" t="n">
        <v>0</v>
      </c>
      <c r="AH483" s="254" t="n">
        <v>98690.8463266026</v>
      </c>
      <c r="AI483" s="0" t="n">
        <v>226</v>
      </c>
      <c r="AJ483" s="0" t="s">
        <v>630</v>
      </c>
      <c r="AK483" s="0" t="n">
        <v>0</v>
      </c>
      <c r="AL483" s="0" t="n">
        <v>0</v>
      </c>
      <c r="AM483" s="0" t="n">
        <v>0</v>
      </c>
    </row>
    <row r="484" customFormat="false" ht="12.75" hidden="false" customHeight="false" outlineLevel="0" collapsed="false">
      <c r="A484" s="0" t="s">
        <v>621</v>
      </c>
      <c r="B484" s="0" t="s">
        <v>365</v>
      </c>
      <c r="C484" s="0" t="s">
        <v>622</v>
      </c>
      <c r="D484" s="0" t="s">
        <v>623</v>
      </c>
      <c r="E484" s="0" t="s">
        <v>131</v>
      </c>
      <c r="F484" s="0" t="s">
        <v>206</v>
      </c>
      <c r="G484" s="0" t="s">
        <v>628</v>
      </c>
      <c r="H484" s="0" t="s">
        <v>625</v>
      </c>
      <c r="I484" s="0" t="s">
        <v>626</v>
      </c>
      <c r="J484" s="0" t="s">
        <v>627</v>
      </c>
      <c r="K484" s="475" t="n">
        <v>37165</v>
      </c>
      <c r="L484" s="254" t="n">
        <v>42514.1939739805</v>
      </c>
      <c r="M484" s="475" t="n">
        <v>37161</v>
      </c>
      <c r="N484" s="0" t="s">
        <v>136</v>
      </c>
      <c r="O484" s="0" t="n">
        <v>0.5</v>
      </c>
      <c r="P484" s="0" t="n">
        <v>0</v>
      </c>
      <c r="Q484" s="0" t="n">
        <v>0</v>
      </c>
      <c r="R484" s="0" t="n">
        <v>0</v>
      </c>
      <c r="S484" s="0" t="n">
        <v>0</v>
      </c>
      <c r="T484" s="0" t="s">
        <v>624</v>
      </c>
      <c r="U484" s="0" t="s">
        <v>149</v>
      </c>
      <c r="V484" s="0" t="s">
        <v>624</v>
      </c>
      <c r="W484" s="0" t="s">
        <v>569</v>
      </c>
      <c r="X484" s="0" t="s">
        <v>624</v>
      </c>
      <c r="Y484" s="0" t="s">
        <v>627</v>
      </c>
      <c r="Z484" s="0" t="s">
        <v>629</v>
      </c>
      <c r="AA484" s="0" t="s">
        <v>624</v>
      </c>
      <c r="AB484" s="0" t="s">
        <v>132</v>
      </c>
      <c r="AC484" s="254" t="n">
        <v>310000</v>
      </c>
      <c r="AD484" s="254" t="n">
        <v>9544.40226977671</v>
      </c>
      <c r="AE484" s="0" t="n">
        <v>0</v>
      </c>
      <c r="AF484" s="0" t="n">
        <v>0</v>
      </c>
      <c r="AG484" s="0" t="n">
        <v>0</v>
      </c>
      <c r="AH484" s="254" t="n">
        <v>454.041557032295</v>
      </c>
      <c r="AI484" s="0" t="n">
        <v>226</v>
      </c>
      <c r="AJ484" s="0" t="s">
        <v>630</v>
      </c>
      <c r="AK484" s="0" t="n">
        <v>0</v>
      </c>
      <c r="AL484" s="0" t="n">
        <v>0</v>
      </c>
      <c r="AM484" s="0" t="n">
        <v>0</v>
      </c>
    </row>
    <row r="485" customFormat="false" ht="12.75" hidden="false" customHeight="false" outlineLevel="0" collapsed="false">
      <c r="A485" s="0" t="s">
        <v>621</v>
      </c>
      <c r="B485" s="0" t="s">
        <v>365</v>
      </c>
      <c r="C485" s="0" t="s">
        <v>622</v>
      </c>
      <c r="D485" s="0" t="s">
        <v>623</v>
      </c>
      <c r="E485" s="0" t="s">
        <v>131</v>
      </c>
      <c r="F485" s="0" t="s">
        <v>206</v>
      </c>
      <c r="G485" s="0" t="s">
        <v>628</v>
      </c>
      <c r="H485" s="0" t="s">
        <v>625</v>
      </c>
      <c r="I485" s="0" t="s">
        <v>626</v>
      </c>
      <c r="J485" s="0" t="s">
        <v>627</v>
      </c>
      <c r="K485" s="475" t="n">
        <v>37135</v>
      </c>
      <c r="L485" s="254" t="n">
        <v>31308.7807539751</v>
      </c>
      <c r="M485" s="475" t="n">
        <v>37133</v>
      </c>
      <c r="N485" s="0" t="s">
        <v>136</v>
      </c>
      <c r="O485" s="0" t="n">
        <v>0.5</v>
      </c>
      <c r="P485" s="0" t="n">
        <v>0</v>
      </c>
      <c r="Q485" s="0" t="n">
        <v>0</v>
      </c>
      <c r="R485" s="0" t="n">
        <v>0</v>
      </c>
      <c r="S485" s="0" t="n">
        <v>0</v>
      </c>
      <c r="T485" s="0" t="s">
        <v>624</v>
      </c>
      <c r="U485" s="0" t="s">
        <v>149</v>
      </c>
      <c r="V485" s="0" t="s">
        <v>624</v>
      </c>
      <c r="W485" s="0" t="s">
        <v>569</v>
      </c>
      <c r="X485" s="0" t="s">
        <v>624</v>
      </c>
      <c r="Y485" s="0" t="s">
        <v>627</v>
      </c>
      <c r="Z485" s="0" t="s">
        <v>629</v>
      </c>
      <c r="AA485" s="0" t="s">
        <v>624</v>
      </c>
      <c r="AB485" s="0" t="s">
        <v>132</v>
      </c>
      <c r="AC485" s="254" t="n">
        <v>300000</v>
      </c>
      <c r="AD485" s="254" t="n">
        <v>8697.05707219387</v>
      </c>
      <c r="AE485" s="0" t="n">
        <v>0</v>
      </c>
      <c r="AF485" s="0" t="n">
        <v>0</v>
      </c>
      <c r="AG485" s="0" t="n">
        <v>0</v>
      </c>
      <c r="AH485" s="254" t="n">
        <v>412.838742572552</v>
      </c>
      <c r="AI485" s="0" t="n">
        <v>226</v>
      </c>
      <c r="AJ485" s="0" t="s">
        <v>630</v>
      </c>
      <c r="AK485" s="0" t="n">
        <v>0</v>
      </c>
      <c r="AL485" s="0" t="n">
        <v>0</v>
      </c>
      <c r="AM485" s="0" t="n">
        <v>0</v>
      </c>
    </row>
    <row r="486" customFormat="false" ht="12.75" hidden="false" customHeight="false" outlineLevel="0" collapsed="false">
      <c r="A486" s="0" t="s">
        <v>621</v>
      </c>
      <c r="B486" s="0" t="s">
        <v>365</v>
      </c>
      <c r="C486" s="0" t="s">
        <v>622</v>
      </c>
      <c r="D486" s="0" t="s">
        <v>623</v>
      </c>
      <c r="E486" s="0" t="s">
        <v>131</v>
      </c>
      <c r="F486" s="0" t="s">
        <v>206</v>
      </c>
      <c r="G486" s="0" t="s">
        <v>628</v>
      </c>
      <c r="H486" s="0" t="s">
        <v>625</v>
      </c>
      <c r="I486" s="0" t="s">
        <v>626</v>
      </c>
      <c r="J486" s="0" t="s">
        <v>627</v>
      </c>
      <c r="K486" s="475" t="n">
        <v>37104</v>
      </c>
      <c r="L486" s="254" t="n">
        <v>39209.4382991466</v>
      </c>
      <c r="M486" s="475" t="n">
        <v>37102</v>
      </c>
      <c r="N486" s="0" t="s">
        <v>136</v>
      </c>
      <c r="O486" s="0" t="n">
        <v>0.5</v>
      </c>
      <c r="P486" s="0" t="n">
        <v>0</v>
      </c>
      <c r="Q486" s="0" t="n">
        <v>0</v>
      </c>
      <c r="R486" s="0" t="n">
        <v>0</v>
      </c>
      <c r="S486" s="0" t="n">
        <v>0</v>
      </c>
      <c r="T486" s="0" t="s">
        <v>624</v>
      </c>
      <c r="U486" s="0" t="s">
        <v>149</v>
      </c>
      <c r="V486" s="0" t="s">
        <v>624</v>
      </c>
      <c r="W486" s="0" t="s">
        <v>569</v>
      </c>
      <c r="X486" s="0" t="s">
        <v>624</v>
      </c>
      <c r="Y486" s="0" t="s">
        <v>627</v>
      </c>
      <c r="Z486" s="0" t="s">
        <v>629</v>
      </c>
      <c r="AA486" s="0" t="s">
        <v>624</v>
      </c>
      <c r="AB486" s="0" t="s">
        <v>132</v>
      </c>
      <c r="AC486" s="254" t="n">
        <v>310000</v>
      </c>
      <c r="AD486" s="254" t="n">
        <v>8857.46633493596</v>
      </c>
      <c r="AE486" s="0" t="n">
        <v>0</v>
      </c>
      <c r="AF486" s="0" t="n">
        <v>0</v>
      </c>
      <c r="AG486" s="0" t="n">
        <v>0</v>
      </c>
      <c r="AH486" s="254" t="n">
        <v>420.897224103384</v>
      </c>
      <c r="AI486" s="0" t="n">
        <v>226</v>
      </c>
      <c r="AJ486" s="0" t="s">
        <v>630</v>
      </c>
      <c r="AK486" s="0" t="n">
        <v>0</v>
      </c>
      <c r="AL486" s="0" t="n">
        <v>0</v>
      </c>
      <c r="AM486" s="0" t="n">
        <v>0</v>
      </c>
    </row>
    <row r="487" customFormat="false" ht="12.75" hidden="false" customHeight="false" outlineLevel="0" collapsed="false">
      <c r="A487" s="0" t="s">
        <v>621</v>
      </c>
      <c r="B487" s="0" t="s">
        <v>365</v>
      </c>
      <c r="C487" s="0" t="s">
        <v>622</v>
      </c>
      <c r="D487" s="0" t="s">
        <v>623</v>
      </c>
      <c r="E487" s="0" t="s">
        <v>131</v>
      </c>
      <c r="F487" s="0" t="s">
        <v>206</v>
      </c>
      <c r="G487" s="0" t="s">
        <v>628</v>
      </c>
      <c r="H487" s="0" t="s">
        <v>625</v>
      </c>
      <c r="I487" s="0" t="s">
        <v>626</v>
      </c>
      <c r="J487" s="0" t="s">
        <v>627</v>
      </c>
      <c r="K487" s="475" t="n">
        <v>37073</v>
      </c>
      <c r="L487" s="254" t="n">
        <v>37202.1035212581</v>
      </c>
      <c r="M487" s="475" t="n">
        <v>37070</v>
      </c>
      <c r="N487" s="0" t="s">
        <v>136</v>
      </c>
      <c r="O487" s="0" t="n">
        <v>0.5</v>
      </c>
      <c r="P487" s="0" t="n">
        <v>0</v>
      </c>
      <c r="Q487" s="0" t="n">
        <v>0</v>
      </c>
      <c r="R487" s="0" t="n">
        <v>0</v>
      </c>
      <c r="S487" s="0" t="n">
        <v>0</v>
      </c>
      <c r="T487" s="0" t="s">
        <v>624</v>
      </c>
      <c r="U487" s="0" t="s">
        <v>149</v>
      </c>
      <c r="V487" s="0" t="s">
        <v>624</v>
      </c>
      <c r="W487" s="0" t="s">
        <v>569</v>
      </c>
      <c r="X487" s="0" t="s">
        <v>624</v>
      </c>
      <c r="Y487" s="0" t="s">
        <v>627</v>
      </c>
      <c r="Z487" s="0" t="s">
        <v>629</v>
      </c>
      <c r="AA487" s="0" t="s">
        <v>624</v>
      </c>
      <c r="AB487" s="0" t="s">
        <v>132</v>
      </c>
      <c r="AC487" s="254" t="n">
        <v>310000</v>
      </c>
      <c r="AD487" s="254" t="n">
        <v>8467.53013701258</v>
      </c>
      <c r="AE487" s="0" t="n">
        <v>0</v>
      </c>
      <c r="AF487" s="0" t="n">
        <v>0</v>
      </c>
      <c r="AG487" s="0" t="n">
        <v>0</v>
      </c>
      <c r="AH487" s="254" t="n">
        <v>402.530119818031</v>
      </c>
      <c r="AI487" s="0" t="n">
        <v>226</v>
      </c>
      <c r="AJ487" s="0" t="s">
        <v>630</v>
      </c>
      <c r="AK487" s="0" t="n">
        <v>0</v>
      </c>
      <c r="AL487" s="0" t="n">
        <v>0</v>
      </c>
      <c r="AM487" s="0" t="n">
        <v>0</v>
      </c>
    </row>
    <row r="488" customFormat="false" ht="12.75" hidden="false" customHeight="false" outlineLevel="0" collapsed="false">
      <c r="A488" s="0" t="s">
        <v>621</v>
      </c>
      <c r="B488" s="0" t="s">
        <v>365</v>
      </c>
      <c r="C488" s="0" t="s">
        <v>622</v>
      </c>
      <c r="D488" s="0" t="s">
        <v>623</v>
      </c>
      <c r="E488" s="0" t="s">
        <v>131</v>
      </c>
      <c r="F488" s="0" t="s">
        <v>206</v>
      </c>
      <c r="G488" s="0" t="s">
        <v>628</v>
      </c>
      <c r="H488" s="0" t="s">
        <v>625</v>
      </c>
      <c r="I488" s="0" t="s">
        <v>626</v>
      </c>
      <c r="J488" s="0" t="s">
        <v>627</v>
      </c>
      <c r="K488" s="475" t="n">
        <v>37043</v>
      </c>
      <c r="L488" s="254" t="n">
        <v>26205.0612432057</v>
      </c>
      <c r="M488" s="475" t="n">
        <v>37041</v>
      </c>
      <c r="N488" s="0" t="s">
        <v>136</v>
      </c>
      <c r="O488" s="0" t="n">
        <v>0.5</v>
      </c>
      <c r="P488" s="0" t="n">
        <v>0</v>
      </c>
      <c r="Q488" s="0" t="n">
        <v>0</v>
      </c>
      <c r="R488" s="0" t="n">
        <v>0</v>
      </c>
      <c r="S488" s="0" t="n">
        <v>0</v>
      </c>
      <c r="T488" s="0" t="s">
        <v>624</v>
      </c>
      <c r="U488" s="0" t="s">
        <v>149</v>
      </c>
      <c r="V488" s="0" t="s">
        <v>624</v>
      </c>
      <c r="W488" s="0" t="s">
        <v>569</v>
      </c>
      <c r="X488" s="0" t="s">
        <v>624</v>
      </c>
      <c r="Y488" s="0" t="s">
        <v>627</v>
      </c>
      <c r="Z488" s="0" t="s">
        <v>629</v>
      </c>
      <c r="AA488" s="0" t="s">
        <v>624</v>
      </c>
      <c r="AB488" s="0" t="s">
        <v>132</v>
      </c>
      <c r="AC488" s="254" t="n">
        <v>300000</v>
      </c>
      <c r="AD488" s="254" t="n">
        <v>7582.59114703003</v>
      </c>
      <c r="AE488" s="0" t="n">
        <v>0</v>
      </c>
      <c r="AF488" s="0" t="n">
        <v>0</v>
      </c>
      <c r="AG488" s="0" t="n">
        <v>0</v>
      </c>
      <c r="AH488" s="254" t="n">
        <v>360.316023931737</v>
      </c>
      <c r="AI488" s="0" t="n">
        <v>226</v>
      </c>
      <c r="AJ488" s="0" t="s">
        <v>630</v>
      </c>
      <c r="AK488" s="0" t="n">
        <v>0</v>
      </c>
      <c r="AL488" s="0" t="n">
        <v>0</v>
      </c>
      <c r="AM488" s="0" t="n">
        <v>0</v>
      </c>
    </row>
    <row r="489" customFormat="false" ht="12.75" hidden="false" customHeight="false" outlineLevel="0" collapsed="false">
      <c r="A489" s="0" t="s">
        <v>621</v>
      </c>
      <c r="B489" s="0" t="s">
        <v>365</v>
      </c>
      <c r="C489" s="0" t="s">
        <v>622</v>
      </c>
      <c r="D489" s="0" t="s">
        <v>623</v>
      </c>
      <c r="E489" s="0" t="s">
        <v>131</v>
      </c>
      <c r="F489" s="0" t="s">
        <v>206</v>
      </c>
      <c r="G489" s="0" t="s">
        <v>628</v>
      </c>
      <c r="H489" s="0" t="s">
        <v>625</v>
      </c>
      <c r="I489" s="0" t="s">
        <v>626</v>
      </c>
      <c r="J489" s="0" t="s">
        <v>627</v>
      </c>
      <c r="K489" s="475" t="n">
        <v>37012</v>
      </c>
      <c r="L489" s="254" t="n">
        <v>26626.8790465357</v>
      </c>
      <c r="M489" s="475" t="n">
        <v>37008</v>
      </c>
      <c r="N489" s="0" t="s">
        <v>136</v>
      </c>
      <c r="O489" s="0" t="n">
        <v>0.5</v>
      </c>
      <c r="P489" s="0" t="n">
        <v>0</v>
      </c>
      <c r="Q489" s="0" t="n">
        <v>0</v>
      </c>
      <c r="R489" s="0" t="n">
        <v>0</v>
      </c>
      <c r="S489" s="0" t="n">
        <v>0</v>
      </c>
      <c r="T489" s="0" t="s">
        <v>624</v>
      </c>
      <c r="U489" s="0" t="s">
        <v>149</v>
      </c>
      <c r="V489" s="0" t="s">
        <v>624</v>
      </c>
      <c r="W489" s="0" t="s">
        <v>569</v>
      </c>
      <c r="X489" s="0" t="s">
        <v>624</v>
      </c>
      <c r="Y489" s="0" t="s">
        <v>627</v>
      </c>
      <c r="Z489" s="0" t="s">
        <v>629</v>
      </c>
      <c r="AA489" s="0" t="s">
        <v>624</v>
      </c>
      <c r="AB489" s="0" t="s">
        <v>132</v>
      </c>
      <c r="AC489" s="254" t="n">
        <v>310000</v>
      </c>
      <c r="AD489" s="254" t="n">
        <v>7524.25993241735</v>
      </c>
      <c r="AE489" s="0" t="n">
        <v>0</v>
      </c>
      <c r="AF489" s="0" t="n">
        <v>0</v>
      </c>
      <c r="AG489" s="0" t="n">
        <v>0</v>
      </c>
      <c r="AH489" s="254" t="n">
        <v>357.92191821893</v>
      </c>
      <c r="AI489" s="0" t="n">
        <v>226</v>
      </c>
      <c r="AJ489" s="0" t="s">
        <v>630</v>
      </c>
      <c r="AK489" s="0" t="n">
        <v>0</v>
      </c>
      <c r="AL489" s="0" t="n">
        <v>0</v>
      </c>
      <c r="AM489" s="0" t="n">
        <v>0</v>
      </c>
    </row>
    <row r="490" customFormat="false" ht="12.75" hidden="false" customHeight="false" outlineLevel="0" collapsed="false">
      <c r="A490" s="0" t="s">
        <v>621</v>
      </c>
      <c r="B490" s="0" t="s">
        <v>365</v>
      </c>
      <c r="C490" s="0" t="s">
        <v>622</v>
      </c>
      <c r="D490" s="0" t="s">
        <v>623</v>
      </c>
      <c r="E490" s="0" t="s">
        <v>131</v>
      </c>
      <c r="F490" s="0" t="s">
        <v>206</v>
      </c>
      <c r="G490" s="0" t="s">
        <v>628</v>
      </c>
      <c r="H490" s="0" t="s">
        <v>625</v>
      </c>
      <c r="I490" s="0" t="s">
        <v>626</v>
      </c>
      <c r="J490" s="0" t="s">
        <v>627</v>
      </c>
      <c r="K490" s="475" t="n">
        <v>36982</v>
      </c>
      <c r="L490" s="254" t="n">
        <v>43385.020276214</v>
      </c>
      <c r="M490" s="475" t="n">
        <v>36979</v>
      </c>
      <c r="N490" s="0" t="s">
        <v>136</v>
      </c>
      <c r="O490" s="0" t="n">
        <v>0.5</v>
      </c>
      <c r="P490" s="0" t="n">
        <v>0</v>
      </c>
      <c r="Q490" s="0" t="n">
        <v>0</v>
      </c>
      <c r="R490" s="0" t="n">
        <v>0</v>
      </c>
      <c r="S490" s="0" t="n">
        <v>0</v>
      </c>
      <c r="T490" s="0" t="s">
        <v>624</v>
      </c>
      <c r="U490" s="0" t="s">
        <v>149</v>
      </c>
      <c r="V490" s="0" t="s">
        <v>624</v>
      </c>
      <c r="W490" s="0" t="s">
        <v>569</v>
      </c>
      <c r="X490" s="0" t="s">
        <v>624</v>
      </c>
      <c r="Y490" s="0" t="s">
        <v>627</v>
      </c>
      <c r="Z490" s="0" t="s">
        <v>629</v>
      </c>
      <c r="AA490" s="0" t="s">
        <v>624</v>
      </c>
      <c r="AB490" s="0" t="s">
        <v>132</v>
      </c>
      <c r="AC490" s="254" t="n">
        <v>300000</v>
      </c>
      <c r="AD490" s="254" t="n">
        <v>7765.68044874707</v>
      </c>
      <c r="AE490" s="0" t="n">
        <v>0</v>
      </c>
      <c r="AF490" s="0" t="n">
        <v>0</v>
      </c>
      <c r="AG490" s="0" t="n">
        <v>0</v>
      </c>
      <c r="AH490" s="254" t="n">
        <v>370.403506270297</v>
      </c>
      <c r="AI490" s="0" t="n">
        <v>226</v>
      </c>
      <c r="AJ490" s="0" t="s">
        <v>630</v>
      </c>
      <c r="AK490" s="0" t="n">
        <v>0</v>
      </c>
      <c r="AL490" s="0" t="n">
        <v>0</v>
      </c>
      <c r="AM490" s="0" t="n">
        <v>0</v>
      </c>
    </row>
    <row r="491" customFormat="false" ht="12.75" hidden="false" customHeight="false" outlineLevel="0" collapsed="false">
      <c r="A491" s="0" t="s">
        <v>621</v>
      </c>
      <c r="B491" s="0" t="s">
        <v>366</v>
      </c>
      <c r="C491" s="0" t="s">
        <v>622</v>
      </c>
      <c r="D491" s="0" t="s">
        <v>623</v>
      </c>
      <c r="E491" s="0" t="s">
        <v>131</v>
      </c>
      <c r="F491" s="0" t="s">
        <v>198</v>
      </c>
      <c r="G491" s="0" t="s">
        <v>628</v>
      </c>
      <c r="H491" s="0" t="s">
        <v>625</v>
      </c>
      <c r="I491" s="0" t="s">
        <v>626</v>
      </c>
      <c r="J491" s="0" t="s">
        <v>627</v>
      </c>
      <c r="K491" s="475" t="n">
        <v>36951</v>
      </c>
      <c r="L491" s="254" t="n">
        <v>257860.553972926</v>
      </c>
      <c r="M491" s="475" t="n">
        <v>36949</v>
      </c>
      <c r="N491" s="0" t="s">
        <v>136</v>
      </c>
      <c r="O491" s="0" t="n">
        <v>0.3</v>
      </c>
      <c r="P491" s="0" t="n">
        <v>0</v>
      </c>
      <c r="Q491" s="0" t="n">
        <v>0</v>
      </c>
      <c r="R491" s="0" t="n">
        <v>0</v>
      </c>
      <c r="S491" s="0" t="n">
        <v>0</v>
      </c>
      <c r="T491" s="0" t="s">
        <v>624</v>
      </c>
      <c r="U491" s="0" t="s">
        <v>137</v>
      </c>
      <c r="V491" s="0" t="s">
        <v>624</v>
      </c>
      <c r="W491" s="0" t="s">
        <v>569</v>
      </c>
      <c r="X491" s="0" t="s">
        <v>624</v>
      </c>
      <c r="Y491" s="0" t="s">
        <v>627</v>
      </c>
      <c r="Z491" s="0" t="s">
        <v>629</v>
      </c>
      <c r="AA491" s="0" t="s">
        <v>624</v>
      </c>
      <c r="AB491" s="0" t="s">
        <v>132</v>
      </c>
      <c r="AC491" s="254" t="n">
        <v>500000</v>
      </c>
      <c r="AD491" s="254" t="n">
        <v>36938.3982718862</v>
      </c>
      <c r="AE491" s="0" t="n">
        <v>0</v>
      </c>
      <c r="AF491" s="0" t="n">
        <v>0</v>
      </c>
      <c r="AG491" s="0" t="n">
        <v>0</v>
      </c>
      <c r="AH491" s="254" t="n">
        <v>-16070.6786624382</v>
      </c>
      <c r="AI491" s="0" t="n">
        <v>226</v>
      </c>
      <c r="AJ491" s="0" t="s">
        <v>630</v>
      </c>
      <c r="AK491" s="0" t="n">
        <v>0</v>
      </c>
      <c r="AL491" s="0" t="n">
        <v>0</v>
      </c>
      <c r="AM491" s="0" t="n">
        <v>0</v>
      </c>
    </row>
    <row r="492" customFormat="false" ht="12.75" hidden="false" customHeight="false" outlineLevel="0" collapsed="false">
      <c r="A492" s="0" t="s">
        <v>621</v>
      </c>
      <c r="B492" s="0" t="s">
        <v>366</v>
      </c>
      <c r="C492" s="0" t="s">
        <v>622</v>
      </c>
      <c r="D492" s="0" t="s">
        <v>623</v>
      </c>
      <c r="E492" s="0" t="s">
        <v>131</v>
      </c>
      <c r="F492" s="0" t="s">
        <v>198</v>
      </c>
      <c r="G492" s="0" t="s">
        <v>628</v>
      </c>
      <c r="H492" s="0" t="s">
        <v>625</v>
      </c>
      <c r="I492" s="0" t="s">
        <v>626</v>
      </c>
      <c r="J492" s="0" t="s">
        <v>627</v>
      </c>
      <c r="K492" s="475" t="n">
        <v>36923</v>
      </c>
      <c r="L492" s="254" t="n">
        <v>279861.551675115</v>
      </c>
      <c r="M492" s="475" t="n">
        <v>36921</v>
      </c>
      <c r="N492" s="0" t="s">
        <v>136</v>
      </c>
      <c r="O492" s="0" t="n">
        <v>0.3</v>
      </c>
      <c r="P492" s="0" t="n">
        <v>0</v>
      </c>
      <c r="Q492" s="0" t="n">
        <v>0</v>
      </c>
      <c r="R492" s="0" t="n">
        <v>0</v>
      </c>
      <c r="S492" s="0" t="n">
        <v>0</v>
      </c>
      <c r="T492" s="0" t="s">
        <v>624</v>
      </c>
      <c r="U492" s="0" t="s">
        <v>137</v>
      </c>
      <c r="V492" s="0" t="s">
        <v>624</v>
      </c>
      <c r="W492" s="0" t="s">
        <v>569</v>
      </c>
      <c r="X492" s="0" t="s">
        <v>624</v>
      </c>
      <c r="Y492" s="0" t="s">
        <v>627</v>
      </c>
      <c r="Z492" s="0" t="s">
        <v>629</v>
      </c>
      <c r="AA492" s="0" t="s">
        <v>624</v>
      </c>
      <c r="AB492" s="0" t="s">
        <v>132</v>
      </c>
      <c r="AC492" s="254" t="n">
        <v>500000</v>
      </c>
      <c r="AD492" s="254" t="n">
        <v>38119.5115778066</v>
      </c>
      <c r="AE492" s="0" t="n">
        <v>0</v>
      </c>
      <c r="AF492" s="0" t="n">
        <v>0</v>
      </c>
      <c r="AG492" s="0" t="n">
        <v>0</v>
      </c>
      <c r="AH492" s="254" t="n">
        <v>-16153.2355504369</v>
      </c>
      <c r="AI492" s="0" t="n">
        <v>226</v>
      </c>
      <c r="AJ492" s="0" t="s">
        <v>630</v>
      </c>
      <c r="AK492" s="0" t="n">
        <v>0</v>
      </c>
      <c r="AL492" s="0" t="n">
        <v>0</v>
      </c>
      <c r="AM492" s="0" t="n">
        <v>0</v>
      </c>
    </row>
    <row r="493" customFormat="false" ht="12.75" hidden="false" customHeight="false" outlineLevel="0" collapsed="false">
      <c r="A493" s="0" t="s">
        <v>621</v>
      </c>
      <c r="B493" s="0" t="s">
        <v>366</v>
      </c>
      <c r="C493" s="0" t="s">
        <v>622</v>
      </c>
      <c r="D493" s="0" t="s">
        <v>623</v>
      </c>
      <c r="E493" s="0" t="s">
        <v>131</v>
      </c>
      <c r="F493" s="0" t="s">
        <v>198</v>
      </c>
      <c r="G493" s="0" t="s">
        <v>628</v>
      </c>
      <c r="H493" s="0" t="s">
        <v>625</v>
      </c>
      <c r="I493" s="0" t="s">
        <v>626</v>
      </c>
      <c r="J493" s="0" t="s">
        <v>627</v>
      </c>
      <c r="K493" s="475" t="n">
        <v>36892</v>
      </c>
      <c r="L493" s="254" t="n">
        <v>324172.952144384</v>
      </c>
      <c r="M493" s="475" t="n">
        <v>36888</v>
      </c>
      <c r="N493" s="0" t="s">
        <v>136</v>
      </c>
      <c r="O493" s="0" t="n">
        <v>0.3</v>
      </c>
      <c r="P493" s="0" t="n">
        <v>0</v>
      </c>
      <c r="Q493" s="0" t="n">
        <v>0</v>
      </c>
      <c r="R493" s="0" t="n">
        <v>0</v>
      </c>
      <c r="S493" s="0" t="n">
        <v>0</v>
      </c>
      <c r="T493" s="0" t="s">
        <v>624</v>
      </c>
      <c r="U493" s="0" t="s">
        <v>137</v>
      </c>
      <c r="V493" s="0" t="s">
        <v>624</v>
      </c>
      <c r="W493" s="0" t="s">
        <v>569</v>
      </c>
      <c r="X493" s="0" t="s">
        <v>624</v>
      </c>
      <c r="Y493" s="0" t="s">
        <v>627</v>
      </c>
      <c r="Z493" s="0" t="s">
        <v>629</v>
      </c>
      <c r="AA493" s="0" t="s">
        <v>624</v>
      </c>
      <c r="AB493" s="0" t="s">
        <v>132</v>
      </c>
      <c r="AC493" s="254" t="n">
        <v>500000</v>
      </c>
      <c r="AD493" s="254" t="n">
        <v>32570.5354679631</v>
      </c>
      <c r="AE493" s="0" t="n">
        <v>0</v>
      </c>
      <c r="AF493" s="0" t="n">
        <v>0</v>
      </c>
      <c r="AG493" s="0" t="n">
        <v>0</v>
      </c>
      <c r="AH493" s="254" t="n">
        <v>-17984.4963381685</v>
      </c>
      <c r="AI493" s="0" t="n">
        <v>226</v>
      </c>
      <c r="AJ493" s="0" t="s">
        <v>630</v>
      </c>
      <c r="AK493" s="0" t="n">
        <v>0</v>
      </c>
      <c r="AL493" s="0" t="n">
        <v>0</v>
      </c>
      <c r="AM493" s="0" t="n">
        <v>0</v>
      </c>
    </row>
    <row r="494" customFormat="false" ht="12.75" hidden="false" customHeight="false" outlineLevel="0" collapsed="false">
      <c r="A494" s="0" t="s">
        <v>621</v>
      </c>
      <c r="B494" s="0" t="s">
        <v>366</v>
      </c>
      <c r="C494" s="0" t="s">
        <v>622</v>
      </c>
      <c r="D494" s="0" t="s">
        <v>623</v>
      </c>
      <c r="E494" s="0" t="s">
        <v>131</v>
      </c>
      <c r="F494" s="0" t="s">
        <v>198</v>
      </c>
      <c r="G494" s="0" t="s">
        <v>628</v>
      </c>
      <c r="H494" s="0" t="s">
        <v>625</v>
      </c>
      <c r="I494" s="0" t="s">
        <v>626</v>
      </c>
      <c r="J494" s="0" t="s">
        <v>627</v>
      </c>
      <c r="K494" s="475" t="n">
        <v>36861</v>
      </c>
      <c r="L494" s="254" t="n">
        <v>396010.629200822</v>
      </c>
      <c r="M494" s="475" t="n">
        <v>36859</v>
      </c>
      <c r="N494" s="0" t="s">
        <v>136</v>
      </c>
      <c r="O494" s="0" t="n">
        <v>0.3</v>
      </c>
      <c r="P494" s="0" t="n">
        <v>0</v>
      </c>
      <c r="Q494" s="0" t="n">
        <v>0</v>
      </c>
      <c r="R494" s="0" t="n">
        <v>0</v>
      </c>
      <c r="S494" s="0" t="n">
        <v>0</v>
      </c>
      <c r="T494" s="0" t="s">
        <v>624</v>
      </c>
      <c r="U494" s="0" t="s">
        <v>137</v>
      </c>
      <c r="V494" s="0" t="s">
        <v>624</v>
      </c>
      <c r="W494" s="0" t="s">
        <v>569</v>
      </c>
      <c r="X494" s="0" t="s">
        <v>624</v>
      </c>
      <c r="Y494" s="0" t="s">
        <v>627</v>
      </c>
      <c r="Z494" s="0" t="s">
        <v>629</v>
      </c>
      <c r="AA494" s="0" t="s">
        <v>624</v>
      </c>
      <c r="AB494" s="0" t="s">
        <v>132</v>
      </c>
      <c r="AC494" s="254" t="n">
        <v>500000</v>
      </c>
      <c r="AD494" s="254" t="n">
        <v>22889.7328757242</v>
      </c>
      <c r="AE494" s="0" t="n">
        <v>0</v>
      </c>
      <c r="AF494" s="0" t="n">
        <v>0</v>
      </c>
      <c r="AG494" s="0" t="n">
        <v>0</v>
      </c>
      <c r="AH494" s="254" t="n">
        <v>57637.2591544675</v>
      </c>
      <c r="AI494" s="0" t="n">
        <v>226</v>
      </c>
      <c r="AJ494" s="0" t="s">
        <v>630</v>
      </c>
      <c r="AK494" s="0" t="n">
        <v>0</v>
      </c>
      <c r="AL494" s="0" t="n">
        <v>0</v>
      </c>
      <c r="AM494" s="0" t="n">
        <v>0</v>
      </c>
    </row>
    <row r="495" customFormat="false" ht="12.75" hidden="false" customHeight="false" outlineLevel="0" collapsed="false">
      <c r="A495" s="0" t="s">
        <v>621</v>
      </c>
      <c r="B495" s="0" t="s">
        <v>366</v>
      </c>
      <c r="C495" s="0" t="s">
        <v>622</v>
      </c>
      <c r="D495" s="0" t="s">
        <v>623</v>
      </c>
      <c r="E495" s="0" t="s">
        <v>131</v>
      </c>
      <c r="F495" s="0" t="s">
        <v>198</v>
      </c>
      <c r="G495" s="0" t="s">
        <v>628</v>
      </c>
      <c r="H495" s="0" t="s">
        <v>625</v>
      </c>
      <c r="I495" s="0" t="s">
        <v>626</v>
      </c>
      <c r="J495" s="0" t="s">
        <v>627</v>
      </c>
      <c r="K495" s="475" t="n">
        <v>36831</v>
      </c>
      <c r="L495" s="254" t="n">
        <v>621737.619084582</v>
      </c>
      <c r="M495" s="475" t="n">
        <v>36829</v>
      </c>
      <c r="N495" s="0" t="s">
        <v>136</v>
      </c>
      <c r="O495" s="0" t="n">
        <v>0.3</v>
      </c>
      <c r="P495" s="0" t="n">
        <v>0</v>
      </c>
      <c r="Q495" s="0" t="n">
        <v>0</v>
      </c>
      <c r="R495" s="0" t="n">
        <v>0</v>
      </c>
      <c r="S495" s="0" t="n">
        <v>0</v>
      </c>
      <c r="T495" s="0" t="s">
        <v>624</v>
      </c>
      <c r="U495" s="0" t="s">
        <v>137</v>
      </c>
      <c r="V495" s="0" t="s">
        <v>624</v>
      </c>
      <c r="W495" s="0" t="s">
        <v>569</v>
      </c>
      <c r="X495" s="0" t="s">
        <v>624</v>
      </c>
      <c r="Y495" s="0" t="s">
        <v>627</v>
      </c>
      <c r="Z495" s="0" t="s">
        <v>629</v>
      </c>
      <c r="AA495" s="0" t="s">
        <v>624</v>
      </c>
      <c r="AB495" s="0" t="s">
        <v>132</v>
      </c>
      <c r="AC495" s="254" t="n">
        <v>500000</v>
      </c>
      <c r="AD495" s="254" t="n">
        <v>6145.94792376959</v>
      </c>
      <c r="AE495" s="0" t="n">
        <v>0</v>
      </c>
      <c r="AF495" s="0" t="n">
        <v>0</v>
      </c>
      <c r="AG495" s="0" t="n">
        <v>0</v>
      </c>
      <c r="AH495" s="254" t="n">
        <v>98690.8463266026</v>
      </c>
      <c r="AI495" s="0" t="n">
        <v>226</v>
      </c>
      <c r="AJ495" s="0" t="s">
        <v>630</v>
      </c>
      <c r="AK495" s="0" t="n">
        <v>0</v>
      </c>
      <c r="AL495" s="0" t="n">
        <v>0</v>
      </c>
      <c r="AM495" s="0" t="n">
        <v>0</v>
      </c>
    </row>
    <row r="496" customFormat="false" ht="12.75" hidden="false" customHeight="false" outlineLevel="0" collapsed="false">
      <c r="A496" s="0" t="s">
        <v>621</v>
      </c>
      <c r="B496" s="0" t="s">
        <v>367</v>
      </c>
      <c r="C496" s="0" t="s">
        <v>622</v>
      </c>
      <c r="D496" s="0" t="s">
        <v>623</v>
      </c>
      <c r="E496" s="0" t="s">
        <v>131</v>
      </c>
      <c r="F496" s="0" t="s">
        <v>363</v>
      </c>
      <c r="G496" s="0" t="s">
        <v>628</v>
      </c>
      <c r="H496" s="0" t="s">
        <v>625</v>
      </c>
      <c r="I496" s="0" t="s">
        <v>626</v>
      </c>
      <c r="J496" s="0" t="s">
        <v>627</v>
      </c>
      <c r="K496" s="475" t="n">
        <v>36831</v>
      </c>
      <c r="L496" s="254" t="n">
        <v>246653.870751967</v>
      </c>
      <c r="M496" s="475" t="n">
        <v>36829</v>
      </c>
      <c r="N496" s="0" t="s">
        <v>136</v>
      </c>
      <c r="O496" s="0" t="n">
        <v>0.8</v>
      </c>
      <c r="P496" s="0" t="n">
        <v>0</v>
      </c>
      <c r="Q496" s="0" t="n">
        <v>0</v>
      </c>
      <c r="R496" s="0" t="n">
        <v>0</v>
      </c>
      <c r="S496" s="0" t="n">
        <v>0</v>
      </c>
      <c r="T496" s="0" t="s">
        <v>624</v>
      </c>
      <c r="U496" s="0" t="s">
        <v>149</v>
      </c>
      <c r="V496" s="0" t="s">
        <v>624</v>
      </c>
      <c r="W496" s="0" t="s">
        <v>569</v>
      </c>
      <c r="X496" s="0" t="s">
        <v>624</v>
      </c>
      <c r="Y496" s="0" t="s">
        <v>627</v>
      </c>
      <c r="Z496" s="0" t="s">
        <v>629</v>
      </c>
      <c r="AA496" s="0" t="s">
        <v>624</v>
      </c>
      <c r="AB496" s="0" t="s">
        <v>132</v>
      </c>
      <c r="AC496" s="254" t="n">
        <v>1000000</v>
      </c>
      <c r="AD496" s="254" t="n">
        <v>44936.2432733647</v>
      </c>
      <c r="AE496" s="0" t="n">
        <v>0</v>
      </c>
      <c r="AF496" s="0" t="n">
        <v>0</v>
      </c>
      <c r="AG496" s="0" t="n">
        <v>0</v>
      </c>
      <c r="AH496" s="254" t="n">
        <v>21963.6986836927</v>
      </c>
      <c r="AI496" s="0" t="n">
        <v>226</v>
      </c>
      <c r="AJ496" s="0" t="s">
        <v>630</v>
      </c>
      <c r="AK496" s="0" t="n">
        <v>0</v>
      </c>
      <c r="AL496" s="0" t="n">
        <v>0</v>
      </c>
      <c r="AM496" s="0" t="n">
        <v>0</v>
      </c>
    </row>
    <row r="497" customFormat="false" ht="12.75" hidden="false" customHeight="false" outlineLevel="0" collapsed="false">
      <c r="A497" s="0" t="s">
        <v>621</v>
      </c>
      <c r="B497" s="0" t="s">
        <v>368</v>
      </c>
      <c r="C497" s="0" t="s">
        <v>622</v>
      </c>
      <c r="D497" s="0" t="s">
        <v>623</v>
      </c>
      <c r="E497" s="0" t="s">
        <v>131</v>
      </c>
      <c r="F497" s="0" t="s">
        <v>363</v>
      </c>
      <c r="G497" s="0" t="s">
        <v>628</v>
      </c>
      <c r="H497" s="0" t="s">
        <v>625</v>
      </c>
      <c r="I497" s="0" t="s">
        <v>626</v>
      </c>
      <c r="J497" s="0" t="s">
        <v>627</v>
      </c>
      <c r="K497" s="475" t="n">
        <v>36800</v>
      </c>
      <c r="L497" s="254" t="n">
        <v>235.266402856232</v>
      </c>
      <c r="M497" s="475" t="n">
        <v>36797</v>
      </c>
      <c r="N497" s="0" t="s">
        <v>136</v>
      </c>
      <c r="O497" s="0" t="n">
        <v>0.7</v>
      </c>
      <c r="P497" s="0" t="n">
        <v>0</v>
      </c>
      <c r="Q497" s="0" t="n">
        <v>0</v>
      </c>
      <c r="R497" s="0" t="n">
        <v>0</v>
      </c>
      <c r="S497" s="0" t="n">
        <v>0</v>
      </c>
      <c r="T497" s="0" t="s">
        <v>624</v>
      </c>
      <c r="U497" s="0" t="s">
        <v>149</v>
      </c>
      <c r="V497" s="0" t="s">
        <v>624</v>
      </c>
      <c r="W497" s="0" t="s">
        <v>569</v>
      </c>
      <c r="X497" s="0" t="s">
        <v>624</v>
      </c>
      <c r="Y497" s="0" t="s">
        <v>627</v>
      </c>
      <c r="Z497" s="0" t="s">
        <v>629</v>
      </c>
      <c r="AA497" s="0" t="s">
        <v>624</v>
      </c>
      <c r="AB497" s="0" t="s">
        <v>132</v>
      </c>
      <c r="AC497" s="254" t="n">
        <v>310000</v>
      </c>
      <c r="AD497" s="254" t="n">
        <v>183.994617923024</v>
      </c>
      <c r="AE497" s="0" t="n">
        <v>0</v>
      </c>
      <c r="AF497" s="0" t="n">
        <v>0</v>
      </c>
      <c r="AG497" s="0" t="n">
        <v>0</v>
      </c>
      <c r="AH497" s="254" t="n">
        <v>11.1702745729171</v>
      </c>
      <c r="AI497" s="0" t="n">
        <v>226</v>
      </c>
      <c r="AJ497" s="0" t="s">
        <v>630</v>
      </c>
      <c r="AK497" s="0" t="n">
        <v>0</v>
      </c>
      <c r="AL497" s="0" t="n">
        <v>0</v>
      </c>
      <c r="AM497" s="0" t="n">
        <v>0</v>
      </c>
    </row>
    <row r="498" customFormat="false" ht="12.75" hidden="false" customHeight="false" outlineLevel="0" collapsed="false">
      <c r="A498" s="0" t="s">
        <v>621</v>
      </c>
      <c r="B498" s="0" t="s">
        <v>369</v>
      </c>
      <c r="C498" s="0" t="s">
        <v>622</v>
      </c>
      <c r="D498" s="0" t="s">
        <v>623</v>
      </c>
      <c r="E498" s="0" t="s">
        <v>131</v>
      </c>
      <c r="F498" s="0" t="s">
        <v>208</v>
      </c>
      <c r="G498" s="0" t="s">
        <v>628</v>
      </c>
      <c r="H498" s="0" t="s">
        <v>625</v>
      </c>
      <c r="I498" s="0" t="s">
        <v>626</v>
      </c>
      <c r="J498" s="0" t="s">
        <v>627</v>
      </c>
      <c r="K498" s="475" t="n">
        <v>36951</v>
      </c>
      <c r="L498" s="254" t="n">
        <v>48886.4006319538</v>
      </c>
      <c r="M498" s="475" t="n">
        <v>36949</v>
      </c>
      <c r="N498" s="0" t="s">
        <v>136</v>
      </c>
      <c r="O498" s="0" t="n">
        <v>2.5</v>
      </c>
      <c r="P498" s="0" t="n">
        <v>0</v>
      </c>
      <c r="Q498" s="0" t="n">
        <v>0</v>
      </c>
      <c r="R498" s="0" t="n">
        <v>0</v>
      </c>
      <c r="S498" s="0" t="n">
        <v>0</v>
      </c>
      <c r="T498" s="0" t="s">
        <v>624</v>
      </c>
      <c r="U498" s="0" t="s">
        <v>149</v>
      </c>
      <c r="V498" s="0" t="s">
        <v>624</v>
      </c>
      <c r="W498" s="0" t="s">
        <v>569</v>
      </c>
      <c r="X498" s="0" t="s">
        <v>624</v>
      </c>
      <c r="Y498" s="0" t="s">
        <v>627</v>
      </c>
      <c r="Z498" s="0" t="s">
        <v>629</v>
      </c>
      <c r="AA498" s="0" t="s">
        <v>624</v>
      </c>
      <c r="AB498" s="0" t="s">
        <v>132</v>
      </c>
      <c r="AC498" s="254" t="n">
        <v>310000</v>
      </c>
      <c r="AD498" s="254" t="n">
        <v>17765.6627083015</v>
      </c>
      <c r="AE498" s="0" t="n">
        <v>0</v>
      </c>
      <c r="AF498" s="0" t="n">
        <v>0</v>
      </c>
      <c r="AG498" s="0" t="n">
        <v>0</v>
      </c>
      <c r="AH498" s="254" t="n">
        <v>4861.23334067523</v>
      </c>
      <c r="AI498" s="0" t="n">
        <v>226</v>
      </c>
      <c r="AJ498" s="0" t="s">
        <v>630</v>
      </c>
      <c r="AK498" s="0" t="n">
        <v>0</v>
      </c>
      <c r="AL498" s="0" t="n">
        <v>0</v>
      </c>
      <c r="AM498" s="0" t="n">
        <v>0</v>
      </c>
    </row>
    <row r="499" customFormat="false" ht="12.75" hidden="false" customHeight="false" outlineLevel="0" collapsed="false">
      <c r="A499" s="0" t="s">
        <v>621</v>
      </c>
      <c r="B499" s="0" t="s">
        <v>369</v>
      </c>
      <c r="C499" s="0" t="s">
        <v>622</v>
      </c>
      <c r="D499" s="0" t="s">
        <v>623</v>
      </c>
      <c r="E499" s="0" t="s">
        <v>131</v>
      </c>
      <c r="F499" s="0" t="s">
        <v>208</v>
      </c>
      <c r="G499" s="0" t="s">
        <v>628</v>
      </c>
      <c r="H499" s="0" t="s">
        <v>625</v>
      </c>
      <c r="I499" s="0" t="s">
        <v>626</v>
      </c>
      <c r="J499" s="0" t="s">
        <v>627</v>
      </c>
      <c r="K499" s="475" t="n">
        <v>36923</v>
      </c>
      <c r="L499" s="254" t="n">
        <v>150386.951769508</v>
      </c>
      <c r="M499" s="475" t="n">
        <v>36921</v>
      </c>
      <c r="N499" s="0" t="s">
        <v>136</v>
      </c>
      <c r="O499" s="0" t="n">
        <v>2.5</v>
      </c>
      <c r="P499" s="0" t="n">
        <v>0</v>
      </c>
      <c r="Q499" s="0" t="n">
        <v>0</v>
      </c>
      <c r="R499" s="0" t="n">
        <v>0</v>
      </c>
      <c r="S499" s="0" t="n">
        <v>0</v>
      </c>
      <c r="T499" s="0" t="s">
        <v>624</v>
      </c>
      <c r="U499" s="0" t="s">
        <v>149</v>
      </c>
      <c r="V499" s="0" t="s">
        <v>624</v>
      </c>
      <c r="W499" s="0" t="s">
        <v>569</v>
      </c>
      <c r="X499" s="0" t="s">
        <v>624</v>
      </c>
      <c r="Y499" s="0" t="s">
        <v>627</v>
      </c>
      <c r="Z499" s="0" t="s">
        <v>629</v>
      </c>
      <c r="AA499" s="0" t="s">
        <v>624</v>
      </c>
      <c r="AB499" s="0" t="s">
        <v>132</v>
      </c>
      <c r="AC499" s="254" t="n">
        <v>280000</v>
      </c>
      <c r="AD499" s="254" t="n">
        <v>23175.488626136</v>
      </c>
      <c r="AE499" s="0" t="n">
        <v>0</v>
      </c>
      <c r="AF499" s="0" t="n">
        <v>0</v>
      </c>
      <c r="AG499" s="0" t="n">
        <v>0</v>
      </c>
      <c r="AH499" s="254" t="n">
        <v>9934.57825385733</v>
      </c>
      <c r="AI499" s="0" t="n">
        <v>226</v>
      </c>
      <c r="AJ499" s="0" t="s">
        <v>630</v>
      </c>
      <c r="AK499" s="0" t="n">
        <v>0</v>
      </c>
      <c r="AL499" s="0" t="n">
        <v>0</v>
      </c>
      <c r="AM499" s="0" t="n">
        <v>0</v>
      </c>
    </row>
    <row r="500" customFormat="false" ht="12.75" hidden="false" customHeight="false" outlineLevel="0" collapsed="false">
      <c r="A500" s="0" t="s">
        <v>621</v>
      </c>
      <c r="B500" s="0" t="s">
        <v>369</v>
      </c>
      <c r="C500" s="0" t="s">
        <v>622</v>
      </c>
      <c r="D500" s="0" t="s">
        <v>623</v>
      </c>
      <c r="E500" s="0" t="s">
        <v>131</v>
      </c>
      <c r="F500" s="0" t="s">
        <v>208</v>
      </c>
      <c r="G500" s="0" t="s">
        <v>628</v>
      </c>
      <c r="H500" s="0" t="s">
        <v>625</v>
      </c>
      <c r="I500" s="0" t="s">
        <v>626</v>
      </c>
      <c r="J500" s="0" t="s">
        <v>627</v>
      </c>
      <c r="K500" s="475" t="n">
        <v>36892</v>
      </c>
      <c r="L500" s="254" t="n">
        <v>164878.492230989</v>
      </c>
      <c r="M500" s="475" t="n">
        <v>36888</v>
      </c>
      <c r="N500" s="0" t="s">
        <v>136</v>
      </c>
      <c r="O500" s="0" t="n">
        <v>2.5</v>
      </c>
      <c r="P500" s="0" t="n">
        <v>0</v>
      </c>
      <c r="Q500" s="0" t="n">
        <v>0</v>
      </c>
      <c r="R500" s="0" t="n">
        <v>0</v>
      </c>
      <c r="S500" s="0" t="n">
        <v>0</v>
      </c>
      <c r="T500" s="0" t="s">
        <v>624</v>
      </c>
      <c r="U500" s="0" t="s">
        <v>149</v>
      </c>
      <c r="V500" s="0" t="s">
        <v>624</v>
      </c>
      <c r="W500" s="0" t="s">
        <v>569</v>
      </c>
      <c r="X500" s="0" t="s">
        <v>624</v>
      </c>
      <c r="Y500" s="0" t="s">
        <v>627</v>
      </c>
      <c r="Z500" s="0" t="s">
        <v>629</v>
      </c>
      <c r="AA500" s="0" t="s">
        <v>624</v>
      </c>
      <c r="AB500" s="0" t="s">
        <v>132</v>
      </c>
      <c r="AC500" s="254" t="n">
        <v>310000</v>
      </c>
      <c r="AD500" s="254" t="n">
        <v>23672.1675476593</v>
      </c>
      <c r="AE500" s="0" t="n">
        <v>0</v>
      </c>
      <c r="AF500" s="0" t="n">
        <v>0</v>
      </c>
      <c r="AG500" s="0" t="n">
        <v>0</v>
      </c>
      <c r="AH500" s="254" t="n">
        <v>9697.6778801136</v>
      </c>
      <c r="AI500" s="0" t="n">
        <v>226</v>
      </c>
      <c r="AJ500" s="0" t="s">
        <v>630</v>
      </c>
      <c r="AK500" s="0" t="n">
        <v>0</v>
      </c>
      <c r="AL500" s="0" t="n">
        <v>0</v>
      </c>
      <c r="AM500" s="0" t="n">
        <v>0</v>
      </c>
    </row>
    <row r="501" customFormat="false" ht="12.75" hidden="false" customHeight="false" outlineLevel="0" collapsed="false">
      <c r="A501" s="0" t="s">
        <v>621</v>
      </c>
      <c r="B501" s="0" t="s">
        <v>369</v>
      </c>
      <c r="C501" s="0" t="s">
        <v>622</v>
      </c>
      <c r="D501" s="0" t="s">
        <v>623</v>
      </c>
      <c r="E501" s="0" t="s">
        <v>131</v>
      </c>
      <c r="F501" s="0" t="s">
        <v>208</v>
      </c>
      <c r="G501" s="0" t="s">
        <v>628</v>
      </c>
      <c r="H501" s="0" t="s">
        <v>625</v>
      </c>
      <c r="I501" s="0" t="s">
        <v>626</v>
      </c>
      <c r="J501" s="0" t="s">
        <v>627</v>
      </c>
      <c r="K501" s="475" t="n">
        <v>36861</v>
      </c>
      <c r="L501" s="254" t="n">
        <v>76798.6311381724</v>
      </c>
      <c r="M501" s="475" t="n">
        <v>36859</v>
      </c>
      <c r="N501" s="0" t="s">
        <v>136</v>
      </c>
      <c r="O501" s="0" t="n">
        <v>2.5</v>
      </c>
      <c r="P501" s="0" t="n">
        <v>0</v>
      </c>
      <c r="Q501" s="0" t="n">
        <v>0</v>
      </c>
      <c r="R501" s="0" t="n">
        <v>0</v>
      </c>
      <c r="S501" s="0" t="n">
        <v>0</v>
      </c>
      <c r="T501" s="0" t="s">
        <v>624</v>
      </c>
      <c r="U501" s="0" t="s">
        <v>149</v>
      </c>
      <c r="V501" s="0" t="s">
        <v>624</v>
      </c>
      <c r="W501" s="0" t="s">
        <v>569</v>
      </c>
      <c r="X501" s="0" t="s">
        <v>624</v>
      </c>
      <c r="Y501" s="0" t="s">
        <v>627</v>
      </c>
      <c r="Z501" s="0" t="s">
        <v>629</v>
      </c>
      <c r="AA501" s="0" t="s">
        <v>624</v>
      </c>
      <c r="AB501" s="0" t="s">
        <v>132</v>
      </c>
      <c r="AC501" s="254" t="n">
        <v>310000</v>
      </c>
      <c r="AD501" s="254" t="n">
        <v>17988.3162265355</v>
      </c>
      <c r="AE501" s="0" t="n">
        <v>0</v>
      </c>
      <c r="AF501" s="0" t="n">
        <v>0</v>
      </c>
      <c r="AG501" s="0" t="n">
        <v>0</v>
      </c>
      <c r="AH501" s="254" t="n">
        <v>5205.36734977608</v>
      </c>
      <c r="AI501" s="0" t="n">
        <v>226</v>
      </c>
      <c r="AJ501" s="0" t="s">
        <v>630</v>
      </c>
      <c r="AK501" s="0" t="n">
        <v>0</v>
      </c>
      <c r="AL501" s="0" t="n">
        <v>0</v>
      </c>
      <c r="AM501" s="0" t="n">
        <v>0</v>
      </c>
    </row>
    <row r="502" customFormat="false" ht="12.75" hidden="false" customHeight="false" outlineLevel="0" collapsed="false">
      <c r="A502" s="0" t="s">
        <v>621</v>
      </c>
      <c r="B502" s="0" t="s">
        <v>369</v>
      </c>
      <c r="C502" s="0" t="s">
        <v>622</v>
      </c>
      <c r="D502" s="0" t="s">
        <v>623</v>
      </c>
      <c r="E502" s="0" t="s">
        <v>131</v>
      </c>
      <c r="F502" s="0" t="s">
        <v>208</v>
      </c>
      <c r="G502" s="0" t="s">
        <v>628</v>
      </c>
      <c r="H502" s="0" t="s">
        <v>625</v>
      </c>
      <c r="I502" s="0" t="s">
        <v>626</v>
      </c>
      <c r="J502" s="0" t="s">
        <v>627</v>
      </c>
      <c r="K502" s="475" t="n">
        <v>36831</v>
      </c>
      <c r="L502" s="254" t="n">
        <v>1931.86425285872</v>
      </c>
      <c r="M502" s="475" t="n">
        <v>36829</v>
      </c>
      <c r="N502" s="0" t="s">
        <v>136</v>
      </c>
      <c r="O502" s="0" t="n">
        <v>2.5</v>
      </c>
      <c r="P502" s="0" t="n">
        <v>0</v>
      </c>
      <c r="Q502" s="0" t="n">
        <v>0</v>
      </c>
      <c r="R502" s="0" t="n">
        <v>0</v>
      </c>
      <c r="S502" s="0" t="n">
        <v>0</v>
      </c>
      <c r="T502" s="0" t="s">
        <v>624</v>
      </c>
      <c r="U502" s="0" t="s">
        <v>149</v>
      </c>
      <c r="V502" s="0" t="s">
        <v>624</v>
      </c>
      <c r="W502" s="0" t="s">
        <v>569</v>
      </c>
      <c r="X502" s="0" t="s">
        <v>624</v>
      </c>
      <c r="Y502" s="0" t="s">
        <v>627</v>
      </c>
      <c r="Z502" s="0" t="s">
        <v>629</v>
      </c>
      <c r="AA502" s="0" t="s">
        <v>624</v>
      </c>
      <c r="AB502" s="0" t="s">
        <v>132</v>
      </c>
      <c r="AC502" s="254" t="n">
        <v>300000</v>
      </c>
      <c r="AD502" s="254" t="n">
        <v>1569.59200271751</v>
      </c>
      <c r="AE502" s="0" t="n">
        <v>0</v>
      </c>
      <c r="AF502" s="0" t="n">
        <v>0</v>
      </c>
      <c r="AG502" s="0" t="n">
        <v>0</v>
      </c>
      <c r="AH502" s="254" t="n">
        <v>379.938352204508</v>
      </c>
      <c r="AI502" s="0" t="n">
        <v>226</v>
      </c>
      <c r="AJ502" s="0" t="s">
        <v>630</v>
      </c>
      <c r="AK502" s="0" t="n">
        <v>0</v>
      </c>
      <c r="AL502" s="0" t="n">
        <v>0</v>
      </c>
      <c r="AM502" s="0" t="n">
        <v>0</v>
      </c>
    </row>
    <row r="503" customFormat="false" ht="12.75" hidden="false" customHeight="false" outlineLevel="0" collapsed="false">
      <c r="A503" s="0" t="s">
        <v>621</v>
      </c>
      <c r="B503" s="0" t="s">
        <v>370</v>
      </c>
      <c r="C503" s="0" t="s">
        <v>622</v>
      </c>
      <c r="D503" s="0" t="s">
        <v>623</v>
      </c>
      <c r="E503" s="0" t="s">
        <v>131</v>
      </c>
      <c r="F503" s="0" t="s">
        <v>208</v>
      </c>
      <c r="G503" s="0" t="s">
        <v>628</v>
      </c>
      <c r="H503" s="0" t="s">
        <v>625</v>
      </c>
      <c r="I503" s="0" t="s">
        <v>626</v>
      </c>
      <c r="J503" s="0" t="s">
        <v>627</v>
      </c>
      <c r="K503" s="475" t="n">
        <v>36800</v>
      </c>
      <c r="L503" s="254" t="n">
        <v>-32394.9655996545</v>
      </c>
      <c r="M503" s="475" t="n">
        <v>36797</v>
      </c>
      <c r="N503" s="0" t="s">
        <v>136</v>
      </c>
      <c r="O503" s="0" t="n">
        <v>0.4</v>
      </c>
      <c r="P503" s="0" t="n">
        <v>0</v>
      </c>
      <c r="Q503" s="0" t="n">
        <v>0</v>
      </c>
      <c r="R503" s="0" t="n">
        <v>0</v>
      </c>
      <c r="S503" s="0" t="n">
        <v>0</v>
      </c>
      <c r="T503" s="0" t="s">
        <v>624</v>
      </c>
      <c r="U503" s="0" t="s">
        <v>149</v>
      </c>
      <c r="V503" s="0" t="s">
        <v>624</v>
      </c>
      <c r="W503" s="0" t="s">
        <v>569</v>
      </c>
      <c r="X503" s="0" t="s">
        <v>624</v>
      </c>
      <c r="Y503" s="0" t="s">
        <v>627</v>
      </c>
      <c r="Z503" s="0" t="s">
        <v>629</v>
      </c>
      <c r="AA503" s="0" t="s">
        <v>624</v>
      </c>
      <c r="AB503" s="0" t="s">
        <v>132</v>
      </c>
      <c r="AC503" s="254" t="n">
        <v>-620000</v>
      </c>
      <c r="AD503" s="254" t="n">
        <v>-4046.57102100988</v>
      </c>
      <c r="AE503" s="0" t="n">
        <v>0</v>
      </c>
      <c r="AF503" s="0" t="n">
        <v>0</v>
      </c>
      <c r="AG503" s="0" t="n">
        <v>0</v>
      </c>
      <c r="AH503" s="254" t="n">
        <v>-230.511095114616</v>
      </c>
      <c r="AI503" s="0" t="n">
        <v>226</v>
      </c>
      <c r="AJ503" s="0" t="s">
        <v>630</v>
      </c>
      <c r="AK503" s="0" t="n">
        <v>0</v>
      </c>
      <c r="AL503" s="0" t="n">
        <v>0</v>
      </c>
      <c r="AM503" s="0" t="n">
        <v>0</v>
      </c>
    </row>
    <row r="504" customFormat="false" ht="12.75" hidden="false" customHeight="false" outlineLevel="0" collapsed="false">
      <c r="A504" s="0" t="s">
        <v>621</v>
      </c>
      <c r="B504" s="0" t="s">
        <v>371</v>
      </c>
      <c r="C504" s="0" t="s">
        <v>622</v>
      </c>
      <c r="D504" s="0" t="s">
        <v>623</v>
      </c>
      <c r="E504" s="0" t="s">
        <v>131</v>
      </c>
      <c r="F504" s="0" t="s">
        <v>208</v>
      </c>
      <c r="G504" s="0" t="s">
        <v>628</v>
      </c>
      <c r="H504" s="0" t="s">
        <v>625</v>
      </c>
      <c r="I504" s="0" t="s">
        <v>626</v>
      </c>
      <c r="J504" s="0" t="s">
        <v>627</v>
      </c>
      <c r="K504" s="475" t="n">
        <v>36951</v>
      </c>
      <c r="L504" s="254" t="n">
        <v>-12666.1475605658</v>
      </c>
      <c r="M504" s="475" t="n">
        <v>36949</v>
      </c>
      <c r="N504" s="0" t="s">
        <v>136</v>
      </c>
      <c r="O504" s="0" t="n">
        <v>0.15</v>
      </c>
      <c r="P504" s="0" t="n">
        <v>0</v>
      </c>
      <c r="Q504" s="0" t="n">
        <v>0</v>
      </c>
      <c r="R504" s="0" t="n">
        <v>0</v>
      </c>
      <c r="S504" s="0" t="n">
        <v>0</v>
      </c>
      <c r="T504" s="0" t="s">
        <v>624</v>
      </c>
      <c r="U504" s="0" t="s">
        <v>632</v>
      </c>
      <c r="V504" s="0" t="s">
        <v>624</v>
      </c>
      <c r="W504" s="0" t="s">
        <v>569</v>
      </c>
      <c r="X504" s="0" t="s">
        <v>624</v>
      </c>
      <c r="Y504" s="0" t="s">
        <v>627</v>
      </c>
      <c r="Z504" s="0" t="s">
        <v>629</v>
      </c>
      <c r="AA504" s="0" t="s">
        <v>624</v>
      </c>
      <c r="AB504" s="0" t="s">
        <v>132</v>
      </c>
      <c r="AC504" s="254" t="n">
        <v>-310000</v>
      </c>
      <c r="AD504" s="254" t="n">
        <v>-3147.17922765094</v>
      </c>
      <c r="AE504" s="0" t="n">
        <v>0</v>
      </c>
      <c r="AF504" s="0" t="n">
        <v>0</v>
      </c>
      <c r="AG504" s="0" t="n">
        <v>0</v>
      </c>
      <c r="AH504" s="254" t="n">
        <v>-160.050336929131</v>
      </c>
      <c r="AI504" s="0" t="n">
        <v>226</v>
      </c>
      <c r="AJ504" s="0" t="s">
        <v>630</v>
      </c>
      <c r="AK504" s="0" t="n">
        <v>0</v>
      </c>
      <c r="AL504" s="0" t="n">
        <v>0</v>
      </c>
      <c r="AM504" s="0" t="n">
        <v>0</v>
      </c>
    </row>
    <row r="505" customFormat="false" ht="12.75" hidden="false" customHeight="false" outlineLevel="0" collapsed="false">
      <c r="A505" s="0" t="s">
        <v>621</v>
      </c>
      <c r="B505" s="0" t="s">
        <v>371</v>
      </c>
      <c r="C505" s="0" t="s">
        <v>622</v>
      </c>
      <c r="D505" s="0" t="s">
        <v>623</v>
      </c>
      <c r="E505" s="0" t="s">
        <v>131</v>
      </c>
      <c r="F505" s="0" t="s">
        <v>208</v>
      </c>
      <c r="G505" s="0" t="s">
        <v>628</v>
      </c>
      <c r="H505" s="0" t="s">
        <v>625</v>
      </c>
      <c r="I505" s="0" t="s">
        <v>626</v>
      </c>
      <c r="J505" s="0" t="s">
        <v>627</v>
      </c>
      <c r="K505" s="475" t="n">
        <v>36923</v>
      </c>
      <c r="L505" s="254" t="n">
        <v>-14498.1025608081</v>
      </c>
      <c r="M505" s="475" t="n">
        <v>36921</v>
      </c>
      <c r="N505" s="0" t="s">
        <v>136</v>
      </c>
      <c r="O505" s="0" t="n">
        <v>0.15</v>
      </c>
      <c r="P505" s="0" t="n">
        <v>0</v>
      </c>
      <c r="Q505" s="0" t="n">
        <v>0</v>
      </c>
      <c r="R505" s="0" t="n">
        <v>0</v>
      </c>
      <c r="S505" s="0" t="n">
        <v>0</v>
      </c>
      <c r="T505" s="0" t="s">
        <v>624</v>
      </c>
      <c r="U505" s="0" t="s">
        <v>632</v>
      </c>
      <c r="V505" s="0" t="s">
        <v>624</v>
      </c>
      <c r="W505" s="0" t="s">
        <v>569</v>
      </c>
      <c r="X505" s="0" t="s">
        <v>624</v>
      </c>
      <c r="Y505" s="0" t="s">
        <v>627</v>
      </c>
      <c r="Z505" s="0" t="s">
        <v>629</v>
      </c>
      <c r="AA505" s="0" t="s">
        <v>624</v>
      </c>
      <c r="AB505" s="0" t="s">
        <v>132</v>
      </c>
      <c r="AC505" s="254" t="n">
        <v>-280000</v>
      </c>
      <c r="AD505" s="254" t="n">
        <v>-2988.67122489288</v>
      </c>
      <c r="AE505" s="0" t="n">
        <v>0</v>
      </c>
      <c r="AF505" s="0" t="n">
        <v>0</v>
      </c>
      <c r="AG505" s="0" t="n">
        <v>0</v>
      </c>
      <c r="AH505" s="254" t="n">
        <v>-143.438397494288</v>
      </c>
      <c r="AI505" s="0" t="n">
        <v>226</v>
      </c>
      <c r="AJ505" s="0" t="s">
        <v>630</v>
      </c>
      <c r="AK505" s="0" t="n">
        <v>0</v>
      </c>
      <c r="AL505" s="0" t="n">
        <v>0</v>
      </c>
      <c r="AM505" s="0" t="n">
        <v>0</v>
      </c>
    </row>
    <row r="506" customFormat="false" ht="12.75" hidden="false" customHeight="false" outlineLevel="0" collapsed="false">
      <c r="A506" s="0" t="s">
        <v>621</v>
      </c>
      <c r="B506" s="0" t="s">
        <v>371</v>
      </c>
      <c r="C506" s="0" t="s">
        <v>622</v>
      </c>
      <c r="D506" s="0" t="s">
        <v>623</v>
      </c>
      <c r="E506" s="0" t="s">
        <v>131</v>
      </c>
      <c r="F506" s="0" t="s">
        <v>208</v>
      </c>
      <c r="G506" s="0" t="s">
        <v>628</v>
      </c>
      <c r="H506" s="0" t="s">
        <v>625</v>
      </c>
      <c r="I506" s="0" t="s">
        <v>626</v>
      </c>
      <c r="J506" s="0" t="s">
        <v>627</v>
      </c>
      <c r="K506" s="475" t="n">
        <v>36892</v>
      </c>
      <c r="L506" s="254" t="n">
        <v>-13795.9436319022</v>
      </c>
      <c r="M506" s="475" t="n">
        <v>36888</v>
      </c>
      <c r="N506" s="0" t="s">
        <v>136</v>
      </c>
      <c r="O506" s="0" t="n">
        <v>0.15</v>
      </c>
      <c r="P506" s="0" t="n">
        <v>0</v>
      </c>
      <c r="Q506" s="0" t="n">
        <v>0</v>
      </c>
      <c r="R506" s="0" t="n">
        <v>0</v>
      </c>
      <c r="S506" s="0" t="n">
        <v>0</v>
      </c>
      <c r="T506" s="0" t="s">
        <v>624</v>
      </c>
      <c r="U506" s="0" t="s">
        <v>632</v>
      </c>
      <c r="V506" s="0" t="s">
        <v>624</v>
      </c>
      <c r="W506" s="0" t="s">
        <v>569</v>
      </c>
      <c r="X506" s="0" t="s">
        <v>624</v>
      </c>
      <c r="Y506" s="0" t="s">
        <v>627</v>
      </c>
      <c r="Z506" s="0" t="s">
        <v>629</v>
      </c>
      <c r="AA506" s="0" t="s">
        <v>624</v>
      </c>
      <c r="AB506" s="0" t="s">
        <v>132</v>
      </c>
      <c r="AC506" s="254" t="n">
        <v>-310000</v>
      </c>
      <c r="AD506" s="254" t="n">
        <v>-3011.45366360046</v>
      </c>
      <c r="AE506" s="0" t="n">
        <v>0</v>
      </c>
      <c r="AF506" s="0" t="n">
        <v>0</v>
      </c>
      <c r="AG506" s="0" t="n">
        <v>0</v>
      </c>
      <c r="AH506" s="254" t="n">
        <v>-144.940974188927</v>
      </c>
      <c r="AI506" s="0" t="n">
        <v>226</v>
      </c>
      <c r="AJ506" s="0" t="s">
        <v>630</v>
      </c>
      <c r="AK506" s="0" t="n">
        <v>0</v>
      </c>
      <c r="AL506" s="0" t="n">
        <v>0</v>
      </c>
      <c r="AM506" s="0" t="n">
        <v>0</v>
      </c>
    </row>
    <row r="507" customFormat="false" ht="12.75" hidden="false" customHeight="false" outlineLevel="0" collapsed="false">
      <c r="A507" s="0" t="s">
        <v>621</v>
      </c>
      <c r="B507" s="0" t="s">
        <v>371</v>
      </c>
      <c r="C507" s="0" t="s">
        <v>622</v>
      </c>
      <c r="D507" s="0" t="s">
        <v>623</v>
      </c>
      <c r="E507" s="0" t="s">
        <v>131</v>
      </c>
      <c r="F507" s="0" t="s">
        <v>208</v>
      </c>
      <c r="G507" s="0" t="s">
        <v>628</v>
      </c>
      <c r="H507" s="0" t="s">
        <v>625</v>
      </c>
      <c r="I507" s="0" t="s">
        <v>626</v>
      </c>
      <c r="J507" s="0" t="s">
        <v>627</v>
      </c>
      <c r="K507" s="475" t="n">
        <v>36861</v>
      </c>
      <c r="L507" s="254" t="n">
        <v>-8475.9519561766</v>
      </c>
      <c r="M507" s="475" t="n">
        <v>36859</v>
      </c>
      <c r="N507" s="0" t="s">
        <v>136</v>
      </c>
      <c r="O507" s="0" t="n">
        <v>0.15</v>
      </c>
      <c r="P507" s="0" t="n">
        <v>0</v>
      </c>
      <c r="Q507" s="0" t="n">
        <v>0</v>
      </c>
      <c r="R507" s="0" t="n">
        <v>0</v>
      </c>
      <c r="S507" s="0" t="n">
        <v>0</v>
      </c>
      <c r="T507" s="0" t="s">
        <v>624</v>
      </c>
      <c r="U507" s="0" t="s">
        <v>632</v>
      </c>
      <c r="V507" s="0" t="s">
        <v>624</v>
      </c>
      <c r="W507" s="0" t="s">
        <v>569</v>
      </c>
      <c r="X507" s="0" t="s">
        <v>624</v>
      </c>
      <c r="Y507" s="0" t="s">
        <v>627</v>
      </c>
      <c r="Z507" s="0" t="s">
        <v>629</v>
      </c>
      <c r="AA507" s="0" t="s">
        <v>624</v>
      </c>
      <c r="AB507" s="0" t="s">
        <v>132</v>
      </c>
      <c r="AC507" s="254" t="n">
        <v>-310000</v>
      </c>
      <c r="AD507" s="254" t="n">
        <v>-2456.57577587196</v>
      </c>
      <c r="AE507" s="0" t="n">
        <v>0</v>
      </c>
      <c r="AF507" s="0" t="n">
        <v>0</v>
      </c>
      <c r="AG507" s="0" t="n">
        <v>0</v>
      </c>
      <c r="AH507" s="254" t="n">
        <v>-123.681540860103</v>
      </c>
      <c r="AI507" s="0" t="n">
        <v>226</v>
      </c>
      <c r="AJ507" s="0" t="s">
        <v>630</v>
      </c>
      <c r="AK507" s="0" t="n">
        <v>0</v>
      </c>
      <c r="AL507" s="0" t="n">
        <v>0</v>
      </c>
      <c r="AM507" s="0" t="n">
        <v>0</v>
      </c>
    </row>
    <row r="508" customFormat="false" ht="12.75" hidden="false" customHeight="false" outlineLevel="0" collapsed="false">
      <c r="A508" s="0" t="s">
        <v>621</v>
      </c>
      <c r="B508" s="0" t="s">
        <v>371</v>
      </c>
      <c r="C508" s="0" t="s">
        <v>622</v>
      </c>
      <c r="D508" s="0" t="s">
        <v>623</v>
      </c>
      <c r="E508" s="0" t="s">
        <v>131</v>
      </c>
      <c r="F508" s="0" t="s">
        <v>208</v>
      </c>
      <c r="G508" s="0" t="s">
        <v>628</v>
      </c>
      <c r="H508" s="0" t="s">
        <v>625</v>
      </c>
      <c r="I508" s="0" t="s">
        <v>626</v>
      </c>
      <c r="J508" s="0" t="s">
        <v>627</v>
      </c>
      <c r="K508" s="475" t="n">
        <v>36831</v>
      </c>
      <c r="L508" s="254" t="n">
        <v>-4650.15755874533</v>
      </c>
      <c r="M508" s="475" t="n">
        <v>36829</v>
      </c>
      <c r="N508" s="0" t="s">
        <v>136</v>
      </c>
      <c r="O508" s="0" t="n">
        <v>0.15</v>
      </c>
      <c r="P508" s="0" t="n">
        <v>0</v>
      </c>
      <c r="Q508" s="0" t="n">
        <v>0</v>
      </c>
      <c r="R508" s="0" t="n">
        <v>0</v>
      </c>
      <c r="S508" s="0" t="n">
        <v>0</v>
      </c>
      <c r="T508" s="0" t="s">
        <v>624</v>
      </c>
      <c r="U508" s="0" t="s">
        <v>632</v>
      </c>
      <c r="V508" s="0" t="s">
        <v>624</v>
      </c>
      <c r="W508" s="0" t="s">
        <v>569</v>
      </c>
      <c r="X508" s="0" t="s">
        <v>624</v>
      </c>
      <c r="Y508" s="0" t="s">
        <v>627</v>
      </c>
      <c r="Z508" s="0" t="s">
        <v>629</v>
      </c>
      <c r="AA508" s="0" t="s">
        <v>624</v>
      </c>
      <c r="AB508" s="0" t="s">
        <v>132</v>
      </c>
      <c r="AC508" s="254" t="n">
        <v>-300000</v>
      </c>
      <c r="AD508" s="254" t="n">
        <v>-1734.98226946498</v>
      </c>
      <c r="AE508" s="0" t="n">
        <v>0</v>
      </c>
      <c r="AF508" s="0" t="n">
        <v>0</v>
      </c>
      <c r="AG508" s="0" t="n">
        <v>0</v>
      </c>
      <c r="AH508" s="254" t="n">
        <v>-93.5962156755977</v>
      </c>
      <c r="AI508" s="0" t="n">
        <v>226</v>
      </c>
      <c r="AJ508" s="0" t="s">
        <v>630</v>
      </c>
      <c r="AK508" s="0" t="n">
        <v>0</v>
      </c>
      <c r="AL508" s="0" t="n">
        <v>0</v>
      </c>
      <c r="AM508" s="0" t="n">
        <v>0</v>
      </c>
    </row>
    <row r="509" customFormat="false" ht="12.75" hidden="false" customHeight="false" outlineLevel="0" collapsed="false">
      <c r="A509" s="0" t="s">
        <v>621</v>
      </c>
      <c r="B509" s="0" t="s">
        <v>372</v>
      </c>
      <c r="C509" s="0" t="s">
        <v>622</v>
      </c>
      <c r="D509" s="0" t="s">
        <v>623</v>
      </c>
      <c r="E509" s="0" t="s">
        <v>131</v>
      </c>
      <c r="F509" s="0" t="s">
        <v>345</v>
      </c>
      <c r="G509" s="0" t="s">
        <v>628</v>
      </c>
      <c r="H509" s="0" t="s">
        <v>625</v>
      </c>
      <c r="I509" s="0" t="s">
        <v>626</v>
      </c>
      <c r="J509" s="0" t="s">
        <v>627</v>
      </c>
      <c r="K509" s="475" t="n">
        <v>36800</v>
      </c>
      <c r="L509" s="254" t="n">
        <v>-23148.5247910446</v>
      </c>
      <c r="M509" s="475" t="n">
        <v>36797</v>
      </c>
      <c r="N509" s="0" t="s">
        <v>132</v>
      </c>
      <c r="O509" s="0" t="n">
        <v>0.4</v>
      </c>
      <c r="P509" s="0" t="n">
        <v>0</v>
      </c>
      <c r="Q509" s="0" t="n">
        <v>0</v>
      </c>
      <c r="R509" s="0" t="n">
        <v>0</v>
      </c>
      <c r="S509" s="0" t="n">
        <v>0</v>
      </c>
      <c r="T509" s="0" t="s">
        <v>624</v>
      </c>
      <c r="U509" s="0" t="s">
        <v>149</v>
      </c>
      <c r="V509" s="0" t="s">
        <v>624</v>
      </c>
      <c r="W509" s="0" t="s">
        <v>569</v>
      </c>
      <c r="X509" s="0" t="s">
        <v>624</v>
      </c>
      <c r="Y509" s="0" t="s">
        <v>627</v>
      </c>
      <c r="Z509" s="0" t="s">
        <v>629</v>
      </c>
      <c r="AA509" s="0" t="s">
        <v>624</v>
      </c>
      <c r="AB509" s="0" t="s">
        <v>132</v>
      </c>
      <c r="AC509" s="254" t="n">
        <v>-620000</v>
      </c>
      <c r="AD509" s="254" t="n">
        <v>-4046.57102100994</v>
      </c>
      <c r="AE509" s="0" t="n">
        <v>0</v>
      </c>
      <c r="AF509" s="0" t="n">
        <v>0</v>
      </c>
      <c r="AG509" s="0" t="n">
        <v>0</v>
      </c>
      <c r="AH509" s="254" t="n">
        <v>-230.511095115064</v>
      </c>
      <c r="AI509" s="0" t="n">
        <v>226</v>
      </c>
      <c r="AJ509" s="0" t="s">
        <v>630</v>
      </c>
      <c r="AK509" s="0" t="n">
        <v>0</v>
      </c>
      <c r="AL509" s="0" t="n">
        <v>0</v>
      </c>
      <c r="AM509" s="0" t="n">
        <v>0</v>
      </c>
    </row>
    <row r="510" customFormat="false" ht="12.75" hidden="false" customHeight="false" outlineLevel="0" collapsed="false">
      <c r="A510" s="0" t="s">
        <v>621</v>
      </c>
      <c r="B510" s="0" t="s">
        <v>373</v>
      </c>
      <c r="C510" s="0" t="s">
        <v>622</v>
      </c>
      <c r="D510" s="0" t="s">
        <v>623</v>
      </c>
      <c r="E510" s="0" t="s">
        <v>131</v>
      </c>
      <c r="F510" s="0" t="s">
        <v>363</v>
      </c>
      <c r="G510" s="0" t="s">
        <v>628</v>
      </c>
      <c r="H510" s="0" t="s">
        <v>625</v>
      </c>
      <c r="I510" s="0" t="s">
        <v>626</v>
      </c>
      <c r="J510" s="0" t="s">
        <v>627</v>
      </c>
      <c r="K510" s="475" t="n">
        <v>36800</v>
      </c>
      <c r="L510" s="254" t="n">
        <v>55.3422343708143</v>
      </c>
      <c r="M510" s="475" t="n">
        <v>36797</v>
      </c>
      <c r="N510" s="0" t="s">
        <v>132</v>
      </c>
      <c r="O510" s="0" t="n">
        <v>0.3</v>
      </c>
      <c r="P510" s="0" t="n">
        <v>0</v>
      </c>
      <c r="Q510" s="0" t="n">
        <v>0</v>
      </c>
      <c r="R510" s="0" t="n">
        <v>0</v>
      </c>
      <c r="S510" s="0" t="n">
        <v>0</v>
      </c>
      <c r="T510" s="0" t="s">
        <v>624</v>
      </c>
      <c r="U510" s="0" t="s">
        <v>137</v>
      </c>
      <c r="V510" s="0" t="s">
        <v>624</v>
      </c>
      <c r="W510" s="0" t="s">
        <v>569</v>
      </c>
      <c r="X510" s="0" t="s">
        <v>624</v>
      </c>
      <c r="Y510" s="0" t="s">
        <v>627</v>
      </c>
      <c r="Z510" s="0" t="s">
        <v>629</v>
      </c>
      <c r="AA510" s="0" t="s">
        <v>624</v>
      </c>
      <c r="AB510" s="0" t="s">
        <v>132</v>
      </c>
      <c r="AC510" s="254" t="n">
        <v>500000</v>
      </c>
      <c r="AD510" s="254" t="n">
        <v>125.592628870519</v>
      </c>
      <c r="AE510" s="0" t="n">
        <v>0</v>
      </c>
      <c r="AF510" s="0" t="n">
        <v>0</v>
      </c>
      <c r="AG510" s="0" t="n">
        <v>0</v>
      </c>
      <c r="AH510" s="254" t="n">
        <v>21.0356435594861</v>
      </c>
      <c r="AI510" s="0" t="n">
        <v>226</v>
      </c>
      <c r="AJ510" s="0" t="s">
        <v>630</v>
      </c>
      <c r="AK510" s="0" t="n">
        <v>0</v>
      </c>
      <c r="AL510" s="0" t="n">
        <v>0</v>
      </c>
      <c r="AM510" s="0" t="n">
        <v>0</v>
      </c>
    </row>
    <row r="511" customFormat="false" ht="12.75" hidden="false" customHeight="false" outlineLevel="0" collapsed="false">
      <c r="A511" s="0" t="s">
        <v>621</v>
      </c>
      <c r="B511" s="0" t="s">
        <v>374</v>
      </c>
      <c r="C511" s="0" t="s">
        <v>622</v>
      </c>
      <c r="D511" s="0" t="s">
        <v>623</v>
      </c>
      <c r="E511" s="0" t="s">
        <v>131</v>
      </c>
      <c r="F511" s="0" t="s">
        <v>198</v>
      </c>
      <c r="G511" s="0" t="s">
        <v>628</v>
      </c>
      <c r="H511" s="0" t="s">
        <v>625</v>
      </c>
      <c r="I511" s="0" t="s">
        <v>626</v>
      </c>
      <c r="J511" s="0" t="s">
        <v>627</v>
      </c>
      <c r="K511" s="475" t="n">
        <v>36951</v>
      </c>
      <c r="L511" s="254" t="n">
        <v>257860.553972926</v>
      </c>
      <c r="M511" s="475" t="n">
        <v>36949</v>
      </c>
      <c r="N511" s="0" t="s">
        <v>136</v>
      </c>
      <c r="O511" s="0" t="n">
        <v>0.3</v>
      </c>
      <c r="P511" s="0" t="n">
        <v>0</v>
      </c>
      <c r="Q511" s="0" t="n">
        <v>0</v>
      </c>
      <c r="R511" s="0" t="n">
        <v>0</v>
      </c>
      <c r="S511" s="0" t="n">
        <v>0</v>
      </c>
      <c r="T511" s="0" t="s">
        <v>624</v>
      </c>
      <c r="U511" s="0" t="s">
        <v>137</v>
      </c>
      <c r="V511" s="0" t="s">
        <v>624</v>
      </c>
      <c r="W511" s="0" t="s">
        <v>569</v>
      </c>
      <c r="X511" s="0" t="s">
        <v>624</v>
      </c>
      <c r="Y511" s="0" t="s">
        <v>627</v>
      </c>
      <c r="Z511" s="0" t="s">
        <v>629</v>
      </c>
      <c r="AA511" s="0" t="s">
        <v>624</v>
      </c>
      <c r="AB511" s="0" t="s">
        <v>132</v>
      </c>
      <c r="AC511" s="254" t="n">
        <v>500000</v>
      </c>
      <c r="AD511" s="254" t="n">
        <v>36938.3982718862</v>
      </c>
      <c r="AE511" s="0" t="n">
        <v>0</v>
      </c>
      <c r="AF511" s="0" t="n">
        <v>0</v>
      </c>
      <c r="AG511" s="0" t="n">
        <v>0</v>
      </c>
      <c r="AH511" s="254" t="n">
        <v>-16070.6786624382</v>
      </c>
      <c r="AI511" s="0" t="n">
        <v>226</v>
      </c>
      <c r="AJ511" s="0" t="s">
        <v>630</v>
      </c>
      <c r="AK511" s="0" t="n">
        <v>0</v>
      </c>
      <c r="AL511" s="0" t="n">
        <v>0</v>
      </c>
      <c r="AM511" s="0" t="n">
        <v>0</v>
      </c>
    </row>
    <row r="512" customFormat="false" ht="12.75" hidden="false" customHeight="false" outlineLevel="0" collapsed="false">
      <c r="A512" s="0" t="s">
        <v>621</v>
      </c>
      <c r="B512" s="0" t="s">
        <v>374</v>
      </c>
      <c r="C512" s="0" t="s">
        <v>622</v>
      </c>
      <c r="D512" s="0" t="s">
        <v>623</v>
      </c>
      <c r="E512" s="0" t="s">
        <v>131</v>
      </c>
      <c r="F512" s="0" t="s">
        <v>198</v>
      </c>
      <c r="G512" s="0" t="s">
        <v>628</v>
      </c>
      <c r="H512" s="0" t="s">
        <v>625</v>
      </c>
      <c r="I512" s="0" t="s">
        <v>626</v>
      </c>
      <c r="J512" s="0" t="s">
        <v>627</v>
      </c>
      <c r="K512" s="475" t="n">
        <v>36923</v>
      </c>
      <c r="L512" s="254" t="n">
        <v>279861.551675115</v>
      </c>
      <c r="M512" s="475" t="n">
        <v>36921</v>
      </c>
      <c r="N512" s="0" t="s">
        <v>136</v>
      </c>
      <c r="O512" s="0" t="n">
        <v>0.3</v>
      </c>
      <c r="P512" s="0" t="n">
        <v>0</v>
      </c>
      <c r="Q512" s="0" t="n">
        <v>0</v>
      </c>
      <c r="R512" s="0" t="n">
        <v>0</v>
      </c>
      <c r="S512" s="0" t="n">
        <v>0</v>
      </c>
      <c r="T512" s="0" t="s">
        <v>624</v>
      </c>
      <c r="U512" s="0" t="s">
        <v>137</v>
      </c>
      <c r="V512" s="0" t="s">
        <v>624</v>
      </c>
      <c r="W512" s="0" t="s">
        <v>569</v>
      </c>
      <c r="X512" s="0" t="s">
        <v>624</v>
      </c>
      <c r="Y512" s="0" t="s">
        <v>627</v>
      </c>
      <c r="Z512" s="0" t="s">
        <v>629</v>
      </c>
      <c r="AA512" s="0" t="s">
        <v>624</v>
      </c>
      <c r="AB512" s="0" t="s">
        <v>132</v>
      </c>
      <c r="AC512" s="254" t="n">
        <v>500000</v>
      </c>
      <c r="AD512" s="254" t="n">
        <v>38119.5115778066</v>
      </c>
      <c r="AE512" s="0" t="n">
        <v>0</v>
      </c>
      <c r="AF512" s="0" t="n">
        <v>0</v>
      </c>
      <c r="AG512" s="0" t="n">
        <v>0</v>
      </c>
      <c r="AH512" s="254" t="n">
        <v>-16153.2355504369</v>
      </c>
      <c r="AI512" s="0" t="n">
        <v>226</v>
      </c>
      <c r="AJ512" s="0" t="s">
        <v>630</v>
      </c>
      <c r="AK512" s="0" t="n">
        <v>0</v>
      </c>
      <c r="AL512" s="0" t="n">
        <v>0</v>
      </c>
      <c r="AM512" s="0" t="n">
        <v>0</v>
      </c>
    </row>
    <row r="513" customFormat="false" ht="12.75" hidden="false" customHeight="false" outlineLevel="0" collapsed="false">
      <c r="A513" s="0" t="s">
        <v>621</v>
      </c>
      <c r="B513" s="0" t="s">
        <v>374</v>
      </c>
      <c r="C513" s="0" t="s">
        <v>622</v>
      </c>
      <c r="D513" s="0" t="s">
        <v>623</v>
      </c>
      <c r="E513" s="0" t="s">
        <v>131</v>
      </c>
      <c r="F513" s="0" t="s">
        <v>198</v>
      </c>
      <c r="G513" s="0" t="s">
        <v>628</v>
      </c>
      <c r="H513" s="0" t="s">
        <v>625</v>
      </c>
      <c r="I513" s="0" t="s">
        <v>626</v>
      </c>
      <c r="J513" s="0" t="s">
        <v>627</v>
      </c>
      <c r="K513" s="475" t="n">
        <v>36892</v>
      </c>
      <c r="L513" s="254" t="n">
        <v>324172.952144384</v>
      </c>
      <c r="M513" s="475" t="n">
        <v>36888</v>
      </c>
      <c r="N513" s="0" t="s">
        <v>136</v>
      </c>
      <c r="O513" s="0" t="n">
        <v>0.3</v>
      </c>
      <c r="P513" s="0" t="n">
        <v>0</v>
      </c>
      <c r="Q513" s="0" t="n">
        <v>0</v>
      </c>
      <c r="R513" s="0" t="n">
        <v>0</v>
      </c>
      <c r="S513" s="0" t="n">
        <v>0</v>
      </c>
      <c r="T513" s="0" t="s">
        <v>624</v>
      </c>
      <c r="U513" s="0" t="s">
        <v>137</v>
      </c>
      <c r="V513" s="0" t="s">
        <v>624</v>
      </c>
      <c r="W513" s="0" t="s">
        <v>569</v>
      </c>
      <c r="X513" s="0" t="s">
        <v>624</v>
      </c>
      <c r="Y513" s="0" t="s">
        <v>627</v>
      </c>
      <c r="Z513" s="0" t="s">
        <v>629</v>
      </c>
      <c r="AA513" s="0" t="s">
        <v>624</v>
      </c>
      <c r="AB513" s="0" t="s">
        <v>132</v>
      </c>
      <c r="AC513" s="254" t="n">
        <v>500000</v>
      </c>
      <c r="AD513" s="254" t="n">
        <v>32570.5354679631</v>
      </c>
      <c r="AE513" s="0" t="n">
        <v>0</v>
      </c>
      <c r="AF513" s="0" t="n">
        <v>0</v>
      </c>
      <c r="AG513" s="0" t="n">
        <v>0</v>
      </c>
      <c r="AH513" s="254" t="n">
        <v>-17984.4963381685</v>
      </c>
      <c r="AI513" s="0" t="n">
        <v>226</v>
      </c>
      <c r="AJ513" s="0" t="s">
        <v>630</v>
      </c>
      <c r="AK513" s="0" t="n">
        <v>0</v>
      </c>
      <c r="AL513" s="0" t="n">
        <v>0</v>
      </c>
      <c r="AM513" s="0" t="n">
        <v>0</v>
      </c>
    </row>
    <row r="514" customFormat="false" ht="12.75" hidden="false" customHeight="false" outlineLevel="0" collapsed="false">
      <c r="A514" s="0" t="s">
        <v>621</v>
      </c>
      <c r="B514" s="0" t="s">
        <v>374</v>
      </c>
      <c r="C514" s="0" t="s">
        <v>622</v>
      </c>
      <c r="D514" s="0" t="s">
        <v>623</v>
      </c>
      <c r="E514" s="0" t="s">
        <v>131</v>
      </c>
      <c r="F514" s="0" t="s">
        <v>198</v>
      </c>
      <c r="G514" s="0" t="s">
        <v>628</v>
      </c>
      <c r="H514" s="0" t="s">
        <v>625</v>
      </c>
      <c r="I514" s="0" t="s">
        <v>626</v>
      </c>
      <c r="J514" s="0" t="s">
        <v>627</v>
      </c>
      <c r="K514" s="475" t="n">
        <v>36861</v>
      </c>
      <c r="L514" s="254" t="n">
        <v>396010.629200822</v>
      </c>
      <c r="M514" s="475" t="n">
        <v>36859</v>
      </c>
      <c r="N514" s="0" t="s">
        <v>136</v>
      </c>
      <c r="O514" s="0" t="n">
        <v>0.3</v>
      </c>
      <c r="P514" s="0" t="n">
        <v>0</v>
      </c>
      <c r="Q514" s="0" t="n">
        <v>0</v>
      </c>
      <c r="R514" s="0" t="n">
        <v>0</v>
      </c>
      <c r="S514" s="0" t="n">
        <v>0</v>
      </c>
      <c r="T514" s="0" t="s">
        <v>624</v>
      </c>
      <c r="U514" s="0" t="s">
        <v>137</v>
      </c>
      <c r="V514" s="0" t="s">
        <v>624</v>
      </c>
      <c r="W514" s="0" t="s">
        <v>569</v>
      </c>
      <c r="X514" s="0" t="s">
        <v>624</v>
      </c>
      <c r="Y514" s="0" t="s">
        <v>627</v>
      </c>
      <c r="Z514" s="0" t="s">
        <v>629</v>
      </c>
      <c r="AA514" s="0" t="s">
        <v>624</v>
      </c>
      <c r="AB514" s="0" t="s">
        <v>132</v>
      </c>
      <c r="AC514" s="254" t="n">
        <v>500000</v>
      </c>
      <c r="AD514" s="254" t="n">
        <v>22889.7328757242</v>
      </c>
      <c r="AE514" s="0" t="n">
        <v>0</v>
      </c>
      <c r="AF514" s="0" t="n">
        <v>0</v>
      </c>
      <c r="AG514" s="0" t="n">
        <v>0</v>
      </c>
      <c r="AH514" s="254" t="n">
        <v>57637.2591544675</v>
      </c>
      <c r="AI514" s="0" t="n">
        <v>226</v>
      </c>
      <c r="AJ514" s="0" t="s">
        <v>630</v>
      </c>
      <c r="AK514" s="0" t="n">
        <v>0</v>
      </c>
      <c r="AL514" s="0" t="n">
        <v>0</v>
      </c>
      <c r="AM514" s="0" t="n">
        <v>0</v>
      </c>
    </row>
    <row r="515" customFormat="false" ht="12.75" hidden="false" customHeight="false" outlineLevel="0" collapsed="false">
      <c r="A515" s="0" t="s">
        <v>621</v>
      </c>
      <c r="B515" s="0" t="s">
        <v>374</v>
      </c>
      <c r="C515" s="0" t="s">
        <v>622</v>
      </c>
      <c r="D515" s="0" t="s">
        <v>623</v>
      </c>
      <c r="E515" s="0" t="s">
        <v>131</v>
      </c>
      <c r="F515" s="0" t="s">
        <v>198</v>
      </c>
      <c r="G515" s="0" t="s">
        <v>628</v>
      </c>
      <c r="H515" s="0" t="s">
        <v>625</v>
      </c>
      <c r="I515" s="0" t="s">
        <v>626</v>
      </c>
      <c r="J515" s="0" t="s">
        <v>627</v>
      </c>
      <c r="K515" s="475" t="n">
        <v>36831</v>
      </c>
      <c r="L515" s="254" t="n">
        <v>621737.619084582</v>
      </c>
      <c r="M515" s="475" t="n">
        <v>36829</v>
      </c>
      <c r="N515" s="0" t="s">
        <v>136</v>
      </c>
      <c r="O515" s="0" t="n">
        <v>0.3</v>
      </c>
      <c r="P515" s="0" t="n">
        <v>0</v>
      </c>
      <c r="Q515" s="0" t="n">
        <v>0</v>
      </c>
      <c r="R515" s="0" t="n">
        <v>0</v>
      </c>
      <c r="S515" s="0" t="n">
        <v>0</v>
      </c>
      <c r="T515" s="0" t="s">
        <v>624</v>
      </c>
      <c r="U515" s="0" t="s">
        <v>137</v>
      </c>
      <c r="V515" s="0" t="s">
        <v>624</v>
      </c>
      <c r="W515" s="0" t="s">
        <v>569</v>
      </c>
      <c r="X515" s="0" t="s">
        <v>624</v>
      </c>
      <c r="Y515" s="0" t="s">
        <v>627</v>
      </c>
      <c r="Z515" s="0" t="s">
        <v>629</v>
      </c>
      <c r="AA515" s="0" t="s">
        <v>624</v>
      </c>
      <c r="AB515" s="0" t="s">
        <v>132</v>
      </c>
      <c r="AC515" s="254" t="n">
        <v>500000</v>
      </c>
      <c r="AD515" s="254" t="n">
        <v>6145.94792376959</v>
      </c>
      <c r="AE515" s="0" t="n">
        <v>0</v>
      </c>
      <c r="AF515" s="0" t="n">
        <v>0</v>
      </c>
      <c r="AG515" s="0" t="n">
        <v>0</v>
      </c>
      <c r="AH515" s="254" t="n">
        <v>98690.8463266026</v>
      </c>
      <c r="AI515" s="0" t="n">
        <v>226</v>
      </c>
      <c r="AJ515" s="0" t="s">
        <v>630</v>
      </c>
      <c r="AK515" s="0" t="n">
        <v>0</v>
      </c>
      <c r="AL515" s="0" t="n">
        <v>0</v>
      </c>
      <c r="AM515" s="0" t="n">
        <v>0</v>
      </c>
    </row>
    <row r="516" customFormat="false" ht="12.75" hidden="false" customHeight="false" outlineLevel="0" collapsed="false">
      <c r="A516" s="0" t="s">
        <v>621</v>
      </c>
      <c r="B516" s="0" t="s">
        <v>375</v>
      </c>
      <c r="C516" s="0" t="s">
        <v>622</v>
      </c>
      <c r="D516" s="0" t="s">
        <v>623</v>
      </c>
      <c r="E516" s="0" t="s">
        <v>131</v>
      </c>
      <c r="F516" s="0" t="s">
        <v>198</v>
      </c>
      <c r="G516" s="0" t="s">
        <v>628</v>
      </c>
      <c r="H516" s="0" t="s">
        <v>625</v>
      </c>
      <c r="I516" s="0" t="s">
        <v>626</v>
      </c>
      <c r="J516" s="0" t="s">
        <v>627</v>
      </c>
      <c r="K516" s="475" t="n">
        <v>36951</v>
      </c>
      <c r="L516" s="254" t="n">
        <v>-639293.027715165</v>
      </c>
      <c r="M516" s="475" t="n">
        <v>36949</v>
      </c>
      <c r="N516" s="0" t="s">
        <v>132</v>
      </c>
      <c r="O516" s="0" t="n">
        <v>1.3</v>
      </c>
      <c r="P516" s="0" t="n">
        <v>0</v>
      </c>
      <c r="Q516" s="0" t="n">
        <v>0</v>
      </c>
      <c r="R516" s="0" t="n">
        <v>0</v>
      </c>
      <c r="S516" s="0" t="n">
        <v>0</v>
      </c>
      <c r="T516" s="0" t="s">
        <v>624</v>
      </c>
      <c r="U516" s="0" t="s">
        <v>149</v>
      </c>
      <c r="V516" s="0" t="s">
        <v>624</v>
      </c>
      <c r="W516" s="0" t="s">
        <v>569</v>
      </c>
      <c r="X516" s="0" t="s">
        <v>624</v>
      </c>
      <c r="Y516" s="0" t="s">
        <v>627</v>
      </c>
      <c r="Z516" s="0" t="s">
        <v>629</v>
      </c>
      <c r="AA516" s="0" t="s">
        <v>624</v>
      </c>
      <c r="AB516" s="0" t="s">
        <v>132</v>
      </c>
      <c r="AC516" s="254" t="n">
        <v>-1000000</v>
      </c>
      <c r="AD516" s="254" t="n">
        <v>-86546.0811700414</v>
      </c>
      <c r="AE516" s="0" t="n">
        <v>0</v>
      </c>
      <c r="AF516" s="0" t="n">
        <v>0</v>
      </c>
      <c r="AG516" s="0" t="n">
        <v>0</v>
      </c>
      <c r="AH516" s="254" t="n">
        <v>25921.2212824522</v>
      </c>
      <c r="AI516" s="0" t="n">
        <v>226</v>
      </c>
      <c r="AJ516" s="0" t="s">
        <v>630</v>
      </c>
      <c r="AK516" s="0" t="n">
        <v>0</v>
      </c>
      <c r="AL516" s="0" t="n">
        <v>0</v>
      </c>
      <c r="AM516" s="0" t="n">
        <v>0</v>
      </c>
    </row>
    <row r="517" customFormat="false" ht="12.75" hidden="false" customHeight="false" outlineLevel="0" collapsed="false">
      <c r="A517" s="0" t="s">
        <v>621</v>
      </c>
      <c r="B517" s="0" t="s">
        <v>375</v>
      </c>
      <c r="C517" s="0" t="s">
        <v>622</v>
      </c>
      <c r="D517" s="0" t="s">
        <v>623</v>
      </c>
      <c r="E517" s="0" t="s">
        <v>131</v>
      </c>
      <c r="F517" s="0" t="s">
        <v>198</v>
      </c>
      <c r="G517" s="0" t="s">
        <v>628</v>
      </c>
      <c r="H517" s="0" t="s">
        <v>625</v>
      </c>
      <c r="I517" s="0" t="s">
        <v>626</v>
      </c>
      <c r="J517" s="0" t="s">
        <v>627</v>
      </c>
      <c r="K517" s="475" t="n">
        <v>36923</v>
      </c>
      <c r="L517" s="254" t="n">
        <v>-305404.16005784</v>
      </c>
      <c r="M517" s="475" t="n">
        <v>36921</v>
      </c>
      <c r="N517" s="0" t="s">
        <v>132</v>
      </c>
      <c r="O517" s="0" t="n">
        <v>1.3</v>
      </c>
      <c r="P517" s="0" t="n">
        <v>0</v>
      </c>
      <c r="Q517" s="0" t="n">
        <v>0</v>
      </c>
      <c r="R517" s="0" t="n">
        <v>0</v>
      </c>
      <c r="S517" s="0" t="n">
        <v>0</v>
      </c>
      <c r="T517" s="0" t="s">
        <v>624</v>
      </c>
      <c r="U517" s="0" t="s">
        <v>149</v>
      </c>
      <c r="V517" s="0" t="s">
        <v>624</v>
      </c>
      <c r="W517" s="0" t="s">
        <v>569</v>
      </c>
      <c r="X517" s="0" t="s">
        <v>624</v>
      </c>
      <c r="Y517" s="0" t="s">
        <v>627</v>
      </c>
      <c r="Z517" s="0" t="s">
        <v>629</v>
      </c>
      <c r="AA517" s="0" t="s">
        <v>624</v>
      </c>
      <c r="AB517" s="0" t="s">
        <v>132</v>
      </c>
      <c r="AC517" s="254" t="n">
        <v>-1000000</v>
      </c>
      <c r="AD517" s="254" t="n">
        <v>-78933.1354258428</v>
      </c>
      <c r="AE517" s="0" t="n">
        <v>0</v>
      </c>
      <c r="AF517" s="0" t="n">
        <v>0</v>
      </c>
      <c r="AG517" s="0" t="n">
        <v>0</v>
      </c>
      <c r="AH517" s="254" t="n">
        <v>14574.3981740561</v>
      </c>
      <c r="AI517" s="0" t="n">
        <v>226</v>
      </c>
      <c r="AJ517" s="0" t="s">
        <v>630</v>
      </c>
      <c r="AK517" s="0" t="n">
        <v>0</v>
      </c>
      <c r="AL517" s="0" t="n">
        <v>0</v>
      </c>
      <c r="AM517" s="0" t="n">
        <v>0</v>
      </c>
    </row>
    <row r="518" customFormat="false" ht="12.75" hidden="false" customHeight="false" outlineLevel="0" collapsed="false">
      <c r="A518" s="0" t="s">
        <v>621</v>
      </c>
      <c r="B518" s="0" t="s">
        <v>375</v>
      </c>
      <c r="C518" s="0" t="s">
        <v>622</v>
      </c>
      <c r="D518" s="0" t="s">
        <v>623</v>
      </c>
      <c r="E518" s="0" t="s">
        <v>131</v>
      </c>
      <c r="F518" s="0" t="s">
        <v>198</v>
      </c>
      <c r="G518" s="0" t="s">
        <v>628</v>
      </c>
      <c r="H518" s="0" t="s">
        <v>625</v>
      </c>
      <c r="I518" s="0" t="s">
        <v>626</v>
      </c>
      <c r="J518" s="0" t="s">
        <v>627</v>
      </c>
      <c r="K518" s="475" t="n">
        <v>36892</v>
      </c>
      <c r="L518" s="254" t="n">
        <v>-256363.392763863</v>
      </c>
      <c r="M518" s="475" t="n">
        <v>36888</v>
      </c>
      <c r="N518" s="0" t="s">
        <v>132</v>
      </c>
      <c r="O518" s="0" t="n">
        <v>1.3</v>
      </c>
      <c r="P518" s="0" t="n">
        <v>0</v>
      </c>
      <c r="Q518" s="0" t="n">
        <v>0</v>
      </c>
      <c r="R518" s="0" t="n">
        <v>0</v>
      </c>
      <c r="S518" s="0" t="n">
        <v>0</v>
      </c>
      <c r="T518" s="0" t="s">
        <v>624</v>
      </c>
      <c r="U518" s="0" t="s">
        <v>149</v>
      </c>
      <c r="V518" s="0" t="s">
        <v>624</v>
      </c>
      <c r="W518" s="0" t="s">
        <v>569</v>
      </c>
      <c r="X518" s="0" t="s">
        <v>624</v>
      </c>
      <c r="Y518" s="0" t="s">
        <v>627</v>
      </c>
      <c r="Z518" s="0" t="s">
        <v>629</v>
      </c>
      <c r="AA518" s="0" t="s">
        <v>624</v>
      </c>
      <c r="AB518" s="0" t="s">
        <v>132</v>
      </c>
      <c r="AC518" s="254" t="n">
        <v>-1000000</v>
      </c>
      <c r="AD518" s="254" t="n">
        <v>-69350.7704188584</v>
      </c>
      <c r="AE518" s="0" t="n">
        <v>0</v>
      </c>
      <c r="AF518" s="0" t="n">
        <v>0</v>
      </c>
      <c r="AG518" s="0" t="n">
        <v>0</v>
      </c>
      <c r="AH518" s="254" t="n">
        <v>11192.7031464498</v>
      </c>
      <c r="AI518" s="0" t="n">
        <v>226</v>
      </c>
      <c r="AJ518" s="0" t="s">
        <v>630</v>
      </c>
      <c r="AK518" s="0" t="n">
        <v>0</v>
      </c>
      <c r="AL518" s="0" t="n">
        <v>0</v>
      </c>
      <c r="AM518" s="0" t="n">
        <v>0</v>
      </c>
    </row>
    <row r="519" customFormat="false" ht="12.75" hidden="false" customHeight="false" outlineLevel="0" collapsed="false">
      <c r="A519" s="0" t="s">
        <v>621</v>
      </c>
      <c r="B519" s="0" t="s">
        <v>375</v>
      </c>
      <c r="C519" s="0" t="s">
        <v>622</v>
      </c>
      <c r="D519" s="0" t="s">
        <v>623</v>
      </c>
      <c r="E519" s="0" t="s">
        <v>131</v>
      </c>
      <c r="F519" s="0" t="s">
        <v>198</v>
      </c>
      <c r="G519" s="0" t="s">
        <v>628</v>
      </c>
      <c r="H519" s="0" t="s">
        <v>625</v>
      </c>
      <c r="I519" s="0" t="s">
        <v>626</v>
      </c>
      <c r="J519" s="0" t="s">
        <v>627</v>
      </c>
      <c r="K519" s="475" t="n">
        <v>36861</v>
      </c>
      <c r="L519" s="254" t="n">
        <v>-342384.883388309</v>
      </c>
      <c r="M519" s="475" t="n">
        <v>36859</v>
      </c>
      <c r="N519" s="0" t="s">
        <v>132</v>
      </c>
      <c r="O519" s="0" t="n">
        <v>1.3</v>
      </c>
      <c r="P519" s="0" t="n">
        <v>0</v>
      </c>
      <c r="Q519" s="0" t="n">
        <v>0</v>
      </c>
      <c r="R519" s="0" t="n">
        <v>0</v>
      </c>
      <c r="S519" s="0" t="n">
        <v>0</v>
      </c>
      <c r="T519" s="0" t="s">
        <v>624</v>
      </c>
      <c r="U519" s="0" t="s">
        <v>149</v>
      </c>
      <c r="V519" s="0" t="s">
        <v>624</v>
      </c>
      <c r="W519" s="0" t="s">
        <v>569</v>
      </c>
      <c r="X519" s="0" t="s">
        <v>624</v>
      </c>
      <c r="Y519" s="0" t="s">
        <v>627</v>
      </c>
      <c r="Z519" s="0" t="s">
        <v>629</v>
      </c>
      <c r="AA519" s="0" t="s">
        <v>624</v>
      </c>
      <c r="AB519" s="0" t="s">
        <v>132</v>
      </c>
      <c r="AC519" s="254" t="n">
        <v>-1000000</v>
      </c>
      <c r="AD519" s="254" t="n">
        <v>-69266.3215110574</v>
      </c>
      <c r="AE519" s="0" t="n">
        <v>0</v>
      </c>
      <c r="AF519" s="0" t="n">
        <v>0</v>
      </c>
      <c r="AG519" s="0" t="n">
        <v>0</v>
      </c>
      <c r="AH519" s="254" t="n">
        <v>12395.7418350535</v>
      </c>
      <c r="AI519" s="0" t="n">
        <v>226</v>
      </c>
      <c r="AJ519" s="0" t="s">
        <v>630</v>
      </c>
      <c r="AK519" s="0" t="n">
        <v>0</v>
      </c>
      <c r="AL519" s="0" t="n">
        <v>0</v>
      </c>
      <c r="AM519" s="0" t="n">
        <v>0</v>
      </c>
    </row>
    <row r="520" customFormat="false" ht="12.75" hidden="false" customHeight="false" outlineLevel="0" collapsed="false">
      <c r="A520" s="0" t="s">
        <v>621</v>
      </c>
      <c r="B520" s="0" t="s">
        <v>375</v>
      </c>
      <c r="C520" s="0" t="s">
        <v>622</v>
      </c>
      <c r="D520" s="0" t="s">
        <v>623</v>
      </c>
      <c r="E520" s="0" t="s">
        <v>131</v>
      </c>
      <c r="F520" s="0" t="s">
        <v>198</v>
      </c>
      <c r="G520" s="0" t="s">
        <v>628</v>
      </c>
      <c r="H520" s="0" t="s">
        <v>625</v>
      </c>
      <c r="I520" s="0" t="s">
        <v>626</v>
      </c>
      <c r="J520" s="0" t="s">
        <v>627</v>
      </c>
      <c r="K520" s="475" t="n">
        <v>36831</v>
      </c>
      <c r="L520" s="254" t="n">
        <v>-617545.738145378</v>
      </c>
      <c r="M520" s="475" t="n">
        <v>36829</v>
      </c>
      <c r="N520" s="0" t="s">
        <v>132</v>
      </c>
      <c r="O520" s="0" t="n">
        <v>1.3</v>
      </c>
      <c r="P520" s="0" t="n">
        <v>0</v>
      </c>
      <c r="Q520" s="0" t="n">
        <v>0</v>
      </c>
      <c r="R520" s="0" t="n">
        <v>0</v>
      </c>
      <c r="S520" s="0" t="n">
        <v>0</v>
      </c>
      <c r="T520" s="0" t="s">
        <v>624</v>
      </c>
      <c r="U520" s="0" t="s">
        <v>149</v>
      </c>
      <c r="V520" s="0" t="s">
        <v>624</v>
      </c>
      <c r="W520" s="0" t="s">
        <v>569</v>
      </c>
      <c r="X520" s="0" t="s">
        <v>624</v>
      </c>
      <c r="Y520" s="0" t="s">
        <v>627</v>
      </c>
      <c r="Z520" s="0" t="s">
        <v>629</v>
      </c>
      <c r="AA520" s="0" t="s">
        <v>624</v>
      </c>
      <c r="AB520" s="0" t="s">
        <v>132</v>
      </c>
      <c r="AC520" s="254" t="n">
        <v>-1000000</v>
      </c>
      <c r="AD520" s="254" t="n">
        <v>-32899.8144113729</v>
      </c>
      <c r="AE520" s="0" t="n">
        <v>0</v>
      </c>
      <c r="AF520" s="0" t="n">
        <v>0</v>
      </c>
      <c r="AG520" s="0" t="n">
        <v>0</v>
      </c>
      <c r="AH520" s="254" t="n">
        <v>28164.0709938573</v>
      </c>
      <c r="AI520" s="0" t="n">
        <v>226</v>
      </c>
      <c r="AJ520" s="0" t="s">
        <v>630</v>
      </c>
      <c r="AK520" s="0" t="n">
        <v>0</v>
      </c>
      <c r="AL520" s="0" t="n">
        <v>0</v>
      </c>
      <c r="AM520" s="0" t="n">
        <v>0</v>
      </c>
    </row>
    <row r="521" customFormat="false" ht="12.75" hidden="false" customHeight="false" outlineLevel="0" collapsed="false">
      <c r="A521" s="0" t="s">
        <v>621</v>
      </c>
      <c r="B521" s="0" t="s">
        <v>376</v>
      </c>
      <c r="C521" s="0" t="s">
        <v>622</v>
      </c>
      <c r="D521" s="0" t="s">
        <v>623</v>
      </c>
      <c r="E521" s="0" t="s">
        <v>131</v>
      </c>
      <c r="F521" s="0" t="s">
        <v>244</v>
      </c>
      <c r="G521" s="0" t="s">
        <v>628</v>
      </c>
      <c r="H521" s="0" t="s">
        <v>625</v>
      </c>
      <c r="I521" s="0" t="s">
        <v>626</v>
      </c>
      <c r="J521" s="0" t="s">
        <v>627</v>
      </c>
      <c r="K521" s="475" t="n">
        <v>36831</v>
      </c>
      <c r="L521" s="254" t="n">
        <v>123326.935375983</v>
      </c>
      <c r="M521" s="475" t="n">
        <v>36829</v>
      </c>
      <c r="N521" s="0" t="s">
        <v>136</v>
      </c>
      <c r="O521" s="0" t="n">
        <v>0.8</v>
      </c>
      <c r="P521" s="0" t="n">
        <v>0</v>
      </c>
      <c r="Q521" s="0" t="n">
        <v>0</v>
      </c>
      <c r="R521" s="0" t="n">
        <v>0</v>
      </c>
      <c r="S521" s="0" t="n">
        <v>0</v>
      </c>
      <c r="T521" s="0" t="s">
        <v>624</v>
      </c>
      <c r="U521" s="0" t="s">
        <v>149</v>
      </c>
      <c r="V521" s="0" t="s">
        <v>624</v>
      </c>
      <c r="W521" s="0" t="s">
        <v>569</v>
      </c>
      <c r="X521" s="0" t="s">
        <v>624</v>
      </c>
      <c r="Y521" s="0" t="s">
        <v>627</v>
      </c>
      <c r="Z521" s="0" t="s">
        <v>629</v>
      </c>
      <c r="AA521" s="0" t="s">
        <v>624</v>
      </c>
      <c r="AB521" s="0" t="s">
        <v>132</v>
      </c>
      <c r="AC521" s="254" t="n">
        <v>500000</v>
      </c>
      <c r="AD521" s="254" t="n">
        <v>22468.1216366824</v>
      </c>
      <c r="AE521" s="0" t="n">
        <v>0</v>
      </c>
      <c r="AF521" s="0" t="n">
        <v>0</v>
      </c>
      <c r="AG521" s="0" t="n">
        <v>0</v>
      </c>
      <c r="AH521" s="254" t="n">
        <v>10981.8493418464</v>
      </c>
      <c r="AI521" s="0" t="n">
        <v>226</v>
      </c>
      <c r="AJ521" s="0" t="s">
        <v>630</v>
      </c>
      <c r="AK521" s="0" t="n">
        <v>0</v>
      </c>
      <c r="AL521" s="0" t="n">
        <v>0</v>
      </c>
      <c r="AM521" s="0" t="n">
        <v>0</v>
      </c>
    </row>
    <row r="522" customFormat="false" ht="12.75" hidden="false" customHeight="false" outlineLevel="0" collapsed="false">
      <c r="A522" s="0" t="s">
        <v>621</v>
      </c>
      <c r="B522" s="0" t="s">
        <v>377</v>
      </c>
      <c r="C522" s="0" t="s">
        <v>622</v>
      </c>
      <c r="D522" s="0" t="s">
        <v>623</v>
      </c>
      <c r="E522" s="0" t="s">
        <v>131</v>
      </c>
      <c r="F522" s="0" t="s">
        <v>206</v>
      </c>
      <c r="G522" s="0" t="s">
        <v>628</v>
      </c>
      <c r="H522" s="0" t="s">
        <v>625</v>
      </c>
      <c r="I522" s="0" t="s">
        <v>626</v>
      </c>
      <c r="J522" s="0" t="s">
        <v>627</v>
      </c>
      <c r="K522" s="475" t="n">
        <v>36951</v>
      </c>
      <c r="L522" s="254" t="n">
        <v>65398.4464611528</v>
      </c>
      <c r="M522" s="475" t="n">
        <v>36949</v>
      </c>
      <c r="N522" s="0" t="s">
        <v>136</v>
      </c>
      <c r="O522" s="0" t="n">
        <v>1.3</v>
      </c>
      <c r="P522" s="0" t="n">
        <v>0</v>
      </c>
      <c r="Q522" s="0" t="n">
        <v>0</v>
      </c>
      <c r="R522" s="0" t="n">
        <v>0</v>
      </c>
      <c r="S522" s="0" t="n">
        <v>0</v>
      </c>
      <c r="T522" s="0" t="s">
        <v>624</v>
      </c>
      <c r="U522" s="0" t="s">
        <v>149</v>
      </c>
      <c r="V522" s="0" t="s">
        <v>624</v>
      </c>
      <c r="W522" s="0" t="s">
        <v>569</v>
      </c>
      <c r="X522" s="0" t="s">
        <v>624</v>
      </c>
      <c r="Y522" s="0" t="s">
        <v>627</v>
      </c>
      <c r="Z522" s="0" t="s">
        <v>629</v>
      </c>
      <c r="AA522" s="0" t="s">
        <v>624</v>
      </c>
      <c r="AB522" s="0" t="s">
        <v>132</v>
      </c>
      <c r="AC522" s="254" t="n">
        <v>155000</v>
      </c>
      <c r="AD522" s="254" t="n">
        <v>13414.6425813564</v>
      </c>
      <c r="AE522" s="0" t="n">
        <v>0</v>
      </c>
      <c r="AF522" s="0" t="n">
        <v>0</v>
      </c>
      <c r="AG522" s="0" t="n">
        <v>0</v>
      </c>
      <c r="AH522" s="254" t="n">
        <v>4962.31145688987</v>
      </c>
      <c r="AI522" s="0" t="n">
        <v>226</v>
      </c>
      <c r="AJ522" s="0" t="s">
        <v>630</v>
      </c>
      <c r="AK522" s="0" t="n">
        <v>0</v>
      </c>
      <c r="AL522" s="0" t="n">
        <v>0</v>
      </c>
      <c r="AM522" s="0" t="n">
        <v>0</v>
      </c>
    </row>
    <row r="523" customFormat="false" ht="12.75" hidden="false" customHeight="false" outlineLevel="0" collapsed="false">
      <c r="A523" s="0" t="s">
        <v>621</v>
      </c>
      <c r="B523" s="0" t="s">
        <v>377</v>
      </c>
      <c r="C523" s="0" t="s">
        <v>622</v>
      </c>
      <c r="D523" s="0" t="s">
        <v>623</v>
      </c>
      <c r="E523" s="0" t="s">
        <v>131</v>
      </c>
      <c r="F523" s="0" t="s">
        <v>206</v>
      </c>
      <c r="G523" s="0" t="s">
        <v>628</v>
      </c>
      <c r="H523" s="0" t="s">
        <v>625</v>
      </c>
      <c r="I523" s="0" t="s">
        <v>626</v>
      </c>
      <c r="J523" s="0" t="s">
        <v>627</v>
      </c>
      <c r="K523" s="475" t="n">
        <v>36923</v>
      </c>
      <c r="L523" s="254" t="n">
        <v>150181.426507702</v>
      </c>
      <c r="M523" s="475" t="n">
        <v>36921</v>
      </c>
      <c r="N523" s="0" t="s">
        <v>136</v>
      </c>
      <c r="O523" s="0" t="n">
        <v>1.3</v>
      </c>
      <c r="P523" s="0" t="n">
        <v>0</v>
      </c>
      <c r="Q523" s="0" t="n">
        <v>0</v>
      </c>
      <c r="R523" s="0" t="n">
        <v>0</v>
      </c>
      <c r="S523" s="0" t="n">
        <v>0</v>
      </c>
      <c r="T523" s="0" t="s">
        <v>624</v>
      </c>
      <c r="U523" s="0" t="s">
        <v>149</v>
      </c>
      <c r="V523" s="0" t="s">
        <v>624</v>
      </c>
      <c r="W523" s="0" t="s">
        <v>569</v>
      </c>
      <c r="X523" s="0" t="s">
        <v>624</v>
      </c>
      <c r="Y523" s="0" t="s">
        <v>627</v>
      </c>
      <c r="Z523" s="0" t="s">
        <v>629</v>
      </c>
      <c r="AA523" s="0" t="s">
        <v>624</v>
      </c>
      <c r="AB523" s="0" t="s">
        <v>132</v>
      </c>
      <c r="AC523" s="254" t="n">
        <v>140000</v>
      </c>
      <c r="AD523" s="254" t="n">
        <v>11050.638959618</v>
      </c>
      <c r="AE523" s="0" t="n">
        <v>0</v>
      </c>
      <c r="AF523" s="0" t="n">
        <v>0</v>
      </c>
      <c r="AG523" s="0" t="n">
        <v>0</v>
      </c>
      <c r="AH523" s="254" t="n">
        <v>7473.34818236961</v>
      </c>
      <c r="AI523" s="0" t="n">
        <v>226</v>
      </c>
      <c r="AJ523" s="0" t="s">
        <v>630</v>
      </c>
      <c r="AK523" s="0" t="n">
        <v>0</v>
      </c>
      <c r="AL523" s="0" t="n">
        <v>0</v>
      </c>
      <c r="AM523" s="0" t="n">
        <v>0</v>
      </c>
    </row>
    <row r="524" customFormat="false" ht="12.75" hidden="false" customHeight="false" outlineLevel="0" collapsed="false">
      <c r="A524" s="0" t="s">
        <v>621</v>
      </c>
      <c r="B524" s="0" t="s">
        <v>377</v>
      </c>
      <c r="C524" s="0" t="s">
        <v>622</v>
      </c>
      <c r="D524" s="0" t="s">
        <v>623</v>
      </c>
      <c r="E524" s="0" t="s">
        <v>131</v>
      </c>
      <c r="F524" s="0" t="s">
        <v>206</v>
      </c>
      <c r="G524" s="0" t="s">
        <v>628</v>
      </c>
      <c r="H524" s="0" t="s">
        <v>625</v>
      </c>
      <c r="I524" s="0" t="s">
        <v>626</v>
      </c>
      <c r="J524" s="0" t="s">
        <v>627</v>
      </c>
      <c r="K524" s="475" t="n">
        <v>36892</v>
      </c>
      <c r="L524" s="254" t="n">
        <v>171541.468434239</v>
      </c>
      <c r="M524" s="475" t="n">
        <v>36888</v>
      </c>
      <c r="N524" s="0" t="s">
        <v>136</v>
      </c>
      <c r="O524" s="0" t="n">
        <v>1.3</v>
      </c>
      <c r="P524" s="0" t="n">
        <v>0</v>
      </c>
      <c r="Q524" s="0" t="n">
        <v>0</v>
      </c>
      <c r="R524" s="0" t="n">
        <v>0</v>
      </c>
      <c r="S524" s="0" t="n">
        <v>0</v>
      </c>
      <c r="T524" s="0" t="s">
        <v>624</v>
      </c>
      <c r="U524" s="0" t="s">
        <v>149</v>
      </c>
      <c r="V524" s="0" t="s">
        <v>624</v>
      </c>
      <c r="W524" s="0" t="s">
        <v>569</v>
      </c>
      <c r="X524" s="0" t="s">
        <v>624</v>
      </c>
      <c r="Y524" s="0" t="s">
        <v>627</v>
      </c>
      <c r="Z524" s="0" t="s">
        <v>629</v>
      </c>
      <c r="AA524" s="0" t="s">
        <v>624</v>
      </c>
      <c r="AB524" s="0" t="s">
        <v>132</v>
      </c>
      <c r="AC524" s="254" t="n">
        <v>155000</v>
      </c>
      <c r="AD524" s="254" t="n">
        <v>10749.369414923</v>
      </c>
      <c r="AE524" s="0" t="n">
        <v>0</v>
      </c>
      <c r="AF524" s="0" t="n">
        <v>0</v>
      </c>
      <c r="AG524" s="0" t="n">
        <v>0</v>
      </c>
      <c r="AH524" s="254" t="n">
        <v>7350.29438604045</v>
      </c>
      <c r="AI524" s="0" t="n">
        <v>226</v>
      </c>
      <c r="AJ524" s="0" t="s">
        <v>630</v>
      </c>
      <c r="AK524" s="0" t="n">
        <v>0</v>
      </c>
      <c r="AL524" s="0" t="n">
        <v>0</v>
      </c>
      <c r="AM524" s="0" t="n">
        <v>0</v>
      </c>
    </row>
    <row r="525" customFormat="false" ht="12.75" hidden="false" customHeight="false" outlineLevel="0" collapsed="false">
      <c r="A525" s="0" t="s">
        <v>621</v>
      </c>
      <c r="B525" s="0" t="s">
        <v>377</v>
      </c>
      <c r="C525" s="0" t="s">
        <v>622</v>
      </c>
      <c r="D525" s="0" t="s">
        <v>623</v>
      </c>
      <c r="E525" s="0" t="s">
        <v>131</v>
      </c>
      <c r="F525" s="0" t="s">
        <v>206</v>
      </c>
      <c r="G525" s="0" t="s">
        <v>628</v>
      </c>
      <c r="H525" s="0" t="s">
        <v>625</v>
      </c>
      <c r="I525" s="0" t="s">
        <v>626</v>
      </c>
      <c r="J525" s="0" t="s">
        <v>627</v>
      </c>
      <c r="K525" s="475" t="n">
        <v>36861</v>
      </c>
      <c r="L525" s="254" t="n">
        <v>105622.548905873</v>
      </c>
      <c r="M525" s="475" t="n">
        <v>36859</v>
      </c>
      <c r="N525" s="0" t="s">
        <v>136</v>
      </c>
      <c r="O525" s="0" t="n">
        <v>1.3</v>
      </c>
      <c r="P525" s="0" t="n">
        <v>0</v>
      </c>
      <c r="Q525" s="0" t="n">
        <v>0</v>
      </c>
      <c r="R525" s="0" t="n">
        <v>0</v>
      </c>
      <c r="S525" s="0" t="n">
        <v>0</v>
      </c>
      <c r="T525" s="0" t="s">
        <v>624</v>
      </c>
      <c r="U525" s="0" t="s">
        <v>149</v>
      </c>
      <c r="V525" s="0" t="s">
        <v>624</v>
      </c>
      <c r="W525" s="0" t="s">
        <v>569</v>
      </c>
      <c r="X525" s="0" t="s">
        <v>624</v>
      </c>
      <c r="Y525" s="0" t="s">
        <v>627</v>
      </c>
      <c r="Z525" s="0" t="s">
        <v>629</v>
      </c>
      <c r="AA525" s="0" t="s">
        <v>624</v>
      </c>
      <c r="AB525" s="0" t="s">
        <v>132</v>
      </c>
      <c r="AC525" s="254" t="n">
        <v>155000</v>
      </c>
      <c r="AD525" s="254" t="n">
        <v>10736.2798342139</v>
      </c>
      <c r="AE525" s="0" t="n">
        <v>0</v>
      </c>
      <c r="AF525" s="0" t="n">
        <v>0</v>
      </c>
      <c r="AG525" s="0" t="n">
        <v>0</v>
      </c>
      <c r="AH525" s="254" t="n">
        <v>4929.61440672955</v>
      </c>
      <c r="AI525" s="0" t="n">
        <v>226</v>
      </c>
      <c r="AJ525" s="0" t="s">
        <v>630</v>
      </c>
      <c r="AK525" s="0" t="n">
        <v>0</v>
      </c>
      <c r="AL525" s="0" t="n">
        <v>0</v>
      </c>
      <c r="AM525" s="0" t="n">
        <v>0</v>
      </c>
    </row>
    <row r="526" customFormat="false" ht="12.75" hidden="false" customHeight="false" outlineLevel="0" collapsed="false">
      <c r="A526" s="0" t="s">
        <v>621</v>
      </c>
      <c r="B526" s="0" t="s">
        <v>377</v>
      </c>
      <c r="C526" s="0" t="s">
        <v>622</v>
      </c>
      <c r="D526" s="0" t="s">
        <v>623</v>
      </c>
      <c r="E526" s="0" t="s">
        <v>131</v>
      </c>
      <c r="F526" s="0" t="s">
        <v>206</v>
      </c>
      <c r="G526" s="0" t="s">
        <v>628</v>
      </c>
      <c r="H526" s="0" t="s">
        <v>625</v>
      </c>
      <c r="I526" s="0" t="s">
        <v>626</v>
      </c>
      <c r="J526" s="0" t="s">
        <v>627</v>
      </c>
      <c r="K526" s="475" t="n">
        <v>36831</v>
      </c>
      <c r="L526" s="254" t="n">
        <v>14060.3123061422</v>
      </c>
      <c r="M526" s="475" t="n">
        <v>36829</v>
      </c>
      <c r="N526" s="0" t="s">
        <v>136</v>
      </c>
      <c r="O526" s="0" t="n">
        <v>1.3</v>
      </c>
      <c r="P526" s="0" t="n">
        <v>0</v>
      </c>
      <c r="Q526" s="0" t="n">
        <v>0</v>
      </c>
      <c r="R526" s="0" t="n">
        <v>0</v>
      </c>
      <c r="S526" s="0" t="n">
        <v>0</v>
      </c>
      <c r="T526" s="0" t="s">
        <v>624</v>
      </c>
      <c r="U526" s="0" t="s">
        <v>149</v>
      </c>
      <c r="V526" s="0" t="s">
        <v>624</v>
      </c>
      <c r="W526" s="0" t="s">
        <v>569</v>
      </c>
      <c r="X526" s="0" t="s">
        <v>624</v>
      </c>
      <c r="Y526" s="0" t="s">
        <v>627</v>
      </c>
      <c r="Z526" s="0" t="s">
        <v>629</v>
      </c>
      <c r="AA526" s="0" t="s">
        <v>624</v>
      </c>
      <c r="AB526" s="0" t="s">
        <v>132</v>
      </c>
      <c r="AC526" s="254" t="n">
        <v>150000</v>
      </c>
      <c r="AD526" s="254" t="n">
        <v>4934.97216170593</v>
      </c>
      <c r="AE526" s="0" t="n">
        <v>0</v>
      </c>
      <c r="AF526" s="0" t="n">
        <v>0</v>
      </c>
      <c r="AG526" s="0" t="n">
        <v>0</v>
      </c>
      <c r="AH526" s="254" t="n">
        <v>1702.0524628068</v>
      </c>
      <c r="AI526" s="0" t="n">
        <v>226</v>
      </c>
      <c r="AJ526" s="0" t="s">
        <v>630</v>
      </c>
      <c r="AK526" s="0" t="n">
        <v>0</v>
      </c>
      <c r="AL526" s="0" t="n">
        <v>0</v>
      </c>
      <c r="AM526" s="0" t="n">
        <v>0</v>
      </c>
    </row>
    <row r="527" customFormat="false" ht="12.75" hidden="false" customHeight="false" outlineLevel="0" collapsed="false">
      <c r="A527" s="0" t="s">
        <v>621</v>
      </c>
      <c r="B527" s="0" t="s">
        <v>378</v>
      </c>
      <c r="C527" s="0" t="s">
        <v>622</v>
      </c>
      <c r="D527" s="0" t="s">
        <v>623</v>
      </c>
      <c r="E527" s="0" t="s">
        <v>131</v>
      </c>
      <c r="F527" s="0" t="s">
        <v>206</v>
      </c>
      <c r="G527" s="0" t="s">
        <v>628</v>
      </c>
      <c r="H527" s="0" t="s">
        <v>625</v>
      </c>
      <c r="I527" s="0" t="s">
        <v>626</v>
      </c>
      <c r="J527" s="0" t="s">
        <v>627</v>
      </c>
      <c r="K527" s="475" t="n">
        <v>36951</v>
      </c>
      <c r="L527" s="254" t="n">
        <v>99090.4192958505</v>
      </c>
      <c r="M527" s="475" t="n">
        <v>36949</v>
      </c>
      <c r="N527" s="0" t="s">
        <v>132</v>
      </c>
      <c r="O527" s="0" t="n">
        <v>1.3</v>
      </c>
      <c r="P527" s="0" t="n">
        <v>0</v>
      </c>
      <c r="Q527" s="0" t="n">
        <v>0</v>
      </c>
      <c r="R527" s="0" t="n">
        <v>0</v>
      </c>
      <c r="S527" s="0" t="n">
        <v>0</v>
      </c>
      <c r="T527" s="0" t="s">
        <v>624</v>
      </c>
      <c r="U527" s="0" t="s">
        <v>149</v>
      </c>
      <c r="V527" s="0" t="s">
        <v>624</v>
      </c>
      <c r="W527" s="0" t="s">
        <v>569</v>
      </c>
      <c r="X527" s="0" t="s">
        <v>624</v>
      </c>
      <c r="Y527" s="0" t="s">
        <v>627</v>
      </c>
      <c r="Z527" s="0" t="s">
        <v>629</v>
      </c>
      <c r="AA527" s="0" t="s">
        <v>624</v>
      </c>
      <c r="AB527" s="0" t="s">
        <v>132</v>
      </c>
      <c r="AC527" s="254" t="n">
        <v>155000</v>
      </c>
      <c r="AD527" s="254" t="n">
        <v>13414.6425813564</v>
      </c>
      <c r="AE527" s="0" t="n">
        <v>0</v>
      </c>
      <c r="AF527" s="0" t="n">
        <v>0</v>
      </c>
      <c r="AG527" s="0" t="n">
        <v>0</v>
      </c>
      <c r="AH527" s="254" t="n">
        <v>-4017.7892987801</v>
      </c>
      <c r="AI527" s="0" t="n">
        <v>226</v>
      </c>
      <c r="AJ527" s="0" t="s">
        <v>630</v>
      </c>
      <c r="AK527" s="0" t="n">
        <v>0</v>
      </c>
      <c r="AL527" s="0" t="n">
        <v>0</v>
      </c>
      <c r="AM527" s="0" t="n">
        <v>0</v>
      </c>
    </row>
    <row r="528" customFormat="false" ht="12.75" hidden="false" customHeight="false" outlineLevel="0" collapsed="false">
      <c r="A528" s="0" t="s">
        <v>621</v>
      </c>
      <c r="B528" s="0" t="s">
        <v>378</v>
      </c>
      <c r="C528" s="0" t="s">
        <v>622</v>
      </c>
      <c r="D528" s="0" t="s">
        <v>623</v>
      </c>
      <c r="E528" s="0" t="s">
        <v>131</v>
      </c>
      <c r="F528" s="0" t="s">
        <v>206</v>
      </c>
      <c r="G528" s="0" t="s">
        <v>628</v>
      </c>
      <c r="H528" s="0" t="s">
        <v>625</v>
      </c>
      <c r="I528" s="0" t="s">
        <v>626</v>
      </c>
      <c r="J528" s="0" t="s">
        <v>627</v>
      </c>
      <c r="K528" s="475" t="n">
        <v>36923</v>
      </c>
      <c r="L528" s="254" t="n">
        <v>42756.5824080976</v>
      </c>
      <c r="M528" s="475" t="n">
        <v>36921</v>
      </c>
      <c r="N528" s="0" t="s">
        <v>132</v>
      </c>
      <c r="O528" s="0" t="n">
        <v>1.3</v>
      </c>
      <c r="P528" s="0" t="n">
        <v>0</v>
      </c>
      <c r="Q528" s="0" t="n">
        <v>0</v>
      </c>
      <c r="R528" s="0" t="n">
        <v>0</v>
      </c>
      <c r="S528" s="0" t="n">
        <v>0</v>
      </c>
      <c r="T528" s="0" t="s">
        <v>624</v>
      </c>
      <c r="U528" s="0" t="s">
        <v>149</v>
      </c>
      <c r="V528" s="0" t="s">
        <v>624</v>
      </c>
      <c r="W528" s="0" t="s">
        <v>569</v>
      </c>
      <c r="X528" s="0" t="s">
        <v>624</v>
      </c>
      <c r="Y528" s="0" t="s">
        <v>627</v>
      </c>
      <c r="Z528" s="0" t="s">
        <v>629</v>
      </c>
      <c r="AA528" s="0" t="s">
        <v>624</v>
      </c>
      <c r="AB528" s="0" t="s">
        <v>132</v>
      </c>
      <c r="AC528" s="254" t="n">
        <v>140000</v>
      </c>
      <c r="AD528" s="254" t="n">
        <v>11050.638959618</v>
      </c>
      <c r="AE528" s="0" t="n">
        <v>0</v>
      </c>
      <c r="AF528" s="0" t="n">
        <v>0</v>
      </c>
      <c r="AG528" s="0" t="n">
        <v>0</v>
      </c>
      <c r="AH528" s="254" t="n">
        <v>-2040.41574436784</v>
      </c>
      <c r="AI528" s="0" t="n">
        <v>226</v>
      </c>
      <c r="AJ528" s="0" t="s">
        <v>630</v>
      </c>
      <c r="AK528" s="0" t="n">
        <v>0</v>
      </c>
      <c r="AL528" s="0" t="n">
        <v>0</v>
      </c>
      <c r="AM528" s="0" t="n">
        <v>0</v>
      </c>
    </row>
    <row r="529" customFormat="false" ht="12.75" hidden="false" customHeight="false" outlineLevel="0" collapsed="false">
      <c r="A529" s="0" t="s">
        <v>621</v>
      </c>
      <c r="B529" s="0" t="s">
        <v>378</v>
      </c>
      <c r="C529" s="0" t="s">
        <v>622</v>
      </c>
      <c r="D529" s="0" t="s">
        <v>623</v>
      </c>
      <c r="E529" s="0" t="s">
        <v>131</v>
      </c>
      <c r="F529" s="0" t="s">
        <v>206</v>
      </c>
      <c r="G529" s="0" t="s">
        <v>628</v>
      </c>
      <c r="H529" s="0" t="s">
        <v>625</v>
      </c>
      <c r="I529" s="0" t="s">
        <v>626</v>
      </c>
      <c r="J529" s="0" t="s">
        <v>627</v>
      </c>
      <c r="K529" s="475" t="n">
        <v>36892</v>
      </c>
      <c r="L529" s="254" t="n">
        <v>39736.3258783988</v>
      </c>
      <c r="M529" s="475" t="n">
        <v>36888</v>
      </c>
      <c r="N529" s="0" t="s">
        <v>132</v>
      </c>
      <c r="O529" s="0" t="n">
        <v>1.3</v>
      </c>
      <c r="P529" s="0" t="n">
        <v>0</v>
      </c>
      <c r="Q529" s="0" t="n">
        <v>0</v>
      </c>
      <c r="R529" s="0" t="n">
        <v>0</v>
      </c>
      <c r="S529" s="0" t="n">
        <v>0</v>
      </c>
      <c r="T529" s="0" t="s">
        <v>624</v>
      </c>
      <c r="U529" s="0" t="s">
        <v>149</v>
      </c>
      <c r="V529" s="0" t="s">
        <v>624</v>
      </c>
      <c r="W529" s="0" t="s">
        <v>569</v>
      </c>
      <c r="X529" s="0" t="s">
        <v>624</v>
      </c>
      <c r="Y529" s="0" t="s">
        <v>627</v>
      </c>
      <c r="Z529" s="0" t="s">
        <v>629</v>
      </c>
      <c r="AA529" s="0" t="s">
        <v>624</v>
      </c>
      <c r="AB529" s="0" t="s">
        <v>132</v>
      </c>
      <c r="AC529" s="254" t="n">
        <v>155000</v>
      </c>
      <c r="AD529" s="254" t="n">
        <v>10749.3694149231</v>
      </c>
      <c r="AE529" s="0" t="n">
        <v>0</v>
      </c>
      <c r="AF529" s="0" t="n">
        <v>0</v>
      </c>
      <c r="AG529" s="0" t="n">
        <v>0</v>
      </c>
      <c r="AH529" s="254" t="n">
        <v>-1734.86898769972</v>
      </c>
      <c r="AI529" s="0" t="n">
        <v>226</v>
      </c>
      <c r="AJ529" s="0" t="s">
        <v>630</v>
      </c>
      <c r="AK529" s="0" t="n">
        <v>0</v>
      </c>
      <c r="AL529" s="0" t="n">
        <v>0</v>
      </c>
      <c r="AM529" s="0" t="n">
        <v>0</v>
      </c>
    </row>
    <row r="530" customFormat="false" ht="12.75" hidden="false" customHeight="false" outlineLevel="0" collapsed="false">
      <c r="A530" s="0" t="s">
        <v>621</v>
      </c>
      <c r="B530" s="0" t="s">
        <v>378</v>
      </c>
      <c r="C530" s="0" t="s">
        <v>622</v>
      </c>
      <c r="D530" s="0" t="s">
        <v>623</v>
      </c>
      <c r="E530" s="0" t="s">
        <v>131</v>
      </c>
      <c r="F530" s="0" t="s">
        <v>206</v>
      </c>
      <c r="G530" s="0" t="s">
        <v>628</v>
      </c>
      <c r="H530" s="0" t="s">
        <v>625</v>
      </c>
      <c r="I530" s="0" t="s">
        <v>626</v>
      </c>
      <c r="J530" s="0" t="s">
        <v>627</v>
      </c>
      <c r="K530" s="475" t="n">
        <v>36861</v>
      </c>
      <c r="L530" s="254" t="n">
        <v>53069.6569251879</v>
      </c>
      <c r="M530" s="475" t="n">
        <v>36859</v>
      </c>
      <c r="N530" s="0" t="s">
        <v>132</v>
      </c>
      <c r="O530" s="0" t="n">
        <v>1.3</v>
      </c>
      <c r="P530" s="0" t="n">
        <v>0</v>
      </c>
      <c r="Q530" s="0" t="n">
        <v>0</v>
      </c>
      <c r="R530" s="0" t="n">
        <v>0</v>
      </c>
      <c r="S530" s="0" t="n">
        <v>0</v>
      </c>
      <c r="T530" s="0" t="s">
        <v>624</v>
      </c>
      <c r="U530" s="0" t="s">
        <v>149</v>
      </c>
      <c r="V530" s="0" t="s">
        <v>624</v>
      </c>
      <c r="W530" s="0" t="s">
        <v>569</v>
      </c>
      <c r="X530" s="0" t="s">
        <v>624</v>
      </c>
      <c r="Y530" s="0" t="s">
        <v>627</v>
      </c>
      <c r="Z530" s="0" t="s">
        <v>629</v>
      </c>
      <c r="AA530" s="0" t="s">
        <v>624</v>
      </c>
      <c r="AB530" s="0" t="s">
        <v>132</v>
      </c>
      <c r="AC530" s="254" t="n">
        <v>155000</v>
      </c>
      <c r="AD530" s="254" t="n">
        <v>10736.2798342139</v>
      </c>
      <c r="AE530" s="0" t="n">
        <v>0</v>
      </c>
      <c r="AF530" s="0" t="n">
        <v>0</v>
      </c>
      <c r="AG530" s="0" t="n">
        <v>0</v>
      </c>
      <c r="AH530" s="254" t="n">
        <v>-1921.3399844333</v>
      </c>
      <c r="AI530" s="0" t="n">
        <v>226</v>
      </c>
      <c r="AJ530" s="0" t="s">
        <v>630</v>
      </c>
      <c r="AK530" s="0" t="n">
        <v>0</v>
      </c>
      <c r="AL530" s="0" t="n">
        <v>0</v>
      </c>
      <c r="AM530" s="0" t="n">
        <v>0</v>
      </c>
    </row>
    <row r="531" customFormat="false" ht="12.75" hidden="false" customHeight="false" outlineLevel="0" collapsed="false">
      <c r="A531" s="0" t="s">
        <v>621</v>
      </c>
      <c r="B531" s="0" t="s">
        <v>378</v>
      </c>
      <c r="C531" s="0" t="s">
        <v>622</v>
      </c>
      <c r="D531" s="0" t="s">
        <v>623</v>
      </c>
      <c r="E531" s="0" t="s">
        <v>131</v>
      </c>
      <c r="F531" s="0" t="s">
        <v>206</v>
      </c>
      <c r="G531" s="0" t="s">
        <v>628</v>
      </c>
      <c r="H531" s="0" t="s">
        <v>625</v>
      </c>
      <c r="I531" s="0" t="s">
        <v>626</v>
      </c>
      <c r="J531" s="0" t="s">
        <v>627</v>
      </c>
      <c r="K531" s="475" t="n">
        <v>36831</v>
      </c>
      <c r="L531" s="254" t="n">
        <v>92631.8607218067</v>
      </c>
      <c r="M531" s="475" t="n">
        <v>36829</v>
      </c>
      <c r="N531" s="0" t="s">
        <v>132</v>
      </c>
      <c r="O531" s="0" t="n">
        <v>1.3</v>
      </c>
      <c r="P531" s="0" t="n">
        <v>0</v>
      </c>
      <c r="Q531" s="0" t="n">
        <v>0</v>
      </c>
      <c r="R531" s="0" t="n">
        <v>0</v>
      </c>
      <c r="S531" s="0" t="n">
        <v>0</v>
      </c>
      <c r="T531" s="0" t="s">
        <v>624</v>
      </c>
      <c r="U531" s="0" t="s">
        <v>149</v>
      </c>
      <c r="V531" s="0" t="s">
        <v>624</v>
      </c>
      <c r="W531" s="0" t="s">
        <v>569</v>
      </c>
      <c r="X531" s="0" t="s">
        <v>624</v>
      </c>
      <c r="Y531" s="0" t="s">
        <v>627</v>
      </c>
      <c r="Z531" s="0" t="s">
        <v>629</v>
      </c>
      <c r="AA531" s="0" t="s">
        <v>624</v>
      </c>
      <c r="AB531" s="0" t="s">
        <v>132</v>
      </c>
      <c r="AC531" s="254" t="n">
        <v>150000</v>
      </c>
      <c r="AD531" s="254" t="n">
        <v>4934.97216170594</v>
      </c>
      <c r="AE531" s="0" t="n">
        <v>0</v>
      </c>
      <c r="AF531" s="0" t="n">
        <v>0</v>
      </c>
      <c r="AG531" s="0" t="n">
        <v>0</v>
      </c>
      <c r="AH531" s="254" t="n">
        <v>-4224.6106490786</v>
      </c>
      <c r="AI531" s="0" t="n">
        <v>226</v>
      </c>
      <c r="AJ531" s="0" t="s">
        <v>630</v>
      </c>
      <c r="AK531" s="0" t="n">
        <v>0</v>
      </c>
      <c r="AL531" s="0" t="n">
        <v>0</v>
      </c>
      <c r="AM531" s="0" t="n">
        <v>0</v>
      </c>
    </row>
    <row r="532" customFormat="false" ht="12.75" hidden="false" customHeight="false" outlineLevel="0" collapsed="false">
      <c r="A532" s="0" t="s">
        <v>621</v>
      </c>
      <c r="B532" s="0" t="s">
        <v>379</v>
      </c>
      <c r="C532" s="0" t="s">
        <v>622</v>
      </c>
      <c r="D532" s="0" t="s">
        <v>623</v>
      </c>
      <c r="E532" s="0" t="s">
        <v>131</v>
      </c>
      <c r="F532" s="0" t="s">
        <v>345</v>
      </c>
      <c r="G532" s="0" t="s">
        <v>628</v>
      </c>
      <c r="H532" s="0" t="s">
        <v>625</v>
      </c>
      <c r="I532" s="0" t="s">
        <v>626</v>
      </c>
      <c r="J532" s="0" t="s">
        <v>627</v>
      </c>
      <c r="K532" s="475" t="n">
        <v>36800</v>
      </c>
      <c r="L532" s="254" t="n">
        <v>-46297.0495820892</v>
      </c>
      <c r="M532" s="475" t="n">
        <v>36797</v>
      </c>
      <c r="N532" s="0" t="s">
        <v>132</v>
      </c>
      <c r="O532" s="0" t="n">
        <v>0.4</v>
      </c>
      <c r="P532" s="0" t="n">
        <v>0</v>
      </c>
      <c r="Q532" s="0" t="n">
        <v>0</v>
      </c>
      <c r="R532" s="0" t="n">
        <v>0</v>
      </c>
      <c r="S532" s="0" t="n">
        <v>0</v>
      </c>
      <c r="T532" s="0" t="s">
        <v>624</v>
      </c>
      <c r="U532" s="0" t="s">
        <v>149</v>
      </c>
      <c r="V532" s="0" t="s">
        <v>624</v>
      </c>
      <c r="W532" s="0" t="s">
        <v>569</v>
      </c>
      <c r="X532" s="0" t="s">
        <v>624</v>
      </c>
      <c r="Y532" s="0" t="s">
        <v>627</v>
      </c>
      <c r="Z532" s="0" t="s">
        <v>629</v>
      </c>
      <c r="AA532" s="0" t="s">
        <v>624</v>
      </c>
      <c r="AB532" s="0" t="s">
        <v>132</v>
      </c>
      <c r="AC532" s="254" t="n">
        <v>-1240000</v>
      </c>
      <c r="AD532" s="254" t="n">
        <v>-8093.14204201987</v>
      </c>
      <c r="AE532" s="0" t="n">
        <v>0</v>
      </c>
      <c r="AF532" s="0" t="n">
        <v>0</v>
      </c>
      <c r="AG532" s="0" t="n">
        <v>0</v>
      </c>
      <c r="AH532" s="254" t="n">
        <v>-461.022190230127</v>
      </c>
      <c r="AI532" s="0" t="n">
        <v>226</v>
      </c>
      <c r="AJ532" s="0" t="s">
        <v>630</v>
      </c>
      <c r="AK532" s="0" t="n">
        <v>0</v>
      </c>
      <c r="AL532" s="0" t="n">
        <v>0</v>
      </c>
      <c r="AM532" s="0" t="n">
        <v>0</v>
      </c>
    </row>
    <row r="533" customFormat="false" ht="12.75" hidden="false" customHeight="false" outlineLevel="0" collapsed="false">
      <c r="A533" s="0" t="s">
        <v>621</v>
      </c>
      <c r="B533" s="0" t="s">
        <v>380</v>
      </c>
      <c r="C533" s="0" t="s">
        <v>622</v>
      </c>
      <c r="D533" s="0" t="s">
        <v>623</v>
      </c>
      <c r="E533" s="0" t="s">
        <v>131</v>
      </c>
      <c r="F533" s="0" t="s">
        <v>345</v>
      </c>
      <c r="G533" s="0" t="s">
        <v>628</v>
      </c>
      <c r="H533" s="0" t="s">
        <v>625</v>
      </c>
      <c r="I533" s="0" t="s">
        <v>626</v>
      </c>
      <c r="J533" s="0" t="s">
        <v>627</v>
      </c>
      <c r="K533" s="475" t="n">
        <v>36951</v>
      </c>
      <c r="L533" s="254" t="n">
        <v>-16938.3781569852</v>
      </c>
      <c r="M533" s="475" t="n">
        <v>36949</v>
      </c>
      <c r="N533" s="0" t="s">
        <v>136</v>
      </c>
      <c r="O533" s="0" t="n">
        <v>0.4</v>
      </c>
      <c r="P533" s="0" t="n">
        <v>0</v>
      </c>
      <c r="Q533" s="0" t="n">
        <v>0</v>
      </c>
      <c r="R533" s="0" t="n">
        <v>0</v>
      </c>
      <c r="S533" s="0" t="n">
        <v>0</v>
      </c>
      <c r="T533" s="0" t="s">
        <v>624</v>
      </c>
      <c r="U533" s="0" t="s">
        <v>150</v>
      </c>
      <c r="V533" s="0" t="s">
        <v>624</v>
      </c>
      <c r="W533" s="0" t="s">
        <v>569</v>
      </c>
      <c r="X533" s="0" t="s">
        <v>624</v>
      </c>
      <c r="Y533" s="0" t="s">
        <v>627</v>
      </c>
      <c r="Z533" s="0" t="s">
        <v>629</v>
      </c>
      <c r="AA533" s="0" t="s">
        <v>624</v>
      </c>
      <c r="AB533" s="0" t="s">
        <v>132</v>
      </c>
      <c r="AC533" s="254" t="n">
        <v>-310000</v>
      </c>
      <c r="AD533" s="254" t="n">
        <v>-4991.54618505087</v>
      </c>
      <c r="AE533" s="0" t="n">
        <v>0</v>
      </c>
      <c r="AF533" s="0" t="n">
        <v>0</v>
      </c>
      <c r="AG533" s="0" t="n">
        <v>0</v>
      </c>
      <c r="AH533" s="254" t="n">
        <v>-253.524827492271</v>
      </c>
      <c r="AI533" s="0" t="n">
        <v>226</v>
      </c>
      <c r="AJ533" s="0" t="s">
        <v>630</v>
      </c>
      <c r="AK533" s="0" t="n">
        <v>0</v>
      </c>
      <c r="AL533" s="0" t="n">
        <v>0</v>
      </c>
      <c r="AM533" s="0" t="n">
        <v>0</v>
      </c>
    </row>
    <row r="534" customFormat="false" ht="12.75" hidden="false" customHeight="false" outlineLevel="0" collapsed="false">
      <c r="A534" s="0" t="s">
        <v>621</v>
      </c>
      <c r="B534" s="0" t="s">
        <v>380</v>
      </c>
      <c r="C534" s="0" t="s">
        <v>622</v>
      </c>
      <c r="D534" s="0" t="s">
        <v>623</v>
      </c>
      <c r="E534" s="0" t="s">
        <v>131</v>
      </c>
      <c r="F534" s="0" t="s">
        <v>345</v>
      </c>
      <c r="G534" s="0" t="s">
        <v>628</v>
      </c>
      <c r="H534" s="0" t="s">
        <v>625</v>
      </c>
      <c r="I534" s="0" t="s">
        <v>626</v>
      </c>
      <c r="J534" s="0" t="s">
        <v>627</v>
      </c>
      <c r="K534" s="475" t="n">
        <v>36923</v>
      </c>
      <c r="L534" s="254" t="n">
        <v>-19741.876989107</v>
      </c>
      <c r="M534" s="475" t="n">
        <v>36921</v>
      </c>
      <c r="N534" s="0" t="s">
        <v>136</v>
      </c>
      <c r="O534" s="0" t="n">
        <v>0.4</v>
      </c>
      <c r="P534" s="0" t="n">
        <v>0</v>
      </c>
      <c r="Q534" s="0" t="n">
        <v>0</v>
      </c>
      <c r="R534" s="0" t="n">
        <v>0</v>
      </c>
      <c r="S534" s="0" t="n">
        <v>0</v>
      </c>
      <c r="T534" s="0" t="s">
        <v>624</v>
      </c>
      <c r="U534" s="0" t="s">
        <v>150</v>
      </c>
      <c r="V534" s="0" t="s">
        <v>624</v>
      </c>
      <c r="W534" s="0" t="s">
        <v>569</v>
      </c>
      <c r="X534" s="0" t="s">
        <v>624</v>
      </c>
      <c r="Y534" s="0" t="s">
        <v>627</v>
      </c>
      <c r="Z534" s="0" t="s">
        <v>629</v>
      </c>
      <c r="AA534" s="0" t="s">
        <v>624</v>
      </c>
      <c r="AB534" s="0" t="s">
        <v>132</v>
      </c>
      <c r="AC534" s="254" t="n">
        <v>-280000</v>
      </c>
      <c r="AD534" s="254" t="n">
        <v>-4900.98196869767</v>
      </c>
      <c r="AE534" s="0" t="n">
        <v>0</v>
      </c>
      <c r="AF534" s="0" t="n">
        <v>0</v>
      </c>
      <c r="AG534" s="0" t="n">
        <v>0</v>
      </c>
      <c r="AH534" s="254" t="n">
        <v>-235.088982208839</v>
      </c>
      <c r="AI534" s="0" t="n">
        <v>226</v>
      </c>
      <c r="AJ534" s="0" t="s">
        <v>630</v>
      </c>
      <c r="AK534" s="0" t="n">
        <v>0</v>
      </c>
      <c r="AL534" s="0" t="n">
        <v>0</v>
      </c>
      <c r="AM534" s="0" t="n">
        <v>0</v>
      </c>
    </row>
    <row r="535" customFormat="false" ht="12.75" hidden="false" customHeight="false" outlineLevel="0" collapsed="false">
      <c r="A535" s="0" t="s">
        <v>621</v>
      </c>
      <c r="B535" s="0" t="s">
        <v>380</v>
      </c>
      <c r="C535" s="0" t="s">
        <v>622</v>
      </c>
      <c r="D535" s="0" t="s">
        <v>623</v>
      </c>
      <c r="E535" s="0" t="s">
        <v>131</v>
      </c>
      <c r="F535" s="0" t="s">
        <v>345</v>
      </c>
      <c r="G535" s="0" t="s">
        <v>628</v>
      </c>
      <c r="H535" s="0" t="s">
        <v>625</v>
      </c>
      <c r="I535" s="0" t="s">
        <v>626</v>
      </c>
      <c r="J535" s="0" t="s">
        <v>627</v>
      </c>
      <c r="K535" s="475" t="n">
        <v>36892</v>
      </c>
      <c r="L535" s="254" t="n">
        <v>-20618.9164677147</v>
      </c>
      <c r="M535" s="475" t="n">
        <v>36888</v>
      </c>
      <c r="N535" s="0" t="s">
        <v>136</v>
      </c>
      <c r="O535" s="0" t="n">
        <v>0.4</v>
      </c>
      <c r="P535" s="0" t="n">
        <v>0</v>
      </c>
      <c r="Q535" s="0" t="n">
        <v>0</v>
      </c>
      <c r="R535" s="0" t="n">
        <v>0</v>
      </c>
      <c r="S535" s="0" t="n">
        <v>0</v>
      </c>
      <c r="T535" s="0" t="s">
        <v>624</v>
      </c>
      <c r="U535" s="0" t="s">
        <v>150</v>
      </c>
      <c r="V535" s="0" t="s">
        <v>624</v>
      </c>
      <c r="W535" s="0" t="s">
        <v>569</v>
      </c>
      <c r="X535" s="0" t="s">
        <v>624</v>
      </c>
      <c r="Y535" s="0" t="s">
        <v>627</v>
      </c>
      <c r="Z535" s="0" t="s">
        <v>629</v>
      </c>
      <c r="AA535" s="0" t="s">
        <v>624</v>
      </c>
      <c r="AB535" s="0" t="s">
        <v>132</v>
      </c>
      <c r="AC535" s="254" t="n">
        <v>-310000</v>
      </c>
      <c r="AD535" s="254" t="n">
        <v>-4973.70286372303</v>
      </c>
      <c r="AE535" s="0" t="n">
        <v>0</v>
      </c>
      <c r="AF535" s="0" t="n">
        <v>0</v>
      </c>
      <c r="AG535" s="0" t="n">
        <v>0</v>
      </c>
      <c r="AH535" s="254" t="n">
        <v>-239.331190497516</v>
      </c>
      <c r="AI535" s="0" t="n">
        <v>226</v>
      </c>
      <c r="AJ535" s="0" t="s">
        <v>630</v>
      </c>
      <c r="AK535" s="0" t="n">
        <v>0</v>
      </c>
      <c r="AL535" s="0" t="n">
        <v>0</v>
      </c>
      <c r="AM535" s="0" t="n">
        <v>0</v>
      </c>
    </row>
    <row r="536" customFormat="false" ht="12.75" hidden="false" customHeight="false" outlineLevel="0" collapsed="false">
      <c r="A536" s="0" t="s">
        <v>621</v>
      </c>
      <c r="B536" s="0" t="s">
        <v>380</v>
      </c>
      <c r="C536" s="0" t="s">
        <v>622</v>
      </c>
      <c r="D536" s="0" t="s">
        <v>623</v>
      </c>
      <c r="E536" s="0" t="s">
        <v>131</v>
      </c>
      <c r="F536" s="0" t="s">
        <v>345</v>
      </c>
      <c r="G536" s="0" t="s">
        <v>628</v>
      </c>
      <c r="H536" s="0" t="s">
        <v>625</v>
      </c>
      <c r="I536" s="0" t="s">
        <v>626</v>
      </c>
      <c r="J536" s="0" t="s">
        <v>627</v>
      </c>
      <c r="K536" s="475" t="n">
        <v>36861</v>
      </c>
      <c r="L536" s="254" t="n">
        <v>-16210.6479916678</v>
      </c>
      <c r="M536" s="475" t="n">
        <v>36859</v>
      </c>
      <c r="N536" s="0" t="s">
        <v>136</v>
      </c>
      <c r="O536" s="0" t="n">
        <v>0.4</v>
      </c>
      <c r="P536" s="0" t="n">
        <v>0</v>
      </c>
      <c r="Q536" s="0" t="n">
        <v>0</v>
      </c>
      <c r="R536" s="0" t="n">
        <v>0</v>
      </c>
      <c r="S536" s="0" t="n">
        <v>0</v>
      </c>
      <c r="T536" s="0" t="s">
        <v>624</v>
      </c>
      <c r="U536" s="0" t="s">
        <v>150</v>
      </c>
      <c r="V536" s="0" t="s">
        <v>624</v>
      </c>
      <c r="W536" s="0" t="s">
        <v>569</v>
      </c>
      <c r="X536" s="0" t="s">
        <v>624</v>
      </c>
      <c r="Y536" s="0" t="s">
        <v>627</v>
      </c>
      <c r="Z536" s="0" t="s">
        <v>629</v>
      </c>
      <c r="AA536" s="0" t="s">
        <v>624</v>
      </c>
      <c r="AB536" s="0" t="s">
        <v>132</v>
      </c>
      <c r="AC536" s="254" t="n">
        <v>-310000</v>
      </c>
      <c r="AD536" s="254" t="n">
        <v>-4214.96151785967</v>
      </c>
      <c r="AE536" s="0" t="n">
        <v>0</v>
      </c>
      <c r="AF536" s="0" t="n">
        <v>0</v>
      </c>
      <c r="AG536" s="0" t="n">
        <v>0</v>
      </c>
      <c r="AH536" s="254" t="n">
        <v>-212.182027417335</v>
      </c>
      <c r="AI536" s="0" t="n">
        <v>226</v>
      </c>
      <c r="AJ536" s="0" t="s">
        <v>630</v>
      </c>
      <c r="AK536" s="0" t="n">
        <v>0</v>
      </c>
      <c r="AL536" s="0" t="n">
        <v>0</v>
      </c>
      <c r="AM536" s="0" t="n">
        <v>0</v>
      </c>
    </row>
    <row r="537" customFormat="false" ht="12.75" hidden="false" customHeight="false" outlineLevel="0" collapsed="false">
      <c r="A537" s="0" t="s">
        <v>621</v>
      </c>
      <c r="B537" s="0" t="s">
        <v>380</v>
      </c>
      <c r="C537" s="0" t="s">
        <v>622</v>
      </c>
      <c r="D537" s="0" t="s">
        <v>623</v>
      </c>
      <c r="E537" s="0" t="s">
        <v>131</v>
      </c>
      <c r="F537" s="0" t="s">
        <v>345</v>
      </c>
      <c r="G537" s="0" t="s">
        <v>628</v>
      </c>
      <c r="H537" s="0" t="s">
        <v>625</v>
      </c>
      <c r="I537" s="0" t="s">
        <v>626</v>
      </c>
      <c r="J537" s="0" t="s">
        <v>627</v>
      </c>
      <c r="K537" s="475" t="n">
        <v>36831</v>
      </c>
      <c r="L537" s="254" t="n">
        <v>-8370.24184368164</v>
      </c>
      <c r="M537" s="475" t="n">
        <v>36829</v>
      </c>
      <c r="N537" s="0" t="s">
        <v>136</v>
      </c>
      <c r="O537" s="0" t="n">
        <v>0.4</v>
      </c>
      <c r="P537" s="0" t="n">
        <v>0</v>
      </c>
      <c r="Q537" s="0" t="n">
        <v>0</v>
      </c>
      <c r="R537" s="0" t="n">
        <v>0</v>
      </c>
      <c r="S537" s="0" t="n">
        <v>0</v>
      </c>
      <c r="T537" s="0" t="s">
        <v>624</v>
      </c>
      <c r="U537" s="0" t="s">
        <v>150</v>
      </c>
      <c r="V537" s="0" t="s">
        <v>624</v>
      </c>
      <c r="W537" s="0" t="s">
        <v>569</v>
      </c>
      <c r="X537" s="0" t="s">
        <v>624</v>
      </c>
      <c r="Y537" s="0" t="s">
        <v>627</v>
      </c>
      <c r="Z537" s="0" t="s">
        <v>629</v>
      </c>
      <c r="AA537" s="0" t="s">
        <v>624</v>
      </c>
      <c r="AB537" s="0" t="s">
        <v>132</v>
      </c>
      <c r="AC537" s="254" t="n">
        <v>-300000</v>
      </c>
      <c r="AD537" s="254" t="n">
        <v>-2899.15065424831</v>
      </c>
      <c r="AE537" s="0" t="n">
        <v>0</v>
      </c>
      <c r="AF537" s="0" t="n">
        <v>0</v>
      </c>
      <c r="AG537" s="0" t="n">
        <v>0</v>
      </c>
      <c r="AH537" s="254" t="n">
        <v>-156.516349134052</v>
      </c>
      <c r="AI537" s="0" t="n">
        <v>226</v>
      </c>
      <c r="AJ537" s="0" t="s">
        <v>630</v>
      </c>
      <c r="AK537" s="0" t="n">
        <v>0</v>
      </c>
      <c r="AL537" s="0" t="n">
        <v>0</v>
      </c>
      <c r="AM537" s="0" t="n">
        <v>0</v>
      </c>
    </row>
    <row r="538" customFormat="false" ht="12.75" hidden="false" customHeight="false" outlineLevel="0" collapsed="false">
      <c r="A538" s="0" t="s">
        <v>621</v>
      </c>
      <c r="B538" s="0" t="s">
        <v>381</v>
      </c>
      <c r="C538" s="0" t="s">
        <v>622</v>
      </c>
      <c r="D538" s="0" t="s">
        <v>623</v>
      </c>
      <c r="E538" s="0" t="s">
        <v>131</v>
      </c>
      <c r="F538" s="0" t="s">
        <v>345</v>
      </c>
      <c r="G538" s="0" t="s">
        <v>628</v>
      </c>
      <c r="H538" s="0" t="s">
        <v>625</v>
      </c>
      <c r="I538" s="0" t="s">
        <v>626</v>
      </c>
      <c r="J538" s="0" t="s">
        <v>627</v>
      </c>
      <c r="K538" s="475" t="n">
        <v>36951</v>
      </c>
      <c r="L538" s="254" t="n">
        <v>-12634.5038399579</v>
      </c>
      <c r="M538" s="475" t="n">
        <v>36949</v>
      </c>
      <c r="N538" s="0" t="s">
        <v>136</v>
      </c>
      <c r="O538" s="0" t="n">
        <v>0.5</v>
      </c>
      <c r="P538" s="0" t="n">
        <v>0</v>
      </c>
      <c r="Q538" s="0" t="n">
        <v>0</v>
      </c>
      <c r="R538" s="0" t="n">
        <v>0</v>
      </c>
      <c r="S538" s="0" t="n">
        <v>0</v>
      </c>
      <c r="T538" s="0" t="s">
        <v>624</v>
      </c>
      <c r="U538" s="0" t="s">
        <v>157</v>
      </c>
      <c r="V538" s="0" t="s">
        <v>624</v>
      </c>
      <c r="W538" s="0" t="s">
        <v>569</v>
      </c>
      <c r="X538" s="0" t="s">
        <v>624</v>
      </c>
      <c r="Y538" s="0" t="s">
        <v>627</v>
      </c>
      <c r="Z538" s="0" t="s">
        <v>629</v>
      </c>
      <c r="AA538" s="0" t="s">
        <v>624</v>
      </c>
      <c r="AB538" s="0" t="s">
        <v>132</v>
      </c>
      <c r="AC538" s="254" t="n">
        <v>-310000</v>
      </c>
      <c r="AD538" s="254" t="n">
        <v>-2890.01073204016</v>
      </c>
      <c r="AE538" s="0" t="n">
        <v>0</v>
      </c>
      <c r="AF538" s="0" t="n">
        <v>0</v>
      </c>
      <c r="AG538" s="0" t="n">
        <v>0</v>
      </c>
      <c r="AH538" s="254" t="n">
        <v>-146.637786157946</v>
      </c>
      <c r="AI538" s="0" t="n">
        <v>226</v>
      </c>
      <c r="AJ538" s="0" t="s">
        <v>630</v>
      </c>
      <c r="AK538" s="0" t="n">
        <v>0</v>
      </c>
      <c r="AL538" s="0" t="n">
        <v>0</v>
      </c>
      <c r="AM538" s="0" t="n">
        <v>0</v>
      </c>
    </row>
    <row r="539" customFormat="false" ht="12.75" hidden="false" customHeight="false" outlineLevel="0" collapsed="false">
      <c r="A539" s="0" t="s">
        <v>621</v>
      </c>
      <c r="B539" s="0" t="s">
        <v>381</v>
      </c>
      <c r="C539" s="0" t="s">
        <v>622</v>
      </c>
      <c r="D539" s="0" t="s">
        <v>623</v>
      </c>
      <c r="E539" s="0" t="s">
        <v>131</v>
      </c>
      <c r="F539" s="0" t="s">
        <v>345</v>
      </c>
      <c r="G539" s="0" t="s">
        <v>628</v>
      </c>
      <c r="H539" s="0" t="s">
        <v>625</v>
      </c>
      <c r="I539" s="0" t="s">
        <v>626</v>
      </c>
      <c r="J539" s="0" t="s">
        <v>627</v>
      </c>
      <c r="K539" s="475" t="n">
        <v>36923</v>
      </c>
      <c r="L539" s="254" t="n">
        <v>-18113.2612719615</v>
      </c>
      <c r="M539" s="475" t="n">
        <v>36921</v>
      </c>
      <c r="N539" s="0" t="s">
        <v>136</v>
      </c>
      <c r="O539" s="0" t="n">
        <v>0.5</v>
      </c>
      <c r="P539" s="0" t="n">
        <v>0</v>
      </c>
      <c r="Q539" s="0" t="n">
        <v>0</v>
      </c>
      <c r="R539" s="0" t="n">
        <v>0</v>
      </c>
      <c r="S539" s="0" t="n">
        <v>0</v>
      </c>
      <c r="T539" s="0" t="s">
        <v>624</v>
      </c>
      <c r="U539" s="0" t="s">
        <v>157</v>
      </c>
      <c r="V539" s="0" t="s">
        <v>624</v>
      </c>
      <c r="W539" s="0" t="s">
        <v>569</v>
      </c>
      <c r="X539" s="0" t="s">
        <v>624</v>
      </c>
      <c r="Y539" s="0" t="s">
        <v>627</v>
      </c>
      <c r="Z539" s="0" t="s">
        <v>629</v>
      </c>
      <c r="AA539" s="0" t="s">
        <v>624</v>
      </c>
      <c r="AB539" s="0" t="s">
        <v>132</v>
      </c>
      <c r="AC539" s="254" t="n">
        <v>-280000</v>
      </c>
      <c r="AD539" s="254" t="n">
        <v>-2967.11346073274</v>
      </c>
      <c r="AE539" s="0" t="n">
        <v>0</v>
      </c>
      <c r="AF539" s="0" t="n">
        <v>0</v>
      </c>
      <c r="AG539" s="0" t="n">
        <v>0</v>
      </c>
      <c r="AH539" s="254" t="n">
        <v>-142.217174791396</v>
      </c>
      <c r="AI539" s="0" t="n">
        <v>226</v>
      </c>
      <c r="AJ539" s="0" t="s">
        <v>630</v>
      </c>
      <c r="AK539" s="0" t="n">
        <v>0</v>
      </c>
      <c r="AL539" s="0" t="n">
        <v>0</v>
      </c>
      <c r="AM539" s="0" t="n">
        <v>0</v>
      </c>
    </row>
    <row r="540" customFormat="false" ht="12.75" hidden="false" customHeight="false" outlineLevel="0" collapsed="false">
      <c r="A540" s="0" t="s">
        <v>621</v>
      </c>
      <c r="B540" s="0" t="s">
        <v>381</v>
      </c>
      <c r="C540" s="0" t="s">
        <v>622</v>
      </c>
      <c r="D540" s="0" t="s">
        <v>623</v>
      </c>
      <c r="E540" s="0" t="s">
        <v>131</v>
      </c>
      <c r="F540" s="0" t="s">
        <v>345</v>
      </c>
      <c r="G540" s="0" t="s">
        <v>628</v>
      </c>
      <c r="H540" s="0" t="s">
        <v>625</v>
      </c>
      <c r="I540" s="0" t="s">
        <v>626</v>
      </c>
      <c r="J540" s="0" t="s">
        <v>627</v>
      </c>
      <c r="K540" s="475" t="n">
        <v>36892</v>
      </c>
      <c r="L540" s="254" t="n">
        <v>-23161.3815593213</v>
      </c>
      <c r="M540" s="475" t="n">
        <v>36888</v>
      </c>
      <c r="N540" s="0" t="s">
        <v>136</v>
      </c>
      <c r="O540" s="0" t="n">
        <v>0.5</v>
      </c>
      <c r="P540" s="0" t="n">
        <v>0</v>
      </c>
      <c r="Q540" s="0" t="n">
        <v>0</v>
      </c>
      <c r="R540" s="0" t="n">
        <v>0</v>
      </c>
      <c r="S540" s="0" t="n">
        <v>0</v>
      </c>
      <c r="T540" s="0" t="s">
        <v>624</v>
      </c>
      <c r="U540" s="0" t="s">
        <v>157</v>
      </c>
      <c r="V540" s="0" t="s">
        <v>624</v>
      </c>
      <c r="W540" s="0" t="s">
        <v>569</v>
      </c>
      <c r="X540" s="0" t="s">
        <v>624</v>
      </c>
      <c r="Y540" s="0" t="s">
        <v>627</v>
      </c>
      <c r="Z540" s="0" t="s">
        <v>629</v>
      </c>
      <c r="AA540" s="0" t="s">
        <v>624</v>
      </c>
      <c r="AB540" s="0" t="s">
        <v>132</v>
      </c>
      <c r="AC540" s="254" t="n">
        <v>-310000</v>
      </c>
      <c r="AD540" s="254" t="n">
        <v>-3073.39682722237</v>
      </c>
      <c r="AE540" s="0" t="n">
        <v>0</v>
      </c>
      <c r="AF540" s="0" t="n">
        <v>0</v>
      </c>
      <c r="AG540" s="0" t="n">
        <v>0</v>
      </c>
      <c r="AH540" s="254" t="n">
        <v>-147.735659438706</v>
      </c>
      <c r="AI540" s="0" t="n">
        <v>226</v>
      </c>
      <c r="AJ540" s="0" t="s">
        <v>630</v>
      </c>
      <c r="AK540" s="0" t="n">
        <v>0</v>
      </c>
      <c r="AL540" s="0" t="n">
        <v>0</v>
      </c>
      <c r="AM540" s="0" t="n">
        <v>0</v>
      </c>
    </row>
    <row r="541" customFormat="false" ht="12.75" hidden="false" customHeight="false" outlineLevel="0" collapsed="false">
      <c r="A541" s="0" t="s">
        <v>621</v>
      </c>
      <c r="B541" s="0" t="s">
        <v>381</v>
      </c>
      <c r="C541" s="0" t="s">
        <v>622</v>
      </c>
      <c r="D541" s="0" t="s">
        <v>623</v>
      </c>
      <c r="E541" s="0" t="s">
        <v>131</v>
      </c>
      <c r="F541" s="0" t="s">
        <v>345</v>
      </c>
      <c r="G541" s="0" t="s">
        <v>628</v>
      </c>
      <c r="H541" s="0" t="s">
        <v>625</v>
      </c>
      <c r="I541" s="0" t="s">
        <v>626</v>
      </c>
      <c r="J541" s="0" t="s">
        <v>627</v>
      </c>
      <c r="K541" s="475" t="n">
        <v>36861</v>
      </c>
      <c r="L541" s="254" t="n">
        <v>-10638.9132987049</v>
      </c>
      <c r="M541" s="475" t="n">
        <v>36859</v>
      </c>
      <c r="N541" s="0" t="s">
        <v>136</v>
      </c>
      <c r="O541" s="0" t="n">
        <v>0.5</v>
      </c>
      <c r="P541" s="0" t="n">
        <v>0</v>
      </c>
      <c r="Q541" s="0" t="n">
        <v>0</v>
      </c>
      <c r="R541" s="0" t="n">
        <v>0</v>
      </c>
      <c r="S541" s="0" t="n">
        <v>0</v>
      </c>
      <c r="T541" s="0" t="s">
        <v>624</v>
      </c>
      <c r="U541" s="0" t="s">
        <v>157</v>
      </c>
      <c r="V541" s="0" t="s">
        <v>624</v>
      </c>
      <c r="W541" s="0" t="s">
        <v>569</v>
      </c>
      <c r="X541" s="0" t="s">
        <v>624</v>
      </c>
      <c r="Y541" s="0" t="s">
        <v>627</v>
      </c>
      <c r="Z541" s="0" t="s">
        <v>629</v>
      </c>
      <c r="AA541" s="0" t="s">
        <v>624</v>
      </c>
      <c r="AB541" s="0" t="s">
        <v>132</v>
      </c>
      <c r="AC541" s="254" t="n">
        <v>-310000</v>
      </c>
      <c r="AD541" s="254" t="n">
        <v>-2381.36088832445</v>
      </c>
      <c r="AE541" s="0" t="n">
        <v>0</v>
      </c>
      <c r="AF541" s="0" t="n">
        <v>0</v>
      </c>
      <c r="AG541" s="0" t="n">
        <v>0</v>
      </c>
      <c r="AH541" s="254" t="n">
        <v>-119.926058239385</v>
      </c>
      <c r="AI541" s="0" t="n">
        <v>226</v>
      </c>
      <c r="AJ541" s="0" t="s">
        <v>630</v>
      </c>
      <c r="AK541" s="0" t="n">
        <v>0</v>
      </c>
      <c r="AL541" s="0" t="n">
        <v>0</v>
      </c>
      <c r="AM541" s="0" t="n">
        <v>0</v>
      </c>
    </row>
    <row r="542" customFormat="false" ht="12.75" hidden="false" customHeight="false" outlineLevel="0" collapsed="false">
      <c r="A542" s="0" t="s">
        <v>621</v>
      </c>
      <c r="B542" s="0" t="s">
        <v>381</v>
      </c>
      <c r="C542" s="0" t="s">
        <v>622</v>
      </c>
      <c r="D542" s="0" t="s">
        <v>623</v>
      </c>
      <c r="E542" s="0" t="s">
        <v>131</v>
      </c>
      <c r="F542" s="0" t="s">
        <v>345</v>
      </c>
      <c r="G542" s="0" t="s">
        <v>628</v>
      </c>
      <c r="H542" s="0" t="s">
        <v>625</v>
      </c>
      <c r="I542" s="0" t="s">
        <v>626</v>
      </c>
      <c r="J542" s="0" t="s">
        <v>627</v>
      </c>
      <c r="K542" s="475" t="n">
        <v>36831</v>
      </c>
      <c r="L542" s="254" t="n">
        <v>-3528.88782919034</v>
      </c>
      <c r="M542" s="475" t="n">
        <v>36829</v>
      </c>
      <c r="N542" s="0" t="s">
        <v>136</v>
      </c>
      <c r="O542" s="0" t="n">
        <v>0.5</v>
      </c>
      <c r="P542" s="0" t="n">
        <v>0</v>
      </c>
      <c r="Q542" s="0" t="n">
        <v>0</v>
      </c>
      <c r="R542" s="0" t="n">
        <v>0</v>
      </c>
      <c r="S542" s="0" t="n">
        <v>0</v>
      </c>
      <c r="T542" s="0" t="s">
        <v>624</v>
      </c>
      <c r="U542" s="0" t="s">
        <v>157</v>
      </c>
      <c r="V542" s="0" t="s">
        <v>624</v>
      </c>
      <c r="W542" s="0" t="s">
        <v>569</v>
      </c>
      <c r="X542" s="0" t="s">
        <v>624</v>
      </c>
      <c r="Y542" s="0" t="s">
        <v>627</v>
      </c>
      <c r="Z542" s="0" t="s">
        <v>629</v>
      </c>
      <c r="AA542" s="0" t="s">
        <v>624</v>
      </c>
      <c r="AB542" s="0" t="s">
        <v>132</v>
      </c>
      <c r="AC542" s="254" t="n">
        <v>-300000</v>
      </c>
      <c r="AD542" s="254" t="n">
        <v>-1297.69780685884</v>
      </c>
      <c r="AE542" s="0" t="n">
        <v>0</v>
      </c>
      <c r="AF542" s="0" t="n">
        <v>0</v>
      </c>
      <c r="AG542" s="0" t="n">
        <v>0</v>
      </c>
      <c r="AH542" s="254" t="n">
        <v>-70.6189368836508</v>
      </c>
      <c r="AI542" s="0" t="n">
        <v>226</v>
      </c>
      <c r="AJ542" s="0" t="s">
        <v>630</v>
      </c>
      <c r="AK542" s="0" t="n">
        <v>0</v>
      </c>
      <c r="AL542" s="0" t="n">
        <v>0</v>
      </c>
      <c r="AM542" s="0" t="n">
        <v>0</v>
      </c>
    </row>
    <row r="543" customFormat="false" ht="12.75" hidden="false" customHeight="false" outlineLevel="0" collapsed="false">
      <c r="A543" s="0" t="s">
        <v>621</v>
      </c>
      <c r="B543" s="0" t="s">
        <v>382</v>
      </c>
      <c r="C543" s="0" t="s">
        <v>622</v>
      </c>
      <c r="D543" s="0" t="s">
        <v>623</v>
      </c>
      <c r="E543" s="0" t="s">
        <v>131</v>
      </c>
      <c r="F543" s="0" t="s">
        <v>196</v>
      </c>
      <c r="G543" s="0" t="s">
        <v>628</v>
      </c>
      <c r="H543" s="0" t="s">
        <v>625</v>
      </c>
      <c r="I543" s="0" t="s">
        <v>626</v>
      </c>
      <c r="J543" s="0" t="s">
        <v>627</v>
      </c>
      <c r="K543" s="475" t="n">
        <v>36951</v>
      </c>
      <c r="L543" s="254" t="n">
        <v>-8705.27045805479</v>
      </c>
      <c r="M543" s="475" t="n">
        <v>36949</v>
      </c>
      <c r="N543" s="0" t="s">
        <v>132</v>
      </c>
      <c r="O543" s="0" t="n">
        <v>-0.25</v>
      </c>
      <c r="P543" s="0" t="n">
        <v>0</v>
      </c>
      <c r="Q543" s="0" t="n">
        <v>0</v>
      </c>
      <c r="R543" s="0" t="n">
        <v>0</v>
      </c>
      <c r="S543" s="0" t="n">
        <v>0</v>
      </c>
      <c r="T543" s="0" t="s">
        <v>624</v>
      </c>
      <c r="U543" s="0" t="s">
        <v>68</v>
      </c>
      <c r="V543" s="0" t="s">
        <v>624</v>
      </c>
      <c r="W543" s="0" t="s">
        <v>569</v>
      </c>
      <c r="X543" s="0" t="s">
        <v>624</v>
      </c>
      <c r="Y543" s="0" t="s">
        <v>627</v>
      </c>
      <c r="Z543" s="0" t="s">
        <v>629</v>
      </c>
      <c r="AA543" s="0" t="s">
        <v>624</v>
      </c>
      <c r="AB543" s="0" t="s">
        <v>132</v>
      </c>
      <c r="AC543" s="254" t="n">
        <v>-310000</v>
      </c>
      <c r="AD543" s="254" t="n">
        <v>-3310.40142213249</v>
      </c>
      <c r="AE543" s="0" t="n">
        <v>0</v>
      </c>
      <c r="AF543" s="0" t="n">
        <v>0</v>
      </c>
      <c r="AG543" s="0" t="n">
        <v>0</v>
      </c>
      <c r="AH543" s="254" t="n">
        <v>-364.484387002714</v>
      </c>
      <c r="AI543" s="0" t="n">
        <v>226</v>
      </c>
      <c r="AJ543" s="0" t="s">
        <v>630</v>
      </c>
      <c r="AK543" s="0" t="n">
        <v>0</v>
      </c>
      <c r="AL543" s="0" t="n">
        <v>0</v>
      </c>
      <c r="AM543" s="0" t="n">
        <v>0</v>
      </c>
    </row>
    <row r="544" customFormat="false" ht="12.75" hidden="false" customHeight="false" outlineLevel="0" collapsed="false">
      <c r="A544" s="0" t="s">
        <v>621</v>
      </c>
      <c r="B544" s="0" t="s">
        <v>382</v>
      </c>
      <c r="C544" s="0" t="s">
        <v>622</v>
      </c>
      <c r="D544" s="0" t="s">
        <v>623</v>
      </c>
      <c r="E544" s="0" t="s">
        <v>131</v>
      </c>
      <c r="F544" s="0" t="s">
        <v>196</v>
      </c>
      <c r="G544" s="0" t="s">
        <v>628</v>
      </c>
      <c r="H544" s="0" t="s">
        <v>625</v>
      </c>
      <c r="I544" s="0" t="s">
        <v>626</v>
      </c>
      <c r="J544" s="0" t="s">
        <v>627</v>
      </c>
      <c r="K544" s="475" t="n">
        <v>36923</v>
      </c>
      <c r="L544" s="254" t="n">
        <v>-9727.85188816433</v>
      </c>
      <c r="M544" s="475" t="n">
        <v>36921</v>
      </c>
      <c r="N544" s="0" t="s">
        <v>132</v>
      </c>
      <c r="O544" s="0" t="n">
        <v>-0.25</v>
      </c>
      <c r="P544" s="0" t="n">
        <v>0</v>
      </c>
      <c r="Q544" s="0" t="n">
        <v>0</v>
      </c>
      <c r="R544" s="0" t="n">
        <v>0</v>
      </c>
      <c r="S544" s="0" t="n">
        <v>0</v>
      </c>
      <c r="T544" s="0" t="s">
        <v>624</v>
      </c>
      <c r="U544" s="0" t="s">
        <v>68</v>
      </c>
      <c r="V544" s="0" t="s">
        <v>624</v>
      </c>
      <c r="W544" s="0" t="s">
        <v>569</v>
      </c>
      <c r="X544" s="0" t="s">
        <v>624</v>
      </c>
      <c r="Y544" s="0" t="s">
        <v>627</v>
      </c>
      <c r="Z544" s="0" t="s">
        <v>629</v>
      </c>
      <c r="AA544" s="0" t="s">
        <v>624</v>
      </c>
      <c r="AB544" s="0" t="s">
        <v>132</v>
      </c>
      <c r="AC544" s="254" t="n">
        <v>-280000</v>
      </c>
      <c r="AD544" s="254" t="n">
        <v>-3254.19914186629</v>
      </c>
      <c r="AE544" s="0" t="n">
        <v>0</v>
      </c>
      <c r="AF544" s="0" t="n">
        <v>0</v>
      </c>
      <c r="AG544" s="0" t="n">
        <v>0</v>
      </c>
      <c r="AH544" s="254" t="n">
        <v>-353.594774659856</v>
      </c>
      <c r="AI544" s="0" t="n">
        <v>226</v>
      </c>
      <c r="AJ544" s="0" t="s">
        <v>630</v>
      </c>
      <c r="AK544" s="0" t="n">
        <v>0</v>
      </c>
      <c r="AL544" s="0" t="n">
        <v>0</v>
      </c>
      <c r="AM544" s="0" t="n">
        <v>0</v>
      </c>
    </row>
    <row r="545" customFormat="false" ht="12.75" hidden="false" customHeight="false" outlineLevel="0" collapsed="false">
      <c r="A545" s="0" t="s">
        <v>621</v>
      </c>
      <c r="B545" s="0" t="s">
        <v>382</v>
      </c>
      <c r="C545" s="0" t="s">
        <v>622</v>
      </c>
      <c r="D545" s="0" t="s">
        <v>623</v>
      </c>
      <c r="E545" s="0" t="s">
        <v>131</v>
      </c>
      <c r="F545" s="0" t="s">
        <v>196</v>
      </c>
      <c r="G545" s="0" t="s">
        <v>628</v>
      </c>
      <c r="H545" s="0" t="s">
        <v>625</v>
      </c>
      <c r="I545" s="0" t="s">
        <v>626</v>
      </c>
      <c r="J545" s="0" t="s">
        <v>627</v>
      </c>
      <c r="K545" s="475" t="n">
        <v>36892</v>
      </c>
      <c r="L545" s="254" t="n">
        <v>-11214.326493788</v>
      </c>
      <c r="M545" s="475" t="n">
        <v>36888</v>
      </c>
      <c r="N545" s="0" t="s">
        <v>132</v>
      </c>
      <c r="O545" s="0" t="n">
        <v>-0.25</v>
      </c>
      <c r="P545" s="0" t="n">
        <v>0</v>
      </c>
      <c r="Q545" s="0" t="n">
        <v>0</v>
      </c>
      <c r="R545" s="0" t="n">
        <v>0</v>
      </c>
      <c r="S545" s="0" t="n">
        <v>0</v>
      </c>
      <c r="T545" s="0" t="s">
        <v>624</v>
      </c>
      <c r="U545" s="0" t="s">
        <v>68</v>
      </c>
      <c r="V545" s="0" t="s">
        <v>624</v>
      </c>
      <c r="W545" s="0" t="s">
        <v>569</v>
      </c>
      <c r="X545" s="0" t="s">
        <v>624</v>
      </c>
      <c r="Y545" s="0" t="s">
        <v>627</v>
      </c>
      <c r="Z545" s="0" t="s">
        <v>629</v>
      </c>
      <c r="AA545" s="0" t="s">
        <v>624</v>
      </c>
      <c r="AB545" s="0" t="s">
        <v>132</v>
      </c>
      <c r="AC545" s="254" t="n">
        <v>-310000</v>
      </c>
      <c r="AD545" s="254" t="n">
        <v>-3392.44747362826</v>
      </c>
      <c r="AE545" s="0" t="n">
        <v>0</v>
      </c>
      <c r="AF545" s="0" t="n">
        <v>0</v>
      </c>
      <c r="AG545" s="0" t="n">
        <v>0</v>
      </c>
      <c r="AH545" s="254" t="n">
        <v>-397.497463432332</v>
      </c>
      <c r="AI545" s="0" t="n">
        <v>226</v>
      </c>
      <c r="AJ545" s="0" t="s">
        <v>630</v>
      </c>
      <c r="AK545" s="0" t="n">
        <v>0</v>
      </c>
      <c r="AL545" s="0" t="n">
        <v>0</v>
      </c>
      <c r="AM545" s="0" t="n">
        <v>0</v>
      </c>
    </row>
    <row r="546" customFormat="false" ht="12.75" hidden="false" customHeight="false" outlineLevel="0" collapsed="false">
      <c r="A546" s="0" t="s">
        <v>621</v>
      </c>
      <c r="B546" s="0" t="s">
        <v>382</v>
      </c>
      <c r="C546" s="0" t="s">
        <v>622</v>
      </c>
      <c r="D546" s="0" t="s">
        <v>623</v>
      </c>
      <c r="E546" s="0" t="s">
        <v>131</v>
      </c>
      <c r="F546" s="0" t="s">
        <v>196</v>
      </c>
      <c r="G546" s="0" t="s">
        <v>628</v>
      </c>
      <c r="H546" s="0" t="s">
        <v>625</v>
      </c>
      <c r="I546" s="0" t="s">
        <v>626</v>
      </c>
      <c r="J546" s="0" t="s">
        <v>627</v>
      </c>
      <c r="K546" s="475" t="n">
        <v>36861</v>
      </c>
      <c r="L546" s="254" t="n">
        <v>-8171.7303468648</v>
      </c>
      <c r="M546" s="475" t="n">
        <v>36859</v>
      </c>
      <c r="N546" s="0" t="s">
        <v>132</v>
      </c>
      <c r="O546" s="0" t="n">
        <v>-0.25</v>
      </c>
      <c r="P546" s="0" t="n">
        <v>0</v>
      </c>
      <c r="Q546" s="0" t="n">
        <v>0</v>
      </c>
      <c r="R546" s="0" t="n">
        <v>0</v>
      </c>
      <c r="S546" s="0" t="n">
        <v>0</v>
      </c>
      <c r="T546" s="0" t="s">
        <v>624</v>
      </c>
      <c r="U546" s="0" t="s">
        <v>68</v>
      </c>
      <c r="V546" s="0" t="s">
        <v>624</v>
      </c>
      <c r="W546" s="0" t="s">
        <v>569</v>
      </c>
      <c r="X546" s="0" t="s">
        <v>624</v>
      </c>
      <c r="Y546" s="0" t="s">
        <v>627</v>
      </c>
      <c r="Z546" s="0" t="s">
        <v>629</v>
      </c>
      <c r="AA546" s="0" t="s">
        <v>624</v>
      </c>
      <c r="AB546" s="0" t="s">
        <v>132</v>
      </c>
      <c r="AC546" s="254" t="n">
        <v>-310000</v>
      </c>
      <c r="AD546" s="254" t="n">
        <v>-2777.55096061148</v>
      </c>
      <c r="AE546" s="0" t="n">
        <v>0</v>
      </c>
      <c r="AF546" s="0" t="n">
        <v>0</v>
      </c>
      <c r="AG546" s="0" t="n">
        <v>0</v>
      </c>
      <c r="AH546" s="254" t="n">
        <v>-344.862958346482</v>
      </c>
      <c r="AI546" s="0" t="n">
        <v>226</v>
      </c>
      <c r="AJ546" s="0" t="s">
        <v>630</v>
      </c>
      <c r="AK546" s="0" t="n">
        <v>0</v>
      </c>
      <c r="AL546" s="0" t="n">
        <v>0</v>
      </c>
      <c r="AM546" s="0" t="n">
        <v>0</v>
      </c>
    </row>
    <row r="547" customFormat="false" ht="12.75" hidden="false" customHeight="false" outlineLevel="0" collapsed="false">
      <c r="A547" s="0" t="s">
        <v>621</v>
      </c>
      <c r="B547" s="0" t="s">
        <v>382</v>
      </c>
      <c r="C547" s="0" t="s">
        <v>622</v>
      </c>
      <c r="D547" s="0" t="s">
        <v>623</v>
      </c>
      <c r="E547" s="0" t="s">
        <v>131</v>
      </c>
      <c r="F547" s="0" t="s">
        <v>196</v>
      </c>
      <c r="G547" s="0" t="s">
        <v>628</v>
      </c>
      <c r="H547" s="0" t="s">
        <v>625</v>
      </c>
      <c r="I547" s="0" t="s">
        <v>626</v>
      </c>
      <c r="J547" s="0" t="s">
        <v>627</v>
      </c>
      <c r="K547" s="475" t="n">
        <v>36831</v>
      </c>
      <c r="L547" s="254" t="n">
        <v>-4389.75670312711</v>
      </c>
      <c r="M547" s="475" t="n">
        <v>36829</v>
      </c>
      <c r="N547" s="0" t="s">
        <v>132</v>
      </c>
      <c r="O547" s="0" t="n">
        <v>-0.25</v>
      </c>
      <c r="P547" s="0" t="n">
        <v>0</v>
      </c>
      <c r="Q547" s="0" t="n">
        <v>0</v>
      </c>
      <c r="R547" s="0" t="n">
        <v>0</v>
      </c>
      <c r="S547" s="0" t="n">
        <v>0</v>
      </c>
      <c r="T547" s="0" t="s">
        <v>624</v>
      </c>
      <c r="U547" s="0" t="s">
        <v>68</v>
      </c>
      <c r="V547" s="0" t="s">
        <v>624</v>
      </c>
      <c r="W547" s="0" t="s">
        <v>569</v>
      </c>
      <c r="X547" s="0" t="s">
        <v>624</v>
      </c>
      <c r="Y547" s="0" t="s">
        <v>627</v>
      </c>
      <c r="Z547" s="0" t="s">
        <v>629</v>
      </c>
      <c r="AA547" s="0" t="s">
        <v>624</v>
      </c>
      <c r="AB547" s="0" t="s">
        <v>132</v>
      </c>
      <c r="AC547" s="254" t="n">
        <v>-300000</v>
      </c>
      <c r="AD547" s="254" t="n">
        <v>-1880.57865497543</v>
      </c>
      <c r="AE547" s="0" t="n">
        <v>0</v>
      </c>
      <c r="AF547" s="0" t="n">
        <v>0</v>
      </c>
      <c r="AG547" s="0" t="n">
        <v>0</v>
      </c>
      <c r="AH547" s="254" t="n">
        <v>-251.496101760668</v>
      </c>
      <c r="AI547" s="0" t="n">
        <v>226</v>
      </c>
      <c r="AJ547" s="0" t="s">
        <v>630</v>
      </c>
      <c r="AK547" s="0" t="n">
        <v>0</v>
      </c>
      <c r="AL547" s="0" t="n">
        <v>0</v>
      </c>
      <c r="AM547" s="0" t="n">
        <v>0</v>
      </c>
    </row>
    <row r="548" customFormat="false" ht="12.75" hidden="false" customHeight="false" outlineLevel="0" collapsed="false">
      <c r="A548" s="0" t="s">
        <v>621</v>
      </c>
      <c r="B548" s="0" t="s">
        <v>383</v>
      </c>
      <c r="C548" s="0" t="s">
        <v>622</v>
      </c>
      <c r="D548" s="0" t="s">
        <v>623</v>
      </c>
      <c r="E548" s="0" t="s">
        <v>131</v>
      </c>
      <c r="F548" s="0" t="s">
        <v>210</v>
      </c>
      <c r="G548" s="0" t="s">
        <v>628</v>
      </c>
      <c r="H548" s="0" t="s">
        <v>625</v>
      </c>
      <c r="I548" s="0" t="s">
        <v>626</v>
      </c>
      <c r="J548" s="0" t="s">
        <v>627</v>
      </c>
      <c r="K548" s="475" t="n">
        <v>37681</v>
      </c>
      <c r="L548" s="254" t="n">
        <v>18360.191871968</v>
      </c>
      <c r="M548" s="475" t="n">
        <v>37679</v>
      </c>
      <c r="N548" s="0" t="s">
        <v>136</v>
      </c>
      <c r="O548" s="0" t="n">
        <v>0.2</v>
      </c>
      <c r="P548" s="0" t="n">
        <v>0</v>
      </c>
      <c r="Q548" s="0" t="n">
        <v>0</v>
      </c>
      <c r="R548" s="0" t="n">
        <v>0</v>
      </c>
      <c r="S548" s="0" t="n">
        <v>0</v>
      </c>
      <c r="T548" s="0" t="s">
        <v>624</v>
      </c>
      <c r="U548" s="0" t="s">
        <v>632</v>
      </c>
      <c r="V548" s="0" t="s">
        <v>624</v>
      </c>
      <c r="W548" s="0" t="s">
        <v>569</v>
      </c>
      <c r="X548" s="0" t="s">
        <v>624</v>
      </c>
      <c r="Y548" s="0" t="s">
        <v>627</v>
      </c>
      <c r="Z548" s="0" t="s">
        <v>629</v>
      </c>
      <c r="AA548" s="0" t="s">
        <v>624</v>
      </c>
      <c r="AB548" s="0" t="s">
        <v>132</v>
      </c>
      <c r="AC548" s="254" t="n">
        <v>310000</v>
      </c>
      <c r="AD548" s="254" t="n">
        <v>7263.63187453506</v>
      </c>
      <c r="AE548" s="0" t="n">
        <v>0</v>
      </c>
      <c r="AF548" s="0" t="n">
        <v>0</v>
      </c>
      <c r="AG548" s="0" t="n">
        <v>0</v>
      </c>
      <c r="AH548" s="254" t="n">
        <v>261.874809901685</v>
      </c>
      <c r="AI548" s="0" t="n">
        <v>226</v>
      </c>
      <c r="AJ548" s="0" t="s">
        <v>630</v>
      </c>
      <c r="AK548" s="0" t="n">
        <v>0</v>
      </c>
      <c r="AL548" s="0" t="n">
        <v>0</v>
      </c>
      <c r="AM548" s="0" t="n">
        <v>0</v>
      </c>
    </row>
    <row r="549" customFormat="false" ht="12.75" hidden="false" customHeight="false" outlineLevel="0" collapsed="false">
      <c r="A549" s="0" t="s">
        <v>621</v>
      </c>
      <c r="B549" s="0" t="s">
        <v>383</v>
      </c>
      <c r="C549" s="0" t="s">
        <v>622</v>
      </c>
      <c r="D549" s="0" t="s">
        <v>623</v>
      </c>
      <c r="E549" s="0" t="s">
        <v>131</v>
      </c>
      <c r="F549" s="0" t="s">
        <v>210</v>
      </c>
      <c r="G549" s="0" t="s">
        <v>628</v>
      </c>
      <c r="H549" s="0" t="s">
        <v>625</v>
      </c>
      <c r="I549" s="0" t="s">
        <v>626</v>
      </c>
      <c r="J549" s="0" t="s">
        <v>627</v>
      </c>
      <c r="K549" s="475" t="n">
        <v>37653</v>
      </c>
      <c r="L549" s="254" t="n">
        <v>18558.2754104527</v>
      </c>
      <c r="M549" s="475" t="n">
        <v>37651</v>
      </c>
      <c r="N549" s="0" t="s">
        <v>136</v>
      </c>
      <c r="O549" s="0" t="n">
        <v>0.2</v>
      </c>
      <c r="P549" s="0" t="n">
        <v>0</v>
      </c>
      <c r="Q549" s="0" t="n">
        <v>0</v>
      </c>
      <c r="R549" s="0" t="n">
        <v>0</v>
      </c>
      <c r="S549" s="0" t="n">
        <v>0</v>
      </c>
      <c r="T549" s="0" t="s">
        <v>624</v>
      </c>
      <c r="U549" s="0" t="s">
        <v>632</v>
      </c>
      <c r="V549" s="0" t="s">
        <v>624</v>
      </c>
      <c r="W549" s="0" t="s">
        <v>569</v>
      </c>
      <c r="X549" s="0" t="s">
        <v>624</v>
      </c>
      <c r="Y549" s="0" t="s">
        <v>627</v>
      </c>
      <c r="Z549" s="0" t="s">
        <v>629</v>
      </c>
      <c r="AA549" s="0" t="s">
        <v>624</v>
      </c>
      <c r="AB549" s="0" t="s">
        <v>132</v>
      </c>
      <c r="AC549" s="254" t="n">
        <v>280000</v>
      </c>
      <c r="AD549" s="254" t="n">
        <v>6812.54211817957</v>
      </c>
      <c r="AE549" s="0" t="n">
        <v>0</v>
      </c>
      <c r="AF549" s="0" t="n">
        <v>0</v>
      </c>
      <c r="AG549" s="0" t="n">
        <v>0</v>
      </c>
      <c r="AH549" s="254" t="n">
        <v>238.825937893682</v>
      </c>
      <c r="AI549" s="0" t="n">
        <v>226</v>
      </c>
      <c r="AJ549" s="0" t="s">
        <v>630</v>
      </c>
      <c r="AK549" s="0" t="n">
        <v>0</v>
      </c>
      <c r="AL549" s="0" t="n">
        <v>0</v>
      </c>
      <c r="AM549" s="0" t="n">
        <v>0</v>
      </c>
    </row>
    <row r="550" customFormat="false" ht="12.75" hidden="false" customHeight="false" outlineLevel="0" collapsed="false">
      <c r="A550" s="0" t="s">
        <v>621</v>
      </c>
      <c r="B550" s="0" t="s">
        <v>383</v>
      </c>
      <c r="C550" s="0" t="s">
        <v>622</v>
      </c>
      <c r="D550" s="0" t="s">
        <v>623</v>
      </c>
      <c r="E550" s="0" t="s">
        <v>131</v>
      </c>
      <c r="F550" s="0" t="s">
        <v>210</v>
      </c>
      <c r="G550" s="0" t="s">
        <v>628</v>
      </c>
      <c r="H550" s="0" t="s">
        <v>625</v>
      </c>
      <c r="I550" s="0" t="s">
        <v>626</v>
      </c>
      <c r="J550" s="0" t="s">
        <v>627</v>
      </c>
      <c r="K550" s="475" t="n">
        <v>37622</v>
      </c>
      <c r="L550" s="254" t="n">
        <v>23745.8564715624</v>
      </c>
      <c r="M550" s="475" t="n">
        <v>37620</v>
      </c>
      <c r="N550" s="0" t="s">
        <v>136</v>
      </c>
      <c r="O550" s="0" t="n">
        <v>0.2</v>
      </c>
      <c r="P550" s="0" t="n">
        <v>0</v>
      </c>
      <c r="Q550" s="0" t="n">
        <v>0</v>
      </c>
      <c r="R550" s="0" t="n">
        <v>0</v>
      </c>
      <c r="S550" s="0" t="n">
        <v>0</v>
      </c>
      <c r="T550" s="0" t="s">
        <v>624</v>
      </c>
      <c r="U550" s="0" t="s">
        <v>632</v>
      </c>
      <c r="V550" s="0" t="s">
        <v>624</v>
      </c>
      <c r="W550" s="0" t="s">
        <v>569</v>
      </c>
      <c r="X550" s="0" t="s">
        <v>624</v>
      </c>
      <c r="Y550" s="0" t="s">
        <v>627</v>
      </c>
      <c r="Z550" s="0" t="s">
        <v>629</v>
      </c>
      <c r="AA550" s="0" t="s">
        <v>624</v>
      </c>
      <c r="AB550" s="0" t="s">
        <v>132</v>
      </c>
      <c r="AC550" s="254" t="n">
        <v>310000</v>
      </c>
      <c r="AD550" s="254" t="n">
        <v>7613.69627084851</v>
      </c>
      <c r="AE550" s="0" t="n">
        <v>0</v>
      </c>
      <c r="AF550" s="0" t="n">
        <v>0</v>
      </c>
      <c r="AG550" s="0" t="n">
        <v>0</v>
      </c>
      <c r="AH550" s="254" t="n">
        <v>266.954183744434</v>
      </c>
      <c r="AI550" s="0" t="n">
        <v>226</v>
      </c>
      <c r="AJ550" s="0" t="s">
        <v>630</v>
      </c>
      <c r="AK550" s="0" t="n">
        <v>0</v>
      </c>
      <c r="AL550" s="0" t="n">
        <v>0</v>
      </c>
      <c r="AM550" s="0" t="n">
        <v>0</v>
      </c>
    </row>
    <row r="551" customFormat="false" ht="12.75" hidden="false" customHeight="false" outlineLevel="0" collapsed="false">
      <c r="A551" s="0" t="s">
        <v>621</v>
      </c>
      <c r="B551" s="0" t="s">
        <v>383</v>
      </c>
      <c r="C551" s="0" t="s">
        <v>622</v>
      </c>
      <c r="D551" s="0" t="s">
        <v>623</v>
      </c>
      <c r="E551" s="0" t="s">
        <v>131</v>
      </c>
      <c r="F551" s="0" t="s">
        <v>210</v>
      </c>
      <c r="G551" s="0" t="s">
        <v>628</v>
      </c>
      <c r="H551" s="0" t="s">
        <v>625</v>
      </c>
      <c r="I551" s="0" t="s">
        <v>626</v>
      </c>
      <c r="J551" s="0" t="s">
        <v>627</v>
      </c>
      <c r="K551" s="475" t="n">
        <v>37591</v>
      </c>
      <c r="L551" s="254" t="n">
        <v>23133.4744053131</v>
      </c>
      <c r="M551" s="475" t="n">
        <v>37588</v>
      </c>
      <c r="N551" s="0" t="s">
        <v>136</v>
      </c>
      <c r="O551" s="0" t="n">
        <v>0.2</v>
      </c>
      <c r="P551" s="0" t="n">
        <v>0</v>
      </c>
      <c r="Q551" s="0" t="n">
        <v>0</v>
      </c>
      <c r="R551" s="0" t="n">
        <v>0</v>
      </c>
      <c r="S551" s="0" t="n">
        <v>0</v>
      </c>
      <c r="T551" s="0" t="s">
        <v>624</v>
      </c>
      <c r="U551" s="0" t="s">
        <v>632</v>
      </c>
      <c r="V551" s="0" t="s">
        <v>624</v>
      </c>
      <c r="W551" s="0" t="s">
        <v>569</v>
      </c>
      <c r="X551" s="0" t="s">
        <v>624</v>
      </c>
      <c r="Y551" s="0" t="s">
        <v>627</v>
      </c>
      <c r="Z551" s="0" t="s">
        <v>629</v>
      </c>
      <c r="AA551" s="0" t="s">
        <v>624</v>
      </c>
      <c r="AB551" s="0" t="s">
        <v>132</v>
      </c>
      <c r="AC551" s="254" t="n">
        <v>310000</v>
      </c>
      <c r="AD551" s="254" t="n">
        <v>7779.64706544028</v>
      </c>
      <c r="AE551" s="0" t="n">
        <v>0</v>
      </c>
      <c r="AF551" s="0" t="n">
        <v>0</v>
      </c>
      <c r="AG551" s="0" t="n">
        <v>0</v>
      </c>
      <c r="AH551" s="254" t="n">
        <v>272.768535140309</v>
      </c>
      <c r="AI551" s="0" t="n">
        <v>226</v>
      </c>
      <c r="AJ551" s="0" t="s">
        <v>630</v>
      </c>
      <c r="AK551" s="0" t="n">
        <v>0</v>
      </c>
      <c r="AL551" s="0" t="n">
        <v>0</v>
      </c>
      <c r="AM551" s="0" t="n">
        <v>0</v>
      </c>
    </row>
    <row r="552" customFormat="false" ht="12.75" hidden="false" customHeight="false" outlineLevel="0" collapsed="false">
      <c r="A552" s="0" t="s">
        <v>621</v>
      </c>
      <c r="B552" s="0" t="s">
        <v>383</v>
      </c>
      <c r="C552" s="0" t="s">
        <v>622</v>
      </c>
      <c r="D552" s="0" t="s">
        <v>623</v>
      </c>
      <c r="E552" s="0" t="s">
        <v>131</v>
      </c>
      <c r="F552" s="0" t="s">
        <v>210</v>
      </c>
      <c r="G552" s="0" t="s">
        <v>628</v>
      </c>
      <c r="H552" s="0" t="s">
        <v>625</v>
      </c>
      <c r="I552" s="0" t="s">
        <v>626</v>
      </c>
      <c r="J552" s="0" t="s">
        <v>627</v>
      </c>
      <c r="K552" s="475" t="n">
        <v>37561</v>
      </c>
      <c r="L552" s="254" t="n">
        <v>17129.2236394808</v>
      </c>
      <c r="M552" s="475" t="n">
        <v>37559</v>
      </c>
      <c r="N552" s="0" t="s">
        <v>136</v>
      </c>
      <c r="O552" s="0" t="n">
        <v>0.2</v>
      </c>
      <c r="P552" s="0" t="n">
        <v>0</v>
      </c>
      <c r="Q552" s="0" t="n">
        <v>0</v>
      </c>
      <c r="R552" s="0" t="n">
        <v>0</v>
      </c>
      <c r="S552" s="0" t="n">
        <v>0</v>
      </c>
      <c r="T552" s="0" t="s">
        <v>624</v>
      </c>
      <c r="U552" s="0" t="s">
        <v>632</v>
      </c>
      <c r="V552" s="0" t="s">
        <v>624</v>
      </c>
      <c r="W552" s="0" t="s">
        <v>569</v>
      </c>
      <c r="X552" s="0" t="s">
        <v>624</v>
      </c>
      <c r="Y552" s="0" t="s">
        <v>627</v>
      </c>
      <c r="Z552" s="0" t="s">
        <v>629</v>
      </c>
      <c r="AA552" s="0" t="s">
        <v>624</v>
      </c>
      <c r="AB552" s="0" t="s">
        <v>132</v>
      </c>
      <c r="AC552" s="254" t="n">
        <v>300000</v>
      </c>
      <c r="AD552" s="254" t="n">
        <v>7043.94363615582</v>
      </c>
      <c r="AE552" s="0" t="n">
        <v>0</v>
      </c>
      <c r="AF552" s="0" t="n">
        <v>0</v>
      </c>
      <c r="AG552" s="0" t="n">
        <v>0</v>
      </c>
      <c r="AH552" s="254" t="n">
        <v>246.919727421493</v>
      </c>
      <c r="AI552" s="0" t="n">
        <v>226</v>
      </c>
      <c r="AJ552" s="0" t="s">
        <v>630</v>
      </c>
      <c r="AK552" s="0" t="n">
        <v>0</v>
      </c>
      <c r="AL552" s="0" t="n">
        <v>0</v>
      </c>
      <c r="AM552" s="0" t="n">
        <v>0</v>
      </c>
    </row>
    <row r="553" customFormat="false" ht="12.75" hidden="false" customHeight="false" outlineLevel="0" collapsed="false">
      <c r="A553" s="0" t="s">
        <v>621</v>
      </c>
      <c r="B553" s="0" t="s">
        <v>384</v>
      </c>
      <c r="C553" s="0" t="s">
        <v>622</v>
      </c>
      <c r="D553" s="0" t="s">
        <v>623</v>
      </c>
      <c r="E553" s="0" t="s">
        <v>131</v>
      </c>
      <c r="F553" s="0" t="s">
        <v>198</v>
      </c>
      <c r="G553" s="0" t="s">
        <v>628</v>
      </c>
      <c r="H553" s="0" t="s">
        <v>625</v>
      </c>
      <c r="I553" s="0" t="s">
        <v>626</v>
      </c>
      <c r="J553" s="0" t="s">
        <v>627</v>
      </c>
      <c r="K553" s="475" t="n">
        <v>36951</v>
      </c>
      <c r="L553" s="254" t="n">
        <v>79936.7717316071</v>
      </c>
      <c r="M553" s="475" t="n">
        <v>36949</v>
      </c>
      <c r="N553" s="0" t="s">
        <v>136</v>
      </c>
      <c r="O553" s="0" t="n">
        <v>0.3</v>
      </c>
      <c r="P553" s="0" t="n">
        <v>0</v>
      </c>
      <c r="Q553" s="0" t="n">
        <v>0</v>
      </c>
      <c r="R553" s="0" t="n">
        <v>0</v>
      </c>
      <c r="S553" s="0" t="n">
        <v>0</v>
      </c>
      <c r="T553" s="0" t="s">
        <v>624</v>
      </c>
      <c r="U553" s="0" t="s">
        <v>137</v>
      </c>
      <c r="V553" s="0" t="s">
        <v>624</v>
      </c>
      <c r="W553" s="0" t="s">
        <v>569</v>
      </c>
      <c r="X553" s="0" t="s">
        <v>624</v>
      </c>
      <c r="Y553" s="0" t="s">
        <v>627</v>
      </c>
      <c r="Z553" s="0" t="s">
        <v>629</v>
      </c>
      <c r="AA553" s="0" t="s">
        <v>624</v>
      </c>
      <c r="AB553" s="0" t="s">
        <v>132</v>
      </c>
      <c r="AC553" s="254" t="n">
        <v>155000</v>
      </c>
      <c r="AD553" s="254" t="n">
        <v>11450.9034642847</v>
      </c>
      <c r="AE553" s="0" t="n">
        <v>0</v>
      </c>
      <c r="AF553" s="0" t="n">
        <v>0</v>
      </c>
      <c r="AG553" s="0" t="n">
        <v>0</v>
      </c>
      <c r="AH553" s="254" t="n">
        <v>-4981.91038535585</v>
      </c>
      <c r="AI553" s="0" t="n">
        <v>226</v>
      </c>
      <c r="AJ553" s="0" t="s">
        <v>630</v>
      </c>
      <c r="AK553" s="0" t="n">
        <v>0</v>
      </c>
      <c r="AL553" s="0" t="n">
        <v>0</v>
      </c>
      <c r="AM553" s="0" t="n">
        <v>0</v>
      </c>
    </row>
    <row r="554" customFormat="false" ht="12.75" hidden="false" customHeight="false" outlineLevel="0" collapsed="false">
      <c r="A554" s="0" t="s">
        <v>621</v>
      </c>
      <c r="B554" s="0" t="s">
        <v>384</v>
      </c>
      <c r="C554" s="0" t="s">
        <v>622</v>
      </c>
      <c r="D554" s="0" t="s">
        <v>623</v>
      </c>
      <c r="E554" s="0" t="s">
        <v>131</v>
      </c>
      <c r="F554" s="0" t="s">
        <v>198</v>
      </c>
      <c r="G554" s="0" t="s">
        <v>628</v>
      </c>
      <c r="H554" s="0" t="s">
        <v>625</v>
      </c>
      <c r="I554" s="0" t="s">
        <v>626</v>
      </c>
      <c r="J554" s="0" t="s">
        <v>627</v>
      </c>
      <c r="K554" s="475" t="n">
        <v>36923</v>
      </c>
      <c r="L554" s="254" t="n">
        <v>78361.2344690323</v>
      </c>
      <c r="M554" s="475" t="n">
        <v>36921</v>
      </c>
      <c r="N554" s="0" t="s">
        <v>136</v>
      </c>
      <c r="O554" s="0" t="n">
        <v>0.3</v>
      </c>
      <c r="P554" s="0" t="n">
        <v>0</v>
      </c>
      <c r="Q554" s="0" t="n">
        <v>0</v>
      </c>
      <c r="R554" s="0" t="n">
        <v>0</v>
      </c>
      <c r="S554" s="0" t="n">
        <v>0</v>
      </c>
      <c r="T554" s="0" t="s">
        <v>624</v>
      </c>
      <c r="U554" s="0" t="s">
        <v>137</v>
      </c>
      <c r="V554" s="0" t="s">
        <v>624</v>
      </c>
      <c r="W554" s="0" t="s">
        <v>569</v>
      </c>
      <c r="X554" s="0" t="s">
        <v>624</v>
      </c>
      <c r="Y554" s="0" t="s">
        <v>627</v>
      </c>
      <c r="Z554" s="0" t="s">
        <v>629</v>
      </c>
      <c r="AA554" s="0" t="s">
        <v>624</v>
      </c>
      <c r="AB554" s="0" t="s">
        <v>132</v>
      </c>
      <c r="AC554" s="254" t="n">
        <v>140000</v>
      </c>
      <c r="AD554" s="254" t="n">
        <v>10673.4632417858</v>
      </c>
      <c r="AE554" s="0" t="n">
        <v>0</v>
      </c>
      <c r="AF554" s="0" t="n">
        <v>0</v>
      </c>
      <c r="AG554" s="0" t="n">
        <v>0</v>
      </c>
      <c r="AH554" s="254" t="n">
        <v>-4522.90595412235</v>
      </c>
      <c r="AI554" s="0" t="n">
        <v>226</v>
      </c>
      <c r="AJ554" s="0" t="s">
        <v>630</v>
      </c>
      <c r="AK554" s="0" t="n">
        <v>0</v>
      </c>
      <c r="AL554" s="0" t="n">
        <v>0</v>
      </c>
      <c r="AM554" s="0" t="n">
        <v>0</v>
      </c>
    </row>
    <row r="555" customFormat="false" ht="12.75" hidden="false" customHeight="false" outlineLevel="0" collapsed="false">
      <c r="A555" s="0" t="s">
        <v>621</v>
      </c>
      <c r="B555" s="0" t="s">
        <v>384</v>
      </c>
      <c r="C555" s="0" t="s">
        <v>622</v>
      </c>
      <c r="D555" s="0" t="s">
        <v>623</v>
      </c>
      <c r="E555" s="0" t="s">
        <v>131</v>
      </c>
      <c r="F555" s="0" t="s">
        <v>198</v>
      </c>
      <c r="G555" s="0" t="s">
        <v>628</v>
      </c>
      <c r="H555" s="0" t="s">
        <v>625</v>
      </c>
      <c r="I555" s="0" t="s">
        <v>626</v>
      </c>
      <c r="J555" s="0" t="s">
        <v>627</v>
      </c>
      <c r="K555" s="475" t="n">
        <v>36892</v>
      </c>
      <c r="L555" s="254" t="n">
        <v>100493.615164759</v>
      </c>
      <c r="M555" s="475" t="n">
        <v>36888</v>
      </c>
      <c r="N555" s="0" t="s">
        <v>136</v>
      </c>
      <c r="O555" s="0" t="n">
        <v>0.3</v>
      </c>
      <c r="P555" s="0" t="n">
        <v>0</v>
      </c>
      <c r="Q555" s="0" t="n">
        <v>0</v>
      </c>
      <c r="R555" s="0" t="n">
        <v>0</v>
      </c>
      <c r="S555" s="0" t="n">
        <v>0</v>
      </c>
      <c r="T555" s="0" t="s">
        <v>624</v>
      </c>
      <c r="U555" s="0" t="s">
        <v>137</v>
      </c>
      <c r="V555" s="0" t="s">
        <v>624</v>
      </c>
      <c r="W555" s="0" t="s">
        <v>569</v>
      </c>
      <c r="X555" s="0" t="s">
        <v>624</v>
      </c>
      <c r="Y555" s="0" t="s">
        <v>627</v>
      </c>
      <c r="Z555" s="0" t="s">
        <v>629</v>
      </c>
      <c r="AA555" s="0" t="s">
        <v>624</v>
      </c>
      <c r="AB555" s="0" t="s">
        <v>132</v>
      </c>
      <c r="AC555" s="254" t="n">
        <v>155000</v>
      </c>
      <c r="AD555" s="254" t="n">
        <v>10096.8659950686</v>
      </c>
      <c r="AE555" s="0" t="n">
        <v>0</v>
      </c>
      <c r="AF555" s="0" t="n">
        <v>0</v>
      </c>
      <c r="AG555" s="0" t="n">
        <v>0</v>
      </c>
      <c r="AH555" s="254" t="n">
        <v>-5575.19386483224</v>
      </c>
      <c r="AI555" s="0" t="n">
        <v>226</v>
      </c>
      <c r="AJ555" s="0" t="s">
        <v>630</v>
      </c>
      <c r="AK555" s="0" t="n">
        <v>0</v>
      </c>
      <c r="AL555" s="0" t="n">
        <v>0</v>
      </c>
      <c r="AM555" s="0" t="n">
        <v>0</v>
      </c>
    </row>
    <row r="556" customFormat="false" ht="12.75" hidden="false" customHeight="false" outlineLevel="0" collapsed="false">
      <c r="A556" s="0" t="s">
        <v>621</v>
      </c>
      <c r="B556" s="0" t="s">
        <v>384</v>
      </c>
      <c r="C556" s="0" t="s">
        <v>622</v>
      </c>
      <c r="D556" s="0" t="s">
        <v>623</v>
      </c>
      <c r="E556" s="0" t="s">
        <v>131</v>
      </c>
      <c r="F556" s="0" t="s">
        <v>198</v>
      </c>
      <c r="G556" s="0" t="s">
        <v>628</v>
      </c>
      <c r="H556" s="0" t="s">
        <v>625</v>
      </c>
      <c r="I556" s="0" t="s">
        <v>626</v>
      </c>
      <c r="J556" s="0" t="s">
        <v>627</v>
      </c>
      <c r="K556" s="475" t="n">
        <v>36861</v>
      </c>
      <c r="L556" s="254" t="n">
        <v>122763.295052255</v>
      </c>
      <c r="M556" s="475" t="n">
        <v>36859</v>
      </c>
      <c r="N556" s="0" t="s">
        <v>136</v>
      </c>
      <c r="O556" s="0" t="n">
        <v>0.3</v>
      </c>
      <c r="P556" s="0" t="n">
        <v>0</v>
      </c>
      <c r="Q556" s="0" t="n">
        <v>0</v>
      </c>
      <c r="R556" s="0" t="n">
        <v>0</v>
      </c>
      <c r="S556" s="0" t="n">
        <v>0</v>
      </c>
      <c r="T556" s="0" t="s">
        <v>624</v>
      </c>
      <c r="U556" s="0" t="s">
        <v>137</v>
      </c>
      <c r="V556" s="0" t="s">
        <v>624</v>
      </c>
      <c r="W556" s="0" t="s">
        <v>569</v>
      </c>
      <c r="X556" s="0" t="s">
        <v>624</v>
      </c>
      <c r="Y556" s="0" t="s">
        <v>627</v>
      </c>
      <c r="Z556" s="0" t="s">
        <v>629</v>
      </c>
      <c r="AA556" s="0" t="s">
        <v>624</v>
      </c>
      <c r="AB556" s="0" t="s">
        <v>132</v>
      </c>
      <c r="AC556" s="254" t="n">
        <v>155000</v>
      </c>
      <c r="AD556" s="254" t="n">
        <v>7095.81719147449</v>
      </c>
      <c r="AE556" s="0" t="n">
        <v>0</v>
      </c>
      <c r="AF556" s="0" t="n">
        <v>0</v>
      </c>
      <c r="AG556" s="0" t="n">
        <v>0</v>
      </c>
      <c r="AH556" s="254" t="n">
        <v>17867.5503378849</v>
      </c>
      <c r="AI556" s="0" t="n">
        <v>226</v>
      </c>
      <c r="AJ556" s="0" t="s">
        <v>630</v>
      </c>
      <c r="AK556" s="0" t="n">
        <v>0</v>
      </c>
      <c r="AL556" s="0" t="n">
        <v>0</v>
      </c>
      <c r="AM556" s="0" t="n">
        <v>0</v>
      </c>
    </row>
    <row r="557" customFormat="false" ht="12.75" hidden="false" customHeight="false" outlineLevel="0" collapsed="false">
      <c r="A557" s="0" t="s">
        <v>621</v>
      </c>
      <c r="B557" s="0" t="s">
        <v>384</v>
      </c>
      <c r="C557" s="0" t="s">
        <v>622</v>
      </c>
      <c r="D557" s="0" t="s">
        <v>623</v>
      </c>
      <c r="E557" s="0" t="s">
        <v>131</v>
      </c>
      <c r="F557" s="0" t="s">
        <v>198</v>
      </c>
      <c r="G557" s="0" t="s">
        <v>628</v>
      </c>
      <c r="H557" s="0" t="s">
        <v>625</v>
      </c>
      <c r="I557" s="0" t="s">
        <v>626</v>
      </c>
      <c r="J557" s="0" t="s">
        <v>627</v>
      </c>
      <c r="K557" s="475" t="n">
        <v>36831</v>
      </c>
      <c r="L557" s="254" t="n">
        <v>186521.285725375</v>
      </c>
      <c r="M557" s="475" t="n">
        <v>36829</v>
      </c>
      <c r="N557" s="0" t="s">
        <v>136</v>
      </c>
      <c r="O557" s="0" t="n">
        <v>0.3</v>
      </c>
      <c r="P557" s="0" t="n">
        <v>0</v>
      </c>
      <c r="Q557" s="0" t="n">
        <v>0</v>
      </c>
      <c r="R557" s="0" t="n">
        <v>0</v>
      </c>
      <c r="S557" s="0" t="n">
        <v>0</v>
      </c>
      <c r="T557" s="0" t="s">
        <v>624</v>
      </c>
      <c r="U557" s="0" t="s">
        <v>137</v>
      </c>
      <c r="V557" s="0" t="s">
        <v>624</v>
      </c>
      <c r="W557" s="0" t="s">
        <v>569</v>
      </c>
      <c r="X557" s="0" t="s">
        <v>624</v>
      </c>
      <c r="Y557" s="0" t="s">
        <v>627</v>
      </c>
      <c r="Z557" s="0" t="s">
        <v>629</v>
      </c>
      <c r="AA557" s="0" t="s">
        <v>624</v>
      </c>
      <c r="AB557" s="0" t="s">
        <v>132</v>
      </c>
      <c r="AC557" s="254" t="n">
        <v>150000</v>
      </c>
      <c r="AD557" s="254" t="n">
        <v>1843.78437713088</v>
      </c>
      <c r="AE557" s="0" t="n">
        <v>0</v>
      </c>
      <c r="AF557" s="0" t="n">
        <v>0</v>
      </c>
      <c r="AG557" s="0" t="n">
        <v>0</v>
      </c>
      <c r="AH557" s="254" t="n">
        <v>29607.2538979808</v>
      </c>
      <c r="AI557" s="0" t="n">
        <v>226</v>
      </c>
      <c r="AJ557" s="0" t="s">
        <v>630</v>
      </c>
      <c r="AK557" s="0" t="n">
        <v>0</v>
      </c>
      <c r="AL557" s="0" t="n">
        <v>0</v>
      </c>
      <c r="AM557" s="0" t="n">
        <v>0</v>
      </c>
    </row>
    <row r="558" customFormat="false" ht="12.75" hidden="false" customHeight="false" outlineLevel="0" collapsed="false">
      <c r="A558" s="0" t="s">
        <v>621</v>
      </c>
      <c r="B558" s="0" t="s">
        <v>385</v>
      </c>
      <c r="C558" s="0" t="s">
        <v>622</v>
      </c>
      <c r="D558" s="0" t="s">
        <v>623</v>
      </c>
      <c r="E558" s="0" t="s">
        <v>131</v>
      </c>
      <c r="F558" s="0" t="s">
        <v>275</v>
      </c>
      <c r="G558" s="0" t="s">
        <v>628</v>
      </c>
      <c r="H558" s="0" t="s">
        <v>625</v>
      </c>
      <c r="I558" s="0" t="s">
        <v>626</v>
      </c>
      <c r="J558" s="0" t="s">
        <v>627</v>
      </c>
      <c r="K558" s="475" t="n">
        <v>36800</v>
      </c>
      <c r="L558" s="254" t="n">
        <v>704826.688146877</v>
      </c>
      <c r="M558" s="475" t="n">
        <v>36797</v>
      </c>
      <c r="N558" s="0" t="s">
        <v>136</v>
      </c>
      <c r="O558" s="0" t="n">
        <v>0.85</v>
      </c>
      <c r="P558" s="0" t="n">
        <v>0</v>
      </c>
      <c r="Q558" s="0" t="n">
        <v>0</v>
      </c>
      <c r="R558" s="0" t="n">
        <v>0</v>
      </c>
      <c r="S558" s="0" t="n">
        <v>0</v>
      </c>
      <c r="T558" s="0" t="s">
        <v>624</v>
      </c>
      <c r="U558" s="0" t="s">
        <v>137</v>
      </c>
      <c r="V558" s="0" t="s">
        <v>624</v>
      </c>
      <c r="W558" s="0" t="s">
        <v>569</v>
      </c>
      <c r="X558" s="0" t="s">
        <v>624</v>
      </c>
      <c r="Y558" s="0" t="s">
        <v>627</v>
      </c>
      <c r="Z558" s="0" t="s">
        <v>629</v>
      </c>
      <c r="AA558" s="0" t="s">
        <v>624</v>
      </c>
      <c r="AB558" s="0" t="s">
        <v>132</v>
      </c>
      <c r="AC558" s="254" t="n">
        <v>620000</v>
      </c>
      <c r="AD558" s="254" t="n">
        <v>2457.76466415601</v>
      </c>
      <c r="AE558" s="0" t="n">
        <v>0</v>
      </c>
      <c r="AF558" s="0" t="n">
        <v>0</v>
      </c>
      <c r="AG558" s="0" t="n">
        <v>0</v>
      </c>
      <c r="AH558" s="254" t="n">
        <v>-24124.08217571</v>
      </c>
      <c r="AI558" s="0" t="n">
        <v>226</v>
      </c>
      <c r="AJ558" s="0" t="s">
        <v>630</v>
      </c>
      <c r="AK558" s="0" t="n">
        <v>0</v>
      </c>
      <c r="AL558" s="0" t="n">
        <v>0</v>
      </c>
      <c r="AM558" s="0" t="n">
        <v>0</v>
      </c>
    </row>
    <row r="559" customFormat="false" ht="12.75" hidden="false" customHeight="false" outlineLevel="0" collapsed="false">
      <c r="A559" s="0" t="s">
        <v>621</v>
      </c>
      <c r="B559" s="0" t="s">
        <v>385</v>
      </c>
      <c r="C559" s="0" t="s">
        <v>622</v>
      </c>
      <c r="D559" s="0" t="s">
        <v>623</v>
      </c>
      <c r="E559" s="0" t="s">
        <v>131</v>
      </c>
      <c r="F559" s="0" t="s">
        <v>275</v>
      </c>
      <c r="G559" s="0" t="s">
        <v>628</v>
      </c>
      <c r="H559" s="0" t="s">
        <v>625</v>
      </c>
      <c r="I559" s="0" t="s">
        <v>626</v>
      </c>
      <c r="J559" s="0" t="s">
        <v>627</v>
      </c>
      <c r="K559" s="475" t="n">
        <v>36770</v>
      </c>
      <c r="L559" s="254" t="n">
        <v>989635.821554854</v>
      </c>
      <c r="M559" s="475" t="n">
        <v>36768</v>
      </c>
      <c r="N559" s="0" t="s">
        <v>136</v>
      </c>
      <c r="O559" s="0" t="n">
        <v>0.85</v>
      </c>
      <c r="P559" s="0" t="n">
        <v>0</v>
      </c>
      <c r="Q559" s="0" t="n">
        <v>0</v>
      </c>
      <c r="R559" s="0" t="n">
        <v>0</v>
      </c>
      <c r="S559" s="0" t="n">
        <v>0</v>
      </c>
      <c r="T559" s="0" t="s">
        <v>624</v>
      </c>
      <c r="U559" s="0" t="s">
        <v>137</v>
      </c>
      <c r="V559" s="0" t="s">
        <v>624</v>
      </c>
      <c r="W559" s="0" t="s">
        <v>569</v>
      </c>
      <c r="X559" s="0" t="s">
        <v>624</v>
      </c>
      <c r="Y559" s="0" t="s">
        <v>627</v>
      </c>
      <c r="Z559" s="0" t="s">
        <v>629</v>
      </c>
      <c r="AA559" s="0" t="s">
        <v>624</v>
      </c>
      <c r="AB559" s="0" t="s">
        <v>132</v>
      </c>
      <c r="AC559" s="254" t="n">
        <v>600000</v>
      </c>
      <c r="AD559" s="254" t="n">
        <v>-0.0239417147822678</v>
      </c>
      <c r="AE559" s="0" t="n">
        <v>0</v>
      </c>
      <c r="AF559" s="0" t="n">
        <v>0</v>
      </c>
      <c r="AG559" s="0" t="n">
        <v>0</v>
      </c>
      <c r="AH559" s="254" t="n">
        <v>158853.894281877</v>
      </c>
      <c r="AI559" s="0" t="n">
        <v>226</v>
      </c>
      <c r="AJ559" s="0" t="s">
        <v>630</v>
      </c>
      <c r="AK559" s="0" t="n">
        <v>0</v>
      </c>
      <c r="AL559" s="0" t="n">
        <v>0</v>
      </c>
      <c r="AM559" s="0" t="n">
        <v>0</v>
      </c>
    </row>
    <row r="560" customFormat="false" ht="12.75" hidden="false" customHeight="false" outlineLevel="0" collapsed="false">
      <c r="A560" s="0" t="s">
        <v>621</v>
      </c>
      <c r="B560" s="0" t="s">
        <v>386</v>
      </c>
      <c r="C560" s="0" t="s">
        <v>622</v>
      </c>
      <c r="D560" s="0" t="s">
        <v>623</v>
      </c>
      <c r="E560" s="0" t="s">
        <v>131</v>
      </c>
      <c r="F560" s="0" t="s">
        <v>275</v>
      </c>
      <c r="G560" s="0" t="s">
        <v>628</v>
      </c>
      <c r="H560" s="0" t="s">
        <v>625</v>
      </c>
      <c r="I560" s="0" t="s">
        <v>626</v>
      </c>
      <c r="J560" s="0" t="s">
        <v>627</v>
      </c>
      <c r="K560" s="475" t="n">
        <v>36800</v>
      </c>
      <c r="L560" s="254" t="n">
        <v>-259.648118024294</v>
      </c>
      <c r="M560" s="475" t="n">
        <v>36797</v>
      </c>
      <c r="N560" s="0" t="s">
        <v>132</v>
      </c>
      <c r="O560" s="0" t="n">
        <v>0.5</v>
      </c>
      <c r="P560" s="0" t="n">
        <v>0</v>
      </c>
      <c r="Q560" s="0" t="n">
        <v>0</v>
      </c>
      <c r="R560" s="0" t="n">
        <v>0</v>
      </c>
      <c r="S560" s="0" t="n">
        <v>0</v>
      </c>
      <c r="T560" s="0" t="s">
        <v>624</v>
      </c>
      <c r="U560" s="0" t="s">
        <v>137</v>
      </c>
      <c r="V560" s="0" t="s">
        <v>624</v>
      </c>
      <c r="W560" s="0" t="s">
        <v>569</v>
      </c>
      <c r="X560" s="0" t="s">
        <v>624</v>
      </c>
      <c r="Y560" s="0" t="s">
        <v>627</v>
      </c>
      <c r="Z560" s="0" t="s">
        <v>629</v>
      </c>
      <c r="AA560" s="0" t="s">
        <v>624</v>
      </c>
      <c r="AB560" s="0" t="s">
        <v>132</v>
      </c>
      <c r="AC560" s="254" t="n">
        <v>-620000</v>
      </c>
      <c r="AD560" s="254" t="n">
        <v>-477.209141123356</v>
      </c>
      <c r="AE560" s="0" t="n">
        <v>0</v>
      </c>
      <c r="AF560" s="0" t="n">
        <v>0</v>
      </c>
      <c r="AG560" s="0" t="n">
        <v>0</v>
      </c>
      <c r="AH560" s="254" t="n">
        <v>-85.296631149987</v>
      </c>
      <c r="AI560" s="0" t="n">
        <v>226</v>
      </c>
      <c r="AJ560" s="0" t="s">
        <v>630</v>
      </c>
      <c r="AK560" s="0" t="n">
        <v>0</v>
      </c>
      <c r="AL560" s="0" t="n">
        <v>0</v>
      </c>
      <c r="AM560" s="0" t="n">
        <v>0</v>
      </c>
    </row>
    <row r="561" customFormat="false" ht="12.75" hidden="false" customHeight="false" outlineLevel="0" collapsed="false">
      <c r="A561" s="0" t="s">
        <v>621</v>
      </c>
      <c r="B561" s="0" t="s">
        <v>386</v>
      </c>
      <c r="C561" s="0" t="s">
        <v>622</v>
      </c>
      <c r="D561" s="0" t="s">
        <v>623</v>
      </c>
      <c r="E561" s="0" t="s">
        <v>131</v>
      </c>
      <c r="F561" s="0" t="s">
        <v>275</v>
      </c>
      <c r="G561" s="0" t="s">
        <v>628</v>
      </c>
      <c r="H561" s="0" t="s">
        <v>625</v>
      </c>
      <c r="I561" s="0" t="s">
        <v>626</v>
      </c>
      <c r="J561" s="0" t="s">
        <v>627</v>
      </c>
      <c r="K561" s="475" t="n">
        <v>36770</v>
      </c>
      <c r="L561" s="254" t="n">
        <v>-0.157306725678819</v>
      </c>
      <c r="M561" s="475" t="n">
        <v>36768</v>
      </c>
      <c r="N561" s="0" t="s">
        <v>132</v>
      </c>
      <c r="O561" s="0" t="n">
        <v>0.5</v>
      </c>
      <c r="P561" s="0" t="n">
        <v>0</v>
      </c>
      <c r="Q561" s="0" t="n">
        <v>0</v>
      </c>
      <c r="R561" s="0" t="n">
        <v>0</v>
      </c>
      <c r="S561" s="0" t="n">
        <v>0</v>
      </c>
      <c r="T561" s="0" t="s">
        <v>624</v>
      </c>
      <c r="U561" s="0" t="s">
        <v>137</v>
      </c>
      <c r="V561" s="0" t="s">
        <v>624</v>
      </c>
      <c r="W561" s="0" t="s">
        <v>569</v>
      </c>
      <c r="X561" s="0" t="s">
        <v>624</v>
      </c>
      <c r="Y561" s="0" t="s">
        <v>627</v>
      </c>
      <c r="Z561" s="0" t="s">
        <v>629</v>
      </c>
      <c r="AA561" s="0" t="s">
        <v>624</v>
      </c>
      <c r="AB561" s="0" t="s">
        <v>132</v>
      </c>
      <c r="AC561" s="254" t="n">
        <v>-600000</v>
      </c>
      <c r="AD561" s="254" t="n">
        <v>0.0239417149439092</v>
      </c>
      <c r="AE561" s="0" t="n">
        <v>0</v>
      </c>
      <c r="AF561" s="0" t="n">
        <v>0</v>
      </c>
      <c r="AG561" s="0" t="n">
        <v>0</v>
      </c>
      <c r="AH561" s="254" t="n">
        <v>-0.0207980672684016</v>
      </c>
      <c r="AI561" s="0" t="n">
        <v>226</v>
      </c>
      <c r="AJ561" s="0" t="s">
        <v>630</v>
      </c>
      <c r="AK561" s="0" t="n">
        <v>0</v>
      </c>
      <c r="AL561" s="0" t="n">
        <v>0</v>
      </c>
      <c r="AM561" s="0" t="n">
        <v>0</v>
      </c>
    </row>
    <row r="562" customFormat="false" ht="12.75" hidden="false" customHeight="false" outlineLevel="0" collapsed="false">
      <c r="A562" s="0" t="s">
        <v>621</v>
      </c>
      <c r="B562" s="0" t="s">
        <v>387</v>
      </c>
      <c r="C562" s="0" t="s">
        <v>622</v>
      </c>
      <c r="D562" s="0" t="s">
        <v>623</v>
      </c>
      <c r="E562" s="0" t="s">
        <v>131</v>
      </c>
      <c r="F562" s="0" t="s">
        <v>275</v>
      </c>
      <c r="G562" s="0" t="s">
        <v>628</v>
      </c>
      <c r="H562" s="0" t="s">
        <v>625</v>
      </c>
      <c r="I562" s="0" t="s">
        <v>626</v>
      </c>
      <c r="J562" s="0" t="s">
        <v>627</v>
      </c>
      <c r="K562" s="475" t="n">
        <v>36800</v>
      </c>
      <c r="L562" s="254" t="n">
        <v>-64.9120295060734</v>
      </c>
      <c r="M562" s="475" t="n">
        <v>36797</v>
      </c>
      <c r="N562" s="0" t="s">
        <v>132</v>
      </c>
      <c r="O562" s="0" t="n">
        <v>0.5</v>
      </c>
      <c r="P562" s="0" t="n">
        <v>0</v>
      </c>
      <c r="Q562" s="0" t="n">
        <v>0</v>
      </c>
      <c r="R562" s="0" t="n">
        <v>0</v>
      </c>
      <c r="S562" s="0" t="n">
        <v>0</v>
      </c>
      <c r="T562" s="0" t="s">
        <v>624</v>
      </c>
      <c r="U562" s="0" t="s">
        <v>137</v>
      </c>
      <c r="V562" s="0" t="s">
        <v>624</v>
      </c>
      <c r="W562" s="0" t="s">
        <v>569</v>
      </c>
      <c r="X562" s="0" t="s">
        <v>624</v>
      </c>
      <c r="Y562" s="0" t="s">
        <v>627</v>
      </c>
      <c r="Z562" s="0" t="s">
        <v>629</v>
      </c>
      <c r="AA562" s="0" t="s">
        <v>624</v>
      </c>
      <c r="AB562" s="0" t="s">
        <v>132</v>
      </c>
      <c r="AC562" s="254" t="n">
        <v>-155000</v>
      </c>
      <c r="AD562" s="254" t="n">
        <v>-119.302285280839</v>
      </c>
      <c r="AE562" s="0" t="n">
        <v>0</v>
      </c>
      <c r="AF562" s="0" t="n">
        <v>0</v>
      </c>
      <c r="AG562" s="0" t="n">
        <v>0</v>
      </c>
      <c r="AH562" s="254" t="n">
        <v>-21.3241577874967</v>
      </c>
      <c r="AI562" s="0" t="n">
        <v>226</v>
      </c>
      <c r="AJ562" s="0" t="s">
        <v>630</v>
      </c>
      <c r="AK562" s="0" t="n">
        <v>0</v>
      </c>
      <c r="AL562" s="0" t="n">
        <v>0</v>
      </c>
      <c r="AM562" s="0" t="n">
        <v>0</v>
      </c>
    </row>
    <row r="563" customFormat="false" ht="12.75" hidden="false" customHeight="false" outlineLevel="0" collapsed="false">
      <c r="A563" s="0" t="s">
        <v>621</v>
      </c>
      <c r="B563" s="0" t="s">
        <v>387</v>
      </c>
      <c r="C563" s="0" t="s">
        <v>622</v>
      </c>
      <c r="D563" s="0" t="s">
        <v>623</v>
      </c>
      <c r="E563" s="0" t="s">
        <v>131</v>
      </c>
      <c r="F563" s="0" t="s">
        <v>275</v>
      </c>
      <c r="G563" s="0" t="s">
        <v>628</v>
      </c>
      <c r="H563" s="0" t="s">
        <v>625</v>
      </c>
      <c r="I563" s="0" t="s">
        <v>626</v>
      </c>
      <c r="J563" s="0" t="s">
        <v>627</v>
      </c>
      <c r="K563" s="475" t="n">
        <v>36770</v>
      </c>
      <c r="L563" s="254" t="n">
        <v>-0.0393266814197046</v>
      </c>
      <c r="M563" s="475" t="n">
        <v>36768</v>
      </c>
      <c r="N563" s="0" t="s">
        <v>132</v>
      </c>
      <c r="O563" s="0" t="n">
        <v>0.5</v>
      </c>
      <c r="P563" s="0" t="n">
        <v>0</v>
      </c>
      <c r="Q563" s="0" t="n">
        <v>0</v>
      </c>
      <c r="R563" s="0" t="n">
        <v>0</v>
      </c>
      <c r="S563" s="0" t="n">
        <v>0</v>
      </c>
      <c r="T563" s="0" t="s">
        <v>624</v>
      </c>
      <c r="U563" s="0" t="s">
        <v>137</v>
      </c>
      <c r="V563" s="0" t="s">
        <v>624</v>
      </c>
      <c r="W563" s="0" t="s">
        <v>569</v>
      </c>
      <c r="X563" s="0" t="s">
        <v>624</v>
      </c>
      <c r="Y563" s="0" t="s">
        <v>627</v>
      </c>
      <c r="Z563" s="0" t="s">
        <v>629</v>
      </c>
      <c r="AA563" s="0" t="s">
        <v>624</v>
      </c>
      <c r="AB563" s="0" t="s">
        <v>132</v>
      </c>
      <c r="AC563" s="254" t="n">
        <v>-150000</v>
      </c>
      <c r="AD563" s="254" t="n">
        <v>0.00598542873597729</v>
      </c>
      <c r="AE563" s="0" t="n">
        <v>0</v>
      </c>
      <c r="AF563" s="0" t="n">
        <v>0</v>
      </c>
      <c r="AG563" s="0" t="n">
        <v>0</v>
      </c>
      <c r="AH563" s="254" t="n">
        <v>-0.0051995168171004</v>
      </c>
      <c r="AI563" s="0" t="n">
        <v>226</v>
      </c>
      <c r="AJ563" s="0" t="s">
        <v>630</v>
      </c>
      <c r="AK563" s="0" t="n">
        <v>0</v>
      </c>
      <c r="AL563" s="0" t="n">
        <v>0</v>
      </c>
      <c r="AM563" s="0" t="n">
        <v>0</v>
      </c>
    </row>
    <row r="564" customFormat="false" ht="12.75" hidden="false" customHeight="false" outlineLevel="0" collapsed="false">
      <c r="A564" s="0" t="s">
        <v>621</v>
      </c>
      <c r="B564" s="0" t="s">
        <v>388</v>
      </c>
      <c r="C564" s="0" t="s">
        <v>622</v>
      </c>
      <c r="D564" s="0" t="s">
        <v>623</v>
      </c>
      <c r="E564" s="0" t="s">
        <v>131</v>
      </c>
      <c r="F564" s="0" t="s">
        <v>212</v>
      </c>
      <c r="G564" s="0" t="s">
        <v>628</v>
      </c>
      <c r="H564" s="0" t="s">
        <v>625</v>
      </c>
      <c r="I564" s="0" t="s">
        <v>626</v>
      </c>
      <c r="J564" s="0" t="s">
        <v>627</v>
      </c>
      <c r="K564" s="475" t="n">
        <v>36800</v>
      </c>
      <c r="L564" s="254" t="n">
        <v>64.9120295060734</v>
      </c>
      <c r="M564" s="475" t="n">
        <v>36797</v>
      </c>
      <c r="N564" s="0" t="s">
        <v>132</v>
      </c>
      <c r="O564" s="0" t="n">
        <v>0.5</v>
      </c>
      <c r="P564" s="0" t="n">
        <v>0</v>
      </c>
      <c r="Q564" s="0" t="n">
        <v>0</v>
      </c>
      <c r="R564" s="0" t="n">
        <v>0</v>
      </c>
      <c r="S564" s="0" t="n">
        <v>0</v>
      </c>
      <c r="T564" s="0" t="s">
        <v>624</v>
      </c>
      <c r="U564" s="0" t="s">
        <v>137</v>
      </c>
      <c r="V564" s="0" t="s">
        <v>624</v>
      </c>
      <c r="W564" s="0" t="s">
        <v>569</v>
      </c>
      <c r="X564" s="0" t="s">
        <v>624</v>
      </c>
      <c r="Y564" s="0" t="s">
        <v>627</v>
      </c>
      <c r="Z564" s="0" t="s">
        <v>629</v>
      </c>
      <c r="AA564" s="0" t="s">
        <v>624</v>
      </c>
      <c r="AB564" s="0" t="s">
        <v>132</v>
      </c>
      <c r="AC564" s="254" t="n">
        <v>155000</v>
      </c>
      <c r="AD564" s="254" t="n">
        <v>119.302285280839</v>
      </c>
      <c r="AE564" s="0" t="n">
        <v>0</v>
      </c>
      <c r="AF564" s="0" t="n">
        <v>0</v>
      </c>
      <c r="AG564" s="0" t="n">
        <v>0</v>
      </c>
      <c r="AH564" s="254" t="n">
        <v>21.3241577874967</v>
      </c>
      <c r="AI564" s="0" t="n">
        <v>226</v>
      </c>
      <c r="AJ564" s="0" t="s">
        <v>630</v>
      </c>
      <c r="AK564" s="0" t="n">
        <v>0</v>
      </c>
      <c r="AL564" s="0" t="n">
        <v>0</v>
      </c>
      <c r="AM564" s="0" t="n">
        <v>0</v>
      </c>
    </row>
    <row r="565" customFormat="false" ht="12.75" hidden="false" customHeight="false" outlineLevel="0" collapsed="false">
      <c r="A565" s="0" t="s">
        <v>621</v>
      </c>
      <c r="B565" s="0" t="s">
        <v>388</v>
      </c>
      <c r="C565" s="0" t="s">
        <v>622</v>
      </c>
      <c r="D565" s="0" t="s">
        <v>623</v>
      </c>
      <c r="E565" s="0" t="s">
        <v>131</v>
      </c>
      <c r="F565" s="0" t="s">
        <v>212</v>
      </c>
      <c r="G565" s="0" t="s">
        <v>628</v>
      </c>
      <c r="H565" s="0" t="s">
        <v>625</v>
      </c>
      <c r="I565" s="0" t="s">
        <v>626</v>
      </c>
      <c r="J565" s="0" t="s">
        <v>627</v>
      </c>
      <c r="K565" s="475" t="n">
        <v>36770</v>
      </c>
      <c r="L565" s="254" t="n">
        <v>0.0393266814197046</v>
      </c>
      <c r="M565" s="475" t="n">
        <v>36768</v>
      </c>
      <c r="N565" s="0" t="s">
        <v>132</v>
      </c>
      <c r="O565" s="0" t="n">
        <v>0.5</v>
      </c>
      <c r="P565" s="0" t="n">
        <v>0</v>
      </c>
      <c r="Q565" s="0" t="n">
        <v>0</v>
      </c>
      <c r="R565" s="0" t="n">
        <v>0</v>
      </c>
      <c r="S565" s="0" t="n">
        <v>0</v>
      </c>
      <c r="T565" s="0" t="s">
        <v>624</v>
      </c>
      <c r="U565" s="0" t="s">
        <v>137</v>
      </c>
      <c r="V565" s="0" t="s">
        <v>624</v>
      </c>
      <c r="W565" s="0" t="s">
        <v>569</v>
      </c>
      <c r="X565" s="0" t="s">
        <v>624</v>
      </c>
      <c r="Y565" s="0" t="s">
        <v>627</v>
      </c>
      <c r="Z565" s="0" t="s">
        <v>629</v>
      </c>
      <c r="AA565" s="0" t="s">
        <v>624</v>
      </c>
      <c r="AB565" s="0" t="s">
        <v>132</v>
      </c>
      <c r="AC565" s="254" t="n">
        <v>150000</v>
      </c>
      <c r="AD565" s="254" t="n">
        <v>-0.00598542873597729</v>
      </c>
      <c r="AE565" s="0" t="n">
        <v>0</v>
      </c>
      <c r="AF565" s="0" t="n">
        <v>0</v>
      </c>
      <c r="AG565" s="0" t="n">
        <v>0</v>
      </c>
      <c r="AH565" s="254" t="n">
        <v>0.0051995168171004</v>
      </c>
      <c r="AI565" s="0" t="n">
        <v>226</v>
      </c>
      <c r="AJ565" s="0" t="s">
        <v>630</v>
      </c>
      <c r="AK565" s="0" t="n">
        <v>0</v>
      </c>
      <c r="AL565" s="0" t="n">
        <v>0</v>
      </c>
      <c r="AM565" s="0" t="n">
        <v>0</v>
      </c>
    </row>
    <row r="566" customFormat="false" ht="12.75" hidden="false" customHeight="false" outlineLevel="0" collapsed="false">
      <c r="A566" s="0" t="s">
        <v>621</v>
      </c>
      <c r="B566" s="0" t="s">
        <v>389</v>
      </c>
      <c r="C566" s="0" t="s">
        <v>622</v>
      </c>
      <c r="D566" s="0" t="s">
        <v>623</v>
      </c>
      <c r="E566" s="0" t="s">
        <v>131</v>
      </c>
      <c r="F566" s="0" t="s">
        <v>198</v>
      </c>
      <c r="G566" s="0" t="s">
        <v>628</v>
      </c>
      <c r="H566" s="0" t="s">
        <v>625</v>
      </c>
      <c r="I566" s="0" t="s">
        <v>626</v>
      </c>
      <c r="J566" s="0" t="s">
        <v>627</v>
      </c>
      <c r="K566" s="475" t="n">
        <v>36951</v>
      </c>
      <c r="L566" s="254" t="n">
        <v>79936.7717316071</v>
      </c>
      <c r="M566" s="475" t="n">
        <v>36949</v>
      </c>
      <c r="N566" s="0" t="s">
        <v>136</v>
      </c>
      <c r="O566" s="0" t="n">
        <v>0.3</v>
      </c>
      <c r="P566" s="0" t="n">
        <v>0</v>
      </c>
      <c r="Q566" s="0" t="n">
        <v>0</v>
      </c>
      <c r="R566" s="0" t="n">
        <v>0</v>
      </c>
      <c r="S566" s="0" t="n">
        <v>0</v>
      </c>
      <c r="T566" s="0" t="s">
        <v>624</v>
      </c>
      <c r="U566" s="0" t="s">
        <v>137</v>
      </c>
      <c r="V566" s="0" t="s">
        <v>624</v>
      </c>
      <c r="W566" s="0" t="s">
        <v>569</v>
      </c>
      <c r="X566" s="0" t="s">
        <v>624</v>
      </c>
      <c r="Y566" s="0" t="s">
        <v>627</v>
      </c>
      <c r="Z566" s="0" t="s">
        <v>629</v>
      </c>
      <c r="AA566" s="0" t="s">
        <v>624</v>
      </c>
      <c r="AB566" s="0" t="s">
        <v>132</v>
      </c>
      <c r="AC566" s="254" t="n">
        <v>155000</v>
      </c>
      <c r="AD566" s="254" t="n">
        <v>11450.9034642847</v>
      </c>
      <c r="AE566" s="0" t="n">
        <v>0</v>
      </c>
      <c r="AF566" s="0" t="n">
        <v>0</v>
      </c>
      <c r="AG566" s="0" t="n">
        <v>0</v>
      </c>
      <c r="AH566" s="254" t="n">
        <v>-4981.91038535585</v>
      </c>
      <c r="AI566" s="0" t="n">
        <v>226</v>
      </c>
      <c r="AJ566" s="0" t="s">
        <v>630</v>
      </c>
      <c r="AK566" s="0" t="n">
        <v>0</v>
      </c>
      <c r="AL566" s="0" t="n">
        <v>0</v>
      </c>
      <c r="AM566" s="0" t="n">
        <v>0</v>
      </c>
    </row>
    <row r="567" customFormat="false" ht="12.75" hidden="false" customHeight="false" outlineLevel="0" collapsed="false">
      <c r="A567" s="0" t="s">
        <v>621</v>
      </c>
      <c r="B567" s="0" t="s">
        <v>389</v>
      </c>
      <c r="C567" s="0" t="s">
        <v>622</v>
      </c>
      <c r="D567" s="0" t="s">
        <v>623</v>
      </c>
      <c r="E567" s="0" t="s">
        <v>131</v>
      </c>
      <c r="F567" s="0" t="s">
        <v>198</v>
      </c>
      <c r="G567" s="0" t="s">
        <v>628</v>
      </c>
      <c r="H567" s="0" t="s">
        <v>625</v>
      </c>
      <c r="I567" s="0" t="s">
        <v>626</v>
      </c>
      <c r="J567" s="0" t="s">
        <v>627</v>
      </c>
      <c r="K567" s="475" t="n">
        <v>36923</v>
      </c>
      <c r="L567" s="254" t="n">
        <v>78361.2344690323</v>
      </c>
      <c r="M567" s="475" t="n">
        <v>36921</v>
      </c>
      <c r="N567" s="0" t="s">
        <v>136</v>
      </c>
      <c r="O567" s="0" t="n">
        <v>0.3</v>
      </c>
      <c r="P567" s="0" t="n">
        <v>0</v>
      </c>
      <c r="Q567" s="0" t="n">
        <v>0</v>
      </c>
      <c r="R567" s="0" t="n">
        <v>0</v>
      </c>
      <c r="S567" s="0" t="n">
        <v>0</v>
      </c>
      <c r="T567" s="0" t="s">
        <v>624</v>
      </c>
      <c r="U567" s="0" t="s">
        <v>137</v>
      </c>
      <c r="V567" s="0" t="s">
        <v>624</v>
      </c>
      <c r="W567" s="0" t="s">
        <v>569</v>
      </c>
      <c r="X567" s="0" t="s">
        <v>624</v>
      </c>
      <c r="Y567" s="0" t="s">
        <v>627</v>
      </c>
      <c r="Z567" s="0" t="s">
        <v>629</v>
      </c>
      <c r="AA567" s="0" t="s">
        <v>624</v>
      </c>
      <c r="AB567" s="0" t="s">
        <v>132</v>
      </c>
      <c r="AC567" s="254" t="n">
        <v>140000</v>
      </c>
      <c r="AD567" s="254" t="n">
        <v>10673.4632417858</v>
      </c>
      <c r="AE567" s="0" t="n">
        <v>0</v>
      </c>
      <c r="AF567" s="0" t="n">
        <v>0</v>
      </c>
      <c r="AG567" s="0" t="n">
        <v>0</v>
      </c>
      <c r="AH567" s="254" t="n">
        <v>-4522.90595412235</v>
      </c>
      <c r="AI567" s="0" t="n">
        <v>226</v>
      </c>
      <c r="AJ567" s="0" t="s">
        <v>630</v>
      </c>
      <c r="AK567" s="0" t="n">
        <v>0</v>
      </c>
      <c r="AL567" s="0" t="n">
        <v>0</v>
      </c>
      <c r="AM567" s="0" t="n">
        <v>0</v>
      </c>
    </row>
    <row r="568" customFormat="false" ht="12.75" hidden="false" customHeight="false" outlineLevel="0" collapsed="false">
      <c r="A568" s="0" t="s">
        <v>621</v>
      </c>
      <c r="B568" s="0" t="s">
        <v>389</v>
      </c>
      <c r="C568" s="0" t="s">
        <v>622</v>
      </c>
      <c r="D568" s="0" t="s">
        <v>623</v>
      </c>
      <c r="E568" s="0" t="s">
        <v>131</v>
      </c>
      <c r="F568" s="0" t="s">
        <v>198</v>
      </c>
      <c r="G568" s="0" t="s">
        <v>628</v>
      </c>
      <c r="H568" s="0" t="s">
        <v>625</v>
      </c>
      <c r="I568" s="0" t="s">
        <v>626</v>
      </c>
      <c r="J568" s="0" t="s">
        <v>627</v>
      </c>
      <c r="K568" s="475" t="n">
        <v>36892</v>
      </c>
      <c r="L568" s="254" t="n">
        <v>100493.615164759</v>
      </c>
      <c r="M568" s="475" t="n">
        <v>36888</v>
      </c>
      <c r="N568" s="0" t="s">
        <v>136</v>
      </c>
      <c r="O568" s="0" t="n">
        <v>0.3</v>
      </c>
      <c r="P568" s="0" t="n">
        <v>0</v>
      </c>
      <c r="Q568" s="0" t="n">
        <v>0</v>
      </c>
      <c r="R568" s="0" t="n">
        <v>0</v>
      </c>
      <c r="S568" s="0" t="n">
        <v>0</v>
      </c>
      <c r="T568" s="0" t="s">
        <v>624</v>
      </c>
      <c r="U568" s="0" t="s">
        <v>137</v>
      </c>
      <c r="V568" s="0" t="s">
        <v>624</v>
      </c>
      <c r="W568" s="0" t="s">
        <v>569</v>
      </c>
      <c r="X568" s="0" t="s">
        <v>624</v>
      </c>
      <c r="Y568" s="0" t="s">
        <v>627</v>
      </c>
      <c r="Z568" s="0" t="s">
        <v>629</v>
      </c>
      <c r="AA568" s="0" t="s">
        <v>624</v>
      </c>
      <c r="AB568" s="0" t="s">
        <v>132</v>
      </c>
      <c r="AC568" s="254" t="n">
        <v>155000</v>
      </c>
      <c r="AD568" s="254" t="n">
        <v>10096.8659950686</v>
      </c>
      <c r="AE568" s="0" t="n">
        <v>0</v>
      </c>
      <c r="AF568" s="0" t="n">
        <v>0</v>
      </c>
      <c r="AG568" s="0" t="n">
        <v>0</v>
      </c>
      <c r="AH568" s="254" t="n">
        <v>-5575.19386483224</v>
      </c>
      <c r="AI568" s="0" t="n">
        <v>226</v>
      </c>
      <c r="AJ568" s="0" t="s">
        <v>630</v>
      </c>
      <c r="AK568" s="0" t="n">
        <v>0</v>
      </c>
      <c r="AL568" s="0" t="n">
        <v>0</v>
      </c>
      <c r="AM568" s="0" t="n">
        <v>0</v>
      </c>
    </row>
    <row r="569" customFormat="false" ht="12.75" hidden="false" customHeight="false" outlineLevel="0" collapsed="false">
      <c r="A569" s="0" t="s">
        <v>621</v>
      </c>
      <c r="B569" s="0" t="s">
        <v>389</v>
      </c>
      <c r="C569" s="0" t="s">
        <v>622</v>
      </c>
      <c r="D569" s="0" t="s">
        <v>623</v>
      </c>
      <c r="E569" s="0" t="s">
        <v>131</v>
      </c>
      <c r="F569" s="0" t="s">
        <v>198</v>
      </c>
      <c r="G569" s="0" t="s">
        <v>628</v>
      </c>
      <c r="H569" s="0" t="s">
        <v>625</v>
      </c>
      <c r="I569" s="0" t="s">
        <v>626</v>
      </c>
      <c r="J569" s="0" t="s">
        <v>627</v>
      </c>
      <c r="K569" s="475" t="n">
        <v>36861</v>
      </c>
      <c r="L569" s="254" t="n">
        <v>122763.295052255</v>
      </c>
      <c r="M569" s="475" t="n">
        <v>36859</v>
      </c>
      <c r="N569" s="0" t="s">
        <v>136</v>
      </c>
      <c r="O569" s="0" t="n">
        <v>0.3</v>
      </c>
      <c r="P569" s="0" t="n">
        <v>0</v>
      </c>
      <c r="Q569" s="0" t="n">
        <v>0</v>
      </c>
      <c r="R569" s="0" t="n">
        <v>0</v>
      </c>
      <c r="S569" s="0" t="n">
        <v>0</v>
      </c>
      <c r="T569" s="0" t="s">
        <v>624</v>
      </c>
      <c r="U569" s="0" t="s">
        <v>137</v>
      </c>
      <c r="V569" s="0" t="s">
        <v>624</v>
      </c>
      <c r="W569" s="0" t="s">
        <v>569</v>
      </c>
      <c r="X569" s="0" t="s">
        <v>624</v>
      </c>
      <c r="Y569" s="0" t="s">
        <v>627</v>
      </c>
      <c r="Z569" s="0" t="s">
        <v>629</v>
      </c>
      <c r="AA569" s="0" t="s">
        <v>624</v>
      </c>
      <c r="AB569" s="0" t="s">
        <v>132</v>
      </c>
      <c r="AC569" s="254" t="n">
        <v>155000</v>
      </c>
      <c r="AD569" s="254" t="n">
        <v>7095.81719147449</v>
      </c>
      <c r="AE569" s="0" t="n">
        <v>0</v>
      </c>
      <c r="AF569" s="0" t="n">
        <v>0</v>
      </c>
      <c r="AG569" s="0" t="n">
        <v>0</v>
      </c>
      <c r="AH569" s="254" t="n">
        <v>17867.5503378849</v>
      </c>
      <c r="AI569" s="0" t="n">
        <v>226</v>
      </c>
      <c r="AJ569" s="0" t="s">
        <v>630</v>
      </c>
      <c r="AK569" s="0" t="n">
        <v>0</v>
      </c>
      <c r="AL569" s="0" t="n">
        <v>0</v>
      </c>
      <c r="AM569" s="0" t="n">
        <v>0</v>
      </c>
    </row>
    <row r="570" customFormat="false" ht="12.75" hidden="false" customHeight="false" outlineLevel="0" collapsed="false">
      <c r="A570" s="0" t="s">
        <v>621</v>
      </c>
      <c r="B570" s="0" t="s">
        <v>389</v>
      </c>
      <c r="C570" s="0" t="s">
        <v>622</v>
      </c>
      <c r="D570" s="0" t="s">
        <v>623</v>
      </c>
      <c r="E570" s="0" t="s">
        <v>131</v>
      </c>
      <c r="F570" s="0" t="s">
        <v>198</v>
      </c>
      <c r="G570" s="0" t="s">
        <v>628</v>
      </c>
      <c r="H570" s="0" t="s">
        <v>625</v>
      </c>
      <c r="I570" s="0" t="s">
        <v>626</v>
      </c>
      <c r="J570" s="0" t="s">
        <v>627</v>
      </c>
      <c r="K570" s="475" t="n">
        <v>36831</v>
      </c>
      <c r="L570" s="254" t="n">
        <v>186521.285725375</v>
      </c>
      <c r="M570" s="475" t="n">
        <v>36829</v>
      </c>
      <c r="N570" s="0" t="s">
        <v>136</v>
      </c>
      <c r="O570" s="0" t="n">
        <v>0.3</v>
      </c>
      <c r="P570" s="0" t="n">
        <v>0</v>
      </c>
      <c r="Q570" s="0" t="n">
        <v>0</v>
      </c>
      <c r="R570" s="0" t="n">
        <v>0</v>
      </c>
      <c r="S570" s="0" t="n">
        <v>0</v>
      </c>
      <c r="T570" s="0" t="s">
        <v>624</v>
      </c>
      <c r="U570" s="0" t="s">
        <v>137</v>
      </c>
      <c r="V570" s="0" t="s">
        <v>624</v>
      </c>
      <c r="W570" s="0" t="s">
        <v>569</v>
      </c>
      <c r="X570" s="0" t="s">
        <v>624</v>
      </c>
      <c r="Y570" s="0" t="s">
        <v>627</v>
      </c>
      <c r="Z570" s="0" t="s">
        <v>629</v>
      </c>
      <c r="AA570" s="0" t="s">
        <v>624</v>
      </c>
      <c r="AB570" s="0" t="s">
        <v>132</v>
      </c>
      <c r="AC570" s="254" t="n">
        <v>150000</v>
      </c>
      <c r="AD570" s="254" t="n">
        <v>1843.78437713088</v>
      </c>
      <c r="AE570" s="0" t="n">
        <v>0</v>
      </c>
      <c r="AF570" s="0" t="n">
        <v>0</v>
      </c>
      <c r="AG570" s="0" t="n">
        <v>0</v>
      </c>
      <c r="AH570" s="254" t="n">
        <v>29607.2538979808</v>
      </c>
      <c r="AI570" s="0" t="n">
        <v>226</v>
      </c>
      <c r="AJ570" s="0" t="s">
        <v>630</v>
      </c>
      <c r="AK570" s="0" t="n">
        <v>0</v>
      </c>
      <c r="AL570" s="0" t="n">
        <v>0</v>
      </c>
      <c r="AM570" s="0" t="n">
        <v>0</v>
      </c>
    </row>
    <row r="571" customFormat="false" ht="12.75" hidden="false" customHeight="false" outlineLevel="0" collapsed="false">
      <c r="A571" s="0" t="s">
        <v>621</v>
      </c>
      <c r="B571" s="0" t="s">
        <v>635</v>
      </c>
      <c r="C571" s="0" t="s">
        <v>622</v>
      </c>
      <c r="D571" s="0" t="s">
        <v>623</v>
      </c>
      <c r="E571" s="0" t="s">
        <v>131</v>
      </c>
      <c r="F571" s="0" t="s">
        <v>206</v>
      </c>
      <c r="G571" s="0" t="s">
        <v>628</v>
      </c>
      <c r="H571" s="0" t="s">
        <v>625</v>
      </c>
      <c r="I571" s="0" t="s">
        <v>626</v>
      </c>
      <c r="J571" s="0" t="s">
        <v>627</v>
      </c>
      <c r="K571" s="475" t="n">
        <v>36800</v>
      </c>
      <c r="L571" s="254" t="n">
        <v>-18892.8637223795</v>
      </c>
      <c r="M571" s="475" t="n">
        <v>36797</v>
      </c>
      <c r="N571" s="0" t="s">
        <v>132</v>
      </c>
      <c r="O571" s="0" t="n">
        <v>0.3</v>
      </c>
      <c r="P571" s="0" t="n">
        <v>0</v>
      </c>
      <c r="Q571" s="0" t="n">
        <v>0</v>
      </c>
      <c r="R571" s="0" t="n">
        <v>0</v>
      </c>
      <c r="S571" s="0" t="n">
        <v>0</v>
      </c>
      <c r="T571" s="0" t="s">
        <v>624</v>
      </c>
      <c r="U571" s="0" t="s">
        <v>149</v>
      </c>
      <c r="V571" s="0" t="s">
        <v>624</v>
      </c>
      <c r="W571" s="0" t="s">
        <v>569</v>
      </c>
      <c r="X571" s="0" t="s">
        <v>624</v>
      </c>
      <c r="Y571" s="0" t="s">
        <v>627</v>
      </c>
      <c r="Z571" s="0" t="s">
        <v>629</v>
      </c>
      <c r="AA571" s="0" t="s">
        <v>624</v>
      </c>
      <c r="AB571" s="0" t="s">
        <v>132</v>
      </c>
      <c r="AC571" s="254" t="n">
        <v>-2550000</v>
      </c>
      <c r="AD571" s="254" t="n">
        <v>-9981.01590708527</v>
      </c>
      <c r="AE571" s="0" t="n">
        <v>0</v>
      </c>
      <c r="AF571" s="0" t="n">
        <v>0</v>
      </c>
      <c r="AG571" s="0" t="n">
        <v>0</v>
      </c>
      <c r="AH571" s="254" t="n">
        <v>-577.909971876034</v>
      </c>
      <c r="AI571" s="0" t="n">
        <v>226</v>
      </c>
      <c r="AJ571" s="0" t="s">
        <v>630</v>
      </c>
      <c r="AK571" s="0" t="n">
        <v>0</v>
      </c>
      <c r="AL571" s="0" t="n">
        <v>0</v>
      </c>
      <c r="AM571" s="0" t="n">
        <v>0</v>
      </c>
    </row>
    <row r="572" customFormat="false" ht="12.75" hidden="false" customHeight="false" outlineLevel="0" collapsed="false">
      <c r="A572" s="0" t="s">
        <v>621</v>
      </c>
      <c r="B572" s="0" t="s">
        <v>390</v>
      </c>
      <c r="C572" s="0" t="s">
        <v>622</v>
      </c>
      <c r="D572" s="0" t="s">
        <v>623</v>
      </c>
      <c r="E572" s="0" t="s">
        <v>131</v>
      </c>
      <c r="F572" s="0" t="s">
        <v>198</v>
      </c>
      <c r="G572" s="0" t="s">
        <v>628</v>
      </c>
      <c r="H572" s="0" t="s">
        <v>625</v>
      </c>
      <c r="I572" s="0" t="s">
        <v>626</v>
      </c>
      <c r="J572" s="0" t="s">
        <v>627</v>
      </c>
      <c r="K572" s="475" t="n">
        <v>36800</v>
      </c>
      <c r="L572" s="254" t="n">
        <v>1284011.87823004</v>
      </c>
      <c r="M572" s="475" t="n">
        <v>36797</v>
      </c>
      <c r="N572" s="0" t="s">
        <v>136</v>
      </c>
      <c r="O572" s="0" t="n">
        <v>0.7</v>
      </c>
      <c r="P572" s="0" t="n">
        <v>0</v>
      </c>
      <c r="Q572" s="0" t="n">
        <v>0</v>
      </c>
      <c r="R572" s="0" t="n">
        <v>0</v>
      </c>
      <c r="S572" s="0" t="n">
        <v>0</v>
      </c>
      <c r="T572" s="0" t="s">
        <v>624</v>
      </c>
      <c r="U572" s="0" t="s">
        <v>137</v>
      </c>
      <c r="V572" s="0" t="s">
        <v>624</v>
      </c>
      <c r="W572" s="0" t="s">
        <v>569</v>
      </c>
      <c r="X572" s="0" t="s">
        <v>624</v>
      </c>
      <c r="Y572" s="0" t="s">
        <v>627</v>
      </c>
      <c r="Z572" s="0" t="s">
        <v>629</v>
      </c>
      <c r="AA572" s="0" t="s">
        <v>624</v>
      </c>
      <c r="AB572" s="0" t="s">
        <v>132</v>
      </c>
      <c r="AC572" s="254" t="n">
        <v>1000000</v>
      </c>
      <c r="AD572" s="254" t="n">
        <v>2074.12009283761</v>
      </c>
      <c r="AE572" s="0" t="n">
        <v>0</v>
      </c>
      <c r="AF572" s="0" t="n">
        <v>0</v>
      </c>
      <c r="AG572" s="0" t="n">
        <v>0</v>
      </c>
      <c r="AH572" s="254" t="n">
        <v>-39343.3187913082</v>
      </c>
      <c r="AI572" s="0" t="n">
        <v>226</v>
      </c>
      <c r="AJ572" s="0" t="s">
        <v>630</v>
      </c>
      <c r="AK572" s="0" t="n">
        <v>0</v>
      </c>
      <c r="AL572" s="0" t="n">
        <v>0</v>
      </c>
      <c r="AM572" s="0" t="n">
        <v>0</v>
      </c>
    </row>
    <row r="573" customFormat="false" ht="12.75" hidden="false" customHeight="false" outlineLevel="0" collapsed="false">
      <c r="A573" s="0" t="s">
        <v>621</v>
      </c>
      <c r="B573" s="0" t="s">
        <v>390</v>
      </c>
      <c r="C573" s="0" t="s">
        <v>622</v>
      </c>
      <c r="D573" s="0" t="s">
        <v>623</v>
      </c>
      <c r="E573" s="0" t="s">
        <v>131</v>
      </c>
      <c r="F573" s="0" t="s">
        <v>198</v>
      </c>
      <c r="G573" s="0" t="s">
        <v>628</v>
      </c>
      <c r="H573" s="0" t="s">
        <v>625</v>
      </c>
      <c r="I573" s="0" t="s">
        <v>626</v>
      </c>
      <c r="J573" s="0" t="s">
        <v>627</v>
      </c>
      <c r="K573" s="475" t="n">
        <v>36770</v>
      </c>
      <c r="L573" s="254" t="n">
        <v>1799337.85736994</v>
      </c>
      <c r="M573" s="475" t="n">
        <v>36768</v>
      </c>
      <c r="N573" s="0" t="s">
        <v>136</v>
      </c>
      <c r="O573" s="0" t="n">
        <v>0.7</v>
      </c>
      <c r="P573" s="0" t="n">
        <v>0</v>
      </c>
      <c r="Q573" s="0" t="n">
        <v>0</v>
      </c>
      <c r="R573" s="0" t="n">
        <v>0</v>
      </c>
      <c r="S573" s="0" t="n">
        <v>0</v>
      </c>
      <c r="T573" s="0" t="s">
        <v>624</v>
      </c>
      <c r="U573" s="0" t="s">
        <v>137</v>
      </c>
      <c r="V573" s="0" t="s">
        <v>624</v>
      </c>
      <c r="W573" s="0" t="s">
        <v>569</v>
      </c>
      <c r="X573" s="0" t="s">
        <v>624</v>
      </c>
      <c r="Y573" s="0" t="s">
        <v>627</v>
      </c>
      <c r="Z573" s="0" t="s">
        <v>629</v>
      </c>
      <c r="AA573" s="0" t="s">
        <v>624</v>
      </c>
      <c r="AB573" s="0" t="s">
        <v>132</v>
      </c>
      <c r="AC573" s="254" t="n">
        <v>1000000</v>
      </c>
      <c r="AD573" s="254" t="n">
        <v>-0.0399028599495068</v>
      </c>
      <c r="AE573" s="0" t="n">
        <v>0</v>
      </c>
      <c r="AF573" s="0" t="n">
        <v>0</v>
      </c>
      <c r="AG573" s="0" t="n">
        <v>0</v>
      </c>
      <c r="AH573" s="254" t="n">
        <v>264756.490469828</v>
      </c>
      <c r="AI573" s="0" t="n">
        <v>226</v>
      </c>
      <c r="AJ573" s="0" t="s">
        <v>630</v>
      </c>
      <c r="AK573" s="0" t="n">
        <v>0</v>
      </c>
      <c r="AL573" s="0" t="n">
        <v>0</v>
      </c>
      <c r="AM573" s="0" t="n">
        <v>0</v>
      </c>
    </row>
    <row r="574" customFormat="false" ht="12.75" hidden="false" customHeight="false" outlineLevel="0" collapsed="false">
      <c r="A574" s="0" t="s">
        <v>621</v>
      </c>
      <c r="B574" s="0" t="s">
        <v>391</v>
      </c>
      <c r="C574" s="0" t="s">
        <v>622</v>
      </c>
      <c r="D574" s="0" t="s">
        <v>623</v>
      </c>
      <c r="E574" s="0" t="s">
        <v>131</v>
      </c>
      <c r="F574" s="0" t="s">
        <v>212</v>
      </c>
      <c r="G574" s="0" t="s">
        <v>628</v>
      </c>
      <c r="H574" s="0" t="s">
        <v>625</v>
      </c>
      <c r="I574" s="0" t="s">
        <v>626</v>
      </c>
      <c r="J574" s="0" t="s">
        <v>627</v>
      </c>
      <c r="K574" s="475" t="n">
        <v>36800</v>
      </c>
      <c r="L574" s="254" t="n">
        <v>-64.9120295060734</v>
      </c>
      <c r="M574" s="475" t="n">
        <v>36797</v>
      </c>
      <c r="N574" s="0" t="s">
        <v>132</v>
      </c>
      <c r="O574" s="0" t="n">
        <v>0.5</v>
      </c>
      <c r="P574" s="0" t="n">
        <v>0</v>
      </c>
      <c r="Q574" s="0" t="n">
        <v>0</v>
      </c>
      <c r="R574" s="0" t="n">
        <v>0</v>
      </c>
      <c r="S574" s="0" t="n">
        <v>0</v>
      </c>
      <c r="T574" s="0" t="s">
        <v>624</v>
      </c>
      <c r="U574" s="0" t="s">
        <v>137</v>
      </c>
      <c r="V574" s="0" t="s">
        <v>624</v>
      </c>
      <c r="W574" s="0" t="s">
        <v>569</v>
      </c>
      <c r="X574" s="0" t="s">
        <v>624</v>
      </c>
      <c r="Y574" s="0" t="s">
        <v>627</v>
      </c>
      <c r="Z574" s="0" t="s">
        <v>629</v>
      </c>
      <c r="AA574" s="0" t="s">
        <v>624</v>
      </c>
      <c r="AB574" s="0" t="s">
        <v>132</v>
      </c>
      <c r="AC574" s="254" t="n">
        <v>-155000</v>
      </c>
      <c r="AD574" s="254" t="n">
        <v>-119.302285280839</v>
      </c>
      <c r="AE574" s="0" t="n">
        <v>0</v>
      </c>
      <c r="AF574" s="0" t="n">
        <v>0</v>
      </c>
      <c r="AG574" s="0" t="n">
        <v>0</v>
      </c>
      <c r="AH574" s="254" t="n">
        <v>-21.3241577874967</v>
      </c>
      <c r="AI574" s="0" t="n">
        <v>226</v>
      </c>
      <c r="AJ574" s="0" t="s">
        <v>630</v>
      </c>
      <c r="AK574" s="0" t="n">
        <v>0</v>
      </c>
      <c r="AL574" s="0" t="n">
        <v>0</v>
      </c>
      <c r="AM574" s="0" t="n">
        <v>0</v>
      </c>
    </row>
    <row r="575" customFormat="false" ht="12.75" hidden="false" customHeight="false" outlineLevel="0" collapsed="false">
      <c r="A575" s="0" t="s">
        <v>621</v>
      </c>
      <c r="B575" s="0" t="s">
        <v>391</v>
      </c>
      <c r="C575" s="0" t="s">
        <v>622</v>
      </c>
      <c r="D575" s="0" t="s">
        <v>623</v>
      </c>
      <c r="E575" s="0" t="s">
        <v>131</v>
      </c>
      <c r="F575" s="0" t="s">
        <v>212</v>
      </c>
      <c r="G575" s="0" t="s">
        <v>628</v>
      </c>
      <c r="H575" s="0" t="s">
        <v>625</v>
      </c>
      <c r="I575" s="0" t="s">
        <v>626</v>
      </c>
      <c r="J575" s="0" t="s">
        <v>627</v>
      </c>
      <c r="K575" s="475" t="n">
        <v>36770</v>
      </c>
      <c r="L575" s="254" t="n">
        <v>-0.0393266814197046</v>
      </c>
      <c r="M575" s="475" t="n">
        <v>36768</v>
      </c>
      <c r="N575" s="0" t="s">
        <v>132</v>
      </c>
      <c r="O575" s="0" t="n">
        <v>0.5</v>
      </c>
      <c r="P575" s="0" t="n">
        <v>0</v>
      </c>
      <c r="Q575" s="0" t="n">
        <v>0</v>
      </c>
      <c r="R575" s="0" t="n">
        <v>0</v>
      </c>
      <c r="S575" s="0" t="n">
        <v>0</v>
      </c>
      <c r="T575" s="0" t="s">
        <v>624</v>
      </c>
      <c r="U575" s="0" t="s">
        <v>137</v>
      </c>
      <c r="V575" s="0" t="s">
        <v>624</v>
      </c>
      <c r="W575" s="0" t="s">
        <v>569</v>
      </c>
      <c r="X575" s="0" t="s">
        <v>624</v>
      </c>
      <c r="Y575" s="0" t="s">
        <v>627</v>
      </c>
      <c r="Z575" s="0" t="s">
        <v>629</v>
      </c>
      <c r="AA575" s="0" t="s">
        <v>624</v>
      </c>
      <c r="AB575" s="0" t="s">
        <v>132</v>
      </c>
      <c r="AC575" s="254" t="n">
        <v>-150000</v>
      </c>
      <c r="AD575" s="254" t="n">
        <v>0.00598542873597729</v>
      </c>
      <c r="AE575" s="0" t="n">
        <v>0</v>
      </c>
      <c r="AF575" s="0" t="n">
        <v>0</v>
      </c>
      <c r="AG575" s="0" t="n">
        <v>0</v>
      </c>
      <c r="AH575" s="254" t="n">
        <v>-0.0051995168171004</v>
      </c>
      <c r="AI575" s="0" t="n">
        <v>226</v>
      </c>
      <c r="AJ575" s="0" t="s">
        <v>630</v>
      </c>
      <c r="AK575" s="0" t="n">
        <v>0</v>
      </c>
      <c r="AL575" s="0" t="n">
        <v>0</v>
      </c>
      <c r="AM575" s="0" t="n">
        <v>0</v>
      </c>
    </row>
    <row r="576" customFormat="false" ht="12.75" hidden="false" customHeight="false" outlineLevel="0" collapsed="false">
      <c r="A576" s="0" t="s">
        <v>621</v>
      </c>
      <c r="B576" s="0" t="s">
        <v>392</v>
      </c>
      <c r="C576" s="0" t="s">
        <v>622</v>
      </c>
      <c r="D576" s="0" t="s">
        <v>623</v>
      </c>
      <c r="E576" s="0" t="s">
        <v>131</v>
      </c>
      <c r="F576" s="0" t="s">
        <v>345</v>
      </c>
      <c r="G576" s="0" t="s">
        <v>628</v>
      </c>
      <c r="H576" s="0" t="s">
        <v>625</v>
      </c>
      <c r="I576" s="0" t="s">
        <v>626</v>
      </c>
      <c r="J576" s="0" t="s">
        <v>627</v>
      </c>
      <c r="K576" s="475" t="n">
        <v>36831</v>
      </c>
      <c r="L576" s="254" t="n">
        <v>-2325.07877937267</v>
      </c>
      <c r="M576" s="475" t="n">
        <v>36829</v>
      </c>
      <c r="N576" s="0" t="s">
        <v>136</v>
      </c>
      <c r="O576" s="0" t="n">
        <v>0.15</v>
      </c>
      <c r="P576" s="0" t="n">
        <v>0</v>
      </c>
      <c r="Q576" s="0" t="n">
        <v>0</v>
      </c>
      <c r="R576" s="0" t="n">
        <v>0</v>
      </c>
      <c r="S576" s="0" t="n">
        <v>0</v>
      </c>
      <c r="T576" s="0" t="s">
        <v>624</v>
      </c>
      <c r="U576" s="0" t="s">
        <v>632</v>
      </c>
      <c r="V576" s="0" t="s">
        <v>624</v>
      </c>
      <c r="W576" s="0" t="s">
        <v>569</v>
      </c>
      <c r="X576" s="0" t="s">
        <v>624</v>
      </c>
      <c r="Y576" s="0" t="s">
        <v>627</v>
      </c>
      <c r="Z576" s="0" t="s">
        <v>629</v>
      </c>
      <c r="AA576" s="0" t="s">
        <v>624</v>
      </c>
      <c r="AB576" s="0" t="s">
        <v>132</v>
      </c>
      <c r="AC576" s="254" t="n">
        <v>-150000</v>
      </c>
      <c r="AD576" s="254" t="n">
        <v>-867.491134732489</v>
      </c>
      <c r="AE576" s="0" t="n">
        <v>0</v>
      </c>
      <c r="AF576" s="0" t="n">
        <v>0</v>
      </c>
      <c r="AG576" s="0" t="n">
        <v>0</v>
      </c>
      <c r="AH576" s="254" t="n">
        <v>-46.7981078377989</v>
      </c>
      <c r="AI576" s="0" t="n">
        <v>226</v>
      </c>
      <c r="AJ576" s="0" t="s">
        <v>630</v>
      </c>
      <c r="AK576" s="0" t="n">
        <v>0</v>
      </c>
      <c r="AL576" s="0" t="n">
        <v>0</v>
      </c>
      <c r="AM576" s="0" t="n">
        <v>0</v>
      </c>
    </row>
    <row r="577" customFormat="false" ht="12.75" hidden="false" customHeight="false" outlineLevel="0" collapsed="false">
      <c r="A577" s="0" t="s">
        <v>621</v>
      </c>
      <c r="B577" s="0" t="s">
        <v>392</v>
      </c>
      <c r="C577" s="0" t="s">
        <v>622</v>
      </c>
      <c r="D577" s="0" t="s">
        <v>623</v>
      </c>
      <c r="E577" s="0" t="s">
        <v>131</v>
      </c>
      <c r="F577" s="0" t="s">
        <v>345</v>
      </c>
      <c r="G577" s="0" t="s">
        <v>628</v>
      </c>
      <c r="H577" s="0" t="s">
        <v>625</v>
      </c>
      <c r="I577" s="0" t="s">
        <v>626</v>
      </c>
      <c r="J577" s="0" t="s">
        <v>627</v>
      </c>
      <c r="K577" s="475" t="n">
        <v>36861</v>
      </c>
      <c r="L577" s="254" t="n">
        <v>-4237.9759780883</v>
      </c>
      <c r="M577" s="475" t="n">
        <v>36859</v>
      </c>
      <c r="N577" s="0" t="s">
        <v>136</v>
      </c>
      <c r="O577" s="0" t="n">
        <v>0.15</v>
      </c>
      <c r="P577" s="0" t="n">
        <v>0</v>
      </c>
      <c r="Q577" s="0" t="n">
        <v>0</v>
      </c>
      <c r="R577" s="0" t="n">
        <v>0</v>
      </c>
      <c r="S577" s="0" t="n">
        <v>0</v>
      </c>
      <c r="T577" s="0" t="s">
        <v>624</v>
      </c>
      <c r="U577" s="0" t="s">
        <v>632</v>
      </c>
      <c r="V577" s="0" t="s">
        <v>624</v>
      </c>
      <c r="W577" s="0" t="s">
        <v>569</v>
      </c>
      <c r="X577" s="0" t="s">
        <v>624</v>
      </c>
      <c r="Y577" s="0" t="s">
        <v>627</v>
      </c>
      <c r="Z577" s="0" t="s">
        <v>629</v>
      </c>
      <c r="AA577" s="0" t="s">
        <v>624</v>
      </c>
      <c r="AB577" s="0" t="s">
        <v>132</v>
      </c>
      <c r="AC577" s="254" t="n">
        <v>-155000</v>
      </c>
      <c r="AD577" s="254" t="n">
        <v>-1228.28788793598</v>
      </c>
      <c r="AE577" s="0" t="n">
        <v>0</v>
      </c>
      <c r="AF577" s="0" t="n">
        <v>0</v>
      </c>
      <c r="AG577" s="0" t="n">
        <v>0</v>
      </c>
      <c r="AH577" s="254" t="n">
        <v>-61.8407704300516</v>
      </c>
      <c r="AI577" s="0" t="n">
        <v>226</v>
      </c>
      <c r="AJ577" s="0" t="s">
        <v>630</v>
      </c>
      <c r="AK577" s="0" t="n">
        <v>0</v>
      </c>
      <c r="AL577" s="0" t="n">
        <v>0</v>
      </c>
      <c r="AM577" s="0" t="n">
        <v>0</v>
      </c>
    </row>
    <row r="578" customFormat="false" ht="12.75" hidden="false" customHeight="false" outlineLevel="0" collapsed="false">
      <c r="A578" s="0" t="s">
        <v>621</v>
      </c>
      <c r="B578" s="0" t="s">
        <v>392</v>
      </c>
      <c r="C578" s="0" t="s">
        <v>622</v>
      </c>
      <c r="D578" s="0" t="s">
        <v>623</v>
      </c>
      <c r="E578" s="0" t="s">
        <v>131</v>
      </c>
      <c r="F578" s="0" t="s">
        <v>345</v>
      </c>
      <c r="G578" s="0" t="s">
        <v>628</v>
      </c>
      <c r="H578" s="0" t="s">
        <v>625</v>
      </c>
      <c r="I578" s="0" t="s">
        <v>626</v>
      </c>
      <c r="J578" s="0" t="s">
        <v>627</v>
      </c>
      <c r="K578" s="475" t="n">
        <v>36892</v>
      </c>
      <c r="L578" s="254" t="n">
        <v>-6897.97181595108</v>
      </c>
      <c r="M578" s="475" t="n">
        <v>36888</v>
      </c>
      <c r="N578" s="0" t="s">
        <v>136</v>
      </c>
      <c r="O578" s="0" t="n">
        <v>0.15</v>
      </c>
      <c r="P578" s="0" t="n">
        <v>0</v>
      </c>
      <c r="Q578" s="0" t="n">
        <v>0</v>
      </c>
      <c r="R578" s="0" t="n">
        <v>0</v>
      </c>
      <c r="S578" s="0" t="n">
        <v>0</v>
      </c>
      <c r="T578" s="0" t="s">
        <v>624</v>
      </c>
      <c r="U578" s="0" t="s">
        <v>632</v>
      </c>
      <c r="V578" s="0" t="s">
        <v>624</v>
      </c>
      <c r="W578" s="0" t="s">
        <v>569</v>
      </c>
      <c r="X578" s="0" t="s">
        <v>624</v>
      </c>
      <c r="Y578" s="0" t="s">
        <v>627</v>
      </c>
      <c r="Z578" s="0" t="s">
        <v>629</v>
      </c>
      <c r="AA578" s="0" t="s">
        <v>624</v>
      </c>
      <c r="AB578" s="0" t="s">
        <v>132</v>
      </c>
      <c r="AC578" s="254" t="n">
        <v>-155000</v>
      </c>
      <c r="AD578" s="254" t="n">
        <v>-1505.72683180023</v>
      </c>
      <c r="AE578" s="0" t="n">
        <v>0</v>
      </c>
      <c r="AF578" s="0" t="n">
        <v>0</v>
      </c>
      <c r="AG578" s="0" t="n">
        <v>0</v>
      </c>
      <c r="AH578" s="254" t="n">
        <v>-72.4704870944634</v>
      </c>
      <c r="AI578" s="0" t="n">
        <v>226</v>
      </c>
      <c r="AJ578" s="0" t="s">
        <v>630</v>
      </c>
      <c r="AK578" s="0" t="n">
        <v>0</v>
      </c>
      <c r="AL578" s="0" t="n">
        <v>0</v>
      </c>
      <c r="AM578" s="0" t="n">
        <v>0</v>
      </c>
    </row>
    <row r="579" customFormat="false" ht="12.75" hidden="false" customHeight="false" outlineLevel="0" collapsed="false">
      <c r="A579" s="0" t="s">
        <v>621</v>
      </c>
      <c r="B579" s="0" t="s">
        <v>392</v>
      </c>
      <c r="C579" s="0" t="s">
        <v>622</v>
      </c>
      <c r="D579" s="0" t="s">
        <v>623</v>
      </c>
      <c r="E579" s="0" t="s">
        <v>131</v>
      </c>
      <c r="F579" s="0" t="s">
        <v>345</v>
      </c>
      <c r="G579" s="0" t="s">
        <v>628</v>
      </c>
      <c r="H579" s="0" t="s">
        <v>625</v>
      </c>
      <c r="I579" s="0" t="s">
        <v>626</v>
      </c>
      <c r="J579" s="0" t="s">
        <v>627</v>
      </c>
      <c r="K579" s="475" t="n">
        <v>36923</v>
      </c>
      <c r="L579" s="254" t="n">
        <v>-7249.05128040404</v>
      </c>
      <c r="M579" s="475" t="n">
        <v>36921</v>
      </c>
      <c r="N579" s="0" t="s">
        <v>136</v>
      </c>
      <c r="O579" s="0" t="n">
        <v>0.15</v>
      </c>
      <c r="P579" s="0" t="n">
        <v>0</v>
      </c>
      <c r="Q579" s="0" t="n">
        <v>0</v>
      </c>
      <c r="R579" s="0" t="n">
        <v>0</v>
      </c>
      <c r="S579" s="0" t="n">
        <v>0</v>
      </c>
      <c r="T579" s="0" t="s">
        <v>624</v>
      </c>
      <c r="U579" s="0" t="s">
        <v>632</v>
      </c>
      <c r="V579" s="0" t="s">
        <v>624</v>
      </c>
      <c r="W579" s="0" t="s">
        <v>569</v>
      </c>
      <c r="X579" s="0" t="s">
        <v>624</v>
      </c>
      <c r="Y579" s="0" t="s">
        <v>627</v>
      </c>
      <c r="Z579" s="0" t="s">
        <v>629</v>
      </c>
      <c r="AA579" s="0" t="s">
        <v>624</v>
      </c>
      <c r="AB579" s="0" t="s">
        <v>132</v>
      </c>
      <c r="AC579" s="254" t="n">
        <v>-140000</v>
      </c>
      <c r="AD579" s="254" t="n">
        <v>-1494.33561244644</v>
      </c>
      <c r="AE579" s="0" t="n">
        <v>0</v>
      </c>
      <c r="AF579" s="0" t="n">
        <v>0</v>
      </c>
      <c r="AG579" s="0" t="n">
        <v>0</v>
      </c>
      <c r="AH579" s="254" t="n">
        <v>-71.7191987471442</v>
      </c>
      <c r="AI579" s="0" t="n">
        <v>226</v>
      </c>
      <c r="AJ579" s="0" t="s">
        <v>630</v>
      </c>
      <c r="AK579" s="0" t="n">
        <v>0</v>
      </c>
      <c r="AL579" s="0" t="n">
        <v>0</v>
      </c>
      <c r="AM579" s="0" t="n">
        <v>0</v>
      </c>
    </row>
    <row r="580" customFormat="false" ht="12.75" hidden="false" customHeight="false" outlineLevel="0" collapsed="false">
      <c r="A580" s="0" t="s">
        <v>621</v>
      </c>
      <c r="B580" s="0" t="s">
        <v>392</v>
      </c>
      <c r="C580" s="0" t="s">
        <v>622</v>
      </c>
      <c r="D580" s="0" t="s">
        <v>623</v>
      </c>
      <c r="E580" s="0" t="s">
        <v>131</v>
      </c>
      <c r="F580" s="0" t="s">
        <v>345</v>
      </c>
      <c r="G580" s="0" t="s">
        <v>628</v>
      </c>
      <c r="H580" s="0" t="s">
        <v>625</v>
      </c>
      <c r="I580" s="0" t="s">
        <v>626</v>
      </c>
      <c r="J580" s="0" t="s">
        <v>627</v>
      </c>
      <c r="K580" s="475" t="n">
        <v>36951</v>
      </c>
      <c r="L580" s="254" t="n">
        <v>-6333.07378028289</v>
      </c>
      <c r="M580" s="475" t="n">
        <v>36949</v>
      </c>
      <c r="N580" s="0" t="s">
        <v>136</v>
      </c>
      <c r="O580" s="0" t="n">
        <v>0.15</v>
      </c>
      <c r="P580" s="0" t="n">
        <v>0</v>
      </c>
      <c r="Q580" s="0" t="n">
        <v>0</v>
      </c>
      <c r="R580" s="0" t="n">
        <v>0</v>
      </c>
      <c r="S580" s="0" t="n">
        <v>0</v>
      </c>
      <c r="T580" s="0" t="s">
        <v>624</v>
      </c>
      <c r="U580" s="0" t="s">
        <v>632</v>
      </c>
      <c r="V580" s="0" t="s">
        <v>624</v>
      </c>
      <c r="W580" s="0" t="s">
        <v>569</v>
      </c>
      <c r="X580" s="0" t="s">
        <v>624</v>
      </c>
      <c r="Y580" s="0" t="s">
        <v>627</v>
      </c>
      <c r="Z580" s="0" t="s">
        <v>629</v>
      </c>
      <c r="AA580" s="0" t="s">
        <v>624</v>
      </c>
      <c r="AB580" s="0" t="s">
        <v>132</v>
      </c>
      <c r="AC580" s="254" t="n">
        <v>-155000</v>
      </c>
      <c r="AD580" s="254" t="n">
        <v>-1573.58961382547</v>
      </c>
      <c r="AE580" s="0" t="n">
        <v>0</v>
      </c>
      <c r="AF580" s="0" t="n">
        <v>0</v>
      </c>
      <c r="AG580" s="0" t="n">
        <v>0</v>
      </c>
      <c r="AH580" s="254" t="n">
        <v>-80.0251684645655</v>
      </c>
      <c r="AI580" s="0" t="n">
        <v>226</v>
      </c>
      <c r="AJ580" s="0" t="s">
        <v>630</v>
      </c>
      <c r="AK580" s="0" t="n">
        <v>0</v>
      </c>
      <c r="AL580" s="0" t="n">
        <v>0</v>
      </c>
      <c r="AM580" s="0" t="n">
        <v>0</v>
      </c>
    </row>
    <row r="581" customFormat="false" ht="12.75" hidden="false" customHeight="false" outlineLevel="0" collapsed="false">
      <c r="A581" s="0" t="s">
        <v>621</v>
      </c>
      <c r="B581" s="0" t="s">
        <v>393</v>
      </c>
      <c r="C581" s="0" t="s">
        <v>622</v>
      </c>
      <c r="D581" s="0" t="s">
        <v>623</v>
      </c>
      <c r="E581" s="0" t="s">
        <v>131</v>
      </c>
      <c r="F581" s="0" t="s">
        <v>196</v>
      </c>
      <c r="G581" s="0" t="s">
        <v>628</v>
      </c>
      <c r="H581" s="0" t="s">
        <v>625</v>
      </c>
      <c r="I581" s="0" t="s">
        <v>626</v>
      </c>
      <c r="J581" s="0" t="s">
        <v>627</v>
      </c>
      <c r="K581" s="475" t="n">
        <v>36831</v>
      </c>
      <c r="L581" s="254" t="n">
        <v>-15472.0323585834</v>
      </c>
      <c r="M581" s="475" t="n">
        <v>36829</v>
      </c>
      <c r="N581" s="0" t="s">
        <v>136</v>
      </c>
      <c r="O581" s="0" t="n">
        <v>-0.15</v>
      </c>
      <c r="P581" s="0" t="n">
        <v>0</v>
      </c>
      <c r="Q581" s="0" t="n">
        <v>0</v>
      </c>
      <c r="R581" s="0" t="n">
        <v>0</v>
      </c>
      <c r="S581" s="0" t="n">
        <v>0</v>
      </c>
      <c r="T581" s="0" t="s">
        <v>624</v>
      </c>
      <c r="U581" s="0" t="s">
        <v>68</v>
      </c>
      <c r="V581" s="0" t="s">
        <v>624</v>
      </c>
      <c r="W581" s="0" t="s">
        <v>569</v>
      </c>
      <c r="X581" s="0" t="s">
        <v>624</v>
      </c>
      <c r="Y581" s="0" t="s">
        <v>627</v>
      </c>
      <c r="Z581" s="0" t="s">
        <v>629</v>
      </c>
      <c r="AA581" s="0" t="s">
        <v>624</v>
      </c>
      <c r="AB581" s="0" t="s">
        <v>132</v>
      </c>
      <c r="AC581" s="254" t="n">
        <v>-300000</v>
      </c>
      <c r="AD581" s="254" t="n">
        <v>-2778.26103313602</v>
      </c>
      <c r="AE581" s="0" t="n">
        <v>0</v>
      </c>
      <c r="AF581" s="0" t="n">
        <v>0</v>
      </c>
      <c r="AG581" s="0" t="n">
        <v>0</v>
      </c>
      <c r="AH581" s="254" t="n">
        <v>244.76982637145</v>
      </c>
      <c r="AI581" s="0" t="n">
        <v>226</v>
      </c>
      <c r="AJ581" s="0" t="s">
        <v>630</v>
      </c>
      <c r="AK581" s="0" t="n">
        <v>0</v>
      </c>
      <c r="AL581" s="0" t="n">
        <v>0</v>
      </c>
      <c r="AM581" s="0" t="n">
        <v>0</v>
      </c>
    </row>
    <row r="582" customFormat="false" ht="12.75" hidden="false" customHeight="false" outlineLevel="0" collapsed="false">
      <c r="A582" s="0" t="s">
        <v>621</v>
      </c>
      <c r="B582" s="0" t="s">
        <v>393</v>
      </c>
      <c r="C582" s="0" t="s">
        <v>622</v>
      </c>
      <c r="D582" s="0" t="s">
        <v>623</v>
      </c>
      <c r="E582" s="0" t="s">
        <v>131</v>
      </c>
      <c r="F582" s="0" t="s">
        <v>196</v>
      </c>
      <c r="G582" s="0" t="s">
        <v>628</v>
      </c>
      <c r="H582" s="0" t="s">
        <v>625</v>
      </c>
      <c r="I582" s="0" t="s">
        <v>626</v>
      </c>
      <c r="J582" s="0" t="s">
        <v>627</v>
      </c>
      <c r="K582" s="475" t="n">
        <v>36861</v>
      </c>
      <c r="L582" s="254" t="n">
        <v>-17886.7498907873</v>
      </c>
      <c r="M582" s="475" t="n">
        <v>36859</v>
      </c>
      <c r="N582" s="0" t="s">
        <v>136</v>
      </c>
      <c r="O582" s="0" t="n">
        <v>-0.15</v>
      </c>
      <c r="P582" s="0" t="n">
        <v>0</v>
      </c>
      <c r="Q582" s="0" t="n">
        <v>0</v>
      </c>
      <c r="R582" s="0" t="n">
        <v>0</v>
      </c>
      <c r="S582" s="0" t="n">
        <v>0</v>
      </c>
      <c r="T582" s="0" t="s">
        <v>624</v>
      </c>
      <c r="U582" s="0" t="s">
        <v>68</v>
      </c>
      <c r="V582" s="0" t="s">
        <v>624</v>
      </c>
      <c r="W582" s="0" t="s">
        <v>569</v>
      </c>
      <c r="X582" s="0" t="s">
        <v>624</v>
      </c>
      <c r="Y582" s="0" t="s">
        <v>627</v>
      </c>
      <c r="Z582" s="0" t="s">
        <v>629</v>
      </c>
      <c r="AA582" s="0" t="s">
        <v>624</v>
      </c>
      <c r="AB582" s="0" t="s">
        <v>132</v>
      </c>
      <c r="AC582" s="254" t="n">
        <v>-310000</v>
      </c>
      <c r="AD582" s="254" t="n">
        <v>-3504.09339461851</v>
      </c>
      <c r="AE582" s="0" t="n">
        <v>0</v>
      </c>
      <c r="AF582" s="0" t="n">
        <v>0</v>
      </c>
      <c r="AG582" s="0" t="n">
        <v>0</v>
      </c>
      <c r="AH582" s="254" t="n">
        <v>204.767113574504</v>
      </c>
      <c r="AI582" s="0" t="n">
        <v>226</v>
      </c>
      <c r="AJ582" s="0" t="s">
        <v>630</v>
      </c>
      <c r="AK582" s="0" t="n">
        <v>0</v>
      </c>
      <c r="AL582" s="0" t="n">
        <v>0</v>
      </c>
      <c r="AM582" s="0" t="n">
        <v>0</v>
      </c>
    </row>
    <row r="583" customFormat="false" ht="12.75" hidden="false" customHeight="false" outlineLevel="0" collapsed="false">
      <c r="A583" s="0" t="s">
        <v>621</v>
      </c>
      <c r="B583" s="0" t="s">
        <v>393</v>
      </c>
      <c r="C583" s="0" t="s">
        <v>622</v>
      </c>
      <c r="D583" s="0" t="s">
        <v>623</v>
      </c>
      <c r="E583" s="0" t="s">
        <v>131</v>
      </c>
      <c r="F583" s="0" t="s">
        <v>196</v>
      </c>
      <c r="G583" s="0" t="s">
        <v>628</v>
      </c>
      <c r="H583" s="0" t="s">
        <v>625</v>
      </c>
      <c r="I583" s="0" t="s">
        <v>626</v>
      </c>
      <c r="J583" s="0" t="s">
        <v>627</v>
      </c>
      <c r="K583" s="475" t="n">
        <v>36892</v>
      </c>
      <c r="L583" s="254" t="n">
        <v>-19275.1396620173</v>
      </c>
      <c r="M583" s="475" t="n">
        <v>36888</v>
      </c>
      <c r="N583" s="0" t="s">
        <v>136</v>
      </c>
      <c r="O583" s="0" t="n">
        <v>-0.15</v>
      </c>
      <c r="P583" s="0" t="n">
        <v>0</v>
      </c>
      <c r="Q583" s="0" t="n">
        <v>0</v>
      </c>
      <c r="R583" s="0" t="n">
        <v>0</v>
      </c>
      <c r="S583" s="0" t="n">
        <v>0</v>
      </c>
      <c r="T583" s="0" t="s">
        <v>624</v>
      </c>
      <c r="U583" s="0" t="s">
        <v>68</v>
      </c>
      <c r="V583" s="0" t="s">
        <v>624</v>
      </c>
      <c r="W583" s="0" t="s">
        <v>569</v>
      </c>
      <c r="X583" s="0" t="s">
        <v>624</v>
      </c>
      <c r="Y583" s="0" t="s">
        <v>627</v>
      </c>
      <c r="Z583" s="0" t="s">
        <v>629</v>
      </c>
      <c r="AA583" s="0" t="s">
        <v>624</v>
      </c>
      <c r="AB583" s="0" t="s">
        <v>132</v>
      </c>
      <c r="AC583" s="254" t="n">
        <v>-310000</v>
      </c>
      <c r="AD583" s="254" t="n">
        <v>-4010.49287752682</v>
      </c>
      <c r="AE583" s="0" t="n">
        <v>0</v>
      </c>
      <c r="AF583" s="0" t="n">
        <v>0</v>
      </c>
      <c r="AG583" s="0" t="n">
        <v>0</v>
      </c>
      <c r="AH583" s="254" t="n">
        <v>173.386335055919</v>
      </c>
      <c r="AI583" s="0" t="n">
        <v>226</v>
      </c>
      <c r="AJ583" s="0" t="s">
        <v>630</v>
      </c>
      <c r="AK583" s="0" t="n">
        <v>0</v>
      </c>
      <c r="AL583" s="0" t="n">
        <v>0</v>
      </c>
      <c r="AM583" s="0" t="n">
        <v>0</v>
      </c>
    </row>
    <row r="584" customFormat="false" ht="12.75" hidden="false" customHeight="false" outlineLevel="0" collapsed="false">
      <c r="A584" s="0" t="s">
        <v>621</v>
      </c>
      <c r="B584" s="0" t="s">
        <v>393</v>
      </c>
      <c r="C584" s="0" t="s">
        <v>622</v>
      </c>
      <c r="D584" s="0" t="s">
        <v>623</v>
      </c>
      <c r="E584" s="0" t="s">
        <v>131</v>
      </c>
      <c r="F584" s="0" t="s">
        <v>196</v>
      </c>
      <c r="G584" s="0" t="s">
        <v>628</v>
      </c>
      <c r="H584" s="0" t="s">
        <v>625</v>
      </c>
      <c r="I584" s="0" t="s">
        <v>626</v>
      </c>
      <c r="J584" s="0" t="s">
        <v>627</v>
      </c>
      <c r="K584" s="475" t="n">
        <v>36923</v>
      </c>
      <c r="L584" s="254" t="n">
        <v>-20191.2380052085</v>
      </c>
      <c r="M584" s="475" t="n">
        <v>36921</v>
      </c>
      <c r="N584" s="0" t="s">
        <v>136</v>
      </c>
      <c r="O584" s="0" t="n">
        <v>-0.15</v>
      </c>
      <c r="P584" s="0" t="n">
        <v>0</v>
      </c>
      <c r="Q584" s="0" t="n">
        <v>0</v>
      </c>
      <c r="R584" s="0" t="n">
        <v>0</v>
      </c>
      <c r="S584" s="0" t="n">
        <v>0</v>
      </c>
      <c r="T584" s="0" t="s">
        <v>624</v>
      </c>
      <c r="U584" s="0" t="s">
        <v>68</v>
      </c>
      <c r="V584" s="0" t="s">
        <v>624</v>
      </c>
      <c r="W584" s="0" t="s">
        <v>569</v>
      </c>
      <c r="X584" s="0" t="s">
        <v>624</v>
      </c>
      <c r="Y584" s="0" t="s">
        <v>627</v>
      </c>
      <c r="Z584" s="0" t="s">
        <v>629</v>
      </c>
      <c r="AA584" s="0" t="s">
        <v>624</v>
      </c>
      <c r="AB584" s="0" t="s">
        <v>132</v>
      </c>
      <c r="AC584" s="254" t="n">
        <v>-280000</v>
      </c>
      <c r="AD584" s="254" t="n">
        <v>-3962.98692134972</v>
      </c>
      <c r="AE584" s="0" t="n">
        <v>0</v>
      </c>
      <c r="AF584" s="0" t="n">
        <v>0</v>
      </c>
      <c r="AG584" s="0" t="n">
        <v>0</v>
      </c>
      <c r="AH584" s="254" t="n">
        <v>162.156639695895</v>
      </c>
      <c r="AI584" s="0" t="n">
        <v>226</v>
      </c>
      <c r="AJ584" s="0" t="s">
        <v>630</v>
      </c>
      <c r="AK584" s="0" t="n">
        <v>0</v>
      </c>
      <c r="AL584" s="0" t="n">
        <v>0</v>
      </c>
      <c r="AM584" s="0" t="n">
        <v>0</v>
      </c>
    </row>
    <row r="585" customFormat="false" ht="12.75" hidden="false" customHeight="false" outlineLevel="0" collapsed="false">
      <c r="A585" s="0" t="s">
        <v>621</v>
      </c>
      <c r="B585" s="0" t="s">
        <v>393</v>
      </c>
      <c r="C585" s="0" t="s">
        <v>622</v>
      </c>
      <c r="D585" s="0" t="s">
        <v>623</v>
      </c>
      <c r="E585" s="0" t="s">
        <v>131</v>
      </c>
      <c r="F585" s="0" t="s">
        <v>196</v>
      </c>
      <c r="G585" s="0" t="s">
        <v>628</v>
      </c>
      <c r="H585" s="0" t="s">
        <v>625</v>
      </c>
      <c r="I585" s="0" t="s">
        <v>626</v>
      </c>
      <c r="J585" s="0" t="s">
        <v>627</v>
      </c>
      <c r="K585" s="475" t="n">
        <v>36951</v>
      </c>
      <c r="L585" s="254" t="n">
        <v>-21768.7421784941</v>
      </c>
      <c r="M585" s="475" t="n">
        <v>36949</v>
      </c>
      <c r="N585" s="0" t="s">
        <v>136</v>
      </c>
      <c r="O585" s="0" t="n">
        <v>-0.15</v>
      </c>
      <c r="P585" s="0" t="n">
        <v>0</v>
      </c>
      <c r="Q585" s="0" t="n">
        <v>0</v>
      </c>
      <c r="R585" s="0" t="n">
        <v>0</v>
      </c>
      <c r="S585" s="0" t="n">
        <v>0</v>
      </c>
      <c r="T585" s="0" t="s">
        <v>624</v>
      </c>
      <c r="U585" s="0" t="s">
        <v>68</v>
      </c>
      <c r="V585" s="0" t="s">
        <v>624</v>
      </c>
      <c r="W585" s="0" t="s">
        <v>569</v>
      </c>
      <c r="X585" s="0" t="s">
        <v>624</v>
      </c>
      <c r="Y585" s="0" t="s">
        <v>627</v>
      </c>
      <c r="Z585" s="0" t="s">
        <v>629</v>
      </c>
      <c r="AA585" s="0" t="s">
        <v>624</v>
      </c>
      <c r="AB585" s="0" t="s">
        <v>132</v>
      </c>
      <c r="AC585" s="254" t="n">
        <v>-310000</v>
      </c>
      <c r="AD585" s="254" t="n">
        <v>-4228.24407110081</v>
      </c>
      <c r="AE585" s="0" t="n">
        <v>0</v>
      </c>
      <c r="AF585" s="0" t="n">
        <v>0</v>
      </c>
      <c r="AG585" s="0" t="n">
        <v>0</v>
      </c>
      <c r="AH585" s="254" t="n">
        <v>187.055316262245</v>
      </c>
      <c r="AI585" s="0" t="n">
        <v>226</v>
      </c>
      <c r="AJ585" s="0" t="s">
        <v>630</v>
      </c>
      <c r="AK585" s="0" t="n">
        <v>0</v>
      </c>
      <c r="AL585" s="0" t="n">
        <v>0</v>
      </c>
      <c r="AM585" s="0" t="n">
        <v>0</v>
      </c>
    </row>
    <row r="586" customFormat="false" ht="12.75" hidden="false" customHeight="false" outlineLevel="0" collapsed="false">
      <c r="A586" s="0" t="s">
        <v>621</v>
      </c>
      <c r="B586" s="0" t="s">
        <v>394</v>
      </c>
      <c r="C586" s="0" t="s">
        <v>622</v>
      </c>
      <c r="D586" s="0" t="s">
        <v>623</v>
      </c>
      <c r="E586" s="0" t="s">
        <v>131</v>
      </c>
      <c r="F586" s="0" t="s">
        <v>198</v>
      </c>
      <c r="G586" s="0" t="s">
        <v>628</v>
      </c>
      <c r="H586" s="0" t="s">
        <v>625</v>
      </c>
      <c r="I586" s="0" t="s">
        <v>626</v>
      </c>
      <c r="J586" s="0" t="s">
        <v>627</v>
      </c>
      <c r="K586" s="475" t="n">
        <v>36831</v>
      </c>
      <c r="L586" s="254" t="n">
        <v>198874.738758276</v>
      </c>
      <c r="M586" s="475" t="n">
        <v>36829</v>
      </c>
      <c r="N586" s="0" t="s">
        <v>132</v>
      </c>
      <c r="O586" s="0" t="n">
        <v>1</v>
      </c>
      <c r="P586" s="0" t="n">
        <v>0</v>
      </c>
      <c r="Q586" s="0" t="n">
        <v>0</v>
      </c>
      <c r="R586" s="0" t="n">
        <v>0</v>
      </c>
      <c r="S586" s="0" t="n">
        <v>0</v>
      </c>
      <c r="T586" s="0" t="s">
        <v>624</v>
      </c>
      <c r="U586" s="0" t="s">
        <v>149</v>
      </c>
      <c r="V586" s="0" t="s">
        <v>624</v>
      </c>
      <c r="W586" s="0" t="s">
        <v>569</v>
      </c>
      <c r="X586" s="0" t="s">
        <v>624</v>
      </c>
      <c r="Y586" s="0" t="s">
        <v>627</v>
      </c>
      <c r="Z586" s="0" t="s">
        <v>629</v>
      </c>
      <c r="AA586" s="0" t="s">
        <v>624</v>
      </c>
      <c r="AB586" s="0" t="s">
        <v>132</v>
      </c>
      <c r="AC586" s="254" t="n">
        <v>500000</v>
      </c>
      <c r="AD586" s="254" t="n">
        <v>20906.9546718727</v>
      </c>
      <c r="AE586" s="0" t="n">
        <v>0</v>
      </c>
      <c r="AF586" s="0" t="n">
        <v>0</v>
      </c>
      <c r="AG586" s="0" t="n">
        <v>0</v>
      </c>
      <c r="AH586" s="254" t="n">
        <v>-11089.0070079881</v>
      </c>
      <c r="AI586" s="0" t="n">
        <v>226</v>
      </c>
      <c r="AJ586" s="0" t="s">
        <v>630</v>
      </c>
      <c r="AK586" s="0" t="n">
        <v>0</v>
      </c>
      <c r="AL586" s="0" t="n">
        <v>0</v>
      </c>
      <c r="AM586" s="0" t="n">
        <v>0</v>
      </c>
    </row>
    <row r="587" customFormat="false" ht="12.75" hidden="false" customHeight="false" outlineLevel="0" collapsed="false">
      <c r="A587" s="0" t="s">
        <v>621</v>
      </c>
      <c r="B587" s="0" t="s">
        <v>394</v>
      </c>
      <c r="C587" s="0" t="s">
        <v>622</v>
      </c>
      <c r="D587" s="0" t="s">
        <v>623</v>
      </c>
      <c r="E587" s="0" t="s">
        <v>131</v>
      </c>
      <c r="F587" s="0" t="s">
        <v>198</v>
      </c>
      <c r="G587" s="0" t="s">
        <v>628</v>
      </c>
      <c r="H587" s="0" t="s">
        <v>625</v>
      </c>
      <c r="I587" s="0" t="s">
        <v>626</v>
      </c>
      <c r="J587" s="0" t="s">
        <v>627</v>
      </c>
      <c r="K587" s="475" t="n">
        <v>36861</v>
      </c>
      <c r="L587" s="254" t="n">
        <v>111797.448559784</v>
      </c>
      <c r="M587" s="475" t="n">
        <v>36859</v>
      </c>
      <c r="N587" s="0" t="s">
        <v>132</v>
      </c>
      <c r="O587" s="0" t="n">
        <v>1</v>
      </c>
      <c r="P587" s="0" t="n">
        <v>0</v>
      </c>
      <c r="Q587" s="0" t="n">
        <v>0</v>
      </c>
      <c r="R587" s="0" t="n">
        <v>0</v>
      </c>
      <c r="S587" s="0" t="n">
        <v>0</v>
      </c>
      <c r="T587" s="0" t="s">
        <v>624</v>
      </c>
      <c r="U587" s="0" t="s">
        <v>149</v>
      </c>
      <c r="V587" s="0" t="s">
        <v>624</v>
      </c>
      <c r="W587" s="0" t="s">
        <v>569</v>
      </c>
      <c r="X587" s="0" t="s">
        <v>624</v>
      </c>
      <c r="Y587" s="0" t="s">
        <v>627</v>
      </c>
      <c r="Z587" s="0" t="s">
        <v>629</v>
      </c>
      <c r="AA587" s="0" t="s">
        <v>624</v>
      </c>
      <c r="AB587" s="0" t="s">
        <v>132</v>
      </c>
      <c r="AC587" s="254" t="n">
        <v>500000</v>
      </c>
      <c r="AD587" s="254" t="n">
        <v>31757.1267130173</v>
      </c>
      <c r="AE587" s="0" t="n">
        <v>0</v>
      </c>
      <c r="AF587" s="0" t="n">
        <v>0</v>
      </c>
      <c r="AG587" s="0" t="n">
        <v>0</v>
      </c>
      <c r="AH587" s="254" t="n">
        <v>-4345.4608277247</v>
      </c>
      <c r="AI587" s="0" t="n">
        <v>226</v>
      </c>
      <c r="AJ587" s="0" t="s">
        <v>630</v>
      </c>
      <c r="AK587" s="0" t="n">
        <v>0</v>
      </c>
      <c r="AL587" s="0" t="n">
        <v>0</v>
      </c>
      <c r="AM587" s="0" t="n">
        <v>0</v>
      </c>
    </row>
    <row r="588" customFormat="false" ht="12.75" hidden="false" customHeight="false" outlineLevel="0" collapsed="false">
      <c r="A588" s="0" t="s">
        <v>621</v>
      </c>
      <c r="B588" s="0" t="s">
        <v>394</v>
      </c>
      <c r="C588" s="0" t="s">
        <v>622</v>
      </c>
      <c r="D588" s="0" t="s">
        <v>623</v>
      </c>
      <c r="E588" s="0" t="s">
        <v>131</v>
      </c>
      <c r="F588" s="0" t="s">
        <v>198</v>
      </c>
      <c r="G588" s="0" t="s">
        <v>628</v>
      </c>
      <c r="H588" s="0" t="s">
        <v>625</v>
      </c>
      <c r="I588" s="0" t="s">
        <v>626</v>
      </c>
      <c r="J588" s="0" t="s">
        <v>627</v>
      </c>
      <c r="K588" s="475" t="n">
        <v>36892</v>
      </c>
      <c r="L588" s="254" t="n">
        <v>83410.8043609005</v>
      </c>
      <c r="M588" s="475" t="n">
        <v>36888</v>
      </c>
      <c r="N588" s="0" t="s">
        <v>132</v>
      </c>
      <c r="O588" s="0" t="n">
        <v>1</v>
      </c>
      <c r="P588" s="0" t="n">
        <v>0</v>
      </c>
      <c r="Q588" s="0" t="n">
        <v>0</v>
      </c>
      <c r="R588" s="0" t="n">
        <v>0</v>
      </c>
      <c r="S588" s="0" t="n">
        <v>0</v>
      </c>
      <c r="T588" s="0" t="s">
        <v>624</v>
      </c>
      <c r="U588" s="0" t="s">
        <v>149</v>
      </c>
      <c r="V588" s="0" t="s">
        <v>624</v>
      </c>
      <c r="W588" s="0" t="s">
        <v>569</v>
      </c>
      <c r="X588" s="0" t="s">
        <v>624</v>
      </c>
      <c r="Y588" s="0" t="s">
        <v>627</v>
      </c>
      <c r="Z588" s="0" t="s">
        <v>629</v>
      </c>
      <c r="AA588" s="0" t="s">
        <v>624</v>
      </c>
      <c r="AB588" s="0" t="s">
        <v>132</v>
      </c>
      <c r="AC588" s="254" t="n">
        <v>500000</v>
      </c>
      <c r="AD588" s="254" t="n">
        <v>30166.8315425294</v>
      </c>
      <c r="AE588" s="0" t="n">
        <v>0</v>
      </c>
      <c r="AF588" s="0" t="n">
        <v>0</v>
      </c>
      <c r="AG588" s="0" t="n">
        <v>0</v>
      </c>
      <c r="AH588" s="254" t="n">
        <v>-3871.83074039887</v>
      </c>
      <c r="AI588" s="0" t="n">
        <v>226</v>
      </c>
      <c r="AJ588" s="0" t="s">
        <v>630</v>
      </c>
      <c r="AK588" s="0" t="n">
        <v>0</v>
      </c>
      <c r="AL588" s="0" t="n">
        <v>0</v>
      </c>
      <c r="AM588" s="0" t="n">
        <v>0</v>
      </c>
    </row>
    <row r="589" customFormat="false" ht="12.75" hidden="false" customHeight="false" outlineLevel="0" collapsed="false">
      <c r="A589" s="0" t="s">
        <v>621</v>
      </c>
      <c r="B589" s="0" t="s">
        <v>394</v>
      </c>
      <c r="C589" s="0" t="s">
        <v>622</v>
      </c>
      <c r="D589" s="0" t="s">
        <v>623</v>
      </c>
      <c r="E589" s="0" t="s">
        <v>131</v>
      </c>
      <c r="F589" s="0" t="s">
        <v>198</v>
      </c>
      <c r="G589" s="0" t="s">
        <v>628</v>
      </c>
      <c r="H589" s="0" t="s">
        <v>625</v>
      </c>
      <c r="I589" s="0" t="s">
        <v>626</v>
      </c>
      <c r="J589" s="0" t="s">
        <v>627</v>
      </c>
      <c r="K589" s="475" t="n">
        <v>36923</v>
      </c>
      <c r="L589" s="254" t="n">
        <v>102538.003686066</v>
      </c>
      <c r="M589" s="475" t="n">
        <v>36921</v>
      </c>
      <c r="N589" s="0" t="s">
        <v>132</v>
      </c>
      <c r="O589" s="0" t="n">
        <v>1</v>
      </c>
      <c r="P589" s="0" t="n">
        <v>0</v>
      </c>
      <c r="Q589" s="0" t="n">
        <v>0</v>
      </c>
      <c r="R589" s="0" t="n">
        <v>0</v>
      </c>
      <c r="S589" s="0" t="n">
        <v>0</v>
      </c>
      <c r="T589" s="0" t="s">
        <v>624</v>
      </c>
      <c r="U589" s="0" t="s">
        <v>149</v>
      </c>
      <c r="V589" s="0" t="s">
        <v>624</v>
      </c>
      <c r="W589" s="0" t="s">
        <v>569</v>
      </c>
      <c r="X589" s="0" t="s">
        <v>624</v>
      </c>
      <c r="Y589" s="0" t="s">
        <v>627</v>
      </c>
      <c r="Z589" s="0" t="s">
        <v>629</v>
      </c>
      <c r="AA589" s="0" t="s">
        <v>624</v>
      </c>
      <c r="AB589" s="0" t="s">
        <v>132</v>
      </c>
      <c r="AC589" s="254" t="n">
        <v>500000</v>
      </c>
      <c r="AD589" s="254" t="n">
        <v>35321.2542050723</v>
      </c>
      <c r="AE589" s="0" t="n">
        <v>0</v>
      </c>
      <c r="AF589" s="0" t="n">
        <v>0</v>
      </c>
      <c r="AG589" s="0" t="n">
        <v>0</v>
      </c>
      <c r="AH589" s="254" t="n">
        <v>-5238.98510989307</v>
      </c>
      <c r="AI589" s="0" t="n">
        <v>226</v>
      </c>
      <c r="AJ589" s="0" t="s">
        <v>630</v>
      </c>
      <c r="AK589" s="0" t="n">
        <v>0</v>
      </c>
      <c r="AL589" s="0" t="n">
        <v>0</v>
      </c>
      <c r="AM589" s="0" t="n">
        <v>0</v>
      </c>
    </row>
    <row r="590" customFormat="false" ht="12.75" hidden="false" customHeight="false" outlineLevel="0" collapsed="false">
      <c r="A590" s="0" t="s">
        <v>621</v>
      </c>
      <c r="B590" s="0" t="s">
        <v>394</v>
      </c>
      <c r="C590" s="0" t="s">
        <v>622</v>
      </c>
      <c r="D590" s="0" t="s">
        <v>623</v>
      </c>
      <c r="E590" s="0" t="s">
        <v>131</v>
      </c>
      <c r="F590" s="0" t="s">
        <v>198</v>
      </c>
      <c r="G590" s="0" t="s">
        <v>628</v>
      </c>
      <c r="H590" s="0" t="s">
        <v>625</v>
      </c>
      <c r="I590" s="0" t="s">
        <v>626</v>
      </c>
      <c r="J590" s="0" t="s">
        <v>627</v>
      </c>
      <c r="K590" s="475" t="n">
        <v>36951</v>
      </c>
      <c r="L590" s="254" t="n">
        <v>232754.958364908</v>
      </c>
      <c r="M590" s="475" t="n">
        <v>36949</v>
      </c>
      <c r="N590" s="0" t="s">
        <v>132</v>
      </c>
      <c r="O590" s="0" t="n">
        <v>1</v>
      </c>
      <c r="P590" s="0" t="n">
        <v>0</v>
      </c>
      <c r="Q590" s="0" t="n">
        <v>0</v>
      </c>
      <c r="R590" s="0" t="n">
        <v>0</v>
      </c>
      <c r="S590" s="0" t="n">
        <v>0</v>
      </c>
      <c r="T590" s="0" t="s">
        <v>624</v>
      </c>
      <c r="U590" s="0" t="s">
        <v>149</v>
      </c>
      <c r="V590" s="0" t="s">
        <v>624</v>
      </c>
      <c r="W590" s="0" t="s">
        <v>569</v>
      </c>
      <c r="X590" s="0" t="s">
        <v>624</v>
      </c>
      <c r="Y590" s="0" t="s">
        <v>627</v>
      </c>
      <c r="Z590" s="0" t="s">
        <v>629</v>
      </c>
      <c r="AA590" s="0" t="s">
        <v>624</v>
      </c>
      <c r="AB590" s="0" t="s">
        <v>132</v>
      </c>
      <c r="AC590" s="254" t="n">
        <v>500000</v>
      </c>
      <c r="AD590" s="254" t="n">
        <v>44468.4104872671</v>
      </c>
      <c r="AE590" s="0" t="n">
        <v>0</v>
      </c>
      <c r="AF590" s="0" t="n">
        <v>0</v>
      </c>
      <c r="AG590" s="0" t="n">
        <v>0</v>
      </c>
      <c r="AH590" s="254" t="n">
        <v>-10359.5063919015</v>
      </c>
      <c r="AI590" s="0" t="n">
        <v>226</v>
      </c>
      <c r="AJ590" s="0" t="s">
        <v>630</v>
      </c>
      <c r="AK590" s="0" t="n">
        <v>0</v>
      </c>
      <c r="AL590" s="0" t="n">
        <v>0</v>
      </c>
      <c r="AM590" s="0" t="n">
        <v>0</v>
      </c>
    </row>
    <row r="591" customFormat="false" ht="12.75" hidden="false" customHeight="false" outlineLevel="0" collapsed="false">
      <c r="A591" s="0" t="s">
        <v>621</v>
      </c>
      <c r="B591" s="0" t="s">
        <v>395</v>
      </c>
      <c r="C591" s="0" t="s">
        <v>622</v>
      </c>
      <c r="D591" s="0" t="s">
        <v>623</v>
      </c>
      <c r="E591" s="0" t="s">
        <v>131</v>
      </c>
      <c r="F591" s="0" t="s">
        <v>198</v>
      </c>
      <c r="G591" s="0" t="s">
        <v>628</v>
      </c>
      <c r="H591" s="0" t="s">
        <v>625</v>
      </c>
      <c r="I591" s="0" t="s">
        <v>626</v>
      </c>
      <c r="J591" s="0" t="s">
        <v>627</v>
      </c>
      <c r="K591" s="475" t="n">
        <v>36831</v>
      </c>
      <c r="L591" s="254" t="n">
        <v>-1931.86425285872</v>
      </c>
      <c r="M591" s="475" t="n">
        <v>36829</v>
      </c>
      <c r="N591" s="0" t="s">
        <v>136</v>
      </c>
      <c r="O591" s="0" t="n">
        <v>2.5</v>
      </c>
      <c r="P591" s="0" t="n">
        <v>0</v>
      </c>
      <c r="Q591" s="0" t="n">
        <v>0</v>
      </c>
      <c r="R591" s="0" t="n">
        <v>0</v>
      </c>
      <c r="S591" s="0" t="n">
        <v>0</v>
      </c>
      <c r="T591" s="0" t="s">
        <v>624</v>
      </c>
      <c r="U591" s="0" t="s">
        <v>149</v>
      </c>
      <c r="V591" s="0" t="s">
        <v>624</v>
      </c>
      <c r="W591" s="0" t="s">
        <v>569</v>
      </c>
      <c r="X591" s="0" t="s">
        <v>624</v>
      </c>
      <c r="Y591" s="0" t="s">
        <v>627</v>
      </c>
      <c r="Z591" s="0" t="s">
        <v>629</v>
      </c>
      <c r="AA591" s="0" t="s">
        <v>624</v>
      </c>
      <c r="AB591" s="0" t="s">
        <v>132</v>
      </c>
      <c r="AC591" s="254" t="n">
        <v>-300000</v>
      </c>
      <c r="AD591" s="254" t="n">
        <v>-1569.59200271751</v>
      </c>
      <c r="AE591" s="0" t="n">
        <v>0</v>
      </c>
      <c r="AF591" s="0" t="n">
        <v>0</v>
      </c>
      <c r="AG591" s="0" t="n">
        <v>0</v>
      </c>
      <c r="AH591" s="254" t="n">
        <v>-379.938352204508</v>
      </c>
      <c r="AI591" s="0" t="n">
        <v>226</v>
      </c>
      <c r="AJ591" s="0" t="s">
        <v>630</v>
      </c>
      <c r="AK591" s="0" t="n">
        <v>0</v>
      </c>
      <c r="AL591" s="0" t="n">
        <v>0</v>
      </c>
      <c r="AM591" s="0" t="n">
        <v>0</v>
      </c>
    </row>
    <row r="592" customFormat="false" ht="12.75" hidden="false" customHeight="false" outlineLevel="0" collapsed="false">
      <c r="A592" s="0" t="s">
        <v>621</v>
      </c>
      <c r="B592" s="0" t="s">
        <v>395</v>
      </c>
      <c r="C592" s="0" t="s">
        <v>622</v>
      </c>
      <c r="D592" s="0" t="s">
        <v>623</v>
      </c>
      <c r="E592" s="0" t="s">
        <v>131</v>
      </c>
      <c r="F592" s="0" t="s">
        <v>198</v>
      </c>
      <c r="G592" s="0" t="s">
        <v>628</v>
      </c>
      <c r="H592" s="0" t="s">
        <v>625</v>
      </c>
      <c r="I592" s="0" t="s">
        <v>626</v>
      </c>
      <c r="J592" s="0" t="s">
        <v>627</v>
      </c>
      <c r="K592" s="475" t="n">
        <v>36861</v>
      </c>
      <c r="L592" s="254" t="n">
        <v>-76798.6311381724</v>
      </c>
      <c r="M592" s="475" t="n">
        <v>36859</v>
      </c>
      <c r="N592" s="0" t="s">
        <v>136</v>
      </c>
      <c r="O592" s="0" t="n">
        <v>2.5</v>
      </c>
      <c r="P592" s="0" t="n">
        <v>0</v>
      </c>
      <c r="Q592" s="0" t="n">
        <v>0</v>
      </c>
      <c r="R592" s="0" t="n">
        <v>0</v>
      </c>
      <c r="S592" s="0" t="n">
        <v>0</v>
      </c>
      <c r="T592" s="0" t="s">
        <v>624</v>
      </c>
      <c r="U592" s="0" t="s">
        <v>149</v>
      </c>
      <c r="V592" s="0" t="s">
        <v>624</v>
      </c>
      <c r="W592" s="0" t="s">
        <v>569</v>
      </c>
      <c r="X592" s="0" t="s">
        <v>624</v>
      </c>
      <c r="Y592" s="0" t="s">
        <v>627</v>
      </c>
      <c r="Z592" s="0" t="s">
        <v>629</v>
      </c>
      <c r="AA592" s="0" t="s">
        <v>624</v>
      </c>
      <c r="AB592" s="0" t="s">
        <v>132</v>
      </c>
      <c r="AC592" s="254" t="n">
        <v>-310000</v>
      </c>
      <c r="AD592" s="254" t="n">
        <v>-17988.3162265355</v>
      </c>
      <c r="AE592" s="0" t="n">
        <v>0</v>
      </c>
      <c r="AF592" s="0" t="n">
        <v>0</v>
      </c>
      <c r="AG592" s="0" t="n">
        <v>0</v>
      </c>
      <c r="AH592" s="254" t="n">
        <v>-5205.36734977608</v>
      </c>
      <c r="AI592" s="0" t="n">
        <v>226</v>
      </c>
      <c r="AJ592" s="0" t="s">
        <v>630</v>
      </c>
      <c r="AK592" s="0" t="n">
        <v>0</v>
      </c>
      <c r="AL592" s="0" t="n">
        <v>0</v>
      </c>
      <c r="AM592" s="0" t="n">
        <v>0</v>
      </c>
    </row>
    <row r="593" customFormat="false" ht="12.75" hidden="false" customHeight="false" outlineLevel="0" collapsed="false">
      <c r="A593" s="0" t="s">
        <v>621</v>
      </c>
      <c r="B593" s="0" t="s">
        <v>395</v>
      </c>
      <c r="C593" s="0" t="s">
        <v>622</v>
      </c>
      <c r="D593" s="0" t="s">
        <v>623</v>
      </c>
      <c r="E593" s="0" t="s">
        <v>131</v>
      </c>
      <c r="F593" s="0" t="s">
        <v>198</v>
      </c>
      <c r="G593" s="0" t="s">
        <v>628</v>
      </c>
      <c r="H593" s="0" t="s">
        <v>625</v>
      </c>
      <c r="I593" s="0" t="s">
        <v>626</v>
      </c>
      <c r="J593" s="0" t="s">
        <v>627</v>
      </c>
      <c r="K593" s="475" t="n">
        <v>36892</v>
      </c>
      <c r="L593" s="254" t="n">
        <v>-164878.492230989</v>
      </c>
      <c r="M593" s="475" t="n">
        <v>36888</v>
      </c>
      <c r="N593" s="0" t="s">
        <v>136</v>
      </c>
      <c r="O593" s="0" t="n">
        <v>2.5</v>
      </c>
      <c r="P593" s="0" t="n">
        <v>0</v>
      </c>
      <c r="Q593" s="0" t="n">
        <v>0</v>
      </c>
      <c r="R593" s="0" t="n">
        <v>0</v>
      </c>
      <c r="S593" s="0" t="n">
        <v>0</v>
      </c>
      <c r="T593" s="0" t="s">
        <v>624</v>
      </c>
      <c r="U593" s="0" t="s">
        <v>149</v>
      </c>
      <c r="V593" s="0" t="s">
        <v>624</v>
      </c>
      <c r="W593" s="0" t="s">
        <v>569</v>
      </c>
      <c r="X593" s="0" t="s">
        <v>624</v>
      </c>
      <c r="Y593" s="0" t="s">
        <v>627</v>
      </c>
      <c r="Z593" s="0" t="s">
        <v>629</v>
      </c>
      <c r="AA593" s="0" t="s">
        <v>624</v>
      </c>
      <c r="AB593" s="0" t="s">
        <v>132</v>
      </c>
      <c r="AC593" s="254" t="n">
        <v>-310000</v>
      </c>
      <c r="AD593" s="254" t="n">
        <v>-23672.1675476593</v>
      </c>
      <c r="AE593" s="0" t="n">
        <v>0</v>
      </c>
      <c r="AF593" s="0" t="n">
        <v>0</v>
      </c>
      <c r="AG593" s="0" t="n">
        <v>0</v>
      </c>
      <c r="AH593" s="254" t="n">
        <v>-9697.6778801136</v>
      </c>
      <c r="AI593" s="0" t="n">
        <v>226</v>
      </c>
      <c r="AJ593" s="0" t="s">
        <v>630</v>
      </c>
      <c r="AK593" s="0" t="n">
        <v>0</v>
      </c>
      <c r="AL593" s="0" t="n">
        <v>0</v>
      </c>
      <c r="AM593" s="0" t="n">
        <v>0</v>
      </c>
    </row>
    <row r="594" customFormat="false" ht="12.75" hidden="false" customHeight="false" outlineLevel="0" collapsed="false">
      <c r="A594" s="0" t="s">
        <v>621</v>
      </c>
      <c r="B594" s="0" t="s">
        <v>395</v>
      </c>
      <c r="C594" s="0" t="s">
        <v>622</v>
      </c>
      <c r="D594" s="0" t="s">
        <v>623</v>
      </c>
      <c r="E594" s="0" t="s">
        <v>131</v>
      </c>
      <c r="F594" s="0" t="s">
        <v>198</v>
      </c>
      <c r="G594" s="0" t="s">
        <v>628</v>
      </c>
      <c r="H594" s="0" t="s">
        <v>625</v>
      </c>
      <c r="I594" s="0" t="s">
        <v>626</v>
      </c>
      <c r="J594" s="0" t="s">
        <v>627</v>
      </c>
      <c r="K594" s="475" t="n">
        <v>36923</v>
      </c>
      <c r="L594" s="254" t="n">
        <v>-150386.951769508</v>
      </c>
      <c r="M594" s="475" t="n">
        <v>36921</v>
      </c>
      <c r="N594" s="0" t="s">
        <v>136</v>
      </c>
      <c r="O594" s="0" t="n">
        <v>2.5</v>
      </c>
      <c r="P594" s="0" t="n">
        <v>0</v>
      </c>
      <c r="Q594" s="0" t="n">
        <v>0</v>
      </c>
      <c r="R594" s="0" t="n">
        <v>0</v>
      </c>
      <c r="S594" s="0" t="n">
        <v>0</v>
      </c>
      <c r="T594" s="0" t="s">
        <v>624</v>
      </c>
      <c r="U594" s="0" t="s">
        <v>149</v>
      </c>
      <c r="V594" s="0" t="s">
        <v>624</v>
      </c>
      <c r="W594" s="0" t="s">
        <v>569</v>
      </c>
      <c r="X594" s="0" t="s">
        <v>624</v>
      </c>
      <c r="Y594" s="0" t="s">
        <v>627</v>
      </c>
      <c r="Z594" s="0" t="s">
        <v>629</v>
      </c>
      <c r="AA594" s="0" t="s">
        <v>624</v>
      </c>
      <c r="AB594" s="0" t="s">
        <v>132</v>
      </c>
      <c r="AC594" s="254" t="n">
        <v>-280000</v>
      </c>
      <c r="AD594" s="254" t="n">
        <v>-23175.488626136</v>
      </c>
      <c r="AE594" s="0" t="n">
        <v>0</v>
      </c>
      <c r="AF594" s="0" t="n">
        <v>0</v>
      </c>
      <c r="AG594" s="0" t="n">
        <v>0</v>
      </c>
      <c r="AH594" s="254" t="n">
        <v>-9934.57825385733</v>
      </c>
      <c r="AI594" s="0" t="n">
        <v>226</v>
      </c>
      <c r="AJ594" s="0" t="s">
        <v>630</v>
      </c>
      <c r="AK594" s="0" t="n">
        <v>0</v>
      </c>
      <c r="AL594" s="0" t="n">
        <v>0</v>
      </c>
      <c r="AM594" s="0" t="n">
        <v>0</v>
      </c>
    </row>
    <row r="595" customFormat="false" ht="12.75" hidden="false" customHeight="false" outlineLevel="0" collapsed="false">
      <c r="A595" s="0" t="s">
        <v>621</v>
      </c>
      <c r="B595" s="0" t="s">
        <v>395</v>
      </c>
      <c r="C595" s="0" t="s">
        <v>622</v>
      </c>
      <c r="D595" s="0" t="s">
        <v>623</v>
      </c>
      <c r="E595" s="0" t="s">
        <v>131</v>
      </c>
      <c r="F595" s="0" t="s">
        <v>198</v>
      </c>
      <c r="G595" s="0" t="s">
        <v>628</v>
      </c>
      <c r="H595" s="0" t="s">
        <v>625</v>
      </c>
      <c r="I595" s="0" t="s">
        <v>626</v>
      </c>
      <c r="J595" s="0" t="s">
        <v>627</v>
      </c>
      <c r="K595" s="475" t="n">
        <v>36951</v>
      </c>
      <c r="L595" s="254" t="n">
        <v>-48886.4006319538</v>
      </c>
      <c r="M595" s="475" t="n">
        <v>36949</v>
      </c>
      <c r="N595" s="0" t="s">
        <v>136</v>
      </c>
      <c r="O595" s="0" t="n">
        <v>2.5</v>
      </c>
      <c r="P595" s="0" t="n">
        <v>0</v>
      </c>
      <c r="Q595" s="0" t="n">
        <v>0</v>
      </c>
      <c r="R595" s="0" t="n">
        <v>0</v>
      </c>
      <c r="S595" s="0" t="n">
        <v>0</v>
      </c>
      <c r="T595" s="0" t="s">
        <v>624</v>
      </c>
      <c r="U595" s="0" t="s">
        <v>149</v>
      </c>
      <c r="V595" s="0" t="s">
        <v>624</v>
      </c>
      <c r="W595" s="0" t="s">
        <v>569</v>
      </c>
      <c r="X595" s="0" t="s">
        <v>624</v>
      </c>
      <c r="Y595" s="0" t="s">
        <v>627</v>
      </c>
      <c r="Z595" s="0" t="s">
        <v>629</v>
      </c>
      <c r="AA595" s="0" t="s">
        <v>624</v>
      </c>
      <c r="AB595" s="0" t="s">
        <v>132</v>
      </c>
      <c r="AC595" s="254" t="n">
        <v>-310000</v>
      </c>
      <c r="AD595" s="254" t="n">
        <v>-17765.6627083015</v>
      </c>
      <c r="AE595" s="0" t="n">
        <v>0</v>
      </c>
      <c r="AF595" s="0" t="n">
        <v>0</v>
      </c>
      <c r="AG595" s="0" t="n">
        <v>0</v>
      </c>
      <c r="AH595" s="254" t="n">
        <v>-4861.23334067523</v>
      </c>
      <c r="AI595" s="0" t="n">
        <v>226</v>
      </c>
      <c r="AJ595" s="0" t="s">
        <v>630</v>
      </c>
      <c r="AK595" s="0" t="n">
        <v>0</v>
      </c>
      <c r="AL595" s="0" t="n">
        <v>0</v>
      </c>
      <c r="AM595" s="0" t="n">
        <v>0</v>
      </c>
    </row>
    <row r="596" customFormat="false" ht="12.75" hidden="false" customHeight="false" outlineLevel="0" collapsed="false">
      <c r="A596" s="0" t="s">
        <v>621</v>
      </c>
      <c r="B596" s="0" t="s">
        <v>396</v>
      </c>
      <c r="C596" s="0" t="s">
        <v>622</v>
      </c>
      <c r="D596" s="0" t="s">
        <v>623</v>
      </c>
      <c r="E596" s="0" t="s">
        <v>131</v>
      </c>
      <c r="F596" s="0" t="s">
        <v>198</v>
      </c>
      <c r="G596" s="0" t="s">
        <v>628</v>
      </c>
      <c r="H596" s="0" t="s">
        <v>625</v>
      </c>
      <c r="I596" s="0" t="s">
        <v>626</v>
      </c>
      <c r="J596" s="0" t="s">
        <v>627</v>
      </c>
      <c r="K596" s="475" t="n">
        <v>36831</v>
      </c>
      <c r="L596" s="254" t="n">
        <v>-29460.1305997321</v>
      </c>
      <c r="M596" s="475" t="n">
        <v>36829</v>
      </c>
      <c r="N596" s="0" t="s">
        <v>136</v>
      </c>
      <c r="O596" s="0" t="n">
        <v>1.52</v>
      </c>
      <c r="P596" s="0" t="n">
        <v>0</v>
      </c>
      <c r="Q596" s="0" t="n">
        <v>0</v>
      </c>
      <c r="R596" s="0" t="n">
        <v>0</v>
      </c>
      <c r="S596" s="0" t="n">
        <v>0</v>
      </c>
      <c r="T596" s="0" t="s">
        <v>624</v>
      </c>
      <c r="U596" s="0" t="s">
        <v>149</v>
      </c>
      <c r="V596" s="0" t="s">
        <v>624</v>
      </c>
      <c r="W596" s="0" t="s">
        <v>569</v>
      </c>
      <c r="X596" s="0" t="s">
        <v>624</v>
      </c>
      <c r="Y596" s="0" t="s">
        <v>627</v>
      </c>
      <c r="Z596" s="0" t="s">
        <v>629</v>
      </c>
      <c r="AA596" s="0" t="s">
        <v>624</v>
      </c>
      <c r="AB596" s="0" t="s">
        <v>132</v>
      </c>
      <c r="AC596" s="254" t="n">
        <v>-500000</v>
      </c>
      <c r="AD596" s="254" t="n">
        <v>-12774.323248092</v>
      </c>
      <c r="AE596" s="0" t="n">
        <v>0</v>
      </c>
      <c r="AF596" s="0" t="n">
        <v>0</v>
      </c>
      <c r="AG596" s="0" t="n">
        <v>0</v>
      </c>
      <c r="AH596" s="254" t="n">
        <v>-3985.08959606112</v>
      </c>
      <c r="AI596" s="0" t="n">
        <v>226</v>
      </c>
      <c r="AJ596" s="0" t="s">
        <v>630</v>
      </c>
      <c r="AK596" s="0" t="n">
        <v>0</v>
      </c>
      <c r="AL596" s="0" t="n">
        <v>0</v>
      </c>
      <c r="AM596" s="0" t="n">
        <v>0</v>
      </c>
    </row>
    <row r="597" customFormat="false" ht="12.75" hidden="false" customHeight="false" outlineLevel="0" collapsed="false">
      <c r="A597" s="0" t="s">
        <v>621</v>
      </c>
      <c r="B597" s="0" t="s">
        <v>396</v>
      </c>
      <c r="C597" s="0" t="s">
        <v>622</v>
      </c>
      <c r="D597" s="0" t="s">
        <v>623</v>
      </c>
      <c r="E597" s="0" t="s">
        <v>131</v>
      </c>
      <c r="F597" s="0" t="s">
        <v>198</v>
      </c>
      <c r="G597" s="0" t="s">
        <v>628</v>
      </c>
      <c r="H597" s="0" t="s">
        <v>625</v>
      </c>
      <c r="I597" s="0" t="s">
        <v>626</v>
      </c>
      <c r="J597" s="0" t="s">
        <v>627</v>
      </c>
      <c r="K597" s="475" t="n">
        <v>36861</v>
      </c>
      <c r="L597" s="254" t="n">
        <v>-285742.749416664</v>
      </c>
      <c r="M597" s="475" t="n">
        <v>36859</v>
      </c>
      <c r="N597" s="0" t="s">
        <v>136</v>
      </c>
      <c r="O597" s="0" t="n">
        <v>1.52</v>
      </c>
      <c r="P597" s="0" t="n">
        <v>0</v>
      </c>
      <c r="Q597" s="0" t="n">
        <v>0</v>
      </c>
      <c r="R597" s="0" t="n">
        <v>0</v>
      </c>
      <c r="S597" s="0" t="n">
        <v>0</v>
      </c>
      <c r="T597" s="0" t="s">
        <v>624</v>
      </c>
      <c r="U597" s="0" t="s">
        <v>149</v>
      </c>
      <c r="V597" s="0" t="s">
        <v>624</v>
      </c>
      <c r="W597" s="0" t="s">
        <v>569</v>
      </c>
      <c r="X597" s="0" t="s">
        <v>624</v>
      </c>
      <c r="Y597" s="0" t="s">
        <v>627</v>
      </c>
      <c r="Z597" s="0" t="s">
        <v>629</v>
      </c>
      <c r="AA597" s="0" t="s">
        <v>624</v>
      </c>
      <c r="AB597" s="0" t="s">
        <v>132</v>
      </c>
      <c r="AC597" s="254" t="n">
        <v>-500000</v>
      </c>
      <c r="AD597" s="254" t="n">
        <v>-35389.0605230396</v>
      </c>
      <c r="AE597" s="0" t="n">
        <v>0</v>
      </c>
      <c r="AF597" s="0" t="n">
        <v>0</v>
      </c>
      <c r="AG597" s="0" t="n">
        <v>0</v>
      </c>
      <c r="AH597" s="254" t="n">
        <v>-14454.2832442743</v>
      </c>
      <c r="AI597" s="0" t="n">
        <v>226</v>
      </c>
      <c r="AJ597" s="0" t="s">
        <v>630</v>
      </c>
      <c r="AK597" s="0" t="n">
        <v>0</v>
      </c>
      <c r="AL597" s="0" t="n">
        <v>0</v>
      </c>
      <c r="AM597" s="0" t="n">
        <v>0</v>
      </c>
    </row>
    <row r="598" customFormat="false" ht="12.75" hidden="false" customHeight="false" outlineLevel="0" collapsed="false">
      <c r="A598" s="0" t="s">
        <v>621</v>
      </c>
      <c r="B598" s="0" t="s">
        <v>396</v>
      </c>
      <c r="C598" s="0" t="s">
        <v>622</v>
      </c>
      <c r="D598" s="0" t="s">
        <v>623</v>
      </c>
      <c r="E598" s="0" t="s">
        <v>131</v>
      </c>
      <c r="F598" s="0" t="s">
        <v>198</v>
      </c>
      <c r="G598" s="0" t="s">
        <v>628</v>
      </c>
      <c r="H598" s="0" t="s">
        <v>625</v>
      </c>
      <c r="I598" s="0" t="s">
        <v>626</v>
      </c>
      <c r="J598" s="0" t="s">
        <v>627</v>
      </c>
      <c r="K598" s="475" t="n">
        <v>36892</v>
      </c>
      <c r="L598" s="254" t="n">
        <v>-486646.630948537</v>
      </c>
      <c r="M598" s="475" t="n">
        <v>36888</v>
      </c>
      <c r="N598" s="0" t="s">
        <v>136</v>
      </c>
      <c r="O598" s="0" t="n">
        <v>1.52</v>
      </c>
      <c r="P598" s="0" t="n">
        <v>0</v>
      </c>
      <c r="Q598" s="0" t="n">
        <v>0</v>
      </c>
      <c r="R598" s="0" t="n">
        <v>0</v>
      </c>
      <c r="S598" s="0" t="n">
        <v>0</v>
      </c>
      <c r="T598" s="0" t="s">
        <v>624</v>
      </c>
      <c r="U598" s="0" t="s">
        <v>149</v>
      </c>
      <c r="V598" s="0" t="s">
        <v>624</v>
      </c>
      <c r="W598" s="0" t="s">
        <v>569</v>
      </c>
      <c r="X598" s="0" t="s">
        <v>624</v>
      </c>
      <c r="Y598" s="0" t="s">
        <v>627</v>
      </c>
      <c r="Z598" s="0" t="s">
        <v>629</v>
      </c>
      <c r="AA598" s="0" t="s">
        <v>624</v>
      </c>
      <c r="AB598" s="0" t="s">
        <v>132</v>
      </c>
      <c r="AC598" s="254" t="n">
        <v>-500000</v>
      </c>
      <c r="AD598" s="254" t="n">
        <v>-37027.4423590699</v>
      </c>
      <c r="AE598" s="0" t="n">
        <v>0</v>
      </c>
      <c r="AF598" s="0" t="n">
        <v>0</v>
      </c>
      <c r="AG598" s="0" t="n">
        <v>0</v>
      </c>
      <c r="AH598" s="254" t="n">
        <v>-22302.0096319052</v>
      </c>
      <c r="AI598" s="0" t="n">
        <v>226</v>
      </c>
      <c r="AJ598" s="0" t="s">
        <v>630</v>
      </c>
      <c r="AK598" s="0" t="n">
        <v>0</v>
      </c>
      <c r="AL598" s="0" t="n">
        <v>0</v>
      </c>
      <c r="AM598" s="0" t="n">
        <v>0</v>
      </c>
    </row>
    <row r="599" customFormat="false" ht="12.75" hidden="false" customHeight="false" outlineLevel="0" collapsed="false">
      <c r="A599" s="0" t="s">
        <v>621</v>
      </c>
      <c r="B599" s="0" t="s">
        <v>396</v>
      </c>
      <c r="C599" s="0" t="s">
        <v>622</v>
      </c>
      <c r="D599" s="0" t="s">
        <v>623</v>
      </c>
      <c r="E599" s="0" t="s">
        <v>131</v>
      </c>
      <c r="F599" s="0" t="s">
        <v>198</v>
      </c>
      <c r="G599" s="0" t="s">
        <v>628</v>
      </c>
      <c r="H599" s="0" t="s">
        <v>625</v>
      </c>
      <c r="I599" s="0" t="s">
        <v>626</v>
      </c>
      <c r="J599" s="0" t="s">
        <v>627</v>
      </c>
      <c r="K599" s="475" t="n">
        <v>36923</v>
      </c>
      <c r="L599" s="254" t="n">
        <v>-474116.003803264</v>
      </c>
      <c r="M599" s="475" t="n">
        <v>36921</v>
      </c>
      <c r="N599" s="0" t="s">
        <v>136</v>
      </c>
      <c r="O599" s="0" t="n">
        <v>1.52</v>
      </c>
      <c r="P599" s="0" t="n">
        <v>0</v>
      </c>
      <c r="Q599" s="0" t="n">
        <v>0</v>
      </c>
      <c r="R599" s="0" t="n">
        <v>0</v>
      </c>
      <c r="S599" s="0" t="n">
        <v>0</v>
      </c>
      <c r="T599" s="0" t="s">
        <v>624</v>
      </c>
      <c r="U599" s="0" t="s">
        <v>149</v>
      </c>
      <c r="V599" s="0" t="s">
        <v>624</v>
      </c>
      <c r="W599" s="0" t="s">
        <v>569</v>
      </c>
      <c r="X599" s="0" t="s">
        <v>624</v>
      </c>
      <c r="Y599" s="0" t="s">
        <v>627</v>
      </c>
      <c r="Z599" s="0" t="s">
        <v>629</v>
      </c>
      <c r="AA599" s="0" t="s">
        <v>624</v>
      </c>
      <c r="AB599" s="0" t="s">
        <v>132</v>
      </c>
      <c r="AC599" s="254" t="n">
        <v>-500000</v>
      </c>
      <c r="AD599" s="254" t="n">
        <v>-41469.9825509167</v>
      </c>
      <c r="AE599" s="0" t="n">
        <v>0</v>
      </c>
      <c r="AF599" s="0" t="n">
        <v>0</v>
      </c>
      <c r="AG599" s="0" t="n">
        <v>0</v>
      </c>
      <c r="AH599" s="254" t="n">
        <v>-25068.9928957222</v>
      </c>
      <c r="AI599" s="0" t="n">
        <v>226</v>
      </c>
      <c r="AJ599" s="0" t="s">
        <v>630</v>
      </c>
      <c r="AK599" s="0" t="n">
        <v>0</v>
      </c>
      <c r="AL599" s="0" t="n">
        <v>0</v>
      </c>
      <c r="AM599" s="0" t="n">
        <v>0</v>
      </c>
    </row>
    <row r="600" customFormat="false" ht="12.75" hidden="false" customHeight="false" outlineLevel="0" collapsed="false">
      <c r="A600" s="0" t="s">
        <v>621</v>
      </c>
      <c r="B600" s="0" t="s">
        <v>396</v>
      </c>
      <c r="C600" s="0" t="s">
        <v>622</v>
      </c>
      <c r="D600" s="0" t="s">
        <v>623</v>
      </c>
      <c r="E600" s="0" t="s">
        <v>131</v>
      </c>
      <c r="F600" s="0" t="s">
        <v>198</v>
      </c>
      <c r="G600" s="0" t="s">
        <v>628</v>
      </c>
      <c r="H600" s="0" t="s">
        <v>625</v>
      </c>
      <c r="I600" s="0" t="s">
        <v>626</v>
      </c>
      <c r="J600" s="0" t="s">
        <v>627</v>
      </c>
      <c r="K600" s="475" t="n">
        <v>36951</v>
      </c>
      <c r="L600" s="254" t="n">
        <v>-176197.983786157</v>
      </c>
      <c r="M600" s="475" t="n">
        <v>36949</v>
      </c>
      <c r="N600" s="0" t="s">
        <v>136</v>
      </c>
      <c r="O600" s="0" t="n">
        <v>1.52</v>
      </c>
      <c r="P600" s="0" t="n">
        <v>0</v>
      </c>
      <c r="Q600" s="0" t="n">
        <v>0</v>
      </c>
      <c r="R600" s="0" t="n">
        <v>0</v>
      </c>
      <c r="S600" s="0" t="n">
        <v>0</v>
      </c>
      <c r="T600" s="0" t="s">
        <v>624</v>
      </c>
      <c r="U600" s="0" t="s">
        <v>149</v>
      </c>
      <c r="V600" s="0" t="s">
        <v>624</v>
      </c>
      <c r="W600" s="0" t="s">
        <v>569</v>
      </c>
      <c r="X600" s="0" t="s">
        <v>624</v>
      </c>
      <c r="Y600" s="0" t="s">
        <v>627</v>
      </c>
      <c r="Z600" s="0" t="s">
        <v>629</v>
      </c>
      <c r="AA600" s="0" t="s">
        <v>624</v>
      </c>
      <c r="AB600" s="0" t="s">
        <v>132</v>
      </c>
      <c r="AC600" s="254" t="n">
        <v>-500000</v>
      </c>
      <c r="AD600" s="254" t="n">
        <v>-41343.7241806269</v>
      </c>
      <c r="AE600" s="0" t="n">
        <v>0</v>
      </c>
      <c r="AF600" s="0" t="n">
        <v>0</v>
      </c>
      <c r="AG600" s="0" t="n">
        <v>0</v>
      </c>
      <c r="AH600" s="254" t="n">
        <v>-14199.9142353048</v>
      </c>
      <c r="AI600" s="0" t="n">
        <v>226</v>
      </c>
      <c r="AJ600" s="0" t="s">
        <v>630</v>
      </c>
      <c r="AK600" s="0" t="n">
        <v>0</v>
      </c>
      <c r="AL600" s="0" t="n">
        <v>0</v>
      </c>
      <c r="AM600" s="0" t="n">
        <v>0</v>
      </c>
    </row>
    <row r="601" customFormat="false" ht="12.75" hidden="false" customHeight="false" outlineLevel="0" collapsed="false">
      <c r="A601" s="0" t="s">
        <v>621</v>
      </c>
      <c r="B601" s="0" t="s">
        <v>397</v>
      </c>
      <c r="C601" s="0" t="s">
        <v>622</v>
      </c>
      <c r="D601" s="0" t="s">
        <v>623</v>
      </c>
      <c r="E601" s="0" t="s">
        <v>131</v>
      </c>
      <c r="F601" s="0" t="s">
        <v>198</v>
      </c>
      <c r="G601" s="0" t="s">
        <v>628</v>
      </c>
      <c r="H601" s="0" t="s">
        <v>625</v>
      </c>
      <c r="I601" s="0" t="s">
        <v>626</v>
      </c>
      <c r="J601" s="0" t="s">
        <v>627</v>
      </c>
      <c r="K601" s="475" t="n">
        <v>36831</v>
      </c>
      <c r="L601" s="254" t="n">
        <v>-400080.641994376</v>
      </c>
      <c r="M601" s="475" t="n">
        <v>36829</v>
      </c>
      <c r="N601" s="0" t="s">
        <v>132</v>
      </c>
      <c r="O601" s="0" t="n">
        <v>1.52</v>
      </c>
      <c r="P601" s="0" t="n">
        <v>0</v>
      </c>
      <c r="Q601" s="0" t="n">
        <v>0</v>
      </c>
      <c r="R601" s="0" t="n">
        <v>0</v>
      </c>
      <c r="S601" s="0" t="n">
        <v>0</v>
      </c>
      <c r="T601" s="0" t="s">
        <v>624</v>
      </c>
      <c r="U601" s="0" t="s">
        <v>149</v>
      </c>
      <c r="V601" s="0" t="s">
        <v>624</v>
      </c>
      <c r="W601" s="0" t="s">
        <v>569</v>
      </c>
      <c r="X601" s="0" t="s">
        <v>624</v>
      </c>
      <c r="Y601" s="0" t="s">
        <v>627</v>
      </c>
      <c r="Z601" s="0" t="s">
        <v>629</v>
      </c>
      <c r="AA601" s="0" t="s">
        <v>624</v>
      </c>
      <c r="AB601" s="0" t="s">
        <v>132</v>
      </c>
      <c r="AC601" s="254" t="n">
        <v>-500000</v>
      </c>
      <c r="AD601" s="254" t="n">
        <v>-12774.323248092</v>
      </c>
      <c r="AE601" s="0" t="n">
        <v>0</v>
      </c>
      <c r="AF601" s="0" t="n">
        <v>0</v>
      </c>
      <c r="AG601" s="0" t="n">
        <v>0</v>
      </c>
      <c r="AH601" s="254" t="n">
        <v>15770.4541102235</v>
      </c>
      <c r="AI601" s="0" t="n">
        <v>226</v>
      </c>
      <c r="AJ601" s="0" t="s">
        <v>630</v>
      </c>
      <c r="AK601" s="0" t="n">
        <v>0</v>
      </c>
      <c r="AL601" s="0" t="n">
        <v>0</v>
      </c>
      <c r="AM601" s="0" t="n">
        <v>0</v>
      </c>
    </row>
    <row r="602" customFormat="false" ht="12.75" hidden="false" customHeight="false" outlineLevel="0" collapsed="false">
      <c r="A602" s="0" t="s">
        <v>621</v>
      </c>
      <c r="B602" s="0" t="s">
        <v>397</v>
      </c>
      <c r="C602" s="0" t="s">
        <v>622</v>
      </c>
      <c r="D602" s="0" t="s">
        <v>623</v>
      </c>
      <c r="E602" s="0" t="s">
        <v>131</v>
      </c>
      <c r="F602" s="0" t="s">
        <v>198</v>
      </c>
      <c r="G602" s="0" t="s">
        <v>628</v>
      </c>
      <c r="H602" s="0" t="s">
        <v>625</v>
      </c>
      <c r="I602" s="0" t="s">
        <v>626</v>
      </c>
      <c r="J602" s="0" t="s">
        <v>627</v>
      </c>
      <c r="K602" s="475" t="n">
        <v>36861</v>
      </c>
      <c r="L602" s="254" t="n">
        <v>-224320.482024559</v>
      </c>
      <c r="M602" s="475" t="n">
        <v>36859</v>
      </c>
      <c r="N602" s="0" t="s">
        <v>132</v>
      </c>
      <c r="O602" s="0" t="n">
        <v>1.52</v>
      </c>
      <c r="P602" s="0" t="n">
        <v>0</v>
      </c>
      <c r="Q602" s="0" t="n">
        <v>0</v>
      </c>
      <c r="R602" s="0" t="n">
        <v>0</v>
      </c>
      <c r="S602" s="0" t="n">
        <v>0</v>
      </c>
      <c r="T602" s="0" t="s">
        <v>624</v>
      </c>
      <c r="U602" s="0" t="s">
        <v>149</v>
      </c>
      <c r="V602" s="0" t="s">
        <v>624</v>
      </c>
      <c r="W602" s="0" t="s">
        <v>569</v>
      </c>
      <c r="X602" s="0" t="s">
        <v>624</v>
      </c>
      <c r="Y602" s="0" t="s">
        <v>627</v>
      </c>
      <c r="Z602" s="0" t="s">
        <v>629</v>
      </c>
      <c r="AA602" s="0" t="s">
        <v>624</v>
      </c>
      <c r="AB602" s="0" t="s">
        <v>132</v>
      </c>
      <c r="AC602" s="254" t="n">
        <v>-500000</v>
      </c>
      <c r="AD602" s="254" t="n">
        <v>-35389.0605230396</v>
      </c>
      <c r="AE602" s="0" t="n">
        <v>0</v>
      </c>
      <c r="AF602" s="0" t="n">
        <v>0</v>
      </c>
      <c r="AG602" s="0" t="n">
        <v>0</v>
      </c>
      <c r="AH602" s="254" t="n">
        <v>7645.56963044469</v>
      </c>
      <c r="AI602" s="0" t="n">
        <v>226</v>
      </c>
      <c r="AJ602" s="0" t="s">
        <v>630</v>
      </c>
      <c r="AK602" s="0" t="n">
        <v>0</v>
      </c>
      <c r="AL602" s="0" t="n">
        <v>0</v>
      </c>
      <c r="AM602" s="0" t="n">
        <v>0</v>
      </c>
    </row>
    <row r="603" customFormat="false" ht="12.75" hidden="false" customHeight="false" outlineLevel="0" collapsed="false">
      <c r="A603" s="0" t="s">
        <v>621</v>
      </c>
      <c r="B603" s="0" t="s">
        <v>397</v>
      </c>
      <c r="C603" s="0" t="s">
        <v>622</v>
      </c>
      <c r="D603" s="0" t="s">
        <v>623</v>
      </c>
      <c r="E603" s="0" t="s">
        <v>131</v>
      </c>
      <c r="F603" s="0" t="s">
        <v>198</v>
      </c>
      <c r="G603" s="0" t="s">
        <v>628</v>
      </c>
      <c r="H603" s="0" t="s">
        <v>625</v>
      </c>
      <c r="I603" s="0" t="s">
        <v>626</v>
      </c>
      <c r="J603" s="0" t="s">
        <v>627</v>
      </c>
      <c r="K603" s="475" t="n">
        <v>36892</v>
      </c>
      <c r="L603" s="254" t="n">
        <v>-168984.997054223</v>
      </c>
      <c r="M603" s="475" t="n">
        <v>36888</v>
      </c>
      <c r="N603" s="0" t="s">
        <v>132</v>
      </c>
      <c r="O603" s="0" t="n">
        <v>1.52</v>
      </c>
      <c r="P603" s="0" t="n">
        <v>0</v>
      </c>
      <c r="Q603" s="0" t="n">
        <v>0</v>
      </c>
      <c r="R603" s="0" t="n">
        <v>0</v>
      </c>
      <c r="S603" s="0" t="n">
        <v>0</v>
      </c>
      <c r="T603" s="0" t="s">
        <v>624</v>
      </c>
      <c r="U603" s="0" t="s">
        <v>149</v>
      </c>
      <c r="V603" s="0" t="s">
        <v>624</v>
      </c>
      <c r="W603" s="0" t="s">
        <v>569</v>
      </c>
      <c r="X603" s="0" t="s">
        <v>624</v>
      </c>
      <c r="Y603" s="0" t="s">
        <v>627</v>
      </c>
      <c r="Z603" s="0" t="s">
        <v>629</v>
      </c>
      <c r="AA603" s="0" t="s">
        <v>624</v>
      </c>
      <c r="AB603" s="0" t="s">
        <v>132</v>
      </c>
      <c r="AC603" s="254" t="n">
        <v>-500000</v>
      </c>
      <c r="AD603" s="254" t="n">
        <v>-37027.4423590699</v>
      </c>
      <c r="AE603" s="0" t="n">
        <v>0</v>
      </c>
      <c r="AF603" s="0" t="n">
        <v>0</v>
      </c>
      <c r="AG603" s="0" t="n">
        <v>0</v>
      </c>
      <c r="AH603" s="254" t="n">
        <v>7004.96899306338</v>
      </c>
      <c r="AI603" s="0" t="n">
        <v>226</v>
      </c>
      <c r="AJ603" s="0" t="s">
        <v>630</v>
      </c>
      <c r="AK603" s="0" t="n">
        <v>0</v>
      </c>
      <c r="AL603" s="0" t="n">
        <v>0</v>
      </c>
      <c r="AM603" s="0" t="n">
        <v>0</v>
      </c>
    </row>
    <row r="604" customFormat="false" ht="12.75" hidden="false" customHeight="false" outlineLevel="0" collapsed="false">
      <c r="A604" s="0" t="s">
        <v>621</v>
      </c>
      <c r="B604" s="0" t="s">
        <v>397</v>
      </c>
      <c r="C604" s="0" t="s">
        <v>622</v>
      </c>
      <c r="D604" s="0" t="s">
        <v>623</v>
      </c>
      <c r="E604" s="0" t="s">
        <v>131</v>
      </c>
      <c r="F604" s="0" t="s">
        <v>198</v>
      </c>
      <c r="G604" s="0" t="s">
        <v>628</v>
      </c>
      <c r="H604" s="0" t="s">
        <v>625</v>
      </c>
      <c r="I604" s="0" t="s">
        <v>626</v>
      </c>
      <c r="J604" s="0" t="s">
        <v>627</v>
      </c>
      <c r="K604" s="475" t="n">
        <v>36923</v>
      </c>
      <c r="L604" s="254" t="n">
        <v>-197297.915481499</v>
      </c>
      <c r="M604" s="475" t="n">
        <v>36921</v>
      </c>
      <c r="N604" s="0" t="s">
        <v>132</v>
      </c>
      <c r="O604" s="0" t="n">
        <v>1.52</v>
      </c>
      <c r="P604" s="0" t="n">
        <v>0</v>
      </c>
      <c r="Q604" s="0" t="n">
        <v>0</v>
      </c>
      <c r="R604" s="0" t="n">
        <v>0</v>
      </c>
      <c r="S604" s="0" t="n">
        <v>0</v>
      </c>
      <c r="T604" s="0" t="s">
        <v>624</v>
      </c>
      <c r="U604" s="0" t="s">
        <v>149</v>
      </c>
      <c r="V604" s="0" t="s">
        <v>624</v>
      </c>
      <c r="W604" s="0" t="s">
        <v>569</v>
      </c>
      <c r="X604" s="0" t="s">
        <v>624</v>
      </c>
      <c r="Y604" s="0" t="s">
        <v>627</v>
      </c>
      <c r="Z604" s="0" t="s">
        <v>629</v>
      </c>
      <c r="AA604" s="0" t="s">
        <v>624</v>
      </c>
      <c r="AB604" s="0" t="s">
        <v>132</v>
      </c>
      <c r="AC604" s="254" t="n">
        <v>-500000</v>
      </c>
      <c r="AD604" s="254" t="n">
        <v>-41469.9825509166</v>
      </c>
      <c r="AE604" s="0" t="n">
        <v>0</v>
      </c>
      <c r="AF604" s="0" t="n">
        <v>0</v>
      </c>
      <c r="AG604" s="0" t="n">
        <v>0</v>
      </c>
      <c r="AH604" s="254" t="n">
        <v>8908.73541405445</v>
      </c>
      <c r="AI604" s="0" t="n">
        <v>226</v>
      </c>
      <c r="AJ604" s="0" t="s">
        <v>630</v>
      </c>
      <c r="AK604" s="0" t="n">
        <v>0</v>
      </c>
      <c r="AL604" s="0" t="n">
        <v>0</v>
      </c>
      <c r="AM604" s="0" t="n">
        <v>0</v>
      </c>
    </row>
    <row r="605" customFormat="false" ht="12.75" hidden="false" customHeight="false" outlineLevel="0" collapsed="false">
      <c r="A605" s="0" t="s">
        <v>621</v>
      </c>
      <c r="B605" s="0" t="s">
        <v>397</v>
      </c>
      <c r="C605" s="0" t="s">
        <v>622</v>
      </c>
      <c r="D605" s="0" t="s">
        <v>623</v>
      </c>
      <c r="E605" s="0" t="s">
        <v>131</v>
      </c>
      <c r="F605" s="0" t="s">
        <v>198</v>
      </c>
      <c r="G605" s="0" t="s">
        <v>628</v>
      </c>
      <c r="H605" s="0" t="s">
        <v>625</v>
      </c>
      <c r="I605" s="0" t="s">
        <v>626</v>
      </c>
      <c r="J605" s="0" t="s">
        <v>627</v>
      </c>
      <c r="K605" s="475" t="n">
        <v>36951</v>
      </c>
      <c r="L605" s="254" t="n">
        <v>-391150.355276343</v>
      </c>
      <c r="M605" s="475" t="n">
        <v>36949</v>
      </c>
      <c r="N605" s="0" t="s">
        <v>132</v>
      </c>
      <c r="O605" s="0" t="n">
        <v>1.52</v>
      </c>
      <c r="P605" s="0" t="n">
        <v>0</v>
      </c>
      <c r="Q605" s="0" t="n">
        <v>0</v>
      </c>
      <c r="R605" s="0" t="n">
        <v>0</v>
      </c>
      <c r="S605" s="0" t="n">
        <v>0</v>
      </c>
      <c r="T605" s="0" t="s">
        <v>624</v>
      </c>
      <c r="U605" s="0" t="s">
        <v>149</v>
      </c>
      <c r="V605" s="0" t="s">
        <v>624</v>
      </c>
      <c r="W605" s="0" t="s">
        <v>569</v>
      </c>
      <c r="X605" s="0" t="s">
        <v>624</v>
      </c>
      <c r="Y605" s="0" t="s">
        <v>627</v>
      </c>
      <c r="Z605" s="0" t="s">
        <v>629</v>
      </c>
      <c r="AA605" s="0" t="s">
        <v>624</v>
      </c>
      <c r="AB605" s="0" t="s">
        <v>132</v>
      </c>
      <c r="AC605" s="254" t="n">
        <v>-500000</v>
      </c>
      <c r="AD605" s="254" t="n">
        <v>-41343.7241806269</v>
      </c>
      <c r="AE605" s="0" t="n">
        <v>0</v>
      </c>
      <c r="AF605" s="0" t="n">
        <v>0</v>
      </c>
      <c r="AG605" s="0" t="n">
        <v>0</v>
      </c>
      <c r="AH605" s="254" t="n">
        <v>14768.1527184695</v>
      </c>
      <c r="AI605" s="0" t="n">
        <v>226</v>
      </c>
      <c r="AJ605" s="0" t="s">
        <v>630</v>
      </c>
      <c r="AK605" s="0" t="n">
        <v>0</v>
      </c>
      <c r="AL605" s="0" t="n">
        <v>0</v>
      </c>
      <c r="AM605" s="0" t="n">
        <v>0</v>
      </c>
    </row>
    <row r="606" customFormat="false" ht="12.75" hidden="false" customHeight="false" outlineLevel="0" collapsed="false">
      <c r="A606" s="0" t="s">
        <v>621</v>
      </c>
      <c r="B606" s="0" t="s">
        <v>398</v>
      </c>
      <c r="C606" s="0" t="s">
        <v>622</v>
      </c>
      <c r="D606" s="0" t="s">
        <v>623</v>
      </c>
      <c r="E606" s="0" t="s">
        <v>131</v>
      </c>
      <c r="F606" s="0" t="s">
        <v>244</v>
      </c>
      <c r="G606" s="0" t="s">
        <v>628</v>
      </c>
      <c r="H606" s="0" t="s">
        <v>625</v>
      </c>
      <c r="I606" s="0" t="s">
        <v>626</v>
      </c>
      <c r="J606" s="0" t="s">
        <v>627</v>
      </c>
      <c r="K606" s="475" t="n">
        <v>36831</v>
      </c>
      <c r="L606" s="254" t="n">
        <v>85217.7819305855</v>
      </c>
      <c r="M606" s="475" t="n">
        <v>36829</v>
      </c>
      <c r="N606" s="0" t="s">
        <v>136</v>
      </c>
      <c r="O606" s="0" t="n">
        <v>1</v>
      </c>
      <c r="P606" s="0" t="n">
        <v>0</v>
      </c>
      <c r="Q606" s="0" t="n">
        <v>0</v>
      </c>
      <c r="R606" s="0" t="n">
        <v>0</v>
      </c>
      <c r="S606" s="0" t="n">
        <v>0</v>
      </c>
      <c r="T606" s="0" t="s">
        <v>624</v>
      </c>
      <c r="U606" s="0" t="s">
        <v>149</v>
      </c>
      <c r="V606" s="0" t="s">
        <v>624</v>
      </c>
      <c r="W606" s="0" t="s">
        <v>569</v>
      </c>
      <c r="X606" s="0" t="s">
        <v>624</v>
      </c>
      <c r="Y606" s="0" t="s">
        <v>627</v>
      </c>
      <c r="Z606" s="0" t="s">
        <v>629</v>
      </c>
      <c r="AA606" s="0" t="s">
        <v>624</v>
      </c>
      <c r="AB606" s="0" t="s">
        <v>132</v>
      </c>
      <c r="AC606" s="254" t="n">
        <v>500000</v>
      </c>
      <c r="AD606" s="254" t="n">
        <v>20906.9546718727</v>
      </c>
      <c r="AE606" s="0" t="n">
        <v>0</v>
      </c>
      <c r="AF606" s="0" t="n">
        <v>0</v>
      </c>
      <c r="AG606" s="0" t="n">
        <v>0</v>
      </c>
      <c r="AH606" s="254" t="n">
        <v>8666.53669829646</v>
      </c>
      <c r="AI606" s="0" t="n">
        <v>226</v>
      </c>
      <c r="AJ606" s="0" t="s">
        <v>630</v>
      </c>
      <c r="AK606" s="0" t="n">
        <v>0</v>
      </c>
      <c r="AL606" s="0" t="n">
        <v>0</v>
      </c>
      <c r="AM606" s="0" t="n">
        <v>0</v>
      </c>
    </row>
    <row r="607" customFormat="false" ht="12.75" hidden="false" customHeight="false" outlineLevel="0" collapsed="false">
      <c r="A607" s="0" t="s">
        <v>621</v>
      </c>
      <c r="B607" s="0" t="s">
        <v>399</v>
      </c>
      <c r="C607" s="0" t="s">
        <v>622</v>
      </c>
      <c r="D607" s="0" t="s">
        <v>623</v>
      </c>
      <c r="E607" s="0" t="s">
        <v>131</v>
      </c>
      <c r="F607" s="0" t="s">
        <v>244</v>
      </c>
      <c r="G607" s="0" t="s">
        <v>628</v>
      </c>
      <c r="H607" s="0" t="s">
        <v>625</v>
      </c>
      <c r="I607" s="0" t="s">
        <v>626</v>
      </c>
      <c r="J607" s="0" t="s">
        <v>627</v>
      </c>
      <c r="K607" s="475" t="n">
        <v>36831</v>
      </c>
      <c r="L607" s="254" t="n">
        <v>-30752.9866277365</v>
      </c>
      <c r="M607" s="475" t="n">
        <v>36829</v>
      </c>
      <c r="N607" s="0" t="s">
        <v>136</v>
      </c>
      <c r="O607" s="0" t="n">
        <v>1.5</v>
      </c>
      <c r="P607" s="0" t="n">
        <v>0</v>
      </c>
      <c r="Q607" s="0" t="n">
        <v>0</v>
      </c>
      <c r="R607" s="0" t="n">
        <v>0</v>
      </c>
      <c r="S607" s="0" t="n">
        <v>0</v>
      </c>
      <c r="T607" s="0" t="s">
        <v>624</v>
      </c>
      <c r="U607" s="0" t="s">
        <v>149</v>
      </c>
      <c r="V607" s="0" t="s">
        <v>624</v>
      </c>
      <c r="W607" s="0" t="s">
        <v>569</v>
      </c>
      <c r="X607" s="0" t="s">
        <v>624</v>
      </c>
      <c r="Y607" s="0" t="s">
        <v>627</v>
      </c>
      <c r="Z607" s="0" t="s">
        <v>629</v>
      </c>
      <c r="AA607" s="0" t="s">
        <v>624</v>
      </c>
      <c r="AB607" s="0" t="s">
        <v>132</v>
      </c>
      <c r="AC607" s="254" t="n">
        <v>-500000</v>
      </c>
      <c r="AD607" s="254" t="n">
        <v>-13100.3637943802</v>
      </c>
      <c r="AE607" s="0" t="n">
        <v>0</v>
      </c>
      <c r="AF607" s="0" t="n">
        <v>0</v>
      </c>
      <c r="AG607" s="0" t="n">
        <v>0</v>
      </c>
      <c r="AH607" s="254" t="n">
        <v>-4120.33432889789</v>
      </c>
      <c r="AI607" s="0" t="n">
        <v>226</v>
      </c>
      <c r="AJ607" s="0" t="s">
        <v>630</v>
      </c>
      <c r="AK607" s="0" t="n">
        <v>0</v>
      </c>
      <c r="AL607" s="0" t="n">
        <v>0</v>
      </c>
      <c r="AM607" s="0" t="n">
        <v>0</v>
      </c>
    </row>
    <row r="608" customFormat="false" ht="12.75" hidden="false" customHeight="false" outlineLevel="0" collapsed="false">
      <c r="A608" s="0" t="s">
        <v>621</v>
      </c>
      <c r="B608" s="0" t="s">
        <v>400</v>
      </c>
      <c r="C608" s="0" t="s">
        <v>622</v>
      </c>
      <c r="D608" s="0" t="s">
        <v>623</v>
      </c>
      <c r="E608" s="0" t="s">
        <v>131</v>
      </c>
      <c r="F608" s="0" t="s">
        <v>363</v>
      </c>
      <c r="G608" s="0" t="s">
        <v>628</v>
      </c>
      <c r="H608" s="0" t="s">
        <v>625</v>
      </c>
      <c r="I608" s="0" t="s">
        <v>626</v>
      </c>
      <c r="J608" s="0" t="s">
        <v>627</v>
      </c>
      <c r="K608" s="475" t="n">
        <v>36831</v>
      </c>
      <c r="L608" s="254" t="n">
        <v>170435.563861171</v>
      </c>
      <c r="M608" s="475" t="n">
        <v>36829</v>
      </c>
      <c r="N608" s="0" t="s">
        <v>136</v>
      </c>
      <c r="O608" s="0" t="n">
        <v>1</v>
      </c>
      <c r="P608" s="0" t="n">
        <v>0</v>
      </c>
      <c r="Q608" s="0" t="n">
        <v>0</v>
      </c>
      <c r="R608" s="0" t="n">
        <v>0</v>
      </c>
      <c r="S608" s="0" t="n">
        <v>0</v>
      </c>
      <c r="T608" s="0" t="s">
        <v>624</v>
      </c>
      <c r="U608" s="0" t="s">
        <v>149</v>
      </c>
      <c r="V608" s="0" t="s">
        <v>624</v>
      </c>
      <c r="W608" s="0" t="s">
        <v>569</v>
      </c>
      <c r="X608" s="0" t="s">
        <v>624</v>
      </c>
      <c r="Y608" s="0" t="s">
        <v>627</v>
      </c>
      <c r="Z608" s="0" t="s">
        <v>629</v>
      </c>
      <c r="AA608" s="0" t="s">
        <v>624</v>
      </c>
      <c r="AB608" s="0" t="s">
        <v>132</v>
      </c>
      <c r="AC608" s="254" t="n">
        <v>1000000</v>
      </c>
      <c r="AD608" s="254" t="n">
        <v>41813.9093437454</v>
      </c>
      <c r="AE608" s="0" t="n">
        <v>0</v>
      </c>
      <c r="AF608" s="0" t="n">
        <v>0</v>
      </c>
      <c r="AG608" s="0" t="n">
        <v>0</v>
      </c>
      <c r="AH608" s="254" t="n">
        <v>17333.0733965929</v>
      </c>
      <c r="AI608" s="0" t="n">
        <v>226</v>
      </c>
      <c r="AJ608" s="0" t="s">
        <v>630</v>
      </c>
      <c r="AK608" s="0" t="n">
        <v>0</v>
      </c>
      <c r="AL608" s="0" t="n">
        <v>0</v>
      </c>
      <c r="AM608" s="0" t="n">
        <v>0</v>
      </c>
    </row>
    <row r="609" customFormat="false" ht="12.75" hidden="false" customHeight="false" outlineLevel="0" collapsed="false">
      <c r="A609" s="0" t="s">
        <v>621</v>
      </c>
      <c r="B609" s="0" t="s">
        <v>401</v>
      </c>
      <c r="C609" s="0" t="s">
        <v>622</v>
      </c>
      <c r="D609" s="0" t="s">
        <v>623</v>
      </c>
      <c r="E609" s="0" t="s">
        <v>131</v>
      </c>
      <c r="F609" s="0" t="s">
        <v>275</v>
      </c>
      <c r="G609" s="0" t="s">
        <v>628</v>
      </c>
      <c r="H609" s="0" t="s">
        <v>625</v>
      </c>
      <c r="I609" s="0" t="s">
        <v>626</v>
      </c>
      <c r="J609" s="0" t="s">
        <v>627</v>
      </c>
      <c r="K609" s="475" t="n">
        <v>36831</v>
      </c>
      <c r="L609" s="254" t="n">
        <v>1205.08064711719</v>
      </c>
      <c r="M609" s="475" t="n">
        <v>36829</v>
      </c>
      <c r="N609" s="0" t="s">
        <v>136</v>
      </c>
      <c r="O609" s="0" t="n">
        <v>3</v>
      </c>
      <c r="P609" s="0" t="n">
        <v>0</v>
      </c>
      <c r="Q609" s="0" t="n">
        <v>0</v>
      </c>
      <c r="R609" s="0" t="n">
        <v>0</v>
      </c>
      <c r="S609" s="0" t="n">
        <v>0</v>
      </c>
      <c r="T609" s="0" t="s">
        <v>624</v>
      </c>
      <c r="U609" s="0" t="s">
        <v>149</v>
      </c>
      <c r="V609" s="0" t="s">
        <v>624</v>
      </c>
      <c r="W609" s="0" t="s">
        <v>569</v>
      </c>
      <c r="X609" s="0" t="s">
        <v>624</v>
      </c>
      <c r="Y609" s="0" t="s">
        <v>627</v>
      </c>
      <c r="Z609" s="0" t="s">
        <v>629</v>
      </c>
      <c r="AA609" s="0" t="s">
        <v>624</v>
      </c>
      <c r="AB609" s="0" t="s">
        <v>132</v>
      </c>
      <c r="AC609" s="254" t="n">
        <v>600000</v>
      </c>
      <c r="AD609" s="254" t="n">
        <v>1202.82011133918</v>
      </c>
      <c r="AE609" s="0" t="n">
        <v>0</v>
      </c>
      <c r="AF609" s="0" t="n">
        <v>0</v>
      </c>
      <c r="AG609" s="0" t="n">
        <v>0</v>
      </c>
      <c r="AH609" s="254" t="n">
        <v>272.993707591974</v>
      </c>
      <c r="AI609" s="0" t="n">
        <v>226</v>
      </c>
      <c r="AJ609" s="0" t="s">
        <v>630</v>
      </c>
      <c r="AK609" s="0" t="n">
        <v>0</v>
      </c>
      <c r="AL609" s="0" t="n">
        <v>0</v>
      </c>
      <c r="AM609" s="0" t="n">
        <v>0</v>
      </c>
    </row>
    <row r="610" customFormat="false" ht="12.75" hidden="false" customHeight="false" outlineLevel="0" collapsed="false">
      <c r="A610" s="0" t="s">
        <v>621</v>
      </c>
      <c r="B610" s="0" t="s">
        <v>401</v>
      </c>
      <c r="C610" s="0" t="s">
        <v>622</v>
      </c>
      <c r="D610" s="0" t="s">
        <v>623</v>
      </c>
      <c r="E610" s="0" t="s">
        <v>131</v>
      </c>
      <c r="F610" s="0" t="s">
        <v>275</v>
      </c>
      <c r="G610" s="0" t="s">
        <v>628</v>
      </c>
      <c r="H610" s="0" t="s">
        <v>625</v>
      </c>
      <c r="I610" s="0" t="s">
        <v>626</v>
      </c>
      <c r="J610" s="0" t="s">
        <v>627</v>
      </c>
      <c r="K610" s="475" t="n">
        <v>36861</v>
      </c>
      <c r="L610" s="254" t="n">
        <v>98380.4348475976</v>
      </c>
      <c r="M610" s="475" t="n">
        <v>36859</v>
      </c>
      <c r="N610" s="0" t="s">
        <v>136</v>
      </c>
      <c r="O610" s="0" t="n">
        <v>3</v>
      </c>
      <c r="P610" s="0" t="n">
        <v>0</v>
      </c>
      <c r="Q610" s="0" t="n">
        <v>0</v>
      </c>
      <c r="R610" s="0" t="n">
        <v>0</v>
      </c>
      <c r="S610" s="0" t="n">
        <v>0</v>
      </c>
      <c r="T610" s="0" t="s">
        <v>624</v>
      </c>
      <c r="U610" s="0" t="s">
        <v>149</v>
      </c>
      <c r="V610" s="0" t="s">
        <v>624</v>
      </c>
      <c r="W610" s="0" t="s">
        <v>569</v>
      </c>
      <c r="X610" s="0" t="s">
        <v>624</v>
      </c>
      <c r="Y610" s="0" t="s">
        <v>627</v>
      </c>
      <c r="Z610" s="0" t="s">
        <v>629</v>
      </c>
      <c r="AA610" s="0" t="s">
        <v>624</v>
      </c>
      <c r="AB610" s="0" t="s">
        <v>132</v>
      </c>
      <c r="AC610" s="254" t="n">
        <v>620000</v>
      </c>
      <c r="AD610" s="254" t="n">
        <v>28858.7572029209</v>
      </c>
      <c r="AE610" s="0" t="n">
        <v>0</v>
      </c>
      <c r="AF610" s="0" t="n">
        <v>0</v>
      </c>
      <c r="AG610" s="0" t="n">
        <v>0</v>
      </c>
      <c r="AH610" s="254" t="n">
        <v>7488.57707518438</v>
      </c>
      <c r="AI610" s="0" t="n">
        <v>226</v>
      </c>
      <c r="AJ610" s="0" t="s">
        <v>630</v>
      </c>
      <c r="AK610" s="0" t="n">
        <v>0</v>
      </c>
      <c r="AL610" s="0" t="n">
        <v>0</v>
      </c>
      <c r="AM610" s="0" t="n">
        <v>0</v>
      </c>
    </row>
    <row r="611" customFormat="false" ht="12.75" hidden="false" customHeight="false" outlineLevel="0" collapsed="false">
      <c r="A611" s="0" t="s">
        <v>621</v>
      </c>
      <c r="B611" s="0" t="s">
        <v>401</v>
      </c>
      <c r="C611" s="0" t="s">
        <v>622</v>
      </c>
      <c r="D611" s="0" t="s">
        <v>623</v>
      </c>
      <c r="E611" s="0" t="s">
        <v>131</v>
      </c>
      <c r="F611" s="0" t="s">
        <v>275</v>
      </c>
      <c r="G611" s="0" t="s">
        <v>628</v>
      </c>
      <c r="H611" s="0" t="s">
        <v>625</v>
      </c>
      <c r="I611" s="0" t="s">
        <v>626</v>
      </c>
      <c r="J611" s="0" t="s">
        <v>627</v>
      </c>
      <c r="K611" s="475" t="n">
        <v>36892</v>
      </c>
      <c r="L611" s="254" t="n">
        <v>239454.613804112</v>
      </c>
      <c r="M611" s="475" t="n">
        <v>36888</v>
      </c>
      <c r="N611" s="0" t="s">
        <v>136</v>
      </c>
      <c r="O611" s="0" t="n">
        <v>3</v>
      </c>
      <c r="P611" s="0" t="n">
        <v>0</v>
      </c>
      <c r="Q611" s="0" t="n">
        <v>0</v>
      </c>
      <c r="R611" s="0" t="n">
        <v>0</v>
      </c>
      <c r="S611" s="0" t="n">
        <v>0</v>
      </c>
      <c r="T611" s="0" t="s">
        <v>624</v>
      </c>
      <c r="U611" s="0" t="s">
        <v>149</v>
      </c>
      <c r="V611" s="0" t="s">
        <v>624</v>
      </c>
      <c r="W611" s="0" t="s">
        <v>569</v>
      </c>
      <c r="X611" s="0" t="s">
        <v>624</v>
      </c>
      <c r="Y611" s="0" t="s">
        <v>627</v>
      </c>
      <c r="Z611" s="0" t="s">
        <v>629</v>
      </c>
      <c r="AA611" s="0" t="s">
        <v>624</v>
      </c>
      <c r="AB611" s="0" t="s">
        <v>132</v>
      </c>
      <c r="AC611" s="254" t="n">
        <v>620000</v>
      </c>
      <c r="AD611" s="254" t="n">
        <v>43158.7723519802</v>
      </c>
      <c r="AE611" s="0" t="n">
        <v>0</v>
      </c>
      <c r="AF611" s="0" t="n">
        <v>0</v>
      </c>
      <c r="AG611" s="0" t="n">
        <v>0</v>
      </c>
      <c r="AH611" s="254" t="n">
        <v>15581.0627571879</v>
      </c>
      <c r="AI611" s="0" t="n">
        <v>226</v>
      </c>
      <c r="AJ611" s="0" t="s">
        <v>630</v>
      </c>
      <c r="AK611" s="0" t="n">
        <v>0</v>
      </c>
      <c r="AL611" s="0" t="n">
        <v>0</v>
      </c>
      <c r="AM611" s="0" t="n">
        <v>0</v>
      </c>
    </row>
    <row r="612" customFormat="false" ht="12.75" hidden="false" customHeight="false" outlineLevel="0" collapsed="false">
      <c r="A612" s="0" t="s">
        <v>621</v>
      </c>
      <c r="B612" s="0" t="s">
        <v>401</v>
      </c>
      <c r="C612" s="0" t="s">
        <v>622</v>
      </c>
      <c r="D612" s="0" t="s">
        <v>623</v>
      </c>
      <c r="E612" s="0" t="s">
        <v>131</v>
      </c>
      <c r="F612" s="0" t="s">
        <v>275</v>
      </c>
      <c r="G612" s="0" t="s">
        <v>628</v>
      </c>
      <c r="H612" s="0" t="s">
        <v>625</v>
      </c>
      <c r="I612" s="0" t="s">
        <v>626</v>
      </c>
      <c r="J612" s="0" t="s">
        <v>627</v>
      </c>
      <c r="K612" s="475" t="n">
        <v>36923</v>
      </c>
      <c r="L612" s="254" t="n">
        <v>223934.610130462</v>
      </c>
      <c r="M612" s="475" t="n">
        <v>36921</v>
      </c>
      <c r="N612" s="0" t="s">
        <v>136</v>
      </c>
      <c r="O612" s="0" t="n">
        <v>3</v>
      </c>
      <c r="P612" s="0" t="n">
        <v>0</v>
      </c>
      <c r="Q612" s="0" t="n">
        <v>0</v>
      </c>
      <c r="R612" s="0" t="n">
        <v>0</v>
      </c>
      <c r="S612" s="0" t="n">
        <v>0</v>
      </c>
      <c r="T612" s="0" t="s">
        <v>624</v>
      </c>
      <c r="U612" s="0" t="s">
        <v>149</v>
      </c>
      <c r="V612" s="0" t="s">
        <v>624</v>
      </c>
      <c r="W612" s="0" t="s">
        <v>569</v>
      </c>
      <c r="X612" s="0" t="s">
        <v>624</v>
      </c>
      <c r="Y612" s="0" t="s">
        <v>627</v>
      </c>
      <c r="Z612" s="0" t="s">
        <v>629</v>
      </c>
      <c r="AA612" s="0" t="s">
        <v>624</v>
      </c>
      <c r="AB612" s="0" t="s">
        <v>132</v>
      </c>
      <c r="AC612" s="254" t="n">
        <v>560000</v>
      </c>
      <c r="AD612" s="254" t="n">
        <v>42315.5982974822</v>
      </c>
      <c r="AE612" s="0" t="n">
        <v>0</v>
      </c>
      <c r="AF612" s="0" t="n">
        <v>0</v>
      </c>
      <c r="AG612" s="0" t="n">
        <v>0</v>
      </c>
      <c r="AH612" s="254" t="n">
        <v>16178.2483665124</v>
      </c>
      <c r="AI612" s="0" t="n">
        <v>226</v>
      </c>
      <c r="AJ612" s="0" t="s">
        <v>630</v>
      </c>
      <c r="AK612" s="0" t="n">
        <v>0</v>
      </c>
      <c r="AL612" s="0" t="n">
        <v>0</v>
      </c>
      <c r="AM612" s="0" t="n">
        <v>0</v>
      </c>
    </row>
    <row r="613" customFormat="false" ht="12.75" hidden="false" customHeight="false" outlineLevel="0" collapsed="false">
      <c r="A613" s="0" t="s">
        <v>621</v>
      </c>
      <c r="B613" s="0" t="s">
        <v>401</v>
      </c>
      <c r="C613" s="0" t="s">
        <v>622</v>
      </c>
      <c r="D613" s="0" t="s">
        <v>623</v>
      </c>
      <c r="E613" s="0" t="s">
        <v>131</v>
      </c>
      <c r="F613" s="0" t="s">
        <v>275</v>
      </c>
      <c r="G613" s="0" t="s">
        <v>628</v>
      </c>
      <c r="H613" s="0" t="s">
        <v>625</v>
      </c>
      <c r="I613" s="0" t="s">
        <v>626</v>
      </c>
      <c r="J613" s="0" t="s">
        <v>627</v>
      </c>
      <c r="K613" s="475" t="n">
        <v>36951</v>
      </c>
      <c r="L613" s="254" t="n">
        <v>65270.8157125124</v>
      </c>
      <c r="M613" s="475" t="n">
        <v>36949</v>
      </c>
      <c r="N613" s="0" t="s">
        <v>136</v>
      </c>
      <c r="O613" s="0" t="n">
        <v>3</v>
      </c>
      <c r="P613" s="0" t="n">
        <v>0</v>
      </c>
      <c r="Q613" s="0" t="n">
        <v>0</v>
      </c>
      <c r="R613" s="0" t="n">
        <v>0</v>
      </c>
      <c r="S613" s="0" t="n">
        <v>0</v>
      </c>
      <c r="T613" s="0" t="s">
        <v>624</v>
      </c>
      <c r="U613" s="0" t="s">
        <v>149</v>
      </c>
      <c r="V613" s="0" t="s">
        <v>624</v>
      </c>
      <c r="W613" s="0" t="s">
        <v>569</v>
      </c>
      <c r="X613" s="0" t="s">
        <v>624</v>
      </c>
      <c r="Y613" s="0" t="s">
        <v>627</v>
      </c>
      <c r="Z613" s="0" t="s">
        <v>629</v>
      </c>
      <c r="AA613" s="0" t="s">
        <v>624</v>
      </c>
      <c r="AB613" s="0" t="s">
        <v>132</v>
      </c>
      <c r="AC613" s="254" t="n">
        <v>620000</v>
      </c>
      <c r="AD613" s="254" t="n">
        <v>27765.5238546944</v>
      </c>
      <c r="AE613" s="0" t="n">
        <v>0</v>
      </c>
      <c r="AF613" s="0" t="n">
        <v>0</v>
      </c>
      <c r="AG613" s="0" t="n">
        <v>0</v>
      </c>
      <c r="AH613" s="254" t="n">
        <v>7036.97713727812</v>
      </c>
      <c r="AI613" s="0" t="n">
        <v>226</v>
      </c>
      <c r="AJ613" s="0" t="s">
        <v>630</v>
      </c>
      <c r="AK613" s="0" t="n">
        <v>0</v>
      </c>
      <c r="AL613" s="0" t="n">
        <v>0</v>
      </c>
      <c r="AM613" s="0" t="n">
        <v>0</v>
      </c>
    </row>
    <row r="614" customFormat="false" ht="12.75" hidden="false" customHeight="false" outlineLevel="0" collapsed="false">
      <c r="A614" s="0" t="s">
        <v>621</v>
      </c>
      <c r="B614" s="0" t="s">
        <v>402</v>
      </c>
      <c r="C614" s="0" t="s">
        <v>622</v>
      </c>
      <c r="D614" s="0" t="s">
        <v>623</v>
      </c>
      <c r="E614" s="0" t="s">
        <v>131</v>
      </c>
      <c r="F614" s="0" t="s">
        <v>275</v>
      </c>
      <c r="G614" s="0" t="s">
        <v>628</v>
      </c>
      <c r="H614" s="0" t="s">
        <v>625</v>
      </c>
      <c r="I614" s="0" t="s">
        <v>626</v>
      </c>
      <c r="J614" s="0" t="s">
        <v>627</v>
      </c>
      <c r="K614" s="475" t="n">
        <v>36831</v>
      </c>
      <c r="L614" s="254" t="n">
        <v>-376.482966952956</v>
      </c>
      <c r="M614" s="475" t="n">
        <v>36829</v>
      </c>
      <c r="N614" s="0" t="s">
        <v>136</v>
      </c>
      <c r="O614" s="0" t="n">
        <v>3.5</v>
      </c>
      <c r="P614" s="0" t="n">
        <v>0</v>
      </c>
      <c r="Q614" s="0" t="n">
        <v>0</v>
      </c>
      <c r="R614" s="0" t="n">
        <v>0</v>
      </c>
      <c r="S614" s="0" t="n">
        <v>0</v>
      </c>
      <c r="T614" s="0" t="s">
        <v>624</v>
      </c>
      <c r="U614" s="0" t="s">
        <v>149</v>
      </c>
      <c r="V614" s="0" t="s">
        <v>624</v>
      </c>
      <c r="W614" s="0" t="s">
        <v>569</v>
      </c>
      <c r="X614" s="0" t="s">
        <v>624</v>
      </c>
      <c r="Y614" s="0" t="s">
        <v>627</v>
      </c>
      <c r="Z614" s="0" t="s">
        <v>629</v>
      </c>
      <c r="AA614" s="0" t="s">
        <v>624</v>
      </c>
      <c r="AB614" s="0" t="s">
        <v>132</v>
      </c>
      <c r="AC614" s="254" t="n">
        <v>-600000</v>
      </c>
      <c r="AD614" s="254" t="n">
        <v>-442.140850084452</v>
      </c>
      <c r="AE614" s="0" t="n">
        <v>0</v>
      </c>
      <c r="AF614" s="0" t="n">
        <v>0</v>
      </c>
      <c r="AG614" s="0" t="n">
        <v>0</v>
      </c>
      <c r="AH614" s="254" t="n">
        <v>-96.2200440655186</v>
      </c>
      <c r="AI614" s="0" t="n">
        <v>226</v>
      </c>
      <c r="AJ614" s="0" t="s">
        <v>630</v>
      </c>
      <c r="AK614" s="0" t="n">
        <v>0</v>
      </c>
      <c r="AL614" s="0" t="n">
        <v>0</v>
      </c>
      <c r="AM614" s="0" t="n">
        <v>0</v>
      </c>
    </row>
    <row r="615" customFormat="false" ht="12.75" hidden="false" customHeight="false" outlineLevel="0" collapsed="false">
      <c r="A615" s="0" t="s">
        <v>621</v>
      </c>
      <c r="B615" s="0" t="s">
        <v>402</v>
      </c>
      <c r="C615" s="0" t="s">
        <v>622</v>
      </c>
      <c r="D615" s="0" t="s">
        <v>623</v>
      </c>
      <c r="E615" s="0" t="s">
        <v>131</v>
      </c>
      <c r="F615" s="0" t="s">
        <v>275</v>
      </c>
      <c r="G615" s="0" t="s">
        <v>628</v>
      </c>
      <c r="H615" s="0" t="s">
        <v>625</v>
      </c>
      <c r="I615" s="0" t="s">
        <v>626</v>
      </c>
      <c r="J615" s="0" t="s">
        <v>627</v>
      </c>
      <c r="K615" s="475" t="n">
        <v>36861</v>
      </c>
      <c r="L615" s="254" t="n">
        <v>-62687.9973558398</v>
      </c>
      <c r="M615" s="475" t="n">
        <v>36859</v>
      </c>
      <c r="N615" s="0" t="s">
        <v>136</v>
      </c>
      <c r="O615" s="0" t="n">
        <v>3.5</v>
      </c>
      <c r="P615" s="0" t="n">
        <v>0</v>
      </c>
      <c r="Q615" s="0" t="n">
        <v>0</v>
      </c>
      <c r="R615" s="0" t="n">
        <v>0</v>
      </c>
      <c r="S615" s="0" t="n">
        <v>0</v>
      </c>
      <c r="T615" s="0" t="s">
        <v>624</v>
      </c>
      <c r="U615" s="0" t="s">
        <v>149</v>
      </c>
      <c r="V615" s="0" t="s">
        <v>624</v>
      </c>
      <c r="W615" s="0" t="s">
        <v>569</v>
      </c>
      <c r="X615" s="0" t="s">
        <v>624</v>
      </c>
      <c r="Y615" s="0" t="s">
        <v>627</v>
      </c>
      <c r="Z615" s="0" t="s">
        <v>629</v>
      </c>
      <c r="AA615" s="0" t="s">
        <v>624</v>
      </c>
      <c r="AB615" s="0" t="s">
        <v>132</v>
      </c>
      <c r="AC615" s="254" t="n">
        <v>-620000</v>
      </c>
      <c r="AD615" s="254" t="n">
        <v>-22080.7947460383</v>
      </c>
      <c r="AE615" s="0" t="n">
        <v>0</v>
      </c>
      <c r="AF615" s="0" t="n">
        <v>0</v>
      </c>
      <c r="AG615" s="0" t="n">
        <v>0</v>
      </c>
      <c r="AH615" s="254" t="n">
        <v>-5271.02944605541</v>
      </c>
      <c r="AI615" s="0" t="n">
        <v>226</v>
      </c>
      <c r="AJ615" s="0" t="s">
        <v>630</v>
      </c>
      <c r="AK615" s="0" t="n">
        <v>0</v>
      </c>
      <c r="AL615" s="0" t="n">
        <v>0</v>
      </c>
      <c r="AM615" s="0" t="n">
        <v>0</v>
      </c>
    </row>
    <row r="616" customFormat="false" ht="12.75" hidden="false" customHeight="false" outlineLevel="0" collapsed="false">
      <c r="A616" s="0" t="s">
        <v>621</v>
      </c>
      <c r="B616" s="0" t="s">
        <v>402</v>
      </c>
      <c r="C616" s="0" t="s">
        <v>622</v>
      </c>
      <c r="D616" s="0" t="s">
        <v>623</v>
      </c>
      <c r="E616" s="0" t="s">
        <v>131</v>
      </c>
      <c r="F616" s="0" t="s">
        <v>275</v>
      </c>
      <c r="G616" s="0" t="s">
        <v>628</v>
      </c>
      <c r="H616" s="0" t="s">
        <v>625</v>
      </c>
      <c r="I616" s="0" t="s">
        <v>626</v>
      </c>
      <c r="J616" s="0" t="s">
        <v>627</v>
      </c>
      <c r="K616" s="475" t="n">
        <v>36892</v>
      </c>
      <c r="L616" s="254" t="n">
        <v>-173343.288797642</v>
      </c>
      <c r="M616" s="475" t="n">
        <v>36888</v>
      </c>
      <c r="N616" s="0" t="s">
        <v>136</v>
      </c>
      <c r="O616" s="0" t="n">
        <v>3.5</v>
      </c>
      <c r="P616" s="0" t="n">
        <v>0</v>
      </c>
      <c r="Q616" s="0" t="n">
        <v>0</v>
      </c>
      <c r="R616" s="0" t="n">
        <v>0</v>
      </c>
      <c r="S616" s="0" t="n">
        <v>0</v>
      </c>
      <c r="T616" s="0" t="s">
        <v>624</v>
      </c>
      <c r="U616" s="0" t="s">
        <v>149</v>
      </c>
      <c r="V616" s="0" t="s">
        <v>624</v>
      </c>
      <c r="W616" s="0" t="s">
        <v>569</v>
      </c>
      <c r="X616" s="0" t="s">
        <v>624</v>
      </c>
      <c r="Y616" s="0" t="s">
        <v>627</v>
      </c>
      <c r="Z616" s="0" t="s">
        <v>629</v>
      </c>
      <c r="AA616" s="0" t="s">
        <v>624</v>
      </c>
      <c r="AB616" s="0" t="s">
        <v>132</v>
      </c>
      <c r="AC616" s="254" t="n">
        <v>-620000</v>
      </c>
      <c r="AD616" s="254" t="n">
        <v>-37632.9227401077</v>
      </c>
      <c r="AE616" s="0" t="n">
        <v>0</v>
      </c>
      <c r="AF616" s="0" t="n">
        <v>0</v>
      </c>
      <c r="AG616" s="0" t="n">
        <v>0</v>
      </c>
      <c r="AH616" s="254" t="n">
        <v>-12309.0913456945</v>
      </c>
      <c r="AI616" s="0" t="n">
        <v>226</v>
      </c>
      <c r="AJ616" s="0" t="s">
        <v>630</v>
      </c>
      <c r="AK616" s="0" t="n">
        <v>0</v>
      </c>
      <c r="AL616" s="0" t="n">
        <v>0</v>
      </c>
      <c r="AM616" s="0" t="n">
        <v>0</v>
      </c>
    </row>
    <row r="617" customFormat="false" ht="12.75" hidden="false" customHeight="false" outlineLevel="0" collapsed="false">
      <c r="A617" s="0" t="s">
        <v>621</v>
      </c>
      <c r="B617" s="0" t="s">
        <v>402</v>
      </c>
      <c r="C617" s="0" t="s">
        <v>622</v>
      </c>
      <c r="D617" s="0" t="s">
        <v>623</v>
      </c>
      <c r="E617" s="0" t="s">
        <v>131</v>
      </c>
      <c r="F617" s="0" t="s">
        <v>275</v>
      </c>
      <c r="G617" s="0" t="s">
        <v>628</v>
      </c>
      <c r="H617" s="0" t="s">
        <v>625</v>
      </c>
      <c r="I617" s="0" t="s">
        <v>626</v>
      </c>
      <c r="J617" s="0" t="s">
        <v>627</v>
      </c>
      <c r="K617" s="475" t="n">
        <v>36923</v>
      </c>
      <c r="L617" s="254" t="n">
        <v>-166763.066235896</v>
      </c>
      <c r="M617" s="475" t="n">
        <v>36921</v>
      </c>
      <c r="N617" s="0" t="s">
        <v>136</v>
      </c>
      <c r="O617" s="0" t="n">
        <v>3.5</v>
      </c>
      <c r="P617" s="0" t="n">
        <v>0</v>
      </c>
      <c r="Q617" s="0" t="n">
        <v>0</v>
      </c>
      <c r="R617" s="0" t="n">
        <v>0</v>
      </c>
      <c r="S617" s="0" t="n">
        <v>0</v>
      </c>
      <c r="T617" s="0" t="s">
        <v>624</v>
      </c>
      <c r="U617" s="0" t="s">
        <v>149</v>
      </c>
      <c r="V617" s="0" t="s">
        <v>624</v>
      </c>
      <c r="W617" s="0" t="s">
        <v>569</v>
      </c>
      <c r="X617" s="0" t="s">
        <v>624</v>
      </c>
      <c r="Y617" s="0" t="s">
        <v>627</v>
      </c>
      <c r="Z617" s="0" t="s">
        <v>629</v>
      </c>
      <c r="AA617" s="0" t="s">
        <v>624</v>
      </c>
      <c r="AB617" s="0" t="s">
        <v>132</v>
      </c>
      <c r="AC617" s="254" t="n">
        <v>-560000</v>
      </c>
      <c r="AD617" s="254" t="n">
        <v>-37260.1765583408</v>
      </c>
      <c r="AE617" s="0" t="n">
        <v>0</v>
      </c>
      <c r="AF617" s="0" t="n">
        <v>0</v>
      </c>
      <c r="AG617" s="0" t="n">
        <v>0</v>
      </c>
      <c r="AH617" s="254" t="n">
        <v>-13016.6704184739</v>
      </c>
      <c r="AI617" s="0" t="n">
        <v>226</v>
      </c>
      <c r="AJ617" s="0" t="s">
        <v>630</v>
      </c>
      <c r="AK617" s="0" t="n">
        <v>0</v>
      </c>
      <c r="AL617" s="0" t="n">
        <v>0</v>
      </c>
      <c r="AM617" s="0" t="n">
        <v>0</v>
      </c>
    </row>
    <row r="618" customFormat="false" ht="12.75" hidden="false" customHeight="false" outlineLevel="0" collapsed="false">
      <c r="A618" s="0" t="s">
        <v>621</v>
      </c>
      <c r="B618" s="0" t="s">
        <v>402</v>
      </c>
      <c r="C618" s="0" t="s">
        <v>622</v>
      </c>
      <c r="D618" s="0" t="s">
        <v>623</v>
      </c>
      <c r="E618" s="0" t="s">
        <v>131</v>
      </c>
      <c r="F618" s="0" t="s">
        <v>275</v>
      </c>
      <c r="G618" s="0" t="s">
        <v>628</v>
      </c>
      <c r="H618" s="0" t="s">
        <v>625</v>
      </c>
      <c r="I618" s="0" t="s">
        <v>626</v>
      </c>
      <c r="J618" s="0" t="s">
        <v>627</v>
      </c>
      <c r="K618" s="475" t="n">
        <v>36951</v>
      </c>
      <c r="L618" s="254" t="n">
        <v>-43888.798559444</v>
      </c>
      <c r="M618" s="475" t="n">
        <v>36949</v>
      </c>
      <c r="N618" s="0" t="s">
        <v>136</v>
      </c>
      <c r="O618" s="0" t="n">
        <v>3.5</v>
      </c>
      <c r="P618" s="0" t="n">
        <v>0</v>
      </c>
      <c r="Q618" s="0" t="n">
        <v>0</v>
      </c>
      <c r="R618" s="0" t="n">
        <v>0</v>
      </c>
      <c r="S618" s="0" t="n">
        <v>0</v>
      </c>
      <c r="T618" s="0" t="s">
        <v>624</v>
      </c>
      <c r="U618" s="0" t="s">
        <v>149</v>
      </c>
      <c r="V618" s="0" t="s">
        <v>624</v>
      </c>
      <c r="W618" s="0" t="s">
        <v>569</v>
      </c>
      <c r="X618" s="0" t="s">
        <v>624</v>
      </c>
      <c r="Y618" s="0" t="s">
        <v>627</v>
      </c>
      <c r="Z618" s="0" t="s">
        <v>629</v>
      </c>
      <c r="AA618" s="0" t="s">
        <v>624</v>
      </c>
      <c r="AB618" s="0" t="s">
        <v>132</v>
      </c>
      <c r="AC618" s="254" t="n">
        <v>-620000</v>
      </c>
      <c r="AD618" s="254" t="n">
        <v>-21257.6781884805</v>
      </c>
      <c r="AE618" s="0" t="n">
        <v>0</v>
      </c>
      <c r="AF618" s="0" t="n">
        <v>0</v>
      </c>
      <c r="AG618" s="0" t="n">
        <v>0</v>
      </c>
      <c r="AH618" s="254" t="n">
        <v>-5067.79390896545</v>
      </c>
      <c r="AI618" s="0" t="n">
        <v>226</v>
      </c>
      <c r="AJ618" s="0" t="s">
        <v>630</v>
      </c>
      <c r="AK618" s="0" t="n">
        <v>0</v>
      </c>
      <c r="AL618" s="0" t="n">
        <v>0</v>
      </c>
      <c r="AM618" s="0" t="n">
        <v>0</v>
      </c>
    </row>
    <row r="619" customFormat="false" ht="12.75" hidden="false" customHeight="false" outlineLevel="0" collapsed="false">
      <c r="A619" s="0" t="s">
        <v>621</v>
      </c>
      <c r="B619" s="0" t="s">
        <v>403</v>
      </c>
      <c r="C619" s="0" t="s">
        <v>622</v>
      </c>
      <c r="D619" s="0" t="s">
        <v>623</v>
      </c>
      <c r="E619" s="0" t="s">
        <v>131</v>
      </c>
      <c r="F619" s="0" t="s">
        <v>198</v>
      </c>
      <c r="G619" s="0" t="s">
        <v>628</v>
      </c>
      <c r="H619" s="0" t="s">
        <v>625</v>
      </c>
      <c r="I619" s="0" t="s">
        <v>626</v>
      </c>
      <c r="J619" s="0" t="s">
        <v>627</v>
      </c>
      <c r="K619" s="475" t="n">
        <v>36861</v>
      </c>
      <c r="L619" s="254" t="n">
        <v>-79339.0603609658</v>
      </c>
      <c r="M619" s="475" t="n">
        <v>36859</v>
      </c>
      <c r="N619" s="0" t="s">
        <v>136</v>
      </c>
      <c r="O619" s="0" t="n">
        <v>3</v>
      </c>
      <c r="P619" s="0" t="n">
        <v>0</v>
      </c>
      <c r="Q619" s="0" t="n">
        <v>0</v>
      </c>
      <c r="R619" s="0" t="n">
        <v>0</v>
      </c>
      <c r="S619" s="0" t="n">
        <v>0</v>
      </c>
      <c r="T619" s="0" t="s">
        <v>624</v>
      </c>
      <c r="U619" s="0" t="s">
        <v>149</v>
      </c>
      <c r="V619" s="0" t="s">
        <v>624</v>
      </c>
      <c r="W619" s="0" t="s">
        <v>569</v>
      </c>
      <c r="X619" s="0" t="s">
        <v>624</v>
      </c>
      <c r="Y619" s="0" t="s">
        <v>627</v>
      </c>
      <c r="Z619" s="0" t="s">
        <v>629</v>
      </c>
      <c r="AA619" s="0" t="s">
        <v>624</v>
      </c>
      <c r="AB619" s="0" t="s">
        <v>132</v>
      </c>
      <c r="AC619" s="254" t="n">
        <v>-500000</v>
      </c>
      <c r="AD619" s="254" t="n">
        <v>-23273.1912926782</v>
      </c>
      <c r="AE619" s="0" t="n">
        <v>0</v>
      </c>
      <c r="AF619" s="0" t="n">
        <v>0</v>
      </c>
      <c r="AG619" s="0" t="n">
        <v>0</v>
      </c>
      <c r="AH619" s="254" t="n">
        <v>-6039.17506063258</v>
      </c>
      <c r="AI619" s="0" t="n">
        <v>226</v>
      </c>
      <c r="AJ619" s="0" t="s">
        <v>630</v>
      </c>
      <c r="AK619" s="0" t="n">
        <v>0</v>
      </c>
      <c r="AL619" s="0" t="n">
        <v>0</v>
      </c>
      <c r="AM619" s="0" t="n">
        <v>0</v>
      </c>
    </row>
    <row r="620" customFormat="false" ht="12.75" hidden="false" customHeight="false" outlineLevel="0" collapsed="false">
      <c r="A620" s="0" t="s">
        <v>621</v>
      </c>
      <c r="B620" s="0" t="s">
        <v>403</v>
      </c>
      <c r="C620" s="0" t="s">
        <v>622</v>
      </c>
      <c r="D620" s="0" t="s">
        <v>623</v>
      </c>
      <c r="E620" s="0" t="s">
        <v>131</v>
      </c>
      <c r="F620" s="0" t="s">
        <v>198</v>
      </c>
      <c r="G620" s="0" t="s">
        <v>628</v>
      </c>
      <c r="H620" s="0" t="s">
        <v>625</v>
      </c>
      <c r="I620" s="0" t="s">
        <v>626</v>
      </c>
      <c r="J620" s="0" t="s">
        <v>627</v>
      </c>
      <c r="K620" s="475" t="n">
        <v>36892</v>
      </c>
      <c r="L620" s="254" t="n">
        <v>-193108.559519445</v>
      </c>
      <c r="M620" s="475" t="n">
        <v>36888</v>
      </c>
      <c r="N620" s="0" t="s">
        <v>136</v>
      </c>
      <c r="O620" s="0" t="n">
        <v>3</v>
      </c>
      <c r="P620" s="0" t="n">
        <v>0</v>
      </c>
      <c r="Q620" s="0" t="n">
        <v>0</v>
      </c>
      <c r="R620" s="0" t="n">
        <v>0</v>
      </c>
      <c r="S620" s="0" t="n">
        <v>0</v>
      </c>
      <c r="T620" s="0" t="s">
        <v>624</v>
      </c>
      <c r="U620" s="0" t="s">
        <v>149</v>
      </c>
      <c r="V620" s="0" t="s">
        <v>624</v>
      </c>
      <c r="W620" s="0" t="s">
        <v>569</v>
      </c>
      <c r="X620" s="0" t="s">
        <v>624</v>
      </c>
      <c r="Y620" s="0" t="s">
        <v>627</v>
      </c>
      <c r="Z620" s="0" t="s">
        <v>629</v>
      </c>
      <c r="AA620" s="0" t="s">
        <v>624</v>
      </c>
      <c r="AB620" s="0" t="s">
        <v>132</v>
      </c>
      <c r="AC620" s="254" t="n">
        <v>-500000</v>
      </c>
      <c r="AD620" s="254" t="n">
        <v>-34805.4615741776</v>
      </c>
      <c r="AE620" s="0" t="n">
        <v>0</v>
      </c>
      <c r="AF620" s="0" t="n">
        <v>0</v>
      </c>
      <c r="AG620" s="0" t="n">
        <v>0</v>
      </c>
      <c r="AH620" s="254" t="n">
        <v>-12565.3731912806</v>
      </c>
      <c r="AI620" s="0" t="n">
        <v>226</v>
      </c>
      <c r="AJ620" s="0" t="s">
        <v>630</v>
      </c>
      <c r="AK620" s="0" t="n">
        <v>0</v>
      </c>
      <c r="AL620" s="0" t="n">
        <v>0</v>
      </c>
      <c r="AM620" s="0" t="n">
        <v>0</v>
      </c>
    </row>
    <row r="621" customFormat="false" ht="12.75" hidden="false" customHeight="false" outlineLevel="0" collapsed="false">
      <c r="A621" s="0" t="s">
        <v>621</v>
      </c>
      <c r="B621" s="0" t="s">
        <v>403</v>
      </c>
      <c r="C621" s="0" t="s">
        <v>622</v>
      </c>
      <c r="D621" s="0" t="s">
        <v>623</v>
      </c>
      <c r="E621" s="0" t="s">
        <v>131</v>
      </c>
      <c r="F621" s="0" t="s">
        <v>198</v>
      </c>
      <c r="G621" s="0" t="s">
        <v>628</v>
      </c>
      <c r="H621" s="0" t="s">
        <v>625</v>
      </c>
      <c r="I621" s="0" t="s">
        <v>626</v>
      </c>
      <c r="J621" s="0" t="s">
        <v>627</v>
      </c>
      <c r="K621" s="475" t="n">
        <v>36923</v>
      </c>
      <c r="L621" s="254" t="n">
        <v>-199941.616187913</v>
      </c>
      <c r="M621" s="475" t="n">
        <v>36921</v>
      </c>
      <c r="N621" s="0" t="s">
        <v>136</v>
      </c>
      <c r="O621" s="0" t="n">
        <v>3</v>
      </c>
      <c r="P621" s="0" t="n">
        <v>0</v>
      </c>
      <c r="Q621" s="0" t="n">
        <v>0</v>
      </c>
      <c r="R621" s="0" t="n">
        <v>0</v>
      </c>
      <c r="S621" s="0" t="n">
        <v>0</v>
      </c>
      <c r="T621" s="0" t="s">
        <v>624</v>
      </c>
      <c r="U621" s="0" t="s">
        <v>149</v>
      </c>
      <c r="V621" s="0" t="s">
        <v>624</v>
      </c>
      <c r="W621" s="0" t="s">
        <v>569</v>
      </c>
      <c r="X621" s="0" t="s">
        <v>624</v>
      </c>
      <c r="Y621" s="0" t="s">
        <v>627</v>
      </c>
      <c r="Z621" s="0" t="s">
        <v>629</v>
      </c>
      <c r="AA621" s="0" t="s">
        <v>624</v>
      </c>
      <c r="AB621" s="0" t="s">
        <v>132</v>
      </c>
      <c r="AC621" s="254" t="n">
        <v>-500000</v>
      </c>
      <c r="AD621" s="254" t="n">
        <v>-37781.7841941806</v>
      </c>
      <c r="AE621" s="0" t="n">
        <v>0</v>
      </c>
      <c r="AF621" s="0" t="n">
        <v>0</v>
      </c>
      <c r="AG621" s="0" t="n">
        <v>0</v>
      </c>
      <c r="AH621" s="254" t="n">
        <v>-14444.8646129575</v>
      </c>
      <c r="AI621" s="0" t="n">
        <v>226</v>
      </c>
      <c r="AJ621" s="0" t="s">
        <v>630</v>
      </c>
      <c r="AK621" s="0" t="n">
        <v>0</v>
      </c>
      <c r="AL621" s="0" t="n">
        <v>0</v>
      </c>
      <c r="AM621" s="0" t="n">
        <v>0</v>
      </c>
    </row>
    <row r="622" customFormat="false" ht="12.75" hidden="false" customHeight="false" outlineLevel="0" collapsed="false">
      <c r="A622" s="0" t="s">
        <v>621</v>
      </c>
      <c r="B622" s="0" t="s">
        <v>404</v>
      </c>
      <c r="C622" s="0" t="s">
        <v>622</v>
      </c>
      <c r="D622" s="0" t="s">
        <v>623</v>
      </c>
      <c r="E622" s="0" t="s">
        <v>131</v>
      </c>
      <c r="F622" s="0" t="s">
        <v>345</v>
      </c>
      <c r="G622" s="0" t="s">
        <v>628</v>
      </c>
      <c r="H622" s="0" t="s">
        <v>625</v>
      </c>
      <c r="I622" s="0" t="s">
        <v>626</v>
      </c>
      <c r="J622" s="0" t="s">
        <v>627</v>
      </c>
      <c r="K622" s="475" t="n">
        <v>36800</v>
      </c>
      <c r="L622" s="254" t="n">
        <v>-57871.3119776115</v>
      </c>
      <c r="M622" s="475" t="n">
        <v>36797</v>
      </c>
      <c r="N622" s="0" t="s">
        <v>132</v>
      </c>
      <c r="O622" s="0" t="n">
        <v>0.4</v>
      </c>
      <c r="P622" s="0" t="n">
        <v>0</v>
      </c>
      <c r="Q622" s="0" t="n">
        <v>0</v>
      </c>
      <c r="R622" s="0" t="n">
        <v>0</v>
      </c>
      <c r="S622" s="0" t="n">
        <v>0</v>
      </c>
      <c r="T622" s="0" t="s">
        <v>624</v>
      </c>
      <c r="U622" s="0" t="s">
        <v>149</v>
      </c>
      <c r="V622" s="0" t="s">
        <v>624</v>
      </c>
      <c r="W622" s="0" t="s">
        <v>569</v>
      </c>
      <c r="X622" s="0" t="s">
        <v>624</v>
      </c>
      <c r="Y622" s="0" t="s">
        <v>627</v>
      </c>
      <c r="Z622" s="0" t="s">
        <v>629</v>
      </c>
      <c r="AA622" s="0" t="s">
        <v>624</v>
      </c>
      <c r="AB622" s="0" t="s">
        <v>132</v>
      </c>
      <c r="AC622" s="254" t="n">
        <v>-1550000</v>
      </c>
      <c r="AD622" s="254" t="n">
        <v>-10116.4275525247</v>
      </c>
      <c r="AE622" s="0" t="n">
        <v>0</v>
      </c>
      <c r="AF622" s="0" t="n">
        <v>0</v>
      </c>
      <c r="AG622" s="0" t="n">
        <v>0</v>
      </c>
      <c r="AH622" s="254" t="n">
        <v>-576.277737787656</v>
      </c>
      <c r="AI622" s="0" t="n">
        <v>226</v>
      </c>
      <c r="AJ622" s="0" t="s">
        <v>630</v>
      </c>
      <c r="AK622" s="0" t="n">
        <v>0</v>
      </c>
      <c r="AL622" s="0" t="n">
        <v>0</v>
      </c>
      <c r="AM622" s="0" t="n">
        <v>0</v>
      </c>
    </row>
    <row r="623" customFormat="false" ht="12.75" hidden="false" customHeight="false" outlineLevel="0" collapsed="false">
      <c r="A623" s="0" t="s">
        <v>621</v>
      </c>
      <c r="B623" s="0" t="s">
        <v>405</v>
      </c>
      <c r="C623" s="0" t="s">
        <v>622</v>
      </c>
      <c r="D623" s="0" t="s">
        <v>623</v>
      </c>
      <c r="E623" s="0" t="s">
        <v>131</v>
      </c>
      <c r="F623" s="0" t="s">
        <v>244</v>
      </c>
      <c r="G623" s="0" t="s">
        <v>628</v>
      </c>
      <c r="H623" s="0" t="s">
        <v>625</v>
      </c>
      <c r="I623" s="0" t="s">
        <v>626</v>
      </c>
      <c r="J623" s="0" t="s">
        <v>627</v>
      </c>
      <c r="K623" s="475" t="n">
        <v>36770</v>
      </c>
      <c r="L623" s="254" t="n">
        <v>599779.285789057</v>
      </c>
      <c r="M623" s="475" t="n">
        <v>36768</v>
      </c>
      <c r="N623" s="0" t="s">
        <v>136</v>
      </c>
      <c r="O623" s="0" t="n">
        <v>0.5</v>
      </c>
      <c r="P623" s="0" t="n">
        <v>0</v>
      </c>
      <c r="Q623" s="0" t="n">
        <v>0</v>
      </c>
      <c r="R623" s="0" t="n">
        <v>0</v>
      </c>
      <c r="S623" s="0" t="n">
        <v>0</v>
      </c>
      <c r="T623" s="0" t="s">
        <v>624</v>
      </c>
      <c r="U623" s="0" t="s">
        <v>137</v>
      </c>
      <c r="V623" s="0" t="s">
        <v>624</v>
      </c>
      <c r="W623" s="0" t="s">
        <v>569</v>
      </c>
      <c r="X623" s="0" t="s">
        <v>624</v>
      </c>
      <c r="Y623" s="0" t="s">
        <v>627</v>
      </c>
      <c r="Z623" s="0" t="s">
        <v>629</v>
      </c>
      <c r="AA623" s="0" t="s">
        <v>624</v>
      </c>
      <c r="AB623" s="0" t="s">
        <v>132</v>
      </c>
      <c r="AC623" s="254" t="n">
        <v>300000</v>
      </c>
      <c r="AD623" s="254" t="n">
        <v>-0.0119708574493416</v>
      </c>
      <c r="AE623" s="0" t="n">
        <v>0</v>
      </c>
      <c r="AF623" s="0" t="n">
        <v>0</v>
      </c>
      <c r="AG623" s="0" t="n">
        <v>0</v>
      </c>
      <c r="AH623" s="254" t="n">
        <v>79426.9471409483</v>
      </c>
      <c r="AI623" s="0" t="n">
        <v>226</v>
      </c>
      <c r="AJ623" s="0" t="s">
        <v>630</v>
      </c>
      <c r="AK623" s="0" t="n">
        <v>0</v>
      </c>
      <c r="AL623" s="0" t="n">
        <v>0</v>
      </c>
      <c r="AM623" s="0" t="n">
        <v>0</v>
      </c>
    </row>
    <row r="624" customFormat="false" ht="12.75" hidden="false" customHeight="false" outlineLevel="0" collapsed="false">
      <c r="A624" s="0" t="s">
        <v>621</v>
      </c>
      <c r="B624" s="0" t="s">
        <v>406</v>
      </c>
      <c r="C624" s="0" t="s">
        <v>622</v>
      </c>
      <c r="D624" s="0" t="s">
        <v>623</v>
      </c>
      <c r="E624" s="0" t="s">
        <v>131</v>
      </c>
      <c r="F624" s="0" t="s">
        <v>301</v>
      </c>
      <c r="G624" s="0" t="s">
        <v>628</v>
      </c>
      <c r="H624" s="0" t="s">
        <v>625</v>
      </c>
      <c r="I624" s="0" t="s">
        <v>626</v>
      </c>
      <c r="J624" s="0" t="s">
        <v>627</v>
      </c>
      <c r="K624" s="475" t="n">
        <v>36982</v>
      </c>
      <c r="L624" s="254" t="n">
        <v>-89457.7009943476</v>
      </c>
      <c r="M624" s="475" t="n">
        <v>36979</v>
      </c>
      <c r="N624" s="0" t="s">
        <v>136</v>
      </c>
      <c r="O624" s="0" t="n">
        <v>0.7</v>
      </c>
      <c r="P624" s="0" t="n">
        <v>0</v>
      </c>
      <c r="Q624" s="0" t="n">
        <v>0</v>
      </c>
      <c r="R624" s="0" t="n">
        <v>0</v>
      </c>
      <c r="S624" s="0" t="n">
        <v>0</v>
      </c>
      <c r="T624" s="0" t="s">
        <v>624</v>
      </c>
      <c r="U624" s="0" t="s">
        <v>149</v>
      </c>
      <c r="V624" s="0" t="s">
        <v>624</v>
      </c>
      <c r="W624" s="0" t="s">
        <v>569</v>
      </c>
      <c r="X624" s="0" t="s">
        <v>624</v>
      </c>
      <c r="Y624" s="0" t="s">
        <v>627</v>
      </c>
      <c r="Z624" s="0" t="s">
        <v>629</v>
      </c>
      <c r="AA624" s="0" t="s">
        <v>624</v>
      </c>
      <c r="AB624" s="0" t="s">
        <v>132</v>
      </c>
      <c r="AC624" s="254" t="n">
        <v>-1200000</v>
      </c>
      <c r="AD624" s="254" t="n">
        <v>-26282.9821155712</v>
      </c>
      <c r="AE624" s="0" t="n">
        <v>0</v>
      </c>
      <c r="AF624" s="0" t="n">
        <v>0</v>
      </c>
      <c r="AG624" s="0" t="n">
        <v>0</v>
      </c>
      <c r="AH624" s="254" t="n">
        <v>-1250.69890449858</v>
      </c>
      <c r="AI624" s="0" t="n">
        <v>226</v>
      </c>
      <c r="AJ624" s="0" t="s">
        <v>630</v>
      </c>
      <c r="AK624" s="0" t="n">
        <v>0</v>
      </c>
      <c r="AL624" s="0" t="n">
        <v>0</v>
      </c>
      <c r="AM624" s="0" t="n">
        <v>0</v>
      </c>
    </row>
    <row r="625" customFormat="false" ht="12.75" hidden="false" customHeight="false" outlineLevel="0" collapsed="false">
      <c r="A625" s="0" t="s">
        <v>621</v>
      </c>
      <c r="B625" s="0" t="s">
        <v>407</v>
      </c>
      <c r="C625" s="0" t="s">
        <v>622</v>
      </c>
      <c r="D625" s="0" t="s">
        <v>623</v>
      </c>
      <c r="E625" s="0" t="s">
        <v>131</v>
      </c>
      <c r="F625" s="0" t="s">
        <v>191</v>
      </c>
      <c r="G625" s="0" t="s">
        <v>628</v>
      </c>
      <c r="H625" s="0" t="s">
        <v>625</v>
      </c>
      <c r="I625" s="0" t="s">
        <v>626</v>
      </c>
      <c r="J625" s="0" t="s">
        <v>627</v>
      </c>
      <c r="K625" s="475" t="n">
        <v>36831</v>
      </c>
      <c r="L625" s="254" t="n">
        <v>365285.37794141</v>
      </c>
      <c r="M625" s="475" t="n">
        <v>36829</v>
      </c>
      <c r="N625" s="0" t="s">
        <v>132</v>
      </c>
      <c r="O625" s="0" t="n">
        <v>0.95</v>
      </c>
      <c r="P625" s="0" t="n">
        <v>0</v>
      </c>
      <c r="Q625" s="0" t="n">
        <v>0</v>
      </c>
      <c r="R625" s="0" t="n">
        <v>0</v>
      </c>
      <c r="S625" s="0" t="n">
        <v>0</v>
      </c>
      <c r="T625" s="0" t="s">
        <v>624</v>
      </c>
      <c r="U625" s="0" t="s">
        <v>149</v>
      </c>
      <c r="V625" s="0" t="s">
        <v>624</v>
      </c>
      <c r="W625" s="0" t="s">
        <v>569</v>
      </c>
      <c r="X625" s="0" t="s">
        <v>624</v>
      </c>
      <c r="Y625" s="0" t="s">
        <v>627</v>
      </c>
      <c r="Z625" s="0" t="s">
        <v>629</v>
      </c>
      <c r="AA625" s="0" t="s">
        <v>624</v>
      </c>
      <c r="AB625" s="0" t="s">
        <v>132</v>
      </c>
      <c r="AC625" s="254" t="n">
        <v>1000000</v>
      </c>
      <c r="AD625" s="254" t="n">
        <v>42890.9042801451</v>
      </c>
      <c r="AE625" s="0" t="n">
        <v>0</v>
      </c>
      <c r="AF625" s="0" t="n">
        <v>0</v>
      </c>
      <c r="AG625" s="0" t="n">
        <v>0</v>
      </c>
      <c r="AH625" s="254" t="n">
        <v>-21052.3130909106</v>
      </c>
      <c r="AI625" s="0" t="n">
        <v>226</v>
      </c>
      <c r="AJ625" s="0" t="s">
        <v>630</v>
      </c>
      <c r="AK625" s="0" t="n">
        <v>0</v>
      </c>
      <c r="AL625" s="0" t="n">
        <v>0</v>
      </c>
      <c r="AM625" s="0" t="n">
        <v>0</v>
      </c>
    </row>
    <row r="626" customFormat="false" ht="12.75" hidden="false" customHeight="false" outlineLevel="0" collapsed="false">
      <c r="A626" s="0" t="s">
        <v>621</v>
      </c>
      <c r="B626" s="0" t="s">
        <v>407</v>
      </c>
      <c r="C626" s="0" t="s">
        <v>622</v>
      </c>
      <c r="D626" s="0" t="s">
        <v>623</v>
      </c>
      <c r="E626" s="0" t="s">
        <v>131</v>
      </c>
      <c r="F626" s="0" t="s">
        <v>191</v>
      </c>
      <c r="G626" s="0" t="s">
        <v>628</v>
      </c>
      <c r="H626" s="0" t="s">
        <v>625</v>
      </c>
      <c r="I626" s="0" t="s">
        <v>626</v>
      </c>
      <c r="J626" s="0" t="s">
        <v>627</v>
      </c>
      <c r="K626" s="475" t="n">
        <v>36861</v>
      </c>
      <c r="L626" s="254" t="n">
        <v>206779.590233654</v>
      </c>
      <c r="M626" s="475" t="n">
        <v>36859</v>
      </c>
      <c r="N626" s="0" t="s">
        <v>132</v>
      </c>
      <c r="O626" s="0" t="n">
        <v>0.95</v>
      </c>
      <c r="P626" s="0" t="n">
        <v>0</v>
      </c>
      <c r="Q626" s="0" t="n">
        <v>0</v>
      </c>
      <c r="R626" s="0" t="n">
        <v>0</v>
      </c>
      <c r="S626" s="0" t="n">
        <v>0</v>
      </c>
      <c r="T626" s="0" t="s">
        <v>624</v>
      </c>
      <c r="U626" s="0" t="s">
        <v>149</v>
      </c>
      <c r="V626" s="0" t="s">
        <v>624</v>
      </c>
      <c r="W626" s="0" t="s">
        <v>569</v>
      </c>
      <c r="X626" s="0" t="s">
        <v>624</v>
      </c>
      <c r="Y626" s="0" t="s">
        <v>627</v>
      </c>
      <c r="Z626" s="0" t="s">
        <v>629</v>
      </c>
      <c r="AA626" s="0" t="s">
        <v>624</v>
      </c>
      <c r="AB626" s="0" t="s">
        <v>132</v>
      </c>
      <c r="AC626" s="254" t="n">
        <v>1000000</v>
      </c>
      <c r="AD626" s="254" t="n">
        <v>62140.9663420027</v>
      </c>
      <c r="AE626" s="0" t="n">
        <v>0</v>
      </c>
      <c r="AF626" s="0" t="n">
        <v>0</v>
      </c>
      <c r="AG626" s="0" t="n">
        <v>0</v>
      </c>
      <c r="AH626" s="254" t="n">
        <v>-8118.97310446328</v>
      </c>
      <c r="AI626" s="0" t="n">
        <v>226</v>
      </c>
      <c r="AJ626" s="0" t="s">
        <v>630</v>
      </c>
      <c r="AK626" s="0" t="n">
        <v>0</v>
      </c>
      <c r="AL626" s="0" t="n">
        <v>0</v>
      </c>
      <c r="AM626" s="0" t="n">
        <v>0</v>
      </c>
    </row>
    <row r="627" customFormat="false" ht="12.75" hidden="false" customHeight="false" outlineLevel="0" collapsed="false">
      <c r="A627" s="0" t="s">
        <v>621</v>
      </c>
      <c r="B627" s="0" t="s">
        <v>407</v>
      </c>
      <c r="C627" s="0" t="s">
        <v>622</v>
      </c>
      <c r="D627" s="0" t="s">
        <v>623</v>
      </c>
      <c r="E627" s="0" t="s">
        <v>131</v>
      </c>
      <c r="F627" s="0" t="s">
        <v>191</v>
      </c>
      <c r="G627" s="0" t="s">
        <v>628</v>
      </c>
      <c r="H627" s="0" t="s">
        <v>625</v>
      </c>
      <c r="I627" s="0" t="s">
        <v>626</v>
      </c>
      <c r="J627" s="0" t="s">
        <v>627</v>
      </c>
      <c r="K627" s="475" t="n">
        <v>36892</v>
      </c>
      <c r="L627" s="254" t="n">
        <v>154296.153120931</v>
      </c>
      <c r="M627" s="475" t="n">
        <v>36888</v>
      </c>
      <c r="N627" s="0" t="s">
        <v>132</v>
      </c>
      <c r="O627" s="0" t="n">
        <v>0.95</v>
      </c>
      <c r="P627" s="0" t="n">
        <v>0</v>
      </c>
      <c r="Q627" s="0" t="n">
        <v>0</v>
      </c>
      <c r="R627" s="0" t="n">
        <v>0</v>
      </c>
      <c r="S627" s="0" t="n">
        <v>0</v>
      </c>
      <c r="T627" s="0" t="s">
        <v>624</v>
      </c>
      <c r="U627" s="0" t="s">
        <v>149</v>
      </c>
      <c r="V627" s="0" t="s">
        <v>624</v>
      </c>
      <c r="W627" s="0" t="s">
        <v>569</v>
      </c>
      <c r="X627" s="0" t="s">
        <v>624</v>
      </c>
      <c r="Y627" s="0" t="s">
        <v>627</v>
      </c>
      <c r="Z627" s="0" t="s">
        <v>629</v>
      </c>
      <c r="AA627" s="0" t="s">
        <v>624</v>
      </c>
      <c r="AB627" s="0" t="s">
        <v>132</v>
      </c>
      <c r="AC627" s="254" t="n">
        <v>1000000</v>
      </c>
      <c r="AD627" s="254" t="n">
        <v>58574.1506508834</v>
      </c>
      <c r="AE627" s="0" t="n">
        <v>0</v>
      </c>
      <c r="AF627" s="0" t="n">
        <v>0</v>
      </c>
      <c r="AG627" s="0" t="n">
        <v>0</v>
      </c>
      <c r="AH627" s="254" t="n">
        <v>-7225.33047493725</v>
      </c>
      <c r="AI627" s="0" t="n">
        <v>226</v>
      </c>
      <c r="AJ627" s="0" t="s">
        <v>630</v>
      </c>
      <c r="AK627" s="0" t="n">
        <v>0</v>
      </c>
      <c r="AL627" s="0" t="n">
        <v>0</v>
      </c>
      <c r="AM627" s="0" t="n">
        <v>0</v>
      </c>
    </row>
    <row r="628" customFormat="false" ht="12.75" hidden="false" customHeight="false" outlineLevel="0" collapsed="false">
      <c r="A628" s="0" t="s">
        <v>621</v>
      </c>
      <c r="B628" s="0" t="s">
        <v>407</v>
      </c>
      <c r="C628" s="0" t="s">
        <v>622</v>
      </c>
      <c r="D628" s="0" t="s">
        <v>623</v>
      </c>
      <c r="E628" s="0" t="s">
        <v>131</v>
      </c>
      <c r="F628" s="0" t="s">
        <v>191</v>
      </c>
      <c r="G628" s="0" t="s">
        <v>628</v>
      </c>
      <c r="H628" s="0" t="s">
        <v>625</v>
      </c>
      <c r="I628" s="0" t="s">
        <v>626</v>
      </c>
      <c r="J628" s="0" t="s">
        <v>627</v>
      </c>
      <c r="K628" s="475" t="n">
        <v>36923</v>
      </c>
      <c r="L628" s="254" t="n">
        <v>190761.07387738</v>
      </c>
      <c r="M628" s="475" t="n">
        <v>36921</v>
      </c>
      <c r="N628" s="0" t="s">
        <v>132</v>
      </c>
      <c r="O628" s="0" t="n">
        <v>0.95</v>
      </c>
      <c r="P628" s="0" t="n">
        <v>0</v>
      </c>
      <c r="Q628" s="0" t="n">
        <v>0</v>
      </c>
      <c r="R628" s="0" t="n">
        <v>0</v>
      </c>
      <c r="S628" s="0" t="n">
        <v>0</v>
      </c>
      <c r="T628" s="0" t="s">
        <v>624</v>
      </c>
      <c r="U628" s="0" t="s">
        <v>149</v>
      </c>
      <c r="V628" s="0" t="s">
        <v>624</v>
      </c>
      <c r="W628" s="0" t="s">
        <v>569</v>
      </c>
      <c r="X628" s="0" t="s">
        <v>624</v>
      </c>
      <c r="Y628" s="0" t="s">
        <v>627</v>
      </c>
      <c r="Z628" s="0" t="s">
        <v>629</v>
      </c>
      <c r="AA628" s="0" t="s">
        <v>624</v>
      </c>
      <c r="AB628" s="0" t="s">
        <v>132</v>
      </c>
      <c r="AC628" s="254" t="n">
        <v>1000000</v>
      </c>
      <c r="AD628" s="254" t="n">
        <v>68957.8119889388</v>
      </c>
      <c r="AE628" s="0" t="n">
        <v>0</v>
      </c>
      <c r="AF628" s="0" t="n">
        <v>0</v>
      </c>
      <c r="AG628" s="0" t="n">
        <v>0</v>
      </c>
      <c r="AH628" s="254" t="n">
        <v>-9846.62615787357</v>
      </c>
      <c r="AI628" s="0" t="n">
        <v>226</v>
      </c>
      <c r="AJ628" s="0" t="s">
        <v>630</v>
      </c>
      <c r="AK628" s="0" t="n">
        <v>0</v>
      </c>
      <c r="AL628" s="0" t="n">
        <v>0</v>
      </c>
      <c r="AM628" s="0" t="n">
        <v>0</v>
      </c>
    </row>
    <row r="629" customFormat="false" ht="12.75" hidden="false" customHeight="false" outlineLevel="0" collapsed="false">
      <c r="A629" s="0" t="s">
        <v>621</v>
      </c>
      <c r="B629" s="0" t="s">
        <v>407</v>
      </c>
      <c r="C629" s="0" t="s">
        <v>622</v>
      </c>
      <c r="D629" s="0" t="s">
        <v>623</v>
      </c>
      <c r="E629" s="0" t="s">
        <v>131</v>
      </c>
      <c r="F629" s="0" t="s">
        <v>191</v>
      </c>
      <c r="G629" s="0" t="s">
        <v>628</v>
      </c>
      <c r="H629" s="0" t="s">
        <v>625</v>
      </c>
      <c r="I629" s="0" t="s">
        <v>626</v>
      </c>
      <c r="J629" s="0" t="s">
        <v>627</v>
      </c>
      <c r="K629" s="475" t="n">
        <v>36951</v>
      </c>
      <c r="L629" s="254" t="n">
        <v>439193.574841963</v>
      </c>
      <c r="M629" s="475" t="n">
        <v>36949</v>
      </c>
      <c r="N629" s="0" t="s">
        <v>132</v>
      </c>
      <c r="O629" s="0" t="n">
        <v>0.95</v>
      </c>
      <c r="P629" s="0" t="n">
        <v>0</v>
      </c>
      <c r="Q629" s="0" t="n">
        <v>0</v>
      </c>
      <c r="R629" s="0" t="n">
        <v>0</v>
      </c>
      <c r="S629" s="0" t="n">
        <v>0</v>
      </c>
      <c r="T629" s="0" t="s">
        <v>624</v>
      </c>
      <c r="U629" s="0" t="s">
        <v>149</v>
      </c>
      <c r="V629" s="0" t="s">
        <v>624</v>
      </c>
      <c r="W629" s="0" t="s">
        <v>569</v>
      </c>
      <c r="X629" s="0" t="s">
        <v>624</v>
      </c>
      <c r="Y629" s="0" t="s">
        <v>627</v>
      </c>
      <c r="Z629" s="0" t="s">
        <v>629</v>
      </c>
      <c r="AA629" s="0" t="s">
        <v>624</v>
      </c>
      <c r="AB629" s="0" t="s">
        <v>132</v>
      </c>
      <c r="AC629" s="254" t="n">
        <v>1000000</v>
      </c>
      <c r="AD629" s="254" t="n">
        <v>88919.3778648612</v>
      </c>
      <c r="AE629" s="0" t="n">
        <v>0</v>
      </c>
      <c r="AF629" s="0" t="n">
        <v>0</v>
      </c>
      <c r="AG629" s="0" t="n">
        <v>0</v>
      </c>
      <c r="AH629" s="254" t="n">
        <v>-19838.1830838166</v>
      </c>
      <c r="AI629" s="0" t="n">
        <v>226</v>
      </c>
      <c r="AJ629" s="0" t="s">
        <v>630</v>
      </c>
      <c r="AK629" s="0" t="n">
        <v>0</v>
      </c>
      <c r="AL629" s="0" t="n">
        <v>0</v>
      </c>
      <c r="AM629" s="0" t="n">
        <v>0</v>
      </c>
    </row>
    <row r="630" customFormat="false" ht="12.75" hidden="false" customHeight="false" outlineLevel="0" collapsed="false">
      <c r="A630" s="0" t="s">
        <v>621</v>
      </c>
      <c r="B630" s="0" t="s">
        <v>408</v>
      </c>
      <c r="C630" s="0" t="s">
        <v>622</v>
      </c>
      <c r="D630" s="0" t="s">
        <v>623</v>
      </c>
      <c r="E630" s="0" t="s">
        <v>131</v>
      </c>
      <c r="F630" s="0" t="s">
        <v>244</v>
      </c>
      <c r="G630" s="0" t="s">
        <v>628</v>
      </c>
      <c r="H630" s="0" t="s">
        <v>625</v>
      </c>
      <c r="I630" s="0" t="s">
        <v>626</v>
      </c>
      <c r="J630" s="0" t="s">
        <v>627</v>
      </c>
      <c r="K630" s="475" t="n">
        <v>36831</v>
      </c>
      <c r="L630" s="254" t="n">
        <v>-59.4983489471349</v>
      </c>
      <c r="M630" s="475" t="n">
        <v>36829</v>
      </c>
      <c r="N630" s="0" t="s">
        <v>136</v>
      </c>
      <c r="O630" s="0" t="n">
        <v>4</v>
      </c>
      <c r="P630" s="0" t="n">
        <v>0</v>
      </c>
      <c r="Q630" s="0" t="n">
        <v>0</v>
      </c>
      <c r="R630" s="0" t="n">
        <v>0</v>
      </c>
      <c r="S630" s="0" t="n">
        <v>0</v>
      </c>
      <c r="T630" s="0" t="s">
        <v>624</v>
      </c>
      <c r="U630" s="0" t="s">
        <v>149</v>
      </c>
      <c r="V630" s="0" t="s">
        <v>624</v>
      </c>
      <c r="W630" s="0" t="s">
        <v>569</v>
      </c>
      <c r="X630" s="0" t="s">
        <v>624</v>
      </c>
      <c r="Y630" s="0" t="s">
        <v>627</v>
      </c>
      <c r="Z630" s="0" t="s">
        <v>629</v>
      </c>
      <c r="AA630" s="0" t="s">
        <v>624</v>
      </c>
      <c r="AB630" s="0" t="s">
        <v>132</v>
      </c>
      <c r="AC630" s="254" t="n">
        <v>-300000</v>
      </c>
      <c r="AD630" s="254" t="n">
        <v>-79.7767311571438</v>
      </c>
      <c r="AE630" s="0" t="n">
        <v>0</v>
      </c>
      <c r="AF630" s="0" t="n">
        <v>0</v>
      </c>
      <c r="AG630" s="0" t="n">
        <v>0</v>
      </c>
      <c r="AH630" s="254" t="n">
        <v>-16.8953163484708</v>
      </c>
      <c r="AI630" s="0" t="n">
        <v>226</v>
      </c>
      <c r="AJ630" s="0" t="s">
        <v>630</v>
      </c>
      <c r="AK630" s="0" t="n">
        <v>0</v>
      </c>
      <c r="AL630" s="0" t="n">
        <v>0</v>
      </c>
      <c r="AM630" s="0" t="n">
        <v>0</v>
      </c>
    </row>
    <row r="631" customFormat="false" ht="12.75" hidden="false" customHeight="false" outlineLevel="0" collapsed="false">
      <c r="A631" s="0" t="s">
        <v>621</v>
      </c>
      <c r="B631" s="0" t="s">
        <v>408</v>
      </c>
      <c r="C631" s="0" t="s">
        <v>622</v>
      </c>
      <c r="D631" s="0" t="s">
        <v>623</v>
      </c>
      <c r="E631" s="0" t="s">
        <v>131</v>
      </c>
      <c r="F631" s="0" t="s">
        <v>244</v>
      </c>
      <c r="G631" s="0" t="s">
        <v>628</v>
      </c>
      <c r="H631" s="0" t="s">
        <v>625</v>
      </c>
      <c r="I631" s="0" t="s">
        <v>626</v>
      </c>
      <c r="J631" s="0" t="s">
        <v>627</v>
      </c>
      <c r="K631" s="475" t="n">
        <v>36861</v>
      </c>
      <c r="L631" s="254" t="n">
        <v>-19943.9815149046</v>
      </c>
      <c r="M631" s="475" t="n">
        <v>36859</v>
      </c>
      <c r="N631" s="0" t="s">
        <v>136</v>
      </c>
      <c r="O631" s="0" t="n">
        <v>4</v>
      </c>
      <c r="P631" s="0" t="n">
        <v>0</v>
      </c>
      <c r="Q631" s="0" t="n">
        <v>0</v>
      </c>
      <c r="R631" s="0" t="n">
        <v>0</v>
      </c>
      <c r="S631" s="0" t="n">
        <v>0</v>
      </c>
      <c r="T631" s="0" t="s">
        <v>624</v>
      </c>
      <c r="U631" s="0" t="s">
        <v>149</v>
      </c>
      <c r="V631" s="0" t="s">
        <v>624</v>
      </c>
      <c r="W631" s="0" t="s">
        <v>569</v>
      </c>
      <c r="X631" s="0" t="s">
        <v>624</v>
      </c>
      <c r="Y631" s="0" t="s">
        <v>627</v>
      </c>
      <c r="Z631" s="0" t="s">
        <v>629</v>
      </c>
      <c r="AA631" s="0" t="s">
        <v>624</v>
      </c>
      <c r="AB631" s="0" t="s">
        <v>132</v>
      </c>
      <c r="AC631" s="254" t="n">
        <v>-310000</v>
      </c>
      <c r="AD631" s="254" t="n">
        <v>-8179.066262023</v>
      </c>
      <c r="AE631" s="0" t="n">
        <v>0</v>
      </c>
      <c r="AF631" s="0" t="n">
        <v>0</v>
      </c>
      <c r="AG631" s="0" t="n">
        <v>0</v>
      </c>
      <c r="AH631" s="254" t="n">
        <v>-1828.32469326226</v>
      </c>
      <c r="AI631" s="0" t="n">
        <v>226</v>
      </c>
      <c r="AJ631" s="0" t="s">
        <v>630</v>
      </c>
      <c r="AK631" s="0" t="n">
        <v>0</v>
      </c>
      <c r="AL631" s="0" t="n">
        <v>0</v>
      </c>
      <c r="AM631" s="0" t="n">
        <v>0</v>
      </c>
    </row>
    <row r="632" customFormat="false" ht="12.75" hidden="false" customHeight="false" outlineLevel="0" collapsed="false">
      <c r="A632" s="0" t="s">
        <v>621</v>
      </c>
      <c r="B632" s="0" t="s">
        <v>408</v>
      </c>
      <c r="C632" s="0" t="s">
        <v>622</v>
      </c>
      <c r="D632" s="0" t="s">
        <v>623</v>
      </c>
      <c r="E632" s="0" t="s">
        <v>131</v>
      </c>
      <c r="F632" s="0" t="s">
        <v>244</v>
      </c>
      <c r="G632" s="0" t="s">
        <v>628</v>
      </c>
      <c r="H632" s="0" t="s">
        <v>625</v>
      </c>
      <c r="I632" s="0" t="s">
        <v>626</v>
      </c>
      <c r="J632" s="0" t="s">
        <v>627</v>
      </c>
      <c r="K632" s="475" t="n">
        <v>36892</v>
      </c>
      <c r="L632" s="254" t="n">
        <v>-62697.5444943743</v>
      </c>
      <c r="M632" s="475" t="n">
        <v>36888</v>
      </c>
      <c r="N632" s="0" t="s">
        <v>136</v>
      </c>
      <c r="O632" s="0" t="n">
        <v>4</v>
      </c>
      <c r="P632" s="0" t="n">
        <v>0</v>
      </c>
      <c r="Q632" s="0" t="n">
        <v>0</v>
      </c>
      <c r="R632" s="0" t="n">
        <v>0</v>
      </c>
      <c r="S632" s="0" t="n">
        <v>0</v>
      </c>
      <c r="T632" s="0" t="s">
        <v>624</v>
      </c>
      <c r="U632" s="0" t="s">
        <v>149</v>
      </c>
      <c r="V632" s="0" t="s">
        <v>624</v>
      </c>
      <c r="W632" s="0" t="s">
        <v>569</v>
      </c>
      <c r="X632" s="0" t="s">
        <v>624</v>
      </c>
      <c r="Y632" s="0" t="s">
        <v>627</v>
      </c>
      <c r="Z632" s="0" t="s">
        <v>629</v>
      </c>
      <c r="AA632" s="0" t="s">
        <v>624</v>
      </c>
      <c r="AB632" s="0" t="s">
        <v>132</v>
      </c>
      <c r="AC632" s="254" t="n">
        <v>-310000</v>
      </c>
      <c r="AD632" s="254" t="n">
        <v>-15901.0864776846</v>
      </c>
      <c r="AE632" s="0" t="n">
        <v>0</v>
      </c>
      <c r="AF632" s="0" t="n">
        <v>0</v>
      </c>
      <c r="AG632" s="0" t="n">
        <v>0</v>
      </c>
      <c r="AH632" s="254" t="n">
        <v>-4805.09696319509</v>
      </c>
      <c r="AI632" s="0" t="n">
        <v>226</v>
      </c>
      <c r="AJ632" s="0" t="s">
        <v>630</v>
      </c>
      <c r="AK632" s="0" t="n">
        <v>0</v>
      </c>
      <c r="AL632" s="0" t="n">
        <v>0</v>
      </c>
      <c r="AM632" s="0" t="n">
        <v>0</v>
      </c>
    </row>
    <row r="633" customFormat="false" ht="12.75" hidden="false" customHeight="false" outlineLevel="0" collapsed="false">
      <c r="A633" s="0" t="s">
        <v>621</v>
      </c>
      <c r="B633" s="0" t="s">
        <v>408</v>
      </c>
      <c r="C633" s="0" t="s">
        <v>622</v>
      </c>
      <c r="D633" s="0" t="s">
        <v>623</v>
      </c>
      <c r="E633" s="0" t="s">
        <v>131</v>
      </c>
      <c r="F633" s="0" t="s">
        <v>244</v>
      </c>
      <c r="G633" s="0" t="s">
        <v>628</v>
      </c>
      <c r="H633" s="0" t="s">
        <v>625</v>
      </c>
      <c r="I633" s="0" t="s">
        <v>626</v>
      </c>
      <c r="J633" s="0" t="s">
        <v>627</v>
      </c>
      <c r="K633" s="475" t="n">
        <v>36923</v>
      </c>
      <c r="L633" s="254" t="n">
        <v>-62209.6039229954</v>
      </c>
      <c r="M633" s="475" t="n">
        <v>36921</v>
      </c>
      <c r="N633" s="0" t="s">
        <v>136</v>
      </c>
      <c r="O633" s="0" t="n">
        <v>4</v>
      </c>
      <c r="P633" s="0" t="n">
        <v>0</v>
      </c>
      <c r="Q633" s="0" t="n">
        <v>0</v>
      </c>
      <c r="R633" s="0" t="n">
        <v>0</v>
      </c>
      <c r="S633" s="0" t="n">
        <v>0</v>
      </c>
      <c r="T633" s="0" t="s">
        <v>624</v>
      </c>
      <c r="U633" s="0" t="s">
        <v>149</v>
      </c>
      <c r="V633" s="0" t="s">
        <v>624</v>
      </c>
      <c r="W633" s="0" t="s">
        <v>569</v>
      </c>
      <c r="X633" s="0" t="s">
        <v>624</v>
      </c>
      <c r="Y633" s="0" t="s">
        <v>627</v>
      </c>
      <c r="Z633" s="0" t="s">
        <v>629</v>
      </c>
      <c r="AA633" s="0" t="s">
        <v>624</v>
      </c>
      <c r="AB633" s="0" t="s">
        <v>132</v>
      </c>
      <c r="AC633" s="254" t="n">
        <v>-280000</v>
      </c>
      <c r="AD633" s="254" t="n">
        <v>-15997.3400393026</v>
      </c>
      <c r="AE633" s="0" t="n">
        <v>0</v>
      </c>
      <c r="AF633" s="0" t="n">
        <v>0</v>
      </c>
      <c r="AG633" s="0" t="n">
        <v>0</v>
      </c>
      <c r="AH633" s="254" t="n">
        <v>-5195.0910475187</v>
      </c>
      <c r="AI633" s="0" t="n">
        <v>226</v>
      </c>
      <c r="AJ633" s="0" t="s">
        <v>630</v>
      </c>
      <c r="AK633" s="0" t="n">
        <v>0</v>
      </c>
      <c r="AL633" s="0" t="n">
        <v>0</v>
      </c>
      <c r="AM633" s="0" t="n">
        <v>0</v>
      </c>
    </row>
    <row r="634" customFormat="false" ht="12.75" hidden="false" customHeight="false" outlineLevel="0" collapsed="false">
      <c r="A634" s="0" t="s">
        <v>621</v>
      </c>
      <c r="B634" s="0" t="s">
        <v>408</v>
      </c>
      <c r="C634" s="0" t="s">
        <v>622</v>
      </c>
      <c r="D634" s="0" t="s">
        <v>623</v>
      </c>
      <c r="E634" s="0" t="s">
        <v>131</v>
      </c>
      <c r="F634" s="0" t="s">
        <v>244</v>
      </c>
      <c r="G634" s="0" t="s">
        <v>628</v>
      </c>
      <c r="H634" s="0" t="s">
        <v>625</v>
      </c>
      <c r="I634" s="0" t="s">
        <v>626</v>
      </c>
      <c r="J634" s="0" t="s">
        <v>627</v>
      </c>
      <c r="K634" s="475" t="n">
        <v>36951</v>
      </c>
      <c r="L634" s="254" t="n">
        <v>-14877.4059530264</v>
      </c>
      <c r="M634" s="475" t="n">
        <v>36949</v>
      </c>
      <c r="N634" s="0" t="s">
        <v>136</v>
      </c>
      <c r="O634" s="0" t="n">
        <v>4</v>
      </c>
      <c r="P634" s="0" t="n">
        <v>0</v>
      </c>
      <c r="Q634" s="0" t="n">
        <v>0</v>
      </c>
      <c r="R634" s="0" t="n">
        <v>0</v>
      </c>
      <c r="S634" s="0" t="n">
        <v>0</v>
      </c>
      <c r="T634" s="0" t="s">
        <v>624</v>
      </c>
      <c r="U634" s="0" t="s">
        <v>149</v>
      </c>
      <c r="V634" s="0" t="s">
        <v>624</v>
      </c>
      <c r="W634" s="0" t="s">
        <v>569</v>
      </c>
      <c r="X634" s="0" t="s">
        <v>624</v>
      </c>
      <c r="Y634" s="0" t="s">
        <v>627</v>
      </c>
      <c r="Z634" s="0" t="s">
        <v>629</v>
      </c>
      <c r="AA634" s="0" t="s">
        <v>624</v>
      </c>
      <c r="AB634" s="0" t="s">
        <v>132</v>
      </c>
      <c r="AC634" s="254" t="n">
        <v>-310000</v>
      </c>
      <c r="AD634" s="254" t="n">
        <v>-8038.51371467185</v>
      </c>
      <c r="AE634" s="0" t="n">
        <v>0</v>
      </c>
      <c r="AF634" s="0" t="n">
        <v>0</v>
      </c>
      <c r="AG634" s="0" t="n">
        <v>0</v>
      </c>
      <c r="AH634" s="254" t="n">
        <v>-1822.52679532334</v>
      </c>
      <c r="AI634" s="0" t="n">
        <v>226</v>
      </c>
      <c r="AJ634" s="0" t="s">
        <v>630</v>
      </c>
      <c r="AK634" s="0" t="n">
        <v>0</v>
      </c>
      <c r="AL634" s="0" t="n">
        <v>0</v>
      </c>
      <c r="AM634" s="0" t="n">
        <v>0</v>
      </c>
    </row>
    <row r="635" customFormat="false" ht="12.75" hidden="false" customHeight="false" outlineLevel="0" collapsed="false">
      <c r="A635" s="0" t="s">
        <v>621</v>
      </c>
      <c r="B635" s="0" t="s">
        <v>409</v>
      </c>
      <c r="C635" s="0" t="s">
        <v>622</v>
      </c>
      <c r="D635" s="0" t="s">
        <v>623</v>
      </c>
      <c r="E635" s="0" t="s">
        <v>131</v>
      </c>
      <c r="F635" s="0" t="s">
        <v>198</v>
      </c>
      <c r="G635" s="0" t="s">
        <v>628</v>
      </c>
      <c r="H635" s="0" t="s">
        <v>625</v>
      </c>
      <c r="I635" s="0" t="s">
        <v>626</v>
      </c>
      <c r="J635" s="0" t="s">
        <v>627</v>
      </c>
      <c r="K635" s="475" t="n">
        <v>36770</v>
      </c>
      <c r="L635" s="254" t="n">
        <v>0.0251629216796445</v>
      </c>
      <c r="M635" s="475" t="n">
        <v>36768</v>
      </c>
      <c r="N635" s="0" t="s">
        <v>136</v>
      </c>
      <c r="O635" s="0" t="n">
        <v>-0.6</v>
      </c>
      <c r="P635" s="0" t="n">
        <v>0</v>
      </c>
      <c r="Q635" s="0" t="n">
        <v>0</v>
      </c>
      <c r="R635" s="0" t="n">
        <v>0</v>
      </c>
      <c r="S635" s="0" t="n">
        <v>0</v>
      </c>
      <c r="T635" s="0" t="s">
        <v>624</v>
      </c>
      <c r="U635" s="0" t="s">
        <v>151</v>
      </c>
      <c r="V635" s="0" t="s">
        <v>624</v>
      </c>
      <c r="W635" s="0" t="s">
        <v>569</v>
      </c>
      <c r="X635" s="0" t="s">
        <v>624</v>
      </c>
      <c r="Y635" s="0" t="s">
        <v>627</v>
      </c>
      <c r="Z635" s="0" t="s">
        <v>629</v>
      </c>
      <c r="AA635" s="0" t="s">
        <v>624</v>
      </c>
      <c r="AB635" s="0" t="s">
        <v>132</v>
      </c>
      <c r="AC635" s="254" t="n">
        <v>300000</v>
      </c>
      <c r="AD635" s="254" t="n">
        <v>-0.0115735640404679</v>
      </c>
      <c r="AE635" s="0" t="n">
        <v>0</v>
      </c>
      <c r="AF635" s="0" t="n">
        <v>0</v>
      </c>
      <c r="AG635" s="0" t="n">
        <v>0</v>
      </c>
      <c r="AH635" s="254" t="n">
        <v>-0.200562035779228</v>
      </c>
      <c r="AI635" s="0" t="n">
        <v>226</v>
      </c>
      <c r="AJ635" s="0" t="s">
        <v>630</v>
      </c>
      <c r="AK635" s="0" t="n">
        <v>0</v>
      </c>
      <c r="AL635" s="0" t="n">
        <v>0</v>
      </c>
      <c r="AM635" s="0" t="n">
        <v>0</v>
      </c>
    </row>
    <row r="636" customFormat="false" ht="12.75" hidden="false" customHeight="false" outlineLevel="0" collapsed="false">
      <c r="A636" s="0" t="s">
        <v>621</v>
      </c>
      <c r="B636" s="0" t="s">
        <v>409</v>
      </c>
      <c r="C636" s="0" t="s">
        <v>622</v>
      </c>
      <c r="D636" s="0" t="s">
        <v>623</v>
      </c>
      <c r="E636" s="0" t="s">
        <v>131</v>
      </c>
      <c r="F636" s="0" t="s">
        <v>198</v>
      </c>
      <c r="G636" s="0" t="s">
        <v>628</v>
      </c>
      <c r="H636" s="0" t="s">
        <v>625</v>
      </c>
      <c r="I636" s="0" t="s">
        <v>626</v>
      </c>
      <c r="J636" s="0" t="s">
        <v>627</v>
      </c>
      <c r="K636" s="475" t="n">
        <v>36800</v>
      </c>
      <c r="L636" s="254" t="n">
        <v>25767.0757015046</v>
      </c>
      <c r="M636" s="475" t="n">
        <v>36797</v>
      </c>
      <c r="N636" s="0" t="s">
        <v>136</v>
      </c>
      <c r="O636" s="0" t="n">
        <v>-0.6</v>
      </c>
      <c r="P636" s="0" t="n">
        <v>0</v>
      </c>
      <c r="Q636" s="0" t="n">
        <v>0</v>
      </c>
      <c r="R636" s="0" t="n">
        <v>0</v>
      </c>
      <c r="S636" s="0" t="n">
        <v>0</v>
      </c>
      <c r="T636" s="0" t="s">
        <v>624</v>
      </c>
      <c r="U636" s="0" t="s">
        <v>151</v>
      </c>
      <c r="V636" s="0" t="s">
        <v>624</v>
      </c>
      <c r="W636" s="0" t="s">
        <v>569</v>
      </c>
      <c r="X636" s="0" t="s">
        <v>624</v>
      </c>
      <c r="Y636" s="0" t="s">
        <v>627</v>
      </c>
      <c r="Z636" s="0" t="s">
        <v>629</v>
      </c>
      <c r="AA636" s="0" t="s">
        <v>624</v>
      </c>
      <c r="AB636" s="0" t="s">
        <v>132</v>
      </c>
      <c r="AC636" s="254" t="n">
        <v>310000</v>
      </c>
      <c r="AD636" s="254" t="n">
        <v>9864.36870576335</v>
      </c>
      <c r="AE636" s="0" t="n">
        <v>0</v>
      </c>
      <c r="AF636" s="0" t="n">
        <v>0</v>
      </c>
      <c r="AG636" s="0" t="n">
        <v>0</v>
      </c>
      <c r="AH636" s="254" t="n">
        <v>-6612.21933693502</v>
      </c>
      <c r="AI636" s="0" t="n">
        <v>226</v>
      </c>
      <c r="AJ636" s="0" t="s">
        <v>630</v>
      </c>
      <c r="AK636" s="0" t="n">
        <v>0</v>
      </c>
      <c r="AL636" s="0" t="n">
        <v>0</v>
      </c>
      <c r="AM636" s="0" t="n">
        <v>0</v>
      </c>
    </row>
    <row r="637" customFormat="false" ht="12.75" hidden="false" customHeight="false" outlineLevel="0" collapsed="false">
      <c r="A637" s="0" t="s">
        <v>621</v>
      </c>
      <c r="B637" s="0" t="s">
        <v>410</v>
      </c>
      <c r="C637" s="0" t="s">
        <v>622</v>
      </c>
      <c r="D637" s="0" t="s">
        <v>623</v>
      </c>
      <c r="E637" s="0" t="s">
        <v>131</v>
      </c>
      <c r="F637" s="0" t="s">
        <v>198</v>
      </c>
      <c r="G637" s="0" t="s">
        <v>628</v>
      </c>
      <c r="H637" s="0" t="s">
        <v>625</v>
      </c>
      <c r="I637" s="0" t="s">
        <v>626</v>
      </c>
      <c r="J637" s="0" t="s">
        <v>627</v>
      </c>
      <c r="K637" s="475" t="n">
        <v>36770</v>
      </c>
      <c r="L637" s="254" t="n">
        <v>-0.0212306694225006</v>
      </c>
      <c r="M637" s="475" t="n">
        <v>36768</v>
      </c>
      <c r="N637" s="0" t="s">
        <v>136</v>
      </c>
      <c r="O637" s="0" t="n">
        <v>-0.7</v>
      </c>
      <c r="P637" s="0" t="n">
        <v>0</v>
      </c>
      <c r="Q637" s="0" t="n">
        <v>0</v>
      </c>
      <c r="R637" s="0" t="n">
        <v>0</v>
      </c>
      <c r="S637" s="0" t="n">
        <v>0</v>
      </c>
      <c r="T637" s="0" t="s">
        <v>624</v>
      </c>
      <c r="U637" s="0" t="s">
        <v>151</v>
      </c>
      <c r="V637" s="0" t="s">
        <v>624</v>
      </c>
      <c r="W637" s="0" t="s">
        <v>569</v>
      </c>
      <c r="X637" s="0" t="s">
        <v>624</v>
      </c>
      <c r="Y637" s="0" t="s">
        <v>627</v>
      </c>
      <c r="Z637" s="0" t="s">
        <v>629</v>
      </c>
      <c r="AA637" s="0" t="s">
        <v>624</v>
      </c>
      <c r="AB637" s="0" t="s">
        <v>132</v>
      </c>
      <c r="AC637" s="254" t="n">
        <v>-300000</v>
      </c>
      <c r="AD637" s="254" t="n">
        <v>0.0115735633410274</v>
      </c>
      <c r="AE637" s="0" t="n">
        <v>0</v>
      </c>
      <c r="AF637" s="0" t="n">
        <v>0</v>
      </c>
      <c r="AG637" s="0" t="n">
        <v>0</v>
      </c>
      <c r="AH637" s="254" t="n">
        <v>4.25316664633968</v>
      </c>
      <c r="AI637" s="0" t="n">
        <v>226</v>
      </c>
      <c r="AJ637" s="0" t="s">
        <v>630</v>
      </c>
      <c r="AK637" s="0" t="n">
        <v>0</v>
      </c>
      <c r="AL637" s="0" t="n">
        <v>0</v>
      </c>
      <c r="AM637" s="0" t="n">
        <v>0</v>
      </c>
    </row>
    <row r="638" customFormat="false" ht="12.75" hidden="false" customHeight="false" outlineLevel="0" collapsed="false">
      <c r="A638" s="0" t="s">
        <v>621</v>
      </c>
      <c r="B638" s="0" t="s">
        <v>410</v>
      </c>
      <c r="C638" s="0" t="s">
        <v>622</v>
      </c>
      <c r="D638" s="0" t="s">
        <v>623</v>
      </c>
      <c r="E638" s="0" t="s">
        <v>131</v>
      </c>
      <c r="F638" s="0" t="s">
        <v>198</v>
      </c>
      <c r="G638" s="0" t="s">
        <v>628</v>
      </c>
      <c r="H638" s="0" t="s">
        <v>625</v>
      </c>
      <c r="I638" s="0" t="s">
        <v>626</v>
      </c>
      <c r="J638" s="0" t="s">
        <v>627</v>
      </c>
      <c r="K638" s="475" t="n">
        <v>36800</v>
      </c>
      <c r="L638" s="254" t="n">
        <v>-37326.6913521015</v>
      </c>
      <c r="M638" s="475" t="n">
        <v>36797</v>
      </c>
      <c r="N638" s="0" t="s">
        <v>136</v>
      </c>
      <c r="O638" s="0" t="n">
        <v>-0.7</v>
      </c>
      <c r="P638" s="0" t="n">
        <v>0</v>
      </c>
      <c r="Q638" s="0" t="n">
        <v>0</v>
      </c>
      <c r="R638" s="0" t="n">
        <v>0</v>
      </c>
      <c r="S638" s="0" t="n">
        <v>0</v>
      </c>
      <c r="T638" s="0" t="s">
        <v>624</v>
      </c>
      <c r="U638" s="0" t="s">
        <v>151</v>
      </c>
      <c r="V638" s="0" t="s">
        <v>624</v>
      </c>
      <c r="W638" s="0" t="s">
        <v>569</v>
      </c>
      <c r="X638" s="0" t="s">
        <v>624</v>
      </c>
      <c r="Y638" s="0" t="s">
        <v>627</v>
      </c>
      <c r="Z638" s="0" t="s">
        <v>629</v>
      </c>
      <c r="AA638" s="0" t="s">
        <v>624</v>
      </c>
      <c r="AB638" s="0" t="s">
        <v>132</v>
      </c>
      <c r="AC638" s="254" t="n">
        <v>-310000</v>
      </c>
      <c r="AD638" s="254" t="n">
        <v>-10697.6881087497</v>
      </c>
      <c r="AE638" s="0" t="n">
        <v>0</v>
      </c>
      <c r="AF638" s="0" t="n">
        <v>0</v>
      </c>
      <c r="AG638" s="0" t="n">
        <v>0</v>
      </c>
      <c r="AH638" s="254" t="n">
        <v>8407.28038349166</v>
      </c>
      <c r="AI638" s="0" t="n">
        <v>226</v>
      </c>
      <c r="AJ638" s="0" t="s">
        <v>630</v>
      </c>
      <c r="AK638" s="0" t="n">
        <v>0</v>
      </c>
      <c r="AL638" s="0" t="n">
        <v>0</v>
      </c>
      <c r="AM638" s="0" t="n">
        <v>0</v>
      </c>
    </row>
    <row r="639" customFormat="false" ht="12.75" hidden="false" customHeight="false" outlineLevel="0" collapsed="false">
      <c r="A639" s="0" t="s">
        <v>621</v>
      </c>
      <c r="B639" s="0" t="s">
        <v>411</v>
      </c>
      <c r="C639" s="0" t="s">
        <v>622</v>
      </c>
      <c r="D639" s="0" t="s">
        <v>623</v>
      </c>
      <c r="E639" s="0" t="s">
        <v>131</v>
      </c>
      <c r="F639" s="0" t="s">
        <v>198</v>
      </c>
      <c r="G639" s="0" t="s">
        <v>628</v>
      </c>
      <c r="H639" s="0" t="s">
        <v>625</v>
      </c>
      <c r="I639" s="0" t="s">
        <v>626</v>
      </c>
      <c r="J639" s="0" t="s">
        <v>627</v>
      </c>
      <c r="K639" s="475" t="n">
        <v>36951</v>
      </c>
      <c r="L639" s="254" t="n">
        <v>474947.113647984</v>
      </c>
      <c r="M639" s="475" t="n">
        <v>36949</v>
      </c>
      <c r="N639" s="0" t="s">
        <v>136</v>
      </c>
      <c r="O639" s="0" t="n">
        <v>2</v>
      </c>
      <c r="P639" s="0" t="n">
        <v>0</v>
      </c>
      <c r="Q639" s="0" t="n">
        <v>0</v>
      </c>
      <c r="R639" s="0" t="n">
        <v>0</v>
      </c>
      <c r="S639" s="0" t="n">
        <v>0</v>
      </c>
      <c r="T639" s="0" t="s">
        <v>624</v>
      </c>
      <c r="U639" s="0" t="s">
        <v>149</v>
      </c>
      <c r="V639" s="0" t="s">
        <v>624</v>
      </c>
      <c r="W639" s="0" t="s">
        <v>569</v>
      </c>
      <c r="X639" s="0" t="s">
        <v>624</v>
      </c>
      <c r="Y639" s="0" t="s">
        <v>627</v>
      </c>
      <c r="Z639" s="0" t="s">
        <v>629</v>
      </c>
      <c r="AA639" s="0" t="s">
        <v>624</v>
      </c>
      <c r="AB639" s="0" t="s">
        <v>132</v>
      </c>
      <c r="AC639" s="254" t="n">
        <v>2000000</v>
      </c>
      <c r="AD639" s="254" t="n">
        <v>141845.550872812</v>
      </c>
      <c r="AE639" s="0" t="n">
        <v>0</v>
      </c>
      <c r="AF639" s="0" t="n">
        <v>0</v>
      </c>
      <c r="AG639" s="0" t="n">
        <v>0</v>
      </c>
      <c r="AH639" s="254" t="n">
        <v>42865.3539534902</v>
      </c>
      <c r="AI639" s="0" t="n">
        <v>226</v>
      </c>
      <c r="AJ639" s="0" t="s">
        <v>630</v>
      </c>
      <c r="AK639" s="0" t="n">
        <v>0</v>
      </c>
      <c r="AL639" s="0" t="n">
        <v>0</v>
      </c>
      <c r="AM639" s="0" t="n">
        <v>0</v>
      </c>
    </row>
    <row r="640" customFormat="false" ht="12.75" hidden="false" customHeight="false" outlineLevel="0" collapsed="false">
      <c r="A640" s="0" t="s">
        <v>621</v>
      </c>
      <c r="B640" s="0" t="s">
        <v>412</v>
      </c>
      <c r="C640" s="0" t="s">
        <v>622</v>
      </c>
      <c r="D640" s="0" t="s">
        <v>623</v>
      </c>
      <c r="E640" s="0" t="s">
        <v>131</v>
      </c>
      <c r="F640" s="0" t="s">
        <v>275</v>
      </c>
      <c r="G640" s="0" t="s">
        <v>628</v>
      </c>
      <c r="H640" s="0" t="s">
        <v>625</v>
      </c>
      <c r="I640" s="0" t="s">
        <v>626</v>
      </c>
      <c r="J640" s="0" t="s">
        <v>627</v>
      </c>
      <c r="K640" s="475" t="n">
        <v>36770</v>
      </c>
      <c r="L640" s="254" t="n">
        <v>899668.928683585</v>
      </c>
      <c r="M640" s="475" t="n">
        <v>36768</v>
      </c>
      <c r="N640" s="0" t="s">
        <v>136</v>
      </c>
      <c r="O640" s="0" t="n">
        <v>0.5</v>
      </c>
      <c r="P640" s="0" t="n">
        <v>0</v>
      </c>
      <c r="Q640" s="0" t="n">
        <v>0</v>
      </c>
      <c r="R640" s="0" t="n">
        <v>0</v>
      </c>
      <c r="S640" s="0" t="n">
        <v>0</v>
      </c>
      <c r="T640" s="0" t="s">
        <v>624</v>
      </c>
      <c r="U640" s="0" t="s">
        <v>137</v>
      </c>
      <c r="V640" s="0" t="s">
        <v>624</v>
      </c>
      <c r="W640" s="0" t="s">
        <v>569</v>
      </c>
      <c r="X640" s="0" t="s">
        <v>624</v>
      </c>
      <c r="Y640" s="0" t="s">
        <v>627</v>
      </c>
      <c r="Z640" s="0" t="s">
        <v>629</v>
      </c>
      <c r="AA640" s="0" t="s">
        <v>624</v>
      </c>
      <c r="AB640" s="0" t="s">
        <v>132</v>
      </c>
      <c r="AC640" s="254" t="n">
        <v>450000</v>
      </c>
      <c r="AD640" s="254" t="n">
        <v>-0.0179562862031162</v>
      </c>
      <c r="AE640" s="0" t="n">
        <v>0</v>
      </c>
      <c r="AF640" s="0" t="n">
        <v>0</v>
      </c>
      <c r="AG640" s="0" t="n">
        <v>0</v>
      </c>
      <c r="AH640" s="254" t="n">
        <v>119140.420711422</v>
      </c>
      <c r="AI640" s="0" t="n">
        <v>226</v>
      </c>
      <c r="AJ640" s="0" t="s">
        <v>630</v>
      </c>
      <c r="AK640" s="0" t="n">
        <v>0</v>
      </c>
      <c r="AL640" s="0" t="n">
        <v>0</v>
      </c>
      <c r="AM640" s="0" t="n">
        <v>0</v>
      </c>
    </row>
    <row r="641" customFormat="false" ht="12.75" hidden="false" customHeight="false" outlineLevel="0" collapsed="false">
      <c r="A641" s="0" t="s">
        <v>621</v>
      </c>
      <c r="B641" s="0" t="s">
        <v>412</v>
      </c>
      <c r="C641" s="0" t="s">
        <v>622</v>
      </c>
      <c r="D641" s="0" t="s">
        <v>623</v>
      </c>
      <c r="E641" s="0" t="s">
        <v>131</v>
      </c>
      <c r="F641" s="0" t="s">
        <v>275</v>
      </c>
      <c r="G641" s="0" t="s">
        <v>628</v>
      </c>
      <c r="H641" s="0" t="s">
        <v>625</v>
      </c>
      <c r="I641" s="0" t="s">
        <v>626</v>
      </c>
      <c r="J641" s="0" t="s">
        <v>627</v>
      </c>
      <c r="K641" s="475" t="n">
        <v>36800</v>
      </c>
      <c r="L641" s="254" t="n">
        <v>689054.576329964</v>
      </c>
      <c r="M641" s="475" t="n">
        <v>36797</v>
      </c>
      <c r="N641" s="0" t="s">
        <v>136</v>
      </c>
      <c r="O641" s="0" t="n">
        <v>0.5</v>
      </c>
      <c r="P641" s="0" t="n">
        <v>0</v>
      </c>
      <c r="Q641" s="0" t="n">
        <v>0</v>
      </c>
      <c r="R641" s="0" t="n">
        <v>0</v>
      </c>
      <c r="S641" s="0" t="n">
        <v>0</v>
      </c>
      <c r="T641" s="0" t="s">
        <v>624</v>
      </c>
      <c r="U641" s="0" t="s">
        <v>137</v>
      </c>
      <c r="V641" s="0" t="s">
        <v>624</v>
      </c>
      <c r="W641" s="0" t="s">
        <v>569</v>
      </c>
      <c r="X641" s="0" t="s">
        <v>624</v>
      </c>
      <c r="Y641" s="0" t="s">
        <v>627</v>
      </c>
      <c r="Z641" s="0" t="s">
        <v>629</v>
      </c>
      <c r="AA641" s="0" t="s">
        <v>624</v>
      </c>
      <c r="AB641" s="0" t="s">
        <v>132</v>
      </c>
      <c r="AC641" s="254" t="n">
        <v>465000</v>
      </c>
      <c r="AD641" s="254" t="n">
        <v>357.906855842506</v>
      </c>
      <c r="AE641" s="0" t="n">
        <v>0</v>
      </c>
      <c r="AF641" s="0" t="n">
        <v>0</v>
      </c>
      <c r="AG641" s="0" t="n">
        <v>0</v>
      </c>
      <c r="AH641" s="254" t="n">
        <v>-18418.7216388091</v>
      </c>
      <c r="AI641" s="0" t="n">
        <v>226</v>
      </c>
      <c r="AJ641" s="0" t="s">
        <v>630</v>
      </c>
      <c r="AK641" s="0" t="n">
        <v>0</v>
      </c>
      <c r="AL641" s="0" t="n">
        <v>0</v>
      </c>
      <c r="AM641" s="0" t="n">
        <v>0</v>
      </c>
    </row>
    <row r="642" customFormat="false" ht="12.75" hidden="false" customHeight="false" outlineLevel="0" collapsed="false">
      <c r="A642" s="0" t="s">
        <v>621</v>
      </c>
      <c r="B642" s="0" t="s">
        <v>413</v>
      </c>
      <c r="C642" s="0" t="s">
        <v>622</v>
      </c>
      <c r="D642" s="0" t="s">
        <v>623</v>
      </c>
      <c r="E642" s="0" t="s">
        <v>131</v>
      </c>
      <c r="F642" s="0" t="s">
        <v>210</v>
      </c>
      <c r="G642" s="0" t="s">
        <v>628</v>
      </c>
      <c r="H642" s="0" t="s">
        <v>625</v>
      </c>
      <c r="I642" s="0" t="s">
        <v>626</v>
      </c>
      <c r="J642" s="0" t="s">
        <v>627</v>
      </c>
      <c r="K642" s="475" t="n">
        <v>36982</v>
      </c>
      <c r="L642" s="254" t="n">
        <v>14439.2466983561</v>
      </c>
      <c r="M642" s="475" t="n">
        <v>36979</v>
      </c>
      <c r="N642" s="0" t="s">
        <v>132</v>
      </c>
      <c r="O642" s="0" t="n">
        <v>0.3</v>
      </c>
      <c r="P642" s="0" t="n">
        <v>0</v>
      </c>
      <c r="Q642" s="0" t="n">
        <v>0</v>
      </c>
      <c r="R642" s="0" t="n">
        <v>0</v>
      </c>
      <c r="S642" s="0" t="n">
        <v>0</v>
      </c>
      <c r="T642" s="0" t="s">
        <v>624</v>
      </c>
      <c r="U642" s="0" t="s">
        <v>149</v>
      </c>
      <c r="V642" s="0" t="s">
        <v>624</v>
      </c>
      <c r="W642" s="0" t="s">
        <v>569</v>
      </c>
      <c r="X642" s="0" t="s">
        <v>624</v>
      </c>
      <c r="Y642" s="0" t="s">
        <v>627</v>
      </c>
      <c r="Z642" s="0" t="s">
        <v>629</v>
      </c>
      <c r="AA642" s="0" t="s">
        <v>624</v>
      </c>
      <c r="AB642" s="0" t="s">
        <v>132</v>
      </c>
      <c r="AC642" s="254" t="n">
        <v>300000</v>
      </c>
      <c r="AD642" s="254" t="n">
        <v>6695.37243968158</v>
      </c>
      <c r="AE642" s="0" t="n">
        <v>0</v>
      </c>
      <c r="AF642" s="0" t="n">
        <v>0</v>
      </c>
      <c r="AG642" s="0" t="n">
        <v>0</v>
      </c>
      <c r="AH642" s="254" t="n">
        <v>318.170111227988</v>
      </c>
      <c r="AI642" s="0" t="n">
        <v>226</v>
      </c>
      <c r="AJ642" s="0" t="s">
        <v>630</v>
      </c>
      <c r="AK642" s="0" t="n">
        <v>0</v>
      </c>
      <c r="AL642" s="0" t="n">
        <v>0</v>
      </c>
      <c r="AM642" s="0" t="n">
        <v>0</v>
      </c>
    </row>
    <row r="643" customFormat="false" ht="12.75" hidden="false" customHeight="false" outlineLevel="0" collapsed="false">
      <c r="A643" s="0" t="s">
        <v>621</v>
      </c>
      <c r="B643" s="0" t="s">
        <v>413</v>
      </c>
      <c r="C643" s="0" t="s">
        <v>622</v>
      </c>
      <c r="D643" s="0" t="s">
        <v>623</v>
      </c>
      <c r="E643" s="0" t="s">
        <v>131</v>
      </c>
      <c r="F643" s="0" t="s">
        <v>210</v>
      </c>
      <c r="G643" s="0" t="s">
        <v>628</v>
      </c>
      <c r="H643" s="0" t="s">
        <v>625</v>
      </c>
      <c r="I643" s="0" t="s">
        <v>626</v>
      </c>
      <c r="J643" s="0" t="s">
        <v>627</v>
      </c>
      <c r="K643" s="475" t="n">
        <v>37012</v>
      </c>
      <c r="L643" s="254" t="n">
        <v>23262.5392959566</v>
      </c>
      <c r="M643" s="475" t="n">
        <v>37008</v>
      </c>
      <c r="N643" s="0" t="s">
        <v>132</v>
      </c>
      <c r="O643" s="0" t="n">
        <v>0.3</v>
      </c>
      <c r="P643" s="0" t="n">
        <v>0</v>
      </c>
      <c r="Q643" s="0" t="n">
        <v>0</v>
      </c>
      <c r="R643" s="0" t="n">
        <v>0</v>
      </c>
      <c r="S643" s="0" t="n">
        <v>0</v>
      </c>
      <c r="T643" s="0" t="s">
        <v>624</v>
      </c>
      <c r="U643" s="0" t="s">
        <v>149</v>
      </c>
      <c r="V643" s="0" t="s">
        <v>624</v>
      </c>
      <c r="W643" s="0" t="s">
        <v>569</v>
      </c>
      <c r="X643" s="0" t="s">
        <v>624</v>
      </c>
      <c r="Y643" s="0" t="s">
        <v>627</v>
      </c>
      <c r="Z643" s="0" t="s">
        <v>629</v>
      </c>
      <c r="AA643" s="0" t="s">
        <v>624</v>
      </c>
      <c r="AB643" s="0" t="s">
        <v>132</v>
      </c>
      <c r="AC643" s="254" t="n">
        <v>310000</v>
      </c>
      <c r="AD643" s="254" t="n">
        <v>7908.4799094721</v>
      </c>
      <c r="AE643" s="0" t="n">
        <v>0</v>
      </c>
      <c r="AF643" s="0" t="n">
        <v>0</v>
      </c>
      <c r="AG643" s="0" t="n">
        <v>0</v>
      </c>
      <c r="AH643" s="254" t="n">
        <v>376.273776670067</v>
      </c>
      <c r="AI643" s="0" t="n">
        <v>226</v>
      </c>
      <c r="AJ643" s="0" t="s">
        <v>630</v>
      </c>
      <c r="AK643" s="0" t="n">
        <v>0</v>
      </c>
      <c r="AL643" s="0" t="n">
        <v>0</v>
      </c>
      <c r="AM643" s="0" t="n">
        <v>0</v>
      </c>
    </row>
    <row r="644" customFormat="false" ht="12.75" hidden="false" customHeight="false" outlineLevel="0" collapsed="false">
      <c r="A644" s="0" t="s">
        <v>621</v>
      </c>
      <c r="B644" s="0" t="s">
        <v>413</v>
      </c>
      <c r="C644" s="0" t="s">
        <v>622</v>
      </c>
      <c r="D644" s="0" t="s">
        <v>623</v>
      </c>
      <c r="E644" s="0" t="s">
        <v>131</v>
      </c>
      <c r="F644" s="0" t="s">
        <v>210</v>
      </c>
      <c r="G644" s="0" t="s">
        <v>628</v>
      </c>
      <c r="H644" s="0" t="s">
        <v>625</v>
      </c>
      <c r="I644" s="0" t="s">
        <v>626</v>
      </c>
      <c r="J644" s="0" t="s">
        <v>627</v>
      </c>
      <c r="K644" s="475" t="n">
        <v>37043</v>
      </c>
      <c r="L644" s="254" t="n">
        <v>25010.9717748086</v>
      </c>
      <c r="M644" s="475" t="n">
        <v>37041</v>
      </c>
      <c r="N644" s="0" t="s">
        <v>132</v>
      </c>
      <c r="O644" s="0" t="n">
        <v>0.3</v>
      </c>
      <c r="P644" s="0" t="n">
        <v>0</v>
      </c>
      <c r="Q644" s="0" t="n">
        <v>0</v>
      </c>
      <c r="R644" s="0" t="n">
        <v>0</v>
      </c>
      <c r="S644" s="0" t="n">
        <v>0</v>
      </c>
      <c r="T644" s="0" t="s">
        <v>624</v>
      </c>
      <c r="U644" s="0" t="s">
        <v>149</v>
      </c>
      <c r="V644" s="0" t="s">
        <v>624</v>
      </c>
      <c r="W644" s="0" t="s">
        <v>569</v>
      </c>
      <c r="X644" s="0" t="s">
        <v>624</v>
      </c>
      <c r="Y644" s="0" t="s">
        <v>627</v>
      </c>
      <c r="Z644" s="0" t="s">
        <v>629</v>
      </c>
      <c r="AA644" s="0" t="s">
        <v>624</v>
      </c>
      <c r="AB644" s="0" t="s">
        <v>132</v>
      </c>
      <c r="AC644" s="254" t="n">
        <v>300000</v>
      </c>
      <c r="AD644" s="254" t="n">
        <v>8119.23630651488</v>
      </c>
      <c r="AE644" s="0" t="n">
        <v>0</v>
      </c>
      <c r="AF644" s="0" t="n">
        <v>0</v>
      </c>
      <c r="AG644" s="0" t="n">
        <v>0</v>
      </c>
      <c r="AH644" s="254" t="n">
        <v>386.076153283011</v>
      </c>
      <c r="AI644" s="0" t="n">
        <v>226</v>
      </c>
      <c r="AJ644" s="0" t="s">
        <v>630</v>
      </c>
      <c r="AK644" s="0" t="n">
        <v>0</v>
      </c>
      <c r="AL644" s="0" t="n">
        <v>0</v>
      </c>
      <c r="AM644" s="0" t="n">
        <v>0</v>
      </c>
    </row>
    <row r="645" customFormat="false" ht="12.75" hidden="false" customHeight="false" outlineLevel="0" collapsed="false">
      <c r="A645" s="0" t="s">
        <v>621</v>
      </c>
      <c r="B645" s="0" t="s">
        <v>413</v>
      </c>
      <c r="C645" s="0" t="s">
        <v>622</v>
      </c>
      <c r="D645" s="0" t="s">
        <v>623</v>
      </c>
      <c r="E645" s="0" t="s">
        <v>131</v>
      </c>
      <c r="F645" s="0" t="s">
        <v>210</v>
      </c>
      <c r="G645" s="0" t="s">
        <v>628</v>
      </c>
      <c r="H645" s="0" t="s">
        <v>625</v>
      </c>
      <c r="I645" s="0" t="s">
        <v>626</v>
      </c>
      <c r="J645" s="0" t="s">
        <v>627</v>
      </c>
      <c r="K645" s="475" t="n">
        <v>37073</v>
      </c>
      <c r="L645" s="254" t="n">
        <v>20998.3818379957</v>
      </c>
      <c r="M645" s="475" t="n">
        <v>37070</v>
      </c>
      <c r="N645" s="0" t="s">
        <v>132</v>
      </c>
      <c r="O645" s="0" t="n">
        <v>0.3</v>
      </c>
      <c r="P645" s="0" t="n">
        <v>0</v>
      </c>
      <c r="Q645" s="0" t="n">
        <v>0</v>
      </c>
      <c r="R645" s="0" t="n">
        <v>0</v>
      </c>
      <c r="S645" s="0" t="n">
        <v>0</v>
      </c>
      <c r="T645" s="0" t="s">
        <v>624</v>
      </c>
      <c r="U645" s="0" t="s">
        <v>149</v>
      </c>
      <c r="V645" s="0" t="s">
        <v>624</v>
      </c>
      <c r="W645" s="0" t="s">
        <v>569</v>
      </c>
      <c r="X645" s="0" t="s">
        <v>624</v>
      </c>
      <c r="Y645" s="0" t="s">
        <v>627</v>
      </c>
      <c r="Z645" s="0" t="s">
        <v>629</v>
      </c>
      <c r="AA645" s="0" t="s">
        <v>624</v>
      </c>
      <c r="AB645" s="0" t="s">
        <v>132</v>
      </c>
      <c r="AC645" s="254" t="n">
        <v>310000</v>
      </c>
      <c r="AD645" s="254" t="n">
        <v>8196.25365311083</v>
      </c>
      <c r="AE645" s="0" t="n">
        <v>0</v>
      </c>
      <c r="AF645" s="0" t="n">
        <v>0</v>
      </c>
      <c r="AG645" s="0" t="n">
        <v>0</v>
      </c>
      <c r="AH645" s="254" t="n">
        <v>388.818357166354</v>
      </c>
      <c r="AI645" s="0" t="n">
        <v>226</v>
      </c>
      <c r="AJ645" s="0" t="s">
        <v>630</v>
      </c>
      <c r="AK645" s="0" t="n">
        <v>0</v>
      </c>
      <c r="AL645" s="0" t="n">
        <v>0</v>
      </c>
      <c r="AM645" s="0" t="n">
        <v>0</v>
      </c>
    </row>
    <row r="646" customFormat="false" ht="12.75" hidden="false" customHeight="false" outlineLevel="0" collapsed="false">
      <c r="A646" s="0" t="s">
        <v>621</v>
      </c>
      <c r="B646" s="0" t="s">
        <v>413</v>
      </c>
      <c r="C646" s="0" t="s">
        <v>622</v>
      </c>
      <c r="D646" s="0" t="s">
        <v>623</v>
      </c>
      <c r="E646" s="0" t="s">
        <v>131</v>
      </c>
      <c r="F646" s="0" t="s">
        <v>210</v>
      </c>
      <c r="G646" s="0" t="s">
        <v>628</v>
      </c>
      <c r="H646" s="0" t="s">
        <v>625</v>
      </c>
      <c r="I646" s="0" t="s">
        <v>626</v>
      </c>
      <c r="J646" s="0" t="s">
        <v>627</v>
      </c>
      <c r="K646" s="475" t="n">
        <v>37104</v>
      </c>
      <c r="L646" s="254" t="n">
        <v>22771.9067910573</v>
      </c>
      <c r="M646" s="475" t="n">
        <v>37102</v>
      </c>
      <c r="N646" s="0" t="s">
        <v>132</v>
      </c>
      <c r="O646" s="0" t="n">
        <v>0.3</v>
      </c>
      <c r="P646" s="0" t="n">
        <v>0</v>
      </c>
      <c r="Q646" s="0" t="n">
        <v>0</v>
      </c>
      <c r="R646" s="0" t="n">
        <v>0</v>
      </c>
      <c r="S646" s="0" t="n">
        <v>0</v>
      </c>
      <c r="T646" s="0" t="s">
        <v>624</v>
      </c>
      <c r="U646" s="0" t="s">
        <v>149</v>
      </c>
      <c r="V646" s="0" t="s">
        <v>624</v>
      </c>
      <c r="W646" s="0" t="s">
        <v>569</v>
      </c>
      <c r="X646" s="0" t="s">
        <v>624</v>
      </c>
      <c r="Y646" s="0" t="s">
        <v>627</v>
      </c>
      <c r="Z646" s="0" t="s">
        <v>629</v>
      </c>
      <c r="AA646" s="0" t="s">
        <v>624</v>
      </c>
      <c r="AB646" s="0" t="s">
        <v>132</v>
      </c>
      <c r="AC646" s="254" t="n">
        <v>310000</v>
      </c>
      <c r="AD646" s="254" t="n">
        <v>8655.19681706006</v>
      </c>
      <c r="AE646" s="0" t="n">
        <v>0</v>
      </c>
      <c r="AF646" s="0" t="n">
        <v>0</v>
      </c>
      <c r="AG646" s="0" t="n">
        <v>0</v>
      </c>
      <c r="AH646" s="254" t="n">
        <v>410.501575904185</v>
      </c>
      <c r="AI646" s="0" t="n">
        <v>226</v>
      </c>
      <c r="AJ646" s="0" t="s">
        <v>630</v>
      </c>
      <c r="AK646" s="0" t="n">
        <v>0</v>
      </c>
      <c r="AL646" s="0" t="n">
        <v>0</v>
      </c>
      <c r="AM646" s="0" t="n">
        <v>0</v>
      </c>
    </row>
    <row r="647" customFormat="false" ht="12.75" hidden="false" customHeight="false" outlineLevel="0" collapsed="false">
      <c r="A647" s="0" t="s">
        <v>621</v>
      </c>
      <c r="B647" s="0" t="s">
        <v>413</v>
      </c>
      <c r="C647" s="0" t="s">
        <v>622</v>
      </c>
      <c r="D647" s="0" t="s">
        <v>623</v>
      </c>
      <c r="E647" s="0" t="s">
        <v>131</v>
      </c>
      <c r="F647" s="0" t="s">
        <v>210</v>
      </c>
      <c r="G647" s="0" t="s">
        <v>628</v>
      </c>
      <c r="H647" s="0" t="s">
        <v>625</v>
      </c>
      <c r="I647" s="0" t="s">
        <v>626</v>
      </c>
      <c r="J647" s="0" t="s">
        <v>627</v>
      </c>
      <c r="K647" s="475" t="n">
        <v>37135</v>
      </c>
      <c r="L647" s="254" t="n">
        <v>29764.9461315149</v>
      </c>
      <c r="M647" s="475" t="n">
        <v>37133</v>
      </c>
      <c r="N647" s="0" t="s">
        <v>132</v>
      </c>
      <c r="O647" s="0" t="n">
        <v>0.3</v>
      </c>
      <c r="P647" s="0" t="n">
        <v>0</v>
      </c>
      <c r="Q647" s="0" t="n">
        <v>0</v>
      </c>
      <c r="R647" s="0" t="n">
        <v>0</v>
      </c>
      <c r="S647" s="0" t="n">
        <v>0</v>
      </c>
      <c r="T647" s="0" t="s">
        <v>624</v>
      </c>
      <c r="U647" s="0" t="s">
        <v>149</v>
      </c>
      <c r="V647" s="0" t="s">
        <v>624</v>
      </c>
      <c r="W647" s="0" t="s">
        <v>569</v>
      </c>
      <c r="X647" s="0" t="s">
        <v>624</v>
      </c>
      <c r="Y647" s="0" t="s">
        <v>627</v>
      </c>
      <c r="Z647" s="0" t="s">
        <v>629</v>
      </c>
      <c r="AA647" s="0" t="s">
        <v>624</v>
      </c>
      <c r="AB647" s="0" t="s">
        <v>132</v>
      </c>
      <c r="AC647" s="254" t="n">
        <v>300000</v>
      </c>
      <c r="AD647" s="254" t="n">
        <v>9298.81110375389</v>
      </c>
      <c r="AE647" s="0" t="n">
        <v>0</v>
      </c>
      <c r="AF647" s="0" t="n">
        <v>0</v>
      </c>
      <c r="AG647" s="0" t="n">
        <v>0</v>
      </c>
      <c r="AH647" s="254" t="n">
        <v>441.703481400156</v>
      </c>
      <c r="AI647" s="0" t="n">
        <v>226</v>
      </c>
      <c r="AJ647" s="0" t="s">
        <v>630</v>
      </c>
      <c r="AK647" s="0" t="n">
        <v>0</v>
      </c>
      <c r="AL647" s="0" t="n">
        <v>0</v>
      </c>
      <c r="AM647" s="0" t="n">
        <v>0</v>
      </c>
    </row>
    <row r="648" customFormat="false" ht="12.75" hidden="false" customHeight="false" outlineLevel="0" collapsed="false">
      <c r="A648" s="0" t="s">
        <v>621</v>
      </c>
      <c r="B648" s="0" t="s">
        <v>413</v>
      </c>
      <c r="C648" s="0" t="s">
        <v>622</v>
      </c>
      <c r="D648" s="0" t="s">
        <v>623</v>
      </c>
      <c r="E648" s="0" t="s">
        <v>131</v>
      </c>
      <c r="F648" s="0" t="s">
        <v>210</v>
      </c>
      <c r="G648" s="0" t="s">
        <v>628</v>
      </c>
      <c r="H648" s="0" t="s">
        <v>625</v>
      </c>
      <c r="I648" s="0" t="s">
        <v>626</v>
      </c>
      <c r="J648" s="0" t="s">
        <v>627</v>
      </c>
      <c r="K648" s="475" t="n">
        <v>37165</v>
      </c>
      <c r="L648" s="254" t="n">
        <v>25502.2113317979</v>
      </c>
      <c r="M648" s="475" t="n">
        <v>37161</v>
      </c>
      <c r="N648" s="0" t="s">
        <v>132</v>
      </c>
      <c r="O648" s="0" t="n">
        <v>0.3</v>
      </c>
      <c r="P648" s="0" t="n">
        <v>0</v>
      </c>
      <c r="Q648" s="0" t="n">
        <v>0</v>
      </c>
      <c r="R648" s="0" t="n">
        <v>0</v>
      </c>
      <c r="S648" s="0" t="n">
        <v>0</v>
      </c>
      <c r="T648" s="0" t="s">
        <v>624</v>
      </c>
      <c r="U648" s="0" t="s">
        <v>149</v>
      </c>
      <c r="V648" s="0" t="s">
        <v>624</v>
      </c>
      <c r="W648" s="0" t="s">
        <v>569</v>
      </c>
      <c r="X648" s="0" t="s">
        <v>624</v>
      </c>
      <c r="Y648" s="0" t="s">
        <v>627</v>
      </c>
      <c r="Z648" s="0" t="s">
        <v>629</v>
      </c>
      <c r="AA648" s="0" t="s">
        <v>624</v>
      </c>
      <c r="AB648" s="0" t="s">
        <v>132</v>
      </c>
      <c r="AC648" s="254" t="n">
        <v>310000</v>
      </c>
      <c r="AD648" s="254" t="n">
        <v>9444.59497474696</v>
      </c>
      <c r="AE648" s="0" t="n">
        <v>0</v>
      </c>
      <c r="AF648" s="0" t="n">
        <v>0</v>
      </c>
      <c r="AG648" s="0" t="n">
        <v>0</v>
      </c>
      <c r="AH648" s="254" t="n">
        <v>448.280930345594</v>
      </c>
      <c r="AI648" s="0" t="n">
        <v>226</v>
      </c>
      <c r="AJ648" s="0" t="s">
        <v>630</v>
      </c>
      <c r="AK648" s="0" t="n">
        <v>0</v>
      </c>
      <c r="AL648" s="0" t="n">
        <v>0</v>
      </c>
      <c r="AM648" s="0" t="n">
        <v>0</v>
      </c>
    </row>
    <row r="649" customFormat="false" ht="12.75" hidden="false" customHeight="false" outlineLevel="0" collapsed="false">
      <c r="A649" s="0" t="s">
        <v>621</v>
      </c>
      <c r="B649" s="0" t="s">
        <v>414</v>
      </c>
      <c r="C649" s="0" t="s">
        <v>622</v>
      </c>
      <c r="D649" s="0" t="s">
        <v>623</v>
      </c>
      <c r="E649" s="0" t="s">
        <v>131</v>
      </c>
      <c r="F649" s="0" t="s">
        <v>206</v>
      </c>
      <c r="G649" s="0" t="s">
        <v>628</v>
      </c>
      <c r="H649" s="0" t="s">
        <v>625</v>
      </c>
      <c r="I649" s="0" t="s">
        <v>626</v>
      </c>
      <c r="J649" s="0" t="s">
        <v>627</v>
      </c>
      <c r="K649" s="475" t="n">
        <v>36982</v>
      </c>
      <c r="L649" s="254" t="n">
        <v>37274.0420809782</v>
      </c>
      <c r="M649" s="475" t="n">
        <v>36979</v>
      </c>
      <c r="N649" s="0" t="s">
        <v>136</v>
      </c>
      <c r="O649" s="0" t="n">
        <v>0.7</v>
      </c>
      <c r="P649" s="0" t="n">
        <v>0</v>
      </c>
      <c r="Q649" s="0" t="n">
        <v>0</v>
      </c>
      <c r="R649" s="0" t="n">
        <v>0</v>
      </c>
      <c r="S649" s="0" t="n">
        <v>0</v>
      </c>
      <c r="T649" s="0" t="s">
        <v>624</v>
      </c>
      <c r="U649" s="0" t="s">
        <v>149</v>
      </c>
      <c r="V649" s="0" t="s">
        <v>624</v>
      </c>
      <c r="W649" s="0" t="s">
        <v>569</v>
      </c>
      <c r="X649" s="0" t="s">
        <v>624</v>
      </c>
      <c r="Y649" s="0" t="s">
        <v>627</v>
      </c>
      <c r="Z649" s="0" t="s">
        <v>629</v>
      </c>
      <c r="AA649" s="0" t="s">
        <v>624</v>
      </c>
      <c r="AB649" s="0" t="s">
        <v>132</v>
      </c>
      <c r="AC649" s="254" t="n">
        <v>500000</v>
      </c>
      <c r="AD649" s="254" t="n">
        <v>10951.2425481547</v>
      </c>
      <c r="AE649" s="0" t="n">
        <v>0</v>
      </c>
      <c r="AF649" s="0" t="n">
        <v>0</v>
      </c>
      <c r="AG649" s="0" t="n">
        <v>0</v>
      </c>
      <c r="AH649" s="254" t="n">
        <v>521.124543541075</v>
      </c>
      <c r="AI649" s="0" t="n">
        <v>226</v>
      </c>
      <c r="AJ649" s="0" t="s">
        <v>630</v>
      </c>
      <c r="AK649" s="0" t="n">
        <v>0</v>
      </c>
      <c r="AL649" s="0" t="n">
        <v>0</v>
      </c>
      <c r="AM649" s="0" t="n">
        <v>0</v>
      </c>
    </row>
    <row r="650" customFormat="false" ht="12.75" hidden="false" customHeight="false" outlineLevel="0" collapsed="false">
      <c r="A650" s="0" t="s">
        <v>621</v>
      </c>
      <c r="B650" s="0" t="s">
        <v>416</v>
      </c>
      <c r="C650" s="0" t="s">
        <v>622</v>
      </c>
      <c r="D650" s="0" t="s">
        <v>623</v>
      </c>
      <c r="E650" s="0" t="s">
        <v>131</v>
      </c>
      <c r="F650" s="0" t="s">
        <v>415</v>
      </c>
      <c r="G650" s="0" t="s">
        <v>628</v>
      </c>
      <c r="H650" s="0" t="s">
        <v>625</v>
      </c>
      <c r="I650" s="0" t="s">
        <v>626</v>
      </c>
      <c r="J650" s="0" t="s">
        <v>627</v>
      </c>
      <c r="K650" s="475" t="n">
        <v>36831</v>
      </c>
      <c r="L650" s="254" t="n">
        <v>-35995.7722158527</v>
      </c>
      <c r="M650" s="475" t="n">
        <v>36829</v>
      </c>
      <c r="N650" s="0" t="s">
        <v>136</v>
      </c>
      <c r="O650" s="0" t="n">
        <v>0.12</v>
      </c>
      <c r="P650" s="0" t="n">
        <v>0</v>
      </c>
      <c r="Q650" s="0" t="n">
        <v>0</v>
      </c>
      <c r="R650" s="0" t="n">
        <v>0</v>
      </c>
      <c r="S650" s="0" t="n">
        <v>0</v>
      </c>
      <c r="T650" s="0" t="s">
        <v>624</v>
      </c>
      <c r="U650" s="0" t="s">
        <v>632</v>
      </c>
      <c r="V650" s="0" t="s">
        <v>624</v>
      </c>
      <c r="W650" s="0" t="s">
        <v>569</v>
      </c>
      <c r="X650" s="0" t="s">
        <v>624</v>
      </c>
      <c r="Y650" s="0" t="s">
        <v>627</v>
      </c>
      <c r="Z650" s="0" t="s">
        <v>629</v>
      </c>
      <c r="AA650" s="0" t="s">
        <v>624</v>
      </c>
      <c r="AB650" s="0" t="s">
        <v>132</v>
      </c>
      <c r="AC650" s="254" t="n">
        <v>-1500000</v>
      </c>
      <c r="AD650" s="254" t="n">
        <v>-10203.8606175174</v>
      </c>
      <c r="AE650" s="0" t="n">
        <v>0</v>
      </c>
      <c r="AF650" s="0" t="n">
        <v>0</v>
      </c>
      <c r="AG650" s="0" t="n">
        <v>0</v>
      </c>
      <c r="AH650" s="254" t="n">
        <v>-548.93047794405</v>
      </c>
      <c r="AI650" s="0" t="n">
        <v>226</v>
      </c>
      <c r="AJ650" s="0" t="s">
        <v>630</v>
      </c>
      <c r="AK650" s="0" t="n">
        <v>0</v>
      </c>
      <c r="AL650" s="0" t="n">
        <v>0</v>
      </c>
      <c r="AM650" s="0" t="n">
        <v>0</v>
      </c>
    </row>
    <row r="651" customFormat="false" ht="12.75" hidden="false" customHeight="false" outlineLevel="0" collapsed="false">
      <c r="A651" s="0" t="s">
        <v>621</v>
      </c>
      <c r="B651" s="0" t="s">
        <v>416</v>
      </c>
      <c r="C651" s="0" t="s">
        <v>622</v>
      </c>
      <c r="D651" s="0" t="s">
        <v>623</v>
      </c>
      <c r="E651" s="0" t="s">
        <v>131</v>
      </c>
      <c r="F651" s="0" t="s">
        <v>415</v>
      </c>
      <c r="G651" s="0" t="s">
        <v>628</v>
      </c>
      <c r="H651" s="0" t="s">
        <v>625</v>
      </c>
      <c r="I651" s="0" t="s">
        <v>626</v>
      </c>
      <c r="J651" s="0" t="s">
        <v>627</v>
      </c>
      <c r="K651" s="475" t="n">
        <v>36861</v>
      </c>
      <c r="L651" s="254" t="n">
        <v>-58398.7660065416</v>
      </c>
      <c r="M651" s="475" t="n">
        <v>36859</v>
      </c>
      <c r="N651" s="0" t="s">
        <v>136</v>
      </c>
      <c r="O651" s="0" t="n">
        <v>0.12</v>
      </c>
      <c r="P651" s="0" t="n">
        <v>0</v>
      </c>
      <c r="Q651" s="0" t="n">
        <v>0</v>
      </c>
      <c r="R651" s="0" t="n">
        <v>0</v>
      </c>
      <c r="S651" s="0" t="n">
        <v>0</v>
      </c>
      <c r="T651" s="0" t="s">
        <v>624</v>
      </c>
      <c r="U651" s="0" t="s">
        <v>632</v>
      </c>
      <c r="V651" s="0" t="s">
        <v>624</v>
      </c>
      <c r="W651" s="0" t="s">
        <v>569</v>
      </c>
      <c r="X651" s="0" t="s">
        <v>624</v>
      </c>
      <c r="Y651" s="0" t="s">
        <v>627</v>
      </c>
      <c r="Z651" s="0" t="s">
        <v>629</v>
      </c>
      <c r="AA651" s="0" t="s">
        <v>624</v>
      </c>
      <c r="AB651" s="0" t="s">
        <v>132</v>
      </c>
      <c r="AC651" s="254" t="n">
        <v>-1550000</v>
      </c>
      <c r="AD651" s="254" t="n">
        <v>-13408.4125733787</v>
      </c>
      <c r="AE651" s="0" t="n">
        <v>0</v>
      </c>
      <c r="AF651" s="0" t="n">
        <v>0</v>
      </c>
      <c r="AG651" s="0" t="n">
        <v>0</v>
      </c>
      <c r="AH651" s="254" t="n">
        <v>-674.856338178804</v>
      </c>
      <c r="AI651" s="0" t="n">
        <v>226</v>
      </c>
      <c r="AJ651" s="0" t="s">
        <v>630</v>
      </c>
      <c r="AK651" s="0" t="n">
        <v>0</v>
      </c>
      <c r="AL651" s="0" t="n">
        <v>0</v>
      </c>
      <c r="AM651" s="0" t="n">
        <v>0</v>
      </c>
    </row>
    <row r="652" customFormat="false" ht="12.75" hidden="false" customHeight="false" outlineLevel="0" collapsed="false">
      <c r="A652" s="0" t="s">
        <v>621</v>
      </c>
      <c r="B652" s="0" t="s">
        <v>416</v>
      </c>
      <c r="C652" s="0" t="s">
        <v>622</v>
      </c>
      <c r="D652" s="0" t="s">
        <v>623</v>
      </c>
      <c r="E652" s="0" t="s">
        <v>131</v>
      </c>
      <c r="F652" s="0" t="s">
        <v>415</v>
      </c>
      <c r="G652" s="0" t="s">
        <v>628</v>
      </c>
      <c r="H652" s="0" t="s">
        <v>625</v>
      </c>
      <c r="I652" s="0" t="s">
        <v>626</v>
      </c>
      <c r="J652" s="0" t="s">
        <v>627</v>
      </c>
      <c r="K652" s="475" t="n">
        <v>36892</v>
      </c>
      <c r="L652" s="254" t="n">
        <v>-88686.0002167423</v>
      </c>
      <c r="M652" s="475" t="n">
        <v>36888</v>
      </c>
      <c r="N652" s="0" t="s">
        <v>136</v>
      </c>
      <c r="O652" s="0" t="n">
        <v>0.12</v>
      </c>
      <c r="P652" s="0" t="n">
        <v>0</v>
      </c>
      <c r="Q652" s="0" t="n">
        <v>0</v>
      </c>
      <c r="R652" s="0" t="n">
        <v>0</v>
      </c>
      <c r="S652" s="0" t="n">
        <v>0</v>
      </c>
      <c r="T652" s="0" t="s">
        <v>624</v>
      </c>
      <c r="U652" s="0" t="s">
        <v>632</v>
      </c>
      <c r="V652" s="0" t="s">
        <v>624</v>
      </c>
      <c r="W652" s="0" t="s">
        <v>569</v>
      </c>
      <c r="X652" s="0" t="s">
        <v>624</v>
      </c>
      <c r="Y652" s="0" t="s">
        <v>627</v>
      </c>
      <c r="Z652" s="0" t="s">
        <v>629</v>
      </c>
      <c r="AA652" s="0" t="s">
        <v>624</v>
      </c>
      <c r="AB652" s="0" t="s">
        <v>132</v>
      </c>
      <c r="AC652" s="254" t="n">
        <v>-1550000</v>
      </c>
      <c r="AD652" s="254" t="n">
        <v>-15533.3232349418</v>
      </c>
      <c r="AE652" s="0" t="n">
        <v>0</v>
      </c>
      <c r="AF652" s="0" t="n">
        <v>0</v>
      </c>
      <c r="AG652" s="0" t="n">
        <v>0</v>
      </c>
      <c r="AH652" s="254" t="n">
        <v>-747.71109007315</v>
      </c>
      <c r="AI652" s="0" t="n">
        <v>226</v>
      </c>
      <c r="AJ652" s="0" t="s">
        <v>630</v>
      </c>
      <c r="AK652" s="0" t="n">
        <v>0</v>
      </c>
      <c r="AL652" s="0" t="n">
        <v>0</v>
      </c>
      <c r="AM652" s="0" t="n">
        <v>0</v>
      </c>
    </row>
    <row r="653" customFormat="false" ht="12.75" hidden="false" customHeight="false" outlineLevel="0" collapsed="false">
      <c r="A653" s="0" t="s">
        <v>621</v>
      </c>
      <c r="B653" s="0" t="s">
        <v>416</v>
      </c>
      <c r="C653" s="0" t="s">
        <v>622</v>
      </c>
      <c r="D653" s="0" t="s">
        <v>623</v>
      </c>
      <c r="E653" s="0" t="s">
        <v>131</v>
      </c>
      <c r="F653" s="0" t="s">
        <v>415</v>
      </c>
      <c r="G653" s="0" t="s">
        <v>628</v>
      </c>
      <c r="H653" s="0" t="s">
        <v>625</v>
      </c>
      <c r="I653" s="0" t="s">
        <v>626</v>
      </c>
      <c r="J653" s="0" t="s">
        <v>627</v>
      </c>
      <c r="K653" s="475" t="n">
        <v>36923</v>
      </c>
      <c r="L653" s="254" t="n">
        <v>-90978.668032625</v>
      </c>
      <c r="M653" s="475" t="n">
        <v>36921</v>
      </c>
      <c r="N653" s="0" t="s">
        <v>136</v>
      </c>
      <c r="O653" s="0" t="n">
        <v>0.12</v>
      </c>
      <c r="P653" s="0" t="n">
        <v>0</v>
      </c>
      <c r="Q653" s="0" t="n">
        <v>0</v>
      </c>
      <c r="R653" s="0" t="n">
        <v>0</v>
      </c>
      <c r="S653" s="0" t="n">
        <v>0</v>
      </c>
      <c r="T653" s="0" t="s">
        <v>624</v>
      </c>
      <c r="U653" s="0" t="s">
        <v>632</v>
      </c>
      <c r="V653" s="0" t="s">
        <v>624</v>
      </c>
      <c r="W653" s="0" t="s">
        <v>569</v>
      </c>
      <c r="X653" s="0" t="s">
        <v>624</v>
      </c>
      <c r="Y653" s="0" t="s">
        <v>627</v>
      </c>
      <c r="Z653" s="0" t="s">
        <v>629</v>
      </c>
      <c r="AA653" s="0" t="s">
        <v>624</v>
      </c>
      <c r="AB653" s="0" t="s">
        <v>132</v>
      </c>
      <c r="AC653" s="254" t="n">
        <v>-1400000</v>
      </c>
      <c r="AD653" s="254" t="n">
        <v>-15206.9853026628</v>
      </c>
      <c r="AE653" s="0" t="n">
        <v>0</v>
      </c>
      <c r="AF653" s="0" t="n">
        <v>0</v>
      </c>
      <c r="AG653" s="0" t="n">
        <v>0</v>
      </c>
      <c r="AH653" s="254" t="n">
        <v>-729.916836097604</v>
      </c>
      <c r="AI653" s="0" t="n">
        <v>226</v>
      </c>
      <c r="AJ653" s="0" t="s">
        <v>630</v>
      </c>
      <c r="AK653" s="0" t="n">
        <v>0</v>
      </c>
      <c r="AL653" s="0" t="n">
        <v>0</v>
      </c>
      <c r="AM653" s="0" t="n">
        <v>0</v>
      </c>
    </row>
    <row r="654" customFormat="false" ht="12.75" hidden="false" customHeight="false" outlineLevel="0" collapsed="false">
      <c r="A654" s="0" t="s">
        <v>621</v>
      </c>
      <c r="B654" s="0" t="s">
        <v>416</v>
      </c>
      <c r="C654" s="0" t="s">
        <v>622</v>
      </c>
      <c r="D654" s="0" t="s">
        <v>623</v>
      </c>
      <c r="E654" s="0" t="s">
        <v>131</v>
      </c>
      <c r="F654" s="0" t="s">
        <v>415</v>
      </c>
      <c r="G654" s="0" t="s">
        <v>628</v>
      </c>
      <c r="H654" s="0" t="s">
        <v>625</v>
      </c>
      <c r="I654" s="0" t="s">
        <v>626</v>
      </c>
      <c r="J654" s="0" t="s">
        <v>627</v>
      </c>
      <c r="K654" s="475" t="n">
        <v>36951</v>
      </c>
      <c r="L654" s="254" t="n">
        <v>-81751.695957239</v>
      </c>
      <c r="M654" s="475" t="n">
        <v>36949</v>
      </c>
      <c r="N654" s="0" t="s">
        <v>136</v>
      </c>
      <c r="O654" s="0" t="n">
        <v>0.12</v>
      </c>
      <c r="P654" s="0" t="n">
        <v>0</v>
      </c>
      <c r="Q654" s="0" t="n">
        <v>0</v>
      </c>
      <c r="R654" s="0" t="n">
        <v>0</v>
      </c>
      <c r="S654" s="0" t="n">
        <v>0</v>
      </c>
      <c r="T654" s="0" t="s">
        <v>624</v>
      </c>
      <c r="U654" s="0" t="s">
        <v>632</v>
      </c>
      <c r="V654" s="0" t="s">
        <v>624</v>
      </c>
      <c r="W654" s="0" t="s">
        <v>569</v>
      </c>
      <c r="X654" s="0" t="s">
        <v>624</v>
      </c>
      <c r="Y654" s="0" t="s">
        <v>627</v>
      </c>
      <c r="Z654" s="0" t="s">
        <v>629</v>
      </c>
      <c r="AA654" s="0" t="s">
        <v>624</v>
      </c>
      <c r="AB654" s="0" t="s">
        <v>132</v>
      </c>
      <c r="AC654" s="254" t="n">
        <v>-1550000</v>
      </c>
      <c r="AD654" s="254" t="n">
        <v>-16400.4777162034</v>
      </c>
      <c r="AE654" s="0" t="n">
        <v>0</v>
      </c>
      <c r="AF654" s="0" t="n">
        <v>0</v>
      </c>
      <c r="AG654" s="0" t="n">
        <v>0</v>
      </c>
      <c r="AH654" s="254" t="n">
        <v>-834.369305915767</v>
      </c>
      <c r="AI654" s="0" t="n">
        <v>226</v>
      </c>
      <c r="AJ654" s="0" t="s">
        <v>630</v>
      </c>
      <c r="AK654" s="0" t="n">
        <v>0</v>
      </c>
      <c r="AL654" s="0" t="n">
        <v>0</v>
      </c>
      <c r="AM654" s="0" t="n">
        <v>0</v>
      </c>
    </row>
    <row r="655" customFormat="false" ht="12.75" hidden="false" customHeight="false" outlineLevel="0" collapsed="false">
      <c r="A655" s="0" t="s">
        <v>621</v>
      </c>
      <c r="B655" s="0" t="s">
        <v>417</v>
      </c>
      <c r="C655" s="0" t="s">
        <v>622</v>
      </c>
      <c r="D655" s="0" t="s">
        <v>623</v>
      </c>
      <c r="E655" s="0" t="s">
        <v>131</v>
      </c>
      <c r="F655" s="0" t="s">
        <v>281</v>
      </c>
      <c r="G655" s="0" t="s">
        <v>628</v>
      </c>
      <c r="H655" s="0" t="s">
        <v>625</v>
      </c>
      <c r="I655" s="0" t="s">
        <v>626</v>
      </c>
      <c r="J655" s="0" t="s">
        <v>627</v>
      </c>
      <c r="K655" s="475" t="n">
        <v>36831</v>
      </c>
      <c r="L655" s="254" t="n">
        <v>-7199.15444317054</v>
      </c>
      <c r="M655" s="475" t="n">
        <v>36829</v>
      </c>
      <c r="N655" s="0" t="s">
        <v>136</v>
      </c>
      <c r="O655" s="0" t="n">
        <v>0.12</v>
      </c>
      <c r="P655" s="0" t="n">
        <v>0</v>
      </c>
      <c r="Q655" s="0" t="n">
        <v>0</v>
      </c>
      <c r="R655" s="0" t="n">
        <v>0</v>
      </c>
      <c r="S655" s="0" t="n">
        <v>0</v>
      </c>
      <c r="T655" s="0" t="s">
        <v>624</v>
      </c>
      <c r="U655" s="0" t="s">
        <v>632</v>
      </c>
      <c r="V655" s="0" t="s">
        <v>624</v>
      </c>
      <c r="W655" s="0" t="s">
        <v>569</v>
      </c>
      <c r="X655" s="0" t="s">
        <v>624</v>
      </c>
      <c r="Y655" s="0" t="s">
        <v>627</v>
      </c>
      <c r="Z655" s="0" t="s">
        <v>629</v>
      </c>
      <c r="AA655" s="0" t="s">
        <v>624</v>
      </c>
      <c r="AB655" s="0" t="s">
        <v>132</v>
      </c>
      <c r="AC655" s="254" t="n">
        <v>-300000</v>
      </c>
      <c r="AD655" s="254" t="n">
        <v>-2040.77212350348</v>
      </c>
      <c r="AE655" s="0" t="n">
        <v>0</v>
      </c>
      <c r="AF655" s="0" t="n">
        <v>0</v>
      </c>
      <c r="AG655" s="0" t="n">
        <v>0</v>
      </c>
      <c r="AH655" s="254" t="n">
        <v>-109.78609558881</v>
      </c>
      <c r="AI655" s="0" t="n">
        <v>226</v>
      </c>
      <c r="AJ655" s="0" t="s">
        <v>630</v>
      </c>
      <c r="AK655" s="0" t="n">
        <v>0</v>
      </c>
      <c r="AL655" s="0" t="n">
        <v>0</v>
      </c>
      <c r="AM655" s="0" t="n">
        <v>0</v>
      </c>
    </row>
    <row r="656" customFormat="false" ht="12.75" hidden="false" customHeight="false" outlineLevel="0" collapsed="false">
      <c r="A656" s="0" t="s">
        <v>621</v>
      </c>
      <c r="B656" s="0" t="s">
        <v>417</v>
      </c>
      <c r="C656" s="0" t="s">
        <v>622</v>
      </c>
      <c r="D656" s="0" t="s">
        <v>623</v>
      </c>
      <c r="E656" s="0" t="s">
        <v>131</v>
      </c>
      <c r="F656" s="0" t="s">
        <v>281</v>
      </c>
      <c r="G656" s="0" t="s">
        <v>628</v>
      </c>
      <c r="H656" s="0" t="s">
        <v>625</v>
      </c>
      <c r="I656" s="0" t="s">
        <v>626</v>
      </c>
      <c r="J656" s="0" t="s">
        <v>627</v>
      </c>
      <c r="K656" s="475" t="n">
        <v>36861</v>
      </c>
      <c r="L656" s="254" t="n">
        <v>-11679.7532013083</v>
      </c>
      <c r="M656" s="475" t="n">
        <v>36859</v>
      </c>
      <c r="N656" s="0" t="s">
        <v>136</v>
      </c>
      <c r="O656" s="0" t="n">
        <v>0.12</v>
      </c>
      <c r="P656" s="0" t="n">
        <v>0</v>
      </c>
      <c r="Q656" s="0" t="n">
        <v>0</v>
      </c>
      <c r="R656" s="0" t="n">
        <v>0</v>
      </c>
      <c r="S656" s="0" t="n">
        <v>0</v>
      </c>
      <c r="T656" s="0" t="s">
        <v>624</v>
      </c>
      <c r="U656" s="0" t="s">
        <v>632</v>
      </c>
      <c r="V656" s="0" t="s">
        <v>624</v>
      </c>
      <c r="W656" s="0" t="s">
        <v>569</v>
      </c>
      <c r="X656" s="0" t="s">
        <v>624</v>
      </c>
      <c r="Y656" s="0" t="s">
        <v>627</v>
      </c>
      <c r="Z656" s="0" t="s">
        <v>629</v>
      </c>
      <c r="AA656" s="0" t="s">
        <v>624</v>
      </c>
      <c r="AB656" s="0" t="s">
        <v>132</v>
      </c>
      <c r="AC656" s="254" t="n">
        <v>-310000</v>
      </c>
      <c r="AD656" s="254" t="n">
        <v>-2681.68251467572</v>
      </c>
      <c r="AE656" s="0" t="n">
        <v>0</v>
      </c>
      <c r="AF656" s="0" t="n">
        <v>0</v>
      </c>
      <c r="AG656" s="0" t="n">
        <v>0</v>
      </c>
      <c r="AH656" s="254" t="n">
        <v>-134.971267635761</v>
      </c>
      <c r="AI656" s="0" t="n">
        <v>226</v>
      </c>
      <c r="AJ656" s="0" t="s">
        <v>630</v>
      </c>
      <c r="AK656" s="0" t="n">
        <v>0</v>
      </c>
      <c r="AL656" s="0" t="n">
        <v>0</v>
      </c>
      <c r="AM656" s="0" t="n">
        <v>0</v>
      </c>
    </row>
    <row r="657" customFormat="false" ht="12.75" hidden="false" customHeight="false" outlineLevel="0" collapsed="false">
      <c r="A657" s="0" t="s">
        <v>621</v>
      </c>
      <c r="B657" s="0" t="s">
        <v>417</v>
      </c>
      <c r="C657" s="0" t="s">
        <v>622</v>
      </c>
      <c r="D657" s="0" t="s">
        <v>623</v>
      </c>
      <c r="E657" s="0" t="s">
        <v>131</v>
      </c>
      <c r="F657" s="0" t="s">
        <v>281</v>
      </c>
      <c r="G657" s="0" t="s">
        <v>628</v>
      </c>
      <c r="H657" s="0" t="s">
        <v>625</v>
      </c>
      <c r="I657" s="0" t="s">
        <v>626</v>
      </c>
      <c r="J657" s="0" t="s">
        <v>627</v>
      </c>
      <c r="K657" s="475" t="n">
        <v>36892</v>
      </c>
      <c r="L657" s="254" t="n">
        <v>-17737.2000433485</v>
      </c>
      <c r="M657" s="475" t="n">
        <v>36888</v>
      </c>
      <c r="N657" s="0" t="s">
        <v>136</v>
      </c>
      <c r="O657" s="0" t="n">
        <v>0.12</v>
      </c>
      <c r="P657" s="0" t="n">
        <v>0</v>
      </c>
      <c r="Q657" s="0" t="n">
        <v>0</v>
      </c>
      <c r="R657" s="0" t="n">
        <v>0</v>
      </c>
      <c r="S657" s="0" t="n">
        <v>0</v>
      </c>
      <c r="T657" s="0" t="s">
        <v>624</v>
      </c>
      <c r="U657" s="0" t="s">
        <v>632</v>
      </c>
      <c r="V657" s="0" t="s">
        <v>624</v>
      </c>
      <c r="W657" s="0" t="s">
        <v>569</v>
      </c>
      <c r="X657" s="0" t="s">
        <v>624</v>
      </c>
      <c r="Y657" s="0" t="s">
        <v>627</v>
      </c>
      <c r="Z657" s="0" t="s">
        <v>629</v>
      </c>
      <c r="AA657" s="0" t="s">
        <v>624</v>
      </c>
      <c r="AB657" s="0" t="s">
        <v>132</v>
      </c>
      <c r="AC657" s="254" t="n">
        <v>-310000</v>
      </c>
      <c r="AD657" s="254" t="n">
        <v>-3106.66464698839</v>
      </c>
      <c r="AE657" s="0" t="n">
        <v>0</v>
      </c>
      <c r="AF657" s="0" t="n">
        <v>0</v>
      </c>
      <c r="AG657" s="0" t="n">
        <v>0</v>
      </c>
      <c r="AH657" s="254" t="n">
        <v>-149.542218014627</v>
      </c>
      <c r="AI657" s="0" t="n">
        <v>226</v>
      </c>
      <c r="AJ657" s="0" t="s">
        <v>630</v>
      </c>
      <c r="AK657" s="0" t="n">
        <v>0</v>
      </c>
      <c r="AL657" s="0" t="n">
        <v>0</v>
      </c>
      <c r="AM657" s="0" t="n">
        <v>0</v>
      </c>
    </row>
    <row r="658" customFormat="false" ht="12.75" hidden="false" customHeight="false" outlineLevel="0" collapsed="false">
      <c r="A658" s="0" t="s">
        <v>621</v>
      </c>
      <c r="B658" s="0" t="s">
        <v>417</v>
      </c>
      <c r="C658" s="0" t="s">
        <v>622</v>
      </c>
      <c r="D658" s="0" t="s">
        <v>623</v>
      </c>
      <c r="E658" s="0" t="s">
        <v>131</v>
      </c>
      <c r="F658" s="0" t="s">
        <v>281</v>
      </c>
      <c r="G658" s="0" t="s">
        <v>628</v>
      </c>
      <c r="H658" s="0" t="s">
        <v>625</v>
      </c>
      <c r="I658" s="0" t="s">
        <v>626</v>
      </c>
      <c r="J658" s="0" t="s">
        <v>627</v>
      </c>
      <c r="K658" s="475" t="n">
        <v>36923</v>
      </c>
      <c r="L658" s="254" t="n">
        <v>-18195.733606525</v>
      </c>
      <c r="M658" s="475" t="n">
        <v>36921</v>
      </c>
      <c r="N658" s="0" t="s">
        <v>136</v>
      </c>
      <c r="O658" s="0" t="n">
        <v>0.12</v>
      </c>
      <c r="P658" s="0" t="n">
        <v>0</v>
      </c>
      <c r="Q658" s="0" t="n">
        <v>0</v>
      </c>
      <c r="R658" s="0" t="n">
        <v>0</v>
      </c>
      <c r="S658" s="0" t="n">
        <v>0</v>
      </c>
      <c r="T658" s="0" t="s">
        <v>624</v>
      </c>
      <c r="U658" s="0" t="s">
        <v>632</v>
      </c>
      <c r="V658" s="0" t="s">
        <v>624</v>
      </c>
      <c r="W658" s="0" t="s">
        <v>569</v>
      </c>
      <c r="X658" s="0" t="s">
        <v>624</v>
      </c>
      <c r="Y658" s="0" t="s">
        <v>627</v>
      </c>
      <c r="Z658" s="0" t="s">
        <v>629</v>
      </c>
      <c r="AA658" s="0" t="s">
        <v>624</v>
      </c>
      <c r="AB658" s="0" t="s">
        <v>132</v>
      </c>
      <c r="AC658" s="254" t="n">
        <v>-280000</v>
      </c>
      <c r="AD658" s="254" t="n">
        <v>-3041.39706053256</v>
      </c>
      <c r="AE658" s="0" t="n">
        <v>0</v>
      </c>
      <c r="AF658" s="0" t="n">
        <v>0</v>
      </c>
      <c r="AG658" s="0" t="n">
        <v>0</v>
      </c>
      <c r="AH658" s="254" t="n">
        <v>-145.983367219524</v>
      </c>
      <c r="AI658" s="0" t="n">
        <v>226</v>
      </c>
      <c r="AJ658" s="0" t="s">
        <v>630</v>
      </c>
      <c r="AK658" s="0" t="n">
        <v>0</v>
      </c>
      <c r="AL658" s="0" t="n">
        <v>0</v>
      </c>
      <c r="AM658" s="0" t="n">
        <v>0</v>
      </c>
    </row>
    <row r="659" customFormat="false" ht="12.75" hidden="false" customHeight="false" outlineLevel="0" collapsed="false">
      <c r="A659" s="0" t="s">
        <v>621</v>
      </c>
      <c r="B659" s="0" t="s">
        <v>417</v>
      </c>
      <c r="C659" s="0" t="s">
        <v>622</v>
      </c>
      <c r="D659" s="0" t="s">
        <v>623</v>
      </c>
      <c r="E659" s="0" t="s">
        <v>131</v>
      </c>
      <c r="F659" s="0" t="s">
        <v>281</v>
      </c>
      <c r="G659" s="0" t="s">
        <v>628</v>
      </c>
      <c r="H659" s="0" t="s">
        <v>625</v>
      </c>
      <c r="I659" s="0" t="s">
        <v>626</v>
      </c>
      <c r="J659" s="0" t="s">
        <v>627</v>
      </c>
      <c r="K659" s="475" t="n">
        <v>36951</v>
      </c>
      <c r="L659" s="254" t="n">
        <v>-16350.3391914478</v>
      </c>
      <c r="M659" s="475" t="n">
        <v>36949</v>
      </c>
      <c r="N659" s="0" t="s">
        <v>136</v>
      </c>
      <c r="O659" s="0" t="n">
        <v>0.12</v>
      </c>
      <c r="P659" s="0" t="n">
        <v>0</v>
      </c>
      <c r="Q659" s="0" t="n">
        <v>0</v>
      </c>
      <c r="R659" s="0" t="n">
        <v>0</v>
      </c>
      <c r="S659" s="0" t="n">
        <v>0</v>
      </c>
      <c r="T659" s="0" t="s">
        <v>624</v>
      </c>
      <c r="U659" s="0" t="s">
        <v>632</v>
      </c>
      <c r="V659" s="0" t="s">
        <v>624</v>
      </c>
      <c r="W659" s="0" t="s">
        <v>569</v>
      </c>
      <c r="X659" s="0" t="s">
        <v>624</v>
      </c>
      <c r="Y659" s="0" t="s">
        <v>627</v>
      </c>
      <c r="Z659" s="0" t="s">
        <v>629</v>
      </c>
      <c r="AA659" s="0" t="s">
        <v>624</v>
      </c>
      <c r="AB659" s="0" t="s">
        <v>132</v>
      </c>
      <c r="AC659" s="254" t="n">
        <v>-310000</v>
      </c>
      <c r="AD659" s="254" t="n">
        <v>-3280.09554324069</v>
      </c>
      <c r="AE659" s="0" t="n">
        <v>0</v>
      </c>
      <c r="AF659" s="0" t="n">
        <v>0</v>
      </c>
      <c r="AG659" s="0" t="n">
        <v>0</v>
      </c>
      <c r="AH659" s="254" t="n">
        <v>-166.873861183154</v>
      </c>
      <c r="AI659" s="0" t="n">
        <v>226</v>
      </c>
      <c r="AJ659" s="0" t="s">
        <v>630</v>
      </c>
      <c r="AK659" s="0" t="n">
        <v>0</v>
      </c>
      <c r="AL659" s="0" t="n">
        <v>0</v>
      </c>
      <c r="AM659" s="0" t="n">
        <v>0</v>
      </c>
    </row>
    <row r="660" customFormat="false" ht="12.75" hidden="false" customHeight="false" outlineLevel="0" collapsed="false">
      <c r="A660" s="0" t="s">
        <v>621</v>
      </c>
      <c r="B660" s="0" t="s">
        <v>418</v>
      </c>
      <c r="C660" s="0" t="s">
        <v>622</v>
      </c>
      <c r="D660" s="0" t="s">
        <v>623</v>
      </c>
      <c r="E660" s="0" t="s">
        <v>131</v>
      </c>
      <c r="F660" s="0" t="s">
        <v>363</v>
      </c>
      <c r="G660" s="0" t="s">
        <v>628</v>
      </c>
      <c r="H660" s="0" t="s">
        <v>625</v>
      </c>
      <c r="I660" s="0" t="s">
        <v>626</v>
      </c>
      <c r="J660" s="0" t="s">
        <v>627</v>
      </c>
      <c r="K660" s="475" t="n">
        <v>36800</v>
      </c>
      <c r="L660" s="254" t="n">
        <v>25459.0553973898</v>
      </c>
      <c r="M660" s="475" t="n">
        <v>36797</v>
      </c>
      <c r="N660" s="0" t="s">
        <v>136</v>
      </c>
      <c r="O660" s="0" t="n">
        <v>0.5</v>
      </c>
      <c r="P660" s="0" t="n">
        <v>0</v>
      </c>
      <c r="Q660" s="0" t="n">
        <v>0</v>
      </c>
      <c r="R660" s="0" t="n">
        <v>0</v>
      </c>
      <c r="S660" s="0" t="n">
        <v>0</v>
      </c>
      <c r="T660" s="0" t="s">
        <v>624</v>
      </c>
      <c r="U660" s="0" t="s">
        <v>149</v>
      </c>
      <c r="V660" s="0" t="s">
        <v>624</v>
      </c>
      <c r="W660" s="0" t="s">
        <v>569</v>
      </c>
      <c r="X660" s="0" t="s">
        <v>624</v>
      </c>
      <c r="Y660" s="0" t="s">
        <v>627</v>
      </c>
      <c r="Z660" s="0" t="s">
        <v>629</v>
      </c>
      <c r="AA660" s="0" t="s">
        <v>624</v>
      </c>
      <c r="AB660" s="0" t="s">
        <v>132</v>
      </c>
      <c r="AC660" s="254" t="n">
        <v>1550000</v>
      </c>
      <c r="AD660" s="254" t="n">
        <v>7501.51900191134</v>
      </c>
      <c r="AE660" s="0" t="n">
        <v>0</v>
      </c>
      <c r="AF660" s="0" t="n">
        <v>0</v>
      </c>
      <c r="AG660" s="0" t="n">
        <v>0</v>
      </c>
      <c r="AH660" s="254" t="n">
        <v>429.99847433823</v>
      </c>
      <c r="AI660" s="0" t="n">
        <v>226</v>
      </c>
      <c r="AJ660" s="0" t="s">
        <v>630</v>
      </c>
      <c r="AK660" s="0" t="n">
        <v>0</v>
      </c>
      <c r="AL660" s="0" t="n">
        <v>0</v>
      </c>
      <c r="AM660" s="0" t="n">
        <v>0</v>
      </c>
    </row>
    <row r="661" customFormat="false" ht="12.75" hidden="false" customHeight="false" outlineLevel="0" collapsed="false">
      <c r="A661" s="0" t="s">
        <v>621</v>
      </c>
      <c r="B661" s="0" t="s">
        <v>419</v>
      </c>
      <c r="C661" s="0" t="s">
        <v>622</v>
      </c>
      <c r="D661" s="0" t="s">
        <v>623</v>
      </c>
      <c r="E661" s="0" t="s">
        <v>131</v>
      </c>
      <c r="F661" s="0" t="s">
        <v>196</v>
      </c>
      <c r="G661" s="0" t="s">
        <v>628</v>
      </c>
      <c r="H661" s="0" t="s">
        <v>625</v>
      </c>
      <c r="I661" s="0" t="s">
        <v>626</v>
      </c>
      <c r="J661" s="0" t="s">
        <v>627</v>
      </c>
      <c r="K661" s="475" t="n">
        <v>36831</v>
      </c>
      <c r="L661" s="254" t="n">
        <v>1931.86425285872</v>
      </c>
      <c r="M661" s="475" t="n">
        <v>36829</v>
      </c>
      <c r="N661" s="0" t="s">
        <v>136</v>
      </c>
      <c r="O661" s="0" t="n">
        <v>2.5</v>
      </c>
      <c r="P661" s="0" t="n">
        <v>0</v>
      </c>
      <c r="Q661" s="0" t="n">
        <v>0</v>
      </c>
      <c r="R661" s="0" t="n">
        <v>0</v>
      </c>
      <c r="S661" s="0" t="n">
        <v>0</v>
      </c>
      <c r="T661" s="0" t="s">
        <v>624</v>
      </c>
      <c r="U661" s="0" t="s">
        <v>149</v>
      </c>
      <c r="V661" s="0" t="s">
        <v>624</v>
      </c>
      <c r="W661" s="0" t="s">
        <v>569</v>
      </c>
      <c r="X661" s="0" t="s">
        <v>624</v>
      </c>
      <c r="Y661" s="0" t="s">
        <v>627</v>
      </c>
      <c r="Z661" s="0" t="s">
        <v>629</v>
      </c>
      <c r="AA661" s="0" t="s">
        <v>624</v>
      </c>
      <c r="AB661" s="0" t="s">
        <v>132</v>
      </c>
      <c r="AC661" s="254" t="n">
        <v>300000</v>
      </c>
      <c r="AD661" s="254" t="n">
        <v>1569.59200271751</v>
      </c>
      <c r="AE661" s="0" t="n">
        <v>0</v>
      </c>
      <c r="AF661" s="0" t="n">
        <v>0</v>
      </c>
      <c r="AG661" s="0" t="n">
        <v>0</v>
      </c>
      <c r="AH661" s="254" t="n">
        <v>379.938352204508</v>
      </c>
      <c r="AI661" s="0" t="n">
        <v>226</v>
      </c>
      <c r="AJ661" s="0" t="s">
        <v>630</v>
      </c>
      <c r="AK661" s="0" t="n">
        <v>0</v>
      </c>
      <c r="AL661" s="0" t="n">
        <v>0</v>
      </c>
      <c r="AM661" s="0" t="n">
        <v>0</v>
      </c>
    </row>
    <row r="662" customFormat="false" ht="12.75" hidden="false" customHeight="false" outlineLevel="0" collapsed="false">
      <c r="A662" s="0" t="s">
        <v>621</v>
      </c>
      <c r="B662" s="0" t="s">
        <v>419</v>
      </c>
      <c r="C662" s="0" t="s">
        <v>622</v>
      </c>
      <c r="D662" s="0" t="s">
        <v>623</v>
      </c>
      <c r="E662" s="0" t="s">
        <v>131</v>
      </c>
      <c r="F662" s="0" t="s">
        <v>196</v>
      </c>
      <c r="G662" s="0" t="s">
        <v>628</v>
      </c>
      <c r="H662" s="0" t="s">
        <v>625</v>
      </c>
      <c r="I662" s="0" t="s">
        <v>626</v>
      </c>
      <c r="J662" s="0" t="s">
        <v>627</v>
      </c>
      <c r="K662" s="475" t="n">
        <v>36861</v>
      </c>
      <c r="L662" s="254" t="n">
        <v>76798.6311381724</v>
      </c>
      <c r="M662" s="475" t="n">
        <v>36859</v>
      </c>
      <c r="N662" s="0" t="s">
        <v>136</v>
      </c>
      <c r="O662" s="0" t="n">
        <v>2.5</v>
      </c>
      <c r="P662" s="0" t="n">
        <v>0</v>
      </c>
      <c r="Q662" s="0" t="n">
        <v>0</v>
      </c>
      <c r="R662" s="0" t="n">
        <v>0</v>
      </c>
      <c r="S662" s="0" t="n">
        <v>0</v>
      </c>
      <c r="T662" s="0" t="s">
        <v>624</v>
      </c>
      <c r="U662" s="0" t="s">
        <v>149</v>
      </c>
      <c r="V662" s="0" t="s">
        <v>624</v>
      </c>
      <c r="W662" s="0" t="s">
        <v>569</v>
      </c>
      <c r="X662" s="0" t="s">
        <v>624</v>
      </c>
      <c r="Y662" s="0" t="s">
        <v>627</v>
      </c>
      <c r="Z662" s="0" t="s">
        <v>629</v>
      </c>
      <c r="AA662" s="0" t="s">
        <v>624</v>
      </c>
      <c r="AB662" s="0" t="s">
        <v>132</v>
      </c>
      <c r="AC662" s="254" t="n">
        <v>310000</v>
      </c>
      <c r="AD662" s="254" t="n">
        <v>17988.3162265355</v>
      </c>
      <c r="AE662" s="0" t="n">
        <v>0</v>
      </c>
      <c r="AF662" s="0" t="n">
        <v>0</v>
      </c>
      <c r="AG662" s="0" t="n">
        <v>0</v>
      </c>
      <c r="AH662" s="254" t="n">
        <v>5205.36734977608</v>
      </c>
      <c r="AI662" s="0" t="n">
        <v>226</v>
      </c>
      <c r="AJ662" s="0" t="s">
        <v>630</v>
      </c>
      <c r="AK662" s="0" t="n">
        <v>0</v>
      </c>
      <c r="AL662" s="0" t="n">
        <v>0</v>
      </c>
      <c r="AM662" s="0" t="n">
        <v>0</v>
      </c>
    </row>
    <row r="663" customFormat="false" ht="12.75" hidden="false" customHeight="false" outlineLevel="0" collapsed="false">
      <c r="A663" s="0" t="s">
        <v>621</v>
      </c>
      <c r="B663" s="0" t="s">
        <v>419</v>
      </c>
      <c r="C663" s="0" t="s">
        <v>622</v>
      </c>
      <c r="D663" s="0" t="s">
        <v>623</v>
      </c>
      <c r="E663" s="0" t="s">
        <v>131</v>
      </c>
      <c r="F663" s="0" t="s">
        <v>196</v>
      </c>
      <c r="G663" s="0" t="s">
        <v>628</v>
      </c>
      <c r="H663" s="0" t="s">
        <v>625</v>
      </c>
      <c r="I663" s="0" t="s">
        <v>626</v>
      </c>
      <c r="J663" s="0" t="s">
        <v>627</v>
      </c>
      <c r="K663" s="475" t="n">
        <v>36892</v>
      </c>
      <c r="L663" s="254" t="n">
        <v>164878.492230989</v>
      </c>
      <c r="M663" s="475" t="n">
        <v>36888</v>
      </c>
      <c r="N663" s="0" t="s">
        <v>136</v>
      </c>
      <c r="O663" s="0" t="n">
        <v>2.5</v>
      </c>
      <c r="P663" s="0" t="n">
        <v>0</v>
      </c>
      <c r="Q663" s="0" t="n">
        <v>0</v>
      </c>
      <c r="R663" s="0" t="n">
        <v>0</v>
      </c>
      <c r="S663" s="0" t="n">
        <v>0</v>
      </c>
      <c r="T663" s="0" t="s">
        <v>624</v>
      </c>
      <c r="U663" s="0" t="s">
        <v>149</v>
      </c>
      <c r="V663" s="0" t="s">
        <v>624</v>
      </c>
      <c r="W663" s="0" t="s">
        <v>569</v>
      </c>
      <c r="X663" s="0" t="s">
        <v>624</v>
      </c>
      <c r="Y663" s="0" t="s">
        <v>627</v>
      </c>
      <c r="Z663" s="0" t="s">
        <v>629</v>
      </c>
      <c r="AA663" s="0" t="s">
        <v>624</v>
      </c>
      <c r="AB663" s="0" t="s">
        <v>132</v>
      </c>
      <c r="AC663" s="254" t="n">
        <v>310000</v>
      </c>
      <c r="AD663" s="254" t="n">
        <v>23672.1675476593</v>
      </c>
      <c r="AE663" s="0" t="n">
        <v>0</v>
      </c>
      <c r="AF663" s="0" t="n">
        <v>0</v>
      </c>
      <c r="AG663" s="0" t="n">
        <v>0</v>
      </c>
      <c r="AH663" s="254" t="n">
        <v>9697.6778801136</v>
      </c>
      <c r="AI663" s="0" t="n">
        <v>226</v>
      </c>
      <c r="AJ663" s="0" t="s">
        <v>630</v>
      </c>
      <c r="AK663" s="0" t="n">
        <v>0</v>
      </c>
      <c r="AL663" s="0" t="n">
        <v>0</v>
      </c>
      <c r="AM663" s="0" t="n">
        <v>0</v>
      </c>
    </row>
    <row r="664" customFormat="false" ht="12.75" hidden="false" customHeight="false" outlineLevel="0" collapsed="false">
      <c r="A664" s="0" t="s">
        <v>621</v>
      </c>
      <c r="B664" s="0" t="s">
        <v>419</v>
      </c>
      <c r="C664" s="0" t="s">
        <v>622</v>
      </c>
      <c r="D664" s="0" t="s">
        <v>623</v>
      </c>
      <c r="E664" s="0" t="s">
        <v>131</v>
      </c>
      <c r="F664" s="0" t="s">
        <v>196</v>
      </c>
      <c r="G664" s="0" t="s">
        <v>628</v>
      </c>
      <c r="H664" s="0" t="s">
        <v>625</v>
      </c>
      <c r="I664" s="0" t="s">
        <v>626</v>
      </c>
      <c r="J664" s="0" t="s">
        <v>627</v>
      </c>
      <c r="K664" s="475" t="n">
        <v>36923</v>
      </c>
      <c r="L664" s="254" t="n">
        <v>150386.951769508</v>
      </c>
      <c r="M664" s="475" t="n">
        <v>36921</v>
      </c>
      <c r="N664" s="0" t="s">
        <v>136</v>
      </c>
      <c r="O664" s="0" t="n">
        <v>2.5</v>
      </c>
      <c r="P664" s="0" t="n">
        <v>0</v>
      </c>
      <c r="Q664" s="0" t="n">
        <v>0</v>
      </c>
      <c r="R664" s="0" t="n">
        <v>0</v>
      </c>
      <c r="S664" s="0" t="n">
        <v>0</v>
      </c>
      <c r="T664" s="0" t="s">
        <v>624</v>
      </c>
      <c r="U664" s="0" t="s">
        <v>149</v>
      </c>
      <c r="V664" s="0" t="s">
        <v>624</v>
      </c>
      <c r="W664" s="0" t="s">
        <v>569</v>
      </c>
      <c r="X664" s="0" t="s">
        <v>624</v>
      </c>
      <c r="Y664" s="0" t="s">
        <v>627</v>
      </c>
      <c r="Z664" s="0" t="s">
        <v>629</v>
      </c>
      <c r="AA664" s="0" t="s">
        <v>624</v>
      </c>
      <c r="AB664" s="0" t="s">
        <v>132</v>
      </c>
      <c r="AC664" s="254" t="n">
        <v>280000</v>
      </c>
      <c r="AD664" s="254" t="n">
        <v>23175.488626136</v>
      </c>
      <c r="AE664" s="0" t="n">
        <v>0</v>
      </c>
      <c r="AF664" s="0" t="n">
        <v>0</v>
      </c>
      <c r="AG664" s="0" t="n">
        <v>0</v>
      </c>
      <c r="AH664" s="254" t="n">
        <v>9934.57825385733</v>
      </c>
      <c r="AI664" s="0" t="n">
        <v>226</v>
      </c>
      <c r="AJ664" s="0" t="s">
        <v>630</v>
      </c>
      <c r="AK664" s="0" t="n">
        <v>0</v>
      </c>
      <c r="AL664" s="0" t="n">
        <v>0</v>
      </c>
      <c r="AM664" s="0" t="n">
        <v>0</v>
      </c>
    </row>
    <row r="665" customFormat="false" ht="12.75" hidden="false" customHeight="false" outlineLevel="0" collapsed="false">
      <c r="A665" s="0" t="s">
        <v>621</v>
      </c>
      <c r="B665" s="0" t="s">
        <v>419</v>
      </c>
      <c r="C665" s="0" t="s">
        <v>622</v>
      </c>
      <c r="D665" s="0" t="s">
        <v>623</v>
      </c>
      <c r="E665" s="0" t="s">
        <v>131</v>
      </c>
      <c r="F665" s="0" t="s">
        <v>196</v>
      </c>
      <c r="G665" s="0" t="s">
        <v>628</v>
      </c>
      <c r="H665" s="0" t="s">
        <v>625</v>
      </c>
      <c r="I665" s="0" t="s">
        <v>626</v>
      </c>
      <c r="J665" s="0" t="s">
        <v>627</v>
      </c>
      <c r="K665" s="475" t="n">
        <v>36951</v>
      </c>
      <c r="L665" s="254" t="n">
        <v>48886.4006319538</v>
      </c>
      <c r="M665" s="475" t="n">
        <v>36949</v>
      </c>
      <c r="N665" s="0" t="s">
        <v>136</v>
      </c>
      <c r="O665" s="0" t="n">
        <v>2.5</v>
      </c>
      <c r="P665" s="0" t="n">
        <v>0</v>
      </c>
      <c r="Q665" s="0" t="n">
        <v>0</v>
      </c>
      <c r="R665" s="0" t="n">
        <v>0</v>
      </c>
      <c r="S665" s="0" t="n">
        <v>0</v>
      </c>
      <c r="T665" s="0" t="s">
        <v>624</v>
      </c>
      <c r="U665" s="0" t="s">
        <v>149</v>
      </c>
      <c r="V665" s="0" t="s">
        <v>624</v>
      </c>
      <c r="W665" s="0" t="s">
        <v>569</v>
      </c>
      <c r="X665" s="0" t="s">
        <v>624</v>
      </c>
      <c r="Y665" s="0" t="s">
        <v>627</v>
      </c>
      <c r="Z665" s="0" t="s">
        <v>629</v>
      </c>
      <c r="AA665" s="0" t="s">
        <v>624</v>
      </c>
      <c r="AB665" s="0" t="s">
        <v>132</v>
      </c>
      <c r="AC665" s="254" t="n">
        <v>310000</v>
      </c>
      <c r="AD665" s="254" t="n">
        <v>17765.6627083015</v>
      </c>
      <c r="AE665" s="0" t="n">
        <v>0</v>
      </c>
      <c r="AF665" s="0" t="n">
        <v>0</v>
      </c>
      <c r="AG665" s="0" t="n">
        <v>0</v>
      </c>
      <c r="AH665" s="254" t="n">
        <v>4861.23334067523</v>
      </c>
      <c r="AI665" s="0" t="n">
        <v>226</v>
      </c>
      <c r="AJ665" s="0" t="s">
        <v>630</v>
      </c>
      <c r="AK665" s="0" t="n">
        <v>0</v>
      </c>
      <c r="AL665" s="0" t="n">
        <v>0</v>
      </c>
      <c r="AM665" s="0" t="n">
        <v>0</v>
      </c>
    </row>
    <row r="666" customFormat="false" ht="12.75" hidden="false" customHeight="false" outlineLevel="0" collapsed="false">
      <c r="A666" s="0" t="s">
        <v>621</v>
      </c>
      <c r="B666" s="0" t="s">
        <v>420</v>
      </c>
      <c r="C666" s="0" t="s">
        <v>622</v>
      </c>
      <c r="D666" s="0" t="s">
        <v>623</v>
      </c>
      <c r="E666" s="0" t="s">
        <v>131</v>
      </c>
      <c r="F666" s="0" t="s">
        <v>212</v>
      </c>
      <c r="G666" s="0" t="s">
        <v>628</v>
      </c>
      <c r="H666" s="0" t="s">
        <v>625</v>
      </c>
      <c r="I666" s="0" t="s">
        <v>626</v>
      </c>
      <c r="J666" s="0" t="s">
        <v>627</v>
      </c>
      <c r="K666" s="475" t="n">
        <v>36982</v>
      </c>
      <c r="L666" s="254" t="n">
        <v>72308.3671270234</v>
      </c>
      <c r="M666" s="475" t="n">
        <v>36979</v>
      </c>
      <c r="N666" s="0" t="s">
        <v>136</v>
      </c>
      <c r="O666" s="0" t="n">
        <v>0.5</v>
      </c>
      <c r="P666" s="0" t="n">
        <v>0</v>
      </c>
      <c r="Q666" s="0" t="n">
        <v>0</v>
      </c>
      <c r="R666" s="0" t="n">
        <v>0</v>
      </c>
      <c r="S666" s="0" t="n">
        <v>0</v>
      </c>
      <c r="T666" s="0" t="s">
        <v>624</v>
      </c>
      <c r="U666" s="0" t="s">
        <v>149</v>
      </c>
      <c r="V666" s="0" t="s">
        <v>624</v>
      </c>
      <c r="W666" s="0" t="s">
        <v>569</v>
      </c>
      <c r="X666" s="0" t="s">
        <v>624</v>
      </c>
      <c r="Y666" s="0" t="s">
        <v>627</v>
      </c>
      <c r="Z666" s="0" t="s">
        <v>629</v>
      </c>
      <c r="AA666" s="0" t="s">
        <v>624</v>
      </c>
      <c r="AB666" s="0" t="s">
        <v>132</v>
      </c>
      <c r="AC666" s="254" t="n">
        <v>500000</v>
      </c>
      <c r="AD666" s="254" t="n">
        <v>12942.8007479118</v>
      </c>
      <c r="AE666" s="0" t="n">
        <v>0</v>
      </c>
      <c r="AF666" s="0" t="n">
        <v>0</v>
      </c>
      <c r="AG666" s="0" t="n">
        <v>0</v>
      </c>
      <c r="AH666" s="254" t="n">
        <v>617.339177117159</v>
      </c>
      <c r="AI666" s="0" t="n">
        <v>226</v>
      </c>
      <c r="AJ666" s="0" t="s">
        <v>630</v>
      </c>
      <c r="AK666" s="0" t="n">
        <v>0</v>
      </c>
      <c r="AL666" s="0" t="n">
        <v>0</v>
      </c>
      <c r="AM666" s="0" t="n">
        <v>0</v>
      </c>
    </row>
    <row r="667" customFormat="false" ht="12.75" hidden="false" customHeight="false" outlineLevel="0" collapsed="false">
      <c r="A667" s="0" t="s">
        <v>621</v>
      </c>
      <c r="B667" s="0" t="s">
        <v>420</v>
      </c>
      <c r="C667" s="0" t="s">
        <v>622</v>
      </c>
      <c r="D667" s="0" t="s">
        <v>623</v>
      </c>
      <c r="E667" s="0" t="s">
        <v>131</v>
      </c>
      <c r="F667" s="0" t="s">
        <v>212</v>
      </c>
      <c r="G667" s="0" t="s">
        <v>628</v>
      </c>
      <c r="H667" s="0" t="s">
        <v>625</v>
      </c>
      <c r="I667" s="0" t="s">
        <v>626</v>
      </c>
      <c r="J667" s="0" t="s">
        <v>627</v>
      </c>
      <c r="K667" s="475" t="n">
        <v>37012</v>
      </c>
      <c r="L667" s="254" t="n">
        <v>42946.5791073156</v>
      </c>
      <c r="M667" s="475" t="n">
        <v>37008</v>
      </c>
      <c r="N667" s="0" t="s">
        <v>136</v>
      </c>
      <c r="O667" s="0" t="n">
        <v>0.5</v>
      </c>
      <c r="P667" s="0" t="n">
        <v>0</v>
      </c>
      <c r="Q667" s="0" t="n">
        <v>0</v>
      </c>
      <c r="R667" s="0" t="n">
        <v>0</v>
      </c>
      <c r="S667" s="0" t="n">
        <v>0</v>
      </c>
      <c r="T667" s="0" t="s">
        <v>624</v>
      </c>
      <c r="U667" s="0" t="s">
        <v>149</v>
      </c>
      <c r="V667" s="0" t="s">
        <v>624</v>
      </c>
      <c r="W667" s="0" t="s">
        <v>569</v>
      </c>
      <c r="X667" s="0" t="s">
        <v>624</v>
      </c>
      <c r="Y667" s="0" t="s">
        <v>627</v>
      </c>
      <c r="Z667" s="0" t="s">
        <v>629</v>
      </c>
      <c r="AA667" s="0" t="s">
        <v>624</v>
      </c>
      <c r="AB667" s="0" t="s">
        <v>132</v>
      </c>
      <c r="AC667" s="254" t="n">
        <v>500000</v>
      </c>
      <c r="AD667" s="254" t="n">
        <v>12135.9031168021</v>
      </c>
      <c r="AE667" s="0" t="n">
        <v>0</v>
      </c>
      <c r="AF667" s="0" t="n">
        <v>0</v>
      </c>
      <c r="AG667" s="0" t="n">
        <v>0</v>
      </c>
      <c r="AH667" s="254" t="n">
        <v>577.293416482142</v>
      </c>
      <c r="AI667" s="0" t="n">
        <v>226</v>
      </c>
      <c r="AJ667" s="0" t="s">
        <v>630</v>
      </c>
      <c r="AK667" s="0" t="n">
        <v>0</v>
      </c>
      <c r="AL667" s="0" t="n">
        <v>0</v>
      </c>
      <c r="AM667" s="0" t="n">
        <v>0</v>
      </c>
    </row>
    <row r="668" customFormat="false" ht="12.75" hidden="false" customHeight="false" outlineLevel="0" collapsed="false">
      <c r="A668" s="0" t="s">
        <v>621</v>
      </c>
      <c r="B668" s="0" t="s">
        <v>420</v>
      </c>
      <c r="C668" s="0" t="s">
        <v>622</v>
      </c>
      <c r="D668" s="0" t="s">
        <v>623</v>
      </c>
      <c r="E668" s="0" t="s">
        <v>131</v>
      </c>
      <c r="F668" s="0" t="s">
        <v>212</v>
      </c>
      <c r="G668" s="0" t="s">
        <v>628</v>
      </c>
      <c r="H668" s="0" t="s">
        <v>625</v>
      </c>
      <c r="I668" s="0" t="s">
        <v>626</v>
      </c>
      <c r="J668" s="0" t="s">
        <v>627</v>
      </c>
      <c r="K668" s="475" t="n">
        <v>37043</v>
      </c>
      <c r="L668" s="254" t="n">
        <v>43675.1020720095</v>
      </c>
      <c r="M668" s="475" t="n">
        <v>37041</v>
      </c>
      <c r="N668" s="0" t="s">
        <v>136</v>
      </c>
      <c r="O668" s="0" t="n">
        <v>0.5</v>
      </c>
      <c r="P668" s="0" t="n">
        <v>0</v>
      </c>
      <c r="Q668" s="0" t="n">
        <v>0</v>
      </c>
      <c r="R668" s="0" t="n">
        <v>0</v>
      </c>
      <c r="S668" s="0" t="n">
        <v>0</v>
      </c>
      <c r="T668" s="0" t="s">
        <v>624</v>
      </c>
      <c r="U668" s="0" t="s">
        <v>149</v>
      </c>
      <c r="V668" s="0" t="s">
        <v>624</v>
      </c>
      <c r="W668" s="0" t="s">
        <v>569</v>
      </c>
      <c r="X668" s="0" t="s">
        <v>624</v>
      </c>
      <c r="Y668" s="0" t="s">
        <v>627</v>
      </c>
      <c r="Z668" s="0" t="s">
        <v>629</v>
      </c>
      <c r="AA668" s="0" t="s">
        <v>624</v>
      </c>
      <c r="AB668" s="0" t="s">
        <v>132</v>
      </c>
      <c r="AC668" s="254" t="n">
        <v>500000</v>
      </c>
      <c r="AD668" s="254" t="n">
        <v>12637.6519117167</v>
      </c>
      <c r="AE668" s="0" t="n">
        <v>0</v>
      </c>
      <c r="AF668" s="0" t="n">
        <v>0</v>
      </c>
      <c r="AG668" s="0" t="n">
        <v>0</v>
      </c>
      <c r="AH668" s="254" t="n">
        <v>600.52670655289</v>
      </c>
      <c r="AI668" s="0" t="n">
        <v>226</v>
      </c>
      <c r="AJ668" s="0" t="s">
        <v>630</v>
      </c>
      <c r="AK668" s="0" t="n">
        <v>0</v>
      </c>
      <c r="AL668" s="0" t="n">
        <v>0</v>
      </c>
      <c r="AM668" s="0" t="n">
        <v>0</v>
      </c>
    </row>
    <row r="669" customFormat="false" ht="12.75" hidden="false" customHeight="false" outlineLevel="0" collapsed="false">
      <c r="A669" s="0" t="s">
        <v>621</v>
      </c>
      <c r="B669" s="0" t="s">
        <v>420</v>
      </c>
      <c r="C669" s="0" t="s">
        <v>622</v>
      </c>
      <c r="D669" s="0" t="s">
        <v>623</v>
      </c>
      <c r="E669" s="0" t="s">
        <v>131</v>
      </c>
      <c r="F669" s="0" t="s">
        <v>212</v>
      </c>
      <c r="G669" s="0" t="s">
        <v>628</v>
      </c>
      <c r="H669" s="0" t="s">
        <v>625</v>
      </c>
      <c r="I669" s="0" t="s">
        <v>626</v>
      </c>
      <c r="J669" s="0" t="s">
        <v>627</v>
      </c>
      <c r="K669" s="475" t="n">
        <v>37073</v>
      </c>
      <c r="L669" s="254" t="n">
        <v>60003.3927762227</v>
      </c>
      <c r="M669" s="475" t="n">
        <v>37070</v>
      </c>
      <c r="N669" s="0" t="s">
        <v>136</v>
      </c>
      <c r="O669" s="0" t="n">
        <v>0.5</v>
      </c>
      <c r="P669" s="0" t="n">
        <v>0</v>
      </c>
      <c r="Q669" s="0" t="n">
        <v>0</v>
      </c>
      <c r="R669" s="0" t="n">
        <v>0</v>
      </c>
      <c r="S669" s="0" t="n">
        <v>0</v>
      </c>
      <c r="T669" s="0" t="s">
        <v>624</v>
      </c>
      <c r="U669" s="0" t="s">
        <v>149</v>
      </c>
      <c r="V669" s="0" t="s">
        <v>624</v>
      </c>
      <c r="W669" s="0" t="s">
        <v>569</v>
      </c>
      <c r="X669" s="0" t="s">
        <v>624</v>
      </c>
      <c r="Y669" s="0" t="s">
        <v>627</v>
      </c>
      <c r="Z669" s="0" t="s">
        <v>629</v>
      </c>
      <c r="AA669" s="0" t="s">
        <v>624</v>
      </c>
      <c r="AB669" s="0" t="s">
        <v>132</v>
      </c>
      <c r="AC669" s="254" t="n">
        <v>500000</v>
      </c>
      <c r="AD669" s="254" t="n">
        <v>13657.3066726009</v>
      </c>
      <c r="AE669" s="0" t="n">
        <v>0</v>
      </c>
      <c r="AF669" s="0" t="n">
        <v>0</v>
      </c>
      <c r="AG669" s="0" t="n">
        <v>0</v>
      </c>
      <c r="AH669" s="254" t="n">
        <v>649.242128738755</v>
      </c>
      <c r="AI669" s="0" t="n">
        <v>226</v>
      </c>
      <c r="AJ669" s="0" t="s">
        <v>630</v>
      </c>
      <c r="AK669" s="0" t="n">
        <v>0</v>
      </c>
      <c r="AL669" s="0" t="n">
        <v>0</v>
      </c>
      <c r="AM669" s="0" t="n">
        <v>0</v>
      </c>
    </row>
    <row r="670" customFormat="false" ht="12.75" hidden="false" customHeight="false" outlineLevel="0" collapsed="false">
      <c r="A670" s="0" t="s">
        <v>621</v>
      </c>
      <c r="B670" s="0" t="s">
        <v>420</v>
      </c>
      <c r="C670" s="0" t="s">
        <v>622</v>
      </c>
      <c r="D670" s="0" t="s">
        <v>623</v>
      </c>
      <c r="E670" s="0" t="s">
        <v>131</v>
      </c>
      <c r="F670" s="0" t="s">
        <v>212</v>
      </c>
      <c r="G670" s="0" t="s">
        <v>628</v>
      </c>
      <c r="H670" s="0" t="s">
        <v>625</v>
      </c>
      <c r="I670" s="0" t="s">
        <v>626</v>
      </c>
      <c r="J670" s="0" t="s">
        <v>627</v>
      </c>
      <c r="K670" s="475" t="n">
        <v>37104</v>
      </c>
      <c r="L670" s="254" t="n">
        <v>63241.0295147526</v>
      </c>
      <c r="M670" s="475" t="n">
        <v>37102</v>
      </c>
      <c r="N670" s="0" t="s">
        <v>136</v>
      </c>
      <c r="O670" s="0" t="n">
        <v>0.5</v>
      </c>
      <c r="P670" s="0" t="n">
        <v>0</v>
      </c>
      <c r="Q670" s="0" t="n">
        <v>0</v>
      </c>
      <c r="R670" s="0" t="n">
        <v>0</v>
      </c>
      <c r="S670" s="0" t="n">
        <v>0</v>
      </c>
      <c r="T670" s="0" t="s">
        <v>624</v>
      </c>
      <c r="U670" s="0" t="s">
        <v>149</v>
      </c>
      <c r="V670" s="0" t="s">
        <v>624</v>
      </c>
      <c r="W670" s="0" t="s">
        <v>569</v>
      </c>
      <c r="X670" s="0" t="s">
        <v>624</v>
      </c>
      <c r="Y670" s="0" t="s">
        <v>627</v>
      </c>
      <c r="Z670" s="0" t="s">
        <v>629</v>
      </c>
      <c r="AA670" s="0" t="s">
        <v>624</v>
      </c>
      <c r="AB670" s="0" t="s">
        <v>132</v>
      </c>
      <c r="AC670" s="254" t="n">
        <v>500000</v>
      </c>
      <c r="AD670" s="254" t="n">
        <v>14286.2360240903</v>
      </c>
      <c r="AE670" s="0" t="n">
        <v>0</v>
      </c>
      <c r="AF670" s="0" t="n">
        <v>0</v>
      </c>
      <c r="AG670" s="0" t="n">
        <v>0</v>
      </c>
      <c r="AH670" s="254" t="n">
        <v>678.866490489323</v>
      </c>
      <c r="AI670" s="0" t="n">
        <v>226</v>
      </c>
      <c r="AJ670" s="0" t="s">
        <v>630</v>
      </c>
      <c r="AK670" s="0" t="n">
        <v>0</v>
      </c>
      <c r="AL670" s="0" t="n">
        <v>0</v>
      </c>
      <c r="AM670" s="0" t="n">
        <v>0</v>
      </c>
    </row>
    <row r="671" customFormat="false" ht="12.75" hidden="false" customHeight="false" outlineLevel="0" collapsed="false">
      <c r="A671" s="0" t="s">
        <v>621</v>
      </c>
      <c r="B671" s="0" t="s">
        <v>420</v>
      </c>
      <c r="C671" s="0" t="s">
        <v>622</v>
      </c>
      <c r="D671" s="0" t="s">
        <v>623</v>
      </c>
      <c r="E671" s="0" t="s">
        <v>131</v>
      </c>
      <c r="F671" s="0" t="s">
        <v>212</v>
      </c>
      <c r="G671" s="0" t="s">
        <v>628</v>
      </c>
      <c r="H671" s="0" t="s">
        <v>625</v>
      </c>
      <c r="I671" s="0" t="s">
        <v>626</v>
      </c>
      <c r="J671" s="0" t="s">
        <v>627</v>
      </c>
      <c r="K671" s="475" t="n">
        <v>37135</v>
      </c>
      <c r="L671" s="254" t="n">
        <v>52181.3012566252</v>
      </c>
      <c r="M671" s="475" t="n">
        <v>37133</v>
      </c>
      <c r="N671" s="0" t="s">
        <v>136</v>
      </c>
      <c r="O671" s="0" t="n">
        <v>0.5</v>
      </c>
      <c r="P671" s="0" t="n">
        <v>0</v>
      </c>
      <c r="Q671" s="0" t="n">
        <v>0</v>
      </c>
      <c r="R671" s="0" t="n">
        <v>0</v>
      </c>
      <c r="S671" s="0" t="n">
        <v>0</v>
      </c>
      <c r="T671" s="0" t="s">
        <v>624</v>
      </c>
      <c r="U671" s="0" t="s">
        <v>149</v>
      </c>
      <c r="V671" s="0" t="s">
        <v>624</v>
      </c>
      <c r="W671" s="0" t="s">
        <v>569</v>
      </c>
      <c r="X671" s="0" t="s">
        <v>624</v>
      </c>
      <c r="Y671" s="0" t="s">
        <v>627</v>
      </c>
      <c r="Z671" s="0" t="s">
        <v>629</v>
      </c>
      <c r="AA671" s="0" t="s">
        <v>624</v>
      </c>
      <c r="AB671" s="0" t="s">
        <v>132</v>
      </c>
      <c r="AC671" s="254" t="n">
        <v>500000</v>
      </c>
      <c r="AD671" s="254" t="n">
        <v>14495.0951203231</v>
      </c>
      <c r="AE671" s="0" t="n">
        <v>0</v>
      </c>
      <c r="AF671" s="0" t="n">
        <v>0</v>
      </c>
      <c r="AG671" s="0" t="n">
        <v>0</v>
      </c>
      <c r="AH671" s="254" t="n">
        <v>688.064570954251</v>
      </c>
      <c r="AI671" s="0" t="n">
        <v>226</v>
      </c>
      <c r="AJ671" s="0" t="s">
        <v>630</v>
      </c>
      <c r="AK671" s="0" t="n">
        <v>0</v>
      </c>
      <c r="AL671" s="0" t="n">
        <v>0</v>
      </c>
      <c r="AM671" s="0" t="n">
        <v>0</v>
      </c>
    </row>
    <row r="672" customFormat="false" ht="12.75" hidden="false" customHeight="false" outlineLevel="0" collapsed="false">
      <c r="A672" s="0" t="s">
        <v>621</v>
      </c>
      <c r="B672" s="0" t="s">
        <v>420</v>
      </c>
      <c r="C672" s="0" t="s">
        <v>622</v>
      </c>
      <c r="D672" s="0" t="s">
        <v>623</v>
      </c>
      <c r="E672" s="0" t="s">
        <v>131</v>
      </c>
      <c r="F672" s="0" t="s">
        <v>212</v>
      </c>
      <c r="G672" s="0" t="s">
        <v>628</v>
      </c>
      <c r="H672" s="0" t="s">
        <v>625</v>
      </c>
      <c r="I672" s="0" t="s">
        <v>626</v>
      </c>
      <c r="J672" s="0" t="s">
        <v>627</v>
      </c>
      <c r="K672" s="475" t="n">
        <v>37165</v>
      </c>
      <c r="L672" s="254" t="n">
        <v>68571.2806031944</v>
      </c>
      <c r="M672" s="475" t="n">
        <v>37161</v>
      </c>
      <c r="N672" s="0" t="s">
        <v>136</v>
      </c>
      <c r="O672" s="0" t="n">
        <v>0.5</v>
      </c>
      <c r="P672" s="0" t="n">
        <v>0</v>
      </c>
      <c r="Q672" s="0" t="n">
        <v>0</v>
      </c>
      <c r="R672" s="0" t="n">
        <v>0</v>
      </c>
      <c r="S672" s="0" t="n">
        <v>0</v>
      </c>
      <c r="T672" s="0" t="s">
        <v>624</v>
      </c>
      <c r="U672" s="0" t="s">
        <v>149</v>
      </c>
      <c r="V672" s="0" t="s">
        <v>624</v>
      </c>
      <c r="W672" s="0" t="s">
        <v>569</v>
      </c>
      <c r="X672" s="0" t="s">
        <v>624</v>
      </c>
      <c r="Y672" s="0" t="s">
        <v>627</v>
      </c>
      <c r="Z672" s="0" t="s">
        <v>629</v>
      </c>
      <c r="AA672" s="0" t="s">
        <v>624</v>
      </c>
      <c r="AB672" s="0" t="s">
        <v>132</v>
      </c>
      <c r="AC672" s="254" t="n">
        <v>500000</v>
      </c>
      <c r="AD672" s="254" t="n">
        <v>15394.1972093173</v>
      </c>
      <c r="AE672" s="0" t="n">
        <v>0</v>
      </c>
      <c r="AF672" s="0" t="n">
        <v>0</v>
      </c>
      <c r="AG672" s="0" t="n">
        <v>0</v>
      </c>
      <c r="AH672" s="254" t="n">
        <v>732.325091987572</v>
      </c>
      <c r="AI672" s="0" t="n">
        <v>226</v>
      </c>
      <c r="AJ672" s="0" t="s">
        <v>630</v>
      </c>
      <c r="AK672" s="0" t="n">
        <v>0</v>
      </c>
      <c r="AL672" s="0" t="n">
        <v>0</v>
      </c>
      <c r="AM672" s="0" t="n">
        <v>0</v>
      </c>
    </row>
    <row r="673" customFormat="false" ht="12.75" hidden="false" customHeight="false" outlineLevel="0" collapsed="false">
      <c r="A673" s="0" t="s">
        <v>621</v>
      </c>
      <c r="B673" s="0" t="s">
        <v>421</v>
      </c>
      <c r="C673" s="0" t="s">
        <v>622</v>
      </c>
      <c r="D673" s="0" t="s">
        <v>623</v>
      </c>
      <c r="E673" s="0" t="s">
        <v>131</v>
      </c>
      <c r="F673" s="0" t="s">
        <v>212</v>
      </c>
      <c r="G673" s="0" t="s">
        <v>628</v>
      </c>
      <c r="H673" s="0" t="s">
        <v>625</v>
      </c>
      <c r="I673" s="0" t="s">
        <v>626</v>
      </c>
      <c r="J673" s="0" t="s">
        <v>627</v>
      </c>
      <c r="K673" s="475" t="n">
        <v>36982</v>
      </c>
      <c r="L673" s="254" t="n">
        <v>48130.8223278537</v>
      </c>
      <c r="M673" s="475" t="n">
        <v>36979</v>
      </c>
      <c r="N673" s="0" t="s">
        <v>132</v>
      </c>
      <c r="O673" s="0" t="n">
        <v>0.3</v>
      </c>
      <c r="P673" s="0" t="n">
        <v>0</v>
      </c>
      <c r="Q673" s="0" t="n">
        <v>0</v>
      </c>
      <c r="R673" s="0" t="n">
        <v>0</v>
      </c>
      <c r="S673" s="0" t="n">
        <v>0</v>
      </c>
      <c r="T673" s="0" t="s">
        <v>624</v>
      </c>
      <c r="U673" s="0" t="s">
        <v>149</v>
      </c>
      <c r="V673" s="0" t="s">
        <v>624</v>
      </c>
      <c r="W673" s="0" t="s">
        <v>569</v>
      </c>
      <c r="X673" s="0" t="s">
        <v>624</v>
      </c>
      <c r="Y673" s="0" t="s">
        <v>627</v>
      </c>
      <c r="Z673" s="0" t="s">
        <v>629</v>
      </c>
      <c r="AA673" s="0" t="s">
        <v>624</v>
      </c>
      <c r="AB673" s="0" t="s">
        <v>132</v>
      </c>
      <c r="AC673" s="254" t="n">
        <v>1000000</v>
      </c>
      <c r="AD673" s="254" t="n">
        <v>22317.908132272</v>
      </c>
      <c r="AE673" s="0" t="n">
        <v>0</v>
      </c>
      <c r="AF673" s="0" t="n">
        <v>0</v>
      </c>
      <c r="AG673" s="0" t="n">
        <v>0</v>
      </c>
      <c r="AH673" s="254" t="n">
        <v>1060.56703742663</v>
      </c>
      <c r="AI673" s="0" t="n">
        <v>226</v>
      </c>
      <c r="AJ673" s="0" t="s">
        <v>630</v>
      </c>
      <c r="AK673" s="0" t="n">
        <v>0</v>
      </c>
      <c r="AL673" s="0" t="n">
        <v>0</v>
      </c>
      <c r="AM673" s="0" t="n">
        <v>0</v>
      </c>
    </row>
    <row r="674" customFormat="false" ht="12.75" hidden="false" customHeight="false" outlineLevel="0" collapsed="false">
      <c r="A674" s="0" t="s">
        <v>621</v>
      </c>
      <c r="B674" s="0" t="s">
        <v>421</v>
      </c>
      <c r="C674" s="0" t="s">
        <v>622</v>
      </c>
      <c r="D674" s="0" t="s">
        <v>623</v>
      </c>
      <c r="E674" s="0" t="s">
        <v>131</v>
      </c>
      <c r="F674" s="0" t="s">
        <v>212</v>
      </c>
      <c r="G674" s="0" t="s">
        <v>628</v>
      </c>
      <c r="H674" s="0" t="s">
        <v>625</v>
      </c>
      <c r="I674" s="0" t="s">
        <v>626</v>
      </c>
      <c r="J674" s="0" t="s">
        <v>627</v>
      </c>
      <c r="K674" s="475" t="n">
        <v>37012</v>
      </c>
      <c r="L674" s="254" t="n">
        <v>75040.4493417956</v>
      </c>
      <c r="M674" s="475" t="n">
        <v>37008</v>
      </c>
      <c r="N674" s="0" t="s">
        <v>132</v>
      </c>
      <c r="O674" s="0" t="n">
        <v>0.3</v>
      </c>
      <c r="P674" s="0" t="n">
        <v>0</v>
      </c>
      <c r="Q674" s="0" t="n">
        <v>0</v>
      </c>
      <c r="R674" s="0" t="n">
        <v>0</v>
      </c>
      <c r="S674" s="0" t="n">
        <v>0</v>
      </c>
      <c r="T674" s="0" t="s">
        <v>624</v>
      </c>
      <c r="U674" s="0" t="s">
        <v>149</v>
      </c>
      <c r="V674" s="0" t="s">
        <v>624</v>
      </c>
      <c r="W674" s="0" t="s">
        <v>569</v>
      </c>
      <c r="X674" s="0" t="s">
        <v>624</v>
      </c>
      <c r="Y674" s="0" t="s">
        <v>627</v>
      </c>
      <c r="Z674" s="0" t="s">
        <v>629</v>
      </c>
      <c r="AA674" s="0" t="s">
        <v>624</v>
      </c>
      <c r="AB674" s="0" t="s">
        <v>132</v>
      </c>
      <c r="AC674" s="254" t="n">
        <v>1000000</v>
      </c>
      <c r="AD674" s="254" t="n">
        <v>25511.2255144261</v>
      </c>
      <c r="AE674" s="0" t="n">
        <v>0</v>
      </c>
      <c r="AF674" s="0" t="n">
        <v>0</v>
      </c>
      <c r="AG674" s="0" t="n">
        <v>0</v>
      </c>
      <c r="AH674" s="254" t="n">
        <v>1213.78637635504</v>
      </c>
      <c r="AI674" s="0" t="n">
        <v>226</v>
      </c>
      <c r="AJ674" s="0" t="s">
        <v>630</v>
      </c>
      <c r="AK674" s="0" t="n">
        <v>0</v>
      </c>
      <c r="AL674" s="0" t="n">
        <v>0</v>
      </c>
      <c r="AM674" s="0" t="n">
        <v>0</v>
      </c>
    </row>
    <row r="675" customFormat="false" ht="12.75" hidden="false" customHeight="false" outlineLevel="0" collapsed="false">
      <c r="A675" s="0" t="s">
        <v>621</v>
      </c>
      <c r="B675" s="0" t="s">
        <v>421</v>
      </c>
      <c r="C675" s="0" t="s">
        <v>622</v>
      </c>
      <c r="D675" s="0" t="s">
        <v>623</v>
      </c>
      <c r="E675" s="0" t="s">
        <v>131</v>
      </c>
      <c r="F675" s="0" t="s">
        <v>212</v>
      </c>
      <c r="G675" s="0" t="s">
        <v>628</v>
      </c>
      <c r="H675" s="0" t="s">
        <v>625</v>
      </c>
      <c r="I675" s="0" t="s">
        <v>626</v>
      </c>
      <c r="J675" s="0" t="s">
        <v>627</v>
      </c>
      <c r="K675" s="475" t="n">
        <v>37043</v>
      </c>
      <c r="L675" s="254" t="n">
        <v>83369.9059160288</v>
      </c>
      <c r="M675" s="475" t="n">
        <v>37041</v>
      </c>
      <c r="N675" s="0" t="s">
        <v>132</v>
      </c>
      <c r="O675" s="0" t="n">
        <v>0.3</v>
      </c>
      <c r="P675" s="0" t="n">
        <v>0</v>
      </c>
      <c r="Q675" s="0" t="n">
        <v>0</v>
      </c>
      <c r="R675" s="0" t="n">
        <v>0</v>
      </c>
      <c r="S675" s="0" t="n">
        <v>0</v>
      </c>
      <c r="T675" s="0" t="s">
        <v>624</v>
      </c>
      <c r="U675" s="0" t="s">
        <v>149</v>
      </c>
      <c r="V675" s="0" t="s">
        <v>624</v>
      </c>
      <c r="W675" s="0" t="s">
        <v>569</v>
      </c>
      <c r="X675" s="0" t="s">
        <v>624</v>
      </c>
      <c r="Y675" s="0" t="s">
        <v>627</v>
      </c>
      <c r="Z675" s="0" t="s">
        <v>629</v>
      </c>
      <c r="AA675" s="0" t="s">
        <v>624</v>
      </c>
      <c r="AB675" s="0" t="s">
        <v>132</v>
      </c>
      <c r="AC675" s="254" t="n">
        <v>1000000</v>
      </c>
      <c r="AD675" s="254" t="n">
        <v>27064.1210217163</v>
      </c>
      <c r="AE675" s="0" t="n">
        <v>0</v>
      </c>
      <c r="AF675" s="0" t="n">
        <v>0</v>
      </c>
      <c r="AG675" s="0" t="n">
        <v>0</v>
      </c>
      <c r="AH675" s="254" t="n">
        <v>1286.92051094337</v>
      </c>
      <c r="AI675" s="0" t="n">
        <v>226</v>
      </c>
      <c r="AJ675" s="0" t="s">
        <v>630</v>
      </c>
      <c r="AK675" s="0" t="n">
        <v>0</v>
      </c>
      <c r="AL675" s="0" t="n">
        <v>0</v>
      </c>
      <c r="AM675" s="0" t="n">
        <v>0</v>
      </c>
    </row>
    <row r="676" customFormat="false" ht="12.75" hidden="false" customHeight="false" outlineLevel="0" collapsed="false">
      <c r="A676" s="0" t="s">
        <v>621</v>
      </c>
      <c r="B676" s="0" t="s">
        <v>421</v>
      </c>
      <c r="C676" s="0" t="s">
        <v>622</v>
      </c>
      <c r="D676" s="0" t="s">
        <v>623</v>
      </c>
      <c r="E676" s="0" t="s">
        <v>131</v>
      </c>
      <c r="F676" s="0" t="s">
        <v>212</v>
      </c>
      <c r="G676" s="0" t="s">
        <v>628</v>
      </c>
      <c r="H676" s="0" t="s">
        <v>625</v>
      </c>
      <c r="I676" s="0" t="s">
        <v>626</v>
      </c>
      <c r="J676" s="0" t="s">
        <v>627</v>
      </c>
      <c r="K676" s="475" t="n">
        <v>37073</v>
      </c>
      <c r="L676" s="254" t="n">
        <v>67736.7156064378</v>
      </c>
      <c r="M676" s="475" t="n">
        <v>37070</v>
      </c>
      <c r="N676" s="0" t="s">
        <v>132</v>
      </c>
      <c r="O676" s="0" t="n">
        <v>0.3</v>
      </c>
      <c r="P676" s="0" t="n">
        <v>0</v>
      </c>
      <c r="Q676" s="0" t="n">
        <v>0</v>
      </c>
      <c r="R676" s="0" t="n">
        <v>0</v>
      </c>
      <c r="S676" s="0" t="n">
        <v>0</v>
      </c>
      <c r="T676" s="0" t="s">
        <v>624</v>
      </c>
      <c r="U676" s="0" t="s">
        <v>149</v>
      </c>
      <c r="V676" s="0" t="s">
        <v>624</v>
      </c>
      <c r="W676" s="0" t="s">
        <v>569</v>
      </c>
      <c r="X676" s="0" t="s">
        <v>624</v>
      </c>
      <c r="Y676" s="0" t="s">
        <v>627</v>
      </c>
      <c r="Z676" s="0" t="s">
        <v>629</v>
      </c>
      <c r="AA676" s="0" t="s">
        <v>624</v>
      </c>
      <c r="AB676" s="0" t="s">
        <v>132</v>
      </c>
      <c r="AC676" s="254" t="n">
        <v>1000000</v>
      </c>
      <c r="AD676" s="254" t="n">
        <v>26439.5279132608</v>
      </c>
      <c r="AE676" s="0" t="n">
        <v>0</v>
      </c>
      <c r="AF676" s="0" t="n">
        <v>0</v>
      </c>
      <c r="AG676" s="0" t="n">
        <v>0</v>
      </c>
      <c r="AH676" s="254" t="n">
        <v>1254.25276505275</v>
      </c>
      <c r="AI676" s="0" t="n">
        <v>226</v>
      </c>
      <c r="AJ676" s="0" t="s">
        <v>630</v>
      </c>
      <c r="AK676" s="0" t="n">
        <v>0</v>
      </c>
      <c r="AL676" s="0" t="n">
        <v>0</v>
      </c>
      <c r="AM676" s="0" t="n">
        <v>0</v>
      </c>
    </row>
    <row r="677" customFormat="false" ht="12.75" hidden="false" customHeight="false" outlineLevel="0" collapsed="false">
      <c r="A677" s="0" t="s">
        <v>621</v>
      </c>
      <c r="B677" s="0" t="s">
        <v>421</v>
      </c>
      <c r="C677" s="0" t="s">
        <v>622</v>
      </c>
      <c r="D677" s="0" t="s">
        <v>623</v>
      </c>
      <c r="E677" s="0" t="s">
        <v>131</v>
      </c>
      <c r="F677" s="0" t="s">
        <v>212</v>
      </c>
      <c r="G677" s="0" t="s">
        <v>628</v>
      </c>
      <c r="H677" s="0" t="s">
        <v>625</v>
      </c>
      <c r="I677" s="0" t="s">
        <v>626</v>
      </c>
      <c r="J677" s="0" t="s">
        <v>627</v>
      </c>
      <c r="K677" s="475" t="n">
        <v>37104</v>
      </c>
      <c r="L677" s="254" t="n">
        <v>73457.7638421203</v>
      </c>
      <c r="M677" s="475" t="n">
        <v>37102</v>
      </c>
      <c r="N677" s="0" t="s">
        <v>132</v>
      </c>
      <c r="O677" s="0" t="n">
        <v>0.3</v>
      </c>
      <c r="P677" s="0" t="n">
        <v>0</v>
      </c>
      <c r="Q677" s="0" t="n">
        <v>0</v>
      </c>
      <c r="R677" s="0" t="n">
        <v>0</v>
      </c>
      <c r="S677" s="0" t="n">
        <v>0</v>
      </c>
      <c r="T677" s="0" t="s">
        <v>624</v>
      </c>
      <c r="U677" s="0" t="s">
        <v>149</v>
      </c>
      <c r="V677" s="0" t="s">
        <v>624</v>
      </c>
      <c r="W677" s="0" t="s">
        <v>569</v>
      </c>
      <c r="X677" s="0" t="s">
        <v>624</v>
      </c>
      <c r="Y677" s="0" t="s">
        <v>627</v>
      </c>
      <c r="Z677" s="0" t="s">
        <v>629</v>
      </c>
      <c r="AA677" s="0" t="s">
        <v>624</v>
      </c>
      <c r="AB677" s="0" t="s">
        <v>132</v>
      </c>
      <c r="AC677" s="254" t="n">
        <v>1000000</v>
      </c>
      <c r="AD677" s="254" t="n">
        <v>27919.9897324518</v>
      </c>
      <c r="AE677" s="0" t="n">
        <v>0</v>
      </c>
      <c r="AF677" s="0" t="n">
        <v>0</v>
      </c>
      <c r="AG677" s="0" t="n">
        <v>0</v>
      </c>
      <c r="AH677" s="254" t="n">
        <v>1324.198631949</v>
      </c>
      <c r="AI677" s="0" t="n">
        <v>226</v>
      </c>
      <c r="AJ677" s="0" t="s">
        <v>630</v>
      </c>
      <c r="AK677" s="0" t="n">
        <v>0</v>
      </c>
      <c r="AL677" s="0" t="n">
        <v>0</v>
      </c>
      <c r="AM677" s="0" t="n">
        <v>0</v>
      </c>
    </row>
    <row r="678" customFormat="false" ht="12.75" hidden="false" customHeight="false" outlineLevel="0" collapsed="false">
      <c r="A678" s="0" t="s">
        <v>621</v>
      </c>
      <c r="B678" s="0" t="s">
        <v>421</v>
      </c>
      <c r="C678" s="0" t="s">
        <v>622</v>
      </c>
      <c r="D678" s="0" t="s">
        <v>623</v>
      </c>
      <c r="E678" s="0" t="s">
        <v>131</v>
      </c>
      <c r="F678" s="0" t="s">
        <v>212</v>
      </c>
      <c r="G678" s="0" t="s">
        <v>628</v>
      </c>
      <c r="H678" s="0" t="s">
        <v>625</v>
      </c>
      <c r="I678" s="0" t="s">
        <v>626</v>
      </c>
      <c r="J678" s="0" t="s">
        <v>627</v>
      </c>
      <c r="K678" s="475" t="n">
        <v>37135</v>
      </c>
      <c r="L678" s="254" t="n">
        <v>99216.4871050496</v>
      </c>
      <c r="M678" s="475" t="n">
        <v>37133</v>
      </c>
      <c r="N678" s="0" t="s">
        <v>132</v>
      </c>
      <c r="O678" s="0" t="n">
        <v>0.3</v>
      </c>
      <c r="P678" s="0" t="n">
        <v>0</v>
      </c>
      <c r="Q678" s="0" t="n">
        <v>0</v>
      </c>
      <c r="R678" s="0" t="n">
        <v>0</v>
      </c>
      <c r="S678" s="0" t="n">
        <v>0</v>
      </c>
      <c r="T678" s="0" t="s">
        <v>624</v>
      </c>
      <c r="U678" s="0" t="s">
        <v>149</v>
      </c>
      <c r="V678" s="0" t="s">
        <v>624</v>
      </c>
      <c r="W678" s="0" t="s">
        <v>569</v>
      </c>
      <c r="X678" s="0" t="s">
        <v>624</v>
      </c>
      <c r="Y678" s="0" t="s">
        <v>627</v>
      </c>
      <c r="Z678" s="0" t="s">
        <v>629</v>
      </c>
      <c r="AA678" s="0" t="s">
        <v>624</v>
      </c>
      <c r="AB678" s="0" t="s">
        <v>132</v>
      </c>
      <c r="AC678" s="254" t="n">
        <v>1000000</v>
      </c>
      <c r="AD678" s="254" t="n">
        <v>30996.037012513</v>
      </c>
      <c r="AE678" s="0" t="n">
        <v>0</v>
      </c>
      <c r="AF678" s="0" t="n">
        <v>0</v>
      </c>
      <c r="AG678" s="0" t="n">
        <v>0</v>
      </c>
      <c r="AH678" s="254" t="n">
        <v>1472.34493800052</v>
      </c>
      <c r="AI678" s="0" t="n">
        <v>226</v>
      </c>
      <c r="AJ678" s="0" t="s">
        <v>630</v>
      </c>
      <c r="AK678" s="0" t="n">
        <v>0</v>
      </c>
      <c r="AL678" s="0" t="n">
        <v>0</v>
      </c>
      <c r="AM678" s="0" t="n">
        <v>0</v>
      </c>
    </row>
    <row r="679" customFormat="false" ht="12.75" hidden="false" customHeight="false" outlineLevel="0" collapsed="false">
      <c r="A679" s="0" t="s">
        <v>621</v>
      </c>
      <c r="B679" s="0" t="s">
        <v>421</v>
      </c>
      <c r="C679" s="0" t="s">
        <v>622</v>
      </c>
      <c r="D679" s="0" t="s">
        <v>623</v>
      </c>
      <c r="E679" s="0" t="s">
        <v>131</v>
      </c>
      <c r="F679" s="0" t="s">
        <v>212</v>
      </c>
      <c r="G679" s="0" t="s">
        <v>628</v>
      </c>
      <c r="H679" s="0" t="s">
        <v>625</v>
      </c>
      <c r="I679" s="0" t="s">
        <v>626</v>
      </c>
      <c r="J679" s="0" t="s">
        <v>627</v>
      </c>
      <c r="K679" s="475" t="n">
        <v>37165</v>
      </c>
      <c r="L679" s="254" t="n">
        <v>82265.1978445093</v>
      </c>
      <c r="M679" s="475" t="n">
        <v>37161</v>
      </c>
      <c r="N679" s="0" t="s">
        <v>132</v>
      </c>
      <c r="O679" s="0" t="n">
        <v>0.3</v>
      </c>
      <c r="P679" s="0" t="n">
        <v>0</v>
      </c>
      <c r="Q679" s="0" t="n">
        <v>0</v>
      </c>
      <c r="R679" s="0" t="n">
        <v>0</v>
      </c>
      <c r="S679" s="0" t="n">
        <v>0</v>
      </c>
      <c r="T679" s="0" t="s">
        <v>624</v>
      </c>
      <c r="U679" s="0" t="s">
        <v>149</v>
      </c>
      <c r="V679" s="0" t="s">
        <v>624</v>
      </c>
      <c r="W679" s="0" t="s">
        <v>569</v>
      </c>
      <c r="X679" s="0" t="s">
        <v>624</v>
      </c>
      <c r="Y679" s="0" t="s">
        <v>627</v>
      </c>
      <c r="Z679" s="0" t="s">
        <v>629</v>
      </c>
      <c r="AA679" s="0" t="s">
        <v>624</v>
      </c>
      <c r="AB679" s="0" t="s">
        <v>132</v>
      </c>
      <c r="AC679" s="254" t="n">
        <v>1000000</v>
      </c>
      <c r="AD679" s="254" t="n">
        <v>30466.4354024096</v>
      </c>
      <c r="AE679" s="0" t="n">
        <v>0</v>
      </c>
      <c r="AF679" s="0" t="n">
        <v>0</v>
      </c>
      <c r="AG679" s="0" t="n">
        <v>0</v>
      </c>
      <c r="AH679" s="254" t="n">
        <v>1446.06751724386</v>
      </c>
      <c r="AI679" s="0" t="n">
        <v>226</v>
      </c>
      <c r="AJ679" s="0" t="s">
        <v>630</v>
      </c>
      <c r="AK679" s="0" t="n">
        <v>0</v>
      </c>
      <c r="AL679" s="0" t="n">
        <v>0</v>
      </c>
      <c r="AM679" s="0" t="n">
        <v>0</v>
      </c>
    </row>
    <row r="680" customFormat="false" ht="12.75" hidden="false" customHeight="false" outlineLevel="0" collapsed="false">
      <c r="A680" s="0" t="s">
        <v>621</v>
      </c>
      <c r="B680" s="0" t="s">
        <v>422</v>
      </c>
      <c r="C680" s="0" t="s">
        <v>622</v>
      </c>
      <c r="D680" s="0" t="s">
        <v>623</v>
      </c>
      <c r="E680" s="0" t="s">
        <v>131</v>
      </c>
      <c r="F680" s="0" t="s">
        <v>198</v>
      </c>
      <c r="G680" s="0" t="s">
        <v>628</v>
      </c>
      <c r="H680" s="0" t="s">
        <v>625</v>
      </c>
      <c r="I680" s="0" t="s">
        <v>626</v>
      </c>
      <c r="J680" s="0" t="s">
        <v>627</v>
      </c>
      <c r="K680" s="475" t="n">
        <v>36770</v>
      </c>
      <c r="L680" s="254" t="n">
        <v>-7497.39302333108</v>
      </c>
      <c r="M680" s="475" t="n">
        <v>36768</v>
      </c>
      <c r="N680" s="0" t="s">
        <v>136</v>
      </c>
      <c r="O680" s="0" t="n">
        <v>-1.17</v>
      </c>
      <c r="P680" s="0" t="n">
        <v>0</v>
      </c>
      <c r="Q680" s="0" t="n">
        <v>0</v>
      </c>
      <c r="R680" s="0" t="n">
        <v>0</v>
      </c>
      <c r="S680" s="0" t="n">
        <v>0</v>
      </c>
      <c r="T680" s="0" t="s">
        <v>624</v>
      </c>
      <c r="U680" s="0" t="s">
        <v>151</v>
      </c>
      <c r="V680" s="0" t="s">
        <v>624</v>
      </c>
      <c r="W680" s="0" t="s">
        <v>569</v>
      </c>
      <c r="X680" s="0" t="s">
        <v>624</v>
      </c>
      <c r="Y680" s="0" t="s">
        <v>627</v>
      </c>
      <c r="Z680" s="0" t="s">
        <v>629</v>
      </c>
      <c r="AA680" s="0" t="s">
        <v>624</v>
      </c>
      <c r="AB680" s="0" t="s">
        <v>132</v>
      </c>
      <c r="AC680" s="254" t="n">
        <v>-1000000</v>
      </c>
      <c r="AD680" s="254" t="n">
        <v>-3899.50845783693</v>
      </c>
      <c r="AE680" s="0" t="n">
        <v>0</v>
      </c>
      <c r="AF680" s="0" t="n">
        <v>0</v>
      </c>
      <c r="AG680" s="0" t="n">
        <v>0</v>
      </c>
      <c r="AH680" s="254" t="n">
        <v>23620.1415988697</v>
      </c>
      <c r="AI680" s="0" t="n">
        <v>226</v>
      </c>
      <c r="AJ680" s="0" t="s">
        <v>630</v>
      </c>
      <c r="AK680" s="0" t="n">
        <v>0</v>
      </c>
      <c r="AL680" s="0" t="n">
        <v>0</v>
      </c>
      <c r="AM680" s="0" t="n">
        <v>0</v>
      </c>
    </row>
    <row r="681" customFormat="false" ht="12.75" hidden="false" customHeight="false" outlineLevel="0" collapsed="false">
      <c r="A681" s="0" t="s">
        <v>621</v>
      </c>
      <c r="B681" s="0" t="s">
        <v>423</v>
      </c>
      <c r="C681" s="0" t="s">
        <v>622</v>
      </c>
      <c r="D681" s="0" t="s">
        <v>623</v>
      </c>
      <c r="E681" s="0" t="s">
        <v>131</v>
      </c>
      <c r="F681" s="0" t="s">
        <v>198</v>
      </c>
      <c r="G681" s="0" t="s">
        <v>628</v>
      </c>
      <c r="H681" s="0" t="s">
        <v>625</v>
      </c>
      <c r="I681" s="0" t="s">
        <v>626</v>
      </c>
      <c r="J681" s="0" t="s">
        <v>627</v>
      </c>
      <c r="K681" s="475" t="n">
        <v>36770</v>
      </c>
      <c r="L681" s="254" t="n">
        <v>-77471.6338558295</v>
      </c>
      <c r="M681" s="475" t="n">
        <v>36768</v>
      </c>
      <c r="N681" s="0" t="s">
        <v>132</v>
      </c>
      <c r="O681" s="0" t="n">
        <v>-1.17</v>
      </c>
      <c r="P681" s="0" t="n">
        <v>0</v>
      </c>
      <c r="Q681" s="0" t="n">
        <v>0</v>
      </c>
      <c r="R681" s="0" t="n">
        <v>0</v>
      </c>
      <c r="S681" s="0" t="n">
        <v>0</v>
      </c>
      <c r="T681" s="0" t="s">
        <v>624</v>
      </c>
      <c r="U681" s="0" t="s">
        <v>151</v>
      </c>
      <c r="V681" s="0" t="s">
        <v>624</v>
      </c>
      <c r="W681" s="0" t="s">
        <v>569</v>
      </c>
      <c r="X681" s="0" t="s">
        <v>624</v>
      </c>
      <c r="Y681" s="0" t="s">
        <v>627</v>
      </c>
      <c r="Z681" s="0" t="s">
        <v>629</v>
      </c>
      <c r="AA681" s="0" t="s">
        <v>624</v>
      </c>
      <c r="AB681" s="0" t="s">
        <v>132</v>
      </c>
      <c r="AC681" s="254" t="n">
        <v>-1000000</v>
      </c>
      <c r="AD681" s="254" t="n">
        <v>-3899.50845783693</v>
      </c>
      <c r="AE681" s="0" t="n">
        <v>0</v>
      </c>
      <c r="AF681" s="0" t="n">
        <v>0</v>
      </c>
      <c r="AG681" s="0" t="n">
        <v>0</v>
      </c>
      <c r="AH681" s="254" t="n">
        <v>-36324.7163195568</v>
      </c>
      <c r="AI681" s="0" t="n">
        <v>226</v>
      </c>
      <c r="AJ681" s="0" t="s">
        <v>630</v>
      </c>
      <c r="AK681" s="0" t="n">
        <v>0</v>
      </c>
      <c r="AL681" s="0" t="n">
        <v>0</v>
      </c>
      <c r="AM681" s="0" t="n">
        <v>0</v>
      </c>
    </row>
    <row r="682" customFormat="false" ht="12.75" hidden="false" customHeight="false" outlineLevel="0" collapsed="false">
      <c r="A682" s="0" t="s">
        <v>621</v>
      </c>
      <c r="B682" s="0" t="s">
        <v>424</v>
      </c>
      <c r="C682" s="0" t="s">
        <v>622</v>
      </c>
      <c r="D682" s="0" t="s">
        <v>623</v>
      </c>
      <c r="E682" s="0" t="s">
        <v>131</v>
      </c>
      <c r="F682" s="0" t="s">
        <v>198</v>
      </c>
      <c r="G682" s="0" t="s">
        <v>628</v>
      </c>
      <c r="H682" s="0" t="s">
        <v>625</v>
      </c>
      <c r="I682" s="0" t="s">
        <v>626</v>
      </c>
      <c r="J682" s="0" t="s">
        <v>627</v>
      </c>
      <c r="K682" s="475" t="n">
        <v>36770</v>
      </c>
      <c r="L682" s="254" t="n">
        <v>-3748.69651166554</v>
      </c>
      <c r="M682" s="475" t="n">
        <v>36768</v>
      </c>
      <c r="N682" s="0" t="s">
        <v>136</v>
      </c>
      <c r="O682" s="0" t="n">
        <v>-1.17</v>
      </c>
      <c r="P682" s="0" t="n">
        <v>0</v>
      </c>
      <c r="Q682" s="0" t="n">
        <v>0</v>
      </c>
      <c r="R682" s="0" t="n">
        <v>0</v>
      </c>
      <c r="S682" s="0" t="n">
        <v>0</v>
      </c>
      <c r="T682" s="0" t="s">
        <v>624</v>
      </c>
      <c r="U682" s="0" t="s">
        <v>151</v>
      </c>
      <c r="V682" s="0" t="s">
        <v>624</v>
      </c>
      <c r="W682" s="0" t="s">
        <v>569</v>
      </c>
      <c r="X682" s="0" t="s">
        <v>624</v>
      </c>
      <c r="Y682" s="0" t="s">
        <v>627</v>
      </c>
      <c r="Z682" s="0" t="s">
        <v>629</v>
      </c>
      <c r="AA682" s="0" t="s">
        <v>624</v>
      </c>
      <c r="AB682" s="0" t="s">
        <v>132</v>
      </c>
      <c r="AC682" s="254" t="n">
        <v>-500000</v>
      </c>
      <c r="AD682" s="254" t="n">
        <v>-1949.75422891846</v>
      </c>
      <c r="AE682" s="0" t="n">
        <v>0</v>
      </c>
      <c r="AF682" s="0" t="n">
        <v>0</v>
      </c>
      <c r="AG682" s="0" t="n">
        <v>0</v>
      </c>
      <c r="AH682" s="254" t="n">
        <v>11810.0707994349</v>
      </c>
      <c r="AI682" s="0" t="n">
        <v>226</v>
      </c>
      <c r="AJ682" s="0" t="s">
        <v>630</v>
      </c>
      <c r="AK682" s="0" t="n">
        <v>0</v>
      </c>
      <c r="AL682" s="0" t="n">
        <v>0</v>
      </c>
      <c r="AM682" s="0" t="n">
        <v>0</v>
      </c>
    </row>
    <row r="683" customFormat="false" ht="12.75" hidden="false" customHeight="false" outlineLevel="0" collapsed="false">
      <c r="A683" s="0" t="s">
        <v>621</v>
      </c>
      <c r="B683" s="0" t="s">
        <v>425</v>
      </c>
      <c r="C683" s="0" t="s">
        <v>622</v>
      </c>
      <c r="D683" s="0" t="s">
        <v>623</v>
      </c>
      <c r="E683" s="0" t="s">
        <v>131</v>
      </c>
      <c r="F683" s="0" t="s">
        <v>198</v>
      </c>
      <c r="G683" s="0" t="s">
        <v>628</v>
      </c>
      <c r="H683" s="0" t="s">
        <v>625</v>
      </c>
      <c r="I683" s="0" t="s">
        <v>626</v>
      </c>
      <c r="J683" s="0" t="s">
        <v>627</v>
      </c>
      <c r="K683" s="475" t="n">
        <v>36770</v>
      </c>
      <c r="L683" s="254" t="n">
        <v>-38735.8169279148</v>
      </c>
      <c r="M683" s="475" t="n">
        <v>36768</v>
      </c>
      <c r="N683" s="0" t="s">
        <v>132</v>
      </c>
      <c r="O683" s="0" t="n">
        <v>-1.17</v>
      </c>
      <c r="P683" s="0" t="n">
        <v>0</v>
      </c>
      <c r="Q683" s="0" t="n">
        <v>0</v>
      </c>
      <c r="R683" s="0" t="n">
        <v>0</v>
      </c>
      <c r="S683" s="0" t="n">
        <v>0</v>
      </c>
      <c r="T683" s="0" t="s">
        <v>624</v>
      </c>
      <c r="U683" s="0" t="s">
        <v>151</v>
      </c>
      <c r="V683" s="0" t="s">
        <v>624</v>
      </c>
      <c r="W683" s="0" t="s">
        <v>569</v>
      </c>
      <c r="X683" s="0" t="s">
        <v>624</v>
      </c>
      <c r="Y683" s="0" t="s">
        <v>627</v>
      </c>
      <c r="Z683" s="0" t="s">
        <v>629</v>
      </c>
      <c r="AA683" s="0" t="s">
        <v>624</v>
      </c>
      <c r="AB683" s="0" t="s">
        <v>132</v>
      </c>
      <c r="AC683" s="254" t="n">
        <v>-500000</v>
      </c>
      <c r="AD683" s="254" t="n">
        <v>-1949.75422891846</v>
      </c>
      <c r="AE683" s="0" t="n">
        <v>0</v>
      </c>
      <c r="AF683" s="0" t="n">
        <v>0</v>
      </c>
      <c r="AG683" s="0" t="n">
        <v>0</v>
      </c>
      <c r="AH683" s="254" t="n">
        <v>-18162.3581597784</v>
      </c>
      <c r="AI683" s="0" t="n">
        <v>226</v>
      </c>
      <c r="AJ683" s="0" t="s">
        <v>630</v>
      </c>
      <c r="AK683" s="0" t="n">
        <v>0</v>
      </c>
      <c r="AL683" s="0" t="n">
        <v>0</v>
      </c>
      <c r="AM683" s="0" t="n">
        <v>0</v>
      </c>
    </row>
    <row r="684" customFormat="false" ht="12.75" hidden="false" customHeight="false" outlineLevel="0" collapsed="false">
      <c r="A684" s="0" t="s">
        <v>621</v>
      </c>
      <c r="B684" s="0" t="s">
        <v>426</v>
      </c>
      <c r="C684" s="0" t="s">
        <v>622</v>
      </c>
      <c r="D684" s="0" t="s">
        <v>623</v>
      </c>
      <c r="E684" s="0" t="s">
        <v>131</v>
      </c>
      <c r="F684" s="0" t="s">
        <v>210</v>
      </c>
      <c r="G684" s="0" t="s">
        <v>628</v>
      </c>
      <c r="H684" s="0" t="s">
        <v>625</v>
      </c>
      <c r="I684" s="0" t="s">
        <v>626</v>
      </c>
      <c r="J684" s="0" t="s">
        <v>627</v>
      </c>
      <c r="K684" s="475" t="n">
        <v>36800</v>
      </c>
      <c r="L684" s="254" t="n">
        <v>10059.3512494379</v>
      </c>
      <c r="M684" s="475" t="n">
        <v>36797</v>
      </c>
      <c r="N684" s="0" t="s">
        <v>136</v>
      </c>
      <c r="O684" s="0" t="n">
        <v>-0.15</v>
      </c>
      <c r="P684" s="0" t="n">
        <v>0</v>
      </c>
      <c r="Q684" s="0" t="n">
        <v>0</v>
      </c>
      <c r="R684" s="0" t="n">
        <v>0</v>
      </c>
      <c r="S684" s="0" t="n">
        <v>0</v>
      </c>
      <c r="T684" s="0" t="s">
        <v>624</v>
      </c>
      <c r="U684" s="0" t="s">
        <v>68</v>
      </c>
      <c r="V684" s="0" t="s">
        <v>624</v>
      </c>
      <c r="W684" s="0" t="s">
        <v>569</v>
      </c>
      <c r="X684" s="0" t="s">
        <v>624</v>
      </c>
      <c r="Y684" s="0" t="s">
        <v>627</v>
      </c>
      <c r="Z684" s="0" t="s">
        <v>629</v>
      </c>
      <c r="AA684" s="0" t="s">
        <v>624</v>
      </c>
      <c r="AB684" s="0" t="s">
        <v>132</v>
      </c>
      <c r="AC684" s="254" t="n">
        <v>300000</v>
      </c>
      <c r="AD684" s="254" t="n">
        <v>1895.19439304507</v>
      </c>
      <c r="AE684" s="0" t="n">
        <v>0</v>
      </c>
      <c r="AF684" s="0" t="n">
        <v>0</v>
      </c>
      <c r="AG684" s="0" t="n">
        <v>0</v>
      </c>
      <c r="AH684" s="254" t="n">
        <v>108.126921672281</v>
      </c>
      <c r="AI684" s="0" t="n">
        <v>226</v>
      </c>
      <c r="AJ684" s="0" t="s">
        <v>630</v>
      </c>
      <c r="AK684" s="0" t="n">
        <v>0</v>
      </c>
      <c r="AL684" s="0" t="n">
        <v>0</v>
      </c>
      <c r="AM684" s="0" t="n">
        <v>0</v>
      </c>
    </row>
    <row r="685" customFormat="false" ht="12.75" hidden="false" customHeight="false" outlineLevel="0" collapsed="false">
      <c r="A685" s="0" t="s">
        <v>621</v>
      </c>
      <c r="B685" s="0" t="s">
        <v>426</v>
      </c>
      <c r="C685" s="0" t="s">
        <v>622</v>
      </c>
      <c r="D685" s="0" t="s">
        <v>623</v>
      </c>
      <c r="E685" s="0" t="s">
        <v>131</v>
      </c>
      <c r="F685" s="0" t="s">
        <v>210</v>
      </c>
      <c r="G685" s="0" t="s">
        <v>628</v>
      </c>
      <c r="H685" s="0" t="s">
        <v>625</v>
      </c>
      <c r="I685" s="0" t="s">
        <v>626</v>
      </c>
      <c r="J685" s="0" t="s">
        <v>627</v>
      </c>
      <c r="K685" s="475" t="n">
        <v>36831</v>
      </c>
      <c r="L685" s="254" t="n">
        <v>15987.7667705362</v>
      </c>
      <c r="M685" s="475" t="n">
        <v>36829</v>
      </c>
      <c r="N685" s="0" t="s">
        <v>136</v>
      </c>
      <c r="O685" s="0" t="n">
        <v>-0.15</v>
      </c>
      <c r="P685" s="0" t="n">
        <v>0</v>
      </c>
      <c r="Q685" s="0" t="n">
        <v>0</v>
      </c>
      <c r="R685" s="0" t="n">
        <v>0</v>
      </c>
      <c r="S685" s="0" t="n">
        <v>0</v>
      </c>
      <c r="T685" s="0" t="s">
        <v>624</v>
      </c>
      <c r="U685" s="0" t="s">
        <v>68</v>
      </c>
      <c r="V685" s="0" t="s">
        <v>624</v>
      </c>
      <c r="W685" s="0" t="s">
        <v>569</v>
      </c>
      <c r="X685" s="0" t="s">
        <v>624</v>
      </c>
      <c r="Y685" s="0" t="s">
        <v>627</v>
      </c>
      <c r="Z685" s="0" t="s">
        <v>629</v>
      </c>
      <c r="AA685" s="0" t="s">
        <v>624</v>
      </c>
      <c r="AB685" s="0" t="s">
        <v>132</v>
      </c>
      <c r="AC685" s="254" t="n">
        <v>310000</v>
      </c>
      <c r="AD685" s="254" t="n">
        <v>2870.86973424055</v>
      </c>
      <c r="AE685" s="0" t="n">
        <v>0</v>
      </c>
      <c r="AF685" s="0" t="n">
        <v>0</v>
      </c>
      <c r="AG685" s="0" t="n">
        <v>0</v>
      </c>
      <c r="AH685" s="254" t="n">
        <v>-252.928820583831</v>
      </c>
      <c r="AI685" s="0" t="n">
        <v>226</v>
      </c>
      <c r="AJ685" s="0" t="s">
        <v>630</v>
      </c>
      <c r="AK685" s="0" t="n">
        <v>0</v>
      </c>
      <c r="AL685" s="0" t="n">
        <v>0</v>
      </c>
      <c r="AM685" s="0" t="n">
        <v>0</v>
      </c>
    </row>
    <row r="686" customFormat="false" ht="12.75" hidden="false" customHeight="false" outlineLevel="0" collapsed="false">
      <c r="A686" s="0" t="s">
        <v>621</v>
      </c>
      <c r="B686" s="0" t="s">
        <v>426</v>
      </c>
      <c r="C686" s="0" t="s">
        <v>622</v>
      </c>
      <c r="D686" s="0" t="s">
        <v>623</v>
      </c>
      <c r="E686" s="0" t="s">
        <v>131</v>
      </c>
      <c r="F686" s="0" t="s">
        <v>210</v>
      </c>
      <c r="G686" s="0" t="s">
        <v>628</v>
      </c>
      <c r="H686" s="0" t="s">
        <v>625</v>
      </c>
      <c r="I686" s="0" t="s">
        <v>626</v>
      </c>
      <c r="J686" s="0" t="s">
        <v>627</v>
      </c>
      <c r="K686" s="475" t="n">
        <v>36861</v>
      </c>
      <c r="L686" s="254" t="n">
        <v>17886.7498907873</v>
      </c>
      <c r="M686" s="475" t="n">
        <v>36859</v>
      </c>
      <c r="N686" s="0" t="s">
        <v>136</v>
      </c>
      <c r="O686" s="0" t="n">
        <v>-0.15</v>
      </c>
      <c r="P686" s="0" t="n">
        <v>0</v>
      </c>
      <c r="Q686" s="0" t="n">
        <v>0</v>
      </c>
      <c r="R686" s="0" t="n">
        <v>0</v>
      </c>
      <c r="S686" s="0" t="n">
        <v>0</v>
      </c>
      <c r="T686" s="0" t="s">
        <v>624</v>
      </c>
      <c r="U686" s="0" t="s">
        <v>68</v>
      </c>
      <c r="V686" s="0" t="s">
        <v>624</v>
      </c>
      <c r="W686" s="0" t="s">
        <v>569</v>
      </c>
      <c r="X686" s="0" t="s">
        <v>624</v>
      </c>
      <c r="Y686" s="0" t="s">
        <v>627</v>
      </c>
      <c r="Z686" s="0" t="s">
        <v>629</v>
      </c>
      <c r="AA686" s="0" t="s">
        <v>624</v>
      </c>
      <c r="AB686" s="0" t="s">
        <v>132</v>
      </c>
      <c r="AC686" s="254" t="n">
        <v>310000</v>
      </c>
      <c r="AD686" s="254" t="n">
        <v>3504.09339461851</v>
      </c>
      <c r="AE686" s="0" t="n">
        <v>0</v>
      </c>
      <c r="AF686" s="0" t="n">
        <v>0</v>
      </c>
      <c r="AG686" s="0" t="n">
        <v>0</v>
      </c>
      <c r="AH686" s="254" t="n">
        <v>-204.767113574504</v>
      </c>
      <c r="AI686" s="0" t="n">
        <v>226</v>
      </c>
      <c r="AJ686" s="0" t="s">
        <v>630</v>
      </c>
      <c r="AK686" s="0" t="n">
        <v>0</v>
      </c>
      <c r="AL686" s="0" t="n">
        <v>0</v>
      </c>
      <c r="AM686" s="0" t="n">
        <v>0</v>
      </c>
    </row>
    <row r="687" customFormat="false" ht="12.75" hidden="false" customHeight="false" outlineLevel="0" collapsed="false">
      <c r="A687" s="0" t="s">
        <v>621</v>
      </c>
      <c r="B687" s="0" t="s">
        <v>426</v>
      </c>
      <c r="C687" s="0" t="s">
        <v>622</v>
      </c>
      <c r="D687" s="0" t="s">
        <v>623</v>
      </c>
      <c r="E687" s="0" t="s">
        <v>131</v>
      </c>
      <c r="F687" s="0" t="s">
        <v>210</v>
      </c>
      <c r="G687" s="0" t="s">
        <v>628</v>
      </c>
      <c r="H687" s="0" t="s">
        <v>625</v>
      </c>
      <c r="I687" s="0" t="s">
        <v>626</v>
      </c>
      <c r="J687" s="0" t="s">
        <v>627</v>
      </c>
      <c r="K687" s="475" t="n">
        <v>36892</v>
      </c>
      <c r="L687" s="254" t="n">
        <v>19275.1396620173</v>
      </c>
      <c r="M687" s="475" t="n">
        <v>36888</v>
      </c>
      <c r="N687" s="0" t="s">
        <v>136</v>
      </c>
      <c r="O687" s="0" t="n">
        <v>-0.15</v>
      </c>
      <c r="P687" s="0" t="n">
        <v>0</v>
      </c>
      <c r="Q687" s="0" t="n">
        <v>0</v>
      </c>
      <c r="R687" s="0" t="n">
        <v>0</v>
      </c>
      <c r="S687" s="0" t="n">
        <v>0</v>
      </c>
      <c r="T687" s="0" t="s">
        <v>624</v>
      </c>
      <c r="U687" s="0" t="s">
        <v>68</v>
      </c>
      <c r="V687" s="0" t="s">
        <v>624</v>
      </c>
      <c r="W687" s="0" t="s">
        <v>569</v>
      </c>
      <c r="X687" s="0" t="s">
        <v>624</v>
      </c>
      <c r="Y687" s="0" t="s">
        <v>627</v>
      </c>
      <c r="Z687" s="0" t="s">
        <v>629</v>
      </c>
      <c r="AA687" s="0" t="s">
        <v>624</v>
      </c>
      <c r="AB687" s="0" t="s">
        <v>132</v>
      </c>
      <c r="AC687" s="254" t="n">
        <v>310000</v>
      </c>
      <c r="AD687" s="254" t="n">
        <v>4010.49287752682</v>
      </c>
      <c r="AE687" s="0" t="n">
        <v>0</v>
      </c>
      <c r="AF687" s="0" t="n">
        <v>0</v>
      </c>
      <c r="AG687" s="0" t="n">
        <v>0</v>
      </c>
      <c r="AH687" s="254" t="n">
        <v>-173.386335055919</v>
      </c>
      <c r="AI687" s="0" t="n">
        <v>226</v>
      </c>
      <c r="AJ687" s="0" t="s">
        <v>630</v>
      </c>
      <c r="AK687" s="0" t="n">
        <v>0</v>
      </c>
      <c r="AL687" s="0" t="n">
        <v>0</v>
      </c>
      <c r="AM687" s="0" t="n">
        <v>0</v>
      </c>
    </row>
    <row r="688" customFormat="false" ht="12.75" hidden="false" customHeight="false" outlineLevel="0" collapsed="false">
      <c r="A688" s="0" t="s">
        <v>621</v>
      </c>
      <c r="B688" s="0" t="s">
        <v>426</v>
      </c>
      <c r="C688" s="0" t="s">
        <v>622</v>
      </c>
      <c r="D688" s="0" t="s">
        <v>623</v>
      </c>
      <c r="E688" s="0" t="s">
        <v>131</v>
      </c>
      <c r="F688" s="0" t="s">
        <v>210</v>
      </c>
      <c r="G688" s="0" t="s">
        <v>628</v>
      </c>
      <c r="H688" s="0" t="s">
        <v>625</v>
      </c>
      <c r="I688" s="0" t="s">
        <v>626</v>
      </c>
      <c r="J688" s="0" t="s">
        <v>627</v>
      </c>
      <c r="K688" s="475" t="n">
        <v>36923</v>
      </c>
      <c r="L688" s="254" t="n">
        <v>20191.2380052085</v>
      </c>
      <c r="M688" s="475" t="n">
        <v>36921</v>
      </c>
      <c r="N688" s="0" t="s">
        <v>136</v>
      </c>
      <c r="O688" s="0" t="n">
        <v>-0.15</v>
      </c>
      <c r="P688" s="0" t="n">
        <v>0</v>
      </c>
      <c r="Q688" s="0" t="n">
        <v>0</v>
      </c>
      <c r="R688" s="0" t="n">
        <v>0</v>
      </c>
      <c r="S688" s="0" t="n">
        <v>0</v>
      </c>
      <c r="T688" s="0" t="s">
        <v>624</v>
      </c>
      <c r="U688" s="0" t="s">
        <v>68</v>
      </c>
      <c r="V688" s="0" t="s">
        <v>624</v>
      </c>
      <c r="W688" s="0" t="s">
        <v>569</v>
      </c>
      <c r="X688" s="0" t="s">
        <v>624</v>
      </c>
      <c r="Y688" s="0" t="s">
        <v>627</v>
      </c>
      <c r="Z688" s="0" t="s">
        <v>629</v>
      </c>
      <c r="AA688" s="0" t="s">
        <v>624</v>
      </c>
      <c r="AB688" s="0" t="s">
        <v>132</v>
      </c>
      <c r="AC688" s="254" t="n">
        <v>280000</v>
      </c>
      <c r="AD688" s="254" t="n">
        <v>3962.98692134972</v>
      </c>
      <c r="AE688" s="0" t="n">
        <v>0</v>
      </c>
      <c r="AF688" s="0" t="n">
        <v>0</v>
      </c>
      <c r="AG688" s="0" t="n">
        <v>0</v>
      </c>
      <c r="AH688" s="254" t="n">
        <v>-162.156639695895</v>
      </c>
      <c r="AI688" s="0" t="n">
        <v>226</v>
      </c>
      <c r="AJ688" s="0" t="s">
        <v>630</v>
      </c>
      <c r="AK688" s="0" t="n">
        <v>0</v>
      </c>
      <c r="AL688" s="0" t="n">
        <v>0</v>
      </c>
      <c r="AM688" s="0" t="n">
        <v>0</v>
      </c>
    </row>
    <row r="689" customFormat="false" ht="12.75" hidden="false" customHeight="false" outlineLevel="0" collapsed="false">
      <c r="A689" s="0" t="s">
        <v>621</v>
      </c>
      <c r="B689" s="0" t="s">
        <v>426</v>
      </c>
      <c r="C689" s="0" t="s">
        <v>622</v>
      </c>
      <c r="D689" s="0" t="s">
        <v>623</v>
      </c>
      <c r="E689" s="0" t="s">
        <v>131</v>
      </c>
      <c r="F689" s="0" t="s">
        <v>210</v>
      </c>
      <c r="G689" s="0" t="s">
        <v>628</v>
      </c>
      <c r="H689" s="0" t="s">
        <v>625</v>
      </c>
      <c r="I689" s="0" t="s">
        <v>626</v>
      </c>
      <c r="J689" s="0" t="s">
        <v>627</v>
      </c>
      <c r="K689" s="475" t="n">
        <v>36951</v>
      </c>
      <c r="L689" s="254" t="n">
        <v>21768.7421784941</v>
      </c>
      <c r="M689" s="475" t="n">
        <v>36949</v>
      </c>
      <c r="N689" s="0" t="s">
        <v>136</v>
      </c>
      <c r="O689" s="0" t="n">
        <v>-0.15</v>
      </c>
      <c r="P689" s="0" t="n">
        <v>0</v>
      </c>
      <c r="Q689" s="0" t="n">
        <v>0</v>
      </c>
      <c r="R689" s="0" t="n">
        <v>0</v>
      </c>
      <c r="S689" s="0" t="n">
        <v>0</v>
      </c>
      <c r="T689" s="0" t="s">
        <v>624</v>
      </c>
      <c r="U689" s="0" t="s">
        <v>68</v>
      </c>
      <c r="V689" s="0" t="s">
        <v>624</v>
      </c>
      <c r="W689" s="0" t="s">
        <v>569</v>
      </c>
      <c r="X689" s="0" t="s">
        <v>624</v>
      </c>
      <c r="Y689" s="0" t="s">
        <v>627</v>
      </c>
      <c r="Z689" s="0" t="s">
        <v>629</v>
      </c>
      <c r="AA689" s="0" t="s">
        <v>624</v>
      </c>
      <c r="AB689" s="0" t="s">
        <v>132</v>
      </c>
      <c r="AC689" s="254" t="n">
        <v>310000</v>
      </c>
      <c r="AD689" s="254" t="n">
        <v>4228.24407110081</v>
      </c>
      <c r="AE689" s="0" t="n">
        <v>0</v>
      </c>
      <c r="AF689" s="0" t="n">
        <v>0</v>
      </c>
      <c r="AG689" s="0" t="n">
        <v>0</v>
      </c>
      <c r="AH689" s="254" t="n">
        <v>-187.055316262245</v>
      </c>
      <c r="AI689" s="0" t="n">
        <v>226</v>
      </c>
      <c r="AJ689" s="0" t="s">
        <v>630</v>
      </c>
      <c r="AK689" s="0" t="n">
        <v>0</v>
      </c>
      <c r="AL689" s="0" t="n">
        <v>0</v>
      </c>
      <c r="AM689" s="0" t="n">
        <v>0</v>
      </c>
    </row>
    <row r="690" customFormat="false" ht="12.75" hidden="false" customHeight="false" outlineLevel="0" collapsed="false">
      <c r="A690" s="0" t="s">
        <v>621</v>
      </c>
      <c r="B690" s="0" t="s">
        <v>427</v>
      </c>
      <c r="C690" s="0" t="s">
        <v>622</v>
      </c>
      <c r="D690" s="0" t="s">
        <v>623</v>
      </c>
      <c r="E690" s="0" t="s">
        <v>131</v>
      </c>
      <c r="F690" s="0" t="s">
        <v>244</v>
      </c>
      <c r="G690" s="0" t="s">
        <v>628</v>
      </c>
      <c r="H690" s="0" t="s">
        <v>625</v>
      </c>
      <c r="I690" s="0" t="s">
        <v>626</v>
      </c>
      <c r="J690" s="0" t="s">
        <v>627</v>
      </c>
      <c r="K690" s="475" t="n">
        <v>36831</v>
      </c>
      <c r="L690" s="254" t="n">
        <v>-34217.9919544476</v>
      </c>
      <c r="M690" s="475" t="n">
        <v>36829</v>
      </c>
      <c r="N690" s="0" t="s">
        <v>136</v>
      </c>
      <c r="O690" s="0" t="n">
        <v>1.45</v>
      </c>
      <c r="P690" s="0" t="n">
        <v>0</v>
      </c>
      <c r="Q690" s="0" t="n">
        <v>0</v>
      </c>
      <c r="R690" s="0" t="n">
        <v>0</v>
      </c>
      <c r="S690" s="0" t="n">
        <v>0</v>
      </c>
      <c r="T690" s="0" t="s">
        <v>624</v>
      </c>
      <c r="U690" s="0" t="s">
        <v>149</v>
      </c>
      <c r="V690" s="0" t="s">
        <v>624</v>
      </c>
      <c r="W690" s="0" t="s">
        <v>569</v>
      </c>
      <c r="X690" s="0" t="s">
        <v>624</v>
      </c>
      <c r="Y690" s="0" t="s">
        <v>627</v>
      </c>
      <c r="Z690" s="0" t="s">
        <v>629</v>
      </c>
      <c r="AA690" s="0" t="s">
        <v>624</v>
      </c>
      <c r="AB690" s="0" t="s">
        <v>132</v>
      </c>
      <c r="AC690" s="254" t="n">
        <v>-500000</v>
      </c>
      <c r="AD690" s="254" t="n">
        <v>-13926.8992380681</v>
      </c>
      <c r="AE690" s="0" t="n">
        <v>0</v>
      </c>
      <c r="AF690" s="0" t="n">
        <v>0</v>
      </c>
      <c r="AG690" s="0" t="n">
        <v>0</v>
      </c>
      <c r="AH690" s="254" t="n">
        <v>-4474.18268107766</v>
      </c>
      <c r="AI690" s="0" t="n">
        <v>226</v>
      </c>
      <c r="AJ690" s="0" t="s">
        <v>630</v>
      </c>
      <c r="AK690" s="0" t="n">
        <v>0</v>
      </c>
      <c r="AL690" s="0" t="n">
        <v>0</v>
      </c>
      <c r="AM690" s="0" t="n">
        <v>0</v>
      </c>
    </row>
    <row r="691" customFormat="false" ht="12.75" hidden="false" customHeight="false" outlineLevel="0" collapsed="false">
      <c r="A691" s="0" t="s">
        <v>621</v>
      </c>
      <c r="B691" s="0" t="s">
        <v>427</v>
      </c>
      <c r="C691" s="0" t="s">
        <v>622</v>
      </c>
      <c r="D691" s="0" t="s">
        <v>623</v>
      </c>
      <c r="E691" s="0" t="s">
        <v>131</v>
      </c>
      <c r="F691" s="0" t="s">
        <v>244</v>
      </c>
      <c r="G691" s="0" t="s">
        <v>628</v>
      </c>
      <c r="H691" s="0" t="s">
        <v>625</v>
      </c>
      <c r="I691" s="0" t="s">
        <v>626</v>
      </c>
      <c r="J691" s="0" t="s">
        <v>627</v>
      </c>
      <c r="K691" s="475" t="n">
        <v>36861</v>
      </c>
      <c r="L691" s="254" t="n">
        <v>-302382.180682379</v>
      </c>
      <c r="M691" s="475" t="n">
        <v>36859</v>
      </c>
      <c r="N691" s="0" t="s">
        <v>136</v>
      </c>
      <c r="O691" s="0" t="n">
        <v>1.45</v>
      </c>
      <c r="P691" s="0" t="n">
        <v>0</v>
      </c>
      <c r="Q691" s="0" t="n">
        <v>0</v>
      </c>
      <c r="R691" s="0" t="n">
        <v>0</v>
      </c>
      <c r="S691" s="0" t="n">
        <v>0</v>
      </c>
      <c r="T691" s="0" t="s">
        <v>624</v>
      </c>
      <c r="U691" s="0" t="s">
        <v>149</v>
      </c>
      <c r="V691" s="0" t="s">
        <v>624</v>
      </c>
      <c r="W691" s="0" t="s">
        <v>569</v>
      </c>
      <c r="X691" s="0" t="s">
        <v>624</v>
      </c>
      <c r="Y691" s="0" t="s">
        <v>627</v>
      </c>
      <c r="Z691" s="0" t="s">
        <v>629</v>
      </c>
      <c r="AA691" s="0" t="s">
        <v>624</v>
      </c>
      <c r="AB691" s="0" t="s">
        <v>132</v>
      </c>
      <c r="AC691" s="254" t="n">
        <v>-500000</v>
      </c>
      <c r="AD691" s="254" t="n">
        <v>-35267.0670452951</v>
      </c>
      <c r="AE691" s="0" t="n">
        <v>0</v>
      </c>
      <c r="AF691" s="0" t="n">
        <v>0</v>
      </c>
      <c r="AG691" s="0" t="n">
        <v>0</v>
      </c>
      <c r="AH691" s="254" t="n">
        <v>-14918.8541074604</v>
      </c>
      <c r="AI691" s="0" t="n">
        <v>226</v>
      </c>
      <c r="AJ691" s="0" t="s">
        <v>630</v>
      </c>
      <c r="AK691" s="0" t="n">
        <v>0</v>
      </c>
      <c r="AL691" s="0" t="n">
        <v>0</v>
      </c>
      <c r="AM691" s="0" t="n">
        <v>0</v>
      </c>
    </row>
    <row r="692" customFormat="false" ht="12.75" hidden="false" customHeight="false" outlineLevel="0" collapsed="false">
      <c r="A692" s="0" t="s">
        <v>621</v>
      </c>
      <c r="B692" s="0" t="s">
        <v>427</v>
      </c>
      <c r="C692" s="0" t="s">
        <v>622</v>
      </c>
      <c r="D692" s="0" t="s">
        <v>623</v>
      </c>
      <c r="E692" s="0" t="s">
        <v>131</v>
      </c>
      <c r="F692" s="0" t="s">
        <v>244</v>
      </c>
      <c r="G692" s="0" t="s">
        <v>628</v>
      </c>
      <c r="H692" s="0" t="s">
        <v>625</v>
      </c>
      <c r="I692" s="0" t="s">
        <v>626</v>
      </c>
      <c r="J692" s="0" t="s">
        <v>627</v>
      </c>
      <c r="K692" s="475" t="n">
        <v>36892</v>
      </c>
      <c r="L692" s="254" t="n">
        <v>-507142.088999729</v>
      </c>
      <c r="M692" s="475" t="n">
        <v>36888</v>
      </c>
      <c r="N692" s="0" t="s">
        <v>136</v>
      </c>
      <c r="O692" s="0" t="n">
        <v>1.45</v>
      </c>
      <c r="P692" s="0" t="n">
        <v>0</v>
      </c>
      <c r="Q692" s="0" t="n">
        <v>0</v>
      </c>
      <c r="R692" s="0" t="n">
        <v>0</v>
      </c>
      <c r="S692" s="0" t="n">
        <v>0</v>
      </c>
      <c r="T692" s="0" t="s">
        <v>624</v>
      </c>
      <c r="U692" s="0" t="s">
        <v>149</v>
      </c>
      <c r="V692" s="0" t="s">
        <v>624</v>
      </c>
      <c r="W692" s="0" t="s">
        <v>569</v>
      </c>
      <c r="X692" s="0" t="s">
        <v>624</v>
      </c>
      <c r="Y692" s="0" t="s">
        <v>627</v>
      </c>
      <c r="Z692" s="0" t="s">
        <v>629</v>
      </c>
      <c r="AA692" s="0" t="s">
        <v>624</v>
      </c>
      <c r="AB692" s="0" t="s">
        <v>132</v>
      </c>
      <c r="AC692" s="254" t="n">
        <v>-500000</v>
      </c>
      <c r="AD692" s="254" t="n">
        <v>-36370.9800783295</v>
      </c>
      <c r="AE692" s="0" t="n">
        <v>0</v>
      </c>
      <c r="AF692" s="0" t="n">
        <v>0</v>
      </c>
      <c r="AG692" s="0" t="n">
        <v>0</v>
      </c>
      <c r="AH692" s="254" t="n">
        <v>-22760.3077254504</v>
      </c>
      <c r="AI692" s="0" t="n">
        <v>226</v>
      </c>
      <c r="AJ692" s="0" t="s">
        <v>630</v>
      </c>
      <c r="AK692" s="0" t="n">
        <v>0</v>
      </c>
      <c r="AL692" s="0" t="n">
        <v>0</v>
      </c>
      <c r="AM692" s="0" t="n">
        <v>0</v>
      </c>
    </row>
    <row r="693" customFormat="false" ht="12.75" hidden="false" customHeight="false" outlineLevel="0" collapsed="false">
      <c r="A693" s="0" t="s">
        <v>621</v>
      </c>
      <c r="B693" s="0" t="s">
        <v>427</v>
      </c>
      <c r="C693" s="0" t="s">
        <v>622</v>
      </c>
      <c r="D693" s="0" t="s">
        <v>623</v>
      </c>
      <c r="E693" s="0" t="s">
        <v>131</v>
      </c>
      <c r="F693" s="0" t="s">
        <v>244</v>
      </c>
      <c r="G693" s="0" t="s">
        <v>628</v>
      </c>
      <c r="H693" s="0" t="s">
        <v>625</v>
      </c>
      <c r="I693" s="0" t="s">
        <v>626</v>
      </c>
      <c r="J693" s="0" t="s">
        <v>627</v>
      </c>
      <c r="K693" s="475" t="n">
        <v>36923</v>
      </c>
      <c r="L693" s="254" t="n">
        <v>-493217.296663582</v>
      </c>
      <c r="M693" s="475" t="n">
        <v>36921</v>
      </c>
      <c r="N693" s="0" t="s">
        <v>136</v>
      </c>
      <c r="O693" s="0" t="n">
        <v>1.45</v>
      </c>
      <c r="P693" s="0" t="n">
        <v>0</v>
      </c>
      <c r="Q693" s="0" t="n">
        <v>0</v>
      </c>
      <c r="R693" s="0" t="n">
        <v>0</v>
      </c>
      <c r="S693" s="0" t="n">
        <v>0</v>
      </c>
      <c r="T693" s="0" t="s">
        <v>624</v>
      </c>
      <c r="U693" s="0" t="s">
        <v>149</v>
      </c>
      <c r="V693" s="0" t="s">
        <v>624</v>
      </c>
      <c r="W693" s="0" t="s">
        <v>569</v>
      </c>
      <c r="X693" s="0" t="s">
        <v>624</v>
      </c>
      <c r="Y693" s="0" t="s">
        <v>627</v>
      </c>
      <c r="Z693" s="0" t="s">
        <v>629</v>
      </c>
      <c r="AA693" s="0" t="s">
        <v>624</v>
      </c>
      <c r="AB693" s="0" t="s">
        <v>132</v>
      </c>
      <c r="AC693" s="254" t="n">
        <v>-500000</v>
      </c>
      <c r="AD693" s="254" t="n">
        <v>-40927.446316121</v>
      </c>
      <c r="AE693" s="0" t="n">
        <v>0</v>
      </c>
      <c r="AF693" s="0" t="n">
        <v>0</v>
      </c>
      <c r="AG693" s="0" t="n">
        <v>0</v>
      </c>
      <c r="AH693" s="254" t="n">
        <v>-25592.4362811684</v>
      </c>
      <c r="AI693" s="0" t="n">
        <v>226</v>
      </c>
      <c r="AJ693" s="0" t="s">
        <v>630</v>
      </c>
      <c r="AK693" s="0" t="n">
        <v>0</v>
      </c>
      <c r="AL693" s="0" t="n">
        <v>0</v>
      </c>
      <c r="AM693" s="0" t="n">
        <v>0</v>
      </c>
    </row>
    <row r="694" customFormat="false" ht="12.75" hidden="false" customHeight="false" outlineLevel="0" collapsed="false">
      <c r="A694" s="0" t="s">
        <v>621</v>
      </c>
      <c r="B694" s="0" t="s">
        <v>427</v>
      </c>
      <c r="C694" s="0" t="s">
        <v>622</v>
      </c>
      <c r="D694" s="0" t="s">
        <v>623</v>
      </c>
      <c r="E694" s="0" t="s">
        <v>131</v>
      </c>
      <c r="F694" s="0" t="s">
        <v>244</v>
      </c>
      <c r="G694" s="0" t="s">
        <v>628</v>
      </c>
      <c r="H694" s="0" t="s">
        <v>625</v>
      </c>
      <c r="I694" s="0" t="s">
        <v>626</v>
      </c>
      <c r="J694" s="0" t="s">
        <v>627</v>
      </c>
      <c r="K694" s="475" t="n">
        <v>36951</v>
      </c>
      <c r="L694" s="254" t="n">
        <v>-186609.441033034</v>
      </c>
      <c r="M694" s="475" t="n">
        <v>36949</v>
      </c>
      <c r="N694" s="0" t="s">
        <v>136</v>
      </c>
      <c r="O694" s="0" t="n">
        <v>1.45</v>
      </c>
      <c r="P694" s="0" t="n">
        <v>0</v>
      </c>
      <c r="Q694" s="0" t="n">
        <v>0</v>
      </c>
      <c r="R694" s="0" t="n">
        <v>0</v>
      </c>
      <c r="S694" s="0" t="n">
        <v>0</v>
      </c>
      <c r="T694" s="0" t="s">
        <v>624</v>
      </c>
      <c r="U694" s="0" t="s">
        <v>149</v>
      </c>
      <c r="V694" s="0" t="s">
        <v>624</v>
      </c>
      <c r="W694" s="0" t="s">
        <v>569</v>
      </c>
      <c r="X694" s="0" t="s">
        <v>624</v>
      </c>
      <c r="Y694" s="0" t="s">
        <v>627</v>
      </c>
      <c r="Z694" s="0" t="s">
        <v>629</v>
      </c>
      <c r="AA694" s="0" t="s">
        <v>624</v>
      </c>
      <c r="AB694" s="0" t="s">
        <v>132</v>
      </c>
      <c r="AC694" s="254" t="n">
        <v>-500000</v>
      </c>
      <c r="AD694" s="254" t="n">
        <v>-42032.4846603741</v>
      </c>
      <c r="AE694" s="0" t="n">
        <v>0</v>
      </c>
      <c r="AF694" s="0" t="n">
        <v>0</v>
      </c>
      <c r="AG694" s="0" t="n">
        <v>0</v>
      </c>
      <c r="AH694" s="254" t="n">
        <v>-14762.739011391</v>
      </c>
      <c r="AI694" s="0" t="n">
        <v>226</v>
      </c>
      <c r="AJ694" s="0" t="s">
        <v>630</v>
      </c>
      <c r="AK694" s="0" t="n">
        <v>0</v>
      </c>
      <c r="AL694" s="0" t="n">
        <v>0</v>
      </c>
      <c r="AM694" s="0" t="n">
        <v>0</v>
      </c>
    </row>
    <row r="695" customFormat="false" ht="12.75" hidden="false" customHeight="false" outlineLevel="0" collapsed="false">
      <c r="A695" s="0" t="s">
        <v>621</v>
      </c>
      <c r="B695" s="0" t="s">
        <v>428</v>
      </c>
      <c r="C695" s="0" t="s">
        <v>622</v>
      </c>
      <c r="D695" s="0" t="s">
        <v>623</v>
      </c>
      <c r="E695" s="0" t="s">
        <v>131</v>
      </c>
      <c r="F695" s="0" t="s">
        <v>244</v>
      </c>
      <c r="G695" s="0" t="s">
        <v>628</v>
      </c>
      <c r="H695" s="0" t="s">
        <v>625</v>
      </c>
      <c r="I695" s="0" t="s">
        <v>626</v>
      </c>
      <c r="J695" s="0" t="s">
        <v>627</v>
      </c>
      <c r="K695" s="475" t="n">
        <v>36831</v>
      </c>
      <c r="L695" s="254" t="n">
        <v>-370247.255618924</v>
      </c>
      <c r="M695" s="475" t="n">
        <v>36829</v>
      </c>
      <c r="N695" s="0" t="s">
        <v>132</v>
      </c>
      <c r="O695" s="0" t="n">
        <v>1.45</v>
      </c>
      <c r="P695" s="0" t="n">
        <v>0</v>
      </c>
      <c r="Q695" s="0" t="n">
        <v>0</v>
      </c>
      <c r="R695" s="0" t="n">
        <v>0</v>
      </c>
      <c r="S695" s="0" t="n">
        <v>0</v>
      </c>
      <c r="T695" s="0" t="s">
        <v>624</v>
      </c>
      <c r="U695" s="0" t="s">
        <v>149</v>
      </c>
      <c r="V695" s="0" t="s">
        <v>624</v>
      </c>
      <c r="W695" s="0" t="s">
        <v>569</v>
      </c>
      <c r="X695" s="0" t="s">
        <v>624</v>
      </c>
      <c r="Y695" s="0" t="s">
        <v>627</v>
      </c>
      <c r="Z695" s="0" t="s">
        <v>629</v>
      </c>
      <c r="AA695" s="0" t="s">
        <v>624</v>
      </c>
      <c r="AB695" s="0" t="s">
        <v>132</v>
      </c>
      <c r="AC695" s="254" t="n">
        <v>-500000</v>
      </c>
      <c r="AD695" s="254" t="n">
        <v>-13926.8992380681</v>
      </c>
      <c r="AE695" s="0" t="n">
        <v>0</v>
      </c>
      <c r="AF695" s="0" t="n">
        <v>0</v>
      </c>
      <c r="AG695" s="0" t="n">
        <v>0</v>
      </c>
      <c r="AH695" s="254" t="n">
        <v>15281.3610252074</v>
      </c>
      <c r="AI695" s="0" t="n">
        <v>226</v>
      </c>
      <c r="AJ695" s="0" t="s">
        <v>630</v>
      </c>
      <c r="AK695" s="0" t="n">
        <v>0</v>
      </c>
      <c r="AL695" s="0" t="n">
        <v>0</v>
      </c>
      <c r="AM695" s="0" t="n">
        <v>0</v>
      </c>
    </row>
    <row r="696" customFormat="false" ht="12.75" hidden="false" customHeight="false" outlineLevel="0" collapsed="false">
      <c r="A696" s="0" t="s">
        <v>621</v>
      </c>
      <c r="B696" s="0" t="s">
        <v>428</v>
      </c>
      <c r="C696" s="0" t="s">
        <v>622</v>
      </c>
      <c r="D696" s="0" t="s">
        <v>623</v>
      </c>
      <c r="E696" s="0" t="s">
        <v>131</v>
      </c>
      <c r="F696" s="0" t="s">
        <v>244</v>
      </c>
      <c r="G696" s="0" t="s">
        <v>628</v>
      </c>
      <c r="H696" s="0" t="s">
        <v>625</v>
      </c>
      <c r="I696" s="0" t="s">
        <v>626</v>
      </c>
      <c r="J696" s="0" t="s">
        <v>627</v>
      </c>
      <c r="K696" s="475" t="n">
        <v>36861</v>
      </c>
      <c r="L696" s="254" t="n">
        <v>-206563.443550695</v>
      </c>
      <c r="M696" s="475" t="n">
        <v>36859</v>
      </c>
      <c r="N696" s="0" t="s">
        <v>132</v>
      </c>
      <c r="O696" s="0" t="n">
        <v>1.45</v>
      </c>
      <c r="P696" s="0" t="n">
        <v>0</v>
      </c>
      <c r="Q696" s="0" t="n">
        <v>0</v>
      </c>
      <c r="R696" s="0" t="n">
        <v>0</v>
      </c>
      <c r="S696" s="0" t="n">
        <v>0</v>
      </c>
      <c r="T696" s="0" t="s">
        <v>624</v>
      </c>
      <c r="U696" s="0" t="s">
        <v>149</v>
      </c>
      <c r="V696" s="0" t="s">
        <v>624</v>
      </c>
      <c r="W696" s="0" t="s">
        <v>569</v>
      </c>
      <c r="X696" s="0" t="s">
        <v>624</v>
      </c>
      <c r="Y696" s="0" t="s">
        <v>627</v>
      </c>
      <c r="Z696" s="0" t="s">
        <v>629</v>
      </c>
      <c r="AA696" s="0" t="s">
        <v>624</v>
      </c>
      <c r="AB696" s="0" t="s">
        <v>132</v>
      </c>
      <c r="AC696" s="254" t="n">
        <v>-500000</v>
      </c>
      <c r="AD696" s="254" t="n">
        <v>-35267.0670452951</v>
      </c>
      <c r="AE696" s="0" t="n">
        <v>0</v>
      </c>
      <c r="AF696" s="0" t="n">
        <v>0</v>
      </c>
      <c r="AG696" s="0" t="n">
        <v>0</v>
      </c>
      <c r="AH696" s="254" t="n">
        <v>7180.99876725819</v>
      </c>
      <c r="AI696" s="0" t="n">
        <v>226</v>
      </c>
      <c r="AJ696" s="0" t="s">
        <v>630</v>
      </c>
      <c r="AK696" s="0" t="n">
        <v>0</v>
      </c>
      <c r="AL696" s="0" t="n">
        <v>0</v>
      </c>
      <c r="AM696" s="0" t="n">
        <v>0</v>
      </c>
    </row>
    <row r="697" customFormat="false" ht="12.75" hidden="false" customHeight="false" outlineLevel="0" collapsed="false">
      <c r="A697" s="0" t="s">
        <v>621</v>
      </c>
      <c r="B697" s="0" t="s">
        <v>428</v>
      </c>
      <c r="C697" s="0" t="s">
        <v>622</v>
      </c>
      <c r="D697" s="0" t="s">
        <v>623</v>
      </c>
      <c r="E697" s="0" t="s">
        <v>131</v>
      </c>
      <c r="F697" s="0" t="s">
        <v>244</v>
      </c>
      <c r="G697" s="0" t="s">
        <v>628</v>
      </c>
      <c r="H697" s="0" t="s">
        <v>625</v>
      </c>
      <c r="I697" s="0" t="s">
        <v>626</v>
      </c>
      <c r="J697" s="0" t="s">
        <v>627</v>
      </c>
      <c r="K697" s="475" t="n">
        <v>36892</v>
      </c>
      <c r="L697" s="254" t="n">
        <v>-155270.740686028</v>
      </c>
      <c r="M697" s="475" t="n">
        <v>36888</v>
      </c>
      <c r="N697" s="0" t="s">
        <v>132</v>
      </c>
      <c r="O697" s="0" t="n">
        <v>1.45</v>
      </c>
      <c r="P697" s="0" t="n">
        <v>0</v>
      </c>
      <c r="Q697" s="0" t="n">
        <v>0</v>
      </c>
      <c r="R697" s="0" t="n">
        <v>0</v>
      </c>
      <c r="S697" s="0" t="n">
        <v>0</v>
      </c>
      <c r="T697" s="0" t="s">
        <v>624</v>
      </c>
      <c r="U697" s="0" t="s">
        <v>149</v>
      </c>
      <c r="V697" s="0" t="s">
        <v>624</v>
      </c>
      <c r="W697" s="0" t="s">
        <v>569</v>
      </c>
      <c r="X697" s="0" t="s">
        <v>624</v>
      </c>
      <c r="Y697" s="0" t="s">
        <v>627</v>
      </c>
      <c r="Z697" s="0" t="s">
        <v>629</v>
      </c>
      <c r="AA697" s="0" t="s">
        <v>624</v>
      </c>
      <c r="AB697" s="0" t="s">
        <v>132</v>
      </c>
      <c r="AC697" s="254" t="n">
        <v>-500000</v>
      </c>
      <c r="AD697" s="254" t="n">
        <v>-36370.9800783295</v>
      </c>
      <c r="AE697" s="0" t="n">
        <v>0</v>
      </c>
      <c r="AF697" s="0" t="n">
        <v>0</v>
      </c>
      <c r="AG697" s="0" t="n">
        <v>0</v>
      </c>
      <c r="AH697" s="254" t="n">
        <v>6546.67089951786</v>
      </c>
      <c r="AI697" s="0" t="n">
        <v>226</v>
      </c>
      <c r="AJ697" s="0" t="s">
        <v>630</v>
      </c>
      <c r="AK697" s="0" t="n">
        <v>0</v>
      </c>
      <c r="AL697" s="0" t="n">
        <v>0</v>
      </c>
      <c r="AM697" s="0" t="n">
        <v>0</v>
      </c>
    </row>
    <row r="698" customFormat="false" ht="12.75" hidden="false" customHeight="false" outlineLevel="0" collapsed="false">
      <c r="A698" s="0" t="s">
        <v>621</v>
      </c>
      <c r="B698" s="0" t="s">
        <v>428</v>
      </c>
      <c r="C698" s="0" t="s">
        <v>622</v>
      </c>
      <c r="D698" s="0" t="s">
        <v>623</v>
      </c>
      <c r="E698" s="0" t="s">
        <v>131</v>
      </c>
      <c r="F698" s="0" t="s">
        <v>244</v>
      </c>
      <c r="G698" s="0" t="s">
        <v>628</v>
      </c>
      <c r="H698" s="0" t="s">
        <v>625</v>
      </c>
      <c r="I698" s="0" t="s">
        <v>626</v>
      </c>
      <c r="J698" s="0" t="s">
        <v>627</v>
      </c>
      <c r="K698" s="475" t="n">
        <v>36923</v>
      </c>
      <c r="L698" s="254" t="n">
        <v>-182404.004512828</v>
      </c>
      <c r="M698" s="475" t="n">
        <v>36921</v>
      </c>
      <c r="N698" s="0" t="s">
        <v>132</v>
      </c>
      <c r="O698" s="0" t="n">
        <v>1.45</v>
      </c>
      <c r="P698" s="0" t="n">
        <v>0</v>
      </c>
      <c r="Q698" s="0" t="n">
        <v>0</v>
      </c>
      <c r="R698" s="0" t="n">
        <v>0</v>
      </c>
      <c r="S698" s="0" t="n">
        <v>0</v>
      </c>
      <c r="T698" s="0" t="s">
        <v>624</v>
      </c>
      <c r="U698" s="0" t="s">
        <v>149</v>
      </c>
      <c r="V698" s="0" t="s">
        <v>624</v>
      </c>
      <c r="W698" s="0" t="s">
        <v>569</v>
      </c>
      <c r="X698" s="0" t="s">
        <v>624</v>
      </c>
      <c r="Y698" s="0" t="s">
        <v>627</v>
      </c>
      <c r="Z698" s="0" t="s">
        <v>629</v>
      </c>
      <c r="AA698" s="0" t="s">
        <v>624</v>
      </c>
      <c r="AB698" s="0" t="s">
        <v>132</v>
      </c>
      <c r="AC698" s="254" t="n">
        <v>-500000</v>
      </c>
      <c r="AD698" s="254" t="n">
        <v>-40927.446316121</v>
      </c>
      <c r="AE698" s="0" t="n">
        <v>0</v>
      </c>
      <c r="AF698" s="0" t="n">
        <v>0</v>
      </c>
      <c r="AG698" s="0" t="n">
        <v>0</v>
      </c>
      <c r="AH698" s="254" t="n">
        <v>8385.29202860806</v>
      </c>
      <c r="AI698" s="0" t="n">
        <v>226</v>
      </c>
      <c r="AJ698" s="0" t="s">
        <v>630</v>
      </c>
      <c r="AK698" s="0" t="n">
        <v>0</v>
      </c>
      <c r="AL698" s="0" t="n">
        <v>0</v>
      </c>
      <c r="AM698" s="0" t="n">
        <v>0</v>
      </c>
    </row>
    <row r="699" customFormat="false" ht="12.75" hidden="false" customHeight="false" outlineLevel="0" collapsed="false">
      <c r="A699" s="0" t="s">
        <v>621</v>
      </c>
      <c r="B699" s="0" t="s">
        <v>428</v>
      </c>
      <c r="C699" s="0" t="s">
        <v>622</v>
      </c>
      <c r="D699" s="0" t="s">
        <v>623</v>
      </c>
      <c r="E699" s="0" t="s">
        <v>131</v>
      </c>
      <c r="F699" s="0" t="s">
        <v>244</v>
      </c>
      <c r="G699" s="0" t="s">
        <v>628</v>
      </c>
      <c r="H699" s="0" t="s">
        <v>625</v>
      </c>
      <c r="I699" s="0" t="s">
        <v>626</v>
      </c>
      <c r="J699" s="0" t="s">
        <v>627</v>
      </c>
      <c r="K699" s="475" t="n">
        <v>36951</v>
      </c>
      <c r="L699" s="254" t="n">
        <v>-367749.079929258</v>
      </c>
      <c r="M699" s="475" t="n">
        <v>36949</v>
      </c>
      <c r="N699" s="0" t="s">
        <v>132</v>
      </c>
      <c r="O699" s="0" t="n">
        <v>1.45</v>
      </c>
      <c r="P699" s="0" t="n">
        <v>0</v>
      </c>
      <c r="Q699" s="0" t="n">
        <v>0</v>
      </c>
      <c r="R699" s="0" t="n">
        <v>0</v>
      </c>
      <c r="S699" s="0" t="n">
        <v>0</v>
      </c>
      <c r="T699" s="0" t="s">
        <v>624</v>
      </c>
      <c r="U699" s="0" t="s">
        <v>149</v>
      </c>
      <c r="V699" s="0" t="s">
        <v>624</v>
      </c>
      <c r="W699" s="0" t="s">
        <v>569</v>
      </c>
      <c r="X699" s="0" t="s">
        <v>624</v>
      </c>
      <c r="Y699" s="0" t="s">
        <v>627</v>
      </c>
      <c r="Z699" s="0" t="s">
        <v>629</v>
      </c>
      <c r="AA699" s="0" t="s">
        <v>624</v>
      </c>
      <c r="AB699" s="0" t="s">
        <v>132</v>
      </c>
      <c r="AC699" s="254" t="n">
        <v>-500000</v>
      </c>
      <c r="AD699" s="254" t="n">
        <v>-42032.4846603741</v>
      </c>
      <c r="AE699" s="0" t="n">
        <v>0</v>
      </c>
      <c r="AF699" s="0" t="n">
        <v>0</v>
      </c>
      <c r="AG699" s="0" t="n">
        <v>0</v>
      </c>
      <c r="AH699" s="254" t="n">
        <v>14205.3279423835</v>
      </c>
      <c r="AI699" s="0" t="n">
        <v>226</v>
      </c>
      <c r="AJ699" s="0" t="s">
        <v>630</v>
      </c>
      <c r="AK699" s="0" t="n">
        <v>0</v>
      </c>
      <c r="AL699" s="0" t="n">
        <v>0</v>
      </c>
      <c r="AM699" s="0" t="n">
        <v>0</v>
      </c>
    </row>
    <row r="700" customFormat="false" ht="12.75" hidden="false" customHeight="false" outlineLevel="0" collapsed="false">
      <c r="A700" s="0" t="s">
        <v>621</v>
      </c>
      <c r="B700" s="0" t="s">
        <v>429</v>
      </c>
      <c r="C700" s="0" t="s">
        <v>622</v>
      </c>
      <c r="D700" s="0" t="s">
        <v>623</v>
      </c>
      <c r="E700" s="0" t="s">
        <v>131</v>
      </c>
      <c r="F700" s="0" t="s">
        <v>244</v>
      </c>
      <c r="G700" s="0" t="s">
        <v>628</v>
      </c>
      <c r="H700" s="0" t="s">
        <v>625</v>
      </c>
      <c r="I700" s="0" t="s">
        <v>626</v>
      </c>
      <c r="J700" s="0" t="s">
        <v>627</v>
      </c>
      <c r="K700" s="475" t="n">
        <v>36831</v>
      </c>
      <c r="L700" s="254" t="n">
        <v>365285.37794141</v>
      </c>
      <c r="M700" s="475" t="n">
        <v>36829</v>
      </c>
      <c r="N700" s="0" t="s">
        <v>132</v>
      </c>
      <c r="O700" s="0" t="n">
        <v>0.95</v>
      </c>
      <c r="P700" s="0" t="n">
        <v>0</v>
      </c>
      <c r="Q700" s="0" t="n">
        <v>0</v>
      </c>
      <c r="R700" s="0" t="n">
        <v>0</v>
      </c>
      <c r="S700" s="0" t="n">
        <v>0</v>
      </c>
      <c r="T700" s="0" t="s">
        <v>624</v>
      </c>
      <c r="U700" s="0" t="s">
        <v>149</v>
      </c>
      <c r="V700" s="0" t="s">
        <v>624</v>
      </c>
      <c r="W700" s="0" t="s">
        <v>569</v>
      </c>
      <c r="X700" s="0" t="s">
        <v>624</v>
      </c>
      <c r="Y700" s="0" t="s">
        <v>627</v>
      </c>
      <c r="Z700" s="0" t="s">
        <v>629</v>
      </c>
      <c r="AA700" s="0" t="s">
        <v>624</v>
      </c>
      <c r="AB700" s="0" t="s">
        <v>132</v>
      </c>
      <c r="AC700" s="254" t="n">
        <v>1000000</v>
      </c>
      <c r="AD700" s="254" t="n">
        <v>42890.9042801451</v>
      </c>
      <c r="AE700" s="0" t="n">
        <v>0</v>
      </c>
      <c r="AF700" s="0" t="n">
        <v>0</v>
      </c>
      <c r="AG700" s="0" t="n">
        <v>0</v>
      </c>
      <c r="AH700" s="254" t="n">
        <v>-21052.3130909106</v>
      </c>
      <c r="AI700" s="0" t="n">
        <v>226</v>
      </c>
      <c r="AJ700" s="0" t="s">
        <v>630</v>
      </c>
      <c r="AK700" s="0" t="n">
        <v>0</v>
      </c>
      <c r="AL700" s="0" t="n">
        <v>0</v>
      </c>
      <c r="AM700" s="0" t="n">
        <v>0</v>
      </c>
    </row>
    <row r="701" customFormat="false" ht="12.75" hidden="false" customHeight="false" outlineLevel="0" collapsed="false">
      <c r="A701" s="0" t="s">
        <v>621</v>
      </c>
      <c r="B701" s="0" t="s">
        <v>429</v>
      </c>
      <c r="C701" s="0" t="s">
        <v>622</v>
      </c>
      <c r="D701" s="0" t="s">
        <v>623</v>
      </c>
      <c r="E701" s="0" t="s">
        <v>131</v>
      </c>
      <c r="F701" s="0" t="s">
        <v>244</v>
      </c>
      <c r="G701" s="0" t="s">
        <v>628</v>
      </c>
      <c r="H701" s="0" t="s">
        <v>625</v>
      </c>
      <c r="I701" s="0" t="s">
        <v>626</v>
      </c>
      <c r="J701" s="0" t="s">
        <v>627</v>
      </c>
      <c r="K701" s="475" t="n">
        <v>36861</v>
      </c>
      <c r="L701" s="254" t="n">
        <v>206779.590233654</v>
      </c>
      <c r="M701" s="475" t="n">
        <v>36859</v>
      </c>
      <c r="N701" s="0" t="s">
        <v>132</v>
      </c>
      <c r="O701" s="0" t="n">
        <v>0.95</v>
      </c>
      <c r="P701" s="0" t="n">
        <v>0</v>
      </c>
      <c r="Q701" s="0" t="n">
        <v>0</v>
      </c>
      <c r="R701" s="0" t="n">
        <v>0</v>
      </c>
      <c r="S701" s="0" t="n">
        <v>0</v>
      </c>
      <c r="T701" s="0" t="s">
        <v>624</v>
      </c>
      <c r="U701" s="0" t="s">
        <v>149</v>
      </c>
      <c r="V701" s="0" t="s">
        <v>624</v>
      </c>
      <c r="W701" s="0" t="s">
        <v>569</v>
      </c>
      <c r="X701" s="0" t="s">
        <v>624</v>
      </c>
      <c r="Y701" s="0" t="s">
        <v>627</v>
      </c>
      <c r="Z701" s="0" t="s">
        <v>629</v>
      </c>
      <c r="AA701" s="0" t="s">
        <v>624</v>
      </c>
      <c r="AB701" s="0" t="s">
        <v>132</v>
      </c>
      <c r="AC701" s="254" t="n">
        <v>1000000</v>
      </c>
      <c r="AD701" s="254" t="n">
        <v>62140.9663420027</v>
      </c>
      <c r="AE701" s="0" t="n">
        <v>0</v>
      </c>
      <c r="AF701" s="0" t="n">
        <v>0</v>
      </c>
      <c r="AG701" s="0" t="n">
        <v>0</v>
      </c>
      <c r="AH701" s="254" t="n">
        <v>-8118.97310446328</v>
      </c>
      <c r="AI701" s="0" t="n">
        <v>226</v>
      </c>
      <c r="AJ701" s="0" t="s">
        <v>630</v>
      </c>
      <c r="AK701" s="0" t="n">
        <v>0</v>
      </c>
      <c r="AL701" s="0" t="n">
        <v>0</v>
      </c>
      <c r="AM701" s="0" t="n">
        <v>0</v>
      </c>
    </row>
    <row r="702" customFormat="false" ht="12.75" hidden="false" customHeight="false" outlineLevel="0" collapsed="false">
      <c r="A702" s="0" t="s">
        <v>621</v>
      </c>
      <c r="B702" s="0" t="s">
        <v>429</v>
      </c>
      <c r="C702" s="0" t="s">
        <v>622</v>
      </c>
      <c r="D702" s="0" t="s">
        <v>623</v>
      </c>
      <c r="E702" s="0" t="s">
        <v>131</v>
      </c>
      <c r="F702" s="0" t="s">
        <v>244</v>
      </c>
      <c r="G702" s="0" t="s">
        <v>628</v>
      </c>
      <c r="H702" s="0" t="s">
        <v>625</v>
      </c>
      <c r="I702" s="0" t="s">
        <v>626</v>
      </c>
      <c r="J702" s="0" t="s">
        <v>627</v>
      </c>
      <c r="K702" s="475" t="n">
        <v>36892</v>
      </c>
      <c r="L702" s="254" t="n">
        <v>154296.153120931</v>
      </c>
      <c r="M702" s="475" t="n">
        <v>36888</v>
      </c>
      <c r="N702" s="0" t="s">
        <v>132</v>
      </c>
      <c r="O702" s="0" t="n">
        <v>0.95</v>
      </c>
      <c r="P702" s="0" t="n">
        <v>0</v>
      </c>
      <c r="Q702" s="0" t="n">
        <v>0</v>
      </c>
      <c r="R702" s="0" t="n">
        <v>0</v>
      </c>
      <c r="S702" s="0" t="n">
        <v>0</v>
      </c>
      <c r="T702" s="0" t="s">
        <v>624</v>
      </c>
      <c r="U702" s="0" t="s">
        <v>149</v>
      </c>
      <c r="V702" s="0" t="s">
        <v>624</v>
      </c>
      <c r="W702" s="0" t="s">
        <v>569</v>
      </c>
      <c r="X702" s="0" t="s">
        <v>624</v>
      </c>
      <c r="Y702" s="0" t="s">
        <v>627</v>
      </c>
      <c r="Z702" s="0" t="s">
        <v>629</v>
      </c>
      <c r="AA702" s="0" t="s">
        <v>624</v>
      </c>
      <c r="AB702" s="0" t="s">
        <v>132</v>
      </c>
      <c r="AC702" s="254" t="n">
        <v>1000000</v>
      </c>
      <c r="AD702" s="254" t="n">
        <v>58574.1506508834</v>
      </c>
      <c r="AE702" s="0" t="n">
        <v>0</v>
      </c>
      <c r="AF702" s="0" t="n">
        <v>0</v>
      </c>
      <c r="AG702" s="0" t="n">
        <v>0</v>
      </c>
      <c r="AH702" s="254" t="n">
        <v>-7225.33047493725</v>
      </c>
      <c r="AI702" s="0" t="n">
        <v>226</v>
      </c>
      <c r="AJ702" s="0" t="s">
        <v>630</v>
      </c>
      <c r="AK702" s="0" t="n">
        <v>0</v>
      </c>
      <c r="AL702" s="0" t="n">
        <v>0</v>
      </c>
      <c r="AM702" s="0" t="n">
        <v>0</v>
      </c>
    </row>
    <row r="703" customFormat="false" ht="12.75" hidden="false" customHeight="false" outlineLevel="0" collapsed="false">
      <c r="A703" s="0" t="s">
        <v>621</v>
      </c>
      <c r="B703" s="0" t="s">
        <v>429</v>
      </c>
      <c r="C703" s="0" t="s">
        <v>622</v>
      </c>
      <c r="D703" s="0" t="s">
        <v>623</v>
      </c>
      <c r="E703" s="0" t="s">
        <v>131</v>
      </c>
      <c r="F703" s="0" t="s">
        <v>244</v>
      </c>
      <c r="G703" s="0" t="s">
        <v>628</v>
      </c>
      <c r="H703" s="0" t="s">
        <v>625</v>
      </c>
      <c r="I703" s="0" t="s">
        <v>626</v>
      </c>
      <c r="J703" s="0" t="s">
        <v>627</v>
      </c>
      <c r="K703" s="475" t="n">
        <v>36923</v>
      </c>
      <c r="L703" s="254" t="n">
        <v>190761.07387738</v>
      </c>
      <c r="M703" s="475" t="n">
        <v>36921</v>
      </c>
      <c r="N703" s="0" t="s">
        <v>132</v>
      </c>
      <c r="O703" s="0" t="n">
        <v>0.95</v>
      </c>
      <c r="P703" s="0" t="n">
        <v>0</v>
      </c>
      <c r="Q703" s="0" t="n">
        <v>0</v>
      </c>
      <c r="R703" s="0" t="n">
        <v>0</v>
      </c>
      <c r="S703" s="0" t="n">
        <v>0</v>
      </c>
      <c r="T703" s="0" t="s">
        <v>624</v>
      </c>
      <c r="U703" s="0" t="s">
        <v>149</v>
      </c>
      <c r="V703" s="0" t="s">
        <v>624</v>
      </c>
      <c r="W703" s="0" t="s">
        <v>569</v>
      </c>
      <c r="X703" s="0" t="s">
        <v>624</v>
      </c>
      <c r="Y703" s="0" t="s">
        <v>627</v>
      </c>
      <c r="Z703" s="0" t="s">
        <v>629</v>
      </c>
      <c r="AA703" s="0" t="s">
        <v>624</v>
      </c>
      <c r="AB703" s="0" t="s">
        <v>132</v>
      </c>
      <c r="AC703" s="254" t="n">
        <v>1000000</v>
      </c>
      <c r="AD703" s="254" t="n">
        <v>68957.8119889388</v>
      </c>
      <c r="AE703" s="0" t="n">
        <v>0</v>
      </c>
      <c r="AF703" s="0" t="n">
        <v>0</v>
      </c>
      <c r="AG703" s="0" t="n">
        <v>0</v>
      </c>
      <c r="AH703" s="254" t="n">
        <v>-9846.62615787357</v>
      </c>
      <c r="AI703" s="0" t="n">
        <v>226</v>
      </c>
      <c r="AJ703" s="0" t="s">
        <v>630</v>
      </c>
      <c r="AK703" s="0" t="n">
        <v>0</v>
      </c>
      <c r="AL703" s="0" t="n">
        <v>0</v>
      </c>
      <c r="AM703" s="0" t="n">
        <v>0</v>
      </c>
    </row>
    <row r="704" customFormat="false" ht="12.75" hidden="false" customHeight="false" outlineLevel="0" collapsed="false">
      <c r="A704" s="0" t="s">
        <v>621</v>
      </c>
      <c r="B704" s="0" t="s">
        <v>429</v>
      </c>
      <c r="C704" s="0" t="s">
        <v>622</v>
      </c>
      <c r="D704" s="0" t="s">
        <v>623</v>
      </c>
      <c r="E704" s="0" t="s">
        <v>131</v>
      </c>
      <c r="F704" s="0" t="s">
        <v>244</v>
      </c>
      <c r="G704" s="0" t="s">
        <v>628</v>
      </c>
      <c r="H704" s="0" t="s">
        <v>625</v>
      </c>
      <c r="I704" s="0" t="s">
        <v>626</v>
      </c>
      <c r="J704" s="0" t="s">
        <v>627</v>
      </c>
      <c r="K704" s="475" t="n">
        <v>36951</v>
      </c>
      <c r="L704" s="254" t="n">
        <v>439193.574841963</v>
      </c>
      <c r="M704" s="475" t="n">
        <v>36949</v>
      </c>
      <c r="N704" s="0" t="s">
        <v>132</v>
      </c>
      <c r="O704" s="0" t="n">
        <v>0.95</v>
      </c>
      <c r="P704" s="0" t="n">
        <v>0</v>
      </c>
      <c r="Q704" s="0" t="n">
        <v>0</v>
      </c>
      <c r="R704" s="0" t="n">
        <v>0</v>
      </c>
      <c r="S704" s="0" t="n">
        <v>0</v>
      </c>
      <c r="T704" s="0" t="s">
        <v>624</v>
      </c>
      <c r="U704" s="0" t="s">
        <v>149</v>
      </c>
      <c r="V704" s="0" t="s">
        <v>624</v>
      </c>
      <c r="W704" s="0" t="s">
        <v>569</v>
      </c>
      <c r="X704" s="0" t="s">
        <v>624</v>
      </c>
      <c r="Y704" s="0" t="s">
        <v>627</v>
      </c>
      <c r="Z704" s="0" t="s">
        <v>629</v>
      </c>
      <c r="AA704" s="0" t="s">
        <v>624</v>
      </c>
      <c r="AB704" s="0" t="s">
        <v>132</v>
      </c>
      <c r="AC704" s="254" t="n">
        <v>1000000</v>
      </c>
      <c r="AD704" s="254" t="n">
        <v>88919.3778648612</v>
      </c>
      <c r="AE704" s="0" t="n">
        <v>0</v>
      </c>
      <c r="AF704" s="0" t="n">
        <v>0</v>
      </c>
      <c r="AG704" s="0" t="n">
        <v>0</v>
      </c>
      <c r="AH704" s="254" t="n">
        <v>-19838.1830838166</v>
      </c>
      <c r="AI704" s="0" t="n">
        <v>226</v>
      </c>
      <c r="AJ704" s="0" t="s">
        <v>630</v>
      </c>
      <c r="AK704" s="0" t="n">
        <v>0</v>
      </c>
      <c r="AL704" s="0" t="n">
        <v>0</v>
      </c>
      <c r="AM704" s="0" t="n">
        <v>0</v>
      </c>
    </row>
    <row r="705" customFormat="false" ht="12.75" hidden="false" customHeight="false" outlineLevel="0" collapsed="false">
      <c r="A705" s="0" t="s">
        <v>621</v>
      </c>
      <c r="B705" s="0" t="s">
        <v>430</v>
      </c>
      <c r="C705" s="0" t="s">
        <v>622</v>
      </c>
      <c r="D705" s="0" t="s">
        <v>623</v>
      </c>
      <c r="E705" s="0" t="s">
        <v>131</v>
      </c>
      <c r="F705" s="0" t="s">
        <v>198</v>
      </c>
      <c r="G705" s="0" t="s">
        <v>628</v>
      </c>
      <c r="H705" s="0" t="s">
        <v>625</v>
      </c>
      <c r="I705" s="0" t="s">
        <v>626</v>
      </c>
      <c r="J705" s="0" t="s">
        <v>627</v>
      </c>
      <c r="K705" s="475" t="n">
        <v>36800</v>
      </c>
      <c r="L705" s="254" t="n">
        <v>509416.194654487</v>
      </c>
      <c r="M705" s="475" t="n">
        <v>36797</v>
      </c>
      <c r="N705" s="0" t="s">
        <v>132</v>
      </c>
      <c r="O705" s="0" t="n">
        <v>-0.65</v>
      </c>
      <c r="P705" s="0" t="n">
        <v>0</v>
      </c>
      <c r="Q705" s="0" t="n">
        <v>0</v>
      </c>
      <c r="R705" s="0" t="n">
        <v>0</v>
      </c>
      <c r="S705" s="0" t="n">
        <v>0</v>
      </c>
      <c r="T705" s="0" t="s">
        <v>624</v>
      </c>
      <c r="U705" s="0" t="s">
        <v>151</v>
      </c>
      <c r="V705" s="0" t="s">
        <v>624</v>
      </c>
      <c r="W705" s="0" t="s">
        <v>569</v>
      </c>
      <c r="X705" s="0" t="s">
        <v>624</v>
      </c>
      <c r="Y705" s="0" t="s">
        <v>627</v>
      </c>
      <c r="Z705" s="0" t="s">
        <v>629</v>
      </c>
      <c r="AA705" s="0" t="s">
        <v>624</v>
      </c>
      <c r="AB705" s="0" t="s">
        <v>132</v>
      </c>
      <c r="AC705" s="254" t="n">
        <v>2000000</v>
      </c>
      <c r="AD705" s="254" t="n">
        <v>66784.9721725497</v>
      </c>
      <c r="AE705" s="0" t="n">
        <v>0</v>
      </c>
      <c r="AF705" s="0" t="n">
        <v>0</v>
      </c>
      <c r="AG705" s="0" t="n">
        <v>0</v>
      </c>
      <c r="AH705" s="254" t="n">
        <v>80806.7460040564</v>
      </c>
      <c r="AI705" s="0" t="n">
        <v>226</v>
      </c>
      <c r="AJ705" s="0" t="s">
        <v>630</v>
      </c>
      <c r="AK705" s="0" t="n">
        <v>0</v>
      </c>
      <c r="AL705" s="0" t="n">
        <v>0</v>
      </c>
      <c r="AM705" s="0" t="n">
        <v>0</v>
      </c>
    </row>
    <row r="706" customFormat="false" ht="12.75" hidden="false" customHeight="false" outlineLevel="0" collapsed="false">
      <c r="A706" s="0" t="s">
        <v>621</v>
      </c>
      <c r="B706" s="0" t="s">
        <v>431</v>
      </c>
      <c r="C706" s="0" t="s">
        <v>622</v>
      </c>
      <c r="D706" s="0" t="s">
        <v>623</v>
      </c>
      <c r="E706" s="0" t="s">
        <v>131</v>
      </c>
      <c r="F706" s="0" t="s">
        <v>198</v>
      </c>
      <c r="G706" s="0" t="s">
        <v>628</v>
      </c>
      <c r="H706" s="0" t="s">
        <v>625</v>
      </c>
      <c r="I706" s="0" t="s">
        <v>626</v>
      </c>
      <c r="J706" s="0" t="s">
        <v>627</v>
      </c>
      <c r="K706" s="475" t="n">
        <v>36800</v>
      </c>
      <c r="L706" s="254" t="n">
        <v>509416.194654487</v>
      </c>
      <c r="M706" s="475" t="n">
        <v>36797</v>
      </c>
      <c r="N706" s="0" t="s">
        <v>132</v>
      </c>
      <c r="O706" s="0" t="n">
        <v>-0.65</v>
      </c>
      <c r="P706" s="0" t="n">
        <v>0</v>
      </c>
      <c r="Q706" s="0" t="n">
        <v>0</v>
      </c>
      <c r="R706" s="0" t="n">
        <v>0</v>
      </c>
      <c r="S706" s="0" t="n">
        <v>0</v>
      </c>
      <c r="T706" s="0" t="s">
        <v>624</v>
      </c>
      <c r="U706" s="0" t="s">
        <v>151</v>
      </c>
      <c r="V706" s="0" t="s">
        <v>624</v>
      </c>
      <c r="W706" s="0" t="s">
        <v>569</v>
      </c>
      <c r="X706" s="0" t="s">
        <v>624</v>
      </c>
      <c r="Y706" s="0" t="s">
        <v>627</v>
      </c>
      <c r="Z706" s="0" t="s">
        <v>629</v>
      </c>
      <c r="AA706" s="0" t="s">
        <v>624</v>
      </c>
      <c r="AB706" s="0" t="s">
        <v>132</v>
      </c>
      <c r="AC706" s="254" t="n">
        <v>2000000</v>
      </c>
      <c r="AD706" s="254" t="n">
        <v>66784.9721725497</v>
      </c>
      <c r="AE706" s="0" t="n">
        <v>0</v>
      </c>
      <c r="AF706" s="0" t="n">
        <v>0</v>
      </c>
      <c r="AG706" s="0" t="n">
        <v>0</v>
      </c>
      <c r="AH706" s="254" t="n">
        <v>80806.7460040564</v>
      </c>
      <c r="AI706" s="0" t="n">
        <v>226</v>
      </c>
      <c r="AJ706" s="0" t="s">
        <v>630</v>
      </c>
      <c r="AK706" s="0" t="n">
        <v>0</v>
      </c>
      <c r="AL706" s="0" t="n">
        <v>0</v>
      </c>
      <c r="AM706" s="0" t="n">
        <v>0</v>
      </c>
    </row>
    <row r="707" customFormat="false" ht="12.75" hidden="false" customHeight="false" outlineLevel="0" collapsed="false">
      <c r="A707" s="0" t="s">
        <v>621</v>
      </c>
      <c r="B707" s="0" t="s">
        <v>432</v>
      </c>
      <c r="C707" s="0" t="s">
        <v>622</v>
      </c>
      <c r="D707" s="0" t="s">
        <v>623</v>
      </c>
      <c r="E707" s="0" t="s">
        <v>131</v>
      </c>
      <c r="F707" s="0" t="s">
        <v>206</v>
      </c>
      <c r="G707" s="0" t="s">
        <v>628</v>
      </c>
      <c r="H707" s="0" t="s">
        <v>625</v>
      </c>
      <c r="I707" s="0" t="s">
        <v>626</v>
      </c>
      <c r="J707" s="0" t="s">
        <v>627</v>
      </c>
      <c r="K707" s="475" t="n">
        <v>36982</v>
      </c>
      <c r="L707" s="254" t="n">
        <v>92397.7015469936</v>
      </c>
      <c r="M707" s="475" t="n">
        <v>36979</v>
      </c>
      <c r="N707" s="0" t="s">
        <v>136</v>
      </c>
      <c r="O707" s="0" t="n">
        <v>0.42</v>
      </c>
      <c r="P707" s="0" t="n">
        <v>0</v>
      </c>
      <c r="Q707" s="0" t="n">
        <v>0</v>
      </c>
      <c r="R707" s="0" t="n">
        <v>0</v>
      </c>
      <c r="S707" s="0" t="n">
        <v>0</v>
      </c>
      <c r="T707" s="0" t="s">
        <v>624</v>
      </c>
      <c r="U707" s="0" t="s">
        <v>149</v>
      </c>
      <c r="V707" s="0" t="s">
        <v>624</v>
      </c>
      <c r="W707" s="0" t="s">
        <v>569</v>
      </c>
      <c r="X707" s="0" t="s">
        <v>624</v>
      </c>
      <c r="Y707" s="0" t="s">
        <v>627</v>
      </c>
      <c r="Z707" s="0" t="s">
        <v>629</v>
      </c>
      <c r="AA707" s="0" t="s">
        <v>624</v>
      </c>
      <c r="AB707" s="0" t="s">
        <v>132</v>
      </c>
      <c r="AC707" s="254" t="n">
        <v>500000</v>
      </c>
      <c r="AD707" s="254" t="n">
        <v>12771.2121692413</v>
      </c>
      <c r="AE707" s="0" t="n">
        <v>0</v>
      </c>
      <c r="AF707" s="0" t="n">
        <v>0</v>
      </c>
      <c r="AG707" s="0" t="n">
        <v>0</v>
      </c>
      <c r="AH707" s="254" t="n">
        <v>608.812984250792</v>
      </c>
      <c r="AI707" s="0" t="n">
        <v>226</v>
      </c>
      <c r="AJ707" s="0" t="s">
        <v>630</v>
      </c>
      <c r="AK707" s="0" t="n">
        <v>0</v>
      </c>
      <c r="AL707" s="0" t="n">
        <v>0</v>
      </c>
      <c r="AM707" s="0" t="n">
        <v>0</v>
      </c>
    </row>
    <row r="708" customFormat="false" ht="12.75" hidden="false" customHeight="false" outlineLevel="0" collapsed="false">
      <c r="A708" s="0" t="s">
        <v>621</v>
      </c>
      <c r="B708" s="0" t="s">
        <v>432</v>
      </c>
      <c r="C708" s="0" t="s">
        <v>622</v>
      </c>
      <c r="D708" s="0" t="s">
        <v>623</v>
      </c>
      <c r="E708" s="0" t="s">
        <v>131</v>
      </c>
      <c r="F708" s="0" t="s">
        <v>206</v>
      </c>
      <c r="G708" s="0" t="s">
        <v>628</v>
      </c>
      <c r="H708" s="0" t="s">
        <v>625</v>
      </c>
      <c r="I708" s="0" t="s">
        <v>626</v>
      </c>
      <c r="J708" s="0" t="s">
        <v>627</v>
      </c>
      <c r="K708" s="475" t="n">
        <v>37012</v>
      </c>
      <c r="L708" s="254" t="n">
        <v>57853.3291904148</v>
      </c>
      <c r="M708" s="475" t="n">
        <v>37008</v>
      </c>
      <c r="N708" s="0" t="s">
        <v>136</v>
      </c>
      <c r="O708" s="0" t="n">
        <v>0.42</v>
      </c>
      <c r="P708" s="0" t="n">
        <v>0</v>
      </c>
      <c r="Q708" s="0" t="n">
        <v>0</v>
      </c>
      <c r="R708" s="0" t="n">
        <v>0</v>
      </c>
      <c r="S708" s="0" t="n">
        <v>0</v>
      </c>
      <c r="T708" s="0" t="s">
        <v>624</v>
      </c>
      <c r="U708" s="0" t="s">
        <v>149</v>
      </c>
      <c r="V708" s="0" t="s">
        <v>624</v>
      </c>
      <c r="W708" s="0" t="s">
        <v>569</v>
      </c>
      <c r="X708" s="0" t="s">
        <v>624</v>
      </c>
      <c r="Y708" s="0" t="s">
        <v>627</v>
      </c>
      <c r="Z708" s="0" t="s">
        <v>629</v>
      </c>
      <c r="AA708" s="0" t="s">
        <v>624</v>
      </c>
      <c r="AB708" s="0" t="s">
        <v>132</v>
      </c>
      <c r="AC708" s="254" t="n">
        <v>500000</v>
      </c>
      <c r="AD708" s="254" t="n">
        <v>12953.3489128378</v>
      </c>
      <c r="AE708" s="0" t="n">
        <v>0</v>
      </c>
      <c r="AF708" s="0" t="n">
        <v>0</v>
      </c>
      <c r="AG708" s="0" t="n">
        <v>0</v>
      </c>
      <c r="AH708" s="254" t="n">
        <v>616.89143310162</v>
      </c>
      <c r="AI708" s="0" t="n">
        <v>226</v>
      </c>
      <c r="AJ708" s="0" t="s">
        <v>630</v>
      </c>
      <c r="AK708" s="0" t="n">
        <v>0</v>
      </c>
      <c r="AL708" s="0" t="n">
        <v>0</v>
      </c>
      <c r="AM708" s="0" t="n">
        <v>0</v>
      </c>
    </row>
    <row r="709" customFormat="false" ht="12.75" hidden="false" customHeight="false" outlineLevel="0" collapsed="false">
      <c r="A709" s="0" t="s">
        <v>621</v>
      </c>
      <c r="B709" s="0" t="s">
        <v>432</v>
      </c>
      <c r="C709" s="0" t="s">
        <v>622</v>
      </c>
      <c r="D709" s="0" t="s">
        <v>623</v>
      </c>
      <c r="E709" s="0" t="s">
        <v>131</v>
      </c>
      <c r="F709" s="0" t="s">
        <v>206</v>
      </c>
      <c r="G709" s="0" t="s">
        <v>628</v>
      </c>
      <c r="H709" s="0" t="s">
        <v>625</v>
      </c>
      <c r="I709" s="0" t="s">
        <v>626</v>
      </c>
      <c r="J709" s="0" t="s">
        <v>627</v>
      </c>
      <c r="K709" s="475" t="n">
        <v>37043</v>
      </c>
      <c r="L709" s="254" t="n">
        <v>58086.0615532793</v>
      </c>
      <c r="M709" s="475" t="n">
        <v>37041</v>
      </c>
      <c r="N709" s="0" t="s">
        <v>136</v>
      </c>
      <c r="O709" s="0" t="n">
        <v>0.42</v>
      </c>
      <c r="P709" s="0" t="n">
        <v>0</v>
      </c>
      <c r="Q709" s="0" t="n">
        <v>0</v>
      </c>
      <c r="R709" s="0" t="n">
        <v>0</v>
      </c>
      <c r="S709" s="0" t="n">
        <v>0</v>
      </c>
      <c r="T709" s="0" t="s">
        <v>624</v>
      </c>
      <c r="U709" s="0" t="s">
        <v>149</v>
      </c>
      <c r="V709" s="0" t="s">
        <v>624</v>
      </c>
      <c r="W709" s="0" t="s">
        <v>569</v>
      </c>
      <c r="X709" s="0" t="s">
        <v>624</v>
      </c>
      <c r="Y709" s="0" t="s">
        <v>627</v>
      </c>
      <c r="Z709" s="0" t="s">
        <v>629</v>
      </c>
      <c r="AA709" s="0" t="s">
        <v>624</v>
      </c>
      <c r="AB709" s="0" t="s">
        <v>132</v>
      </c>
      <c r="AC709" s="254" t="n">
        <v>500000</v>
      </c>
      <c r="AD709" s="254" t="n">
        <v>13526.1157628568</v>
      </c>
      <c r="AE709" s="0" t="n">
        <v>0</v>
      </c>
      <c r="AF709" s="0" t="n">
        <v>0</v>
      </c>
      <c r="AG709" s="0" t="n">
        <v>0</v>
      </c>
      <c r="AH709" s="254" t="n">
        <v>643.589717072195</v>
      </c>
      <c r="AI709" s="0" t="n">
        <v>226</v>
      </c>
      <c r="AJ709" s="0" t="s">
        <v>630</v>
      </c>
      <c r="AK709" s="0" t="n">
        <v>0</v>
      </c>
      <c r="AL709" s="0" t="n">
        <v>0</v>
      </c>
      <c r="AM709" s="0" t="n">
        <v>0</v>
      </c>
    </row>
    <row r="710" customFormat="false" ht="12.75" hidden="false" customHeight="false" outlineLevel="0" collapsed="false">
      <c r="A710" s="0" t="s">
        <v>621</v>
      </c>
      <c r="B710" s="0" t="s">
        <v>432</v>
      </c>
      <c r="C710" s="0" t="s">
        <v>622</v>
      </c>
      <c r="D710" s="0" t="s">
        <v>623</v>
      </c>
      <c r="E710" s="0" t="s">
        <v>131</v>
      </c>
      <c r="F710" s="0" t="s">
        <v>206</v>
      </c>
      <c r="G710" s="0" t="s">
        <v>628</v>
      </c>
      <c r="H710" s="0" t="s">
        <v>625</v>
      </c>
      <c r="I710" s="0" t="s">
        <v>626</v>
      </c>
      <c r="J710" s="0" t="s">
        <v>627</v>
      </c>
      <c r="K710" s="475" t="n">
        <v>37073</v>
      </c>
      <c r="L710" s="254" t="n">
        <v>76999.3259462839</v>
      </c>
      <c r="M710" s="475" t="n">
        <v>37070</v>
      </c>
      <c r="N710" s="0" t="s">
        <v>136</v>
      </c>
      <c r="O710" s="0" t="n">
        <v>0.42</v>
      </c>
      <c r="P710" s="0" t="n">
        <v>0</v>
      </c>
      <c r="Q710" s="0" t="n">
        <v>0</v>
      </c>
      <c r="R710" s="0" t="n">
        <v>0</v>
      </c>
      <c r="S710" s="0" t="n">
        <v>0</v>
      </c>
      <c r="T710" s="0" t="s">
        <v>624</v>
      </c>
      <c r="U710" s="0" t="s">
        <v>149</v>
      </c>
      <c r="V710" s="0" t="s">
        <v>624</v>
      </c>
      <c r="W710" s="0" t="s">
        <v>569</v>
      </c>
      <c r="X710" s="0" t="s">
        <v>624</v>
      </c>
      <c r="Y710" s="0" t="s">
        <v>627</v>
      </c>
      <c r="Z710" s="0" t="s">
        <v>629</v>
      </c>
      <c r="AA710" s="0" t="s">
        <v>624</v>
      </c>
      <c r="AB710" s="0" t="s">
        <v>132</v>
      </c>
      <c r="AC710" s="254" t="n">
        <v>500000</v>
      </c>
      <c r="AD710" s="254" t="n">
        <v>14021.2802389594</v>
      </c>
      <c r="AE710" s="0" t="n">
        <v>0</v>
      </c>
      <c r="AF710" s="0" t="n">
        <v>0</v>
      </c>
      <c r="AG710" s="0" t="n">
        <v>0</v>
      </c>
      <c r="AH710" s="254" t="n">
        <v>666.696667073789</v>
      </c>
      <c r="AI710" s="0" t="n">
        <v>226</v>
      </c>
      <c r="AJ710" s="0" t="s">
        <v>630</v>
      </c>
      <c r="AK710" s="0" t="n">
        <v>0</v>
      </c>
      <c r="AL710" s="0" t="n">
        <v>0</v>
      </c>
      <c r="AM710" s="0" t="n">
        <v>0</v>
      </c>
    </row>
    <row r="711" customFormat="false" ht="12.75" hidden="false" customHeight="false" outlineLevel="0" collapsed="false">
      <c r="A711" s="0" t="s">
        <v>621</v>
      </c>
      <c r="B711" s="0" t="s">
        <v>432</v>
      </c>
      <c r="C711" s="0" t="s">
        <v>622</v>
      </c>
      <c r="D711" s="0" t="s">
        <v>623</v>
      </c>
      <c r="E711" s="0" t="s">
        <v>131</v>
      </c>
      <c r="F711" s="0" t="s">
        <v>206</v>
      </c>
      <c r="G711" s="0" t="s">
        <v>628</v>
      </c>
      <c r="H711" s="0" t="s">
        <v>625</v>
      </c>
      <c r="I711" s="0" t="s">
        <v>626</v>
      </c>
      <c r="J711" s="0" t="s">
        <v>627</v>
      </c>
      <c r="K711" s="475" t="n">
        <v>37104</v>
      </c>
      <c r="L711" s="254" t="n">
        <v>80035.622545812</v>
      </c>
      <c r="M711" s="475" t="n">
        <v>37102</v>
      </c>
      <c r="N711" s="0" t="s">
        <v>136</v>
      </c>
      <c r="O711" s="0" t="n">
        <v>0.42</v>
      </c>
      <c r="P711" s="0" t="n">
        <v>0</v>
      </c>
      <c r="Q711" s="0" t="n">
        <v>0</v>
      </c>
      <c r="R711" s="0" t="n">
        <v>0</v>
      </c>
      <c r="S711" s="0" t="n">
        <v>0</v>
      </c>
      <c r="T711" s="0" t="s">
        <v>624</v>
      </c>
      <c r="U711" s="0" t="s">
        <v>149</v>
      </c>
      <c r="V711" s="0" t="s">
        <v>624</v>
      </c>
      <c r="W711" s="0" t="s">
        <v>569</v>
      </c>
      <c r="X711" s="0" t="s">
        <v>624</v>
      </c>
      <c r="Y711" s="0" t="s">
        <v>627</v>
      </c>
      <c r="Z711" s="0" t="s">
        <v>629</v>
      </c>
      <c r="AA711" s="0" t="s">
        <v>624</v>
      </c>
      <c r="AB711" s="0" t="s">
        <v>132</v>
      </c>
      <c r="AC711" s="254" t="n">
        <v>500000</v>
      </c>
      <c r="AD711" s="254" t="n">
        <v>14663.9191717419</v>
      </c>
      <c r="AE711" s="0" t="n">
        <v>0</v>
      </c>
      <c r="AF711" s="0" t="n">
        <v>0</v>
      </c>
      <c r="AG711" s="0" t="n">
        <v>0</v>
      </c>
      <c r="AH711" s="254" t="n">
        <v>696.973882940773</v>
      </c>
      <c r="AI711" s="0" t="n">
        <v>226</v>
      </c>
      <c r="AJ711" s="0" t="s">
        <v>630</v>
      </c>
      <c r="AK711" s="0" t="n">
        <v>0</v>
      </c>
      <c r="AL711" s="0" t="n">
        <v>0</v>
      </c>
      <c r="AM711" s="0" t="n">
        <v>0</v>
      </c>
    </row>
    <row r="712" customFormat="false" ht="12.75" hidden="false" customHeight="false" outlineLevel="0" collapsed="false">
      <c r="A712" s="0" t="s">
        <v>621</v>
      </c>
      <c r="B712" s="0" t="s">
        <v>432</v>
      </c>
      <c r="C712" s="0" t="s">
        <v>622</v>
      </c>
      <c r="D712" s="0" t="s">
        <v>623</v>
      </c>
      <c r="E712" s="0" t="s">
        <v>131</v>
      </c>
      <c r="F712" s="0" t="s">
        <v>206</v>
      </c>
      <c r="G712" s="0" t="s">
        <v>628</v>
      </c>
      <c r="H712" s="0" t="s">
        <v>625</v>
      </c>
      <c r="I712" s="0" t="s">
        <v>626</v>
      </c>
      <c r="J712" s="0" t="s">
        <v>627</v>
      </c>
      <c r="K712" s="475" t="n">
        <v>37135</v>
      </c>
      <c r="L712" s="254" t="n">
        <v>66409.4694805755</v>
      </c>
      <c r="M712" s="475" t="n">
        <v>37133</v>
      </c>
      <c r="N712" s="0" t="s">
        <v>136</v>
      </c>
      <c r="O712" s="0" t="n">
        <v>0.42</v>
      </c>
      <c r="P712" s="0" t="n">
        <v>0</v>
      </c>
      <c r="Q712" s="0" t="n">
        <v>0</v>
      </c>
      <c r="R712" s="0" t="n">
        <v>0</v>
      </c>
      <c r="S712" s="0" t="n">
        <v>0</v>
      </c>
      <c r="T712" s="0" t="s">
        <v>624</v>
      </c>
      <c r="U712" s="0" t="s">
        <v>149</v>
      </c>
      <c r="V712" s="0" t="s">
        <v>624</v>
      </c>
      <c r="W712" s="0" t="s">
        <v>569</v>
      </c>
      <c r="X712" s="0" t="s">
        <v>624</v>
      </c>
      <c r="Y712" s="0" t="s">
        <v>627</v>
      </c>
      <c r="Z712" s="0" t="s">
        <v>629</v>
      </c>
      <c r="AA712" s="0" t="s">
        <v>624</v>
      </c>
      <c r="AB712" s="0" t="s">
        <v>132</v>
      </c>
      <c r="AC712" s="254" t="n">
        <v>500000</v>
      </c>
      <c r="AD712" s="254" t="n">
        <v>15346.0064462138</v>
      </c>
      <c r="AE712" s="0" t="n">
        <v>0</v>
      </c>
      <c r="AF712" s="0" t="n">
        <v>0</v>
      </c>
      <c r="AG712" s="0" t="n">
        <v>0</v>
      </c>
      <c r="AH712" s="254" t="n">
        <v>729.289847062079</v>
      </c>
      <c r="AI712" s="0" t="n">
        <v>226</v>
      </c>
      <c r="AJ712" s="0" t="s">
        <v>630</v>
      </c>
      <c r="AK712" s="0" t="n">
        <v>0</v>
      </c>
      <c r="AL712" s="0" t="n">
        <v>0</v>
      </c>
      <c r="AM712" s="0" t="n">
        <v>0</v>
      </c>
    </row>
    <row r="713" customFormat="false" ht="12.75" hidden="false" customHeight="false" outlineLevel="0" collapsed="false">
      <c r="A713" s="0" t="s">
        <v>621</v>
      </c>
      <c r="B713" s="0" t="s">
        <v>432</v>
      </c>
      <c r="C713" s="0" t="s">
        <v>622</v>
      </c>
      <c r="D713" s="0" t="s">
        <v>623</v>
      </c>
      <c r="E713" s="0" t="s">
        <v>131</v>
      </c>
      <c r="F713" s="0" t="s">
        <v>206</v>
      </c>
      <c r="G713" s="0" t="s">
        <v>628</v>
      </c>
      <c r="H713" s="0" t="s">
        <v>625</v>
      </c>
      <c r="I713" s="0" t="s">
        <v>626</v>
      </c>
      <c r="J713" s="0" t="s">
        <v>627</v>
      </c>
      <c r="K713" s="475" t="n">
        <v>37165</v>
      </c>
      <c r="L713" s="254" t="n">
        <v>85034.0830329099</v>
      </c>
      <c r="M713" s="475" t="n">
        <v>37161</v>
      </c>
      <c r="N713" s="0" t="s">
        <v>136</v>
      </c>
      <c r="O713" s="0" t="n">
        <v>0.42</v>
      </c>
      <c r="P713" s="0" t="n">
        <v>0</v>
      </c>
      <c r="Q713" s="0" t="n">
        <v>0</v>
      </c>
      <c r="R713" s="0" t="n">
        <v>0</v>
      </c>
      <c r="S713" s="0" t="n">
        <v>0</v>
      </c>
      <c r="T713" s="0" t="s">
        <v>624</v>
      </c>
      <c r="U713" s="0" t="s">
        <v>149</v>
      </c>
      <c r="V713" s="0" t="s">
        <v>624</v>
      </c>
      <c r="W713" s="0" t="s">
        <v>569</v>
      </c>
      <c r="X713" s="0" t="s">
        <v>624</v>
      </c>
      <c r="Y713" s="0" t="s">
        <v>627</v>
      </c>
      <c r="Z713" s="0" t="s">
        <v>629</v>
      </c>
      <c r="AA713" s="0" t="s">
        <v>624</v>
      </c>
      <c r="AB713" s="0" t="s">
        <v>132</v>
      </c>
      <c r="AC713" s="254" t="n">
        <v>500000</v>
      </c>
      <c r="AD713" s="254" t="n">
        <v>15795.7519275823</v>
      </c>
      <c r="AE713" s="0" t="n">
        <v>0</v>
      </c>
      <c r="AF713" s="0" t="n">
        <v>0</v>
      </c>
      <c r="AG713" s="0" t="n">
        <v>0</v>
      </c>
      <c r="AH713" s="254" t="n">
        <v>751.178812410479</v>
      </c>
      <c r="AI713" s="0" t="n">
        <v>226</v>
      </c>
      <c r="AJ713" s="0" t="s">
        <v>630</v>
      </c>
      <c r="AK713" s="0" t="n">
        <v>0</v>
      </c>
      <c r="AL713" s="0" t="n">
        <v>0</v>
      </c>
      <c r="AM713" s="0" t="n">
        <v>0</v>
      </c>
    </row>
    <row r="714" customFormat="false" ht="12.75" hidden="false" customHeight="false" outlineLevel="0" collapsed="false">
      <c r="A714" s="0" t="s">
        <v>621</v>
      </c>
      <c r="B714" s="0" t="s">
        <v>433</v>
      </c>
      <c r="C714" s="0" t="s">
        <v>622</v>
      </c>
      <c r="D714" s="0" t="s">
        <v>623</v>
      </c>
      <c r="E714" s="0" t="s">
        <v>131</v>
      </c>
      <c r="F714" s="0" t="s">
        <v>206</v>
      </c>
      <c r="G714" s="0" t="s">
        <v>628</v>
      </c>
      <c r="H714" s="0" t="s">
        <v>625</v>
      </c>
      <c r="I714" s="0" t="s">
        <v>626</v>
      </c>
      <c r="J714" s="0" t="s">
        <v>627</v>
      </c>
      <c r="K714" s="475" t="n">
        <v>36982</v>
      </c>
      <c r="L714" s="254" t="n">
        <v>44371.3997075846</v>
      </c>
      <c r="M714" s="475" t="n">
        <v>36979</v>
      </c>
      <c r="N714" s="0" t="s">
        <v>132</v>
      </c>
      <c r="O714" s="0" t="n">
        <v>0.42</v>
      </c>
      <c r="P714" s="0" t="n">
        <v>0</v>
      </c>
      <c r="Q714" s="0" t="n">
        <v>0</v>
      </c>
      <c r="R714" s="0" t="n">
        <v>0</v>
      </c>
      <c r="S714" s="0" t="n">
        <v>0</v>
      </c>
      <c r="T714" s="0" t="s">
        <v>624</v>
      </c>
      <c r="U714" s="0" t="s">
        <v>149</v>
      </c>
      <c r="V714" s="0" t="s">
        <v>624</v>
      </c>
      <c r="W714" s="0" t="s">
        <v>569</v>
      </c>
      <c r="X714" s="0" t="s">
        <v>624</v>
      </c>
      <c r="Y714" s="0" t="s">
        <v>627</v>
      </c>
      <c r="Z714" s="0" t="s">
        <v>629</v>
      </c>
      <c r="AA714" s="0" t="s">
        <v>624</v>
      </c>
      <c r="AB714" s="0" t="s">
        <v>132</v>
      </c>
      <c r="AC714" s="254" t="n">
        <v>500000</v>
      </c>
      <c r="AD714" s="254" t="n">
        <v>12771.2121692413</v>
      </c>
      <c r="AE714" s="0" t="n">
        <v>0</v>
      </c>
      <c r="AF714" s="0" t="n">
        <v>0</v>
      </c>
      <c r="AG714" s="0" t="n">
        <v>0</v>
      </c>
      <c r="AH714" s="254" t="n">
        <v>608.812984250748</v>
      </c>
      <c r="AI714" s="0" t="n">
        <v>226</v>
      </c>
      <c r="AJ714" s="0" t="s">
        <v>630</v>
      </c>
      <c r="AK714" s="0" t="n">
        <v>0</v>
      </c>
      <c r="AL714" s="0" t="n">
        <v>0</v>
      </c>
      <c r="AM714" s="0" t="n">
        <v>0</v>
      </c>
    </row>
    <row r="715" customFormat="false" ht="12.75" hidden="false" customHeight="false" outlineLevel="0" collapsed="false">
      <c r="A715" s="0" t="s">
        <v>621</v>
      </c>
      <c r="B715" s="0" t="s">
        <v>433</v>
      </c>
      <c r="C715" s="0" t="s">
        <v>622</v>
      </c>
      <c r="D715" s="0" t="s">
        <v>623</v>
      </c>
      <c r="E715" s="0" t="s">
        <v>131</v>
      </c>
      <c r="F715" s="0" t="s">
        <v>206</v>
      </c>
      <c r="G715" s="0" t="s">
        <v>628</v>
      </c>
      <c r="H715" s="0" t="s">
        <v>625</v>
      </c>
      <c r="I715" s="0" t="s">
        <v>626</v>
      </c>
      <c r="J715" s="0" t="s">
        <v>627</v>
      </c>
      <c r="K715" s="475" t="n">
        <v>37012</v>
      </c>
      <c r="L715" s="254" t="n">
        <v>65017.6937409739</v>
      </c>
      <c r="M715" s="475" t="n">
        <v>37008</v>
      </c>
      <c r="N715" s="0" t="s">
        <v>132</v>
      </c>
      <c r="O715" s="0" t="n">
        <v>0.42</v>
      </c>
      <c r="P715" s="0" t="n">
        <v>0</v>
      </c>
      <c r="Q715" s="0" t="n">
        <v>0</v>
      </c>
      <c r="R715" s="0" t="n">
        <v>0</v>
      </c>
      <c r="S715" s="0" t="n">
        <v>0</v>
      </c>
      <c r="T715" s="0" t="s">
        <v>624</v>
      </c>
      <c r="U715" s="0" t="s">
        <v>149</v>
      </c>
      <c r="V715" s="0" t="s">
        <v>624</v>
      </c>
      <c r="W715" s="0" t="s">
        <v>569</v>
      </c>
      <c r="X715" s="0" t="s">
        <v>624</v>
      </c>
      <c r="Y715" s="0" t="s">
        <v>627</v>
      </c>
      <c r="Z715" s="0" t="s">
        <v>629</v>
      </c>
      <c r="AA715" s="0" t="s">
        <v>624</v>
      </c>
      <c r="AB715" s="0" t="s">
        <v>132</v>
      </c>
      <c r="AC715" s="254" t="n">
        <v>500000</v>
      </c>
      <c r="AD715" s="254" t="n">
        <v>12953.3489128378</v>
      </c>
      <c r="AE715" s="0" t="n">
        <v>0</v>
      </c>
      <c r="AF715" s="0" t="n">
        <v>0</v>
      </c>
      <c r="AG715" s="0" t="n">
        <v>0</v>
      </c>
      <c r="AH715" s="254" t="n">
        <v>616.891433101504</v>
      </c>
      <c r="AI715" s="0" t="n">
        <v>226</v>
      </c>
      <c r="AJ715" s="0" t="s">
        <v>630</v>
      </c>
      <c r="AK715" s="0" t="n">
        <v>0</v>
      </c>
      <c r="AL715" s="0" t="n">
        <v>0</v>
      </c>
      <c r="AM715" s="0" t="n">
        <v>0</v>
      </c>
    </row>
    <row r="716" customFormat="false" ht="12.75" hidden="false" customHeight="false" outlineLevel="0" collapsed="false">
      <c r="A716" s="0" t="s">
        <v>621</v>
      </c>
      <c r="B716" s="0" t="s">
        <v>433</v>
      </c>
      <c r="C716" s="0" t="s">
        <v>622</v>
      </c>
      <c r="D716" s="0" t="s">
        <v>623</v>
      </c>
      <c r="E716" s="0" t="s">
        <v>131</v>
      </c>
      <c r="F716" s="0" t="s">
        <v>206</v>
      </c>
      <c r="G716" s="0" t="s">
        <v>628</v>
      </c>
      <c r="H716" s="0" t="s">
        <v>625</v>
      </c>
      <c r="I716" s="0" t="s">
        <v>626</v>
      </c>
      <c r="J716" s="0" t="s">
        <v>627</v>
      </c>
      <c r="K716" s="475" t="n">
        <v>37043</v>
      </c>
      <c r="L716" s="254" t="n">
        <v>69951.989497125</v>
      </c>
      <c r="M716" s="475" t="n">
        <v>37041</v>
      </c>
      <c r="N716" s="0" t="s">
        <v>132</v>
      </c>
      <c r="O716" s="0" t="n">
        <v>0.42</v>
      </c>
      <c r="P716" s="0" t="n">
        <v>0</v>
      </c>
      <c r="Q716" s="0" t="n">
        <v>0</v>
      </c>
      <c r="R716" s="0" t="n">
        <v>0</v>
      </c>
      <c r="S716" s="0" t="n">
        <v>0</v>
      </c>
      <c r="T716" s="0" t="s">
        <v>624</v>
      </c>
      <c r="U716" s="0" t="s">
        <v>149</v>
      </c>
      <c r="V716" s="0" t="s">
        <v>624</v>
      </c>
      <c r="W716" s="0" t="s">
        <v>569</v>
      </c>
      <c r="X716" s="0" t="s">
        <v>624</v>
      </c>
      <c r="Y716" s="0" t="s">
        <v>627</v>
      </c>
      <c r="Z716" s="0" t="s">
        <v>629</v>
      </c>
      <c r="AA716" s="0" t="s">
        <v>624</v>
      </c>
      <c r="AB716" s="0" t="s">
        <v>132</v>
      </c>
      <c r="AC716" s="254" t="n">
        <v>500000</v>
      </c>
      <c r="AD716" s="254" t="n">
        <v>13526.1157628569</v>
      </c>
      <c r="AE716" s="0" t="n">
        <v>0</v>
      </c>
      <c r="AF716" s="0" t="n">
        <v>0</v>
      </c>
      <c r="AG716" s="0" t="n">
        <v>0</v>
      </c>
      <c r="AH716" s="254" t="n">
        <v>643.589717072231</v>
      </c>
      <c r="AI716" s="0" t="n">
        <v>226</v>
      </c>
      <c r="AJ716" s="0" t="s">
        <v>630</v>
      </c>
      <c r="AK716" s="0" t="n">
        <v>0</v>
      </c>
      <c r="AL716" s="0" t="n">
        <v>0</v>
      </c>
      <c r="AM716" s="0" t="n">
        <v>0</v>
      </c>
    </row>
    <row r="717" customFormat="false" ht="12.75" hidden="false" customHeight="false" outlineLevel="0" collapsed="false">
      <c r="A717" s="0" t="s">
        <v>621</v>
      </c>
      <c r="B717" s="0" t="s">
        <v>433</v>
      </c>
      <c r="C717" s="0" t="s">
        <v>622</v>
      </c>
      <c r="D717" s="0" t="s">
        <v>623</v>
      </c>
      <c r="E717" s="0" t="s">
        <v>131</v>
      </c>
      <c r="F717" s="0" t="s">
        <v>206</v>
      </c>
      <c r="G717" s="0" t="s">
        <v>628</v>
      </c>
      <c r="H717" s="0" t="s">
        <v>625</v>
      </c>
      <c r="I717" s="0" t="s">
        <v>626</v>
      </c>
      <c r="J717" s="0" t="s">
        <v>627</v>
      </c>
      <c r="K717" s="475" t="n">
        <v>37073</v>
      </c>
      <c r="L717" s="254" t="n">
        <v>58118.4039802691</v>
      </c>
      <c r="M717" s="475" t="n">
        <v>37070</v>
      </c>
      <c r="N717" s="0" t="s">
        <v>132</v>
      </c>
      <c r="O717" s="0" t="n">
        <v>0.42</v>
      </c>
      <c r="P717" s="0" t="n">
        <v>0</v>
      </c>
      <c r="Q717" s="0" t="n">
        <v>0</v>
      </c>
      <c r="R717" s="0" t="n">
        <v>0</v>
      </c>
      <c r="S717" s="0" t="n">
        <v>0</v>
      </c>
      <c r="T717" s="0" t="s">
        <v>624</v>
      </c>
      <c r="U717" s="0" t="s">
        <v>149</v>
      </c>
      <c r="V717" s="0" t="s">
        <v>624</v>
      </c>
      <c r="W717" s="0" t="s">
        <v>569</v>
      </c>
      <c r="X717" s="0" t="s">
        <v>624</v>
      </c>
      <c r="Y717" s="0" t="s">
        <v>627</v>
      </c>
      <c r="Z717" s="0" t="s">
        <v>629</v>
      </c>
      <c r="AA717" s="0" t="s">
        <v>624</v>
      </c>
      <c r="AB717" s="0" t="s">
        <v>132</v>
      </c>
      <c r="AC717" s="254" t="n">
        <v>500000</v>
      </c>
      <c r="AD717" s="254" t="n">
        <v>14021.2802389594</v>
      </c>
      <c r="AE717" s="0" t="n">
        <v>0</v>
      </c>
      <c r="AF717" s="0" t="n">
        <v>0</v>
      </c>
      <c r="AG717" s="0" t="n">
        <v>0</v>
      </c>
      <c r="AH717" s="254" t="n">
        <v>666.69666707408</v>
      </c>
      <c r="AI717" s="0" t="n">
        <v>226</v>
      </c>
      <c r="AJ717" s="0" t="s">
        <v>630</v>
      </c>
      <c r="AK717" s="0" t="n">
        <v>0</v>
      </c>
      <c r="AL717" s="0" t="n">
        <v>0</v>
      </c>
      <c r="AM717" s="0" t="n">
        <v>0</v>
      </c>
    </row>
    <row r="718" customFormat="false" ht="12.75" hidden="false" customHeight="false" outlineLevel="0" collapsed="false">
      <c r="A718" s="0" t="s">
        <v>621</v>
      </c>
      <c r="B718" s="0" t="s">
        <v>433</v>
      </c>
      <c r="C718" s="0" t="s">
        <v>622</v>
      </c>
      <c r="D718" s="0" t="s">
        <v>623</v>
      </c>
      <c r="E718" s="0" t="s">
        <v>131</v>
      </c>
      <c r="F718" s="0" t="s">
        <v>206</v>
      </c>
      <c r="G718" s="0" t="s">
        <v>628</v>
      </c>
      <c r="H718" s="0" t="s">
        <v>625</v>
      </c>
      <c r="I718" s="0" t="s">
        <v>626</v>
      </c>
      <c r="J718" s="0" t="s">
        <v>627</v>
      </c>
      <c r="K718" s="475" t="n">
        <v>37104</v>
      </c>
      <c r="L718" s="254" t="n">
        <v>61269.5095463832</v>
      </c>
      <c r="M718" s="475" t="n">
        <v>37102</v>
      </c>
      <c r="N718" s="0" t="s">
        <v>132</v>
      </c>
      <c r="O718" s="0" t="n">
        <v>0.42</v>
      </c>
      <c r="P718" s="0" t="n">
        <v>0</v>
      </c>
      <c r="Q718" s="0" t="n">
        <v>0</v>
      </c>
      <c r="R718" s="0" t="n">
        <v>0</v>
      </c>
      <c r="S718" s="0" t="n">
        <v>0</v>
      </c>
      <c r="T718" s="0" t="s">
        <v>624</v>
      </c>
      <c r="U718" s="0" t="s">
        <v>149</v>
      </c>
      <c r="V718" s="0" t="s">
        <v>624</v>
      </c>
      <c r="W718" s="0" t="s">
        <v>569</v>
      </c>
      <c r="X718" s="0" t="s">
        <v>624</v>
      </c>
      <c r="Y718" s="0" t="s">
        <v>627</v>
      </c>
      <c r="Z718" s="0" t="s">
        <v>629</v>
      </c>
      <c r="AA718" s="0" t="s">
        <v>624</v>
      </c>
      <c r="AB718" s="0" t="s">
        <v>132</v>
      </c>
      <c r="AC718" s="254" t="n">
        <v>500000</v>
      </c>
      <c r="AD718" s="254" t="n">
        <v>14663.9191717419</v>
      </c>
      <c r="AE718" s="0" t="n">
        <v>0</v>
      </c>
      <c r="AF718" s="0" t="n">
        <v>0</v>
      </c>
      <c r="AG718" s="0" t="n">
        <v>0</v>
      </c>
      <c r="AH718" s="254" t="n">
        <v>696.973882940984</v>
      </c>
      <c r="AI718" s="0" t="n">
        <v>226</v>
      </c>
      <c r="AJ718" s="0" t="s">
        <v>630</v>
      </c>
      <c r="AK718" s="0" t="n">
        <v>0</v>
      </c>
      <c r="AL718" s="0" t="n">
        <v>0</v>
      </c>
      <c r="AM718" s="0" t="n">
        <v>0</v>
      </c>
    </row>
    <row r="719" customFormat="false" ht="12.75" hidden="false" customHeight="false" outlineLevel="0" collapsed="false">
      <c r="A719" s="0" t="s">
        <v>621</v>
      </c>
      <c r="B719" s="0" t="s">
        <v>433</v>
      </c>
      <c r="C719" s="0" t="s">
        <v>622</v>
      </c>
      <c r="D719" s="0" t="s">
        <v>623</v>
      </c>
      <c r="E719" s="0" t="s">
        <v>131</v>
      </c>
      <c r="F719" s="0" t="s">
        <v>206</v>
      </c>
      <c r="G719" s="0" t="s">
        <v>628</v>
      </c>
      <c r="H719" s="0" t="s">
        <v>625</v>
      </c>
      <c r="I719" s="0" t="s">
        <v>626</v>
      </c>
      <c r="J719" s="0" t="s">
        <v>627</v>
      </c>
      <c r="K719" s="475" t="n">
        <v>37135</v>
      </c>
      <c r="L719" s="254" t="n">
        <v>78069.0969515392</v>
      </c>
      <c r="M719" s="475" t="n">
        <v>37133</v>
      </c>
      <c r="N719" s="0" t="s">
        <v>132</v>
      </c>
      <c r="O719" s="0" t="n">
        <v>0.42</v>
      </c>
      <c r="P719" s="0" t="n">
        <v>0</v>
      </c>
      <c r="Q719" s="0" t="n">
        <v>0</v>
      </c>
      <c r="R719" s="0" t="n">
        <v>0</v>
      </c>
      <c r="S719" s="0" t="n">
        <v>0</v>
      </c>
      <c r="T719" s="0" t="s">
        <v>624</v>
      </c>
      <c r="U719" s="0" t="s">
        <v>149</v>
      </c>
      <c r="V719" s="0" t="s">
        <v>624</v>
      </c>
      <c r="W719" s="0" t="s">
        <v>569</v>
      </c>
      <c r="X719" s="0" t="s">
        <v>624</v>
      </c>
      <c r="Y719" s="0" t="s">
        <v>627</v>
      </c>
      <c r="Z719" s="0" t="s">
        <v>629</v>
      </c>
      <c r="AA719" s="0" t="s">
        <v>624</v>
      </c>
      <c r="AB719" s="0" t="s">
        <v>132</v>
      </c>
      <c r="AC719" s="254" t="n">
        <v>500000</v>
      </c>
      <c r="AD719" s="254" t="n">
        <v>15346.0064462138</v>
      </c>
      <c r="AE719" s="0" t="n">
        <v>0</v>
      </c>
      <c r="AF719" s="0" t="n">
        <v>0</v>
      </c>
      <c r="AG719" s="0" t="n">
        <v>0</v>
      </c>
      <c r="AH719" s="254" t="n">
        <v>729.2898470621</v>
      </c>
      <c r="AI719" s="0" t="n">
        <v>226</v>
      </c>
      <c r="AJ719" s="0" t="s">
        <v>630</v>
      </c>
      <c r="AK719" s="0" t="n">
        <v>0</v>
      </c>
      <c r="AL719" s="0" t="n">
        <v>0</v>
      </c>
      <c r="AM719" s="0" t="n">
        <v>0</v>
      </c>
    </row>
    <row r="720" customFormat="false" ht="12.75" hidden="false" customHeight="false" outlineLevel="0" collapsed="false">
      <c r="A720" s="0" t="s">
        <v>621</v>
      </c>
      <c r="B720" s="0" t="s">
        <v>433</v>
      </c>
      <c r="C720" s="0" t="s">
        <v>622</v>
      </c>
      <c r="D720" s="0" t="s">
        <v>623</v>
      </c>
      <c r="E720" s="0" t="s">
        <v>131</v>
      </c>
      <c r="F720" s="0" t="s">
        <v>206</v>
      </c>
      <c r="G720" s="0" t="s">
        <v>628</v>
      </c>
      <c r="H720" s="0" t="s">
        <v>625</v>
      </c>
      <c r="I720" s="0" t="s">
        <v>626</v>
      </c>
      <c r="J720" s="0" t="s">
        <v>627</v>
      </c>
      <c r="K720" s="475" t="n">
        <v>37165</v>
      </c>
      <c r="L720" s="254" t="n">
        <v>66014.3065349789</v>
      </c>
      <c r="M720" s="475" t="n">
        <v>37161</v>
      </c>
      <c r="N720" s="0" t="s">
        <v>132</v>
      </c>
      <c r="O720" s="0" t="n">
        <v>0.42</v>
      </c>
      <c r="P720" s="0" t="n">
        <v>0</v>
      </c>
      <c r="Q720" s="0" t="n">
        <v>0</v>
      </c>
      <c r="R720" s="0" t="n">
        <v>0</v>
      </c>
      <c r="S720" s="0" t="n">
        <v>0</v>
      </c>
      <c r="T720" s="0" t="s">
        <v>624</v>
      </c>
      <c r="U720" s="0" t="s">
        <v>149</v>
      </c>
      <c r="V720" s="0" t="s">
        <v>624</v>
      </c>
      <c r="W720" s="0" t="s">
        <v>569</v>
      </c>
      <c r="X720" s="0" t="s">
        <v>624</v>
      </c>
      <c r="Y720" s="0" t="s">
        <v>627</v>
      </c>
      <c r="Z720" s="0" t="s">
        <v>629</v>
      </c>
      <c r="AA720" s="0" t="s">
        <v>624</v>
      </c>
      <c r="AB720" s="0" t="s">
        <v>132</v>
      </c>
      <c r="AC720" s="254" t="n">
        <v>500000</v>
      </c>
      <c r="AD720" s="254" t="n">
        <v>15795.7519275823</v>
      </c>
      <c r="AE720" s="0" t="n">
        <v>0</v>
      </c>
      <c r="AF720" s="0" t="n">
        <v>0</v>
      </c>
      <c r="AG720" s="0" t="n">
        <v>0</v>
      </c>
      <c r="AH720" s="254" t="n">
        <v>751.178812410595</v>
      </c>
      <c r="AI720" s="0" t="n">
        <v>226</v>
      </c>
      <c r="AJ720" s="0" t="s">
        <v>630</v>
      </c>
      <c r="AK720" s="0" t="n">
        <v>0</v>
      </c>
      <c r="AL720" s="0" t="n">
        <v>0</v>
      </c>
      <c r="AM720" s="0" t="n">
        <v>0</v>
      </c>
    </row>
    <row r="721" customFormat="false" ht="12.75" hidden="false" customHeight="false" outlineLevel="0" collapsed="false">
      <c r="A721" s="0" t="s">
        <v>621</v>
      </c>
      <c r="B721" s="0" t="s">
        <v>434</v>
      </c>
      <c r="C721" s="0" t="s">
        <v>622</v>
      </c>
      <c r="D721" s="0" t="s">
        <v>623</v>
      </c>
      <c r="E721" s="0" t="s">
        <v>131</v>
      </c>
      <c r="F721" s="0" t="s">
        <v>244</v>
      </c>
      <c r="G721" s="0" t="s">
        <v>628</v>
      </c>
      <c r="H721" s="0" t="s">
        <v>625</v>
      </c>
      <c r="I721" s="0" t="s">
        <v>626</v>
      </c>
      <c r="J721" s="0" t="s">
        <v>627</v>
      </c>
      <c r="K721" s="475" t="n">
        <v>36800</v>
      </c>
      <c r="L721" s="254" t="n">
        <v>765568.657795898</v>
      </c>
      <c r="M721" s="475" t="n">
        <v>36797</v>
      </c>
      <c r="N721" s="0" t="s">
        <v>136</v>
      </c>
      <c r="O721" s="0" t="n">
        <v>0.75</v>
      </c>
      <c r="P721" s="0" t="n">
        <v>0</v>
      </c>
      <c r="Q721" s="0" t="n">
        <v>0</v>
      </c>
      <c r="R721" s="0" t="n">
        <v>0</v>
      </c>
      <c r="S721" s="0" t="n">
        <v>0</v>
      </c>
      <c r="T721" s="0" t="s">
        <v>624</v>
      </c>
      <c r="U721" s="0" t="s">
        <v>137</v>
      </c>
      <c r="V721" s="0" t="s">
        <v>624</v>
      </c>
      <c r="W721" s="0" t="s">
        <v>569</v>
      </c>
      <c r="X721" s="0" t="s">
        <v>624</v>
      </c>
      <c r="Y721" s="0" t="s">
        <v>627</v>
      </c>
      <c r="Z721" s="0" t="s">
        <v>629</v>
      </c>
      <c r="AA721" s="0" t="s">
        <v>624</v>
      </c>
      <c r="AB721" s="0" t="s">
        <v>132</v>
      </c>
      <c r="AC721" s="254" t="n">
        <v>620000</v>
      </c>
      <c r="AD721" s="254" t="n">
        <v>1611.12391786324</v>
      </c>
      <c r="AE721" s="0" t="n">
        <v>0</v>
      </c>
      <c r="AF721" s="0" t="n">
        <v>0</v>
      </c>
      <c r="AG721" s="0" t="n">
        <v>0</v>
      </c>
      <c r="AH721" s="254" t="n">
        <v>-24321.3758307879</v>
      </c>
      <c r="AI721" s="0" t="n">
        <v>226</v>
      </c>
      <c r="AJ721" s="0" t="s">
        <v>630</v>
      </c>
      <c r="AK721" s="0" t="n">
        <v>0</v>
      </c>
      <c r="AL721" s="0" t="n">
        <v>0</v>
      </c>
      <c r="AM721" s="0" t="n">
        <v>0</v>
      </c>
    </row>
    <row r="722" customFormat="false" ht="12.75" hidden="false" customHeight="false" outlineLevel="0" collapsed="false">
      <c r="A722" s="0" t="s">
        <v>621</v>
      </c>
      <c r="B722" s="0" t="s">
        <v>435</v>
      </c>
      <c r="C722" s="0" t="s">
        <v>622</v>
      </c>
      <c r="D722" s="0" t="s">
        <v>623</v>
      </c>
      <c r="E722" s="0" t="s">
        <v>131</v>
      </c>
      <c r="F722" s="0" t="s">
        <v>244</v>
      </c>
      <c r="G722" s="0" t="s">
        <v>628</v>
      </c>
      <c r="H722" s="0" t="s">
        <v>625</v>
      </c>
      <c r="I722" s="0" t="s">
        <v>626</v>
      </c>
      <c r="J722" s="0" t="s">
        <v>627</v>
      </c>
      <c r="K722" s="475" t="n">
        <v>36800</v>
      </c>
      <c r="L722" s="254" t="n">
        <v>-134.892297811002</v>
      </c>
      <c r="M722" s="475" t="n">
        <v>36797</v>
      </c>
      <c r="N722" s="0" t="s">
        <v>132</v>
      </c>
      <c r="O722" s="0" t="n">
        <v>0.4</v>
      </c>
      <c r="P722" s="0" t="n">
        <v>0</v>
      </c>
      <c r="Q722" s="0" t="n">
        <v>0</v>
      </c>
      <c r="R722" s="0" t="n">
        <v>0</v>
      </c>
      <c r="S722" s="0" t="n">
        <v>0</v>
      </c>
      <c r="T722" s="0" t="s">
        <v>624</v>
      </c>
      <c r="U722" s="0" t="s">
        <v>137</v>
      </c>
      <c r="V722" s="0" t="s">
        <v>624</v>
      </c>
      <c r="W722" s="0" t="s">
        <v>569</v>
      </c>
      <c r="X722" s="0" t="s">
        <v>624</v>
      </c>
      <c r="Y722" s="0" t="s">
        <v>627</v>
      </c>
      <c r="Z722" s="0" t="s">
        <v>629</v>
      </c>
      <c r="AA722" s="0" t="s">
        <v>624</v>
      </c>
      <c r="AB722" s="0" t="s">
        <v>132</v>
      </c>
      <c r="AC722" s="254" t="n">
        <v>-620000</v>
      </c>
      <c r="AD722" s="254" t="n">
        <v>-276.647327025823</v>
      </c>
      <c r="AE722" s="0" t="n">
        <v>0</v>
      </c>
      <c r="AF722" s="0" t="n">
        <v>0</v>
      </c>
      <c r="AG722" s="0" t="n">
        <v>0</v>
      </c>
      <c r="AH722" s="254" t="n">
        <v>-47.7423571924618</v>
      </c>
      <c r="AI722" s="0" t="n">
        <v>226</v>
      </c>
      <c r="AJ722" s="0" t="s">
        <v>630</v>
      </c>
      <c r="AK722" s="0" t="n">
        <v>0</v>
      </c>
      <c r="AL722" s="0" t="n">
        <v>0</v>
      </c>
      <c r="AM722" s="0" t="n">
        <v>0</v>
      </c>
    </row>
    <row r="723" customFormat="false" ht="12.75" hidden="false" customHeight="false" outlineLevel="0" collapsed="false">
      <c r="A723" s="0" t="s">
        <v>621</v>
      </c>
      <c r="B723" s="0" t="s">
        <v>436</v>
      </c>
      <c r="C723" s="0" t="s">
        <v>622</v>
      </c>
      <c r="D723" s="0" t="s">
        <v>623</v>
      </c>
      <c r="E723" s="0" t="s">
        <v>131</v>
      </c>
      <c r="F723" s="0" t="s">
        <v>275</v>
      </c>
      <c r="G723" s="0" t="s">
        <v>628</v>
      </c>
      <c r="H723" s="0" t="s">
        <v>625</v>
      </c>
      <c r="I723" s="0" t="s">
        <v>626</v>
      </c>
      <c r="J723" s="0" t="s">
        <v>627</v>
      </c>
      <c r="K723" s="475" t="n">
        <v>36800</v>
      </c>
      <c r="L723" s="254" t="n">
        <v>765568.657795898</v>
      </c>
      <c r="M723" s="475" t="n">
        <v>36797</v>
      </c>
      <c r="N723" s="0" t="s">
        <v>136</v>
      </c>
      <c r="O723" s="0" t="n">
        <v>0.75</v>
      </c>
      <c r="P723" s="0" t="n">
        <v>0</v>
      </c>
      <c r="Q723" s="0" t="n">
        <v>0</v>
      </c>
      <c r="R723" s="0" t="n">
        <v>0</v>
      </c>
      <c r="S723" s="0" t="n">
        <v>0</v>
      </c>
      <c r="T723" s="0" t="s">
        <v>624</v>
      </c>
      <c r="U723" s="0" t="s">
        <v>137</v>
      </c>
      <c r="V723" s="0" t="s">
        <v>624</v>
      </c>
      <c r="W723" s="0" t="s">
        <v>569</v>
      </c>
      <c r="X723" s="0" t="s">
        <v>624</v>
      </c>
      <c r="Y723" s="0" t="s">
        <v>627</v>
      </c>
      <c r="Z723" s="0" t="s">
        <v>629</v>
      </c>
      <c r="AA723" s="0" t="s">
        <v>624</v>
      </c>
      <c r="AB723" s="0" t="s">
        <v>132</v>
      </c>
      <c r="AC723" s="254" t="n">
        <v>620000</v>
      </c>
      <c r="AD723" s="254" t="n">
        <v>1611.12391786324</v>
      </c>
      <c r="AE723" s="0" t="n">
        <v>0</v>
      </c>
      <c r="AF723" s="0" t="n">
        <v>0</v>
      </c>
      <c r="AG723" s="0" t="n">
        <v>0</v>
      </c>
      <c r="AH723" s="254" t="n">
        <v>-24321.3758307879</v>
      </c>
      <c r="AI723" s="0" t="n">
        <v>226</v>
      </c>
      <c r="AJ723" s="0" t="s">
        <v>630</v>
      </c>
      <c r="AK723" s="0" t="n">
        <v>0</v>
      </c>
      <c r="AL723" s="0" t="n">
        <v>0</v>
      </c>
      <c r="AM723" s="0" t="n">
        <v>0</v>
      </c>
    </row>
    <row r="724" customFormat="false" ht="12.75" hidden="false" customHeight="false" outlineLevel="0" collapsed="false">
      <c r="A724" s="0" t="s">
        <v>621</v>
      </c>
      <c r="B724" s="0" t="s">
        <v>437</v>
      </c>
      <c r="C724" s="0" t="s">
        <v>622</v>
      </c>
      <c r="D724" s="0" t="s">
        <v>623</v>
      </c>
      <c r="E724" s="0" t="s">
        <v>131</v>
      </c>
      <c r="F724" s="0" t="s">
        <v>275</v>
      </c>
      <c r="G724" s="0" t="s">
        <v>628</v>
      </c>
      <c r="H724" s="0" t="s">
        <v>625</v>
      </c>
      <c r="I724" s="0" t="s">
        <v>626</v>
      </c>
      <c r="J724" s="0" t="s">
        <v>627</v>
      </c>
      <c r="K724" s="475" t="n">
        <v>36800</v>
      </c>
      <c r="L724" s="254" t="n">
        <v>-134.892297811002</v>
      </c>
      <c r="M724" s="475" t="n">
        <v>36797</v>
      </c>
      <c r="N724" s="0" t="s">
        <v>132</v>
      </c>
      <c r="O724" s="0" t="n">
        <v>0.4</v>
      </c>
      <c r="P724" s="0" t="n">
        <v>0</v>
      </c>
      <c r="Q724" s="0" t="n">
        <v>0</v>
      </c>
      <c r="R724" s="0" t="n">
        <v>0</v>
      </c>
      <c r="S724" s="0" t="n">
        <v>0</v>
      </c>
      <c r="T724" s="0" t="s">
        <v>624</v>
      </c>
      <c r="U724" s="0" t="s">
        <v>137</v>
      </c>
      <c r="V724" s="0" t="s">
        <v>624</v>
      </c>
      <c r="W724" s="0" t="s">
        <v>569</v>
      </c>
      <c r="X724" s="0" t="s">
        <v>624</v>
      </c>
      <c r="Y724" s="0" t="s">
        <v>627</v>
      </c>
      <c r="Z724" s="0" t="s">
        <v>629</v>
      </c>
      <c r="AA724" s="0" t="s">
        <v>624</v>
      </c>
      <c r="AB724" s="0" t="s">
        <v>132</v>
      </c>
      <c r="AC724" s="254" t="n">
        <v>-620000</v>
      </c>
      <c r="AD724" s="254" t="n">
        <v>-276.647327025823</v>
      </c>
      <c r="AE724" s="0" t="n">
        <v>0</v>
      </c>
      <c r="AF724" s="0" t="n">
        <v>0</v>
      </c>
      <c r="AG724" s="0" t="n">
        <v>0</v>
      </c>
      <c r="AH724" s="254" t="n">
        <v>-47.7423571924618</v>
      </c>
      <c r="AI724" s="0" t="n">
        <v>226</v>
      </c>
      <c r="AJ724" s="0" t="s">
        <v>630</v>
      </c>
      <c r="AK724" s="0" t="n">
        <v>0</v>
      </c>
      <c r="AL724" s="0" t="n">
        <v>0</v>
      </c>
      <c r="AM724" s="0" t="n">
        <v>0</v>
      </c>
    </row>
    <row r="725" customFormat="false" ht="12.75" hidden="false" customHeight="false" outlineLevel="0" collapsed="false">
      <c r="A725" s="0" t="s">
        <v>621</v>
      </c>
      <c r="B725" s="0" t="s">
        <v>438</v>
      </c>
      <c r="C725" s="0" t="s">
        <v>622</v>
      </c>
      <c r="D725" s="0" t="s">
        <v>623</v>
      </c>
      <c r="E725" s="0" t="s">
        <v>131</v>
      </c>
      <c r="F725" s="0" t="s">
        <v>275</v>
      </c>
      <c r="G725" s="0" t="s">
        <v>628</v>
      </c>
      <c r="H725" s="0" t="s">
        <v>625</v>
      </c>
      <c r="I725" s="0" t="s">
        <v>626</v>
      </c>
      <c r="J725" s="0" t="s">
        <v>627</v>
      </c>
      <c r="K725" s="475" t="n">
        <v>36831</v>
      </c>
      <c r="L725" s="254" t="n">
        <v>76559.2821191198</v>
      </c>
      <c r="M725" s="475" t="n">
        <v>36829</v>
      </c>
      <c r="N725" s="0" t="s">
        <v>136</v>
      </c>
      <c r="O725" s="0" t="n">
        <v>-0.375</v>
      </c>
      <c r="P725" s="0" t="n">
        <v>0</v>
      </c>
      <c r="Q725" s="0" t="n">
        <v>0</v>
      </c>
      <c r="R725" s="0" t="n">
        <v>0</v>
      </c>
      <c r="S725" s="0" t="n">
        <v>0</v>
      </c>
      <c r="T725" s="0" t="s">
        <v>624</v>
      </c>
      <c r="U725" s="0" t="s">
        <v>151</v>
      </c>
      <c r="V725" s="0" t="s">
        <v>624</v>
      </c>
      <c r="W725" s="0" t="s">
        <v>569</v>
      </c>
      <c r="X725" s="0" t="s">
        <v>624</v>
      </c>
      <c r="Y725" s="0" t="s">
        <v>627</v>
      </c>
      <c r="Z725" s="0" t="s">
        <v>629</v>
      </c>
      <c r="AA725" s="0" t="s">
        <v>624</v>
      </c>
      <c r="AB725" s="0" t="s">
        <v>132</v>
      </c>
      <c r="AC725" s="254" t="n">
        <v>600000</v>
      </c>
      <c r="AD725" s="254" t="n">
        <v>20575.4392821911</v>
      </c>
      <c r="AE725" s="0" t="n">
        <v>0</v>
      </c>
      <c r="AF725" s="0" t="n">
        <v>0</v>
      </c>
      <c r="AG725" s="0" t="n">
        <v>0</v>
      </c>
      <c r="AH725" s="254" t="n">
        <v>-9574.72095556841</v>
      </c>
      <c r="AI725" s="0" t="n">
        <v>226</v>
      </c>
      <c r="AJ725" s="0" t="s">
        <v>630</v>
      </c>
      <c r="AK725" s="0" t="n">
        <v>0</v>
      </c>
      <c r="AL725" s="0" t="n">
        <v>0</v>
      </c>
      <c r="AM725" s="0" t="n">
        <v>0</v>
      </c>
    </row>
    <row r="726" customFormat="false" ht="12.75" hidden="false" customHeight="false" outlineLevel="0" collapsed="false">
      <c r="A726" s="0" t="s">
        <v>621</v>
      </c>
      <c r="B726" s="0" t="s">
        <v>438</v>
      </c>
      <c r="C726" s="0" t="s">
        <v>622</v>
      </c>
      <c r="D726" s="0" t="s">
        <v>623</v>
      </c>
      <c r="E726" s="0" t="s">
        <v>131</v>
      </c>
      <c r="F726" s="0" t="s">
        <v>275</v>
      </c>
      <c r="G726" s="0" t="s">
        <v>628</v>
      </c>
      <c r="H726" s="0" t="s">
        <v>625</v>
      </c>
      <c r="I726" s="0" t="s">
        <v>626</v>
      </c>
      <c r="J726" s="0" t="s">
        <v>627</v>
      </c>
      <c r="K726" s="475" t="n">
        <v>36861</v>
      </c>
      <c r="L726" s="254" t="n">
        <v>136457.481439993</v>
      </c>
      <c r="M726" s="475" t="n">
        <v>36859</v>
      </c>
      <c r="N726" s="0" t="s">
        <v>136</v>
      </c>
      <c r="O726" s="0" t="n">
        <v>-0.375</v>
      </c>
      <c r="P726" s="0" t="n">
        <v>0</v>
      </c>
      <c r="Q726" s="0" t="n">
        <v>0</v>
      </c>
      <c r="R726" s="0" t="n">
        <v>0</v>
      </c>
      <c r="S726" s="0" t="n">
        <v>0</v>
      </c>
      <c r="T726" s="0" t="s">
        <v>624</v>
      </c>
      <c r="U726" s="0" t="s">
        <v>151</v>
      </c>
      <c r="V726" s="0" t="s">
        <v>624</v>
      </c>
      <c r="W726" s="0" t="s">
        <v>569</v>
      </c>
      <c r="X726" s="0" t="s">
        <v>624</v>
      </c>
      <c r="Y726" s="0" t="s">
        <v>627</v>
      </c>
      <c r="Z726" s="0" t="s">
        <v>629</v>
      </c>
      <c r="AA726" s="0" t="s">
        <v>624</v>
      </c>
      <c r="AB726" s="0" t="s">
        <v>132</v>
      </c>
      <c r="AC726" s="254" t="n">
        <v>620000</v>
      </c>
      <c r="AD726" s="254" t="n">
        <v>26550.6278402169</v>
      </c>
      <c r="AE726" s="0" t="n">
        <v>0</v>
      </c>
      <c r="AF726" s="0" t="n">
        <v>0</v>
      </c>
      <c r="AG726" s="0" t="n">
        <v>0</v>
      </c>
      <c r="AH726" s="254" t="n">
        <v>-12031.7991182055</v>
      </c>
      <c r="AI726" s="0" t="n">
        <v>226</v>
      </c>
      <c r="AJ726" s="0" t="s">
        <v>630</v>
      </c>
      <c r="AK726" s="0" t="n">
        <v>0</v>
      </c>
      <c r="AL726" s="0" t="n">
        <v>0</v>
      </c>
      <c r="AM726" s="0" t="n">
        <v>0</v>
      </c>
    </row>
    <row r="727" customFormat="false" ht="12.75" hidden="false" customHeight="false" outlineLevel="0" collapsed="false">
      <c r="A727" s="0" t="s">
        <v>621</v>
      </c>
      <c r="B727" s="0" t="s">
        <v>438</v>
      </c>
      <c r="C727" s="0" t="s">
        <v>622</v>
      </c>
      <c r="D727" s="0" t="s">
        <v>623</v>
      </c>
      <c r="E727" s="0" t="s">
        <v>131</v>
      </c>
      <c r="F727" s="0" t="s">
        <v>275</v>
      </c>
      <c r="G727" s="0" t="s">
        <v>628</v>
      </c>
      <c r="H727" s="0" t="s">
        <v>625</v>
      </c>
      <c r="I727" s="0" t="s">
        <v>626</v>
      </c>
      <c r="J727" s="0" t="s">
        <v>627</v>
      </c>
      <c r="K727" s="475" t="n">
        <v>36892</v>
      </c>
      <c r="L727" s="254" t="n">
        <v>150957.54360134</v>
      </c>
      <c r="M727" s="475" t="n">
        <v>36888</v>
      </c>
      <c r="N727" s="0" t="s">
        <v>136</v>
      </c>
      <c r="O727" s="0" t="n">
        <v>-0.375</v>
      </c>
      <c r="P727" s="0" t="n">
        <v>0</v>
      </c>
      <c r="Q727" s="0" t="n">
        <v>0</v>
      </c>
      <c r="R727" s="0" t="n">
        <v>0</v>
      </c>
      <c r="S727" s="0" t="n">
        <v>0</v>
      </c>
      <c r="T727" s="0" t="s">
        <v>624</v>
      </c>
      <c r="U727" s="0" t="s">
        <v>151</v>
      </c>
      <c r="V727" s="0" t="s">
        <v>624</v>
      </c>
      <c r="W727" s="0" t="s">
        <v>569</v>
      </c>
      <c r="X727" s="0" t="s">
        <v>624</v>
      </c>
      <c r="Y727" s="0" t="s">
        <v>627</v>
      </c>
      <c r="Z727" s="0" t="s">
        <v>629</v>
      </c>
      <c r="AA727" s="0" t="s">
        <v>624</v>
      </c>
      <c r="AB727" s="0" t="s">
        <v>132</v>
      </c>
      <c r="AC727" s="254" t="n">
        <v>620000</v>
      </c>
      <c r="AD727" s="254" t="n">
        <v>30483.990860293</v>
      </c>
      <c r="AE727" s="0" t="n">
        <v>0</v>
      </c>
      <c r="AF727" s="0" t="n">
        <v>0</v>
      </c>
      <c r="AG727" s="0" t="n">
        <v>0</v>
      </c>
      <c r="AH727" s="254" t="n">
        <v>-11666.5112315138</v>
      </c>
      <c r="AI727" s="0" t="n">
        <v>226</v>
      </c>
      <c r="AJ727" s="0" t="s">
        <v>630</v>
      </c>
      <c r="AK727" s="0" t="n">
        <v>0</v>
      </c>
      <c r="AL727" s="0" t="n">
        <v>0</v>
      </c>
      <c r="AM727" s="0" t="n">
        <v>0</v>
      </c>
    </row>
    <row r="728" customFormat="false" ht="12.75" hidden="false" customHeight="false" outlineLevel="0" collapsed="false">
      <c r="A728" s="0" t="s">
        <v>621</v>
      </c>
      <c r="B728" s="0" t="s">
        <v>438</v>
      </c>
      <c r="C728" s="0" t="s">
        <v>622</v>
      </c>
      <c r="D728" s="0" t="s">
        <v>623</v>
      </c>
      <c r="E728" s="0" t="s">
        <v>131</v>
      </c>
      <c r="F728" s="0" t="s">
        <v>275</v>
      </c>
      <c r="G728" s="0" t="s">
        <v>628</v>
      </c>
      <c r="H728" s="0" t="s">
        <v>625</v>
      </c>
      <c r="I728" s="0" t="s">
        <v>626</v>
      </c>
      <c r="J728" s="0" t="s">
        <v>627</v>
      </c>
      <c r="K728" s="475" t="n">
        <v>36923</v>
      </c>
      <c r="L728" s="254" t="n">
        <v>135688.846629557</v>
      </c>
      <c r="M728" s="475" t="n">
        <v>36921</v>
      </c>
      <c r="N728" s="0" t="s">
        <v>136</v>
      </c>
      <c r="O728" s="0" t="n">
        <v>-0.375</v>
      </c>
      <c r="P728" s="0" t="n">
        <v>0</v>
      </c>
      <c r="Q728" s="0" t="n">
        <v>0</v>
      </c>
      <c r="R728" s="0" t="n">
        <v>0</v>
      </c>
      <c r="S728" s="0" t="n">
        <v>0</v>
      </c>
      <c r="T728" s="0" t="s">
        <v>624</v>
      </c>
      <c r="U728" s="0" t="s">
        <v>151</v>
      </c>
      <c r="V728" s="0" t="s">
        <v>624</v>
      </c>
      <c r="W728" s="0" t="s">
        <v>569</v>
      </c>
      <c r="X728" s="0" t="s">
        <v>624</v>
      </c>
      <c r="Y728" s="0" t="s">
        <v>627</v>
      </c>
      <c r="Z728" s="0" t="s">
        <v>629</v>
      </c>
      <c r="AA728" s="0" t="s">
        <v>624</v>
      </c>
      <c r="AB728" s="0" t="s">
        <v>132</v>
      </c>
      <c r="AC728" s="254" t="n">
        <v>560000</v>
      </c>
      <c r="AD728" s="254" t="n">
        <v>30104.3702614766</v>
      </c>
      <c r="AE728" s="0" t="n">
        <v>0</v>
      </c>
      <c r="AF728" s="0" t="n">
        <v>0</v>
      </c>
      <c r="AG728" s="0" t="n">
        <v>0</v>
      </c>
      <c r="AH728" s="254" t="n">
        <v>-10104.3444457715</v>
      </c>
      <c r="AI728" s="0" t="n">
        <v>226</v>
      </c>
      <c r="AJ728" s="0" t="s">
        <v>630</v>
      </c>
      <c r="AK728" s="0" t="n">
        <v>0</v>
      </c>
      <c r="AL728" s="0" t="n">
        <v>0</v>
      </c>
      <c r="AM728" s="0" t="n">
        <v>0</v>
      </c>
    </row>
    <row r="729" customFormat="false" ht="12.75" hidden="false" customHeight="false" outlineLevel="0" collapsed="false">
      <c r="A729" s="0" t="s">
        <v>621</v>
      </c>
      <c r="B729" s="0" t="s">
        <v>438</v>
      </c>
      <c r="C729" s="0" t="s">
        <v>622</v>
      </c>
      <c r="D729" s="0" t="s">
        <v>623</v>
      </c>
      <c r="E729" s="0" t="s">
        <v>131</v>
      </c>
      <c r="F729" s="0" t="s">
        <v>275</v>
      </c>
      <c r="G729" s="0" t="s">
        <v>628</v>
      </c>
      <c r="H729" s="0" t="s">
        <v>625</v>
      </c>
      <c r="I729" s="0" t="s">
        <v>626</v>
      </c>
      <c r="J729" s="0" t="s">
        <v>627</v>
      </c>
      <c r="K729" s="475" t="n">
        <v>36951</v>
      </c>
      <c r="L729" s="254" t="n">
        <v>134154.346718463</v>
      </c>
      <c r="M729" s="475" t="n">
        <v>36949</v>
      </c>
      <c r="N729" s="0" t="s">
        <v>136</v>
      </c>
      <c r="O729" s="0" t="n">
        <v>-0.375</v>
      </c>
      <c r="P729" s="0" t="n">
        <v>0</v>
      </c>
      <c r="Q729" s="0" t="n">
        <v>0</v>
      </c>
      <c r="R729" s="0" t="n">
        <v>0</v>
      </c>
      <c r="S729" s="0" t="n">
        <v>0</v>
      </c>
      <c r="T729" s="0" t="s">
        <v>624</v>
      </c>
      <c r="U729" s="0" t="s">
        <v>151</v>
      </c>
      <c r="V729" s="0" t="s">
        <v>624</v>
      </c>
      <c r="W729" s="0" t="s">
        <v>569</v>
      </c>
      <c r="X729" s="0" t="s">
        <v>624</v>
      </c>
      <c r="Y729" s="0" t="s">
        <v>627</v>
      </c>
      <c r="Z729" s="0" t="s">
        <v>629</v>
      </c>
      <c r="AA729" s="0" t="s">
        <v>624</v>
      </c>
      <c r="AB729" s="0" t="s">
        <v>132</v>
      </c>
      <c r="AC729" s="254" t="n">
        <v>620000</v>
      </c>
      <c r="AD729" s="254" t="n">
        <v>32245.6992846977</v>
      </c>
      <c r="AE729" s="0" t="n">
        <v>0</v>
      </c>
      <c r="AF729" s="0" t="n">
        <v>0</v>
      </c>
      <c r="AG729" s="0" t="n">
        <v>0</v>
      </c>
      <c r="AH729" s="254" t="n">
        <v>-10900.1530586803</v>
      </c>
      <c r="AI729" s="0" t="n">
        <v>226</v>
      </c>
      <c r="AJ729" s="0" t="s">
        <v>630</v>
      </c>
      <c r="AK729" s="0" t="n">
        <v>0</v>
      </c>
      <c r="AL729" s="0" t="n">
        <v>0</v>
      </c>
      <c r="AM729" s="0" t="n">
        <v>0</v>
      </c>
    </row>
    <row r="730" customFormat="false" ht="12.75" hidden="false" customHeight="false" outlineLevel="0" collapsed="false">
      <c r="A730" s="0" t="s">
        <v>621</v>
      </c>
      <c r="B730" s="0" t="s">
        <v>439</v>
      </c>
      <c r="C730" s="0" t="s">
        <v>622</v>
      </c>
      <c r="D730" s="0" t="s">
        <v>623</v>
      </c>
      <c r="E730" s="0" t="s">
        <v>131</v>
      </c>
      <c r="F730" s="0" t="s">
        <v>275</v>
      </c>
      <c r="G730" s="0" t="s">
        <v>628</v>
      </c>
      <c r="H730" s="0" t="s">
        <v>625</v>
      </c>
      <c r="I730" s="0" t="s">
        <v>626</v>
      </c>
      <c r="J730" s="0" t="s">
        <v>627</v>
      </c>
      <c r="K730" s="475" t="n">
        <v>36831</v>
      </c>
      <c r="L730" s="254" t="n">
        <v>131411.117805527</v>
      </c>
      <c r="M730" s="475" t="n">
        <v>36829</v>
      </c>
      <c r="N730" s="0" t="s">
        <v>132</v>
      </c>
      <c r="O730" s="0" t="n">
        <v>-0.375</v>
      </c>
      <c r="P730" s="0" t="n">
        <v>0</v>
      </c>
      <c r="Q730" s="0" t="n">
        <v>0</v>
      </c>
      <c r="R730" s="0" t="n">
        <v>0</v>
      </c>
      <c r="S730" s="0" t="n">
        <v>0</v>
      </c>
      <c r="T730" s="0" t="s">
        <v>624</v>
      </c>
      <c r="U730" s="0" t="s">
        <v>151</v>
      </c>
      <c r="V730" s="0" t="s">
        <v>624</v>
      </c>
      <c r="W730" s="0" t="s">
        <v>569</v>
      </c>
      <c r="X730" s="0" t="s">
        <v>624</v>
      </c>
      <c r="Y730" s="0" t="s">
        <v>627</v>
      </c>
      <c r="Z730" s="0" t="s">
        <v>629</v>
      </c>
      <c r="AA730" s="0" t="s">
        <v>624</v>
      </c>
      <c r="AB730" s="0" t="s">
        <v>132</v>
      </c>
      <c r="AC730" s="254" t="n">
        <v>600000</v>
      </c>
      <c r="AD730" s="254" t="n">
        <v>20575.4392821911</v>
      </c>
      <c r="AE730" s="0" t="n">
        <v>0</v>
      </c>
      <c r="AF730" s="0" t="n">
        <v>0</v>
      </c>
      <c r="AG730" s="0" t="n">
        <v>0</v>
      </c>
      <c r="AH730" s="254" t="n">
        <v>14131.9314919728</v>
      </c>
      <c r="AI730" s="0" t="n">
        <v>226</v>
      </c>
      <c r="AJ730" s="0" t="s">
        <v>630</v>
      </c>
      <c r="AK730" s="0" t="n">
        <v>0</v>
      </c>
      <c r="AL730" s="0" t="n">
        <v>0</v>
      </c>
      <c r="AM730" s="0" t="n">
        <v>0</v>
      </c>
    </row>
    <row r="731" customFormat="false" ht="12.75" hidden="false" customHeight="false" outlineLevel="0" collapsed="false">
      <c r="A731" s="0" t="s">
        <v>621</v>
      </c>
      <c r="B731" s="0" t="s">
        <v>439</v>
      </c>
      <c r="C731" s="0" t="s">
        <v>622</v>
      </c>
      <c r="D731" s="0" t="s">
        <v>623</v>
      </c>
      <c r="E731" s="0" t="s">
        <v>131</v>
      </c>
      <c r="F731" s="0" t="s">
        <v>275</v>
      </c>
      <c r="G731" s="0" t="s">
        <v>628</v>
      </c>
      <c r="H731" s="0" t="s">
        <v>625</v>
      </c>
      <c r="I731" s="0" t="s">
        <v>626</v>
      </c>
      <c r="J731" s="0" t="s">
        <v>627</v>
      </c>
      <c r="K731" s="475" t="n">
        <v>36861</v>
      </c>
      <c r="L731" s="254" t="n">
        <v>125794.575820724</v>
      </c>
      <c r="M731" s="475" t="n">
        <v>36859</v>
      </c>
      <c r="N731" s="0" t="s">
        <v>132</v>
      </c>
      <c r="O731" s="0" t="n">
        <v>-0.375</v>
      </c>
      <c r="P731" s="0" t="n">
        <v>0</v>
      </c>
      <c r="Q731" s="0" t="n">
        <v>0</v>
      </c>
      <c r="R731" s="0" t="n">
        <v>0</v>
      </c>
      <c r="S731" s="0" t="n">
        <v>0</v>
      </c>
      <c r="T731" s="0" t="s">
        <v>624</v>
      </c>
      <c r="U731" s="0" t="s">
        <v>151</v>
      </c>
      <c r="V731" s="0" t="s">
        <v>624</v>
      </c>
      <c r="W731" s="0" t="s">
        <v>569</v>
      </c>
      <c r="X731" s="0" t="s">
        <v>624</v>
      </c>
      <c r="Y731" s="0" t="s">
        <v>627</v>
      </c>
      <c r="Z731" s="0" t="s">
        <v>629</v>
      </c>
      <c r="AA731" s="0" t="s">
        <v>624</v>
      </c>
      <c r="AB731" s="0" t="s">
        <v>132</v>
      </c>
      <c r="AC731" s="254" t="n">
        <v>620000</v>
      </c>
      <c r="AD731" s="254" t="n">
        <v>26550.6278402168</v>
      </c>
      <c r="AE731" s="0" t="n">
        <v>0</v>
      </c>
      <c r="AF731" s="0" t="n">
        <v>0</v>
      </c>
      <c r="AG731" s="0" t="n">
        <v>0</v>
      </c>
      <c r="AH731" s="254" t="n">
        <v>12327.1498281509</v>
      </c>
      <c r="AI731" s="0" t="n">
        <v>226</v>
      </c>
      <c r="AJ731" s="0" t="s">
        <v>630</v>
      </c>
      <c r="AK731" s="0" t="n">
        <v>0</v>
      </c>
      <c r="AL731" s="0" t="n">
        <v>0</v>
      </c>
      <c r="AM731" s="0" t="n">
        <v>0</v>
      </c>
    </row>
    <row r="732" customFormat="false" ht="12.75" hidden="false" customHeight="false" outlineLevel="0" collapsed="false">
      <c r="A732" s="0" t="s">
        <v>621</v>
      </c>
      <c r="B732" s="0" t="s">
        <v>439</v>
      </c>
      <c r="C732" s="0" t="s">
        <v>622</v>
      </c>
      <c r="D732" s="0" t="s">
        <v>623</v>
      </c>
      <c r="E732" s="0" t="s">
        <v>131</v>
      </c>
      <c r="F732" s="0" t="s">
        <v>275</v>
      </c>
      <c r="G732" s="0" t="s">
        <v>628</v>
      </c>
      <c r="H732" s="0" t="s">
        <v>625</v>
      </c>
      <c r="I732" s="0" t="s">
        <v>626</v>
      </c>
      <c r="J732" s="0" t="s">
        <v>627</v>
      </c>
      <c r="K732" s="475" t="n">
        <v>36892</v>
      </c>
      <c r="L732" s="254" t="n">
        <v>146412.538685621</v>
      </c>
      <c r="M732" s="475" t="n">
        <v>36888</v>
      </c>
      <c r="N732" s="0" t="s">
        <v>132</v>
      </c>
      <c r="O732" s="0" t="n">
        <v>-0.375</v>
      </c>
      <c r="P732" s="0" t="n">
        <v>0</v>
      </c>
      <c r="Q732" s="0" t="n">
        <v>0</v>
      </c>
      <c r="R732" s="0" t="n">
        <v>0</v>
      </c>
      <c r="S732" s="0" t="n">
        <v>0</v>
      </c>
      <c r="T732" s="0" t="s">
        <v>624</v>
      </c>
      <c r="U732" s="0" t="s">
        <v>151</v>
      </c>
      <c r="V732" s="0" t="s">
        <v>624</v>
      </c>
      <c r="W732" s="0" t="s">
        <v>569</v>
      </c>
      <c r="X732" s="0" t="s">
        <v>624</v>
      </c>
      <c r="Y732" s="0" t="s">
        <v>627</v>
      </c>
      <c r="Z732" s="0" t="s">
        <v>629</v>
      </c>
      <c r="AA732" s="0" t="s">
        <v>624</v>
      </c>
      <c r="AB732" s="0" t="s">
        <v>132</v>
      </c>
      <c r="AC732" s="254" t="n">
        <v>620000</v>
      </c>
      <c r="AD732" s="254" t="n">
        <v>30483.990860293</v>
      </c>
      <c r="AE732" s="0" t="n">
        <v>0</v>
      </c>
      <c r="AF732" s="0" t="n">
        <v>0</v>
      </c>
      <c r="AG732" s="0" t="n">
        <v>0</v>
      </c>
      <c r="AH732" s="254" t="n">
        <v>12560.5910984607</v>
      </c>
      <c r="AI732" s="0" t="n">
        <v>226</v>
      </c>
      <c r="AJ732" s="0" t="s">
        <v>630</v>
      </c>
      <c r="AK732" s="0" t="n">
        <v>0</v>
      </c>
      <c r="AL732" s="0" t="n">
        <v>0</v>
      </c>
      <c r="AM732" s="0" t="n">
        <v>0</v>
      </c>
    </row>
    <row r="733" customFormat="false" ht="12.75" hidden="false" customHeight="false" outlineLevel="0" collapsed="false">
      <c r="A733" s="0" t="s">
        <v>621</v>
      </c>
      <c r="B733" s="0" t="s">
        <v>439</v>
      </c>
      <c r="C733" s="0" t="s">
        <v>622</v>
      </c>
      <c r="D733" s="0" t="s">
        <v>623</v>
      </c>
      <c r="E733" s="0" t="s">
        <v>131</v>
      </c>
      <c r="F733" s="0" t="s">
        <v>275</v>
      </c>
      <c r="G733" s="0" t="s">
        <v>628</v>
      </c>
      <c r="H733" s="0" t="s">
        <v>625</v>
      </c>
      <c r="I733" s="0" t="s">
        <v>626</v>
      </c>
      <c r="J733" s="0" t="s">
        <v>627</v>
      </c>
      <c r="K733" s="475" t="n">
        <v>36923</v>
      </c>
      <c r="L733" s="254" t="n">
        <v>142487.887395355</v>
      </c>
      <c r="M733" s="475" t="n">
        <v>36921</v>
      </c>
      <c r="N733" s="0" t="s">
        <v>132</v>
      </c>
      <c r="O733" s="0" t="n">
        <v>-0.375</v>
      </c>
      <c r="P733" s="0" t="n">
        <v>0</v>
      </c>
      <c r="Q733" s="0" t="n">
        <v>0</v>
      </c>
      <c r="R733" s="0" t="n">
        <v>0</v>
      </c>
      <c r="S733" s="0" t="n">
        <v>0</v>
      </c>
      <c r="T733" s="0" t="s">
        <v>624</v>
      </c>
      <c r="U733" s="0" t="s">
        <v>151</v>
      </c>
      <c r="V733" s="0" t="s">
        <v>624</v>
      </c>
      <c r="W733" s="0" t="s">
        <v>569</v>
      </c>
      <c r="X733" s="0" t="s">
        <v>624</v>
      </c>
      <c r="Y733" s="0" t="s">
        <v>627</v>
      </c>
      <c r="Z733" s="0" t="s">
        <v>629</v>
      </c>
      <c r="AA733" s="0" t="s">
        <v>624</v>
      </c>
      <c r="AB733" s="0" t="s">
        <v>132</v>
      </c>
      <c r="AC733" s="254" t="n">
        <v>560000</v>
      </c>
      <c r="AD733" s="254" t="n">
        <v>30104.3702614766</v>
      </c>
      <c r="AE733" s="0" t="n">
        <v>0</v>
      </c>
      <c r="AF733" s="0" t="n">
        <v>0</v>
      </c>
      <c r="AG733" s="0" t="n">
        <v>0</v>
      </c>
      <c r="AH733" s="254" t="n">
        <v>11641.4016724845</v>
      </c>
      <c r="AI733" s="0" t="n">
        <v>226</v>
      </c>
      <c r="AJ733" s="0" t="s">
        <v>630</v>
      </c>
      <c r="AK733" s="0" t="n">
        <v>0</v>
      </c>
      <c r="AL733" s="0" t="n">
        <v>0</v>
      </c>
      <c r="AM733" s="0" t="n">
        <v>0</v>
      </c>
    </row>
    <row r="734" customFormat="false" ht="12.75" hidden="false" customHeight="false" outlineLevel="0" collapsed="false">
      <c r="A734" s="0" t="s">
        <v>621</v>
      </c>
      <c r="B734" s="0" t="s">
        <v>439</v>
      </c>
      <c r="C734" s="0" t="s">
        <v>622</v>
      </c>
      <c r="D734" s="0" t="s">
        <v>623</v>
      </c>
      <c r="E734" s="0" t="s">
        <v>131</v>
      </c>
      <c r="F734" s="0" t="s">
        <v>275</v>
      </c>
      <c r="G734" s="0" t="s">
        <v>628</v>
      </c>
      <c r="H734" s="0" t="s">
        <v>625</v>
      </c>
      <c r="I734" s="0" t="s">
        <v>626</v>
      </c>
      <c r="J734" s="0" t="s">
        <v>627</v>
      </c>
      <c r="K734" s="475" t="n">
        <v>36951</v>
      </c>
      <c r="L734" s="254" t="n">
        <v>147631.135852342</v>
      </c>
      <c r="M734" s="475" t="n">
        <v>36949</v>
      </c>
      <c r="N734" s="0" t="s">
        <v>132</v>
      </c>
      <c r="O734" s="0" t="n">
        <v>-0.375</v>
      </c>
      <c r="P734" s="0" t="n">
        <v>0</v>
      </c>
      <c r="Q734" s="0" t="n">
        <v>0</v>
      </c>
      <c r="R734" s="0" t="n">
        <v>0</v>
      </c>
      <c r="S734" s="0" t="n">
        <v>0</v>
      </c>
      <c r="T734" s="0" t="s">
        <v>624</v>
      </c>
      <c r="U734" s="0" t="s">
        <v>151</v>
      </c>
      <c r="V734" s="0" t="s">
        <v>624</v>
      </c>
      <c r="W734" s="0" t="s">
        <v>569</v>
      </c>
      <c r="X734" s="0" t="s">
        <v>624</v>
      </c>
      <c r="Y734" s="0" t="s">
        <v>627</v>
      </c>
      <c r="Z734" s="0" t="s">
        <v>629</v>
      </c>
      <c r="AA734" s="0" t="s">
        <v>624</v>
      </c>
      <c r="AB734" s="0" t="s">
        <v>132</v>
      </c>
      <c r="AC734" s="254" t="n">
        <v>620000</v>
      </c>
      <c r="AD734" s="254" t="n">
        <v>32245.6992846978</v>
      </c>
      <c r="AE734" s="0" t="n">
        <v>0</v>
      </c>
      <c r="AF734" s="0" t="n">
        <v>0</v>
      </c>
      <c r="AG734" s="0" t="n">
        <v>0</v>
      </c>
      <c r="AH734" s="254" t="n">
        <v>13046.7822897731</v>
      </c>
      <c r="AI734" s="0" t="n">
        <v>226</v>
      </c>
      <c r="AJ734" s="0" t="s">
        <v>630</v>
      </c>
      <c r="AK734" s="0" t="n">
        <v>0</v>
      </c>
      <c r="AL734" s="0" t="n">
        <v>0</v>
      </c>
      <c r="AM734" s="0" t="n">
        <v>0</v>
      </c>
    </row>
    <row r="735" customFormat="false" ht="12.75" hidden="false" customHeight="false" outlineLevel="0" collapsed="false">
      <c r="A735" s="0" t="s">
        <v>621</v>
      </c>
      <c r="B735" s="0" t="s">
        <v>440</v>
      </c>
      <c r="C735" s="0" t="s">
        <v>622</v>
      </c>
      <c r="D735" s="0" t="s">
        <v>623</v>
      </c>
      <c r="E735" s="0" t="s">
        <v>131</v>
      </c>
      <c r="F735" s="0" t="s">
        <v>255</v>
      </c>
      <c r="G735" s="0" t="s">
        <v>628</v>
      </c>
      <c r="H735" s="0" t="s">
        <v>625</v>
      </c>
      <c r="I735" s="0" t="s">
        <v>626</v>
      </c>
      <c r="J735" s="0" t="s">
        <v>627</v>
      </c>
      <c r="K735" s="475" t="n">
        <v>36892</v>
      </c>
      <c r="L735" s="254" t="n">
        <v>-28711.8987177352</v>
      </c>
      <c r="M735" s="475" t="n">
        <v>36888</v>
      </c>
      <c r="N735" s="0" t="s">
        <v>136</v>
      </c>
      <c r="O735" s="0" t="n">
        <v>0.2</v>
      </c>
      <c r="P735" s="0" t="n">
        <v>0</v>
      </c>
      <c r="Q735" s="0" t="n">
        <v>0</v>
      </c>
      <c r="R735" s="0" t="n">
        <v>0</v>
      </c>
      <c r="S735" s="0" t="n">
        <v>0</v>
      </c>
      <c r="T735" s="0" t="s">
        <v>624</v>
      </c>
      <c r="U735" s="0" t="s">
        <v>632</v>
      </c>
      <c r="V735" s="0" t="s">
        <v>624</v>
      </c>
      <c r="W735" s="0" t="s">
        <v>569</v>
      </c>
      <c r="X735" s="0" t="s">
        <v>624</v>
      </c>
      <c r="Y735" s="0" t="s">
        <v>627</v>
      </c>
      <c r="Z735" s="0" t="s">
        <v>629</v>
      </c>
      <c r="AA735" s="0" t="s">
        <v>624</v>
      </c>
      <c r="AB735" s="0" t="s">
        <v>132</v>
      </c>
      <c r="AC735" s="254" t="n">
        <v>-1000000</v>
      </c>
      <c r="AD735" s="254" t="n">
        <v>-8458.08813513262</v>
      </c>
      <c r="AE735" s="0" t="n">
        <v>0</v>
      </c>
      <c r="AF735" s="0" t="n">
        <v>0</v>
      </c>
      <c r="AG735" s="0" t="n">
        <v>0</v>
      </c>
      <c r="AH735" s="254" t="n">
        <v>-407.037405835876</v>
      </c>
      <c r="AI735" s="0" t="n">
        <v>226</v>
      </c>
      <c r="AJ735" s="0" t="s">
        <v>630</v>
      </c>
      <c r="AK735" s="0" t="n">
        <v>0</v>
      </c>
      <c r="AL735" s="0" t="n">
        <v>0</v>
      </c>
      <c r="AM735" s="0" t="n">
        <v>0</v>
      </c>
    </row>
    <row r="736" customFormat="false" ht="12.75" hidden="false" customHeight="false" outlineLevel="0" collapsed="false">
      <c r="A736" s="0" t="s">
        <v>621</v>
      </c>
      <c r="B736" s="0" t="s">
        <v>440</v>
      </c>
      <c r="C736" s="0" t="s">
        <v>622</v>
      </c>
      <c r="D736" s="0" t="s">
        <v>623</v>
      </c>
      <c r="E736" s="0" t="s">
        <v>131</v>
      </c>
      <c r="F736" s="0" t="s">
        <v>255</v>
      </c>
      <c r="G736" s="0" t="s">
        <v>628</v>
      </c>
      <c r="H736" s="0" t="s">
        <v>625</v>
      </c>
      <c r="I736" s="0" t="s">
        <v>626</v>
      </c>
      <c r="J736" s="0" t="s">
        <v>627</v>
      </c>
      <c r="K736" s="475" t="n">
        <v>36923</v>
      </c>
      <c r="L736" s="254" t="n">
        <v>-34991.207679825</v>
      </c>
      <c r="M736" s="475" t="n">
        <v>36921</v>
      </c>
      <c r="N736" s="0" t="s">
        <v>136</v>
      </c>
      <c r="O736" s="0" t="n">
        <v>0.2</v>
      </c>
      <c r="P736" s="0" t="n">
        <v>0</v>
      </c>
      <c r="Q736" s="0" t="n">
        <v>0</v>
      </c>
      <c r="R736" s="0" t="n">
        <v>0</v>
      </c>
      <c r="S736" s="0" t="n">
        <v>0</v>
      </c>
      <c r="T736" s="0" t="s">
        <v>624</v>
      </c>
      <c r="U736" s="0" t="s">
        <v>632</v>
      </c>
      <c r="V736" s="0" t="s">
        <v>624</v>
      </c>
      <c r="W736" s="0" t="s">
        <v>569</v>
      </c>
      <c r="X736" s="0" t="s">
        <v>624</v>
      </c>
      <c r="Y736" s="0" t="s">
        <v>627</v>
      </c>
      <c r="Z736" s="0" t="s">
        <v>629</v>
      </c>
      <c r="AA736" s="0" t="s">
        <v>624</v>
      </c>
      <c r="AB736" s="0" t="s">
        <v>132</v>
      </c>
      <c r="AC736" s="254" t="n">
        <v>-1000000</v>
      </c>
      <c r="AD736" s="254" t="n">
        <v>-9589.11843832536</v>
      </c>
      <c r="AE736" s="0" t="n">
        <v>0</v>
      </c>
      <c r="AF736" s="0" t="n">
        <v>0</v>
      </c>
      <c r="AG736" s="0" t="n">
        <v>0</v>
      </c>
      <c r="AH736" s="254" t="n">
        <v>-459.966013406702</v>
      </c>
      <c r="AI736" s="0" t="n">
        <v>226</v>
      </c>
      <c r="AJ736" s="0" t="s">
        <v>630</v>
      </c>
      <c r="AK736" s="0" t="n">
        <v>0</v>
      </c>
      <c r="AL736" s="0" t="n">
        <v>0</v>
      </c>
      <c r="AM736" s="0" t="n">
        <v>0</v>
      </c>
    </row>
    <row r="737" customFormat="false" ht="12.75" hidden="false" customHeight="false" outlineLevel="0" collapsed="false">
      <c r="A737" s="0" t="s">
        <v>621</v>
      </c>
      <c r="B737" s="0" t="s">
        <v>440</v>
      </c>
      <c r="C737" s="0" t="s">
        <v>622</v>
      </c>
      <c r="D737" s="0" t="s">
        <v>623</v>
      </c>
      <c r="E737" s="0" t="s">
        <v>131</v>
      </c>
      <c r="F737" s="0" t="s">
        <v>255</v>
      </c>
      <c r="G737" s="0" t="s">
        <v>628</v>
      </c>
      <c r="H737" s="0" t="s">
        <v>625</v>
      </c>
      <c r="I737" s="0" t="s">
        <v>626</v>
      </c>
      <c r="J737" s="0" t="s">
        <v>627</v>
      </c>
      <c r="K737" s="475" t="n">
        <v>36951</v>
      </c>
      <c r="L737" s="254" t="n">
        <v>-26314.0572922367</v>
      </c>
      <c r="M737" s="475" t="n">
        <v>36949</v>
      </c>
      <c r="N737" s="0" t="s">
        <v>136</v>
      </c>
      <c r="O737" s="0" t="n">
        <v>0.2</v>
      </c>
      <c r="P737" s="0" t="n">
        <v>0</v>
      </c>
      <c r="Q737" s="0" t="n">
        <v>0</v>
      </c>
      <c r="R737" s="0" t="n">
        <v>0</v>
      </c>
      <c r="S737" s="0" t="n">
        <v>0</v>
      </c>
      <c r="T737" s="0" t="s">
        <v>624</v>
      </c>
      <c r="U737" s="0" t="s">
        <v>632</v>
      </c>
      <c r="V737" s="0" t="s">
        <v>624</v>
      </c>
      <c r="W737" s="0" t="s">
        <v>569</v>
      </c>
      <c r="X737" s="0" t="s">
        <v>624</v>
      </c>
      <c r="Y737" s="0" t="s">
        <v>627</v>
      </c>
      <c r="Z737" s="0" t="s">
        <v>629</v>
      </c>
      <c r="AA737" s="0" t="s">
        <v>624</v>
      </c>
      <c r="AB737" s="0" t="s">
        <v>132</v>
      </c>
      <c r="AC737" s="254" t="n">
        <v>-1000000</v>
      </c>
      <c r="AD737" s="254" t="n">
        <v>-8714.59753260284</v>
      </c>
      <c r="AE737" s="0" t="n">
        <v>0</v>
      </c>
      <c r="AF737" s="0" t="n">
        <v>0</v>
      </c>
      <c r="AG737" s="0" t="n">
        <v>0</v>
      </c>
      <c r="AH737" s="254" t="n">
        <v>-442.509629958389</v>
      </c>
      <c r="AI737" s="0" t="n">
        <v>226</v>
      </c>
      <c r="AJ737" s="0" t="s">
        <v>630</v>
      </c>
      <c r="AK737" s="0" t="n">
        <v>0</v>
      </c>
      <c r="AL737" s="0" t="n">
        <v>0</v>
      </c>
      <c r="AM737" s="0" t="n">
        <v>0</v>
      </c>
    </row>
    <row r="738" customFormat="false" ht="12.75" hidden="false" customHeight="false" outlineLevel="0" collapsed="false">
      <c r="A738" s="0" t="s">
        <v>621</v>
      </c>
      <c r="B738" s="0" t="s">
        <v>441</v>
      </c>
      <c r="C738" s="0" t="s">
        <v>622</v>
      </c>
      <c r="D738" s="0" t="s">
        <v>623</v>
      </c>
      <c r="E738" s="0" t="s">
        <v>131</v>
      </c>
      <c r="F738" s="0" t="s">
        <v>210</v>
      </c>
      <c r="G738" s="0" t="s">
        <v>628</v>
      </c>
      <c r="H738" s="0" t="s">
        <v>625</v>
      </c>
      <c r="I738" s="0" t="s">
        <v>626</v>
      </c>
      <c r="J738" s="0" t="s">
        <v>627</v>
      </c>
      <c r="K738" s="475" t="n">
        <v>36982</v>
      </c>
      <c r="L738" s="254" t="n">
        <v>41506.0528340767</v>
      </c>
      <c r="M738" s="475" t="n">
        <v>36979</v>
      </c>
      <c r="N738" s="0" t="s">
        <v>132</v>
      </c>
      <c r="O738" s="0" t="n">
        <v>0.28</v>
      </c>
      <c r="P738" s="0" t="n">
        <v>0</v>
      </c>
      <c r="Q738" s="0" t="n">
        <v>0</v>
      </c>
      <c r="R738" s="0" t="n">
        <v>0</v>
      </c>
      <c r="S738" s="0" t="n">
        <v>0</v>
      </c>
      <c r="T738" s="0" t="s">
        <v>624</v>
      </c>
      <c r="U738" s="0" t="s">
        <v>155</v>
      </c>
      <c r="V738" s="0" t="s">
        <v>624</v>
      </c>
      <c r="W738" s="0" t="s">
        <v>569</v>
      </c>
      <c r="X738" s="0" t="s">
        <v>624</v>
      </c>
      <c r="Y738" s="0" t="s">
        <v>627</v>
      </c>
      <c r="Z738" s="0" t="s">
        <v>629</v>
      </c>
      <c r="AA738" s="0" t="s">
        <v>624</v>
      </c>
      <c r="AB738" s="0" t="s">
        <v>132</v>
      </c>
      <c r="AC738" s="254" t="n">
        <v>1000000</v>
      </c>
      <c r="AD738" s="254" t="n">
        <v>14412.9327085938</v>
      </c>
      <c r="AE738" s="0" t="n">
        <v>0</v>
      </c>
      <c r="AF738" s="0" t="n">
        <v>0</v>
      </c>
      <c r="AG738" s="0" t="n">
        <v>0</v>
      </c>
      <c r="AH738" s="254" t="n">
        <v>685.928365432796</v>
      </c>
      <c r="AI738" s="0" t="n">
        <v>226</v>
      </c>
      <c r="AJ738" s="0" t="s">
        <v>630</v>
      </c>
      <c r="AK738" s="0" t="n">
        <v>0</v>
      </c>
      <c r="AL738" s="0" t="n">
        <v>0</v>
      </c>
      <c r="AM738" s="0" t="n">
        <v>0</v>
      </c>
    </row>
    <row r="739" customFormat="false" ht="12.75" hidden="false" customHeight="false" outlineLevel="0" collapsed="false">
      <c r="A739" s="0" t="s">
        <v>621</v>
      </c>
      <c r="B739" s="0" t="s">
        <v>441</v>
      </c>
      <c r="C739" s="0" t="s">
        <v>622</v>
      </c>
      <c r="D739" s="0" t="s">
        <v>623</v>
      </c>
      <c r="E739" s="0" t="s">
        <v>131</v>
      </c>
      <c r="F739" s="0" t="s">
        <v>210</v>
      </c>
      <c r="G739" s="0" t="s">
        <v>628</v>
      </c>
      <c r="H739" s="0" t="s">
        <v>625</v>
      </c>
      <c r="I739" s="0" t="s">
        <v>626</v>
      </c>
      <c r="J739" s="0" t="s">
        <v>627</v>
      </c>
      <c r="K739" s="475" t="n">
        <v>37012</v>
      </c>
      <c r="L739" s="254" t="n">
        <v>59419.3559488892</v>
      </c>
      <c r="M739" s="475" t="n">
        <v>37008</v>
      </c>
      <c r="N739" s="0" t="s">
        <v>132</v>
      </c>
      <c r="O739" s="0" t="n">
        <v>0.28</v>
      </c>
      <c r="P739" s="0" t="n">
        <v>0</v>
      </c>
      <c r="Q739" s="0" t="n">
        <v>0</v>
      </c>
      <c r="R739" s="0" t="n">
        <v>0</v>
      </c>
      <c r="S739" s="0" t="n">
        <v>0</v>
      </c>
      <c r="T739" s="0" t="s">
        <v>624</v>
      </c>
      <c r="U739" s="0" t="s">
        <v>155</v>
      </c>
      <c r="V739" s="0" t="s">
        <v>624</v>
      </c>
      <c r="W739" s="0" t="s">
        <v>569</v>
      </c>
      <c r="X739" s="0" t="s">
        <v>624</v>
      </c>
      <c r="Y739" s="0" t="s">
        <v>627</v>
      </c>
      <c r="Z739" s="0" t="s">
        <v>629</v>
      </c>
      <c r="AA739" s="0" t="s">
        <v>624</v>
      </c>
      <c r="AB739" s="0" t="s">
        <v>132</v>
      </c>
      <c r="AC739" s="254" t="n">
        <v>1000000</v>
      </c>
      <c r="AD739" s="254" t="n">
        <v>15417.8588495953</v>
      </c>
      <c r="AE739" s="0" t="n">
        <v>0</v>
      </c>
      <c r="AF739" s="0" t="n">
        <v>0</v>
      </c>
      <c r="AG739" s="0" t="n">
        <v>0</v>
      </c>
      <c r="AH739" s="254" t="n">
        <v>733.774310313522</v>
      </c>
      <c r="AI739" s="0" t="n">
        <v>226</v>
      </c>
      <c r="AJ739" s="0" t="s">
        <v>630</v>
      </c>
      <c r="AK739" s="0" t="n">
        <v>0</v>
      </c>
      <c r="AL739" s="0" t="n">
        <v>0</v>
      </c>
      <c r="AM739" s="0" t="n">
        <v>0</v>
      </c>
    </row>
    <row r="740" customFormat="false" ht="12.75" hidden="false" customHeight="false" outlineLevel="0" collapsed="false">
      <c r="A740" s="0" t="s">
        <v>621</v>
      </c>
      <c r="B740" s="0" t="s">
        <v>441</v>
      </c>
      <c r="C740" s="0" t="s">
        <v>622</v>
      </c>
      <c r="D740" s="0" t="s">
        <v>623</v>
      </c>
      <c r="E740" s="0" t="s">
        <v>131</v>
      </c>
      <c r="F740" s="0" t="s">
        <v>210</v>
      </c>
      <c r="G740" s="0" t="s">
        <v>628</v>
      </c>
      <c r="H740" s="0" t="s">
        <v>625</v>
      </c>
      <c r="I740" s="0" t="s">
        <v>626</v>
      </c>
      <c r="J740" s="0" t="s">
        <v>627</v>
      </c>
      <c r="K740" s="475" t="n">
        <v>37043</v>
      </c>
      <c r="L740" s="254" t="n">
        <v>62583.3942250317</v>
      </c>
      <c r="M740" s="475" t="n">
        <v>37041</v>
      </c>
      <c r="N740" s="0" t="s">
        <v>132</v>
      </c>
      <c r="O740" s="0" t="n">
        <v>0.28</v>
      </c>
      <c r="P740" s="0" t="n">
        <v>0</v>
      </c>
      <c r="Q740" s="0" t="n">
        <v>0</v>
      </c>
      <c r="R740" s="0" t="n">
        <v>0</v>
      </c>
      <c r="S740" s="0" t="n">
        <v>0</v>
      </c>
      <c r="T740" s="0" t="s">
        <v>624</v>
      </c>
      <c r="U740" s="0" t="s">
        <v>155</v>
      </c>
      <c r="V740" s="0" t="s">
        <v>624</v>
      </c>
      <c r="W740" s="0" t="s">
        <v>569</v>
      </c>
      <c r="X740" s="0" t="s">
        <v>624</v>
      </c>
      <c r="Y740" s="0" t="s">
        <v>627</v>
      </c>
      <c r="Z740" s="0" t="s">
        <v>629</v>
      </c>
      <c r="AA740" s="0" t="s">
        <v>624</v>
      </c>
      <c r="AB740" s="0" t="s">
        <v>132</v>
      </c>
      <c r="AC740" s="254" t="n">
        <v>1000000</v>
      </c>
      <c r="AD740" s="254" t="n">
        <v>16135.8715851394</v>
      </c>
      <c r="AE740" s="0" t="n">
        <v>0</v>
      </c>
      <c r="AF740" s="0" t="n">
        <v>0</v>
      </c>
      <c r="AG740" s="0" t="n">
        <v>0</v>
      </c>
      <c r="AH740" s="254" t="n">
        <v>767.283033300533</v>
      </c>
      <c r="AI740" s="0" t="n">
        <v>226</v>
      </c>
      <c r="AJ740" s="0" t="s">
        <v>630</v>
      </c>
      <c r="AK740" s="0" t="n">
        <v>0</v>
      </c>
      <c r="AL740" s="0" t="n">
        <v>0</v>
      </c>
      <c r="AM740" s="0" t="n">
        <v>0</v>
      </c>
    </row>
    <row r="741" customFormat="false" ht="12.75" hidden="false" customHeight="false" outlineLevel="0" collapsed="false">
      <c r="A741" s="0" t="s">
        <v>621</v>
      </c>
      <c r="B741" s="0" t="s">
        <v>441</v>
      </c>
      <c r="C741" s="0" t="s">
        <v>622</v>
      </c>
      <c r="D741" s="0" t="s">
        <v>623</v>
      </c>
      <c r="E741" s="0" t="s">
        <v>131</v>
      </c>
      <c r="F741" s="0" t="s">
        <v>210</v>
      </c>
      <c r="G741" s="0" t="s">
        <v>628</v>
      </c>
      <c r="H741" s="0" t="s">
        <v>625</v>
      </c>
      <c r="I741" s="0" t="s">
        <v>626</v>
      </c>
      <c r="J741" s="0" t="s">
        <v>627</v>
      </c>
      <c r="K741" s="475" t="n">
        <v>37073</v>
      </c>
      <c r="L741" s="254" t="n">
        <v>61107.0516431784</v>
      </c>
      <c r="M741" s="475" t="n">
        <v>37070</v>
      </c>
      <c r="N741" s="0" t="s">
        <v>132</v>
      </c>
      <c r="O741" s="0" t="n">
        <v>0.28</v>
      </c>
      <c r="P741" s="0" t="n">
        <v>0</v>
      </c>
      <c r="Q741" s="0" t="n">
        <v>0</v>
      </c>
      <c r="R741" s="0" t="n">
        <v>0</v>
      </c>
      <c r="S741" s="0" t="n">
        <v>0</v>
      </c>
      <c r="T741" s="0" t="s">
        <v>624</v>
      </c>
      <c r="U741" s="0" t="s">
        <v>155</v>
      </c>
      <c r="V741" s="0" t="s">
        <v>624</v>
      </c>
      <c r="W741" s="0" t="s">
        <v>569</v>
      </c>
      <c r="X741" s="0" t="s">
        <v>624</v>
      </c>
      <c r="Y741" s="0" t="s">
        <v>627</v>
      </c>
      <c r="Z741" s="0" t="s">
        <v>629</v>
      </c>
      <c r="AA741" s="0" t="s">
        <v>624</v>
      </c>
      <c r="AB741" s="0" t="s">
        <v>132</v>
      </c>
      <c r="AC741" s="254" t="n">
        <v>1000000</v>
      </c>
      <c r="AD741" s="254" t="n">
        <v>16662.036016044</v>
      </c>
      <c r="AE741" s="0" t="n">
        <v>0</v>
      </c>
      <c r="AF741" s="0" t="n">
        <v>0</v>
      </c>
      <c r="AG741" s="0" t="n">
        <v>0</v>
      </c>
      <c r="AH741" s="254" t="n">
        <v>791.660199260135</v>
      </c>
      <c r="AI741" s="0" t="n">
        <v>226</v>
      </c>
      <c r="AJ741" s="0" t="s">
        <v>630</v>
      </c>
      <c r="AK741" s="0" t="n">
        <v>0</v>
      </c>
      <c r="AL741" s="0" t="n">
        <v>0</v>
      </c>
      <c r="AM741" s="0" t="n">
        <v>0</v>
      </c>
    </row>
    <row r="742" customFormat="false" ht="12.75" hidden="false" customHeight="false" outlineLevel="0" collapsed="false">
      <c r="A742" s="0" t="s">
        <v>621</v>
      </c>
      <c r="B742" s="0" t="s">
        <v>441</v>
      </c>
      <c r="C742" s="0" t="s">
        <v>622</v>
      </c>
      <c r="D742" s="0" t="s">
        <v>623</v>
      </c>
      <c r="E742" s="0" t="s">
        <v>131</v>
      </c>
      <c r="F742" s="0" t="s">
        <v>210</v>
      </c>
      <c r="G742" s="0" t="s">
        <v>628</v>
      </c>
      <c r="H742" s="0" t="s">
        <v>625</v>
      </c>
      <c r="I742" s="0" t="s">
        <v>626</v>
      </c>
      <c r="J742" s="0" t="s">
        <v>627</v>
      </c>
      <c r="K742" s="475" t="n">
        <v>37104</v>
      </c>
      <c r="L742" s="254" t="n">
        <v>64932.7476125978</v>
      </c>
      <c r="M742" s="475" t="n">
        <v>37102</v>
      </c>
      <c r="N742" s="0" t="s">
        <v>132</v>
      </c>
      <c r="O742" s="0" t="n">
        <v>0.28</v>
      </c>
      <c r="P742" s="0" t="n">
        <v>0</v>
      </c>
      <c r="Q742" s="0" t="n">
        <v>0</v>
      </c>
      <c r="R742" s="0" t="n">
        <v>0</v>
      </c>
      <c r="S742" s="0" t="n">
        <v>0</v>
      </c>
      <c r="T742" s="0" t="s">
        <v>624</v>
      </c>
      <c r="U742" s="0" t="s">
        <v>155</v>
      </c>
      <c r="V742" s="0" t="s">
        <v>624</v>
      </c>
      <c r="W742" s="0" t="s">
        <v>569</v>
      </c>
      <c r="X742" s="0" t="s">
        <v>624</v>
      </c>
      <c r="Y742" s="0" t="s">
        <v>627</v>
      </c>
      <c r="Z742" s="0" t="s">
        <v>629</v>
      </c>
      <c r="AA742" s="0" t="s">
        <v>624</v>
      </c>
      <c r="AB742" s="0" t="s">
        <v>132</v>
      </c>
      <c r="AC742" s="254" t="n">
        <v>1000000</v>
      </c>
      <c r="AD742" s="254" t="n">
        <v>17458.732310522</v>
      </c>
      <c r="AE742" s="0" t="n">
        <v>0</v>
      </c>
      <c r="AF742" s="0" t="n">
        <v>0</v>
      </c>
      <c r="AG742" s="0" t="n">
        <v>0</v>
      </c>
      <c r="AH742" s="254" t="n">
        <v>829.208744648204</v>
      </c>
      <c r="AI742" s="0" t="n">
        <v>226</v>
      </c>
      <c r="AJ742" s="0" t="s">
        <v>630</v>
      </c>
      <c r="AK742" s="0" t="n">
        <v>0</v>
      </c>
      <c r="AL742" s="0" t="n">
        <v>0</v>
      </c>
      <c r="AM742" s="0" t="n">
        <v>0</v>
      </c>
    </row>
    <row r="743" customFormat="false" ht="12.75" hidden="false" customHeight="false" outlineLevel="0" collapsed="false">
      <c r="A743" s="0" t="s">
        <v>621</v>
      </c>
      <c r="B743" s="0" t="s">
        <v>441</v>
      </c>
      <c r="C743" s="0" t="s">
        <v>622</v>
      </c>
      <c r="D743" s="0" t="s">
        <v>623</v>
      </c>
      <c r="E743" s="0" t="s">
        <v>131</v>
      </c>
      <c r="F743" s="0" t="s">
        <v>210</v>
      </c>
      <c r="G743" s="0" t="s">
        <v>628</v>
      </c>
      <c r="H743" s="0" t="s">
        <v>625</v>
      </c>
      <c r="I743" s="0" t="s">
        <v>626</v>
      </c>
      <c r="J743" s="0" t="s">
        <v>627</v>
      </c>
      <c r="K743" s="475" t="n">
        <v>37135</v>
      </c>
      <c r="L743" s="254" t="n">
        <v>71844.7645117812</v>
      </c>
      <c r="M743" s="475" t="n">
        <v>37133</v>
      </c>
      <c r="N743" s="0" t="s">
        <v>132</v>
      </c>
      <c r="O743" s="0" t="n">
        <v>0.28</v>
      </c>
      <c r="P743" s="0" t="n">
        <v>0</v>
      </c>
      <c r="Q743" s="0" t="n">
        <v>0</v>
      </c>
      <c r="R743" s="0" t="n">
        <v>0</v>
      </c>
      <c r="S743" s="0" t="n">
        <v>0</v>
      </c>
      <c r="T743" s="0" t="s">
        <v>624</v>
      </c>
      <c r="U743" s="0" t="s">
        <v>155</v>
      </c>
      <c r="V743" s="0" t="s">
        <v>624</v>
      </c>
      <c r="W743" s="0" t="s">
        <v>569</v>
      </c>
      <c r="X743" s="0" t="s">
        <v>624</v>
      </c>
      <c r="Y743" s="0" t="s">
        <v>627</v>
      </c>
      <c r="Z743" s="0" t="s">
        <v>629</v>
      </c>
      <c r="AA743" s="0" t="s">
        <v>624</v>
      </c>
      <c r="AB743" s="0" t="s">
        <v>132</v>
      </c>
      <c r="AC743" s="254" t="n">
        <v>1000000</v>
      </c>
      <c r="AD743" s="254" t="n">
        <v>18315.1840323834</v>
      </c>
      <c r="AE743" s="0" t="n">
        <v>0</v>
      </c>
      <c r="AF743" s="0" t="n">
        <v>0</v>
      </c>
      <c r="AG743" s="0" t="n">
        <v>0</v>
      </c>
      <c r="AH743" s="254" t="n">
        <v>869.832221875637</v>
      </c>
      <c r="AI743" s="0" t="n">
        <v>226</v>
      </c>
      <c r="AJ743" s="0" t="s">
        <v>630</v>
      </c>
      <c r="AK743" s="0" t="n">
        <v>0</v>
      </c>
      <c r="AL743" s="0" t="n">
        <v>0</v>
      </c>
      <c r="AM743" s="0" t="n">
        <v>0</v>
      </c>
    </row>
    <row r="744" customFormat="false" ht="12.75" hidden="false" customHeight="false" outlineLevel="0" collapsed="false">
      <c r="A744" s="0" t="s">
        <v>621</v>
      </c>
      <c r="B744" s="0" t="s">
        <v>441</v>
      </c>
      <c r="C744" s="0" t="s">
        <v>622</v>
      </c>
      <c r="D744" s="0" t="s">
        <v>623</v>
      </c>
      <c r="E744" s="0" t="s">
        <v>131</v>
      </c>
      <c r="F744" s="0" t="s">
        <v>210</v>
      </c>
      <c r="G744" s="0" t="s">
        <v>628</v>
      </c>
      <c r="H744" s="0" t="s">
        <v>625</v>
      </c>
      <c r="I744" s="0" t="s">
        <v>626</v>
      </c>
      <c r="J744" s="0" t="s">
        <v>627</v>
      </c>
      <c r="K744" s="475" t="n">
        <v>37165</v>
      </c>
      <c r="L744" s="254" t="n">
        <v>69952.6503587624</v>
      </c>
      <c r="M744" s="475" t="n">
        <v>37161</v>
      </c>
      <c r="N744" s="0" t="s">
        <v>132</v>
      </c>
      <c r="O744" s="0" t="n">
        <v>0.28</v>
      </c>
      <c r="P744" s="0" t="n">
        <v>0</v>
      </c>
      <c r="Q744" s="0" t="n">
        <v>0</v>
      </c>
      <c r="R744" s="0" t="n">
        <v>0</v>
      </c>
      <c r="S744" s="0" t="n">
        <v>0</v>
      </c>
      <c r="T744" s="0" t="s">
        <v>624</v>
      </c>
      <c r="U744" s="0" t="s">
        <v>155</v>
      </c>
      <c r="V744" s="0" t="s">
        <v>624</v>
      </c>
      <c r="W744" s="0" t="s">
        <v>569</v>
      </c>
      <c r="X744" s="0" t="s">
        <v>624</v>
      </c>
      <c r="Y744" s="0" t="s">
        <v>627</v>
      </c>
      <c r="Z744" s="0" t="s">
        <v>629</v>
      </c>
      <c r="AA744" s="0" t="s">
        <v>624</v>
      </c>
      <c r="AB744" s="0" t="s">
        <v>132</v>
      </c>
      <c r="AC744" s="254" t="n">
        <v>1000000</v>
      </c>
      <c r="AD744" s="254" t="n">
        <v>18813.4795461909</v>
      </c>
      <c r="AE744" s="0" t="n">
        <v>0</v>
      </c>
      <c r="AF744" s="0" t="n">
        <v>0</v>
      </c>
      <c r="AG744" s="0" t="n">
        <v>0</v>
      </c>
      <c r="AH744" s="254" t="n">
        <v>893.106069812522</v>
      </c>
      <c r="AI744" s="0" t="n">
        <v>226</v>
      </c>
      <c r="AJ744" s="0" t="s">
        <v>630</v>
      </c>
      <c r="AK744" s="0" t="n">
        <v>0</v>
      </c>
      <c r="AL744" s="0" t="n">
        <v>0</v>
      </c>
      <c r="AM744" s="0" t="n">
        <v>0</v>
      </c>
    </row>
    <row r="745" customFormat="false" ht="12.75" hidden="false" customHeight="false" outlineLevel="0" collapsed="false">
      <c r="A745" s="0" t="s">
        <v>621</v>
      </c>
      <c r="B745" s="0" t="s">
        <v>442</v>
      </c>
      <c r="C745" s="0" t="s">
        <v>622</v>
      </c>
      <c r="D745" s="0" t="s">
        <v>623</v>
      </c>
      <c r="E745" s="0" t="s">
        <v>131</v>
      </c>
      <c r="F745" s="0" t="s">
        <v>301</v>
      </c>
      <c r="G745" s="0" t="s">
        <v>628</v>
      </c>
      <c r="H745" s="0" t="s">
        <v>625</v>
      </c>
      <c r="I745" s="0" t="s">
        <v>626</v>
      </c>
      <c r="J745" s="0" t="s">
        <v>627</v>
      </c>
      <c r="K745" s="475" t="n">
        <v>36923</v>
      </c>
      <c r="L745" s="254" t="n">
        <v>-78967.5079564279</v>
      </c>
      <c r="M745" s="475" t="n">
        <v>36921</v>
      </c>
      <c r="N745" s="0" t="s">
        <v>136</v>
      </c>
      <c r="O745" s="0" t="n">
        <v>0.4</v>
      </c>
      <c r="P745" s="0" t="n">
        <v>0</v>
      </c>
      <c r="Q745" s="0" t="n">
        <v>0</v>
      </c>
      <c r="R745" s="0" t="n">
        <v>0</v>
      </c>
      <c r="S745" s="0" t="n">
        <v>0</v>
      </c>
      <c r="T745" s="0" t="s">
        <v>624</v>
      </c>
      <c r="U745" s="0" t="s">
        <v>150</v>
      </c>
      <c r="V745" s="0" t="s">
        <v>624</v>
      </c>
      <c r="W745" s="0" t="s">
        <v>569</v>
      </c>
      <c r="X745" s="0" t="s">
        <v>624</v>
      </c>
      <c r="Y745" s="0" t="s">
        <v>627</v>
      </c>
      <c r="Z745" s="0" t="s">
        <v>629</v>
      </c>
      <c r="AA745" s="0" t="s">
        <v>624</v>
      </c>
      <c r="AB745" s="0" t="s">
        <v>132</v>
      </c>
      <c r="AC745" s="254" t="n">
        <v>-1120000</v>
      </c>
      <c r="AD745" s="254" t="n">
        <v>-19603.9278747907</v>
      </c>
      <c r="AE745" s="0" t="n">
        <v>0</v>
      </c>
      <c r="AF745" s="0" t="n">
        <v>0</v>
      </c>
      <c r="AG745" s="0" t="n">
        <v>0</v>
      </c>
      <c r="AH745" s="254" t="n">
        <v>-940.355928835357</v>
      </c>
      <c r="AI745" s="0" t="n">
        <v>226</v>
      </c>
      <c r="AJ745" s="0" t="s">
        <v>630</v>
      </c>
      <c r="AK745" s="0" t="n">
        <v>0</v>
      </c>
      <c r="AL745" s="0" t="n">
        <v>0</v>
      </c>
      <c r="AM745" s="0" t="n">
        <v>0</v>
      </c>
    </row>
    <row r="746" customFormat="false" ht="12.75" hidden="false" customHeight="false" outlineLevel="0" collapsed="false">
      <c r="A746" s="0" t="s">
        <v>621</v>
      </c>
      <c r="B746" s="0" t="s">
        <v>443</v>
      </c>
      <c r="C746" s="0" t="s">
        <v>622</v>
      </c>
      <c r="D746" s="0" t="s">
        <v>623</v>
      </c>
      <c r="E746" s="0" t="s">
        <v>131</v>
      </c>
      <c r="F746" s="0" t="s">
        <v>212</v>
      </c>
      <c r="G746" s="0" t="s">
        <v>628</v>
      </c>
      <c r="H746" s="0" t="s">
        <v>625</v>
      </c>
      <c r="I746" s="0" t="s">
        <v>626</v>
      </c>
      <c r="J746" s="0" t="s">
        <v>627</v>
      </c>
      <c r="K746" s="475" t="n">
        <v>36831</v>
      </c>
      <c r="L746" s="254" t="n">
        <v>279777.508419431</v>
      </c>
      <c r="M746" s="475" t="n">
        <v>36829</v>
      </c>
      <c r="N746" s="0" t="s">
        <v>132</v>
      </c>
      <c r="O746" s="0" t="n">
        <v>0.5</v>
      </c>
      <c r="P746" s="0" t="n">
        <v>0</v>
      </c>
      <c r="Q746" s="0" t="n">
        <v>0</v>
      </c>
      <c r="R746" s="0" t="n">
        <v>0</v>
      </c>
      <c r="S746" s="0" t="n">
        <v>0</v>
      </c>
      <c r="T746" s="0" t="s">
        <v>624</v>
      </c>
      <c r="U746" s="0" t="s">
        <v>149</v>
      </c>
      <c r="V746" s="0" t="s">
        <v>624</v>
      </c>
      <c r="W746" s="0" t="s">
        <v>569</v>
      </c>
      <c r="X746" s="0" t="s">
        <v>624</v>
      </c>
      <c r="Y746" s="0" t="s">
        <v>627</v>
      </c>
      <c r="Z746" s="0" t="s">
        <v>629</v>
      </c>
      <c r="AA746" s="0" t="s">
        <v>624</v>
      </c>
      <c r="AB746" s="0" t="s">
        <v>132</v>
      </c>
      <c r="AC746" s="254" t="n">
        <v>2000000</v>
      </c>
      <c r="AD746" s="254" t="n">
        <v>84288.6961473709</v>
      </c>
      <c r="AE746" s="0" t="n">
        <v>0</v>
      </c>
      <c r="AF746" s="0" t="n">
        <v>0</v>
      </c>
      <c r="AG746" s="0" t="n">
        <v>0</v>
      </c>
      <c r="AH746" s="254" t="n">
        <v>-21214.0298534021</v>
      </c>
      <c r="AI746" s="0" t="n">
        <v>226</v>
      </c>
      <c r="AJ746" s="0" t="s">
        <v>630</v>
      </c>
      <c r="AK746" s="0" t="n">
        <v>0</v>
      </c>
      <c r="AL746" s="0" t="n">
        <v>0</v>
      </c>
      <c r="AM746" s="0" t="n">
        <v>0</v>
      </c>
    </row>
    <row r="747" customFormat="false" ht="12.75" hidden="false" customHeight="false" outlineLevel="0" collapsed="false">
      <c r="A747" s="0" t="s">
        <v>621</v>
      </c>
      <c r="B747" s="0" t="s">
        <v>444</v>
      </c>
      <c r="C747" s="0" t="s">
        <v>622</v>
      </c>
      <c r="D747" s="0" t="s">
        <v>623</v>
      </c>
      <c r="E747" s="0" t="s">
        <v>131</v>
      </c>
      <c r="F747" s="0" t="s">
        <v>345</v>
      </c>
      <c r="G747" s="0" t="s">
        <v>628</v>
      </c>
      <c r="H747" s="0" t="s">
        <v>625</v>
      </c>
      <c r="I747" s="0" t="s">
        <v>626</v>
      </c>
      <c r="J747" s="0" t="s">
        <v>627</v>
      </c>
      <c r="K747" s="475" t="n">
        <v>36892</v>
      </c>
      <c r="L747" s="254" t="n">
        <v>-28711.8987177352</v>
      </c>
      <c r="M747" s="475" t="n">
        <v>36888</v>
      </c>
      <c r="N747" s="0" t="s">
        <v>136</v>
      </c>
      <c r="O747" s="0" t="n">
        <v>0.2</v>
      </c>
      <c r="P747" s="0" t="n">
        <v>0</v>
      </c>
      <c r="Q747" s="0" t="n">
        <v>0</v>
      </c>
      <c r="R747" s="0" t="n">
        <v>0</v>
      </c>
      <c r="S747" s="0" t="n">
        <v>0</v>
      </c>
      <c r="T747" s="0" t="s">
        <v>624</v>
      </c>
      <c r="U747" s="0" t="s">
        <v>632</v>
      </c>
      <c r="V747" s="0" t="s">
        <v>624</v>
      </c>
      <c r="W747" s="0" t="s">
        <v>569</v>
      </c>
      <c r="X747" s="0" t="s">
        <v>624</v>
      </c>
      <c r="Y747" s="0" t="s">
        <v>627</v>
      </c>
      <c r="Z747" s="0" t="s">
        <v>629</v>
      </c>
      <c r="AA747" s="0" t="s">
        <v>624</v>
      </c>
      <c r="AB747" s="0" t="s">
        <v>132</v>
      </c>
      <c r="AC747" s="254" t="n">
        <v>-1000000</v>
      </c>
      <c r="AD747" s="254" t="n">
        <v>-8458.08813513262</v>
      </c>
      <c r="AE747" s="0" t="n">
        <v>0</v>
      </c>
      <c r="AF747" s="0" t="n">
        <v>0</v>
      </c>
      <c r="AG747" s="0" t="n">
        <v>0</v>
      </c>
      <c r="AH747" s="254" t="n">
        <v>-407.037405835876</v>
      </c>
      <c r="AI747" s="0" t="n">
        <v>226</v>
      </c>
      <c r="AJ747" s="0" t="s">
        <v>630</v>
      </c>
      <c r="AK747" s="0" t="n">
        <v>0</v>
      </c>
      <c r="AL747" s="0" t="n">
        <v>0</v>
      </c>
      <c r="AM747" s="0" t="n">
        <v>0</v>
      </c>
    </row>
    <row r="748" customFormat="false" ht="12.75" hidden="false" customHeight="false" outlineLevel="0" collapsed="false">
      <c r="A748" s="0" t="s">
        <v>621</v>
      </c>
      <c r="B748" s="0" t="s">
        <v>444</v>
      </c>
      <c r="C748" s="0" t="s">
        <v>622</v>
      </c>
      <c r="D748" s="0" t="s">
        <v>623</v>
      </c>
      <c r="E748" s="0" t="s">
        <v>131</v>
      </c>
      <c r="F748" s="0" t="s">
        <v>345</v>
      </c>
      <c r="G748" s="0" t="s">
        <v>628</v>
      </c>
      <c r="H748" s="0" t="s">
        <v>625</v>
      </c>
      <c r="I748" s="0" t="s">
        <v>626</v>
      </c>
      <c r="J748" s="0" t="s">
        <v>627</v>
      </c>
      <c r="K748" s="475" t="n">
        <v>36923</v>
      </c>
      <c r="L748" s="254" t="n">
        <v>-34991.207679825</v>
      </c>
      <c r="M748" s="475" t="n">
        <v>36921</v>
      </c>
      <c r="N748" s="0" t="s">
        <v>136</v>
      </c>
      <c r="O748" s="0" t="n">
        <v>0.2</v>
      </c>
      <c r="P748" s="0" t="n">
        <v>0</v>
      </c>
      <c r="Q748" s="0" t="n">
        <v>0</v>
      </c>
      <c r="R748" s="0" t="n">
        <v>0</v>
      </c>
      <c r="S748" s="0" t="n">
        <v>0</v>
      </c>
      <c r="T748" s="0" t="s">
        <v>624</v>
      </c>
      <c r="U748" s="0" t="s">
        <v>632</v>
      </c>
      <c r="V748" s="0" t="s">
        <v>624</v>
      </c>
      <c r="W748" s="0" t="s">
        <v>569</v>
      </c>
      <c r="X748" s="0" t="s">
        <v>624</v>
      </c>
      <c r="Y748" s="0" t="s">
        <v>627</v>
      </c>
      <c r="Z748" s="0" t="s">
        <v>629</v>
      </c>
      <c r="AA748" s="0" t="s">
        <v>624</v>
      </c>
      <c r="AB748" s="0" t="s">
        <v>132</v>
      </c>
      <c r="AC748" s="254" t="n">
        <v>-1000000</v>
      </c>
      <c r="AD748" s="254" t="n">
        <v>-9589.11843832536</v>
      </c>
      <c r="AE748" s="0" t="n">
        <v>0</v>
      </c>
      <c r="AF748" s="0" t="n">
        <v>0</v>
      </c>
      <c r="AG748" s="0" t="n">
        <v>0</v>
      </c>
      <c r="AH748" s="254" t="n">
        <v>-459.966013406702</v>
      </c>
      <c r="AI748" s="0" t="n">
        <v>226</v>
      </c>
      <c r="AJ748" s="0" t="s">
        <v>630</v>
      </c>
      <c r="AK748" s="0" t="n">
        <v>0</v>
      </c>
      <c r="AL748" s="0" t="n">
        <v>0</v>
      </c>
      <c r="AM748" s="0" t="n">
        <v>0</v>
      </c>
    </row>
    <row r="749" customFormat="false" ht="12.75" hidden="false" customHeight="false" outlineLevel="0" collapsed="false">
      <c r="A749" s="0" t="s">
        <v>621</v>
      </c>
      <c r="B749" s="0" t="s">
        <v>444</v>
      </c>
      <c r="C749" s="0" t="s">
        <v>622</v>
      </c>
      <c r="D749" s="0" t="s">
        <v>623</v>
      </c>
      <c r="E749" s="0" t="s">
        <v>131</v>
      </c>
      <c r="F749" s="0" t="s">
        <v>345</v>
      </c>
      <c r="G749" s="0" t="s">
        <v>628</v>
      </c>
      <c r="H749" s="0" t="s">
        <v>625</v>
      </c>
      <c r="I749" s="0" t="s">
        <v>626</v>
      </c>
      <c r="J749" s="0" t="s">
        <v>627</v>
      </c>
      <c r="K749" s="475" t="n">
        <v>36951</v>
      </c>
      <c r="L749" s="254" t="n">
        <v>-26314.0572922367</v>
      </c>
      <c r="M749" s="475" t="n">
        <v>36949</v>
      </c>
      <c r="N749" s="0" t="s">
        <v>136</v>
      </c>
      <c r="O749" s="0" t="n">
        <v>0.2</v>
      </c>
      <c r="P749" s="0" t="n">
        <v>0</v>
      </c>
      <c r="Q749" s="0" t="n">
        <v>0</v>
      </c>
      <c r="R749" s="0" t="n">
        <v>0</v>
      </c>
      <c r="S749" s="0" t="n">
        <v>0</v>
      </c>
      <c r="T749" s="0" t="s">
        <v>624</v>
      </c>
      <c r="U749" s="0" t="s">
        <v>632</v>
      </c>
      <c r="V749" s="0" t="s">
        <v>624</v>
      </c>
      <c r="W749" s="0" t="s">
        <v>569</v>
      </c>
      <c r="X749" s="0" t="s">
        <v>624</v>
      </c>
      <c r="Y749" s="0" t="s">
        <v>627</v>
      </c>
      <c r="Z749" s="0" t="s">
        <v>629</v>
      </c>
      <c r="AA749" s="0" t="s">
        <v>624</v>
      </c>
      <c r="AB749" s="0" t="s">
        <v>132</v>
      </c>
      <c r="AC749" s="254" t="n">
        <v>-1000000</v>
      </c>
      <c r="AD749" s="254" t="n">
        <v>-8714.59753260284</v>
      </c>
      <c r="AE749" s="0" t="n">
        <v>0</v>
      </c>
      <c r="AF749" s="0" t="n">
        <v>0</v>
      </c>
      <c r="AG749" s="0" t="n">
        <v>0</v>
      </c>
      <c r="AH749" s="254" t="n">
        <v>-442.509629958389</v>
      </c>
      <c r="AI749" s="0" t="n">
        <v>226</v>
      </c>
      <c r="AJ749" s="0" t="s">
        <v>630</v>
      </c>
      <c r="AK749" s="0" t="n">
        <v>0</v>
      </c>
      <c r="AL749" s="0" t="n">
        <v>0</v>
      </c>
      <c r="AM749" s="0" t="n">
        <v>0</v>
      </c>
    </row>
    <row r="750" customFormat="false" ht="12.75" hidden="false" customHeight="false" outlineLevel="0" collapsed="false">
      <c r="A750" s="0" t="s">
        <v>621</v>
      </c>
      <c r="B750" s="0" t="s">
        <v>445</v>
      </c>
      <c r="C750" s="0" t="s">
        <v>622</v>
      </c>
      <c r="D750" s="0" t="s">
        <v>623</v>
      </c>
      <c r="E750" s="0" t="s">
        <v>131</v>
      </c>
      <c r="F750" s="0" t="s">
        <v>198</v>
      </c>
      <c r="G750" s="0" t="s">
        <v>628</v>
      </c>
      <c r="H750" s="0" t="s">
        <v>625</v>
      </c>
      <c r="I750" s="0" t="s">
        <v>626</v>
      </c>
      <c r="J750" s="0" t="s">
        <v>627</v>
      </c>
      <c r="K750" s="475" t="n">
        <v>36831</v>
      </c>
      <c r="L750" s="254" t="n">
        <v>-344960.701532824</v>
      </c>
      <c r="M750" s="475" t="n">
        <v>36829</v>
      </c>
      <c r="N750" s="0" t="s">
        <v>136</v>
      </c>
      <c r="O750" s="0" t="n">
        <v>0.4</v>
      </c>
      <c r="P750" s="0" t="n">
        <v>0</v>
      </c>
      <c r="Q750" s="0" t="n">
        <v>0</v>
      </c>
      <c r="R750" s="0" t="n">
        <v>0</v>
      </c>
      <c r="S750" s="0" t="n">
        <v>0</v>
      </c>
      <c r="T750" s="0" t="s">
        <v>624</v>
      </c>
      <c r="U750" s="0" t="s">
        <v>137</v>
      </c>
      <c r="V750" s="0" t="s">
        <v>624</v>
      </c>
      <c r="W750" s="0" t="s">
        <v>569</v>
      </c>
      <c r="X750" s="0" t="s">
        <v>624</v>
      </c>
      <c r="Y750" s="0" t="s">
        <v>627</v>
      </c>
      <c r="Z750" s="0" t="s">
        <v>629</v>
      </c>
      <c r="AA750" s="0" t="s">
        <v>624</v>
      </c>
      <c r="AB750" s="0" t="s">
        <v>132</v>
      </c>
      <c r="AC750" s="254" t="n">
        <v>-300000</v>
      </c>
      <c r="AD750" s="254" t="n">
        <v>-4619.41889602086</v>
      </c>
      <c r="AE750" s="0" t="n">
        <v>0</v>
      </c>
      <c r="AF750" s="0" t="n">
        <v>0</v>
      </c>
      <c r="AG750" s="0" t="n">
        <v>0</v>
      </c>
      <c r="AH750" s="254" t="n">
        <v>-58223.5886236154</v>
      </c>
      <c r="AI750" s="0" t="n">
        <v>226</v>
      </c>
      <c r="AJ750" s="0" t="s">
        <v>630</v>
      </c>
      <c r="AK750" s="0" t="n">
        <v>0</v>
      </c>
      <c r="AL750" s="0" t="n">
        <v>0</v>
      </c>
      <c r="AM750" s="0" t="n">
        <v>0</v>
      </c>
    </row>
    <row r="751" customFormat="false" ht="12.75" hidden="false" customHeight="false" outlineLevel="0" collapsed="false">
      <c r="A751" s="0" t="s">
        <v>621</v>
      </c>
      <c r="B751" s="0" t="s">
        <v>445</v>
      </c>
      <c r="C751" s="0" t="s">
        <v>622</v>
      </c>
      <c r="D751" s="0" t="s">
        <v>623</v>
      </c>
      <c r="E751" s="0" t="s">
        <v>131</v>
      </c>
      <c r="F751" s="0" t="s">
        <v>198</v>
      </c>
      <c r="G751" s="0" t="s">
        <v>628</v>
      </c>
      <c r="H751" s="0" t="s">
        <v>625</v>
      </c>
      <c r="I751" s="0" t="s">
        <v>626</v>
      </c>
      <c r="J751" s="0" t="s">
        <v>627</v>
      </c>
      <c r="K751" s="475" t="n">
        <v>36861</v>
      </c>
      <c r="L751" s="254" t="n">
        <v>-222093.899697167</v>
      </c>
      <c r="M751" s="475" t="n">
        <v>36859</v>
      </c>
      <c r="N751" s="0" t="s">
        <v>136</v>
      </c>
      <c r="O751" s="0" t="n">
        <v>0.4</v>
      </c>
      <c r="P751" s="0" t="n">
        <v>0</v>
      </c>
      <c r="Q751" s="0" t="n">
        <v>0</v>
      </c>
      <c r="R751" s="0" t="n">
        <v>0</v>
      </c>
      <c r="S751" s="0" t="n">
        <v>0</v>
      </c>
      <c r="T751" s="0" t="s">
        <v>624</v>
      </c>
      <c r="U751" s="0" t="s">
        <v>137</v>
      </c>
      <c r="V751" s="0" t="s">
        <v>624</v>
      </c>
      <c r="W751" s="0" t="s">
        <v>569</v>
      </c>
      <c r="X751" s="0" t="s">
        <v>624</v>
      </c>
      <c r="Y751" s="0" t="s">
        <v>627</v>
      </c>
      <c r="Z751" s="0" t="s">
        <v>629</v>
      </c>
      <c r="AA751" s="0" t="s">
        <v>624</v>
      </c>
      <c r="AB751" s="0" t="s">
        <v>132</v>
      </c>
      <c r="AC751" s="254" t="n">
        <v>-310000</v>
      </c>
      <c r="AD751" s="254" t="n">
        <v>-15441.4844310759</v>
      </c>
      <c r="AE751" s="0" t="n">
        <v>0</v>
      </c>
      <c r="AF751" s="0" t="n">
        <v>0</v>
      </c>
      <c r="AG751" s="0" t="n">
        <v>0</v>
      </c>
      <c r="AH751" s="254" t="n">
        <v>-34229.6252855593</v>
      </c>
      <c r="AI751" s="0" t="n">
        <v>226</v>
      </c>
      <c r="AJ751" s="0" t="s">
        <v>630</v>
      </c>
      <c r="AK751" s="0" t="n">
        <v>0</v>
      </c>
      <c r="AL751" s="0" t="n">
        <v>0</v>
      </c>
      <c r="AM751" s="0" t="n">
        <v>0</v>
      </c>
    </row>
    <row r="752" customFormat="false" ht="12.75" hidden="false" customHeight="false" outlineLevel="0" collapsed="false">
      <c r="A752" s="0" t="s">
        <v>621</v>
      </c>
      <c r="B752" s="0" t="s">
        <v>445</v>
      </c>
      <c r="C752" s="0" t="s">
        <v>622</v>
      </c>
      <c r="D752" s="0" t="s">
        <v>623</v>
      </c>
      <c r="E752" s="0" t="s">
        <v>131</v>
      </c>
      <c r="F752" s="0" t="s">
        <v>198</v>
      </c>
      <c r="G752" s="0" t="s">
        <v>628</v>
      </c>
      <c r="H752" s="0" t="s">
        <v>625</v>
      </c>
      <c r="I752" s="0" t="s">
        <v>626</v>
      </c>
      <c r="J752" s="0" t="s">
        <v>627</v>
      </c>
      <c r="K752" s="475" t="n">
        <v>36892</v>
      </c>
      <c r="L752" s="254" t="n">
        <v>-181062.377646056</v>
      </c>
      <c r="M752" s="475" t="n">
        <v>36888</v>
      </c>
      <c r="N752" s="0" t="s">
        <v>136</v>
      </c>
      <c r="O752" s="0" t="n">
        <v>0.4</v>
      </c>
      <c r="P752" s="0" t="n">
        <v>0</v>
      </c>
      <c r="Q752" s="0" t="n">
        <v>0</v>
      </c>
      <c r="R752" s="0" t="n">
        <v>0</v>
      </c>
      <c r="S752" s="0" t="n">
        <v>0</v>
      </c>
      <c r="T752" s="0" t="s">
        <v>624</v>
      </c>
      <c r="U752" s="0" t="s">
        <v>137</v>
      </c>
      <c r="V752" s="0" t="s">
        <v>624</v>
      </c>
      <c r="W752" s="0" t="s">
        <v>569</v>
      </c>
      <c r="X752" s="0" t="s">
        <v>624</v>
      </c>
      <c r="Y752" s="0" t="s">
        <v>627</v>
      </c>
      <c r="Z752" s="0" t="s">
        <v>629</v>
      </c>
      <c r="AA752" s="0" t="s">
        <v>624</v>
      </c>
      <c r="AB752" s="0" t="s">
        <v>132</v>
      </c>
      <c r="AC752" s="254" t="n">
        <v>-310000</v>
      </c>
      <c r="AD752" s="254" t="n">
        <v>-21025.976765003</v>
      </c>
      <c r="AE752" s="0" t="n">
        <v>0</v>
      </c>
      <c r="AF752" s="0" t="n">
        <v>0</v>
      </c>
      <c r="AG752" s="0" t="n">
        <v>0</v>
      </c>
      <c r="AH752" s="254" t="n">
        <v>10508.8256121276</v>
      </c>
      <c r="AI752" s="0" t="n">
        <v>226</v>
      </c>
      <c r="AJ752" s="0" t="s">
        <v>630</v>
      </c>
      <c r="AK752" s="0" t="n">
        <v>0</v>
      </c>
      <c r="AL752" s="0" t="n">
        <v>0</v>
      </c>
      <c r="AM752" s="0" t="n">
        <v>0</v>
      </c>
    </row>
    <row r="753" customFormat="false" ht="12.75" hidden="false" customHeight="false" outlineLevel="0" collapsed="false">
      <c r="A753" s="0" t="s">
        <v>621</v>
      </c>
      <c r="B753" s="0" t="s">
        <v>445</v>
      </c>
      <c r="C753" s="0" t="s">
        <v>622</v>
      </c>
      <c r="D753" s="0" t="s">
        <v>623</v>
      </c>
      <c r="E753" s="0" t="s">
        <v>131</v>
      </c>
      <c r="F753" s="0" t="s">
        <v>198</v>
      </c>
      <c r="G753" s="0" t="s">
        <v>628</v>
      </c>
      <c r="H753" s="0" t="s">
        <v>625</v>
      </c>
      <c r="I753" s="0" t="s">
        <v>626</v>
      </c>
      <c r="J753" s="0" t="s">
        <v>627</v>
      </c>
      <c r="K753" s="475" t="n">
        <v>36923</v>
      </c>
      <c r="L753" s="254" t="n">
        <v>-140588.44624292</v>
      </c>
      <c r="M753" s="475" t="n">
        <v>36921</v>
      </c>
      <c r="N753" s="0" t="s">
        <v>136</v>
      </c>
      <c r="O753" s="0" t="n">
        <v>0.4</v>
      </c>
      <c r="P753" s="0" t="n">
        <v>0</v>
      </c>
      <c r="Q753" s="0" t="n">
        <v>0</v>
      </c>
      <c r="R753" s="0" t="n">
        <v>0</v>
      </c>
      <c r="S753" s="0" t="n">
        <v>0</v>
      </c>
      <c r="T753" s="0" t="s">
        <v>624</v>
      </c>
      <c r="U753" s="0" t="s">
        <v>137</v>
      </c>
      <c r="V753" s="0" t="s">
        <v>624</v>
      </c>
      <c r="W753" s="0" t="s">
        <v>569</v>
      </c>
      <c r="X753" s="0" t="s">
        <v>624</v>
      </c>
      <c r="Y753" s="0" t="s">
        <v>627</v>
      </c>
      <c r="Z753" s="0" t="s">
        <v>629</v>
      </c>
      <c r="AA753" s="0" t="s">
        <v>624</v>
      </c>
      <c r="AB753" s="0" t="s">
        <v>132</v>
      </c>
      <c r="AC753" s="254" t="n">
        <v>-280000</v>
      </c>
      <c r="AD753" s="254" t="n">
        <v>-21815.8327004925</v>
      </c>
      <c r="AE753" s="0" t="n">
        <v>0</v>
      </c>
      <c r="AF753" s="0" t="n">
        <v>0</v>
      </c>
      <c r="AG753" s="0" t="n">
        <v>0</v>
      </c>
      <c r="AH753" s="254" t="n">
        <v>8459.01634573122</v>
      </c>
      <c r="AI753" s="0" t="n">
        <v>226</v>
      </c>
      <c r="AJ753" s="0" t="s">
        <v>630</v>
      </c>
      <c r="AK753" s="0" t="n">
        <v>0</v>
      </c>
      <c r="AL753" s="0" t="n">
        <v>0</v>
      </c>
      <c r="AM753" s="0" t="n">
        <v>0</v>
      </c>
    </row>
    <row r="754" customFormat="false" ht="12.75" hidden="false" customHeight="false" outlineLevel="0" collapsed="false">
      <c r="A754" s="0" t="s">
        <v>621</v>
      </c>
      <c r="B754" s="0" t="s">
        <v>445</v>
      </c>
      <c r="C754" s="0" t="s">
        <v>622</v>
      </c>
      <c r="D754" s="0" t="s">
        <v>623</v>
      </c>
      <c r="E754" s="0" t="s">
        <v>131</v>
      </c>
      <c r="F754" s="0" t="s">
        <v>198</v>
      </c>
      <c r="G754" s="0" t="s">
        <v>628</v>
      </c>
      <c r="H754" s="0" t="s">
        <v>625</v>
      </c>
      <c r="I754" s="0" t="s">
        <v>626</v>
      </c>
      <c r="J754" s="0" t="s">
        <v>627</v>
      </c>
      <c r="K754" s="475" t="n">
        <v>36951</v>
      </c>
      <c r="L754" s="254" t="n">
        <v>-142120.977242086</v>
      </c>
      <c r="M754" s="475" t="n">
        <v>36949</v>
      </c>
      <c r="N754" s="0" t="s">
        <v>136</v>
      </c>
      <c r="O754" s="0" t="n">
        <v>0.4</v>
      </c>
      <c r="P754" s="0" t="n">
        <v>0</v>
      </c>
      <c r="Q754" s="0" t="n">
        <v>0</v>
      </c>
      <c r="R754" s="0" t="n">
        <v>0</v>
      </c>
      <c r="S754" s="0" t="n">
        <v>0</v>
      </c>
      <c r="T754" s="0" t="s">
        <v>624</v>
      </c>
      <c r="U754" s="0" t="s">
        <v>137</v>
      </c>
      <c r="V754" s="0" t="s">
        <v>624</v>
      </c>
      <c r="W754" s="0" t="s">
        <v>569</v>
      </c>
      <c r="X754" s="0" t="s">
        <v>624</v>
      </c>
      <c r="Y754" s="0" t="s">
        <v>627</v>
      </c>
      <c r="Z754" s="0" t="s">
        <v>629</v>
      </c>
      <c r="AA754" s="0" t="s">
        <v>624</v>
      </c>
      <c r="AB754" s="0" t="s">
        <v>132</v>
      </c>
      <c r="AC754" s="254" t="n">
        <v>-310000</v>
      </c>
      <c r="AD754" s="254" t="n">
        <v>-23448.0425541671</v>
      </c>
      <c r="AE754" s="0" t="n">
        <v>0</v>
      </c>
      <c r="AF754" s="0" t="n">
        <v>0</v>
      </c>
      <c r="AG754" s="0" t="n">
        <v>0</v>
      </c>
      <c r="AH754" s="254" t="n">
        <v>9259.01759949932</v>
      </c>
      <c r="AI754" s="0" t="n">
        <v>226</v>
      </c>
      <c r="AJ754" s="0" t="s">
        <v>630</v>
      </c>
      <c r="AK754" s="0" t="n">
        <v>0</v>
      </c>
      <c r="AL754" s="0" t="n">
        <v>0</v>
      </c>
      <c r="AM754" s="0" t="n">
        <v>0</v>
      </c>
    </row>
    <row r="755" customFormat="false" ht="12.75" hidden="false" customHeight="false" outlineLevel="0" collapsed="false">
      <c r="A755" s="0" t="s">
        <v>621</v>
      </c>
      <c r="B755" s="0" t="s">
        <v>446</v>
      </c>
      <c r="C755" s="0" t="s">
        <v>622</v>
      </c>
      <c r="D755" s="0" t="s">
        <v>623</v>
      </c>
      <c r="E755" s="0" t="s">
        <v>131</v>
      </c>
      <c r="F755" s="0" t="s">
        <v>198</v>
      </c>
      <c r="G755" s="0" t="s">
        <v>628</v>
      </c>
      <c r="H755" s="0" t="s">
        <v>625</v>
      </c>
      <c r="I755" s="0" t="s">
        <v>626</v>
      </c>
      <c r="J755" s="0" t="s">
        <v>627</v>
      </c>
      <c r="K755" s="475" t="n">
        <v>36770</v>
      </c>
      <c r="L755" s="254" t="n">
        <v>-959646.857265816</v>
      </c>
      <c r="M755" s="475" t="n">
        <v>36768</v>
      </c>
      <c r="N755" s="0" t="s">
        <v>136</v>
      </c>
      <c r="O755" s="0" t="n">
        <v>0.9</v>
      </c>
      <c r="P755" s="0" t="n">
        <v>0</v>
      </c>
      <c r="Q755" s="0" t="n">
        <v>0</v>
      </c>
      <c r="R755" s="0" t="n">
        <v>0</v>
      </c>
      <c r="S755" s="0" t="n">
        <v>0</v>
      </c>
      <c r="T755" s="0" t="s">
        <v>624</v>
      </c>
      <c r="U755" s="0" t="s">
        <v>137</v>
      </c>
      <c r="V755" s="0" t="s">
        <v>624</v>
      </c>
      <c r="W755" s="0" t="s">
        <v>569</v>
      </c>
      <c r="X755" s="0" t="s">
        <v>624</v>
      </c>
      <c r="Y755" s="0" t="s">
        <v>627</v>
      </c>
      <c r="Z755" s="0" t="s">
        <v>629</v>
      </c>
      <c r="AA755" s="0" t="s">
        <v>624</v>
      </c>
      <c r="AB755" s="0" t="s">
        <v>132</v>
      </c>
      <c r="AC755" s="254" t="n">
        <v>-600000</v>
      </c>
      <c r="AD755" s="254" t="n">
        <v>0.0239417157135904</v>
      </c>
      <c r="AE755" s="0" t="n">
        <v>0</v>
      </c>
      <c r="AF755" s="0" t="n">
        <v>0</v>
      </c>
      <c r="AG755" s="0" t="n">
        <v>0</v>
      </c>
      <c r="AH755" s="254" t="n">
        <v>-158853.89428176</v>
      </c>
      <c r="AI755" s="0" t="n">
        <v>226</v>
      </c>
      <c r="AJ755" s="0" t="s">
        <v>630</v>
      </c>
      <c r="AK755" s="0" t="n">
        <v>0</v>
      </c>
      <c r="AL755" s="0" t="n">
        <v>0</v>
      </c>
      <c r="AM755" s="0" t="n">
        <v>0</v>
      </c>
    </row>
    <row r="756" customFormat="false" ht="12.75" hidden="false" customHeight="false" outlineLevel="0" collapsed="false">
      <c r="A756" s="0" t="s">
        <v>621</v>
      </c>
      <c r="B756" s="0" t="s">
        <v>447</v>
      </c>
      <c r="C756" s="0" t="s">
        <v>622</v>
      </c>
      <c r="D756" s="0" t="s">
        <v>623</v>
      </c>
      <c r="E756" s="0" t="s">
        <v>131</v>
      </c>
      <c r="F756" s="0" t="s">
        <v>281</v>
      </c>
      <c r="G756" s="0" t="s">
        <v>628</v>
      </c>
      <c r="H756" s="0" t="s">
        <v>625</v>
      </c>
      <c r="I756" s="0" t="s">
        <v>626</v>
      </c>
      <c r="J756" s="0" t="s">
        <v>627</v>
      </c>
      <c r="K756" s="475" t="n">
        <v>36800</v>
      </c>
      <c r="L756" s="254" t="n">
        <v>367570.418089974</v>
      </c>
      <c r="M756" s="475" t="n">
        <v>36797</v>
      </c>
      <c r="N756" s="0" t="s">
        <v>136</v>
      </c>
      <c r="O756" s="0" t="n">
        <v>0.8</v>
      </c>
      <c r="P756" s="0" t="n">
        <v>0</v>
      </c>
      <c r="Q756" s="0" t="n">
        <v>0</v>
      </c>
      <c r="R756" s="0" t="n">
        <v>0</v>
      </c>
      <c r="S756" s="0" t="n">
        <v>0</v>
      </c>
      <c r="T756" s="0" t="s">
        <v>624</v>
      </c>
      <c r="U756" s="0" t="s">
        <v>137</v>
      </c>
      <c r="V756" s="0" t="s">
        <v>624</v>
      </c>
      <c r="W756" s="0" t="s">
        <v>569</v>
      </c>
      <c r="X756" s="0" t="s">
        <v>624</v>
      </c>
      <c r="Y756" s="0" t="s">
        <v>627</v>
      </c>
      <c r="Z756" s="0" t="s">
        <v>629</v>
      </c>
      <c r="AA756" s="0" t="s">
        <v>624</v>
      </c>
      <c r="AB756" s="0" t="s">
        <v>132</v>
      </c>
      <c r="AC756" s="254" t="n">
        <v>310000</v>
      </c>
      <c r="AD756" s="254" t="n">
        <v>999.765711094136</v>
      </c>
      <c r="AE756" s="0" t="n">
        <v>0</v>
      </c>
      <c r="AF756" s="0" t="n">
        <v>0</v>
      </c>
      <c r="AG756" s="0" t="n">
        <v>0</v>
      </c>
      <c r="AH756" s="254" t="n">
        <v>-12116.3951015507</v>
      </c>
      <c r="AI756" s="0" t="n">
        <v>226</v>
      </c>
      <c r="AJ756" s="0" t="s">
        <v>630</v>
      </c>
      <c r="AK756" s="0" t="n">
        <v>0</v>
      </c>
      <c r="AL756" s="0" t="n">
        <v>0</v>
      </c>
      <c r="AM756" s="0" t="n">
        <v>0</v>
      </c>
    </row>
    <row r="757" customFormat="false" ht="12.75" hidden="false" customHeight="false" outlineLevel="0" collapsed="false">
      <c r="A757" s="0" t="s">
        <v>621</v>
      </c>
      <c r="B757" s="0" t="s">
        <v>448</v>
      </c>
      <c r="C757" s="0" t="s">
        <v>622</v>
      </c>
      <c r="D757" s="0" t="s">
        <v>623</v>
      </c>
      <c r="E757" s="0" t="s">
        <v>131</v>
      </c>
      <c r="F757" s="0" t="s">
        <v>198</v>
      </c>
      <c r="G757" s="0" t="s">
        <v>628</v>
      </c>
      <c r="H757" s="0" t="s">
        <v>625</v>
      </c>
      <c r="I757" s="0" t="s">
        <v>626</v>
      </c>
      <c r="J757" s="0" t="s">
        <v>627</v>
      </c>
      <c r="K757" s="475" t="n">
        <v>36831</v>
      </c>
      <c r="L757" s="254" t="n">
        <v>3904.54210168366</v>
      </c>
      <c r="M757" s="475" t="n">
        <v>36829</v>
      </c>
      <c r="N757" s="0" t="s">
        <v>132</v>
      </c>
      <c r="O757" s="0" t="n">
        <v>0.3</v>
      </c>
      <c r="P757" s="0" t="n">
        <v>0</v>
      </c>
      <c r="Q757" s="0" t="n">
        <v>0</v>
      </c>
      <c r="R757" s="0" t="n">
        <v>0</v>
      </c>
      <c r="S757" s="0" t="n">
        <v>0</v>
      </c>
      <c r="T757" s="0" t="s">
        <v>624</v>
      </c>
      <c r="U757" s="0" t="s">
        <v>137</v>
      </c>
      <c r="V757" s="0" t="s">
        <v>624</v>
      </c>
      <c r="W757" s="0" t="s">
        <v>569</v>
      </c>
      <c r="X757" s="0" t="s">
        <v>624</v>
      </c>
      <c r="Y757" s="0" t="s">
        <v>627</v>
      </c>
      <c r="Z757" s="0" t="s">
        <v>629</v>
      </c>
      <c r="AA757" s="0" t="s">
        <v>624</v>
      </c>
      <c r="AB757" s="0" t="s">
        <v>132</v>
      </c>
      <c r="AC757" s="254" t="n">
        <v>300000</v>
      </c>
      <c r="AD757" s="254" t="n">
        <v>3687.56875426176</v>
      </c>
      <c r="AE757" s="0" t="n">
        <v>0</v>
      </c>
      <c r="AF757" s="0" t="n">
        <v>0</v>
      </c>
      <c r="AG757" s="0" t="n">
        <v>0</v>
      </c>
      <c r="AH757" s="254" t="n">
        <v>-3015.4548788345</v>
      </c>
      <c r="AI757" s="0" t="n">
        <v>226</v>
      </c>
      <c r="AJ757" s="0" t="s">
        <v>630</v>
      </c>
      <c r="AK757" s="0" t="n">
        <v>0</v>
      </c>
      <c r="AL757" s="0" t="n">
        <v>0</v>
      </c>
      <c r="AM757" s="0" t="n">
        <v>0</v>
      </c>
    </row>
    <row r="758" customFormat="false" ht="12.75" hidden="false" customHeight="false" outlineLevel="0" collapsed="false">
      <c r="A758" s="0" t="s">
        <v>621</v>
      </c>
      <c r="B758" s="0" t="s">
        <v>448</v>
      </c>
      <c r="C758" s="0" t="s">
        <v>622</v>
      </c>
      <c r="D758" s="0" t="s">
        <v>623</v>
      </c>
      <c r="E758" s="0" t="s">
        <v>131</v>
      </c>
      <c r="F758" s="0" t="s">
        <v>198</v>
      </c>
      <c r="G758" s="0" t="s">
        <v>628</v>
      </c>
      <c r="H758" s="0" t="s">
        <v>625</v>
      </c>
      <c r="I758" s="0" t="s">
        <v>626</v>
      </c>
      <c r="J758" s="0" t="s">
        <v>627</v>
      </c>
      <c r="K758" s="475" t="n">
        <v>36861</v>
      </c>
      <c r="L758" s="254" t="n">
        <v>30745.2054877983</v>
      </c>
      <c r="M758" s="475" t="n">
        <v>36859</v>
      </c>
      <c r="N758" s="0" t="s">
        <v>132</v>
      </c>
      <c r="O758" s="0" t="n">
        <v>0.3</v>
      </c>
      <c r="P758" s="0" t="n">
        <v>0</v>
      </c>
      <c r="Q758" s="0" t="n">
        <v>0</v>
      </c>
      <c r="R758" s="0" t="n">
        <v>0</v>
      </c>
      <c r="S758" s="0" t="n">
        <v>0</v>
      </c>
      <c r="T758" s="0" t="s">
        <v>624</v>
      </c>
      <c r="U758" s="0" t="s">
        <v>137</v>
      </c>
      <c r="V758" s="0" t="s">
        <v>624</v>
      </c>
      <c r="W758" s="0" t="s">
        <v>569</v>
      </c>
      <c r="X758" s="0" t="s">
        <v>624</v>
      </c>
      <c r="Y758" s="0" t="s">
        <v>627</v>
      </c>
      <c r="Z758" s="0" t="s">
        <v>629</v>
      </c>
      <c r="AA758" s="0" t="s">
        <v>624</v>
      </c>
      <c r="AB758" s="0" t="s">
        <v>132</v>
      </c>
      <c r="AC758" s="254" t="n">
        <v>310000</v>
      </c>
      <c r="AD758" s="254" t="n">
        <v>14191.634382949</v>
      </c>
      <c r="AE758" s="0" t="n">
        <v>0</v>
      </c>
      <c r="AF758" s="0" t="n">
        <v>0</v>
      </c>
      <c r="AG758" s="0" t="n">
        <v>0</v>
      </c>
      <c r="AH758" s="254" t="n">
        <v>-8415.49428950054</v>
      </c>
      <c r="AI758" s="0" t="n">
        <v>226</v>
      </c>
      <c r="AJ758" s="0" t="s">
        <v>630</v>
      </c>
      <c r="AK758" s="0" t="n">
        <v>0</v>
      </c>
      <c r="AL758" s="0" t="n">
        <v>0</v>
      </c>
      <c r="AM758" s="0" t="n">
        <v>0</v>
      </c>
    </row>
    <row r="759" customFormat="false" ht="12.75" hidden="false" customHeight="false" outlineLevel="0" collapsed="false">
      <c r="A759" s="0" t="s">
        <v>621</v>
      </c>
      <c r="B759" s="0" t="s">
        <v>448</v>
      </c>
      <c r="C759" s="0" t="s">
        <v>622</v>
      </c>
      <c r="D759" s="0" t="s">
        <v>623</v>
      </c>
      <c r="E759" s="0" t="s">
        <v>131</v>
      </c>
      <c r="F759" s="0" t="s">
        <v>198</v>
      </c>
      <c r="G759" s="0" t="s">
        <v>628</v>
      </c>
      <c r="H759" s="0" t="s">
        <v>625</v>
      </c>
      <c r="I759" s="0" t="s">
        <v>626</v>
      </c>
      <c r="J759" s="0" t="s">
        <v>627</v>
      </c>
      <c r="K759" s="475" t="n">
        <v>36892</v>
      </c>
      <c r="L759" s="254" t="n">
        <v>59334.5771229537</v>
      </c>
      <c r="M759" s="475" t="n">
        <v>36888</v>
      </c>
      <c r="N759" s="0" t="s">
        <v>132</v>
      </c>
      <c r="O759" s="0" t="n">
        <v>0.3</v>
      </c>
      <c r="P759" s="0" t="n">
        <v>0</v>
      </c>
      <c r="Q759" s="0" t="n">
        <v>0</v>
      </c>
      <c r="R759" s="0" t="n">
        <v>0</v>
      </c>
      <c r="S759" s="0" t="n">
        <v>0</v>
      </c>
      <c r="T759" s="0" t="s">
        <v>624</v>
      </c>
      <c r="U759" s="0" t="s">
        <v>137</v>
      </c>
      <c r="V759" s="0" t="s">
        <v>624</v>
      </c>
      <c r="W759" s="0" t="s">
        <v>569</v>
      </c>
      <c r="X759" s="0" t="s">
        <v>624</v>
      </c>
      <c r="Y759" s="0" t="s">
        <v>627</v>
      </c>
      <c r="Z759" s="0" t="s">
        <v>629</v>
      </c>
      <c r="AA759" s="0" t="s">
        <v>624</v>
      </c>
      <c r="AB759" s="0" t="s">
        <v>132</v>
      </c>
      <c r="AC759" s="254" t="n">
        <v>310000</v>
      </c>
      <c r="AD759" s="254" t="n">
        <v>20193.7319901371</v>
      </c>
      <c r="AE759" s="0" t="n">
        <v>0</v>
      </c>
      <c r="AF759" s="0" t="n">
        <v>0</v>
      </c>
      <c r="AG759" s="0" t="n">
        <v>0</v>
      </c>
      <c r="AH759" s="254" t="n">
        <v>5505.74512219255</v>
      </c>
      <c r="AI759" s="0" t="n">
        <v>226</v>
      </c>
      <c r="AJ759" s="0" t="s">
        <v>630</v>
      </c>
      <c r="AK759" s="0" t="n">
        <v>0</v>
      </c>
      <c r="AL759" s="0" t="n">
        <v>0</v>
      </c>
      <c r="AM759" s="0" t="n">
        <v>0</v>
      </c>
    </row>
    <row r="760" customFormat="false" ht="12.75" hidden="false" customHeight="false" outlineLevel="0" collapsed="false">
      <c r="A760" s="0" t="s">
        <v>621</v>
      </c>
      <c r="B760" s="0" t="s">
        <v>448</v>
      </c>
      <c r="C760" s="0" t="s">
        <v>622</v>
      </c>
      <c r="D760" s="0" t="s">
        <v>623</v>
      </c>
      <c r="E760" s="0" t="s">
        <v>131</v>
      </c>
      <c r="F760" s="0" t="s">
        <v>198</v>
      </c>
      <c r="G760" s="0" t="s">
        <v>628</v>
      </c>
      <c r="H760" s="0" t="s">
        <v>625</v>
      </c>
      <c r="I760" s="0" t="s">
        <v>626</v>
      </c>
      <c r="J760" s="0" t="s">
        <v>627</v>
      </c>
      <c r="K760" s="475" t="n">
        <v>36923</v>
      </c>
      <c r="L760" s="254" t="n">
        <v>70374.6512124335</v>
      </c>
      <c r="M760" s="475" t="n">
        <v>36921</v>
      </c>
      <c r="N760" s="0" t="s">
        <v>132</v>
      </c>
      <c r="O760" s="0" t="n">
        <v>0.3</v>
      </c>
      <c r="P760" s="0" t="n">
        <v>0</v>
      </c>
      <c r="Q760" s="0" t="n">
        <v>0</v>
      </c>
      <c r="R760" s="0" t="n">
        <v>0</v>
      </c>
      <c r="S760" s="0" t="n">
        <v>0</v>
      </c>
      <c r="T760" s="0" t="s">
        <v>624</v>
      </c>
      <c r="U760" s="0" t="s">
        <v>137</v>
      </c>
      <c r="V760" s="0" t="s">
        <v>624</v>
      </c>
      <c r="W760" s="0" t="s">
        <v>569</v>
      </c>
      <c r="X760" s="0" t="s">
        <v>624</v>
      </c>
      <c r="Y760" s="0" t="s">
        <v>627</v>
      </c>
      <c r="Z760" s="0" t="s">
        <v>629</v>
      </c>
      <c r="AA760" s="0" t="s">
        <v>624</v>
      </c>
      <c r="AB760" s="0" t="s">
        <v>132</v>
      </c>
      <c r="AC760" s="254" t="n">
        <v>280000</v>
      </c>
      <c r="AD760" s="254" t="n">
        <v>21346.9264835717</v>
      </c>
      <c r="AE760" s="0" t="n">
        <v>0</v>
      </c>
      <c r="AF760" s="0" t="n">
        <v>0</v>
      </c>
      <c r="AG760" s="0" t="n">
        <v>0</v>
      </c>
      <c r="AH760" s="254" t="n">
        <v>5904.38854805668</v>
      </c>
      <c r="AI760" s="0" t="n">
        <v>226</v>
      </c>
      <c r="AJ760" s="0" t="s">
        <v>630</v>
      </c>
      <c r="AK760" s="0" t="n">
        <v>0</v>
      </c>
      <c r="AL760" s="0" t="n">
        <v>0</v>
      </c>
      <c r="AM760" s="0" t="n">
        <v>0</v>
      </c>
    </row>
    <row r="761" customFormat="false" ht="12.75" hidden="false" customHeight="false" outlineLevel="0" collapsed="false">
      <c r="A761" s="0" t="s">
        <v>621</v>
      </c>
      <c r="B761" s="0" t="s">
        <v>448</v>
      </c>
      <c r="C761" s="0" t="s">
        <v>622</v>
      </c>
      <c r="D761" s="0" t="s">
        <v>623</v>
      </c>
      <c r="E761" s="0" t="s">
        <v>131</v>
      </c>
      <c r="F761" s="0" t="s">
        <v>198</v>
      </c>
      <c r="G761" s="0" t="s">
        <v>628</v>
      </c>
      <c r="H761" s="0" t="s">
        <v>625</v>
      </c>
      <c r="I761" s="0" t="s">
        <v>626</v>
      </c>
      <c r="J761" s="0" t="s">
        <v>627</v>
      </c>
      <c r="K761" s="475" t="n">
        <v>36951</v>
      </c>
      <c r="L761" s="254" t="n">
        <v>70776.993078125</v>
      </c>
      <c r="M761" s="475" t="n">
        <v>36949</v>
      </c>
      <c r="N761" s="0" t="s">
        <v>132</v>
      </c>
      <c r="O761" s="0" t="n">
        <v>0.3</v>
      </c>
      <c r="P761" s="0" t="n">
        <v>0</v>
      </c>
      <c r="Q761" s="0" t="n">
        <v>0</v>
      </c>
      <c r="R761" s="0" t="n">
        <v>0</v>
      </c>
      <c r="S761" s="0" t="n">
        <v>0</v>
      </c>
      <c r="T761" s="0" t="s">
        <v>624</v>
      </c>
      <c r="U761" s="0" t="s">
        <v>137</v>
      </c>
      <c r="V761" s="0" t="s">
        <v>624</v>
      </c>
      <c r="W761" s="0" t="s">
        <v>569</v>
      </c>
      <c r="X761" s="0" t="s">
        <v>624</v>
      </c>
      <c r="Y761" s="0" t="s">
        <v>627</v>
      </c>
      <c r="Z761" s="0" t="s">
        <v>629</v>
      </c>
      <c r="AA761" s="0" t="s">
        <v>624</v>
      </c>
      <c r="AB761" s="0" t="s">
        <v>132</v>
      </c>
      <c r="AC761" s="254" t="n">
        <v>310000</v>
      </c>
      <c r="AD761" s="254" t="n">
        <v>22901.8069285695</v>
      </c>
      <c r="AE761" s="0" t="n">
        <v>0</v>
      </c>
      <c r="AF761" s="0" t="n">
        <v>0</v>
      </c>
      <c r="AG761" s="0" t="n">
        <v>0</v>
      </c>
      <c r="AH761" s="254" t="n">
        <v>6499.69728134976</v>
      </c>
      <c r="AI761" s="0" t="n">
        <v>226</v>
      </c>
      <c r="AJ761" s="0" t="s">
        <v>630</v>
      </c>
      <c r="AK761" s="0" t="n">
        <v>0</v>
      </c>
      <c r="AL761" s="0" t="n">
        <v>0</v>
      </c>
      <c r="AM761" s="0" t="n">
        <v>0</v>
      </c>
    </row>
    <row r="762" customFormat="false" ht="12.75" hidden="false" customHeight="false" outlineLevel="0" collapsed="false">
      <c r="A762" s="0" t="s">
        <v>621</v>
      </c>
      <c r="B762" s="0" t="s">
        <v>449</v>
      </c>
      <c r="C762" s="0" t="s">
        <v>622</v>
      </c>
      <c r="D762" s="0" t="s">
        <v>623</v>
      </c>
      <c r="E762" s="0" t="s">
        <v>131</v>
      </c>
      <c r="F762" s="0" t="s">
        <v>198</v>
      </c>
      <c r="G762" s="0" t="s">
        <v>628</v>
      </c>
      <c r="H762" s="0" t="s">
        <v>625</v>
      </c>
      <c r="I762" s="0" t="s">
        <v>626</v>
      </c>
      <c r="J762" s="0" t="s">
        <v>627</v>
      </c>
      <c r="K762" s="475" t="n">
        <v>36831</v>
      </c>
      <c r="L762" s="254" t="n">
        <v>290543.696726418</v>
      </c>
      <c r="M762" s="475" t="n">
        <v>36829</v>
      </c>
      <c r="N762" s="0" t="s">
        <v>136</v>
      </c>
      <c r="O762" s="0" t="n">
        <v>0.6</v>
      </c>
      <c r="P762" s="0" t="n">
        <v>0</v>
      </c>
      <c r="Q762" s="0" t="n">
        <v>0</v>
      </c>
      <c r="R762" s="0" t="n">
        <v>0</v>
      </c>
      <c r="S762" s="0" t="n">
        <v>0</v>
      </c>
      <c r="T762" s="0" t="s">
        <v>624</v>
      </c>
      <c r="U762" s="0" t="s">
        <v>137</v>
      </c>
      <c r="V762" s="0" t="s">
        <v>624</v>
      </c>
      <c r="W762" s="0" t="s">
        <v>569</v>
      </c>
      <c r="X762" s="0" t="s">
        <v>624</v>
      </c>
      <c r="Y762" s="0" t="s">
        <v>627</v>
      </c>
      <c r="Z762" s="0" t="s">
        <v>629</v>
      </c>
      <c r="AA762" s="0" t="s">
        <v>624</v>
      </c>
      <c r="AB762" s="0" t="s">
        <v>132</v>
      </c>
      <c r="AC762" s="254" t="n">
        <v>300000</v>
      </c>
      <c r="AD762" s="254" t="n">
        <v>6826.61469605961</v>
      </c>
      <c r="AE762" s="0" t="n">
        <v>0</v>
      </c>
      <c r="AF762" s="0" t="n">
        <v>0</v>
      </c>
      <c r="AG762" s="0" t="n">
        <v>0</v>
      </c>
      <c r="AH762" s="254" t="n">
        <v>55483.6086903324</v>
      </c>
      <c r="AI762" s="0" t="n">
        <v>226</v>
      </c>
      <c r="AJ762" s="0" t="s">
        <v>630</v>
      </c>
      <c r="AK762" s="0" t="n">
        <v>0</v>
      </c>
      <c r="AL762" s="0" t="n">
        <v>0</v>
      </c>
      <c r="AM762" s="0" t="n">
        <v>0</v>
      </c>
    </row>
    <row r="763" customFormat="false" ht="12.75" hidden="false" customHeight="false" outlineLevel="0" collapsed="false">
      <c r="A763" s="0" t="s">
        <v>621</v>
      </c>
      <c r="B763" s="0" t="s">
        <v>449</v>
      </c>
      <c r="C763" s="0" t="s">
        <v>622</v>
      </c>
      <c r="D763" s="0" t="s">
        <v>623</v>
      </c>
      <c r="E763" s="0" t="s">
        <v>131</v>
      </c>
      <c r="F763" s="0" t="s">
        <v>198</v>
      </c>
      <c r="G763" s="0" t="s">
        <v>628</v>
      </c>
      <c r="H763" s="0" t="s">
        <v>625</v>
      </c>
      <c r="I763" s="0" t="s">
        <v>626</v>
      </c>
      <c r="J763" s="0" t="s">
        <v>627</v>
      </c>
      <c r="K763" s="475" t="n">
        <v>36861</v>
      </c>
      <c r="L763" s="254" t="n">
        <v>179035.052529919</v>
      </c>
      <c r="M763" s="475" t="n">
        <v>36859</v>
      </c>
      <c r="N763" s="0" t="s">
        <v>136</v>
      </c>
      <c r="O763" s="0" t="n">
        <v>0.6</v>
      </c>
      <c r="P763" s="0" t="n">
        <v>0</v>
      </c>
      <c r="Q763" s="0" t="n">
        <v>0</v>
      </c>
      <c r="R763" s="0" t="n">
        <v>0</v>
      </c>
      <c r="S763" s="0" t="n">
        <v>0</v>
      </c>
      <c r="T763" s="0" t="s">
        <v>624</v>
      </c>
      <c r="U763" s="0" t="s">
        <v>137</v>
      </c>
      <c r="V763" s="0" t="s">
        <v>624</v>
      </c>
      <c r="W763" s="0" t="s">
        <v>569</v>
      </c>
      <c r="X763" s="0" t="s">
        <v>624</v>
      </c>
      <c r="Y763" s="0" t="s">
        <v>627</v>
      </c>
      <c r="Z763" s="0" t="s">
        <v>629</v>
      </c>
      <c r="AA763" s="0" t="s">
        <v>624</v>
      </c>
      <c r="AB763" s="0" t="s">
        <v>132</v>
      </c>
      <c r="AC763" s="254" t="n">
        <v>310000</v>
      </c>
      <c r="AD763" s="254" t="n">
        <v>17477.1617827764</v>
      </c>
      <c r="AE763" s="0" t="n">
        <v>0</v>
      </c>
      <c r="AF763" s="0" t="n">
        <v>0</v>
      </c>
      <c r="AG763" s="0" t="n">
        <v>0</v>
      </c>
      <c r="AH763" s="254" t="n">
        <v>30811.668951182</v>
      </c>
      <c r="AI763" s="0" t="n">
        <v>226</v>
      </c>
      <c r="AJ763" s="0" t="s">
        <v>630</v>
      </c>
      <c r="AK763" s="0" t="n">
        <v>0</v>
      </c>
      <c r="AL763" s="0" t="n">
        <v>0</v>
      </c>
      <c r="AM763" s="0" t="n">
        <v>0</v>
      </c>
    </row>
    <row r="764" customFormat="false" ht="12.75" hidden="false" customHeight="false" outlineLevel="0" collapsed="false">
      <c r="A764" s="0" t="s">
        <v>621</v>
      </c>
      <c r="B764" s="0" t="s">
        <v>449</v>
      </c>
      <c r="C764" s="0" t="s">
        <v>622</v>
      </c>
      <c r="D764" s="0" t="s">
        <v>623</v>
      </c>
      <c r="E764" s="0" t="s">
        <v>131</v>
      </c>
      <c r="F764" s="0" t="s">
        <v>198</v>
      </c>
      <c r="G764" s="0" t="s">
        <v>628</v>
      </c>
      <c r="H764" s="0" t="s">
        <v>625</v>
      </c>
      <c r="I764" s="0" t="s">
        <v>626</v>
      </c>
      <c r="J764" s="0" t="s">
        <v>627</v>
      </c>
      <c r="K764" s="475" t="n">
        <v>36892</v>
      </c>
      <c r="L764" s="254" t="n">
        <v>145219.010230126</v>
      </c>
      <c r="M764" s="475" t="n">
        <v>36888</v>
      </c>
      <c r="N764" s="0" t="s">
        <v>136</v>
      </c>
      <c r="O764" s="0" t="n">
        <v>0.6</v>
      </c>
      <c r="P764" s="0" t="n">
        <v>0</v>
      </c>
      <c r="Q764" s="0" t="n">
        <v>0</v>
      </c>
      <c r="R764" s="0" t="n">
        <v>0</v>
      </c>
      <c r="S764" s="0" t="n">
        <v>0</v>
      </c>
      <c r="T764" s="0" t="s">
        <v>624</v>
      </c>
      <c r="U764" s="0" t="s">
        <v>137</v>
      </c>
      <c r="V764" s="0" t="s">
        <v>624</v>
      </c>
      <c r="W764" s="0" t="s">
        <v>569</v>
      </c>
      <c r="X764" s="0" t="s">
        <v>624</v>
      </c>
      <c r="Y764" s="0" t="s">
        <v>627</v>
      </c>
      <c r="Z764" s="0" t="s">
        <v>629</v>
      </c>
      <c r="AA764" s="0" t="s">
        <v>624</v>
      </c>
      <c r="AB764" s="0" t="s">
        <v>132</v>
      </c>
      <c r="AC764" s="254" t="n">
        <v>310000</v>
      </c>
      <c r="AD764" s="254" t="n">
        <v>21980.8197959616</v>
      </c>
      <c r="AE764" s="0" t="n">
        <v>0</v>
      </c>
      <c r="AF764" s="0" t="n">
        <v>0</v>
      </c>
      <c r="AG764" s="0" t="n">
        <v>0</v>
      </c>
      <c r="AH764" s="254" t="n">
        <v>-9175.03712544189</v>
      </c>
      <c r="AI764" s="0" t="n">
        <v>226</v>
      </c>
      <c r="AJ764" s="0" t="s">
        <v>630</v>
      </c>
      <c r="AK764" s="0" t="n">
        <v>0</v>
      </c>
      <c r="AL764" s="0" t="n">
        <v>0</v>
      </c>
      <c r="AM764" s="0" t="n">
        <v>0</v>
      </c>
    </row>
    <row r="765" customFormat="false" ht="12.75" hidden="false" customHeight="false" outlineLevel="0" collapsed="false">
      <c r="A765" s="0" t="s">
        <v>621</v>
      </c>
      <c r="B765" s="0" t="s">
        <v>449</v>
      </c>
      <c r="C765" s="0" t="s">
        <v>622</v>
      </c>
      <c r="D765" s="0" t="s">
        <v>623</v>
      </c>
      <c r="E765" s="0" t="s">
        <v>131</v>
      </c>
      <c r="F765" s="0" t="s">
        <v>198</v>
      </c>
      <c r="G765" s="0" t="s">
        <v>628</v>
      </c>
      <c r="H765" s="0" t="s">
        <v>625</v>
      </c>
      <c r="I765" s="0" t="s">
        <v>626</v>
      </c>
      <c r="J765" s="0" t="s">
        <v>627</v>
      </c>
      <c r="K765" s="475" t="n">
        <v>36923</v>
      </c>
      <c r="L765" s="254" t="n">
        <v>111996.564153306</v>
      </c>
      <c r="M765" s="475" t="n">
        <v>36921</v>
      </c>
      <c r="N765" s="0" t="s">
        <v>136</v>
      </c>
      <c r="O765" s="0" t="n">
        <v>0.6</v>
      </c>
      <c r="P765" s="0" t="n">
        <v>0</v>
      </c>
      <c r="Q765" s="0" t="n">
        <v>0</v>
      </c>
      <c r="R765" s="0" t="n">
        <v>0</v>
      </c>
      <c r="S765" s="0" t="n">
        <v>0</v>
      </c>
      <c r="T765" s="0" t="s">
        <v>624</v>
      </c>
      <c r="U765" s="0" t="s">
        <v>137</v>
      </c>
      <c r="V765" s="0" t="s">
        <v>624</v>
      </c>
      <c r="W765" s="0" t="s">
        <v>569</v>
      </c>
      <c r="X765" s="0" t="s">
        <v>624</v>
      </c>
      <c r="Y765" s="0" t="s">
        <v>627</v>
      </c>
      <c r="Z765" s="0" t="s">
        <v>629</v>
      </c>
      <c r="AA765" s="0" t="s">
        <v>624</v>
      </c>
      <c r="AB765" s="0" t="s">
        <v>132</v>
      </c>
      <c r="AC765" s="254" t="n">
        <v>280000</v>
      </c>
      <c r="AD765" s="254" t="n">
        <v>22019.7833944338</v>
      </c>
      <c r="AE765" s="0" t="n">
        <v>0</v>
      </c>
      <c r="AF765" s="0" t="n">
        <v>0</v>
      </c>
      <c r="AG765" s="0" t="n">
        <v>0</v>
      </c>
      <c r="AH765" s="254" t="n">
        <v>-7277.56280429514</v>
      </c>
      <c r="AI765" s="0" t="n">
        <v>226</v>
      </c>
      <c r="AJ765" s="0" t="s">
        <v>630</v>
      </c>
      <c r="AK765" s="0" t="n">
        <v>0</v>
      </c>
      <c r="AL765" s="0" t="n">
        <v>0</v>
      </c>
      <c r="AM765" s="0" t="n">
        <v>0</v>
      </c>
    </row>
    <row r="766" customFormat="false" ht="12.75" hidden="false" customHeight="false" outlineLevel="0" collapsed="false">
      <c r="A766" s="0" t="s">
        <v>621</v>
      </c>
      <c r="B766" s="0" t="s">
        <v>449</v>
      </c>
      <c r="C766" s="0" t="s">
        <v>622</v>
      </c>
      <c r="D766" s="0" t="s">
        <v>623</v>
      </c>
      <c r="E766" s="0" t="s">
        <v>131</v>
      </c>
      <c r="F766" s="0" t="s">
        <v>198</v>
      </c>
      <c r="G766" s="0" t="s">
        <v>628</v>
      </c>
      <c r="H766" s="0" t="s">
        <v>625</v>
      </c>
      <c r="I766" s="0" t="s">
        <v>626</v>
      </c>
      <c r="J766" s="0" t="s">
        <v>627</v>
      </c>
      <c r="K766" s="475" t="n">
        <v>36951</v>
      </c>
      <c r="L766" s="254" t="n">
        <v>110981.223672312</v>
      </c>
      <c r="M766" s="475" t="n">
        <v>36949</v>
      </c>
      <c r="N766" s="0" t="s">
        <v>136</v>
      </c>
      <c r="O766" s="0" t="n">
        <v>0.6</v>
      </c>
      <c r="P766" s="0" t="n">
        <v>0</v>
      </c>
      <c r="Q766" s="0" t="n">
        <v>0</v>
      </c>
      <c r="R766" s="0" t="n">
        <v>0</v>
      </c>
      <c r="S766" s="0" t="n">
        <v>0</v>
      </c>
      <c r="T766" s="0" t="s">
        <v>624</v>
      </c>
      <c r="U766" s="0" t="s">
        <v>137</v>
      </c>
      <c r="V766" s="0" t="s">
        <v>624</v>
      </c>
      <c r="W766" s="0" t="s">
        <v>569</v>
      </c>
      <c r="X766" s="0" t="s">
        <v>624</v>
      </c>
      <c r="Y766" s="0" t="s">
        <v>627</v>
      </c>
      <c r="Z766" s="0" t="s">
        <v>629</v>
      </c>
      <c r="AA766" s="0" t="s">
        <v>624</v>
      </c>
      <c r="AB766" s="0" t="s">
        <v>132</v>
      </c>
      <c r="AC766" s="254" t="n">
        <v>310000</v>
      </c>
      <c r="AD766" s="254" t="n">
        <v>23618.6760726711</v>
      </c>
      <c r="AE766" s="0" t="n">
        <v>0</v>
      </c>
      <c r="AF766" s="0" t="n">
        <v>0</v>
      </c>
      <c r="AG766" s="0" t="n">
        <v>0</v>
      </c>
      <c r="AH766" s="254" t="n">
        <v>-7843.40597904872</v>
      </c>
      <c r="AI766" s="0" t="n">
        <v>226</v>
      </c>
      <c r="AJ766" s="0" t="s">
        <v>630</v>
      </c>
      <c r="AK766" s="0" t="n">
        <v>0</v>
      </c>
      <c r="AL766" s="0" t="n">
        <v>0</v>
      </c>
      <c r="AM766" s="0" t="n">
        <v>0</v>
      </c>
    </row>
    <row r="767" customFormat="false" ht="12.75" hidden="false" customHeight="false" outlineLevel="0" collapsed="false">
      <c r="A767" s="0" t="s">
        <v>621</v>
      </c>
      <c r="B767" s="0" t="s">
        <v>450</v>
      </c>
      <c r="C767" s="0" t="s">
        <v>622</v>
      </c>
      <c r="D767" s="0" t="s">
        <v>623</v>
      </c>
      <c r="E767" s="0" t="s">
        <v>131</v>
      </c>
      <c r="F767" s="0" t="s">
        <v>275</v>
      </c>
      <c r="G767" s="0" t="s">
        <v>628</v>
      </c>
      <c r="H767" s="0" t="s">
        <v>625</v>
      </c>
      <c r="I767" s="0" t="s">
        <v>626</v>
      </c>
      <c r="J767" s="0" t="s">
        <v>627</v>
      </c>
      <c r="K767" s="475" t="n">
        <v>36831</v>
      </c>
      <c r="L767" s="254" t="n">
        <v>-4650.15755874533</v>
      </c>
      <c r="M767" s="475" t="n">
        <v>36829</v>
      </c>
      <c r="N767" s="0" t="s">
        <v>136</v>
      </c>
      <c r="O767" s="0" t="n">
        <v>0.15</v>
      </c>
      <c r="P767" s="0" t="n">
        <v>0</v>
      </c>
      <c r="Q767" s="0" t="n">
        <v>0</v>
      </c>
      <c r="R767" s="0" t="n">
        <v>0</v>
      </c>
      <c r="S767" s="0" t="n">
        <v>0</v>
      </c>
      <c r="T767" s="0" t="s">
        <v>624</v>
      </c>
      <c r="U767" s="0" t="s">
        <v>632</v>
      </c>
      <c r="V767" s="0" t="s">
        <v>624</v>
      </c>
      <c r="W767" s="0" t="s">
        <v>569</v>
      </c>
      <c r="X767" s="0" t="s">
        <v>624</v>
      </c>
      <c r="Y767" s="0" t="s">
        <v>627</v>
      </c>
      <c r="Z767" s="0" t="s">
        <v>629</v>
      </c>
      <c r="AA767" s="0" t="s">
        <v>624</v>
      </c>
      <c r="AB767" s="0" t="s">
        <v>132</v>
      </c>
      <c r="AC767" s="254" t="n">
        <v>-300000</v>
      </c>
      <c r="AD767" s="254" t="n">
        <v>-1734.98226946498</v>
      </c>
      <c r="AE767" s="0" t="n">
        <v>0</v>
      </c>
      <c r="AF767" s="0" t="n">
        <v>0</v>
      </c>
      <c r="AG767" s="0" t="n">
        <v>0</v>
      </c>
      <c r="AH767" s="254" t="n">
        <v>-93.5962156755977</v>
      </c>
      <c r="AI767" s="0" t="n">
        <v>226</v>
      </c>
      <c r="AJ767" s="0" t="s">
        <v>630</v>
      </c>
      <c r="AK767" s="0" t="n">
        <v>0</v>
      </c>
      <c r="AL767" s="0" t="n">
        <v>0</v>
      </c>
      <c r="AM767" s="0" t="n">
        <v>0</v>
      </c>
    </row>
    <row r="768" customFormat="false" ht="12.75" hidden="false" customHeight="false" outlineLevel="0" collapsed="false">
      <c r="A768" s="0" t="s">
        <v>621</v>
      </c>
      <c r="B768" s="0" t="s">
        <v>450</v>
      </c>
      <c r="C768" s="0" t="s">
        <v>622</v>
      </c>
      <c r="D768" s="0" t="s">
        <v>623</v>
      </c>
      <c r="E768" s="0" t="s">
        <v>131</v>
      </c>
      <c r="F768" s="0" t="s">
        <v>275</v>
      </c>
      <c r="G768" s="0" t="s">
        <v>628</v>
      </c>
      <c r="H768" s="0" t="s">
        <v>625</v>
      </c>
      <c r="I768" s="0" t="s">
        <v>626</v>
      </c>
      <c r="J768" s="0" t="s">
        <v>627</v>
      </c>
      <c r="K768" s="475" t="n">
        <v>36861</v>
      </c>
      <c r="L768" s="254" t="n">
        <v>-8475.9519561766</v>
      </c>
      <c r="M768" s="475" t="n">
        <v>36859</v>
      </c>
      <c r="N768" s="0" t="s">
        <v>136</v>
      </c>
      <c r="O768" s="0" t="n">
        <v>0.15</v>
      </c>
      <c r="P768" s="0" t="n">
        <v>0</v>
      </c>
      <c r="Q768" s="0" t="n">
        <v>0</v>
      </c>
      <c r="R768" s="0" t="n">
        <v>0</v>
      </c>
      <c r="S768" s="0" t="n">
        <v>0</v>
      </c>
      <c r="T768" s="0" t="s">
        <v>624</v>
      </c>
      <c r="U768" s="0" t="s">
        <v>632</v>
      </c>
      <c r="V768" s="0" t="s">
        <v>624</v>
      </c>
      <c r="W768" s="0" t="s">
        <v>569</v>
      </c>
      <c r="X768" s="0" t="s">
        <v>624</v>
      </c>
      <c r="Y768" s="0" t="s">
        <v>627</v>
      </c>
      <c r="Z768" s="0" t="s">
        <v>629</v>
      </c>
      <c r="AA768" s="0" t="s">
        <v>624</v>
      </c>
      <c r="AB768" s="0" t="s">
        <v>132</v>
      </c>
      <c r="AC768" s="254" t="n">
        <v>-310000</v>
      </c>
      <c r="AD768" s="254" t="n">
        <v>-2456.57577587196</v>
      </c>
      <c r="AE768" s="0" t="n">
        <v>0</v>
      </c>
      <c r="AF768" s="0" t="n">
        <v>0</v>
      </c>
      <c r="AG768" s="0" t="n">
        <v>0</v>
      </c>
      <c r="AH768" s="254" t="n">
        <v>-123.681540860103</v>
      </c>
      <c r="AI768" s="0" t="n">
        <v>226</v>
      </c>
      <c r="AJ768" s="0" t="s">
        <v>630</v>
      </c>
      <c r="AK768" s="0" t="n">
        <v>0</v>
      </c>
      <c r="AL768" s="0" t="n">
        <v>0</v>
      </c>
      <c r="AM768" s="0" t="n">
        <v>0</v>
      </c>
    </row>
    <row r="769" customFormat="false" ht="12.75" hidden="false" customHeight="false" outlineLevel="0" collapsed="false">
      <c r="A769" s="0" t="s">
        <v>621</v>
      </c>
      <c r="B769" s="0" t="s">
        <v>450</v>
      </c>
      <c r="C769" s="0" t="s">
        <v>622</v>
      </c>
      <c r="D769" s="0" t="s">
        <v>623</v>
      </c>
      <c r="E769" s="0" t="s">
        <v>131</v>
      </c>
      <c r="F769" s="0" t="s">
        <v>275</v>
      </c>
      <c r="G769" s="0" t="s">
        <v>628</v>
      </c>
      <c r="H769" s="0" t="s">
        <v>625</v>
      </c>
      <c r="I769" s="0" t="s">
        <v>626</v>
      </c>
      <c r="J769" s="0" t="s">
        <v>627</v>
      </c>
      <c r="K769" s="475" t="n">
        <v>36892</v>
      </c>
      <c r="L769" s="254" t="n">
        <v>-13795.9436319022</v>
      </c>
      <c r="M769" s="475" t="n">
        <v>36888</v>
      </c>
      <c r="N769" s="0" t="s">
        <v>136</v>
      </c>
      <c r="O769" s="0" t="n">
        <v>0.15</v>
      </c>
      <c r="P769" s="0" t="n">
        <v>0</v>
      </c>
      <c r="Q769" s="0" t="n">
        <v>0</v>
      </c>
      <c r="R769" s="0" t="n">
        <v>0</v>
      </c>
      <c r="S769" s="0" t="n">
        <v>0</v>
      </c>
      <c r="T769" s="0" t="s">
        <v>624</v>
      </c>
      <c r="U769" s="0" t="s">
        <v>632</v>
      </c>
      <c r="V769" s="0" t="s">
        <v>624</v>
      </c>
      <c r="W769" s="0" t="s">
        <v>569</v>
      </c>
      <c r="X769" s="0" t="s">
        <v>624</v>
      </c>
      <c r="Y769" s="0" t="s">
        <v>627</v>
      </c>
      <c r="Z769" s="0" t="s">
        <v>629</v>
      </c>
      <c r="AA769" s="0" t="s">
        <v>624</v>
      </c>
      <c r="AB769" s="0" t="s">
        <v>132</v>
      </c>
      <c r="AC769" s="254" t="n">
        <v>-310000</v>
      </c>
      <c r="AD769" s="254" t="n">
        <v>-3011.45366360046</v>
      </c>
      <c r="AE769" s="0" t="n">
        <v>0</v>
      </c>
      <c r="AF769" s="0" t="n">
        <v>0</v>
      </c>
      <c r="AG769" s="0" t="n">
        <v>0</v>
      </c>
      <c r="AH769" s="254" t="n">
        <v>-144.940974188927</v>
      </c>
      <c r="AI769" s="0" t="n">
        <v>226</v>
      </c>
      <c r="AJ769" s="0" t="s">
        <v>630</v>
      </c>
      <c r="AK769" s="0" t="n">
        <v>0</v>
      </c>
      <c r="AL769" s="0" t="n">
        <v>0</v>
      </c>
      <c r="AM769" s="0" t="n">
        <v>0</v>
      </c>
    </row>
    <row r="770" customFormat="false" ht="12.75" hidden="false" customHeight="false" outlineLevel="0" collapsed="false">
      <c r="A770" s="0" t="s">
        <v>621</v>
      </c>
      <c r="B770" s="0" t="s">
        <v>450</v>
      </c>
      <c r="C770" s="0" t="s">
        <v>622</v>
      </c>
      <c r="D770" s="0" t="s">
        <v>623</v>
      </c>
      <c r="E770" s="0" t="s">
        <v>131</v>
      </c>
      <c r="F770" s="0" t="s">
        <v>275</v>
      </c>
      <c r="G770" s="0" t="s">
        <v>628</v>
      </c>
      <c r="H770" s="0" t="s">
        <v>625</v>
      </c>
      <c r="I770" s="0" t="s">
        <v>626</v>
      </c>
      <c r="J770" s="0" t="s">
        <v>627</v>
      </c>
      <c r="K770" s="475" t="n">
        <v>36923</v>
      </c>
      <c r="L770" s="254" t="n">
        <v>-14498.1025608081</v>
      </c>
      <c r="M770" s="475" t="n">
        <v>36921</v>
      </c>
      <c r="N770" s="0" t="s">
        <v>136</v>
      </c>
      <c r="O770" s="0" t="n">
        <v>0.15</v>
      </c>
      <c r="P770" s="0" t="n">
        <v>0</v>
      </c>
      <c r="Q770" s="0" t="n">
        <v>0</v>
      </c>
      <c r="R770" s="0" t="n">
        <v>0</v>
      </c>
      <c r="S770" s="0" t="n">
        <v>0</v>
      </c>
      <c r="T770" s="0" t="s">
        <v>624</v>
      </c>
      <c r="U770" s="0" t="s">
        <v>632</v>
      </c>
      <c r="V770" s="0" t="s">
        <v>624</v>
      </c>
      <c r="W770" s="0" t="s">
        <v>569</v>
      </c>
      <c r="X770" s="0" t="s">
        <v>624</v>
      </c>
      <c r="Y770" s="0" t="s">
        <v>627</v>
      </c>
      <c r="Z770" s="0" t="s">
        <v>629</v>
      </c>
      <c r="AA770" s="0" t="s">
        <v>624</v>
      </c>
      <c r="AB770" s="0" t="s">
        <v>132</v>
      </c>
      <c r="AC770" s="254" t="n">
        <v>-280000</v>
      </c>
      <c r="AD770" s="254" t="n">
        <v>-2988.67122489288</v>
      </c>
      <c r="AE770" s="0" t="n">
        <v>0</v>
      </c>
      <c r="AF770" s="0" t="n">
        <v>0</v>
      </c>
      <c r="AG770" s="0" t="n">
        <v>0</v>
      </c>
      <c r="AH770" s="254" t="n">
        <v>-143.438397494288</v>
      </c>
      <c r="AI770" s="0" t="n">
        <v>226</v>
      </c>
      <c r="AJ770" s="0" t="s">
        <v>630</v>
      </c>
      <c r="AK770" s="0" t="n">
        <v>0</v>
      </c>
      <c r="AL770" s="0" t="n">
        <v>0</v>
      </c>
      <c r="AM770" s="0" t="n">
        <v>0</v>
      </c>
    </row>
    <row r="771" customFormat="false" ht="12.75" hidden="false" customHeight="false" outlineLevel="0" collapsed="false">
      <c r="A771" s="0" t="s">
        <v>621</v>
      </c>
      <c r="B771" s="0" t="s">
        <v>450</v>
      </c>
      <c r="C771" s="0" t="s">
        <v>622</v>
      </c>
      <c r="D771" s="0" t="s">
        <v>623</v>
      </c>
      <c r="E771" s="0" t="s">
        <v>131</v>
      </c>
      <c r="F771" s="0" t="s">
        <v>275</v>
      </c>
      <c r="G771" s="0" t="s">
        <v>628</v>
      </c>
      <c r="H771" s="0" t="s">
        <v>625</v>
      </c>
      <c r="I771" s="0" t="s">
        <v>626</v>
      </c>
      <c r="J771" s="0" t="s">
        <v>627</v>
      </c>
      <c r="K771" s="475" t="n">
        <v>36951</v>
      </c>
      <c r="L771" s="254" t="n">
        <v>-12666.1475605658</v>
      </c>
      <c r="M771" s="475" t="n">
        <v>36949</v>
      </c>
      <c r="N771" s="0" t="s">
        <v>136</v>
      </c>
      <c r="O771" s="0" t="n">
        <v>0.15</v>
      </c>
      <c r="P771" s="0" t="n">
        <v>0</v>
      </c>
      <c r="Q771" s="0" t="n">
        <v>0</v>
      </c>
      <c r="R771" s="0" t="n">
        <v>0</v>
      </c>
      <c r="S771" s="0" t="n">
        <v>0</v>
      </c>
      <c r="T771" s="0" t="s">
        <v>624</v>
      </c>
      <c r="U771" s="0" t="s">
        <v>632</v>
      </c>
      <c r="V771" s="0" t="s">
        <v>624</v>
      </c>
      <c r="W771" s="0" t="s">
        <v>569</v>
      </c>
      <c r="X771" s="0" t="s">
        <v>624</v>
      </c>
      <c r="Y771" s="0" t="s">
        <v>627</v>
      </c>
      <c r="Z771" s="0" t="s">
        <v>629</v>
      </c>
      <c r="AA771" s="0" t="s">
        <v>624</v>
      </c>
      <c r="AB771" s="0" t="s">
        <v>132</v>
      </c>
      <c r="AC771" s="254" t="n">
        <v>-310000</v>
      </c>
      <c r="AD771" s="254" t="n">
        <v>-3147.17922765094</v>
      </c>
      <c r="AE771" s="0" t="n">
        <v>0</v>
      </c>
      <c r="AF771" s="0" t="n">
        <v>0</v>
      </c>
      <c r="AG771" s="0" t="n">
        <v>0</v>
      </c>
      <c r="AH771" s="254" t="n">
        <v>-160.050336929131</v>
      </c>
      <c r="AI771" s="0" t="n">
        <v>226</v>
      </c>
      <c r="AJ771" s="0" t="s">
        <v>630</v>
      </c>
      <c r="AK771" s="0" t="n">
        <v>0</v>
      </c>
      <c r="AL771" s="0" t="n">
        <v>0</v>
      </c>
      <c r="AM771" s="0" t="n">
        <v>0</v>
      </c>
    </row>
    <row r="772" customFormat="false" ht="12.75" hidden="false" customHeight="false" outlineLevel="0" collapsed="false">
      <c r="A772" s="0" t="s">
        <v>621</v>
      </c>
      <c r="B772" s="0" t="s">
        <v>451</v>
      </c>
      <c r="C772" s="0" t="s">
        <v>622</v>
      </c>
      <c r="D772" s="0" t="s">
        <v>623</v>
      </c>
      <c r="E772" s="0" t="s">
        <v>131</v>
      </c>
      <c r="F772" s="0" t="s">
        <v>255</v>
      </c>
      <c r="G772" s="0" t="s">
        <v>628</v>
      </c>
      <c r="H772" s="0" t="s">
        <v>625</v>
      </c>
      <c r="I772" s="0" t="s">
        <v>626</v>
      </c>
      <c r="J772" s="0" t="s">
        <v>627</v>
      </c>
      <c r="K772" s="475" t="n">
        <v>36831</v>
      </c>
      <c r="L772" s="254" t="n">
        <v>-4650.15755874533</v>
      </c>
      <c r="M772" s="475" t="n">
        <v>36829</v>
      </c>
      <c r="N772" s="0" t="s">
        <v>136</v>
      </c>
      <c r="O772" s="0" t="n">
        <v>0.15</v>
      </c>
      <c r="P772" s="0" t="n">
        <v>0</v>
      </c>
      <c r="Q772" s="0" t="n">
        <v>0</v>
      </c>
      <c r="R772" s="0" t="n">
        <v>0</v>
      </c>
      <c r="S772" s="0" t="n">
        <v>0</v>
      </c>
      <c r="T772" s="0" t="s">
        <v>624</v>
      </c>
      <c r="U772" s="0" t="s">
        <v>632</v>
      </c>
      <c r="V772" s="0" t="s">
        <v>624</v>
      </c>
      <c r="W772" s="0" t="s">
        <v>569</v>
      </c>
      <c r="X772" s="0" t="s">
        <v>624</v>
      </c>
      <c r="Y772" s="0" t="s">
        <v>627</v>
      </c>
      <c r="Z772" s="0" t="s">
        <v>629</v>
      </c>
      <c r="AA772" s="0" t="s">
        <v>624</v>
      </c>
      <c r="AB772" s="0" t="s">
        <v>132</v>
      </c>
      <c r="AC772" s="254" t="n">
        <v>-300000</v>
      </c>
      <c r="AD772" s="254" t="n">
        <v>-1734.98226946498</v>
      </c>
      <c r="AE772" s="0" t="n">
        <v>0</v>
      </c>
      <c r="AF772" s="0" t="n">
        <v>0</v>
      </c>
      <c r="AG772" s="0" t="n">
        <v>0</v>
      </c>
      <c r="AH772" s="254" t="n">
        <v>-93.5962156755977</v>
      </c>
      <c r="AI772" s="0" t="n">
        <v>226</v>
      </c>
      <c r="AJ772" s="0" t="s">
        <v>630</v>
      </c>
      <c r="AK772" s="0" t="n">
        <v>0</v>
      </c>
      <c r="AL772" s="0" t="n">
        <v>0</v>
      </c>
      <c r="AM772" s="0" t="n">
        <v>0</v>
      </c>
    </row>
    <row r="773" customFormat="false" ht="12.75" hidden="false" customHeight="false" outlineLevel="0" collapsed="false">
      <c r="A773" s="0" t="s">
        <v>621</v>
      </c>
      <c r="B773" s="0" t="s">
        <v>451</v>
      </c>
      <c r="C773" s="0" t="s">
        <v>622</v>
      </c>
      <c r="D773" s="0" t="s">
        <v>623</v>
      </c>
      <c r="E773" s="0" t="s">
        <v>131</v>
      </c>
      <c r="F773" s="0" t="s">
        <v>255</v>
      </c>
      <c r="G773" s="0" t="s">
        <v>628</v>
      </c>
      <c r="H773" s="0" t="s">
        <v>625</v>
      </c>
      <c r="I773" s="0" t="s">
        <v>626</v>
      </c>
      <c r="J773" s="0" t="s">
        <v>627</v>
      </c>
      <c r="K773" s="475" t="n">
        <v>36861</v>
      </c>
      <c r="L773" s="254" t="n">
        <v>-8475.9519561766</v>
      </c>
      <c r="M773" s="475" t="n">
        <v>36859</v>
      </c>
      <c r="N773" s="0" t="s">
        <v>136</v>
      </c>
      <c r="O773" s="0" t="n">
        <v>0.15</v>
      </c>
      <c r="P773" s="0" t="n">
        <v>0</v>
      </c>
      <c r="Q773" s="0" t="n">
        <v>0</v>
      </c>
      <c r="R773" s="0" t="n">
        <v>0</v>
      </c>
      <c r="S773" s="0" t="n">
        <v>0</v>
      </c>
      <c r="T773" s="0" t="s">
        <v>624</v>
      </c>
      <c r="U773" s="0" t="s">
        <v>632</v>
      </c>
      <c r="V773" s="0" t="s">
        <v>624</v>
      </c>
      <c r="W773" s="0" t="s">
        <v>569</v>
      </c>
      <c r="X773" s="0" t="s">
        <v>624</v>
      </c>
      <c r="Y773" s="0" t="s">
        <v>627</v>
      </c>
      <c r="Z773" s="0" t="s">
        <v>629</v>
      </c>
      <c r="AA773" s="0" t="s">
        <v>624</v>
      </c>
      <c r="AB773" s="0" t="s">
        <v>132</v>
      </c>
      <c r="AC773" s="254" t="n">
        <v>-310000</v>
      </c>
      <c r="AD773" s="254" t="n">
        <v>-2456.57577587196</v>
      </c>
      <c r="AE773" s="0" t="n">
        <v>0</v>
      </c>
      <c r="AF773" s="0" t="n">
        <v>0</v>
      </c>
      <c r="AG773" s="0" t="n">
        <v>0</v>
      </c>
      <c r="AH773" s="254" t="n">
        <v>-123.681540860103</v>
      </c>
      <c r="AI773" s="0" t="n">
        <v>226</v>
      </c>
      <c r="AJ773" s="0" t="s">
        <v>630</v>
      </c>
      <c r="AK773" s="0" t="n">
        <v>0</v>
      </c>
      <c r="AL773" s="0" t="n">
        <v>0</v>
      </c>
      <c r="AM773" s="0" t="n">
        <v>0</v>
      </c>
    </row>
    <row r="774" customFormat="false" ht="12.75" hidden="false" customHeight="false" outlineLevel="0" collapsed="false">
      <c r="A774" s="0" t="s">
        <v>621</v>
      </c>
      <c r="B774" s="0" t="s">
        <v>451</v>
      </c>
      <c r="C774" s="0" t="s">
        <v>622</v>
      </c>
      <c r="D774" s="0" t="s">
        <v>623</v>
      </c>
      <c r="E774" s="0" t="s">
        <v>131</v>
      </c>
      <c r="F774" s="0" t="s">
        <v>255</v>
      </c>
      <c r="G774" s="0" t="s">
        <v>628</v>
      </c>
      <c r="H774" s="0" t="s">
        <v>625</v>
      </c>
      <c r="I774" s="0" t="s">
        <v>626</v>
      </c>
      <c r="J774" s="0" t="s">
        <v>627</v>
      </c>
      <c r="K774" s="475" t="n">
        <v>36892</v>
      </c>
      <c r="L774" s="254" t="n">
        <v>-13795.9436319022</v>
      </c>
      <c r="M774" s="475" t="n">
        <v>36888</v>
      </c>
      <c r="N774" s="0" t="s">
        <v>136</v>
      </c>
      <c r="O774" s="0" t="n">
        <v>0.15</v>
      </c>
      <c r="P774" s="0" t="n">
        <v>0</v>
      </c>
      <c r="Q774" s="0" t="n">
        <v>0</v>
      </c>
      <c r="R774" s="0" t="n">
        <v>0</v>
      </c>
      <c r="S774" s="0" t="n">
        <v>0</v>
      </c>
      <c r="T774" s="0" t="s">
        <v>624</v>
      </c>
      <c r="U774" s="0" t="s">
        <v>632</v>
      </c>
      <c r="V774" s="0" t="s">
        <v>624</v>
      </c>
      <c r="W774" s="0" t="s">
        <v>569</v>
      </c>
      <c r="X774" s="0" t="s">
        <v>624</v>
      </c>
      <c r="Y774" s="0" t="s">
        <v>627</v>
      </c>
      <c r="Z774" s="0" t="s">
        <v>629</v>
      </c>
      <c r="AA774" s="0" t="s">
        <v>624</v>
      </c>
      <c r="AB774" s="0" t="s">
        <v>132</v>
      </c>
      <c r="AC774" s="254" t="n">
        <v>-310000</v>
      </c>
      <c r="AD774" s="254" t="n">
        <v>-3011.45366360046</v>
      </c>
      <c r="AE774" s="0" t="n">
        <v>0</v>
      </c>
      <c r="AF774" s="0" t="n">
        <v>0</v>
      </c>
      <c r="AG774" s="0" t="n">
        <v>0</v>
      </c>
      <c r="AH774" s="254" t="n">
        <v>-144.940974188927</v>
      </c>
      <c r="AI774" s="0" t="n">
        <v>226</v>
      </c>
      <c r="AJ774" s="0" t="s">
        <v>630</v>
      </c>
      <c r="AK774" s="0" t="n">
        <v>0</v>
      </c>
      <c r="AL774" s="0" t="n">
        <v>0</v>
      </c>
      <c r="AM774" s="0" t="n">
        <v>0</v>
      </c>
    </row>
    <row r="775" customFormat="false" ht="12.75" hidden="false" customHeight="false" outlineLevel="0" collapsed="false">
      <c r="A775" s="0" t="s">
        <v>621</v>
      </c>
      <c r="B775" s="0" t="s">
        <v>451</v>
      </c>
      <c r="C775" s="0" t="s">
        <v>622</v>
      </c>
      <c r="D775" s="0" t="s">
        <v>623</v>
      </c>
      <c r="E775" s="0" t="s">
        <v>131</v>
      </c>
      <c r="F775" s="0" t="s">
        <v>255</v>
      </c>
      <c r="G775" s="0" t="s">
        <v>628</v>
      </c>
      <c r="H775" s="0" t="s">
        <v>625</v>
      </c>
      <c r="I775" s="0" t="s">
        <v>626</v>
      </c>
      <c r="J775" s="0" t="s">
        <v>627</v>
      </c>
      <c r="K775" s="475" t="n">
        <v>36923</v>
      </c>
      <c r="L775" s="254" t="n">
        <v>-14498.1025608081</v>
      </c>
      <c r="M775" s="475" t="n">
        <v>36921</v>
      </c>
      <c r="N775" s="0" t="s">
        <v>136</v>
      </c>
      <c r="O775" s="0" t="n">
        <v>0.15</v>
      </c>
      <c r="P775" s="0" t="n">
        <v>0</v>
      </c>
      <c r="Q775" s="0" t="n">
        <v>0</v>
      </c>
      <c r="R775" s="0" t="n">
        <v>0</v>
      </c>
      <c r="S775" s="0" t="n">
        <v>0</v>
      </c>
      <c r="T775" s="0" t="s">
        <v>624</v>
      </c>
      <c r="U775" s="0" t="s">
        <v>632</v>
      </c>
      <c r="V775" s="0" t="s">
        <v>624</v>
      </c>
      <c r="W775" s="0" t="s">
        <v>569</v>
      </c>
      <c r="X775" s="0" t="s">
        <v>624</v>
      </c>
      <c r="Y775" s="0" t="s">
        <v>627</v>
      </c>
      <c r="Z775" s="0" t="s">
        <v>629</v>
      </c>
      <c r="AA775" s="0" t="s">
        <v>624</v>
      </c>
      <c r="AB775" s="0" t="s">
        <v>132</v>
      </c>
      <c r="AC775" s="254" t="n">
        <v>-280000</v>
      </c>
      <c r="AD775" s="254" t="n">
        <v>-2988.67122489288</v>
      </c>
      <c r="AE775" s="0" t="n">
        <v>0</v>
      </c>
      <c r="AF775" s="0" t="n">
        <v>0</v>
      </c>
      <c r="AG775" s="0" t="n">
        <v>0</v>
      </c>
      <c r="AH775" s="254" t="n">
        <v>-143.438397494288</v>
      </c>
      <c r="AI775" s="0" t="n">
        <v>226</v>
      </c>
      <c r="AJ775" s="0" t="s">
        <v>630</v>
      </c>
      <c r="AK775" s="0" t="n">
        <v>0</v>
      </c>
      <c r="AL775" s="0" t="n">
        <v>0</v>
      </c>
      <c r="AM775" s="0" t="n">
        <v>0</v>
      </c>
    </row>
    <row r="776" customFormat="false" ht="12.75" hidden="false" customHeight="false" outlineLevel="0" collapsed="false">
      <c r="A776" s="0" t="s">
        <v>621</v>
      </c>
      <c r="B776" s="0" t="s">
        <v>451</v>
      </c>
      <c r="C776" s="0" t="s">
        <v>622</v>
      </c>
      <c r="D776" s="0" t="s">
        <v>623</v>
      </c>
      <c r="E776" s="0" t="s">
        <v>131</v>
      </c>
      <c r="F776" s="0" t="s">
        <v>255</v>
      </c>
      <c r="G776" s="0" t="s">
        <v>628</v>
      </c>
      <c r="H776" s="0" t="s">
        <v>625</v>
      </c>
      <c r="I776" s="0" t="s">
        <v>626</v>
      </c>
      <c r="J776" s="0" t="s">
        <v>627</v>
      </c>
      <c r="K776" s="475" t="n">
        <v>36951</v>
      </c>
      <c r="L776" s="254" t="n">
        <v>-12666.1475605658</v>
      </c>
      <c r="M776" s="475" t="n">
        <v>36949</v>
      </c>
      <c r="N776" s="0" t="s">
        <v>136</v>
      </c>
      <c r="O776" s="0" t="n">
        <v>0.15</v>
      </c>
      <c r="P776" s="0" t="n">
        <v>0</v>
      </c>
      <c r="Q776" s="0" t="n">
        <v>0</v>
      </c>
      <c r="R776" s="0" t="n">
        <v>0</v>
      </c>
      <c r="S776" s="0" t="n">
        <v>0</v>
      </c>
      <c r="T776" s="0" t="s">
        <v>624</v>
      </c>
      <c r="U776" s="0" t="s">
        <v>632</v>
      </c>
      <c r="V776" s="0" t="s">
        <v>624</v>
      </c>
      <c r="W776" s="0" t="s">
        <v>569</v>
      </c>
      <c r="X776" s="0" t="s">
        <v>624</v>
      </c>
      <c r="Y776" s="0" t="s">
        <v>627</v>
      </c>
      <c r="Z776" s="0" t="s">
        <v>629</v>
      </c>
      <c r="AA776" s="0" t="s">
        <v>624</v>
      </c>
      <c r="AB776" s="0" t="s">
        <v>132</v>
      </c>
      <c r="AC776" s="254" t="n">
        <v>-310000</v>
      </c>
      <c r="AD776" s="254" t="n">
        <v>-3147.17922765094</v>
      </c>
      <c r="AE776" s="0" t="n">
        <v>0</v>
      </c>
      <c r="AF776" s="0" t="n">
        <v>0</v>
      </c>
      <c r="AG776" s="0" t="n">
        <v>0</v>
      </c>
      <c r="AH776" s="254" t="n">
        <v>-160.050336929131</v>
      </c>
      <c r="AI776" s="0" t="n">
        <v>226</v>
      </c>
      <c r="AJ776" s="0" t="s">
        <v>630</v>
      </c>
      <c r="AK776" s="0" t="n">
        <v>0</v>
      </c>
      <c r="AL776" s="0" t="n">
        <v>0</v>
      </c>
      <c r="AM776" s="0" t="n">
        <v>0</v>
      </c>
    </row>
    <row r="777" customFormat="false" ht="12.75" hidden="false" customHeight="false" outlineLevel="0" collapsed="false">
      <c r="A777" s="0" t="s">
        <v>621</v>
      </c>
      <c r="B777" s="0" t="s">
        <v>452</v>
      </c>
      <c r="C777" s="0" t="s">
        <v>622</v>
      </c>
      <c r="D777" s="0" t="s">
        <v>623</v>
      </c>
      <c r="E777" s="0" t="s">
        <v>131</v>
      </c>
      <c r="F777" s="0" t="s">
        <v>301</v>
      </c>
      <c r="G777" s="0" t="s">
        <v>628</v>
      </c>
      <c r="H777" s="0" t="s">
        <v>625</v>
      </c>
      <c r="I777" s="0" t="s">
        <v>626</v>
      </c>
      <c r="J777" s="0" t="s">
        <v>627</v>
      </c>
      <c r="K777" s="475" t="n">
        <v>36831</v>
      </c>
      <c r="L777" s="254" t="n">
        <v>-4650.15755874533</v>
      </c>
      <c r="M777" s="475" t="n">
        <v>36829</v>
      </c>
      <c r="N777" s="0" t="s">
        <v>136</v>
      </c>
      <c r="O777" s="0" t="n">
        <v>0.15</v>
      </c>
      <c r="P777" s="0" t="n">
        <v>0</v>
      </c>
      <c r="Q777" s="0" t="n">
        <v>0</v>
      </c>
      <c r="R777" s="0" t="n">
        <v>0</v>
      </c>
      <c r="S777" s="0" t="n">
        <v>0</v>
      </c>
      <c r="T777" s="0" t="s">
        <v>624</v>
      </c>
      <c r="U777" s="0" t="s">
        <v>632</v>
      </c>
      <c r="V777" s="0" t="s">
        <v>624</v>
      </c>
      <c r="W777" s="0" t="s">
        <v>569</v>
      </c>
      <c r="X777" s="0" t="s">
        <v>624</v>
      </c>
      <c r="Y777" s="0" t="s">
        <v>627</v>
      </c>
      <c r="Z777" s="0" t="s">
        <v>629</v>
      </c>
      <c r="AA777" s="0" t="s">
        <v>624</v>
      </c>
      <c r="AB777" s="0" t="s">
        <v>132</v>
      </c>
      <c r="AC777" s="254" t="n">
        <v>-300000</v>
      </c>
      <c r="AD777" s="254" t="n">
        <v>-1734.98226946498</v>
      </c>
      <c r="AE777" s="0" t="n">
        <v>0</v>
      </c>
      <c r="AF777" s="0" t="n">
        <v>0</v>
      </c>
      <c r="AG777" s="0" t="n">
        <v>0</v>
      </c>
      <c r="AH777" s="254" t="n">
        <v>-93.5962156755977</v>
      </c>
      <c r="AI777" s="0" t="n">
        <v>226</v>
      </c>
      <c r="AJ777" s="0" t="s">
        <v>630</v>
      </c>
      <c r="AK777" s="0" t="n">
        <v>0</v>
      </c>
      <c r="AL777" s="0" t="n">
        <v>0</v>
      </c>
      <c r="AM777" s="0" t="n">
        <v>0</v>
      </c>
    </row>
    <row r="778" customFormat="false" ht="12.75" hidden="false" customHeight="false" outlineLevel="0" collapsed="false">
      <c r="A778" s="0" t="s">
        <v>621</v>
      </c>
      <c r="B778" s="0" t="s">
        <v>452</v>
      </c>
      <c r="C778" s="0" t="s">
        <v>622</v>
      </c>
      <c r="D778" s="0" t="s">
        <v>623</v>
      </c>
      <c r="E778" s="0" t="s">
        <v>131</v>
      </c>
      <c r="F778" s="0" t="s">
        <v>301</v>
      </c>
      <c r="G778" s="0" t="s">
        <v>628</v>
      </c>
      <c r="H778" s="0" t="s">
        <v>625</v>
      </c>
      <c r="I778" s="0" t="s">
        <v>626</v>
      </c>
      <c r="J778" s="0" t="s">
        <v>627</v>
      </c>
      <c r="K778" s="475" t="n">
        <v>36861</v>
      </c>
      <c r="L778" s="254" t="n">
        <v>-8475.9519561766</v>
      </c>
      <c r="M778" s="475" t="n">
        <v>36859</v>
      </c>
      <c r="N778" s="0" t="s">
        <v>136</v>
      </c>
      <c r="O778" s="0" t="n">
        <v>0.15</v>
      </c>
      <c r="P778" s="0" t="n">
        <v>0</v>
      </c>
      <c r="Q778" s="0" t="n">
        <v>0</v>
      </c>
      <c r="R778" s="0" t="n">
        <v>0</v>
      </c>
      <c r="S778" s="0" t="n">
        <v>0</v>
      </c>
      <c r="T778" s="0" t="s">
        <v>624</v>
      </c>
      <c r="U778" s="0" t="s">
        <v>632</v>
      </c>
      <c r="V778" s="0" t="s">
        <v>624</v>
      </c>
      <c r="W778" s="0" t="s">
        <v>569</v>
      </c>
      <c r="X778" s="0" t="s">
        <v>624</v>
      </c>
      <c r="Y778" s="0" t="s">
        <v>627</v>
      </c>
      <c r="Z778" s="0" t="s">
        <v>629</v>
      </c>
      <c r="AA778" s="0" t="s">
        <v>624</v>
      </c>
      <c r="AB778" s="0" t="s">
        <v>132</v>
      </c>
      <c r="AC778" s="254" t="n">
        <v>-310000</v>
      </c>
      <c r="AD778" s="254" t="n">
        <v>-2456.57577587196</v>
      </c>
      <c r="AE778" s="0" t="n">
        <v>0</v>
      </c>
      <c r="AF778" s="0" t="n">
        <v>0</v>
      </c>
      <c r="AG778" s="0" t="n">
        <v>0</v>
      </c>
      <c r="AH778" s="254" t="n">
        <v>-123.681540860103</v>
      </c>
      <c r="AI778" s="0" t="n">
        <v>226</v>
      </c>
      <c r="AJ778" s="0" t="s">
        <v>630</v>
      </c>
      <c r="AK778" s="0" t="n">
        <v>0</v>
      </c>
      <c r="AL778" s="0" t="n">
        <v>0</v>
      </c>
      <c r="AM778" s="0" t="n">
        <v>0</v>
      </c>
    </row>
    <row r="779" customFormat="false" ht="12.75" hidden="false" customHeight="false" outlineLevel="0" collapsed="false">
      <c r="A779" s="0" t="s">
        <v>621</v>
      </c>
      <c r="B779" s="0" t="s">
        <v>452</v>
      </c>
      <c r="C779" s="0" t="s">
        <v>622</v>
      </c>
      <c r="D779" s="0" t="s">
        <v>623</v>
      </c>
      <c r="E779" s="0" t="s">
        <v>131</v>
      </c>
      <c r="F779" s="0" t="s">
        <v>301</v>
      </c>
      <c r="G779" s="0" t="s">
        <v>628</v>
      </c>
      <c r="H779" s="0" t="s">
        <v>625</v>
      </c>
      <c r="I779" s="0" t="s">
        <v>626</v>
      </c>
      <c r="J779" s="0" t="s">
        <v>627</v>
      </c>
      <c r="K779" s="475" t="n">
        <v>36892</v>
      </c>
      <c r="L779" s="254" t="n">
        <v>-13795.9436319022</v>
      </c>
      <c r="M779" s="475" t="n">
        <v>36888</v>
      </c>
      <c r="N779" s="0" t="s">
        <v>136</v>
      </c>
      <c r="O779" s="0" t="n">
        <v>0.15</v>
      </c>
      <c r="P779" s="0" t="n">
        <v>0</v>
      </c>
      <c r="Q779" s="0" t="n">
        <v>0</v>
      </c>
      <c r="R779" s="0" t="n">
        <v>0</v>
      </c>
      <c r="S779" s="0" t="n">
        <v>0</v>
      </c>
      <c r="T779" s="0" t="s">
        <v>624</v>
      </c>
      <c r="U779" s="0" t="s">
        <v>632</v>
      </c>
      <c r="V779" s="0" t="s">
        <v>624</v>
      </c>
      <c r="W779" s="0" t="s">
        <v>569</v>
      </c>
      <c r="X779" s="0" t="s">
        <v>624</v>
      </c>
      <c r="Y779" s="0" t="s">
        <v>627</v>
      </c>
      <c r="Z779" s="0" t="s">
        <v>629</v>
      </c>
      <c r="AA779" s="0" t="s">
        <v>624</v>
      </c>
      <c r="AB779" s="0" t="s">
        <v>132</v>
      </c>
      <c r="AC779" s="254" t="n">
        <v>-310000</v>
      </c>
      <c r="AD779" s="254" t="n">
        <v>-3011.45366360046</v>
      </c>
      <c r="AE779" s="0" t="n">
        <v>0</v>
      </c>
      <c r="AF779" s="0" t="n">
        <v>0</v>
      </c>
      <c r="AG779" s="0" t="n">
        <v>0</v>
      </c>
      <c r="AH779" s="254" t="n">
        <v>-144.940974188927</v>
      </c>
      <c r="AI779" s="0" t="n">
        <v>226</v>
      </c>
      <c r="AJ779" s="0" t="s">
        <v>630</v>
      </c>
      <c r="AK779" s="0" t="n">
        <v>0</v>
      </c>
      <c r="AL779" s="0" t="n">
        <v>0</v>
      </c>
      <c r="AM779" s="0" t="n">
        <v>0</v>
      </c>
    </row>
    <row r="780" customFormat="false" ht="12.75" hidden="false" customHeight="false" outlineLevel="0" collapsed="false">
      <c r="A780" s="0" t="s">
        <v>621</v>
      </c>
      <c r="B780" s="0" t="s">
        <v>452</v>
      </c>
      <c r="C780" s="0" t="s">
        <v>622</v>
      </c>
      <c r="D780" s="0" t="s">
        <v>623</v>
      </c>
      <c r="E780" s="0" t="s">
        <v>131</v>
      </c>
      <c r="F780" s="0" t="s">
        <v>301</v>
      </c>
      <c r="G780" s="0" t="s">
        <v>628</v>
      </c>
      <c r="H780" s="0" t="s">
        <v>625</v>
      </c>
      <c r="I780" s="0" t="s">
        <v>626</v>
      </c>
      <c r="J780" s="0" t="s">
        <v>627</v>
      </c>
      <c r="K780" s="475" t="n">
        <v>36923</v>
      </c>
      <c r="L780" s="254" t="n">
        <v>-14498.1025608081</v>
      </c>
      <c r="M780" s="475" t="n">
        <v>36921</v>
      </c>
      <c r="N780" s="0" t="s">
        <v>136</v>
      </c>
      <c r="O780" s="0" t="n">
        <v>0.15</v>
      </c>
      <c r="P780" s="0" t="n">
        <v>0</v>
      </c>
      <c r="Q780" s="0" t="n">
        <v>0</v>
      </c>
      <c r="R780" s="0" t="n">
        <v>0</v>
      </c>
      <c r="S780" s="0" t="n">
        <v>0</v>
      </c>
      <c r="T780" s="0" t="s">
        <v>624</v>
      </c>
      <c r="U780" s="0" t="s">
        <v>632</v>
      </c>
      <c r="V780" s="0" t="s">
        <v>624</v>
      </c>
      <c r="W780" s="0" t="s">
        <v>569</v>
      </c>
      <c r="X780" s="0" t="s">
        <v>624</v>
      </c>
      <c r="Y780" s="0" t="s">
        <v>627</v>
      </c>
      <c r="Z780" s="0" t="s">
        <v>629</v>
      </c>
      <c r="AA780" s="0" t="s">
        <v>624</v>
      </c>
      <c r="AB780" s="0" t="s">
        <v>132</v>
      </c>
      <c r="AC780" s="254" t="n">
        <v>-280000</v>
      </c>
      <c r="AD780" s="254" t="n">
        <v>-2988.67122489288</v>
      </c>
      <c r="AE780" s="0" t="n">
        <v>0</v>
      </c>
      <c r="AF780" s="0" t="n">
        <v>0</v>
      </c>
      <c r="AG780" s="0" t="n">
        <v>0</v>
      </c>
      <c r="AH780" s="254" t="n">
        <v>-143.438397494288</v>
      </c>
      <c r="AI780" s="0" t="n">
        <v>226</v>
      </c>
      <c r="AJ780" s="0" t="s">
        <v>630</v>
      </c>
      <c r="AK780" s="0" t="n">
        <v>0</v>
      </c>
      <c r="AL780" s="0" t="n">
        <v>0</v>
      </c>
      <c r="AM780" s="0" t="n">
        <v>0</v>
      </c>
    </row>
    <row r="781" customFormat="false" ht="12.75" hidden="false" customHeight="false" outlineLevel="0" collapsed="false">
      <c r="A781" s="0" t="s">
        <v>621</v>
      </c>
      <c r="B781" s="0" t="s">
        <v>452</v>
      </c>
      <c r="C781" s="0" t="s">
        <v>622</v>
      </c>
      <c r="D781" s="0" t="s">
        <v>623</v>
      </c>
      <c r="E781" s="0" t="s">
        <v>131</v>
      </c>
      <c r="F781" s="0" t="s">
        <v>301</v>
      </c>
      <c r="G781" s="0" t="s">
        <v>628</v>
      </c>
      <c r="H781" s="0" t="s">
        <v>625</v>
      </c>
      <c r="I781" s="0" t="s">
        <v>626</v>
      </c>
      <c r="J781" s="0" t="s">
        <v>627</v>
      </c>
      <c r="K781" s="475" t="n">
        <v>36951</v>
      </c>
      <c r="L781" s="254" t="n">
        <v>-12666.1475605658</v>
      </c>
      <c r="M781" s="475" t="n">
        <v>36949</v>
      </c>
      <c r="N781" s="0" t="s">
        <v>136</v>
      </c>
      <c r="O781" s="0" t="n">
        <v>0.15</v>
      </c>
      <c r="P781" s="0" t="n">
        <v>0</v>
      </c>
      <c r="Q781" s="0" t="n">
        <v>0</v>
      </c>
      <c r="R781" s="0" t="n">
        <v>0</v>
      </c>
      <c r="S781" s="0" t="n">
        <v>0</v>
      </c>
      <c r="T781" s="0" t="s">
        <v>624</v>
      </c>
      <c r="U781" s="0" t="s">
        <v>632</v>
      </c>
      <c r="V781" s="0" t="s">
        <v>624</v>
      </c>
      <c r="W781" s="0" t="s">
        <v>569</v>
      </c>
      <c r="X781" s="0" t="s">
        <v>624</v>
      </c>
      <c r="Y781" s="0" t="s">
        <v>627</v>
      </c>
      <c r="Z781" s="0" t="s">
        <v>629</v>
      </c>
      <c r="AA781" s="0" t="s">
        <v>624</v>
      </c>
      <c r="AB781" s="0" t="s">
        <v>132</v>
      </c>
      <c r="AC781" s="254" t="n">
        <v>-310000</v>
      </c>
      <c r="AD781" s="254" t="n">
        <v>-3147.17922765094</v>
      </c>
      <c r="AE781" s="0" t="n">
        <v>0</v>
      </c>
      <c r="AF781" s="0" t="n">
        <v>0</v>
      </c>
      <c r="AG781" s="0" t="n">
        <v>0</v>
      </c>
      <c r="AH781" s="254" t="n">
        <v>-160.050336929131</v>
      </c>
      <c r="AI781" s="0" t="n">
        <v>226</v>
      </c>
      <c r="AJ781" s="0" t="s">
        <v>630</v>
      </c>
      <c r="AK781" s="0" t="n">
        <v>0</v>
      </c>
      <c r="AL781" s="0" t="n">
        <v>0</v>
      </c>
      <c r="AM781" s="0" t="n">
        <v>0</v>
      </c>
    </row>
    <row r="782" customFormat="false" ht="12.75" hidden="false" customHeight="false" outlineLevel="0" collapsed="false">
      <c r="A782" s="0" t="s">
        <v>621</v>
      </c>
      <c r="B782" s="0" t="s">
        <v>453</v>
      </c>
      <c r="C782" s="0" t="s">
        <v>622</v>
      </c>
      <c r="D782" s="0" t="s">
        <v>623</v>
      </c>
      <c r="E782" s="0" t="s">
        <v>131</v>
      </c>
      <c r="F782" s="0" t="s">
        <v>198</v>
      </c>
      <c r="G782" s="0" t="s">
        <v>628</v>
      </c>
      <c r="H782" s="0" t="s">
        <v>625</v>
      </c>
      <c r="I782" s="0" t="s">
        <v>626</v>
      </c>
      <c r="J782" s="0" t="s">
        <v>627</v>
      </c>
      <c r="K782" s="475" t="n">
        <v>36831</v>
      </c>
      <c r="L782" s="254" t="n">
        <v>-642397.119190219</v>
      </c>
      <c r="M782" s="475" t="n">
        <v>36829</v>
      </c>
      <c r="N782" s="0" t="s">
        <v>136</v>
      </c>
      <c r="O782" s="0" t="n">
        <v>1</v>
      </c>
      <c r="P782" s="0" t="n">
        <v>0</v>
      </c>
      <c r="Q782" s="0" t="n">
        <v>0</v>
      </c>
      <c r="R782" s="0" t="n">
        <v>0</v>
      </c>
      <c r="S782" s="0" t="n">
        <v>0</v>
      </c>
      <c r="T782" s="0" t="s">
        <v>624</v>
      </c>
      <c r="U782" s="0" t="s">
        <v>137</v>
      </c>
      <c r="V782" s="0" t="s">
        <v>624</v>
      </c>
      <c r="W782" s="0" t="s">
        <v>569</v>
      </c>
      <c r="X782" s="0" t="s">
        <v>624</v>
      </c>
      <c r="Y782" s="0" t="s">
        <v>627</v>
      </c>
      <c r="Z782" s="0" t="s">
        <v>629</v>
      </c>
      <c r="AA782" s="0" t="s">
        <v>624</v>
      </c>
      <c r="AB782" s="0" t="s">
        <v>132</v>
      </c>
      <c r="AC782" s="254" t="n">
        <v>-1000000</v>
      </c>
      <c r="AD782" s="254" t="n">
        <v>-38449.8963215894</v>
      </c>
      <c r="AE782" s="0" t="n">
        <v>0</v>
      </c>
      <c r="AF782" s="0" t="n">
        <v>0</v>
      </c>
      <c r="AG782" s="0" t="n">
        <v>0</v>
      </c>
      <c r="AH782" s="254" t="n">
        <v>-155576.52408112</v>
      </c>
      <c r="AI782" s="0" t="n">
        <v>226</v>
      </c>
      <c r="AJ782" s="0" t="s">
        <v>630</v>
      </c>
      <c r="AK782" s="0" t="n">
        <v>0</v>
      </c>
      <c r="AL782" s="0" t="n">
        <v>0</v>
      </c>
      <c r="AM782" s="0" t="n">
        <v>0</v>
      </c>
    </row>
    <row r="783" customFormat="false" ht="12.75" hidden="false" customHeight="false" outlineLevel="0" collapsed="false">
      <c r="A783" s="0" t="s">
        <v>621</v>
      </c>
      <c r="B783" s="0" t="s">
        <v>453</v>
      </c>
      <c r="C783" s="0" t="s">
        <v>622</v>
      </c>
      <c r="D783" s="0" t="s">
        <v>623</v>
      </c>
      <c r="E783" s="0" t="s">
        <v>131</v>
      </c>
      <c r="F783" s="0" t="s">
        <v>198</v>
      </c>
      <c r="G783" s="0" t="s">
        <v>628</v>
      </c>
      <c r="H783" s="0" t="s">
        <v>625</v>
      </c>
      <c r="I783" s="0" t="s">
        <v>626</v>
      </c>
      <c r="J783" s="0" t="s">
        <v>627</v>
      </c>
      <c r="K783" s="475" t="n">
        <v>36861</v>
      </c>
      <c r="L783" s="254" t="n">
        <v>-354685.270749122</v>
      </c>
      <c r="M783" s="475" t="n">
        <v>36859</v>
      </c>
      <c r="N783" s="0" t="s">
        <v>136</v>
      </c>
      <c r="O783" s="0" t="n">
        <v>1</v>
      </c>
      <c r="P783" s="0" t="n">
        <v>0</v>
      </c>
      <c r="Q783" s="0" t="n">
        <v>0</v>
      </c>
      <c r="R783" s="0" t="n">
        <v>0</v>
      </c>
      <c r="S783" s="0" t="n">
        <v>0</v>
      </c>
      <c r="T783" s="0" t="s">
        <v>624</v>
      </c>
      <c r="U783" s="0" t="s">
        <v>137</v>
      </c>
      <c r="V783" s="0" t="s">
        <v>624</v>
      </c>
      <c r="W783" s="0" t="s">
        <v>569</v>
      </c>
      <c r="X783" s="0" t="s">
        <v>624</v>
      </c>
      <c r="Y783" s="0" t="s">
        <v>627</v>
      </c>
      <c r="Z783" s="0" t="s">
        <v>629</v>
      </c>
      <c r="AA783" s="0" t="s">
        <v>624</v>
      </c>
      <c r="AB783" s="0" t="s">
        <v>132</v>
      </c>
      <c r="AC783" s="254" t="n">
        <v>-1000000</v>
      </c>
      <c r="AD783" s="254" t="n">
        <v>-60658.5788301517</v>
      </c>
      <c r="AE783" s="0" t="n">
        <v>0</v>
      </c>
      <c r="AF783" s="0" t="n">
        <v>0</v>
      </c>
      <c r="AG783" s="0" t="n">
        <v>0</v>
      </c>
      <c r="AH783" s="254" t="n">
        <v>-74397.0184344191</v>
      </c>
      <c r="AI783" s="0" t="n">
        <v>226</v>
      </c>
      <c r="AJ783" s="0" t="s">
        <v>630</v>
      </c>
      <c r="AK783" s="0" t="n">
        <v>0</v>
      </c>
      <c r="AL783" s="0" t="n">
        <v>0</v>
      </c>
      <c r="AM783" s="0" t="n">
        <v>0</v>
      </c>
    </row>
    <row r="784" customFormat="false" ht="12.75" hidden="false" customHeight="false" outlineLevel="0" collapsed="false">
      <c r="A784" s="0" t="s">
        <v>621</v>
      </c>
      <c r="B784" s="0" t="s">
        <v>453</v>
      </c>
      <c r="C784" s="0" t="s">
        <v>622</v>
      </c>
      <c r="D784" s="0" t="s">
        <v>623</v>
      </c>
      <c r="E784" s="0" t="s">
        <v>131</v>
      </c>
      <c r="F784" s="0" t="s">
        <v>198</v>
      </c>
      <c r="G784" s="0" t="s">
        <v>628</v>
      </c>
      <c r="H784" s="0" t="s">
        <v>625</v>
      </c>
      <c r="I784" s="0" t="s">
        <v>626</v>
      </c>
      <c r="J784" s="0" t="s">
        <v>627</v>
      </c>
      <c r="K784" s="475" t="n">
        <v>36892</v>
      </c>
      <c r="L784" s="254" t="n">
        <v>-289320.604392444</v>
      </c>
      <c r="M784" s="475" t="n">
        <v>36888</v>
      </c>
      <c r="N784" s="0" t="s">
        <v>136</v>
      </c>
      <c r="O784" s="0" t="n">
        <v>1</v>
      </c>
      <c r="P784" s="0" t="n">
        <v>0</v>
      </c>
      <c r="Q784" s="0" t="n">
        <v>0</v>
      </c>
      <c r="R784" s="0" t="n">
        <v>0</v>
      </c>
      <c r="S784" s="0" t="n">
        <v>0</v>
      </c>
      <c r="T784" s="0" t="s">
        <v>624</v>
      </c>
      <c r="U784" s="0" t="s">
        <v>137</v>
      </c>
      <c r="V784" s="0" t="s">
        <v>624</v>
      </c>
      <c r="W784" s="0" t="s">
        <v>569</v>
      </c>
      <c r="X784" s="0" t="s">
        <v>624</v>
      </c>
      <c r="Y784" s="0" t="s">
        <v>627</v>
      </c>
      <c r="Z784" s="0" t="s">
        <v>629</v>
      </c>
      <c r="AA784" s="0" t="s">
        <v>624</v>
      </c>
      <c r="AB784" s="0" t="s">
        <v>132</v>
      </c>
      <c r="AC784" s="254" t="n">
        <v>-1000000</v>
      </c>
      <c r="AD784" s="254" t="n">
        <v>-67756.3072153985</v>
      </c>
      <c r="AE784" s="0" t="n">
        <v>0</v>
      </c>
      <c r="AF784" s="0" t="n">
        <v>0</v>
      </c>
      <c r="AG784" s="0" t="n">
        <v>0</v>
      </c>
      <c r="AH784" s="254" t="n">
        <v>21169.0977367656</v>
      </c>
      <c r="AI784" s="0" t="n">
        <v>226</v>
      </c>
      <c r="AJ784" s="0" t="s">
        <v>630</v>
      </c>
      <c r="AK784" s="0" t="n">
        <v>0</v>
      </c>
      <c r="AL784" s="0" t="n">
        <v>0</v>
      </c>
      <c r="AM784" s="0" t="n">
        <v>0</v>
      </c>
    </row>
    <row r="785" customFormat="false" ht="12.75" hidden="false" customHeight="false" outlineLevel="0" collapsed="false">
      <c r="A785" s="0" t="s">
        <v>621</v>
      </c>
      <c r="B785" s="0" t="s">
        <v>453</v>
      </c>
      <c r="C785" s="0" t="s">
        <v>622</v>
      </c>
      <c r="D785" s="0" t="s">
        <v>623</v>
      </c>
      <c r="E785" s="0" t="s">
        <v>131</v>
      </c>
      <c r="F785" s="0" t="s">
        <v>198</v>
      </c>
      <c r="G785" s="0" t="s">
        <v>628</v>
      </c>
      <c r="H785" s="0" t="s">
        <v>625</v>
      </c>
      <c r="I785" s="0" t="s">
        <v>626</v>
      </c>
      <c r="J785" s="0" t="s">
        <v>627</v>
      </c>
      <c r="K785" s="475" t="n">
        <v>36923</v>
      </c>
      <c r="L785" s="254" t="n">
        <v>-245876.991753873</v>
      </c>
      <c r="M785" s="475" t="n">
        <v>36921</v>
      </c>
      <c r="N785" s="0" t="s">
        <v>136</v>
      </c>
      <c r="O785" s="0" t="n">
        <v>1</v>
      </c>
      <c r="P785" s="0" t="n">
        <v>0</v>
      </c>
      <c r="Q785" s="0" t="n">
        <v>0</v>
      </c>
      <c r="R785" s="0" t="n">
        <v>0</v>
      </c>
      <c r="S785" s="0" t="n">
        <v>0</v>
      </c>
      <c r="T785" s="0" t="s">
        <v>624</v>
      </c>
      <c r="U785" s="0" t="s">
        <v>137</v>
      </c>
      <c r="V785" s="0" t="s">
        <v>624</v>
      </c>
      <c r="W785" s="0" t="s">
        <v>569</v>
      </c>
      <c r="X785" s="0" t="s">
        <v>624</v>
      </c>
      <c r="Y785" s="0" t="s">
        <v>627</v>
      </c>
      <c r="Z785" s="0" t="s">
        <v>629</v>
      </c>
      <c r="AA785" s="0" t="s">
        <v>624</v>
      </c>
      <c r="AB785" s="0" t="s">
        <v>132</v>
      </c>
      <c r="AC785" s="254" t="n">
        <v>-1000000</v>
      </c>
      <c r="AD785" s="254" t="n">
        <v>-71027.4872211102</v>
      </c>
      <c r="AE785" s="0" t="n">
        <v>0</v>
      </c>
      <c r="AF785" s="0" t="n">
        <v>0</v>
      </c>
      <c r="AG785" s="0" t="n">
        <v>0</v>
      </c>
      <c r="AH785" s="254" t="n">
        <v>18188.1930871971</v>
      </c>
      <c r="AI785" s="0" t="n">
        <v>226</v>
      </c>
      <c r="AJ785" s="0" t="s">
        <v>630</v>
      </c>
      <c r="AK785" s="0" t="n">
        <v>0</v>
      </c>
      <c r="AL785" s="0" t="n">
        <v>0</v>
      </c>
      <c r="AM785" s="0" t="n">
        <v>0</v>
      </c>
    </row>
    <row r="786" customFormat="false" ht="12.75" hidden="false" customHeight="false" outlineLevel="0" collapsed="false">
      <c r="A786" s="0" t="s">
        <v>621</v>
      </c>
      <c r="B786" s="0" t="s">
        <v>453</v>
      </c>
      <c r="C786" s="0" t="s">
        <v>622</v>
      </c>
      <c r="D786" s="0" t="s">
        <v>623</v>
      </c>
      <c r="E786" s="0" t="s">
        <v>131</v>
      </c>
      <c r="F786" s="0" t="s">
        <v>198</v>
      </c>
      <c r="G786" s="0" t="s">
        <v>628</v>
      </c>
      <c r="H786" s="0" t="s">
        <v>625</v>
      </c>
      <c r="I786" s="0" t="s">
        <v>626</v>
      </c>
      <c r="J786" s="0" t="s">
        <v>627</v>
      </c>
      <c r="K786" s="475" t="n">
        <v>36951</v>
      </c>
      <c r="L786" s="254" t="n">
        <v>-210305.604389878</v>
      </c>
      <c r="M786" s="475" t="n">
        <v>36949</v>
      </c>
      <c r="N786" s="0" t="s">
        <v>136</v>
      </c>
      <c r="O786" s="0" t="n">
        <v>1</v>
      </c>
      <c r="P786" s="0" t="n">
        <v>0</v>
      </c>
      <c r="Q786" s="0" t="n">
        <v>0</v>
      </c>
      <c r="R786" s="0" t="n">
        <v>0</v>
      </c>
      <c r="S786" s="0" t="n">
        <v>0</v>
      </c>
      <c r="T786" s="0" t="s">
        <v>624</v>
      </c>
      <c r="U786" s="0" t="s">
        <v>137</v>
      </c>
      <c r="V786" s="0" t="s">
        <v>624</v>
      </c>
      <c r="W786" s="0" t="s">
        <v>569</v>
      </c>
      <c r="X786" s="0" t="s">
        <v>624</v>
      </c>
      <c r="Y786" s="0" t="s">
        <v>627</v>
      </c>
      <c r="Z786" s="0" t="s">
        <v>629</v>
      </c>
      <c r="AA786" s="0" t="s">
        <v>624</v>
      </c>
      <c r="AB786" s="0" t="s">
        <v>132</v>
      </c>
      <c r="AC786" s="254" t="n">
        <v>-1000000</v>
      </c>
      <c r="AD786" s="254" t="n">
        <v>-67294.13212583</v>
      </c>
      <c r="AE786" s="0" t="n">
        <v>0</v>
      </c>
      <c r="AF786" s="0" t="n">
        <v>0</v>
      </c>
      <c r="AG786" s="0" t="n">
        <v>0</v>
      </c>
      <c r="AH786" s="254" t="n">
        <v>17005.5494836039</v>
      </c>
      <c r="AI786" s="0" t="n">
        <v>226</v>
      </c>
      <c r="AJ786" s="0" t="s">
        <v>630</v>
      </c>
      <c r="AK786" s="0" t="n">
        <v>0</v>
      </c>
      <c r="AL786" s="0" t="n">
        <v>0</v>
      </c>
      <c r="AM786" s="0" t="n">
        <v>0</v>
      </c>
    </row>
    <row r="787" customFormat="false" ht="12.75" hidden="false" customHeight="false" outlineLevel="0" collapsed="false">
      <c r="A787" s="0" t="s">
        <v>621</v>
      </c>
      <c r="B787" s="0" t="s">
        <v>454</v>
      </c>
      <c r="C787" s="0" t="s">
        <v>622</v>
      </c>
      <c r="D787" s="0" t="s">
        <v>623</v>
      </c>
      <c r="E787" s="0" t="s">
        <v>131</v>
      </c>
      <c r="F787" s="0" t="s">
        <v>275</v>
      </c>
      <c r="G787" s="0" t="s">
        <v>628</v>
      </c>
      <c r="H787" s="0" t="s">
        <v>625</v>
      </c>
      <c r="I787" s="0" t="s">
        <v>626</v>
      </c>
      <c r="J787" s="0" t="s">
        <v>627</v>
      </c>
      <c r="K787" s="475" t="n">
        <v>36831</v>
      </c>
      <c r="L787" s="254" t="n">
        <v>-39178.7476949087</v>
      </c>
      <c r="M787" s="475" t="n">
        <v>36829</v>
      </c>
      <c r="N787" s="0" t="s">
        <v>136</v>
      </c>
      <c r="O787" s="0" t="n">
        <v>-0.2</v>
      </c>
      <c r="P787" s="0" t="n">
        <v>0</v>
      </c>
      <c r="Q787" s="0" t="n">
        <v>0</v>
      </c>
      <c r="R787" s="0" t="n">
        <v>0</v>
      </c>
      <c r="S787" s="0" t="n">
        <v>0</v>
      </c>
      <c r="T787" s="0" t="s">
        <v>624</v>
      </c>
      <c r="U787" s="0" t="s">
        <v>151</v>
      </c>
      <c r="V787" s="0" t="s">
        <v>624</v>
      </c>
      <c r="W787" s="0" t="s">
        <v>569</v>
      </c>
      <c r="X787" s="0" t="s">
        <v>624</v>
      </c>
      <c r="Y787" s="0" t="s">
        <v>627</v>
      </c>
      <c r="Z787" s="0" t="s">
        <v>629</v>
      </c>
      <c r="AA787" s="0" t="s">
        <v>624</v>
      </c>
      <c r="AB787" s="0" t="s">
        <v>132</v>
      </c>
      <c r="AC787" s="254" t="n">
        <v>-600000</v>
      </c>
      <c r="AD787" s="254" t="n">
        <v>-17440.03762725</v>
      </c>
      <c r="AE787" s="0" t="n">
        <v>0</v>
      </c>
      <c r="AF787" s="0" t="n">
        <v>0</v>
      </c>
      <c r="AG787" s="0" t="n">
        <v>0</v>
      </c>
      <c r="AH787" s="254" t="n">
        <v>6021.46293551247</v>
      </c>
      <c r="AI787" s="0" t="n">
        <v>226</v>
      </c>
      <c r="AJ787" s="0" t="s">
        <v>630</v>
      </c>
      <c r="AK787" s="0" t="n">
        <v>0</v>
      </c>
      <c r="AL787" s="0" t="n">
        <v>0</v>
      </c>
      <c r="AM787" s="0" t="n">
        <v>0</v>
      </c>
    </row>
    <row r="788" customFormat="false" ht="12.75" hidden="false" customHeight="false" outlineLevel="0" collapsed="false">
      <c r="A788" s="0" t="s">
        <v>621</v>
      </c>
      <c r="B788" s="0" t="s">
        <v>454</v>
      </c>
      <c r="C788" s="0" t="s">
        <v>622</v>
      </c>
      <c r="D788" s="0" t="s">
        <v>623</v>
      </c>
      <c r="E788" s="0" t="s">
        <v>131</v>
      </c>
      <c r="F788" s="0" t="s">
        <v>275</v>
      </c>
      <c r="G788" s="0" t="s">
        <v>628</v>
      </c>
      <c r="H788" s="0" t="s">
        <v>625</v>
      </c>
      <c r="I788" s="0" t="s">
        <v>626</v>
      </c>
      <c r="J788" s="0" t="s">
        <v>627</v>
      </c>
      <c r="K788" s="475" t="n">
        <v>36861</v>
      </c>
      <c r="L788" s="254" t="n">
        <v>-85439.2260701363</v>
      </c>
      <c r="M788" s="475" t="n">
        <v>36859</v>
      </c>
      <c r="N788" s="0" t="s">
        <v>136</v>
      </c>
      <c r="O788" s="0" t="n">
        <v>-0.2</v>
      </c>
      <c r="P788" s="0" t="n">
        <v>0</v>
      </c>
      <c r="Q788" s="0" t="n">
        <v>0</v>
      </c>
      <c r="R788" s="0" t="n">
        <v>0</v>
      </c>
      <c r="S788" s="0" t="n">
        <v>0</v>
      </c>
      <c r="T788" s="0" t="s">
        <v>624</v>
      </c>
      <c r="U788" s="0" t="s">
        <v>151</v>
      </c>
      <c r="V788" s="0" t="s">
        <v>624</v>
      </c>
      <c r="W788" s="0" t="s">
        <v>569</v>
      </c>
      <c r="X788" s="0" t="s">
        <v>624</v>
      </c>
      <c r="Y788" s="0" t="s">
        <v>627</v>
      </c>
      <c r="Z788" s="0" t="s">
        <v>629</v>
      </c>
      <c r="AA788" s="0" t="s">
        <v>624</v>
      </c>
      <c r="AB788" s="0" t="s">
        <v>132</v>
      </c>
      <c r="AC788" s="254" t="n">
        <v>-620000</v>
      </c>
      <c r="AD788" s="254" t="n">
        <v>-25765.3300667871</v>
      </c>
      <c r="AE788" s="0" t="n">
        <v>0</v>
      </c>
      <c r="AF788" s="0" t="n">
        <v>0</v>
      </c>
      <c r="AG788" s="0" t="n">
        <v>0</v>
      </c>
      <c r="AH788" s="254" t="n">
        <v>8892.75891056376</v>
      </c>
      <c r="AI788" s="0" t="n">
        <v>226</v>
      </c>
      <c r="AJ788" s="0" t="s">
        <v>630</v>
      </c>
      <c r="AK788" s="0" t="n">
        <v>0</v>
      </c>
      <c r="AL788" s="0" t="n">
        <v>0</v>
      </c>
      <c r="AM788" s="0" t="n">
        <v>0</v>
      </c>
    </row>
    <row r="789" customFormat="false" ht="12.75" hidden="false" customHeight="false" outlineLevel="0" collapsed="false">
      <c r="A789" s="0" t="s">
        <v>621</v>
      </c>
      <c r="B789" s="0" t="s">
        <v>454</v>
      </c>
      <c r="C789" s="0" t="s">
        <v>622</v>
      </c>
      <c r="D789" s="0" t="s">
        <v>623</v>
      </c>
      <c r="E789" s="0" t="s">
        <v>131</v>
      </c>
      <c r="F789" s="0" t="s">
        <v>275</v>
      </c>
      <c r="G789" s="0" t="s">
        <v>628</v>
      </c>
      <c r="H789" s="0" t="s">
        <v>625</v>
      </c>
      <c r="I789" s="0" t="s">
        <v>626</v>
      </c>
      <c r="J789" s="0" t="s">
        <v>627</v>
      </c>
      <c r="K789" s="475" t="n">
        <v>36892</v>
      </c>
      <c r="L789" s="254" t="n">
        <v>-99678.1266187636</v>
      </c>
      <c r="M789" s="475" t="n">
        <v>36888</v>
      </c>
      <c r="N789" s="0" t="s">
        <v>136</v>
      </c>
      <c r="O789" s="0" t="n">
        <v>-0.2</v>
      </c>
      <c r="P789" s="0" t="n">
        <v>0</v>
      </c>
      <c r="Q789" s="0" t="n">
        <v>0</v>
      </c>
      <c r="R789" s="0" t="n">
        <v>0</v>
      </c>
      <c r="S789" s="0" t="n">
        <v>0</v>
      </c>
      <c r="T789" s="0" t="s">
        <v>624</v>
      </c>
      <c r="U789" s="0" t="s">
        <v>151</v>
      </c>
      <c r="V789" s="0" t="s">
        <v>624</v>
      </c>
      <c r="W789" s="0" t="s">
        <v>569</v>
      </c>
      <c r="X789" s="0" t="s">
        <v>624</v>
      </c>
      <c r="Y789" s="0" t="s">
        <v>627</v>
      </c>
      <c r="Z789" s="0" t="s">
        <v>629</v>
      </c>
      <c r="AA789" s="0" t="s">
        <v>624</v>
      </c>
      <c r="AB789" s="0" t="s">
        <v>132</v>
      </c>
      <c r="AC789" s="254" t="n">
        <v>-620000</v>
      </c>
      <c r="AD789" s="254" t="n">
        <v>-29756.4166096237</v>
      </c>
      <c r="AE789" s="0" t="n">
        <v>0</v>
      </c>
      <c r="AF789" s="0" t="n">
        <v>0</v>
      </c>
      <c r="AG789" s="0" t="n">
        <v>0</v>
      </c>
      <c r="AH789" s="254" t="n">
        <v>8920.09635283827</v>
      </c>
      <c r="AI789" s="0" t="n">
        <v>226</v>
      </c>
      <c r="AJ789" s="0" t="s">
        <v>630</v>
      </c>
      <c r="AK789" s="0" t="n">
        <v>0</v>
      </c>
      <c r="AL789" s="0" t="n">
        <v>0</v>
      </c>
      <c r="AM789" s="0" t="n">
        <v>0</v>
      </c>
    </row>
    <row r="790" customFormat="false" ht="12.75" hidden="false" customHeight="false" outlineLevel="0" collapsed="false">
      <c r="A790" s="0" t="s">
        <v>621</v>
      </c>
      <c r="B790" s="0" t="s">
        <v>454</v>
      </c>
      <c r="C790" s="0" t="s">
        <v>622</v>
      </c>
      <c r="D790" s="0" t="s">
        <v>623</v>
      </c>
      <c r="E790" s="0" t="s">
        <v>131</v>
      </c>
      <c r="F790" s="0" t="s">
        <v>275</v>
      </c>
      <c r="G790" s="0" t="s">
        <v>628</v>
      </c>
      <c r="H790" s="0" t="s">
        <v>625</v>
      </c>
      <c r="I790" s="0" t="s">
        <v>626</v>
      </c>
      <c r="J790" s="0" t="s">
        <v>627</v>
      </c>
      <c r="K790" s="475" t="n">
        <v>36923</v>
      </c>
      <c r="L790" s="254" t="n">
        <v>-90154.1147470891</v>
      </c>
      <c r="M790" s="475" t="n">
        <v>36921</v>
      </c>
      <c r="N790" s="0" t="s">
        <v>136</v>
      </c>
      <c r="O790" s="0" t="n">
        <v>-0.2</v>
      </c>
      <c r="P790" s="0" t="n">
        <v>0</v>
      </c>
      <c r="Q790" s="0" t="n">
        <v>0</v>
      </c>
      <c r="R790" s="0" t="n">
        <v>0</v>
      </c>
      <c r="S790" s="0" t="n">
        <v>0</v>
      </c>
      <c r="T790" s="0" t="s">
        <v>624</v>
      </c>
      <c r="U790" s="0" t="s">
        <v>151</v>
      </c>
      <c r="V790" s="0" t="s">
        <v>624</v>
      </c>
      <c r="W790" s="0" t="s">
        <v>569</v>
      </c>
      <c r="X790" s="0" t="s">
        <v>624</v>
      </c>
      <c r="Y790" s="0" t="s">
        <v>627</v>
      </c>
      <c r="Z790" s="0" t="s">
        <v>629</v>
      </c>
      <c r="AA790" s="0" t="s">
        <v>624</v>
      </c>
      <c r="AB790" s="0" t="s">
        <v>132</v>
      </c>
      <c r="AC790" s="254" t="n">
        <v>-560000</v>
      </c>
      <c r="AD790" s="254" t="n">
        <v>-29263.6861397042</v>
      </c>
      <c r="AE790" s="0" t="n">
        <v>0</v>
      </c>
      <c r="AF790" s="0" t="n">
        <v>0</v>
      </c>
      <c r="AG790" s="0" t="n">
        <v>0</v>
      </c>
      <c r="AH790" s="254" t="n">
        <v>7738.58808885384</v>
      </c>
      <c r="AI790" s="0" t="n">
        <v>226</v>
      </c>
      <c r="AJ790" s="0" t="s">
        <v>630</v>
      </c>
      <c r="AK790" s="0" t="n">
        <v>0</v>
      </c>
      <c r="AL790" s="0" t="n">
        <v>0</v>
      </c>
      <c r="AM790" s="0" t="n">
        <v>0</v>
      </c>
    </row>
    <row r="791" customFormat="false" ht="12.75" hidden="false" customHeight="false" outlineLevel="0" collapsed="false">
      <c r="A791" s="0" t="s">
        <v>621</v>
      </c>
      <c r="B791" s="0" t="s">
        <v>454</v>
      </c>
      <c r="C791" s="0" t="s">
        <v>622</v>
      </c>
      <c r="D791" s="0" t="s">
        <v>623</v>
      </c>
      <c r="E791" s="0" t="s">
        <v>131</v>
      </c>
      <c r="F791" s="0" t="s">
        <v>275</v>
      </c>
      <c r="G791" s="0" t="s">
        <v>628</v>
      </c>
      <c r="H791" s="0" t="s">
        <v>625</v>
      </c>
      <c r="I791" s="0" t="s">
        <v>626</v>
      </c>
      <c r="J791" s="0" t="s">
        <v>627</v>
      </c>
      <c r="K791" s="475" t="n">
        <v>36951</v>
      </c>
      <c r="L791" s="254" t="n">
        <v>-85246.3347606717</v>
      </c>
      <c r="M791" s="475" t="n">
        <v>36949</v>
      </c>
      <c r="N791" s="0" t="s">
        <v>136</v>
      </c>
      <c r="O791" s="0" t="n">
        <v>-0.2</v>
      </c>
      <c r="P791" s="0" t="n">
        <v>0</v>
      </c>
      <c r="Q791" s="0" t="n">
        <v>0</v>
      </c>
      <c r="R791" s="0" t="n">
        <v>0</v>
      </c>
      <c r="S791" s="0" t="n">
        <v>0</v>
      </c>
      <c r="T791" s="0" t="s">
        <v>624</v>
      </c>
      <c r="U791" s="0" t="s">
        <v>151</v>
      </c>
      <c r="V791" s="0" t="s">
        <v>624</v>
      </c>
      <c r="W791" s="0" t="s">
        <v>569</v>
      </c>
      <c r="X791" s="0" t="s">
        <v>624</v>
      </c>
      <c r="Y791" s="0" t="s">
        <v>627</v>
      </c>
      <c r="Z791" s="0" t="s">
        <v>629</v>
      </c>
      <c r="AA791" s="0" t="s">
        <v>624</v>
      </c>
      <c r="AB791" s="0" t="s">
        <v>132</v>
      </c>
      <c r="AC791" s="254" t="n">
        <v>-620000</v>
      </c>
      <c r="AD791" s="254" t="n">
        <v>-30975.2851643087</v>
      </c>
      <c r="AE791" s="0" t="n">
        <v>0</v>
      </c>
      <c r="AF791" s="0" t="n">
        <v>0</v>
      </c>
      <c r="AG791" s="0" t="n">
        <v>0</v>
      </c>
      <c r="AH791" s="254" t="n">
        <v>8069.11811345986</v>
      </c>
      <c r="AI791" s="0" t="n">
        <v>226</v>
      </c>
      <c r="AJ791" s="0" t="s">
        <v>630</v>
      </c>
      <c r="AK791" s="0" t="n">
        <v>0</v>
      </c>
      <c r="AL791" s="0" t="n">
        <v>0</v>
      </c>
      <c r="AM791" s="0" t="n">
        <v>0</v>
      </c>
    </row>
    <row r="792" customFormat="false" ht="12.75" hidden="false" customHeight="false" outlineLevel="0" collapsed="false">
      <c r="A792" s="0" t="s">
        <v>621</v>
      </c>
      <c r="B792" s="0" t="s">
        <v>455</v>
      </c>
      <c r="C792" s="0" t="s">
        <v>622</v>
      </c>
      <c r="D792" s="0" t="s">
        <v>623</v>
      </c>
      <c r="E792" s="0" t="s">
        <v>131</v>
      </c>
      <c r="F792" s="0" t="s">
        <v>275</v>
      </c>
      <c r="G792" s="0" t="s">
        <v>628</v>
      </c>
      <c r="H792" s="0" t="s">
        <v>625</v>
      </c>
      <c r="I792" s="0" t="s">
        <v>626</v>
      </c>
      <c r="J792" s="0" t="s">
        <v>627</v>
      </c>
      <c r="K792" s="475" t="n">
        <v>36831</v>
      </c>
      <c r="L792" s="254" t="n">
        <v>-94672.0382748317</v>
      </c>
      <c r="M792" s="475" t="n">
        <v>36829</v>
      </c>
      <c r="N792" s="0" t="s">
        <v>132</v>
      </c>
      <c r="O792" s="0" t="n">
        <v>-0.5</v>
      </c>
      <c r="P792" s="0" t="n">
        <v>0</v>
      </c>
      <c r="Q792" s="0" t="n">
        <v>0</v>
      </c>
      <c r="R792" s="0" t="n">
        <v>0</v>
      </c>
      <c r="S792" s="0" t="n">
        <v>0</v>
      </c>
      <c r="T792" s="0" t="s">
        <v>624</v>
      </c>
      <c r="U792" s="0" t="s">
        <v>151</v>
      </c>
      <c r="V792" s="0" t="s">
        <v>624</v>
      </c>
      <c r="W792" s="0" t="s">
        <v>569</v>
      </c>
      <c r="X792" s="0" t="s">
        <v>624</v>
      </c>
      <c r="Y792" s="0" t="s">
        <v>627</v>
      </c>
      <c r="Z792" s="0" t="s">
        <v>629</v>
      </c>
      <c r="AA792" s="0" t="s">
        <v>624</v>
      </c>
      <c r="AB792" s="0" t="s">
        <v>132</v>
      </c>
      <c r="AC792" s="254" t="n">
        <v>-600000</v>
      </c>
      <c r="AD792" s="254" t="n">
        <v>-20711.2951663896</v>
      </c>
      <c r="AE792" s="0" t="n">
        <v>0</v>
      </c>
      <c r="AF792" s="0" t="n">
        <v>0</v>
      </c>
      <c r="AG792" s="0" t="n">
        <v>0</v>
      </c>
      <c r="AH792" s="254" t="n">
        <v>-11464.4083171261</v>
      </c>
      <c r="AI792" s="0" t="n">
        <v>226</v>
      </c>
      <c r="AJ792" s="0" t="s">
        <v>630</v>
      </c>
      <c r="AK792" s="0" t="n">
        <v>0</v>
      </c>
      <c r="AL792" s="0" t="n">
        <v>0</v>
      </c>
      <c r="AM792" s="0" t="n">
        <v>0</v>
      </c>
    </row>
    <row r="793" customFormat="false" ht="12.75" hidden="false" customHeight="false" outlineLevel="0" collapsed="false">
      <c r="A793" s="0" t="s">
        <v>621</v>
      </c>
      <c r="B793" s="0" t="s">
        <v>455</v>
      </c>
      <c r="C793" s="0" t="s">
        <v>622</v>
      </c>
      <c r="D793" s="0" t="s">
        <v>623</v>
      </c>
      <c r="E793" s="0" t="s">
        <v>131</v>
      </c>
      <c r="F793" s="0" t="s">
        <v>275</v>
      </c>
      <c r="G793" s="0" t="s">
        <v>628</v>
      </c>
      <c r="H793" s="0" t="s">
        <v>625</v>
      </c>
      <c r="I793" s="0" t="s">
        <v>626</v>
      </c>
      <c r="J793" s="0" t="s">
        <v>627</v>
      </c>
      <c r="K793" s="475" t="n">
        <v>36861</v>
      </c>
      <c r="L793" s="254" t="n">
        <v>-94999.2770598143</v>
      </c>
      <c r="M793" s="475" t="n">
        <v>36859</v>
      </c>
      <c r="N793" s="0" t="s">
        <v>132</v>
      </c>
      <c r="O793" s="0" t="n">
        <v>-0.5</v>
      </c>
      <c r="P793" s="0" t="n">
        <v>0</v>
      </c>
      <c r="Q793" s="0" t="n">
        <v>0</v>
      </c>
      <c r="R793" s="0" t="n">
        <v>0</v>
      </c>
      <c r="S793" s="0" t="n">
        <v>0</v>
      </c>
      <c r="T793" s="0" t="s">
        <v>624</v>
      </c>
      <c r="U793" s="0" t="s">
        <v>151</v>
      </c>
      <c r="V793" s="0" t="s">
        <v>624</v>
      </c>
      <c r="W793" s="0" t="s">
        <v>569</v>
      </c>
      <c r="X793" s="0" t="s">
        <v>624</v>
      </c>
      <c r="Y793" s="0" t="s">
        <v>627</v>
      </c>
      <c r="Z793" s="0" t="s">
        <v>629</v>
      </c>
      <c r="AA793" s="0" t="s">
        <v>624</v>
      </c>
      <c r="AB793" s="0" t="s">
        <v>132</v>
      </c>
      <c r="AC793" s="254" t="n">
        <v>-620000</v>
      </c>
      <c r="AD793" s="254" t="n">
        <v>-25379.2291814378</v>
      </c>
      <c r="AE793" s="0" t="n">
        <v>0</v>
      </c>
      <c r="AF793" s="0" t="n">
        <v>0</v>
      </c>
      <c r="AG793" s="0" t="n">
        <v>0</v>
      </c>
      <c r="AH793" s="254" t="n">
        <v>-10168.3308239658</v>
      </c>
      <c r="AI793" s="0" t="n">
        <v>226</v>
      </c>
      <c r="AJ793" s="0" t="s">
        <v>630</v>
      </c>
      <c r="AK793" s="0" t="n">
        <v>0</v>
      </c>
      <c r="AL793" s="0" t="n">
        <v>0</v>
      </c>
      <c r="AM793" s="0" t="n">
        <v>0</v>
      </c>
    </row>
    <row r="794" customFormat="false" ht="12.75" hidden="false" customHeight="false" outlineLevel="0" collapsed="false">
      <c r="A794" s="0" t="s">
        <v>621</v>
      </c>
      <c r="B794" s="0" t="s">
        <v>455</v>
      </c>
      <c r="C794" s="0" t="s">
        <v>622</v>
      </c>
      <c r="D794" s="0" t="s">
        <v>623</v>
      </c>
      <c r="E794" s="0" t="s">
        <v>131</v>
      </c>
      <c r="F794" s="0" t="s">
        <v>275</v>
      </c>
      <c r="G794" s="0" t="s">
        <v>628</v>
      </c>
      <c r="H794" s="0" t="s">
        <v>625</v>
      </c>
      <c r="I794" s="0" t="s">
        <v>626</v>
      </c>
      <c r="J794" s="0" t="s">
        <v>627</v>
      </c>
      <c r="K794" s="475" t="n">
        <v>36892</v>
      </c>
      <c r="L794" s="254" t="n">
        <v>-115258.372549066</v>
      </c>
      <c r="M794" s="475" t="n">
        <v>36888</v>
      </c>
      <c r="N794" s="0" t="s">
        <v>132</v>
      </c>
      <c r="O794" s="0" t="n">
        <v>-0.5</v>
      </c>
      <c r="P794" s="0" t="n">
        <v>0</v>
      </c>
      <c r="Q794" s="0" t="n">
        <v>0</v>
      </c>
      <c r="R794" s="0" t="n">
        <v>0</v>
      </c>
      <c r="S794" s="0" t="n">
        <v>0</v>
      </c>
      <c r="T794" s="0" t="s">
        <v>624</v>
      </c>
      <c r="U794" s="0" t="s">
        <v>151</v>
      </c>
      <c r="V794" s="0" t="s">
        <v>624</v>
      </c>
      <c r="W794" s="0" t="s">
        <v>569</v>
      </c>
      <c r="X794" s="0" t="s">
        <v>624</v>
      </c>
      <c r="Y794" s="0" t="s">
        <v>627</v>
      </c>
      <c r="Z794" s="0" t="s">
        <v>629</v>
      </c>
      <c r="AA794" s="0" t="s">
        <v>624</v>
      </c>
      <c r="AB794" s="0" t="s">
        <v>132</v>
      </c>
      <c r="AC794" s="254" t="n">
        <v>-620000</v>
      </c>
      <c r="AD794" s="254" t="n">
        <v>-29446.5584904346</v>
      </c>
      <c r="AE794" s="0" t="n">
        <v>0</v>
      </c>
      <c r="AF794" s="0" t="n">
        <v>0</v>
      </c>
      <c r="AG794" s="0" t="n">
        <v>0</v>
      </c>
      <c r="AH794" s="254" t="n">
        <v>-10666.1122704053</v>
      </c>
      <c r="AI794" s="0" t="n">
        <v>226</v>
      </c>
      <c r="AJ794" s="0" t="s">
        <v>630</v>
      </c>
      <c r="AK794" s="0" t="n">
        <v>0</v>
      </c>
      <c r="AL794" s="0" t="n">
        <v>0</v>
      </c>
      <c r="AM794" s="0" t="n">
        <v>0</v>
      </c>
    </row>
    <row r="795" customFormat="false" ht="12.75" hidden="false" customHeight="false" outlineLevel="0" collapsed="false">
      <c r="A795" s="0" t="s">
        <v>621</v>
      </c>
      <c r="B795" s="0" t="s">
        <v>455</v>
      </c>
      <c r="C795" s="0" t="s">
        <v>622</v>
      </c>
      <c r="D795" s="0" t="s">
        <v>623</v>
      </c>
      <c r="E795" s="0" t="s">
        <v>131</v>
      </c>
      <c r="F795" s="0" t="s">
        <v>275</v>
      </c>
      <c r="G795" s="0" t="s">
        <v>628</v>
      </c>
      <c r="H795" s="0" t="s">
        <v>625</v>
      </c>
      <c r="I795" s="0" t="s">
        <v>626</v>
      </c>
      <c r="J795" s="0" t="s">
        <v>627</v>
      </c>
      <c r="K795" s="475" t="n">
        <v>36923</v>
      </c>
      <c r="L795" s="254" t="n">
        <v>-114024.040492127</v>
      </c>
      <c r="M795" s="475" t="n">
        <v>36921</v>
      </c>
      <c r="N795" s="0" t="s">
        <v>132</v>
      </c>
      <c r="O795" s="0" t="n">
        <v>-0.5</v>
      </c>
      <c r="P795" s="0" t="n">
        <v>0</v>
      </c>
      <c r="Q795" s="0" t="n">
        <v>0</v>
      </c>
      <c r="R795" s="0" t="n">
        <v>0</v>
      </c>
      <c r="S795" s="0" t="n">
        <v>0</v>
      </c>
      <c r="T795" s="0" t="s">
        <v>624</v>
      </c>
      <c r="U795" s="0" t="s">
        <v>151</v>
      </c>
      <c r="V795" s="0" t="s">
        <v>624</v>
      </c>
      <c r="W795" s="0" t="s">
        <v>569</v>
      </c>
      <c r="X795" s="0" t="s">
        <v>624</v>
      </c>
      <c r="Y795" s="0" t="s">
        <v>627</v>
      </c>
      <c r="Z795" s="0" t="s">
        <v>629</v>
      </c>
      <c r="AA795" s="0" t="s">
        <v>624</v>
      </c>
      <c r="AB795" s="0" t="s">
        <v>132</v>
      </c>
      <c r="AC795" s="254" t="n">
        <v>-560000</v>
      </c>
      <c r="AD795" s="254" t="n">
        <v>-29265.3954259949</v>
      </c>
      <c r="AE795" s="0" t="n">
        <v>0</v>
      </c>
      <c r="AF795" s="0" t="n">
        <v>0</v>
      </c>
      <c r="AG795" s="0" t="n">
        <v>0</v>
      </c>
      <c r="AH795" s="254" t="n">
        <v>-10003.7429116535</v>
      </c>
      <c r="AI795" s="0" t="n">
        <v>226</v>
      </c>
      <c r="AJ795" s="0" t="s">
        <v>630</v>
      </c>
      <c r="AK795" s="0" t="n">
        <v>0</v>
      </c>
      <c r="AL795" s="0" t="n">
        <v>0</v>
      </c>
      <c r="AM795" s="0" t="n">
        <v>0</v>
      </c>
    </row>
    <row r="796" customFormat="false" ht="12.75" hidden="false" customHeight="false" outlineLevel="0" collapsed="false">
      <c r="A796" s="0" t="s">
        <v>621</v>
      </c>
      <c r="B796" s="0" t="s">
        <v>455</v>
      </c>
      <c r="C796" s="0" t="s">
        <v>622</v>
      </c>
      <c r="D796" s="0" t="s">
        <v>623</v>
      </c>
      <c r="E796" s="0" t="s">
        <v>131</v>
      </c>
      <c r="F796" s="0" t="s">
        <v>275</v>
      </c>
      <c r="G796" s="0" t="s">
        <v>628</v>
      </c>
      <c r="H796" s="0" t="s">
        <v>625</v>
      </c>
      <c r="I796" s="0" t="s">
        <v>626</v>
      </c>
      <c r="J796" s="0" t="s">
        <v>627</v>
      </c>
      <c r="K796" s="475" t="n">
        <v>36951</v>
      </c>
      <c r="L796" s="254" t="n">
        <v>-116041.74956695</v>
      </c>
      <c r="M796" s="475" t="n">
        <v>36949</v>
      </c>
      <c r="N796" s="0" t="s">
        <v>132</v>
      </c>
      <c r="O796" s="0" t="n">
        <v>-0.5</v>
      </c>
      <c r="P796" s="0" t="n">
        <v>0</v>
      </c>
      <c r="Q796" s="0" t="n">
        <v>0</v>
      </c>
      <c r="R796" s="0" t="n">
        <v>0</v>
      </c>
      <c r="S796" s="0" t="n">
        <v>0</v>
      </c>
      <c r="T796" s="0" t="s">
        <v>624</v>
      </c>
      <c r="U796" s="0" t="s">
        <v>151</v>
      </c>
      <c r="V796" s="0" t="s">
        <v>624</v>
      </c>
      <c r="W796" s="0" t="s">
        <v>569</v>
      </c>
      <c r="X796" s="0" t="s">
        <v>624</v>
      </c>
      <c r="Y796" s="0" t="s">
        <v>627</v>
      </c>
      <c r="Z796" s="0" t="s">
        <v>629</v>
      </c>
      <c r="AA796" s="0" t="s">
        <v>624</v>
      </c>
      <c r="AB796" s="0" t="s">
        <v>132</v>
      </c>
      <c r="AC796" s="254" t="n">
        <v>-620000</v>
      </c>
      <c r="AD796" s="254" t="n">
        <v>-31331.1640419054</v>
      </c>
      <c r="AE796" s="0" t="n">
        <v>0</v>
      </c>
      <c r="AF796" s="0" t="n">
        <v>0</v>
      </c>
      <c r="AG796" s="0" t="n">
        <v>0</v>
      </c>
      <c r="AH796" s="254" t="n">
        <v>-11078.8550331207</v>
      </c>
      <c r="AI796" s="0" t="n">
        <v>226</v>
      </c>
      <c r="AJ796" s="0" t="s">
        <v>630</v>
      </c>
      <c r="AK796" s="0" t="n">
        <v>0</v>
      </c>
      <c r="AL796" s="0" t="n">
        <v>0</v>
      </c>
      <c r="AM796" s="0" t="n">
        <v>0</v>
      </c>
    </row>
    <row r="797" customFormat="false" ht="12.75" hidden="false" customHeight="false" outlineLevel="0" collapsed="false">
      <c r="A797" s="0" t="s">
        <v>621</v>
      </c>
      <c r="B797" s="0" t="s">
        <v>456</v>
      </c>
      <c r="C797" s="0" t="s">
        <v>622</v>
      </c>
      <c r="D797" s="0" t="s">
        <v>623</v>
      </c>
      <c r="E797" s="0" t="s">
        <v>131</v>
      </c>
      <c r="F797" s="0" t="s">
        <v>255</v>
      </c>
      <c r="G797" s="0" t="s">
        <v>628</v>
      </c>
      <c r="H797" s="0" t="s">
        <v>625</v>
      </c>
      <c r="I797" s="0" t="s">
        <v>626</v>
      </c>
      <c r="J797" s="0" t="s">
        <v>627</v>
      </c>
      <c r="K797" s="475" t="n">
        <v>36831</v>
      </c>
      <c r="L797" s="254" t="n">
        <v>-7049.24557303187</v>
      </c>
      <c r="M797" s="475" t="n">
        <v>36829</v>
      </c>
      <c r="N797" s="0" t="s">
        <v>136</v>
      </c>
      <c r="O797" s="0" t="n">
        <v>0.2</v>
      </c>
      <c r="P797" s="0" t="n">
        <v>0</v>
      </c>
      <c r="Q797" s="0" t="n">
        <v>0</v>
      </c>
      <c r="R797" s="0" t="n">
        <v>0</v>
      </c>
      <c r="S797" s="0" t="n">
        <v>0</v>
      </c>
      <c r="T797" s="0" t="s">
        <v>624</v>
      </c>
      <c r="U797" s="0" t="s">
        <v>632</v>
      </c>
      <c r="V797" s="0" t="s">
        <v>624</v>
      </c>
      <c r="W797" s="0" t="s">
        <v>569</v>
      </c>
      <c r="X797" s="0" t="s">
        <v>624</v>
      </c>
      <c r="Y797" s="0" t="s">
        <v>627</v>
      </c>
      <c r="Z797" s="0" t="s">
        <v>629</v>
      </c>
      <c r="AA797" s="0" t="s">
        <v>624</v>
      </c>
      <c r="AB797" s="0" t="s">
        <v>132</v>
      </c>
      <c r="AC797" s="254" t="n">
        <v>-1000000</v>
      </c>
      <c r="AD797" s="254" t="n">
        <v>-3784.49390190924</v>
      </c>
      <c r="AE797" s="0" t="n">
        <v>0</v>
      </c>
      <c r="AF797" s="0" t="n">
        <v>0</v>
      </c>
      <c r="AG797" s="0" t="n">
        <v>0</v>
      </c>
      <c r="AH797" s="254" t="n">
        <v>-205.842299126556</v>
      </c>
      <c r="AI797" s="0" t="n">
        <v>226</v>
      </c>
      <c r="AJ797" s="0" t="s">
        <v>630</v>
      </c>
      <c r="AK797" s="0" t="n">
        <v>0</v>
      </c>
      <c r="AL797" s="0" t="n">
        <v>0</v>
      </c>
      <c r="AM797" s="0" t="n">
        <v>0</v>
      </c>
    </row>
    <row r="798" customFormat="false" ht="12.75" hidden="false" customHeight="false" outlineLevel="0" collapsed="false">
      <c r="A798" s="0" t="s">
        <v>621</v>
      </c>
      <c r="B798" s="0" t="s">
        <v>456</v>
      </c>
      <c r="C798" s="0" t="s">
        <v>622</v>
      </c>
      <c r="D798" s="0" t="s">
        <v>623</v>
      </c>
      <c r="E798" s="0" t="s">
        <v>131</v>
      </c>
      <c r="F798" s="0" t="s">
        <v>255</v>
      </c>
      <c r="G798" s="0" t="s">
        <v>628</v>
      </c>
      <c r="H798" s="0" t="s">
        <v>625</v>
      </c>
      <c r="I798" s="0" t="s">
        <v>626</v>
      </c>
      <c r="J798" s="0" t="s">
        <v>627</v>
      </c>
      <c r="K798" s="475" t="n">
        <v>36861</v>
      </c>
      <c r="L798" s="254" t="n">
        <v>-15540.5173200066</v>
      </c>
      <c r="M798" s="475" t="n">
        <v>36859</v>
      </c>
      <c r="N798" s="0" t="s">
        <v>136</v>
      </c>
      <c r="O798" s="0" t="n">
        <v>0.2</v>
      </c>
      <c r="P798" s="0" t="n">
        <v>0</v>
      </c>
      <c r="Q798" s="0" t="n">
        <v>0</v>
      </c>
      <c r="R798" s="0" t="n">
        <v>0</v>
      </c>
      <c r="S798" s="0" t="n">
        <v>0</v>
      </c>
      <c r="T798" s="0" t="s">
        <v>624</v>
      </c>
      <c r="U798" s="0" t="s">
        <v>632</v>
      </c>
      <c r="V798" s="0" t="s">
        <v>624</v>
      </c>
      <c r="W798" s="0" t="s">
        <v>569</v>
      </c>
      <c r="X798" s="0" t="s">
        <v>624</v>
      </c>
      <c r="Y798" s="0" t="s">
        <v>627</v>
      </c>
      <c r="Z798" s="0" t="s">
        <v>629</v>
      </c>
      <c r="AA798" s="0" t="s">
        <v>624</v>
      </c>
      <c r="AB798" s="0" t="s">
        <v>132</v>
      </c>
      <c r="AC798" s="254" t="n">
        <v>-1000000</v>
      </c>
      <c r="AD798" s="254" t="n">
        <v>-6169.7623906165</v>
      </c>
      <c r="AE798" s="0" t="n">
        <v>0</v>
      </c>
      <c r="AF798" s="0" t="n">
        <v>0</v>
      </c>
      <c r="AG798" s="0" t="n">
        <v>0</v>
      </c>
      <c r="AH798" s="254" t="n">
        <v>-311.083836819107</v>
      </c>
      <c r="AI798" s="0" t="n">
        <v>226</v>
      </c>
      <c r="AJ798" s="0" t="s">
        <v>630</v>
      </c>
      <c r="AK798" s="0" t="n">
        <v>0</v>
      </c>
      <c r="AL798" s="0" t="n">
        <v>0</v>
      </c>
      <c r="AM798" s="0" t="n">
        <v>0</v>
      </c>
    </row>
    <row r="799" customFormat="false" ht="12.75" hidden="false" customHeight="false" outlineLevel="0" collapsed="false">
      <c r="A799" s="0" t="s">
        <v>621</v>
      </c>
      <c r="B799" s="0" t="s">
        <v>456</v>
      </c>
      <c r="C799" s="0" t="s">
        <v>622</v>
      </c>
      <c r="D799" s="0" t="s">
        <v>623</v>
      </c>
      <c r="E799" s="0" t="s">
        <v>131</v>
      </c>
      <c r="F799" s="0" t="s">
        <v>255</v>
      </c>
      <c r="G799" s="0" t="s">
        <v>628</v>
      </c>
      <c r="H799" s="0" t="s">
        <v>625</v>
      </c>
      <c r="I799" s="0" t="s">
        <v>626</v>
      </c>
      <c r="J799" s="0" t="s">
        <v>627</v>
      </c>
      <c r="K799" s="475" t="n">
        <v>36892</v>
      </c>
      <c r="L799" s="254" t="n">
        <v>-28711.8987177352</v>
      </c>
      <c r="M799" s="475" t="n">
        <v>36888</v>
      </c>
      <c r="N799" s="0" t="s">
        <v>136</v>
      </c>
      <c r="O799" s="0" t="n">
        <v>0.2</v>
      </c>
      <c r="P799" s="0" t="n">
        <v>0</v>
      </c>
      <c r="Q799" s="0" t="n">
        <v>0</v>
      </c>
      <c r="R799" s="0" t="n">
        <v>0</v>
      </c>
      <c r="S799" s="0" t="n">
        <v>0</v>
      </c>
      <c r="T799" s="0" t="s">
        <v>624</v>
      </c>
      <c r="U799" s="0" t="s">
        <v>632</v>
      </c>
      <c r="V799" s="0" t="s">
        <v>624</v>
      </c>
      <c r="W799" s="0" t="s">
        <v>569</v>
      </c>
      <c r="X799" s="0" t="s">
        <v>624</v>
      </c>
      <c r="Y799" s="0" t="s">
        <v>627</v>
      </c>
      <c r="Z799" s="0" t="s">
        <v>629</v>
      </c>
      <c r="AA799" s="0" t="s">
        <v>624</v>
      </c>
      <c r="AB799" s="0" t="s">
        <v>132</v>
      </c>
      <c r="AC799" s="254" t="n">
        <v>-1000000</v>
      </c>
      <c r="AD799" s="254" t="n">
        <v>-8458.08813513262</v>
      </c>
      <c r="AE799" s="0" t="n">
        <v>0</v>
      </c>
      <c r="AF799" s="0" t="n">
        <v>0</v>
      </c>
      <c r="AG799" s="0" t="n">
        <v>0</v>
      </c>
      <c r="AH799" s="254" t="n">
        <v>-407.037405835876</v>
      </c>
      <c r="AI799" s="0" t="n">
        <v>226</v>
      </c>
      <c r="AJ799" s="0" t="s">
        <v>630</v>
      </c>
      <c r="AK799" s="0" t="n">
        <v>0</v>
      </c>
      <c r="AL799" s="0" t="n">
        <v>0</v>
      </c>
      <c r="AM799" s="0" t="n">
        <v>0</v>
      </c>
    </row>
    <row r="800" customFormat="false" ht="12.75" hidden="false" customHeight="false" outlineLevel="0" collapsed="false">
      <c r="A800" s="0" t="s">
        <v>621</v>
      </c>
      <c r="B800" s="0" t="s">
        <v>456</v>
      </c>
      <c r="C800" s="0" t="s">
        <v>622</v>
      </c>
      <c r="D800" s="0" t="s">
        <v>623</v>
      </c>
      <c r="E800" s="0" t="s">
        <v>131</v>
      </c>
      <c r="F800" s="0" t="s">
        <v>255</v>
      </c>
      <c r="G800" s="0" t="s">
        <v>628</v>
      </c>
      <c r="H800" s="0" t="s">
        <v>625</v>
      </c>
      <c r="I800" s="0" t="s">
        <v>626</v>
      </c>
      <c r="J800" s="0" t="s">
        <v>627</v>
      </c>
      <c r="K800" s="475" t="n">
        <v>36923</v>
      </c>
      <c r="L800" s="254" t="n">
        <v>-34991.207679825</v>
      </c>
      <c r="M800" s="475" t="n">
        <v>36921</v>
      </c>
      <c r="N800" s="0" t="s">
        <v>136</v>
      </c>
      <c r="O800" s="0" t="n">
        <v>0.2</v>
      </c>
      <c r="P800" s="0" t="n">
        <v>0</v>
      </c>
      <c r="Q800" s="0" t="n">
        <v>0</v>
      </c>
      <c r="R800" s="0" t="n">
        <v>0</v>
      </c>
      <c r="S800" s="0" t="n">
        <v>0</v>
      </c>
      <c r="T800" s="0" t="s">
        <v>624</v>
      </c>
      <c r="U800" s="0" t="s">
        <v>632</v>
      </c>
      <c r="V800" s="0" t="s">
        <v>624</v>
      </c>
      <c r="W800" s="0" t="s">
        <v>569</v>
      </c>
      <c r="X800" s="0" t="s">
        <v>624</v>
      </c>
      <c r="Y800" s="0" t="s">
        <v>627</v>
      </c>
      <c r="Z800" s="0" t="s">
        <v>629</v>
      </c>
      <c r="AA800" s="0" t="s">
        <v>624</v>
      </c>
      <c r="AB800" s="0" t="s">
        <v>132</v>
      </c>
      <c r="AC800" s="254" t="n">
        <v>-1000000</v>
      </c>
      <c r="AD800" s="254" t="n">
        <v>-9589.11843832536</v>
      </c>
      <c r="AE800" s="0" t="n">
        <v>0</v>
      </c>
      <c r="AF800" s="0" t="n">
        <v>0</v>
      </c>
      <c r="AG800" s="0" t="n">
        <v>0</v>
      </c>
      <c r="AH800" s="254" t="n">
        <v>-459.966013406702</v>
      </c>
      <c r="AI800" s="0" t="n">
        <v>226</v>
      </c>
      <c r="AJ800" s="0" t="s">
        <v>630</v>
      </c>
      <c r="AK800" s="0" t="n">
        <v>0</v>
      </c>
      <c r="AL800" s="0" t="n">
        <v>0</v>
      </c>
      <c r="AM800" s="0" t="n">
        <v>0</v>
      </c>
    </row>
    <row r="801" customFormat="false" ht="12.75" hidden="false" customHeight="false" outlineLevel="0" collapsed="false">
      <c r="A801" s="0" t="s">
        <v>621</v>
      </c>
      <c r="B801" s="0" t="s">
        <v>456</v>
      </c>
      <c r="C801" s="0" t="s">
        <v>622</v>
      </c>
      <c r="D801" s="0" t="s">
        <v>623</v>
      </c>
      <c r="E801" s="0" t="s">
        <v>131</v>
      </c>
      <c r="F801" s="0" t="s">
        <v>255</v>
      </c>
      <c r="G801" s="0" t="s">
        <v>628</v>
      </c>
      <c r="H801" s="0" t="s">
        <v>625</v>
      </c>
      <c r="I801" s="0" t="s">
        <v>626</v>
      </c>
      <c r="J801" s="0" t="s">
        <v>627</v>
      </c>
      <c r="K801" s="475" t="n">
        <v>36951</v>
      </c>
      <c r="L801" s="254" t="n">
        <v>-26314.0572922367</v>
      </c>
      <c r="M801" s="475" t="n">
        <v>36949</v>
      </c>
      <c r="N801" s="0" t="s">
        <v>136</v>
      </c>
      <c r="O801" s="0" t="n">
        <v>0.2</v>
      </c>
      <c r="P801" s="0" t="n">
        <v>0</v>
      </c>
      <c r="Q801" s="0" t="n">
        <v>0</v>
      </c>
      <c r="R801" s="0" t="n">
        <v>0</v>
      </c>
      <c r="S801" s="0" t="n">
        <v>0</v>
      </c>
      <c r="T801" s="0" t="s">
        <v>624</v>
      </c>
      <c r="U801" s="0" t="s">
        <v>632</v>
      </c>
      <c r="V801" s="0" t="s">
        <v>624</v>
      </c>
      <c r="W801" s="0" t="s">
        <v>569</v>
      </c>
      <c r="X801" s="0" t="s">
        <v>624</v>
      </c>
      <c r="Y801" s="0" t="s">
        <v>627</v>
      </c>
      <c r="Z801" s="0" t="s">
        <v>629</v>
      </c>
      <c r="AA801" s="0" t="s">
        <v>624</v>
      </c>
      <c r="AB801" s="0" t="s">
        <v>132</v>
      </c>
      <c r="AC801" s="254" t="n">
        <v>-1000000</v>
      </c>
      <c r="AD801" s="254" t="n">
        <v>-8714.59753260284</v>
      </c>
      <c r="AE801" s="0" t="n">
        <v>0</v>
      </c>
      <c r="AF801" s="0" t="n">
        <v>0</v>
      </c>
      <c r="AG801" s="0" t="n">
        <v>0</v>
      </c>
      <c r="AH801" s="254" t="n">
        <v>-442.509629958389</v>
      </c>
      <c r="AI801" s="0" t="n">
        <v>226</v>
      </c>
      <c r="AJ801" s="0" t="s">
        <v>630</v>
      </c>
      <c r="AK801" s="0" t="n">
        <v>0</v>
      </c>
      <c r="AL801" s="0" t="n">
        <v>0</v>
      </c>
      <c r="AM801" s="0" t="n">
        <v>0</v>
      </c>
    </row>
    <row r="802" customFormat="false" ht="12.75" hidden="false" customHeight="false" outlineLevel="0" collapsed="false">
      <c r="A802" s="0" t="s">
        <v>621</v>
      </c>
      <c r="B802" s="0" t="s">
        <v>457</v>
      </c>
      <c r="C802" s="0" t="s">
        <v>622</v>
      </c>
      <c r="D802" s="0" t="s">
        <v>623</v>
      </c>
      <c r="E802" s="0" t="s">
        <v>131</v>
      </c>
      <c r="F802" s="0" t="s">
        <v>281</v>
      </c>
      <c r="G802" s="0" t="s">
        <v>628</v>
      </c>
      <c r="H802" s="0" t="s">
        <v>625</v>
      </c>
      <c r="I802" s="0" t="s">
        <v>626</v>
      </c>
      <c r="J802" s="0" t="s">
        <v>627</v>
      </c>
      <c r="K802" s="475" t="n">
        <v>36831</v>
      </c>
      <c r="L802" s="254" t="n">
        <v>14939.6868429022</v>
      </c>
      <c r="M802" s="475" t="n">
        <v>36829</v>
      </c>
      <c r="N802" s="0" t="s">
        <v>132</v>
      </c>
      <c r="O802" s="0" t="n">
        <v>0.11</v>
      </c>
      <c r="P802" s="0" t="n">
        <v>0</v>
      </c>
      <c r="Q802" s="0" t="n">
        <v>0</v>
      </c>
      <c r="R802" s="0" t="n">
        <v>0</v>
      </c>
      <c r="S802" s="0" t="n">
        <v>0</v>
      </c>
      <c r="T802" s="0" t="s">
        <v>624</v>
      </c>
      <c r="U802" s="0" t="s">
        <v>632</v>
      </c>
      <c r="V802" s="0" t="s">
        <v>624</v>
      </c>
      <c r="W802" s="0" t="s">
        <v>569</v>
      </c>
      <c r="X802" s="0" t="s">
        <v>624</v>
      </c>
      <c r="Y802" s="0" t="s">
        <v>627</v>
      </c>
      <c r="Z802" s="0" t="s">
        <v>629</v>
      </c>
      <c r="AA802" s="0" t="s">
        <v>624</v>
      </c>
      <c r="AB802" s="0" t="s">
        <v>132</v>
      </c>
      <c r="AC802" s="254" t="n">
        <v>300000</v>
      </c>
      <c r="AD802" s="254" t="n">
        <v>2114.24587268769</v>
      </c>
      <c r="AE802" s="0" t="n">
        <v>0</v>
      </c>
      <c r="AF802" s="0" t="n">
        <v>0</v>
      </c>
      <c r="AG802" s="0" t="n">
        <v>0</v>
      </c>
      <c r="AH802" s="254" t="n">
        <v>113.678416802277</v>
      </c>
      <c r="AI802" s="0" t="n">
        <v>226</v>
      </c>
      <c r="AJ802" s="0" t="s">
        <v>630</v>
      </c>
      <c r="AK802" s="0" t="n">
        <v>0</v>
      </c>
      <c r="AL802" s="0" t="n">
        <v>0</v>
      </c>
      <c r="AM802" s="0" t="n">
        <v>0</v>
      </c>
    </row>
    <row r="803" customFormat="false" ht="12.75" hidden="false" customHeight="false" outlineLevel="0" collapsed="false">
      <c r="A803" s="0" t="s">
        <v>621</v>
      </c>
      <c r="B803" s="0" t="s">
        <v>457</v>
      </c>
      <c r="C803" s="0" t="s">
        <v>622</v>
      </c>
      <c r="D803" s="0" t="s">
        <v>623</v>
      </c>
      <c r="E803" s="0" t="s">
        <v>131</v>
      </c>
      <c r="F803" s="0" t="s">
        <v>281</v>
      </c>
      <c r="G803" s="0" t="s">
        <v>628</v>
      </c>
      <c r="H803" s="0" t="s">
        <v>625</v>
      </c>
      <c r="I803" s="0" t="s">
        <v>626</v>
      </c>
      <c r="J803" s="0" t="s">
        <v>627</v>
      </c>
      <c r="K803" s="475" t="n">
        <v>36861</v>
      </c>
      <c r="L803" s="254" t="n">
        <v>15994.0626541134</v>
      </c>
      <c r="M803" s="475" t="n">
        <v>36859</v>
      </c>
      <c r="N803" s="0" t="s">
        <v>132</v>
      </c>
      <c r="O803" s="0" t="n">
        <v>0.11</v>
      </c>
      <c r="P803" s="0" t="n">
        <v>0</v>
      </c>
      <c r="Q803" s="0" t="n">
        <v>0</v>
      </c>
      <c r="R803" s="0" t="n">
        <v>0</v>
      </c>
      <c r="S803" s="0" t="n">
        <v>0</v>
      </c>
      <c r="T803" s="0" t="s">
        <v>624</v>
      </c>
      <c r="U803" s="0" t="s">
        <v>632</v>
      </c>
      <c r="V803" s="0" t="s">
        <v>624</v>
      </c>
      <c r="W803" s="0" t="s">
        <v>569</v>
      </c>
      <c r="X803" s="0" t="s">
        <v>624</v>
      </c>
      <c r="Y803" s="0" t="s">
        <v>627</v>
      </c>
      <c r="Z803" s="0" t="s">
        <v>629</v>
      </c>
      <c r="AA803" s="0" t="s">
        <v>624</v>
      </c>
      <c r="AB803" s="0" t="s">
        <v>132</v>
      </c>
      <c r="AC803" s="254" t="n">
        <v>310000</v>
      </c>
      <c r="AD803" s="254" t="n">
        <v>2726.40393755559</v>
      </c>
      <c r="AE803" s="0" t="n">
        <v>0</v>
      </c>
      <c r="AF803" s="0" t="n">
        <v>0</v>
      </c>
      <c r="AG803" s="0" t="n">
        <v>0</v>
      </c>
      <c r="AH803" s="254" t="n">
        <v>137.219781914579</v>
      </c>
      <c r="AI803" s="0" t="n">
        <v>226</v>
      </c>
      <c r="AJ803" s="0" t="s">
        <v>630</v>
      </c>
      <c r="AK803" s="0" t="n">
        <v>0</v>
      </c>
      <c r="AL803" s="0" t="n">
        <v>0</v>
      </c>
      <c r="AM803" s="0" t="n">
        <v>0</v>
      </c>
    </row>
    <row r="804" customFormat="false" ht="12.75" hidden="false" customHeight="false" outlineLevel="0" collapsed="false">
      <c r="A804" s="0" t="s">
        <v>621</v>
      </c>
      <c r="B804" s="0" t="s">
        <v>457</v>
      </c>
      <c r="C804" s="0" t="s">
        <v>622</v>
      </c>
      <c r="D804" s="0" t="s">
        <v>623</v>
      </c>
      <c r="E804" s="0" t="s">
        <v>131</v>
      </c>
      <c r="F804" s="0" t="s">
        <v>281</v>
      </c>
      <c r="G804" s="0" t="s">
        <v>628</v>
      </c>
      <c r="H804" s="0" t="s">
        <v>625</v>
      </c>
      <c r="I804" s="0" t="s">
        <v>626</v>
      </c>
      <c r="J804" s="0" t="s">
        <v>627</v>
      </c>
      <c r="K804" s="475" t="n">
        <v>36892</v>
      </c>
      <c r="L804" s="254" t="n">
        <v>13936.513340406</v>
      </c>
      <c r="M804" s="475" t="n">
        <v>36888</v>
      </c>
      <c r="N804" s="0" t="s">
        <v>132</v>
      </c>
      <c r="O804" s="0" t="n">
        <v>0.11</v>
      </c>
      <c r="P804" s="0" t="n">
        <v>0</v>
      </c>
      <c r="Q804" s="0" t="n">
        <v>0</v>
      </c>
      <c r="R804" s="0" t="n">
        <v>0</v>
      </c>
      <c r="S804" s="0" t="n">
        <v>0</v>
      </c>
      <c r="T804" s="0" t="s">
        <v>624</v>
      </c>
      <c r="U804" s="0" t="s">
        <v>632</v>
      </c>
      <c r="V804" s="0" t="s">
        <v>624</v>
      </c>
      <c r="W804" s="0" t="s">
        <v>569</v>
      </c>
      <c r="X804" s="0" t="s">
        <v>624</v>
      </c>
      <c r="Y804" s="0" t="s">
        <v>627</v>
      </c>
      <c r="Z804" s="0" t="s">
        <v>629</v>
      </c>
      <c r="AA804" s="0" t="s">
        <v>624</v>
      </c>
      <c r="AB804" s="0" t="s">
        <v>132</v>
      </c>
      <c r="AC804" s="254" t="n">
        <v>310000</v>
      </c>
      <c r="AD804" s="254" t="n">
        <v>3106.28001157907</v>
      </c>
      <c r="AE804" s="0" t="n">
        <v>0</v>
      </c>
      <c r="AF804" s="0" t="n">
        <v>0</v>
      </c>
      <c r="AG804" s="0" t="n">
        <v>0</v>
      </c>
      <c r="AH804" s="254" t="n">
        <v>149.529306512866</v>
      </c>
      <c r="AI804" s="0" t="n">
        <v>226</v>
      </c>
      <c r="AJ804" s="0" t="s">
        <v>630</v>
      </c>
      <c r="AK804" s="0" t="n">
        <v>0</v>
      </c>
      <c r="AL804" s="0" t="n">
        <v>0</v>
      </c>
      <c r="AM804" s="0" t="n">
        <v>0</v>
      </c>
    </row>
    <row r="805" customFormat="false" ht="12.75" hidden="false" customHeight="false" outlineLevel="0" collapsed="false">
      <c r="A805" s="0" t="s">
        <v>621</v>
      </c>
      <c r="B805" s="0" t="s">
        <v>457</v>
      </c>
      <c r="C805" s="0" t="s">
        <v>622</v>
      </c>
      <c r="D805" s="0" t="s">
        <v>623</v>
      </c>
      <c r="E805" s="0" t="s">
        <v>131</v>
      </c>
      <c r="F805" s="0" t="s">
        <v>281</v>
      </c>
      <c r="G805" s="0" t="s">
        <v>628</v>
      </c>
      <c r="H805" s="0" t="s">
        <v>625</v>
      </c>
      <c r="I805" s="0" t="s">
        <v>626</v>
      </c>
      <c r="J805" s="0" t="s">
        <v>627</v>
      </c>
      <c r="K805" s="475" t="n">
        <v>36923</v>
      </c>
      <c r="L805" s="254" t="n">
        <v>12112.7848620301</v>
      </c>
      <c r="M805" s="475" t="n">
        <v>36921</v>
      </c>
      <c r="N805" s="0" t="s">
        <v>132</v>
      </c>
      <c r="O805" s="0" t="n">
        <v>0.11</v>
      </c>
      <c r="P805" s="0" t="n">
        <v>0</v>
      </c>
      <c r="Q805" s="0" t="n">
        <v>0</v>
      </c>
      <c r="R805" s="0" t="n">
        <v>0</v>
      </c>
      <c r="S805" s="0" t="n">
        <v>0</v>
      </c>
      <c r="T805" s="0" t="s">
        <v>624</v>
      </c>
      <c r="U805" s="0" t="s">
        <v>632</v>
      </c>
      <c r="V805" s="0" t="s">
        <v>624</v>
      </c>
      <c r="W805" s="0" t="s">
        <v>569</v>
      </c>
      <c r="X805" s="0" t="s">
        <v>624</v>
      </c>
      <c r="Y805" s="0" t="s">
        <v>627</v>
      </c>
      <c r="Z805" s="0" t="s">
        <v>629</v>
      </c>
      <c r="AA805" s="0" t="s">
        <v>624</v>
      </c>
      <c r="AB805" s="0" t="s">
        <v>132</v>
      </c>
      <c r="AC805" s="254" t="n">
        <v>280000</v>
      </c>
      <c r="AD805" s="254" t="n">
        <v>3029.91310925377</v>
      </c>
      <c r="AE805" s="0" t="n">
        <v>0</v>
      </c>
      <c r="AF805" s="0" t="n">
        <v>0</v>
      </c>
      <c r="AG805" s="0" t="n">
        <v>0</v>
      </c>
      <c r="AH805" s="254" t="n">
        <v>145.428163261307</v>
      </c>
      <c r="AI805" s="0" t="n">
        <v>226</v>
      </c>
      <c r="AJ805" s="0" t="s">
        <v>630</v>
      </c>
      <c r="AK805" s="0" t="n">
        <v>0</v>
      </c>
      <c r="AL805" s="0" t="n">
        <v>0</v>
      </c>
      <c r="AM805" s="0" t="n">
        <v>0</v>
      </c>
    </row>
    <row r="806" customFormat="false" ht="12.75" hidden="false" customHeight="false" outlineLevel="0" collapsed="false">
      <c r="A806" s="0" t="s">
        <v>621</v>
      </c>
      <c r="B806" s="0" t="s">
        <v>457</v>
      </c>
      <c r="C806" s="0" t="s">
        <v>622</v>
      </c>
      <c r="D806" s="0" t="s">
        <v>623</v>
      </c>
      <c r="E806" s="0" t="s">
        <v>131</v>
      </c>
      <c r="F806" s="0" t="s">
        <v>281</v>
      </c>
      <c r="G806" s="0" t="s">
        <v>628</v>
      </c>
      <c r="H806" s="0" t="s">
        <v>625</v>
      </c>
      <c r="I806" s="0" t="s">
        <v>626</v>
      </c>
      <c r="J806" s="0" t="s">
        <v>627</v>
      </c>
      <c r="K806" s="475" t="n">
        <v>36951</v>
      </c>
      <c r="L806" s="254" t="n">
        <v>14023.127398223</v>
      </c>
      <c r="M806" s="475" t="n">
        <v>36949</v>
      </c>
      <c r="N806" s="0" t="s">
        <v>132</v>
      </c>
      <c r="O806" s="0" t="n">
        <v>0.11</v>
      </c>
      <c r="P806" s="0" t="n">
        <v>0</v>
      </c>
      <c r="Q806" s="0" t="n">
        <v>0</v>
      </c>
      <c r="R806" s="0" t="n">
        <v>0</v>
      </c>
      <c r="S806" s="0" t="n">
        <v>0</v>
      </c>
      <c r="T806" s="0" t="s">
        <v>624</v>
      </c>
      <c r="U806" s="0" t="s">
        <v>632</v>
      </c>
      <c r="V806" s="0" t="s">
        <v>624</v>
      </c>
      <c r="W806" s="0" t="s">
        <v>569</v>
      </c>
      <c r="X806" s="0" t="s">
        <v>624</v>
      </c>
      <c r="Y806" s="0" t="s">
        <v>627</v>
      </c>
      <c r="Z806" s="0" t="s">
        <v>629</v>
      </c>
      <c r="AA806" s="0" t="s">
        <v>624</v>
      </c>
      <c r="AB806" s="0" t="s">
        <v>132</v>
      </c>
      <c r="AC806" s="254" t="n">
        <v>310000</v>
      </c>
      <c r="AD806" s="254" t="n">
        <v>3290.77351931366</v>
      </c>
      <c r="AE806" s="0" t="n">
        <v>0</v>
      </c>
      <c r="AF806" s="0" t="n">
        <v>0</v>
      </c>
      <c r="AG806" s="0" t="n">
        <v>0</v>
      </c>
      <c r="AH806" s="254" t="n">
        <v>167.417466463134</v>
      </c>
      <c r="AI806" s="0" t="n">
        <v>226</v>
      </c>
      <c r="AJ806" s="0" t="s">
        <v>630</v>
      </c>
      <c r="AK806" s="0" t="n">
        <v>0</v>
      </c>
      <c r="AL806" s="0" t="n">
        <v>0</v>
      </c>
      <c r="AM806" s="0" t="n">
        <v>0</v>
      </c>
    </row>
    <row r="807" customFormat="false" ht="12.75" hidden="false" customHeight="false" outlineLevel="0" collapsed="false">
      <c r="A807" s="0" t="s">
        <v>621</v>
      </c>
      <c r="B807" s="0" t="s">
        <v>458</v>
      </c>
      <c r="C807" s="0" t="s">
        <v>622</v>
      </c>
      <c r="D807" s="0" t="s">
        <v>623</v>
      </c>
      <c r="E807" s="0" t="s">
        <v>131</v>
      </c>
      <c r="F807" s="0" t="s">
        <v>281</v>
      </c>
      <c r="G807" s="0" t="s">
        <v>628</v>
      </c>
      <c r="H807" s="0" t="s">
        <v>625</v>
      </c>
      <c r="I807" s="0" t="s">
        <v>626</v>
      </c>
      <c r="J807" s="0" t="s">
        <v>627</v>
      </c>
      <c r="K807" s="475" t="n">
        <v>36831</v>
      </c>
      <c r="L807" s="254" t="n">
        <v>14939.6868429022</v>
      </c>
      <c r="M807" s="475" t="n">
        <v>36829</v>
      </c>
      <c r="N807" s="0" t="s">
        <v>132</v>
      </c>
      <c r="O807" s="0" t="n">
        <v>0.11</v>
      </c>
      <c r="P807" s="0" t="n">
        <v>0</v>
      </c>
      <c r="Q807" s="0" t="n">
        <v>0</v>
      </c>
      <c r="R807" s="0" t="n">
        <v>0</v>
      </c>
      <c r="S807" s="0" t="n">
        <v>0</v>
      </c>
      <c r="T807" s="0" t="s">
        <v>624</v>
      </c>
      <c r="U807" s="0" t="s">
        <v>632</v>
      </c>
      <c r="V807" s="0" t="s">
        <v>624</v>
      </c>
      <c r="W807" s="0" t="s">
        <v>569</v>
      </c>
      <c r="X807" s="0" t="s">
        <v>624</v>
      </c>
      <c r="Y807" s="0" t="s">
        <v>627</v>
      </c>
      <c r="Z807" s="0" t="s">
        <v>629</v>
      </c>
      <c r="AA807" s="0" t="s">
        <v>624</v>
      </c>
      <c r="AB807" s="0" t="s">
        <v>132</v>
      </c>
      <c r="AC807" s="254" t="n">
        <v>300000</v>
      </c>
      <c r="AD807" s="254" t="n">
        <v>2114.24587268769</v>
      </c>
      <c r="AE807" s="0" t="n">
        <v>0</v>
      </c>
      <c r="AF807" s="0" t="n">
        <v>0</v>
      </c>
      <c r="AG807" s="0" t="n">
        <v>0</v>
      </c>
      <c r="AH807" s="254" t="n">
        <v>113.678416802277</v>
      </c>
      <c r="AI807" s="0" t="n">
        <v>226</v>
      </c>
      <c r="AJ807" s="0" t="s">
        <v>630</v>
      </c>
      <c r="AK807" s="0" t="n">
        <v>0</v>
      </c>
      <c r="AL807" s="0" t="n">
        <v>0</v>
      </c>
      <c r="AM807" s="0" t="n">
        <v>0</v>
      </c>
    </row>
    <row r="808" customFormat="false" ht="12.75" hidden="false" customHeight="false" outlineLevel="0" collapsed="false">
      <c r="A808" s="0" t="s">
        <v>621</v>
      </c>
      <c r="B808" s="0" t="s">
        <v>458</v>
      </c>
      <c r="C808" s="0" t="s">
        <v>622</v>
      </c>
      <c r="D808" s="0" t="s">
        <v>623</v>
      </c>
      <c r="E808" s="0" t="s">
        <v>131</v>
      </c>
      <c r="F808" s="0" t="s">
        <v>281</v>
      </c>
      <c r="G808" s="0" t="s">
        <v>628</v>
      </c>
      <c r="H808" s="0" t="s">
        <v>625</v>
      </c>
      <c r="I808" s="0" t="s">
        <v>626</v>
      </c>
      <c r="J808" s="0" t="s">
        <v>627</v>
      </c>
      <c r="K808" s="475" t="n">
        <v>36861</v>
      </c>
      <c r="L808" s="254" t="n">
        <v>15994.0626541134</v>
      </c>
      <c r="M808" s="475" t="n">
        <v>36859</v>
      </c>
      <c r="N808" s="0" t="s">
        <v>132</v>
      </c>
      <c r="O808" s="0" t="n">
        <v>0.11</v>
      </c>
      <c r="P808" s="0" t="n">
        <v>0</v>
      </c>
      <c r="Q808" s="0" t="n">
        <v>0</v>
      </c>
      <c r="R808" s="0" t="n">
        <v>0</v>
      </c>
      <c r="S808" s="0" t="n">
        <v>0</v>
      </c>
      <c r="T808" s="0" t="s">
        <v>624</v>
      </c>
      <c r="U808" s="0" t="s">
        <v>632</v>
      </c>
      <c r="V808" s="0" t="s">
        <v>624</v>
      </c>
      <c r="W808" s="0" t="s">
        <v>569</v>
      </c>
      <c r="X808" s="0" t="s">
        <v>624</v>
      </c>
      <c r="Y808" s="0" t="s">
        <v>627</v>
      </c>
      <c r="Z808" s="0" t="s">
        <v>629</v>
      </c>
      <c r="AA808" s="0" t="s">
        <v>624</v>
      </c>
      <c r="AB808" s="0" t="s">
        <v>132</v>
      </c>
      <c r="AC808" s="254" t="n">
        <v>310000</v>
      </c>
      <c r="AD808" s="254" t="n">
        <v>2726.40393755559</v>
      </c>
      <c r="AE808" s="0" t="n">
        <v>0</v>
      </c>
      <c r="AF808" s="0" t="n">
        <v>0</v>
      </c>
      <c r="AG808" s="0" t="n">
        <v>0</v>
      </c>
      <c r="AH808" s="254" t="n">
        <v>137.219781914579</v>
      </c>
      <c r="AI808" s="0" t="n">
        <v>226</v>
      </c>
      <c r="AJ808" s="0" t="s">
        <v>630</v>
      </c>
      <c r="AK808" s="0" t="n">
        <v>0</v>
      </c>
      <c r="AL808" s="0" t="n">
        <v>0</v>
      </c>
      <c r="AM808" s="0" t="n">
        <v>0</v>
      </c>
    </row>
    <row r="809" customFormat="false" ht="12.75" hidden="false" customHeight="false" outlineLevel="0" collapsed="false">
      <c r="A809" s="0" t="s">
        <v>621</v>
      </c>
      <c r="B809" s="0" t="s">
        <v>458</v>
      </c>
      <c r="C809" s="0" t="s">
        <v>622</v>
      </c>
      <c r="D809" s="0" t="s">
        <v>623</v>
      </c>
      <c r="E809" s="0" t="s">
        <v>131</v>
      </c>
      <c r="F809" s="0" t="s">
        <v>281</v>
      </c>
      <c r="G809" s="0" t="s">
        <v>628</v>
      </c>
      <c r="H809" s="0" t="s">
        <v>625</v>
      </c>
      <c r="I809" s="0" t="s">
        <v>626</v>
      </c>
      <c r="J809" s="0" t="s">
        <v>627</v>
      </c>
      <c r="K809" s="475" t="n">
        <v>36892</v>
      </c>
      <c r="L809" s="254" t="n">
        <v>13936.513340406</v>
      </c>
      <c r="M809" s="475" t="n">
        <v>36888</v>
      </c>
      <c r="N809" s="0" t="s">
        <v>132</v>
      </c>
      <c r="O809" s="0" t="n">
        <v>0.11</v>
      </c>
      <c r="P809" s="0" t="n">
        <v>0</v>
      </c>
      <c r="Q809" s="0" t="n">
        <v>0</v>
      </c>
      <c r="R809" s="0" t="n">
        <v>0</v>
      </c>
      <c r="S809" s="0" t="n">
        <v>0</v>
      </c>
      <c r="T809" s="0" t="s">
        <v>624</v>
      </c>
      <c r="U809" s="0" t="s">
        <v>632</v>
      </c>
      <c r="V809" s="0" t="s">
        <v>624</v>
      </c>
      <c r="W809" s="0" t="s">
        <v>569</v>
      </c>
      <c r="X809" s="0" t="s">
        <v>624</v>
      </c>
      <c r="Y809" s="0" t="s">
        <v>627</v>
      </c>
      <c r="Z809" s="0" t="s">
        <v>629</v>
      </c>
      <c r="AA809" s="0" t="s">
        <v>624</v>
      </c>
      <c r="AB809" s="0" t="s">
        <v>132</v>
      </c>
      <c r="AC809" s="254" t="n">
        <v>310000</v>
      </c>
      <c r="AD809" s="254" t="n">
        <v>3106.28001157907</v>
      </c>
      <c r="AE809" s="0" t="n">
        <v>0</v>
      </c>
      <c r="AF809" s="0" t="n">
        <v>0</v>
      </c>
      <c r="AG809" s="0" t="n">
        <v>0</v>
      </c>
      <c r="AH809" s="254" t="n">
        <v>149.529306512866</v>
      </c>
      <c r="AI809" s="0" t="n">
        <v>226</v>
      </c>
      <c r="AJ809" s="0" t="s">
        <v>630</v>
      </c>
      <c r="AK809" s="0" t="n">
        <v>0</v>
      </c>
      <c r="AL809" s="0" t="n">
        <v>0</v>
      </c>
      <c r="AM809" s="0" t="n">
        <v>0</v>
      </c>
    </row>
    <row r="810" customFormat="false" ht="12.75" hidden="false" customHeight="false" outlineLevel="0" collapsed="false">
      <c r="A810" s="0" t="s">
        <v>621</v>
      </c>
      <c r="B810" s="0" t="s">
        <v>458</v>
      </c>
      <c r="C810" s="0" t="s">
        <v>622</v>
      </c>
      <c r="D810" s="0" t="s">
        <v>623</v>
      </c>
      <c r="E810" s="0" t="s">
        <v>131</v>
      </c>
      <c r="F810" s="0" t="s">
        <v>281</v>
      </c>
      <c r="G810" s="0" t="s">
        <v>628</v>
      </c>
      <c r="H810" s="0" t="s">
        <v>625</v>
      </c>
      <c r="I810" s="0" t="s">
        <v>626</v>
      </c>
      <c r="J810" s="0" t="s">
        <v>627</v>
      </c>
      <c r="K810" s="475" t="n">
        <v>36923</v>
      </c>
      <c r="L810" s="254" t="n">
        <v>12112.7848620301</v>
      </c>
      <c r="M810" s="475" t="n">
        <v>36921</v>
      </c>
      <c r="N810" s="0" t="s">
        <v>132</v>
      </c>
      <c r="O810" s="0" t="n">
        <v>0.11</v>
      </c>
      <c r="P810" s="0" t="n">
        <v>0</v>
      </c>
      <c r="Q810" s="0" t="n">
        <v>0</v>
      </c>
      <c r="R810" s="0" t="n">
        <v>0</v>
      </c>
      <c r="S810" s="0" t="n">
        <v>0</v>
      </c>
      <c r="T810" s="0" t="s">
        <v>624</v>
      </c>
      <c r="U810" s="0" t="s">
        <v>632</v>
      </c>
      <c r="V810" s="0" t="s">
        <v>624</v>
      </c>
      <c r="W810" s="0" t="s">
        <v>569</v>
      </c>
      <c r="X810" s="0" t="s">
        <v>624</v>
      </c>
      <c r="Y810" s="0" t="s">
        <v>627</v>
      </c>
      <c r="Z810" s="0" t="s">
        <v>629</v>
      </c>
      <c r="AA810" s="0" t="s">
        <v>624</v>
      </c>
      <c r="AB810" s="0" t="s">
        <v>132</v>
      </c>
      <c r="AC810" s="254" t="n">
        <v>280000</v>
      </c>
      <c r="AD810" s="254" t="n">
        <v>3029.91310925377</v>
      </c>
      <c r="AE810" s="0" t="n">
        <v>0</v>
      </c>
      <c r="AF810" s="0" t="n">
        <v>0</v>
      </c>
      <c r="AG810" s="0" t="n">
        <v>0</v>
      </c>
      <c r="AH810" s="254" t="n">
        <v>145.428163261307</v>
      </c>
      <c r="AI810" s="0" t="n">
        <v>226</v>
      </c>
      <c r="AJ810" s="0" t="s">
        <v>630</v>
      </c>
      <c r="AK810" s="0" t="n">
        <v>0</v>
      </c>
      <c r="AL810" s="0" t="n">
        <v>0</v>
      </c>
      <c r="AM810" s="0" t="n">
        <v>0</v>
      </c>
    </row>
    <row r="811" customFormat="false" ht="12.75" hidden="false" customHeight="false" outlineLevel="0" collapsed="false">
      <c r="A811" s="0" t="s">
        <v>621</v>
      </c>
      <c r="B811" s="0" t="s">
        <v>459</v>
      </c>
      <c r="C811" s="0" t="s">
        <v>622</v>
      </c>
      <c r="D811" s="0" t="s">
        <v>623</v>
      </c>
      <c r="E811" s="0" t="s">
        <v>131</v>
      </c>
      <c r="F811" s="0" t="s">
        <v>244</v>
      </c>
      <c r="G811" s="0" t="s">
        <v>628</v>
      </c>
      <c r="H811" s="0" t="s">
        <v>625</v>
      </c>
      <c r="I811" s="0" t="s">
        <v>626</v>
      </c>
      <c r="J811" s="0" t="s">
        <v>627</v>
      </c>
      <c r="K811" s="475" t="n">
        <v>36831</v>
      </c>
      <c r="L811" s="254" t="n">
        <v>85217.7819305855</v>
      </c>
      <c r="M811" s="475" t="n">
        <v>36829</v>
      </c>
      <c r="N811" s="0" t="s">
        <v>136</v>
      </c>
      <c r="O811" s="0" t="n">
        <v>1</v>
      </c>
      <c r="P811" s="0" t="n">
        <v>0</v>
      </c>
      <c r="Q811" s="0" t="n">
        <v>0</v>
      </c>
      <c r="R811" s="0" t="n">
        <v>0</v>
      </c>
      <c r="S811" s="0" t="n">
        <v>0</v>
      </c>
      <c r="T811" s="0" t="s">
        <v>624</v>
      </c>
      <c r="U811" s="0" t="s">
        <v>149</v>
      </c>
      <c r="V811" s="0" t="s">
        <v>624</v>
      </c>
      <c r="W811" s="0" t="s">
        <v>569</v>
      </c>
      <c r="X811" s="0" t="s">
        <v>624</v>
      </c>
      <c r="Y811" s="0" t="s">
        <v>627</v>
      </c>
      <c r="Z811" s="0" t="s">
        <v>629</v>
      </c>
      <c r="AA811" s="0" t="s">
        <v>624</v>
      </c>
      <c r="AB811" s="0" t="s">
        <v>132</v>
      </c>
      <c r="AC811" s="254" t="n">
        <v>500000</v>
      </c>
      <c r="AD811" s="254" t="n">
        <v>20906.9546718727</v>
      </c>
      <c r="AE811" s="0" t="n">
        <v>0</v>
      </c>
      <c r="AF811" s="0" t="n">
        <v>0</v>
      </c>
      <c r="AG811" s="0" t="n">
        <v>0</v>
      </c>
      <c r="AH811" s="254" t="n">
        <v>8666.53669829646</v>
      </c>
      <c r="AI811" s="0" t="n">
        <v>226</v>
      </c>
      <c r="AJ811" s="0" t="s">
        <v>630</v>
      </c>
      <c r="AK811" s="0" t="n">
        <v>0</v>
      </c>
      <c r="AL811" s="0" t="n">
        <v>0</v>
      </c>
      <c r="AM811" s="0" t="n">
        <v>0</v>
      </c>
    </row>
    <row r="812" customFormat="false" ht="12.75" hidden="false" customHeight="false" outlineLevel="0" collapsed="false">
      <c r="A812" s="0" t="s">
        <v>621</v>
      </c>
      <c r="B812" s="0" t="s">
        <v>460</v>
      </c>
      <c r="C812" s="0" t="s">
        <v>622</v>
      </c>
      <c r="D812" s="0" t="s">
        <v>623</v>
      </c>
      <c r="E812" s="0" t="s">
        <v>131</v>
      </c>
      <c r="F812" s="0" t="s">
        <v>363</v>
      </c>
      <c r="G812" s="0" t="s">
        <v>628</v>
      </c>
      <c r="H812" s="0" t="s">
        <v>625</v>
      </c>
      <c r="I812" s="0" t="s">
        <v>626</v>
      </c>
      <c r="J812" s="0" t="s">
        <v>627</v>
      </c>
      <c r="K812" s="475" t="n">
        <v>36831</v>
      </c>
      <c r="L812" s="254" t="n">
        <v>139888.754209716</v>
      </c>
      <c r="M812" s="475" t="n">
        <v>36829</v>
      </c>
      <c r="N812" s="0" t="s">
        <v>132</v>
      </c>
      <c r="O812" s="0" t="n">
        <v>0.5</v>
      </c>
      <c r="P812" s="0" t="n">
        <v>0</v>
      </c>
      <c r="Q812" s="0" t="n">
        <v>0</v>
      </c>
      <c r="R812" s="0" t="n">
        <v>0</v>
      </c>
      <c r="S812" s="0" t="n">
        <v>0</v>
      </c>
      <c r="T812" s="0" t="s">
        <v>624</v>
      </c>
      <c r="U812" s="0" t="s">
        <v>149</v>
      </c>
      <c r="V812" s="0" t="s">
        <v>624</v>
      </c>
      <c r="W812" s="0" t="s">
        <v>569</v>
      </c>
      <c r="X812" s="0" t="s">
        <v>624</v>
      </c>
      <c r="Y812" s="0" t="s">
        <v>627</v>
      </c>
      <c r="Z812" s="0" t="s">
        <v>629</v>
      </c>
      <c r="AA812" s="0" t="s">
        <v>624</v>
      </c>
      <c r="AB812" s="0" t="s">
        <v>132</v>
      </c>
      <c r="AC812" s="254" t="n">
        <v>1000000</v>
      </c>
      <c r="AD812" s="254" t="n">
        <v>42144.3480736854</v>
      </c>
      <c r="AE812" s="0" t="n">
        <v>0</v>
      </c>
      <c r="AF812" s="0" t="n">
        <v>0</v>
      </c>
      <c r="AG812" s="0" t="n">
        <v>0</v>
      </c>
      <c r="AH812" s="254" t="n">
        <v>-10607.014926701</v>
      </c>
      <c r="AI812" s="0" t="n">
        <v>226</v>
      </c>
      <c r="AJ812" s="0" t="s">
        <v>630</v>
      </c>
      <c r="AK812" s="0" t="n">
        <v>0</v>
      </c>
      <c r="AL812" s="0" t="n">
        <v>0</v>
      </c>
      <c r="AM812" s="0" t="n">
        <v>0</v>
      </c>
    </row>
    <row r="813" customFormat="false" ht="12.75" hidden="false" customHeight="false" outlineLevel="0" collapsed="false">
      <c r="A813" s="0" t="s">
        <v>621</v>
      </c>
      <c r="B813" s="0" t="s">
        <v>462</v>
      </c>
      <c r="C813" s="0" t="s">
        <v>622</v>
      </c>
      <c r="D813" s="0" t="s">
        <v>623</v>
      </c>
      <c r="E813" s="0" t="s">
        <v>131</v>
      </c>
      <c r="F813" s="0" t="s">
        <v>461</v>
      </c>
      <c r="G813" s="0" t="s">
        <v>628</v>
      </c>
      <c r="H813" s="0" t="s">
        <v>625</v>
      </c>
      <c r="I813" s="0" t="s">
        <v>626</v>
      </c>
      <c r="J813" s="0" t="s">
        <v>627</v>
      </c>
      <c r="K813" s="475" t="n">
        <v>36831</v>
      </c>
      <c r="L813" s="254" t="n">
        <v>51130.6691583513</v>
      </c>
      <c r="M813" s="475" t="n">
        <v>36829</v>
      </c>
      <c r="N813" s="0" t="s">
        <v>136</v>
      </c>
      <c r="O813" s="0" t="n">
        <v>1</v>
      </c>
      <c r="P813" s="0" t="n">
        <v>0</v>
      </c>
      <c r="Q813" s="0" t="n">
        <v>0</v>
      </c>
      <c r="R813" s="0" t="n">
        <v>0</v>
      </c>
      <c r="S813" s="0" t="n">
        <v>0</v>
      </c>
      <c r="T813" s="0" t="s">
        <v>624</v>
      </c>
      <c r="U813" s="0" t="s">
        <v>149</v>
      </c>
      <c r="V813" s="0" t="s">
        <v>624</v>
      </c>
      <c r="W813" s="0" t="s">
        <v>569</v>
      </c>
      <c r="X813" s="0" t="s">
        <v>624</v>
      </c>
      <c r="Y813" s="0" t="s">
        <v>627</v>
      </c>
      <c r="Z813" s="0" t="s">
        <v>629</v>
      </c>
      <c r="AA813" s="0" t="s">
        <v>624</v>
      </c>
      <c r="AB813" s="0" t="s">
        <v>132</v>
      </c>
      <c r="AC813" s="254" t="n">
        <v>300000</v>
      </c>
      <c r="AD813" s="254" t="n">
        <v>12544.1728031236</v>
      </c>
      <c r="AE813" s="0" t="n">
        <v>0</v>
      </c>
      <c r="AF813" s="0" t="n">
        <v>0</v>
      </c>
      <c r="AG813" s="0" t="n">
        <v>0</v>
      </c>
      <c r="AH813" s="254" t="n">
        <v>5199.92201897788</v>
      </c>
      <c r="AI813" s="0" t="n">
        <v>226</v>
      </c>
      <c r="AJ813" s="0" t="s">
        <v>630</v>
      </c>
      <c r="AK813" s="0" t="n">
        <v>0</v>
      </c>
      <c r="AL813" s="0" t="n">
        <v>0</v>
      </c>
      <c r="AM813" s="0" t="n">
        <v>0</v>
      </c>
    </row>
    <row r="814" customFormat="false" ht="12.75" hidden="false" customHeight="false" outlineLevel="0" collapsed="false">
      <c r="A814" s="0" t="s">
        <v>621</v>
      </c>
      <c r="B814" s="0" t="s">
        <v>463</v>
      </c>
      <c r="C814" s="0" t="s">
        <v>622</v>
      </c>
      <c r="D814" s="0" t="s">
        <v>623</v>
      </c>
      <c r="E814" s="0" t="s">
        <v>131</v>
      </c>
      <c r="F814" s="0" t="s">
        <v>196</v>
      </c>
      <c r="G814" s="0" t="s">
        <v>628</v>
      </c>
      <c r="H814" s="0" t="s">
        <v>625</v>
      </c>
      <c r="I814" s="0" t="s">
        <v>626</v>
      </c>
      <c r="J814" s="0" t="s">
        <v>627</v>
      </c>
      <c r="K814" s="475" t="n">
        <v>36831</v>
      </c>
      <c r="L814" s="254" t="n">
        <v>-3788.79158190172</v>
      </c>
      <c r="M814" s="475" t="n">
        <v>36829</v>
      </c>
      <c r="N814" s="0" t="s">
        <v>132</v>
      </c>
      <c r="O814" s="0" t="n">
        <v>0.5</v>
      </c>
      <c r="P814" s="0" t="n">
        <v>0</v>
      </c>
      <c r="Q814" s="0" t="n">
        <v>0</v>
      </c>
      <c r="R814" s="0" t="n">
        <v>0</v>
      </c>
      <c r="S814" s="0" t="n">
        <v>0</v>
      </c>
      <c r="T814" s="0" t="s">
        <v>624</v>
      </c>
      <c r="U814" s="0" t="s">
        <v>137</v>
      </c>
      <c r="V814" s="0" t="s">
        <v>624</v>
      </c>
      <c r="W814" s="0" t="s">
        <v>569</v>
      </c>
      <c r="X814" s="0" t="s">
        <v>624</v>
      </c>
      <c r="Y814" s="0" t="s">
        <v>627</v>
      </c>
      <c r="Z814" s="0" t="s">
        <v>629</v>
      </c>
      <c r="AA814" s="0" t="s">
        <v>624</v>
      </c>
      <c r="AB814" s="0" t="s">
        <v>132</v>
      </c>
      <c r="AC814" s="254" t="n">
        <v>-150000</v>
      </c>
      <c r="AD814" s="254" t="n">
        <v>-2837.0161956928</v>
      </c>
      <c r="AE814" s="0" t="n">
        <v>0</v>
      </c>
      <c r="AF814" s="0" t="n">
        <v>0</v>
      </c>
      <c r="AG814" s="0" t="n">
        <v>0</v>
      </c>
      <c r="AH814" s="254" t="n">
        <v>2620.86240866926</v>
      </c>
      <c r="AI814" s="0" t="n">
        <v>226</v>
      </c>
      <c r="AJ814" s="0" t="s">
        <v>630</v>
      </c>
      <c r="AK814" s="0" t="n">
        <v>0</v>
      </c>
      <c r="AL814" s="0" t="n">
        <v>0</v>
      </c>
      <c r="AM814" s="0" t="n">
        <v>0</v>
      </c>
    </row>
    <row r="815" customFormat="false" ht="12.75" hidden="false" customHeight="false" outlineLevel="0" collapsed="false">
      <c r="A815" s="0" t="s">
        <v>621</v>
      </c>
      <c r="B815" s="0" t="s">
        <v>463</v>
      </c>
      <c r="C815" s="0" t="s">
        <v>622</v>
      </c>
      <c r="D815" s="0" t="s">
        <v>623</v>
      </c>
      <c r="E815" s="0" t="s">
        <v>131</v>
      </c>
      <c r="F815" s="0" t="s">
        <v>196</v>
      </c>
      <c r="G815" s="0" t="s">
        <v>628</v>
      </c>
      <c r="H815" s="0" t="s">
        <v>625</v>
      </c>
      <c r="I815" s="0" t="s">
        <v>626</v>
      </c>
      <c r="J815" s="0" t="s">
        <v>627</v>
      </c>
      <c r="K815" s="475" t="n">
        <v>36861</v>
      </c>
      <c r="L815" s="254" t="n">
        <v>-23023.9947071395</v>
      </c>
      <c r="M815" s="475" t="n">
        <v>36859</v>
      </c>
      <c r="N815" s="0" t="s">
        <v>132</v>
      </c>
      <c r="O815" s="0" t="n">
        <v>0.5</v>
      </c>
      <c r="P815" s="0" t="n">
        <v>0</v>
      </c>
      <c r="Q815" s="0" t="n">
        <v>0</v>
      </c>
      <c r="R815" s="0" t="n">
        <v>0</v>
      </c>
      <c r="S815" s="0" t="n">
        <v>0</v>
      </c>
      <c r="T815" s="0" t="s">
        <v>624</v>
      </c>
      <c r="U815" s="0" t="s">
        <v>137</v>
      </c>
      <c r="V815" s="0" t="s">
        <v>624</v>
      </c>
      <c r="W815" s="0" t="s">
        <v>569</v>
      </c>
      <c r="X815" s="0" t="s">
        <v>624</v>
      </c>
      <c r="Y815" s="0" t="s">
        <v>627</v>
      </c>
      <c r="Z815" s="0" t="s">
        <v>629</v>
      </c>
      <c r="AA815" s="0" t="s">
        <v>624</v>
      </c>
      <c r="AB815" s="0" t="s">
        <v>132</v>
      </c>
      <c r="AC815" s="254" t="n">
        <v>-155000</v>
      </c>
      <c r="AD815" s="254" t="n">
        <v>-8276.00012094174</v>
      </c>
      <c r="AE815" s="0" t="n">
        <v>0</v>
      </c>
      <c r="AF815" s="0" t="n">
        <v>0</v>
      </c>
      <c r="AG815" s="0" t="n">
        <v>0</v>
      </c>
      <c r="AH815" s="254" t="n">
        <v>5784.32752648522</v>
      </c>
      <c r="AI815" s="0" t="n">
        <v>226</v>
      </c>
      <c r="AJ815" s="0" t="s">
        <v>630</v>
      </c>
      <c r="AK815" s="0" t="n">
        <v>0</v>
      </c>
      <c r="AL815" s="0" t="n">
        <v>0</v>
      </c>
      <c r="AM815" s="0" t="n">
        <v>0</v>
      </c>
    </row>
    <row r="816" customFormat="false" ht="12.75" hidden="false" customHeight="false" outlineLevel="0" collapsed="false">
      <c r="A816" s="0" t="s">
        <v>621</v>
      </c>
      <c r="B816" s="0" t="s">
        <v>463</v>
      </c>
      <c r="C816" s="0" t="s">
        <v>622</v>
      </c>
      <c r="D816" s="0" t="s">
        <v>623</v>
      </c>
      <c r="E816" s="0" t="s">
        <v>131</v>
      </c>
      <c r="F816" s="0" t="s">
        <v>196</v>
      </c>
      <c r="G816" s="0" t="s">
        <v>628</v>
      </c>
      <c r="H816" s="0" t="s">
        <v>625</v>
      </c>
      <c r="I816" s="0" t="s">
        <v>626</v>
      </c>
      <c r="J816" s="0" t="s">
        <v>627</v>
      </c>
      <c r="K816" s="475" t="n">
        <v>36892</v>
      </c>
      <c r="L816" s="254" t="n">
        <v>-40704.5496568353</v>
      </c>
      <c r="M816" s="475" t="n">
        <v>36888</v>
      </c>
      <c r="N816" s="0" t="s">
        <v>132</v>
      </c>
      <c r="O816" s="0" t="n">
        <v>0.5</v>
      </c>
      <c r="P816" s="0" t="n">
        <v>0</v>
      </c>
      <c r="Q816" s="0" t="n">
        <v>0</v>
      </c>
      <c r="R816" s="0" t="n">
        <v>0</v>
      </c>
      <c r="S816" s="0" t="n">
        <v>0</v>
      </c>
      <c r="T816" s="0" t="s">
        <v>624</v>
      </c>
      <c r="U816" s="0" t="s">
        <v>137</v>
      </c>
      <c r="V816" s="0" t="s">
        <v>624</v>
      </c>
      <c r="W816" s="0" t="s">
        <v>569</v>
      </c>
      <c r="X816" s="0" t="s">
        <v>624</v>
      </c>
      <c r="Y816" s="0" t="s">
        <v>627</v>
      </c>
      <c r="Z816" s="0" t="s">
        <v>629</v>
      </c>
      <c r="AA816" s="0" t="s">
        <v>624</v>
      </c>
      <c r="AB816" s="0" t="s">
        <v>132</v>
      </c>
      <c r="AC816" s="254" t="n">
        <v>-155000</v>
      </c>
      <c r="AD816" s="254" t="n">
        <v>-10813.7157661247</v>
      </c>
      <c r="AE816" s="0" t="n">
        <v>0</v>
      </c>
      <c r="AF816" s="0" t="n">
        <v>0</v>
      </c>
      <c r="AG816" s="0" t="n">
        <v>0</v>
      </c>
      <c r="AH816" s="254" t="n">
        <v>-3404.45674345082</v>
      </c>
      <c r="AI816" s="0" t="n">
        <v>226</v>
      </c>
      <c r="AJ816" s="0" t="s">
        <v>630</v>
      </c>
      <c r="AK816" s="0" t="n">
        <v>0</v>
      </c>
      <c r="AL816" s="0" t="n">
        <v>0</v>
      </c>
      <c r="AM816" s="0" t="n">
        <v>0</v>
      </c>
    </row>
    <row r="817" customFormat="false" ht="12.75" hidden="false" customHeight="false" outlineLevel="0" collapsed="false">
      <c r="A817" s="0" t="s">
        <v>621</v>
      </c>
      <c r="B817" s="0" t="s">
        <v>463</v>
      </c>
      <c r="C817" s="0" t="s">
        <v>622</v>
      </c>
      <c r="D817" s="0" t="s">
        <v>623</v>
      </c>
      <c r="E817" s="0" t="s">
        <v>131</v>
      </c>
      <c r="F817" s="0" t="s">
        <v>196</v>
      </c>
      <c r="G817" s="0" t="s">
        <v>628</v>
      </c>
      <c r="H817" s="0" t="s">
        <v>625</v>
      </c>
      <c r="I817" s="0" t="s">
        <v>626</v>
      </c>
      <c r="J817" s="0" t="s">
        <v>627</v>
      </c>
      <c r="K817" s="475" t="n">
        <v>36923</v>
      </c>
      <c r="L817" s="254" t="n">
        <v>-46862.0279951138</v>
      </c>
      <c r="M817" s="475" t="n">
        <v>36921</v>
      </c>
      <c r="N817" s="0" t="s">
        <v>132</v>
      </c>
      <c r="O817" s="0" t="n">
        <v>0.5</v>
      </c>
      <c r="P817" s="0" t="n">
        <v>0</v>
      </c>
      <c r="Q817" s="0" t="n">
        <v>0</v>
      </c>
      <c r="R817" s="0" t="n">
        <v>0</v>
      </c>
      <c r="S817" s="0" t="n">
        <v>0</v>
      </c>
      <c r="T817" s="0" t="s">
        <v>624</v>
      </c>
      <c r="U817" s="0" t="s">
        <v>137</v>
      </c>
      <c r="V817" s="0" t="s">
        <v>624</v>
      </c>
      <c r="W817" s="0" t="s">
        <v>569</v>
      </c>
      <c r="X817" s="0" t="s">
        <v>624</v>
      </c>
      <c r="Y817" s="0" t="s">
        <v>627</v>
      </c>
      <c r="Z817" s="0" t="s">
        <v>629</v>
      </c>
      <c r="AA817" s="0" t="s">
        <v>624</v>
      </c>
      <c r="AB817" s="0" t="s">
        <v>132</v>
      </c>
      <c r="AC817" s="254" t="n">
        <v>-140000</v>
      </c>
      <c r="AD817" s="254" t="n">
        <v>-11019.8914478834</v>
      </c>
      <c r="AE817" s="0" t="n">
        <v>0</v>
      </c>
      <c r="AF817" s="0" t="n">
        <v>0</v>
      </c>
      <c r="AG817" s="0" t="n">
        <v>0</v>
      </c>
      <c r="AH817" s="254" t="n">
        <v>-3541.71980857256</v>
      </c>
      <c r="AI817" s="0" t="n">
        <v>226</v>
      </c>
      <c r="AJ817" s="0" t="s">
        <v>630</v>
      </c>
      <c r="AK817" s="0" t="n">
        <v>0</v>
      </c>
      <c r="AL817" s="0" t="n">
        <v>0</v>
      </c>
      <c r="AM817" s="0" t="n">
        <v>0</v>
      </c>
    </row>
    <row r="818" customFormat="false" ht="12.75" hidden="false" customHeight="false" outlineLevel="0" collapsed="false">
      <c r="A818" s="0" t="s">
        <v>621</v>
      </c>
      <c r="B818" s="0" t="s">
        <v>463</v>
      </c>
      <c r="C818" s="0" t="s">
        <v>622</v>
      </c>
      <c r="D818" s="0" t="s">
        <v>623</v>
      </c>
      <c r="E818" s="0" t="s">
        <v>131</v>
      </c>
      <c r="F818" s="0" t="s">
        <v>196</v>
      </c>
      <c r="G818" s="0" t="s">
        <v>628</v>
      </c>
      <c r="H818" s="0" t="s">
        <v>625</v>
      </c>
      <c r="I818" s="0" t="s">
        <v>626</v>
      </c>
      <c r="J818" s="0" t="s">
        <v>627</v>
      </c>
      <c r="K818" s="475" t="n">
        <v>36951</v>
      </c>
      <c r="L818" s="254" t="n">
        <v>-48312.224250617</v>
      </c>
      <c r="M818" s="475" t="n">
        <v>36949</v>
      </c>
      <c r="N818" s="0" t="s">
        <v>132</v>
      </c>
      <c r="O818" s="0" t="n">
        <v>0.5</v>
      </c>
      <c r="P818" s="0" t="n">
        <v>0</v>
      </c>
      <c r="Q818" s="0" t="n">
        <v>0</v>
      </c>
      <c r="R818" s="0" t="n">
        <v>0</v>
      </c>
      <c r="S818" s="0" t="n">
        <v>0</v>
      </c>
      <c r="T818" s="0" t="s">
        <v>624</v>
      </c>
      <c r="U818" s="0" t="s">
        <v>137</v>
      </c>
      <c r="V818" s="0" t="s">
        <v>624</v>
      </c>
      <c r="W818" s="0" t="s">
        <v>569</v>
      </c>
      <c r="X818" s="0" t="s">
        <v>624</v>
      </c>
      <c r="Y818" s="0" t="s">
        <v>627</v>
      </c>
      <c r="Z818" s="0" t="s">
        <v>629</v>
      </c>
      <c r="AA818" s="0" t="s">
        <v>624</v>
      </c>
      <c r="AB818" s="0" t="s">
        <v>132</v>
      </c>
      <c r="AC818" s="254" t="n">
        <v>-155000</v>
      </c>
      <c r="AD818" s="254" t="n">
        <v>-11843.0043848492</v>
      </c>
      <c r="AE818" s="0" t="n">
        <v>0</v>
      </c>
      <c r="AF818" s="0" t="n">
        <v>0</v>
      </c>
      <c r="AG818" s="0" t="n">
        <v>0</v>
      </c>
      <c r="AH818" s="254" t="n">
        <v>-3957.61945353519</v>
      </c>
      <c r="AI818" s="0" t="n">
        <v>226</v>
      </c>
      <c r="AJ818" s="0" t="s">
        <v>630</v>
      </c>
      <c r="AK818" s="0" t="n">
        <v>0</v>
      </c>
      <c r="AL818" s="0" t="n">
        <v>0</v>
      </c>
      <c r="AM818" s="0" t="n">
        <v>0</v>
      </c>
    </row>
    <row r="819" customFormat="false" ht="12.75" hidden="false" customHeight="false" outlineLevel="0" collapsed="false">
      <c r="A819" s="0" t="s">
        <v>621</v>
      </c>
      <c r="B819" s="0" t="s">
        <v>464</v>
      </c>
      <c r="C819" s="0" t="s">
        <v>622</v>
      </c>
      <c r="D819" s="0" t="s">
        <v>623</v>
      </c>
      <c r="E819" s="0" t="s">
        <v>131</v>
      </c>
      <c r="F819" s="0" t="s">
        <v>244</v>
      </c>
      <c r="G819" s="0" t="s">
        <v>628</v>
      </c>
      <c r="H819" s="0" t="s">
        <v>625</v>
      </c>
      <c r="I819" s="0" t="s">
        <v>626</v>
      </c>
      <c r="J819" s="0" t="s">
        <v>627</v>
      </c>
      <c r="K819" s="475" t="n">
        <v>36831</v>
      </c>
      <c r="L819" s="254" t="n">
        <v>-25258.6105460115</v>
      </c>
      <c r="M819" s="475" t="n">
        <v>36829</v>
      </c>
      <c r="N819" s="0" t="s">
        <v>132</v>
      </c>
      <c r="O819" s="0" t="n">
        <v>0.5</v>
      </c>
      <c r="P819" s="0" t="n">
        <v>0</v>
      </c>
      <c r="Q819" s="0" t="n">
        <v>0</v>
      </c>
      <c r="R819" s="0" t="n">
        <v>0</v>
      </c>
      <c r="S819" s="0" t="n">
        <v>0</v>
      </c>
      <c r="T819" s="0" t="s">
        <v>624</v>
      </c>
      <c r="U819" s="0" t="s">
        <v>137</v>
      </c>
      <c r="V819" s="0" t="s">
        <v>624</v>
      </c>
      <c r="W819" s="0" t="s">
        <v>569</v>
      </c>
      <c r="X819" s="0" t="s">
        <v>624</v>
      </c>
      <c r="Y819" s="0" t="s">
        <v>627</v>
      </c>
      <c r="Z819" s="0" t="s">
        <v>629</v>
      </c>
      <c r="AA819" s="0" t="s">
        <v>624</v>
      </c>
      <c r="AB819" s="0" t="s">
        <v>132</v>
      </c>
      <c r="AC819" s="254" t="n">
        <v>-1000000</v>
      </c>
      <c r="AD819" s="254" t="n">
        <v>-18913.4413046187</v>
      </c>
      <c r="AE819" s="0" t="n">
        <v>0</v>
      </c>
      <c r="AF819" s="0" t="n">
        <v>0</v>
      </c>
      <c r="AG819" s="0" t="n">
        <v>0</v>
      </c>
      <c r="AH819" s="254" t="n">
        <v>17472.416057795</v>
      </c>
      <c r="AI819" s="0" t="n">
        <v>226</v>
      </c>
      <c r="AJ819" s="0" t="s">
        <v>630</v>
      </c>
      <c r="AK819" s="0" t="n">
        <v>0</v>
      </c>
      <c r="AL819" s="0" t="n">
        <v>0</v>
      </c>
      <c r="AM819" s="0" t="n">
        <v>0</v>
      </c>
    </row>
    <row r="820" customFormat="false" ht="12.75" hidden="false" customHeight="false" outlineLevel="0" collapsed="false">
      <c r="A820" s="0" t="s">
        <v>621</v>
      </c>
      <c r="B820" s="0" t="s">
        <v>464</v>
      </c>
      <c r="C820" s="0" t="s">
        <v>622</v>
      </c>
      <c r="D820" s="0" t="s">
        <v>623</v>
      </c>
      <c r="E820" s="0" t="s">
        <v>131</v>
      </c>
      <c r="F820" s="0" t="s">
        <v>244</v>
      </c>
      <c r="G820" s="0" t="s">
        <v>628</v>
      </c>
      <c r="H820" s="0" t="s">
        <v>625</v>
      </c>
      <c r="I820" s="0" t="s">
        <v>626</v>
      </c>
      <c r="J820" s="0" t="s">
        <v>627</v>
      </c>
      <c r="K820" s="475" t="n">
        <v>36861</v>
      </c>
      <c r="L820" s="254" t="n">
        <v>-148541.901336384</v>
      </c>
      <c r="M820" s="475" t="n">
        <v>36859</v>
      </c>
      <c r="N820" s="0" t="s">
        <v>132</v>
      </c>
      <c r="O820" s="0" t="n">
        <v>0.5</v>
      </c>
      <c r="P820" s="0" t="n">
        <v>0</v>
      </c>
      <c r="Q820" s="0" t="n">
        <v>0</v>
      </c>
      <c r="R820" s="0" t="n">
        <v>0</v>
      </c>
      <c r="S820" s="0" t="n">
        <v>0</v>
      </c>
      <c r="T820" s="0" t="s">
        <v>624</v>
      </c>
      <c r="U820" s="0" t="s">
        <v>137</v>
      </c>
      <c r="V820" s="0" t="s">
        <v>624</v>
      </c>
      <c r="W820" s="0" t="s">
        <v>569</v>
      </c>
      <c r="X820" s="0" t="s">
        <v>624</v>
      </c>
      <c r="Y820" s="0" t="s">
        <v>627</v>
      </c>
      <c r="Z820" s="0" t="s">
        <v>629</v>
      </c>
      <c r="AA820" s="0" t="s">
        <v>624</v>
      </c>
      <c r="AB820" s="0" t="s">
        <v>132</v>
      </c>
      <c r="AC820" s="254" t="n">
        <v>-1000000</v>
      </c>
      <c r="AD820" s="254" t="n">
        <v>-53393.5491673661</v>
      </c>
      <c r="AE820" s="0" t="n">
        <v>0</v>
      </c>
      <c r="AF820" s="0" t="n">
        <v>0</v>
      </c>
      <c r="AG820" s="0" t="n">
        <v>0</v>
      </c>
      <c r="AH820" s="254" t="n">
        <v>37318.2421063563</v>
      </c>
      <c r="AI820" s="0" t="n">
        <v>226</v>
      </c>
      <c r="AJ820" s="0" t="s">
        <v>630</v>
      </c>
      <c r="AK820" s="0" t="n">
        <v>0</v>
      </c>
      <c r="AL820" s="0" t="n">
        <v>0</v>
      </c>
      <c r="AM820" s="0" t="n">
        <v>0</v>
      </c>
    </row>
    <row r="821" customFormat="false" ht="12.75" hidden="false" customHeight="false" outlineLevel="0" collapsed="false">
      <c r="A821" s="0" t="s">
        <v>621</v>
      </c>
      <c r="B821" s="0" t="s">
        <v>464</v>
      </c>
      <c r="C821" s="0" t="s">
        <v>622</v>
      </c>
      <c r="D821" s="0" t="s">
        <v>623</v>
      </c>
      <c r="E821" s="0" t="s">
        <v>131</v>
      </c>
      <c r="F821" s="0" t="s">
        <v>244</v>
      </c>
      <c r="G821" s="0" t="s">
        <v>628</v>
      </c>
      <c r="H821" s="0" t="s">
        <v>625</v>
      </c>
      <c r="I821" s="0" t="s">
        <v>626</v>
      </c>
      <c r="J821" s="0" t="s">
        <v>627</v>
      </c>
      <c r="K821" s="475" t="n">
        <v>36892</v>
      </c>
      <c r="L821" s="254" t="n">
        <v>-262609.997786034</v>
      </c>
      <c r="M821" s="475" t="n">
        <v>36888</v>
      </c>
      <c r="N821" s="0" t="s">
        <v>132</v>
      </c>
      <c r="O821" s="0" t="n">
        <v>0.5</v>
      </c>
      <c r="P821" s="0" t="n">
        <v>0</v>
      </c>
      <c r="Q821" s="0" t="n">
        <v>0</v>
      </c>
      <c r="R821" s="0" t="n">
        <v>0</v>
      </c>
      <c r="S821" s="0" t="n">
        <v>0</v>
      </c>
      <c r="T821" s="0" t="s">
        <v>624</v>
      </c>
      <c r="U821" s="0" t="s">
        <v>137</v>
      </c>
      <c r="V821" s="0" t="s">
        <v>624</v>
      </c>
      <c r="W821" s="0" t="s">
        <v>569</v>
      </c>
      <c r="X821" s="0" t="s">
        <v>624</v>
      </c>
      <c r="Y821" s="0" t="s">
        <v>627</v>
      </c>
      <c r="Z821" s="0" t="s">
        <v>629</v>
      </c>
      <c r="AA821" s="0" t="s">
        <v>624</v>
      </c>
      <c r="AB821" s="0" t="s">
        <v>132</v>
      </c>
      <c r="AC821" s="254" t="n">
        <v>-1000000</v>
      </c>
      <c r="AD821" s="254" t="n">
        <v>-69765.9081685466</v>
      </c>
      <c r="AE821" s="0" t="n">
        <v>0</v>
      </c>
      <c r="AF821" s="0" t="n">
        <v>0</v>
      </c>
      <c r="AG821" s="0" t="n">
        <v>0</v>
      </c>
      <c r="AH821" s="254" t="n">
        <v>-21964.2370545215</v>
      </c>
      <c r="AI821" s="0" t="n">
        <v>226</v>
      </c>
      <c r="AJ821" s="0" t="s">
        <v>630</v>
      </c>
      <c r="AK821" s="0" t="n">
        <v>0</v>
      </c>
      <c r="AL821" s="0" t="n">
        <v>0</v>
      </c>
      <c r="AM821" s="0" t="n">
        <v>0</v>
      </c>
    </row>
    <row r="822" customFormat="false" ht="12.75" hidden="false" customHeight="false" outlineLevel="0" collapsed="false">
      <c r="A822" s="0" t="s">
        <v>621</v>
      </c>
      <c r="B822" s="0" t="s">
        <v>464</v>
      </c>
      <c r="C822" s="0" t="s">
        <v>622</v>
      </c>
      <c r="D822" s="0" t="s">
        <v>623</v>
      </c>
      <c r="E822" s="0" t="s">
        <v>131</v>
      </c>
      <c r="F822" s="0" t="s">
        <v>244</v>
      </c>
      <c r="G822" s="0" t="s">
        <v>628</v>
      </c>
      <c r="H822" s="0" t="s">
        <v>625</v>
      </c>
      <c r="I822" s="0" t="s">
        <v>626</v>
      </c>
      <c r="J822" s="0" t="s">
        <v>627</v>
      </c>
      <c r="K822" s="475" t="n">
        <v>36923</v>
      </c>
      <c r="L822" s="254" t="n">
        <v>-334728.77139367</v>
      </c>
      <c r="M822" s="475" t="n">
        <v>36921</v>
      </c>
      <c r="N822" s="0" t="s">
        <v>132</v>
      </c>
      <c r="O822" s="0" t="n">
        <v>0.5</v>
      </c>
      <c r="P822" s="0" t="n">
        <v>0</v>
      </c>
      <c r="Q822" s="0" t="n">
        <v>0</v>
      </c>
      <c r="R822" s="0" t="n">
        <v>0</v>
      </c>
      <c r="S822" s="0" t="n">
        <v>0</v>
      </c>
      <c r="T822" s="0" t="s">
        <v>624</v>
      </c>
      <c r="U822" s="0" t="s">
        <v>137</v>
      </c>
      <c r="V822" s="0" t="s">
        <v>624</v>
      </c>
      <c r="W822" s="0" t="s">
        <v>569</v>
      </c>
      <c r="X822" s="0" t="s">
        <v>624</v>
      </c>
      <c r="Y822" s="0" t="s">
        <v>627</v>
      </c>
      <c r="Z822" s="0" t="s">
        <v>629</v>
      </c>
      <c r="AA822" s="0" t="s">
        <v>624</v>
      </c>
      <c r="AB822" s="0" t="s">
        <v>132</v>
      </c>
      <c r="AC822" s="254" t="n">
        <v>-1000000</v>
      </c>
      <c r="AD822" s="254" t="n">
        <v>-78713.5103420246</v>
      </c>
      <c r="AE822" s="0" t="n">
        <v>0</v>
      </c>
      <c r="AF822" s="0" t="n">
        <v>0</v>
      </c>
      <c r="AG822" s="0" t="n">
        <v>0</v>
      </c>
      <c r="AH822" s="254" t="n">
        <v>-25297.9986326611</v>
      </c>
      <c r="AI822" s="0" t="n">
        <v>226</v>
      </c>
      <c r="AJ822" s="0" t="s">
        <v>630</v>
      </c>
      <c r="AK822" s="0" t="n">
        <v>0</v>
      </c>
      <c r="AL822" s="0" t="n">
        <v>0</v>
      </c>
      <c r="AM822" s="0" t="n">
        <v>0</v>
      </c>
    </row>
    <row r="823" customFormat="false" ht="12.75" hidden="false" customHeight="false" outlineLevel="0" collapsed="false">
      <c r="A823" s="0" t="s">
        <v>621</v>
      </c>
      <c r="B823" s="0" t="s">
        <v>464</v>
      </c>
      <c r="C823" s="0" t="s">
        <v>622</v>
      </c>
      <c r="D823" s="0" t="s">
        <v>623</v>
      </c>
      <c r="E823" s="0" t="s">
        <v>131</v>
      </c>
      <c r="F823" s="0" t="s">
        <v>244</v>
      </c>
      <c r="G823" s="0" t="s">
        <v>628</v>
      </c>
      <c r="H823" s="0" t="s">
        <v>625</v>
      </c>
      <c r="I823" s="0" t="s">
        <v>626</v>
      </c>
      <c r="J823" s="0" t="s">
        <v>627</v>
      </c>
      <c r="K823" s="475" t="n">
        <v>36951</v>
      </c>
      <c r="L823" s="254" t="n">
        <v>-311691.769358819</v>
      </c>
      <c r="M823" s="475" t="n">
        <v>36949</v>
      </c>
      <c r="N823" s="0" t="s">
        <v>132</v>
      </c>
      <c r="O823" s="0" t="n">
        <v>0.5</v>
      </c>
      <c r="P823" s="0" t="n">
        <v>0</v>
      </c>
      <c r="Q823" s="0" t="n">
        <v>0</v>
      </c>
      <c r="R823" s="0" t="n">
        <v>0</v>
      </c>
      <c r="S823" s="0" t="n">
        <v>0</v>
      </c>
      <c r="T823" s="0" t="s">
        <v>624</v>
      </c>
      <c r="U823" s="0" t="s">
        <v>137</v>
      </c>
      <c r="V823" s="0" t="s">
        <v>624</v>
      </c>
      <c r="W823" s="0" t="s">
        <v>569</v>
      </c>
      <c r="X823" s="0" t="s">
        <v>624</v>
      </c>
      <c r="Y823" s="0" t="s">
        <v>627</v>
      </c>
      <c r="Z823" s="0" t="s">
        <v>629</v>
      </c>
      <c r="AA823" s="0" t="s">
        <v>624</v>
      </c>
      <c r="AB823" s="0" t="s">
        <v>132</v>
      </c>
      <c r="AC823" s="254" t="n">
        <v>-1000000</v>
      </c>
      <c r="AD823" s="254" t="n">
        <v>-76406.4799022531</v>
      </c>
      <c r="AE823" s="0" t="n">
        <v>0</v>
      </c>
      <c r="AF823" s="0" t="n">
        <v>0</v>
      </c>
      <c r="AG823" s="0" t="n">
        <v>0</v>
      </c>
      <c r="AH823" s="254" t="n">
        <v>-25533.0287324851</v>
      </c>
      <c r="AI823" s="0" t="n">
        <v>226</v>
      </c>
      <c r="AJ823" s="0" t="s">
        <v>630</v>
      </c>
      <c r="AK823" s="0" t="n">
        <v>0</v>
      </c>
      <c r="AL823" s="0" t="n">
        <v>0</v>
      </c>
      <c r="AM823" s="0" t="n">
        <v>0</v>
      </c>
    </row>
    <row r="824" customFormat="false" ht="12.75" hidden="false" customHeight="false" outlineLevel="0" collapsed="false">
      <c r="A824" s="0" t="s">
        <v>621</v>
      </c>
      <c r="B824" s="0" t="s">
        <v>466</v>
      </c>
      <c r="C824" s="0" t="s">
        <v>622</v>
      </c>
      <c r="D824" s="0" t="s">
        <v>623</v>
      </c>
      <c r="E824" s="0" t="s">
        <v>131</v>
      </c>
      <c r="F824" s="0" t="s">
        <v>465</v>
      </c>
      <c r="G824" s="0" t="s">
        <v>628</v>
      </c>
      <c r="H824" s="0" t="s">
        <v>625</v>
      </c>
      <c r="I824" s="0" t="s">
        <v>626</v>
      </c>
      <c r="J824" s="0" t="s">
        <v>627</v>
      </c>
      <c r="K824" s="475" t="n">
        <v>36831</v>
      </c>
      <c r="L824" s="254" t="n">
        <v>143948.985723739</v>
      </c>
      <c r="M824" s="475" t="n">
        <v>36829</v>
      </c>
      <c r="N824" s="0" t="s">
        <v>136</v>
      </c>
      <c r="O824" s="0" t="n">
        <v>0.15</v>
      </c>
      <c r="P824" s="0" t="n">
        <v>0</v>
      </c>
      <c r="Q824" s="0" t="n">
        <v>0</v>
      </c>
      <c r="R824" s="0" t="n">
        <v>0</v>
      </c>
      <c r="S824" s="0" t="n">
        <v>0</v>
      </c>
      <c r="T824" s="0" t="s">
        <v>624</v>
      </c>
      <c r="U824" s="0" t="s">
        <v>158</v>
      </c>
      <c r="V824" s="0" t="s">
        <v>624</v>
      </c>
      <c r="W824" s="0" t="s">
        <v>569</v>
      </c>
      <c r="X824" s="0" t="s">
        <v>624</v>
      </c>
      <c r="Y824" s="0" t="s">
        <v>627</v>
      </c>
      <c r="Z824" s="0" t="s">
        <v>629</v>
      </c>
      <c r="AA824" s="0" t="s">
        <v>624</v>
      </c>
      <c r="AB824" s="0" t="s">
        <v>132</v>
      </c>
      <c r="AC824" s="254" t="n">
        <v>2500000</v>
      </c>
      <c r="AD824" s="254" t="n">
        <v>69756.4709593472</v>
      </c>
      <c r="AE824" s="0" t="n">
        <v>0</v>
      </c>
      <c r="AF824" s="0" t="n">
        <v>0</v>
      </c>
      <c r="AG824" s="0" t="n">
        <v>0</v>
      </c>
      <c r="AH824" s="254" t="n">
        <v>21073.9700115652</v>
      </c>
      <c r="AI824" s="0" t="n">
        <v>226</v>
      </c>
      <c r="AJ824" s="0" t="s">
        <v>630</v>
      </c>
      <c r="AK824" s="0" t="n">
        <v>0</v>
      </c>
      <c r="AL824" s="0" t="n">
        <v>0</v>
      </c>
      <c r="AM824" s="0" t="n">
        <v>0</v>
      </c>
    </row>
    <row r="825" customFormat="false" ht="12.75" hidden="false" customHeight="false" outlineLevel="0" collapsed="false">
      <c r="A825" s="0" t="s">
        <v>621</v>
      </c>
      <c r="B825" s="0" t="s">
        <v>466</v>
      </c>
      <c r="C825" s="0" t="s">
        <v>622</v>
      </c>
      <c r="D825" s="0" t="s">
        <v>623</v>
      </c>
      <c r="E825" s="0" t="s">
        <v>131</v>
      </c>
      <c r="F825" s="0" t="s">
        <v>465</v>
      </c>
      <c r="G825" s="0" t="s">
        <v>628</v>
      </c>
      <c r="H825" s="0" t="s">
        <v>625</v>
      </c>
      <c r="I825" s="0" t="s">
        <v>626</v>
      </c>
      <c r="J825" s="0" t="s">
        <v>627</v>
      </c>
      <c r="K825" s="475" t="n">
        <v>36861</v>
      </c>
      <c r="L825" s="254" t="n">
        <v>1156193.06364836</v>
      </c>
      <c r="M825" s="475" t="n">
        <v>36859</v>
      </c>
      <c r="N825" s="0" t="s">
        <v>136</v>
      </c>
      <c r="O825" s="0" t="n">
        <v>0.15</v>
      </c>
      <c r="P825" s="0" t="n">
        <v>0</v>
      </c>
      <c r="Q825" s="0" t="n">
        <v>0</v>
      </c>
      <c r="R825" s="0" t="n">
        <v>0</v>
      </c>
      <c r="S825" s="0" t="n">
        <v>0</v>
      </c>
      <c r="T825" s="0" t="s">
        <v>624</v>
      </c>
      <c r="U825" s="0" t="s">
        <v>158</v>
      </c>
      <c r="V825" s="0" t="s">
        <v>624</v>
      </c>
      <c r="W825" s="0" t="s">
        <v>569</v>
      </c>
      <c r="X825" s="0" t="s">
        <v>624</v>
      </c>
      <c r="Y825" s="0" t="s">
        <v>627</v>
      </c>
      <c r="Z825" s="0" t="s">
        <v>629</v>
      </c>
      <c r="AA825" s="0" t="s">
        <v>624</v>
      </c>
      <c r="AB825" s="0" t="s">
        <v>132</v>
      </c>
      <c r="AC825" s="254" t="n">
        <v>2500000</v>
      </c>
      <c r="AD825" s="254" t="n">
        <v>90569.552200825</v>
      </c>
      <c r="AE825" s="0" t="n">
        <v>0</v>
      </c>
      <c r="AF825" s="0" t="n">
        <v>0</v>
      </c>
      <c r="AG825" s="0" t="n">
        <v>0</v>
      </c>
      <c r="AH825" s="254" t="n">
        <v>54548.6975256437</v>
      </c>
      <c r="AI825" s="0" t="n">
        <v>226</v>
      </c>
      <c r="AJ825" s="0" t="s">
        <v>630</v>
      </c>
      <c r="AK825" s="0" t="n">
        <v>0</v>
      </c>
      <c r="AL825" s="0" t="n">
        <v>0</v>
      </c>
      <c r="AM825" s="0" t="n">
        <v>0</v>
      </c>
    </row>
    <row r="826" customFormat="false" ht="12.75" hidden="false" customHeight="false" outlineLevel="0" collapsed="false">
      <c r="A826" s="0" t="s">
        <v>621</v>
      </c>
      <c r="B826" s="0" t="s">
        <v>466</v>
      </c>
      <c r="C826" s="0" t="s">
        <v>622</v>
      </c>
      <c r="D826" s="0" t="s">
        <v>623</v>
      </c>
      <c r="E826" s="0" t="s">
        <v>131</v>
      </c>
      <c r="F826" s="0" t="s">
        <v>465</v>
      </c>
      <c r="G826" s="0" t="s">
        <v>628</v>
      </c>
      <c r="H826" s="0" t="s">
        <v>625</v>
      </c>
      <c r="I826" s="0" t="s">
        <v>626</v>
      </c>
      <c r="J826" s="0" t="s">
        <v>627</v>
      </c>
      <c r="K826" s="475" t="n">
        <v>36892</v>
      </c>
      <c r="L826" s="254" t="n">
        <v>1217034.88237699</v>
      </c>
      <c r="M826" s="475" t="n">
        <v>36888</v>
      </c>
      <c r="N826" s="0" t="s">
        <v>136</v>
      </c>
      <c r="O826" s="0" t="n">
        <v>0.15</v>
      </c>
      <c r="P826" s="0" t="n">
        <v>0</v>
      </c>
      <c r="Q826" s="0" t="n">
        <v>0</v>
      </c>
      <c r="R826" s="0" t="n">
        <v>0</v>
      </c>
      <c r="S826" s="0" t="n">
        <v>0</v>
      </c>
      <c r="T826" s="0" t="s">
        <v>624</v>
      </c>
      <c r="U826" s="0" t="s">
        <v>158</v>
      </c>
      <c r="V826" s="0" t="s">
        <v>624</v>
      </c>
      <c r="W826" s="0" t="s">
        <v>569</v>
      </c>
      <c r="X826" s="0" t="s">
        <v>624</v>
      </c>
      <c r="Y826" s="0" t="s">
        <v>627</v>
      </c>
      <c r="Z826" s="0" t="s">
        <v>629</v>
      </c>
      <c r="AA826" s="0" t="s">
        <v>624</v>
      </c>
      <c r="AB826" s="0" t="s">
        <v>132</v>
      </c>
      <c r="AC826" s="254" t="n">
        <v>2500000</v>
      </c>
      <c r="AD826" s="254" t="n">
        <v>109252.017899617</v>
      </c>
      <c r="AE826" s="0" t="n">
        <v>0</v>
      </c>
      <c r="AF826" s="0" t="n">
        <v>0</v>
      </c>
      <c r="AG826" s="0" t="n">
        <v>0</v>
      </c>
      <c r="AH826" s="254" t="n">
        <v>53531.249850011</v>
      </c>
      <c r="AI826" s="0" t="n">
        <v>226</v>
      </c>
      <c r="AJ826" s="0" t="s">
        <v>630</v>
      </c>
      <c r="AK826" s="0" t="n">
        <v>0</v>
      </c>
      <c r="AL826" s="0" t="n">
        <v>0</v>
      </c>
      <c r="AM826" s="0" t="n">
        <v>0</v>
      </c>
    </row>
    <row r="827" customFormat="false" ht="12.75" hidden="false" customHeight="false" outlineLevel="0" collapsed="false">
      <c r="A827" s="0" t="s">
        <v>621</v>
      </c>
      <c r="B827" s="0" t="s">
        <v>466</v>
      </c>
      <c r="C827" s="0" t="s">
        <v>622</v>
      </c>
      <c r="D827" s="0" t="s">
        <v>623</v>
      </c>
      <c r="E827" s="0" t="s">
        <v>131</v>
      </c>
      <c r="F827" s="0" t="s">
        <v>465</v>
      </c>
      <c r="G827" s="0" t="s">
        <v>628</v>
      </c>
      <c r="H827" s="0" t="s">
        <v>625</v>
      </c>
      <c r="I827" s="0" t="s">
        <v>626</v>
      </c>
      <c r="J827" s="0" t="s">
        <v>627</v>
      </c>
      <c r="K827" s="475" t="n">
        <v>36923</v>
      </c>
      <c r="L827" s="254" t="n">
        <v>926223.197147526</v>
      </c>
      <c r="M827" s="475" t="n">
        <v>36921</v>
      </c>
      <c r="N827" s="0" t="s">
        <v>136</v>
      </c>
      <c r="O827" s="0" t="n">
        <v>0.15</v>
      </c>
      <c r="P827" s="0" t="n">
        <v>0</v>
      </c>
      <c r="Q827" s="0" t="n">
        <v>0</v>
      </c>
      <c r="R827" s="0" t="n">
        <v>0</v>
      </c>
      <c r="S827" s="0" t="n">
        <v>0</v>
      </c>
      <c r="T827" s="0" t="s">
        <v>624</v>
      </c>
      <c r="U827" s="0" t="s">
        <v>158</v>
      </c>
      <c r="V827" s="0" t="s">
        <v>624</v>
      </c>
      <c r="W827" s="0" t="s">
        <v>569</v>
      </c>
      <c r="X827" s="0" t="s">
        <v>624</v>
      </c>
      <c r="Y827" s="0" t="s">
        <v>627</v>
      </c>
      <c r="Z827" s="0" t="s">
        <v>629</v>
      </c>
      <c r="AA827" s="0" t="s">
        <v>624</v>
      </c>
      <c r="AB827" s="0" t="s">
        <v>132</v>
      </c>
      <c r="AC827" s="254" t="n">
        <v>2500000</v>
      </c>
      <c r="AD827" s="254" t="n">
        <v>135189.855276515</v>
      </c>
      <c r="AE827" s="0" t="n">
        <v>0</v>
      </c>
      <c r="AF827" s="0" t="n">
        <v>0</v>
      </c>
      <c r="AG827" s="0" t="n">
        <v>0</v>
      </c>
      <c r="AH827" s="254" t="n">
        <v>52535.7316134762</v>
      </c>
      <c r="AI827" s="0" t="n">
        <v>226</v>
      </c>
      <c r="AJ827" s="0" t="s">
        <v>630</v>
      </c>
      <c r="AK827" s="0" t="n">
        <v>0</v>
      </c>
      <c r="AL827" s="0" t="n">
        <v>0</v>
      </c>
      <c r="AM827" s="0" t="n">
        <v>0</v>
      </c>
    </row>
    <row r="828" customFormat="false" ht="12.75" hidden="false" customHeight="false" outlineLevel="0" collapsed="false">
      <c r="A828" s="0" t="s">
        <v>621</v>
      </c>
      <c r="B828" s="0" t="s">
        <v>466</v>
      </c>
      <c r="C828" s="0" t="s">
        <v>622</v>
      </c>
      <c r="D828" s="0" t="s">
        <v>623</v>
      </c>
      <c r="E828" s="0" t="s">
        <v>131</v>
      </c>
      <c r="F828" s="0" t="s">
        <v>465</v>
      </c>
      <c r="G828" s="0" t="s">
        <v>628</v>
      </c>
      <c r="H828" s="0" t="s">
        <v>625</v>
      </c>
      <c r="I828" s="0" t="s">
        <v>626</v>
      </c>
      <c r="J828" s="0" t="s">
        <v>627</v>
      </c>
      <c r="K828" s="475" t="n">
        <v>36951</v>
      </c>
      <c r="L828" s="254" t="n">
        <v>390136.404647414</v>
      </c>
      <c r="M828" s="475" t="n">
        <v>36949</v>
      </c>
      <c r="N828" s="0" t="s">
        <v>136</v>
      </c>
      <c r="O828" s="0" t="n">
        <v>0.15</v>
      </c>
      <c r="P828" s="0" t="n">
        <v>0</v>
      </c>
      <c r="Q828" s="0" t="n">
        <v>0</v>
      </c>
      <c r="R828" s="0" t="n">
        <v>0</v>
      </c>
      <c r="S828" s="0" t="n">
        <v>0</v>
      </c>
      <c r="T828" s="0" t="s">
        <v>624</v>
      </c>
      <c r="U828" s="0" t="s">
        <v>158</v>
      </c>
      <c r="V828" s="0" t="s">
        <v>624</v>
      </c>
      <c r="W828" s="0" t="s">
        <v>569</v>
      </c>
      <c r="X828" s="0" t="s">
        <v>624</v>
      </c>
      <c r="Y828" s="0" t="s">
        <v>627</v>
      </c>
      <c r="Z828" s="0" t="s">
        <v>629</v>
      </c>
      <c r="AA828" s="0" t="s">
        <v>624</v>
      </c>
      <c r="AB828" s="0" t="s">
        <v>132</v>
      </c>
      <c r="AC828" s="254" t="n">
        <v>2500000</v>
      </c>
      <c r="AD828" s="254" t="n">
        <v>130753.781589593</v>
      </c>
      <c r="AE828" s="0" t="n">
        <v>0</v>
      </c>
      <c r="AF828" s="0" t="n">
        <v>0</v>
      </c>
      <c r="AG828" s="0" t="n">
        <v>0</v>
      </c>
      <c r="AH828" s="254" t="n">
        <v>35522.873997504</v>
      </c>
      <c r="AI828" s="0" t="n">
        <v>226</v>
      </c>
      <c r="AJ828" s="0" t="s">
        <v>630</v>
      </c>
      <c r="AK828" s="0" t="n">
        <v>0</v>
      </c>
      <c r="AL828" s="0" t="n">
        <v>0</v>
      </c>
      <c r="AM828" s="0" t="n">
        <v>0</v>
      </c>
    </row>
    <row r="829" customFormat="false" ht="12.75" hidden="false" customHeight="false" outlineLevel="0" collapsed="false">
      <c r="A829" s="0" t="s">
        <v>621</v>
      </c>
      <c r="B829" s="0" t="s">
        <v>467</v>
      </c>
      <c r="C829" s="0" t="s">
        <v>622</v>
      </c>
      <c r="D829" s="0" t="s">
        <v>623</v>
      </c>
      <c r="E829" s="0" t="s">
        <v>131</v>
      </c>
      <c r="F829" s="0" t="s">
        <v>198</v>
      </c>
      <c r="G829" s="0" t="s">
        <v>628</v>
      </c>
      <c r="H829" s="0" t="s">
        <v>625</v>
      </c>
      <c r="I829" s="0" t="s">
        <v>626</v>
      </c>
      <c r="J829" s="0" t="s">
        <v>627</v>
      </c>
      <c r="K829" s="475" t="n">
        <v>36831</v>
      </c>
      <c r="L829" s="254" t="n">
        <v>-101129.432305009</v>
      </c>
      <c r="M829" s="475" t="n">
        <v>36829</v>
      </c>
      <c r="N829" s="0" t="s">
        <v>136</v>
      </c>
      <c r="O829" s="0" t="n">
        <v>1.5</v>
      </c>
      <c r="P829" s="0" t="n">
        <v>0</v>
      </c>
      <c r="Q829" s="0" t="n">
        <v>0</v>
      </c>
      <c r="R829" s="0" t="n">
        <v>0</v>
      </c>
      <c r="S829" s="0" t="n">
        <v>0</v>
      </c>
      <c r="T829" s="0" t="s">
        <v>624</v>
      </c>
      <c r="U829" s="0" t="s">
        <v>137</v>
      </c>
      <c r="V829" s="0" t="s">
        <v>624</v>
      </c>
      <c r="W829" s="0" t="s">
        <v>569</v>
      </c>
      <c r="X829" s="0" t="s">
        <v>624</v>
      </c>
      <c r="Y829" s="0" t="s">
        <v>627</v>
      </c>
      <c r="Z829" s="0" t="s">
        <v>629</v>
      </c>
      <c r="AA829" s="0" t="s">
        <v>624</v>
      </c>
      <c r="AB829" s="0" t="s">
        <v>132</v>
      </c>
      <c r="AC829" s="254" t="n">
        <v>-300000</v>
      </c>
      <c r="AD829" s="254" t="n">
        <v>-14131.4977036344</v>
      </c>
      <c r="AE829" s="0" t="n">
        <v>0</v>
      </c>
      <c r="AF829" s="0" t="n">
        <v>0</v>
      </c>
      <c r="AG829" s="0" t="n">
        <v>0</v>
      </c>
      <c r="AH829" s="254" t="n">
        <v>0</v>
      </c>
      <c r="AI829" s="0" t="n">
        <v>226</v>
      </c>
      <c r="AJ829" s="0" t="s">
        <v>630</v>
      </c>
      <c r="AK829" s="0" t="n">
        <v>0</v>
      </c>
      <c r="AL829" s="0" t="n">
        <v>0</v>
      </c>
      <c r="AM829" s="0" t="n">
        <v>0</v>
      </c>
    </row>
    <row r="830" customFormat="false" ht="12.75" hidden="false" customHeight="false" outlineLevel="0" collapsed="false">
      <c r="A830" s="0" t="s">
        <v>621</v>
      </c>
      <c r="B830" s="0" t="s">
        <v>467</v>
      </c>
      <c r="C830" s="0" t="s">
        <v>622</v>
      </c>
      <c r="D830" s="0" t="s">
        <v>623</v>
      </c>
      <c r="E830" s="0" t="s">
        <v>131</v>
      </c>
      <c r="F830" s="0" t="s">
        <v>198</v>
      </c>
      <c r="G830" s="0" t="s">
        <v>628</v>
      </c>
      <c r="H830" s="0" t="s">
        <v>625</v>
      </c>
      <c r="I830" s="0" t="s">
        <v>626</v>
      </c>
      <c r="J830" s="0" t="s">
        <v>627</v>
      </c>
      <c r="K830" s="475" t="n">
        <v>36861</v>
      </c>
      <c r="L830" s="254" t="n">
        <v>-54737.7367128516</v>
      </c>
      <c r="M830" s="475" t="n">
        <v>36859</v>
      </c>
      <c r="N830" s="0" t="s">
        <v>136</v>
      </c>
      <c r="O830" s="0" t="n">
        <v>1.5</v>
      </c>
      <c r="P830" s="0" t="n">
        <v>0</v>
      </c>
      <c r="Q830" s="0" t="n">
        <v>0</v>
      </c>
      <c r="R830" s="0" t="n">
        <v>0</v>
      </c>
      <c r="S830" s="0" t="n">
        <v>0</v>
      </c>
      <c r="T830" s="0" t="s">
        <v>624</v>
      </c>
      <c r="U830" s="0" t="s">
        <v>137</v>
      </c>
      <c r="V830" s="0" t="s">
        <v>624</v>
      </c>
      <c r="W830" s="0" t="s">
        <v>569</v>
      </c>
      <c r="X830" s="0" t="s">
        <v>624</v>
      </c>
      <c r="Y830" s="0" t="s">
        <v>627</v>
      </c>
      <c r="Z830" s="0" t="s">
        <v>629</v>
      </c>
      <c r="AA830" s="0" t="s">
        <v>624</v>
      </c>
      <c r="AB830" s="0" t="s">
        <v>132</v>
      </c>
      <c r="AC830" s="254" t="n">
        <v>-310000</v>
      </c>
      <c r="AD830" s="254" t="n">
        <v>-15672.5663678835</v>
      </c>
      <c r="AE830" s="0" t="n">
        <v>0</v>
      </c>
      <c r="AF830" s="0" t="n">
        <v>0</v>
      </c>
      <c r="AG830" s="0" t="n">
        <v>0</v>
      </c>
      <c r="AH830" s="254" t="n">
        <v>0</v>
      </c>
      <c r="AI830" s="0" t="n">
        <v>226</v>
      </c>
      <c r="AJ830" s="0" t="s">
        <v>630</v>
      </c>
      <c r="AK830" s="0" t="n">
        <v>0</v>
      </c>
      <c r="AL830" s="0" t="n">
        <v>0</v>
      </c>
      <c r="AM830" s="0" t="n">
        <v>0</v>
      </c>
    </row>
    <row r="831" customFormat="false" ht="12.75" hidden="false" customHeight="false" outlineLevel="0" collapsed="false">
      <c r="A831" s="0" t="s">
        <v>621</v>
      </c>
      <c r="B831" s="0" t="s">
        <v>467</v>
      </c>
      <c r="C831" s="0" t="s">
        <v>622</v>
      </c>
      <c r="D831" s="0" t="s">
        <v>623</v>
      </c>
      <c r="E831" s="0" t="s">
        <v>131</v>
      </c>
      <c r="F831" s="0" t="s">
        <v>198</v>
      </c>
      <c r="G831" s="0" t="s">
        <v>628</v>
      </c>
      <c r="H831" s="0" t="s">
        <v>625</v>
      </c>
      <c r="I831" s="0" t="s">
        <v>626</v>
      </c>
      <c r="J831" s="0" t="s">
        <v>627</v>
      </c>
      <c r="K831" s="475" t="n">
        <v>36892</v>
      </c>
      <c r="L831" s="254" t="n">
        <v>-46480.9888539862</v>
      </c>
      <c r="M831" s="475" t="n">
        <v>36888</v>
      </c>
      <c r="N831" s="0" t="s">
        <v>136</v>
      </c>
      <c r="O831" s="0" t="n">
        <v>1.5</v>
      </c>
      <c r="P831" s="0" t="n">
        <v>0</v>
      </c>
      <c r="Q831" s="0" t="n">
        <v>0</v>
      </c>
      <c r="R831" s="0" t="n">
        <v>0</v>
      </c>
      <c r="S831" s="0" t="n">
        <v>0</v>
      </c>
      <c r="T831" s="0" t="s">
        <v>624</v>
      </c>
      <c r="U831" s="0" t="s">
        <v>137</v>
      </c>
      <c r="V831" s="0" t="s">
        <v>624</v>
      </c>
      <c r="W831" s="0" t="s">
        <v>569</v>
      </c>
      <c r="X831" s="0" t="s">
        <v>624</v>
      </c>
      <c r="Y831" s="0" t="s">
        <v>627</v>
      </c>
      <c r="Z831" s="0" t="s">
        <v>629</v>
      </c>
      <c r="AA831" s="0" t="s">
        <v>624</v>
      </c>
      <c r="AB831" s="0" t="s">
        <v>132</v>
      </c>
      <c r="AC831" s="254" t="n">
        <v>-310000</v>
      </c>
      <c r="AD831" s="254" t="n">
        <v>-16293.7417163716</v>
      </c>
      <c r="AE831" s="0" t="n">
        <v>0</v>
      </c>
      <c r="AF831" s="0" t="n">
        <v>0</v>
      </c>
      <c r="AG831" s="0" t="n">
        <v>0</v>
      </c>
      <c r="AH831" s="254" t="n">
        <v>0</v>
      </c>
      <c r="AI831" s="0" t="n">
        <v>226</v>
      </c>
      <c r="AJ831" s="0" t="s">
        <v>630</v>
      </c>
      <c r="AK831" s="0" t="n">
        <v>0</v>
      </c>
      <c r="AL831" s="0" t="n">
        <v>0</v>
      </c>
      <c r="AM831" s="0" t="n">
        <v>0</v>
      </c>
    </row>
    <row r="832" customFormat="false" ht="12.75" hidden="false" customHeight="false" outlineLevel="0" collapsed="false">
      <c r="A832" s="0" t="s">
        <v>621</v>
      </c>
      <c r="B832" s="0" t="s">
        <v>467</v>
      </c>
      <c r="C832" s="0" t="s">
        <v>622</v>
      </c>
      <c r="D832" s="0" t="s">
        <v>623</v>
      </c>
      <c r="E832" s="0" t="s">
        <v>131</v>
      </c>
      <c r="F832" s="0" t="s">
        <v>198</v>
      </c>
      <c r="G832" s="0" t="s">
        <v>628</v>
      </c>
      <c r="H832" s="0" t="s">
        <v>625</v>
      </c>
      <c r="I832" s="0" t="s">
        <v>626</v>
      </c>
      <c r="J832" s="0" t="s">
        <v>627</v>
      </c>
      <c r="K832" s="475" t="n">
        <v>36923</v>
      </c>
      <c r="L832" s="254" t="n">
        <v>-36120.4704558714</v>
      </c>
      <c r="M832" s="475" t="n">
        <v>36921</v>
      </c>
      <c r="N832" s="0" t="s">
        <v>136</v>
      </c>
      <c r="O832" s="0" t="n">
        <v>1.5</v>
      </c>
      <c r="P832" s="0" t="n">
        <v>0</v>
      </c>
      <c r="Q832" s="0" t="n">
        <v>0</v>
      </c>
      <c r="R832" s="0" t="n">
        <v>0</v>
      </c>
      <c r="S832" s="0" t="n">
        <v>0</v>
      </c>
      <c r="T832" s="0" t="s">
        <v>624</v>
      </c>
      <c r="U832" s="0" t="s">
        <v>137</v>
      </c>
      <c r="V832" s="0" t="s">
        <v>624</v>
      </c>
      <c r="W832" s="0" t="s">
        <v>569</v>
      </c>
      <c r="X832" s="0" t="s">
        <v>624</v>
      </c>
      <c r="Y832" s="0" t="s">
        <v>627</v>
      </c>
      <c r="Z832" s="0" t="s">
        <v>629</v>
      </c>
      <c r="AA832" s="0" t="s">
        <v>624</v>
      </c>
      <c r="AB832" s="0" t="s">
        <v>132</v>
      </c>
      <c r="AC832" s="254" t="n">
        <v>-280000</v>
      </c>
      <c r="AD832" s="254" t="n">
        <v>-14837.7355763466</v>
      </c>
      <c r="AE832" s="0" t="n">
        <v>0</v>
      </c>
      <c r="AF832" s="0" t="n">
        <v>0</v>
      </c>
      <c r="AG832" s="0" t="n">
        <v>0</v>
      </c>
      <c r="AH832" s="254" t="n">
        <v>0</v>
      </c>
      <c r="AI832" s="0" t="n">
        <v>226</v>
      </c>
      <c r="AJ832" s="0" t="s">
        <v>630</v>
      </c>
      <c r="AK832" s="0" t="n">
        <v>0</v>
      </c>
      <c r="AL832" s="0" t="n">
        <v>0</v>
      </c>
      <c r="AM832" s="0" t="n">
        <v>0</v>
      </c>
    </row>
    <row r="833" customFormat="false" ht="12.75" hidden="false" customHeight="false" outlineLevel="0" collapsed="false">
      <c r="A833" s="0" t="s">
        <v>621</v>
      </c>
      <c r="B833" s="0" t="s">
        <v>467</v>
      </c>
      <c r="C833" s="0" t="s">
        <v>622</v>
      </c>
      <c r="D833" s="0" t="s">
        <v>623</v>
      </c>
      <c r="E833" s="0" t="s">
        <v>131</v>
      </c>
      <c r="F833" s="0" t="s">
        <v>198</v>
      </c>
      <c r="G833" s="0" t="s">
        <v>628</v>
      </c>
      <c r="H833" s="0" t="s">
        <v>625</v>
      </c>
      <c r="I833" s="0" t="s">
        <v>626</v>
      </c>
      <c r="J833" s="0" t="s">
        <v>627</v>
      </c>
      <c r="K833" s="475" t="n">
        <v>36951</v>
      </c>
      <c r="L833" s="254" t="n">
        <v>-32140.086069051</v>
      </c>
      <c r="M833" s="475" t="n">
        <v>36949</v>
      </c>
      <c r="N833" s="0" t="s">
        <v>136</v>
      </c>
      <c r="O833" s="0" t="n">
        <v>1.5</v>
      </c>
      <c r="P833" s="0" t="n">
        <v>0</v>
      </c>
      <c r="Q833" s="0" t="n">
        <v>0</v>
      </c>
      <c r="R833" s="0" t="n">
        <v>0</v>
      </c>
      <c r="S833" s="0" t="n">
        <v>0</v>
      </c>
      <c r="T833" s="0" t="s">
        <v>624</v>
      </c>
      <c r="U833" s="0" t="s">
        <v>137</v>
      </c>
      <c r="V833" s="0" t="s">
        <v>624</v>
      </c>
      <c r="W833" s="0" t="s">
        <v>569</v>
      </c>
      <c r="X833" s="0" t="s">
        <v>624</v>
      </c>
      <c r="Y833" s="0" t="s">
        <v>627</v>
      </c>
      <c r="Z833" s="0" t="s">
        <v>629</v>
      </c>
      <c r="AA833" s="0" t="s">
        <v>624</v>
      </c>
      <c r="AB833" s="0" t="s">
        <v>132</v>
      </c>
      <c r="AC833" s="254" t="n">
        <v>-310000</v>
      </c>
      <c r="AD833" s="254" t="n">
        <v>-14834.9396607733</v>
      </c>
      <c r="AE833" s="0" t="n">
        <v>0</v>
      </c>
      <c r="AF833" s="0" t="n">
        <v>0</v>
      </c>
      <c r="AG833" s="0" t="n">
        <v>0</v>
      </c>
      <c r="AH833" s="254" t="n">
        <v>0</v>
      </c>
      <c r="AI833" s="0" t="n">
        <v>226</v>
      </c>
      <c r="AJ833" s="0" t="s">
        <v>630</v>
      </c>
      <c r="AK833" s="0" t="n">
        <v>0</v>
      </c>
      <c r="AL833" s="0" t="n">
        <v>0</v>
      </c>
      <c r="AM833" s="0" t="n">
        <v>0</v>
      </c>
    </row>
    <row r="834" customFormat="false" ht="12.75" hidden="false" customHeight="false" outlineLevel="0" collapsed="false">
      <c r="A834" s="0" t="s">
        <v>621</v>
      </c>
      <c r="B834" s="0" t="s">
        <v>468</v>
      </c>
      <c r="C834" s="0" t="s">
        <v>622</v>
      </c>
      <c r="D834" s="0" t="s">
        <v>623</v>
      </c>
      <c r="E834" s="0" t="s">
        <v>131</v>
      </c>
      <c r="F834" s="0" t="s">
        <v>198</v>
      </c>
      <c r="G834" s="0" t="s">
        <v>628</v>
      </c>
      <c r="H834" s="0" t="s">
        <v>625</v>
      </c>
      <c r="I834" s="0" t="s">
        <v>626</v>
      </c>
      <c r="J834" s="0" t="s">
        <v>627</v>
      </c>
      <c r="K834" s="475" t="n">
        <v>36831</v>
      </c>
      <c r="L834" s="254" t="n">
        <v>337098.107683364</v>
      </c>
      <c r="M834" s="475" t="n">
        <v>36829</v>
      </c>
      <c r="N834" s="0" t="s">
        <v>136</v>
      </c>
      <c r="O834" s="0" t="n">
        <v>1.5</v>
      </c>
      <c r="P834" s="0" t="n">
        <v>0</v>
      </c>
      <c r="Q834" s="0" t="n">
        <v>0</v>
      </c>
      <c r="R834" s="0" t="n">
        <v>0</v>
      </c>
      <c r="S834" s="0" t="n">
        <v>0</v>
      </c>
      <c r="T834" s="0" t="s">
        <v>624</v>
      </c>
      <c r="U834" s="0" t="s">
        <v>137</v>
      </c>
      <c r="V834" s="0" t="s">
        <v>624</v>
      </c>
      <c r="W834" s="0" t="s">
        <v>569</v>
      </c>
      <c r="X834" s="0" t="s">
        <v>624</v>
      </c>
      <c r="Y834" s="0" t="s">
        <v>627</v>
      </c>
      <c r="Z834" s="0" t="s">
        <v>629</v>
      </c>
      <c r="AA834" s="0" t="s">
        <v>624</v>
      </c>
      <c r="AB834" s="0" t="s">
        <v>132</v>
      </c>
      <c r="AC834" s="254" t="n">
        <v>1000000</v>
      </c>
      <c r="AD834" s="254" t="n">
        <v>47104.9923454479</v>
      </c>
      <c r="AE834" s="0" t="n">
        <v>0</v>
      </c>
      <c r="AF834" s="0" t="n">
        <v>0</v>
      </c>
      <c r="AG834" s="0" t="n">
        <v>0</v>
      </c>
      <c r="AH834" s="254" t="n">
        <v>0</v>
      </c>
      <c r="AI834" s="0" t="n">
        <v>226</v>
      </c>
      <c r="AJ834" s="0" t="s">
        <v>630</v>
      </c>
      <c r="AK834" s="0" t="n">
        <v>0</v>
      </c>
      <c r="AL834" s="0" t="n">
        <v>0</v>
      </c>
      <c r="AM834" s="0" t="n">
        <v>0</v>
      </c>
    </row>
    <row r="835" customFormat="false" ht="12.75" hidden="false" customHeight="false" outlineLevel="0" collapsed="false">
      <c r="A835" s="0" t="s">
        <v>621</v>
      </c>
      <c r="B835" s="0" t="s">
        <v>468</v>
      </c>
      <c r="C835" s="0" t="s">
        <v>622</v>
      </c>
      <c r="D835" s="0" t="s">
        <v>623</v>
      </c>
      <c r="E835" s="0" t="s">
        <v>131</v>
      </c>
      <c r="F835" s="0" t="s">
        <v>198</v>
      </c>
      <c r="G835" s="0" t="s">
        <v>628</v>
      </c>
      <c r="H835" s="0" t="s">
        <v>625</v>
      </c>
      <c r="I835" s="0" t="s">
        <v>626</v>
      </c>
      <c r="J835" s="0" t="s">
        <v>627</v>
      </c>
      <c r="K835" s="475" t="n">
        <v>36861</v>
      </c>
      <c r="L835" s="254" t="n">
        <v>176573.344235005</v>
      </c>
      <c r="M835" s="475" t="n">
        <v>36859</v>
      </c>
      <c r="N835" s="0" t="s">
        <v>136</v>
      </c>
      <c r="O835" s="0" t="n">
        <v>1.5</v>
      </c>
      <c r="P835" s="0" t="n">
        <v>0</v>
      </c>
      <c r="Q835" s="0" t="n">
        <v>0</v>
      </c>
      <c r="R835" s="0" t="n">
        <v>0</v>
      </c>
      <c r="S835" s="0" t="n">
        <v>0</v>
      </c>
      <c r="T835" s="0" t="s">
        <v>624</v>
      </c>
      <c r="U835" s="0" t="s">
        <v>137</v>
      </c>
      <c r="V835" s="0" t="s">
        <v>624</v>
      </c>
      <c r="W835" s="0" t="s">
        <v>569</v>
      </c>
      <c r="X835" s="0" t="s">
        <v>624</v>
      </c>
      <c r="Y835" s="0" t="s">
        <v>627</v>
      </c>
      <c r="Z835" s="0" t="s">
        <v>629</v>
      </c>
      <c r="AA835" s="0" t="s">
        <v>624</v>
      </c>
      <c r="AB835" s="0" t="s">
        <v>132</v>
      </c>
      <c r="AC835" s="254" t="n">
        <v>1000000</v>
      </c>
      <c r="AD835" s="254" t="n">
        <v>50556.66570285</v>
      </c>
      <c r="AE835" s="0" t="n">
        <v>0</v>
      </c>
      <c r="AF835" s="0" t="n">
        <v>0</v>
      </c>
      <c r="AG835" s="0" t="n">
        <v>0</v>
      </c>
      <c r="AH835" s="254" t="n">
        <v>0</v>
      </c>
      <c r="AI835" s="0" t="n">
        <v>226</v>
      </c>
      <c r="AJ835" s="0" t="s">
        <v>630</v>
      </c>
      <c r="AK835" s="0" t="n">
        <v>0</v>
      </c>
      <c r="AL835" s="0" t="n">
        <v>0</v>
      </c>
      <c r="AM835" s="0" t="n">
        <v>0</v>
      </c>
    </row>
    <row r="836" customFormat="false" ht="12.75" hidden="false" customHeight="false" outlineLevel="0" collapsed="false">
      <c r="A836" s="0" t="s">
        <v>621</v>
      </c>
      <c r="B836" s="0" t="s">
        <v>468</v>
      </c>
      <c r="C836" s="0" t="s">
        <v>622</v>
      </c>
      <c r="D836" s="0" t="s">
        <v>623</v>
      </c>
      <c r="E836" s="0" t="s">
        <v>131</v>
      </c>
      <c r="F836" s="0" t="s">
        <v>198</v>
      </c>
      <c r="G836" s="0" t="s">
        <v>628</v>
      </c>
      <c r="H836" s="0" t="s">
        <v>625</v>
      </c>
      <c r="I836" s="0" t="s">
        <v>626</v>
      </c>
      <c r="J836" s="0" t="s">
        <v>627</v>
      </c>
      <c r="K836" s="475" t="n">
        <v>36892</v>
      </c>
      <c r="L836" s="254" t="n">
        <v>149938.673722536</v>
      </c>
      <c r="M836" s="475" t="n">
        <v>36888</v>
      </c>
      <c r="N836" s="0" t="s">
        <v>136</v>
      </c>
      <c r="O836" s="0" t="n">
        <v>1.5</v>
      </c>
      <c r="P836" s="0" t="n">
        <v>0</v>
      </c>
      <c r="Q836" s="0" t="n">
        <v>0</v>
      </c>
      <c r="R836" s="0" t="n">
        <v>0</v>
      </c>
      <c r="S836" s="0" t="n">
        <v>0</v>
      </c>
      <c r="T836" s="0" t="s">
        <v>624</v>
      </c>
      <c r="U836" s="0" t="s">
        <v>137</v>
      </c>
      <c r="V836" s="0" t="s">
        <v>624</v>
      </c>
      <c r="W836" s="0" t="s">
        <v>569</v>
      </c>
      <c r="X836" s="0" t="s">
        <v>624</v>
      </c>
      <c r="Y836" s="0" t="s">
        <v>627</v>
      </c>
      <c r="Z836" s="0" t="s">
        <v>629</v>
      </c>
      <c r="AA836" s="0" t="s">
        <v>624</v>
      </c>
      <c r="AB836" s="0" t="s">
        <v>132</v>
      </c>
      <c r="AC836" s="254" t="n">
        <v>1000000</v>
      </c>
      <c r="AD836" s="254" t="n">
        <v>52560.4571495859</v>
      </c>
      <c r="AE836" s="0" t="n">
        <v>0</v>
      </c>
      <c r="AF836" s="0" t="n">
        <v>0</v>
      </c>
      <c r="AG836" s="0" t="n">
        <v>0</v>
      </c>
      <c r="AH836" s="254" t="n">
        <v>0</v>
      </c>
      <c r="AI836" s="0" t="n">
        <v>226</v>
      </c>
      <c r="AJ836" s="0" t="s">
        <v>630</v>
      </c>
      <c r="AK836" s="0" t="n">
        <v>0</v>
      </c>
      <c r="AL836" s="0" t="n">
        <v>0</v>
      </c>
      <c r="AM836" s="0" t="n">
        <v>0</v>
      </c>
    </row>
    <row r="837" customFormat="false" ht="12.75" hidden="false" customHeight="false" outlineLevel="0" collapsed="false">
      <c r="A837" s="0" t="s">
        <v>621</v>
      </c>
      <c r="B837" s="0" t="s">
        <v>468</v>
      </c>
      <c r="C837" s="0" t="s">
        <v>622</v>
      </c>
      <c r="D837" s="0" t="s">
        <v>623</v>
      </c>
      <c r="E837" s="0" t="s">
        <v>131</v>
      </c>
      <c r="F837" s="0" t="s">
        <v>198</v>
      </c>
      <c r="G837" s="0" t="s">
        <v>628</v>
      </c>
      <c r="H837" s="0" t="s">
        <v>625</v>
      </c>
      <c r="I837" s="0" t="s">
        <v>626</v>
      </c>
      <c r="J837" s="0" t="s">
        <v>627</v>
      </c>
      <c r="K837" s="475" t="n">
        <v>36923</v>
      </c>
      <c r="L837" s="254" t="n">
        <v>129001.680199541</v>
      </c>
      <c r="M837" s="475" t="n">
        <v>36921</v>
      </c>
      <c r="N837" s="0" t="s">
        <v>136</v>
      </c>
      <c r="O837" s="0" t="n">
        <v>1.5</v>
      </c>
      <c r="P837" s="0" t="n">
        <v>0</v>
      </c>
      <c r="Q837" s="0" t="n">
        <v>0</v>
      </c>
      <c r="R837" s="0" t="n">
        <v>0</v>
      </c>
      <c r="S837" s="0" t="n">
        <v>0</v>
      </c>
      <c r="T837" s="0" t="s">
        <v>624</v>
      </c>
      <c r="U837" s="0" t="s">
        <v>137</v>
      </c>
      <c r="V837" s="0" t="s">
        <v>624</v>
      </c>
      <c r="W837" s="0" t="s">
        <v>569</v>
      </c>
      <c r="X837" s="0" t="s">
        <v>624</v>
      </c>
      <c r="Y837" s="0" t="s">
        <v>627</v>
      </c>
      <c r="Z837" s="0" t="s">
        <v>629</v>
      </c>
      <c r="AA837" s="0" t="s">
        <v>624</v>
      </c>
      <c r="AB837" s="0" t="s">
        <v>132</v>
      </c>
      <c r="AC837" s="254" t="n">
        <v>1000000</v>
      </c>
      <c r="AD837" s="254" t="n">
        <v>52991.9127726666</v>
      </c>
      <c r="AE837" s="0" t="n">
        <v>0</v>
      </c>
      <c r="AF837" s="0" t="n">
        <v>0</v>
      </c>
      <c r="AG837" s="0" t="n">
        <v>0</v>
      </c>
      <c r="AH837" s="254" t="n">
        <v>0</v>
      </c>
      <c r="AI837" s="0" t="n">
        <v>226</v>
      </c>
      <c r="AJ837" s="0" t="s">
        <v>630</v>
      </c>
      <c r="AK837" s="0" t="n">
        <v>0</v>
      </c>
      <c r="AL837" s="0" t="n">
        <v>0</v>
      </c>
      <c r="AM837" s="0" t="n">
        <v>0</v>
      </c>
    </row>
    <row r="838" customFormat="false" ht="12.75" hidden="false" customHeight="false" outlineLevel="0" collapsed="false">
      <c r="A838" s="0" t="s">
        <v>621</v>
      </c>
      <c r="B838" s="0" t="s">
        <v>468</v>
      </c>
      <c r="C838" s="0" t="s">
        <v>622</v>
      </c>
      <c r="D838" s="0" t="s">
        <v>623</v>
      </c>
      <c r="E838" s="0" t="s">
        <v>131</v>
      </c>
      <c r="F838" s="0" t="s">
        <v>198</v>
      </c>
      <c r="G838" s="0" t="s">
        <v>628</v>
      </c>
      <c r="H838" s="0" t="s">
        <v>625</v>
      </c>
      <c r="I838" s="0" t="s">
        <v>626</v>
      </c>
      <c r="J838" s="0" t="s">
        <v>627</v>
      </c>
      <c r="K838" s="475" t="n">
        <v>36951</v>
      </c>
      <c r="L838" s="254" t="n">
        <v>103677.696996939</v>
      </c>
      <c r="M838" s="475" t="n">
        <v>36949</v>
      </c>
      <c r="N838" s="0" t="s">
        <v>136</v>
      </c>
      <c r="O838" s="0" t="n">
        <v>1.5</v>
      </c>
      <c r="P838" s="0" t="n">
        <v>0</v>
      </c>
      <c r="Q838" s="0" t="n">
        <v>0</v>
      </c>
      <c r="R838" s="0" t="n">
        <v>0</v>
      </c>
      <c r="S838" s="0" t="n">
        <v>0</v>
      </c>
      <c r="T838" s="0" t="s">
        <v>624</v>
      </c>
      <c r="U838" s="0" t="s">
        <v>137</v>
      </c>
      <c r="V838" s="0" t="s">
        <v>624</v>
      </c>
      <c r="W838" s="0" t="s">
        <v>569</v>
      </c>
      <c r="X838" s="0" t="s">
        <v>624</v>
      </c>
      <c r="Y838" s="0" t="s">
        <v>627</v>
      </c>
      <c r="Z838" s="0" t="s">
        <v>629</v>
      </c>
      <c r="AA838" s="0" t="s">
        <v>624</v>
      </c>
      <c r="AB838" s="0" t="s">
        <v>132</v>
      </c>
      <c r="AC838" s="254" t="n">
        <v>1000000</v>
      </c>
      <c r="AD838" s="254" t="n">
        <v>47854.6440670107</v>
      </c>
      <c r="AE838" s="0" t="n">
        <v>0</v>
      </c>
      <c r="AF838" s="0" t="n">
        <v>0</v>
      </c>
      <c r="AG838" s="0" t="n">
        <v>0</v>
      </c>
      <c r="AH838" s="254" t="n">
        <v>0</v>
      </c>
      <c r="AI838" s="0" t="n">
        <v>226</v>
      </c>
      <c r="AJ838" s="0" t="s">
        <v>630</v>
      </c>
      <c r="AK838" s="0" t="n">
        <v>0</v>
      </c>
      <c r="AL838" s="0" t="n">
        <v>0</v>
      </c>
      <c r="AM838" s="0" t="n">
        <v>0</v>
      </c>
    </row>
    <row r="839" customFormat="false" ht="12.75" hidden="false" customHeight="false" outlineLevel="0" collapsed="false">
      <c r="A839" s="0" t="s">
        <v>621</v>
      </c>
      <c r="B839" s="0" t="s">
        <v>469</v>
      </c>
      <c r="C839" s="0" t="s">
        <v>622</v>
      </c>
      <c r="D839" s="0" t="s">
        <v>623</v>
      </c>
      <c r="E839" s="0" t="s">
        <v>131</v>
      </c>
      <c r="F839" s="0" t="s">
        <v>198</v>
      </c>
      <c r="G839" s="0" t="s">
        <v>628</v>
      </c>
      <c r="H839" s="0" t="s">
        <v>625</v>
      </c>
      <c r="I839" s="0" t="s">
        <v>626</v>
      </c>
      <c r="J839" s="0" t="s">
        <v>627</v>
      </c>
      <c r="K839" s="475" t="n">
        <v>36982</v>
      </c>
      <c r="L839" s="254" t="n">
        <v>-28264.7658857092</v>
      </c>
      <c r="M839" s="475" t="n">
        <v>36979</v>
      </c>
      <c r="N839" s="0" t="s">
        <v>136</v>
      </c>
      <c r="O839" s="0" t="n">
        <v>1.5</v>
      </c>
      <c r="P839" s="0" t="n">
        <v>0</v>
      </c>
      <c r="Q839" s="0" t="n">
        <v>0</v>
      </c>
      <c r="R839" s="0" t="n">
        <v>0</v>
      </c>
      <c r="S839" s="0" t="n">
        <v>0</v>
      </c>
      <c r="T839" s="0" t="s">
        <v>624</v>
      </c>
      <c r="U839" s="0" t="s">
        <v>137</v>
      </c>
      <c r="V839" s="0" t="s">
        <v>624</v>
      </c>
      <c r="W839" s="0" t="s">
        <v>569</v>
      </c>
      <c r="X839" s="0" t="s">
        <v>624</v>
      </c>
      <c r="Y839" s="0" t="s">
        <v>627</v>
      </c>
      <c r="Z839" s="0" t="s">
        <v>629</v>
      </c>
      <c r="AA839" s="0" t="s">
        <v>624</v>
      </c>
      <c r="AB839" s="0" t="s">
        <v>132</v>
      </c>
      <c r="AC839" s="254" t="n">
        <v>-500000</v>
      </c>
      <c r="AD839" s="254" t="n">
        <v>-15567.3996910619</v>
      </c>
      <c r="AE839" s="0" t="n">
        <v>0</v>
      </c>
      <c r="AF839" s="0" t="n">
        <v>0</v>
      </c>
      <c r="AG839" s="0" t="n">
        <v>0</v>
      </c>
      <c r="AH839" s="254" t="n">
        <v>0</v>
      </c>
      <c r="AI839" s="0" t="n">
        <v>226</v>
      </c>
      <c r="AJ839" s="0" t="s">
        <v>630</v>
      </c>
      <c r="AK839" s="0" t="n">
        <v>0</v>
      </c>
      <c r="AL839" s="0" t="n">
        <v>0</v>
      </c>
      <c r="AM839" s="0" t="n">
        <v>0</v>
      </c>
    </row>
    <row r="840" customFormat="false" ht="12.75" hidden="false" customHeight="false" outlineLevel="0" collapsed="false">
      <c r="A840" s="0" t="s">
        <v>621</v>
      </c>
      <c r="B840" s="0" t="s">
        <v>469</v>
      </c>
      <c r="C840" s="0" t="s">
        <v>622</v>
      </c>
      <c r="D840" s="0" t="s">
        <v>623</v>
      </c>
      <c r="E840" s="0" t="s">
        <v>131</v>
      </c>
      <c r="F840" s="0" t="s">
        <v>198</v>
      </c>
      <c r="G840" s="0" t="s">
        <v>628</v>
      </c>
      <c r="H840" s="0" t="s">
        <v>625</v>
      </c>
      <c r="I840" s="0" t="s">
        <v>626</v>
      </c>
      <c r="J840" s="0" t="s">
        <v>627</v>
      </c>
      <c r="K840" s="475" t="n">
        <v>37012</v>
      </c>
      <c r="L840" s="254" t="n">
        <v>-25116.8547735615</v>
      </c>
      <c r="M840" s="475" t="n">
        <v>37008</v>
      </c>
      <c r="N840" s="0" t="s">
        <v>136</v>
      </c>
      <c r="O840" s="0" t="n">
        <v>1.5</v>
      </c>
      <c r="P840" s="0" t="n">
        <v>0</v>
      </c>
      <c r="Q840" s="0" t="n">
        <v>0</v>
      </c>
      <c r="R840" s="0" t="n">
        <v>0</v>
      </c>
      <c r="S840" s="0" t="n">
        <v>0</v>
      </c>
      <c r="T840" s="0" t="s">
        <v>624</v>
      </c>
      <c r="U840" s="0" t="s">
        <v>137</v>
      </c>
      <c r="V840" s="0" t="s">
        <v>624</v>
      </c>
      <c r="W840" s="0" t="s">
        <v>569</v>
      </c>
      <c r="X840" s="0" t="s">
        <v>624</v>
      </c>
      <c r="Y840" s="0" t="s">
        <v>627</v>
      </c>
      <c r="Z840" s="0" t="s">
        <v>629</v>
      </c>
      <c r="AA840" s="0" t="s">
        <v>624</v>
      </c>
      <c r="AB840" s="0" t="s">
        <v>132</v>
      </c>
      <c r="AC840" s="254" t="n">
        <v>-500000</v>
      </c>
      <c r="AD840" s="254" t="n">
        <v>-14459.5788766825</v>
      </c>
      <c r="AE840" s="0" t="n">
        <v>0</v>
      </c>
      <c r="AF840" s="0" t="n">
        <v>0</v>
      </c>
      <c r="AG840" s="0" t="n">
        <v>0</v>
      </c>
      <c r="AH840" s="254" t="n">
        <v>0</v>
      </c>
      <c r="AI840" s="0" t="n">
        <v>226</v>
      </c>
      <c r="AJ840" s="0" t="s">
        <v>630</v>
      </c>
      <c r="AK840" s="0" t="n">
        <v>0</v>
      </c>
      <c r="AL840" s="0" t="n">
        <v>0</v>
      </c>
      <c r="AM840" s="0" t="n">
        <v>0</v>
      </c>
    </row>
    <row r="841" customFormat="false" ht="12.75" hidden="false" customHeight="false" outlineLevel="0" collapsed="false">
      <c r="A841" s="0" t="s">
        <v>621</v>
      </c>
      <c r="B841" s="0" t="s">
        <v>469</v>
      </c>
      <c r="C841" s="0" t="s">
        <v>622</v>
      </c>
      <c r="D841" s="0" t="s">
        <v>623</v>
      </c>
      <c r="E841" s="0" t="s">
        <v>131</v>
      </c>
      <c r="F841" s="0" t="s">
        <v>198</v>
      </c>
      <c r="G841" s="0" t="s">
        <v>628</v>
      </c>
      <c r="H841" s="0" t="s">
        <v>625</v>
      </c>
      <c r="I841" s="0" t="s">
        <v>626</v>
      </c>
      <c r="J841" s="0" t="s">
        <v>627</v>
      </c>
      <c r="K841" s="475" t="n">
        <v>37043</v>
      </c>
      <c r="L841" s="254" t="n">
        <v>-30653.9703200064</v>
      </c>
      <c r="M841" s="475" t="n">
        <v>37041</v>
      </c>
      <c r="N841" s="0" t="s">
        <v>136</v>
      </c>
      <c r="O841" s="0" t="n">
        <v>1.5</v>
      </c>
      <c r="P841" s="0" t="n">
        <v>0</v>
      </c>
      <c r="Q841" s="0" t="n">
        <v>0</v>
      </c>
      <c r="R841" s="0" t="n">
        <v>0</v>
      </c>
      <c r="S841" s="0" t="n">
        <v>0</v>
      </c>
      <c r="T841" s="0" t="s">
        <v>624</v>
      </c>
      <c r="U841" s="0" t="s">
        <v>137</v>
      </c>
      <c r="V841" s="0" t="s">
        <v>624</v>
      </c>
      <c r="W841" s="0" t="s">
        <v>569</v>
      </c>
      <c r="X841" s="0" t="s">
        <v>624</v>
      </c>
      <c r="Y841" s="0" t="s">
        <v>627</v>
      </c>
      <c r="Z841" s="0" t="s">
        <v>629</v>
      </c>
      <c r="AA841" s="0" t="s">
        <v>624</v>
      </c>
      <c r="AB841" s="0" t="s">
        <v>132</v>
      </c>
      <c r="AC841" s="254" t="n">
        <v>-500000</v>
      </c>
      <c r="AD841" s="254" t="n">
        <v>-16456.6569630105</v>
      </c>
      <c r="AE841" s="0" t="n">
        <v>0</v>
      </c>
      <c r="AF841" s="0" t="n">
        <v>0</v>
      </c>
      <c r="AG841" s="0" t="n">
        <v>0</v>
      </c>
      <c r="AH841" s="254" t="n">
        <v>0</v>
      </c>
      <c r="AI841" s="0" t="n">
        <v>226</v>
      </c>
      <c r="AJ841" s="0" t="s">
        <v>630</v>
      </c>
      <c r="AK841" s="0" t="n">
        <v>0</v>
      </c>
      <c r="AL841" s="0" t="n">
        <v>0</v>
      </c>
      <c r="AM841" s="0" t="n">
        <v>0</v>
      </c>
    </row>
    <row r="842" customFormat="false" ht="12.75" hidden="false" customHeight="false" outlineLevel="0" collapsed="false">
      <c r="A842" s="0" t="s">
        <v>621</v>
      </c>
      <c r="B842" s="0" t="s">
        <v>469</v>
      </c>
      <c r="C842" s="0" t="s">
        <v>622</v>
      </c>
      <c r="D842" s="0" t="s">
        <v>623</v>
      </c>
      <c r="E842" s="0" t="s">
        <v>131</v>
      </c>
      <c r="F842" s="0" t="s">
        <v>198</v>
      </c>
      <c r="G842" s="0" t="s">
        <v>628</v>
      </c>
      <c r="H842" s="0" t="s">
        <v>625</v>
      </c>
      <c r="I842" s="0" t="s">
        <v>626</v>
      </c>
      <c r="J842" s="0" t="s">
        <v>627</v>
      </c>
      <c r="K842" s="475" t="n">
        <v>37073</v>
      </c>
      <c r="L842" s="254" t="n">
        <v>-120718.475069725</v>
      </c>
      <c r="M842" s="475" t="n">
        <v>37070</v>
      </c>
      <c r="N842" s="0" t="s">
        <v>136</v>
      </c>
      <c r="O842" s="0" t="n">
        <v>1.5</v>
      </c>
      <c r="P842" s="0" t="n">
        <v>0</v>
      </c>
      <c r="Q842" s="0" t="n">
        <v>0</v>
      </c>
      <c r="R842" s="0" t="n">
        <v>0</v>
      </c>
      <c r="S842" s="0" t="n">
        <v>0</v>
      </c>
      <c r="T842" s="0" t="s">
        <v>624</v>
      </c>
      <c r="U842" s="0" t="s">
        <v>137</v>
      </c>
      <c r="V842" s="0" t="s">
        <v>624</v>
      </c>
      <c r="W842" s="0" t="s">
        <v>569</v>
      </c>
      <c r="X842" s="0" t="s">
        <v>624</v>
      </c>
      <c r="Y842" s="0" t="s">
        <v>627</v>
      </c>
      <c r="Z842" s="0" t="s">
        <v>629</v>
      </c>
      <c r="AA842" s="0" t="s">
        <v>624</v>
      </c>
      <c r="AB842" s="0" t="s">
        <v>132</v>
      </c>
      <c r="AC842" s="254" t="n">
        <v>-500000</v>
      </c>
      <c r="AD842" s="254" t="n">
        <v>-27571.1427158308</v>
      </c>
      <c r="AE842" s="0" t="n">
        <v>0</v>
      </c>
      <c r="AF842" s="0" t="n">
        <v>0</v>
      </c>
      <c r="AG842" s="0" t="n">
        <v>0</v>
      </c>
      <c r="AH842" s="254" t="n">
        <v>0</v>
      </c>
      <c r="AI842" s="0" t="n">
        <v>226</v>
      </c>
      <c r="AJ842" s="0" t="s">
        <v>630</v>
      </c>
      <c r="AK842" s="0" t="n">
        <v>0</v>
      </c>
      <c r="AL842" s="0" t="n">
        <v>0</v>
      </c>
      <c r="AM842" s="0" t="n">
        <v>0</v>
      </c>
    </row>
    <row r="843" customFormat="false" ht="12.75" hidden="false" customHeight="false" outlineLevel="0" collapsed="false">
      <c r="A843" s="0" t="s">
        <v>621</v>
      </c>
      <c r="B843" s="0" t="s">
        <v>469</v>
      </c>
      <c r="C843" s="0" t="s">
        <v>622</v>
      </c>
      <c r="D843" s="0" t="s">
        <v>623</v>
      </c>
      <c r="E843" s="0" t="s">
        <v>131</v>
      </c>
      <c r="F843" s="0" t="s">
        <v>198</v>
      </c>
      <c r="G843" s="0" t="s">
        <v>628</v>
      </c>
      <c r="H843" s="0" t="s">
        <v>625</v>
      </c>
      <c r="I843" s="0" t="s">
        <v>626</v>
      </c>
      <c r="J843" s="0" t="s">
        <v>627</v>
      </c>
      <c r="K843" s="475" t="n">
        <v>37104</v>
      </c>
      <c r="L843" s="254" t="n">
        <v>-139258.940509251</v>
      </c>
      <c r="M843" s="475" t="n">
        <v>37102</v>
      </c>
      <c r="N843" s="0" t="s">
        <v>136</v>
      </c>
      <c r="O843" s="0" t="n">
        <v>1.5</v>
      </c>
      <c r="P843" s="0" t="n">
        <v>0</v>
      </c>
      <c r="Q843" s="0" t="n">
        <v>0</v>
      </c>
      <c r="R843" s="0" t="n">
        <v>0</v>
      </c>
      <c r="S843" s="0" t="n">
        <v>0</v>
      </c>
      <c r="T843" s="0" t="s">
        <v>624</v>
      </c>
      <c r="U843" s="0" t="s">
        <v>137</v>
      </c>
      <c r="V843" s="0" t="s">
        <v>624</v>
      </c>
      <c r="W843" s="0" t="s">
        <v>569</v>
      </c>
      <c r="X843" s="0" t="s">
        <v>624</v>
      </c>
      <c r="Y843" s="0" t="s">
        <v>627</v>
      </c>
      <c r="Z843" s="0" t="s">
        <v>629</v>
      </c>
      <c r="AA843" s="0" t="s">
        <v>624</v>
      </c>
      <c r="AB843" s="0" t="s">
        <v>132</v>
      </c>
      <c r="AC843" s="254" t="n">
        <v>-500000</v>
      </c>
      <c r="AD843" s="254" t="n">
        <v>-29248.8236592701</v>
      </c>
      <c r="AE843" s="0" t="n">
        <v>0</v>
      </c>
      <c r="AF843" s="0" t="n">
        <v>0</v>
      </c>
      <c r="AG843" s="0" t="n">
        <v>0</v>
      </c>
      <c r="AH843" s="254" t="n">
        <v>0</v>
      </c>
      <c r="AI843" s="0" t="n">
        <v>226</v>
      </c>
      <c r="AJ843" s="0" t="s">
        <v>630</v>
      </c>
      <c r="AK843" s="0" t="n">
        <v>0</v>
      </c>
      <c r="AL843" s="0" t="n">
        <v>0</v>
      </c>
      <c r="AM843" s="0" t="n">
        <v>0</v>
      </c>
    </row>
    <row r="844" customFormat="false" ht="12.75" hidden="false" customHeight="false" outlineLevel="0" collapsed="false">
      <c r="A844" s="0" t="s">
        <v>621</v>
      </c>
      <c r="B844" s="0" t="s">
        <v>469</v>
      </c>
      <c r="C844" s="0" t="s">
        <v>622</v>
      </c>
      <c r="D844" s="0" t="s">
        <v>623</v>
      </c>
      <c r="E844" s="0" t="s">
        <v>131</v>
      </c>
      <c r="F844" s="0" t="s">
        <v>198</v>
      </c>
      <c r="G844" s="0" t="s">
        <v>628</v>
      </c>
      <c r="H844" s="0" t="s">
        <v>625</v>
      </c>
      <c r="I844" s="0" t="s">
        <v>626</v>
      </c>
      <c r="J844" s="0" t="s">
        <v>627</v>
      </c>
      <c r="K844" s="475" t="n">
        <v>37135</v>
      </c>
      <c r="L844" s="254" t="n">
        <v>-141304.736052762</v>
      </c>
      <c r="M844" s="475" t="n">
        <v>37133</v>
      </c>
      <c r="N844" s="0" t="s">
        <v>136</v>
      </c>
      <c r="O844" s="0" t="n">
        <v>1.5</v>
      </c>
      <c r="P844" s="0" t="n">
        <v>0</v>
      </c>
      <c r="Q844" s="0" t="n">
        <v>0</v>
      </c>
      <c r="R844" s="0" t="n">
        <v>0</v>
      </c>
      <c r="S844" s="0" t="n">
        <v>0</v>
      </c>
      <c r="T844" s="0" t="s">
        <v>624</v>
      </c>
      <c r="U844" s="0" t="s">
        <v>137</v>
      </c>
      <c r="V844" s="0" t="s">
        <v>624</v>
      </c>
      <c r="W844" s="0" t="s">
        <v>569</v>
      </c>
      <c r="X844" s="0" t="s">
        <v>624</v>
      </c>
      <c r="Y844" s="0" t="s">
        <v>627</v>
      </c>
      <c r="Z844" s="0" t="s">
        <v>629</v>
      </c>
      <c r="AA844" s="0" t="s">
        <v>624</v>
      </c>
      <c r="AB844" s="0" t="s">
        <v>132</v>
      </c>
      <c r="AC844" s="254" t="n">
        <v>-500000</v>
      </c>
      <c r="AD844" s="254" t="n">
        <v>-30313.214591835</v>
      </c>
      <c r="AE844" s="0" t="n">
        <v>0</v>
      </c>
      <c r="AF844" s="0" t="n">
        <v>0</v>
      </c>
      <c r="AG844" s="0" t="n">
        <v>0</v>
      </c>
      <c r="AH844" s="254" t="n">
        <v>0</v>
      </c>
      <c r="AI844" s="0" t="n">
        <v>226</v>
      </c>
      <c r="AJ844" s="0" t="s">
        <v>630</v>
      </c>
      <c r="AK844" s="0" t="n">
        <v>0</v>
      </c>
      <c r="AL844" s="0" t="n">
        <v>0</v>
      </c>
      <c r="AM844" s="0" t="n">
        <v>0</v>
      </c>
    </row>
    <row r="845" customFormat="false" ht="12.75" hidden="false" customHeight="false" outlineLevel="0" collapsed="false">
      <c r="A845" s="0" t="s">
        <v>621</v>
      </c>
      <c r="B845" s="0" t="s">
        <v>469</v>
      </c>
      <c r="C845" s="0" t="s">
        <v>622</v>
      </c>
      <c r="D845" s="0" t="s">
        <v>623</v>
      </c>
      <c r="E845" s="0" t="s">
        <v>131</v>
      </c>
      <c r="F845" s="0" t="s">
        <v>198</v>
      </c>
      <c r="G845" s="0" t="s">
        <v>628</v>
      </c>
      <c r="H845" s="0" t="s">
        <v>625</v>
      </c>
      <c r="I845" s="0" t="s">
        <v>626</v>
      </c>
      <c r="J845" s="0" t="s">
        <v>627</v>
      </c>
      <c r="K845" s="475" t="n">
        <v>37165</v>
      </c>
      <c r="L845" s="254" t="n">
        <v>-64273.509868813</v>
      </c>
      <c r="M845" s="475" t="n">
        <v>37161</v>
      </c>
      <c r="N845" s="0" t="s">
        <v>136</v>
      </c>
      <c r="O845" s="0" t="n">
        <v>1.5</v>
      </c>
      <c r="P845" s="0" t="n">
        <v>0</v>
      </c>
      <c r="Q845" s="0" t="n">
        <v>0</v>
      </c>
      <c r="R845" s="0" t="n">
        <v>0</v>
      </c>
      <c r="S845" s="0" t="n">
        <v>0</v>
      </c>
      <c r="T845" s="0" t="s">
        <v>624</v>
      </c>
      <c r="U845" s="0" t="s">
        <v>137</v>
      </c>
      <c r="V845" s="0" t="s">
        <v>624</v>
      </c>
      <c r="W845" s="0" t="s">
        <v>569</v>
      </c>
      <c r="X845" s="0" t="s">
        <v>624</v>
      </c>
      <c r="Y845" s="0" t="s">
        <v>627</v>
      </c>
      <c r="Z845" s="0" t="s">
        <v>629</v>
      </c>
      <c r="AA845" s="0" t="s">
        <v>624</v>
      </c>
      <c r="AB845" s="0" t="s">
        <v>132</v>
      </c>
      <c r="AC845" s="254" t="n">
        <v>-500000</v>
      </c>
      <c r="AD845" s="254" t="n">
        <v>-25421.5336249432</v>
      </c>
      <c r="AE845" s="0" t="n">
        <v>0</v>
      </c>
      <c r="AF845" s="0" t="n">
        <v>0</v>
      </c>
      <c r="AG845" s="0" t="n">
        <v>0</v>
      </c>
      <c r="AH845" s="254" t="n">
        <v>0</v>
      </c>
      <c r="AI845" s="0" t="n">
        <v>226</v>
      </c>
      <c r="AJ845" s="0" t="s">
        <v>630</v>
      </c>
      <c r="AK845" s="0" t="n">
        <v>0</v>
      </c>
      <c r="AL845" s="0" t="n">
        <v>0</v>
      </c>
      <c r="AM845" s="0" t="n">
        <v>0</v>
      </c>
    </row>
    <row r="846" customFormat="false" ht="12.75" hidden="false" customHeight="false" outlineLevel="0" collapsed="false">
      <c r="A846" s="0" t="s">
        <v>621</v>
      </c>
      <c r="B846" s="0" t="s">
        <v>470</v>
      </c>
      <c r="C846" s="0" t="s">
        <v>622</v>
      </c>
      <c r="D846" s="0" t="s">
        <v>623</v>
      </c>
      <c r="E846" s="0" t="s">
        <v>131</v>
      </c>
      <c r="F846" s="0" t="s">
        <v>198</v>
      </c>
      <c r="G846" s="0" t="s">
        <v>628</v>
      </c>
      <c r="H846" s="0" t="s">
        <v>625</v>
      </c>
      <c r="I846" s="0" t="s">
        <v>626</v>
      </c>
      <c r="J846" s="0" t="s">
        <v>627</v>
      </c>
      <c r="K846" s="475" t="n">
        <v>36982</v>
      </c>
      <c r="L846" s="254" t="n">
        <v>-28264.7658857092</v>
      </c>
      <c r="M846" s="475" t="n">
        <v>36979</v>
      </c>
      <c r="N846" s="0" t="s">
        <v>136</v>
      </c>
      <c r="O846" s="0" t="n">
        <v>1.5</v>
      </c>
      <c r="P846" s="0" t="n">
        <v>0</v>
      </c>
      <c r="Q846" s="0" t="n">
        <v>0</v>
      </c>
      <c r="R846" s="0" t="n">
        <v>0</v>
      </c>
      <c r="S846" s="0" t="n">
        <v>0</v>
      </c>
      <c r="T846" s="0" t="s">
        <v>624</v>
      </c>
      <c r="U846" s="0" t="s">
        <v>137</v>
      </c>
      <c r="V846" s="0" t="s">
        <v>624</v>
      </c>
      <c r="W846" s="0" t="s">
        <v>569</v>
      </c>
      <c r="X846" s="0" t="s">
        <v>624</v>
      </c>
      <c r="Y846" s="0" t="s">
        <v>627</v>
      </c>
      <c r="Z846" s="0" t="s">
        <v>629</v>
      </c>
      <c r="AA846" s="0" t="s">
        <v>624</v>
      </c>
      <c r="AB846" s="0" t="s">
        <v>132</v>
      </c>
      <c r="AC846" s="254" t="n">
        <v>-500000</v>
      </c>
      <c r="AD846" s="254" t="n">
        <v>-15567.3996910619</v>
      </c>
      <c r="AE846" s="0" t="n">
        <v>0</v>
      </c>
      <c r="AF846" s="0" t="n">
        <v>0</v>
      </c>
      <c r="AG846" s="0" t="n">
        <v>0</v>
      </c>
      <c r="AH846" s="254" t="n">
        <v>0</v>
      </c>
      <c r="AI846" s="0" t="n">
        <v>226</v>
      </c>
      <c r="AJ846" s="0" t="s">
        <v>630</v>
      </c>
      <c r="AK846" s="0" t="n">
        <v>0</v>
      </c>
      <c r="AL846" s="0" t="n">
        <v>0</v>
      </c>
      <c r="AM846" s="0" t="n">
        <v>0</v>
      </c>
    </row>
    <row r="847" customFormat="false" ht="12.75" hidden="false" customHeight="false" outlineLevel="0" collapsed="false">
      <c r="A847" s="0" t="s">
        <v>621</v>
      </c>
      <c r="B847" s="0" t="s">
        <v>470</v>
      </c>
      <c r="C847" s="0" t="s">
        <v>622</v>
      </c>
      <c r="D847" s="0" t="s">
        <v>623</v>
      </c>
      <c r="E847" s="0" t="s">
        <v>131</v>
      </c>
      <c r="F847" s="0" t="s">
        <v>198</v>
      </c>
      <c r="G847" s="0" t="s">
        <v>628</v>
      </c>
      <c r="H847" s="0" t="s">
        <v>625</v>
      </c>
      <c r="I847" s="0" t="s">
        <v>626</v>
      </c>
      <c r="J847" s="0" t="s">
        <v>627</v>
      </c>
      <c r="K847" s="475" t="n">
        <v>37012</v>
      </c>
      <c r="L847" s="254" t="n">
        <v>-25116.8547735615</v>
      </c>
      <c r="M847" s="475" t="n">
        <v>37008</v>
      </c>
      <c r="N847" s="0" t="s">
        <v>136</v>
      </c>
      <c r="O847" s="0" t="n">
        <v>1.5</v>
      </c>
      <c r="P847" s="0" t="n">
        <v>0</v>
      </c>
      <c r="Q847" s="0" t="n">
        <v>0</v>
      </c>
      <c r="R847" s="0" t="n">
        <v>0</v>
      </c>
      <c r="S847" s="0" t="n">
        <v>0</v>
      </c>
      <c r="T847" s="0" t="s">
        <v>624</v>
      </c>
      <c r="U847" s="0" t="s">
        <v>137</v>
      </c>
      <c r="V847" s="0" t="s">
        <v>624</v>
      </c>
      <c r="W847" s="0" t="s">
        <v>569</v>
      </c>
      <c r="X847" s="0" t="s">
        <v>624</v>
      </c>
      <c r="Y847" s="0" t="s">
        <v>627</v>
      </c>
      <c r="Z847" s="0" t="s">
        <v>629</v>
      </c>
      <c r="AA847" s="0" t="s">
        <v>624</v>
      </c>
      <c r="AB847" s="0" t="s">
        <v>132</v>
      </c>
      <c r="AC847" s="254" t="n">
        <v>-500000</v>
      </c>
      <c r="AD847" s="254" t="n">
        <v>-14459.5788766825</v>
      </c>
      <c r="AE847" s="0" t="n">
        <v>0</v>
      </c>
      <c r="AF847" s="0" t="n">
        <v>0</v>
      </c>
      <c r="AG847" s="0" t="n">
        <v>0</v>
      </c>
      <c r="AH847" s="254" t="n">
        <v>0</v>
      </c>
      <c r="AI847" s="0" t="n">
        <v>226</v>
      </c>
      <c r="AJ847" s="0" t="s">
        <v>630</v>
      </c>
      <c r="AK847" s="0" t="n">
        <v>0</v>
      </c>
      <c r="AL847" s="0" t="n">
        <v>0</v>
      </c>
      <c r="AM847" s="0" t="n">
        <v>0</v>
      </c>
    </row>
    <row r="848" customFormat="false" ht="12.75" hidden="false" customHeight="false" outlineLevel="0" collapsed="false">
      <c r="A848" s="0" t="s">
        <v>621</v>
      </c>
      <c r="B848" s="0" t="s">
        <v>470</v>
      </c>
      <c r="C848" s="0" t="s">
        <v>622</v>
      </c>
      <c r="D848" s="0" t="s">
        <v>623</v>
      </c>
      <c r="E848" s="0" t="s">
        <v>131</v>
      </c>
      <c r="F848" s="0" t="s">
        <v>198</v>
      </c>
      <c r="G848" s="0" t="s">
        <v>628</v>
      </c>
      <c r="H848" s="0" t="s">
        <v>625</v>
      </c>
      <c r="I848" s="0" t="s">
        <v>626</v>
      </c>
      <c r="J848" s="0" t="s">
        <v>627</v>
      </c>
      <c r="K848" s="475" t="n">
        <v>37043</v>
      </c>
      <c r="L848" s="254" t="n">
        <v>-30653.9703200064</v>
      </c>
      <c r="M848" s="475" t="n">
        <v>37041</v>
      </c>
      <c r="N848" s="0" t="s">
        <v>136</v>
      </c>
      <c r="O848" s="0" t="n">
        <v>1.5</v>
      </c>
      <c r="P848" s="0" t="n">
        <v>0</v>
      </c>
      <c r="Q848" s="0" t="n">
        <v>0</v>
      </c>
      <c r="R848" s="0" t="n">
        <v>0</v>
      </c>
      <c r="S848" s="0" t="n">
        <v>0</v>
      </c>
      <c r="T848" s="0" t="s">
        <v>624</v>
      </c>
      <c r="U848" s="0" t="s">
        <v>137</v>
      </c>
      <c r="V848" s="0" t="s">
        <v>624</v>
      </c>
      <c r="W848" s="0" t="s">
        <v>569</v>
      </c>
      <c r="X848" s="0" t="s">
        <v>624</v>
      </c>
      <c r="Y848" s="0" t="s">
        <v>627</v>
      </c>
      <c r="Z848" s="0" t="s">
        <v>629</v>
      </c>
      <c r="AA848" s="0" t="s">
        <v>624</v>
      </c>
      <c r="AB848" s="0" t="s">
        <v>132</v>
      </c>
      <c r="AC848" s="254" t="n">
        <v>-500000</v>
      </c>
      <c r="AD848" s="254" t="n">
        <v>-16456.6569630105</v>
      </c>
      <c r="AE848" s="0" t="n">
        <v>0</v>
      </c>
      <c r="AF848" s="0" t="n">
        <v>0</v>
      </c>
      <c r="AG848" s="0" t="n">
        <v>0</v>
      </c>
      <c r="AH848" s="254" t="n">
        <v>0</v>
      </c>
      <c r="AI848" s="0" t="n">
        <v>226</v>
      </c>
      <c r="AJ848" s="0" t="s">
        <v>630</v>
      </c>
      <c r="AK848" s="0" t="n">
        <v>0</v>
      </c>
      <c r="AL848" s="0" t="n">
        <v>0</v>
      </c>
      <c r="AM848" s="0" t="n">
        <v>0</v>
      </c>
    </row>
    <row r="849" customFormat="false" ht="12.75" hidden="false" customHeight="false" outlineLevel="0" collapsed="false">
      <c r="A849" s="0" t="s">
        <v>621</v>
      </c>
      <c r="B849" s="0" t="s">
        <v>470</v>
      </c>
      <c r="C849" s="0" t="s">
        <v>622</v>
      </c>
      <c r="D849" s="0" t="s">
        <v>623</v>
      </c>
      <c r="E849" s="0" t="s">
        <v>131</v>
      </c>
      <c r="F849" s="0" t="s">
        <v>198</v>
      </c>
      <c r="G849" s="0" t="s">
        <v>628</v>
      </c>
      <c r="H849" s="0" t="s">
        <v>625</v>
      </c>
      <c r="I849" s="0" t="s">
        <v>626</v>
      </c>
      <c r="J849" s="0" t="s">
        <v>627</v>
      </c>
      <c r="K849" s="475" t="n">
        <v>37073</v>
      </c>
      <c r="L849" s="254" t="n">
        <v>-120718.475069725</v>
      </c>
      <c r="M849" s="475" t="n">
        <v>37070</v>
      </c>
      <c r="N849" s="0" t="s">
        <v>136</v>
      </c>
      <c r="O849" s="0" t="n">
        <v>1.5</v>
      </c>
      <c r="P849" s="0" t="n">
        <v>0</v>
      </c>
      <c r="Q849" s="0" t="n">
        <v>0</v>
      </c>
      <c r="R849" s="0" t="n">
        <v>0</v>
      </c>
      <c r="S849" s="0" t="n">
        <v>0</v>
      </c>
      <c r="T849" s="0" t="s">
        <v>624</v>
      </c>
      <c r="U849" s="0" t="s">
        <v>137</v>
      </c>
      <c r="V849" s="0" t="s">
        <v>624</v>
      </c>
      <c r="W849" s="0" t="s">
        <v>569</v>
      </c>
      <c r="X849" s="0" t="s">
        <v>624</v>
      </c>
      <c r="Y849" s="0" t="s">
        <v>627</v>
      </c>
      <c r="Z849" s="0" t="s">
        <v>629</v>
      </c>
      <c r="AA849" s="0" t="s">
        <v>624</v>
      </c>
      <c r="AB849" s="0" t="s">
        <v>132</v>
      </c>
      <c r="AC849" s="254" t="n">
        <v>-500000</v>
      </c>
      <c r="AD849" s="254" t="n">
        <v>-27571.1427158308</v>
      </c>
      <c r="AE849" s="0" t="n">
        <v>0</v>
      </c>
      <c r="AF849" s="0" t="n">
        <v>0</v>
      </c>
      <c r="AG849" s="0" t="n">
        <v>0</v>
      </c>
      <c r="AH849" s="254" t="n">
        <v>0</v>
      </c>
      <c r="AI849" s="0" t="n">
        <v>226</v>
      </c>
      <c r="AJ849" s="0" t="s">
        <v>630</v>
      </c>
      <c r="AK849" s="0" t="n">
        <v>0</v>
      </c>
      <c r="AL849" s="0" t="n">
        <v>0</v>
      </c>
      <c r="AM849" s="0" t="n">
        <v>0</v>
      </c>
    </row>
    <row r="850" customFormat="false" ht="12.75" hidden="false" customHeight="false" outlineLevel="0" collapsed="false">
      <c r="A850" s="0" t="s">
        <v>621</v>
      </c>
      <c r="B850" s="0" t="s">
        <v>470</v>
      </c>
      <c r="C850" s="0" t="s">
        <v>622</v>
      </c>
      <c r="D850" s="0" t="s">
        <v>623</v>
      </c>
      <c r="E850" s="0" t="s">
        <v>131</v>
      </c>
      <c r="F850" s="0" t="s">
        <v>198</v>
      </c>
      <c r="G850" s="0" t="s">
        <v>628</v>
      </c>
      <c r="H850" s="0" t="s">
        <v>625</v>
      </c>
      <c r="I850" s="0" t="s">
        <v>626</v>
      </c>
      <c r="J850" s="0" t="s">
        <v>627</v>
      </c>
      <c r="K850" s="475" t="n">
        <v>37104</v>
      </c>
      <c r="L850" s="254" t="n">
        <v>-139258.940509251</v>
      </c>
      <c r="M850" s="475" t="n">
        <v>37102</v>
      </c>
      <c r="N850" s="0" t="s">
        <v>136</v>
      </c>
      <c r="O850" s="0" t="n">
        <v>1.5</v>
      </c>
      <c r="P850" s="0" t="n">
        <v>0</v>
      </c>
      <c r="Q850" s="0" t="n">
        <v>0</v>
      </c>
      <c r="R850" s="0" t="n">
        <v>0</v>
      </c>
      <c r="S850" s="0" t="n">
        <v>0</v>
      </c>
      <c r="T850" s="0" t="s">
        <v>624</v>
      </c>
      <c r="U850" s="0" t="s">
        <v>137</v>
      </c>
      <c r="V850" s="0" t="s">
        <v>624</v>
      </c>
      <c r="W850" s="0" t="s">
        <v>569</v>
      </c>
      <c r="X850" s="0" t="s">
        <v>624</v>
      </c>
      <c r="Y850" s="0" t="s">
        <v>627</v>
      </c>
      <c r="Z850" s="0" t="s">
        <v>629</v>
      </c>
      <c r="AA850" s="0" t="s">
        <v>624</v>
      </c>
      <c r="AB850" s="0" t="s">
        <v>132</v>
      </c>
      <c r="AC850" s="254" t="n">
        <v>-500000</v>
      </c>
      <c r="AD850" s="254" t="n">
        <v>-29248.8236592701</v>
      </c>
      <c r="AE850" s="0" t="n">
        <v>0</v>
      </c>
      <c r="AF850" s="0" t="n">
        <v>0</v>
      </c>
      <c r="AG850" s="0" t="n">
        <v>0</v>
      </c>
      <c r="AH850" s="254" t="n">
        <v>0</v>
      </c>
      <c r="AI850" s="0" t="n">
        <v>226</v>
      </c>
      <c r="AJ850" s="0" t="s">
        <v>630</v>
      </c>
      <c r="AK850" s="0" t="n">
        <v>0</v>
      </c>
      <c r="AL850" s="0" t="n">
        <v>0</v>
      </c>
      <c r="AM850" s="0" t="n">
        <v>0</v>
      </c>
    </row>
    <row r="851" customFormat="false" ht="12.75" hidden="false" customHeight="false" outlineLevel="0" collapsed="false">
      <c r="A851" s="0" t="s">
        <v>621</v>
      </c>
      <c r="B851" s="0" t="s">
        <v>470</v>
      </c>
      <c r="C851" s="0" t="s">
        <v>622</v>
      </c>
      <c r="D851" s="0" t="s">
        <v>623</v>
      </c>
      <c r="E851" s="0" t="s">
        <v>131</v>
      </c>
      <c r="F851" s="0" t="s">
        <v>198</v>
      </c>
      <c r="G851" s="0" t="s">
        <v>628</v>
      </c>
      <c r="H851" s="0" t="s">
        <v>625</v>
      </c>
      <c r="I851" s="0" t="s">
        <v>626</v>
      </c>
      <c r="J851" s="0" t="s">
        <v>627</v>
      </c>
      <c r="K851" s="475" t="n">
        <v>37135</v>
      </c>
      <c r="L851" s="254" t="n">
        <v>-141304.736052762</v>
      </c>
      <c r="M851" s="475" t="n">
        <v>37133</v>
      </c>
      <c r="N851" s="0" t="s">
        <v>136</v>
      </c>
      <c r="O851" s="0" t="n">
        <v>1.5</v>
      </c>
      <c r="P851" s="0" t="n">
        <v>0</v>
      </c>
      <c r="Q851" s="0" t="n">
        <v>0</v>
      </c>
      <c r="R851" s="0" t="n">
        <v>0</v>
      </c>
      <c r="S851" s="0" t="n">
        <v>0</v>
      </c>
      <c r="T851" s="0" t="s">
        <v>624</v>
      </c>
      <c r="U851" s="0" t="s">
        <v>137</v>
      </c>
      <c r="V851" s="0" t="s">
        <v>624</v>
      </c>
      <c r="W851" s="0" t="s">
        <v>569</v>
      </c>
      <c r="X851" s="0" t="s">
        <v>624</v>
      </c>
      <c r="Y851" s="0" t="s">
        <v>627</v>
      </c>
      <c r="Z851" s="0" t="s">
        <v>629</v>
      </c>
      <c r="AA851" s="0" t="s">
        <v>624</v>
      </c>
      <c r="AB851" s="0" t="s">
        <v>132</v>
      </c>
      <c r="AC851" s="254" t="n">
        <v>-500000</v>
      </c>
      <c r="AD851" s="254" t="n">
        <v>-30313.214591835</v>
      </c>
      <c r="AE851" s="0" t="n">
        <v>0</v>
      </c>
      <c r="AF851" s="0" t="n">
        <v>0</v>
      </c>
      <c r="AG851" s="0" t="n">
        <v>0</v>
      </c>
      <c r="AH851" s="254" t="n">
        <v>0</v>
      </c>
      <c r="AI851" s="0" t="n">
        <v>226</v>
      </c>
      <c r="AJ851" s="0" t="s">
        <v>630</v>
      </c>
      <c r="AK851" s="0" t="n">
        <v>0</v>
      </c>
      <c r="AL851" s="0" t="n">
        <v>0</v>
      </c>
      <c r="AM851" s="0" t="n">
        <v>0</v>
      </c>
    </row>
    <row r="852" customFormat="false" ht="12.75" hidden="false" customHeight="false" outlineLevel="0" collapsed="false">
      <c r="A852" s="0" t="s">
        <v>621</v>
      </c>
      <c r="B852" s="0" t="s">
        <v>470</v>
      </c>
      <c r="C852" s="0" t="s">
        <v>622</v>
      </c>
      <c r="D852" s="0" t="s">
        <v>623</v>
      </c>
      <c r="E852" s="0" t="s">
        <v>131</v>
      </c>
      <c r="F852" s="0" t="s">
        <v>198</v>
      </c>
      <c r="G852" s="0" t="s">
        <v>628</v>
      </c>
      <c r="H852" s="0" t="s">
        <v>625</v>
      </c>
      <c r="I852" s="0" t="s">
        <v>626</v>
      </c>
      <c r="J852" s="0" t="s">
        <v>627</v>
      </c>
      <c r="K852" s="475" t="n">
        <v>37165</v>
      </c>
      <c r="L852" s="254" t="n">
        <v>-64273.509868813</v>
      </c>
      <c r="M852" s="475" t="n">
        <v>37161</v>
      </c>
      <c r="N852" s="0" t="s">
        <v>136</v>
      </c>
      <c r="O852" s="0" t="n">
        <v>1.5</v>
      </c>
      <c r="P852" s="0" t="n">
        <v>0</v>
      </c>
      <c r="Q852" s="0" t="n">
        <v>0</v>
      </c>
      <c r="R852" s="0" t="n">
        <v>0</v>
      </c>
      <c r="S852" s="0" t="n">
        <v>0</v>
      </c>
      <c r="T852" s="0" t="s">
        <v>624</v>
      </c>
      <c r="U852" s="0" t="s">
        <v>137</v>
      </c>
      <c r="V852" s="0" t="s">
        <v>624</v>
      </c>
      <c r="W852" s="0" t="s">
        <v>569</v>
      </c>
      <c r="X852" s="0" t="s">
        <v>624</v>
      </c>
      <c r="Y852" s="0" t="s">
        <v>627</v>
      </c>
      <c r="Z852" s="0" t="s">
        <v>629</v>
      </c>
      <c r="AA852" s="0" t="s">
        <v>624</v>
      </c>
      <c r="AB852" s="0" t="s">
        <v>132</v>
      </c>
      <c r="AC852" s="254" t="n">
        <v>-500000</v>
      </c>
      <c r="AD852" s="254" t="n">
        <v>-25421.5336249432</v>
      </c>
      <c r="AE852" s="0" t="n">
        <v>0</v>
      </c>
      <c r="AF852" s="0" t="n">
        <v>0</v>
      </c>
      <c r="AG852" s="0" t="n">
        <v>0</v>
      </c>
      <c r="AH852" s="254" t="n">
        <v>0</v>
      </c>
      <c r="AI852" s="0" t="n">
        <v>226</v>
      </c>
      <c r="AJ852" s="0" t="s">
        <v>630</v>
      </c>
      <c r="AK852" s="0" t="n">
        <v>0</v>
      </c>
      <c r="AL852" s="0" t="n">
        <v>0</v>
      </c>
      <c r="AM852" s="0" t="n">
        <v>0</v>
      </c>
    </row>
    <row r="853" customFormat="false" ht="12.75" hidden="false" customHeight="false" outlineLevel="0" collapsed="false">
      <c r="A853" s="0" t="s">
        <v>621</v>
      </c>
      <c r="B853" s="0" t="s">
        <v>471</v>
      </c>
      <c r="C853" s="0" t="s">
        <v>622</v>
      </c>
      <c r="D853" s="0" t="s">
        <v>623</v>
      </c>
      <c r="E853" s="0" t="s">
        <v>131</v>
      </c>
      <c r="F853" s="0" t="s">
        <v>198</v>
      </c>
      <c r="G853" s="0" t="s">
        <v>628</v>
      </c>
      <c r="H853" s="0" t="s">
        <v>625</v>
      </c>
      <c r="I853" s="0" t="s">
        <v>626</v>
      </c>
      <c r="J853" s="0" t="s">
        <v>627</v>
      </c>
      <c r="K853" s="475" t="n">
        <v>36982</v>
      </c>
      <c r="L853" s="254" t="n">
        <v>-28264.7658857092</v>
      </c>
      <c r="M853" s="475" t="n">
        <v>36979</v>
      </c>
      <c r="N853" s="0" t="s">
        <v>136</v>
      </c>
      <c r="O853" s="0" t="n">
        <v>1.5</v>
      </c>
      <c r="P853" s="0" t="n">
        <v>0</v>
      </c>
      <c r="Q853" s="0" t="n">
        <v>0</v>
      </c>
      <c r="R853" s="0" t="n">
        <v>0</v>
      </c>
      <c r="S853" s="0" t="n">
        <v>0</v>
      </c>
      <c r="T853" s="0" t="s">
        <v>624</v>
      </c>
      <c r="U853" s="0" t="s">
        <v>137</v>
      </c>
      <c r="V853" s="0" t="s">
        <v>624</v>
      </c>
      <c r="W853" s="0" t="s">
        <v>569</v>
      </c>
      <c r="X853" s="0" t="s">
        <v>624</v>
      </c>
      <c r="Y853" s="0" t="s">
        <v>627</v>
      </c>
      <c r="Z853" s="0" t="s">
        <v>629</v>
      </c>
      <c r="AA853" s="0" t="s">
        <v>624</v>
      </c>
      <c r="AB853" s="0" t="s">
        <v>132</v>
      </c>
      <c r="AC853" s="254" t="n">
        <v>-500000</v>
      </c>
      <c r="AD853" s="254" t="n">
        <v>-15567.3996910619</v>
      </c>
      <c r="AE853" s="0" t="n">
        <v>0</v>
      </c>
      <c r="AF853" s="0" t="n">
        <v>0</v>
      </c>
      <c r="AG853" s="0" t="n">
        <v>0</v>
      </c>
      <c r="AH853" s="254" t="n">
        <v>0</v>
      </c>
      <c r="AI853" s="0" t="n">
        <v>226</v>
      </c>
      <c r="AJ853" s="0" t="s">
        <v>630</v>
      </c>
      <c r="AK853" s="0" t="n">
        <v>0</v>
      </c>
      <c r="AL853" s="0" t="n">
        <v>0</v>
      </c>
      <c r="AM853" s="0" t="n">
        <v>0</v>
      </c>
    </row>
    <row r="854" customFormat="false" ht="12.75" hidden="false" customHeight="false" outlineLevel="0" collapsed="false">
      <c r="A854" s="0" t="s">
        <v>621</v>
      </c>
      <c r="B854" s="0" t="s">
        <v>471</v>
      </c>
      <c r="C854" s="0" t="s">
        <v>622</v>
      </c>
      <c r="D854" s="0" t="s">
        <v>623</v>
      </c>
      <c r="E854" s="0" t="s">
        <v>131</v>
      </c>
      <c r="F854" s="0" t="s">
        <v>198</v>
      </c>
      <c r="G854" s="0" t="s">
        <v>628</v>
      </c>
      <c r="H854" s="0" t="s">
        <v>625</v>
      </c>
      <c r="I854" s="0" t="s">
        <v>626</v>
      </c>
      <c r="J854" s="0" t="s">
        <v>627</v>
      </c>
      <c r="K854" s="475" t="n">
        <v>37012</v>
      </c>
      <c r="L854" s="254" t="n">
        <v>-25116.8547735615</v>
      </c>
      <c r="M854" s="475" t="n">
        <v>37008</v>
      </c>
      <c r="N854" s="0" t="s">
        <v>136</v>
      </c>
      <c r="O854" s="0" t="n">
        <v>1.5</v>
      </c>
      <c r="P854" s="0" t="n">
        <v>0</v>
      </c>
      <c r="Q854" s="0" t="n">
        <v>0</v>
      </c>
      <c r="R854" s="0" t="n">
        <v>0</v>
      </c>
      <c r="S854" s="0" t="n">
        <v>0</v>
      </c>
      <c r="T854" s="0" t="s">
        <v>624</v>
      </c>
      <c r="U854" s="0" t="s">
        <v>137</v>
      </c>
      <c r="V854" s="0" t="s">
        <v>624</v>
      </c>
      <c r="W854" s="0" t="s">
        <v>569</v>
      </c>
      <c r="X854" s="0" t="s">
        <v>624</v>
      </c>
      <c r="Y854" s="0" t="s">
        <v>627</v>
      </c>
      <c r="Z854" s="0" t="s">
        <v>629</v>
      </c>
      <c r="AA854" s="0" t="s">
        <v>624</v>
      </c>
      <c r="AB854" s="0" t="s">
        <v>132</v>
      </c>
      <c r="AC854" s="254" t="n">
        <v>-500000</v>
      </c>
      <c r="AD854" s="254" t="n">
        <v>-14459.5788766825</v>
      </c>
      <c r="AE854" s="0" t="n">
        <v>0</v>
      </c>
      <c r="AF854" s="0" t="n">
        <v>0</v>
      </c>
      <c r="AG854" s="0" t="n">
        <v>0</v>
      </c>
      <c r="AH854" s="254" t="n">
        <v>0</v>
      </c>
      <c r="AI854" s="0" t="n">
        <v>226</v>
      </c>
      <c r="AJ854" s="0" t="s">
        <v>630</v>
      </c>
      <c r="AK854" s="0" t="n">
        <v>0</v>
      </c>
      <c r="AL854" s="0" t="n">
        <v>0</v>
      </c>
      <c r="AM854" s="0" t="n">
        <v>0</v>
      </c>
    </row>
    <row r="855" customFormat="false" ht="12.75" hidden="false" customHeight="false" outlineLevel="0" collapsed="false">
      <c r="A855" s="0" t="s">
        <v>621</v>
      </c>
      <c r="B855" s="0" t="s">
        <v>471</v>
      </c>
      <c r="C855" s="0" t="s">
        <v>622</v>
      </c>
      <c r="D855" s="0" t="s">
        <v>623</v>
      </c>
      <c r="E855" s="0" t="s">
        <v>131</v>
      </c>
      <c r="F855" s="0" t="s">
        <v>198</v>
      </c>
      <c r="G855" s="0" t="s">
        <v>628</v>
      </c>
      <c r="H855" s="0" t="s">
        <v>625</v>
      </c>
      <c r="I855" s="0" t="s">
        <v>626</v>
      </c>
      <c r="J855" s="0" t="s">
        <v>627</v>
      </c>
      <c r="K855" s="475" t="n">
        <v>37043</v>
      </c>
      <c r="L855" s="254" t="n">
        <v>-30653.9703200064</v>
      </c>
      <c r="M855" s="475" t="n">
        <v>37041</v>
      </c>
      <c r="N855" s="0" t="s">
        <v>136</v>
      </c>
      <c r="O855" s="0" t="n">
        <v>1.5</v>
      </c>
      <c r="P855" s="0" t="n">
        <v>0</v>
      </c>
      <c r="Q855" s="0" t="n">
        <v>0</v>
      </c>
      <c r="R855" s="0" t="n">
        <v>0</v>
      </c>
      <c r="S855" s="0" t="n">
        <v>0</v>
      </c>
      <c r="T855" s="0" t="s">
        <v>624</v>
      </c>
      <c r="U855" s="0" t="s">
        <v>137</v>
      </c>
      <c r="V855" s="0" t="s">
        <v>624</v>
      </c>
      <c r="W855" s="0" t="s">
        <v>569</v>
      </c>
      <c r="X855" s="0" t="s">
        <v>624</v>
      </c>
      <c r="Y855" s="0" t="s">
        <v>627</v>
      </c>
      <c r="Z855" s="0" t="s">
        <v>629</v>
      </c>
      <c r="AA855" s="0" t="s">
        <v>624</v>
      </c>
      <c r="AB855" s="0" t="s">
        <v>132</v>
      </c>
      <c r="AC855" s="254" t="n">
        <v>-500000</v>
      </c>
      <c r="AD855" s="254" t="n">
        <v>-16456.6569630105</v>
      </c>
      <c r="AE855" s="0" t="n">
        <v>0</v>
      </c>
      <c r="AF855" s="0" t="n">
        <v>0</v>
      </c>
      <c r="AG855" s="0" t="n">
        <v>0</v>
      </c>
      <c r="AH855" s="254" t="n">
        <v>0</v>
      </c>
      <c r="AI855" s="0" t="n">
        <v>226</v>
      </c>
      <c r="AJ855" s="0" t="s">
        <v>630</v>
      </c>
      <c r="AK855" s="0" t="n">
        <v>0</v>
      </c>
      <c r="AL855" s="0" t="n">
        <v>0</v>
      </c>
      <c r="AM855" s="0" t="n">
        <v>0</v>
      </c>
    </row>
    <row r="856" customFormat="false" ht="12.75" hidden="false" customHeight="false" outlineLevel="0" collapsed="false">
      <c r="A856" s="0" t="s">
        <v>621</v>
      </c>
      <c r="B856" s="0" t="s">
        <v>471</v>
      </c>
      <c r="C856" s="0" t="s">
        <v>622</v>
      </c>
      <c r="D856" s="0" t="s">
        <v>623</v>
      </c>
      <c r="E856" s="0" t="s">
        <v>131</v>
      </c>
      <c r="F856" s="0" t="s">
        <v>198</v>
      </c>
      <c r="G856" s="0" t="s">
        <v>628</v>
      </c>
      <c r="H856" s="0" t="s">
        <v>625</v>
      </c>
      <c r="I856" s="0" t="s">
        <v>626</v>
      </c>
      <c r="J856" s="0" t="s">
        <v>627</v>
      </c>
      <c r="K856" s="475" t="n">
        <v>37073</v>
      </c>
      <c r="L856" s="254" t="n">
        <v>-120718.475069725</v>
      </c>
      <c r="M856" s="475" t="n">
        <v>37070</v>
      </c>
      <c r="N856" s="0" t="s">
        <v>136</v>
      </c>
      <c r="O856" s="0" t="n">
        <v>1.5</v>
      </c>
      <c r="P856" s="0" t="n">
        <v>0</v>
      </c>
      <c r="Q856" s="0" t="n">
        <v>0</v>
      </c>
      <c r="R856" s="0" t="n">
        <v>0</v>
      </c>
      <c r="S856" s="0" t="n">
        <v>0</v>
      </c>
      <c r="T856" s="0" t="s">
        <v>624</v>
      </c>
      <c r="U856" s="0" t="s">
        <v>137</v>
      </c>
      <c r="V856" s="0" t="s">
        <v>624</v>
      </c>
      <c r="W856" s="0" t="s">
        <v>569</v>
      </c>
      <c r="X856" s="0" t="s">
        <v>624</v>
      </c>
      <c r="Y856" s="0" t="s">
        <v>627</v>
      </c>
      <c r="Z856" s="0" t="s">
        <v>629</v>
      </c>
      <c r="AA856" s="0" t="s">
        <v>624</v>
      </c>
      <c r="AB856" s="0" t="s">
        <v>132</v>
      </c>
      <c r="AC856" s="254" t="n">
        <v>-500000</v>
      </c>
      <c r="AD856" s="254" t="n">
        <v>-27571.1427158308</v>
      </c>
      <c r="AE856" s="0" t="n">
        <v>0</v>
      </c>
      <c r="AF856" s="0" t="n">
        <v>0</v>
      </c>
      <c r="AG856" s="0" t="n">
        <v>0</v>
      </c>
      <c r="AH856" s="254" t="n">
        <v>0</v>
      </c>
      <c r="AI856" s="0" t="n">
        <v>226</v>
      </c>
      <c r="AJ856" s="0" t="s">
        <v>630</v>
      </c>
      <c r="AK856" s="0" t="n">
        <v>0</v>
      </c>
      <c r="AL856" s="0" t="n">
        <v>0</v>
      </c>
      <c r="AM856" s="0" t="n">
        <v>0</v>
      </c>
    </row>
    <row r="857" customFormat="false" ht="12.75" hidden="false" customHeight="false" outlineLevel="0" collapsed="false">
      <c r="A857" s="0" t="s">
        <v>621</v>
      </c>
      <c r="B857" s="0" t="s">
        <v>471</v>
      </c>
      <c r="C857" s="0" t="s">
        <v>622</v>
      </c>
      <c r="D857" s="0" t="s">
        <v>623</v>
      </c>
      <c r="E857" s="0" t="s">
        <v>131</v>
      </c>
      <c r="F857" s="0" t="s">
        <v>198</v>
      </c>
      <c r="G857" s="0" t="s">
        <v>628</v>
      </c>
      <c r="H857" s="0" t="s">
        <v>625</v>
      </c>
      <c r="I857" s="0" t="s">
        <v>626</v>
      </c>
      <c r="J857" s="0" t="s">
        <v>627</v>
      </c>
      <c r="K857" s="475" t="n">
        <v>37104</v>
      </c>
      <c r="L857" s="254" t="n">
        <v>-139258.940509251</v>
      </c>
      <c r="M857" s="475" t="n">
        <v>37102</v>
      </c>
      <c r="N857" s="0" t="s">
        <v>136</v>
      </c>
      <c r="O857" s="0" t="n">
        <v>1.5</v>
      </c>
      <c r="P857" s="0" t="n">
        <v>0</v>
      </c>
      <c r="Q857" s="0" t="n">
        <v>0</v>
      </c>
      <c r="R857" s="0" t="n">
        <v>0</v>
      </c>
      <c r="S857" s="0" t="n">
        <v>0</v>
      </c>
      <c r="T857" s="0" t="s">
        <v>624</v>
      </c>
      <c r="U857" s="0" t="s">
        <v>137</v>
      </c>
      <c r="V857" s="0" t="s">
        <v>624</v>
      </c>
      <c r="W857" s="0" t="s">
        <v>569</v>
      </c>
      <c r="X857" s="0" t="s">
        <v>624</v>
      </c>
      <c r="Y857" s="0" t="s">
        <v>627</v>
      </c>
      <c r="Z857" s="0" t="s">
        <v>629</v>
      </c>
      <c r="AA857" s="0" t="s">
        <v>624</v>
      </c>
      <c r="AB857" s="0" t="s">
        <v>132</v>
      </c>
      <c r="AC857" s="254" t="n">
        <v>-500000</v>
      </c>
      <c r="AD857" s="254" t="n">
        <v>-29248.8236592701</v>
      </c>
      <c r="AE857" s="0" t="n">
        <v>0</v>
      </c>
      <c r="AF857" s="0" t="n">
        <v>0</v>
      </c>
      <c r="AG857" s="0" t="n">
        <v>0</v>
      </c>
      <c r="AH857" s="254" t="n">
        <v>0</v>
      </c>
      <c r="AI857" s="0" t="n">
        <v>226</v>
      </c>
      <c r="AJ857" s="0" t="s">
        <v>630</v>
      </c>
      <c r="AK857" s="0" t="n">
        <v>0</v>
      </c>
      <c r="AL857" s="0" t="n">
        <v>0</v>
      </c>
      <c r="AM857" s="0" t="n">
        <v>0</v>
      </c>
    </row>
    <row r="858" customFormat="false" ht="12.75" hidden="false" customHeight="false" outlineLevel="0" collapsed="false">
      <c r="A858" s="0" t="s">
        <v>621</v>
      </c>
      <c r="B858" s="0" t="s">
        <v>471</v>
      </c>
      <c r="C858" s="0" t="s">
        <v>622</v>
      </c>
      <c r="D858" s="0" t="s">
        <v>623</v>
      </c>
      <c r="E858" s="0" t="s">
        <v>131</v>
      </c>
      <c r="F858" s="0" t="s">
        <v>198</v>
      </c>
      <c r="G858" s="0" t="s">
        <v>628</v>
      </c>
      <c r="H858" s="0" t="s">
        <v>625</v>
      </c>
      <c r="I858" s="0" t="s">
        <v>626</v>
      </c>
      <c r="J858" s="0" t="s">
        <v>627</v>
      </c>
      <c r="K858" s="475" t="n">
        <v>37135</v>
      </c>
      <c r="L858" s="254" t="n">
        <v>-141304.736052762</v>
      </c>
      <c r="M858" s="475" t="n">
        <v>37133</v>
      </c>
      <c r="N858" s="0" t="s">
        <v>136</v>
      </c>
      <c r="O858" s="0" t="n">
        <v>1.5</v>
      </c>
      <c r="P858" s="0" t="n">
        <v>0</v>
      </c>
      <c r="Q858" s="0" t="n">
        <v>0</v>
      </c>
      <c r="R858" s="0" t="n">
        <v>0</v>
      </c>
      <c r="S858" s="0" t="n">
        <v>0</v>
      </c>
      <c r="T858" s="0" t="s">
        <v>624</v>
      </c>
      <c r="U858" s="0" t="s">
        <v>137</v>
      </c>
      <c r="V858" s="0" t="s">
        <v>624</v>
      </c>
      <c r="W858" s="0" t="s">
        <v>569</v>
      </c>
      <c r="X858" s="0" t="s">
        <v>624</v>
      </c>
      <c r="Y858" s="0" t="s">
        <v>627</v>
      </c>
      <c r="Z858" s="0" t="s">
        <v>629</v>
      </c>
      <c r="AA858" s="0" t="s">
        <v>624</v>
      </c>
      <c r="AB858" s="0" t="s">
        <v>132</v>
      </c>
      <c r="AC858" s="254" t="n">
        <v>-500000</v>
      </c>
      <c r="AD858" s="254" t="n">
        <v>-30313.214591835</v>
      </c>
      <c r="AE858" s="0" t="n">
        <v>0</v>
      </c>
      <c r="AF858" s="0" t="n">
        <v>0</v>
      </c>
      <c r="AG858" s="0" t="n">
        <v>0</v>
      </c>
      <c r="AH858" s="254" t="n">
        <v>0</v>
      </c>
      <c r="AI858" s="0" t="n">
        <v>226</v>
      </c>
      <c r="AJ858" s="0" t="s">
        <v>630</v>
      </c>
      <c r="AK858" s="0" t="n">
        <v>0</v>
      </c>
      <c r="AL858" s="0" t="n">
        <v>0</v>
      </c>
      <c r="AM858" s="0" t="n">
        <v>0</v>
      </c>
    </row>
    <row r="859" customFormat="false" ht="12.75" hidden="false" customHeight="false" outlineLevel="0" collapsed="false">
      <c r="A859" s="0" t="s">
        <v>621</v>
      </c>
      <c r="B859" s="0" t="s">
        <v>471</v>
      </c>
      <c r="C859" s="0" t="s">
        <v>622</v>
      </c>
      <c r="D859" s="0" t="s">
        <v>623</v>
      </c>
      <c r="E859" s="0" t="s">
        <v>131</v>
      </c>
      <c r="F859" s="0" t="s">
        <v>198</v>
      </c>
      <c r="G859" s="0" t="s">
        <v>628</v>
      </c>
      <c r="H859" s="0" t="s">
        <v>625</v>
      </c>
      <c r="I859" s="0" t="s">
        <v>626</v>
      </c>
      <c r="J859" s="0" t="s">
        <v>627</v>
      </c>
      <c r="K859" s="475" t="n">
        <v>37165</v>
      </c>
      <c r="L859" s="254" t="n">
        <v>-64273.509868813</v>
      </c>
      <c r="M859" s="475" t="n">
        <v>37161</v>
      </c>
      <c r="N859" s="0" t="s">
        <v>136</v>
      </c>
      <c r="O859" s="0" t="n">
        <v>1.5</v>
      </c>
      <c r="P859" s="0" t="n">
        <v>0</v>
      </c>
      <c r="Q859" s="0" t="n">
        <v>0</v>
      </c>
      <c r="R859" s="0" t="n">
        <v>0</v>
      </c>
      <c r="S859" s="0" t="n">
        <v>0</v>
      </c>
      <c r="T859" s="0" t="s">
        <v>624</v>
      </c>
      <c r="U859" s="0" t="s">
        <v>137</v>
      </c>
      <c r="V859" s="0" t="s">
        <v>624</v>
      </c>
      <c r="W859" s="0" t="s">
        <v>569</v>
      </c>
      <c r="X859" s="0" t="s">
        <v>624</v>
      </c>
      <c r="Y859" s="0" t="s">
        <v>627</v>
      </c>
      <c r="Z859" s="0" t="s">
        <v>629</v>
      </c>
      <c r="AA859" s="0" t="s">
        <v>624</v>
      </c>
      <c r="AB859" s="0" t="s">
        <v>132</v>
      </c>
      <c r="AC859" s="254" t="n">
        <v>-500000</v>
      </c>
      <c r="AD859" s="254" t="n">
        <v>-25421.5336249432</v>
      </c>
      <c r="AE859" s="0" t="n">
        <v>0</v>
      </c>
      <c r="AF859" s="0" t="n">
        <v>0</v>
      </c>
      <c r="AG859" s="0" t="n">
        <v>0</v>
      </c>
      <c r="AH859" s="254" t="n">
        <v>0</v>
      </c>
      <c r="AI859" s="0" t="n">
        <v>226</v>
      </c>
      <c r="AJ859" s="0" t="s">
        <v>630</v>
      </c>
      <c r="AK859" s="0" t="n">
        <v>0</v>
      </c>
      <c r="AL859" s="0" t="n">
        <v>0</v>
      </c>
      <c r="AM859" s="0" t="n">
        <v>0</v>
      </c>
    </row>
    <row r="860" customFormat="false" ht="12.75" hidden="false" customHeight="false" outlineLevel="0" collapsed="false">
      <c r="A860" s="0" t="s">
        <v>621</v>
      </c>
      <c r="B860" s="0" t="s">
        <v>472</v>
      </c>
      <c r="C860" s="0" t="s">
        <v>622</v>
      </c>
      <c r="D860" s="0" t="s">
        <v>623</v>
      </c>
      <c r="E860" s="0" t="s">
        <v>131</v>
      </c>
      <c r="F860" s="0" t="s">
        <v>206</v>
      </c>
      <c r="G860" s="0" t="s">
        <v>628</v>
      </c>
      <c r="H860" s="0" t="s">
        <v>625</v>
      </c>
      <c r="I860" s="0" t="s">
        <v>626</v>
      </c>
      <c r="J860" s="0" t="s">
        <v>627</v>
      </c>
      <c r="K860" s="475" t="n">
        <v>36770</v>
      </c>
      <c r="L860" s="254" t="n">
        <v>-5354.94437548717</v>
      </c>
      <c r="M860" s="475" t="n">
        <v>36768</v>
      </c>
      <c r="N860" s="0" t="s">
        <v>132</v>
      </c>
      <c r="O860" s="0" t="n">
        <v>0.3</v>
      </c>
      <c r="P860" s="0" t="n">
        <v>0</v>
      </c>
      <c r="Q860" s="0" t="n">
        <v>0</v>
      </c>
      <c r="R860" s="0" t="n">
        <v>0</v>
      </c>
      <c r="S860" s="0" t="n">
        <v>0</v>
      </c>
      <c r="T860" s="0" t="s">
        <v>624</v>
      </c>
      <c r="U860" s="0" t="s">
        <v>149</v>
      </c>
      <c r="V860" s="0" t="s">
        <v>624</v>
      </c>
      <c r="W860" s="0" t="s">
        <v>569</v>
      </c>
      <c r="X860" s="0" t="s">
        <v>624</v>
      </c>
      <c r="Y860" s="0" t="s">
        <v>627</v>
      </c>
      <c r="Z860" s="0" t="s">
        <v>629</v>
      </c>
      <c r="AA860" s="0" t="s">
        <v>624</v>
      </c>
      <c r="AB860" s="0" t="s">
        <v>132</v>
      </c>
      <c r="AC860" s="254" t="n">
        <v>-2500000</v>
      </c>
      <c r="AD860" s="254" t="n">
        <v>-2284.70258195256</v>
      </c>
      <c r="AE860" s="0" t="n">
        <v>0</v>
      </c>
      <c r="AF860" s="0" t="n">
        <v>0</v>
      </c>
      <c r="AG860" s="0" t="n">
        <v>0</v>
      </c>
      <c r="AH860" s="254" t="n">
        <v>0</v>
      </c>
      <c r="AI860" s="0" t="n">
        <v>226</v>
      </c>
      <c r="AJ860" s="0" t="s">
        <v>630</v>
      </c>
      <c r="AK860" s="0" t="n">
        <v>0</v>
      </c>
      <c r="AL860" s="0" t="n">
        <v>0</v>
      </c>
      <c r="AM860" s="0" t="n">
        <v>0</v>
      </c>
    </row>
    <row r="861" customFormat="false" ht="12.75" hidden="false" customHeight="false" outlineLevel="0" collapsed="false">
      <c r="A861" s="0" t="s">
        <v>621</v>
      </c>
      <c r="B861" s="0" t="s">
        <v>473</v>
      </c>
      <c r="C861" s="0" t="s">
        <v>622</v>
      </c>
      <c r="D861" s="0" t="s">
        <v>623</v>
      </c>
      <c r="E861" s="0" t="s">
        <v>131</v>
      </c>
      <c r="F861" s="0" t="s">
        <v>465</v>
      </c>
      <c r="G861" s="0" t="s">
        <v>628</v>
      </c>
      <c r="H861" s="0" t="s">
        <v>625</v>
      </c>
      <c r="I861" s="0" t="s">
        <v>626</v>
      </c>
      <c r="J861" s="0" t="s">
        <v>627</v>
      </c>
      <c r="K861" s="475" t="n">
        <v>36831</v>
      </c>
      <c r="L861" s="254" t="n">
        <v>189392.018749093</v>
      </c>
      <c r="M861" s="475" t="n">
        <v>36829</v>
      </c>
      <c r="N861" s="0" t="s">
        <v>132</v>
      </c>
      <c r="O861" s="0" t="n">
        <v>0.15</v>
      </c>
      <c r="P861" s="0" t="n">
        <v>0</v>
      </c>
      <c r="Q861" s="0" t="n">
        <v>0</v>
      </c>
      <c r="R861" s="0" t="n">
        <v>0</v>
      </c>
      <c r="S861" s="0" t="n">
        <v>0</v>
      </c>
      <c r="T861" s="0" t="s">
        <v>624</v>
      </c>
      <c r="U861" s="0" t="s">
        <v>158</v>
      </c>
      <c r="V861" s="0" t="s">
        <v>624</v>
      </c>
      <c r="W861" s="0" t="s">
        <v>569</v>
      </c>
      <c r="X861" s="0" t="s">
        <v>624</v>
      </c>
      <c r="Y861" s="0" t="s">
        <v>627</v>
      </c>
      <c r="Z861" s="0" t="s">
        <v>629</v>
      </c>
      <c r="AA861" s="0" t="s">
        <v>624</v>
      </c>
      <c r="AB861" s="0" t="s">
        <v>132</v>
      </c>
      <c r="AC861" s="254" t="n">
        <v>500000</v>
      </c>
      <c r="AD861" s="254" t="n">
        <v>13951.2941918694</v>
      </c>
      <c r="AE861" s="0" t="n">
        <v>0</v>
      </c>
      <c r="AF861" s="0" t="n">
        <v>0</v>
      </c>
      <c r="AG861" s="0" t="n">
        <v>0</v>
      </c>
      <c r="AH861" s="254" t="n">
        <v>0</v>
      </c>
      <c r="AI861" s="0" t="n">
        <v>226</v>
      </c>
      <c r="AJ861" s="0" t="s">
        <v>630</v>
      </c>
      <c r="AK861" s="0" t="n">
        <v>0</v>
      </c>
      <c r="AL861" s="0" t="n">
        <v>0</v>
      </c>
      <c r="AM861" s="0" t="n">
        <v>0</v>
      </c>
    </row>
    <row r="862" customFormat="false" ht="12.75" hidden="false" customHeight="false" outlineLevel="0" collapsed="false">
      <c r="A862" s="0" t="s">
        <v>621</v>
      </c>
      <c r="B862" s="0" t="s">
        <v>473</v>
      </c>
      <c r="C862" s="0" t="s">
        <v>622</v>
      </c>
      <c r="D862" s="0" t="s">
        <v>623</v>
      </c>
      <c r="E862" s="0" t="s">
        <v>131</v>
      </c>
      <c r="F862" s="0" t="s">
        <v>465</v>
      </c>
      <c r="G862" s="0" t="s">
        <v>628</v>
      </c>
      <c r="H862" s="0" t="s">
        <v>625</v>
      </c>
      <c r="I862" s="0" t="s">
        <v>626</v>
      </c>
      <c r="J862" s="0" t="s">
        <v>627</v>
      </c>
      <c r="K862" s="475" t="n">
        <v>36861</v>
      </c>
      <c r="L862" s="254" t="n">
        <v>44514.9198576735</v>
      </c>
      <c r="M862" s="475" t="n">
        <v>36859</v>
      </c>
      <c r="N862" s="0" t="s">
        <v>132</v>
      </c>
      <c r="O862" s="0" t="n">
        <v>0.15</v>
      </c>
      <c r="P862" s="0" t="n">
        <v>0</v>
      </c>
      <c r="Q862" s="0" t="n">
        <v>0</v>
      </c>
      <c r="R862" s="0" t="n">
        <v>0</v>
      </c>
      <c r="S862" s="0" t="n">
        <v>0</v>
      </c>
      <c r="T862" s="0" t="s">
        <v>624</v>
      </c>
      <c r="U862" s="0" t="s">
        <v>158</v>
      </c>
      <c r="V862" s="0" t="s">
        <v>624</v>
      </c>
      <c r="W862" s="0" t="s">
        <v>569</v>
      </c>
      <c r="X862" s="0" t="s">
        <v>624</v>
      </c>
      <c r="Y862" s="0" t="s">
        <v>627</v>
      </c>
      <c r="Z862" s="0" t="s">
        <v>629</v>
      </c>
      <c r="AA862" s="0" t="s">
        <v>624</v>
      </c>
      <c r="AB862" s="0" t="s">
        <v>132</v>
      </c>
      <c r="AC862" s="254" t="n">
        <v>500000</v>
      </c>
      <c r="AD862" s="254" t="n">
        <v>18113.910440165</v>
      </c>
      <c r="AE862" s="0" t="n">
        <v>0</v>
      </c>
      <c r="AF862" s="0" t="n">
        <v>0</v>
      </c>
      <c r="AG862" s="0" t="n">
        <v>0</v>
      </c>
      <c r="AH862" s="254" t="n">
        <v>0</v>
      </c>
      <c r="AI862" s="0" t="n">
        <v>226</v>
      </c>
      <c r="AJ862" s="0" t="s">
        <v>630</v>
      </c>
      <c r="AK862" s="0" t="n">
        <v>0</v>
      </c>
      <c r="AL862" s="0" t="n">
        <v>0</v>
      </c>
      <c r="AM862" s="0" t="n">
        <v>0</v>
      </c>
    </row>
    <row r="863" customFormat="false" ht="12.75" hidden="false" customHeight="false" outlineLevel="0" collapsed="false">
      <c r="A863" s="0" t="s">
        <v>621</v>
      </c>
      <c r="B863" s="0" t="s">
        <v>473</v>
      </c>
      <c r="C863" s="0" t="s">
        <v>622</v>
      </c>
      <c r="D863" s="0" t="s">
        <v>623</v>
      </c>
      <c r="E863" s="0" t="s">
        <v>131</v>
      </c>
      <c r="F863" s="0" t="s">
        <v>465</v>
      </c>
      <c r="G863" s="0" t="s">
        <v>628</v>
      </c>
      <c r="H863" s="0" t="s">
        <v>625</v>
      </c>
      <c r="I863" s="0" t="s">
        <v>626</v>
      </c>
      <c r="J863" s="0" t="s">
        <v>627</v>
      </c>
      <c r="K863" s="475" t="n">
        <v>36892</v>
      </c>
      <c r="L863" s="254" t="n">
        <v>57697.0981987212</v>
      </c>
      <c r="M863" s="475" t="n">
        <v>36888</v>
      </c>
      <c r="N863" s="0" t="s">
        <v>132</v>
      </c>
      <c r="O863" s="0" t="n">
        <v>0.15</v>
      </c>
      <c r="P863" s="0" t="n">
        <v>0</v>
      </c>
      <c r="Q863" s="0" t="n">
        <v>0</v>
      </c>
      <c r="R863" s="0" t="n">
        <v>0</v>
      </c>
      <c r="S863" s="0" t="n">
        <v>0</v>
      </c>
      <c r="T863" s="0" t="s">
        <v>624</v>
      </c>
      <c r="U863" s="0" t="s">
        <v>158</v>
      </c>
      <c r="V863" s="0" t="s">
        <v>624</v>
      </c>
      <c r="W863" s="0" t="s">
        <v>569</v>
      </c>
      <c r="X863" s="0" t="s">
        <v>624</v>
      </c>
      <c r="Y863" s="0" t="s">
        <v>627</v>
      </c>
      <c r="Z863" s="0" t="s">
        <v>629</v>
      </c>
      <c r="AA863" s="0" t="s">
        <v>624</v>
      </c>
      <c r="AB863" s="0" t="s">
        <v>132</v>
      </c>
      <c r="AC863" s="254" t="n">
        <v>500000</v>
      </c>
      <c r="AD863" s="254" t="n">
        <v>21850.4035799234</v>
      </c>
      <c r="AE863" s="0" t="n">
        <v>0</v>
      </c>
      <c r="AF863" s="0" t="n">
        <v>0</v>
      </c>
      <c r="AG863" s="0" t="n">
        <v>0</v>
      </c>
      <c r="AH863" s="254" t="n">
        <v>0</v>
      </c>
      <c r="AI863" s="0" t="n">
        <v>226</v>
      </c>
      <c r="AJ863" s="0" t="s">
        <v>630</v>
      </c>
      <c r="AK863" s="0" t="n">
        <v>0</v>
      </c>
      <c r="AL863" s="0" t="n">
        <v>0</v>
      </c>
      <c r="AM863" s="0" t="n">
        <v>0</v>
      </c>
    </row>
    <row r="864" customFormat="false" ht="12.75" hidden="false" customHeight="false" outlineLevel="0" collapsed="false">
      <c r="A864" s="0" t="s">
        <v>621</v>
      </c>
      <c r="B864" s="0" t="s">
        <v>473</v>
      </c>
      <c r="C864" s="0" t="s">
        <v>622</v>
      </c>
      <c r="D864" s="0" t="s">
        <v>623</v>
      </c>
      <c r="E864" s="0" t="s">
        <v>131</v>
      </c>
      <c r="F864" s="0" t="s">
        <v>465</v>
      </c>
      <c r="G864" s="0" t="s">
        <v>628</v>
      </c>
      <c r="H864" s="0" t="s">
        <v>625</v>
      </c>
      <c r="I864" s="0" t="s">
        <v>626</v>
      </c>
      <c r="J864" s="0" t="s">
        <v>627</v>
      </c>
      <c r="K864" s="475" t="n">
        <v>36923</v>
      </c>
      <c r="L864" s="254" t="n">
        <v>90543.7144773226</v>
      </c>
      <c r="M864" s="475" t="n">
        <v>36921</v>
      </c>
      <c r="N864" s="0" t="s">
        <v>132</v>
      </c>
      <c r="O864" s="0" t="n">
        <v>0.15</v>
      </c>
      <c r="P864" s="0" t="n">
        <v>0</v>
      </c>
      <c r="Q864" s="0" t="n">
        <v>0</v>
      </c>
      <c r="R864" s="0" t="n">
        <v>0</v>
      </c>
      <c r="S864" s="0" t="n">
        <v>0</v>
      </c>
      <c r="T864" s="0" t="s">
        <v>624</v>
      </c>
      <c r="U864" s="0" t="s">
        <v>158</v>
      </c>
      <c r="V864" s="0" t="s">
        <v>624</v>
      </c>
      <c r="W864" s="0" t="s">
        <v>569</v>
      </c>
      <c r="X864" s="0" t="s">
        <v>624</v>
      </c>
      <c r="Y864" s="0" t="s">
        <v>627</v>
      </c>
      <c r="Z864" s="0" t="s">
        <v>629</v>
      </c>
      <c r="AA864" s="0" t="s">
        <v>624</v>
      </c>
      <c r="AB864" s="0" t="s">
        <v>132</v>
      </c>
      <c r="AC864" s="254" t="n">
        <v>500000</v>
      </c>
      <c r="AD864" s="254" t="n">
        <v>27037.9710553029</v>
      </c>
      <c r="AE864" s="0" t="n">
        <v>0</v>
      </c>
      <c r="AF864" s="0" t="n">
        <v>0</v>
      </c>
      <c r="AG864" s="0" t="n">
        <v>0</v>
      </c>
      <c r="AH864" s="254" t="n">
        <v>0</v>
      </c>
      <c r="AI864" s="0" t="n">
        <v>226</v>
      </c>
      <c r="AJ864" s="0" t="s">
        <v>630</v>
      </c>
      <c r="AK864" s="0" t="n">
        <v>0</v>
      </c>
      <c r="AL864" s="0" t="n">
        <v>0</v>
      </c>
      <c r="AM864" s="0" t="n">
        <v>0</v>
      </c>
    </row>
    <row r="865" customFormat="false" ht="12.75" hidden="false" customHeight="false" outlineLevel="0" collapsed="false">
      <c r="A865" s="0" t="s">
        <v>621</v>
      </c>
      <c r="B865" s="0" t="s">
        <v>473</v>
      </c>
      <c r="C865" s="0" t="s">
        <v>622</v>
      </c>
      <c r="D865" s="0" t="s">
        <v>623</v>
      </c>
      <c r="E865" s="0" t="s">
        <v>131</v>
      </c>
      <c r="F865" s="0" t="s">
        <v>465</v>
      </c>
      <c r="G865" s="0" t="s">
        <v>628</v>
      </c>
      <c r="H865" s="0" t="s">
        <v>625</v>
      </c>
      <c r="I865" s="0" t="s">
        <v>626</v>
      </c>
      <c r="J865" s="0" t="s">
        <v>627</v>
      </c>
      <c r="K865" s="475" t="n">
        <v>36951</v>
      </c>
      <c r="L865" s="254" t="n">
        <v>164974.307599671</v>
      </c>
      <c r="M865" s="475" t="n">
        <v>36949</v>
      </c>
      <c r="N865" s="0" t="s">
        <v>132</v>
      </c>
      <c r="O865" s="0" t="n">
        <v>0.15</v>
      </c>
      <c r="P865" s="0" t="n">
        <v>0</v>
      </c>
      <c r="Q865" s="0" t="n">
        <v>0</v>
      </c>
      <c r="R865" s="0" t="n">
        <v>0</v>
      </c>
      <c r="S865" s="0" t="n">
        <v>0</v>
      </c>
      <c r="T865" s="0" t="s">
        <v>624</v>
      </c>
      <c r="U865" s="0" t="s">
        <v>158</v>
      </c>
      <c r="V865" s="0" t="s">
        <v>624</v>
      </c>
      <c r="W865" s="0" t="s">
        <v>569</v>
      </c>
      <c r="X865" s="0" t="s">
        <v>624</v>
      </c>
      <c r="Y865" s="0" t="s">
        <v>627</v>
      </c>
      <c r="Z865" s="0" t="s">
        <v>629</v>
      </c>
      <c r="AA865" s="0" t="s">
        <v>624</v>
      </c>
      <c r="AB865" s="0" t="s">
        <v>132</v>
      </c>
      <c r="AC865" s="254" t="n">
        <v>500000</v>
      </c>
      <c r="AD865" s="254" t="n">
        <v>26150.7563179187</v>
      </c>
      <c r="AE865" s="0" t="n">
        <v>0</v>
      </c>
      <c r="AF865" s="0" t="n">
        <v>0</v>
      </c>
      <c r="AG865" s="0" t="n">
        <v>0</v>
      </c>
      <c r="AH865" s="254" t="n">
        <v>0</v>
      </c>
      <c r="AI865" s="0" t="n">
        <v>226</v>
      </c>
      <c r="AJ865" s="0" t="s">
        <v>630</v>
      </c>
      <c r="AK865" s="0" t="n">
        <v>0</v>
      </c>
      <c r="AL865" s="0" t="n">
        <v>0</v>
      </c>
      <c r="AM865" s="0" t="n">
        <v>0</v>
      </c>
    </row>
    <row r="866" customFormat="false" ht="12.75" hidden="false" customHeight="false" outlineLevel="0" collapsed="false">
      <c r="A866" s="0" t="s">
        <v>621</v>
      </c>
      <c r="B866" s="0" t="s">
        <v>495</v>
      </c>
      <c r="C866" s="0" t="s">
        <v>622</v>
      </c>
      <c r="D866" s="0" t="s">
        <v>623</v>
      </c>
      <c r="E866" s="0" t="s">
        <v>131</v>
      </c>
      <c r="F866" s="0" t="s">
        <v>206</v>
      </c>
      <c r="G866" s="0" t="s">
        <v>628</v>
      </c>
      <c r="H866" s="0" t="s">
        <v>625</v>
      </c>
      <c r="I866" s="0" t="s">
        <v>626</v>
      </c>
      <c r="J866" s="0" t="s">
        <v>627</v>
      </c>
      <c r="K866" s="475" t="n">
        <v>36831</v>
      </c>
      <c r="L866" s="254" t="n">
        <v>55000</v>
      </c>
      <c r="M866" s="475" t="n">
        <v>36860</v>
      </c>
      <c r="N866" s="0" t="s">
        <v>132</v>
      </c>
      <c r="O866" s="0" t="n">
        <v>0.5</v>
      </c>
      <c r="P866" s="0" t="n">
        <v>0</v>
      </c>
      <c r="Q866" s="0" t="n">
        <v>0</v>
      </c>
      <c r="R866" s="0" t="n">
        <v>0</v>
      </c>
      <c r="S866" s="0" t="n">
        <v>0</v>
      </c>
      <c r="T866" s="0" t="s">
        <v>624</v>
      </c>
      <c r="U866" s="0" t="s">
        <v>496</v>
      </c>
      <c r="V866" s="0" t="s">
        <v>497</v>
      </c>
      <c r="W866" s="0" t="s">
        <v>569</v>
      </c>
      <c r="X866" s="0" t="s">
        <v>569</v>
      </c>
      <c r="Y866" s="0" t="s">
        <v>627</v>
      </c>
      <c r="Z866" s="0" t="s">
        <v>629</v>
      </c>
      <c r="AA866" s="0" t="s">
        <v>629</v>
      </c>
      <c r="AB866" s="0" t="s">
        <v>132</v>
      </c>
      <c r="AC866" s="254" t="n">
        <v>500000</v>
      </c>
      <c r="AD866" s="254" t="n">
        <v>1.25612232853208</v>
      </c>
      <c r="AE866" s="0" t="n">
        <v>0</v>
      </c>
      <c r="AF866" s="0" t="n">
        <v>0</v>
      </c>
      <c r="AG866" s="0" t="n">
        <v>0</v>
      </c>
      <c r="AH866" s="254" t="n">
        <v>0</v>
      </c>
      <c r="AI866" s="0" t="n">
        <v>0</v>
      </c>
      <c r="AJ866" s="0" t="s">
        <v>630</v>
      </c>
      <c r="AK866" s="0" t="n">
        <v>0</v>
      </c>
      <c r="AL866" s="0" t="n">
        <v>0</v>
      </c>
      <c r="AM866" s="0" t="n">
        <v>0</v>
      </c>
    </row>
    <row r="867" customFormat="false" ht="12.75" hidden="false" customHeight="false" outlineLevel="0" collapsed="false">
      <c r="A867" s="0" t="s">
        <v>621</v>
      </c>
      <c r="B867" s="0" t="s">
        <v>495</v>
      </c>
      <c r="C867" s="0" t="s">
        <v>622</v>
      </c>
      <c r="D867" s="0" t="s">
        <v>623</v>
      </c>
      <c r="E867" s="0" t="s">
        <v>131</v>
      </c>
      <c r="F867" s="0" t="s">
        <v>206</v>
      </c>
      <c r="G867" s="0" t="s">
        <v>628</v>
      </c>
      <c r="H867" s="0" t="s">
        <v>625</v>
      </c>
      <c r="I867" s="0" t="s">
        <v>626</v>
      </c>
      <c r="J867" s="0" t="s">
        <v>627</v>
      </c>
      <c r="K867" s="475" t="n">
        <v>36861</v>
      </c>
      <c r="L867" s="254" t="n">
        <v>55000</v>
      </c>
      <c r="M867" s="475" t="n">
        <v>36891</v>
      </c>
      <c r="N867" s="0" t="s">
        <v>132</v>
      </c>
      <c r="O867" s="0" t="n">
        <v>0.5</v>
      </c>
      <c r="P867" s="0" t="n">
        <v>0</v>
      </c>
      <c r="Q867" s="0" t="n">
        <v>0</v>
      </c>
      <c r="R867" s="0" t="n">
        <v>0</v>
      </c>
      <c r="S867" s="0" t="n">
        <v>0</v>
      </c>
      <c r="T867" s="0" t="s">
        <v>624</v>
      </c>
      <c r="U867" s="0" t="s">
        <v>496</v>
      </c>
      <c r="V867" s="0" t="s">
        <v>497</v>
      </c>
      <c r="W867" s="0" t="s">
        <v>569</v>
      </c>
      <c r="X867" s="0" t="s">
        <v>569</v>
      </c>
      <c r="Y867" s="0" t="s">
        <v>627</v>
      </c>
      <c r="Z867" s="0" t="s">
        <v>629</v>
      </c>
      <c r="AA867" s="0" t="s">
        <v>629</v>
      </c>
      <c r="AB867" s="0" t="s">
        <v>132</v>
      </c>
      <c r="AC867" s="254" t="n">
        <v>500000</v>
      </c>
      <c r="AD867" s="254" t="n">
        <v>0.243547346684991</v>
      </c>
      <c r="AE867" s="0" t="n">
        <v>0</v>
      </c>
      <c r="AF867" s="0" t="n">
        <v>0</v>
      </c>
      <c r="AG867" s="0" t="n">
        <v>0</v>
      </c>
      <c r="AH867" s="254" t="n">
        <v>0</v>
      </c>
      <c r="AI867" s="0" t="n">
        <v>0</v>
      </c>
      <c r="AJ867" s="0" t="s">
        <v>630</v>
      </c>
      <c r="AK867" s="0" t="n">
        <v>0</v>
      </c>
      <c r="AL867" s="0" t="n">
        <v>0</v>
      </c>
      <c r="AM867" s="0" t="n">
        <v>0</v>
      </c>
    </row>
    <row r="868" customFormat="false" ht="12.75" hidden="false" customHeight="false" outlineLevel="0" collapsed="false">
      <c r="A868" s="0" t="s">
        <v>621</v>
      </c>
      <c r="B868" s="0" t="s">
        <v>495</v>
      </c>
      <c r="C868" s="0" t="s">
        <v>622</v>
      </c>
      <c r="D868" s="0" t="s">
        <v>623</v>
      </c>
      <c r="E868" s="0" t="s">
        <v>131</v>
      </c>
      <c r="F868" s="0" t="s">
        <v>206</v>
      </c>
      <c r="G868" s="0" t="s">
        <v>628</v>
      </c>
      <c r="H868" s="0" t="s">
        <v>625</v>
      </c>
      <c r="I868" s="0" t="s">
        <v>626</v>
      </c>
      <c r="J868" s="0" t="s">
        <v>627</v>
      </c>
      <c r="K868" s="475" t="n">
        <v>36892</v>
      </c>
      <c r="L868" s="254" t="n">
        <v>55000</v>
      </c>
      <c r="M868" s="475" t="n">
        <v>36922</v>
      </c>
      <c r="N868" s="0" t="s">
        <v>132</v>
      </c>
      <c r="O868" s="0" t="n">
        <v>0.5</v>
      </c>
      <c r="P868" s="0" t="n">
        <v>0</v>
      </c>
      <c r="Q868" s="0" t="n">
        <v>0</v>
      </c>
      <c r="R868" s="0" t="n">
        <v>0</v>
      </c>
      <c r="S868" s="0" t="n">
        <v>0</v>
      </c>
      <c r="T868" s="0" t="s">
        <v>624</v>
      </c>
      <c r="U868" s="0" t="s">
        <v>496</v>
      </c>
      <c r="V868" s="0" t="s">
        <v>497</v>
      </c>
      <c r="W868" s="0" t="s">
        <v>569</v>
      </c>
      <c r="X868" s="0" t="s">
        <v>569</v>
      </c>
      <c r="Y868" s="0" t="s">
        <v>627</v>
      </c>
      <c r="Z868" s="0" t="s">
        <v>629</v>
      </c>
      <c r="AA868" s="0" t="s">
        <v>629</v>
      </c>
      <c r="AB868" s="0" t="s">
        <v>132</v>
      </c>
      <c r="AC868" s="254" t="n">
        <v>500000</v>
      </c>
      <c r="AD868" s="254" t="n">
        <v>0.14148846438003</v>
      </c>
      <c r="AE868" s="0" t="n">
        <v>0</v>
      </c>
      <c r="AF868" s="0" t="n">
        <v>0</v>
      </c>
      <c r="AG868" s="0" t="n">
        <v>0</v>
      </c>
      <c r="AH868" s="254" t="n">
        <v>0</v>
      </c>
      <c r="AI868" s="0" t="n">
        <v>0</v>
      </c>
      <c r="AJ868" s="0" t="s">
        <v>630</v>
      </c>
      <c r="AK868" s="0" t="n">
        <v>0</v>
      </c>
      <c r="AL868" s="0" t="n">
        <v>0</v>
      </c>
      <c r="AM868" s="0" t="n">
        <v>0</v>
      </c>
    </row>
    <row r="869" customFormat="false" ht="12.75" hidden="false" customHeight="false" outlineLevel="0" collapsed="false">
      <c r="A869" s="0" t="s">
        <v>621</v>
      </c>
      <c r="B869" s="0" t="s">
        <v>495</v>
      </c>
      <c r="C869" s="0" t="s">
        <v>622</v>
      </c>
      <c r="D869" s="0" t="s">
        <v>623</v>
      </c>
      <c r="E869" s="0" t="s">
        <v>131</v>
      </c>
      <c r="F869" s="0" t="s">
        <v>206</v>
      </c>
      <c r="G869" s="0" t="s">
        <v>628</v>
      </c>
      <c r="H869" s="0" t="s">
        <v>625</v>
      </c>
      <c r="I869" s="0" t="s">
        <v>626</v>
      </c>
      <c r="J869" s="0" t="s">
        <v>627</v>
      </c>
      <c r="K869" s="475" t="n">
        <v>36923</v>
      </c>
      <c r="L869" s="254" t="n">
        <v>55000</v>
      </c>
      <c r="M869" s="475" t="n">
        <v>36950</v>
      </c>
      <c r="N869" s="0" t="s">
        <v>132</v>
      </c>
      <c r="O869" s="0" t="n">
        <v>0.5</v>
      </c>
      <c r="P869" s="0" t="n">
        <v>0</v>
      </c>
      <c r="Q869" s="0" t="n">
        <v>0</v>
      </c>
      <c r="R869" s="0" t="n">
        <v>0</v>
      </c>
      <c r="S869" s="0" t="n">
        <v>0</v>
      </c>
      <c r="T869" s="0" t="s">
        <v>624</v>
      </c>
      <c r="U869" s="0" t="s">
        <v>496</v>
      </c>
      <c r="V869" s="0" t="s">
        <v>497</v>
      </c>
      <c r="W869" s="0" t="s">
        <v>569</v>
      </c>
      <c r="X869" s="0" t="s">
        <v>569</v>
      </c>
      <c r="Y869" s="0" t="s">
        <v>627</v>
      </c>
      <c r="Z869" s="0" t="s">
        <v>629</v>
      </c>
      <c r="AA869" s="0" t="s">
        <v>629</v>
      </c>
      <c r="AB869" s="0" t="s">
        <v>132</v>
      </c>
      <c r="AC869" s="254" t="n">
        <v>500000</v>
      </c>
      <c r="AD869" s="254" t="n">
        <v>0.392222895353089</v>
      </c>
      <c r="AE869" s="0" t="n">
        <v>0</v>
      </c>
      <c r="AF869" s="0" t="n">
        <v>0</v>
      </c>
      <c r="AG869" s="0" t="n">
        <v>0</v>
      </c>
      <c r="AH869" s="254" t="n">
        <v>0</v>
      </c>
      <c r="AI869" s="0" t="n">
        <v>0</v>
      </c>
      <c r="AJ869" s="0" t="s">
        <v>630</v>
      </c>
      <c r="AK869" s="0" t="n">
        <v>0</v>
      </c>
      <c r="AL869" s="0" t="n">
        <v>0</v>
      </c>
      <c r="AM869" s="0" t="n">
        <v>0</v>
      </c>
    </row>
    <row r="870" customFormat="false" ht="12.75" hidden="false" customHeight="false" outlineLevel="0" collapsed="false">
      <c r="A870" s="0" t="s">
        <v>621</v>
      </c>
      <c r="B870" s="0" t="s">
        <v>495</v>
      </c>
      <c r="C870" s="0" t="s">
        <v>622</v>
      </c>
      <c r="D870" s="0" t="s">
        <v>623</v>
      </c>
      <c r="E870" s="0" t="s">
        <v>131</v>
      </c>
      <c r="F870" s="0" t="s">
        <v>206</v>
      </c>
      <c r="G870" s="0" t="s">
        <v>628</v>
      </c>
      <c r="H870" s="0" t="s">
        <v>625</v>
      </c>
      <c r="I870" s="0" t="s">
        <v>626</v>
      </c>
      <c r="J870" s="0" t="s">
        <v>627</v>
      </c>
      <c r="K870" s="475" t="n">
        <v>36951</v>
      </c>
      <c r="L870" s="254" t="n">
        <v>55000</v>
      </c>
      <c r="M870" s="475" t="n">
        <v>36981</v>
      </c>
      <c r="N870" s="0" t="s">
        <v>132</v>
      </c>
      <c r="O870" s="0" t="n">
        <v>0.5</v>
      </c>
      <c r="P870" s="0" t="n">
        <v>0</v>
      </c>
      <c r="Q870" s="0" t="n">
        <v>0</v>
      </c>
      <c r="R870" s="0" t="n">
        <v>0</v>
      </c>
      <c r="S870" s="0" t="n">
        <v>0</v>
      </c>
      <c r="T870" s="0" t="s">
        <v>624</v>
      </c>
      <c r="U870" s="0" t="s">
        <v>496</v>
      </c>
      <c r="V870" s="0" t="s">
        <v>497</v>
      </c>
      <c r="W870" s="0" t="s">
        <v>569</v>
      </c>
      <c r="X870" s="0" t="s">
        <v>569</v>
      </c>
      <c r="Y870" s="0" t="s">
        <v>627</v>
      </c>
      <c r="Z870" s="0" t="s">
        <v>629</v>
      </c>
      <c r="AA870" s="0" t="s">
        <v>629</v>
      </c>
      <c r="AB870" s="0" t="s">
        <v>132</v>
      </c>
      <c r="AC870" s="254" t="n">
        <v>500000</v>
      </c>
      <c r="AD870" s="254" t="n">
        <v>1.69891189887054</v>
      </c>
      <c r="AE870" s="0" t="n">
        <v>0</v>
      </c>
      <c r="AF870" s="0" t="n">
        <v>0</v>
      </c>
      <c r="AG870" s="0" t="n">
        <v>0</v>
      </c>
      <c r="AH870" s="254" t="n">
        <v>0</v>
      </c>
      <c r="AI870" s="0" t="n">
        <v>0</v>
      </c>
      <c r="AJ870" s="0" t="s">
        <v>630</v>
      </c>
      <c r="AK870" s="0" t="n">
        <v>0</v>
      </c>
      <c r="AL870" s="0" t="n">
        <v>0</v>
      </c>
      <c r="AM870" s="0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xls.pipe_opt_file.pipeoptdoall">
                <anchor moveWithCells="true" sizeWithCells="false">
                  <from>
                    <xdr:col>0</xdr:col>
                    <xdr:colOff>259200</xdr:colOff>
                    <xdr:row>2</xdr:row>
                    <xdr:rowOff>37800</xdr:rowOff>
                  </from>
                  <to>
                    <xdr:col>3</xdr:col>
                    <xdr:colOff>170280</xdr:colOff>
                    <xdr:row>8</xdr:row>
                    <xdr:rowOff>47520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56"/>
    <col collapsed="false" customWidth="true" hidden="false" outlineLevel="0" max="2" min="2" style="0" width="13.7"/>
    <col collapsed="false" customWidth="true" hidden="false" outlineLevel="0" max="3" min="3" style="0" width="16.13"/>
    <col collapsed="false" customWidth="true" hidden="false" outlineLevel="0" max="4" min="4" style="0" width="5.71"/>
    <col collapsed="false" customWidth="true" hidden="false" outlineLevel="0" max="5" min="5" style="0" width="5.99"/>
    <col collapsed="false" customWidth="true" hidden="false" outlineLevel="0" max="6" min="6" style="0" width="7.28"/>
    <col collapsed="false" customWidth="true" hidden="false" outlineLevel="0" max="7" min="7" style="0" width="10.71"/>
    <col collapsed="false" customWidth="true" hidden="false" outlineLevel="0" max="8" min="8" style="0" width="6.41"/>
    <col collapsed="false" customWidth="true" hidden="false" outlineLevel="0" max="9" min="9" style="0" width="8.99"/>
    <col collapsed="false" customWidth="true" hidden="false" outlineLevel="0" max="10" min="10" style="0" width="11.99"/>
    <col collapsed="false" customWidth="true" hidden="false" outlineLevel="0" max="11" min="11" style="0" width="7.28"/>
    <col collapsed="false" customWidth="true" hidden="false" outlineLevel="0" max="12" min="12" style="0" width="9.7"/>
    <col collapsed="false" customWidth="true" hidden="false" outlineLevel="0" max="13" min="13" style="0" width="5.85"/>
    <col collapsed="false" customWidth="true" hidden="false" outlineLevel="0" max="14" min="14" style="0" width="11.99"/>
    <col collapsed="false" customWidth="true" hidden="false" outlineLevel="0" max="15" min="15" style="0" width="12.56"/>
    <col collapsed="false" customWidth="true" hidden="false" outlineLevel="0" max="16" min="16" style="0" width="11.99"/>
    <col collapsed="false" customWidth="true" hidden="false" outlineLevel="0" max="19" min="19" style="0" width="13.56"/>
    <col collapsed="false" customWidth="true" hidden="false" outlineLevel="0" max="20" min="20" style="0" width="13.14"/>
  </cols>
  <sheetData>
    <row r="1" customFormat="false" ht="18" hidden="false" customHeight="false" outlineLevel="0" collapsed="false">
      <c r="A1" s="166" t="s">
        <v>11</v>
      </c>
    </row>
    <row r="2" customFormat="false" ht="15" hidden="false" customHeight="false" outlineLevel="0" collapsed="false">
      <c r="N2" s="167" t="s">
        <v>24</v>
      </c>
      <c r="O2" s="168" t="s">
        <v>112</v>
      </c>
      <c r="P2" s="169" t="s">
        <v>48</v>
      </c>
    </row>
    <row r="3" customFormat="false" ht="18" hidden="false" customHeight="false" outlineLevel="0" collapsed="false">
      <c r="A3" s="106" t="s">
        <v>28</v>
      </c>
      <c r="B3" s="170" t="n">
        <f aca="false">Summary!P1</f>
        <v>36767</v>
      </c>
      <c r="N3" s="171"/>
      <c r="O3" s="172" t="e">
        <f aca="false">SUM(O7:O420)</f>
        <v>#NAME?</v>
      </c>
      <c r="P3" s="173" t="e">
        <f aca="false">SUM(P7:P420)</f>
        <v>#NAME?</v>
      </c>
      <c r="S3" s="91" t="s">
        <v>35</v>
      </c>
      <c r="T3" s="91"/>
    </row>
    <row r="4" customFormat="false" ht="14.25" hidden="false" customHeight="false" outlineLevel="0" collapsed="false">
      <c r="A4" s="89" t="s">
        <v>113</v>
      </c>
      <c r="B4" s="89"/>
      <c r="C4" s="89"/>
      <c r="D4" s="89"/>
      <c r="E4" s="89"/>
      <c r="F4" s="89"/>
      <c r="G4" s="89"/>
      <c r="H4" s="89"/>
      <c r="I4" s="174" t="s">
        <v>114</v>
      </c>
      <c r="J4" s="174"/>
      <c r="K4" s="174"/>
      <c r="L4" s="174"/>
      <c r="M4" s="174"/>
      <c r="N4" s="174"/>
      <c r="O4" s="174"/>
      <c r="P4" s="174"/>
      <c r="S4" s="97" t="s">
        <v>18</v>
      </c>
      <c r="T4" s="175"/>
    </row>
    <row r="5" customFormat="false" ht="14.25" hidden="false" customHeight="false" outlineLevel="0" collapsed="false">
      <c r="A5" s="176"/>
      <c r="B5" s="176"/>
      <c r="C5" s="176"/>
      <c r="D5" s="176" t="s">
        <v>115</v>
      </c>
      <c r="E5" s="176" t="s">
        <v>116</v>
      </c>
      <c r="F5" s="176"/>
      <c r="G5" s="176" t="s">
        <v>38</v>
      </c>
      <c r="H5" s="177" t="s">
        <v>117</v>
      </c>
      <c r="I5" s="95" t="s">
        <v>118</v>
      </c>
      <c r="J5" s="178" t="s">
        <v>42</v>
      </c>
      <c r="K5" s="178" t="s">
        <v>41</v>
      </c>
      <c r="L5" s="176"/>
      <c r="M5" s="178" t="s">
        <v>119</v>
      </c>
      <c r="N5" s="178" t="s">
        <v>120</v>
      </c>
      <c r="O5" s="178"/>
      <c r="P5" s="178" t="s">
        <v>120</v>
      </c>
      <c r="S5" s="109"/>
      <c r="T5" s="179" t="s">
        <v>121</v>
      </c>
    </row>
    <row r="6" customFormat="false" ht="12.75" hidden="false" customHeight="false" outlineLevel="0" collapsed="false">
      <c r="A6" s="107" t="s">
        <v>53</v>
      </c>
      <c r="B6" s="107" t="s">
        <v>54</v>
      </c>
      <c r="C6" s="107" t="s">
        <v>122</v>
      </c>
      <c r="D6" s="107" t="s">
        <v>123</v>
      </c>
      <c r="E6" s="107" t="s">
        <v>124</v>
      </c>
      <c r="F6" s="107" t="s">
        <v>18</v>
      </c>
      <c r="G6" s="107" t="s">
        <v>57</v>
      </c>
      <c r="H6" s="107" t="s">
        <v>58</v>
      </c>
      <c r="I6" s="107" t="s">
        <v>58</v>
      </c>
      <c r="J6" s="107" t="s">
        <v>60</v>
      </c>
      <c r="K6" s="107" t="s">
        <v>63</v>
      </c>
      <c r="L6" s="107" t="s">
        <v>61</v>
      </c>
      <c r="M6" s="107" t="s">
        <v>125</v>
      </c>
      <c r="N6" s="107" t="s">
        <v>126</v>
      </c>
      <c r="O6" s="107" t="s">
        <v>112</v>
      </c>
      <c r="P6" s="107" t="s">
        <v>127</v>
      </c>
      <c r="S6" s="133" t="n">
        <v>36192</v>
      </c>
      <c r="T6" s="135" t="n">
        <f aca="false">+SUMIF(F:F,S6,P:P)</f>
        <v>0</v>
      </c>
    </row>
    <row r="7" customFormat="false" ht="12.75" hidden="false" customHeight="false" outlineLevel="0" collapsed="false">
      <c r="A7" s="2" t="s">
        <v>128</v>
      </c>
      <c r="B7" s="180" t="s">
        <v>129</v>
      </c>
      <c r="C7" s="2" t="s">
        <v>130</v>
      </c>
      <c r="D7" s="0" t="s">
        <v>131</v>
      </c>
      <c r="E7" s="0" t="s">
        <v>132</v>
      </c>
      <c r="F7" s="79" t="n">
        <v>36342</v>
      </c>
      <c r="G7" s="0" t="n">
        <v>-62000</v>
      </c>
      <c r="H7" s="0" t="n">
        <v>2</v>
      </c>
      <c r="I7" s="132" t="e">
        <f aca="false">+(HLOOKUP($C$7,Prices,VLOOKUP(F7,move_down,2,FALSE()),FALSE())+HLOOKUP($C$8,Prices,VLOOKUP(F7,move_down,2,FALSE()),FALSE())+HLOOKUP($C$9,Prices,VLOOKUP(F7,move_down,2,FALSE()),FALSE())+HLOOKUP($C$10,Prices,VLOOKUP(F7,move_down,2,FALSE()),FALSE())+4*VLOOKUP(F7,NGPrices,2,FALSE()))/4</f>
        <v>#N/A</v>
      </c>
      <c r="J7" s="181" t="e">
        <f aca="false">+VLOOKUP(F7,NGPrices,4)</f>
        <v>#N/A</v>
      </c>
      <c r="K7" s="0" t="e">
        <f aca="false">+VLOOKUP(F7,NGPrices,3)</f>
        <v>#N/A</v>
      </c>
      <c r="L7" s="182" t="n">
        <f aca="false">+F7</f>
        <v>36342</v>
      </c>
      <c r="M7" s="0" t="n">
        <f aca="false">IF(E7="P",0,1)</f>
        <v>0</v>
      </c>
      <c r="N7" s="132" t="n">
        <v>0</v>
      </c>
      <c r="O7" s="132" t="n">
        <f aca="false">+N7*G7</f>
        <v>-0</v>
      </c>
      <c r="P7" s="183" t="n">
        <v>0</v>
      </c>
      <c r="S7" s="143" t="n">
        <f aca="false">EOMONTH(S6,0)+1</f>
        <v>36220</v>
      </c>
      <c r="T7" s="135" t="n">
        <f aca="false">+SUMIF(F:F,S7,P:P)</f>
        <v>0</v>
      </c>
    </row>
    <row r="8" customFormat="false" ht="12.75" hidden="false" customHeight="false" outlineLevel="0" collapsed="false">
      <c r="A8" s="2" t="s">
        <v>128</v>
      </c>
      <c r="B8" s="180" t="s">
        <v>129</v>
      </c>
      <c r="C8" s="2" t="s">
        <v>133</v>
      </c>
      <c r="D8" s="0" t="s">
        <v>131</v>
      </c>
      <c r="E8" s="0" t="s">
        <v>132</v>
      </c>
      <c r="F8" s="79" t="n">
        <v>36373</v>
      </c>
      <c r="G8" s="0" t="n">
        <v>-62000</v>
      </c>
      <c r="H8" s="0" t="n">
        <v>2</v>
      </c>
      <c r="I8" s="132" t="e">
        <f aca="false">+(HLOOKUP($C$7,Prices,VLOOKUP(F8,move_down,2,FALSE()),FALSE())+HLOOKUP($C$8,Prices,VLOOKUP(F8,move_down,2,FALSE()),FALSE())+HLOOKUP($C$9,Prices,VLOOKUP(F8,move_down,2,FALSE()),FALSE())+HLOOKUP($C$10,Prices,VLOOKUP(F8,move_down,2,FALSE()),FALSE())+4*VLOOKUP(F8,NGPrices,2,FALSE()))/4</f>
        <v>#N/A</v>
      </c>
      <c r="J8" s="181" t="e">
        <f aca="false">+VLOOKUP(F8,NGPrices,4)</f>
        <v>#N/A</v>
      </c>
      <c r="K8" s="0" t="e">
        <f aca="false">+VLOOKUP(F8,NGPrices,3)</f>
        <v>#N/A</v>
      </c>
      <c r="L8" s="182" t="n">
        <f aca="false">+F8</f>
        <v>36373</v>
      </c>
      <c r="M8" s="0" t="n">
        <f aca="false">IF(E8="P",0,1)</f>
        <v>0</v>
      </c>
      <c r="N8" s="132" t="n">
        <v>0</v>
      </c>
      <c r="O8" s="132" t="n">
        <f aca="false">+N8*G8</f>
        <v>-0</v>
      </c>
      <c r="P8" s="183" t="n">
        <v>0</v>
      </c>
      <c r="S8" s="143" t="n">
        <f aca="false">EOMONTH(S7,0)+1</f>
        <v>36251</v>
      </c>
      <c r="T8" s="135" t="n">
        <f aca="false">+SUMIF(F:F,S8,P:P)</f>
        <v>0</v>
      </c>
    </row>
    <row r="9" customFormat="false" ht="12.75" hidden="false" customHeight="false" outlineLevel="0" collapsed="false">
      <c r="A9" s="2" t="s">
        <v>128</v>
      </c>
      <c r="B9" s="180" t="s">
        <v>129</v>
      </c>
      <c r="C9" s="2" t="s">
        <v>134</v>
      </c>
      <c r="D9" s="0" t="s">
        <v>131</v>
      </c>
      <c r="E9" s="0" t="s">
        <v>132</v>
      </c>
      <c r="F9" s="79" t="n">
        <v>36404</v>
      </c>
      <c r="G9" s="0" t="n">
        <v>-62000</v>
      </c>
      <c r="H9" s="0" t="n">
        <v>2</v>
      </c>
      <c r="I9" s="132" t="e">
        <f aca="false">+(HLOOKUP($C$7,Prices,VLOOKUP(F9,move_down,2,FALSE()),FALSE())+HLOOKUP($C$8,Prices,VLOOKUP(F9,move_down,2,FALSE()),FALSE())+HLOOKUP($C$9,Prices,VLOOKUP(F9,move_down,2,FALSE()),FALSE())+HLOOKUP($C$10,Prices,VLOOKUP(F9,move_down,2,FALSE()),FALSE())+4*VLOOKUP(F9,NGPrices,2,FALSE()))/4</f>
        <v>#N/A</v>
      </c>
      <c r="J9" s="181" t="e">
        <f aca="false">+VLOOKUP(F9,NGPrices,4)</f>
        <v>#N/A</v>
      </c>
      <c r="K9" s="0" t="e">
        <f aca="false">+VLOOKUP(F9,NGPrices,3)</f>
        <v>#N/A</v>
      </c>
      <c r="L9" s="182" t="n">
        <f aca="false">+F9</f>
        <v>36404</v>
      </c>
      <c r="M9" s="0" t="n">
        <f aca="false">IF(E9="P",0,1)</f>
        <v>0</v>
      </c>
      <c r="N9" s="132" t="n">
        <v>0</v>
      </c>
      <c r="O9" s="132" t="n">
        <f aca="false">+N9*G9</f>
        <v>-0</v>
      </c>
      <c r="P9" s="183" t="n">
        <v>0</v>
      </c>
      <c r="S9" s="143" t="n">
        <f aca="false">EOMONTH(S8,0)+1</f>
        <v>36281</v>
      </c>
      <c r="T9" s="135" t="n">
        <f aca="false">+SUMIF(F:F,S9,P:P)</f>
        <v>0</v>
      </c>
    </row>
    <row r="10" customFormat="false" ht="12.75" hidden="false" customHeight="false" outlineLevel="0" collapsed="false">
      <c r="A10" s="2" t="s">
        <v>128</v>
      </c>
      <c r="B10" s="180" t="s">
        <v>129</v>
      </c>
      <c r="C10" s="2" t="s">
        <v>135</v>
      </c>
      <c r="D10" s="0" t="s">
        <v>131</v>
      </c>
      <c r="E10" s="0" t="s">
        <v>132</v>
      </c>
      <c r="F10" s="79" t="n">
        <v>36434</v>
      </c>
      <c r="G10" s="0" t="n">
        <v>-62000</v>
      </c>
      <c r="H10" s="0" t="n">
        <v>2</v>
      </c>
      <c r="I10" s="132" t="e">
        <f aca="false">+(HLOOKUP($C$7,Prices,VLOOKUP(F10,move_down,2,FALSE()),FALSE())+HLOOKUP($C$8,Prices,VLOOKUP(F10,move_down,2,FALSE()),FALSE())+HLOOKUP($C$9,Prices,VLOOKUP(F10,move_down,2,FALSE()),FALSE())+HLOOKUP($C$10,Prices,VLOOKUP(F10,move_down,2,FALSE()),FALSE())+4*VLOOKUP(F10,NGPrices,2,FALSE()))/4</f>
        <v>#N/A</v>
      </c>
      <c r="J10" s="181" t="e">
        <f aca="false">+VLOOKUP(F10,NGPrices,4)</f>
        <v>#N/A</v>
      </c>
      <c r="K10" s="0" t="e">
        <f aca="false">+VLOOKUP(F10,NGPrices,3)</f>
        <v>#N/A</v>
      </c>
      <c r="L10" s="182" t="n">
        <f aca="false">+F10</f>
        <v>36434</v>
      </c>
      <c r="M10" s="0" t="n">
        <f aca="false">IF(E10="P",0,1)</f>
        <v>0</v>
      </c>
      <c r="N10" s="132" t="n">
        <v>0</v>
      </c>
      <c r="O10" s="132" t="n">
        <f aca="false">+N10*G10</f>
        <v>-0</v>
      </c>
      <c r="P10" s="183" t="n">
        <v>0</v>
      </c>
      <c r="S10" s="143" t="n">
        <f aca="false">EOMONTH(S9,0)+1</f>
        <v>36312</v>
      </c>
      <c r="T10" s="135" t="n">
        <f aca="false">+SUMIF(F:F,S10,P:P)</f>
        <v>0</v>
      </c>
    </row>
    <row r="11" customFormat="false" ht="12.75" hidden="false" customHeight="false" outlineLevel="0" collapsed="false">
      <c r="A11" s="2" t="s">
        <v>128</v>
      </c>
      <c r="B11" s="180" t="s">
        <v>129</v>
      </c>
      <c r="D11" s="0" t="s">
        <v>131</v>
      </c>
      <c r="E11" s="0" t="s">
        <v>132</v>
      </c>
      <c r="F11" s="79" t="n">
        <v>36465</v>
      </c>
      <c r="G11" s="0" t="n">
        <v>-62000</v>
      </c>
      <c r="H11" s="0" t="n">
        <v>2</v>
      </c>
      <c r="I11" s="132" t="e">
        <f aca="false">+(HLOOKUP($C$7,Prices,VLOOKUP(F11,move_down,2,FALSE()),FALSE())+HLOOKUP($C$8,Prices,VLOOKUP(F11,move_down,2,FALSE()),FALSE())+HLOOKUP($C$9,Prices,VLOOKUP(F11,move_down,2,FALSE()),FALSE())+HLOOKUP($C$10,Prices,VLOOKUP(F11,move_down,2,FALSE()),FALSE())+4*VLOOKUP(F11,NGPrices,2,FALSE()))/4</f>
        <v>#N/A</v>
      </c>
      <c r="J11" s="181" t="e">
        <f aca="false">+VLOOKUP(F11,NGPrices,4)</f>
        <v>#N/A</v>
      </c>
      <c r="K11" s="0" t="e">
        <f aca="false">+VLOOKUP(F11,NGPrices,3)</f>
        <v>#N/A</v>
      </c>
      <c r="L11" s="182" t="n">
        <f aca="false">+F11</f>
        <v>36465</v>
      </c>
      <c r="M11" s="0" t="n">
        <f aca="false">IF(E11="P",0,1)</f>
        <v>0</v>
      </c>
      <c r="N11" s="132" t="n">
        <v>0</v>
      </c>
      <c r="O11" s="132" t="n">
        <v>0</v>
      </c>
      <c r="P11" s="183" t="n">
        <v>0</v>
      </c>
      <c r="S11" s="143" t="n">
        <f aca="false">EOMONTH(S10,0)+1</f>
        <v>36342</v>
      </c>
      <c r="T11" s="135" t="n">
        <f aca="false">+SUMIF(F:F,S11,P:P)</f>
        <v>0</v>
      </c>
    </row>
    <row r="12" customFormat="false" ht="12.75" hidden="false" customHeight="false" outlineLevel="0" collapsed="false">
      <c r="A12" s="2" t="s">
        <v>128</v>
      </c>
      <c r="B12" s="180" t="s">
        <v>129</v>
      </c>
      <c r="D12" s="0" t="s">
        <v>131</v>
      </c>
      <c r="E12" s="0" t="s">
        <v>132</v>
      </c>
      <c r="F12" s="79" t="n">
        <v>36495</v>
      </c>
      <c r="G12" s="0" t="n">
        <v>-62000</v>
      </c>
      <c r="H12" s="0" t="n">
        <v>2</v>
      </c>
      <c r="I12" s="132" t="e">
        <f aca="false">+(HLOOKUP($C$7,Prices,VLOOKUP(F12,move_down,2,FALSE()),FALSE())+HLOOKUP($C$8,Prices,VLOOKUP(F12,move_down,2,FALSE()),FALSE())+HLOOKUP($C$9,Prices,VLOOKUP(F12,move_down,2,FALSE()),FALSE())+HLOOKUP($C$10,Prices,VLOOKUP(F12,move_down,2,FALSE()),FALSE())+4*VLOOKUP(F12,NGPrices,2,FALSE()))/4</f>
        <v>#N/A</v>
      </c>
      <c r="J12" s="181" t="e">
        <f aca="false">+VLOOKUP(F12,NGPrices,4)</f>
        <v>#N/A</v>
      </c>
      <c r="K12" s="0" t="e">
        <f aca="false">+VLOOKUP(F12,NGPrices,3)</f>
        <v>#N/A</v>
      </c>
      <c r="L12" s="182" t="n">
        <f aca="false">+F12</f>
        <v>36495</v>
      </c>
      <c r="M12" s="0" t="n">
        <f aca="false">IF(E12="P",0,1)</f>
        <v>0</v>
      </c>
      <c r="N12" s="132" t="n">
        <v>0</v>
      </c>
      <c r="O12" s="132" t="n">
        <v>0</v>
      </c>
      <c r="P12" s="183" t="n">
        <v>0</v>
      </c>
      <c r="S12" s="143" t="n">
        <f aca="false">EOMONTH(S11,0)+1</f>
        <v>36373</v>
      </c>
      <c r="T12" s="135" t="n">
        <f aca="false">+SUMIF(F:F,S12,P:P)</f>
        <v>0</v>
      </c>
    </row>
    <row r="13" customFormat="false" ht="12.75" hidden="false" customHeight="false" outlineLevel="0" collapsed="false">
      <c r="A13" s="2" t="s">
        <v>128</v>
      </c>
      <c r="B13" s="180" t="s">
        <v>129</v>
      </c>
      <c r="D13" s="0" t="s">
        <v>131</v>
      </c>
      <c r="E13" s="0" t="s">
        <v>132</v>
      </c>
      <c r="F13" s="79" t="n">
        <v>36526</v>
      </c>
      <c r="G13" s="0" t="n">
        <v>-62000</v>
      </c>
      <c r="H13" s="0" t="n">
        <v>2</v>
      </c>
      <c r="I13" s="132" t="e">
        <f aca="false">+(HLOOKUP($C$7,Prices,VLOOKUP(F13,move_down,2,FALSE()),FALSE())+HLOOKUP($C$8,Prices,VLOOKUP(F13,move_down,2,FALSE()),FALSE())+HLOOKUP($C$9,Prices,VLOOKUP(F13,move_down,2,FALSE()),FALSE())+HLOOKUP($C$10,Prices,VLOOKUP(F13,move_down,2,FALSE()),FALSE())+4*VLOOKUP(F13,NGPrices,2,FALSE()))/4</f>
        <v>#N/A</v>
      </c>
      <c r="J13" s="181" t="e">
        <f aca="false">+VLOOKUP(F13,NGPrices,4)</f>
        <v>#N/A</v>
      </c>
      <c r="K13" s="0" t="e">
        <f aca="false">+VLOOKUP(F13,NGPrices,3)</f>
        <v>#N/A</v>
      </c>
      <c r="L13" s="182" t="n">
        <f aca="false">+F13</f>
        <v>36526</v>
      </c>
      <c r="M13" s="0" t="n">
        <f aca="false">IF(E13="P",0,1)</f>
        <v>0</v>
      </c>
      <c r="N13" s="132" t="n">
        <v>0</v>
      </c>
      <c r="O13" s="132" t="n">
        <f aca="false">+N13*G13</f>
        <v>-0</v>
      </c>
      <c r="P13" s="183" t="n">
        <v>0</v>
      </c>
      <c r="S13" s="143" t="n">
        <f aca="false">EOMONTH(S12,0)+1</f>
        <v>36404</v>
      </c>
      <c r="T13" s="135" t="n">
        <f aca="false">+SUMIF(F:F,S13,P:P)</f>
        <v>0</v>
      </c>
    </row>
    <row r="14" customFormat="false" ht="12.75" hidden="false" customHeight="false" outlineLevel="0" collapsed="false">
      <c r="A14" s="2" t="s">
        <v>128</v>
      </c>
      <c r="B14" s="180" t="s">
        <v>129</v>
      </c>
      <c r="D14" s="0" t="s">
        <v>131</v>
      </c>
      <c r="E14" s="0" t="s">
        <v>132</v>
      </c>
      <c r="F14" s="79" t="n">
        <v>36557</v>
      </c>
      <c r="G14" s="0" t="n">
        <v>-62000</v>
      </c>
      <c r="H14" s="0" t="n">
        <v>2</v>
      </c>
      <c r="I14" s="132" t="e">
        <f aca="false">+(HLOOKUP($C$7,Prices,VLOOKUP(F14,move_down,2,FALSE()),FALSE())+HLOOKUP($C$8,Prices,VLOOKUP(F14,move_down,2,FALSE()),FALSE())+HLOOKUP($C$9,Prices,VLOOKUP(F14,move_down,2,FALSE()),FALSE())+HLOOKUP($C$10,Prices,VLOOKUP(F14,move_down,2,FALSE()),FALSE())+4*VLOOKUP(F14,NGPrices,2,FALSE()))/4</f>
        <v>#N/A</v>
      </c>
      <c r="J14" s="181" t="e">
        <f aca="false">+VLOOKUP(F14,NGPrices,4)</f>
        <v>#N/A</v>
      </c>
      <c r="K14" s="0" t="e">
        <f aca="false">+VLOOKUP(F14,NGPrices,3)</f>
        <v>#N/A</v>
      </c>
      <c r="L14" s="182" t="n">
        <f aca="false">+F14</f>
        <v>36557</v>
      </c>
      <c r="M14" s="0" t="n">
        <f aca="false">IF(E14="P",0,1)</f>
        <v>0</v>
      </c>
      <c r="N14" s="132" t="n">
        <v>0</v>
      </c>
      <c r="O14" s="132" t="n">
        <v>0</v>
      </c>
      <c r="P14" s="183" t="n">
        <v>0</v>
      </c>
      <c r="S14" s="143" t="n">
        <f aca="false">EOMONTH(S13,0)+1</f>
        <v>36434</v>
      </c>
      <c r="T14" s="135" t="n">
        <f aca="false">+SUMIF(F:F,S14,P:P)</f>
        <v>0</v>
      </c>
    </row>
    <row r="15" customFormat="false" ht="12.75" hidden="false" customHeight="false" outlineLevel="0" collapsed="false">
      <c r="A15" s="2" t="s">
        <v>128</v>
      </c>
      <c r="B15" s="180" t="s">
        <v>129</v>
      </c>
      <c r="D15" s="0" t="s">
        <v>131</v>
      </c>
      <c r="E15" s="0" t="s">
        <v>132</v>
      </c>
      <c r="F15" s="79" t="n">
        <v>36586</v>
      </c>
      <c r="G15" s="0" t="n">
        <v>-62000</v>
      </c>
      <c r="H15" s="0" t="n">
        <v>2</v>
      </c>
      <c r="I15" s="132" t="e">
        <f aca="false">+(HLOOKUP($C$7,Prices,VLOOKUP(F15,move_down,2,FALSE()),FALSE())+HLOOKUP($C$8,Prices,VLOOKUP(F15,move_down,2,FALSE()),FALSE())+HLOOKUP($C$9,Prices,VLOOKUP(F15,move_down,2,FALSE()),FALSE())+HLOOKUP($C$10,Prices,VLOOKUP(F15,move_down,2,FALSE()),FALSE())+4*VLOOKUP(F15,NGPrices,2,FALSE()))/4</f>
        <v>#N/A</v>
      </c>
      <c r="J15" s="181" t="e">
        <f aca="false">+VLOOKUP(F15,NGPrices,4)</f>
        <v>#N/A</v>
      </c>
      <c r="K15" s="0" t="e">
        <f aca="false">+VLOOKUP(F15,NGPrices,3)</f>
        <v>#N/A</v>
      </c>
      <c r="L15" s="182" t="n">
        <f aca="false">+F15</f>
        <v>36586</v>
      </c>
      <c r="M15" s="0" t="n">
        <f aca="false">IF(E15="P",0,1)</f>
        <v>0</v>
      </c>
      <c r="N15" s="132" t="n">
        <v>0</v>
      </c>
      <c r="O15" s="132" t="n">
        <v>0</v>
      </c>
      <c r="P15" s="183" t="n">
        <v>0</v>
      </c>
      <c r="S15" s="143" t="n">
        <f aca="false">EOMONTH(S14,0)+1</f>
        <v>36465</v>
      </c>
      <c r="T15" s="135" t="n">
        <f aca="false">+SUMIF(F:F,S15,P:P)</f>
        <v>0</v>
      </c>
    </row>
    <row r="16" customFormat="false" ht="12.75" hidden="false" customHeight="false" outlineLevel="0" collapsed="false">
      <c r="A16" s="2" t="s">
        <v>128</v>
      </c>
      <c r="B16" s="180" t="s">
        <v>129</v>
      </c>
      <c r="D16" s="0" t="s">
        <v>131</v>
      </c>
      <c r="E16" s="0" t="s">
        <v>132</v>
      </c>
      <c r="F16" s="79" t="n">
        <v>36617</v>
      </c>
      <c r="G16" s="0" t="n">
        <v>-62000</v>
      </c>
      <c r="H16" s="0" t="n">
        <v>2</v>
      </c>
      <c r="I16" s="132" t="e">
        <f aca="false">+(HLOOKUP($C$7,Prices,VLOOKUP(F16,move_down,2,FALSE()),FALSE())+HLOOKUP($C$8,Prices,VLOOKUP(F16,move_down,2,FALSE()),FALSE())+HLOOKUP($C$9,Prices,VLOOKUP(F16,move_down,2,FALSE()),FALSE())+HLOOKUP($C$10,Prices,VLOOKUP(F16,move_down,2,FALSE()),FALSE())+4*VLOOKUP(F16,NGPrices,2,FALSE()))/4</f>
        <v>#N/A</v>
      </c>
      <c r="J16" s="181" t="e">
        <f aca="false">+VLOOKUP(F16,NGPrices,4)</f>
        <v>#N/A</v>
      </c>
      <c r="K16" s="0" t="e">
        <f aca="false">+VLOOKUP(F16,NGPrices,3)</f>
        <v>#N/A</v>
      </c>
      <c r="L16" s="182" t="n">
        <f aca="false">+F16</f>
        <v>36617</v>
      </c>
      <c r="M16" s="0" t="n">
        <f aca="false">IF(E16="P",0,1)</f>
        <v>0</v>
      </c>
      <c r="N16" s="132" t="n">
        <v>0</v>
      </c>
      <c r="O16" s="132" t="n">
        <v>0</v>
      </c>
      <c r="P16" s="183" t="n">
        <v>0</v>
      </c>
      <c r="S16" s="143" t="n">
        <f aca="false">EOMONTH(S15,0)+1</f>
        <v>36495</v>
      </c>
      <c r="T16" s="135" t="n">
        <f aca="false">+SUMIF(F:F,S16,P:P)</f>
        <v>0</v>
      </c>
    </row>
    <row r="17" customFormat="false" ht="12.75" hidden="false" customHeight="false" outlineLevel="0" collapsed="false">
      <c r="A17" s="2" t="s">
        <v>128</v>
      </c>
      <c r="B17" s="180" t="s">
        <v>129</v>
      </c>
      <c r="D17" s="0" t="s">
        <v>131</v>
      </c>
      <c r="E17" s="0" t="s">
        <v>132</v>
      </c>
      <c r="F17" s="79" t="n">
        <v>36647</v>
      </c>
      <c r="G17" s="0" t="n">
        <v>-62000</v>
      </c>
      <c r="H17" s="0" t="n">
        <v>2</v>
      </c>
      <c r="I17" s="132" t="e">
        <f aca="false">+(HLOOKUP($C$7,Prices,VLOOKUP(F17,move_down,2,FALSE()),FALSE())+HLOOKUP($C$8,Prices,VLOOKUP(F17,move_down,2,FALSE()),FALSE())+HLOOKUP($C$9,Prices,VLOOKUP(F17,move_down,2,FALSE()),FALSE())+HLOOKUP($C$10,Prices,VLOOKUP(F17,move_down,2,FALSE()),FALSE())+4*VLOOKUP(F17,NGPrices,2,FALSE()))/4</f>
        <v>#N/A</v>
      </c>
      <c r="J17" s="181" t="e">
        <f aca="false">+VLOOKUP(F17,NGPrices,4)</f>
        <v>#N/A</v>
      </c>
      <c r="K17" s="0" t="e">
        <f aca="false">+VLOOKUP(F17,NGPrices,3)</f>
        <v>#N/A</v>
      </c>
      <c r="L17" s="182" t="n">
        <f aca="false">+F17</f>
        <v>36647</v>
      </c>
      <c r="M17" s="0" t="n">
        <f aca="false">IF(E17="P",0,1)</f>
        <v>0</v>
      </c>
      <c r="N17" s="132" t="n">
        <v>0</v>
      </c>
      <c r="O17" s="132" t="n">
        <v>0</v>
      </c>
      <c r="P17" s="183" t="n">
        <v>0</v>
      </c>
      <c r="S17" s="143" t="n">
        <f aca="false">EOMONTH(S16,0)+1</f>
        <v>36526</v>
      </c>
      <c r="T17" s="135" t="n">
        <f aca="false">+SUMIF(F:F,S17,P:P)</f>
        <v>0</v>
      </c>
    </row>
    <row r="18" customFormat="false" ht="12.75" hidden="false" customHeight="false" outlineLevel="0" collapsed="false">
      <c r="A18" s="2" t="s">
        <v>128</v>
      </c>
      <c r="B18" s="180" t="s">
        <v>129</v>
      </c>
      <c r="D18" s="0" t="s">
        <v>131</v>
      </c>
      <c r="E18" s="0" t="s">
        <v>132</v>
      </c>
      <c r="F18" s="79" t="n">
        <v>36678</v>
      </c>
      <c r="G18" s="0" t="n">
        <v>-62000</v>
      </c>
      <c r="H18" s="0" t="n">
        <v>2</v>
      </c>
      <c r="I18" s="132" t="e">
        <f aca="false">+(HLOOKUP($C$7,Prices,VLOOKUP(F18,move_down,2,FALSE()),FALSE())+HLOOKUP($C$8,Prices,VLOOKUP(F18,move_down,2,FALSE()),FALSE())+HLOOKUP($C$9,Prices,VLOOKUP(F18,move_down,2,FALSE()),FALSE())+HLOOKUP($C$10,Prices,VLOOKUP(F18,move_down,2,FALSE()),FALSE())+4*VLOOKUP(F18,NGPrices,2,FALSE()))/4</f>
        <v>#N/A</v>
      </c>
      <c r="J18" s="181" t="e">
        <f aca="false">+VLOOKUP(F18,NGPrices,4)</f>
        <v>#N/A</v>
      </c>
      <c r="K18" s="0" t="e">
        <f aca="false">+VLOOKUP(F18,NGPrices,3)</f>
        <v>#N/A</v>
      </c>
      <c r="L18" s="182" t="n">
        <f aca="false">+F18</f>
        <v>36678</v>
      </c>
      <c r="M18" s="0" t="n">
        <f aca="false">IF(E18="P",0,1)</f>
        <v>0</v>
      </c>
      <c r="N18" s="132" t="e">
        <f aca="false">xEURO(I18,H18,J18,J18,K18,L18-B$3,M18,0)</f>
        <v>#NAME?</v>
      </c>
      <c r="O18" s="132" t="e">
        <f aca="false">+N18*G18</f>
        <v>#NAME?</v>
      </c>
      <c r="P18" s="183" t="e">
        <f aca="false">xEURO(I18,H18,J18,J18,K18,L18-B$3,M18,1)*G18</f>
        <v>#NAME?</v>
      </c>
      <c r="S18" s="143" t="n">
        <f aca="false">EOMONTH(S17,0)+1</f>
        <v>36557</v>
      </c>
      <c r="T18" s="135" t="n">
        <f aca="false">+SUMIF(F:F,S18,P:P)</f>
        <v>0</v>
      </c>
    </row>
    <row r="19" customFormat="false" ht="12.75" hidden="false" customHeight="false" outlineLevel="0" collapsed="false">
      <c r="S19" s="143" t="n">
        <f aca="false">EOMONTH(S18,0)+1</f>
        <v>36586</v>
      </c>
      <c r="T19" s="135" t="n">
        <f aca="false">+SUMIF(F:F,S19,P:P)</f>
        <v>0</v>
      </c>
    </row>
    <row r="20" customFormat="false" ht="12.75" hidden="false" customHeight="false" outlineLevel="0" collapsed="false">
      <c r="S20" s="143" t="n">
        <f aca="false">EOMONTH(S19,0)+1</f>
        <v>36617</v>
      </c>
      <c r="T20" s="135" t="n">
        <f aca="false">+SUMIF(F:F,S20,P:P)</f>
        <v>0</v>
      </c>
    </row>
    <row r="21" customFormat="false" ht="12.75" hidden="false" customHeight="false" outlineLevel="0" collapsed="false">
      <c r="S21" s="143" t="n">
        <f aca="false">EOMONTH(S20,0)+1</f>
        <v>36647</v>
      </c>
      <c r="T21" s="135" t="n">
        <f aca="false">+SUMIF(F:F,S21,P:P)</f>
        <v>0</v>
      </c>
    </row>
    <row r="22" customFormat="false" ht="12.75" hidden="false" customHeight="false" outlineLevel="0" collapsed="false">
      <c r="S22" s="143" t="n">
        <f aca="false">EOMONTH(S21,0)+1</f>
        <v>36678</v>
      </c>
      <c r="T22" s="135" t="e">
        <f aca="false">+SUMIF(F:F,S22,P:P)</f>
        <v>#NAME?</v>
      </c>
    </row>
    <row r="23" customFormat="false" ht="12.75" hidden="false" customHeight="false" outlineLevel="0" collapsed="false">
      <c r="S23" s="143" t="n">
        <f aca="false">EOMONTH(S22,0)+1</f>
        <v>36708</v>
      </c>
      <c r="T23" s="135" t="n">
        <f aca="false">+SUMIF(F:F,S23,P:P)</f>
        <v>0</v>
      </c>
    </row>
    <row r="24" customFormat="false" ht="12.75" hidden="false" customHeight="false" outlineLevel="0" collapsed="false">
      <c r="S24" s="143" t="n">
        <f aca="false">EOMONTH(S23,0)+1</f>
        <v>36739</v>
      </c>
      <c r="T24" s="135" t="n">
        <f aca="false">+SUMIF(F:F,S24,P:P)</f>
        <v>0</v>
      </c>
    </row>
    <row r="25" customFormat="false" ht="12.75" hidden="false" customHeight="false" outlineLevel="0" collapsed="false">
      <c r="S25" s="143" t="n">
        <f aca="false">EOMONTH(S24,0)+1</f>
        <v>36770</v>
      </c>
      <c r="T25" s="135" t="n">
        <f aca="false">+SUMIF(F:F,S25,P:P)</f>
        <v>0</v>
      </c>
    </row>
    <row r="26" customFormat="false" ht="12.75" hidden="false" customHeight="false" outlineLevel="0" collapsed="false">
      <c r="S26" s="143" t="n">
        <f aca="false">EOMONTH(S25,0)+1</f>
        <v>36800</v>
      </c>
      <c r="T26" s="135" t="n">
        <f aca="false">+SUMIF(F:F,S26,P:P)</f>
        <v>0</v>
      </c>
    </row>
    <row r="27" customFormat="false" ht="12.75" hidden="false" customHeight="false" outlineLevel="0" collapsed="false">
      <c r="S27" s="143" t="n">
        <f aca="false">EOMONTH(S26,0)+1</f>
        <v>36831</v>
      </c>
      <c r="T27" s="135" t="n">
        <f aca="false">+SUMIF(F:F,S27,P:P)</f>
        <v>0</v>
      </c>
    </row>
    <row r="28" customFormat="false" ht="12.75" hidden="false" customHeight="false" outlineLevel="0" collapsed="false">
      <c r="S28" s="143" t="n">
        <f aca="false">EOMONTH(S27,0)+1</f>
        <v>36861</v>
      </c>
      <c r="T28" s="135" t="n">
        <f aca="false">+SUMIF(F:F,S28,P:P)</f>
        <v>0</v>
      </c>
    </row>
    <row r="29" customFormat="false" ht="12.75" hidden="false" customHeight="false" outlineLevel="0" collapsed="false">
      <c r="S29" s="143" t="n">
        <f aca="false">EOMONTH(S28,0)+1</f>
        <v>36892</v>
      </c>
      <c r="T29" s="135" t="n">
        <f aca="false">+SUMIF(F:F,S29,P:P)</f>
        <v>0</v>
      </c>
    </row>
    <row r="30" customFormat="false" ht="12.75" hidden="false" customHeight="false" outlineLevel="0" collapsed="false">
      <c r="S30" s="143" t="n">
        <f aca="false">EOMONTH(S29,0)+1</f>
        <v>36923</v>
      </c>
      <c r="T30" s="135" t="n">
        <f aca="false">+SUMIF(F:F,S30,P:P)</f>
        <v>0</v>
      </c>
    </row>
    <row r="31" customFormat="false" ht="12.75" hidden="false" customHeight="false" outlineLevel="0" collapsed="false">
      <c r="S31" s="143" t="n">
        <f aca="false">EOMONTH(S30,0)+1</f>
        <v>36951</v>
      </c>
      <c r="T31" s="135" t="n">
        <f aca="false">+SUMIF(F:F,S31,P:P)</f>
        <v>0</v>
      </c>
    </row>
    <row r="32" customFormat="false" ht="12.75" hidden="false" customHeight="false" outlineLevel="0" collapsed="false">
      <c r="S32" s="143" t="n">
        <f aca="false">EOMONTH(S31,0)+1</f>
        <v>36982</v>
      </c>
      <c r="T32" s="135" t="n">
        <f aca="false">+SUMIF(F:F,S32,P:P)</f>
        <v>0</v>
      </c>
    </row>
    <row r="33" customFormat="false" ht="12.75" hidden="false" customHeight="false" outlineLevel="0" collapsed="false">
      <c r="S33" s="143" t="n">
        <f aca="false">EOMONTH(S32,0)+1</f>
        <v>37012</v>
      </c>
      <c r="T33" s="135" t="n">
        <f aca="false">+SUMIF(F:F,S33,P:P)</f>
        <v>0</v>
      </c>
    </row>
    <row r="34" customFormat="false" ht="12.75" hidden="false" customHeight="false" outlineLevel="0" collapsed="false">
      <c r="S34" s="143" t="n">
        <f aca="false">EOMONTH(S33,0)+1</f>
        <v>37043</v>
      </c>
      <c r="T34" s="135" t="n">
        <f aca="false">+SUMIF(F:F,S34,P:P)</f>
        <v>0</v>
      </c>
    </row>
    <row r="35" customFormat="false" ht="12.75" hidden="false" customHeight="false" outlineLevel="0" collapsed="false">
      <c r="S35" s="143" t="n">
        <f aca="false">EOMONTH(S34,0)+1</f>
        <v>37073</v>
      </c>
      <c r="T35" s="135" t="n">
        <f aca="false">+SUMIF(F:F,S35,P:P)</f>
        <v>0</v>
      </c>
    </row>
    <row r="36" customFormat="false" ht="12.75" hidden="false" customHeight="false" outlineLevel="0" collapsed="false">
      <c r="S36" s="143" t="n">
        <f aca="false">EOMONTH(S35,0)+1</f>
        <v>37104</v>
      </c>
      <c r="T36" s="135" t="n">
        <f aca="false">+SUMIF(F:F,S36,P:P)</f>
        <v>0</v>
      </c>
    </row>
    <row r="37" customFormat="false" ht="12.75" hidden="false" customHeight="false" outlineLevel="0" collapsed="false">
      <c r="S37" s="143" t="n">
        <f aca="false">EOMONTH(S36,0)+1</f>
        <v>37135</v>
      </c>
      <c r="T37" s="135" t="n">
        <f aca="false">+SUMIF(F:F,S37,P:P)</f>
        <v>0</v>
      </c>
    </row>
    <row r="38" customFormat="false" ht="12.75" hidden="false" customHeight="false" outlineLevel="0" collapsed="false">
      <c r="S38" s="143" t="n">
        <f aca="false">EOMONTH(S37,0)+1</f>
        <v>37165</v>
      </c>
      <c r="T38" s="135" t="n">
        <f aca="false">+SUMIF(F:F,S38,P:P)</f>
        <v>0</v>
      </c>
    </row>
    <row r="39" customFormat="false" ht="12.75" hidden="false" customHeight="false" outlineLevel="0" collapsed="false">
      <c r="S39" s="143" t="n">
        <f aca="false">EOMONTH(S38,0)+1</f>
        <v>37196</v>
      </c>
      <c r="T39" s="135" t="n">
        <f aca="false">+SUMIF(F:F,S39,P:P)</f>
        <v>0</v>
      </c>
    </row>
    <row r="40" customFormat="false" ht="12.75" hidden="false" customHeight="false" outlineLevel="0" collapsed="false">
      <c r="S40" s="143" t="n">
        <f aca="false">EOMONTH(S39,0)+1</f>
        <v>37226</v>
      </c>
      <c r="T40" s="135" t="n">
        <f aca="false">+SUMIF(F:F,S40,P:P)</f>
        <v>0</v>
      </c>
    </row>
    <row r="41" customFormat="false" ht="12.75" hidden="false" customHeight="false" outlineLevel="0" collapsed="false">
      <c r="S41" s="143" t="n">
        <f aca="false">EOMONTH(S40,0)+1</f>
        <v>37257</v>
      </c>
      <c r="T41" s="135" t="n">
        <f aca="false">+SUMIF(F:F,S41,P:P)</f>
        <v>0</v>
      </c>
    </row>
    <row r="42" customFormat="false" ht="12.75" hidden="false" customHeight="false" outlineLevel="0" collapsed="false">
      <c r="S42" s="143" t="n">
        <f aca="false">EOMONTH(S41,0)+1</f>
        <v>37288</v>
      </c>
      <c r="T42" s="135" t="n">
        <f aca="false">+SUMIF(F:F,S42,P:P)</f>
        <v>0</v>
      </c>
    </row>
    <row r="43" customFormat="false" ht="12.75" hidden="false" customHeight="false" outlineLevel="0" collapsed="false">
      <c r="S43" s="143" t="n">
        <f aca="false">EOMONTH(S42,0)+1</f>
        <v>37316</v>
      </c>
      <c r="T43" s="135" t="n">
        <f aca="false">+SUMIF(F:F,S43,P:P)</f>
        <v>0</v>
      </c>
    </row>
    <row r="44" customFormat="false" ht="12.75" hidden="false" customHeight="false" outlineLevel="0" collapsed="false">
      <c r="S44" s="143" t="n">
        <f aca="false">EOMONTH(S43,0)+1</f>
        <v>37347</v>
      </c>
      <c r="T44" s="135" t="n">
        <f aca="false">+SUMIF(F:F,S44,P:P)</f>
        <v>0</v>
      </c>
    </row>
    <row r="45" customFormat="false" ht="12.75" hidden="false" customHeight="false" outlineLevel="0" collapsed="false">
      <c r="S45" s="143" t="n">
        <f aca="false">EOMONTH(S44,0)+1</f>
        <v>37377</v>
      </c>
      <c r="T45" s="135" t="n">
        <f aca="false">+SUMIF(F:F,S45,P:P)</f>
        <v>0</v>
      </c>
    </row>
    <row r="46" customFormat="false" ht="12.75" hidden="false" customHeight="false" outlineLevel="0" collapsed="false">
      <c r="S46" s="143" t="n">
        <f aca="false">EOMONTH(S45,0)+1</f>
        <v>37408</v>
      </c>
      <c r="T46" s="135" t="n">
        <f aca="false">+SUMIF(F:F,S46,P:P)</f>
        <v>0</v>
      </c>
    </row>
    <row r="47" customFormat="false" ht="12.75" hidden="false" customHeight="false" outlineLevel="0" collapsed="false">
      <c r="S47" s="143" t="n">
        <f aca="false">EOMONTH(S46,0)+1</f>
        <v>37438</v>
      </c>
      <c r="T47" s="135" t="n">
        <f aca="false">+SUMIF(F:F,S47,P:P)</f>
        <v>0</v>
      </c>
    </row>
    <row r="48" customFormat="false" ht="12.75" hidden="false" customHeight="false" outlineLevel="0" collapsed="false">
      <c r="S48" s="143" t="n">
        <f aca="false">EOMONTH(S47,0)+1</f>
        <v>37469</v>
      </c>
      <c r="T48" s="135" t="n">
        <f aca="false">+SUMIF(F:F,S48,P:P)</f>
        <v>0</v>
      </c>
    </row>
    <row r="49" customFormat="false" ht="12.75" hidden="false" customHeight="false" outlineLevel="0" collapsed="false">
      <c r="S49" s="143" t="n">
        <f aca="false">EOMONTH(S48,0)+1</f>
        <v>37500</v>
      </c>
      <c r="T49" s="135" t="n">
        <f aca="false">+SUMIF(F:F,S49,P:P)</f>
        <v>0</v>
      </c>
    </row>
    <row r="50" customFormat="false" ht="12.75" hidden="false" customHeight="false" outlineLevel="0" collapsed="false">
      <c r="S50" s="143" t="n">
        <f aca="false">EOMONTH(S49,0)+1</f>
        <v>37530</v>
      </c>
      <c r="T50" s="135" t="n">
        <f aca="false">+SUMIF(F:F,S50,P:P)</f>
        <v>0</v>
      </c>
    </row>
    <row r="51" customFormat="false" ht="12.75" hidden="false" customHeight="false" outlineLevel="0" collapsed="false">
      <c r="S51" s="143" t="n">
        <f aca="false">EOMONTH(S50,0)+1</f>
        <v>37561</v>
      </c>
      <c r="T51" s="135" t="n">
        <f aca="false">+SUMIF(F:F,S51,P:P)</f>
        <v>0</v>
      </c>
    </row>
    <row r="52" customFormat="false" ht="12.75" hidden="false" customHeight="false" outlineLevel="0" collapsed="false">
      <c r="S52" s="143" t="n">
        <f aca="false">EOMONTH(S51,0)+1</f>
        <v>37591</v>
      </c>
      <c r="T52" s="135" t="n">
        <f aca="false">+SUMIF(F:F,S52,P:P)</f>
        <v>0</v>
      </c>
    </row>
    <row r="53" customFormat="false" ht="12.75" hidden="false" customHeight="false" outlineLevel="0" collapsed="false">
      <c r="S53" s="143" t="n">
        <f aca="false">EOMONTH(S52,0)+1</f>
        <v>37622</v>
      </c>
      <c r="T53" s="135" t="n">
        <f aca="false">+SUMIF(F:F,S53,P:P)</f>
        <v>0</v>
      </c>
    </row>
    <row r="54" customFormat="false" ht="12.75" hidden="false" customHeight="false" outlineLevel="0" collapsed="false">
      <c r="S54" s="143" t="n">
        <f aca="false">EOMONTH(S53,0)+1</f>
        <v>37653</v>
      </c>
      <c r="T54" s="135" t="n">
        <f aca="false">+SUMIF(F:F,S54,P:P)</f>
        <v>0</v>
      </c>
    </row>
    <row r="55" customFormat="false" ht="12.75" hidden="false" customHeight="false" outlineLevel="0" collapsed="false">
      <c r="S55" s="143" t="n">
        <f aca="false">EOMONTH(S54,0)+1</f>
        <v>37681</v>
      </c>
      <c r="T55" s="135" t="n">
        <f aca="false">+SUMIF(F:F,S55,P:P)</f>
        <v>0</v>
      </c>
    </row>
    <row r="56" customFormat="false" ht="12.75" hidden="false" customHeight="false" outlineLevel="0" collapsed="false">
      <c r="S56" s="143" t="n">
        <f aca="false">EOMONTH(S55,0)+1</f>
        <v>37712</v>
      </c>
      <c r="T56" s="135" t="n">
        <f aca="false">+SUMIF(F:F,S56,P:P)</f>
        <v>0</v>
      </c>
    </row>
    <row r="57" customFormat="false" ht="12.75" hidden="false" customHeight="false" outlineLevel="0" collapsed="false">
      <c r="S57" s="143" t="n">
        <f aca="false">EOMONTH(S56,0)+1</f>
        <v>37742</v>
      </c>
      <c r="T57" s="135" t="n">
        <f aca="false">+SUMIF(F:F,S57,P:P)</f>
        <v>0</v>
      </c>
    </row>
    <row r="58" customFormat="false" ht="12.75" hidden="false" customHeight="false" outlineLevel="0" collapsed="false">
      <c r="S58" s="143" t="n">
        <f aca="false">EOMONTH(S57,0)+1</f>
        <v>37773</v>
      </c>
      <c r="T58" s="135" t="n">
        <f aca="false">+SUMIF(F:F,S58,P:P)</f>
        <v>0</v>
      </c>
    </row>
    <row r="59" customFormat="false" ht="12.75" hidden="false" customHeight="false" outlineLevel="0" collapsed="false">
      <c r="S59" s="143" t="n">
        <f aca="false">EOMONTH(S58,0)+1</f>
        <v>37803</v>
      </c>
      <c r="T59" s="135" t="n">
        <f aca="false">+SUMIF(F:F,S59,P:P)</f>
        <v>0</v>
      </c>
    </row>
    <row r="60" customFormat="false" ht="12.75" hidden="false" customHeight="false" outlineLevel="0" collapsed="false">
      <c r="S60" s="143" t="n">
        <f aca="false">EOMONTH(S59,0)+1</f>
        <v>37834</v>
      </c>
      <c r="T60" s="135" t="n">
        <f aca="false">+SUMIF(F:F,S60,P:P)</f>
        <v>0</v>
      </c>
    </row>
    <row r="61" customFormat="false" ht="12.75" hidden="false" customHeight="false" outlineLevel="0" collapsed="false">
      <c r="S61" s="143" t="n">
        <f aca="false">EOMONTH(S60,0)+1</f>
        <v>37865</v>
      </c>
      <c r="T61" s="135" t="n">
        <f aca="false">+SUMIF(F:F,S61,P:P)</f>
        <v>0</v>
      </c>
    </row>
    <row r="62" customFormat="false" ht="12.75" hidden="false" customHeight="false" outlineLevel="0" collapsed="false">
      <c r="S62" s="143" t="n">
        <f aca="false">EOMONTH(S61,0)+1</f>
        <v>37895</v>
      </c>
      <c r="T62" s="135" t="n">
        <f aca="false">+SUMIF(F:F,S62,P:P)</f>
        <v>0</v>
      </c>
    </row>
    <row r="63" customFormat="false" ht="12.75" hidden="false" customHeight="false" outlineLevel="0" collapsed="false">
      <c r="S63" s="143" t="n">
        <f aca="false">EOMONTH(S62,0)+1</f>
        <v>37926</v>
      </c>
      <c r="T63" s="135" t="n">
        <f aca="false">+SUMIF(F:F,S63,P:P)</f>
        <v>0</v>
      </c>
    </row>
    <row r="64" customFormat="false" ht="12.75" hidden="false" customHeight="false" outlineLevel="0" collapsed="false">
      <c r="S64" s="143" t="n">
        <f aca="false">EOMONTH(S63,0)+1</f>
        <v>37956</v>
      </c>
      <c r="T64" s="135" t="n">
        <f aca="false">+SUMIF(F:F,S64,P:P)</f>
        <v>0</v>
      </c>
    </row>
    <row r="65" customFormat="false" ht="12.75" hidden="false" customHeight="false" outlineLevel="0" collapsed="false">
      <c r="S65" s="143" t="n">
        <f aca="false">EOMONTH(S64,0)+1</f>
        <v>37987</v>
      </c>
      <c r="T65" s="135" t="n">
        <f aca="false">+SUMIF(F:F,S65,P:P)</f>
        <v>0</v>
      </c>
    </row>
    <row r="66" customFormat="false" ht="12.75" hidden="false" customHeight="false" outlineLevel="0" collapsed="false">
      <c r="S66" s="143" t="n">
        <f aca="false">EOMONTH(S65,0)+1</f>
        <v>38018</v>
      </c>
      <c r="T66" s="135" t="n">
        <f aca="false">+SUMIF(F:F,S66,P:P)</f>
        <v>0</v>
      </c>
    </row>
    <row r="67" customFormat="false" ht="12.75" hidden="false" customHeight="false" outlineLevel="0" collapsed="false">
      <c r="S67" s="143" t="n">
        <f aca="false">EOMONTH(S66,0)+1</f>
        <v>38047</v>
      </c>
      <c r="T67" s="135" t="n">
        <f aca="false">+SUMIF(F:F,S67,P:P)</f>
        <v>0</v>
      </c>
    </row>
    <row r="68" customFormat="false" ht="12.75" hidden="false" customHeight="false" outlineLevel="0" collapsed="false">
      <c r="S68" s="143" t="n">
        <f aca="false">EOMONTH(S67,0)+1</f>
        <v>38078</v>
      </c>
      <c r="T68" s="135" t="n">
        <f aca="false">+SUMIF(F:F,S68,P:P)</f>
        <v>0</v>
      </c>
    </row>
    <row r="69" customFormat="false" ht="12.75" hidden="false" customHeight="false" outlineLevel="0" collapsed="false">
      <c r="S69" s="143" t="n">
        <f aca="false">EOMONTH(S68,0)+1</f>
        <v>38108</v>
      </c>
      <c r="T69" s="135" t="n">
        <f aca="false">+SUMIF(F:F,S69,P:P)</f>
        <v>0</v>
      </c>
    </row>
    <row r="70" customFormat="false" ht="12.75" hidden="false" customHeight="false" outlineLevel="0" collapsed="false">
      <c r="S70" s="143" t="n">
        <f aca="false">EOMONTH(S69,0)+1</f>
        <v>38139</v>
      </c>
      <c r="T70" s="135" t="n">
        <f aca="false">+SUMIF(F:F,S70,P:P)</f>
        <v>0</v>
      </c>
    </row>
    <row r="71" customFormat="false" ht="12.75" hidden="false" customHeight="false" outlineLevel="0" collapsed="false">
      <c r="S71" s="143" t="n">
        <f aca="false">EOMONTH(S70,0)+1</f>
        <v>38169</v>
      </c>
      <c r="T71" s="135" t="n">
        <f aca="false">+SUMIF(F:F,S71,P:P)</f>
        <v>0</v>
      </c>
    </row>
    <row r="72" customFormat="false" ht="12.75" hidden="false" customHeight="false" outlineLevel="0" collapsed="false">
      <c r="S72" s="143" t="n">
        <f aca="false">EOMONTH(S71,0)+1</f>
        <v>38200</v>
      </c>
      <c r="T72" s="135" t="n">
        <f aca="false">+SUMIF(F:F,S72,P:P)</f>
        <v>0</v>
      </c>
    </row>
    <row r="73" customFormat="false" ht="12.75" hidden="false" customHeight="false" outlineLevel="0" collapsed="false">
      <c r="S73" s="143" t="n">
        <f aca="false">EOMONTH(S72,0)+1</f>
        <v>38231</v>
      </c>
      <c r="T73" s="135" t="n">
        <f aca="false">+SUMIF(F:F,S73,P:P)</f>
        <v>0</v>
      </c>
    </row>
    <row r="74" customFormat="false" ht="12.75" hidden="false" customHeight="false" outlineLevel="0" collapsed="false">
      <c r="S74" s="143" t="n">
        <f aca="false">EOMONTH(S73,0)+1</f>
        <v>38261</v>
      </c>
      <c r="T74" s="135" t="n">
        <f aca="false">+SUMIF(F:F,S74,P:P)</f>
        <v>0</v>
      </c>
    </row>
    <row r="75" customFormat="false" ht="12.75" hidden="false" customHeight="false" outlineLevel="0" collapsed="false">
      <c r="S75" s="143" t="n">
        <f aca="false">EOMONTH(S74,0)+1</f>
        <v>38292</v>
      </c>
      <c r="T75" s="135" t="n">
        <f aca="false">+SUMIF(F:F,S75,P:P)</f>
        <v>0</v>
      </c>
    </row>
    <row r="76" customFormat="false" ht="12.75" hidden="false" customHeight="false" outlineLevel="0" collapsed="false">
      <c r="S76" s="143" t="n">
        <f aca="false">EOMONTH(S75,0)+1</f>
        <v>38322</v>
      </c>
      <c r="T76" s="135" t="n">
        <f aca="false">+SUMIF(F:F,S76,P:P)</f>
        <v>0</v>
      </c>
    </row>
    <row r="77" customFormat="false" ht="12.75" hidden="false" customHeight="false" outlineLevel="0" collapsed="false">
      <c r="S77" s="143" t="n">
        <f aca="false">EOMONTH(S76,0)+1</f>
        <v>38353</v>
      </c>
      <c r="T77" s="135" t="n">
        <f aca="false">+SUMIF(F:F,S77,P:P)</f>
        <v>0</v>
      </c>
    </row>
    <row r="78" customFormat="false" ht="12.75" hidden="false" customHeight="false" outlineLevel="0" collapsed="false">
      <c r="S78" s="143" t="n">
        <f aca="false">EOMONTH(S77,0)+1</f>
        <v>38384</v>
      </c>
      <c r="T78" s="135" t="n">
        <f aca="false">+SUMIF(F:F,S78,P:P)</f>
        <v>0</v>
      </c>
    </row>
    <row r="79" customFormat="false" ht="12.75" hidden="false" customHeight="false" outlineLevel="0" collapsed="false">
      <c r="S79" s="143" t="n">
        <f aca="false">EOMONTH(S78,0)+1</f>
        <v>38412</v>
      </c>
      <c r="T79" s="135" t="n">
        <f aca="false">+SUMIF(F:F,S79,P:P)</f>
        <v>0</v>
      </c>
    </row>
    <row r="80" customFormat="false" ht="12.75" hidden="false" customHeight="false" outlineLevel="0" collapsed="false">
      <c r="S80" s="143" t="n">
        <f aca="false">EOMONTH(S79,0)+1</f>
        <v>38443</v>
      </c>
      <c r="T80" s="135" t="n">
        <f aca="false">+SUMIF(F:F,S80,P:P)</f>
        <v>0</v>
      </c>
    </row>
    <row r="81" customFormat="false" ht="12.75" hidden="false" customHeight="false" outlineLevel="0" collapsed="false">
      <c r="S81" s="143" t="n">
        <f aca="false">EOMONTH(S80,0)+1</f>
        <v>38473</v>
      </c>
      <c r="T81" s="135" t="n">
        <f aca="false">+SUMIF(F:F,S81,P:P)</f>
        <v>0</v>
      </c>
    </row>
    <row r="82" customFormat="false" ht="12.75" hidden="false" customHeight="false" outlineLevel="0" collapsed="false">
      <c r="S82" s="143" t="n">
        <f aca="false">EOMONTH(S81,0)+1</f>
        <v>38504</v>
      </c>
      <c r="T82" s="135" t="n">
        <f aca="false">+SUMIF(F:F,S82,P:P)</f>
        <v>0</v>
      </c>
    </row>
    <row r="83" customFormat="false" ht="12.75" hidden="false" customHeight="false" outlineLevel="0" collapsed="false">
      <c r="S83" s="143" t="n">
        <f aca="false">EOMONTH(S82,0)+1</f>
        <v>38534</v>
      </c>
      <c r="T83" s="135" t="n">
        <f aca="false">+SUMIF(F:F,S83,P:P)</f>
        <v>0</v>
      </c>
    </row>
    <row r="84" customFormat="false" ht="12.75" hidden="false" customHeight="false" outlineLevel="0" collapsed="false">
      <c r="S84" s="143" t="n">
        <f aca="false">EOMONTH(S83,0)+1</f>
        <v>38565</v>
      </c>
      <c r="T84" s="135" t="n">
        <f aca="false">+SUMIF(F:F,S84,P:P)</f>
        <v>0</v>
      </c>
    </row>
    <row r="85" customFormat="false" ht="12.75" hidden="false" customHeight="false" outlineLevel="0" collapsed="false">
      <c r="S85" s="143" t="n">
        <f aca="false">EOMONTH(S84,0)+1</f>
        <v>38596</v>
      </c>
      <c r="T85" s="135" t="n">
        <f aca="false">+SUMIF(F:F,S85,P:P)</f>
        <v>0</v>
      </c>
    </row>
    <row r="86" customFormat="false" ht="12.75" hidden="false" customHeight="false" outlineLevel="0" collapsed="false">
      <c r="S86" s="143" t="n">
        <f aca="false">EOMONTH(S85,0)+1</f>
        <v>38626</v>
      </c>
      <c r="T86" s="135" t="n">
        <f aca="false">+SUMIF(F:F,S86,P:P)</f>
        <v>0</v>
      </c>
    </row>
    <row r="87" customFormat="false" ht="12.75" hidden="false" customHeight="false" outlineLevel="0" collapsed="false">
      <c r="S87" s="143" t="n">
        <f aca="false">EOMONTH(S86,0)+1</f>
        <v>38657</v>
      </c>
      <c r="T87" s="135" t="n">
        <f aca="false">+SUMIF(F:F,S87,P:P)</f>
        <v>0</v>
      </c>
    </row>
    <row r="88" customFormat="false" ht="12.75" hidden="false" customHeight="false" outlineLevel="0" collapsed="false">
      <c r="S88" s="143" t="n">
        <f aca="false">EOMONTH(S87,0)+1</f>
        <v>38687</v>
      </c>
      <c r="T88" s="135" t="n">
        <f aca="false">+SUMIF(F:F,S88,P:P)</f>
        <v>0</v>
      </c>
    </row>
    <row r="89" customFormat="false" ht="12.75" hidden="false" customHeight="false" outlineLevel="0" collapsed="false">
      <c r="S89" s="143" t="n">
        <f aca="false">EOMONTH(S88,0)+1</f>
        <v>38718</v>
      </c>
      <c r="T89" s="135" t="n">
        <f aca="false">+SUMIF(F:F,S89,P:P)</f>
        <v>0</v>
      </c>
    </row>
    <row r="90" customFormat="false" ht="12.75" hidden="false" customHeight="false" outlineLevel="0" collapsed="false">
      <c r="S90" s="143" t="n">
        <f aca="false">EOMONTH(S89,0)+1</f>
        <v>38749</v>
      </c>
      <c r="T90" s="135" t="n">
        <f aca="false">+SUMIF(F:F,S90,P:P)</f>
        <v>0</v>
      </c>
    </row>
    <row r="91" customFormat="false" ht="12.75" hidden="false" customHeight="false" outlineLevel="0" collapsed="false">
      <c r="S91" s="143" t="n">
        <f aca="false">EOMONTH(S90,0)+1</f>
        <v>38777</v>
      </c>
      <c r="T91" s="135" t="n">
        <f aca="false">+SUMIF(F:F,S91,P:P)</f>
        <v>0</v>
      </c>
    </row>
    <row r="92" customFormat="false" ht="12.75" hidden="false" customHeight="false" outlineLevel="0" collapsed="false">
      <c r="S92" s="143" t="n">
        <f aca="false">EOMONTH(S91,0)+1</f>
        <v>38808</v>
      </c>
      <c r="T92" s="135" t="n">
        <f aca="false">+SUMIF(F:F,S92,P:P)</f>
        <v>0</v>
      </c>
    </row>
    <row r="93" customFormat="false" ht="12.75" hidden="false" customHeight="false" outlineLevel="0" collapsed="false">
      <c r="S93" s="143" t="n">
        <f aca="false">EOMONTH(S92,0)+1</f>
        <v>38838</v>
      </c>
      <c r="T93" s="135" t="n">
        <f aca="false">+SUMIF(F:F,S93,P:P)</f>
        <v>0</v>
      </c>
    </row>
    <row r="94" customFormat="false" ht="12.75" hidden="false" customHeight="false" outlineLevel="0" collapsed="false">
      <c r="S94" s="143" t="n">
        <f aca="false">EOMONTH(S93,0)+1</f>
        <v>38869</v>
      </c>
      <c r="T94" s="135" t="n">
        <f aca="false">+SUMIF(F:F,S94,P:P)</f>
        <v>0</v>
      </c>
    </row>
    <row r="95" customFormat="false" ht="12.75" hidden="false" customHeight="false" outlineLevel="0" collapsed="false">
      <c r="S95" s="143" t="n">
        <f aca="false">EOMONTH(S94,0)+1</f>
        <v>38899</v>
      </c>
      <c r="T95" s="135" t="n">
        <f aca="false">+SUMIF(F:F,S95,P:P)</f>
        <v>0</v>
      </c>
    </row>
    <row r="96" customFormat="false" ht="12.75" hidden="false" customHeight="false" outlineLevel="0" collapsed="false">
      <c r="S96" s="143" t="n">
        <f aca="false">EOMONTH(S95,0)+1</f>
        <v>38930</v>
      </c>
      <c r="T96" s="135" t="n">
        <f aca="false">+SUMIF(F:F,S96,P:P)</f>
        <v>0</v>
      </c>
    </row>
    <row r="97" customFormat="false" ht="12.75" hidden="false" customHeight="false" outlineLevel="0" collapsed="false">
      <c r="S97" s="143" t="n">
        <f aca="false">EOMONTH(S96,0)+1</f>
        <v>38961</v>
      </c>
      <c r="T97" s="135" t="n">
        <f aca="false">+SUMIF(F:F,S97,P:P)</f>
        <v>0</v>
      </c>
    </row>
    <row r="98" customFormat="false" ht="12.75" hidden="false" customHeight="false" outlineLevel="0" collapsed="false">
      <c r="S98" s="143" t="n">
        <f aca="false">EOMONTH(S97,0)+1</f>
        <v>38991</v>
      </c>
      <c r="T98" s="135" t="n">
        <f aca="false">+SUMIF(F:F,S98,P:P)</f>
        <v>0</v>
      </c>
    </row>
    <row r="99" customFormat="false" ht="12.75" hidden="false" customHeight="false" outlineLevel="0" collapsed="false">
      <c r="S99" s="143" t="n">
        <f aca="false">EOMONTH(S98,0)+1</f>
        <v>39022</v>
      </c>
      <c r="T99" s="135" t="n">
        <f aca="false">+SUMIF(F:F,S99,P:P)</f>
        <v>0</v>
      </c>
    </row>
    <row r="100" customFormat="false" ht="12.75" hidden="false" customHeight="false" outlineLevel="0" collapsed="false">
      <c r="S100" s="143" t="n">
        <f aca="false">EOMONTH(S99,0)+1</f>
        <v>39052</v>
      </c>
      <c r="T100" s="135" t="n">
        <f aca="false">+SUMIF(F:F,S100,P:P)</f>
        <v>0</v>
      </c>
    </row>
    <row r="101" customFormat="false" ht="12.75" hidden="false" customHeight="false" outlineLevel="0" collapsed="false">
      <c r="S101" s="143" t="n">
        <f aca="false">EOMONTH(S100,0)+1</f>
        <v>39083</v>
      </c>
      <c r="T101" s="135" t="n">
        <f aca="false">+SUMIF(F:F,S101,P:P)</f>
        <v>0</v>
      </c>
    </row>
    <row r="102" customFormat="false" ht="12.75" hidden="false" customHeight="false" outlineLevel="0" collapsed="false">
      <c r="S102" s="143" t="n">
        <f aca="false">EOMONTH(S101,0)+1</f>
        <v>39114</v>
      </c>
      <c r="T102" s="135" t="n">
        <f aca="false">+SUMIF(F:F,S102,P:P)</f>
        <v>0</v>
      </c>
    </row>
    <row r="103" customFormat="false" ht="12.75" hidden="false" customHeight="false" outlineLevel="0" collapsed="false">
      <c r="S103" s="143" t="n">
        <f aca="false">EOMONTH(S102,0)+1</f>
        <v>39142</v>
      </c>
      <c r="T103" s="135" t="n">
        <f aca="false">+SUMIF(F:F,S103,P:P)</f>
        <v>0</v>
      </c>
    </row>
    <row r="104" customFormat="false" ht="12.75" hidden="false" customHeight="false" outlineLevel="0" collapsed="false">
      <c r="S104" s="143" t="n">
        <f aca="false">EOMONTH(S103,0)+1</f>
        <v>39173</v>
      </c>
      <c r="T104" s="135" t="n">
        <f aca="false">+SUMIF(F:F,S104,P:P)</f>
        <v>0</v>
      </c>
    </row>
    <row r="105" customFormat="false" ht="12.75" hidden="false" customHeight="false" outlineLevel="0" collapsed="false">
      <c r="S105" s="143" t="n">
        <f aca="false">EOMONTH(S104,0)+1</f>
        <v>39203</v>
      </c>
      <c r="T105" s="135" t="n">
        <f aca="false">+SUMIF(F:F,S105,P:P)</f>
        <v>0</v>
      </c>
    </row>
    <row r="106" customFormat="false" ht="12.75" hidden="false" customHeight="false" outlineLevel="0" collapsed="false">
      <c r="S106" s="143" t="n">
        <f aca="false">EOMONTH(S105,0)+1</f>
        <v>39234</v>
      </c>
      <c r="T106" s="135" t="n">
        <f aca="false">+SUMIF(F:F,S106,P:P)</f>
        <v>0</v>
      </c>
    </row>
    <row r="107" customFormat="false" ht="12.75" hidden="false" customHeight="false" outlineLevel="0" collapsed="false">
      <c r="S107" s="143" t="n">
        <f aca="false">EOMONTH(S106,0)+1</f>
        <v>39264</v>
      </c>
      <c r="T107" s="135" t="n">
        <f aca="false">+SUMIF(F:F,S107,P:P)</f>
        <v>0</v>
      </c>
    </row>
    <row r="108" customFormat="false" ht="12.75" hidden="false" customHeight="false" outlineLevel="0" collapsed="false">
      <c r="S108" s="143" t="n">
        <f aca="false">EOMONTH(S107,0)+1</f>
        <v>39295</v>
      </c>
      <c r="T108" s="135" t="n">
        <f aca="false">+SUMIF(F:F,S108,P:P)</f>
        <v>0</v>
      </c>
    </row>
    <row r="109" customFormat="false" ht="12.75" hidden="false" customHeight="false" outlineLevel="0" collapsed="false">
      <c r="S109" s="143" t="n">
        <f aca="false">EOMONTH(S108,0)+1</f>
        <v>39326</v>
      </c>
      <c r="T109" s="135" t="n">
        <f aca="false">+SUMIF(F:F,S109,P:P)</f>
        <v>0</v>
      </c>
    </row>
    <row r="110" customFormat="false" ht="12.75" hidden="false" customHeight="false" outlineLevel="0" collapsed="false">
      <c r="S110" s="143" t="n">
        <f aca="false">EOMONTH(S109,0)+1</f>
        <v>39356</v>
      </c>
      <c r="T110" s="135" t="n">
        <f aca="false">+SUMIF(F:F,S110,P:P)</f>
        <v>0</v>
      </c>
    </row>
    <row r="111" customFormat="false" ht="12.75" hidden="false" customHeight="false" outlineLevel="0" collapsed="false">
      <c r="S111" s="143" t="n">
        <f aca="false">EOMONTH(S110,0)+1</f>
        <v>39387</v>
      </c>
      <c r="T111" s="135" t="n">
        <f aca="false">+SUMIF(F:F,S111,P:P)</f>
        <v>0</v>
      </c>
    </row>
    <row r="112" customFormat="false" ht="12.75" hidden="false" customHeight="false" outlineLevel="0" collapsed="false">
      <c r="S112" s="143" t="n">
        <f aca="false">EOMONTH(S111,0)+1</f>
        <v>39417</v>
      </c>
      <c r="T112" s="135" t="n">
        <f aca="false">+SUMIF(F:F,S112,P:P)</f>
        <v>0</v>
      </c>
    </row>
    <row r="113" customFormat="false" ht="12.75" hidden="false" customHeight="false" outlineLevel="0" collapsed="false">
      <c r="S113" s="143" t="n">
        <f aca="false">EOMONTH(S112,0)+1</f>
        <v>39448</v>
      </c>
      <c r="T113" s="135" t="n">
        <f aca="false">+SUMIF(F:F,S113,P:P)</f>
        <v>0</v>
      </c>
    </row>
    <row r="114" customFormat="false" ht="12.75" hidden="false" customHeight="false" outlineLevel="0" collapsed="false">
      <c r="S114" s="143" t="n">
        <f aca="false">EOMONTH(S113,0)+1</f>
        <v>39479</v>
      </c>
      <c r="T114" s="135" t="n">
        <f aca="false">+SUMIF(F:F,S114,P:P)</f>
        <v>0</v>
      </c>
    </row>
    <row r="115" customFormat="false" ht="12.75" hidden="false" customHeight="false" outlineLevel="0" collapsed="false">
      <c r="S115" s="143" t="n">
        <f aca="false">EOMONTH(S114,0)+1</f>
        <v>39508</v>
      </c>
      <c r="T115" s="135" t="n">
        <f aca="false">+SUMIF(F:F,S115,P:P)</f>
        <v>0</v>
      </c>
    </row>
    <row r="116" customFormat="false" ht="12.75" hidden="false" customHeight="false" outlineLevel="0" collapsed="false">
      <c r="S116" s="143" t="n">
        <f aca="false">EOMONTH(S115,0)+1</f>
        <v>39539</v>
      </c>
      <c r="T116" s="135" t="n">
        <f aca="false">+SUMIF(F:F,S116,P:P)</f>
        <v>0</v>
      </c>
    </row>
    <row r="117" customFormat="false" ht="12.75" hidden="false" customHeight="false" outlineLevel="0" collapsed="false">
      <c r="S117" s="143" t="n">
        <f aca="false">EOMONTH(S116,0)+1</f>
        <v>39569</v>
      </c>
      <c r="T117" s="135" t="n">
        <f aca="false">+SUMIF(F:F,S117,P:P)</f>
        <v>0</v>
      </c>
    </row>
    <row r="118" customFormat="false" ht="12.75" hidden="false" customHeight="false" outlineLevel="0" collapsed="false">
      <c r="S118" s="143" t="n">
        <f aca="false">EOMONTH(S117,0)+1</f>
        <v>39600</v>
      </c>
      <c r="T118" s="135" t="n">
        <f aca="false">+SUMIF(F:F,S118,P:P)</f>
        <v>0</v>
      </c>
    </row>
    <row r="119" customFormat="false" ht="12.75" hidden="false" customHeight="false" outlineLevel="0" collapsed="false">
      <c r="S119" s="143" t="n">
        <f aca="false">EOMONTH(S118,0)+1</f>
        <v>39630</v>
      </c>
      <c r="T119" s="135" t="n">
        <f aca="false">+SUMIF(F:F,S119,P:P)</f>
        <v>0</v>
      </c>
    </row>
    <row r="120" customFormat="false" ht="12.75" hidden="false" customHeight="false" outlineLevel="0" collapsed="false">
      <c r="S120" s="143" t="n">
        <f aca="false">EOMONTH(S119,0)+1</f>
        <v>39661</v>
      </c>
      <c r="T120" s="135" t="n">
        <f aca="false">+SUMIF(F:F,S120,P:P)</f>
        <v>0</v>
      </c>
    </row>
    <row r="121" customFormat="false" ht="12.75" hidden="false" customHeight="false" outlineLevel="0" collapsed="false">
      <c r="S121" s="143" t="n">
        <f aca="false">EOMONTH(S120,0)+1</f>
        <v>39692</v>
      </c>
      <c r="T121" s="135" t="n">
        <f aca="false">+SUMIF(F:F,S121,P:P)</f>
        <v>0</v>
      </c>
    </row>
    <row r="122" customFormat="false" ht="12.75" hidden="false" customHeight="false" outlineLevel="0" collapsed="false">
      <c r="S122" s="143" t="n">
        <f aca="false">EOMONTH(S121,0)+1</f>
        <v>39722</v>
      </c>
      <c r="T122" s="135" t="n">
        <f aca="false">+SUMIF(F:F,S122,P:P)</f>
        <v>0</v>
      </c>
    </row>
    <row r="123" customFormat="false" ht="12.75" hidden="false" customHeight="false" outlineLevel="0" collapsed="false">
      <c r="S123" s="143" t="n">
        <f aca="false">EOMONTH(S122,0)+1</f>
        <v>39753</v>
      </c>
      <c r="T123" s="135" t="n">
        <f aca="false">+SUMIF(F:F,S123,P:P)</f>
        <v>0</v>
      </c>
    </row>
    <row r="124" customFormat="false" ht="12.75" hidden="false" customHeight="false" outlineLevel="0" collapsed="false">
      <c r="S124" s="143" t="n">
        <f aca="false">EOMONTH(S123,0)+1</f>
        <v>39783</v>
      </c>
      <c r="T124" s="135" t="n">
        <f aca="false">+SUMIF(F:F,S124,P:P)</f>
        <v>0</v>
      </c>
    </row>
    <row r="125" customFormat="false" ht="12.75" hidden="false" customHeight="false" outlineLevel="0" collapsed="false">
      <c r="S125" s="143" t="n">
        <f aca="false">EOMONTH(S124,0)+1</f>
        <v>39814</v>
      </c>
      <c r="T125" s="135" t="n">
        <f aca="false">+SUMIF(F:F,S125,P:P)</f>
        <v>0</v>
      </c>
    </row>
    <row r="126" customFormat="false" ht="12.75" hidden="false" customHeight="false" outlineLevel="0" collapsed="false">
      <c r="S126" s="143" t="n">
        <f aca="false">EOMONTH(S125,0)+1</f>
        <v>39845</v>
      </c>
      <c r="T126" s="135" t="n">
        <f aca="false">+SUMIF(F:F,S126,P:P)</f>
        <v>0</v>
      </c>
    </row>
    <row r="127" customFormat="false" ht="12.75" hidden="false" customHeight="false" outlineLevel="0" collapsed="false">
      <c r="S127" s="143" t="n">
        <f aca="false">EOMONTH(S126,0)+1</f>
        <v>39873</v>
      </c>
      <c r="T127" s="135" t="n">
        <f aca="false">+SUMIF(F:F,S127,P:P)</f>
        <v>0</v>
      </c>
    </row>
    <row r="128" customFormat="false" ht="12.75" hidden="false" customHeight="false" outlineLevel="0" collapsed="false">
      <c r="S128" s="143" t="n">
        <f aca="false">EOMONTH(S127,0)+1</f>
        <v>39904</v>
      </c>
      <c r="T128" s="135" t="n">
        <f aca="false">+SUMIF(F:F,S128,P:P)</f>
        <v>0</v>
      </c>
    </row>
    <row r="129" customFormat="false" ht="12.75" hidden="false" customHeight="false" outlineLevel="0" collapsed="false">
      <c r="S129" s="143" t="n">
        <f aca="false">EOMONTH(S128,0)+1</f>
        <v>39934</v>
      </c>
      <c r="T129" s="135" t="n">
        <f aca="false">+SUMIF(F:F,S129,P:P)</f>
        <v>0</v>
      </c>
    </row>
    <row r="130" customFormat="false" ht="12.75" hidden="false" customHeight="false" outlineLevel="0" collapsed="false">
      <c r="S130" s="143" t="n">
        <f aca="false">EOMONTH(S129,0)+1</f>
        <v>39965</v>
      </c>
      <c r="T130" s="135" t="n">
        <f aca="false">+SUMIF(F:F,S130,P:P)</f>
        <v>0</v>
      </c>
    </row>
    <row r="131" customFormat="false" ht="12.75" hidden="false" customHeight="false" outlineLevel="0" collapsed="false">
      <c r="S131" s="143" t="n">
        <f aca="false">EOMONTH(S130,0)+1</f>
        <v>39995</v>
      </c>
      <c r="T131" s="135" t="n">
        <f aca="false">+SUMIF(F:F,S131,P:P)</f>
        <v>0</v>
      </c>
    </row>
    <row r="132" customFormat="false" ht="12.75" hidden="false" customHeight="false" outlineLevel="0" collapsed="false">
      <c r="S132" s="143" t="n">
        <f aca="false">EOMONTH(S131,0)+1</f>
        <v>40026</v>
      </c>
      <c r="T132" s="135" t="n">
        <f aca="false">+SUMIF(F:F,S132,P:P)</f>
        <v>0</v>
      </c>
    </row>
    <row r="133" customFormat="false" ht="12.75" hidden="false" customHeight="false" outlineLevel="0" collapsed="false">
      <c r="S133" s="143" t="n">
        <f aca="false">EOMONTH(S132,0)+1</f>
        <v>40057</v>
      </c>
      <c r="T133" s="135" t="n">
        <f aca="false">+SUMIF(F:F,S133,P:P)</f>
        <v>0</v>
      </c>
    </row>
    <row r="134" customFormat="false" ht="12.75" hidden="false" customHeight="false" outlineLevel="0" collapsed="false">
      <c r="S134" s="143" t="n">
        <f aca="false">EOMONTH(S133,0)+1</f>
        <v>40087</v>
      </c>
      <c r="T134" s="135" t="n">
        <f aca="false">+SUMIF(F:F,S134,P:P)</f>
        <v>0</v>
      </c>
    </row>
    <row r="135" customFormat="false" ht="12.75" hidden="false" customHeight="false" outlineLevel="0" collapsed="false">
      <c r="S135" s="143" t="n">
        <f aca="false">EOMONTH(S134,0)+1</f>
        <v>40118</v>
      </c>
      <c r="T135" s="135" t="n">
        <f aca="false">+SUMIF(F:F,S135,P:P)</f>
        <v>0</v>
      </c>
    </row>
    <row r="136" customFormat="false" ht="12.75" hidden="false" customHeight="false" outlineLevel="0" collapsed="false">
      <c r="S136" s="143" t="n">
        <f aca="false">EOMONTH(S135,0)+1</f>
        <v>40148</v>
      </c>
      <c r="T136" s="135" t="n">
        <f aca="false">+SUMIF(F:F,S136,P:P)</f>
        <v>0</v>
      </c>
    </row>
    <row r="137" customFormat="false" ht="12.75" hidden="false" customHeight="false" outlineLevel="0" collapsed="false">
      <c r="S137" s="143" t="n">
        <f aca="false">EOMONTH(S136,0)+1</f>
        <v>40179</v>
      </c>
      <c r="T137" s="135" t="n">
        <f aca="false">+SUMIF(F:F,S137,P:P)</f>
        <v>0</v>
      </c>
    </row>
    <row r="138" customFormat="false" ht="12.75" hidden="false" customHeight="false" outlineLevel="0" collapsed="false">
      <c r="S138" s="143" t="n">
        <f aca="false">EOMONTH(S137,0)+1</f>
        <v>40210</v>
      </c>
      <c r="T138" s="135" t="n">
        <f aca="false">+SUMIF(F:F,S138,P:P)</f>
        <v>0</v>
      </c>
    </row>
    <row r="139" customFormat="false" ht="12.75" hidden="false" customHeight="false" outlineLevel="0" collapsed="false">
      <c r="S139" s="143" t="n">
        <f aca="false">EOMONTH(S138,0)+1</f>
        <v>40238</v>
      </c>
      <c r="T139" s="135" t="n">
        <f aca="false">+SUMIF(F:F,S139,P:P)</f>
        <v>0</v>
      </c>
    </row>
    <row r="140" customFormat="false" ht="12.75" hidden="false" customHeight="false" outlineLevel="0" collapsed="false">
      <c r="S140" s="143" t="n">
        <f aca="false">EOMONTH(S139,0)+1</f>
        <v>40269</v>
      </c>
      <c r="T140" s="135" t="n">
        <f aca="false">+SUMIF(F:F,S140,P:P)</f>
        <v>0</v>
      </c>
    </row>
    <row r="141" customFormat="false" ht="12.75" hidden="false" customHeight="false" outlineLevel="0" collapsed="false">
      <c r="S141" s="143" t="n">
        <f aca="false">EOMONTH(S140,0)+1</f>
        <v>40299</v>
      </c>
      <c r="T141" s="135" t="n">
        <f aca="false">+SUMIF(F:F,S141,P:P)</f>
        <v>0</v>
      </c>
    </row>
    <row r="142" customFormat="false" ht="12.75" hidden="false" customHeight="false" outlineLevel="0" collapsed="false">
      <c r="S142" s="143" t="n">
        <f aca="false">EOMONTH(S141,0)+1</f>
        <v>40330</v>
      </c>
      <c r="T142" s="135" t="n">
        <f aca="false">+SUMIF(F:F,S142,P:P)</f>
        <v>0</v>
      </c>
    </row>
    <row r="143" customFormat="false" ht="12.75" hidden="false" customHeight="false" outlineLevel="0" collapsed="false">
      <c r="S143" s="143" t="n">
        <f aca="false">EOMONTH(S142,0)+1</f>
        <v>40360</v>
      </c>
      <c r="T143" s="135" t="n">
        <f aca="false">+SUMIF(F:F,S143,P:P)</f>
        <v>0</v>
      </c>
    </row>
    <row r="144" customFormat="false" ht="12.75" hidden="false" customHeight="false" outlineLevel="0" collapsed="false">
      <c r="S144" s="143" t="n">
        <f aca="false">EOMONTH(S143,0)+1</f>
        <v>40391</v>
      </c>
      <c r="T144" s="135" t="n">
        <f aca="false">+SUMIF(F:F,S144,P:P)</f>
        <v>0</v>
      </c>
    </row>
    <row r="145" customFormat="false" ht="12.75" hidden="false" customHeight="false" outlineLevel="0" collapsed="false">
      <c r="S145" s="143" t="n">
        <f aca="false">EOMONTH(S144,0)+1</f>
        <v>40422</v>
      </c>
      <c r="T145" s="135" t="n">
        <f aca="false">+SUMIF(F:F,S145,P:P)</f>
        <v>0</v>
      </c>
    </row>
    <row r="146" customFormat="false" ht="12.75" hidden="false" customHeight="false" outlineLevel="0" collapsed="false">
      <c r="S146" s="143" t="n">
        <f aca="false">EOMONTH(S145,0)+1</f>
        <v>40452</v>
      </c>
      <c r="T146" s="135" t="n">
        <f aca="false">+SUMIF(F:F,S146,P:P)</f>
        <v>0</v>
      </c>
    </row>
    <row r="147" customFormat="false" ht="12.75" hidden="false" customHeight="false" outlineLevel="0" collapsed="false">
      <c r="S147" s="143" t="n">
        <f aca="false">EOMONTH(S146,0)+1</f>
        <v>40483</v>
      </c>
      <c r="T147" s="135" t="n">
        <f aca="false">+SUMIF(F:F,S147,P:P)</f>
        <v>0</v>
      </c>
    </row>
    <row r="148" customFormat="false" ht="12.75" hidden="false" customHeight="false" outlineLevel="0" collapsed="false">
      <c r="S148" s="143" t="n">
        <f aca="false">EOMONTH(S147,0)+1</f>
        <v>40513</v>
      </c>
      <c r="T148" s="135" t="n">
        <f aca="false">+SUMIF(F:F,S148,P:P)</f>
        <v>0</v>
      </c>
    </row>
    <row r="149" customFormat="false" ht="12.75" hidden="false" customHeight="false" outlineLevel="0" collapsed="false">
      <c r="S149" s="143" t="n">
        <f aca="false">EOMONTH(S148,0)+1</f>
        <v>40544</v>
      </c>
      <c r="T149" s="135" t="n">
        <f aca="false">+SUMIF(F:F,S149,P:P)</f>
        <v>0</v>
      </c>
    </row>
    <row r="150" customFormat="false" ht="12.75" hidden="false" customHeight="false" outlineLevel="0" collapsed="false">
      <c r="S150" s="143" t="n">
        <f aca="false">EOMONTH(S149,0)+1</f>
        <v>40575</v>
      </c>
      <c r="T150" s="135" t="n">
        <f aca="false">+SUMIF(F:F,S150,P:P)</f>
        <v>0</v>
      </c>
    </row>
    <row r="151" customFormat="false" ht="12.75" hidden="false" customHeight="false" outlineLevel="0" collapsed="false">
      <c r="S151" s="143" t="n">
        <f aca="false">EOMONTH(S150,0)+1</f>
        <v>40603</v>
      </c>
      <c r="T151" s="135" t="n">
        <f aca="false">+SUMIF(F:F,S151,P:P)</f>
        <v>0</v>
      </c>
    </row>
    <row r="152" customFormat="false" ht="12.75" hidden="false" customHeight="false" outlineLevel="0" collapsed="false">
      <c r="S152" s="143" t="n">
        <f aca="false">EOMONTH(S151,0)+1</f>
        <v>40634</v>
      </c>
      <c r="T152" s="135" t="n">
        <f aca="false">+SUMIF(F:F,S152,P:P)</f>
        <v>0</v>
      </c>
    </row>
    <row r="153" customFormat="false" ht="12.75" hidden="false" customHeight="false" outlineLevel="0" collapsed="false">
      <c r="S153" s="143" t="n">
        <f aca="false">EOMONTH(S152,0)+1</f>
        <v>40664</v>
      </c>
      <c r="T153" s="135" t="n">
        <f aca="false">+SUMIF(F:F,S153,P:P)</f>
        <v>0</v>
      </c>
    </row>
    <row r="154" customFormat="false" ht="12.75" hidden="false" customHeight="false" outlineLevel="0" collapsed="false">
      <c r="S154" s="143" t="n">
        <f aca="false">EOMONTH(S153,0)+1</f>
        <v>40695</v>
      </c>
      <c r="T154" s="135" t="n">
        <f aca="false">+SUMIF(F:F,S154,P:P)</f>
        <v>0</v>
      </c>
    </row>
    <row r="155" customFormat="false" ht="12.75" hidden="false" customHeight="false" outlineLevel="0" collapsed="false">
      <c r="S155" s="143" t="n">
        <f aca="false">EOMONTH(S154,0)+1</f>
        <v>40725</v>
      </c>
      <c r="T155" s="135" t="n">
        <f aca="false">+SUMIF(F:F,S155,P:P)</f>
        <v>0</v>
      </c>
    </row>
    <row r="156" customFormat="false" ht="12.75" hidden="false" customHeight="false" outlineLevel="0" collapsed="false">
      <c r="S156" s="143" t="n">
        <f aca="false">EOMONTH(S155,0)+1</f>
        <v>40756</v>
      </c>
      <c r="T156" s="135" t="n">
        <f aca="false">+SUMIF(F:F,S156,P:P)</f>
        <v>0</v>
      </c>
    </row>
    <row r="157" customFormat="false" ht="12.75" hidden="false" customHeight="false" outlineLevel="0" collapsed="false">
      <c r="S157" s="143" t="n">
        <f aca="false">EOMONTH(S156,0)+1</f>
        <v>40787</v>
      </c>
      <c r="T157" s="135" t="n">
        <f aca="false">+SUMIF(F:F,S157,P:P)</f>
        <v>0</v>
      </c>
    </row>
    <row r="158" customFormat="false" ht="12.75" hidden="false" customHeight="false" outlineLevel="0" collapsed="false">
      <c r="S158" s="143" t="n">
        <f aca="false">EOMONTH(S157,0)+1</f>
        <v>40817</v>
      </c>
      <c r="T158" s="135" t="n">
        <f aca="false">+SUMIF(F:F,S158,P:P)</f>
        <v>0</v>
      </c>
    </row>
    <row r="159" customFormat="false" ht="12.75" hidden="false" customHeight="false" outlineLevel="0" collapsed="false">
      <c r="S159" s="143" t="n">
        <f aca="false">EOMONTH(S158,0)+1</f>
        <v>40848</v>
      </c>
      <c r="T159" s="135" t="n">
        <f aca="false">+SUMIF(F:F,S159,P:P)</f>
        <v>0</v>
      </c>
    </row>
    <row r="160" customFormat="false" ht="12.75" hidden="false" customHeight="false" outlineLevel="0" collapsed="false">
      <c r="S160" s="143" t="n">
        <f aca="false">EOMONTH(S159,0)+1</f>
        <v>40878</v>
      </c>
      <c r="T160" s="135" t="n">
        <f aca="false">+SUMIF(F:F,S160,P:P)</f>
        <v>0</v>
      </c>
    </row>
    <row r="161" customFormat="false" ht="12.75" hidden="false" customHeight="false" outlineLevel="0" collapsed="false">
      <c r="S161" s="143" t="n">
        <f aca="false">EOMONTH(S160,0)+1</f>
        <v>40909</v>
      </c>
      <c r="T161" s="135" t="n">
        <f aca="false">+SUMIF(F:F,S161,P:P)</f>
        <v>0</v>
      </c>
    </row>
    <row r="162" customFormat="false" ht="12.75" hidden="false" customHeight="false" outlineLevel="0" collapsed="false">
      <c r="S162" s="143" t="n">
        <f aca="false">EOMONTH(S161,0)+1</f>
        <v>40940</v>
      </c>
      <c r="T162" s="135" t="n">
        <f aca="false">+SUMIF(F:F,S162,P:P)</f>
        <v>0</v>
      </c>
    </row>
    <row r="163" customFormat="false" ht="12.75" hidden="false" customHeight="false" outlineLevel="0" collapsed="false">
      <c r="S163" s="143" t="n">
        <f aca="false">EOMONTH(S162,0)+1</f>
        <v>40969</v>
      </c>
      <c r="T163" s="135" t="n">
        <f aca="false">+SUMIF(F:F,S163,P:P)</f>
        <v>0</v>
      </c>
    </row>
    <row r="164" customFormat="false" ht="12.75" hidden="false" customHeight="false" outlineLevel="0" collapsed="false">
      <c r="S164" s="143" t="n">
        <f aca="false">EOMONTH(S163,0)+1</f>
        <v>41000</v>
      </c>
      <c r="T164" s="135" t="n">
        <f aca="false">+SUMIF(F:F,S164,P:P)</f>
        <v>0</v>
      </c>
    </row>
    <row r="165" customFormat="false" ht="12.75" hidden="false" customHeight="false" outlineLevel="0" collapsed="false">
      <c r="S165" s="143" t="n">
        <f aca="false">EOMONTH(S164,0)+1</f>
        <v>41030</v>
      </c>
      <c r="T165" s="135" t="n">
        <f aca="false">+SUMIF(F:F,S165,P:P)</f>
        <v>0</v>
      </c>
    </row>
    <row r="166" customFormat="false" ht="13.5" hidden="false" customHeight="false" outlineLevel="0" collapsed="false">
      <c r="S166" s="163" t="n">
        <f aca="false">EOMONTH(S165,0)+1</f>
        <v>41061</v>
      </c>
      <c r="T166" s="165" t="n">
        <f aca="false">+SUMIF(F:F,S166,P:P)</f>
        <v>0</v>
      </c>
    </row>
  </sheetData>
  <mergeCells count="3">
    <mergeCell ref="S3:T3"/>
    <mergeCell ref="A4:H4"/>
    <mergeCell ref="I4:P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2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B7" activeCellId="0" sqref="B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41"/>
    <col collapsed="false" customWidth="true" hidden="false" outlineLevel="0" max="15" min="2" style="0" width="13.28"/>
    <col collapsed="false" customWidth="true" hidden="false" outlineLevel="0" max="16" min="16" style="0" width="10.56"/>
    <col collapsed="false" customWidth="true" hidden="false" outlineLevel="0" max="27" min="26" style="0" width="10.56"/>
  </cols>
  <sheetData>
    <row r="1" customFormat="false" ht="12.75" hidden="false" customHeight="false" outlineLevel="0" collapsed="false">
      <c r="A1" s="119" t="s">
        <v>124</v>
      </c>
      <c r="B1" s="119" t="s">
        <v>136</v>
      </c>
    </row>
    <row r="2" customFormat="false" ht="12.75" hidden="false" customHeight="false" outlineLevel="0" collapsed="false">
      <c r="A2" s="119" t="s">
        <v>55</v>
      </c>
      <c r="B2" s="119" t="s">
        <v>137</v>
      </c>
    </row>
    <row r="4" customFormat="false" ht="12.75" hidden="false" customHeight="false" outlineLevel="0" collapsed="false">
      <c r="A4" s="117" t="s">
        <v>138</v>
      </c>
      <c r="B4" s="119" t="s">
        <v>18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20"/>
    </row>
    <row r="5" customFormat="false" ht="12.75" hidden="false" customHeight="false" outlineLevel="0" collapsed="false">
      <c r="A5" s="119" t="s">
        <v>58</v>
      </c>
      <c r="B5" s="184" t="n">
        <v>36770</v>
      </c>
      <c r="C5" s="185" t="n">
        <v>36800</v>
      </c>
      <c r="D5" s="185" t="n">
        <v>36831</v>
      </c>
      <c r="E5" s="185" t="n">
        <v>36861</v>
      </c>
      <c r="F5" s="185" t="n">
        <v>36892</v>
      </c>
      <c r="G5" s="185" t="n">
        <v>36923</v>
      </c>
      <c r="H5" s="185" t="n">
        <v>36951</v>
      </c>
      <c r="I5" s="185" t="n">
        <v>36982</v>
      </c>
      <c r="J5" s="185" t="n">
        <v>37012</v>
      </c>
      <c r="K5" s="185" t="n">
        <v>37043</v>
      </c>
      <c r="L5" s="185" t="n">
        <v>37073</v>
      </c>
      <c r="M5" s="185" t="n">
        <v>37104</v>
      </c>
      <c r="N5" s="185" t="n">
        <v>37135</v>
      </c>
      <c r="O5" s="185" t="n">
        <v>37165</v>
      </c>
      <c r="P5" s="141" t="s">
        <v>99</v>
      </c>
    </row>
    <row r="6" customFormat="false" ht="12.75" hidden="false" customHeight="false" outlineLevel="0" collapsed="false">
      <c r="A6" s="117" t="n">
        <v>0.045</v>
      </c>
      <c r="B6" s="186" t="n">
        <v>-30</v>
      </c>
      <c r="C6" s="187" t="n">
        <v>-31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8" t="n">
        <v>-61</v>
      </c>
    </row>
    <row r="7" customFormat="false" ht="12.75" hidden="false" customHeight="false" outlineLevel="0" collapsed="false">
      <c r="A7" s="148" t="n">
        <v>0.1</v>
      </c>
      <c r="B7" s="189" t="n">
        <v>-85</v>
      </c>
      <c r="C7" s="190" t="n">
        <v>-84.5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1" t="n">
        <v>-169.5</v>
      </c>
    </row>
    <row r="8" customFormat="false" ht="12.75" hidden="false" customHeight="false" outlineLevel="0" collapsed="false">
      <c r="A8" s="148" t="n">
        <v>0.2</v>
      </c>
      <c r="B8" s="189"/>
      <c r="C8" s="190"/>
      <c r="D8" s="190" t="n">
        <v>15</v>
      </c>
      <c r="E8" s="190" t="n">
        <v>15.5</v>
      </c>
      <c r="F8" s="190" t="n">
        <v>15.5</v>
      </c>
      <c r="G8" s="190" t="n">
        <v>14</v>
      </c>
      <c r="H8" s="190" t="n">
        <v>15.5</v>
      </c>
      <c r="I8" s="190"/>
      <c r="J8" s="190"/>
      <c r="K8" s="190"/>
      <c r="L8" s="190"/>
      <c r="M8" s="190"/>
      <c r="N8" s="190"/>
      <c r="O8" s="190"/>
      <c r="P8" s="191" t="n">
        <v>75.5</v>
      </c>
    </row>
    <row r="9" customFormat="false" ht="12.75" hidden="false" customHeight="false" outlineLevel="0" collapsed="false">
      <c r="A9" s="148" t="n">
        <v>0.3</v>
      </c>
      <c r="B9" s="189"/>
      <c r="C9" s="190"/>
      <c r="D9" s="190" t="n">
        <v>280</v>
      </c>
      <c r="E9" s="190" t="n">
        <v>281</v>
      </c>
      <c r="F9" s="190" t="n">
        <v>281</v>
      </c>
      <c r="G9" s="190" t="n">
        <v>278</v>
      </c>
      <c r="H9" s="190" t="n">
        <v>281</v>
      </c>
      <c r="I9" s="190"/>
      <c r="J9" s="190"/>
      <c r="K9" s="190"/>
      <c r="L9" s="190"/>
      <c r="M9" s="190"/>
      <c r="N9" s="190"/>
      <c r="O9" s="190"/>
      <c r="P9" s="191" t="n">
        <v>1401</v>
      </c>
    </row>
    <row r="10" customFormat="false" ht="12.75" hidden="false" customHeight="false" outlineLevel="0" collapsed="false">
      <c r="A10" s="148" t="n">
        <v>0.4</v>
      </c>
      <c r="B10" s="189"/>
      <c r="C10" s="190"/>
      <c r="D10" s="190" t="n">
        <v>-30</v>
      </c>
      <c r="E10" s="190" t="n">
        <v>-31</v>
      </c>
      <c r="F10" s="190" t="n">
        <v>-31</v>
      </c>
      <c r="G10" s="190" t="n">
        <v>-28</v>
      </c>
      <c r="H10" s="190" t="n">
        <v>-31</v>
      </c>
      <c r="I10" s="190"/>
      <c r="J10" s="190"/>
      <c r="K10" s="190"/>
      <c r="L10" s="190"/>
      <c r="M10" s="190"/>
      <c r="N10" s="190"/>
      <c r="O10" s="190"/>
      <c r="P10" s="191" t="n">
        <v>-151</v>
      </c>
    </row>
    <row r="11" customFormat="false" ht="12.75" hidden="false" customHeight="false" outlineLevel="0" collapsed="false">
      <c r="A11" s="148" t="n">
        <v>0.5</v>
      </c>
      <c r="B11" s="189" t="n">
        <v>75</v>
      </c>
      <c r="C11" s="190" t="n">
        <v>46.5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1" t="n">
        <v>121.5</v>
      </c>
    </row>
    <row r="12" customFormat="false" ht="12.75" hidden="false" customHeight="false" outlineLevel="0" collapsed="false">
      <c r="A12" s="148" t="n">
        <v>0.6</v>
      </c>
      <c r="B12" s="189"/>
      <c r="C12" s="190"/>
      <c r="D12" s="190" t="n">
        <v>30</v>
      </c>
      <c r="E12" s="190" t="n">
        <v>31</v>
      </c>
      <c r="F12" s="190" t="n">
        <v>31</v>
      </c>
      <c r="G12" s="190" t="n">
        <v>28</v>
      </c>
      <c r="H12" s="190" t="n">
        <v>31</v>
      </c>
      <c r="I12" s="190"/>
      <c r="J12" s="190"/>
      <c r="K12" s="190"/>
      <c r="L12" s="190"/>
      <c r="M12" s="190"/>
      <c r="N12" s="190"/>
      <c r="O12" s="190"/>
      <c r="P12" s="191" t="n">
        <v>151</v>
      </c>
    </row>
    <row r="13" customFormat="false" ht="12.75" hidden="false" customHeight="false" outlineLevel="0" collapsed="false">
      <c r="A13" s="148" t="n">
        <v>0.7</v>
      </c>
      <c r="B13" s="189" t="n">
        <v>100</v>
      </c>
      <c r="C13" s="190" t="n">
        <v>100</v>
      </c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1" t="n">
        <v>200</v>
      </c>
    </row>
    <row r="14" customFormat="false" ht="12.75" hidden="false" customHeight="false" outlineLevel="0" collapsed="false">
      <c r="A14" s="148" t="n">
        <v>0.75</v>
      </c>
      <c r="B14" s="189"/>
      <c r="C14" s="190" t="n">
        <v>124</v>
      </c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1" t="n">
        <v>124</v>
      </c>
    </row>
    <row r="15" customFormat="false" ht="12.75" hidden="false" customHeight="false" outlineLevel="0" collapsed="false">
      <c r="A15" s="148" t="n">
        <v>0.8</v>
      </c>
      <c r="B15" s="189"/>
      <c r="C15" s="190" t="n">
        <v>31</v>
      </c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1" t="n">
        <v>31</v>
      </c>
    </row>
    <row r="16" customFormat="false" ht="12.75" hidden="false" customHeight="false" outlineLevel="0" collapsed="false">
      <c r="A16" s="148" t="n">
        <v>0.85</v>
      </c>
      <c r="B16" s="189" t="n">
        <v>60</v>
      </c>
      <c r="C16" s="190" t="n">
        <v>62</v>
      </c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1" t="n">
        <v>122</v>
      </c>
    </row>
    <row r="17" customFormat="false" ht="12.75" hidden="false" customHeight="false" outlineLevel="0" collapsed="false">
      <c r="A17" s="148" t="n">
        <v>0.9</v>
      </c>
      <c r="B17" s="189" t="n">
        <v>-60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1" t="n">
        <v>-60</v>
      </c>
    </row>
    <row r="18" customFormat="false" ht="12.75" hidden="false" customHeight="false" outlineLevel="0" collapsed="false">
      <c r="A18" s="148" t="n">
        <v>1</v>
      </c>
      <c r="B18" s="189"/>
      <c r="C18" s="190"/>
      <c r="D18" s="190" t="n">
        <v>-100</v>
      </c>
      <c r="E18" s="190" t="n">
        <v>-100</v>
      </c>
      <c r="F18" s="190" t="n">
        <v>-100</v>
      </c>
      <c r="G18" s="190" t="n">
        <v>-100</v>
      </c>
      <c r="H18" s="190" t="n">
        <v>-100</v>
      </c>
      <c r="I18" s="190"/>
      <c r="J18" s="190"/>
      <c r="K18" s="190"/>
      <c r="L18" s="190"/>
      <c r="M18" s="190"/>
      <c r="N18" s="190"/>
      <c r="O18" s="190"/>
      <c r="P18" s="191" t="n">
        <v>-500</v>
      </c>
    </row>
    <row r="19" customFormat="false" ht="12.75" hidden="false" customHeight="false" outlineLevel="0" collapsed="false">
      <c r="A19" s="148" t="n">
        <v>1.5</v>
      </c>
      <c r="B19" s="189"/>
      <c r="C19" s="190"/>
      <c r="D19" s="190" t="n">
        <v>70</v>
      </c>
      <c r="E19" s="190" t="n">
        <v>69</v>
      </c>
      <c r="F19" s="190" t="n">
        <v>69</v>
      </c>
      <c r="G19" s="190" t="n">
        <v>72</v>
      </c>
      <c r="H19" s="190" t="n">
        <v>69</v>
      </c>
      <c r="I19" s="190" t="n">
        <v>-150</v>
      </c>
      <c r="J19" s="190" t="n">
        <v>-150</v>
      </c>
      <c r="K19" s="190" t="n">
        <v>-150</v>
      </c>
      <c r="L19" s="190" t="n">
        <v>-150</v>
      </c>
      <c r="M19" s="190" t="n">
        <v>-150</v>
      </c>
      <c r="N19" s="190" t="n">
        <v>-150</v>
      </c>
      <c r="O19" s="190" t="n">
        <v>-150</v>
      </c>
      <c r="P19" s="191" t="n">
        <v>-701</v>
      </c>
    </row>
    <row r="20" customFormat="false" ht="12.75" hidden="false" customHeight="false" outlineLevel="0" collapsed="false">
      <c r="A20" s="153" t="s">
        <v>99</v>
      </c>
      <c r="B20" s="192" t="n">
        <v>60</v>
      </c>
      <c r="C20" s="193" t="n">
        <v>248</v>
      </c>
      <c r="D20" s="193" t="n">
        <v>265</v>
      </c>
      <c r="E20" s="193" t="n">
        <v>265.5</v>
      </c>
      <c r="F20" s="193" t="n">
        <v>265.5</v>
      </c>
      <c r="G20" s="193" t="n">
        <v>264</v>
      </c>
      <c r="H20" s="193" t="n">
        <v>265.5</v>
      </c>
      <c r="I20" s="193" t="n">
        <v>-150</v>
      </c>
      <c r="J20" s="193" t="n">
        <v>-150</v>
      </c>
      <c r="K20" s="193" t="n">
        <v>-150</v>
      </c>
      <c r="L20" s="193" t="n">
        <v>-150</v>
      </c>
      <c r="M20" s="193" t="n">
        <v>-150</v>
      </c>
      <c r="N20" s="193" t="n">
        <v>-150</v>
      </c>
      <c r="O20" s="193" t="n">
        <v>-150</v>
      </c>
      <c r="P20" s="194" t="n">
        <v>583.5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3:H1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4" activeCellId="0" sqref="A4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2" min="1" style="195" width="9.14"/>
    <col collapsed="false" customWidth="true" hidden="false" outlineLevel="0" max="22" min="3" style="195" width="12.7"/>
    <col collapsed="false" customWidth="false" hidden="false" outlineLevel="0" max="182" min="23" style="195" width="9.14"/>
    <col collapsed="false" customWidth="false" hidden="false" outlineLevel="0" max="257" min="183" style="196" width="9.14"/>
  </cols>
  <sheetData>
    <row r="3" customFormat="false" ht="11.25" hidden="false" customHeight="false" outlineLevel="0" collapsed="false">
      <c r="C3" s="195" t="s">
        <v>139</v>
      </c>
      <c r="D3" s="195" t="s">
        <v>140</v>
      </c>
      <c r="E3" s="195" t="s">
        <v>141</v>
      </c>
      <c r="F3" s="195" t="s">
        <v>142</v>
      </c>
      <c r="G3" s="195" t="s">
        <v>143</v>
      </c>
      <c r="H3" s="195" t="s">
        <v>144</v>
      </c>
    </row>
    <row r="4" customFormat="false" ht="11.25" hidden="false" customHeight="false" outlineLevel="0" collapsed="false">
      <c r="B4" s="197" t="n">
        <v>36739</v>
      </c>
      <c r="C4" s="198" t="n">
        <f aca="false">'Basis Options'!BT7/10000</f>
        <v>0</v>
      </c>
      <c r="D4" s="199" t="n">
        <f aca="false">'Option Gamma'!AH5</f>
        <v>0</v>
      </c>
      <c r="E4" s="199" t="n">
        <f aca="false">'Option Gamma'!BQ5</f>
        <v>0</v>
      </c>
      <c r="F4" s="199" t="n">
        <f aca="false">'Option Gamma'!AZ5</f>
        <v>0</v>
      </c>
      <c r="G4" s="198" t="n">
        <f aca="false">'Option Gamma'!P5</f>
        <v>0</v>
      </c>
      <c r="H4" s="200" t="n">
        <f aca="false">'Option Gamma'!CH5</f>
        <v>0</v>
      </c>
    </row>
    <row r="5" customFormat="false" ht="11.25" hidden="false" customHeight="false" outlineLevel="0" collapsed="false">
      <c r="B5" s="197" t="n">
        <v>36770</v>
      </c>
      <c r="C5" s="198" t="e">
        <f aca="false">'Basis Options'!BT8/10000</f>
        <v>#NAME?</v>
      </c>
      <c r="D5" s="199" t="e">
        <f aca="false">'Option Gamma'!AH6</f>
        <v>#NAME?</v>
      </c>
      <c r="E5" s="199" t="e">
        <f aca="false">'Option Gamma'!BQ6</f>
        <v>#NAME?</v>
      </c>
      <c r="F5" s="199" t="e">
        <f aca="false">'Option Gamma'!AZ6</f>
        <v>#NAME?</v>
      </c>
      <c r="G5" s="198" t="e">
        <f aca="false">'Option Gamma'!P6</f>
        <v>#NAME?</v>
      </c>
      <c r="H5" s="200" t="e">
        <f aca="false">'Option Gamma'!CH6</f>
        <v>#NAME?</v>
      </c>
    </row>
    <row r="6" customFormat="false" ht="11.25" hidden="false" customHeight="false" outlineLevel="0" collapsed="false">
      <c r="B6" s="197" t="n">
        <v>36800</v>
      </c>
      <c r="C6" s="198" t="e">
        <f aca="false">'Basis Options'!BT9/10000</f>
        <v>#NAME?</v>
      </c>
      <c r="D6" s="199" t="e">
        <f aca="false">'Option Gamma'!AH7</f>
        <v>#NAME?</v>
      </c>
      <c r="E6" s="199" t="e">
        <f aca="false">'Option Gamma'!BQ7</f>
        <v>#NAME?</v>
      </c>
      <c r="F6" s="199" t="e">
        <f aca="false">'Option Gamma'!AZ7</f>
        <v>#NAME?</v>
      </c>
      <c r="G6" s="198" t="e">
        <f aca="false">'Option Gamma'!P7</f>
        <v>#NAME?</v>
      </c>
      <c r="H6" s="200" t="e">
        <f aca="false">'Option Gamma'!CH7</f>
        <v>#NAME?</v>
      </c>
    </row>
    <row r="7" customFormat="false" ht="11.25" hidden="false" customHeight="false" outlineLevel="0" collapsed="false">
      <c r="B7" s="197" t="n">
        <v>36831</v>
      </c>
      <c r="C7" s="198" t="e">
        <f aca="false">'Basis Options'!BT10/10000</f>
        <v>#NAME?</v>
      </c>
      <c r="D7" s="199" t="e">
        <f aca="false">'Option Gamma'!AH8</f>
        <v>#NAME?</v>
      </c>
      <c r="E7" s="199" t="e">
        <f aca="false">'Option Gamma'!BQ8</f>
        <v>#NAME?</v>
      </c>
      <c r="F7" s="199" t="e">
        <f aca="false">'Option Gamma'!AZ8</f>
        <v>#NAME?</v>
      </c>
      <c r="G7" s="198" t="e">
        <f aca="false">'Option Gamma'!P8</f>
        <v>#NAME?</v>
      </c>
      <c r="H7" s="200" t="e">
        <f aca="false">'Option Gamma'!CH8</f>
        <v>#NAME?</v>
      </c>
    </row>
    <row r="8" customFormat="false" ht="11.25" hidden="false" customHeight="false" outlineLevel="0" collapsed="false">
      <c r="B8" s="197" t="n">
        <v>36861</v>
      </c>
      <c r="C8" s="198" t="e">
        <f aca="false">'Basis Options'!BT11/10000</f>
        <v>#NAME?</v>
      </c>
      <c r="D8" s="199" t="e">
        <f aca="false">'Option Gamma'!AH9</f>
        <v>#NAME?</v>
      </c>
      <c r="E8" s="199" t="e">
        <f aca="false">'Option Gamma'!BQ9</f>
        <v>#NAME?</v>
      </c>
      <c r="F8" s="199" t="e">
        <f aca="false">'Option Gamma'!AZ9</f>
        <v>#NAME?</v>
      </c>
      <c r="G8" s="198" t="e">
        <f aca="false">'Option Gamma'!P9</f>
        <v>#NAME?</v>
      </c>
      <c r="H8" s="200" t="e">
        <f aca="false">'Option Gamma'!CH9</f>
        <v>#NAME?</v>
      </c>
    </row>
    <row r="9" customFormat="false" ht="11.25" hidden="false" customHeight="false" outlineLevel="0" collapsed="false">
      <c r="B9" s="197" t="n">
        <v>36892</v>
      </c>
      <c r="C9" s="198" t="e">
        <f aca="false">'Basis Options'!BT12/10000</f>
        <v>#NAME?</v>
      </c>
      <c r="D9" s="199" t="e">
        <f aca="false">'Option Gamma'!AH10</f>
        <v>#NAME?</v>
      </c>
      <c r="E9" s="199" t="e">
        <f aca="false">'Option Gamma'!BQ10</f>
        <v>#NAME?</v>
      </c>
      <c r="F9" s="199" t="e">
        <f aca="false">'Option Gamma'!AZ10</f>
        <v>#NAME?</v>
      </c>
      <c r="G9" s="198" t="e">
        <f aca="false">'Option Gamma'!P10</f>
        <v>#NAME?</v>
      </c>
      <c r="H9" s="200" t="e">
        <f aca="false">'Option Gamma'!CH10</f>
        <v>#NAME?</v>
      </c>
    </row>
    <row r="10" customFormat="false" ht="11.25" hidden="false" customHeight="false" outlineLevel="0" collapsed="false">
      <c r="B10" s="197" t="n">
        <v>36923</v>
      </c>
      <c r="C10" s="198" t="e">
        <f aca="false">'Basis Options'!BT13/10000</f>
        <v>#NAME?</v>
      </c>
      <c r="D10" s="199" t="e">
        <f aca="false">'Option Gamma'!AH11</f>
        <v>#NAME?</v>
      </c>
      <c r="E10" s="199" t="e">
        <f aca="false">'Option Gamma'!BQ11</f>
        <v>#NAME?</v>
      </c>
      <c r="F10" s="199" t="e">
        <f aca="false">'Option Gamma'!AZ11</f>
        <v>#NAME?</v>
      </c>
      <c r="G10" s="198" t="e">
        <f aca="false">'Option Gamma'!P11</f>
        <v>#NAME?</v>
      </c>
      <c r="H10" s="200" t="e">
        <f aca="false">'Option Gamma'!CH11</f>
        <v>#NAME?</v>
      </c>
    </row>
    <row r="11" customFormat="false" ht="11.25" hidden="false" customHeight="false" outlineLevel="0" collapsed="false">
      <c r="B11" s="197" t="n">
        <v>36951</v>
      </c>
      <c r="C11" s="198" t="e">
        <f aca="false">'Basis Options'!BT14/10000</f>
        <v>#NAME?</v>
      </c>
      <c r="D11" s="199" t="e">
        <f aca="false">'Option Gamma'!AH12</f>
        <v>#NAME?</v>
      </c>
      <c r="E11" s="199" t="e">
        <f aca="false">'Option Gamma'!BQ12</f>
        <v>#NAME?</v>
      </c>
      <c r="F11" s="199" t="e">
        <f aca="false">'Option Gamma'!AZ12</f>
        <v>#NAME?</v>
      </c>
      <c r="G11" s="198" t="e">
        <f aca="false">'Option Gamma'!P12</f>
        <v>#NAME?</v>
      </c>
      <c r="H11" s="200" t="e">
        <f aca="false">'Option Gamma'!CH12</f>
        <v>#NAME?</v>
      </c>
    </row>
    <row r="12" customFormat="false" ht="11.25" hidden="false" customHeight="false" outlineLevel="0" collapsed="false">
      <c r="B12" s="197" t="n">
        <v>36982</v>
      </c>
      <c r="C12" s="198" t="e">
        <f aca="false">'Basis Options'!BT15/10000</f>
        <v>#NAME?</v>
      </c>
      <c r="D12" s="199" t="e">
        <f aca="false">'Option Gamma'!AH13</f>
        <v>#NAME?</v>
      </c>
      <c r="E12" s="199" t="e">
        <f aca="false">'Option Gamma'!BQ13</f>
        <v>#NAME?</v>
      </c>
      <c r="F12" s="199" t="e">
        <f aca="false">'Option Gamma'!AZ13</f>
        <v>#NAME?</v>
      </c>
      <c r="G12" s="198" t="e">
        <f aca="false">'Option Gamma'!P13</f>
        <v>#NAME?</v>
      </c>
      <c r="H12" s="200" t="e">
        <f aca="false">'Option Gamma'!CH13</f>
        <v>#NAME?</v>
      </c>
    </row>
    <row r="13" customFormat="false" ht="11.25" hidden="false" customHeight="false" outlineLevel="0" collapsed="false">
      <c r="B13" s="197" t="n">
        <v>37012</v>
      </c>
      <c r="C13" s="198" t="e">
        <f aca="false">'Basis Options'!BT16/10000</f>
        <v>#NAME?</v>
      </c>
      <c r="D13" s="199" t="e">
        <f aca="false">'Option Gamma'!AH14</f>
        <v>#NAME?</v>
      </c>
      <c r="E13" s="199" t="e">
        <f aca="false">'Option Gamma'!BQ14</f>
        <v>#NAME?</v>
      </c>
      <c r="F13" s="199" t="e">
        <f aca="false">'Option Gamma'!AZ14</f>
        <v>#NAME?</v>
      </c>
      <c r="G13" s="198" t="e">
        <f aca="false">'Option Gamma'!P14</f>
        <v>#NAME?</v>
      </c>
      <c r="H13" s="200" t="e">
        <f aca="false">'Option Gamma'!CH14</f>
        <v>#NAME?</v>
      </c>
    </row>
    <row r="14" customFormat="false" ht="11.25" hidden="false" customHeight="false" outlineLevel="0" collapsed="false">
      <c r="B14" s="197" t="n">
        <v>37043</v>
      </c>
      <c r="C14" s="198" t="e">
        <f aca="false">'Basis Options'!BT17/10000</f>
        <v>#NAME?</v>
      </c>
      <c r="D14" s="199" t="e">
        <f aca="false">'Option Gamma'!AH15</f>
        <v>#NAME?</v>
      </c>
      <c r="E14" s="199" t="e">
        <f aca="false">'Option Gamma'!BQ15</f>
        <v>#NAME?</v>
      </c>
      <c r="F14" s="199" t="e">
        <f aca="false">'Option Gamma'!AZ15</f>
        <v>#NAME?</v>
      </c>
      <c r="G14" s="198" t="e">
        <f aca="false">'Option Gamma'!P15</f>
        <v>#NAME?</v>
      </c>
      <c r="H14" s="200" t="e">
        <f aca="false">'Option Gamma'!CH15</f>
        <v>#NAME?</v>
      </c>
    </row>
    <row r="15" customFormat="false" ht="11.25" hidden="false" customHeight="false" outlineLevel="0" collapsed="false">
      <c r="B15" s="197" t="n">
        <v>37073</v>
      </c>
      <c r="C15" s="198" t="e">
        <f aca="false">'Basis Options'!BT18/10000</f>
        <v>#NAME?</v>
      </c>
      <c r="D15" s="199" t="e">
        <f aca="false">'Option Gamma'!AH16</f>
        <v>#NAME?</v>
      </c>
      <c r="E15" s="199" t="e">
        <f aca="false">'Option Gamma'!BQ16</f>
        <v>#NAME?</v>
      </c>
      <c r="F15" s="199" t="e">
        <f aca="false">'Option Gamma'!AZ16</f>
        <v>#NAME?</v>
      </c>
      <c r="G15" s="198" t="e">
        <f aca="false">'Option Gamma'!P16</f>
        <v>#NAME?</v>
      </c>
      <c r="H15" s="200" t="e">
        <f aca="false">'Option Gamma'!CH16</f>
        <v>#NAME?</v>
      </c>
    </row>
    <row r="16" customFormat="false" ht="11.25" hidden="false" customHeight="false" outlineLevel="0" collapsed="false">
      <c r="B16" s="197" t="n">
        <v>37104</v>
      </c>
      <c r="C16" s="198" t="e">
        <f aca="false">'Basis Options'!BT19/10000</f>
        <v>#NAME?</v>
      </c>
      <c r="D16" s="199" t="e">
        <f aca="false">'Option Gamma'!AH17</f>
        <v>#NAME?</v>
      </c>
      <c r="E16" s="199" t="e">
        <f aca="false">'Option Gamma'!BQ17</f>
        <v>#NAME?</v>
      </c>
      <c r="F16" s="199" t="e">
        <f aca="false">'Option Gamma'!AZ17</f>
        <v>#NAME?</v>
      </c>
      <c r="G16" s="198" t="e">
        <f aca="false">'Option Gamma'!P17</f>
        <v>#NAME?</v>
      </c>
      <c r="H16" s="200" t="e">
        <f aca="false">'Option Gamma'!CH17</f>
        <v>#NAME?</v>
      </c>
    </row>
    <row r="17" customFormat="false" ht="11.25" hidden="false" customHeight="false" outlineLevel="0" collapsed="false">
      <c r="B17" s="197" t="n">
        <v>37135</v>
      </c>
      <c r="C17" s="198" t="e">
        <f aca="false">'Basis Options'!BT20/10000</f>
        <v>#NAME?</v>
      </c>
      <c r="D17" s="199" t="e">
        <f aca="false">'Option Gamma'!AH18</f>
        <v>#NAME?</v>
      </c>
      <c r="E17" s="199" t="e">
        <f aca="false">'Option Gamma'!BQ18</f>
        <v>#NAME?</v>
      </c>
      <c r="F17" s="199" t="e">
        <f aca="false">'Option Gamma'!AZ18</f>
        <v>#NAME?</v>
      </c>
      <c r="G17" s="198" t="e">
        <f aca="false">'Option Gamma'!P18</f>
        <v>#NAME?</v>
      </c>
      <c r="H17" s="200" t="e">
        <f aca="false">'Option Gamma'!CH18</f>
        <v>#NAME?</v>
      </c>
    </row>
    <row r="18" customFormat="false" ht="11.25" hidden="false" customHeight="false" outlineLevel="0" collapsed="false">
      <c r="B18" s="197" t="n">
        <v>37165</v>
      </c>
      <c r="C18" s="198" t="e">
        <f aca="false">'Basis Options'!BT21/10000</f>
        <v>#NAME?</v>
      </c>
      <c r="D18" s="199" t="e">
        <f aca="false">'Option Gamma'!AH19</f>
        <v>#NAME?</v>
      </c>
      <c r="E18" s="199" t="e">
        <f aca="false">'Option Gamma'!BQ19</f>
        <v>#NAME?</v>
      </c>
      <c r="F18" s="199" t="e">
        <f aca="false">'Option Gamma'!AZ19</f>
        <v>#NAME?</v>
      </c>
      <c r="G18" s="198" t="e">
        <f aca="false">'Option Gamma'!P19</f>
        <v>#NAME?</v>
      </c>
      <c r="H18" s="200" t="e">
        <f aca="false">'Option Gamma'!CH19</f>
        <v>#NAME?</v>
      </c>
    </row>
    <row r="19" customFormat="false" ht="11.25" hidden="false" customHeight="false" outlineLevel="0" collapsed="false">
      <c r="B19" s="197" t="n">
        <v>37196</v>
      </c>
      <c r="C19" s="198" t="e">
        <f aca="false">'Basis Options'!BT22/10000</f>
        <v>#NAME?</v>
      </c>
      <c r="D19" s="199" t="e">
        <f aca="false">'Option Gamma'!AH20</f>
        <v>#NAME?</v>
      </c>
      <c r="E19" s="199" t="e">
        <f aca="false">'Option Gamma'!BQ20</f>
        <v>#NAME?</v>
      </c>
      <c r="F19" s="199" t="e">
        <f aca="false">'Option Gamma'!AZ20</f>
        <v>#NAME?</v>
      </c>
      <c r="G19" s="198" t="e">
        <f aca="false">'Option Gamma'!P20</f>
        <v>#NAME?</v>
      </c>
      <c r="H19" s="200" t="e">
        <f aca="false">'Option Gamma'!CH20</f>
        <v>#NAME?</v>
      </c>
    </row>
    <row r="20" customFormat="false" ht="11.25" hidden="false" customHeight="false" outlineLevel="0" collapsed="false">
      <c r="B20" s="197" t="n">
        <v>37226</v>
      </c>
      <c r="C20" s="198" t="e">
        <f aca="false">'Basis Options'!BT23/10000</f>
        <v>#NAME?</v>
      </c>
      <c r="D20" s="199" t="e">
        <f aca="false">'Option Gamma'!AH21</f>
        <v>#NAME?</v>
      </c>
      <c r="E20" s="199" t="e">
        <f aca="false">'Option Gamma'!BQ21</f>
        <v>#NAME?</v>
      </c>
      <c r="F20" s="199" t="e">
        <f aca="false">'Option Gamma'!AZ21</f>
        <v>#NAME?</v>
      </c>
      <c r="G20" s="198" t="e">
        <f aca="false">'Option Gamma'!P21</f>
        <v>#NAME?</v>
      </c>
      <c r="H20" s="200" t="e">
        <f aca="false">'Option Gamma'!CH21</f>
        <v>#NAME?</v>
      </c>
    </row>
    <row r="21" customFormat="false" ht="11.25" hidden="false" customHeight="false" outlineLevel="0" collapsed="false">
      <c r="B21" s="197" t="n">
        <v>37257</v>
      </c>
      <c r="C21" s="198" t="e">
        <f aca="false">'Basis Options'!BT24/10000</f>
        <v>#NAME?</v>
      </c>
      <c r="D21" s="199" t="e">
        <f aca="false">'Option Gamma'!AH22</f>
        <v>#NAME?</v>
      </c>
      <c r="E21" s="199" t="e">
        <f aca="false">'Option Gamma'!BQ22</f>
        <v>#NAME?</v>
      </c>
      <c r="F21" s="199" t="e">
        <f aca="false">'Option Gamma'!AZ22</f>
        <v>#NAME?</v>
      </c>
      <c r="G21" s="198" t="e">
        <f aca="false">'Option Gamma'!P22</f>
        <v>#NAME?</v>
      </c>
      <c r="H21" s="200" t="e">
        <f aca="false">'Option Gamma'!CH22</f>
        <v>#NAME?</v>
      </c>
    </row>
    <row r="22" customFormat="false" ht="11.25" hidden="false" customHeight="false" outlineLevel="0" collapsed="false">
      <c r="B22" s="197" t="n">
        <v>37288</v>
      </c>
      <c r="C22" s="198" t="e">
        <f aca="false">'Basis Options'!BT25/10000</f>
        <v>#NAME?</v>
      </c>
      <c r="D22" s="199" t="e">
        <f aca="false">'Option Gamma'!AH23</f>
        <v>#NAME?</v>
      </c>
      <c r="E22" s="199" t="e">
        <f aca="false">'Option Gamma'!BQ23</f>
        <v>#NAME?</v>
      </c>
      <c r="F22" s="199" t="e">
        <f aca="false">'Option Gamma'!AZ23</f>
        <v>#NAME?</v>
      </c>
      <c r="G22" s="198" t="e">
        <f aca="false">'Option Gamma'!P23</f>
        <v>#NAME?</v>
      </c>
      <c r="H22" s="200" t="e">
        <f aca="false">'Option Gamma'!CH23</f>
        <v>#NAME?</v>
      </c>
    </row>
    <row r="23" customFormat="false" ht="11.25" hidden="false" customHeight="false" outlineLevel="0" collapsed="false">
      <c r="B23" s="197" t="n">
        <v>37316</v>
      </c>
      <c r="C23" s="198" t="e">
        <f aca="false">'Basis Options'!BT26/10000</f>
        <v>#NAME?</v>
      </c>
      <c r="D23" s="199" t="e">
        <f aca="false">'Option Gamma'!AH24</f>
        <v>#NAME?</v>
      </c>
      <c r="E23" s="199" t="e">
        <f aca="false">'Option Gamma'!BQ24</f>
        <v>#NAME?</v>
      </c>
      <c r="F23" s="199" t="e">
        <f aca="false">'Option Gamma'!AZ24</f>
        <v>#NAME?</v>
      </c>
      <c r="G23" s="198" t="e">
        <f aca="false">'Option Gamma'!P24</f>
        <v>#NAME?</v>
      </c>
      <c r="H23" s="200" t="e">
        <f aca="false">'Option Gamma'!CH24</f>
        <v>#NAME?</v>
      </c>
    </row>
    <row r="24" customFormat="false" ht="11.25" hidden="false" customHeight="false" outlineLevel="0" collapsed="false">
      <c r="B24" s="197" t="n">
        <v>37347</v>
      </c>
      <c r="C24" s="198" t="n">
        <f aca="false">'Basis Options'!BT27/10000</f>
        <v>0</v>
      </c>
      <c r="D24" s="199" t="n">
        <f aca="false">'Option Gamma'!AH25</f>
        <v>0</v>
      </c>
      <c r="E24" s="199" t="n">
        <f aca="false">'Option Gamma'!BQ25</f>
        <v>0</v>
      </c>
      <c r="F24" s="199" t="n">
        <f aca="false">'Option Gamma'!AZ25</f>
        <v>0</v>
      </c>
      <c r="G24" s="198" t="n">
        <f aca="false">'Option Gamma'!P25</f>
        <v>0</v>
      </c>
      <c r="H24" s="200" t="n">
        <f aca="false">'Option Gamma'!CH25</f>
        <v>0</v>
      </c>
    </row>
    <row r="25" customFormat="false" ht="11.25" hidden="false" customHeight="false" outlineLevel="0" collapsed="false">
      <c r="B25" s="197" t="n">
        <v>37377</v>
      </c>
      <c r="C25" s="198" t="n">
        <f aca="false">'Basis Options'!BT28/10000</f>
        <v>0</v>
      </c>
      <c r="D25" s="199" t="n">
        <f aca="false">'Option Gamma'!AH26</f>
        <v>0</v>
      </c>
      <c r="E25" s="199" t="n">
        <f aca="false">'Option Gamma'!BQ26</f>
        <v>0</v>
      </c>
      <c r="F25" s="199" t="n">
        <f aca="false">'Option Gamma'!AZ26</f>
        <v>0</v>
      </c>
      <c r="G25" s="198" t="n">
        <f aca="false">'Option Gamma'!P26</f>
        <v>0</v>
      </c>
      <c r="H25" s="200" t="n">
        <f aca="false">'Option Gamma'!CH26</f>
        <v>0</v>
      </c>
    </row>
    <row r="26" customFormat="false" ht="11.25" hidden="false" customHeight="false" outlineLevel="0" collapsed="false">
      <c r="B26" s="197" t="n">
        <v>37408</v>
      </c>
      <c r="C26" s="198" t="n">
        <f aca="false">'Basis Options'!BT29/10000</f>
        <v>0</v>
      </c>
      <c r="D26" s="199" t="n">
        <f aca="false">'Option Gamma'!AH27</f>
        <v>0</v>
      </c>
      <c r="E26" s="199" t="n">
        <f aca="false">'Option Gamma'!BQ27</f>
        <v>0</v>
      </c>
      <c r="F26" s="199" t="n">
        <f aca="false">'Option Gamma'!AZ27</f>
        <v>0</v>
      </c>
      <c r="G26" s="198" t="n">
        <f aca="false">'Option Gamma'!P27</f>
        <v>0</v>
      </c>
      <c r="H26" s="200" t="n">
        <f aca="false">'Option Gamma'!CH27</f>
        <v>0</v>
      </c>
    </row>
    <row r="27" customFormat="false" ht="11.25" hidden="false" customHeight="false" outlineLevel="0" collapsed="false">
      <c r="B27" s="197" t="n">
        <v>37438</v>
      </c>
      <c r="C27" s="198" t="n">
        <f aca="false">'Basis Options'!BT30/10000</f>
        <v>0</v>
      </c>
      <c r="D27" s="199" t="n">
        <f aca="false">'Option Gamma'!AH28</f>
        <v>0</v>
      </c>
      <c r="E27" s="199" t="n">
        <f aca="false">'Option Gamma'!BQ28</f>
        <v>0</v>
      </c>
      <c r="F27" s="199" t="n">
        <f aca="false">'Option Gamma'!AZ28</f>
        <v>0</v>
      </c>
      <c r="G27" s="198" t="n">
        <f aca="false">'Option Gamma'!P28</f>
        <v>0</v>
      </c>
      <c r="H27" s="200" t="n">
        <f aca="false">'Option Gamma'!CH28</f>
        <v>0</v>
      </c>
    </row>
    <row r="28" customFormat="false" ht="11.25" hidden="false" customHeight="false" outlineLevel="0" collapsed="false">
      <c r="B28" s="197" t="n">
        <v>37469</v>
      </c>
      <c r="C28" s="198" t="n">
        <f aca="false">'Basis Options'!BT31/10000</f>
        <v>0</v>
      </c>
      <c r="D28" s="199" t="n">
        <f aca="false">'Option Gamma'!AH29</f>
        <v>0</v>
      </c>
      <c r="E28" s="199" t="n">
        <f aca="false">'Option Gamma'!BQ29</f>
        <v>0</v>
      </c>
      <c r="F28" s="199" t="n">
        <f aca="false">'Option Gamma'!AZ29</f>
        <v>0</v>
      </c>
      <c r="G28" s="198" t="n">
        <f aca="false">'Option Gamma'!P29</f>
        <v>0</v>
      </c>
      <c r="H28" s="200" t="n">
        <f aca="false">'Option Gamma'!CH29</f>
        <v>0</v>
      </c>
    </row>
    <row r="29" customFormat="false" ht="11.25" hidden="false" customHeight="false" outlineLevel="0" collapsed="false">
      <c r="B29" s="197" t="n">
        <v>37500</v>
      </c>
      <c r="C29" s="198" t="n">
        <f aca="false">'Basis Options'!BT32/10000</f>
        <v>0</v>
      </c>
      <c r="D29" s="199" t="n">
        <f aca="false">'Option Gamma'!AH30</f>
        <v>0</v>
      </c>
      <c r="E29" s="199" t="n">
        <f aca="false">'Option Gamma'!BQ30</f>
        <v>0</v>
      </c>
      <c r="F29" s="199" t="n">
        <f aca="false">'Option Gamma'!AZ30</f>
        <v>0</v>
      </c>
      <c r="G29" s="198" t="n">
        <f aca="false">'Option Gamma'!P30</f>
        <v>0</v>
      </c>
      <c r="H29" s="200" t="n">
        <f aca="false">'Option Gamma'!CH30</f>
        <v>0</v>
      </c>
    </row>
    <row r="30" customFormat="false" ht="11.25" hidden="false" customHeight="false" outlineLevel="0" collapsed="false">
      <c r="B30" s="197" t="n">
        <v>37530</v>
      </c>
      <c r="C30" s="198" t="n">
        <f aca="false">'Basis Options'!BT33/10000</f>
        <v>0</v>
      </c>
      <c r="D30" s="199" t="n">
        <f aca="false">'Option Gamma'!AH31</f>
        <v>0</v>
      </c>
      <c r="E30" s="199" t="n">
        <f aca="false">'Option Gamma'!BQ31</f>
        <v>0</v>
      </c>
      <c r="F30" s="199" t="n">
        <f aca="false">'Option Gamma'!AZ31</f>
        <v>0</v>
      </c>
      <c r="G30" s="198" t="n">
        <f aca="false">'Option Gamma'!P31</f>
        <v>0</v>
      </c>
      <c r="H30" s="200" t="n">
        <f aca="false">'Option Gamma'!CH31</f>
        <v>0</v>
      </c>
    </row>
    <row r="31" customFormat="false" ht="11.25" hidden="false" customHeight="false" outlineLevel="0" collapsed="false">
      <c r="B31" s="197" t="n">
        <v>37561</v>
      </c>
      <c r="C31" s="198" t="e">
        <f aca="false">'Basis Options'!BT34/10000</f>
        <v>#NAME?</v>
      </c>
      <c r="D31" s="199" t="e">
        <f aca="false">'Option Gamma'!AH32</f>
        <v>#NAME?</v>
      </c>
      <c r="E31" s="199" t="e">
        <f aca="false">'Option Gamma'!BQ32</f>
        <v>#NAME?</v>
      </c>
      <c r="F31" s="199" t="e">
        <f aca="false">'Option Gamma'!AZ32</f>
        <v>#NAME?</v>
      </c>
      <c r="G31" s="198" t="e">
        <f aca="false">'Option Gamma'!P32</f>
        <v>#NAME?</v>
      </c>
      <c r="H31" s="200" t="e">
        <f aca="false">'Option Gamma'!CH32</f>
        <v>#NAME?</v>
      </c>
    </row>
    <row r="32" customFormat="false" ht="11.25" hidden="false" customHeight="false" outlineLevel="0" collapsed="false">
      <c r="B32" s="197" t="n">
        <v>37591</v>
      </c>
      <c r="C32" s="198" t="e">
        <f aca="false">'Basis Options'!BT35/10000</f>
        <v>#NAME?</v>
      </c>
      <c r="D32" s="199" t="e">
        <f aca="false">'Option Gamma'!AH33</f>
        <v>#NAME?</v>
      </c>
      <c r="E32" s="199" t="e">
        <f aca="false">'Option Gamma'!BQ33</f>
        <v>#NAME?</v>
      </c>
      <c r="F32" s="199" t="e">
        <f aca="false">'Option Gamma'!AZ33</f>
        <v>#NAME?</v>
      </c>
      <c r="G32" s="198" t="e">
        <f aca="false">'Option Gamma'!P33</f>
        <v>#NAME?</v>
      </c>
      <c r="H32" s="200" t="e">
        <f aca="false">'Option Gamma'!CH33</f>
        <v>#NAME?</v>
      </c>
    </row>
    <row r="33" customFormat="false" ht="11.25" hidden="false" customHeight="false" outlineLevel="0" collapsed="false">
      <c r="B33" s="197" t="n">
        <v>37622</v>
      </c>
      <c r="C33" s="198" t="e">
        <f aca="false">'Basis Options'!BT36/10000</f>
        <v>#NAME?</v>
      </c>
      <c r="D33" s="199" t="e">
        <f aca="false">'Option Gamma'!AH34</f>
        <v>#NAME?</v>
      </c>
      <c r="E33" s="199" t="e">
        <f aca="false">'Option Gamma'!BQ34</f>
        <v>#NAME?</v>
      </c>
      <c r="F33" s="199" t="e">
        <f aca="false">'Option Gamma'!AZ34</f>
        <v>#NAME?</v>
      </c>
      <c r="G33" s="198" t="e">
        <f aca="false">'Option Gamma'!P34</f>
        <v>#NAME?</v>
      </c>
      <c r="H33" s="200" t="e">
        <f aca="false">'Option Gamma'!CH34</f>
        <v>#NAME?</v>
      </c>
    </row>
    <row r="34" customFormat="false" ht="11.25" hidden="false" customHeight="false" outlineLevel="0" collapsed="false">
      <c r="B34" s="197" t="n">
        <v>37653</v>
      </c>
      <c r="C34" s="198" t="e">
        <f aca="false">'Basis Options'!BT37/10000</f>
        <v>#NAME?</v>
      </c>
      <c r="D34" s="199" t="e">
        <f aca="false">'Option Gamma'!AH35</f>
        <v>#NAME?</v>
      </c>
      <c r="E34" s="199" t="e">
        <f aca="false">'Option Gamma'!BQ35</f>
        <v>#NAME?</v>
      </c>
      <c r="F34" s="199" t="e">
        <f aca="false">'Option Gamma'!AZ35</f>
        <v>#NAME?</v>
      </c>
      <c r="G34" s="198" t="e">
        <f aca="false">'Option Gamma'!P35</f>
        <v>#NAME?</v>
      </c>
      <c r="H34" s="200" t="e">
        <f aca="false">'Option Gamma'!CH35</f>
        <v>#NAME?</v>
      </c>
    </row>
    <row r="35" customFormat="false" ht="11.25" hidden="false" customHeight="false" outlineLevel="0" collapsed="false">
      <c r="B35" s="197" t="n">
        <v>37681</v>
      </c>
      <c r="C35" s="198" t="e">
        <f aca="false">'Basis Options'!BT38/10000</f>
        <v>#NAME?</v>
      </c>
      <c r="D35" s="199" t="e">
        <f aca="false">'Option Gamma'!AH36</f>
        <v>#NAME?</v>
      </c>
      <c r="E35" s="199" t="e">
        <f aca="false">'Option Gamma'!BQ36</f>
        <v>#NAME?</v>
      </c>
      <c r="F35" s="199" t="e">
        <f aca="false">'Option Gamma'!AZ36</f>
        <v>#NAME?</v>
      </c>
      <c r="G35" s="198" t="e">
        <f aca="false">'Option Gamma'!P36</f>
        <v>#NAME?</v>
      </c>
      <c r="H35" s="200" t="e">
        <f aca="false">'Option Gamma'!CH36</f>
        <v>#NAME?</v>
      </c>
    </row>
    <row r="36" customFormat="false" ht="11.25" hidden="false" customHeight="false" outlineLevel="0" collapsed="false">
      <c r="B36" s="197" t="n">
        <v>37712</v>
      </c>
      <c r="C36" s="198" t="n">
        <f aca="false">'Basis Options'!BT39/10000</f>
        <v>0</v>
      </c>
      <c r="D36" s="199" t="n">
        <f aca="false">'Option Gamma'!AH37</f>
        <v>0</v>
      </c>
      <c r="E36" s="199" t="n">
        <f aca="false">'Option Gamma'!BQ37</f>
        <v>0</v>
      </c>
      <c r="F36" s="199" t="n">
        <f aca="false">'Option Gamma'!AZ37</f>
        <v>0</v>
      </c>
      <c r="G36" s="198" t="n">
        <f aca="false">'Option Gamma'!P37</f>
        <v>0</v>
      </c>
    </row>
    <row r="37" customFormat="false" ht="11.25" hidden="false" customHeight="false" outlineLevel="0" collapsed="false">
      <c r="B37" s="197" t="n">
        <v>37742</v>
      </c>
      <c r="C37" s="198" t="n">
        <f aca="false">'Basis Options'!BT40/10000</f>
        <v>0</v>
      </c>
      <c r="D37" s="199" t="n">
        <f aca="false">'Option Gamma'!AH38</f>
        <v>0</v>
      </c>
      <c r="E37" s="199" t="n">
        <f aca="false">'Option Gamma'!BQ38</f>
        <v>0</v>
      </c>
      <c r="F37" s="199" t="n">
        <f aca="false">'Option Gamma'!AZ38</f>
        <v>0</v>
      </c>
      <c r="G37" s="198" t="n">
        <f aca="false">'Option Gamma'!P38</f>
        <v>0</v>
      </c>
    </row>
    <row r="38" customFormat="false" ht="11.25" hidden="false" customHeight="false" outlineLevel="0" collapsed="false">
      <c r="B38" s="197" t="n">
        <v>37773</v>
      </c>
      <c r="C38" s="198" t="n">
        <f aca="false">'Basis Options'!BT41/10000</f>
        <v>0</v>
      </c>
      <c r="D38" s="199" t="n">
        <f aca="false">'Option Gamma'!AH39</f>
        <v>0</v>
      </c>
      <c r="E38" s="199" t="n">
        <f aca="false">'Option Gamma'!BQ39</f>
        <v>0</v>
      </c>
      <c r="F38" s="199" t="n">
        <f aca="false">'Option Gamma'!AZ39</f>
        <v>0</v>
      </c>
      <c r="G38" s="198" t="n">
        <f aca="false">'Option Gamma'!P39</f>
        <v>0</v>
      </c>
    </row>
    <row r="39" customFormat="false" ht="11.25" hidden="false" customHeight="false" outlineLevel="0" collapsed="false">
      <c r="B39" s="197" t="n">
        <v>37803</v>
      </c>
      <c r="C39" s="198" t="n">
        <f aca="false">'Basis Options'!BT42/10000</f>
        <v>0</v>
      </c>
      <c r="D39" s="199" t="n">
        <f aca="false">'Option Gamma'!AH40</f>
        <v>0</v>
      </c>
      <c r="E39" s="199" t="n">
        <f aca="false">'Option Gamma'!BQ40</f>
        <v>0</v>
      </c>
      <c r="F39" s="199" t="n">
        <f aca="false">'Option Gamma'!AZ40</f>
        <v>0</v>
      </c>
      <c r="G39" s="198" t="n">
        <f aca="false">'Option Gamma'!P40</f>
        <v>0</v>
      </c>
    </row>
    <row r="40" customFormat="false" ht="11.25" hidden="false" customHeight="false" outlineLevel="0" collapsed="false">
      <c r="B40" s="197" t="n">
        <v>37834</v>
      </c>
      <c r="C40" s="198" t="n">
        <f aca="false">'Basis Options'!BT43/10000</f>
        <v>0</v>
      </c>
      <c r="D40" s="199" t="n">
        <f aca="false">'Option Gamma'!AH41</f>
        <v>0</v>
      </c>
      <c r="E40" s="199" t="n">
        <f aca="false">'Option Gamma'!BQ41</f>
        <v>0</v>
      </c>
      <c r="F40" s="199" t="n">
        <f aca="false">'Option Gamma'!AZ41</f>
        <v>0</v>
      </c>
      <c r="G40" s="198" t="n">
        <f aca="false">'Option Gamma'!P41</f>
        <v>0</v>
      </c>
    </row>
    <row r="41" customFormat="false" ht="11.25" hidden="false" customHeight="false" outlineLevel="0" collapsed="false">
      <c r="B41" s="197" t="n">
        <v>37865</v>
      </c>
      <c r="C41" s="198" t="n">
        <f aca="false">'Basis Options'!BT44/10000</f>
        <v>0</v>
      </c>
      <c r="D41" s="199" t="n">
        <f aca="false">'Option Gamma'!AH42</f>
        <v>0</v>
      </c>
      <c r="E41" s="199" t="n">
        <f aca="false">'Option Gamma'!BQ42</f>
        <v>0</v>
      </c>
      <c r="F41" s="199" t="n">
        <f aca="false">'Option Gamma'!AZ42</f>
        <v>0</v>
      </c>
      <c r="G41" s="198" t="n">
        <f aca="false">'Option Gamma'!P42</f>
        <v>0</v>
      </c>
    </row>
    <row r="42" customFormat="false" ht="11.25" hidden="false" customHeight="false" outlineLevel="0" collapsed="false">
      <c r="B42" s="197" t="n">
        <v>37895</v>
      </c>
      <c r="C42" s="198" t="n">
        <f aca="false">'Basis Options'!BT45/10000</f>
        <v>0</v>
      </c>
      <c r="D42" s="199" t="n">
        <f aca="false">'Option Gamma'!AH43</f>
        <v>0</v>
      </c>
      <c r="E42" s="199" t="n">
        <f aca="false">'Option Gamma'!BQ43</f>
        <v>0</v>
      </c>
      <c r="F42" s="199" t="n">
        <f aca="false">'Option Gamma'!AZ43</f>
        <v>0</v>
      </c>
      <c r="G42" s="198" t="n">
        <f aca="false">'Option Gamma'!P43</f>
        <v>0</v>
      </c>
    </row>
    <row r="43" customFormat="false" ht="11.25" hidden="false" customHeight="false" outlineLevel="0" collapsed="false">
      <c r="B43" s="197" t="n">
        <v>37926</v>
      </c>
      <c r="C43" s="198" t="n">
        <f aca="false">'Basis Options'!BT46/10000</f>
        <v>0</v>
      </c>
      <c r="D43" s="199" t="n">
        <f aca="false">'Option Gamma'!AH44</f>
        <v>0</v>
      </c>
      <c r="E43" s="199" t="n">
        <f aca="false">'Option Gamma'!BQ44</f>
        <v>0</v>
      </c>
      <c r="F43" s="199" t="n">
        <f aca="false">'Option Gamma'!AZ44</f>
        <v>0</v>
      </c>
      <c r="G43" s="198" t="n">
        <f aca="false">'Option Gamma'!P44</f>
        <v>0</v>
      </c>
    </row>
    <row r="44" customFormat="false" ht="11.25" hidden="false" customHeight="false" outlineLevel="0" collapsed="false">
      <c r="B44" s="197" t="n">
        <v>37956</v>
      </c>
      <c r="C44" s="198" t="n">
        <f aca="false">'Basis Options'!BT47/10000</f>
        <v>0</v>
      </c>
      <c r="D44" s="199" t="n">
        <f aca="false">'Option Gamma'!AH45</f>
        <v>0</v>
      </c>
      <c r="E44" s="199" t="n">
        <f aca="false">'Option Gamma'!BQ45</f>
        <v>0</v>
      </c>
      <c r="F44" s="199" t="n">
        <f aca="false">'Option Gamma'!AZ45</f>
        <v>0</v>
      </c>
      <c r="G44" s="198" t="n">
        <f aca="false">'Option Gamma'!P45</f>
        <v>0</v>
      </c>
    </row>
    <row r="45" customFormat="false" ht="11.25" hidden="false" customHeight="false" outlineLevel="0" collapsed="false">
      <c r="B45" s="197" t="n">
        <v>37987</v>
      </c>
      <c r="C45" s="198" t="n">
        <f aca="false">'Basis Options'!BT48/10000</f>
        <v>0</v>
      </c>
      <c r="D45" s="199" t="n">
        <f aca="false">'Option Gamma'!AH46</f>
        <v>0</v>
      </c>
      <c r="E45" s="199" t="n">
        <f aca="false">'Option Gamma'!BQ46</f>
        <v>0</v>
      </c>
      <c r="F45" s="199" t="n">
        <f aca="false">'Option Gamma'!AZ46</f>
        <v>0</v>
      </c>
      <c r="G45" s="198" t="n">
        <f aca="false">'Option Gamma'!P46</f>
        <v>0</v>
      </c>
    </row>
    <row r="46" customFormat="false" ht="11.25" hidden="false" customHeight="false" outlineLevel="0" collapsed="false">
      <c r="B46" s="197" t="n">
        <v>38018</v>
      </c>
      <c r="C46" s="198" t="n">
        <f aca="false">'Basis Options'!BT49/10000</f>
        <v>0</v>
      </c>
      <c r="D46" s="199" t="n">
        <f aca="false">'Option Gamma'!AH47</f>
        <v>0</v>
      </c>
      <c r="E46" s="199" t="n">
        <f aca="false">'Option Gamma'!BQ47</f>
        <v>0</v>
      </c>
      <c r="F46" s="199" t="n">
        <f aca="false">'Option Gamma'!AZ47</f>
        <v>0</v>
      </c>
      <c r="G46" s="198" t="n">
        <f aca="false">'Option Gamma'!P47</f>
        <v>0</v>
      </c>
    </row>
    <row r="47" customFormat="false" ht="11.25" hidden="false" customHeight="false" outlineLevel="0" collapsed="false">
      <c r="B47" s="197" t="n">
        <v>38047</v>
      </c>
      <c r="C47" s="198" t="n">
        <f aca="false">'Basis Options'!BT50/10000</f>
        <v>0</v>
      </c>
      <c r="D47" s="199" t="n">
        <f aca="false">'Option Gamma'!AH48</f>
        <v>0</v>
      </c>
      <c r="E47" s="199" t="n">
        <f aca="false">'Option Gamma'!BQ48</f>
        <v>0</v>
      </c>
      <c r="F47" s="199" t="n">
        <f aca="false">'Option Gamma'!AZ48</f>
        <v>0</v>
      </c>
      <c r="G47" s="198" t="n">
        <f aca="false">'Option Gamma'!P48</f>
        <v>0</v>
      </c>
    </row>
    <row r="48" customFormat="false" ht="11.25" hidden="false" customHeight="false" outlineLevel="0" collapsed="false">
      <c r="B48" s="197" t="n">
        <v>38078</v>
      </c>
      <c r="C48" s="198" t="n">
        <f aca="false">'Basis Options'!BT51/10000</f>
        <v>0</v>
      </c>
      <c r="D48" s="199" t="n">
        <f aca="false">'Option Gamma'!AH49</f>
        <v>0</v>
      </c>
      <c r="E48" s="199" t="n">
        <f aca="false">'Option Gamma'!BQ49</f>
        <v>0</v>
      </c>
      <c r="F48" s="199" t="n">
        <f aca="false">'Option Gamma'!AZ49</f>
        <v>0</v>
      </c>
      <c r="G48" s="198" t="n">
        <f aca="false">'Option Gamma'!P49</f>
        <v>0</v>
      </c>
    </row>
    <row r="49" customFormat="false" ht="11.25" hidden="false" customHeight="false" outlineLevel="0" collapsed="false">
      <c r="B49" s="197" t="n">
        <v>38108</v>
      </c>
      <c r="C49" s="198" t="n">
        <f aca="false">'Basis Options'!BT52/10000</f>
        <v>0</v>
      </c>
      <c r="D49" s="199" t="n">
        <f aca="false">'Option Gamma'!AH50</f>
        <v>0</v>
      </c>
      <c r="E49" s="199" t="n">
        <f aca="false">'Option Gamma'!BQ50</f>
        <v>0</v>
      </c>
      <c r="F49" s="199" t="n">
        <f aca="false">'Option Gamma'!AZ50</f>
        <v>0</v>
      </c>
      <c r="G49" s="198" t="n">
        <f aca="false">'Option Gamma'!P50</f>
        <v>0</v>
      </c>
    </row>
    <row r="50" customFormat="false" ht="11.25" hidden="false" customHeight="false" outlineLevel="0" collapsed="false">
      <c r="B50" s="197" t="n">
        <v>38139</v>
      </c>
      <c r="C50" s="198" t="n">
        <f aca="false">'Basis Options'!BT53/10000</f>
        <v>0</v>
      </c>
      <c r="D50" s="199" t="n">
        <f aca="false">'Option Gamma'!AH51</f>
        <v>0</v>
      </c>
      <c r="E50" s="199" t="n">
        <f aca="false">'Option Gamma'!BQ51</f>
        <v>0</v>
      </c>
      <c r="F50" s="199" t="n">
        <f aca="false">'Option Gamma'!AZ51</f>
        <v>0</v>
      </c>
      <c r="G50" s="198" t="n">
        <f aca="false">'Option Gamma'!P51</f>
        <v>0</v>
      </c>
    </row>
    <row r="51" customFormat="false" ht="11.25" hidden="false" customHeight="false" outlineLevel="0" collapsed="false">
      <c r="B51" s="197" t="n">
        <v>38169</v>
      </c>
      <c r="C51" s="198" t="n">
        <f aca="false">'Basis Options'!BT54/10000</f>
        <v>0</v>
      </c>
      <c r="D51" s="199" t="n">
        <f aca="false">'Option Gamma'!AH52</f>
        <v>0</v>
      </c>
      <c r="E51" s="199" t="n">
        <f aca="false">'Option Gamma'!BQ52</f>
        <v>0</v>
      </c>
      <c r="F51" s="199" t="n">
        <f aca="false">'Option Gamma'!AZ52</f>
        <v>0</v>
      </c>
      <c r="G51" s="198" t="n">
        <f aca="false">'Option Gamma'!P52</f>
        <v>0</v>
      </c>
    </row>
    <row r="52" customFormat="false" ht="11.25" hidden="false" customHeight="false" outlineLevel="0" collapsed="false">
      <c r="B52" s="197" t="n">
        <v>38200</v>
      </c>
      <c r="C52" s="198" t="n">
        <f aca="false">'Basis Options'!BT55/10000</f>
        <v>0</v>
      </c>
      <c r="D52" s="199" t="n">
        <f aca="false">'Option Gamma'!AH53</f>
        <v>0</v>
      </c>
      <c r="E52" s="199" t="n">
        <f aca="false">'Option Gamma'!BQ53</f>
        <v>0</v>
      </c>
      <c r="F52" s="199" t="n">
        <f aca="false">'Option Gamma'!AZ53</f>
        <v>0</v>
      </c>
      <c r="G52" s="198" t="n">
        <f aca="false">'Option Gamma'!P53</f>
        <v>0</v>
      </c>
    </row>
    <row r="53" customFormat="false" ht="11.25" hidden="false" customHeight="false" outlineLevel="0" collapsed="false">
      <c r="B53" s="197" t="n">
        <v>38231</v>
      </c>
      <c r="C53" s="198" t="n">
        <f aca="false">'Basis Options'!BT56/10000</f>
        <v>0</v>
      </c>
      <c r="D53" s="199" t="n">
        <f aca="false">'Option Gamma'!AH54</f>
        <v>0</v>
      </c>
      <c r="E53" s="199" t="n">
        <f aca="false">'Option Gamma'!BQ54</f>
        <v>0</v>
      </c>
      <c r="F53" s="199" t="n">
        <f aca="false">'Option Gamma'!AZ54</f>
        <v>0</v>
      </c>
      <c r="G53" s="198" t="n">
        <f aca="false">'Option Gamma'!P54</f>
        <v>0</v>
      </c>
    </row>
    <row r="54" customFormat="false" ht="11.25" hidden="false" customHeight="false" outlineLevel="0" collapsed="false">
      <c r="B54" s="197" t="n">
        <v>38261</v>
      </c>
      <c r="C54" s="198" t="n">
        <f aca="false">'Basis Options'!BT57/10000</f>
        <v>0</v>
      </c>
      <c r="D54" s="199" t="n">
        <f aca="false">'Option Gamma'!AH55</f>
        <v>0</v>
      </c>
      <c r="E54" s="199" t="n">
        <f aca="false">'Option Gamma'!BQ55</f>
        <v>0</v>
      </c>
      <c r="F54" s="199" t="n">
        <f aca="false">'Option Gamma'!AZ55</f>
        <v>0</v>
      </c>
      <c r="G54" s="198" t="n">
        <f aca="false">'Option Gamma'!P55</f>
        <v>0</v>
      </c>
    </row>
    <row r="55" customFormat="false" ht="11.25" hidden="false" customHeight="false" outlineLevel="0" collapsed="false">
      <c r="B55" s="197" t="n">
        <v>38292</v>
      </c>
      <c r="C55" s="198" t="n">
        <f aca="false">'Basis Options'!BT58/10000</f>
        <v>0</v>
      </c>
      <c r="D55" s="199" t="n">
        <f aca="false">'Option Gamma'!AH56</f>
        <v>0</v>
      </c>
      <c r="E55" s="199" t="n">
        <f aca="false">'Option Gamma'!BQ56</f>
        <v>0</v>
      </c>
      <c r="F55" s="199" t="n">
        <f aca="false">'Option Gamma'!AZ56</f>
        <v>0</v>
      </c>
      <c r="G55" s="198" t="n">
        <f aca="false">'Option Gamma'!P56</f>
        <v>0</v>
      </c>
    </row>
    <row r="56" customFormat="false" ht="11.25" hidden="false" customHeight="false" outlineLevel="0" collapsed="false">
      <c r="B56" s="197" t="n">
        <v>38322</v>
      </c>
      <c r="C56" s="198" t="n">
        <f aca="false">'Basis Options'!BT59/10000</f>
        <v>0</v>
      </c>
      <c r="D56" s="199" t="n">
        <f aca="false">'Option Gamma'!AH57</f>
        <v>0</v>
      </c>
      <c r="E56" s="199" t="n">
        <f aca="false">'Option Gamma'!BQ57</f>
        <v>0</v>
      </c>
      <c r="F56" s="199" t="n">
        <f aca="false">'Option Gamma'!AZ57</f>
        <v>0</v>
      </c>
      <c r="G56" s="198" t="n">
        <f aca="false">'Option Gamma'!P57</f>
        <v>0</v>
      </c>
    </row>
    <row r="57" customFormat="false" ht="11.25" hidden="false" customHeight="false" outlineLevel="0" collapsed="false">
      <c r="B57" s="197" t="n">
        <v>38353</v>
      </c>
    </row>
    <row r="58" customFormat="false" ht="11.25" hidden="false" customHeight="false" outlineLevel="0" collapsed="false">
      <c r="B58" s="197" t="n">
        <v>38384</v>
      </c>
    </row>
    <row r="59" customFormat="false" ht="11.25" hidden="false" customHeight="false" outlineLevel="0" collapsed="false">
      <c r="B59" s="197" t="n">
        <v>38412</v>
      </c>
    </row>
    <row r="60" customFormat="false" ht="11.25" hidden="false" customHeight="false" outlineLevel="0" collapsed="false">
      <c r="B60" s="197" t="n">
        <v>38443</v>
      </c>
    </row>
    <row r="61" customFormat="false" ht="11.25" hidden="false" customHeight="false" outlineLevel="0" collapsed="false">
      <c r="B61" s="197" t="n">
        <v>38473</v>
      </c>
    </row>
    <row r="62" customFormat="false" ht="11.25" hidden="false" customHeight="false" outlineLevel="0" collapsed="false">
      <c r="B62" s="197" t="n">
        <v>38504</v>
      </c>
    </row>
    <row r="63" customFormat="false" ht="11.25" hidden="false" customHeight="false" outlineLevel="0" collapsed="false">
      <c r="B63" s="197" t="n">
        <v>38534</v>
      </c>
    </row>
    <row r="64" customFormat="false" ht="11.25" hidden="false" customHeight="false" outlineLevel="0" collapsed="false">
      <c r="B64" s="197" t="n">
        <v>38565</v>
      </c>
    </row>
    <row r="65" customFormat="false" ht="11.25" hidden="false" customHeight="false" outlineLevel="0" collapsed="false">
      <c r="B65" s="197" t="n">
        <v>38596</v>
      </c>
    </row>
    <row r="66" customFormat="false" ht="11.25" hidden="false" customHeight="false" outlineLevel="0" collapsed="false">
      <c r="B66" s="197" t="n">
        <v>38626</v>
      </c>
    </row>
    <row r="67" customFormat="false" ht="11.25" hidden="false" customHeight="false" outlineLevel="0" collapsed="false">
      <c r="B67" s="197" t="n">
        <v>38657</v>
      </c>
    </row>
    <row r="68" customFormat="false" ht="11.25" hidden="false" customHeight="false" outlineLevel="0" collapsed="false">
      <c r="B68" s="197" t="n">
        <v>38687</v>
      </c>
    </row>
    <row r="69" customFormat="false" ht="11.25" hidden="false" customHeight="false" outlineLevel="0" collapsed="false">
      <c r="B69" s="197" t="n">
        <v>38718</v>
      </c>
    </row>
    <row r="70" customFormat="false" ht="11.25" hidden="false" customHeight="false" outlineLevel="0" collapsed="false">
      <c r="B70" s="197" t="n">
        <v>38749</v>
      </c>
    </row>
    <row r="71" customFormat="false" ht="11.25" hidden="false" customHeight="false" outlineLevel="0" collapsed="false">
      <c r="B71" s="197" t="n">
        <v>38777</v>
      </c>
    </row>
    <row r="72" customFormat="false" ht="11.25" hidden="false" customHeight="false" outlineLevel="0" collapsed="false">
      <c r="B72" s="197" t="n">
        <v>38808</v>
      </c>
    </row>
    <row r="73" customFormat="false" ht="11.25" hidden="false" customHeight="false" outlineLevel="0" collapsed="false">
      <c r="B73" s="197" t="n">
        <v>38838</v>
      </c>
    </row>
    <row r="74" customFormat="false" ht="11.25" hidden="false" customHeight="false" outlineLevel="0" collapsed="false">
      <c r="B74" s="197" t="n">
        <v>38869</v>
      </c>
    </row>
    <row r="75" customFormat="false" ht="11.25" hidden="false" customHeight="false" outlineLevel="0" collapsed="false">
      <c r="B75" s="197" t="n">
        <v>38899</v>
      </c>
    </row>
    <row r="76" customFormat="false" ht="11.25" hidden="false" customHeight="false" outlineLevel="0" collapsed="false">
      <c r="B76" s="197" t="n">
        <v>38930</v>
      </c>
    </row>
    <row r="77" customFormat="false" ht="11.25" hidden="false" customHeight="false" outlineLevel="0" collapsed="false">
      <c r="B77" s="197" t="n">
        <v>38961</v>
      </c>
    </row>
    <row r="78" customFormat="false" ht="11.25" hidden="false" customHeight="false" outlineLevel="0" collapsed="false">
      <c r="B78" s="197" t="n">
        <v>38991</v>
      </c>
    </row>
    <row r="79" customFormat="false" ht="11.25" hidden="false" customHeight="false" outlineLevel="0" collapsed="false">
      <c r="B79" s="197" t="n">
        <v>39022</v>
      </c>
    </row>
    <row r="80" customFormat="false" ht="11.25" hidden="false" customHeight="false" outlineLevel="0" collapsed="false">
      <c r="B80" s="197" t="n">
        <v>39052</v>
      </c>
    </row>
    <row r="81" customFormat="false" ht="11.25" hidden="false" customHeight="false" outlineLevel="0" collapsed="false">
      <c r="B81" s="197" t="n">
        <v>39083</v>
      </c>
    </row>
    <row r="82" customFormat="false" ht="11.25" hidden="false" customHeight="false" outlineLevel="0" collapsed="false">
      <c r="B82" s="197" t="n">
        <v>39114</v>
      </c>
    </row>
    <row r="83" customFormat="false" ht="11.25" hidden="false" customHeight="false" outlineLevel="0" collapsed="false">
      <c r="B83" s="197" t="n">
        <v>39142</v>
      </c>
    </row>
    <row r="84" customFormat="false" ht="11.25" hidden="false" customHeight="false" outlineLevel="0" collapsed="false">
      <c r="B84" s="197" t="n">
        <v>39173</v>
      </c>
    </row>
    <row r="85" customFormat="false" ht="11.25" hidden="false" customHeight="false" outlineLevel="0" collapsed="false">
      <c r="B85" s="197" t="n">
        <v>39203</v>
      </c>
    </row>
    <row r="86" customFormat="false" ht="11.25" hidden="false" customHeight="false" outlineLevel="0" collapsed="false">
      <c r="B86" s="197" t="n">
        <v>39234</v>
      </c>
    </row>
    <row r="87" customFormat="false" ht="11.25" hidden="false" customHeight="false" outlineLevel="0" collapsed="false">
      <c r="B87" s="197" t="n">
        <v>39264</v>
      </c>
    </row>
    <row r="88" customFormat="false" ht="11.25" hidden="false" customHeight="false" outlineLevel="0" collapsed="false">
      <c r="B88" s="197" t="n">
        <v>39295</v>
      </c>
    </row>
    <row r="89" customFormat="false" ht="11.25" hidden="false" customHeight="false" outlineLevel="0" collapsed="false">
      <c r="B89" s="197" t="n">
        <v>39326</v>
      </c>
    </row>
    <row r="90" customFormat="false" ht="11.25" hidden="false" customHeight="false" outlineLevel="0" collapsed="false">
      <c r="B90" s="197" t="n">
        <v>39356</v>
      </c>
    </row>
    <row r="91" customFormat="false" ht="11.25" hidden="false" customHeight="false" outlineLevel="0" collapsed="false">
      <c r="B91" s="197" t="n">
        <v>39387</v>
      </c>
    </row>
    <row r="92" customFormat="false" ht="11.25" hidden="false" customHeight="false" outlineLevel="0" collapsed="false">
      <c r="B92" s="197" t="n">
        <v>39417</v>
      </c>
    </row>
    <row r="93" customFormat="false" ht="11.25" hidden="false" customHeight="false" outlineLevel="0" collapsed="false">
      <c r="B93" s="197" t="n">
        <v>39448</v>
      </c>
    </row>
    <row r="94" customFormat="false" ht="11.25" hidden="false" customHeight="false" outlineLevel="0" collapsed="false">
      <c r="B94" s="197" t="n">
        <v>39479</v>
      </c>
    </row>
    <row r="95" customFormat="false" ht="11.25" hidden="false" customHeight="false" outlineLevel="0" collapsed="false">
      <c r="B95" s="197" t="n">
        <v>39508</v>
      </c>
    </row>
    <row r="96" customFormat="false" ht="11.25" hidden="false" customHeight="false" outlineLevel="0" collapsed="false">
      <c r="B96" s="197" t="n">
        <v>39539</v>
      </c>
    </row>
    <row r="97" customFormat="false" ht="11.25" hidden="false" customHeight="false" outlineLevel="0" collapsed="false">
      <c r="B97" s="197" t="n">
        <v>39569</v>
      </c>
    </row>
    <row r="98" customFormat="false" ht="11.25" hidden="false" customHeight="false" outlineLevel="0" collapsed="false">
      <c r="B98" s="197" t="n">
        <v>39600</v>
      </c>
    </row>
    <row r="99" customFormat="false" ht="11.25" hidden="false" customHeight="false" outlineLevel="0" collapsed="false">
      <c r="B99" s="197" t="n">
        <v>39630</v>
      </c>
    </row>
    <row r="100" customFormat="false" ht="11.25" hidden="false" customHeight="false" outlineLevel="0" collapsed="false">
      <c r="B100" s="197" t="n">
        <v>39661</v>
      </c>
    </row>
    <row r="101" customFormat="false" ht="11.25" hidden="false" customHeight="false" outlineLevel="0" collapsed="false">
      <c r="B101" s="197" t="n">
        <v>39692</v>
      </c>
    </row>
    <row r="102" customFormat="false" ht="11.25" hidden="false" customHeight="false" outlineLevel="0" collapsed="false">
      <c r="B102" s="197" t="n">
        <v>39722</v>
      </c>
    </row>
    <row r="103" customFormat="false" ht="11.25" hidden="false" customHeight="false" outlineLevel="0" collapsed="false">
      <c r="B103" s="197" t="n">
        <v>39753</v>
      </c>
    </row>
    <row r="104" customFormat="false" ht="11.25" hidden="false" customHeight="false" outlineLevel="0" collapsed="false">
      <c r="B104" s="197" t="n">
        <v>39783</v>
      </c>
    </row>
    <row r="105" customFormat="false" ht="11.25" hidden="false" customHeight="false" outlineLevel="0" collapsed="false">
      <c r="B105" s="197" t="n">
        <v>39814</v>
      </c>
    </row>
    <row r="106" customFormat="false" ht="11.25" hidden="false" customHeight="false" outlineLevel="0" collapsed="false">
      <c r="B106" s="197" t="n">
        <v>39845</v>
      </c>
    </row>
    <row r="107" customFormat="false" ht="11.25" hidden="false" customHeight="false" outlineLevel="0" collapsed="false">
      <c r="B107" s="197" t="n">
        <v>39873</v>
      </c>
    </row>
    <row r="108" customFormat="false" ht="11.25" hidden="false" customHeight="false" outlineLevel="0" collapsed="false">
      <c r="B108" s="197" t="n">
        <v>39904</v>
      </c>
    </row>
    <row r="109" customFormat="false" ht="11.25" hidden="false" customHeight="false" outlineLevel="0" collapsed="false">
      <c r="B109" s="197" t="n">
        <v>39934</v>
      </c>
    </row>
    <row r="110" customFormat="false" ht="11.25" hidden="false" customHeight="false" outlineLevel="0" collapsed="false">
      <c r="B110" s="197" t="n">
        <v>39965</v>
      </c>
    </row>
    <row r="111" customFormat="false" ht="11.25" hidden="false" customHeight="false" outlineLevel="0" collapsed="false">
      <c r="B111" s="197" t="n">
        <v>39995</v>
      </c>
    </row>
    <row r="112" customFormat="false" ht="11.25" hidden="false" customHeight="false" outlineLevel="0" collapsed="false">
      <c r="B112" s="197" t="n">
        <v>40026</v>
      </c>
    </row>
    <row r="113" customFormat="false" ht="11.25" hidden="false" customHeight="false" outlineLevel="0" collapsed="false">
      <c r="B113" s="197" t="n">
        <v>40057</v>
      </c>
    </row>
    <row r="114" customFormat="false" ht="11.25" hidden="false" customHeight="false" outlineLevel="0" collapsed="false">
      <c r="B114" s="197" t="n">
        <v>40087</v>
      </c>
    </row>
    <row r="115" customFormat="false" ht="11.25" hidden="false" customHeight="false" outlineLevel="0" collapsed="false">
      <c r="B115" s="197" t="n">
        <v>40118</v>
      </c>
    </row>
    <row r="116" customFormat="false" ht="11.25" hidden="false" customHeight="false" outlineLevel="0" collapsed="false">
      <c r="B116" s="197" t="n">
        <v>40148</v>
      </c>
    </row>
    <row r="117" customFormat="false" ht="11.25" hidden="false" customHeight="false" outlineLevel="0" collapsed="false">
      <c r="B117" s="197" t="n">
        <v>40179</v>
      </c>
    </row>
    <row r="118" customFormat="false" ht="11.25" hidden="false" customHeight="false" outlineLevel="0" collapsed="false">
      <c r="B118" s="197" t="n">
        <v>40210</v>
      </c>
    </row>
    <row r="119" customFormat="false" ht="11.25" hidden="false" customHeight="false" outlineLevel="0" collapsed="false">
      <c r="B119" s="197" t="n">
        <v>40238</v>
      </c>
    </row>
    <row r="120" customFormat="false" ht="11.25" hidden="false" customHeight="false" outlineLevel="0" collapsed="false">
      <c r="B120" s="197" t="n">
        <v>40269</v>
      </c>
    </row>
    <row r="121" customFormat="false" ht="11.25" hidden="false" customHeight="false" outlineLevel="0" collapsed="false">
      <c r="B121" s="197" t="n">
        <v>40299</v>
      </c>
    </row>
    <row r="122" customFormat="false" ht="11.25" hidden="false" customHeight="false" outlineLevel="0" collapsed="false">
      <c r="B122" s="197" t="n">
        <v>40330</v>
      </c>
    </row>
    <row r="123" customFormat="false" ht="11.25" hidden="false" customHeight="false" outlineLevel="0" collapsed="false">
      <c r="B123" s="197" t="n">
        <v>40360</v>
      </c>
    </row>
    <row r="124" customFormat="false" ht="11.25" hidden="false" customHeight="false" outlineLevel="0" collapsed="false">
      <c r="B124" s="197" t="n">
        <v>40391</v>
      </c>
    </row>
    <row r="125" customFormat="false" ht="11.25" hidden="false" customHeight="false" outlineLevel="0" collapsed="false">
      <c r="B125" s="197" t="n">
        <v>40422</v>
      </c>
    </row>
    <row r="126" customFormat="false" ht="11.25" hidden="false" customHeight="false" outlineLevel="0" collapsed="false">
      <c r="B126" s="197" t="n">
        <v>40452</v>
      </c>
    </row>
    <row r="127" customFormat="false" ht="11.25" hidden="false" customHeight="false" outlineLevel="0" collapsed="false">
      <c r="B127" s="197" t="n">
        <v>40483</v>
      </c>
    </row>
    <row r="128" customFormat="false" ht="11.25" hidden="false" customHeight="false" outlineLevel="0" collapsed="false">
      <c r="B128" s="197" t="n">
        <v>40513</v>
      </c>
    </row>
    <row r="129" customFormat="false" ht="11.25" hidden="false" customHeight="false" outlineLevel="0" collapsed="false">
      <c r="B129" s="197" t="n">
        <v>40544</v>
      </c>
    </row>
    <row r="130" customFormat="false" ht="11.25" hidden="false" customHeight="false" outlineLevel="0" collapsed="false">
      <c r="B130" s="197" t="n">
        <v>40575</v>
      </c>
    </row>
    <row r="131" customFormat="false" ht="11.25" hidden="false" customHeight="false" outlineLevel="0" collapsed="false">
      <c r="B131" s="197" t="n">
        <v>40603</v>
      </c>
    </row>
    <row r="132" customFormat="false" ht="11.25" hidden="false" customHeight="false" outlineLevel="0" collapsed="false">
      <c r="B132" s="197" t="n">
        <v>40634</v>
      </c>
    </row>
    <row r="133" customFormat="false" ht="11.25" hidden="false" customHeight="false" outlineLevel="0" collapsed="false">
      <c r="B133" s="197" t="n">
        <v>40664</v>
      </c>
    </row>
    <row r="134" customFormat="false" ht="11.25" hidden="false" customHeight="false" outlineLevel="0" collapsed="false">
      <c r="B134" s="197" t="n">
        <v>40695</v>
      </c>
    </row>
    <row r="135" customFormat="false" ht="11.25" hidden="false" customHeight="false" outlineLevel="0" collapsed="false">
      <c r="B135" s="197" t="n">
        <v>40725</v>
      </c>
    </row>
    <row r="136" customFormat="false" ht="11.25" hidden="false" customHeight="false" outlineLevel="0" collapsed="false">
      <c r="B136" s="197" t="n">
        <v>40756</v>
      </c>
    </row>
    <row r="137" customFormat="false" ht="11.25" hidden="false" customHeight="false" outlineLevel="0" collapsed="false">
      <c r="B137" s="197" t="n">
        <v>40787</v>
      </c>
    </row>
    <row r="138" customFormat="false" ht="11.25" hidden="false" customHeight="false" outlineLevel="0" collapsed="false">
      <c r="B138" s="197" t="n">
        <v>40817</v>
      </c>
    </row>
    <row r="139" customFormat="false" ht="11.25" hidden="false" customHeight="false" outlineLevel="0" collapsed="false">
      <c r="B139" s="197" t="n">
        <v>40848</v>
      </c>
    </row>
    <row r="140" customFormat="false" ht="11.25" hidden="false" customHeight="false" outlineLevel="0" collapsed="false">
      <c r="B140" s="197" t="n">
        <v>40878</v>
      </c>
    </row>
    <row r="141" customFormat="false" ht="11.25" hidden="false" customHeight="false" outlineLevel="0" collapsed="false">
      <c r="B141" s="197" t="n">
        <v>40909</v>
      </c>
    </row>
    <row r="142" customFormat="false" ht="11.25" hidden="false" customHeight="false" outlineLevel="0" collapsed="false">
      <c r="B142" s="197" t="n">
        <v>40940</v>
      </c>
    </row>
    <row r="143" customFormat="false" ht="11.25" hidden="false" customHeight="false" outlineLevel="0" collapsed="false">
      <c r="B143" s="197" t="n">
        <v>40969</v>
      </c>
    </row>
    <row r="144" customFormat="false" ht="11.25" hidden="false" customHeight="false" outlineLevel="0" collapsed="false">
      <c r="B144" s="197" t="n">
        <v>41000</v>
      </c>
    </row>
    <row r="145" customFormat="false" ht="11.25" hidden="false" customHeight="false" outlineLevel="0" collapsed="false">
      <c r="B145" s="197" t="n">
        <v>41030</v>
      </c>
    </row>
    <row r="146" customFormat="false" ht="11.25" hidden="false" customHeight="false" outlineLevel="0" collapsed="false">
      <c r="B146" s="197" t="n">
        <v>41061</v>
      </c>
    </row>
    <row r="147" customFormat="false" ht="11.25" hidden="false" customHeight="false" outlineLevel="0" collapsed="false">
      <c r="B147" s="197" t="n">
        <v>41091</v>
      </c>
    </row>
    <row r="148" customFormat="false" ht="11.25" hidden="false" customHeight="false" outlineLevel="0" collapsed="false">
      <c r="B148" s="197" t="n">
        <v>41122</v>
      </c>
    </row>
    <row r="149" customFormat="false" ht="11.25" hidden="false" customHeight="false" outlineLevel="0" collapsed="false">
      <c r="B149" s="197" t="n">
        <v>41153</v>
      </c>
    </row>
    <row r="150" customFormat="false" ht="11.25" hidden="false" customHeight="false" outlineLevel="0" collapsed="false">
      <c r="B150" s="197" t="n">
        <v>41183</v>
      </c>
    </row>
    <row r="151" customFormat="false" ht="11.25" hidden="false" customHeight="false" outlineLevel="0" collapsed="false">
      <c r="B151" s="197" t="n">
        <v>41214</v>
      </c>
    </row>
    <row r="152" customFormat="false" ht="11.25" hidden="false" customHeight="false" outlineLevel="0" collapsed="false">
      <c r="B152" s="197" t="n">
        <v>41244</v>
      </c>
    </row>
    <row r="153" customFormat="false" ht="11.25" hidden="false" customHeight="false" outlineLevel="0" collapsed="false">
      <c r="B153" s="197" t="n">
        <v>41275</v>
      </c>
    </row>
    <row r="154" customFormat="false" ht="11.25" hidden="false" customHeight="false" outlineLevel="0" collapsed="false">
      <c r="B154" s="197" t="n">
        <v>41306</v>
      </c>
    </row>
    <row r="155" customFormat="false" ht="11.25" hidden="false" customHeight="false" outlineLevel="0" collapsed="false">
      <c r="B155" s="197" t="n">
        <v>41334</v>
      </c>
    </row>
    <row r="156" customFormat="false" ht="11.25" hidden="false" customHeight="false" outlineLevel="0" collapsed="false">
      <c r="B156" s="197" t="n">
        <v>41365</v>
      </c>
    </row>
    <row r="157" customFormat="false" ht="11.25" hidden="false" customHeight="false" outlineLevel="0" collapsed="false">
      <c r="B157" s="197" t="n">
        <v>41395</v>
      </c>
    </row>
    <row r="158" customFormat="false" ht="11.25" hidden="false" customHeight="false" outlineLevel="0" collapsed="false">
      <c r="B158" s="197" t="n">
        <v>41426</v>
      </c>
    </row>
    <row r="159" customFormat="false" ht="11.25" hidden="false" customHeight="false" outlineLevel="0" collapsed="false">
      <c r="B159" s="197" t="n">
        <v>41456</v>
      </c>
    </row>
    <row r="160" customFormat="false" ht="11.25" hidden="false" customHeight="false" outlineLevel="0" collapsed="false">
      <c r="B160" s="197" t="n">
        <v>41487</v>
      </c>
    </row>
    <row r="161" customFormat="false" ht="11.25" hidden="false" customHeight="false" outlineLevel="0" collapsed="false">
      <c r="B161" s="197" t="n">
        <v>41518</v>
      </c>
    </row>
    <row r="162" customFormat="false" ht="11.25" hidden="false" customHeight="false" outlineLevel="0" collapsed="false">
      <c r="B162" s="197" t="n">
        <v>41548</v>
      </c>
    </row>
    <row r="163" customFormat="false" ht="11.25" hidden="false" customHeight="false" outlineLevel="0" collapsed="false">
      <c r="B163" s="197" t="n">
        <v>41579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H16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56"/>
    <col collapsed="false" customWidth="true" hidden="false" outlineLevel="0" max="2" min="2" style="0" width="14.7"/>
    <col collapsed="false" customWidth="true" hidden="false" outlineLevel="0" max="3" min="3" style="0" width="15.99"/>
    <col collapsed="false" customWidth="true" hidden="false" outlineLevel="0" max="4" min="4" style="0" width="18.56"/>
    <col collapsed="false" customWidth="true" hidden="false" outlineLevel="0" max="5" min="5" style="0" width="13.41"/>
    <col collapsed="false" customWidth="true" hidden="false" outlineLevel="0" max="6" min="6" style="0" width="15.99"/>
    <col collapsed="false" customWidth="true" hidden="false" outlineLevel="0" max="7" min="7" style="0" width="10.99"/>
    <col collapsed="false" customWidth="true" hidden="false" outlineLevel="0" max="8" min="8" style="0" width="12.28"/>
    <col collapsed="false" customWidth="true" hidden="false" outlineLevel="0" max="9" min="9" style="0" width="10.28"/>
    <col collapsed="false" customWidth="true" hidden="false" outlineLevel="0" max="14" min="10" style="0" width="12.28"/>
    <col collapsed="false" customWidth="true" hidden="false" outlineLevel="0" max="15" min="15" style="0" width="13.56"/>
    <col collapsed="false" customWidth="true" hidden="false" outlineLevel="0" max="19" min="19" style="0" width="13.56"/>
    <col collapsed="false" customWidth="true" hidden="false" outlineLevel="0" max="20" min="20" style="0" width="14.7"/>
    <col collapsed="false" customWidth="true" hidden="false" outlineLevel="0" max="21" min="21" style="0" width="15.99"/>
    <col collapsed="false" customWidth="true" hidden="false" outlineLevel="0" max="22" min="22" style="0" width="18.56"/>
    <col collapsed="false" customWidth="true" hidden="false" outlineLevel="0" max="23" min="23" style="0" width="13.85"/>
    <col collapsed="false" customWidth="true" hidden="false" outlineLevel="0" max="24" min="24" style="0" width="15.99"/>
    <col collapsed="false" customWidth="true" hidden="false" outlineLevel="0" max="25" min="25" style="0" width="10.99"/>
    <col collapsed="false" customWidth="true" hidden="false" outlineLevel="0" max="26" min="26" style="0" width="12.28"/>
    <col collapsed="false" customWidth="true" hidden="false" outlineLevel="0" max="32" min="31" style="0" width="12.28"/>
    <col collapsed="false" customWidth="true" hidden="false" outlineLevel="0" max="33" min="33" style="0" width="13.56"/>
    <col collapsed="false" customWidth="true" hidden="false" outlineLevel="0" max="37" min="37" style="0" width="13.56"/>
    <col collapsed="false" customWidth="true" hidden="false" outlineLevel="0" max="38" min="38" style="0" width="14.7"/>
    <col collapsed="false" customWidth="true" hidden="false" outlineLevel="0" max="39" min="39" style="0" width="15.99"/>
    <col collapsed="false" customWidth="true" hidden="false" outlineLevel="0" max="40" min="40" style="0" width="18.56"/>
    <col collapsed="false" customWidth="true" hidden="false" outlineLevel="0" max="41" min="41" style="0" width="13.85"/>
    <col collapsed="false" customWidth="true" hidden="false" outlineLevel="0" max="42" min="42" style="0" width="15.99"/>
    <col collapsed="false" customWidth="true" hidden="false" outlineLevel="0" max="43" min="43" style="0" width="10.99"/>
    <col collapsed="false" customWidth="true" hidden="false" outlineLevel="0" max="44" min="44" style="0" width="12.28"/>
    <col collapsed="false" customWidth="true" hidden="false" outlineLevel="0" max="50" min="49" style="0" width="12.28"/>
    <col collapsed="false" customWidth="true" hidden="false" outlineLevel="0" max="51" min="51" style="0" width="13.56"/>
    <col collapsed="false" customWidth="true" hidden="false" outlineLevel="0" max="54" min="54" style="0" width="12.7"/>
    <col collapsed="false" customWidth="true" hidden="false" outlineLevel="0" max="66" min="66" style="0" width="10.85"/>
    <col collapsed="false" customWidth="true" hidden="false" outlineLevel="0" max="68" min="68" style="0" width="11.7"/>
    <col collapsed="false" customWidth="true" hidden="false" outlineLevel="0" max="71" min="71" style="0" width="12.7"/>
    <col collapsed="false" customWidth="true" hidden="false" outlineLevel="0" max="85" min="85" style="0" width="12.14"/>
  </cols>
  <sheetData>
    <row r="1" customFormat="false" ht="13.5" hidden="false" customHeight="false" outlineLevel="0" collapsed="false"/>
    <row r="2" customFormat="false" ht="15.75" hidden="false" customHeight="false" outlineLevel="0" collapsed="false">
      <c r="A2" s="201" t="s">
        <v>35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91" t="s">
        <v>36</v>
      </c>
      <c r="P2" s="91"/>
      <c r="S2" s="201" t="s">
        <v>35</v>
      </c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91" t="s">
        <v>36</v>
      </c>
      <c r="AH2" s="91"/>
      <c r="AK2" s="201" t="s">
        <v>35</v>
      </c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91" t="s">
        <v>36</v>
      </c>
      <c r="AZ2" s="91"/>
      <c r="BB2" s="201" t="s">
        <v>35</v>
      </c>
      <c r="BC2" s="201"/>
      <c r="BD2" s="201"/>
      <c r="BE2" s="201"/>
      <c r="BF2" s="201"/>
      <c r="BG2" s="201"/>
      <c r="BH2" s="201"/>
      <c r="BI2" s="201"/>
      <c r="BJ2" s="201"/>
      <c r="BK2" s="201"/>
      <c r="BL2" s="201"/>
      <c r="BM2" s="201"/>
      <c r="BN2" s="201"/>
      <c r="BO2" s="201"/>
      <c r="BP2" s="91" t="s">
        <v>36</v>
      </c>
      <c r="BQ2" s="91"/>
      <c r="BS2" s="201" t="s">
        <v>35</v>
      </c>
      <c r="BT2" s="201"/>
      <c r="BU2" s="201"/>
      <c r="BV2" s="201"/>
      <c r="BW2" s="201"/>
      <c r="BX2" s="201"/>
      <c r="BY2" s="201"/>
      <c r="BZ2" s="201"/>
      <c r="CA2" s="201"/>
      <c r="CB2" s="201"/>
      <c r="CC2" s="201"/>
      <c r="CD2" s="201"/>
      <c r="CE2" s="201"/>
      <c r="CF2" s="201"/>
      <c r="CG2" s="91" t="s">
        <v>36</v>
      </c>
      <c r="CH2" s="91"/>
    </row>
    <row r="3" customFormat="false" ht="14.25" hidden="false" customHeight="false" outlineLevel="0" collapsed="false">
      <c r="A3" s="97" t="s">
        <v>18</v>
      </c>
      <c r="B3" s="202"/>
      <c r="C3" s="203"/>
      <c r="D3" s="203"/>
      <c r="E3" s="203" t="s">
        <v>143</v>
      </c>
      <c r="F3" s="203" t="s">
        <v>145</v>
      </c>
      <c r="G3" s="204" t="n">
        <f aca="false">'Basis Options'!$AB$5</f>
        <v>0</v>
      </c>
      <c r="H3" s="203" t="s">
        <v>146</v>
      </c>
      <c r="I3" s="205" t="n">
        <f aca="false">'Basis Options'!$AB$4</f>
        <v>36697</v>
      </c>
      <c r="J3" s="203"/>
      <c r="K3" s="203"/>
      <c r="L3" s="203"/>
      <c r="M3" s="203"/>
      <c r="N3" s="203"/>
      <c r="O3" s="97" t="s">
        <v>18</v>
      </c>
      <c r="P3" s="175" t="s">
        <v>48</v>
      </c>
      <c r="S3" s="97" t="s">
        <v>18</v>
      </c>
      <c r="T3" s="202"/>
      <c r="U3" s="203"/>
      <c r="V3" s="203"/>
      <c r="W3" s="203" t="s">
        <v>147</v>
      </c>
      <c r="X3" s="203" t="s">
        <v>145</v>
      </c>
      <c r="Y3" s="204" t="n">
        <f aca="false">'Basis Options'!$AB$5</f>
        <v>0</v>
      </c>
      <c r="Z3" s="203" t="s">
        <v>146</v>
      </c>
      <c r="AA3" s="205" t="n">
        <f aca="false">'Basis Options'!$AB$4</f>
        <v>36697</v>
      </c>
      <c r="AB3" s="205"/>
      <c r="AC3" s="205"/>
      <c r="AD3" s="205"/>
      <c r="AE3" s="203"/>
      <c r="AF3" s="203"/>
      <c r="AG3" s="97" t="s">
        <v>18</v>
      </c>
      <c r="AH3" s="175" t="s">
        <v>48</v>
      </c>
      <c r="AK3" s="97" t="s">
        <v>18</v>
      </c>
      <c r="AL3" s="202"/>
      <c r="AM3" s="203"/>
      <c r="AN3" s="203"/>
      <c r="AO3" s="203" t="s">
        <v>148</v>
      </c>
      <c r="AP3" s="203" t="s">
        <v>145</v>
      </c>
      <c r="AQ3" s="204" t="n">
        <f aca="false">'Basis Options'!$AB$5</f>
        <v>0</v>
      </c>
      <c r="AR3" s="203" t="s">
        <v>146</v>
      </c>
      <c r="AS3" s="205" t="n">
        <f aca="false">'Basis Options'!$AB$4</f>
        <v>36697</v>
      </c>
      <c r="AT3" s="205"/>
      <c r="AU3" s="205"/>
      <c r="AV3" s="205"/>
      <c r="AW3" s="203"/>
      <c r="AX3" s="203"/>
      <c r="AY3" s="97" t="s">
        <v>18</v>
      </c>
      <c r="AZ3" s="175" t="s">
        <v>48</v>
      </c>
      <c r="BB3" s="97" t="s">
        <v>18</v>
      </c>
      <c r="BC3" s="202"/>
      <c r="BD3" s="203"/>
      <c r="BE3" s="203"/>
      <c r="BF3" s="203" t="s">
        <v>141</v>
      </c>
      <c r="BG3" s="203"/>
      <c r="BH3" s="204" t="n">
        <f aca="false">'Basis Options'!$AB$5</f>
        <v>0</v>
      </c>
      <c r="BI3" s="203" t="s">
        <v>146</v>
      </c>
      <c r="BJ3" s="205" t="n">
        <f aca="false">'Basis Options'!$AB$4</f>
        <v>36697</v>
      </c>
      <c r="BK3" s="205"/>
      <c r="BL3" s="205"/>
      <c r="BM3" s="205"/>
      <c r="BN3" s="203"/>
      <c r="BO3" s="203"/>
      <c r="BP3" s="97" t="s">
        <v>18</v>
      </c>
      <c r="BQ3" s="175" t="s">
        <v>48</v>
      </c>
      <c r="BS3" s="97" t="s">
        <v>18</v>
      </c>
      <c r="BT3" s="202"/>
      <c r="BU3" s="203"/>
      <c r="BV3" s="203"/>
      <c r="BW3" s="203" t="s">
        <v>144</v>
      </c>
      <c r="BX3" s="203"/>
      <c r="BY3" s="204" t="n">
        <f aca="false">'Basis Options'!$AB$5</f>
        <v>0</v>
      </c>
      <c r="BZ3" s="203" t="s">
        <v>146</v>
      </c>
      <c r="CA3" s="205" t="n">
        <f aca="false">'Basis Options'!$AB$4</f>
        <v>36697</v>
      </c>
      <c r="CB3" s="205"/>
      <c r="CC3" s="205"/>
      <c r="CD3" s="205"/>
      <c r="CE3" s="203"/>
      <c r="CF3" s="203"/>
      <c r="CG3" s="97" t="s">
        <v>18</v>
      </c>
      <c r="CH3" s="175" t="s">
        <v>48</v>
      </c>
    </row>
    <row r="4" customFormat="false" ht="14.25" hidden="false" customHeight="false" outlineLevel="0" collapsed="false">
      <c r="A4" s="109"/>
      <c r="B4" s="110" t="s">
        <v>149</v>
      </c>
      <c r="C4" s="111" t="s">
        <v>150</v>
      </c>
      <c r="D4" s="111" t="s">
        <v>151</v>
      </c>
      <c r="E4" s="111" t="s">
        <v>152</v>
      </c>
      <c r="F4" s="111" t="s">
        <v>74</v>
      </c>
      <c r="G4" s="111" t="s">
        <v>137</v>
      </c>
      <c r="H4" s="111" t="s">
        <v>153</v>
      </c>
      <c r="I4" s="111" t="s">
        <v>154</v>
      </c>
      <c r="J4" s="111" t="s">
        <v>155</v>
      </c>
      <c r="K4" s="111" t="s">
        <v>68</v>
      </c>
      <c r="L4" s="111" t="s">
        <v>156</v>
      </c>
      <c r="M4" s="111" t="s">
        <v>157</v>
      </c>
      <c r="N4" s="111" t="s">
        <v>158</v>
      </c>
      <c r="O4" s="109"/>
      <c r="P4" s="206"/>
      <c r="S4" s="109"/>
      <c r="T4" s="110" t="s">
        <v>149</v>
      </c>
      <c r="U4" s="111" t="s">
        <v>150</v>
      </c>
      <c r="V4" s="111" t="s">
        <v>151</v>
      </c>
      <c r="W4" s="111" t="s">
        <v>152</v>
      </c>
      <c r="X4" s="111" t="s">
        <v>74</v>
      </c>
      <c r="Y4" s="111" t="s">
        <v>137</v>
      </c>
      <c r="Z4" s="111" t="s">
        <v>153</v>
      </c>
      <c r="AA4" s="111" t="s">
        <v>154</v>
      </c>
      <c r="AB4" s="111" t="s">
        <v>155</v>
      </c>
      <c r="AC4" s="111" t="s">
        <v>68</v>
      </c>
      <c r="AD4" s="111" t="s">
        <v>156</v>
      </c>
      <c r="AE4" s="111" t="s">
        <v>157</v>
      </c>
      <c r="AF4" s="111" t="s">
        <v>158</v>
      </c>
      <c r="AG4" s="109"/>
      <c r="AH4" s="206"/>
      <c r="AK4" s="109"/>
      <c r="AL4" s="110" t="s">
        <v>149</v>
      </c>
      <c r="AM4" s="111" t="s">
        <v>150</v>
      </c>
      <c r="AN4" s="111" t="s">
        <v>151</v>
      </c>
      <c r="AO4" s="111" t="s">
        <v>152</v>
      </c>
      <c r="AP4" s="111" t="s">
        <v>74</v>
      </c>
      <c r="AQ4" s="111" t="s">
        <v>137</v>
      </c>
      <c r="AR4" s="111" t="s">
        <v>153</v>
      </c>
      <c r="AS4" s="111" t="s">
        <v>154</v>
      </c>
      <c r="AT4" s="111" t="s">
        <v>155</v>
      </c>
      <c r="AU4" s="111" t="s">
        <v>68</v>
      </c>
      <c r="AV4" s="111" t="s">
        <v>156</v>
      </c>
      <c r="AW4" s="111" t="s">
        <v>157</v>
      </c>
      <c r="AX4" s="111" t="s">
        <v>158</v>
      </c>
      <c r="AY4" s="109"/>
      <c r="AZ4" s="206"/>
      <c r="BB4" s="109"/>
      <c r="BC4" s="110" t="s">
        <v>149</v>
      </c>
      <c r="BD4" s="111" t="s">
        <v>150</v>
      </c>
      <c r="BE4" s="111" t="s">
        <v>151</v>
      </c>
      <c r="BF4" s="111" t="s">
        <v>152</v>
      </c>
      <c r="BG4" s="111" t="s">
        <v>74</v>
      </c>
      <c r="BH4" s="111" t="s">
        <v>137</v>
      </c>
      <c r="BI4" s="111" t="s">
        <v>153</v>
      </c>
      <c r="BJ4" s="111" t="s">
        <v>154</v>
      </c>
      <c r="BK4" s="111" t="s">
        <v>155</v>
      </c>
      <c r="BL4" s="111" t="s">
        <v>68</v>
      </c>
      <c r="BM4" s="111" t="s">
        <v>156</v>
      </c>
      <c r="BN4" s="111" t="s">
        <v>157</v>
      </c>
      <c r="BO4" s="111" t="s">
        <v>158</v>
      </c>
      <c r="BP4" s="109"/>
      <c r="BQ4" s="206"/>
      <c r="BS4" s="109"/>
      <c r="BT4" s="110" t="s">
        <v>149</v>
      </c>
      <c r="BU4" s="111" t="s">
        <v>150</v>
      </c>
      <c r="BV4" s="111" t="s">
        <v>151</v>
      </c>
      <c r="BW4" s="111" t="s">
        <v>152</v>
      </c>
      <c r="BX4" s="111" t="s">
        <v>74</v>
      </c>
      <c r="BY4" s="111" t="s">
        <v>137</v>
      </c>
      <c r="BZ4" s="111" t="s">
        <v>153</v>
      </c>
      <c r="CA4" s="111" t="s">
        <v>154</v>
      </c>
      <c r="CB4" s="111" t="s">
        <v>155</v>
      </c>
      <c r="CC4" s="111" t="s">
        <v>68</v>
      </c>
      <c r="CD4" s="111" t="s">
        <v>156</v>
      </c>
      <c r="CE4" s="111" t="s">
        <v>157</v>
      </c>
      <c r="CF4" s="111" t="s">
        <v>158</v>
      </c>
      <c r="CG4" s="109"/>
      <c r="CH4" s="206"/>
    </row>
    <row r="5" customFormat="false" ht="12.75" hidden="false" customHeight="false" outlineLevel="0" collapsed="false">
      <c r="A5" s="207" t="n">
        <v>36739</v>
      </c>
      <c r="B5" s="134" t="n">
        <f aca="false">SUMIF('Basis Options'!X:X,CONCATENATE($A5,B$4),'Basis Options'!AB:AB)</f>
        <v>0</v>
      </c>
      <c r="C5" s="134" t="n">
        <f aca="false">SUMIF('Basis Options'!$X:$X,CONCATENATE($A5,C$4),'Basis Options'!$AB:$AB)</f>
        <v>0</v>
      </c>
      <c r="D5" s="134" t="n">
        <f aca="false">SUMIF('Basis Options'!$X:$X,CONCATENATE($A5,D$4),'Basis Options'!$AB:$AB)</f>
        <v>0</v>
      </c>
      <c r="E5" s="134" t="n">
        <f aca="false">SUMIF('Basis Options'!$X:$X,CONCATENATE($A5,E$4),'Basis Options'!$AB:$AB)</f>
        <v>0</v>
      </c>
      <c r="F5" s="134" t="n">
        <f aca="false">SUMIF('Basis Options'!$X:$X,CONCATENATE($A5,F$4),'Basis Options'!$AB:$AB)</f>
        <v>0</v>
      </c>
      <c r="G5" s="134" t="n">
        <f aca="false">SUMIF('Basis Options'!$X:$X,CONCATENATE($A5,G$4),'Basis Options'!$AB:$AB)</f>
        <v>0</v>
      </c>
      <c r="H5" s="134" t="n">
        <f aca="false">SUMIF('Basis Options'!$X:$X,CONCATENATE($A5,H$4),'Basis Options'!$AB:$AB)</f>
        <v>0</v>
      </c>
      <c r="I5" s="134" t="n">
        <f aca="false">SUMIF('Basis Options'!$X:$X,CONCATENATE($A5,I$4),'Basis Options'!$AB:$AB)</f>
        <v>0</v>
      </c>
      <c r="J5" s="134" t="n">
        <f aca="false">SUMIF('Basis Options'!$X:$X,CONCATENATE($A5,J$4),'Basis Options'!$AB:$AB)</f>
        <v>0</v>
      </c>
      <c r="K5" s="134" t="n">
        <f aca="false">SUMIF('Basis Options'!$X:$X,CONCATENATE($A5,K$4),'Basis Options'!$AB:$AB)</f>
        <v>0</v>
      </c>
      <c r="L5" s="134" t="n">
        <f aca="false">SUMIF('Basis Options'!$X:$X,CONCATENATE($A5,L$4),'Basis Options'!$AB:$AB)</f>
        <v>0</v>
      </c>
      <c r="M5" s="134" t="n">
        <f aca="false">SUMIF('Basis Options'!$X:$X,CONCATENATE($A5,M$4),'Basis Options'!$AB:$AB)</f>
        <v>0</v>
      </c>
      <c r="N5" s="134" t="n">
        <f aca="false">SUMIF('Basis Options'!$X:$X,CONCATENATE($A5,N$4),'Basis Options'!$AB:$AB)</f>
        <v>0</v>
      </c>
      <c r="O5" s="207" t="n">
        <f aca="false">A5</f>
        <v>36739</v>
      </c>
      <c r="P5" s="135" t="n">
        <f aca="false">SUM(B5:N5)</f>
        <v>0</v>
      </c>
      <c r="S5" s="207" t="n">
        <v>36739</v>
      </c>
      <c r="T5" s="134" t="n">
        <f aca="false">SUMIF('Basis Options'!$X:$X,CONCATENATE($S5,T$4),'Basis Options'!$AC:$AC)</f>
        <v>0</v>
      </c>
      <c r="U5" s="134" t="n">
        <f aca="false">SUMIF('Basis Options'!$X:$X,CONCATENATE($S5,U$4),'Basis Options'!$AC:$AC)</f>
        <v>0</v>
      </c>
      <c r="V5" s="134" t="n">
        <f aca="false">SUMIF('Basis Options'!$X:$X,CONCATENATE($S5,V$4),'Basis Options'!$AC:$AC)</f>
        <v>0</v>
      </c>
      <c r="W5" s="134" t="n">
        <f aca="false">SUMIF('Basis Options'!$X:$X,CONCATENATE($S5,W$4),'Basis Options'!$AC:$AC)</f>
        <v>0</v>
      </c>
      <c r="X5" s="134" t="n">
        <f aca="false">SUMIF('Basis Options'!$X:$X,CONCATENATE($S5,X$4),'Basis Options'!$AC:$AC)</f>
        <v>0</v>
      </c>
      <c r="Y5" s="134" t="n">
        <f aca="false">SUMIF('Basis Options'!$X:$X,CONCATENATE($S5,Y$4),'Basis Options'!$AC:$AC)</f>
        <v>0</v>
      </c>
      <c r="Z5" s="134" t="n">
        <f aca="false">SUMIF('Basis Options'!$X:$X,CONCATENATE($S5,Z$4),'Basis Options'!$AC:$AC)</f>
        <v>0</v>
      </c>
      <c r="AA5" s="134" t="n">
        <f aca="false">SUMIF('Basis Options'!$X:$X,CONCATENATE($S5,AA$4),'Basis Options'!$AC:$AC)</f>
        <v>0</v>
      </c>
      <c r="AB5" s="134" t="n">
        <f aca="false">SUMIF('Basis Options'!$X:$X,CONCATENATE($S5,AB$4),'Basis Options'!$AC:$AC)</f>
        <v>0</v>
      </c>
      <c r="AC5" s="134" t="n">
        <f aca="false">SUMIF('Basis Options'!$X:$X,CONCATENATE($S5,AC$4),'Basis Options'!$AC:$AC)</f>
        <v>0</v>
      </c>
      <c r="AD5" s="134" t="n">
        <f aca="false">SUMIF('Basis Options'!$X:$X,CONCATENATE($S5,AD$4),'Basis Options'!$AC:$AC)</f>
        <v>0</v>
      </c>
      <c r="AE5" s="134" t="n">
        <f aca="false">SUMIF('Basis Options'!$X:$X,CONCATENATE($S5,AE$4),'Basis Options'!$AC:$AC)</f>
        <v>0</v>
      </c>
      <c r="AF5" s="134" t="n">
        <f aca="false">SUMIF('Basis Options'!$X:$X,CONCATENATE($S5,AF$4),'Basis Options'!$AC:$AC)</f>
        <v>0</v>
      </c>
      <c r="AG5" s="207" t="n">
        <f aca="false">S5</f>
        <v>36739</v>
      </c>
      <c r="AH5" s="135" t="n">
        <f aca="false">SUM(T5:AF5)</f>
        <v>0</v>
      </c>
      <c r="AK5" s="207" t="n">
        <v>36739</v>
      </c>
      <c r="AL5" s="134" t="n">
        <f aca="false">SUMIF('Basis Options'!$X:$X,CONCATENATE($AK5,AL$4),'Basis Options'!$AD:$AD)</f>
        <v>0</v>
      </c>
      <c r="AM5" s="134" t="n">
        <f aca="false">SUMIF('Basis Options'!$X:$X,CONCATENATE($AK5,AM$4),'Basis Options'!$AD:$AD)</f>
        <v>0</v>
      </c>
      <c r="AN5" s="134" t="n">
        <f aca="false">SUMIF('Basis Options'!$X:$X,CONCATENATE($AK5,AN$4),'Basis Options'!$AD:$AD)</f>
        <v>0</v>
      </c>
      <c r="AO5" s="134" t="n">
        <f aca="false">SUMIF('Basis Options'!$X:$X,CONCATENATE($AK5,AO$4),'Basis Options'!$AD:$AD)</f>
        <v>0</v>
      </c>
      <c r="AP5" s="134" t="n">
        <f aca="false">SUMIF('Basis Options'!$X:$X,CONCATENATE($AK5,AP$4),'Basis Options'!$AD:$AD)</f>
        <v>0</v>
      </c>
      <c r="AQ5" s="134" t="n">
        <f aca="false">SUMIF('Basis Options'!$X:$X,CONCATENATE($AK5,AQ$4),'Basis Options'!$AD:$AD)</f>
        <v>0</v>
      </c>
      <c r="AR5" s="134" t="n">
        <f aca="false">SUMIF('Basis Options'!$X:$X,CONCATENATE($AK5,AR$4),'Basis Options'!$AD:$AD)</f>
        <v>0</v>
      </c>
      <c r="AS5" s="134" t="n">
        <f aca="false">SUMIF('Basis Options'!$X:$X,CONCATENATE($AK5,AS$4),'Basis Options'!$AD:$AD)</f>
        <v>0</v>
      </c>
      <c r="AT5" s="134" t="n">
        <f aca="false">SUMIF('Basis Options'!$X:$X,CONCATENATE($AK5,AT$4),'Basis Options'!$AD:$AD)</f>
        <v>0</v>
      </c>
      <c r="AU5" s="134" t="n">
        <f aca="false">SUMIF('Basis Options'!$X:$X,CONCATENATE($AK5,AU$4),'Basis Options'!$AD:$AD)</f>
        <v>0</v>
      </c>
      <c r="AV5" s="134" t="n">
        <f aca="false">SUMIF('Basis Options'!$X:$X,CONCATENATE($AK5,AV$4),'Basis Options'!$AD:$AD)</f>
        <v>0</v>
      </c>
      <c r="AW5" s="134" t="n">
        <f aca="false">SUMIF('Basis Options'!$X:$X,CONCATENATE($AK5,AW$4),'Basis Options'!$AD:$AD)</f>
        <v>0</v>
      </c>
      <c r="AX5" s="134" t="n">
        <f aca="false">SUMIF('Basis Options'!$X:$X,CONCATENATE($AK5,AX$4),'Basis Options'!$AD:$AD)</f>
        <v>0</v>
      </c>
      <c r="AY5" s="207" t="n">
        <f aca="false">AK5</f>
        <v>36739</v>
      </c>
      <c r="AZ5" s="135" t="n">
        <f aca="false">SUM(AL5:AX5)</f>
        <v>0</v>
      </c>
      <c r="BB5" s="207" t="n">
        <v>36739</v>
      </c>
      <c r="BC5" s="134" t="n">
        <f aca="false">SUMIF('Basis Options'!$X:$X,CONCATENATE($AK5,BC$4),'Basis Options'!$AD:$AD)</f>
        <v>0</v>
      </c>
      <c r="BD5" s="134" t="n">
        <f aca="false">SUMIF('Basis Options'!$X:$X,CONCATENATE($AK5,BD$4),'Basis Options'!$AD:$AD)</f>
        <v>0</v>
      </c>
      <c r="BE5" s="134" t="n">
        <f aca="false">SUMIF('Basis Options'!$X:$X,CONCATENATE($AK5,BE$4),'Basis Options'!$AD:$AD)</f>
        <v>0</v>
      </c>
      <c r="BF5" s="134" t="n">
        <f aca="false">SUMIF('Basis Options'!$X:$X,CONCATENATE($AK5,BF$4),'Basis Options'!$AD:$AD)</f>
        <v>0</v>
      </c>
      <c r="BG5" s="134" t="n">
        <f aca="false">SUMIF('Basis Options'!$X:$X,CONCATENATE($AK5,BG$4),'Basis Options'!$AD:$AD)</f>
        <v>0</v>
      </c>
      <c r="BH5" s="134" t="n">
        <f aca="false">SUMIF('Basis Options'!$X:$X,CONCATENATE($AK5,BH$4),'Basis Options'!$AD:$AD)</f>
        <v>0</v>
      </c>
      <c r="BI5" s="134" t="n">
        <f aca="false">SUMIF('Basis Options'!$X:$X,CONCATENATE($AK5,BI$4),'Basis Options'!$AD:$AD)</f>
        <v>0</v>
      </c>
      <c r="BJ5" s="134" t="n">
        <f aca="false">SUMIF('Basis Options'!$X:$X,CONCATENATE($AK5,BJ$4),'Basis Options'!$AD:$AD)</f>
        <v>0</v>
      </c>
      <c r="BK5" s="134" t="n">
        <f aca="false">SUMIF('Basis Options'!$X:$X,CONCATENATE($AK5,BK$4),'Basis Options'!$AD:$AD)</f>
        <v>0</v>
      </c>
      <c r="BL5" s="134" t="n">
        <f aca="false">SUMIF('Basis Options'!$X:$X,CONCATENATE($AK5,BL$4),'Basis Options'!$AD:$AD)</f>
        <v>0</v>
      </c>
      <c r="BM5" s="134" t="n">
        <f aca="false">SUMIF('Basis Options'!$X:$X,CONCATENATE($AK5,BM$4),'Basis Options'!$AD:$AD)</f>
        <v>0</v>
      </c>
      <c r="BN5" s="134" t="n">
        <f aca="false">SUMIF('Basis Options'!$X:$X,CONCATENATE($AK5,BN$4),'Basis Options'!$AD:$AD)</f>
        <v>0</v>
      </c>
      <c r="BO5" s="134" t="n">
        <f aca="false">SUMIF('Basis Options'!$X:$X,CONCATENATE($AK5,BO$4),'Basis Options'!$AD:$AD)</f>
        <v>0</v>
      </c>
      <c r="BP5" s="207" t="n">
        <f aca="false">BB5</f>
        <v>36739</v>
      </c>
      <c r="BQ5" s="135" t="n">
        <f aca="false">SUM(BC5:BO5)</f>
        <v>0</v>
      </c>
      <c r="BS5" s="207" t="n">
        <v>36739</v>
      </c>
      <c r="BT5" s="134" t="n">
        <f aca="false">SUMIF('Basis Options'!$X:$X,CONCATENATE($BS5,BT$4),'Basis Options'!$AI:$AI)</f>
        <v>0</v>
      </c>
      <c r="BU5" s="134" t="n">
        <f aca="false">SUMIF('Basis Options'!$X:$X,CONCATENATE($BS5,BU$4),'Basis Options'!$AI:$AI)</f>
        <v>0</v>
      </c>
      <c r="BV5" s="134" t="n">
        <f aca="false">SUMIF('Basis Options'!$X:$X,CONCATENATE($BS5,BV$4),'Basis Options'!$AI:$AI)</f>
        <v>0</v>
      </c>
      <c r="BW5" s="134" t="n">
        <f aca="false">SUMIF('Basis Options'!$X:$X,CONCATENATE($BS5,BW$4),'Basis Options'!$AI:$AI)</f>
        <v>0</v>
      </c>
      <c r="BX5" s="134" t="n">
        <f aca="false">SUMIF('Basis Options'!$X:$X,CONCATENATE($BS5,BX$4),'Basis Options'!$AI:$AI)</f>
        <v>0</v>
      </c>
      <c r="BY5" s="134" t="n">
        <f aca="false">SUMIF('Basis Options'!$X:$X,CONCATENATE($BS5,BY$4),'Basis Options'!$AI:$AI)</f>
        <v>0</v>
      </c>
      <c r="BZ5" s="134" t="n">
        <f aca="false">SUMIF('Basis Options'!$X:$X,CONCATENATE($BS5,BZ$4),'Basis Options'!$AI:$AI)</f>
        <v>0</v>
      </c>
      <c r="CA5" s="134" t="n">
        <f aca="false">SUMIF('Basis Options'!$X:$X,CONCATENATE($BS5,CA$4),'Basis Options'!$AI:$AI)</f>
        <v>0</v>
      </c>
      <c r="CB5" s="134" t="n">
        <f aca="false">SUMIF('Basis Options'!$X:$X,CONCATENATE($BS5,CB$4),'Basis Options'!$AI:$AI)</f>
        <v>0</v>
      </c>
      <c r="CC5" s="134" t="n">
        <f aca="false">SUMIF('Basis Options'!$X:$X,CONCATENATE($BS5,CC$4),'Basis Options'!$AI:$AI)</f>
        <v>0</v>
      </c>
      <c r="CD5" s="134" t="n">
        <f aca="false">SUMIF('Basis Options'!$X:$X,CONCATENATE($BS5,CD$4),'Basis Options'!$AI:$AI)</f>
        <v>0</v>
      </c>
      <c r="CE5" s="134" t="n">
        <f aca="false">SUMIF('Basis Options'!$X:$X,CONCATENATE($BS5,CE$4),'Basis Options'!$AI:$AI)</f>
        <v>0</v>
      </c>
      <c r="CF5" s="134" t="n">
        <f aca="false">SUMIF('Basis Options'!$X:$X,CONCATENATE($BS5,CF$4),'Basis Options'!$AI:$AI)</f>
        <v>0</v>
      </c>
      <c r="CG5" s="207" t="n">
        <f aca="false">BS5</f>
        <v>36739</v>
      </c>
      <c r="CH5" s="135" t="n">
        <f aca="false">SUM(BT5:CF5)</f>
        <v>0</v>
      </c>
    </row>
    <row r="6" customFormat="false" ht="12.75" hidden="false" customHeight="false" outlineLevel="0" collapsed="false">
      <c r="A6" s="208" t="n">
        <f aca="false">EOMONTH(A5,0)+1</f>
        <v>36770</v>
      </c>
      <c r="B6" s="134" t="e">
        <f aca="false">SUMIF('Basis Options'!X:X,CONCATENATE($A6,B$4),'Basis Options'!AB:AB)</f>
        <v>#NAME?</v>
      </c>
      <c r="C6" s="134" t="e">
        <f aca="false">SUMIF('Basis Options'!$X:$X,CONCATENATE($A6,C$4),'Basis Options'!$AB:$AB)</f>
        <v>#NAME?</v>
      </c>
      <c r="D6" s="134" t="e">
        <f aca="false">SUMIF('Basis Options'!$X:$X,CONCATENATE($A6,D$4),'Basis Options'!$AB:$AB)</f>
        <v>#NAME?</v>
      </c>
      <c r="E6" s="134" t="n">
        <f aca="false">SUMIF('Basis Options'!$X:$X,CONCATENATE($A6,E$4),'Basis Options'!$AB:$AB)</f>
        <v>0</v>
      </c>
      <c r="F6" s="134" t="n">
        <f aca="false">SUMIF('Basis Options'!$X:$X,CONCATENATE($A6,F$4),'Basis Options'!$AB:$AB)</f>
        <v>0</v>
      </c>
      <c r="G6" s="134" t="e">
        <f aca="false">SUMIF('Basis Options'!$X:$X,CONCATENATE($A6,G$4),'Basis Options'!$AB:$AB)</f>
        <v>#NAME?</v>
      </c>
      <c r="H6" s="134" t="e">
        <f aca="false">SUMIF('Basis Options'!$X:$X,CONCATENATE($A6,H$4),'Basis Options'!$AB:$AB)</f>
        <v>#NAME?</v>
      </c>
      <c r="I6" s="134" t="n">
        <f aca="false">SUMIF('Basis Options'!$X:$X,CONCATENATE($A6,I$4),'Basis Options'!$AB:$AB)</f>
        <v>0</v>
      </c>
      <c r="J6" s="134" t="e">
        <f aca="false">SUMIF('Basis Options'!$X:$X,CONCATENATE($A6,J$4),'Basis Options'!$AB:$AB)</f>
        <v>#NAME?</v>
      </c>
      <c r="K6" s="134" t="n">
        <f aca="false">SUMIF('Basis Options'!$X:$X,CONCATENATE($A6,K$4),'Basis Options'!$AB:$AB)</f>
        <v>0</v>
      </c>
      <c r="L6" s="134" t="n">
        <f aca="false">SUMIF('Basis Options'!$X:$X,CONCATENATE($A6,L$4),'Basis Options'!$AB:$AB)</f>
        <v>0</v>
      </c>
      <c r="M6" s="134" t="n">
        <f aca="false">SUMIF('Basis Options'!$X:$X,CONCATENATE($A6,M$4),'Basis Options'!$AB:$AB)</f>
        <v>0</v>
      </c>
      <c r="N6" s="134" t="n">
        <f aca="false">SUMIF('Basis Options'!$X:$X,CONCATENATE($A6,N$4),'Basis Options'!$AB:$AB)</f>
        <v>0</v>
      </c>
      <c r="O6" s="208" t="n">
        <f aca="false">EOMONTH(O5,0)+1</f>
        <v>36770</v>
      </c>
      <c r="P6" s="135" t="e">
        <f aca="false">SUM(B6:N6)</f>
        <v>#NAME?</v>
      </c>
      <c r="R6" s="134" t="e">
        <f aca="false">SUM(T6:AE6)</f>
        <v>#NAME?</v>
      </c>
      <c r="S6" s="208" t="n">
        <f aca="false">EOMONTH(S5,0)+1</f>
        <v>36770</v>
      </c>
      <c r="T6" s="134" t="e">
        <f aca="false">SUMIF('Basis Options'!$X:$X,CONCATENATE($S6,T$4),'Basis Options'!$AC:$AC)</f>
        <v>#NAME?</v>
      </c>
      <c r="U6" s="134" t="e">
        <f aca="false">SUMIF('Basis Options'!$X:$X,CONCATENATE($S6,U$4),'Basis Options'!$AC:$AC)</f>
        <v>#NAME?</v>
      </c>
      <c r="V6" s="134" t="e">
        <f aca="false">SUMIF('Basis Options'!$X:$X,CONCATENATE($S6,V$4),'Basis Options'!$AC:$AC)</f>
        <v>#NAME?</v>
      </c>
      <c r="W6" s="134" t="n">
        <f aca="false">SUMIF('Basis Options'!$X:$X,CONCATENATE($S6,W$4),'Basis Options'!$AC:$AC)</f>
        <v>0</v>
      </c>
      <c r="X6" s="134" t="n">
        <f aca="false">SUMIF('Basis Options'!$X:$X,CONCATENATE($S6,X$4),'Basis Options'!$AC:$AC)</f>
        <v>0</v>
      </c>
      <c r="Y6" s="134" t="e">
        <f aca="false">SUMIF('Basis Options'!$X:$X,CONCATENATE($S6,Y$4),'Basis Options'!$AC:$AC)</f>
        <v>#NAME?</v>
      </c>
      <c r="Z6" s="134" t="e">
        <f aca="false">SUMIF('Basis Options'!$X:$X,CONCATENATE($S6,Z$4),'Basis Options'!$AC:$AC)</f>
        <v>#NAME?</v>
      </c>
      <c r="AA6" s="134" t="n">
        <f aca="false">SUMIF('Basis Options'!$X:$X,CONCATENATE($S6,AA$4),'Basis Options'!$AC:$AC)</f>
        <v>0</v>
      </c>
      <c r="AB6" s="134" t="e">
        <f aca="false">SUMIF('Basis Options'!$X:$X,CONCATENATE($S6,AB$4),'Basis Options'!$AC:$AC)</f>
        <v>#NAME?</v>
      </c>
      <c r="AC6" s="134" t="n">
        <f aca="false">SUMIF('Basis Options'!$X:$X,CONCATENATE($S6,AC$4),'Basis Options'!$AC:$AC)</f>
        <v>0</v>
      </c>
      <c r="AD6" s="134" t="n">
        <f aca="false">SUMIF('Basis Options'!$X:$X,CONCATENATE($S6,AD$4),'Basis Options'!$AC:$AC)</f>
        <v>0</v>
      </c>
      <c r="AE6" s="134" t="n">
        <f aca="false">SUMIF('Basis Options'!$X:$X,CONCATENATE($S6,AE$4),'Basis Options'!$AC:$AC)</f>
        <v>0</v>
      </c>
      <c r="AF6" s="134" t="n">
        <f aca="false">SUMIF('Basis Options'!$X:$X,CONCATENATE($S6,AF$4),'Basis Options'!$AC:$AC)</f>
        <v>0</v>
      </c>
      <c r="AG6" s="208" t="n">
        <f aca="false">EOMONTH(AG5,0)+1</f>
        <v>36770</v>
      </c>
      <c r="AH6" s="135" t="e">
        <f aca="false">SUM(T6:AF6)</f>
        <v>#NAME?</v>
      </c>
      <c r="AK6" s="208" t="n">
        <f aca="false">EOMONTH(AK5,0)+1</f>
        <v>36770</v>
      </c>
      <c r="AL6" s="134" t="e">
        <f aca="false">SUMIF('Basis Options'!$X:$X,CONCATENATE($AK6,AL$4),'Basis Options'!$AD:$AD)</f>
        <v>#NAME?</v>
      </c>
      <c r="AM6" s="134" t="e">
        <f aca="false">SUMIF('Basis Options'!$X:$X,CONCATENATE($AK6,AM$4),'Basis Options'!$AD:$AD)</f>
        <v>#NAME?</v>
      </c>
      <c r="AN6" s="134" t="e">
        <f aca="false">SUMIF('Basis Options'!$X:$X,CONCATENATE($AK6,AN$4),'Basis Options'!$AD:$AD)</f>
        <v>#NAME?</v>
      </c>
      <c r="AO6" s="134" t="n">
        <f aca="false">SUMIF('Basis Options'!$X:$X,CONCATENATE($AK6,AO$4),'Basis Options'!$AD:$AD)</f>
        <v>0</v>
      </c>
      <c r="AP6" s="134" t="n">
        <f aca="false">SUMIF('Basis Options'!$X:$X,CONCATENATE($AK6,AP$4),'Basis Options'!$AD:$AD)</f>
        <v>0</v>
      </c>
      <c r="AQ6" s="134" t="e">
        <f aca="false">SUMIF('Basis Options'!$X:$X,CONCATENATE($AK6,AQ$4),'Basis Options'!$AD:$AD)</f>
        <v>#NAME?</v>
      </c>
      <c r="AR6" s="134" t="e">
        <f aca="false">SUMIF('Basis Options'!$X:$X,CONCATENATE($AK6,AR$4),'Basis Options'!$AD:$AD)</f>
        <v>#NAME?</v>
      </c>
      <c r="AS6" s="134" t="n">
        <f aca="false">SUMIF('Basis Options'!$X:$X,CONCATENATE($AK6,AS$4),'Basis Options'!$AD:$AD)</f>
        <v>0</v>
      </c>
      <c r="AT6" s="134" t="e">
        <f aca="false">SUMIF('Basis Options'!$X:$X,CONCATENATE($AK6,AT$4),'Basis Options'!$AD:$AD)</f>
        <v>#NAME?</v>
      </c>
      <c r="AU6" s="134" t="n">
        <f aca="false">SUMIF('Basis Options'!$X:$X,CONCATENATE($AK6,AU$4),'Basis Options'!$AD:$AD)</f>
        <v>0</v>
      </c>
      <c r="AV6" s="134" t="n">
        <f aca="false">SUMIF('Basis Options'!$X:$X,CONCATENATE($AK6,AV$4),'Basis Options'!$AD:$AD)</f>
        <v>0</v>
      </c>
      <c r="AW6" s="134" t="n">
        <f aca="false">SUMIF('Basis Options'!$X:$X,CONCATENATE($AK6,AW$4),'Basis Options'!$AD:$AD)</f>
        <v>0</v>
      </c>
      <c r="AX6" s="134" t="n">
        <f aca="false">SUMIF('Basis Options'!$X:$X,CONCATENATE($AK6,AX$4),'Basis Options'!$AD:$AD)</f>
        <v>0</v>
      </c>
      <c r="AY6" s="208" t="n">
        <f aca="false">EOMONTH(AY5,0)+1</f>
        <v>36770</v>
      </c>
      <c r="AZ6" s="135" t="e">
        <f aca="false">SUM(AL6:AX6)</f>
        <v>#NAME?</v>
      </c>
      <c r="BB6" s="208" t="n">
        <f aca="false">EOMONTH(BB5,0)+1</f>
        <v>36770</v>
      </c>
      <c r="BC6" s="134" t="e">
        <f aca="false">SUMIF('Basis Options'!$X:$X,CONCATENATE($AK6,BC$4),'Basis Options'!$AF:$AF)</f>
        <v>#NAME?</v>
      </c>
      <c r="BD6" s="134" t="e">
        <f aca="false">SUMIF('Basis Options'!$X:$X,CONCATENATE($AK6,BD$4),'Basis Options'!$AF:$AF)</f>
        <v>#NAME?</v>
      </c>
      <c r="BE6" s="134" t="e">
        <f aca="false">SUMIF('Basis Options'!$X:$X,CONCATENATE($AK6,BE$4),'Basis Options'!$AF:$AF)</f>
        <v>#NAME?</v>
      </c>
      <c r="BF6" s="134" t="n">
        <f aca="false">SUMIF('Basis Options'!$X:$X,CONCATENATE($AK6,BF$4),'Basis Options'!$AF:$AF)</f>
        <v>0</v>
      </c>
      <c r="BG6" s="134" t="n">
        <f aca="false">SUMIF('Basis Options'!$X:$X,CONCATENATE($AK6,BG$4),'Basis Options'!$AF:$AF)</f>
        <v>0</v>
      </c>
      <c r="BH6" s="134" t="e">
        <f aca="false">SUMIF('Basis Options'!$X:$X,CONCATENATE($AK6,BH$4),'Basis Options'!$AF:$AF)</f>
        <v>#NAME?</v>
      </c>
      <c r="BI6" s="134" t="e">
        <f aca="false">SUMIF('Basis Options'!$X:$X,CONCATENATE($AK6,BI$4),'Basis Options'!$AF:$AF)</f>
        <v>#NAME?</v>
      </c>
      <c r="BJ6" s="134" t="n">
        <f aca="false">SUMIF('Basis Options'!$X:$X,CONCATENATE($AK6,BJ$4),'Basis Options'!$AF:$AF)</f>
        <v>0</v>
      </c>
      <c r="BK6" s="134" t="e">
        <f aca="false">SUMIF('Basis Options'!$X:$X,CONCATENATE($AK6,BK$4),'Basis Options'!$AF:$AF)</f>
        <v>#NAME?</v>
      </c>
      <c r="BL6" s="134" t="n">
        <f aca="false">SUMIF('Basis Options'!$X:$X,CONCATENATE($AK6,BL$4),'Basis Options'!$AF:$AF)</f>
        <v>0</v>
      </c>
      <c r="BM6" s="134" t="n">
        <f aca="false">SUMIF('Basis Options'!$X:$X,CONCATENATE($AK6,BM$4),'Basis Options'!$AF:$AF)</f>
        <v>0</v>
      </c>
      <c r="BN6" s="134" t="n">
        <f aca="false">SUMIF('Basis Options'!$X:$X,CONCATENATE($AK6,BN$4),'Basis Options'!$AF:$AF)</f>
        <v>0</v>
      </c>
      <c r="BO6" s="134" t="n">
        <f aca="false">SUMIF('Basis Options'!$X:$X,CONCATENATE($AK6,BO$4),'Basis Options'!$AF:$AF)</f>
        <v>0</v>
      </c>
      <c r="BP6" s="208" t="n">
        <f aca="false">EOMONTH(BP5,0)+1</f>
        <v>36770</v>
      </c>
      <c r="BQ6" s="135" t="e">
        <f aca="false">SUM(BC6:BO6)</f>
        <v>#NAME?</v>
      </c>
      <c r="BS6" s="208" t="n">
        <f aca="false">EOMONTH(BS5,0)+1</f>
        <v>36770</v>
      </c>
      <c r="BT6" s="134" t="e">
        <f aca="false">SUMIF('Basis Options'!$X:$X,CONCATENATE($BS6,BT$4),'Basis Options'!$AI:$AI)</f>
        <v>#NAME?</v>
      </c>
      <c r="BU6" s="134" t="e">
        <f aca="false">SUMIF('Basis Options'!$X:$X,CONCATENATE($BS6,BU$4),'Basis Options'!$AI:$AI)</f>
        <v>#NAME?</v>
      </c>
      <c r="BV6" s="134" t="e">
        <f aca="false">SUMIF('Basis Options'!$X:$X,CONCATENATE($BS6,BV$4),'Basis Options'!$AI:$AI)</f>
        <v>#NAME?</v>
      </c>
      <c r="BW6" s="134" t="n">
        <f aca="false">SUMIF('Basis Options'!$X:$X,CONCATENATE($BS6,BW$4),'Basis Options'!$AI:$AI)</f>
        <v>0</v>
      </c>
      <c r="BX6" s="134" t="n">
        <f aca="false">SUMIF('Basis Options'!$X:$X,CONCATENATE($BS6,BX$4),'Basis Options'!$AI:$AI)</f>
        <v>0</v>
      </c>
      <c r="BY6" s="134" t="e">
        <f aca="false">SUMIF('Basis Options'!$X:$X,CONCATENATE($BS6,BY$4),'Basis Options'!$AI:$AI)</f>
        <v>#NAME?</v>
      </c>
      <c r="BZ6" s="134" t="e">
        <f aca="false">SUMIF('Basis Options'!$X:$X,CONCATENATE($BS6,BZ$4),'Basis Options'!$AI:$AI)</f>
        <v>#NAME?</v>
      </c>
      <c r="CA6" s="134" t="n">
        <f aca="false">SUMIF('Basis Options'!$X:$X,CONCATENATE($BS6,CA$4),'Basis Options'!$AI:$AI)</f>
        <v>0</v>
      </c>
      <c r="CB6" s="134" t="e">
        <f aca="false">SUMIF('Basis Options'!$X:$X,CONCATENATE($BS6,CB$4),'Basis Options'!$AI:$AI)</f>
        <v>#NAME?</v>
      </c>
      <c r="CC6" s="134" t="n">
        <f aca="false">SUMIF('Basis Options'!$X:$X,CONCATENATE($BS6,CC$4),'Basis Options'!$AI:$AI)</f>
        <v>0</v>
      </c>
      <c r="CD6" s="134" t="n">
        <f aca="false">SUMIF('Basis Options'!$X:$X,CONCATENATE($BS6,CD$4),'Basis Options'!$AI:$AI)</f>
        <v>0</v>
      </c>
      <c r="CE6" s="134" t="n">
        <f aca="false">SUMIF('Basis Options'!$X:$X,CONCATENATE($BS6,CE$4),'Basis Options'!$AI:$AI)</f>
        <v>0</v>
      </c>
      <c r="CF6" s="134" t="n">
        <f aca="false">SUMIF('Basis Options'!$X:$X,CONCATENATE($BS6,CF$4),'Basis Options'!$AI:$AI)</f>
        <v>0</v>
      </c>
      <c r="CG6" s="208" t="n">
        <f aca="false">EOMONTH(CG5,0)+1</f>
        <v>36770</v>
      </c>
      <c r="CH6" s="209" t="e">
        <f aca="false">SUM(BT6:CF6)</f>
        <v>#NAME?</v>
      </c>
    </row>
    <row r="7" customFormat="false" ht="12.75" hidden="false" customHeight="false" outlineLevel="0" collapsed="false">
      <c r="A7" s="208" t="n">
        <f aca="false">EOMONTH(A6,0)+1</f>
        <v>36800</v>
      </c>
      <c r="B7" s="134" t="e">
        <f aca="false">SUMIF('Basis Options'!X:X,CONCATENATE($A7,B$4),'Basis Options'!AB:AB)</f>
        <v>#NAME?</v>
      </c>
      <c r="C7" s="134" t="e">
        <f aca="false">SUMIF('Basis Options'!$X:$X,CONCATENATE($A7,C$4),'Basis Options'!$AB:$AB)</f>
        <v>#NAME?</v>
      </c>
      <c r="D7" s="134" t="e">
        <f aca="false">SUMIF('Basis Options'!$X:$X,CONCATENATE($A7,D$4),'Basis Options'!$AB:$AB)</f>
        <v>#NAME?</v>
      </c>
      <c r="E7" s="134" t="n">
        <f aca="false">SUMIF('Basis Options'!$X:$X,CONCATENATE($A7,E$4),'Basis Options'!$AB:$AB)</f>
        <v>0</v>
      </c>
      <c r="F7" s="134" t="n">
        <f aca="false">SUMIF('Basis Options'!$X:$X,CONCATENATE($A7,F$4),'Basis Options'!$AB:$AB)</f>
        <v>0</v>
      </c>
      <c r="G7" s="134" t="e">
        <f aca="false">SUMIF('Basis Options'!$X:$X,CONCATENATE($A7,G$4),'Basis Options'!$AB:$AB)</f>
        <v>#NAME?</v>
      </c>
      <c r="H7" s="134" t="e">
        <f aca="false">SUMIF('Basis Options'!$X:$X,CONCATENATE($A7,H$4),'Basis Options'!$AB:$AB)</f>
        <v>#NAME?</v>
      </c>
      <c r="I7" s="134" t="n">
        <f aca="false">SUMIF('Basis Options'!$X:$X,CONCATENATE($A7,I$4),'Basis Options'!$AB:$AB)</f>
        <v>0</v>
      </c>
      <c r="J7" s="134" t="e">
        <f aca="false">SUMIF('Basis Options'!$X:$X,CONCATENATE($A7,J$4),'Basis Options'!$AB:$AB)</f>
        <v>#NAME?</v>
      </c>
      <c r="K7" s="134" t="n">
        <f aca="false">SUMIF('Basis Options'!$X:$X,CONCATENATE($A7,K$4),'Basis Options'!$AB:$AB)</f>
        <v>0</v>
      </c>
      <c r="L7" s="134" t="n">
        <f aca="false">SUMIF('Basis Options'!$X:$X,CONCATENATE($A7,L$4),'Basis Options'!$AB:$AB)</f>
        <v>0</v>
      </c>
      <c r="M7" s="134" t="n">
        <f aca="false">SUMIF('Basis Options'!$X:$X,CONCATENATE($A7,M$4),'Basis Options'!$AB:$AB)</f>
        <v>0</v>
      </c>
      <c r="N7" s="134" t="n">
        <f aca="false">SUMIF('Basis Options'!$X:$X,CONCATENATE($A7,N$4),'Basis Options'!$AB:$AB)</f>
        <v>0</v>
      </c>
      <c r="O7" s="208" t="n">
        <f aca="false">EOMONTH(O6,0)+1</f>
        <v>36800</v>
      </c>
      <c r="P7" s="135" t="e">
        <f aca="false">SUM(B7:N7)</f>
        <v>#NAME?</v>
      </c>
      <c r="R7" s="134" t="e">
        <f aca="false">SUM(T7:AE7)</f>
        <v>#NAME?</v>
      </c>
      <c r="S7" s="208" t="n">
        <f aca="false">EOMONTH(S6,0)+1</f>
        <v>36800</v>
      </c>
      <c r="T7" s="134" t="e">
        <f aca="false">SUMIF('Basis Options'!$X:$X,CONCATENATE($S7,T$4),'Basis Options'!$AC:$AC)</f>
        <v>#NAME?</v>
      </c>
      <c r="U7" s="134" t="e">
        <f aca="false">SUMIF('Basis Options'!$X:$X,CONCATENATE($S7,U$4),'Basis Options'!$AC:$AC)</f>
        <v>#NAME?</v>
      </c>
      <c r="V7" s="134" t="e">
        <f aca="false">SUMIF('Basis Options'!$X:$X,CONCATENATE($S7,V$4),'Basis Options'!$AC:$AC)</f>
        <v>#NAME?</v>
      </c>
      <c r="W7" s="134" t="n">
        <f aca="false">SUMIF('Basis Options'!$X:$X,CONCATENATE($S7,W$4),'Basis Options'!$AC:$AC)</f>
        <v>0</v>
      </c>
      <c r="X7" s="134" t="n">
        <f aca="false">SUMIF('Basis Options'!$X:$X,CONCATENATE($S7,X$4),'Basis Options'!$AC:$AC)</f>
        <v>0</v>
      </c>
      <c r="Y7" s="134" t="e">
        <f aca="false">SUMIF('Basis Options'!$X:$X,CONCATENATE($S7,Y$4),'Basis Options'!$AC:$AC)</f>
        <v>#NAME?</v>
      </c>
      <c r="Z7" s="134" t="e">
        <f aca="false">SUMIF('Basis Options'!$X:$X,CONCATENATE($S7,Z$4),'Basis Options'!$AC:$AC)</f>
        <v>#NAME?</v>
      </c>
      <c r="AA7" s="134" t="n">
        <f aca="false">SUMIF('Basis Options'!$X:$X,CONCATENATE($S7,AA$4),'Basis Options'!$AC:$AC)</f>
        <v>0</v>
      </c>
      <c r="AB7" s="134" t="e">
        <f aca="false">SUMIF('Basis Options'!$X:$X,CONCATENATE($S7,AB$4),'Basis Options'!$AC:$AC)</f>
        <v>#NAME?</v>
      </c>
      <c r="AC7" s="134" t="n">
        <f aca="false">SUMIF('Basis Options'!$X:$X,CONCATENATE($S7,AC$4),'Basis Options'!$AC:$AC)</f>
        <v>0</v>
      </c>
      <c r="AD7" s="134" t="n">
        <f aca="false">SUMIF('Basis Options'!$X:$X,CONCATENATE($S7,AD$4),'Basis Options'!$AC:$AC)</f>
        <v>0</v>
      </c>
      <c r="AE7" s="134" t="n">
        <f aca="false">SUMIF('Basis Options'!$X:$X,CONCATENATE($S7,AE$4),'Basis Options'!$AC:$AC)</f>
        <v>0</v>
      </c>
      <c r="AF7" s="134" t="n">
        <f aca="false">SUMIF('Basis Options'!$X:$X,CONCATENATE($S7,AF$4),'Basis Options'!$AC:$AC)</f>
        <v>0</v>
      </c>
      <c r="AG7" s="208" t="n">
        <f aca="false">EOMONTH(AG6,0)+1</f>
        <v>36800</v>
      </c>
      <c r="AH7" s="135" t="e">
        <f aca="false">SUM(T7:AF7)</f>
        <v>#NAME?</v>
      </c>
      <c r="AK7" s="208" t="n">
        <f aca="false">EOMONTH(AK6,0)+1</f>
        <v>36800</v>
      </c>
      <c r="AL7" s="134" t="e">
        <f aca="false">SUMIF('Basis Options'!$X:$X,CONCATENATE($AK7,AL$4),'Basis Options'!$AD:$AD)</f>
        <v>#NAME?</v>
      </c>
      <c r="AM7" s="134" t="e">
        <f aca="false">SUMIF('Basis Options'!$X:$X,CONCATENATE($AK7,AM$4),'Basis Options'!$AD:$AD)</f>
        <v>#NAME?</v>
      </c>
      <c r="AN7" s="134" t="e">
        <f aca="false">SUMIF('Basis Options'!$X:$X,CONCATENATE($AK7,AN$4),'Basis Options'!$AD:$AD)</f>
        <v>#NAME?</v>
      </c>
      <c r="AO7" s="134" t="n">
        <f aca="false">SUMIF('Basis Options'!$X:$X,CONCATENATE($AK7,AO$4),'Basis Options'!$AD:$AD)</f>
        <v>0</v>
      </c>
      <c r="AP7" s="134" t="n">
        <f aca="false">SUMIF('Basis Options'!$X:$X,CONCATENATE($AK7,AP$4),'Basis Options'!$AD:$AD)</f>
        <v>0</v>
      </c>
      <c r="AQ7" s="134" t="e">
        <f aca="false">SUMIF('Basis Options'!$X:$X,CONCATENATE($AK7,AQ$4),'Basis Options'!$AD:$AD)</f>
        <v>#NAME?</v>
      </c>
      <c r="AR7" s="134" t="e">
        <f aca="false">SUMIF('Basis Options'!$X:$X,CONCATENATE($AK7,AR$4),'Basis Options'!$AD:$AD)</f>
        <v>#NAME?</v>
      </c>
      <c r="AS7" s="134" t="n">
        <f aca="false">SUMIF('Basis Options'!$X:$X,CONCATENATE($AK7,AS$4),'Basis Options'!$AD:$AD)</f>
        <v>0</v>
      </c>
      <c r="AT7" s="134" t="e">
        <f aca="false">SUMIF('Basis Options'!$X:$X,CONCATENATE($AK7,AT$4),'Basis Options'!$AD:$AD)</f>
        <v>#NAME?</v>
      </c>
      <c r="AU7" s="134" t="n">
        <f aca="false">SUMIF('Basis Options'!$X:$X,CONCATENATE($AK7,AU$4),'Basis Options'!$AD:$AD)</f>
        <v>0</v>
      </c>
      <c r="AV7" s="134" t="n">
        <f aca="false">SUMIF('Basis Options'!$X:$X,CONCATENATE($AK7,AV$4),'Basis Options'!$AD:$AD)</f>
        <v>0</v>
      </c>
      <c r="AW7" s="134" t="n">
        <f aca="false">SUMIF('Basis Options'!$X:$X,CONCATENATE($AK7,AW$4),'Basis Options'!$AD:$AD)</f>
        <v>0</v>
      </c>
      <c r="AX7" s="134" t="n">
        <f aca="false">SUMIF('Basis Options'!$X:$X,CONCATENATE($AK7,AX$4),'Basis Options'!$AD:$AD)</f>
        <v>0</v>
      </c>
      <c r="AY7" s="208" t="n">
        <f aca="false">EOMONTH(AY6,0)+1</f>
        <v>36800</v>
      </c>
      <c r="AZ7" s="135" t="e">
        <f aca="false">SUM(AL7:AX7)</f>
        <v>#NAME?</v>
      </c>
      <c r="BB7" s="208" t="n">
        <f aca="false">EOMONTH(BB6,0)+1</f>
        <v>36800</v>
      </c>
      <c r="BC7" s="134" t="e">
        <f aca="false">SUMIF('Basis Options'!$X:$X,CONCATENATE($AK7,BC$4),'Basis Options'!$AF:$AF)</f>
        <v>#NAME?</v>
      </c>
      <c r="BD7" s="134" t="e">
        <f aca="false">SUMIF('Basis Options'!$X:$X,CONCATENATE($AK7,BD$4),'Basis Options'!$AF:$AF)</f>
        <v>#NAME?</v>
      </c>
      <c r="BE7" s="134" t="e">
        <f aca="false">SUMIF('Basis Options'!$X:$X,CONCATENATE($AK7,BE$4),'Basis Options'!$AF:$AF)</f>
        <v>#NAME?</v>
      </c>
      <c r="BF7" s="134" t="n">
        <f aca="false">SUMIF('Basis Options'!$X:$X,CONCATENATE($AK7,BF$4),'Basis Options'!$AF:$AF)</f>
        <v>0</v>
      </c>
      <c r="BG7" s="134" t="n">
        <f aca="false">SUMIF('Basis Options'!$X:$X,CONCATENATE($AK7,BG$4),'Basis Options'!$AF:$AF)</f>
        <v>0</v>
      </c>
      <c r="BH7" s="134" t="e">
        <f aca="false">SUMIF('Basis Options'!$X:$X,CONCATENATE($AK7,BH$4),'Basis Options'!$AF:$AF)</f>
        <v>#NAME?</v>
      </c>
      <c r="BI7" s="134" t="e">
        <f aca="false">SUMIF('Basis Options'!$X:$X,CONCATENATE($AK7,BI$4),'Basis Options'!$AF:$AF)</f>
        <v>#NAME?</v>
      </c>
      <c r="BJ7" s="134" t="n">
        <f aca="false">SUMIF('Basis Options'!$X:$X,CONCATENATE($AK7,BJ$4),'Basis Options'!$AF:$AF)</f>
        <v>0</v>
      </c>
      <c r="BK7" s="134" t="e">
        <f aca="false">SUMIF('Basis Options'!$X:$X,CONCATENATE($AK7,BK$4),'Basis Options'!$AF:$AF)</f>
        <v>#NAME?</v>
      </c>
      <c r="BL7" s="134" t="n">
        <f aca="false">SUMIF('Basis Options'!$X:$X,CONCATENATE($AK7,BL$4),'Basis Options'!$AF:$AF)</f>
        <v>0</v>
      </c>
      <c r="BM7" s="134" t="n">
        <f aca="false">SUMIF('Basis Options'!$X:$X,CONCATENATE($AK7,BM$4),'Basis Options'!$AF:$AF)</f>
        <v>0</v>
      </c>
      <c r="BN7" s="134" t="n">
        <f aca="false">SUMIF('Basis Options'!$X:$X,CONCATENATE($AK7,BN$4),'Basis Options'!$AF:$AF)</f>
        <v>0</v>
      </c>
      <c r="BO7" s="134" t="n">
        <f aca="false">SUMIF('Basis Options'!$X:$X,CONCATENATE($AK7,BO$4),'Basis Options'!$AF:$AF)</f>
        <v>0</v>
      </c>
      <c r="BP7" s="208" t="n">
        <f aca="false">EOMONTH(BP6,0)+1</f>
        <v>36800</v>
      </c>
      <c r="BQ7" s="135" t="e">
        <f aca="false">SUM(BC7:BO7)</f>
        <v>#NAME?</v>
      </c>
      <c r="BS7" s="208" t="n">
        <f aca="false">EOMONTH(BS6,0)+1</f>
        <v>36800</v>
      </c>
      <c r="BT7" s="134" t="e">
        <f aca="false">SUMIF('Basis Options'!$X:$X,CONCATENATE($BS7,BT$4),'Basis Options'!$AI:$AI)</f>
        <v>#NAME?</v>
      </c>
      <c r="BU7" s="134" t="e">
        <f aca="false">SUMIF('Basis Options'!$X:$X,CONCATENATE($BS7,BU$4),'Basis Options'!$AI:$AI)</f>
        <v>#NAME?</v>
      </c>
      <c r="BV7" s="134" t="e">
        <f aca="false">SUMIF('Basis Options'!$X:$X,CONCATENATE($BS7,BV$4),'Basis Options'!$AI:$AI)</f>
        <v>#NAME?</v>
      </c>
      <c r="BW7" s="134" t="n">
        <f aca="false">SUMIF('Basis Options'!$X:$X,CONCATENATE($BS7,BW$4),'Basis Options'!$AI:$AI)</f>
        <v>0</v>
      </c>
      <c r="BX7" s="134" t="n">
        <f aca="false">SUMIF('Basis Options'!$X:$X,CONCATENATE($BS7,BX$4),'Basis Options'!$AI:$AI)</f>
        <v>0</v>
      </c>
      <c r="BY7" s="134" t="e">
        <f aca="false">SUMIF('Basis Options'!$X:$X,CONCATENATE($BS7,BY$4),'Basis Options'!$AI:$AI)</f>
        <v>#NAME?</v>
      </c>
      <c r="BZ7" s="134" t="e">
        <f aca="false">SUMIF('Basis Options'!$X:$X,CONCATENATE($BS7,BZ$4),'Basis Options'!$AI:$AI)</f>
        <v>#NAME?</v>
      </c>
      <c r="CA7" s="134" t="n">
        <f aca="false">SUMIF('Basis Options'!$X:$X,CONCATENATE($BS7,CA$4),'Basis Options'!$AI:$AI)</f>
        <v>0</v>
      </c>
      <c r="CB7" s="134" t="e">
        <f aca="false">SUMIF('Basis Options'!$X:$X,CONCATENATE($BS7,CB$4),'Basis Options'!$AI:$AI)</f>
        <v>#NAME?</v>
      </c>
      <c r="CC7" s="134" t="n">
        <f aca="false">SUMIF('Basis Options'!$X:$X,CONCATENATE($BS7,CC$4),'Basis Options'!$AI:$AI)</f>
        <v>0</v>
      </c>
      <c r="CD7" s="134" t="n">
        <f aca="false">SUMIF('Basis Options'!$X:$X,CONCATENATE($BS7,CD$4),'Basis Options'!$AI:$AI)</f>
        <v>0</v>
      </c>
      <c r="CE7" s="134" t="n">
        <f aca="false">SUMIF('Basis Options'!$X:$X,CONCATENATE($BS7,CE$4),'Basis Options'!$AI:$AI)</f>
        <v>0</v>
      </c>
      <c r="CF7" s="134" t="n">
        <f aca="false">SUMIF('Basis Options'!$X:$X,CONCATENATE($BS7,CF$4),'Basis Options'!$AI:$AI)</f>
        <v>0</v>
      </c>
      <c r="CG7" s="208" t="n">
        <f aca="false">EOMONTH(CG6,0)+1</f>
        <v>36800</v>
      </c>
      <c r="CH7" s="209" t="e">
        <f aca="false">SUM(BT7:CF7)</f>
        <v>#NAME?</v>
      </c>
    </row>
    <row r="8" customFormat="false" ht="12.75" hidden="false" customHeight="false" outlineLevel="0" collapsed="false">
      <c r="A8" s="208" t="n">
        <f aca="false">EOMONTH(A7,0)+1</f>
        <v>36831</v>
      </c>
      <c r="B8" s="134" t="e">
        <f aca="false">SUMIF('Basis Options'!X:X,CONCATENATE($A8,B$4),'Basis Options'!AB:AB)</f>
        <v>#NAME?</v>
      </c>
      <c r="C8" s="134" t="e">
        <f aca="false">SUMIF('Basis Options'!$X:$X,CONCATENATE($A8,C$4),'Basis Options'!$AB:$AB)</f>
        <v>#NAME?</v>
      </c>
      <c r="D8" s="134" t="e">
        <f aca="false">SUMIF('Basis Options'!$X:$X,CONCATENATE($A8,D$4),'Basis Options'!$AB:$AB)</f>
        <v>#NAME?</v>
      </c>
      <c r="E8" s="134" t="e">
        <f aca="false">SUMIF('Basis Options'!$X:$X,CONCATENATE($A8,E$4),'Basis Options'!$AB:$AB)</f>
        <v>#NAME?</v>
      </c>
      <c r="F8" s="134" t="n">
        <f aca="false">SUMIF('Basis Options'!$X:$X,CONCATENATE($A8,F$4),'Basis Options'!$AB:$AB)</f>
        <v>0</v>
      </c>
      <c r="G8" s="134" t="e">
        <f aca="false">SUMIF('Basis Options'!$X:$X,CONCATENATE($A8,G$4),'Basis Options'!$AB:$AB)</f>
        <v>#NAME?</v>
      </c>
      <c r="H8" s="134" t="e">
        <f aca="false">SUMIF('Basis Options'!$X:$X,CONCATENATE($A8,H$4),'Basis Options'!$AB:$AB)</f>
        <v>#NAME?</v>
      </c>
      <c r="I8" s="134" t="n">
        <f aca="false">SUMIF('Basis Options'!$X:$X,CONCATENATE($A8,I$4),'Basis Options'!$AB:$AB)</f>
        <v>0</v>
      </c>
      <c r="J8" s="134" t="n">
        <f aca="false">SUMIF('Basis Options'!$X:$X,CONCATENATE($A8,J$4),'Basis Options'!$AB:$AB)</f>
        <v>0</v>
      </c>
      <c r="K8" s="134" t="e">
        <f aca="false">SUMIF('Basis Options'!$X:$X,CONCATENATE($A8,K$4),'Basis Options'!$AB:$AB)</f>
        <v>#NAME?</v>
      </c>
      <c r="L8" s="134" t="e">
        <f aca="false">SUMIF('Basis Options'!$X:$X,CONCATENATE($A8,L$4),'Basis Options'!$AB:$AB)</f>
        <v>#NAME?</v>
      </c>
      <c r="M8" s="134" t="e">
        <f aca="false">SUMIF('Basis Options'!$X:$X,CONCATENATE($A8,M$4),'Basis Options'!$AB:$AB)</f>
        <v>#NAME?</v>
      </c>
      <c r="N8" s="134" t="e">
        <f aca="false">SUMIF('Basis Options'!$X:$X,CONCATENATE($A8,N$4),'Basis Options'!$AB:$AB)</f>
        <v>#NAME?</v>
      </c>
      <c r="O8" s="208" t="n">
        <f aca="false">EOMONTH(O7,0)+1</f>
        <v>36831</v>
      </c>
      <c r="P8" s="135" t="e">
        <f aca="false">SUM(B8:N8)</f>
        <v>#NAME?</v>
      </c>
      <c r="R8" s="134" t="e">
        <f aca="false">SUM(T8:AE8)</f>
        <v>#NAME?</v>
      </c>
      <c r="S8" s="208" t="n">
        <f aca="false">EOMONTH(S7,0)+1</f>
        <v>36831</v>
      </c>
      <c r="T8" s="134" t="e">
        <f aca="false">SUMIF('Basis Options'!$X:$X,CONCATENATE($S8,T$4),'Basis Options'!$AC:$AC)</f>
        <v>#NAME?</v>
      </c>
      <c r="U8" s="134" t="e">
        <f aca="false">SUMIF('Basis Options'!$X:$X,CONCATENATE($S8,U$4),'Basis Options'!$AC:$AC)</f>
        <v>#NAME?</v>
      </c>
      <c r="V8" s="134" t="e">
        <f aca="false">SUMIF('Basis Options'!$X:$X,CONCATENATE($S8,V$4),'Basis Options'!$AC:$AC)</f>
        <v>#NAME?</v>
      </c>
      <c r="W8" s="134" t="e">
        <f aca="false">SUMIF('Basis Options'!$X:$X,CONCATENATE($S8,W$4),'Basis Options'!$AC:$AC)</f>
        <v>#NAME?</v>
      </c>
      <c r="X8" s="134" t="n">
        <f aca="false">SUMIF('Basis Options'!$X:$X,CONCATENATE($S8,X$4),'Basis Options'!$AC:$AC)</f>
        <v>0</v>
      </c>
      <c r="Y8" s="134" t="e">
        <f aca="false">SUMIF('Basis Options'!$X:$X,CONCATENATE($S8,Y$4),'Basis Options'!$AC:$AC)</f>
        <v>#NAME?</v>
      </c>
      <c r="Z8" s="134" t="e">
        <f aca="false">SUMIF('Basis Options'!$X:$X,CONCATENATE($S8,Z$4),'Basis Options'!$AC:$AC)</f>
        <v>#NAME?</v>
      </c>
      <c r="AA8" s="134" t="n">
        <f aca="false">SUMIF('Basis Options'!$X:$X,CONCATENATE($S8,AA$4),'Basis Options'!$AC:$AC)</f>
        <v>0</v>
      </c>
      <c r="AB8" s="134" t="n">
        <f aca="false">SUMIF('Basis Options'!$X:$X,CONCATENATE($S8,AB$4),'Basis Options'!$AC:$AC)</f>
        <v>0</v>
      </c>
      <c r="AC8" s="134" t="e">
        <f aca="false">SUMIF('Basis Options'!$X:$X,CONCATENATE($S8,AC$4),'Basis Options'!$AC:$AC)</f>
        <v>#NAME?</v>
      </c>
      <c r="AD8" s="134" t="e">
        <f aca="false">SUMIF('Basis Options'!$X:$X,CONCATENATE($S8,AD$4),'Basis Options'!$AC:$AC)</f>
        <v>#NAME?</v>
      </c>
      <c r="AE8" s="134" t="e">
        <f aca="false">SUMIF('Basis Options'!$X:$X,CONCATENATE($S8,AE$4),'Basis Options'!$AC:$AC)</f>
        <v>#NAME?</v>
      </c>
      <c r="AF8" s="134" t="e">
        <f aca="false">SUMIF('Basis Options'!$X:$X,CONCATENATE($S8,AF$4),'Basis Options'!$AC:$AC)</f>
        <v>#NAME?</v>
      </c>
      <c r="AG8" s="208" t="n">
        <f aca="false">EOMONTH(AG7,0)+1</f>
        <v>36831</v>
      </c>
      <c r="AH8" s="135" t="e">
        <f aca="false">SUM(T8:AF8)</f>
        <v>#NAME?</v>
      </c>
      <c r="AK8" s="208" t="n">
        <f aca="false">EOMONTH(AK7,0)+1</f>
        <v>36831</v>
      </c>
      <c r="AL8" s="134" t="e">
        <f aca="false">SUMIF('Basis Options'!$X:$X,CONCATENATE($AK8,AL$4),'Basis Options'!$AD:$AD)</f>
        <v>#NAME?</v>
      </c>
      <c r="AM8" s="134" t="e">
        <f aca="false">SUMIF('Basis Options'!$X:$X,CONCATENATE($AK8,AM$4),'Basis Options'!$AD:$AD)</f>
        <v>#NAME?</v>
      </c>
      <c r="AN8" s="134" t="e">
        <f aca="false">SUMIF('Basis Options'!$X:$X,CONCATENATE($AK8,AN$4),'Basis Options'!$AD:$AD)</f>
        <v>#NAME?</v>
      </c>
      <c r="AO8" s="134" t="e">
        <f aca="false">SUMIF('Basis Options'!$X:$X,CONCATENATE($AK8,AO$4),'Basis Options'!$AD:$AD)</f>
        <v>#NAME?</v>
      </c>
      <c r="AP8" s="134" t="n">
        <f aca="false">SUMIF('Basis Options'!$X:$X,CONCATENATE($AK8,AP$4),'Basis Options'!$AD:$AD)</f>
        <v>0</v>
      </c>
      <c r="AQ8" s="134" t="e">
        <f aca="false">SUMIF('Basis Options'!$X:$X,CONCATENATE($AK8,AQ$4),'Basis Options'!$AD:$AD)</f>
        <v>#NAME?</v>
      </c>
      <c r="AR8" s="134" t="e">
        <f aca="false">SUMIF('Basis Options'!$X:$X,CONCATENATE($AK8,AR$4),'Basis Options'!$AD:$AD)</f>
        <v>#NAME?</v>
      </c>
      <c r="AS8" s="134" t="n">
        <f aca="false">SUMIF('Basis Options'!$X:$X,CONCATENATE($AK8,AS$4),'Basis Options'!$AD:$AD)</f>
        <v>0</v>
      </c>
      <c r="AT8" s="134" t="n">
        <f aca="false">SUMIF('Basis Options'!$X:$X,CONCATENATE($AK8,AT$4),'Basis Options'!$AD:$AD)</f>
        <v>0</v>
      </c>
      <c r="AU8" s="134" t="e">
        <f aca="false">SUMIF('Basis Options'!$X:$X,CONCATENATE($AK8,AU$4),'Basis Options'!$AD:$AD)</f>
        <v>#NAME?</v>
      </c>
      <c r="AV8" s="134" t="e">
        <f aca="false">SUMIF('Basis Options'!$X:$X,CONCATENATE($AK8,AV$4),'Basis Options'!$AD:$AD)</f>
        <v>#NAME?</v>
      </c>
      <c r="AW8" s="134" t="e">
        <f aca="false">SUMIF('Basis Options'!$X:$X,CONCATENATE($AK8,AW$4),'Basis Options'!$AD:$AD)</f>
        <v>#NAME?</v>
      </c>
      <c r="AX8" s="134" t="e">
        <f aca="false">SUMIF('Basis Options'!$X:$X,CONCATENATE($AK8,AX$4),'Basis Options'!$AD:$AD)</f>
        <v>#NAME?</v>
      </c>
      <c r="AY8" s="208" t="n">
        <f aca="false">EOMONTH(AY7,0)+1</f>
        <v>36831</v>
      </c>
      <c r="AZ8" s="135" t="e">
        <f aca="false">SUM(AL8:AX8)</f>
        <v>#NAME?</v>
      </c>
      <c r="BB8" s="208" t="n">
        <f aca="false">EOMONTH(BB7,0)+1</f>
        <v>36831</v>
      </c>
      <c r="BC8" s="134" t="e">
        <f aca="false">SUMIF('Basis Options'!$X:$X,CONCATENATE($AK8,BC$4),'Basis Options'!$AF:$AF)</f>
        <v>#NAME?</v>
      </c>
      <c r="BD8" s="134" t="e">
        <f aca="false">SUMIF('Basis Options'!$X:$X,CONCATENATE($AK8,BD$4),'Basis Options'!$AF:$AF)</f>
        <v>#NAME?</v>
      </c>
      <c r="BE8" s="134" t="e">
        <f aca="false">SUMIF('Basis Options'!$X:$X,CONCATENATE($AK8,BE$4),'Basis Options'!$AF:$AF)</f>
        <v>#NAME?</v>
      </c>
      <c r="BF8" s="134" t="e">
        <f aca="false">SUMIF('Basis Options'!$X:$X,CONCATENATE($AK8,BF$4),'Basis Options'!$AF:$AF)</f>
        <v>#NAME?</v>
      </c>
      <c r="BG8" s="134" t="n">
        <f aca="false">SUMIF('Basis Options'!$X:$X,CONCATENATE($AK8,BG$4),'Basis Options'!$AF:$AF)</f>
        <v>0</v>
      </c>
      <c r="BH8" s="134" t="e">
        <f aca="false">SUMIF('Basis Options'!$X:$X,CONCATENATE($AK8,BH$4),'Basis Options'!$AF:$AF)</f>
        <v>#NAME?</v>
      </c>
      <c r="BI8" s="134" t="e">
        <f aca="false">SUMIF('Basis Options'!$X:$X,CONCATENATE($AK8,BI$4),'Basis Options'!$AF:$AF)</f>
        <v>#NAME?</v>
      </c>
      <c r="BJ8" s="134" t="n">
        <f aca="false">SUMIF('Basis Options'!$X:$X,CONCATENATE($AK8,BJ$4),'Basis Options'!$AF:$AF)</f>
        <v>0</v>
      </c>
      <c r="BK8" s="134" t="n">
        <f aca="false">SUMIF('Basis Options'!$X:$X,CONCATENATE($AK8,BK$4),'Basis Options'!$AF:$AF)</f>
        <v>0</v>
      </c>
      <c r="BL8" s="134" t="e">
        <f aca="false">SUMIF('Basis Options'!$X:$X,CONCATENATE($AK8,BL$4),'Basis Options'!$AF:$AF)</f>
        <v>#NAME?</v>
      </c>
      <c r="BM8" s="134" t="e">
        <f aca="false">SUMIF('Basis Options'!$X:$X,CONCATENATE($AK8,BM$4),'Basis Options'!$AF:$AF)</f>
        <v>#NAME?</v>
      </c>
      <c r="BN8" s="134" t="e">
        <f aca="false">SUMIF('Basis Options'!$X:$X,CONCATENATE($AK8,BN$4),'Basis Options'!$AF:$AF)</f>
        <v>#NAME?</v>
      </c>
      <c r="BO8" s="134" t="e">
        <f aca="false">SUMIF('Basis Options'!$X:$X,CONCATENATE($AK8,BO$4),'Basis Options'!$AF:$AF)</f>
        <v>#NAME?</v>
      </c>
      <c r="BP8" s="208" t="n">
        <f aca="false">EOMONTH(BP7,0)+1</f>
        <v>36831</v>
      </c>
      <c r="BQ8" s="135" t="e">
        <f aca="false">SUM(BC8:BO8)</f>
        <v>#NAME?</v>
      </c>
      <c r="BS8" s="208" t="n">
        <f aca="false">EOMONTH(BS7,0)+1</f>
        <v>36831</v>
      </c>
      <c r="BT8" s="134" t="e">
        <f aca="false">SUMIF('Basis Options'!$X:$X,CONCATENATE($BS8,BT$4),'Basis Options'!$AI:$AI)</f>
        <v>#NAME?</v>
      </c>
      <c r="BU8" s="134" t="e">
        <f aca="false">SUMIF('Basis Options'!$X:$X,CONCATENATE($BS8,BU$4),'Basis Options'!$AI:$AI)</f>
        <v>#NAME?</v>
      </c>
      <c r="BV8" s="134" t="e">
        <f aca="false">SUMIF('Basis Options'!$X:$X,CONCATENATE($BS8,BV$4),'Basis Options'!$AI:$AI)</f>
        <v>#NAME?</v>
      </c>
      <c r="BW8" s="134" t="e">
        <f aca="false">SUMIF('Basis Options'!$X:$X,CONCATENATE($BS8,BW$4),'Basis Options'!$AI:$AI)</f>
        <v>#NAME?</v>
      </c>
      <c r="BX8" s="134" t="n">
        <f aca="false">SUMIF('Basis Options'!$X:$X,CONCATENATE($BS8,BX$4),'Basis Options'!$AI:$AI)</f>
        <v>0</v>
      </c>
      <c r="BY8" s="134" t="e">
        <f aca="false">SUMIF('Basis Options'!$X:$X,CONCATENATE($BS8,BY$4),'Basis Options'!$AI:$AI)</f>
        <v>#NAME?</v>
      </c>
      <c r="BZ8" s="134" t="e">
        <f aca="false">SUMIF('Basis Options'!$X:$X,CONCATENATE($BS8,BZ$4),'Basis Options'!$AI:$AI)</f>
        <v>#NAME?</v>
      </c>
      <c r="CA8" s="134" t="n">
        <f aca="false">SUMIF('Basis Options'!$X:$X,CONCATENATE($BS8,CA$4),'Basis Options'!$AI:$AI)</f>
        <v>0</v>
      </c>
      <c r="CB8" s="134" t="n">
        <f aca="false">SUMIF('Basis Options'!$X:$X,CONCATENATE($BS8,CB$4),'Basis Options'!$AI:$AI)</f>
        <v>0</v>
      </c>
      <c r="CC8" s="134" t="e">
        <f aca="false">SUMIF('Basis Options'!$X:$X,CONCATENATE($BS8,CC$4),'Basis Options'!$AI:$AI)</f>
        <v>#NAME?</v>
      </c>
      <c r="CD8" s="134" t="e">
        <f aca="false">SUMIF('Basis Options'!$X:$X,CONCATENATE($BS8,CD$4),'Basis Options'!$AI:$AI)</f>
        <v>#NAME?</v>
      </c>
      <c r="CE8" s="134" t="e">
        <f aca="false">SUMIF('Basis Options'!$X:$X,CONCATENATE($BS8,CE$4),'Basis Options'!$AI:$AI)</f>
        <v>#NAME?</v>
      </c>
      <c r="CF8" s="134" t="e">
        <f aca="false">SUMIF('Basis Options'!$X:$X,CONCATENATE($BS8,CF$4),'Basis Options'!$AI:$AI)</f>
        <v>#NAME?</v>
      </c>
      <c r="CG8" s="208" t="n">
        <f aca="false">EOMONTH(CG7,0)+1</f>
        <v>36831</v>
      </c>
      <c r="CH8" s="209" t="e">
        <f aca="false">SUM(BT8:CF8)</f>
        <v>#NAME?</v>
      </c>
    </row>
    <row r="9" customFormat="false" ht="12.75" hidden="false" customHeight="false" outlineLevel="0" collapsed="false">
      <c r="A9" s="208" t="n">
        <f aca="false">EOMONTH(A8,0)+1</f>
        <v>36861</v>
      </c>
      <c r="B9" s="210" t="e">
        <f aca="false">SUMIF('Basis Options'!X:X,CONCATENATE($A9,B$4),'Basis Options'!AB:AB)</f>
        <v>#NAME?</v>
      </c>
      <c r="C9" s="134" t="e">
        <f aca="false">SUMIF('Basis Options'!$X:$X,CONCATENATE($A9,C$4),'Basis Options'!$AB:$AB)</f>
        <v>#NAME?</v>
      </c>
      <c r="D9" s="134" t="e">
        <f aca="false">SUMIF('Basis Options'!$X:$X,CONCATENATE($A9,D$4),'Basis Options'!$AB:$AB)</f>
        <v>#NAME?</v>
      </c>
      <c r="E9" s="134" t="e">
        <f aca="false">SUMIF('Basis Options'!$X:$X,CONCATENATE($A9,E$4),'Basis Options'!$AB:$AB)</f>
        <v>#NAME?</v>
      </c>
      <c r="F9" s="134" t="n">
        <f aca="false">SUMIF('Basis Options'!$X:$X,CONCATENATE($A9,F$4),'Basis Options'!$AB:$AB)</f>
        <v>0</v>
      </c>
      <c r="G9" s="134" t="e">
        <f aca="false">SUMIF('Basis Options'!$X:$X,CONCATENATE($A9,G$4),'Basis Options'!$AB:$AB)</f>
        <v>#NAME?</v>
      </c>
      <c r="H9" s="134" t="e">
        <f aca="false">SUMIF('Basis Options'!$X:$X,CONCATENATE($A9,H$4),'Basis Options'!$AB:$AB)</f>
        <v>#NAME?</v>
      </c>
      <c r="I9" s="134" t="n">
        <f aca="false">SUMIF('Basis Options'!$X:$X,CONCATENATE($A9,I$4),'Basis Options'!$AB:$AB)</f>
        <v>0</v>
      </c>
      <c r="J9" s="134" t="n">
        <f aca="false">SUMIF('Basis Options'!$X:$X,CONCATENATE($A9,J$4),'Basis Options'!$AB:$AB)</f>
        <v>0</v>
      </c>
      <c r="K9" s="134" t="e">
        <f aca="false">SUMIF('Basis Options'!$X:$X,CONCATENATE($A9,K$4),'Basis Options'!$AB:$AB)</f>
        <v>#NAME?</v>
      </c>
      <c r="L9" s="134" t="e">
        <f aca="false">SUMIF('Basis Options'!$X:$X,CONCATENATE($A9,L$4),'Basis Options'!$AB:$AB)</f>
        <v>#NAME?</v>
      </c>
      <c r="M9" s="134" t="e">
        <f aca="false">SUMIF('Basis Options'!$X:$X,CONCATENATE($A9,M$4),'Basis Options'!$AB:$AB)</f>
        <v>#NAME?</v>
      </c>
      <c r="N9" s="134" t="e">
        <f aca="false">SUMIF('Basis Options'!$X:$X,CONCATENATE($A9,N$4),'Basis Options'!$AB:$AB)</f>
        <v>#NAME?</v>
      </c>
      <c r="O9" s="208" t="n">
        <f aca="false">EOMONTH(O8,0)+1</f>
        <v>36861</v>
      </c>
      <c r="P9" s="135" t="e">
        <f aca="false">SUM(B9:N9)</f>
        <v>#NAME?</v>
      </c>
      <c r="R9" s="134" t="e">
        <f aca="false">SUM(T9:AE9)</f>
        <v>#NAME?</v>
      </c>
      <c r="S9" s="208" t="n">
        <f aca="false">EOMONTH(S8,0)+1</f>
        <v>36861</v>
      </c>
      <c r="T9" s="134" t="e">
        <f aca="false">SUMIF('Basis Options'!$X:$X,CONCATENATE($S9,T$4),'Basis Options'!$AC:$AC)</f>
        <v>#NAME?</v>
      </c>
      <c r="U9" s="134" t="e">
        <f aca="false">SUMIF('Basis Options'!$X:$X,CONCATENATE($S9,U$4),'Basis Options'!$AC:$AC)</f>
        <v>#NAME?</v>
      </c>
      <c r="V9" s="134" t="e">
        <f aca="false">SUMIF('Basis Options'!$X:$X,CONCATENATE($S9,V$4),'Basis Options'!$AC:$AC)</f>
        <v>#NAME?</v>
      </c>
      <c r="W9" s="134" t="e">
        <f aca="false">SUMIF('Basis Options'!$X:$X,CONCATENATE($S9,W$4),'Basis Options'!$AC:$AC)</f>
        <v>#NAME?</v>
      </c>
      <c r="X9" s="134" t="n">
        <f aca="false">SUMIF('Basis Options'!$X:$X,CONCATENATE($S9,X$4),'Basis Options'!$AC:$AC)</f>
        <v>0</v>
      </c>
      <c r="Y9" s="134" t="e">
        <f aca="false">SUMIF('Basis Options'!$X:$X,CONCATENATE($S9,Y$4),'Basis Options'!$AC:$AC)</f>
        <v>#NAME?</v>
      </c>
      <c r="Z9" s="134" t="e">
        <f aca="false">SUMIF('Basis Options'!$X:$X,CONCATENATE($S9,Z$4),'Basis Options'!$AC:$AC)</f>
        <v>#NAME?</v>
      </c>
      <c r="AA9" s="134" t="n">
        <f aca="false">SUMIF('Basis Options'!$X:$X,CONCATENATE($S9,AA$4),'Basis Options'!$AC:$AC)</f>
        <v>0</v>
      </c>
      <c r="AB9" s="134" t="n">
        <f aca="false">SUMIF('Basis Options'!$X:$X,CONCATENATE($S9,AB$4),'Basis Options'!$AC:$AC)</f>
        <v>0</v>
      </c>
      <c r="AC9" s="134" t="e">
        <f aca="false">SUMIF('Basis Options'!$X:$X,CONCATENATE($S9,AC$4),'Basis Options'!$AC:$AC)</f>
        <v>#NAME?</v>
      </c>
      <c r="AD9" s="134" t="e">
        <f aca="false">SUMIF('Basis Options'!$X:$X,CONCATENATE($S9,AD$4),'Basis Options'!$AC:$AC)</f>
        <v>#NAME?</v>
      </c>
      <c r="AE9" s="134" t="e">
        <f aca="false">SUMIF('Basis Options'!$X:$X,CONCATENATE($S9,AE$4),'Basis Options'!$AC:$AC)</f>
        <v>#NAME?</v>
      </c>
      <c r="AF9" s="134" t="e">
        <f aca="false">SUMIF('Basis Options'!$X:$X,CONCATENATE($S9,AF$4),'Basis Options'!$AC:$AC)</f>
        <v>#NAME?</v>
      </c>
      <c r="AG9" s="208" t="n">
        <f aca="false">EOMONTH(AG8,0)+1</f>
        <v>36861</v>
      </c>
      <c r="AH9" s="135" t="e">
        <f aca="false">SUM(T9:AF9)</f>
        <v>#NAME?</v>
      </c>
      <c r="AK9" s="208" t="n">
        <f aca="false">EOMONTH(AK8,0)+1</f>
        <v>36861</v>
      </c>
      <c r="AL9" s="134" t="e">
        <f aca="false">SUMIF('Basis Options'!$X:$X,CONCATENATE($AK9,AL$4),'Basis Options'!$AD:$AD)</f>
        <v>#NAME?</v>
      </c>
      <c r="AM9" s="134" t="e">
        <f aca="false">SUMIF('Basis Options'!$X:$X,CONCATENATE($AK9,AM$4),'Basis Options'!$AD:$AD)</f>
        <v>#NAME?</v>
      </c>
      <c r="AN9" s="134" t="e">
        <f aca="false">SUMIF('Basis Options'!$X:$X,CONCATENATE($AK9,AN$4),'Basis Options'!$AD:$AD)</f>
        <v>#NAME?</v>
      </c>
      <c r="AO9" s="134" t="e">
        <f aca="false">SUMIF('Basis Options'!$X:$X,CONCATENATE($AK9,AO$4),'Basis Options'!$AD:$AD)</f>
        <v>#NAME?</v>
      </c>
      <c r="AP9" s="134" t="n">
        <f aca="false">SUMIF('Basis Options'!$X:$X,CONCATENATE($AK9,AP$4),'Basis Options'!$AD:$AD)</f>
        <v>0</v>
      </c>
      <c r="AQ9" s="134" t="e">
        <f aca="false">SUMIF('Basis Options'!$X:$X,CONCATENATE($AK9,AQ$4),'Basis Options'!$AD:$AD)</f>
        <v>#NAME?</v>
      </c>
      <c r="AR9" s="134" t="e">
        <f aca="false">SUMIF('Basis Options'!$X:$X,CONCATENATE($AK9,AR$4),'Basis Options'!$AD:$AD)</f>
        <v>#NAME?</v>
      </c>
      <c r="AS9" s="134" t="n">
        <f aca="false">SUMIF('Basis Options'!$X:$X,CONCATENATE($AK9,AS$4),'Basis Options'!$AD:$AD)</f>
        <v>0</v>
      </c>
      <c r="AT9" s="134" t="n">
        <f aca="false">SUMIF('Basis Options'!$X:$X,CONCATENATE($AK9,AT$4),'Basis Options'!$AD:$AD)</f>
        <v>0</v>
      </c>
      <c r="AU9" s="134" t="e">
        <f aca="false">SUMIF('Basis Options'!$X:$X,CONCATENATE($AK9,AU$4),'Basis Options'!$AD:$AD)</f>
        <v>#NAME?</v>
      </c>
      <c r="AV9" s="134" t="e">
        <f aca="false">SUMIF('Basis Options'!$X:$X,CONCATENATE($AK9,AV$4),'Basis Options'!$AD:$AD)</f>
        <v>#NAME?</v>
      </c>
      <c r="AW9" s="134" t="e">
        <f aca="false">SUMIF('Basis Options'!$X:$X,CONCATENATE($AK9,AW$4),'Basis Options'!$AD:$AD)</f>
        <v>#NAME?</v>
      </c>
      <c r="AX9" s="134" t="e">
        <f aca="false">SUMIF('Basis Options'!$X:$X,CONCATENATE($AK9,AX$4),'Basis Options'!$AD:$AD)</f>
        <v>#NAME?</v>
      </c>
      <c r="AY9" s="208" t="n">
        <f aca="false">EOMONTH(AY8,0)+1</f>
        <v>36861</v>
      </c>
      <c r="AZ9" s="135" t="e">
        <f aca="false">SUM(AL9:AX9)</f>
        <v>#NAME?</v>
      </c>
      <c r="BB9" s="208" t="n">
        <f aca="false">EOMONTH(BB8,0)+1</f>
        <v>36861</v>
      </c>
      <c r="BC9" s="134" t="e">
        <f aca="false">SUMIF('Basis Options'!$X:$X,CONCATENATE($AK9,BC$4),'Basis Options'!$AF:$AF)</f>
        <v>#NAME?</v>
      </c>
      <c r="BD9" s="134" t="e">
        <f aca="false">SUMIF('Basis Options'!$X:$X,CONCATENATE($AK9,BD$4),'Basis Options'!$AF:$AF)</f>
        <v>#NAME?</v>
      </c>
      <c r="BE9" s="134" t="e">
        <f aca="false">SUMIF('Basis Options'!$X:$X,CONCATENATE($AK9,BE$4),'Basis Options'!$AF:$AF)</f>
        <v>#NAME?</v>
      </c>
      <c r="BF9" s="134" t="e">
        <f aca="false">SUMIF('Basis Options'!$X:$X,CONCATENATE($AK9,BF$4),'Basis Options'!$AF:$AF)</f>
        <v>#NAME?</v>
      </c>
      <c r="BG9" s="134" t="n">
        <f aca="false">SUMIF('Basis Options'!$X:$X,CONCATENATE($AK9,BG$4),'Basis Options'!$AF:$AF)</f>
        <v>0</v>
      </c>
      <c r="BH9" s="134" t="e">
        <f aca="false">SUMIF('Basis Options'!$X:$X,CONCATENATE($AK9,BH$4),'Basis Options'!$AF:$AF)</f>
        <v>#NAME?</v>
      </c>
      <c r="BI9" s="134" t="e">
        <f aca="false">SUMIF('Basis Options'!$X:$X,CONCATENATE($AK9,BI$4),'Basis Options'!$AF:$AF)</f>
        <v>#NAME?</v>
      </c>
      <c r="BJ9" s="134" t="n">
        <f aca="false">SUMIF('Basis Options'!$X:$X,CONCATENATE($AK9,BJ$4),'Basis Options'!$AF:$AF)</f>
        <v>0</v>
      </c>
      <c r="BK9" s="134" t="n">
        <f aca="false">SUMIF('Basis Options'!$X:$X,CONCATENATE($AK9,BK$4),'Basis Options'!$AF:$AF)</f>
        <v>0</v>
      </c>
      <c r="BL9" s="134" t="e">
        <f aca="false">SUMIF('Basis Options'!$X:$X,CONCATENATE($AK9,BL$4),'Basis Options'!$AF:$AF)</f>
        <v>#NAME?</v>
      </c>
      <c r="BM9" s="134" t="e">
        <f aca="false">SUMIF('Basis Options'!$X:$X,CONCATENATE($AK9,BM$4),'Basis Options'!$AF:$AF)</f>
        <v>#NAME?</v>
      </c>
      <c r="BN9" s="134" t="e">
        <f aca="false">SUMIF('Basis Options'!$X:$X,CONCATENATE($AK9,BN$4),'Basis Options'!$AF:$AF)</f>
        <v>#NAME?</v>
      </c>
      <c r="BO9" s="134" t="e">
        <f aca="false">SUMIF('Basis Options'!$X:$X,CONCATENATE($AK9,BO$4),'Basis Options'!$AF:$AF)</f>
        <v>#NAME?</v>
      </c>
      <c r="BP9" s="208" t="n">
        <f aca="false">EOMONTH(BP8,0)+1</f>
        <v>36861</v>
      </c>
      <c r="BQ9" s="135" t="e">
        <f aca="false">SUM(BC9:BO9)</f>
        <v>#NAME?</v>
      </c>
      <c r="BS9" s="208" t="n">
        <f aca="false">EOMONTH(BS8,0)+1</f>
        <v>36861</v>
      </c>
      <c r="BT9" s="134" t="e">
        <f aca="false">SUMIF('Basis Options'!$X:$X,CONCATENATE($BS9,BT$4),'Basis Options'!$AI:$AI)</f>
        <v>#NAME?</v>
      </c>
      <c r="BU9" s="134" t="e">
        <f aca="false">SUMIF('Basis Options'!$X:$X,CONCATENATE($BS9,BU$4),'Basis Options'!$AI:$AI)</f>
        <v>#NAME?</v>
      </c>
      <c r="BV9" s="134" t="e">
        <f aca="false">SUMIF('Basis Options'!$X:$X,CONCATENATE($BS9,BV$4),'Basis Options'!$AI:$AI)</f>
        <v>#NAME?</v>
      </c>
      <c r="BW9" s="134" t="e">
        <f aca="false">SUMIF('Basis Options'!$X:$X,CONCATENATE($BS9,BW$4),'Basis Options'!$AI:$AI)</f>
        <v>#NAME?</v>
      </c>
      <c r="BX9" s="134" t="n">
        <f aca="false">SUMIF('Basis Options'!$X:$X,CONCATENATE($BS9,BX$4),'Basis Options'!$AI:$AI)</f>
        <v>0</v>
      </c>
      <c r="BY9" s="134" t="e">
        <f aca="false">SUMIF('Basis Options'!$X:$X,CONCATENATE($BS9,BY$4),'Basis Options'!$AI:$AI)</f>
        <v>#NAME?</v>
      </c>
      <c r="BZ9" s="134" t="e">
        <f aca="false">SUMIF('Basis Options'!$X:$X,CONCATENATE($BS9,BZ$4),'Basis Options'!$AI:$AI)</f>
        <v>#NAME?</v>
      </c>
      <c r="CA9" s="134" t="n">
        <f aca="false">SUMIF('Basis Options'!$X:$X,CONCATENATE($BS9,CA$4),'Basis Options'!$AI:$AI)</f>
        <v>0</v>
      </c>
      <c r="CB9" s="134" t="n">
        <f aca="false">SUMIF('Basis Options'!$X:$X,CONCATENATE($BS9,CB$4),'Basis Options'!$AI:$AI)</f>
        <v>0</v>
      </c>
      <c r="CC9" s="134" t="e">
        <f aca="false">SUMIF('Basis Options'!$X:$X,CONCATENATE($BS9,CC$4),'Basis Options'!$AI:$AI)</f>
        <v>#NAME?</v>
      </c>
      <c r="CD9" s="134" t="e">
        <f aca="false">SUMIF('Basis Options'!$X:$X,CONCATENATE($BS9,CD$4),'Basis Options'!$AI:$AI)</f>
        <v>#NAME?</v>
      </c>
      <c r="CE9" s="134" t="e">
        <f aca="false">SUMIF('Basis Options'!$X:$X,CONCATENATE($BS9,CE$4),'Basis Options'!$AI:$AI)</f>
        <v>#NAME?</v>
      </c>
      <c r="CF9" s="134" t="e">
        <f aca="false">SUMIF('Basis Options'!$X:$X,CONCATENATE($BS9,CF$4),'Basis Options'!$AI:$AI)</f>
        <v>#NAME?</v>
      </c>
      <c r="CG9" s="208" t="n">
        <f aca="false">EOMONTH(CG8,0)+1</f>
        <v>36861</v>
      </c>
      <c r="CH9" s="209" t="e">
        <f aca="false">SUM(BT9:CF9)</f>
        <v>#NAME?</v>
      </c>
    </row>
    <row r="10" customFormat="false" ht="12.75" hidden="false" customHeight="false" outlineLevel="0" collapsed="false">
      <c r="A10" s="208" t="n">
        <f aca="false">EOMONTH(A9,0)+1</f>
        <v>36892</v>
      </c>
      <c r="B10" s="210" t="e">
        <f aca="false">SUMIF('Basis Options'!X:X,CONCATENATE($A10,B$4),'Basis Options'!AB:AB)</f>
        <v>#NAME?</v>
      </c>
      <c r="C10" s="134" t="e">
        <f aca="false">SUMIF('Basis Options'!$X:$X,CONCATENATE($A10,C$4),'Basis Options'!$AB:$AB)</f>
        <v>#NAME?</v>
      </c>
      <c r="D10" s="134" t="e">
        <f aca="false">SUMIF('Basis Options'!$X:$X,CONCATENATE($A10,D$4),'Basis Options'!$AB:$AB)</f>
        <v>#NAME?</v>
      </c>
      <c r="E10" s="134" t="e">
        <f aca="false">SUMIF('Basis Options'!$X:$X,CONCATENATE($A10,E$4),'Basis Options'!$AB:$AB)</f>
        <v>#NAME?</v>
      </c>
      <c r="F10" s="134" t="n">
        <f aca="false">SUMIF('Basis Options'!$X:$X,CONCATENATE($A10,F$4),'Basis Options'!$AB:$AB)</f>
        <v>0</v>
      </c>
      <c r="G10" s="134" t="e">
        <f aca="false">SUMIF('Basis Options'!$X:$X,CONCATENATE($A10,G$4),'Basis Options'!$AB:$AB)</f>
        <v>#NAME?</v>
      </c>
      <c r="H10" s="134" t="e">
        <f aca="false">SUMIF('Basis Options'!$X:$X,CONCATENATE($A10,H$4),'Basis Options'!$AB:$AB)</f>
        <v>#NAME?</v>
      </c>
      <c r="I10" s="134" t="n">
        <f aca="false">SUMIF('Basis Options'!$X:$X,CONCATENATE($A10,I$4),'Basis Options'!$AB:$AB)</f>
        <v>0</v>
      </c>
      <c r="J10" s="134" t="n">
        <f aca="false">SUMIF('Basis Options'!$X:$X,CONCATENATE($A10,J$4),'Basis Options'!$AB:$AB)</f>
        <v>0</v>
      </c>
      <c r="K10" s="134" t="e">
        <f aca="false">SUMIF('Basis Options'!$X:$X,CONCATENATE($A10,K$4),'Basis Options'!$AB:$AB)</f>
        <v>#NAME?</v>
      </c>
      <c r="L10" s="134" t="e">
        <f aca="false">SUMIF('Basis Options'!$X:$X,CONCATENATE($A10,L$4),'Basis Options'!$AB:$AB)</f>
        <v>#NAME?</v>
      </c>
      <c r="M10" s="134" t="e">
        <f aca="false">SUMIF('Basis Options'!$X:$X,CONCATENATE($A10,M$4),'Basis Options'!$AB:$AB)</f>
        <v>#NAME?</v>
      </c>
      <c r="N10" s="134" t="e">
        <f aca="false">SUMIF('Basis Options'!$X:$X,CONCATENATE($A10,N$4),'Basis Options'!$AB:$AB)</f>
        <v>#NAME?</v>
      </c>
      <c r="O10" s="208" t="n">
        <f aca="false">EOMONTH(O9,0)+1</f>
        <v>36892</v>
      </c>
      <c r="P10" s="135" t="e">
        <f aca="false">SUM(B10:N10)</f>
        <v>#NAME?</v>
      </c>
      <c r="R10" s="134" t="e">
        <f aca="false">SUM(T10:AE10)</f>
        <v>#NAME?</v>
      </c>
      <c r="S10" s="208" t="n">
        <f aca="false">EOMONTH(S9,0)+1</f>
        <v>36892</v>
      </c>
      <c r="T10" s="134" t="e">
        <f aca="false">SUMIF('Basis Options'!$X:$X,CONCATENATE($S10,T$4),'Basis Options'!$AC:$AC)</f>
        <v>#NAME?</v>
      </c>
      <c r="U10" s="134" t="e">
        <f aca="false">SUMIF('Basis Options'!$X:$X,CONCATENATE($S10,U$4),'Basis Options'!$AC:$AC)</f>
        <v>#NAME?</v>
      </c>
      <c r="V10" s="134" t="e">
        <f aca="false">SUMIF('Basis Options'!$X:$X,CONCATENATE($S10,V$4),'Basis Options'!$AC:$AC)</f>
        <v>#NAME?</v>
      </c>
      <c r="W10" s="134" t="e">
        <f aca="false">SUMIF('Basis Options'!$X:$X,CONCATENATE($S10,W$4),'Basis Options'!$AC:$AC)</f>
        <v>#NAME?</v>
      </c>
      <c r="X10" s="134" t="n">
        <f aca="false">SUMIF('Basis Options'!$X:$X,CONCATENATE($S10,X$4),'Basis Options'!$AC:$AC)</f>
        <v>0</v>
      </c>
      <c r="Y10" s="134" t="e">
        <f aca="false">SUMIF('Basis Options'!$X:$X,CONCATENATE($S10,Y$4),'Basis Options'!$AC:$AC)</f>
        <v>#NAME?</v>
      </c>
      <c r="Z10" s="134" t="e">
        <f aca="false">SUMIF('Basis Options'!$X:$X,CONCATENATE($S10,Z$4),'Basis Options'!$AC:$AC)</f>
        <v>#NAME?</v>
      </c>
      <c r="AA10" s="134" t="n">
        <f aca="false">SUMIF('Basis Options'!$X:$X,CONCATENATE($S10,AA$4),'Basis Options'!$AC:$AC)</f>
        <v>0</v>
      </c>
      <c r="AB10" s="134" t="n">
        <f aca="false">SUMIF('Basis Options'!$X:$X,CONCATENATE($S10,AB$4),'Basis Options'!$AC:$AC)</f>
        <v>0</v>
      </c>
      <c r="AC10" s="134" t="e">
        <f aca="false">SUMIF('Basis Options'!$X:$X,CONCATENATE($S10,AC$4),'Basis Options'!$AC:$AC)</f>
        <v>#NAME?</v>
      </c>
      <c r="AD10" s="134" t="e">
        <f aca="false">SUMIF('Basis Options'!$X:$X,CONCATENATE($S10,AD$4),'Basis Options'!$AC:$AC)</f>
        <v>#NAME?</v>
      </c>
      <c r="AE10" s="134" t="e">
        <f aca="false">SUMIF('Basis Options'!$X:$X,CONCATENATE($S10,AE$4),'Basis Options'!$AC:$AC)</f>
        <v>#NAME?</v>
      </c>
      <c r="AF10" s="134" t="e">
        <f aca="false">SUMIF('Basis Options'!$X:$X,CONCATENATE($S10,AF$4),'Basis Options'!$AC:$AC)</f>
        <v>#NAME?</v>
      </c>
      <c r="AG10" s="208" t="n">
        <f aca="false">EOMONTH(AG9,0)+1</f>
        <v>36892</v>
      </c>
      <c r="AH10" s="135" t="e">
        <f aca="false">SUM(T10:AF10)</f>
        <v>#NAME?</v>
      </c>
      <c r="AK10" s="208" t="n">
        <f aca="false">EOMONTH(AK9,0)+1</f>
        <v>36892</v>
      </c>
      <c r="AL10" s="134" t="e">
        <f aca="false">SUMIF('Basis Options'!$X:$X,CONCATENATE($AK10,AL$4),'Basis Options'!$AD:$AD)</f>
        <v>#NAME?</v>
      </c>
      <c r="AM10" s="134" t="e">
        <f aca="false">SUMIF('Basis Options'!$X:$X,CONCATENATE($AK10,AM$4),'Basis Options'!$AD:$AD)</f>
        <v>#NAME?</v>
      </c>
      <c r="AN10" s="134" t="e">
        <f aca="false">SUMIF('Basis Options'!$X:$X,CONCATENATE($AK10,AN$4),'Basis Options'!$AD:$AD)</f>
        <v>#NAME?</v>
      </c>
      <c r="AO10" s="134" t="e">
        <f aca="false">SUMIF('Basis Options'!$X:$X,CONCATENATE($AK10,AO$4),'Basis Options'!$AD:$AD)</f>
        <v>#NAME?</v>
      </c>
      <c r="AP10" s="134" t="n">
        <f aca="false">SUMIF('Basis Options'!$X:$X,CONCATENATE($AK10,AP$4),'Basis Options'!$AD:$AD)</f>
        <v>0</v>
      </c>
      <c r="AQ10" s="134" t="e">
        <f aca="false">SUMIF('Basis Options'!$X:$X,CONCATENATE($AK10,AQ$4),'Basis Options'!$AD:$AD)</f>
        <v>#NAME?</v>
      </c>
      <c r="AR10" s="134" t="e">
        <f aca="false">SUMIF('Basis Options'!$X:$X,CONCATENATE($AK10,AR$4),'Basis Options'!$AD:$AD)</f>
        <v>#NAME?</v>
      </c>
      <c r="AS10" s="134" t="n">
        <f aca="false">SUMIF('Basis Options'!$X:$X,CONCATENATE($AK10,AS$4),'Basis Options'!$AD:$AD)</f>
        <v>0</v>
      </c>
      <c r="AT10" s="134" t="n">
        <f aca="false">SUMIF('Basis Options'!$X:$X,CONCATENATE($AK10,AT$4),'Basis Options'!$AD:$AD)</f>
        <v>0</v>
      </c>
      <c r="AU10" s="134" t="e">
        <f aca="false">SUMIF('Basis Options'!$X:$X,CONCATENATE($AK10,AU$4),'Basis Options'!$AD:$AD)</f>
        <v>#NAME?</v>
      </c>
      <c r="AV10" s="134" t="e">
        <f aca="false">SUMIF('Basis Options'!$X:$X,CONCATENATE($AK10,AV$4),'Basis Options'!$AD:$AD)</f>
        <v>#NAME?</v>
      </c>
      <c r="AW10" s="134" t="e">
        <f aca="false">SUMIF('Basis Options'!$X:$X,CONCATENATE($AK10,AW$4),'Basis Options'!$AD:$AD)</f>
        <v>#NAME?</v>
      </c>
      <c r="AX10" s="134" t="e">
        <f aca="false">SUMIF('Basis Options'!$X:$X,CONCATENATE($AK10,AX$4),'Basis Options'!$AD:$AD)</f>
        <v>#NAME?</v>
      </c>
      <c r="AY10" s="208" t="n">
        <f aca="false">EOMONTH(AY9,0)+1</f>
        <v>36892</v>
      </c>
      <c r="AZ10" s="135" t="e">
        <f aca="false">SUM(AL10:AX10)</f>
        <v>#NAME?</v>
      </c>
      <c r="BB10" s="208" t="n">
        <f aca="false">EOMONTH(BB9,0)+1</f>
        <v>36892</v>
      </c>
      <c r="BC10" s="134" t="e">
        <f aca="false">SUMIF('Basis Options'!$X:$X,CONCATENATE($AK10,BC$4),'Basis Options'!$AF:$AF)</f>
        <v>#NAME?</v>
      </c>
      <c r="BD10" s="134" t="e">
        <f aca="false">SUMIF('Basis Options'!$X:$X,CONCATENATE($AK10,BD$4),'Basis Options'!$AF:$AF)</f>
        <v>#NAME?</v>
      </c>
      <c r="BE10" s="134" t="e">
        <f aca="false">SUMIF('Basis Options'!$X:$X,CONCATENATE($AK10,BE$4),'Basis Options'!$AF:$AF)</f>
        <v>#NAME?</v>
      </c>
      <c r="BF10" s="134" t="e">
        <f aca="false">SUMIF('Basis Options'!$X:$X,CONCATENATE($AK10,BF$4),'Basis Options'!$AF:$AF)</f>
        <v>#NAME?</v>
      </c>
      <c r="BG10" s="134" t="n">
        <f aca="false">SUMIF('Basis Options'!$X:$X,CONCATENATE($AK10,BG$4),'Basis Options'!$AF:$AF)</f>
        <v>0</v>
      </c>
      <c r="BH10" s="134" t="e">
        <f aca="false">SUMIF('Basis Options'!$X:$X,CONCATENATE($AK10,BH$4),'Basis Options'!$AF:$AF)</f>
        <v>#NAME?</v>
      </c>
      <c r="BI10" s="134" t="e">
        <f aca="false">SUMIF('Basis Options'!$X:$X,CONCATENATE($AK10,BI$4),'Basis Options'!$AF:$AF)</f>
        <v>#NAME?</v>
      </c>
      <c r="BJ10" s="134" t="n">
        <f aca="false">SUMIF('Basis Options'!$X:$X,CONCATENATE($AK10,BJ$4),'Basis Options'!$AF:$AF)</f>
        <v>0</v>
      </c>
      <c r="BK10" s="134" t="n">
        <f aca="false">SUMIF('Basis Options'!$X:$X,CONCATENATE($AK10,BK$4),'Basis Options'!$AF:$AF)</f>
        <v>0</v>
      </c>
      <c r="BL10" s="134" t="e">
        <f aca="false">SUMIF('Basis Options'!$X:$X,CONCATENATE($AK10,BL$4),'Basis Options'!$AF:$AF)</f>
        <v>#NAME?</v>
      </c>
      <c r="BM10" s="134" t="e">
        <f aca="false">SUMIF('Basis Options'!$X:$X,CONCATENATE($AK10,BM$4),'Basis Options'!$AF:$AF)</f>
        <v>#NAME?</v>
      </c>
      <c r="BN10" s="134" t="e">
        <f aca="false">SUMIF('Basis Options'!$X:$X,CONCATENATE($AK10,BN$4),'Basis Options'!$AF:$AF)</f>
        <v>#NAME?</v>
      </c>
      <c r="BO10" s="134" t="e">
        <f aca="false">SUMIF('Basis Options'!$X:$X,CONCATENATE($AK10,BO$4),'Basis Options'!$AF:$AF)</f>
        <v>#NAME?</v>
      </c>
      <c r="BP10" s="208" t="n">
        <f aca="false">EOMONTH(BP9,0)+1</f>
        <v>36892</v>
      </c>
      <c r="BQ10" s="135" t="e">
        <f aca="false">SUM(BC10:BO10)</f>
        <v>#NAME?</v>
      </c>
      <c r="BS10" s="208" t="n">
        <f aca="false">EOMONTH(BS9,0)+1</f>
        <v>36892</v>
      </c>
      <c r="BT10" s="134" t="e">
        <f aca="false">SUMIF('Basis Options'!$X:$X,CONCATENATE($BS10,BT$4),'Basis Options'!$AI:$AI)</f>
        <v>#NAME?</v>
      </c>
      <c r="BU10" s="134" t="e">
        <f aca="false">SUMIF('Basis Options'!$X:$X,CONCATENATE($BS10,BU$4),'Basis Options'!$AI:$AI)</f>
        <v>#NAME?</v>
      </c>
      <c r="BV10" s="134" t="e">
        <f aca="false">SUMIF('Basis Options'!$X:$X,CONCATENATE($BS10,BV$4),'Basis Options'!$AI:$AI)</f>
        <v>#NAME?</v>
      </c>
      <c r="BW10" s="134" t="e">
        <f aca="false">SUMIF('Basis Options'!$X:$X,CONCATENATE($BS10,BW$4),'Basis Options'!$AI:$AI)</f>
        <v>#NAME?</v>
      </c>
      <c r="BX10" s="134" t="n">
        <f aca="false">SUMIF('Basis Options'!$X:$X,CONCATENATE($BS10,BX$4),'Basis Options'!$AI:$AI)</f>
        <v>0</v>
      </c>
      <c r="BY10" s="134" t="e">
        <f aca="false">SUMIF('Basis Options'!$X:$X,CONCATENATE($BS10,BY$4),'Basis Options'!$AI:$AI)</f>
        <v>#NAME?</v>
      </c>
      <c r="BZ10" s="134" t="e">
        <f aca="false">SUMIF('Basis Options'!$X:$X,CONCATENATE($BS10,BZ$4),'Basis Options'!$AI:$AI)</f>
        <v>#NAME?</v>
      </c>
      <c r="CA10" s="134" t="n">
        <f aca="false">SUMIF('Basis Options'!$X:$X,CONCATENATE($BS10,CA$4),'Basis Options'!$AI:$AI)</f>
        <v>0</v>
      </c>
      <c r="CB10" s="134" t="n">
        <f aca="false">SUMIF('Basis Options'!$X:$X,CONCATENATE($BS10,CB$4),'Basis Options'!$AI:$AI)</f>
        <v>0</v>
      </c>
      <c r="CC10" s="134" t="e">
        <f aca="false">SUMIF('Basis Options'!$X:$X,CONCATENATE($BS10,CC$4),'Basis Options'!$AI:$AI)</f>
        <v>#NAME?</v>
      </c>
      <c r="CD10" s="134" t="e">
        <f aca="false">SUMIF('Basis Options'!$X:$X,CONCATENATE($BS10,CD$4),'Basis Options'!$AI:$AI)</f>
        <v>#NAME?</v>
      </c>
      <c r="CE10" s="134" t="e">
        <f aca="false">SUMIF('Basis Options'!$X:$X,CONCATENATE($BS10,CE$4),'Basis Options'!$AI:$AI)</f>
        <v>#NAME?</v>
      </c>
      <c r="CF10" s="134" t="e">
        <f aca="false">SUMIF('Basis Options'!$X:$X,CONCATENATE($BS10,CF$4),'Basis Options'!$AI:$AI)</f>
        <v>#NAME?</v>
      </c>
      <c r="CG10" s="208" t="n">
        <f aca="false">EOMONTH(CG9,0)+1</f>
        <v>36892</v>
      </c>
      <c r="CH10" s="209" t="e">
        <f aca="false">SUM(BT10:CF10)</f>
        <v>#NAME?</v>
      </c>
    </row>
    <row r="11" customFormat="false" ht="12.75" hidden="false" customHeight="false" outlineLevel="0" collapsed="false">
      <c r="A11" s="208" t="n">
        <f aca="false">EOMONTH(A10,0)+1</f>
        <v>36923</v>
      </c>
      <c r="B11" s="210" t="e">
        <f aca="false">SUMIF('Basis Options'!X:X,CONCATENATE($A11,B$4),'Basis Options'!AB:AB)</f>
        <v>#NAME?</v>
      </c>
      <c r="C11" s="134" t="e">
        <f aca="false">SUMIF('Basis Options'!$X:$X,CONCATENATE($A11,C$4),'Basis Options'!$AB:$AB)</f>
        <v>#NAME?</v>
      </c>
      <c r="D11" s="134" t="e">
        <f aca="false">SUMIF('Basis Options'!$X:$X,CONCATENATE($A11,D$4),'Basis Options'!$AB:$AB)</f>
        <v>#NAME?</v>
      </c>
      <c r="E11" s="134" t="e">
        <f aca="false">SUMIF('Basis Options'!$X:$X,CONCATENATE($A11,E$4),'Basis Options'!$AB:$AB)</f>
        <v>#NAME?</v>
      </c>
      <c r="F11" s="134" t="n">
        <f aca="false">SUMIF('Basis Options'!$X:$X,CONCATENATE($A11,F$4),'Basis Options'!$AB:$AB)</f>
        <v>0</v>
      </c>
      <c r="G11" s="134" t="e">
        <f aca="false">SUMIF('Basis Options'!$X:$X,CONCATENATE($A11,G$4),'Basis Options'!$AB:$AB)</f>
        <v>#NAME?</v>
      </c>
      <c r="H11" s="134" t="e">
        <f aca="false">SUMIF('Basis Options'!$X:$X,CONCATENATE($A11,H$4),'Basis Options'!$AB:$AB)</f>
        <v>#NAME?</v>
      </c>
      <c r="I11" s="134" t="n">
        <f aca="false">SUMIF('Basis Options'!$X:$X,CONCATENATE($A11,I$4),'Basis Options'!$AB:$AB)</f>
        <v>0</v>
      </c>
      <c r="J11" s="134" t="n">
        <f aca="false">SUMIF('Basis Options'!$X:$X,CONCATENATE($A11,J$4),'Basis Options'!$AB:$AB)</f>
        <v>0</v>
      </c>
      <c r="K11" s="134" t="e">
        <f aca="false">SUMIF('Basis Options'!$X:$X,CONCATENATE($A11,K$4),'Basis Options'!$AB:$AB)</f>
        <v>#NAME?</v>
      </c>
      <c r="L11" s="134" t="e">
        <f aca="false">SUMIF('Basis Options'!$X:$X,CONCATENATE($A11,L$4),'Basis Options'!$AB:$AB)</f>
        <v>#NAME?</v>
      </c>
      <c r="M11" s="134" t="e">
        <f aca="false">SUMIF('Basis Options'!$X:$X,CONCATENATE($A11,M$4),'Basis Options'!$AB:$AB)</f>
        <v>#NAME?</v>
      </c>
      <c r="N11" s="134" t="e">
        <f aca="false">SUMIF('Basis Options'!$X:$X,CONCATENATE($A11,N$4),'Basis Options'!$AB:$AB)</f>
        <v>#NAME?</v>
      </c>
      <c r="O11" s="208" t="n">
        <f aca="false">EOMONTH(O10,0)+1</f>
        <v>36923</v>
      </c>
      <c r="P11" s="135" t="e">
        <f aca="false">SUM(B11:N11)</f>
        <v>#NAME?</v>
      </c>
      <c r="R11" s="134" t="e">
        <f aca="false">SUM(T11:AE11)</f>
        <v>#NAME?</v>
      </c>
      <c r="S11" s="208" t="n">
        <f aca="false">EOMONTH(S10,0)+1</f>
        <v>36923</v>
      </c>
      <c r="T11" s="134" t="e">
        <f aca="false">SUMIF('Basis Options'!$X:$X,CONCATENATE($S11,T$4),'Basis Options'!$AC:$AC)</f>
        <v>#NAME?</v>
      </c>
      <c r="U11" s="134" t="e">
        <f aca="false">SUMIF('Basis Options'!$X:$X,CONCATENATE($S11,U$4),'Basis Options'!$AC:$AC)</f>
        <v>#NAME?</v>
      </c>
      <c r="V11" s="134" t="e">
        <f aca="false">SUMIF('Basis Options'!$X:$X,CONCATENATE($S11,V$4),'Basis Options'!$AC:$AC)</f>
        <v>#NAME?</v>
      </c>
      <c r="W11" s="134" t="e">
        <f aca="false">SUMIF('Basis Options'!$X:$X,CONCATENATE($S11,W$4),'Basis Options'!$AC:$AC)</f>
        <v>#NAME?</v>
      </c>
      <c r="X11" s="134" t="n">
        <f aca="false">SUMIF('Basis Options'!$X:$X,CONCATENATE($S11,X$4),'Basis Options'!$AC:$AC)</f>
        <v>0</v>
      </c>
      <c r="Y11" s="134" t="e">
        <f aca="false">SUMIF('Basis Options'!$X:$X,CONCATENATE($S11,Y$4),'Basis Options'!$AC:$AC)</f>
        <v>#NAME?</v>
      </c>
      <c r="Z11" s="134" t="e">
        <f aca="false">SUMIF('Basis Options'!$X:$X,CONCATENATE($S11,Z$4),'Basis Options'!$AC:$AC)</f>
        <v>#NAME?</v>
      </c>
      <c r="AA11" s="134" t="n">
        <f aca="false">SUMIF('Basis Options'!$X:$X,CONCATENATE($S11,AA$4),'Basis Options'!$AC:$AC)</f>
        <v>0</v>
      </c>
      <c r="AB11" s="134" t="n">
        <f aca="false">SUMIF('Basis Options'!$X:$X,CONCATENATE($S11,AB$4),'Basis Options'!$AC:$AC)</f>
        <v>0</v>
      </c>
      <c r="AC11" s="134" t="e">
        <f aca="false">SUMIF('Basis Options'!$X:$X,CONCATENATE($S11,AC$4),'Basis Options'!$AC:$AC)</f>
        <v>#NAME?</v>
      </c>
      <c r="AD11" s="134" t="e">
        <f aca="false">SUMIF('Basis Options'!$X:$X,CONCATENATE($S11,AD$4),'Basis Options'!$AC:$AC)</f>
        <v>#NAME?</v>
      </c>
      <c r="AE11" s="134" t="e">
        <f aca="false">SUMIF('Basis Options'!$X:$X,CONCATENATE($S11,AE$4),'Basis Options'!$AC:$AC)</f>
        <v>#NAME?</v>
      </c>
      <c r="AF11" s="134" t="e">
        <f aca="false">SUMIF('Basis Options'!$X:$X,CONCATENATE($S11,AF$4),'Basis Options'!$AC:$AC)</f>
        <v>#NAME?</v>
      </c>
      <c r="AG11" s="208" t="n">
        <f aca="false">EOMONTH(AG10,0)+1</f>
        <v>36923</v>
      </c>
      <c r="AH11" s="135" t="e">
        <f aca="false">SUM(T11:AF11)</f>
        <v>#NAME?</v>
      </c>
      <c r="AK11" s="208" t="n">
        <f aca="false">EOMONTH(AK10,0)+1</f>
        <v>36923</v>
      </c>
      <c r="AL11" s="134" t="e">
        <f aca="false">SUMIF('Basis Options'!$X:$X,CONCATENATE($AK11,AL$4),'Basis Options'!$AD:$AD)</f>
        <v>#NAME?</v>
      </c>
      <c r="AM11" s="134" t="e">
        <f aca="false">SUMIF('Basis Options'!$X:$X,CONCATENATE($AK11,AM$4),'Basis Options'!$AD:$AD)</f>
        <v>#NAME?</v>
      </c>
      <c r="AN11" s="134" t="e">
        <f aca="false">SUMIF('Basis Options'!$X:$X,CONCATENATE($AK11,AN$4),'Basis Options'!$AD:$AD)</f>
        <v>#NAME?</v>
      </c>
      <c r="AO11" s="134" t="e">
        <f aca="false">SUMIF('Basis Options'!$X:$X,CONCATENATE($AK11,AO$4),'Basis Options'!$AD:$AD)</f>
        <v>#NAME?</v>
      </c>
      <c r="AP11" s="134" t="n">
        <f aca="false">SUMIF('Basis Options'!$X:$X,CONCATENATE($AK11,AP$4),'Basis Options'!$AD:$AD)</f>
        <v>0</v>
      </c>
      <c r="AQ11" s="134" t="e">
        <f aca="false">SUMIF('Basis Options'!$X:$X,CONCATENATE($AK11,AQ$4),'Basis Options'!$AD:$AD)</f>
        <v>#NAME?</v>
      </c>
      <c r="AR11" s="134" t="e">
        <f aca="false">SUMIF('Basis Options'!$X:$X,CONCATENATE($AK11,AR$4),'Basis Options'!$AD:$AD)</f>
        <v>#NAME?</v>
      </c>
      <c r="AS11" s="134" t="n">
        <f aca="false">SUMIF('Basis Options'!$X:$X,CONCATENATE($AK11,AS$4),'Basis Options'!$AD:$AD)</f>
        <v>0</v>
      </c>
      <c r="AT11" s="134" t="n">
        <f aca="false">SUMIF('Basis Options'!$X:$X,CONCATENATE($AK11,AT$4),'Basis Options'!$AD:$AD)</f>
        <v>0</v>
      </c>
      <c r="AU11" s="134" t="e">
        <f aca="false">SUMIF('Basis Options'!$X:$X,CONCATENATE($AK11,AU$4),'Basis Options'!$AD:$AD)</f>
        <v>#NAME?</v>
      </c>
      <c r="AV11" s="134" t="e">
        <f aca="false">SUMIF('Basis Options'!$X:$X,CONCATENATE($AK11,AV$4),'Basis Options'!$AD:$AD)</f>
        <v>#NAME?</v>
      </c>
      <c r="AW11" s="134" t="e">
        <f aca="false">SUMIF('Basis Options'!$X:$X,CONCATENATE($AK11,AW$4),'Basis Options'!$AD:$AD)</f>
        <v>#NAME?</v>
      </c>
      <c r="AX11" s="134" t="e">
        <f aca="false">SUMIF('Basis Options'!$X:$X,CONCATENATE($AK11,AX$4),'Basis Options'!$AD:$AD)</f>
        <v>#NAME?</v>
      </c>
      <c r="AY11" s="208" t="n">
        <f aca="false">EOMONTH(AY10,0)+1</f>
        <v>36923</v>
      </c>
      <c r="AZ11" s="135" t="e">
        <f aca="false">SUM(AL11:AX11)</f>
        <v>#NAME?</v>
      </c>
      <c r="BB11" s="208" t="n">
        <f aca="false">EOMONTH(BB10,0)+1</f>
        <v>36923</v>
      </c>
      <c r="BC11" s="134" t="e">
        <f aca="false">SUMIF('Basis Options'!$X:$X,CONCATENATE($AK11,BC$4),'Basis Options'!$AF:$AF)</f>
        <v>#NAME?</v>
      </c>
      <c r="BD11" s="134" t="e">
        <f aca="false">SUMIF('Basis Options'!$X:$X,CONCATENATE($AK11,BD$4),'Basis Options'!$AF:$AF)</f>
        <v>#NAME?</v>
      </c>
      <c r="BE11" s="134" t="e">
        <f aca="false">SUMIF('Basis Options'!$X:$X,CONCATENATE($AK11,BE$4),'Basis Options'!$AF:$AF)</f>
        <v>#NAME?</v>
      </c>
      <c r="BF11" s="134" t="e">
        <f aca="false">SUMIF('Basis Options'!$X:$X,CONCATENATE($AK11,BF$4),'Basis Options'!$AF:$AF)</f>
        <v>#NAME?</v>
      </c>
      <c r="BG11" s="134" t="n">
        <f aca="false">SUMIF('Basis Options'!$X:$X,CONCATENATE($AK11,BG$4),'Basis Options'!$AF:$AF)</f>
        <v>0</v>
      </c>
      <c r="BH11" s="134" t="e">
        <f aca="false">SUMIF('Basis Options'!$X:$X,CONCATENATE($AK11,BH$4),'Basis Options'!$AF:$AF)</f>
        <v>#NAME?</v>
      </c>
      <c r="BI11" s="134" t="e">
        <f aca="false">SUMIF('Basis Options'!$X:$X,CONCATENATE($AK11,BI$4),'Basis Options'!$AF:$AF)</f>
        <v>#NAME?</v>
      </c>
      <c r="BJ11" s="134" t="n">
        <f aca="false">SUMIF('Basis Options'!$X:$X,CONCATENATE($AK11,BJ$4),'Basis Options'!$AF:$AF)</f>
        <v>0</v>
      </c>
      <c r="BK11" s="134" t="n">
        <f aca="false">SUMIF('Basis Options'!$X:$X,CONCATENATE($AK11,BK$4),'Basis Options'!$AF:$AF)</f>
        <v>0</v>
      </c>
      <c r="BL11" s="134" t="e">
        <f aca="false">SUMIF('Basis Options'!$X:$X,CONCATENATE($AK11,BL$4),'Basis Options'!$AF:$AF)</f>
        <v>#NAME?</v>
      </c>
      <c r="BM11" s="134" t="e">
        <f aca="false">SUMIF('Basis Options'!$X:$X,CONCATENATE($AK11,BM$4),'Basis Options'!$AF:$AF)</f>
        <v>#NAME?</v>
      </c>
      <c r="BN11" s="134" t="e">
        <f aca="false">SUMIF('Basis Options'!$X:$X,CONCATENATE($AK11,BN$4),'Basis Options'!$AF:$AF)</f>
        <v>#NAME?</v>
      </c>
      <c r="BO11" s="134" t="e">
        <f aca="false">SUMIF('Basis Options'!$X:$X,CONCATENATE($AK11,BO$4),'Basis Options'!$AF:$AF)</f>
        <v>#NAME?</v>
      </c>
      <c r="BP11" s="208" t="n">
        <f aca="false">EOMONTH(BP10,0)+1</f>
        <v>36923</v>
      </c>
      <c r="BQ11" s="135" t="e">
        <f aca="false">SUM(BC11:BO11)</f>
        <v>#NAME?</v>
      </c>
      <c r="BS11" s="208" t="n">
        <f aca="false">EOMONTH(BS10,0)+1</f>
        <v>36923</v>
      </c>
      <c r="BT11" s="134" t="e">
        <f aca="false">SUMIF('Basis Options'!$X:$X,CONCATENATE($BS11,BT$4),'Basis Options'!$AI:$AI)</f>
        <v>#NAME?</v>
      </c>
      <c r="BU11" s="134" t="e">
        <f aca="false">SUMIF('Basis Options'!$X:$X,CONCATENATE($BS11,BU$4),'Basis Options'!$AI:$AI)</f>
        <v>#NAME?</v>
      </c>
      <c r="BV11" s="134" t="e">
        <f aca="false">SUMIF('Basis Options'!$X:$X,CONCATENATE($BS11,BV$4),'Basis Options'!$AI:$AI)</f>
        <v>#NAME?</v>
      </c>
      <c r="BW11" s="134" t="e">
        <f aca="false">SUMIF('Basis Options'!$X:$X,CONCATENATE($BS11,BW$4),'Basis Options'!$AI:$AI)</f>
        <v>#NAME?</v>
      </c>
      <c r="BX11" s="134" t="n">
        <f aca="false">SUMIF('Basis Options'!$X:$X,CONCATENATE($BS11,BX$4),'Basis Options'!$AI:$AI)</f>
        <v>0</v>
      </c>
      <c r="BY11" s="134" t="e">
        <f aca="false">SUMIF('Basis Options'!$X:$X,CONCATENATE($BS11,BY$4),'Basis Options'!$AI:$AI)</f>
        <v>#NAME?</v>
      </c>
      <c r="BZ11" s="134" t="e">
        <f aca="false">SUMIF('Basis Options'!$X:$X,CONCATENATE($BS11,BZ$4),'Basis Options'!$AI:$AI)</f>
        <v>#NAME?</v>
      </c>
      <c r="CA11" s="134" t="n">
        <f aca="false">SUMIF('Basis Options'!$X:$X,CONCATENATE($BS11,CA$4),'Basis Options'!$AI:$AI)</f>
        <v>0</v>
      </c>
      <c r="CB11" s="134" t="n">
        <f aca="false">SUMIF('Basis Options'!$X:$X,CONCATENATE($BS11,CB$4),'Basis Options'!$AI:$AI)</f>
        <v>0</v>
      </c>
      <c r="CC11" s="134" t="e">
        <f aca="false">SUMIF('Basis Options'!$X:$X,CONCATENATE($BS11,CC$4),'Basis Options'!$AI:$AI)</f>
        <v>#NAME?</v>
      </c>
      <c r="CD11" s="134" t="e">
        <f aca="false">SUMIF('Basis Options'!$X:$X,CONCATENATE($BS11,CD$4),'Basis Options'!$AI:$AI)</f>
        <v>#NAME?</v>
      </c>
      <c r="CE11" s="134" t="e">
        <f aca="false">SUMIF('Basis Options'!$X:$X,CONCATENATE($BS11,CE$4),'Basis Options'!$AI:$AI)</f>
        <v>#NAME?</v>
      </c>
      <c r="CF11" s="134" t="e">
        <f aca="false">SUMIF('Basis Options'!$X:$X,CONCATENATE($BS11,CF$4),'Basis Options'!$AI:$AI)</f>
        <v>#NAME?</v>
      </c>
      <c r="CG11" s="208" t="n">
        <f aca="false">EOMONTH(CG10,0)+1</f>
        <v>36923</v>
      </c>
      <c r="CH11" s="209" t="e">
        <f aca="false">SUM(BT11:CF11)</f>
        <v>#NAME?</v>
      </c>
    </row>
    <row r="12" customFormat="false" ht="12.75" hidden="false" customHeight="false" outlineLevel="0" collapsed="false">
      <c r="A12" s="208" t="n">
        <f aca="false">EOMONTH(A11,0)+1</f>
        <v>36951</v>
      </c>
      <c r="B12" s="210" t="e">
        <f aca="false">SUMIF('Basis Options'!X:X,CONCATENATE($A12,B$4),'Basis Options'!AB:AB)</f>
        <v>#NAME?</v>
      </c>
      <c r="C12" s="134" t="e">
        <f aca="false">SUMIF('Basis Options'!$X:$X,CONCATENATE($A12,C$4),'Basis Options'!$AB:$AB)</f>
        <v>#NAME?</v>
      </c>
      <c r="D12" s="134" t="e">
        <f aca="false">SUMIF('Basis Options'!$X:$X,CONCATENATE($A12,D$4),'Basis Options'!$AB:$AB)</f>
        <v>#NAME?</v>
      </c>
      <c r="E12" s="134" t="e">
        <f aca="false">SUMIF('Basis Options'!$X:$X,CONCATENATE($A12,E$4),'Basis Options'!$AB:$AB)</f>
        <v>#NAME?</v>
      </c>
      <c r="F12" s="134" t="n">
        <f aca="false">SUMIF('Basis Options'!$X:$X,CONCATENATE($A12,F$4),'Basis Options'!$AB:$AB)</f>
        <v>0</v>
      </c>
      <c r="G12" s="134" t="e">
        <f aca="false">SUMIF('Basis Options'!$X:$X,CONCATENATE($A12,G$4),'Basis Options'!$AB:$AB)</f>
        <v>#NAME?</v>
      </c>
      <c r="H12" s="134" t="e">
        <f aca="false">SUMIF('Basis Options'!$X:$X,CONCATENATE($A12,H$4),'Basis Options'!$AB:$AB)</f>
        <v>#NAME?</v>
      </c>
      <c r="I12" s="134" t="n">
        <f aca="false">SUMIF('Basis Options'!$X:$X,CONCATENATE($A12,I$4),'Basis Options'!$AB:$AB)</f>
        <v>0</v>
      </c>
      <c r="J12" s="134" t="n">
        <f aca="false">SUMIF('Basis Options'!$X:$X,CONCATENATE($A12,J$4),'Basis Options'!$AB:$AB)</f>
        <v>0</v>
      </c>
      <c r="K12" s="134" t="e">
        <f aca="false">SUMIF('Basis Options'!$X:$X,CONCATENATE($A12,K$4),'Basis Options'!$AB:$AB)</f>
        <v>#NAME?</v>
      </c>
      <c r="L12" s="134" t="e">
        <f aca="false">SUMIF('Basis Options'!$X:$X,CONCATENATE($A12,L$4),'Basis Options'!$AB:$AB)</f>
        <v>#NAME?</v>
      </c>
      <c r="M12" s="134" t="e">
        <f aca="false">SUMIF('Basis Options'!$X:$X,CONCATENATE($A12,M$4),'Basis Options'!$AB:$AB)</f>
        <v>#NAME?</v>
      </c>
      <c r="N12" s="134" t="e">
        <f aca="false">SUMIF('Basis Options'!$X:$X,CONCATENATE($A12,N$4),'Basis Options'!$AB:$AB)</f>
        <v>#NAME?</v>
      </c>
      <c r="O12" s="208" t="n">
        <f aca="false">EOMONTH(O11,0)+1</f>
        <v>36951</v>
      </c>
      <c r="P12" s="135" t="e">
        <f aca="false">SUM(B12:N12)</f>
        <v>#NAME?</v>
      </c>
      <c r="R12" s="134" t="e">
        <f aca="false">SUM(T12:AE12)</f>
        <v>#NAME?</v>
      </c>
      <c r="S12" s="208" t="n">
        <f aca="false">EOMONTH(S11,0)+1</f>
        <v>36951</v>
      </c>
      <c r="T12" s="134" t="e">
        <f aca="false">SUMIF('Basis Options'!$X:$X,CONCATENATE($S12,T$4),'Basis Options'!$AC:$AC)</f>
        <v>#NAME?</v>
      </c>
      <c r="U12" s="134" t="e">
        <f aca="false">SUMIF('Basis Options'!$X:$X,CONCATENATE($S12,U$4),'Basis Options'!$AC:$AC)</f>
        <v>#NAME?</v>
      </c>
      <c r="V12" s="134" t="e">
        <f aca="false">SUMIF('Basis Options'!$X:$X,CONCATENATE($S12,V$4),'Basis Options'!$AC:$AC)</f>
        <v>#NAME?</v>
      </c>
      <c r="W12" s="134" t="e">
        <f aca="false">SUMIF('Basis Options'!$X:$X,CONCATENATE($S12,W$4),'Basis Options'!$AC:$AC)</f>
        <v>#NAME?</v>
      </c>
      <c r="X12" s="134" t="n">
        <f aca="false">SUMIF('Basis Options'!$X:$X,CONCATENATE($S12,X$4),'Basis Options'!$AC:$AC)</f>
        <v>0</v>
      </c>
      <c r="Y12" s="134" t="e">
        <f aca="false">SUMIF('Basis Options'!$X:$X,CONCATENATE($S12,Y$4),'Basis Options'!$AC:$AC)</f>
        <v>#NAME?</v>
      </c>
      <c r="Z12" s="134" t="e">
        <f aca="false">SUMIF('Basis Options'!$X:$X,CONCATENATE($S12,Z$4),'Basis Options'!$AC:$AC)</f>
        <v>#NAME?</v>
      </c>
      <c r="AA12" s="134" t="n">
        <f aca="false">SUMIF('Basis Options'!$X:$X,CONCATENATE($S12,AA$4),'Basis Options'!$AC:$AC)</f>
        <v>0</v>
      </c>
      <c r="AB12" s="134" t="n">
        <f aca="false">SUMIF('Basis Options'!$X:$X,CONCATENATE($S12,AB$4),'Basis Options'!$AC:$AC)</f>
        <v>0</v>
      </c>
      <c r="AC12" s="134" t="e">
        <f aca="false">SUMIF('Basis Options'!$X:$X,CONCATENATE($S12,AC$4),'Basis Options'!$AC:$AC)</f>
        <v>#NAME?</v>
      </c>
      <c r="AD12" s="134" t="e">
        <f aca="false">SUMIF('Basis Options'!$X:$X,CONCATENATE($S12,AD$4),'Basis Options'!$AC:$AC)</f>
        <v>#NAME?</v>
      </c>
      <c r="AE12" s="134" t="e">
        <f aca="false">SUMIF('Basis Options'!$X:$X,CONCATENATE($S12,AE$4),'Basis Options'!$AC:$AC)</f>
        <v>#NAME?</v>
      </c>
      <c r="AF12" s="134" t="e">
        <f aca="false">SUMIF('Basis Options'!$X:$X,CONCATENATE($S12,AF$4),'Basis Options'!$AC:$AC)</f>
        <v>#NAME?</v>
      </c>
      <c r="AG12" s="208" t="n">
        <f aca="false">EOMONTH(AG11,0)+1</f>
        <v>36951</v>
      </c>
      <c r="AH12" s="135" t="e">
        <f aca="false">SUM(T12:AF12)</f>
        <v>#NAME?</v>
      </c>
      <c r="AK12" s="208" t="n">
        <f aca="false">EOMONTH(AK11,0)+1</f>
        <v>36951</v>
      </c>
      <c r="AL12" s="134" t="e">
        <f aca="false">SUMIF('Basis Options'!$X:$X,CONCATENATE($AK12,AL$4),'Basis Options'!$AD:$AD)</f>
        <v>#NAME?</v>
      </c>
      <c r="AM12" s="134" t="e">
        <f aca="false">SUMIF('Basis Options'!$X:$X,CONCATENATE($AK12,AM$4),'Basis Options'!$AD:$AD)</f>
        <v>#NAME?</v>
      </c>
      <c r="AN12" s="134" t="e">
        <f aca="false">SUMIF('Basis Options'!$X:$X,CONCATENATE($AK12,AN$4),'Basis Options'!$AD:$AD)</f>
        <v>#NAME?</v>
      </c>
      <c r="AO12" s="134" t="e">
        <f aca="false">SUMIF('Basis Options'!$X:$X,CONCATENATE($AK12,AO$4),'Basis Options'!$AD:$AD)</f>
        <v>#NAME?</v>
      </c>
      <c r="AP12" s="134" t="n">
        <f aca="false">SUMIF('Basis Options'!$X:$X,CONCATENATE($AK12,AP$4),'Basis Options'!$AD:$AD)</f>
        <v>0</v>
      </c>
      <c r="AQ12" s="134" t="e">
        <f aca="false">SUMIF('Basis Options'!$X:$X,CONCATENATE($AK12,AQ$4),'Basis Options'!$AD:$AD)</f>
        <v>#NAME?</v>
      </c>
      <c r="AR12" s="134" t="e">
        <f aca="false">SUMIF('Basis Options'!$X:$X,CONCATENATE($AK12,AR$4),'Basis Options'!$AD:$AD)</f>
        <v>#NAME?</v>
      </c>
      <c r="AS12" s="134" t="n">
        <f aca="false">SUMIF('Basis Options'!$X:$X,CONCATENATE($AK12,AS$4),'Basis Options'!$AD:$AD)</f>
        <v>0</v>
      </c>
      <c r="AT12" s="134" t="n">
        <f aca="false">SUMIF('Basis Options'!$X:$X,CONCATENATE($AK12,AT$4),'Basis Options'!$AD:$AD)</f>
        <v>0</v>
      </c>
      <c r="AU12" s="134" t="e">
        <f aca="false">SUMIF('Basis Options'!$X:$X,CONCATENATE($AK12,AU$4),'Basis Options'!$AD:$AD)</f>
        <v>#NAME?</v>
      </c>
      <c r="AV12" s="134" t="e">
        <f aca="false">SUMIF('Basis Options'!$X:$X,CONCATENATE($AK12,AV$4),'Basis Options'!$AD:$AD)</f>
        <v>#NAME?</v>
      </c>
      <c r="AW12" s="134" t="e">
        <f aca="false">SUMIF('Basis Options'!$X:$X,CONCATENATE($AK12,AW$4),'Basis Options'!$AD:$AD)</f>
        <v>#NAME?</v>
      </c>
      <c r="AX12" s="134" t="e">
        <f aca="false">SUMIF('Basis Options'!$X:$X,CONCATENATE($AK12,AX$4),'Basis Options'!$AD:$AD)</f>
        <v>#NAME?</v>
      </c>
      <c r="AY12" s="208" t="n">
        <f aca="false">EOMONTH(AY11,0)+1</f>
        <v>36951</v>
      </c>
      <c r="AZ12" s="135" t="e">
        <f aca="false">SUM(AL12:AX12)</f>
        <v>#NAME?</v>
      </c>
      <c r="BB12" s="208" t="n">
        <f aca="false">EOMONTH(BB11,0)+1</f>
        <v>36951</v>
      </c>
      <c r="BC12" s="134" t="e">
        <f aca="false">SUMIF('Basis Options'!$X:$X,CONCATENATE($AK12,BC$4),'Basis Options'!$AF:$AF)</f>
        <v>#NAME?</v>
      </c>
      <c r="BD12" s="134" t="e">
        <f aca="false">SUMIF('Basis Options'!$X:$X,CONCATENATE($AK12,BD$4),'Basis Options'!$AF:$AF)</f>
        <v>#NAME?</v>
      </c>
      <c r="BE12" s="134" t="e">
        <f aca="false">SUMIF('Basis Options'!$X:$X,CONCATENATE($AK12,BE$4),'Basis Options'!$AF:$AF)</f>
        <v>#NAME?</v>
      </c>
      <c r="BF12" s="134" t="e">
        <f aca="false">SUMIF('Basis Options'!$X:$X,CONCATENATE($AK12,BF$4),'Basis Options'!$AF:$AF)</f>
        <v>#NAME?</v>
      </c>
      <c r="BG12" s="134" t="n">
        <f aca="false">SUMIF('Basis Options'!$X:$X,CONCATENATE($AK12,BG$4),'Basis Options'!$AF:$AF)</f>
        <v>0</v>
      </c>
      <c r="BH12" s="134" t="e">
        <f aca="false">SUMIF('Basis Options'!$X:$X,CONCATENATE($AK12,BH$4),'Basis Options'!$AF:$AF)</f>
        <v>#NAME?</v>
      </c>
      <c r="BI12" s="134" t="e">
        <f aca="false">SUMIF('Basis Options'!$X:$X,CONCATENATE($AK12,BI$4),'Basis Options'!$AF:$AF)</f>
        <v>#NAME?</v>
      </c>
      <c r="BJ12" s="134" t="n">
        <f aca="false">SUMIF('Basis Options'!$X:$X,CONCATENATE($AK12,BJ$4),'Basis Options'!$AF:$AF)</f>
        <v>0</v>
      </c>
      <c r="BK12" s="134" t="n">
        <f aca="false">SUMIF('Basis Options'!$X:$X,CONCATENATE($AK12,BK$4),'Basis Options'!$AF:$AF)</f>
        <v>0</v>
      </c>
      <c r="BL12" s="134" t="e">
        <f aca="false">SUMIF('Basis Options'!$X:$X,CONCATENATE($AK12,BL$4),'Basis Options'!$AF:$AF)</f>
        <v>#NAME?</v>
      </c>
      <c r="BM12" s="134" t="e">
        <f aca="false">SUMIF('Basis Options'!$X:$X,CONCATENATE($AK12,BM$4),'Basis Options'!$AF:$AF)</f>
        <v>#NAME?</v>
      </c>
      <c r="BN12" s="134" t="e">
        <f aca="false">SUMIF('Basis Options'!$X:$X,CONCATENATE($AK12,BN$4),'Basis Options'!$AF:$AF)</f>
        <v>#NAME?</v>
      </c>
      <c r="BO12" s="134" t="e">
        <f aca="false">SUMIF('Basis Options'!$X:$X,CONCATENATE($AK12,BO$4),'Basis Options'!$AF:$AF)</f>
        <v>#NAME?</v>
      </c>
      <c r="BP12" s="208" t="n">
        <f aca="false">EOMONTH(BP11,0)+1</f>
        <v>36951</v>
      </c>
      <c r="BQ12" s="135" t="e">
        <f aca="false">SUM(BC12:BO12)</f>
        <v>#NAME?</v>
      </c>
      <c r="BS12" s="208" t="n">
        <f aca="false">EOMONTH(BS11,0)+1</f>
        <v>36951</v>
      </c>
      <c r="BT12" s="134" t="e">
        <f aca="false">SUMIF('Basis Options'!$X:$X,CONCATENATE($BS12,BT$4),'Basis Options'!$AI:$AI)</f>
        <v>#NAME?</v>
      </c>
      <c r="BU12" s="134" t="e">
        <f aca="false">SUMIF('Basis Options'!$X:$X,CONCATENATE($BS12,BU$4),'Basis Options'!$AI:$AI)</f>
        <v>#NAME?</v>
      </c>
      <c r="BV12" s="134" t="e">
        <f aca="false">SUMIF('Basis Options'!$X:$X,CONCATENATE($BS12,BV$4),'Basis Options'!$AI:$AI)</f>
        <v>#NAME?</v>
      </c>
      <c r="BW12" s="134" t="e">
        <f aca="false">SUMIF('Basis Options'!$X:$X,CONCATENATE($BS12,BW$4),'Basis Options'!$AI:$AI)</f>
        <v>#NAME?</v>
      </c>
      <c r="BX12" s="134" t="n">
        <f aca="false">SUMIF('Basis Options'!$X:$X,CONCATENATE($BS12,BX$4),'Basis Options'!$AI:$AI)</f>
        <v>0</v>
      </c>
      <c r="BY12" s="134" t="e">
        <f aca="false">SUMIF('Basis Options'!$X:$X,CONCATENATE($BS12,BY$4),'Basis Options'!$AI:$AI)</f>
        <v>#NAME?</v>
      </c>
      <c r="BZ12" s="134" t="e">
        <f aca="false">SUMIF('Basis Options'!$X:$X,CONCATENATE($BS12,BZ$4),'Basis Options'!$AI:$AI)</f>
        <v>#NAME?</v>
      </c>
      <c r="CA12" s="134" t="n">
        <f aca="false">SUMIF('Basis Options'!$X:$X,CONCATENATE($BS12,CA$4),'Basis Options'!$AI:$AI)</f>
        <v>0</v>
      </c>
      <c r="CB12" s="134" t="n">
        <f aca="false">SUMIF('Basis Options'!$X:$X,CONCATENATE($BS12,CB$4),'Basis Options'!$AI:$AI)</f>
        <v>0</v>
      </c>
      <c r="CC12" s="134" t="e">
        <f aca="false">SUMIF('Basis Options'!$X:$X,CONCATENATE($BS12,CC$4),'Basis Options'!$AI:$AI)</f>
        <v>#NAME?</v>
      </c>
      <c r="CD12" s="134" t="e">
        <f aca="false">SUMIF('Basis Options'!$X:$X,CONCATENATE($BS12,CD$4),'Basis Options'!$AI:$AI)</f>
        <v>#NAME?</v>
      </c>
      <c r="CE12" s="134" t="e">
        <f aca="false">SUMIF('Basis Options'!$X:$X,CONCATENATE($BS12,CE$4),'Basis Options'!$AI:$AI)</f>
        <v>#NAME?</v>
      </c>
      <c r="CF12" s="134" t="e">
        <f aca="false">SUMIF('Basis Options'!$X:$X,CONCATENATE($BS12,CF$4),'Basis Options'!$AI:$AI)</f>
        <v>#NAME?</v>
      </c>
      <c r="CG12" s="208" t="n">
        <f aca="false">EOMONTH(CG11,0)+1</f>
        <v>36951</v>
      </c>
      <c r="CH12" s="209" t="e">
        <f aca="false">SUM(BT12:CF12)</f>
        <v>#NAME?</v>
      </c>
    </row>
    <row r="13" customFormat="false" ht="12.75" hidden="false" customHeight="false" outlineLevel="0" collapsed="false">
      <c r="A13" s="208" t="n">
        <f aca="false">EOMONTH(A12,0)+1</f>
        <v>36982</v>
      </c>
      <c r="B13" s="210" t="e">
        <f aca="false">SUMIF('Basis Options'!X:X,CONCATENATE($A13,B$4),'Basis Options'!AB:AB)</f>
        <v>#NAME?</v>
      </c>
      <c r="C13" s="134" t="n">
        <f aca="false">SUMIF('Basis Options'!$X:$X,CONCATENATE($A13,C$4),'Basis Options'!$AB:$AB)</f>
        <v>0</v>
      </c>
      <c r="D13" s="134" t="n">
        <f aca="false">SUMIF('Basis Options'!$X:$X,CONCATENATE($A13,D$4),'Basis Options'!$AB:$AB)</f>
        <v>0</v>
      </c>
      <c r="E13" s="134" t="n">
        <f aca="false">SUMIF('Basis Options'!$X:$X,CONCATENATE($A13,E$4),'Basis Options'!$AB:$AB)</f>
        <v>0</v>
      </c>
      <c r="F13" s="134" t="n">
        <f aca="false">SUMIF('Basis Options'!$X:$X,CONCATENATE($A13,F$4),'Basis Options'!$AB:$AB)</f>
        <v>0</v>
      </c>
      <c r="G13" s="134" t="e">
        <f aca="false">SUMIF('Basis Options'!$X:$X,CONCATENATE($A13,G$4),'Basis Options'!$AB:$AB)</f>
        <v>#NAME?</v>
      </c>
      <c r="H13" s="134" t="n">
        <f aca="false">SUMIF('Basis Options'!$X:$X,CONCATENATE($A13,H$4),'Basis Options'!$AB:$AB)</f>
        <v>0</v>
      </c>
      <c r="I13" s="134" t="n">
        <f aca="false">SUMIF('Basis Options'!$X:$X,CONCATENATE($A13,I$4),'Basis Options'!$AB:$AB)</f>
        <v>0</v>
      </c>
      <c r="J13" s="134" t="e">
        <f aca="false">SUMIF('Basis Options'!$X:$X,CONCATENATE($A13,J$4),'Basis Options'!$AB:$AB)</f>
        <v>#NAME?</v>
      </c>
      <c r="K13" s="134" t="n">
        <f aca="false">SUMIF('Basis Options'!$X:$X,CONCATENATE($A13,K$4),'Basis Options'!$AB:$AB)</f>
        <v>0</v>
      </c>
      <c r="L13" s="134" t="n">
        <f aca="false">SUMIF('Basis Options'!$X:$X,CONCATENATE($A13,L$4),'Basis Options'!$AB:$AB)</f>
        <v>0</v>
      </c>
      <c r="M13" s="134" t="n">
        <f aca="false">SUMIF('Basis Options'!$X:$X,CONCATENATE($A13,M$4),'Basis Options'!$AB:$AB)</f>
        <v>0</v>
      </c>
      <c r="N13" s="134" t="n">
        <f aca="false">SUMIF('Basis Options'!$X:$X,CONCATENATE($A13,N$4),'Basis Options'!$AB:$AB)</f>
        <v>0</v>
      </c>
      <c r="O13" s="208" t="n">
        <f aca="false">EOMONTH(O12,0)+1</f>
        <v>36982</v>
      </c>
      <c r="P13" s="135" t="e">
        <f aca="false">SUM(B13:N13)</f>
        <v>#NAME?</v>
      </c>
      <c r="R13" s="134" t="e">
        <f aca="false">SUM(T13:AE13)</f>
        <v>#NAME?</v>
      </c>
      <c r="S13" s="208" t="n">
        <f aca="false">EOMONTH(S12,0)+1</f>
        <v>36982</v>
      </c>
      <c r="T13" s="134" t="e">
        <f aca="false">SUMIF('Basis Options'!$X:$X,CONCATENATE($S13,T$4),'Basis Options'!$AC:$AC)</f>
        <v>#NAME?</v>
      </c>
      <c r="U13" s="134" t="n">
        <f aca="false">SUMIF('Basis Options'!$X:$X,CONCATENATE($S13,U$4),'Basis Options'!$AC:$AC)</f>
        <v>0</v>
      </c>
      <c r="V13" s="134" t="n">
        <f aca="false">SUMIF('Basis Options'!$X:$X,CONCATENATE($S13,V$4),'Basis Options'!$AC:$AC)</f>
        <v>0</v>
      </c>
      <c r="W13" s="134" t="n">
        <f aca="false">SUMIF('Basis Options'!$X:$X,CONCATENATE($S13,W$4),'Basis Options'!$AC:$AC)</f>
        <v>0</v>
      </c>
      <c r="X13" s="134" t="n">
        <f aca="false">SUMIF('Basis Options'!$X:$X,CONCATENATE($S13,X$4),'Basis Options'!$AC:$AC)</f>
        <v>0</v>
      </c>
      <c r="Y13" s="134" t="e">
        <f aca="false">SUMIF('Basis Options'!$X:$X,CONCATENATE($S13,Y$4),'Basis Options'!$AC:$AC)</f>
        <v>#NAME?</v>
      </c>
      <c r="Z13" s="134" t="n">
        <f aca="false">SUMIF('Basis Options'!$X:$X,CONCATENATE($S13,Z$4),'Basis Options'!$AC:$AC)</f>
        <v>0</v>
      </c>
      <c r="AA13" s="134" t="n">
        <f aca="false">SUMIF('Basis Options'!$X:$X,CONCATENATE($S13,AA$4),'Basis Options'!$AC:$AC)</f>
        <v>0</v>
      </c>
      <c r="AB13" s="134" t="e">
        <f aca="false">SUMIF('Basis Options'!$X:$X,CONCATENATE($S13,AB$4),'Basis Options'!$AC:$AC)</f>
        <v>#NAME?</v>
      </c>
      <c r="AC13" s="134" t="n">
        <f aca="false">SUMIF('Basis Options'!$X:$X,CONCATENATE($S13,AC$4),'Basis Options'!$AC:$AC)</f>
        <v>0</v>
      </c>
      <c r="AD13" s="134" t="n">
        <f aca="false">SUMIF('Basis Options'!$X:$X,CONCATENATE($S13,AD$4),'Basis Options'!$AC:$AC)</f>
        <v>0</v>
      </c>
      <c r="AE13" s="134" t="n">
        <f aca="false">SUMIF('Basis Options'!$X:$X,CONCATENATE($S13,AE$4),'Basis Options'!$AC:$AC)</f>
        <v>0</v>
      </c>
      <c r="AF13" s="134" t="n">
        <f aca="false">SUMIF('Basis Options'!$X:$X,CONCATENATE($S13,AF$4),'Basis Options'!$AC:$AC)</f>
        <v>0</v>
      </c>
      <c r="AG13" s="208" t="n">
        <f aca="false">EOMONTH(AG12,0)+1</f>
        <v>36982</v>
      </c>
      <c r="AH13" s="135" t="e">
        <f aca="false">SUM(T13:AF13)</f>
        <v>#NAME?</v>
      </c>
      <c r="AK13" s="208" t="n">
        <f aca="false">EOMONTH(AK12,0)+1</f>
        <v>36982</v>
      </c>
      <c r="AL13" s="134" t="e">
        <f aca="false">SUMIF('Basis Options'!$X:$X,CONCATENATE($AK13,AL$4),'Basis Options'!$AD:$AD)</f>
        <v>#NAME?</v>
      </c>
      <c r="AM13" s="134" t="n">
        <f aca="false">SUMIF('Basis Options'!$X:$X,CONCATENATE($AK13,AM$4),'Basis Options'!$AD:$AD)</f>
        <v>0</v>
      </c>
      <c r="AN13" s="134" t="n">
        <f aca="false">SUMIF('Basis Options'!$X:$X,CONCATENATE($AK13,AN$4),'Basis Options'!$AD:$AD)</f>
        <v>0</v>
      </c>
      <c r="AO13" s="134" t="n">
        <f aca="false">SUMIF('Basis Options'!$X:$X,CONCATENATE($AK13,AO$4),'Basis Options'!$AD:$AD)</f>
        <v>0</v>
      </c>
      <c r="AP13" s="134" t="n">
        <f aca="false">SUMIF('Basis Options'!$X:$X,CONCATENATE($AK13,AP$4),'Basis Options'!$AD:$AD)</f>
        <v>0</v>
      </c>
      <c r="AQ13" s="134" t="e">
        <f aca="false">SUMIF('Basis Options'!$X:$X,CONCATENATE($AK13,AQ$4),'Basis Options'!$AD:$AD)</f>
        <v>#NAME?</v>
      </c>
      <c r="AR13" s="134" t="n">
        <f aca="false">SUMIF('Basis Options'!$X:$X,CONCATENATE($AK13,AR$4),'Basis Options'!$AD:$AD)</f>
        <v>0</v>
      </c>
      <c r="AS13" s="134" t="n">
        <f aca="false">SUMIF('Basis Options'!$X:$X,CONCATENATE($AK13,AS$4),'Basis Options'!$AD:$AD)</f>
        <v>0</v>
      </c>
      <c r="AT13" s="134" t="e">
        <f aca="false">SUMIF('Basis Options'!$X:$X,CONCATENATE($AK13,AT$4),'Basis Options'!$AD:$AD)</f>
        <v>#NAME?</v>
      </c>
      <c r="AU13" s="134" t="n">
        <f aca="false">SUMIF('Basis Options'!$X:$X,CONCATENATE($AK13,AU$4),'Basis Options'!$AD:$AD)</f>
        <v>0</v>
      </c>
      <c r="AV13" s="134" t="n">
        <f aca="false">SUMIF('Basis Options'!$X:$X,CONCATENATE($AK13,AV$4),'Basis Options'!$AD:$AD)</f>
        <v>0</v>
      </c>
      <c r="AW13" s="134" t="n">
        <f aca="false">SUMIF('Basis Options'!$X:$X,CONCATENATE($AK13,AW$4),'Basis Options'!$AD:$AD)</f>
        <v>0</v>
      </c>
      <c r="AX13" s="134" t="n">
        <f aca="false">SUMIF('Basis Options'!$X:$X,CONCATENATE($AK13,AX$4),'Basis Options'!$AD:$AD)</f>
        <v>0</v>
      </c>
      <c r="AY13" s="208" t="n">
        <f aca="false">EOMONTH(AY12,0)+1</f>
        <v>36982</v>
      </c>
      <c r="AZ13" s="135" t="e">
        <f aca="false">SUM(AL13:AX13)</f>
        <v>#NAME?</v>
      </c>
      <c r="BB13" s="208" t="n">
        <f aca="false">EOMONTH(BB12,0)+1</f>
        <v>36982</v>
      </c>
      <c r="BC13" s="134" t="e">
        <f aca="false">SUMIF('Basis Options'!$X:$X,CONCATENATE($AK13,BC$4),'Basis Options'!$AF:$AF)</f>
        <v>#NAME?</v>
      </c>
      <c r="BD13" s="134" t="n">
        <f aca="false">SUMIF('Basis Options'!$X:$X,CONCATENATE($AK13,BD$4),'Basis Options'!$AF:$AF)</f>
        <v>0</v>
      </c>
      <c r="BE13" s="134" t="n">
        <f aca="false">SUMIF('Basis Options'!$X:$X,CONCATENATE($AK13,BE$4),'Basis Options'!$AF:$AF)</f>
        <v>0</v>
      </c>
      <c r="BF13" s="134" t="n">
        <f aca="false">SUMIF('Basis Options'!$X:$X,CONCATENATE($AK13,BF$4),'Basis Options'!$AF:$AF)</f>
        <v>0</v>
      </c>
      <c r="BG13" s="134" t="n">
        <f aca="false">SUMIF('Basis Options'!$X:$X,CONCATENATE($AK13,BG$4),'Basis Options'!$AF:$AF)</f>
        <v>0</v>
      </c>
      <c r="BH13" s="134" t="e">
        <f aca="false">SUMIF('Basis Options'!$X:$X,CONCATENATE($AK13,BH$4),'Basis Options'!$AF:$AF)</f>
        <v>#NAME?</v>
      </c>
      <c r="BI13" s="134" t="n">
        <f aca="false">SUMIF('Basis Options'!$X:$X,CONCATENATE($AK13,BI$4),'Basis Options'!$AF:$AF)</f>
        <v>0</v>
      </c>
      <c r="BJ13" s="134" t="n">
        <f aca="false">SUMIF('Basis Options'!$X:$X,CONCATENATE($AK13,BJ$4),'Basis Options'!$AF:$AF)</f>
        <v>0</v>
      </c>
      <c r="BK13" s="134" t="e">
        <f aca="false">SUMIF('Basis Options'!$X:$X,CONCATENATE($AK13,BK$4),'Basis Options'!$AF:$AF)</f>
        <v>#NAME?</v>
      </c>
      <c r="BL13" s="134" t="n">
        <f aca="false">SUMIF('Basis Options'!$X:$X,CONCATENATE($AK13,BL$4),'Basis Options'!$AF:$AF)</f>
        <v>0</v>
      </c>
      <c r="BM13" s="134" t="n">
        <f aca="false">SUMIF('Basis Options'!$X:$X,CONCATENATE($AK13,BM$4),'Basis Options'!$AF:$AF)</f>
        <v>0</v>
      </c>
      <c r="BN13" s="134" t="n">
        <f aca="false">SUMIF('Basis Options'!$X:$X,CONCATENATE($AK13,BN$4),'Basis Options'!$AF:$AF)</f>
        <v>0</v>
      </c>
      <c r="BO13" s="134" t="n">
        <f aca="false">SUMIF('Basis Options'!$X:$X,CONCATENATE($AK13,BO$4),'Basis Options'!$AF:$AF)</f>
        <v>0</v>
      </c>
      <c r="BP13" s="208" t="n">
        <f aca="false">EOMONTH(BP12,0)+1</f>
        <v>36982</v>
      </c>
      <c r="BQ13" s="135" t="e">
        <f aca="false">SUM(BC13:BO13)</f>
        <v>#NAME?</v>
      </c>
      <c r="BS13" s="208" t="n">
        <f aca="false">EOMONTH(BS12,0)+1</f>
        <v>36982</v>
      </c>
      <c r="BT13" s="134" t="e">
        <f aca="false">SUMIF('Basis Options'!$X:$X,CONCATENATE($BS13,BT$4),'Basis Options'!$AI:$AI)</f>
        <v>#NAME?</v>
      </c>
      <c r="BU13" s="134" t="n">
        <f aca="false">SUMIF('Basis Options'!$X:$X,CONCATENATE($BS13,BU$4),'Basis Options'!$AI:$AI)</f>
        <v>0</v>
      </c>
      <c r="BV13" s="134" t="n">
        <f aca="false">SUMIF('Basis Options'!$X:$X,CONCATENATE($BS13,BV$4),'Basis Options'!$AI:$AI)</f>
        <v>0</v>
      </c>
      <c r="BW13" s="134" t="n">
        <f aca="false">SUMIF('Basis Options'!$X:$X,CONCATENATE($BS13,BW$4),'Basis Options'!$AI:$AI)</f>
        <v>0</v>
      </c>
      <c r="BX13" s="134" t="n">
        <f aca="false">SUMIF('Basis Options'!$X:$X,CONCATENATE($BS13,BX$4),'Basis Options'!$AI:$AI)</f>
        <v>0</v>
      </c>
      <c r="BY13" s="134" t="e">
        <f aca="false">SUMIF('Basis Options'!$X:$X,CONCATENATE($BS13,BY$4),'Basis Options'!$AI:$AI)</f>
        <v>#NAME?</v>
      </c>
      <c r="BZ13" s="134" t="n">
        <f aca="false">SUMIF('Basis Options'!$X:$X,CONCATENATE($BS13,BZ$4),'Basis Options'!$AI:$AI)</f>
        <v>0</v>
      </c>
      <c r="CA13" s="134" t="n">
        <f aca="false">SUMIF('Basis Options'!$X:$X,CONCATENATE($BS13,CA$4),'Basis Options'!$AI:$AI)</f>
        <v>0</v>
      </c>
      <c r="CB13" s="134" t="e">
        <f aca="false">SUMIF('Basis Options'!$X:$X,CONCATENATE($BS13,CB$4),'Basis Options'!$AI:$AI)</f>
        <v>#NAME?</v>
      </c>
      <c r="CC13" s="134" t="n">
        <f aca="false">SUMIF('Basis Options'!$X:$X,CONCATENATE($BS13,CC$4),'Basis Options'!$AI:$AI)</f>
        <v>0</v>
      </c>
      <c r="CD13" s="134" t="n">
        <f aca="false">SUMIF('Basis Options'!$X:$X,CONCATENATE($BS13,CD$4),'Basis Options'!$AI:$AI)</f>
        <v>0</v>
      </c>
      <c r="CE13" s="134" t="n">
        <f aca="false">SUMIF('Basis Options'!$X:$X,CONCATENATE($BS13,CE$4),'Basis Options'!$AI:$AI)</f>
        <v>0</v>
      </c>
      <c r="CF13" s="134" t="n">
        <f aca="false">SUMIF('Basis Options'!$X:$X,CONCATENATE($BS13,CF$4),'Basis Options'!$AI:$AI)</f>
        <v>0</v>
      </c>
      <c r="CG13" s="208" t="n">
        <f aca="false">EOMONTH(CG12,0)+1</f>
        <v>36982</v>
      </c>
      <c r="CH13" s="209" t="e">
        <f aca="false">SUM(BT13:CF13)</f>
        <v>#NAME?</v>
      </c>
    </row>
    <row r="14" customFormat="false" ht="12.75" hidden="false" customHeight="false" outlineLevel="0" collapsed="false">
      <c r="A14" s="208" t="n">
        <f aca="false">EOMONTH(A13,0)+1</f>
        <v>37012</v>
      </c>
      <c r="B14" s="134" t="e">
        <f aca="false">SUMIF('Basis Options'!X:X,CONCATENATE($A14,B$4),'Basis Options'!AB:AB)</f>
        <v>#NAME?</v>
      </c>
      <c r="C14" s="134" t="n">
        <f aca="false">SUMIF('Basis Options'!$X:$X,CONCATENATE($A14,C$4),'Basis Options'!$AB:$AB)</f>
        <v>0</v>
      </c>
      <c r="D14" s="134" t="n">
        <f aca="false">SUMIF('Basis Options'!$X:$X,CONCATENATE($A14,D$4),'Basis Options'!$AB:$AB)</f>
        <v>0</v>
      </c>
      <c r="E14" s="134" t="n">
        <f aca="false">SUMIF('Basis Options'!$X:$X,CONCATENATE($A14,E$4),'Basis Options'!$AB:$AB)</f>
        <v>0</v>
      </c>
      <c r="F14" s="134" t="n">
        <f aca="false">SUMIF('Basis Options'!$X:$X,CONCATENATE($A14,F$4),'Basis Options'!$AB:$AB)</f>
        <v>0</v>
      </c>
      <c r="G14" s="134" t="e">
        <f aca="false">SUMIF('Basis Options'!$X:$X,CONCATENATE($A14,G$4),'Basis Options'!$AB:$AB)</f>
        <v>#NAME?</v>
      </c>
      <c r="H14" s="134" t="n">
        <f aca="false">SUMIF('Basis Options'!$X:$X,CONCATENATE($A14,H$4),'Basis Options'!$AB:$AB)</f>
        <v>0</v>
      </c>
      <c r="I14" s="134" t="n">
        <f aca="false">SUMIF('Basis Options'!$X:$X,CONCATENATE($A14,I$4),'Basis Options'!$AB:$AB)</f>
        <v>0</v>
      </c>
      <c r="J14" s="134" t="e">
        <f aca="false">SUMIF('Basis Options'!$X:$X,CONCATENATE($A14,J$4),'Basis Options'!$AB:$AB)</f>
        <v>#NAME?</v>
      </c>
      <c r="K14" s="134" t="n">
        <f aca="false">SUMIF('Basis Options'!$X:$X,CONCATENATE($A14,K$4),'Basis Options'!$AB:$AB)</f>
        <v>0</v>
      </c>
      <c r="L14" s="134" t="n">
        <f aca="false">SUMIF('Basis Options'!$X:$X,CONCATENATE($A14,L$4),'Basis Options'!$AB:$AB)</f>
        <v>0</v>
      </c>
      <c r="M14" s="134" t="n">
        <f aca="false">SUMIF('Basis Options'!$X:$X,CONCATENATE($A14,M$4),'Basis Options'!$AB:$AB)</f>
        <v>0</v>
      </c>
      <c r="N14" s="134" t="n">
        <f aca="false">SUMIF('Basis Options'!$X:$X,CONCATENATE($A14,N$4),'Basis Options'!$AB:$AB)</f>
        <v>0</v>
      </c>
      <c r="O14" s="208" t="n">
        <f aca="false">EOMONTH(O13,0)+1</f>
        <v>37012</v>
      </c>
      <c r="P14" s="135" t="e">
        <f aca="false">SUM(B14:N14)</f>
        <v>#NAME?</v>
      </c>
      <c r="R14" s="134" t="e">
        <f aca="false">SUM(T14:AE14)</f>
        <v>#NAME?</v>
      </c>
      <c r="S14" s="208" t="n">
        <f aca="false">EOMONTH(S13,0)+1</f>
        <v>37012</v>
      </c>
      <c r="T14" s="134" t="e">
        <f aca="false">SUMIF('Basis Options'!$X:$X,CONCATENATE($S14,T$4),'Basis Options'!$AC:$AC)</f>
        <v>#NAME?</v>
      </c>
      <c r="U14" s="134" t="n">
        <f aca="false">SUMIF('Basis Options'!$X:$X,CONCATENATE($S14,U$4),'Basis Options'!$AC:$AC)</f>
        <v>0</v>
      </c>
      <c r="V14" s="134" t="n">
        <f aca="false">SUMIF('Basis Options'!$X:$X,CONCATENATE($S14,V$4),'Basis Options'!$AC:$AC)</f>
        <v>0</v>
      </c>
      <c r="W14" s="134" t="n">
        <f aca="false">SUMIF('Basis Options'!$X:$X,CONCATENATE($S14,W$4),'Basis Options'!$AC:$AC)</f>
        <v>0</v>
      </c>
      <c r="X14" s="134" t="n">
        <f aca="false">SUMIF('Basis Options'!$X:$X,CONCATENATE($S14,X$4),'Basis Options'!$AC:$AC)</f>
        <v>0</v>
      </c>
      <c r="Y14" s="134" t="e">
        <f aca="false">SUMIF('Basis Options'!$X:$X,CONCATENATE($S14,Y$4),'Basis Options'!$AC:$AC)</f>
        <v>#NAME?</v>
      </c>
      <c r="Z14" s="134" t="n">
        <f aca="false">SUMIF('Basis Options'!$X:$X,CONCATENATE($S14,Z$4),'Basis Options'!$AC:$AC)</f>
        <v>0</v>
      </c>
      <c r="AA14" s="134" t="n">
        <f aca="false">SUMIF('Basis Options'!$X:$X,CONCATENATE($S14,AA$4),'Basis Options'!$AC:$AC)</f>
        <v>0</v>
      </c>
      <c r="AB14" s="134" t="e">
        <f aca="false">SUMIF('Basis Options'!$X:$X,CONCATENATE($S14,AB$4),'Basis Options'!$AC:$AC)</f>
        <v>#NAME?</v>
      </c>
      <c r="AC14" s="134" t="n">
        <f aca="false">SUMIF('Basis Options'!$X:$X,CONCATENATE($S14,AC$4),'Basis Options'!$AC:$AC)</f>
        <v>0</v>
      </c>
      <c r="AD14" s="134" t="n">
        <f aca="false">SUMIF('Basis Options'!$X:$X,CONCATENATE($S14,AD$4),'Basis Options'!$AC:$AC)</f>
        <v>0</v>
      </c>
      <c r="AE14" s="134" t="n">
        <f aca="false">SUMIF('Basis Options'!$X:$X,CONCATENATE($S14,AE$4),'Basis Options'!$AC:$AC)</f>
        <v>0</v>
      </c>
      <c r="AF14" s="134" t="n">
        <f aca="false">SUMIF('Basis Options'!$X:$X,CONCATENATE($S14,AF$4),'Basis Options'!$AC:$AC)</f>
        <v>0</v>
      </c>
      <c r="AG14" s="208" t="n">
        <f aca="false">EOMONTH(AG13,0)+1</f>
        <v>37012</v>
      </c>
      <c r="AH14" s="135" t="e">
        <f aca="false">SUM(T14:AF14)</f>
        <v>#NAME?</v>
      </c>
      <c r="AK14" s="208" t="n">
        <f aca="false">EOMONTH(AK13,0)+1</f>
        <v>37012</v>
      </c>
      <c r="AL14" s="134" t="e">
        <f aca="false">SUMIF('Basis Options'!$X:$X,CONCATENATE($AK14,AL$4),'Basis Options'!$AD:$AD)</f>
        <v>#NAME?</v>
      </c>
      <c r="AM14" s="134" t="n">
        <f aca="false">SUMIF('Basis Options'!$X:$X,CONCATENATE($AK14,AM$4),'Basis Options'!$AD:$AD)</f>
        <v>0</v>
      </c>
      <c r="AN14" s="134" t="n">
        <f aca="false">SUMIF('Basis Options'!$X:$X,CONCATENATE($AK14,AN$4),'Basis Options'!$AD:$AD)</f>
        <v>0</v>
      </c>
      <c r="AO14" s="134" t="n">
        <f aca="false">SUMIF('Basis Options'!$X:$X,CONCATENATE($AK14,AO$4),'Basis Options'!$AD:$AD)</f>
        <v>0</v>
      </c>
      <c r="AP14" s="134" t="n">
        <f aca="false">SUMIF('Basis Options'!$X:$X,CONCATENATE($AK14,AP$4),'Basis Options'!$AD:$AD)</f>
        <v>0</v>
      </c>
      <c r="AQ14" s="134" t="e">
        <f aca="false">SUMIF('Basis Options'!$X:$X,CONCATENATE($AK14,AQ$4),'Basis Options'!$AD:$AD)</f>
        <v>#NAME?</v>
      </c>
      <c r="AR14" s="134" t="n">
        <f aca="false">SUMIF('Basis Options'!$X:$X,CONCATENATE($AK14,AR$4),'Basis Options'!$AD:$AD)</f>
        <v>0</v>
      </c>
      <c r="AS14" s="134" t="n">
        <f aca="false">SUMIF('Basis Options'!$X:$X,CONCATENATE($AK14,AS$4),'Basis Options'!$AD:$AD)</f>
        <v>0</v>
      </c>
      <c r="AT14" s="134" t="e">
        <f aca="false">SUMIF('Basis Options'!$X:$X,CONCATENATE($AK14,AT$4),'Basis Options'!$AD:$AD)</f>
        <v>#NAME?</v>
      </c>
      <c r="AU14" s="134" t="n">
        <f aca="false">SUMIF('Basis Options'!$X:$X,CONCATENATE($AK14,AU$4),'Basis Options'!$AD:$AD)</f>
        <v>0</v>
      </c>
      <c r="AV14" s="134" t="n">
        <f aca="false">SUMIF('Basis Options'!$X:$X,CONCATENATE($AK14,AV$4),'Basis Options'!$AD:$AD)</f>
        <v>0</v>
      </c>
      <c r="AW14" s="134" t="n">
        <f aca="false">SUMIF('Basis Options'!$X:$X,CONCATENATE($AK14,AW$4),'Basis Options'!$AD:$AD)</f>
        <v>0</v>
      </c>
      <c r="AX14" s="134" t="n">
        <f aca="false">SUMIF('Basis Options'!$X:$X,CONCATENATE($AK14,AX$4),'Basis Options'!$AD:$AD)</f>
        <v>0</v>
      </c>
      <c r="AY14" s="208" t="n">
        <f aca="false">EOMONTH(AY13,0)+1</f>
        <v>37012</v>
      </c>
      <c r="AZ14" s="135" t="e">
        <f aca="false">SUM(AL14:AX14)</f>
        <v>#NAME?</v>
      </c>
      <c r="BB14" s="208" t="n">
        <f aca="false">EOMONTH(BB13,0)+1</f>
        <v>37012</v>
      </c>
      <c r="BC14" s="134" t="e">
        <f aca="false">SUMIF('Basis Options'!$X:$X,CONCATENATE($AK14,BC$4),'Basis Options'!$AF:$AF)</f>
        <v>#NAME?</v>
      </c>
      <c r="BD14" s="134" t="n">
        <f aca="false">SUMIF('Basis Options'!$X:$X,CONCATENATE($AK14,BD$4),'Basis Options'!$AF:$AF)</f>
        <v>0</v>
      </c>
      <c r="BE14" s="134" t="n">
        <f aca="false">SUMIF('Basis Options'!$X:$X,CONCATENATE($AK14,BE$4),'Basis Options'!$AF:$AF)</f>
        <v>0</v>
      </c>
      <c r="BF14" s="134" t="n">
        <f aca="false">SUMIF('Basis Options'!$X:$X,CONCATENATE($AK14,BF$4),'Basis Options'!$AF:$AF)</f>
        <v>0</v>
      </c>
      <c r="BG14" s="134" t="n">
        <f aca="false">SUMIF('Basis Options'!$X:$X,CONCATENATE($AK14,BG$4),'Basis Options'!$AF:$AF)</f>
        <v>0</v>
      </c>
      <c r="BH14" s="134" t="e">
        <f aca="false">SUMIF('Basis Options'!$X:$X,CONCATENATE($AK14,BH$4),'Basis Options'!$AF:$AF)</f>
        <v>#NAME?</v>
      </c>
      <c r="BI14" s="134" t="n">
        <f aca="false">SUMIF('Basis Options'!$X:$X,CONCATENATE($AK14,BI$4),'Basis Options'!$AF:$AF)</f>
        <v>0</v>
      </c>
      <c r="BJ14" s="134" t="n">
        <f aca="false">SUMIF('Basis Options'!$X:$X,CONCATENATE($AK14,BJ$4),'Basis Options'!$AF:$AF)</f>
        <v>0</v>
      </c>
      <c r="BK14" s="134" t="e">
        <f aca="false">SUMIF('Basis Options'!$X:$X,CONCATENATE($AK14,BK$4),'Basis Options'!$AF:$AF)</f>
        <v>#NAME?</v>
      </c>
      <c r="BL14" s="134" t="n">
        <f aca="false">SUMIF('Basis Options'!$X:$X,CONCATENATE($AK14,BL$4),'Basis Options'!$AF:$AF)</f>
        <v>0</v>
      </c>
      <c r="BM14" s="134" t="n">
        <f aca="false">SUMIF('Basis Options'!$X:$X,CONCATENATE($AK14,BM$4),'Basis Options'!$AF:$AF)</f>
        <v>0</v>
      </c>
      <c r="BN14" s="134" t="n">
        <f aca="false">SUMIF('Basis Options'!$X:$X,CONCATENATE($AK14,BN$4),'Basis Options'!$AF:$AF)</f>
        <v>0</v>
      </c>
      <c r="BO14" s="134" t="n">
        <f aca="false">SUMIF('Basis Options'!$X:$X,CONCATENATE($AK14,BO$4),'Basis Options'!$AF:$AF)</f>
        <v>0</v>
      </c>
      <c r="BP14" s="208" t="n">
        <f aca="false">EOMONTH(BP13,0)+1</f>
        <v>37012</v>
      </c>
      <c r="BQ14" s="135" t="e">
        <f aca="false">SUM(BC14:BO14)</f>
        <v>#NAME?</v>
      </c>
      <c r="BS14" s="208" t="n">
        <f aca="false">EOMONTH(BS13,0)+1</f>
        <v>37012</v>
      </c>
      <c r="BT14" s="134" t="e">
        <f aca="false">SUMIF('Basis Options'!$X:$X,CONCATENATE($BS14,BT$4),'Basis Options'!$AI:$AI)</f>
        <v>#NAME?</v>
      </c>
      <c r="BU14" s="134" t="n">
        <f aca="false">SUMIF('Basis Options'!$X:$X,CONCATENATE($BS14,BU$4),'Basis Options'!$AI:$AI)</f>
        <v>0</v>
      </c>
      <c r="BV14" s="134" t="n">
        <f aca="false">SUMIF('Basis Options'!$X:$X,CONCATENATE($BS14,BV$4),'Basis Options'!$AI:$AI)</f>
        <v>0</v>
      </c>
      <c r="BW14" s="134" t="n">
        <f aca="false">SUMIF('Basis Options'!$X:$X,CONCATENATE($BS14,BW$4),'Basis Options'!$AI:$AI)</f>
        <v>0</v>
      </c>
      <c r="BX14" s="134" t="n">
        <f aca="false">SUMIF('Basis Options'!$X:$X,CONCATENATE($BS14,BX$4),'Basis Options'!$AI:$AI)</f>
        <v>0</v>
      </c>
      <c r="BY14" s="134" t="e">
        <f aca="false">SUMIF('Basis Options'!$X:$X,CONCATENATE($BS14,BY$4),'Basis Options'!$AI:$AI)</f>
        <v>#NAME?</v>
      </c>
      <c r="BZ14" s="134" t="n">
        <f aca="false">SUMIF('Basis Options'!$X:$X,CONCATENATE($BS14,BZ$4),'Basis Options'!$AI:$AI)</f>
        <v>0</v>
      </c>
      <c r="CA14" s="134" t="n">
        <f aca="false">SUMIF('Basis Options'!$X:$X,CONCATENATE($BS14,CA$4),'Basis Options'!$AI:$AI)</f>
        <v>0</v>
      </c>
      <c r="CB14" s="134" t="e">
        <f aca="false">SUMIF('Basis Options'!$X:$X,CONCATENATE($BS14,CB$4),'Basis Options'!$AI:$AI)</f>
        <v>#NAME?</v>
      </c>
      <c r="CC14" s="134" t="n">
        <f aca="false">SUMIF('Basis Options'!$X:$X,CONCATENATE($BS14,CC$4),'Basis Options'!$AI:$AI)</f>
        <v>0</v>
      </c>
      <c r="CD14" s="134" t="n">
        <f aca="false">SUMIF('Basis Options'!$X:$X,CONCATENATE($BS14,CD$4),'Basis Options'!$AI:$AI)</f>
        <v>0</v>
      </c>
      <c r="CE14" s="134" t="n">
        <f aca="false">SUMIF('Basis Options'!$X:$X,CONCATENATE($BS14,CE$4),'Basis Options'!$AI:$AI)</f>
        <v>0</v>
      </c>
      <c r="CF14" s="134" t="n">
        <f aca="false">SUMIF('Basis Options'!$X:$X,CONCATENATE($BS14,CF$4),'Basis Options'!$AI:$AI)</f>
        <v>0</v>
      </c>
      <c r="CG14" s="208" t="n">
        <f aca="false">EOMONTH(CG13,0)+1</f>
        <v>37012</v>
      </c>
      <c r="CH14" s="209" t="e">
        <f aca="false">SUM(BT14:CF14)</f>
        <v>#NAME?</v>
      </c>
    </row>
    <row r="15" customFormat="false" ht="12.75" hidden="false" customHeight="false" outlineLevel="0" collapsed="false">
      <c r="A15" s="208" t="n">
        <f aca="false">EOMONTH(A14,0)+1</f>
        <v>37043</v>
      </c>
      <c r="B15" s="134" t="e">
        <f aca="false">SUMIF('Basis Options'!X:X,CONCATENATE($A15,B$4),'Basis Options'!AB:AB)</f>
        <v>#NAME?</v>
      </c>
      <c r="C15" s="134" t="n">
        <f aca="false">SUMIF('Basis Options'!$X:$X,CONCATENATE($A15,C$4),'Basis Options'!$AB:$AB)</f>
        <v>0</v>
      </c>
      <c r="D15" s="134" t="n">
        <f aca="false">SUMIF('Basis Options'!$X:$X,CONCATENATE($A15,D$4),'Basis Options'!$AB:$AB)</f>
        <v>0</v>
      </c>
      <c r="E15" s="134" t="n">
        <f aca="false">SUMIF('Basis Options'!$X:$X,CONCATENATE($A15,E$4),'Basis Options'!$AB:$AB)</f>
        <v>0</v>
      </c>
      <c r="F15" s="134" t="n">
        <f aca="false">SUMIF('Basis Options'!$X:$X,CONCATENATE($A15,F$4),'Basis Options'!$AB:$AB)</f>
        <v>0</v>
      </c>
      <c r="G15" s="134" t="e">
        <f aca="false">SUMIF('Basis Options'!$X:$X,CONCATENATE($A15,G$4),'Basis Options'!$AB:$AB)</f>
        <v>#NAME?</v>
      </c>
      <c r="H15" s="134" t="n">
        <f aca="false">SUMIF('Basis Options'!$X:$X,CONCATENATE($A15,H$4),'Basis Options'!$AB:$AB)</f>
        <v>0</v>
      </c>
      <c r="I15" s="134" t="n">
        <f aca="false">SUMIF('Basis Options'!$X:$X,CONCATENATE($A15,I$4),'Basis Options'!$AB:$AB)</f>
        <v>0</v>
      </c>
      <c r="J15" s="134" t="e">
        <f aca="false">SUMIF('Basis Options'!$X:$X,CONCATENATE($A15,J$4),'Basis Options'!$AB:$AB)</f>
        <v>#NAME?</v>
      </c>
      <c r="K15" s="134" t="n">
        <f aca="false">SUMIF('Basis Options'!$X:$X,CONCATENATE($A15,K$4),'Basis Options'!$AB:$AB)</f>
        <v>0</v>
      </c>
      <c r="L15" s="134" t="n">
        <f aca="false">SUMIF('Basis Options'!$X:$X,CONCATENATE($A15,L$4),'Basis Options'!$AB:$AB)</f>
        <v>0</v>
      </c>
      <c r="M15" s="134" t="n">
        <f aca="false">SUMIF('Basis Options'!$X:$X,CONCATENATE($A15,M$4),'Basis Options'!$AB:$AB)</f>
        <v>0</v>
      </c>
      <c r="N15" s="134" t="n">
        <f aca="false">SUMIF('Basis Options'!$X:$X,CONCATENATE($A15,N$4),'Basis Options'!$AB:$AB)</f>
        <v>0</v>
      </c>
      <c r="O15" s="208" t="n">
        <f aca="false">EOMONTH(O14,0)+1</f>
        <v>37043</v>
      </c>
      <c r="P15" s="135" t="e">
        <f aca="false">SUM(B15:N15)</f>
        <v>#NAME?</v>
      </c>
      <c r="R15" s="134" t="e">
        <f aca="false">SUM(T15:AE15)</f>
        <v>#NAME?</v>
      </c>
      <c r="S15" s="208" t="n">
        <f aca="false">EOMONTH(S14,0)+1</f>
        <v>37043</v>
      </c>
      <c r="T15" s="134" t="e">
        <f aca="false">SUMIF('Basis Options'!$X:$X,CONCATENATE($S15,T$4),'Basis Options'!$AC:$AC)</f>
        <v>#NAME?</v>
      </c>
      <c r="U15" s="134" t="n">
        <f aca="false">SUMIF('Basis Options'!$X:$X,CONCATENATE($S15,U$4),'Basis Options'!$AC:$AC)</f>
        <v>0</v>
      </c>
      <c r="V15" s="134" t="n">
        <f aca="false">SUMIF('Basis Options'!$X:$X,CONCATENATE($S15,V$4),'Basis Options'!$AC:$AC)</f>
        <v>0</v>
      </c>
      <c r="W15" s="134" t="n">
        <f aca="false">SUMIF('Basis Options'!$X:$X,CONCATENATE($S15,W$4),'Basis Options'!$AC:$AC)</f>
        <v>0</v>
      </c>
      <c r="X15" s="134" t="n">
        <f aca="false">SUMIF('Basis Options'!$X:$X,CONCATENATE($S15,X$4),'Basis Options'!$AC:$AC)</f>
        <v>0</v>
      </c>
      <c r="Y15" s="134" t="e">
        <f aca="false">SUMIF('Basis Options'!$X:$X,CONCATENATE($S15,Y$4),'Basis Options'!$AC:$AC)</f>
        <v>#NAME?</v>
      </c>
      <c r="Z15" s="134" t="n">
        <f aca="false">SUMIF('Basis Options'!$X:$X,CONCATENATE($S15,Z$4),'Basis Options'!$AC:$AC)</f>
        <v>0</v>
      </c>
      <c r="AA15" s="134" t="n">
        <f aca="false">SUMIF('Basis Options'!$X:$X,CONCATENATE($S15,AA$4),'Basis Options'!$AC:$AC)</f>
        <v>0</v>
      </c>
      <c r="AB15" s="134" t="e">
        <f aca="false">SUMIF('Basis Options'!$X:$X,CONCATENATE($S15,AB$4),'Basis Options'!$AC:$AC)</f>
        <v>#NAME?</v>
      </c>
      <c r="AC15" s="134" t="n">
        <f aca="false">SUMIF('Basis Options'!$X:$X,CONCATENATE($S15,AC$4),'Basis Options'!$AC:$AC)</f>
        <v>0</v>
      </c>
      <c r="AD15" s="134" t="n">
        <f aca="false">SUMIF('Basis Options'!$X:$X,CONCATENATE($S15,AD$4),'Basis Options'!$AC:$AC)</f>
        <v>0</v>
      </c>
      <c r="AE15" s="134" t="n">
        <f aca="false">SUMIF('Basis Options'!$X:$X,CONCATENATE($S15,AE$4),'Basis Options'!$AC:$AC)</f>
        <v>0</v>
      </c>
      <c r="AF15" s="134" t="n">
        <f aca="false">SUMIF('Basis Options'!$X:$X,CONCATENATE($S15,AF$4),'Basis Options'!$AC:$AC)</f>
        <v>0</v>
      </c>
      <c r="AG15" s="208" t="n">
        <f aca="false">EOMONTH(AG14,0)+1</f>
        <v>37043</v>
      </c>
      <c r="AH15" s="135" t="e">
        <f aca="false">SUM(T15:AF15)</f>
        <v>#NAME?</v>
      </c>
      <c r="AK15" s="208" t="n">
        <f aca="false">EOMONTH(AK14,0)+1</f>
        <v>37043</v>
      </c>
      <c r="AL15" s="134" t="e">
        <f aca="false">SUMIF('Basis Options'!$X:$X,CONCATENATE($AK15,AL$4),'Basis Options'!$AD:$AD)</f>
        <v>#NAME?</v>
      </c>
      <c r="AM15" s="134" t="n">
        <f aca="false">SUMIF('Basis Options'!$X:$X,CONCATENATE($AK15,AM$4),'Basis Options'!$AD:$AD)</f>
        <v>0</v>
      </c>
      <c r="AN15" s="134" t="n">
        <f aca="false">SUMIF('Basis Options'!$X:$X,CONCATENATE($AK15,AN$4),'Basis Options'!$AD:$AD)</f>
        <v>0</v>
      </c>
      <c r="AO15" s="134" t="n">
        <f aca="false">SUMIF('Basis Options'!$X:$X,CONCATENATE($AK15,AO$4),'Basis Options'!$AD:$AD)</f>
        <v>0</v>
      </c>
      <c r="AP15" s="134" t="n">
        <f aca="false">SUMIF('Basis Options'!$X:$X,CONCATENATE($AK15,AP$4),'Basis Options'!$AD:$AD)</f>
        <v>0</v>
      </c>
      <c r="AQ15" s="134" t="e">
        <f aca="false">SUMIF('Basis Options'!$X:$X,CONCATENATE($AK15,AQ$4),'Basis Options'!$AD:$AD)</f>
        <v>#NAME?</v>
      </c>
      <c r="AR15" s="134" t="n">
        <f aca="false">SUMIF('Basis Options'!$X:$X,CONCATENATE($AK15,AR$4),'Basis Options'!$AD:$AD)</f>
        <v>0</v>
      </c>
      <c r="AS15" s="134" t="n">
        <f aca="false">SUMIF('Basis Options'!$X:$X,CONCATENATE($AK15,AS$4),'Basis Options'!$AD:$AD)</f>
        <v>0</v>
      </c>
      <c r="AT15" s="134" t="e">
        <f aca="false">SUMIF('Basis Options'!$X:$X,CONCATENATE($AK15,AT$4),'Basis Options'!$AD:$AD)</f>
        <v>#NAME?</v>
      </c>
      <c r="AU15" s="134" t="n">
        <f aca="false">SUMIF('Basis Options'!$X:$X,CONCATENATE($AK15,AU$4),'Basis Options'!$AD:$AD)</f>
        <v>0</v>
      </c>
      <c r="AV15" s="134" t="n">
        <f aca="false">SUMIF('Basis Options'!$X:$X,CONCATENATE($AK15,AV$4),'Basis Options'!$AD:$AD)</f>
        <v>0</v>
      </c>
      <c r="AW15" s="134" t="n">
        <f aca="false">SUMIF('Basis Options'!$X:$X,CONCATENATE($AK15,AW$4),'Basis Options'!$AD:$AD)</f>
        <v>0</v>
      </c>
      <c r="AX15" s="134" t="n">
        <f aca="false">SUMIF('Basis Options'!$X:$X,CONCATENATE($AK15,AX$4),'Basis Options'!$AD:$AD)</f>
        <v>0</v>
      </c>
      <c r="AY15" s="208" t="n">
        <f aca="false">EOMONTH(AY14,0)+1</f>
        <v>37043</v>
      </c>
      <c r="AZ15" s="135" t="e">
        <f aca="false">SUM(AL15:AX15)</f>
        <v>#NAME?</v>
      </c>
      <c r="BB15" s="208" t="n">
        <f aca="false">EOMONTH(BB14,0)+1</f>
        <v>37043</v>
      </c>
      <c r="BC15" s="134" t="e">
        <f aca="false">SUMIF('Basis Options'!$X:$X,CONCATENATE($AK15,BC$4),'Basis Options'!$AF:$AF)</f>
        <v>#NAME?</v>
      </c>
      <c r="BD15" s="134" t="n">
        <f aca="false">SUMIF('Basis Options'!$X:$X,CONCATENATE($AK15,BD$4),'Basis Options'!$AF:$AF)</f>
        <v>0</v>
      </c>
      <c r="BE15" s="134" t="n">
        <f aca="false">SUMIF('Basis Options'!$X:$X,CONCATENATE($AK15,BE$4),'Basis Options'!$AF:$AF)</f>
        <v>0</v>
      </c>
      <c r="BF15" s="134" t="n">
        <f aca="false">SUMIF('Basis Options'!$X:$X,CONCATENATE($AK15,BF$4),'Basis Options'!$AF:$AF)</f>
        <v>0</v>
      </c>
      <c r="BG15" s="134" t="n">
        <f aca="false">SUMIF('Basis Options'!$X:$X,CONCATENATE($AK15,BG$4),'Basis Options'!$AF:$AF)</f>
        <v>0</v>
      </c>
      <c r="BH15" s="134" t="e">
        <f aca="false">SUMIF('Basis Options'!$X:$X,CONCATENATE($AK15,BH$4),'Basis Options'!$AF:$AF)</f>
        <v>#NAME?</v>
      </c>
      <c r="BI15" s="134" t="n">
        <f aca="false">SUMIF('Basis Options'!$X:$X,CONCATENATE($AK15,BI$4),'Basis Options'!$AF:$AF)</f>
        <v>0</v>
      </c>
      <c r="BJ15" s="134" t="n">
        <f aca="false">SUMIF('Basis Options'!$X:$X,CONCATENATE($AK15,BJ$4),'Basis Options'!$AF:$AF)</f>
        <v>0</v>
      </c>
      <c r="BK15" s="134" t="e">
        <f aca="false">SUMIF('Basis Options'!$X:$X,CONCATENATE($AK15,BK$4),'Basis Options'!$AF:$AF)</f>
        <v>#NAME?</v>
      </c>
      <c r="BL15" s="134" t="n">
        <f aca="false">SUMIF('Basis Options'!$X:$X,CONCATENATE($AK15,BL$4),'Basis Options'!$AF:$AF)</f>
        <v>0</v>
      </c>
      <c r="BM15" s="134" t="n">
        <f aca="false">SUMIF('Basis Options'!$X:$X,CONCATENATE($AK15,BM$4),'Basis Options'!$AF:$AF)</f>
        <v>0</v>
      </c>
      <c r="BN15" s="134" t="n">
        <f aca="false">SUMIF('Basis Options'!$X:$X,CONCATENATE($AK15,BN$4),'Basis Options'!$AF:$AF)</f>
        <v>0</v>
      </c>
      <c r="BO15" s="134" t="n">
        <f aca="false">SUMIF('Basis Options'!$X:$X,CONCATENATE($AK15,BO$4),'Basis Options'!$AF:$AF)</f>
        <v>0</v>
      </c>
      <c r="BP15" s="208" t="n">
        <f aca="false">EOMONTH(BP14,0)+1</f>
        <v>37043</v>
      </c>
      <c r="BQ15" s="135" t="e">
        <f aca="false">SUM(BC15:BO15)</f>
        <v>#NAME?</v>
      </c>
      <c r="BS15" s="208" t="n">
        <f aca="false">EOMONTH(BS14,0)+1</f>
        <v>37043</v>
      </c>
      <c r="BT15" s="134" t="e">
        <f aca="false">SUMIF('Basis Options'!$X:$X,CONCATENATE($BS15,BT$4),'Basis Options'!$AI:$AI)</f>
        <v>#NAME?</v>
      </c>
      <c r="BU15" s="134" t="n">
        <f aca="false">SUMIF('Basis Options'!$X:$X,CONCATENATE($BS15,BU$4),'Basis Options'!$AI:$AI)</f>
        <v>0</v>
      </c>
      <c r="BV15" s="134" t="n">
        <f aca="false">SUMIF('Basis Options'!$X:$X,CONCATENATE($BS15,BV$4),'Basis Options'!$AI:$AI)</f>
        <v>0</v>
      </c>
      <c r="BW15" s="134" t="n">
        <f aca="false">SUMIF('Basis Options'!$X:$X,CONCATENATE($BS15,BW$4),'Basis Options'!$AI:$AI)</f>
        <v>0</v>
      </c>
      <c r="BX15" s="134" t="n">
        <f aca="false">SUMIF('Basis Options'!$X:$X,CONCATENATE($BS15,BX$4),'Basis Options'!$AI:$AI)</f>
        <v>0</v>
      </c>
      <c r="BY15" s="134" t="e">
        <f aca="false">SUMIF('Basis Options'!$X:$X,CONCATENATE($BS15,BY$4),'Basis Options'!$AI:$AI)</f>
        <v>#NAME?</v>
      </c>
      <c r="BZ15" s="134" t="n">
        <f aca="false">SUMIF('Basis Options'!$X:$X,CONCATENATE($BS15,BZ$4),'Basis Options'!$AI:$AI)</f>
        <v>0</v>
      </c>
      <c r="CA15" s="134" t="n">
        <f aca="false">SUMIF('Basis Options'!$X:$X,CONCATENATE($BS15,CA$4),'Basis Options'!$AI:$AI)</f>
        <v>0</v>
      </c>
      <c r="CB15" s="134" t="e">
        <f aca="false">SUMIF('Basis Options'!$X:$X,CONCATENATE($BS15,CB$4),'Basis Options'!$AI:$AI)</f>
        <v>#NAME?</v>
      </c>
      <c r="CC15" s="134" t="n">
        <f aca="false">SUMIF('Basis Options'!$X:$X,CONCATENATE($BS15,CC$4),'Basis Options'!$AI:$AI)</f>
        <v>0</v>
      </c>
      <c r="CD15" s="134" t="n">
        <f aca="false">SUMIF('Basis Options'!$X:$X,CONCATENATE($BS15,CD$4),'Basis Options'!$AI:$AI)</f>
        <v>0</v>
      </c>
      <c r="CE15" s="134" t="n">
        <f aca="false">SUMIF('Basis Options'!$X:$X,CONCATENATE($BS15,CE$4),'Basis Options'!$AI:$AI)</f>
        <v>0</v>
      </c>
      <c r="CF15" s="134" t="n">
        <f aca="false">SUMIF('Basis Options'!$X:$X,CONCATENATE($BS15,CF$4),'Basis Options'!$AI:$AI)</f>
        <v>0</v>
      </c>
      <c r="CG15" s="208" t="n">
        <f aca="false">EOMONTH(CG14,0)+1</f>
        <v>37043</v>
      </c>
      <c r="CH15" s="209" t="e">
        <f aca="false">SUM(BT15:CF15)</f>
        <v>#NAME?</v>
      </c>
    </row>
    <row r="16" customFormat="false" ht="12.75" hidden="false" customHeight="false" outlineLevel="0" collapsed="false">
      <c r="A16" s="208" t="n">
        <f aca="false">EOMONTH(A15,0)+1</f>
        <v>37073</v>
      </c>
      <c r="B16" s="134" t="e">
        <f aca="false">SUMIF('Basis Options'!X:X,CONCATENATE($A16,B$4),'Basis Options'!AB:AB)</f>
        <v>#NAME?</v>
      </c>
      <c r="C16" s="134" t="n">
        <f aca="false">SUMIF('Basis Options'!$X:$X,CONCATENATE($A16,C$4),'Basis Options'!$AB:$AB)</f>
        <v>0</v>
      </c>
      <c r="D16" s="134" t="n">
        <f aca="false">SUMIF('Basis Options'!$X:$X,CONCATENATE($A16,D$4),'Basis Options'!$AB:$AB)</f>
        <v>0</v>
      </c>
      <c r="E16" s="134" t="n">
        <f aca="false">SUMIF('Basis Options'!$X:$X,CONCATENATE($A16,E$4),'Basis Options'!$AB:$AB)</f>
        <v>0</v>
      </c>
      <c r="F16" s="134" t="n">
        <f aca="false">SUMIF('Basis Options'!$X:$X,CONCATENATE($A16,F$4),'Basis Options'!$AB:$AB)</f>
        <v>0</v>
      </c>
      <c r="G16" s="134" t="e">
        <f aca="false">SUMIF('Basis Options'!$X:$X,CONCATENATE($A16,G$4),'Basis Options'!$AB:$AB)</f>
        <v>#NAME?</v>
      </c>
      <c r="H16" s="134" t="n">
        <f aca="false">SUMIF('Basis Options'!$X:$X,CONCATENATE($A16,H$4),'Basis Options'!$AB:$AB)</f>
        <v>0</v>
      </c>
      <c r="I16" s="134" t="n">
        <f aca="false">SUMIF('Basis Options'!$X:$X,CONCATENATE($A16,I$4),'Basis Options'!$AB:$AB)</f>
        <v>0</v>
      </c>
      <c r="J16" s="134" t="e">
        <f aca="false">SUMIF('Basis Options'!$X:$X,CONCATENATE($A16,J$4),'Basis Options'!$AB:$AB)</f>
        <v>#NAME?</v>
      </c>
      <c r="K16" s="134" t="n">
        <f aca="false">SUMIF('Basis Options'!$X:$X,CONCATENATE($A16,K$4),'Basis Options'!$AB:$AB)</f>
        <v>0</v>
      </c>
      <c r="L16" s="134" t="n">
        <f aca="false">SUMIF('Basis Options'!$X:$X,CONCATENATE($A16,L$4),'Basis Options'!$AB:$AB)</f>
        <v>0</v>
      </c>
      <c r="M16" s="134" t="n">
        <f aca="false">SUMIF('Basis Options'!$X:$X,CONCATENATE($A16,M$4),'Basis Options'!$AB:$AB)</f>
        <v>0</v>
      </c>
      <c r="N16" s="134" t="n">
        <f aca="false">SUMIF('Basis Options'!$X:$X,CONCATENATE($A16,N$4),'Basis Options'!$AB:$AB)</f>
        <v>0</v>
      </c>
      <c r="O16" s="208" t="n">
        <f aca="false">EOMONTH(O15,0)+1</f>
        <v>37073</v>
      </c>
      <c r="P16" s="135" t="e">
        <f aca="false">SUM(B16:N16)</f>
        <v>#NAME?</v>
      </c>
      <c r="R16" s="134" t="e">
        <f aca="false">SUM(T16:AE16)</f>
        <v>#NAME?</v>
      </c>
      <c r="S16" s="208" t="n">
        <f aca="false">EOMONTH(S15,0)+1</f>
        <v>37073</v>
      </c>
      <c r="T16" s="134" t="e">
        <f aca="false">SUMIF('Basis Options'!$X:$X,CONCATENATE($S16,T$4),'Basis Options'!$AC:$AC)</f>
        <v>#NAME?</v>
      </c>
      <c r="U16" s="134" t="n">
        <f aca="false">SUMIF('Basis Options'!$X:$X,CONCATENATE($S16,U$4),'Basis Options'!$AC:$AC)</f>
        <v>0</v>
      </c>
      <c r="V16" s="134" t="n">
        <f aca="false">SUMIF('Basis Options'!$X:$X,CONCATENATE($S16,V$4),'Basis Options'!$AC:$AC)</f>
        <v>0</v>
      </c>
      <c r="W16" s="134" t="n">
        <f aca="false">SUMIF('Basis Options'!$X:$X,CONCATENATE($S16,W$4),'Basis Options'!$AC:$AC)</f>
        <v>0</v>
      </c>
      <c r="X16" s="134" t="n">
        <f aca="false">SUMIF('Basis Options'!$X:$X,CONCATENATE($S16,X$4),'Basis Options'!$AC:$AC)</f>
        <v>0</v>
      </c>
      <c r="Y16" s="134" t="e">
        <f aca="false">SUMIF('Basis Options'!$X:$X,CONCATENATE($S16,Y$4),'Basis Options'!$AC:$AC)</f>
        <v>#NAME?</v>
      </c>
      <c r="Z16" s="134" t="n">
        <f aca="false">SUMIF('Basis Options'!$X:$X,CONCATENATE($S16,Z$4),'Basis Options'!$AC:$AC)</f>
        <v>0</v>
      </c>
      <c r="AA16" s="134" t="n">
        <f aca="false">SUMIF('Basis Options'!$X:$X,CONCATENATE($S16,AA$4),'Basis Options'!$AC:$AC)</f>
        <v>0</v>
      </c>
      <c r="AB16" s="134" t="e">
        <f aca="false">SUMIF('Basis Options'!$X:$X,CONCATENATE($S16,AB$4),'Basis Options'!$AC:$AC)</f>
        <v>#NAME?</v>
      </c>
      <c r="AC16" s="134" t="n">
        <f aca="false">SUMIF('Basis Options'!$X:$X,CONCATENATE($S16,AC$4),'Basis Options'!$AC:$AC)</f>
        <v>0</v>
      </c>
      <c r="AD16" s="134" t="n">
        <f aca="false">SUMIF('Basis Options'!$X:$X,CONCATENATE($S16,AD$4),'Basis Options'!$AC:$AC)</f>
        <v>0</v>
      </c>
      <c r="AE16" s="134" t="n">
        <f aca="false">SUMIF('Basis Options'!$X:$X,CONCATENATE($S16,AE$4),'Basis Options'!$AC:$AC)</f>
        <v>0</v>
      </c>
      <c r="AF16" s="134" t="n">
        <f aca="false">SUMIF('Basis Options'!$X:$X,CONCATENATE($S16,AF$4),'Basis Options'!$AC:$AC)</f>
        <v>0</v>
      </c>
      <c r="AG16" s="208" t="n">
        <f aca="false">EOMONTH(AG15,0)+1</f>
        <v>37073</v>
      </c>
      <c r="AH16" s="135" t="e">
        <f aca="false">SUM(T16:AF16)</f>
        <v>#NAME?</v>
      </c>
      <c r="AK16" s="208" t="n">
        <f aca="false">EOMONTH(AK15,0)+1</f>
        <v>37073</v>
      </c>
      <c r="AL16" s="134" t="e">
        <f aca="false">SUMIF('Basis Options'!$X:$X,CONCATENATE($AK16,AL$4),'Basis Options'!$AD:$AD)</f>
        <v>#NAME?</v>
      </c>
      <c r="AM16" s="134" t="n">
        <f aca="false">SUMIF('Basis Options'!$X:$X,CONCATENATE($AK16,AM$4),'Basis Options'!$AD:$AD)</f>
        <v>0</v>
      </c>
      <c r="AN16" s="134" t="n">
        <f aca="false">SUMIF('Basis Options'!$X:$X,CONCATENATE($AK16,AN$4),'Basis Options'!$AD:$AD)</f>
        <v>0</v>
      </c>
      <c r="AO16" s="134" t="n">
        <f aca="false">SUMIF('Basis Options'!$X:$X,CONCATENATE($AK16,AO$4),'Basis Options'!$AD:$AD)</f>
        <v>0</v>
      </c>
      <c r="AP16" s="134" t="n">
        <f aca="false">SUMIF('Basis Options'!$X:$X,CONCATENATE($AK16,AP$4),'Basis Options'!$AD:$AD)</f>
        <v>0</v>
      </c>
      <c r="AQ16" s="134" t="e">
        <f aca="false">SUMIF('Basis Options'!$X:$X,CONCATENATE($AK16,AQ$4),'Basis Options'!$AD:$AD)</f>
        <v>#NAME?</v>
      </c>
      <c r="AR16" s="134" t="n">
        <f aca="false">SUMIF('Basis Options'!$X:$X,CONCATENATE($AK16,AR$4),'Basis Options'!$AD:$AD)</f>
        <v>0</v>
      </c>
      <c r="AS16" s="134" t="n">
        <f aca="false">SUMIF('Basis Options'!$X:$X,CONCATENATE($AK16,AS$4),'Basis Options'!$AD:$AD)</f>
        <v>0</v>
      </c>
      <c r="AT16" s="134" t="e">
        <f aca="false">SUMIF('Basis Options'!$X:$X,CONCATENATE($AK16,AT$4),'Basis Options'!$AD:$AD)</f>
        <v>#NAME?</v>
      </c>
      <c r="AU16" s="134" t="n">
        <f aca="false">SUMIF('Basis Options'!$X:$X,CONCATENATE($AK16,AU$4),'Basis Options'!$AD:$AD)</f>
        <v>0</v>
      </c>
      <c r="AV16" s="134" t="n">
        <f aca="false">SUMIF('Basis Options'!$X:$X,CONCATENATE($AK16,AV$4),'Basis Options'!$AD:$AD)</f>
        <v>0</v>
      </c>
      <c r="AW16" s="134" t="n">
        <f aca="false">SUMIF('Basis Options'!$X:$X,CONCATENATE($AK16,AW$4),'Basis Options'!$AD:$AD)</f>
        <v>0</v>
      </c>
      <c r="AX16" s="134" t="n">
        <f aca="false">SUMIF('Basis Options'!$X:$X,CONCATENATE($AK16,AX$4),'Basis Options'!$AD:$AD)</f>
        <v>0</v>
      </c>
      <c r="AY16" s="208" t="n">
        <f aca="false">EOMONTH(AY15,0)+1</f>
        <v>37073</v>
      </c>
      <c r="AZ16" s="135" t="e">
        <f aca="false">SUM(AL16:AX16)</f>
        <v>#NAME?</v>
      </c>
      <c r="BB16" s="208" t="n">
        <f aca="false">EOMONTH(BB15,0)+1</f>
        <v>37073</v>
      </c>
      <c r="BC16" s="134" t="e">
        <f aca="false">SUMIF('Basis Options'!$X:$X,CONCATENATE($AK16,BC$4),'Basis Options'!$AF:$AF)</f>
        <v>#NAME?</v>
      </c>
      <c r="BD16" s="134" t="n">
        <f aca="false">SUMIF('Basis Options'!$X:$X,CONCATENATE($AK16,BD$4),'Basis Options'!$AF:$AF)</f>
        <v>0</v>
      </c>
      <c r="BE16" s="134" t="n">
        <f aca="false">SUMIF('Basis Options'!$X:$X,CONCATENATE($AK16,BE$4),'Basis Options'!$AF:$AF)</f>
        <v>0</v>
      </c>
      <c r="BF16" s="134" t="n">
        <f aca="false">SUMIF('Basis Options'!$X:$X,CONCATENATE($AK16,BF$4),'Basis Options'!$AF:$AF)</f>
        <v>0</v>
      </c>
      <c r="BG16" s="134" t="n">
        <f aca="false">SUMIF('Basis Options'!$X:$X,CONCATENATE($AK16,BG$4),'Basis Options'!$AF:$AF)</f>
        <v>0</v>
      </c>
      <c r="BH16" s="134" t="e">
        <f aca="false">SUMIF('Basis Options'!$X:$X,CONCATENATE($AK16,BH$4),'Basis Options'!$AF:$AF)</f>
        <v>#NAME?</v>
      </c>
      <c r="BI16" s="134" t="n">
        <f aca="false">SUMIF('Basis Options'!$X:$X,CONCATENATE($AK16,BI$4),'Basis Options'!$AF:$AF)</f>
        <v>0</v>
      </c>
      <c r="BJ16" s="134" t="n">
        <f aca="false">SUMIF('Basis Options'!$X:$X,CONCATENATE($AK16,BJ$4),'Basis Options'!$AF:$AF)</f>
        <v>0</v>
      </c>
      <c r="BK16" s="134" t="e">
        <f aca="false">SUMIF('Basis Options'!$X:$X,CONCATENATE($AK16,BK$4),'Basis Options'!$AF:$AF)</f>
        <v>#NAME?</v>
      </c>
      <c r="BL16" s="134" t="n">
        <f aca="false">SUMIF('Basis Options'!$X:$X,CONCATENATE($AK16,BL$4),'Basis Options'!$AF:$AF)</f>
        <v>0</v>
      </c>
      <c r="BM16" s="134" t="n">
        <f aca="false">SUMIF('Basis Options'!$X:$X,CONCATENATE($AK16,BM$4),'Basis Options'!$AF:$AF)</f>
        <v>0</v>
      </c>
      <c r="BN16" s="134" t="n">
        <f aca="false">SUMIF('Basis Options'!$X:$X,CONCATENATE($AK16,BN$4),'Basis Options'!$AF:$AF)</f>
        <v>0</v>
      </c>
      <c r="BO16" s="134" t="n">
        <f aca="false">SUMIF('Basis Options'!$X:$X,CONCATENATE($AK16,BO$4),'Basis Options'!$AF:$AF)</f>
        <v>0</v>
      </c>
      <c r="BP16" s="208" t="n">
        <f aca="false">EOMONTH(BP15,0)+1</f>
        <v>37073</v>
      </c>
      <c r="BQ16" s="135" t="e">
        <f aca="false">SUM(BC16:BO16)</f>
        <v>#NAME?</v>
      </c>
      <c r="BS16" s="208" t="n">
        <f aca="false">EOMONTH(BS15,0)+1</f>
        <v>37073</v>
      </c>
      <c r="BT16" s="134" t="e">
        <f aca="false">SUMIF('Basis Options'!$X:$X,CONCATENATE($BS16,BT$4),'Basis Options'!$AI:$AI)</f>
        <v>#NAME?</v>
      </c>
      <c r="BU16" s="134" t="n">
        <f aca="false">SUMIF('Basis Options'!$X:$X,CONCATENATE($BS16,BU$4),'Basis Options'!$AI:$AI)</f>
        <v>0</v>
      </c>
      <c r="BV16" s="134" t="n">
        <f aca="false">SUMIF('Basis Options'!$X:$X,CONCATENATE($BS16,BV$4),'Basis Options'!$AI:$AI)</f>
        <v>0</v>
      </c>
      <c r="BW16" s="134" t="n">
        <f aca="false">SUMIF('Basis Options'!$X:$X,CONCATENATE($BS16,BW$4),'Basis Options'!$AI:$AI)</f>
        <v>0</v>
      </c>
      <c r="BX16" s="134" t="n">
        <f aca="false">SUMIF('Basis Options'!$X:$X,CONCATENATE($BS16,BX$4),'Basis Options'!$AI:$AI)</f>
        <v>0</v>
      </c>
      <c r="BY16" s="134" t="e">
        <f aca="false">SUMIF('Basis Options'!$X:$X,CONCATENATE($BS16,BY$4),'Basis Options'!$AI:$AI)</f>
        <v>#NAME?</v>
      </c>
      <c r="BZ16" s="134" t="n">
        <f aca="false">SUMIF('Basis Options'!$X:$X,CONCATENATE($BS16,BZ$4),'Basis Options'!$AI:$AI)</f>
        <v>0</v>
      </c>
      <c r="CA16" s="134" t="n">
        <f aca="false">SUMIF('Basis Options'!$X:$X,CONCATENATE($BS16,CA$4),'Basis Options'!$AI:$AI)</f>
        <v>0</v>
      </c>
      <c r="CB16" s="134" t="e">
        <f aca="false">SUMIF('Basis Options'!$X:$X,CONCATENATE($BS16,CB$4),'Basis Options'!$AI:$AI)</f>
        <v>#NAME?</v>
      </c>
      <c r="CC16" s="134" t="n">
        <f aca="false">SUMIF('Basis Options'!$X:$X,CONCATENATE($BS16,CC$4),'Basis Options'!$AI:$AI)</f>
        <v>0</v>
      </c>
      <c r="CD16" s="134" t="n">
        <f aca="false">SUMIF('Basis Options'!$X:$X,CONCATENATE($BS16,CD$4),'Basis Options'!$AI:$AI)</f>
        <v>0</v>
      </c>
      <c r="CE16" s="134" t="n">
        <f aca="false">SUMIF('Basis Options'!$X:$X,CONCATENATE($BS16,CE$4),'Basis Options'!$AI:$AI)</f>
        <v>0</v>
      </c>
      <c r="CF16" s="134" t="n">
        <f aca="false">SUMIF('Basis Options'!$X:$X,CONCATENATE($BS16,CF$4),'Basis Options'!$AI:$AI)</f>
        <v>0</v>
      </c>
      <c r="CG16" s="208" t="n">
        <f aca="false">EOMONTH(CG15,0)+1</f>
        <v>37073</v>
      </c>
      <c r="CH16" s="209" t="e">
        <f aca="false">SUM(BT16:CF16)</f>
        <v>#NAME?</v>
      </c>
    </row>
    <row r="17" customFormat="false" ht="12.75" hidden="false" customHeight="false" outlineLevel="0" collapsed="false">
      <c r="A17" s="208" t="n">
        <f aca="false">EOMONTH(A16,0)+1</f>
        <v>37104</v>
      </c>
      <c r="B17" s="134" t="e">
        <f aca="false">SUMIF('Basis Options'!X:X,CONCATENATE($A17,B$4),'Basis Options'!AB:AB)</f>
        <v>#NAME?</v>
      </c>
      <c r="C17" s="134" t="n">
        <f aca="false">SUMIF('Basis Options'!$X:$X,CONCATENATE($A17,C$4),'Basis Options'!$AB:$AB)</f>
        <v>0</v>
      </c>
      <c r="D17" s="134" t="n">
        <f aca="false">SUMIF('Basis Options'!$X:$X,CONCATENATE($A17,D$4),'Basis Options'!$AB:$AB)</f>
        <v>0</v>
      </c>
      <c r="E17" s="134" t="n">
        <f aca="false">SUMIF('Basis Options'!$X:$X,CONCATENATE($A17,E$4),'Basis Options'!$AB:$AB)</f>
        <v>0</v>
      </c>
      <c r="F17" s="134" t="n">
        <f aca="false">SUMIF('Basis Options'!$X:$X,CONCATENATE($A17,F$4),'Basis Options'!$AB:$AB)</f>
        <v>0</v>
      </c>
      <c r="G17" s="134" t="e">
        <f aca="false">SUMIF('Basis Options'!$X:$X,CONCATENATE($A17,G$4),'Basis Options'!$AB:$AB)</f>
        <v>#NAME?</v>
      </c>
      <c r="H17" s="134" t="n">
        <f aca="false">SUMIF('Basis Options'!$X:$X,CONCATENATE($A17,H$4),'Basis Options'!$AB:$AB)</f>
        <v>0</v>
      </c>
      <c r="I17" s="134" t="n">
        <f aca="false">SUMIF('Basis Options'!$X:$X,CONCATENATE($A17,I$4),'Basis Options'!$AB:$AB)</f>
        <v>0</v>
      </c>
      <c r="J17" s="134" t="e">
        <f aca="false">SUMIF('Basis Options'!$X:$X,CONCATENATE($A17,J$4),'Basis Options'!$AB:$AB)</f>
        <v>#NAME?</v>
      </c>
      <c r="K17" s="134" t="n">
        <f aca="false">SUMIF('Basis Options'!$X:$X,CONCATENATE($A17,K$4),'Basis Options'!$AB:$AB)</f>
        <v>0</v>
      </c>
      <c r="L17" s="134" t="n">
        <f aca="false">SUMIF('Basis Options'!$X:$X,CONCATENATE($A17,L$4),'Basis Options'!$AB:$AB)</f>
        <v>0</v>
      </c>
      <c r="M17" s="134" t="n">
        <f aca="false">SUMIF('Basis Options'!$X:$X,CONCATENATE($A17,M$4),'Basis Options'!$AB:$AB)</f>
        <v>0</v>
      </c>
      <c r="N17" s="134" t="n">
        <f aca="false">SUMIF('Basis Options'!$X:$X,CONCATENATE($A17,N$4),'Basis Options'!$AB:$AB)</f>
        <v>0</v>
      </c>
      <c r="O17" s="208" t="n">
        <f aca="false">EOMONTH(O16,0)+1</f>
        <v>37104</v>
      </c>
      <c r="P17" s="135" t="e">
        <f aca="false">SUM(B17:N17)</f>
        <v>#NAME?</v>
      </c>
      <c r="R17" s="134" t="e">
        <f aca="false">SUM(T17:AE17)</f>
        <v>#NAME?</v>
      </c>
      <c r="S17" s="208" t="n">
        <f aca="false">EOMONTH(S16,0)+1</f>
        <v>37104</v>
      </c>
      <c r="T17" s="134" t="e">
        <f aca="false">SUMIF('Basis Options'!$X:$X,CONCATENATE($S17,T$4),'Basis Options'!$AC:$AC)</f>
        <v>#NAME?</v>
      </c>
      <c r="U17" s="134" t="n">
        <f aca="false">SUMIF('Basis Options'!$X:$X,CONCATENATE($S17,U$4),'Basis Options'!$AC:$AC)</f>
        <v>0</v>
      </c>
      <c r="V17" s="134" t="n">
        <f aca="false">SUMIF('Basis Options'!$X:$X,CONCATENATE($S17,V$4),'Basis Options'!$AC:$AC)</f>
        <v>0</v>
      </c>
      <c r="W17" s="134" t="n">
        <f aca="false">SUMIF('Basis Options'!$X:$X,CONCATENATE($S17,W$4),'Basis Options'!$AC:$AC)</f>
        <v>0</v>
      </c>
      <c r="X17" s="134" t="n">
        <f aca="false">SUMIF('Basis Options'!$X:$X,CONCATENATE($S17,X$4),'Basis Options'!$AC:$AC)</f>
        <v>0</v>
      </c>
      <c r="Y17" s="134" t="e">
        <f aca="false">SUMIF('Basis Options'!$X:$X,CONCATENATE($S17,Y$4),'Basis Options'!$AC:$AC)</f>
        <v>#NAME?</v>
      </c>
      <c r="Z17" s="134" t="n">
        <f aca="false">SUMIF('Basis Options'!$X:$X,CONCATENATE($S17,Z$4),'Basis Options'!$AC:$AC)</f>
        <v>0</v>
      </c>
      <c r="AA17" s="134" t="n">
        <f aca="false">SUMIF('Basis Options'!$X:$X,CONCATENATE($S17,AA$4),'Basis Options'!$AC:$AC)</f>
        <v>0</v>
      </c>
      <c r="AB17" s="134" t="e">
        <f aca="false">SUMIF('Basis Options'!$X:$X,CONCATENATE($S17,AB$4),'Basis Options'!$AC:$AC)</f>
        <v>#NAME?</v>
      </c>
      <c r="AC17" s="134" t="n">
        <f aca="false">SUMIF('Basis Options'!$X:$X,CONCATENATE($S17,AC$4),'Basis Options'!$AC:$AC)</f>
        <v>0</v>
      </c>
      <c r="AD17" s="134" t="n">
        <f aca="false">SUMIF('Basis Options'!$X:$X,CONCATENATE($S17,AD$4),'Basis Options'!$AC:$AC)</f>
        <v>0</v>
      </c>
      <c r="AE17" s="134" t="n">
        <f aca="false">SUMIF('Basis Options'!$X:$X,CONCATENATE($S17,AE$4),'Basis Options'!$AC:$AC)</f>
        <v>0</v>
      </c>
      <c r="AF17" s="134" t="n">
        <f aca="false">SUMIF('Basis Options'!$X:$X,CONCATENATE($S17,AF$4),'Basis Options'!$AC:$AC)</f>
        <v>0</v>
      </c>
      <c r="AG17" s="208" t="n">
        <f aca="false">EOMONTH(AG16,0)+1</f>
        <v>37104</v>
      </c>
      <c r="AH17" s="135" t="e">
        <f aca="false">SUM(T17:AF17)</f>
        <v>#NAME?</v>
      </c>
      <c r="AK17" s="208" t="n">
        <f aca="false">EOMONTH(AK16,0)+1</f>
        <v>37104</v>
      </c>
      <c r="AL17" s="134" t="e">
        <f aca="false">SUMIF('Basis Options'!$X:$X,CONCATENATE($AK17,AL$4),'Basis Options'!$AD:$AD)</f>
        <v>#NAME?</v>
      </c>
      <c r="AM17" s="134" t="n">
        <f aca="false">SUMIF('Basis Options'!$X:$X,CONCATENATE($AK17,AM$4),'Basis Options'!$AD:$AD)</f>
        <v>0</v>
      </c>
      <c r="AN17" s="134" t="n">
        <f aca="false">SUMIF('Basis Options'!$X:$X,CONCATENATE($AK17,AN$4),'Basis Options'!$AD:$AD)</f>
        <v>0</v>
      </c>
      <c r="AO17" s="134" t="n">
        <f aca="false">SUMIF('Basis Options'!$X:$X,CONCATENATE($AK17,AO$4),'Basis Options'!$AD:$AD)</f>
        <v>0</v>
      </c>
      <c r="AP17" s="134" t="n">
        <f aca="false">SUMIF('Basis Options'!$X:$X,CONCATENATE($AK17,AP$4),'Basis Options'!$AD:$AD)</f>
        <v>0</v>
      </c>
      <c r="AQ17" s="134" t="e">
        <f aca="false">SUMIF('Basis Options'!$X:$X,CONCATENATE($AK17,AQ$4),'Basis Options'!$AD:$AD)</f>
        <v>#NAME?</v>
      </c>
      <c r="AR17" s="134" t="n">
        <f aca="false">SUMIF('Basis Options'!$X:$X,CONCATENATE($AK17,AR$4),'Basis Options'!$AD:$AD)</f>
        <v>0</v>
      </c>
      <c r="AS17" s="134" t="n">
        <f aca="false">SUMIF('Basis Options'!$X:$X,CONCATENATE($AK17,AS$4),'Basis Options'!$AD:$AD)</f>
        <v>0</v>
      </c>
      <c r="AT17" s="134" t="e">
        <f aca="false">SUMIF('Basis Options'!$X:$X,CONCATENATE($AK17,AT$4),'Basis Options'!$AD:$AD)</f>
        <v>#NAME?</v>
      </c>
      <c r="AU17" s="134" t="n">
        <f aca="false">SUMIF('Basis Options'!$X:$X,CONCATENATE($AK17,AU$4),'Basis Options'!$AD:$AD)</f>
        <v>0</v>
      </c>
      <c r="AV17" s="134" t="n">
        <f aca="false">SUMIF('Basis Options'!$X:$X,CONCATENATE($AK17,AV$4),'Basis Options'!$AD:$AD)</f>
        <v>0</v>
      </c>
      <c r="AW17" s="134" t="n">
        <f aca="false">SUMIF('Basis Options'!$X:$X,CONCATENATE($AK17,AW$4),'Basis Options'!$AD:$AD)</f>
        <v>0</v>
      </c>
      <c r="AX17" s="134" t="n">
        <f aca="false">SUMIF('Basis Options'!$X:$X,CONCATENATE($AK17,AX$4),'Basis Options'!$AD:$AD)</f>
        <v>0</v>
      </c>
      <c r="AY17" s="208" t="n">
        <f aca="false">EOMONTH(AY16,0)+1</f>
        <v>37104</v>
      </c>
      <c r="AZ17" s="135" t="e">
        <f aca="false">SUM(AL17:AX17)</f>
        <v>#NAME?</v>
      </c>
      <c r="BB17" s="208" t="n">
        <f aca="false">EOMONTH(BB16,0)+1</f>
        <v>37104</v>
      </c>
      <c r="BC17" s="134" t="e">
        <f aca="false">SUMIF('Basis Options'!$X:$X,CONCATENATE($AK17,BC$4),'Basis Options'!$AF:$AF)</f>
        <v>#NAME?</v>
      </c>
      <c r="BD17" s="134" t="n">
        <f aca="false">SUMIF('Basis Options'!$X:$X,CONCATENATE($AK17,BD$4),'Basis Options'!$AF:$AF)</f>
        <v>0</v>
      </c>
      <c r="BE17" s="134" t="n">
        <f aca="false">SUMIF('Basis Options'!$X:$X,CONCATENATE($AK17,BE$4),'Basis Options'!$AF:$AF)</f>
        <v>0</v>
      </c>
      <c r="BF17" s="134" t="n">
        <f aca="false">SUMIF('Basis Options'!$X:$X,CONCATENATE($AK17,BF$4),'Basis Options'!$AF:$AF)</f>
        <v>0</v>
      </c>
      <c r="BG17" s="134" t="n">
        <f aca="false">SUMIF('Basis Options'!$X:$X,CONCATENATE($AK17,BG$4),'Basis Options'!$AF:$AF)</f>
        <v>0</v>
      </c>
      <c r="BH17" s="134" t="e">
        <f aca="false">SUMIF('Basis Options'!$X:$X,CONCATENATE($AK17,BH$4),'Basis Options'!$AF:$AF)</f>
        <v>#NAME?</v>
      </c>
      <c r="BI17" s="134" t="n">
        <f aca="false">SUMIF('Basis Options'!$X:$X,CONCATENATE($AK17,BI$4),'Basis Options'!$AF:$AF)</f>
        <v>0</v>
      </c>
      <c r="BJ17" s="134" t="n">
        <f aca="false">SUMIF('Basis Options'!$X:$X,CONCATENATE($AK17,BJ$4),'Basis Options'!$AF:$AF)</f>
        <v>0</v>
      </c>
      <c r="BK17" s="134" t="e">
        <f aca="false">SUMIF('Basis Options'!$X:$X,CONCATENATE($AK17,BK$4),'Basis Options'!$AF:$AF)</f>
        <v>#NAME?</v>
      </c>
      <c r="BL17" s="134" t="n">
        <f aca="false">SUMIF('Basis Options'!$X:$X,CONCATENATE($AK17,BL$4),'Basis Options'!$AF:$AF)</f>
        <v>0</v>
      </c>
      <c r="BM17" s="134" t="n">
        <f aca="false">SUMIF('Basis Options'!$X:$X,CONCATENATE($AK17,BM$4),'Basis Options'!$AF:$AF)</f>
        <v>0</v>
      </c>
      <c r="BN17" s="134" t="n">
        <f aca="false">SUMIF('Basis Options'!$X:$X,CONCATENATE($AK17,BN$4),'Basis Options'!$AF:$AF)</f>
        <v>0</v>
      </c>
      <c r="BO17" s="134" t="n">
        <f aca="false">SUMIF('Basis Options'!$X:$X,CONCATENATE($AK17,BO$4),'Basis Options'!$AF:$AF)</f>
        <v>0</v>
      </c>
      <c r="BP17" s="208" t="n">
        <f aca="false">EOMONTH(BP16,0)+1</f>
        <v>37104</v>
      </c>
      <c r="BQ17" s="135" t="e">
        <f aca="false">SUM(BC17:BO17)</f>
        <v>#NAME?</v>
      </c>
      <c r="BS17" s="208" t="n">
        <f aca="false">EOMONTH(BS16,0)+1</f>
        <v>37104</v>
      </c>
      <c r="BT17" s="134" t="e">
        <f aca="false">SUMIF('Basis Options'!$X:$X,CONCATENATE($BS17,BT$4),'Basis Options'!$AI:$AI)</f>
        <v>#NAME?</v>
      </c>
      <c r="BU17" s="134" t="n">
        <f aca="false">SUMIF('Basis Options'!$X:$X,CONCATENATE($BS17,BU$4),'Basis Options'!$AI:$AI)</f>
        <v>0</v>
      </c>
      <c r="BV17" s="134" t="n">
        <f aca="false">SUMIF('Basis Options'!$X:$X,CONCATENATE($BS17,BV$4),'Basis Options'!$AI:$AI)</f>
        <v>0</v>
      </c>
      <c r="BW17" s="134" t="n">
        <f aca="false">SUMIF('Basis Options'!$X:$X,CONCATENATE($BS17,BW$4),'Basis Options'!$AI:$AI)</f>
        <v>0</v>
      </c>
      <c r="BX17" s="134" t="n">
        <f aca="false">SUMIF('Basis Options'!$X:$X,CONCATENATE($BS17,BX$4),'Basis Options'!$AI:$AI)</f>
        <v>0</v>
      </c>
      <c r="BY17" s="134" t="e">
        <f aca="false">SUMIF('Basis Options'!$X:$X,CONCATENATE($BS17,BY$4),'Basis Options'!$AI:$AI)</f>
        <v>#NAME?</v>
      </c>
      <c r="BZ17" s="134" t="n">
        <f aca="false">SUMIF('Basis Options'!$X:$X,CONCATENATE($BS17,BZ$4),'Basis Options'!$AI:$AI)</f>
        <v>0</v>
      </c>
      <c r="CA17" s="134" t="n">
        <f aca="false">SUMIF('Basis Options'!$X:$X,CONCATENATE($BS17,CA$4),'Basis Options'!$AI:$AI)</f>
        <v>0</v>
      </c>
      <c r="CB17" s="134" t="e">
        <f aca="false">SUMIF('Basis Options'!$X:$X,CONCATENATE($BS17,CB$4),'Basis Options'!$AI:$AI)</f>
        <v>#NAME?</v>
      </c>
      <c r="CC17" s="134" t="n">
        <f aca="false">SUMIF('Basis Options'!$X:$X,CONCATENATE($BS17,CC$4),'Basis Options'!$AI:$AI)</f>
        <v>0</v>
      </c>
      <c r="CD17" s="134" t="n">
        <f aca="false">SUMIF('Basis Options'!$X:$X,CONCATENATE($BS17,CD$4),'Basis Options'!$AI:$AI)</f>
        <v>0</v>
      </c>
      <c r="CE17" s="134" t="n">
        <f aca="false">SUMIF('Basis Options'!$X:$X,CONCATENATE($BS17,CE$4),'Basis Options'!$AI:$AI)</f>
        <v>0</v>
      </c>
      <c r="CF17" s="134" t="n">
        <f aca="false">SUMIF('Basis Options'!$X:$X,CONCATENATE($BS17,CF$4),'Basis Options'!$AI:$AI)</f>
        <v>0</v>
      </c>
      <c r="CG17" s="208" t="n">
        <f aca="false">EOMONTH(CG16,0)+1</f>
        <v>37104</v>
      </c>
      <c r="CH17" s="209" t="e">
        <f aca="false">SUM(BT17:CF17)</f>
        <v>#NAME?</v>
      </c>
    </row>
    <row r="18" customFormat="false" ht="12.75" hidden="false" customHeight="false" outlineLevel="0" collapsed="false">
      <c r="A18" s="208" t="n">
        <f aca="false">EOMONTH(A17,0)+1</f>
        <v>37135</v>
      </c>
      <c r="B18" s="134" t="e">
        <f aca="false">SUMIF('Basis Options'!X:X,CONCATENATE($A18,B$4),'Basis Options'!AB:AB)</f>
        <v>#NAME?</v>
      </c>
      <c r="C18" s="134" t="n">
        <f aca="false">SUMIF('Basis Options'!$X:$X,CONCATENATE($A18,C$4),'Basis Options'!$AB:$AB)</f>
        <v>0</v>
      </c>
      <c r="D18" s="134" t="n">
        <f aca="false">SUMIF('Basis Options'!$X:$X,CONCATENATE($A18,D$4),'Basis Options'!$AB:$AB)</f>
        <v>0</v>
      </c>
      <c r="E18" s="134" t="n">
        <f aca="false">SUMIF('Basis Options'!$X:$X,CONCATENATE($A18,E$4),'Basis Options'!$AB:$AB)</f>
        <v>0</v>
      </c>
      <c r="F18" s="134" t="n">
        <f aca="false">SUMIF('Basis Options'!$X:$X,CONCATENATE($A18,F$4),'Basis Options'!$AB:$AB)</f>
        <v>0</v>
      </c>
      <c r="G18" s="134" t="e">
        <f aca="false">SUMIF('Basis Options'!$X:$X,CONCATENATE($A18,G$4),'Basis Options'!$AB:$AB)</f>
        <v>#NAME?</v>
      </c>
      <c r="H18" s="134" t="n">
        <f aca="false">SUMIF('Basis Options'!$X:$X,CONCATENATE($A18,H$4),'Basis Options'!$AB:$AB)</f>
        <v>0</v>
      </c>
      <c r="I18" s="134" t="n">
        <f aca="false">SUMIF('Basis Options'!$X:$X,CONCATENATE($A18,I$4),'Basis Options'!$AB:$AB)</f>
        <v>0</v>
      </c>
      <c r="J18" s="134" t="e">
        <f aca="false">SUMIF('Basis Options'!$X:$X,CONCATENATE($A18,J$4),'Basis Options'!$AB:$AB)</f>
        <v>#NAME?</v>
      </c>
      <c r="K18" s="134" t="n">
        <f aca="false">SUMIF('Basis Options'!$X:$X,CONCATENATE($A18,K$4),'Basis Options'!$AB:$AB)</f>
        <v>0</v>
      </c>
      <c r="L18" s="134" t="n">
        <f aca="false">SUMIF('Basis Options'!$X:$X,CONCATENATE($A18,L$4),'Basis Options'!$AB:$AB)</f>
        <v>0</v>
      </c>
      <c r="M18" s="134" t="n">
        <f aca="false">SUMIF('Basis Options'!$X:$X,CONCATENATE($A18,M$4),'Basis Options'!$AB:$AB)</f>
        <v>0</v>
      </c>
      <c r="N18" s="134" t="n">
        <f aca="false">SUMIF('Basis Options'!$X:$X,CONCATENATE($A18,N$4),'Basis Options'!$AB:$AB)</f>
        <v>0</v>
      </c>
      <c r="O18" s="208" t="n">
        <f aca="false">EOMONTH(O17,0)+1</f>
        <v>37135</v>
      </c>
      <c r="P18" s="135" t="e">
        <f aca="false">SUM(B18:N18)</f>
        <v>#NAME?</v>
      </c>
      <c r="R18" s="134" t="e">
        <f aca="false">SUM(T18:AE18)</f>
        <v>#NAME?</v>
      </c>
      <c r="S18" s="208" t="n">
        <f aca="false">EOMONTH(S17,0)+1</f>
        <v>37135</v>
      </c>
      <c r="T18" s="134" t="e">
        <f aca="false">SUMIF('Basis Options'!$X:$X,CONCATENATE($S18,T$4),'Basis Options'!$AC:$AC)</f>
        <v>#NAME?</v>
      </c>
      <c r="U18" s="134" t="n">
        <f aca="false">SUMIF('Basis Options'!$X:$X,CONCATENATE($S18,U$4),'Basis Options'!$AC:$AC)</f>
        <v>0</v>
      </c>
      <c r="V18" s="134" t="n">
        <f aca="false">SUMIF('Basis Options'!$X:$X,CONCATENATE($S18,V$4),'Basis Options'!$AC:$AC)</f>
        <v>0</v>
      </c>
      <c r="W18" s="134" t="n">
        <f aca="false">SUMIF('Basis Options'!$X:$X,CONCATENATE($S18,W$4),'Basis Options'!$AC:$AC)</f>
        <v>0</v>
      </c>
      <c r="X18" s="134" t="n">
        <f aca="false">SUMIF('Basis Options'!$X:$X,CONCATENATE($S18,X$4),'Basis Options'!$AC:$AC)</f>
        <v>0</v>
      </c>
      <c r="Y18" s="134" t="e">
        <f aca="false">SUMIF('Basis Options'!$X:$X,CONCATENATE($S18,Y$4),'Basis Options'!$AC:$AC)</f>
        <v>#NAME?</v>
      </c>
      <c r="Z18" s="134" t="n">
        <f aca="false">SUMIF('Basis Options'!$X:$X,CONCATENATE($S18,Z$4),'Basis Options'!$AC:$AC)</f>
        <v>0</v>
      </c>
      <c r="AA18" s="134" t="n">
        <f aca="false">SUMIF('Basis Options'!$X:$X,CONCATENATE($S18,AA$4),'Basis Options'!$AC:$AC)</f>
        <v>0</v>
      </c>
      <c r="AB18" s="134" t="e">
        <f aca="false">SUMIF('Basis Options'!$X:$X,CONCATENATE($S18,AB$4),'Basis Options'!$AC:$AC)</f>
        <v>#NAME?</v>
      </c>
      <c r="AC18" s="134" t="n">
        <f aca="false">SUMIF('Basis Options'!$X:$X,CONCATENATE($S18,AC$4),'Basis Options'!$AC:$AC)</f>
        <v>0</v>
      </c>
      <c r="AD18" s="134" t="n">
        <f aca="false">SUMIF('Basis Options'!$X:$X,CONCATENATE($S18,AD$4),'Basis Options'!$AC:$AC)</f>
        <v>0</v>
      </c>
      <c r="AE18" s="134" t="n">
        <f aca="false">SUMIF('Basis Options'!$X:$X,CONCATENATE($S18,AE$4),'Basis Options'!$AC:$AC)</f>
        <v>0</v>
      </c>
      <c r="AF18" s="134" t="n">
        <f aca="false">SUMIF('Basis Options'!$X:$X,CONCATENATE($S18,AF$4),'Basis Options'!$AC:$AC)</f>
        <v>0</v>
      </c>
      <c r="AG18" s="208" t="n">
        <f aca="false">EOMONTH(AG17,0)+1</f>
        <v>37135</v>
      </c>
      <c r="AH18" s="135" t="e">
        <f aca="false">SUM(T18:AF18)</f>
        <v>#NAME?</v>
      </c>
      <c r="AK18" s="208" t="n">
        <f aca="false">EOMONTH(AK17,0)+1</f>
        <v>37135</v>
      </c>
      <c r="AL18" s="134" t="e">
        <f aca="false">SUMIF('Basis Options'!$X:$X,CONCATENATE($AK18,AL$4),'Basis Options'!$AD:$AD)</f>
        <v>#NAME?</v>
      </c>
      <c r="AM18" s="134" t="n">
        <f aca="false">SUMIF('Basis Options'!$X:$X,CONCATENATE($AK18,AM$4),'Basis Options'!$AD:$AD)</f>
        <v>0</v>
      </c>
      <c r="AN18" s="134" t="n">
        <f aca="false">SUMIF('Basis Options'!$X:$X,CONCATENATE($AK18,AN$4),'Basis Options'!$AD:$AD)</f>
        <v>0</v>
      </c>
      <c r="AO18" s="134" t="n">
        <f aca="false">SUMIF('Basis Options'!$X:$X,CONCATENATE($AK18,AO$4),'Basis Options'!$AD:$AD)</f>
        <v>0</v>
      </c>
      <c r="AP18" s="134" t="n">
        <f aca="false">SUMIF('Basis Options'!$X:$X,CONCATENATE($AK18,AP$4),'Basis Options'!$AD:$AD)</f>
        <v>0</v>
      </c>
      <c r="AQ18" s="134" t="e">
        <f aca="false">SUMIF('Basis Options'!$X:$X,CONCATENATE($AK18,AQ$4),'Basis Options'!$AD:$AD)</f>
        <v>#NAME?</v>
      </c>
      <c r="AR18" s="134" t="n">
        <f aca="false">SUMIF('Basis Options'!$X:$X,CONCATENATE($AK18,AR$4),'Basis Options'!$AD:$AD)</f>
        <v>0</v>
      </c>
      <c r="AS18" s="134" t="n">
        <f aca="false">SUMIF('Basis Options'!$X:$X,CONCATENATE($AK18,AS$4),'Basis Options'!$AD:$AD)</f>
        <v>0</v>
      </c>
      <c r="AT18" s="134" t="e">
        <f aca="false">SUMIF('Basis Options'!$X:$X,CONCATENATE($AK18,AT$4),'Basis Options'!$AD:$AD)</f>
        <v>#NAME?</v>
      </c>
      <c r="AU18" s="134" t="n">
        <f aca="false">SUMIF('Basis Options'!$X:$X,CONCATENATE($AK18,AU$4),'Basis Options'!$AD:$AD)</f>
        <v>0</v>
      </c>
      <c r="AV18" s="134" t="n">
        <f aca="false">SUMIF('Basis Options'!$X:$X,CONCATENATE($AK18,AV$4),'Basis Options'!$AD:$AD)</f>
        <v>0</v>
      </c>
      <c r="AW18" s="134" t="n">
        <f aca="false">SUMIF('Basis Options'!$X:$X,CONCATENATE($AK18,AW$4),'Basis Options'!$AD:$AD)</f>
        <v>0</v>
      </c>
      <c r="AX18" s="134" t="n">
        <f aca="false">SUMIF('Basis Options'!$X:$X,CONCATENATE($AK18,AX$4),'Basis Options'!$AD:$AD)</f>
        <v>0</v>
      </c>
      <c r="AY18" s="208" t="n">
        <f aca="false">EOMONTH(AY17,0)+1</f>
        <v>37135</v>
      </c>
      <c r="AZ18" s="135" t="e">
        <f aca="false">SUM(AL18:AX18)</f>
        <v>#NAME?</v>
      </c>
      <c r="BB18" s="208" t="n">
        <f aca="false">EOMONTH(BB17,0)+1</f>
        <v>37135</v>
      </c>
      <c r="BC18" s="134" t="e">
        <f aca="false">SUMIF('Basis Options'!$X:$X,CONCATENATE($AK18,BC$4),'Basis Options'!$AF:$AF)</f>
        <v>#NAME?</v>
      </c>
      <c r="BD18" s="134" t="n">
        <f aca="false">SUMIF('Basis Options'!$X:$X,CONCATENATE($AK18,BD$4),'Basis Options'!$AF:$AF)</f>
        <v>0</v>
      </c>
      <c r="BE18" s="134" t="n">
        <f aca="false">SUMIF('Basis Options'!$X:$X,CONCATENATE($AK18,BE$4),'Basis Options'!$AF:$AF)</f>
        <v>0</v>
      </c>
      <c r="BF18" s="134" t="n">
        <f aca="false">SUMIF('Basis Options'!$X:$X,CONCATENATE($AK18,BF$4),'Basis Options'!$AF:$AF)</f>
        <v>0</v>
      </c>
      <c r="BG18" s="134" t="n">
        <f aca="false">SUMIF('Basis Options'!$X:$X,CONCATENATE($AK18,BG$4),'Basis Options'!$AF:$AF)</f>
        <v>0</v>
      </c>
      <c r="BH18" s="134" t="e">
        <f aca="false">SUMIF('Basis Options'!$X:$X,CONCATENATE($AK18,BH$4),'Basis Options'!$AF:$AF)</f>
        <v>#NAME?</v>
      </c>
      <c r="BI18" s="134" t="n">
        <f aca="false">SUMIF('Basis Options'!$X:$X,CONCATENATE($AK18,BI$4),'Basis Options'!$AF:$AF)</f>
        <v>0</v>
      </c>
      <c r="BJ18" s="134" t="n">
        <f aca="false">SUMIF('Basis Options'!$X:$X,CONCATENATE($AK18,BJ$4),'Basis Options'!$AF:$AF)</f>
        <v>0</v>
      </c>
      <c r="BK18" s="134" t="e">
        <f aca="false">SUMIF('Basis Options'!$X:$X,CONCATENATE($AK18,BK$4),'Basis Options'!$AF:$AF)</f>
        <v>#NAME?</v>
      </c>
      <c r="BL18" s="134" t="n">
        <f aca="false">SUMIF('Basis Options'!$X:$X,CONCATENATE($AK18,BL$4),'Basis Options'!$AF:$AF)</f>
        <v>0</v>
      </c>
      <c r="BM18" s="134" t="n">
        <f aca="false">SUMIF('Basis Options'!$X:$X,CONCATENATE($AK18,BM$4),'Basis Options'!$AF:$AF)</f>
        <v>0</v>
      </c>
      <c r="BN18" s="134" t="n">
        <f aca="false">SUMIF('Basis Options'!$X:$X,CONCATENATE($AK18,BN$4),'Basis Options'!$AF:$AF)</f>
        <v>0</v>
      </c>
      <c r="BO18" s="134" t="n">
        <f aca="false">SUMIF('Basis Options'!$X:$X,CONCATENATE($AK18,BO$4),'Basis Options'!$AF:$AF)</f>
        <v>0</v>
      </c>
      <c r="BP18" s="208" t="n">
        <f aca="false">EOMONTH(BP17,0)+1</f>
        <v>37135</v>
      </c>
      <c r="BQ18" s="135" t="e">
        <f aca="false">SUM(BC18:BO18)</f>
        <v>#NAME?</v>
      </c>
      <c r="BS18" s="208" t="n">
        <f aca="false">EOMONTH(BS17,0)+1</f>
        <v>37135</v>
      </c>
      <c r="BT18" s="134" t="e">
        <f aca="false">SUMIF('Basis Options'!$X:$X,CONCATENATE($BS18,BT$4),'Basis Options'!$AI:$AI)</f>
        <v>#NAME?</v>
      </c>
      <c r="BU18" s="134" t="n">
        <f aca="false">SUMIF('Basis Options'!$X:$X,CONCATENATE($BS18,BU$4),'Basis Options'!$AI:$AI)</f>
        <v>0</v>
      </c>
      <c r="BV18" s="134" t="n">
        <f aca="false">SUMIF('Basis Options'!$X:$X,CONCATENATE($BS18,BV$4),'Basis Options'!$AI:$AI)</f>
        <v>0</v>
      </c>
      <c r="BW18" s="134" t="n">
        <f aca="false">SUMIF('Basis Options'!$X:$X,CONCATENATE($BS18,BW$4),'Basis Options'!$AI:$AI)</f>
        <v>0</v>
      </c>
      <c r="BX18" s="134" t="n">
        <f aca="false">SUMIF('Basis Options'!$X:$X,CONCATENATE($BS18,BX$4),'Basis Options'!$AI:$AI)</f>
        <v>0</v>
      </c>
      <c r="BY18" s="134" t="e">
        <f aca="false">SUMIF('Basis Options'!$X:$X,CONCATENATE($BS18,BY$4),'Basis Options'!$AI:$AI)</f>
        <v>#NAME?</v>
      </c>
      <c r="BZ18" s="134" t="n">
        <f aca="false">SUMIF('Basis Options'!$X:$X,CONCATENATE($BS18,BZ$4),'Basis Options'!$AI:$AI)</f>
        <v>0</v>
      </c>
      <c r="CA18" s="134" t="n">
        <f aca="false">SUMIF('Basis Options'!$X:$X,CONCATENATE($BS18,CA$4),'Basis Options'!$AI:$AI)</f>
        <v>0</v>
      </c>
      <c r="CB18" s="134" t="e">
        <f aca="false">SUMIF('Basis Options'!$X:$X,CONCATENATE($BS18,CB$4),'Basis Options'!$AI:$AI)</f>
        <v>#NAME?</v>
      </c>
      <c r="CC18" s="134" t="n">
        <f aca="false">SUMIF('Basis Options'!$X:$X,CONCATENATE($BS18,CC$4),'Basis Options'!$AI:$AI)</f>
        <v>0</v>
      </c>
      <c r="CD18" s="134" t="n">
        <f aca="false">SUMIF('Basis Options'!$X:$X,CONCATENATE($BS18,CD$4),'Basis Options'!$AI:$AI)</f>
        <v>0</v>
      </c>
      <c r="CE18" s="134" t="n">
        <f aca="false">SUMIF('Basis Options'!$X:$X,CONCATENATE($BS18,CE$4),'Basis Options'!$AI:$AI)</f>
        <v>0</v>
      </c>
      <c r="CF18" s="134" t="n">
        <f aca="false">SUMIF('Basis Options'!$X:$X,CONCATENATE($BS18,CF$4),'Basis Options'!$AI:$AI)</f>
        <v>0</v>
      </c>
      <c r="CG18" s="208" t="n">
        <f aca="false">EOMONTH(CG17,0)+1</f>
        <v>37135</v>
      </c>
      <c r="CH18" s="209" t="e">
        <f aca="false">SUM(BT18:CF18)</f>
        <v>#NAME?</v>
      </c>
    </row>
    <row r="19" customFormat="false" ht="12.75" hidden="false" customHeight="false" outlineLevel="0" collapsed="false">
      <c r="A19" s="208" t="n">
        <f aca="false">EOMONTH(A18,0)+1</f>
        <v>37165</v>
      </c>
      <c r="B19" s="134" t="e">
        <f aca="false">SUMIF('Basis Options'!X:X,CONCATENATE($A19,B$4),'Basis Options'!AB:AB)</f>
        <v>#NAME?</v>
      </c>
      <c r="C19" s="134" t="n">
        <f aca="false">SUMIF('Basis Options'!$X:$X,CONCATENATE($A19,C$4),'Basis Options'!$AB:$AB)</f>
        <v>0</v>
      </c>
      <c r="D19" s="134" t="n">
        <f aca="false">SUMIF('Basis Options'!$X:$X,CONCATENATE($A19,D$4),'Basis Options'!$AB:$AB)</f>
        <v>0</v>
      </c>
      <c r="E19" s="134" t="n">
        <f aca="false">SUMIF('Basis Options'!$X:$X,CONCATENATE($A19,E$4),'Basis Options'!$AB:$AB)</f>
        <v>0</v>
      </c>
      <c r="F19" s="134" t="n">
        <f aca="false">SUMIF('Basis Options'!$X:$X,CONCATENATE($A19,F$4),'Basis Options'!$AB:$AB)</f>
        <v>0</v>
      </c>
      <c r="G19" s="134" t="e">
        <f aca="false">SUMIF('Basis Options'!$X:$X,CONCATENATE($A19,G$4),'Basis Options'!$AB:$AB)</f>
        <v>#NAME?</v>
      </c>
      <c r="H19" s="134" t="n">
        <f aca="false">SUMIF('Basis Options'!$X:$X,CONCATENATE($A19,H$4),'Basis Options'!$AB:$AB)</f>
        <v>0</v>
      </c>
      <c r="I19" s="134" t="n">
        <f aca="false">SUMIF('Basis Options'!$X:$X,CONCATENATE($A19,I$4),'Basis Options'!$AB:$AB)</f>
        <v>0</v>
      </c>
      <c r="J19" s="134" t="e">
        <f aca="false">SUMIF('Basis Options'!$X:$X,CONCATENATE($A19,J$4),'Basis Options'!$AB:$AB)</f>
        <v>#NAME?</v>
      </c>
      <c r="K19" s="134" t="n">
        <f aca="false">SUMIF('Basis Options'!$X:$X,CONCATENATE($A19,K$4),'Basis Options'!$AB:$AB)</f>
        <v>0</v>
      </c>
      <c r="L19" s="134" t="n">
        <f aca="false">SUMIF('Basis Options'!$X:$X,CONCATENATE($A19,L$4),'Basis Options'!$AB:$AB)</f>
        <v>0</v>
      </c>
      <c r="M19" s="134" t="n">
        <f aca="false">SUMIF('Basis Options'!$X:$X,CONCATENATE($A19,M$4),'Basis Options'!$AB:$AB)</f>
        <v>0</v>
      </c>
      <c r="N19" s="134" t="n">
        <f aca="false">SUMIF('Basis Options'!$X:$X,CONCATENATE($A19,N$4),'Basis Options'!$AB:$AB)</f>
        <v>0</v>
      </c>
      <c r="O19" s="208" t="n">
        <f aca="false">EOMONTH(O18,0)+1</f>
        <v>37165</v>
      </c>
      <c r="P19" s="135" t="e">
        <f aca="false">SUM(B19:N19)</f>
        <v>#NAME?</v>
      </c>
      <c r="R19" s="134" t="e">
        <f aca="false">SUM(T19:AE19)</f>
        <v>#NAME?</v>
      </c>
      <c r="S19" s="208" t="n">
        <f aca="false">EOMONTH(S18,0)+1</f>
        <v>37165</v>
      </c>
      <c r="T19" s="134" t="e">
        <f aca="false">SUMIF('Basis Options'!$X:$X,CONCATENATE($S19,T$4),'Basis Options'!$AC:$AC)</f>
        <v>#NAME?</v>
      </c>
      <c r="U19" s="134" t="n">
        <f aca="false">SUMIF('Basis Options'!$X:$X,CONCATENATE($S19,U$4),'Basis Options'!$AC:$AC)</f>
        <v>0</v>
      </c>
      <c r="V19" s="134" t="n">
        <f aca="false">SUMIF('Basis Options'!$X:$X,CONCATENATE($S19,V$4),'Basis Options'!$AC:$AC)</f>
        <v>0</v>
      </c>
      <c r="W19" s="134" t="n">
        <f aca="false">SUMIF('Basis Options'!$X:$X,CONCATENATE($S19,W$4),'Basis Options'!$AC:$AC)</f>
        <v>0</v>
      </c>
      <c r="X19" s="134" t="n">
        <f aca="false">SUMIF('Basis Options'!$X:$X,CONCATENATE($S19,X$4),'Basis Options'!$AC:$AC)</f>
        <v>0</v>
      </c>
      <c r="Y19" s="134" t="e">
        <f aca="false">SUMIF('Basis Options'!$X:$X,CONCATENATE($S19,Y$4),'Basis Options'!$AC:$AC)</f>
        <v>#NAME?</v>
      </c>
      <c r="Z19" s="134" t="n">
        <f aca="false">SUMIF('Basis Options'!$X:$X,CONCATENATE($S19,Z$4),'Basis Options'!$AC:$AC)</f>
        <v>0</v>
      </c>
      <c r="AA19" s="134" t="n">
        <f aca="false">SUMIF('Basis Options'!$X:$X,CONCATENATE($S19,AA$4),'Basis Options'!$AC:$AC)</f>
        <v>0</v>
      </c>
      <c r="AB19" s="134" t="e">
        <f aca="false">SUMIF('Basis Options'!$X:$X,CONCATENATE($S19,AB$4),'Basis Options'!$AC:$AC)</f>
        <v>#NAME?</v>
      </c>
      <c r="AC19" s="134" t="n">
        <f aca="false">SUMIF('Basis Options'!$X:$X,CONCATENATE($S19,AC$4),'Basis Options'!$AC:$AC)</f>
        <v>0</v>
      </c>
      <c r="AD19" s="134" t="n">
        <f aca="false">SUMIF('Basis Options'!$X:$X,CONCATENATE($S19,AD$4),'Basis Options'!$AC:$AC)</f>
        <v>0</v>
      </c>
      <c r="AE19" s="134" t="n">
        <f aca="false">SUMIF('Basis Options'!$X:$X,CONCATENATE($S19,AE$4),'Basis Options'!$AC:$AC)</f>
        <v>0</v>
      </c>
      <c r="AF19" s="134" t="n">
        <f aca="false">SUMIF('Basis Options'!$X:$X,CONCATENATE($S19,AF$4),'Basis Options'!$AC:$AC)</f>
        <v>0</v>
      </c>
      <c r="AG19" s="208" t="n">
        <f aca="false">EOMONTH(AG18,0)+1</f>
        <v>37165</v>
      </c>
      <c r="AH19" s="135" t="e">
        <f aca="false">SUM(T19:AF19)</f>
        <v>#NAME?</v>
      </c>
      <c r="AK19" s="208" t="n">
        <f aca="false">EOMONTH(AK18,0)+1</f>
        <v>37165</v>
      </c>
      <c r="AL19" s="134" t="e">
        <f aca="false">SUMIF('Basis Options'!$X:$X,CONCATENATE($AK19,AL$4),'Basis Options'!$AD:$AD)</f>
        <v>#NAME?</v>
      </c>
      <c r="AM19" s="134" t="n">
        <f aca="false">SUMIF('Basis Options'!$X:$X,CONCATENATE($AK19,AM$4),'Basis Options'!$AD:$AD)</f>
        <v>0</v>
      </c>
      <c r="AN19" s="134" t="n">
        <f aca="false">SUMIF('Basis Options'!$X:$X,CONCATENATE($AK19,AN$4),'Basis Options'!$AD:$AD)</f>
        <v>0</v>
      </c>
      <c r="AO19" s="134" t="n">
        <f aca="false">SUMIF('Basis Options'!$X:$X,CONCATENATE($AK19,AO$4),'Basis Options'!$AD:$AD)</f>
        <v>0</v>
      </c>
      <c r="AP19" s="134" t="n">
        <f aca="false">SUMIF('Basis Options'!$X:$X,CONCATENATE($AK19,AP$4),'Basis Options'!$AD:$AD)</f>
        <v>0</v>
      </c>
      <c r="AQ19" s="134" t="e">
        <f aca="false">SUMIF('Basis Options'!$X:$X,CONCATENATE($AK19,AQ$4),'Basis Options'!$AD:$AD)</f>
        <v>#NAME?</v>
      </c>
      <c r="AR19" s="134" t="n">
        <f aca="false">SUMIF('Basis Options'!$X:$X,CONCATENATE($AK19,AR$4),'Basis Options'!$AD:$AD)</f>
        <v>0</v>
      </c>
      <c r="AS19" s="134" t="n">
        <f aca="false">SUMIF('Basis Options'!$X:$X,CONCATENATE($AK19,AS$4),'Basis Options'!$AD:$AD)</f>
        <v>0</v>
      </c>
      <c r="AT19" s="134" t="e">
        <f aca="false">SUMIF('Basis Options'!$X:$X,CONCATENATE($AK19,AT$4),'Basis Options'!$AD:$AD)</f>
        <v>#NAME?</v>
      </c>
      <c r="AU19" s="134" t="n">
        <f aca="false">SUMIF('Basis Options'!$X:$X,CONCATENATE($AK19,AU$4),'Basis Options'!$AD:$AD)</f>
        <v>0</v>
      </c>
      <c r="AV19" s="134" t="n">
        <f aca="false">SUMIF('Basis Options'!$X:$X,CONCATENATE($AK19,AV$4),'Basis Options'!$AD:$AD)</f>
        <v>0</v>
      </c>
      <c r="AW19" s="134" t="n">
        <f aca="false">SUMIF('Basis Options'!$X:$X,CONCATENATE($AK19,AW$4),'Basis Options'!$AD:$AD)</f>
        <v>0</v>
      </c>
      <c r="AX19" s="134" t="n">
        <f aca="false">SUMIF('Basis Options'!$X:$X,CONCATENATE($AK19,AX$4),'Basis Options'!$AD:$AD)</f>
        <v>0</v>
      </c>
      <c r="AY19" s="208" t="n">
        <f aca="false">EOMONTH(AY18,0)+1</f>
        <v>37165</v>
      </c>
      <c r="AZ19" s="135" t="e">
        <f aca="false">SUM(AL19:AX19)</f>
        <v>#NAME?</v>
      </c>
      <c r="BB19" s="208" t="n">
        <f aca="false">EOMONTH(BB18,0)+1</f>
        <v>37165</v>
      </c>
      <c r="BC19" s="134" t="e">
        <f aca="false">SUMIF('Basis Options'!$X:$X,CONCATENATE($AK19,BC$4),'Basis Options'!$AF:$AF)</f>
        <v>#NAME?</v>
      </c>
      <c r="BD19" s="134" t="n">
        <f aca="false">SUMIF('Basis Options'!$X:$X,CONCATENATE($AK19,BD$4),'Basis Options'!$AF:$AF)</f>
        <v>0</v>
      </c>
      <c r="BE19" s="134" t="n">
        <f aca="false">SUMIF('Basis Options'!$X:$X,CONCATENATE($AK19,BE$4),'Basis Options'!$AF:$AF)</f>
        <v>0</v>
      </c>
      <c r="BF19" s="134" t="n">
        <f aca="false">SUMIF('Basis Options'!$X:$X,CONCATENATE($AK19,BF$4),'Basis Options'!$AF:$AF)</f>
        <v>0</v>
      </c>
      <c r="BG19" s="134" t="n">
        <f aca="false">SUMIF('Basis Options'!$X:$X,CONCATENATE($AK19,BG$4),'Basis Options'!$AF:$AF)</f>
        <v>0</v>
      </c>
      <c r="BH19" s="134" t="e">
        <f aca="false">SUMIF('Basis Options'!$X:$X,CONCATENATE($AK19,BH$4),'Basis Options'!$AF:$AF)</f>
        <v>#NAME?</v>
      </c>
      <c r="BI19" s="134" t="n">
        <f aca="false">SUMIF('Basis Options'!$X:$X,CONCATENATE($AK19,BI$4),'Basis Options'!$AF:$AF)</f>
        <v>0</v>
      </c>
      <c r="BJ19" s="134" t="n">
        <f aca="false">SUMIF('Basis Options'!$X:$X,CONCATENATE($AK19,BJ$4),'Basis Options'!$AF:$AF)</f>
        <v>0</v>
      </c>
      <c r="BK19" s="134" t="e">
        <f aca="false">SUMIF('Basis Options'!$X:$X,CONCATENATE($AK19,BK$4),'Basis Options'!$AF:$AF)</f>
        <v>#NAME?</v>
      </c>
      <c r="BL19" s="134" t="n">
        <f aca="false">SUMIF('Basis Options'!$X:$X,CONCATENATE($AK19,BL$4),'Basis Options'!$AF:$AF)</f>
        <v>0</v>
      </c>
      <c r="BM19" s="134" t="n">
        <f aca="false">SUMIF('Basis Options'!$X:$X,CONCATENATE($AK19,BM$4),'Basis Options'!$AF:$AF)</f>
        <v>0</v>
      </c>
      <c r="BN19" s="134" t="n">
        <f aca="false">SUMIF('Basis Options'!$X:$X,CONCATENATE($AK19,BN$4),'Basis Options'!$AF:$AF)</f>
        <v>0</v>
      </c>
      <c r="BO19" s="134" t="n">
        <f aca="false">SUMIF('Basis Options'!$X:$X,CONCATENATE($AK19,BO$4),'Basis Options'!$AF:$AF)</f>
        <v>0</v>
      </c>
      <c r="BP19" s="208" t="n">
        <f aca="false">EOMONTH(BP18,0)+1</f>
        <v>37165</v>
      </c>
      <c r="BQ19" s="135" t="e">
        <f aca="false">SUM(BC19:BO19)</f>
        <v>#NAME?</v>
      </c>
      <c r="BS19" s="208" t="n">
        <f aca="false">EOMONTH(BS18,0)+1</f>
        <v>37165</v>
      </c>
      <c r="BT19" s="134" t="e">
        <f aca="false">SUMIF('Basis Options'!$X:$X,CONCATENATE($BS19,BT$4),'Basis Options'!$AI:$AI)</f>
        <v>#NAME?</v>
      </c>
      <c r="BU19" s="134" t="n">
        <f aca="false">SUMIF('Basis Options'!$X:$X,CONCATENATE($BS19,BU$4),'Basis Options'!$AI:$AI)</f>
        <v>0</v>
      </c>
      <c r="BV19" s="134" t="n">
        <f aca="false">SUMIF('Basis Options'!$X:$X,CONCATENATE($BS19,BV$4),'Basis Options'!$AI:$AI)</f>
        <v>0</v>
      </c>
      <c r="BW19" s="134" t="n">
        <f aca="false">SUMIF('Basis Options'!$X:$X,CONCATENATE($BS19,BW$4),'Basis Options'!$AI:$AI)</f>
        <v>0</v>
      </c>
      <c r="BX19" s="134" t="n">
        <f aca="false">SUMIF('Basis Options'!$X:$X,CONCATENATE($BS19,BX$4),'Basis Options'!$AI:$AI)</f>
        <v>0</v>
      </c>
      <c r="BY19" s="134" t="e">
        <f aca="false">SUMIF('Basis Options'!$X:$X,CONCATENATE($BS19,BY$4),'Basis Options'!$AI:$AI)</f>
        <v>#NAME?</v>
      </c>
      <c r="BZ19" s="134" t="n">
        <f aca="false">SUMIF('Basis Options'!$X:$X,CONCATENATE($BS19,BZ$4),'Basis Options'!$AI:$AI)</f>
        <v>0</v>
      </c>
      <c r="CA19" s="134" t="n">
        <f aca="false">SUMIF('Basis Options'!$X:$X,CONCATENATE($BS19,CA$4),'Basis Options'!$AI:$AI)</f>
        <v>0</v>
      </c>
      <c r="CB19" s="134" t="e">
        <f aca="false">SUMIF('Basis Options'!$X:$X,CONCATENATE($BS19,CB$4),'Basis Options'!$AI:$AI)</f>
        <v>#NAME?</v>
      </c>
      <c r="CC19" s="134" t="n">
        <f aca="false">SUMIF('Basis Options'!$X:$X,CONCATENATE($BS19,CC$4),'Basis Options'!$AI:$AI)</f>
        <v>0</v>
      </c>
      <c r="CD19" s="134" t="n">
        <f aca="false">SUMIF('Basis Options'!$X:$X,CONCATENATE($BS19,CD$4),'Basis Options'!$AI:$AI)</f>
        <v>0</v>
      </c>
      <c r="CE19" s="134" t="n">
        <f aca="false">SUMIF('Basis Options'!$X:$X,CONCATENATE($BS19,CE$4),'Basis Options'!$AI:$AI)</f>
        <v>0</v>
      </c>
      <c r="CF19" s="134" t="n">
        <f aca="false">SUMIF('Basis Options'!$X:$X,CONCATENATE($BS19,CF$4),'Basis Options'!$AI:$AI)</f>
        <v>0</v>
      </c>
      <c r="CG19" s="208" t="n">
        <f aca="false">EOMONTH(CG18,0)+1</f>
        <v>37165</v>
      </c>
      <c r="CH19" s="209" t="e">
        <f aca="false">SUM(BT19:CF19)</f>
        <v>#NAME?</v>
      </c>
    </row>
    <row r="20" customFormat="false" ht="12.75" hidden="false" customHeight="false" outlineLevel="0" collapsed="false">
      <c r="A20" s="208" t="n">
        <f aca="false">EOMONTH(A19,0)+1</f>
        <v>37196</v>
      </c>
      <c r="B20" s="134" t="e">
        <f aca="false">SUMIF('Basis Options'!X:X,CONCATENATE($A20,B$4),'Basis Options'!AB:AB)</f>
        <v>#NAME?</v>
      </c>
      <c r="C20" s="134" t="n">
        <f aca="false">SUMIF('Basis Options'!$X:$X,CONCATENATE($A20,C$4),'Basis Options'!$AB:$AB)</f>
        <v>0</v>
      </c>
      <c r="D20" s="134" t="n">
        <f aca="false">SUMIF('Basis Options'!$X:$X,CONCATENATE($A20,D$4),'Basis Options'!$AB:$AB)</f>
        <v>0</v>
      </c>
      <c r="E20" s="134" t="n">
        <f aca="false">SUMIF('Basis Options'!$X:$X,CONCATENATE($A20,E$4),'Basis Options'!$AB:$AB)</f>
        <v>0</v>
      </c>
      <c r="F20" s="134" t="n">
        <f aca="false">SUMIF('Basis Options'!$X:$X,CONCATENATE($A20,F$4),'Basis Options'!$AB:$AB)</f>
        <v>0</v>
      </c>
      <c r="G20" s="134" t="n">
        <f aca="false">SUMIF('Basis Options'!$X:$X,CONCATENATE($A20,G$4),'Basis Options'!$AB:$AB)</f>
        <v>0</v>
      </c>
      <c r="H20" s="134" t="n">
        <f aca="false">SUMIF('Basis Options'!$X:$X,CONCATENATE($A20,H$4),'Basis Options'!$AB:$AB)</f>
        <v>0</v>
      </c>
      <c r="I20" s="134" t="n">
        <f aca="false">SUMIF('Basis Options'!$X:$X,CONCATENATE($A20,I$4),'Basis Options'!$AB:$AB)</f>
        <v>0</v>
      </c>
      <c r="J20" s="134" t="n">
        <f aca="false">SUMIF('Basis Options'!$X:$X,CONCATENATE($A20,J$4),'Basis Options'!$AB:$AB)</f>
        <v>0</v>
      </c>
      <c r="K20" s="134" t="n">
        <f aca="false">SUMIF('Basis Options'!$X:$X,CONCATENATE($A20,K$4),'Basis Options'!$AB:$AB)</f>
        <v>0</v>
      </c>
      <c r="L20" s="134" t="n">
        <f aca="false">SUMIF('Basis Options'!$X:$X,CONCATENATE($A20,L$4),'Basis Options'!$AB:$AB)</f>
        <v>0</v>
      </c>
      <c r="M20" s="134" t="n">
        <f aca="false">SUMIF('Basis Options'!$X:$X,CONCATENATE($A20,M$4),'Basis Options'!$AB:$AB)</f>
        <v>0</v>
      </c>
      <c r="N20" s="134" t="n">
        <f aca="false">SUMIF('Basis Options'!$X:$X,CONCATENATE($A20,N$4),'Basis Options'!$AB:$AB)</f>
        <v>0</v>
      </c>
      <c r="O20" s="208" t="n">
        <f aca="false">EOMONTH(O19,0)+1</f>
        <v>37196</v>
      </c>
      <c r="P20" s="135" t="e">
        <f aca="false">SUM(B20:N20)</f>
        <v>#NAME?</v>
      </c>
      <c r="R20" s="134" t="e">
        <f aca="false">SUM(T20:AE20)</f>
        <v>#NAME?</v>
      </c>
      <c r="S20" s="208" t="n">
        <f aca="false">EOMONTH(S19,0)+1</f>
        <v>37196</v>
      </c>
      <c r="T20" s="134" t="e">
        <f aca="false">SUMIF('Basis Options'!$X:$X,CONCATENATE($S20,T$4),'Basis Options'!$AC:$AC)</f>
        <v>#NAME?</v>
      </c>
      <c r="U20" s="134" t="n">
        <f aca="false">SUMIF('Basis Options'!$X:$X,CONCATENATE($S20,U$4),'Basis Options'!$AC:$AC)</f>
        <v>0</v>
      </c>
      <c r="V20" s="134" t="n">
        <f aca="false">SUMIF('Basis Options'!$X:$X,CONCATENATE($S20,V$4),'Basis Options'!$AC:$AC)</f>
        <v>0</v>
      </c>
      <c r="W20" s="134" t="n">
        <f aca="false">SUMIF('Basis Options'!$X:$X,CONCATENATE($S20,W$4),'Basis Options'!$AC:$AC)</f>
        <v>0</v>
      </c>
      <c r="X20" s="134" t="n">
        <f aca="false">SUMIF('Basis Options'!$X:$X,CONCATENATE($S20,X$4),'Basis Options'!$AC:$AC)</f>
        <v>0</v>
      </c>
      <c r="Y20" s="134" t="n">
        <f aca="false">SUMIF('Basis Options'!$X:$X,CONCATENATE($S20,Y$4),'Basis Options'!$AC:$AC)</f>
        <v>0</v>
      </c>
      <c r="Z20" s="134" t="n">
        <f aca="false">SUMIF('Basis Options'!$X:$X,CONCATENATE($S20,Z$4),'Basis Options'!$AC:$AC)</f>
        <v>0</v>
      </c>
      <c r="AA20" s="134" t="n">
        <f aca="false">SUMIF('Basis Options'!$X:$X,CONCATENATE($S20,AA$4),'Basis Options'!$AC:$AC)</f>
        <v>0</v>
      </c>
      <c r="AB20" s="134" t="n">
        <f aca="false">SUMIF('Basis Options'!$X:$X,CONCATENATE($S20,AB$4),'Basis Options'!$AC:$AC)</f>
        <v>0</v>
      </c>
      <c r="AC20" s="134" t="n">
        <f aca="false">SUMIF('Basis Options'!$X:$X,CONCATENATE($S20,AC$4),'Basis Options'!$AC:$AC)</f>
        <v>0</v>
      </c>
      <c r="AD20" s="134" t="n">
        <f aca="false">SUMIF('Basis Options'!$X:$X,CONCATENATE($S20,AD$4),'Basis Options'!$AC:$AC)</f>
        <v>0</v>
      </c>
      <c r="AE20" s="134" t="n">
        <f aca="false">SUMIF('Basis Options'!$X:$X,CONCATENATE($S20,AE$4),'Basis Options'!$AC:$AC)</f>
        <v>0</v>
      </c>
      <c r="AF20" s="134" t="n">
        <f aca="false">SUMIF('Basis Options'!$X:$X,CONCATENATE($S20,AF$4),'Basis Options'!$AC:$AC)</f>
        <v>0</v>
      </c>
      <c r="AG20" s="208" t="n">
        <f aca="false">EOMONTH(AG19,0)+1</f>
        <v>37196</v>
      </c>
      <c r="AH20" s="135" t="e">
        <f aca="false">SUM(T20:AF20)</f>
        <v>#NAME?</v>
      </c>
      <c r="AK20" s="208" t="n">
        <f aca="false">EOMONTH(AK19,0)+1</f>
        <v>37196</v>
      </c>
      <c r="AL20" s="134" t="e">
        <f aca="false">SUMIF('Basis Options'!$X:$X,CONCATENATE($AK20,AL$4),'Basis Options'!$AD:$AD)</f>
        <v>#NAME?</v>
      </c>
      <c r="AM20" s="134" t="n">
        <f aca="false">SUMIF('Basis Options'!$X:$X,CONCATENATE($AK20,AM$4),'Basis Options'!$AD:$AD)</f>
        <v>0</v>
      </c>
      <c r="AN20" s="134" t="n">
        <f aca="false">SUMIF('Basis Options'!$X:$X,CONCATENATE($AK20,AN$4),'Basis Options'!$AD:$AD)</f>
        <v>0</v>
      </c>
      <c r="AO20" s="134" t="n">
        <f aca="false">SUMIF('Basis Options'!$X:$X,CONCATENATE($AK20,AO$4),'Basis Options'!$AD:$AD)</f>
        <v>0</v>
      </c>
      <c r="AP20" s="134" t="n">
        <f aca="false">SUMIF('Basis Options'!$X:$X,CONCATENATE($AK20,AP$4),'Basis Options'!$AD:$AD)</f>
        <v>0</v>
      </c>
      <c r="AQ20" s="134" t="n">
        <f aca="false">SUMIF('Basis Options'!$X:$X,CONCATENATE($AK20,AQ$4),'Basis Options'!$AD:$AD)</f>
        <v>0</v>
      </c>
      <c r="AR20" s="134" t="n">
        <f aca="false">SUMIF('Basis Options'!$X:$X,CONCATENATE($AK20,AR$4),'Basis Options'!$AD:$AD)</f>
        <v>0</v>
      </c>
      <c r="AS20" s="134" t="n">
        <f aca="false">SUMIF('Basis Options'!$X:$X,CONCATENATE($AK20,AS$4),'Basis Options'!$AD:$AD)</f>
        <v>0</v>
      </c>
      <c r="AT20" s="134" t="n">
        <f aca="false">SUMIF('Basis Options'!$X:$X,CONCATENATE($AK20,AT$4),'Basis Options'!$AD:$AD)</f>
        <v>0</v>
      </c>
      <c r="AU20" s="134" t="n">
        <f aca="false">SUMIF('Basis Options'!$X:$X,CONCATENATE($AK20,AU$4),'Basis Options'!$AD:$AD)</f>
        <v>0</v>
      </c>
      <c r="AV20" s="134" t="n">
        <f aca="false">SUMIF('Basis Options'!$X:$X,CONCATENATE($AK20,AV$4),'Basis Options'!$AD:$AD)</f>
        <v>0</v>
      </c>
      <c r="AW20" s="134" t="n">
        <f aca="false">SUMIF('Basis Options'!$X:$X,CONCATENATE($AK20,AW$4),'Basis Options'!$AD:$AD)</f>
        <v>0</v>
      </c>
      <c r="AX20" s="134" t="n">
        <f aca="false">SUMIF('Basis Options'!$X:$X,CONCATENATE($AK20,AX$4),'Basis Options'!$AD:$AD)</f>
        <v>0</v>
      </c>
      <c r="AY20" s="208" t="n">
        <f aca="false">EOMONTH(AY19,0)+1</f>
        <v>37196</v>
      </c>
      <c r="AZ20" s="135" t="e">
        <f aca="false">SUM(AL20:AX20)</f>
        <v>#NAME?</v>
      </c>
      <c r="BB20" s="208" t="n">
        <f aca="false">EOMONTH(BB19,0)+1</f>
        <v>37196</v>
      </c>
      <c r="BC20" s="134" t="e">
        <f aca="false">SUMIF('Basis Options'!$X:$X,CONCATENATE($AK20,BC$4),'Basis Options'!$AF:$AF)</f>
        <v>#NAME?</v>
      </c>
      <c r="BD20" s="134" t="n">
        <f aca="false">SUMIF('Basis Options'!$X:$X,CONCATENATE($AK20,BD$4),'Basis Options'!$AF:$AF)</f>
        <v>0</v>
      </c>
      <c r="BE20" s="134" t="n">
        <f aca="false">SUMIF('Basis Options'!$X:$X,CONCATENATE($AK20,BE$4),'Basis Options'!$AF:$AF)</f>
        <v>0</v>
      </c>
      <c r="BF20" s="134" t="n">
        <f aca="false">SUMIF('Basis Options'!$X:$X,CONCATENATE($AK20,BF$4),'Basis Options'!$AF:$AF)</f>
        <v>0</v>
      </c>
      <c r="BG20" s="134" t="n">
        <f aca="false">SUMIF('Basis Options'!$X:$X,CONCATENATE($AK20,BG$4),'Basis Options'!$AF:$AF)</f>
        <v>0</v>
      </c>
      <c r="BH20" s="134" t="n">
        <f aca="false">SUMIF('Basis Options'!$X:$X,CONCATENATE($AK20,BH$4),'Basis Options'!$AF:$AF)</f>
        <v>0</v>
      </c>
      <c r="BI20" s="134" t="n">
        <f aca="false">SUMIF('Basis Options'!$X:$X,CONCATENATE($AK20,BI$4),'Basis Options'!$AF:$AF)</f>
        <v>0</v>
      </c>
      <c r="BJ20" s="134" t="n">
        <f aca="false">SUMIF('Basis Options'!$X:$X,CONCATENATE($AK20,BJ$4),'Basis Options'!$AF:$AF)</f>
        <v>0</v>
      </c>
      <c r="BK20" s="134" t="n">
        <f aca="false">SUMIF('Basis Options'!$X:$X,CONCATENATE($AK20,BK$4),'Basis Options'!$AF:$AF)</f>
        <v>0</v>
      </c>
      <c r="BL20" s="134" t="n">
        <f aca="false">SUMIF('Basis Options'!$X:$X,CONCATENATE($AK20,BL$4),'Basis Options'!$AF:$AF)</f>
        <v>0</v>
      </c>
      <c r="BM20" s="134" t="n">
        <f aca="false">SUMIF('Basis Options'!$X:$X,CONCATENATE($AK20,BM$4),'Basis Options'!$AF:$AF)</f>
        <v>0</v>
      </c>
      <c r="BN20" s="134" t="n">
        <f aca="false">SUMIF('Basis Options'!$X:$X,CONCATENATE($AK20,BN$4),'Basis Options'!$AF:$AF)</f>
        <v>0</v>
      </c>
      <c r="BO20" s="134" t="n">
        <f aca="false">SUMIF('Basis Options'!$X:$X,CONCATENATE($AK20,BO$4),'Basis Options'!$AF:$AF)</f>
        <v>0</v>
      </c>
      <c r="BP20" s="208" t="n">
        <f aca="false">EOMONTH(BP19,0)+1</f>
        <v>37196</v>
      </c>
      <c r="BQ20" s="135" t="e">
        <f aca="false">SUM(BC20:BO20)</f>
        <v>#NAME?</v>
      </c>
      <c r="BS20" s="208" t="n">
        <f aca="false">EOMONTH(BS19,0)+1</f>
        <v>37196</v>
      </c>
      <c r="BT20" s="134" t="e">
        <f aca="false">SUMIF('Basis Options'!$X:$X,CONCATENATE($BS20,BT$4),'Basis Options'!$AI:$AI)</f>
        <v>#NAME?</v>
      </c>
      <c r="BU20" s="134" t="n">
        <f aca="false">SUMIF('Basis Options'!$X:$X,CONCATENATE($BS20,BU$4),'Basis Options'!$AI:$AI)</f>
        <v>0</v>
      </c>
      <c r="BV20" s="134" t="n">
        <f aca="false">SUMIF('Basis Options'!$X:$X,CONCATENATE($BS20,BV$4),'Basis Options'!$AI:$AI)</f>
        <v>0</v>
      </c>
      <c r="BW20" s="134" t="n">
        <f aca="false">SUMIF('Basis Options'!$X:$X,CONCATENATE($BS20,BW$4),'Basis Options'!$AI:$AI)</f>
        <v>0</v>
      </c>
      <c r="BX20" s="134" t="n">
        <f aca="false">SUMIF('Basis Options'!$X:$X,CONCATENATE($BS20,BX$4),'Basis Options'!$AI:$AI)</f>
        <v>0</v>
      </c>
      <c r="BY20" s="134" t="n">
        <f aca="false">SUMIF('Basis Options'!$X:$X,CONCATENATE($BS20,BY$4),'Basis Options'!$AI:$AI)</f>
        <v>0</v>
      </c>
      <c r="BZ20" s="134" t="n">
        <f aca="false">SUMIF('Basis Options'!$X:$X,CONCATENATE($BS20,BZ$4),'Basis Options'!$AI:$AI)</f>
        <v>0</v>
      </c>
      <c r="CA20" s="134" t="n">
        <f aca="false">SUMIF('Basis Options'!$X:$X,CONCATENATE($BS20,CA$4),'Basis Options'!$AI:$AI)</f>
        <v>0</v>
      </c>
      <c r="CB20" s="134" t="n">
        <f aca="false">SUMIF('Basis Options'!$X:$X,CONCATENATE($BS20,CB$4),'Basis Options'!$AI:$AI)</f>
        <v>0</v>
      </c>
      <c r="CC20" s="134" t="n">
        <f aca="false">SUMIF('Basis Options'!$X:$X,CONCATENATE($BS20,CC$4),'Basis Options'!$AI:$AI)</f>
        <v>0</v>
      </c>
      <c r="CD20" s="134" t="n">
        <f aca="false">SUMIF('Basis Options'!$X:$X,CONCATENATE($BS20,CD$4),'Basis Options'!$AI:$AI)</f>
        <v>0</v>
      </c>
      <c r="CE20" s="134" t="n">
        <f aca="false">SUMIF('Basis Options'!$X:$X,CONCATENATE($BS20,CE$4),'Basis Options'!$AI:$AI)</f>
        <v>0</v>
      </c>
      <c r="CF20" s="134" t="n">
        <f aca="false">SUMIF('Basis Options'!$X:$X,CONCATENATE($BS20,CF$4),'Basis Options'!$AI:$AI)</f>
        <v>0</v>
      </c>
      <c r="CG20" s="208" t="n">
        <f aca="false">EOMONTH(CG19,0)+1</f>
        <v>37196</v>
      </c>
      <c r="CH20" s="209" t="e">
        <f aca="false">SUM(BT20:CF20)</f>
        <v>#NAME?</v>
      </c>
    </row>
    <row r="21" customFormat="false" ht="12.75" hidden="false" customHeight="false" outlineLevel="0" collapsed="false">
      <c r="A21" s="208" t="n">
        <f aca="false">EOMONTH(A20,0)+1</f>
        <v>37226</v>
      </c>
      <c r="B21" s="134" t="e">
        <f aca="false">SUMIF('Basis Options'!X:X,CONCATENATE($A21,B$4),'Basis Options'!AB:AB)</f>
        <v>#NAME?</v>
      </c>
      <c r="C21" s="134" t="n">
        <f aca="false">SUMIF('Basis Options'!$X:$X,CONCATENATE($A21,C$4),'Basis Options'!$AB:$AB)</f>
        <v>0</v>
      </c>
      <c r="D21" s="134" t="n">
        <f aca="false">SUMIF('Basis Options'!$X:$X,CONCATENATE($A21,D$4),'Basis Options'!$AB:$AB)</f>
        <v>0</v>
      </c>
      <c r="E21" s="134" t="n">
        <f aca="false">SUMIF('Basis Options'!$X:$X,CONCATENATE($A21,E$4),'Basis Options'!$AB:$AB)</f>
        <v>0</v>
      </c>
      <c r="F21" s="134" t="n">
        <f aca="false">SUMIF('Basis Options'!$X:$X,CONCATENATE($A21,F$4),'Basis Options'!$AB:$AB)</f>
        <v>0</v>
      </c>
      <c r="G21" s="134" t="n">
        <f aca="false">SUMIF('Basis Options'!$X:$X,CONCATENATE($A21,G$4),'Basis Options'!$AB:$AB)</f>
        <v>0</v>
      </c>
      <c r="H21" s="134" t="n">
        <f aca="false">SUMIF('Basis Options'!$X:$X,CONCATENATE($A21,H$4),'Basis Options'!$AB:$AB)</f>
        <v>0</v>
      </c>
      <c r="I21" s="134" t="n">
        <f aca="false">SUMIF('Basis Options'!$X:$X,CONCATENATE($A21,I$4),'Basis Options'!$AB:$AB)</f>
        <v>0</v>
      </c>
      <c r="J21" s="134" t="n">
        <f aca="false">SUMIF('Basis Options'!$X:$X,CONCATENATE($A21,J$4),'Basis Options'!$AB:$AB)</f>
        <v>0</v>
      </c>
      <c r="K21" s="134" t="n">
        <f aca="false">SUMIF('Basis Options'!$X:$X,CONCATENATE($A21,K$4),'Basis Options'!$AB:$AB)</f>
        <v>0</v>
      </c>
      <c r="L21" s="134" t="n">
        <f aca="false">SUMIF('Basis Options'!$X:$X,CONCATENATE($A21,L$4),'Basis Options'!$AB:$AB)</f>
        <v>0</v>
      </c>
      <c r="M21" s="134" t="n">
        <f aca="false">SUMIF('Basis Options'!$X:$X,CONCATENATE($A21,M$4),'Basis Options'!$AB:$AB)</f>
        <v>0</v>
      </c>
      <c r="N21" s="134" t="n">
        <f aca="false">SUMIF('Basis Options'!$X:$X,CONCATENATE($A21,N$4),'Basis Options'!$AB:$AB)</f>
        <v>0</v>
      </c>
      <c r="O21" s="208" t="n">
        <f aca="false">EOMONTH(O20,0)+1</f>
        <v>37226</v>
      </c>
      <c r="P21" s="135" t="e">
        <f aca="false">SUM(B21:N21)</f>
        <v>#NAME?</v>
      </c>
      <c r="R21" s="134" t="e">
        <f aca="false">SUM(T21:AE21)</f>
        <v>#NAME?</v>
      </c>
      <c r="S21" s="208" t="n">
        <f aca="false">EOMONTH(S20,0)+1</f>
        <v>37226</v>
      </c>
      <c r="T21" s="134" t="e">
        <f aca="false">SUMIF('Basis Options'!$X:$X,CONCATENATE($S21,T$4),'Basis Options'!$AC:$AC)</f>
        <v>#NAME?</v>
      </c>
      <c r="U21" s="134" t="n">
        <f aca="false">SUMIF('Basis Options'!$X:$X,CONCATENATE($S21,U$4),'Basis Options'!$AC:$AC)</f>
        <v>0</v>
      </c>
      <c r="V21" s="134" t="n">
        <f aca="false">SUMIF('Basis Options'!$X:$X,CONCATENATE($S21,V$4),'Basis Options'!$AC:$AC)</f>
        <v>0</v>
      </c>
      <c r="W21" s="134" t="n">
        <f aca="false">SUMIF('Basis Options'!$X:$X,CONCATENATE($S21,W$4),'Basis Options'!$AC:$AC)</f>
        <v>0</v>
      </c>
      <c r="X21" s="134" t="n">
        <f aca="false">SUMIF('Basis Options'!$X:$X,CONCATENATE($S21,X$4),'Basis Options'!$AC:$AC)</f>
        <v>0</v>
      </c>
      <c r="Y21" s="134" t="n">
        <f aca="false">SUMIF('Basis Options'!$X:$X,CONCATENATE($S21,Y$4),'Basis Options'!$AC:$AC)</f>
        <v>0</v>
      </c>
      <c r="Z21" s="134" t="n">
        <f aca="false">SUMIF('Basis Options'!$X:$X,CONCATENATE($S21,Z$4),'Basis Options'!$AC:$AC)</f>
        <v>0</v>
      </c>
      <c r="AA21" s="134" t="n">
        <f aca="false">SUMIF('Basis Options'!$X:$X,CONCATENATE($S21,AA$4),'Basis Options'!$AC:$AC)</f>
        <v>0</v>
      </c>
      <c r="AB21" s="134" t="n">
        <f aca="false">SUMIF('Basis Options'!$X:$X,CONCATENATE($S21,AB$4),'Basis Options'!$AC:$AC)</f>
        <v>0</v>
      </c>
      <c r="AC21" s="134" t="n">
        <f aca="false">SUMIF('Basis Options'!$X:$X,CONCATENATE($S21,AC$4),'Basis Options'!$AC:$AC)</f>
        <v>0</v>
      </c>
      <c r="AD21" s="134" t="n">
        <f aca="false">SUMIF('Basis Options'!$X:$X,CONCATENATE($S21,AD$4),'Basis Options'!$AC:$AC)</f>
        <v>0</v>
      </c>
      <c r="AE21" s="134" t="n">
        <f aca="false">SUMIF('Basis Options'!$X:$X,CONCATENATE($S21,AE$4),'Basis Options'!$AC:$AC)</f>
        <v>0</v>
      </c>
      <c r="AF21" s="134" t="n">
        <f aca="false">SUMIF('Basis Options'!$X:$X,CONCATENATE($S21,AF$4),'Basis Options'!$AC:$AC)</f>
        <v>0</v>
      </c>
      <c r="AG21" s="208" t="n">
        <f aca="false">EOMONTH(AG20,0)+1</f>
        <v>37226</v>
      </c>
      <c r="AH21" s="135" t="e">
        <f aca="false">SUM(T21:AF21)</f>
        <v>#NAME?</v>
      </c>
      <c r="AK21" s="208" t="n">
        <f aca="false">EOMONTH(AK20,0)+1</f>
        <v>37226</v>
      </c>
      <c r="AL21" s="134" t="e">
        <f aca="false">SUMIF('Basis Options'!$X:$X,CONCATENATE($AK21,AL$4),'Basis Options'!$AD:$AD)</f>
        <v>#NAME?</v>
      </c>
      <c r="AM21" s="134" t="n">
        <f aca="false">SUMIF('Basis Options'!$X:$X,CONCATENATE($AK21,AM$4),'Basis Options'!$AD:$AD)</f>
        <v>0</v>
      </c>
      <c r="AN21" s="134" t="n">
        <f aca="false">SUMIF('Basis Options'!$X:$X,CONCATENATE($AK21,AN$4),'Basis Options'!$AD:$AD)</f>
        <v>0</v>
      </c>
      <c r="AO21" s="134" t="n">
        <f aca="false">SUMIF('Basis Options'!$X:$X,CONCATENATE($AK21,AO$4),'Basis Options'!$AD:$AD)</f>
        <v>0</v>
      </c>
      <c r="AP21" s="134" t="n">
        <f aca="false">SUMIF('Basis Options'!$X:$X,CONCATENATE($AK21,AP$4),'Basis Options'!$AD:$AD)</f>
        <v>0</v>
      </c>
      <c r="AQ21" s="134" t="n">
        <f aca="false">SUMIF('Basis Options'!$X:$X,CONCATENATE($AK21,AQ$4),'Basis Options'!$AD:$AD)</f>
        <v>0</v>
      </c>
      <c r="AR21" s="134" t="n">
        <f aca="false">SUMIF('Basis Options'!$X:$X,CONCATENATE($AK21,AR$4),'Basis Options'!$AD:$AD)</f>
        <v>0</v>
      </c>
      <c r="AS21" s="134" t="n">
        <f aca="false">SUMIF('Basis Options'!$X:$X,CONCATENATE($AK21,AS$4),'Basis Options'!$AD:$AD)</f>
        <v>0</v>
      </c>
      <c r="AT21" s="134" t="n">
        <f aca="false">SUMIF('Basis Options'!$X:$X,CONCATENATE($AK21,AT$4),'Basis Options'!$AD:$AD)</f>
        <v>0</v>
      </c>
      <c r="AU21" s="134" t="n">
        <f aca="false">SUMIF('Basis Options'!$X:$X,CONCATENATE($AK21,AU$4),'Basis Options'!$AD:$AD)</f>
        <v>0</v>
      </c>
      <c r="AV21" s="134" t="n">
        <f aca="false">SUMIF('Basis Options'!$X:$X,CONCATENATE($AK21,AV$4),'Basis Options'!$AD:$AD)</f>
        <v>0</v>
      </c>
      <c r="AW21" s="134" t="n">
        <f aca="false">SUMIF('Basis Options'!$X:$X,CONCATENATE($AK21,AW$4),'Basis Options'!$AD:$AD)</f>
        <v>0</v>
      </c>
      <c r="AX21" s="134" t="n">
        <f aca="false">SUMIF('Basis Options'!$X:$X,CONCATENATE($AK21,AX$4),'Basis Options'!$AD:$AD)</f>
        <v>0</v>
      </c>
      <c r="AY21" s="208" t="n">
        <f aca="false">EOMONTH(AY20,0)+1</f>
        <v>37226</v>
      </c>
      <c r="AZ21" s="135" t="e">
        <f aca="false">SUM(AL21:AX21)</f>
        <v>#NAME?</v>
      </c>
      <c r="BB21" s="208" t="n">
        <f aca="false">EOMONTH(BB20,0)+1</f>
        <v>37226</v>
      </c>
      <c r="BC21" s="134" t="e">
        <f aca="false">SUMIF('Basis Options'!$X:$X,CONCATENATE($AK21,BC$4),'Basis Options'!$AF:$AF)</f>
        <v>#NAME?</v>
      </c>
      <c r="BD21" s="134" t="n">
        <f aca="false">SUMIF('Basis Options'!$X:$X,CONCATENATE($AK21,BD$4),'Basis Options'!$AF:$AF)</f>
        <v>0</v>
      </c>
      <c r="BE21" s="134" t="n">
        <f aca="false">SUMIF('Basis Options'!$X:$X,CONCATENATE($AK21,BE$4),'Basis Options'!$AF:$AF)</f>
        <v>0</v>
      </c>
      <c r="BF21" s="134" t="n">
        <f aca="false">SUMIF('Basis Options'!$X:$X,CONCATENATE($AK21,BF$4),'Basis Options'!$AF:$AF)</f>
        <v>0</v>
      </c>
      <c r="BG21" s="134" t="n">
        <f aca="false">SUMIF('Basis Options'!$X:$X,CONCATENATE($AK21,BG$4),'Basis Options'!$AF:$AF)</f>
        <v>0</v>
      </c>
      <c r="BH21" s="134" t="n">
        <f aca="false">SUMIF('Basis Options'!$X:$X,CONCATENATE($AK21,BH$4),'Basis Options'!$AF:$AF)</f>
        <v>0</v>
      </c>
      <c r="BI21" s="134" t="n">
        <f aca="false">SUMIF('Basis Options'!$X:$X,CONCATENATE($AK21,BI$4),'Basis Options'!$AF:$AF)</f>
        <v>0</v>
      </c>
      <c r="BJ21" s="134" t="n">
        <f aca="false">SUMIF('Basis Options'!$X:$X,CONCATENATE($AK21,BJ$4),'Basis Options'!$AF:$AF)</f>
        <v>0</v>
      </c>
      <c r="BK21" s="134" t="n">
        <f aca="false">SUMIF('Basis Options'!$X:$X,CONCATENATE($AK21,BK$4),'Basis Options'!$AF:$AF)</f>
        <v>0</v>
      </c>
      <c r="BL21" s="134" t="n">
        <f aca="false">SUMIF('Basis Options'!$X:$X,CONCATENATE($AK21,BL$4),'Basis Options'!$AF:$AF)</f>
        <v>0</v>
      </c>
      <c r="BM21" s="134" t="n">
        <f aca="false">SUMIF('Basis Options'!$X:$X,CONCATENATE($AK21,BM$4),'Basis Options'!$AF:$AF)</f>
        <v>0</v>
      </c>
      <c r="BN21" s="134" t="n">
        <f aca="false">SUMIF('Basis Options'!$X:$X,CONCATENATE($AK21,BN$4),'Basis Options'!$AF:$AF)</f>
        <v>0</v>
      </c>
      <c r="BO21" s="134" t="n">
        <f aca="false">SUMIF('Basis Options'!$X:$X,CONCATENATE($AK21,BO$4),'Basis Options'!$AF:$AF)</f>
        <v>0</v>
      </c>
      <c r="BP21" s="208" t="n">
        <f aca="false">EOMONTH(BP20,0)+1</f>
        <v>37226</v>
      </c>
      <c r="BQ21" s="135" t="e">
        <f aca="false">SUM(BC21:BO21)</f>
        <v>#NAME?</v>
      </c>
      <c r="BS21" s="208" t="n">
        <f aca="false">EOMONTH(BS20,0)+1</f>
        <v>37226</v>
      </c>
      <c r="BT21" s="134" t="e">
        <f aca="false">SUMIF('Basis Options'!$X:$X,CONCATENATE($BS21,BT$4),'Basis Options'!$AI:$AI)</f>
        <v>#NAME?</v>
      </c>
      <c r="BU21" s="134" t="n">
        <f aca="false">SUMIF('Basis Options'!$X:$X,CONCATENATE($BS21,BU$4),'Basis Options'!$AI:$AI)</f>
        <v>0</v>
      </c>
      <c r="BV21" s="134" t="n">
        <f aca="false">SUMIF('Basis Options'!$X:$X,CONCATENATE($BS21,BV$4),'Basis Options'!$AI:$AI)</f>
        <v>0</v>
      </c>
      <c r="BW21" s="134" t="n">
        <f aca="false">SUMIF('Basis Options'!$X:$X,CONCATENATE($BS21,BW$4),'Basis Options'!$AI:$AI)</f>
        <v>0</v>
      </c>
      <c r="BX21" s="134" t="n">
        <f aca="false">SUMIF('Basis Options'!$X:$X,CONCATENATE($BS21,BX$4),'Basis Options'!$AI:$AI)</f>
        <v>0</v>
      </c>
      <c r="BY21" s="134" t="n">
        <f aca="false">SUMIF('Basis Options'!$X:$X,CONCATENATE($BS21,BY$4),'Basis Options'!$AI:$AI)</f>
        <v>0</v>
      </c>
      <c r="BZ21" s="134" t="n">
        <f aca="false">SUMIF('Basis Options'!$X:$X,CONCATENATE($BS21,BZ$4),'Basis Options'!$AI:$AI)</f>
        <v>0</v>
      </c>
      <c r="CA21" s="134" t="n">
        <f aca="false">SUMIF('Basis Options'!$X:$X,CONCATENATE($BS21,CA$4),'Basis Options'!$AI:$AI)</f>
        <v>0</v>
      </c>
      <c r="CB21" s="134" t="n">
        <f aca="false">SUMIF('Basis Options'!$X:$X,CONCATENATE($BS21,CB$4),'Basis Options'!$AI:$AI)</f>
        <v>0</v>
      </c>
      <c r="CC21" s="134" t="n">
        <f aca="false">SUMIF('Basis Options'!$X:$X,CONCATENATE($BS21,CC$4),'Basis Options'!$AI:$AI)</f>
        <v>0</v>
      </c>
      <c r="CD21" s="134" t="n">
        <f aca="false">SUMIF('Basis Options'!$X:$X,CONCATENATE($BS21,CD$4),'Basis Options'!$AI:$AI)</f>
        <v>0</v>
      </c>
      <c r="CE21" s="134" t="n">
        <f aca="false">SUMIF('Basis Options'!$X:$X,CONCATENATE($BS21,CE$4),'Basis Options'!$AI:$AI)</f>
        <v>0</v>
      </c>
      <c r="CF21" s="134" t="n">
        <f aca="false">SUMIF('Basis Options'!$X:$X,CONCATENATE($BS21,CF$4),'Basis Options'!$AI:$AI)</f>
        <v>0</v>
      </c>
      <c r="CG21" s="208" t="n">
        <f aca="false">EOMONTH(CG20,0)+1</f>
        <v>37226</v>
      </c>
      <c r="CH21" s="209" t="e">
        <f aca="false">SUM(BT21:CF21)</f>
        <v>#NAME?</v>
      </c>
    </row>
    <row r="22" customFormat="false" ht="12.75" hidden="false" customHeight="false" outlineLevel="0" collapsed="false">
      <c r="A22" s="208" t="n">
        <f aca="false">EOMONTH(A21,0)+1</f>
        <v>37257</v>
      </c>
      <c r="B22" s="134" t="e">
        <f aca="false">SUMIF('Basis Options'!X:X,CONCATENATE($A22,B$4),'Basis Options'!AB:AB)</f>
        <v>#NAME?</v>
      </c>
      <c r="C22" s="134" t="n">
        <f aca="false">SUMIF('Basis Options'!$X:$X,CONCATENATE($A22,C$4),'Basis Options'!$AB:$AB)</f>
        <v>0</v>
      </c>
      <c r="D22" s="134" t="n">
        <f aca="false">SUMIF('Basis Options'!$X:$X,CONCATENATE($A22,D$4),'Basis Options'!$AB:$AB)</f>
        <v>0</v>
      </c>
      <c r="E22" s="134" t="n">
        <f aca="false">SUMIF('Basis Options'!$X:$X,CONCATENATE($A22,E$4),'Basis Options'!$AB:$AB)</f>
        <v>0</v>
      </c>
      <c r="F22" s="134" t="n">
        <f aca="false">SUMIF('Basis Options'!$X:$X,CONCATENATE($A22,F$4),'Basis Options'!$AB:$AB)</f>
        <v>0</v>
      </c>
      <c r="G22" s="134" t="n">
        <f aca="false">SUMIF('Basis Options'!$X:$X,CONCATENATE($A22,G$4),'Basis Options'!$AB:$AB)</f>
        <v>0</v>
      </c>
      <c r="H22" s="134" t="n">
        <f aca="false">SUMIF('Basis Options'!$X:$X,CONCATENATE($A22,H$4),'Basis Options'!$AB:$AB)</f>
        <v>0</v>
      </c>
      <c r="I22" s="134" t="n">
        <f aca="false">SUMIF('Basis Options'!$X:$X,CONCATENATE($A22,I$4),'Basis Options'!$AB:$AB)</f>
        <v>0</v>
      </c>
      <c r="J22" s="134" t="n">
        <f aca="false">SUMIF('Basis Options'!$X:$X,CONCATENATE($A22,J$4),'Basis Options'!$AB:$AB)</f>
        <v>0</v>
      </c>
      <c r="K22" s="134" t="n">
        <f aca="false">SUMIF('Basis Options'!$X:$X,CONCATENATE($A22,K$4),'Basis Options'!$AB:$AB)</f>
        <v>0</v>
      </c>
      <c r="L22" s="134" t="n">
        <f aca="false">SUMIF('Basis Options'!$X:$X,CONCATENATE($A22,L$4),'Basis Options'!$AB:$AB)</f>
        <v>0</v>
      </c>
      <c r="M22" s="134" t="n">
        <f aca="false">SUMIF('Basis Options'!$X:$X,CONCATENATE($A22,M$4),'Basis Options'!$AB:$AB)</f>
        <v>0</v>
      </c>
      <c r="N22" s="134" t="n">
        <f aca="false">SUMIF('Basis Options'!$X:$X,CONCATENATE($A22,N$4),'Basis Options'!$AB:$AB)</f>
        <v>0</v>
      </c>
      <c r="O22" s="208" t="n">
        <f aca="false">EOMONTH(O21,0)+1</f>
        <v>37257</v>
      </c>
      <c r="P22" s="135" t="e">
        <f aca="false">SUM(B22:N22)</f>
        <v>#NAME?</v>
      </c>
      <c r="R22" s="134" t="e">
        <f aca="false">SUM(T22:AE22)</f>
        <v>#NAME?</v>
      </c>
      <c r="S22" s="208" t="n">
        <f aca="false">EOMONTH(S21,0)+1</f>
        <v>37257</v>
      </c>
      <c r="T22" s="134" t="e">
        <f aca="false">SUMIF('Basis Options'!$X:$X,CONCATENATE($S22,T$4),'Basis Options'!$AC:$AC)</f>
        <v>#NAME?</v>
      </c>
      <c r="U22" s="134" t="n">
        <f aca="false">SUMIF('Basis Options'!$X:$X,CONCATENATE($S22,U$4),'Basis Options'!$AC:$AC)</f>
        <v>0</v>
      </c>
      <c r="V22" s="134" t="n">
        <f aca="false">SUMIF('Basis Options'!$X:$X,CONCATENATE($S22,V$4),'Basis Options'!$AC:$AC)</f>
        <v>0</v>
      </c>
      <c r="W22" s="134" t="n">
        <f aca="false">SUMIF('Basis Options'!$X:$X,CONCATENATE($S22,W$4),'Basis Options'!$AC:$AC)</f>
        <v>0</v>
      </c>
      <c r="X22" s="134" t="n">
        <f aca="false">SUMIF('Basis Options'!$X:$X,CONCATENATE($S22,X$4),'Basis Options'!$AC:$AC)</f>
        <v>0</v>
      </c>
      <c r="Y22" s="134" t="n">
        <f aca="false">SUMIF('Basis Options'!$X:$X,CONCATENATE($S22,Y$4),'Basis Options'!$AC:$AC)</f>
        <v>0</v>
      </c>
      <c r="Z22" s="134" t="n">
        <f aca="false">SUMIF('Basis Options'!$X:$X,CONCATENATE($S22,Z$4),'Basis Options'!$AC:$AC)</f>
        <v>0</v>
      </c>
      <c r="AA22" s="134" t="n">
        <f aca="false">SUMIF('Basis Options'!$X:$X,CONCATENATE($S22,AA$4),'Basis Options'!$AC:$AC)</f>
        <v>0</v>
      </c>
      <c r="AB22" s="134" t="n">
        <f aca="false">SUMIF('Basis Options'!$X:$X,CONCATENATE($S22,AB$4),'Basis Options'!$AC:$AC)</f>
        <v>0</v>
      </c>
      <c r="AC22" s="134" t="n">
        <f aca="false">SUMIF('Basis Options'!$X:$X,CONCATENATE($S22,AC$4),'Basis Options'!$AC:$AC)</f>
        <v>0</v>
      </c>
      <c r="AD22" s="134" t="n">
        <f aca="false">SUMIF('Basis Options'!$X:$X,CONCATENATE($S22,AD$4),'Basis Options'!$AC:$AC)</f>
        <v>0</v>
      </c>
      <c r="AE22" s="134" t="n">
        <f aca="false">SUMIF('Basis Options'!$X:$X,CONCATENATE($S22,AE$4),'Basis Options'!$AC:$AC)</f>
        <v>0</v>
      </c>
      <c r="AF22" s="134" t="n">
        <f aca="false">SUMIF('Basis Options'!$X:$X,CONCATENATE($S22,AF$4),'Basis Options'!$AC:$AC)</f>
        <v>0</v>
      </c>
      <c r="AG22" s="208" t="n">
        <f aca="false">EOMONTH(AG21,0)+1</f>
        <v>37257</v>
      </c>
      <c r="AH22" s="135" t="e">
        <f aca="false">SUM(T22:AF22)</f>
        <v>#NAME?</v>
      </c>
      <c r="AK22" s="208" t="n">
        <f aca="false">EOMONTH(AK21,0)+1</f>
        <v>37257</v>
      </c>
      <c r="AL22" s="134" t="e">
        <f aca="false">SUMIF('Basis Options'!$X:$X,CONCATENATE($AK22,AL$4),'Basis Options'!$AD:$AD)</f>
        <v>#NAME?</v>
      </c>
      <c r="AM22" s="134" t="n">
        <f aca="false">SUMIF('Basis Options'!$X:$X,CONCATENATE($AK22,AM$4),'Basis Options'!$AD:$AD)</f>
        <v>0</v>
      </c>
      <c r="AN22" s="134" t="n">
        <f aca="false">SUMIF('Basis Options'!$X:$X,CONCATENATE($AK22,AN$4),'Basis Options'!$AD:$AD)</f>
        <v>0</v>
      </c>
      <c r="AO22" s="134" t="n">
        <f aca="false">SUMIF('Basis Options'!$X:$X,CONCATENATE($AK22,AO$4),'Basis Options'!$AD:$AD)</f>
        <v>0</v>
      </c>
      <c r="AP22" s="134" t="n">
        <f aca="false">SUMIF('Basis Options'!$X:$X,CONCATENATE($AK22,AP$4),'Basis Options'!$AD:$AD)</f>
        <v>0</v>
      </c>
      <c r="AQ22" s="134" t="n">
        <f aca="false">SUMIF('Basis Options'!$X:$X,CONCATENATE($AK22,AQ$4),'Basis Options'!$AD:$AD)</f>
        <v>0</v>
      </c>
      <c r="AR22" s="134" t="n">
        <f aca="false">SUMIF('Basis Options'!$X:$X,CONCATENATE($AK22,AR$4),'Basis Options'!$AD:$AD)</f>
        <v>0</v>
      </c>
      <c r="AS22" s="134" t="n">
        <f aca="false">SUMIF('Basis Options'!$X:$X,CONCATENATE($AK22,AS$4),'Basis Options'!$AD:$AD)</f>
        <v>0</v>
      </c>
      <c r="AT22" s="134" t="n">
        <f aca="false">SUMIF('Basis Options'!$X:$X,CONCATENATE($AK22,AT$4),'Basis Options'!$AD:$AD)</f>
        <v>0</v>
      </c>
      <c r="AU22" s="134" t="n">
        <f aca="false">SUMIF('Basis Options'!$X:$X,CONCATENATE($AK22,AU$4),'Basis Options'!$AD:$AD)</f>
        <v>0</v>
      </c>
      <c r="AV22" s="134" t="n">
        <f aca="false">SUMIF('Basis Options'!$X:$X,CONCATENATE($AK22,AV$4),'Basis Options'!$AD:$AD)</f>
        <v>0</v>
      </c>
      <c r="AW22" s="134" t="n">
        <f aca="false">SUMIF('Basis Options'!$X:$X,CONCATENATE($AK22,AW$4),'Basis Options'!$AD:$AD)</f>
        <v>0</v>
      </c>
      <c r="AX22" s="134" t="n">
        <f aca="false">SUMIF('Basis Options'!$X:$X,CONCATENATE($AK22,AX$4),'Basis Options'!$AD:$AD)</f>
        <v>0</v>
      </c>
      <c r="AY22" s="208" t="n">
        <f aca="false">EOMONTH(AY21,0)+1</f>
        <v>37257</v>
      </c>
      <c r="AZ22" s="135" t="e">
        <f aca="false">SUM(AL22:AX22)</f>
        <v>#NAME?</v>
      </c>
      <c r="BB22" s="208" t="n">
        <f aca="false">EOMONTH(BB21,0)+1</f>
        <v>37257</v>
      </c>
      <c r="BC22" s="134" t="e">
        <f aca="false">SUMIF('Basis Options'!$X:$X,CONCATENATE($AK22,BC$4),'Basis Options'!$AF:$AF)</f>
        <v>#NAME?</v>
      </c>
      <c r="BD22" s="134" t="n">
        <f aca="false">SUMIF('Basis Options'!$X:$X,CONCATENATE($AK22,BD$4),'Basis Options'!$AF:$AF)</f>
        <v>0</v>
      </c>
      <c r="BE22" s="134" t="n">
        <f aca="false">SUMIF('Basis Options'!$X:$X,CONCATENATE($AK22,BE$4),'Basis Options'!$AF:$AF)</f>
        <v>0</v>
      </c>
      <c r="BF22" s="134" t="n">
        <f aca="false">SUMIF('Basis Options'!$X:$X,CONCATENATE($AK22,BF$4),'Basis Options'!$AF:$AF)</f>
        <v>0</v>
      </c>
      <c r="BG22" s="134" t="n">
        <f aca="false">SUMIF('Basis Options'!$X:$X,CONCATENATE($AK22,BG$4),'Basis Options'!$AF:$AF)</f>
        <v>0</v>
      </c>
      <c r="BH22" s="134" t="n">
        <f aca="false">SUMIF('Basis Options'!$X:$X,CONCATENATE($AK22,BH$4),'Basis Options'!$AF:$AF)</f>
        <v>0</v>
      </c>
      <c r="BI22" s="134" t="n">
        <f aca="false">SUMIF('Basis Options'!$X:$X,CONCATENATE($AK22,BI$4),'Basis Options'!$AF:$AF)</f>
        <v>0</v>
      </c>
      <c r="BJ22" s="134" t="n">
        <f aca="false">SUMIF('Basis Options'!$X:$X,CONCATENATE($AK22,BJ$4),'Basis Options'!$AF:$AF)</f>
        <v>0</v>
      </c>
      <c r="BK22" s="134" t="n">
        <f aca="false">SUMIF('Basis Options'!$X:$X,CONCATENATE($AK22,BK$4),'Basis Options'!$AF:$AF)</f>
        <v>0</v>
      </c>
      <c r="BL22" s="134" t="n">
        <f aca="false">SUMIF('Basis Options'!$X:$X,CONCATENATE($AK22,BL$4),'Basis Options'!$AF:$AF)</f>
        <v>0</v>
      </c>
      <c r="BM22" s="134" t="n">
        <f aca="false">SUMIF('Basis Options'!$X:$X,CONCATENATE($AK22,BM$4),'Basis Options'!$AF:$AF)</f>
        <v>0</v>
      </c>
      <c r="BN22" s="134" t="n">
        <f aca="false">SUMIF('Basis Options'!$X:$X,CONCATENATE($AK22,BN$4),'Basis Options'!$AF:$AF)</f>
        <v>0</v>
      </c>
      <c r="BO22" s="134" t="n">
        <f aca="false">SUMIF('Basis Options'!$X:$X,CONCATENATE($AK22,BO$4),'Basis Options'!$AF:$AF)</f>
        <v>0</v>
      </c>
      <c r="BP22" s="208" t="n">
        <f aca="false">EOMONTH(BP21,0)+1</f>
        <v>37257</v>
      </c>
      <c r="BQ22" s="135" t="e">
        <f aca="false">SUM(BC22:BO22)</f>
        <v>#NAME?</v>
      </c>
      <c r="BS22" s="208" t="n">
        <f aca="false">EOMONTH(BS21,0)+1</f>
        <v>37257</v>
      </c>
      <c r="BT22" s="134" t="e">
        <f aca="false">SUMIF('Basis Options'!$X:$X,CONCATENATE($BS22,BT$4),'Basis Options'!$AI:$AI)</f>
        <v>#NAME?</v>
      </c>
      <c r="BU22" s="134" t="n">
        <f aca="false">SUMIF('Basis Options'!$X:$X,CONCATENATE($BS22,BU$4),'Basis Options'!$AI:$AI)</f>
        <v>0</v>
      </c>
      <c r="BV22" s="134" t="n">
        <f aca="false">SUMIF('Basis Options'!$X:$X,CONCATENATE($BS22,BV$4),'Basis Options'!$AI:$AI)</f>
        <v>0</v>
      </c>
      <c r="BW22" s="134" t="n">
        <f aca="false">SUMIF('Basis Options'!$X:$X,CONCATENATE($BS22,BW$4),'Basis Options'!$AI:$AI)</f>
        <v>0</v>
      </c>
      <c r="BX22" s="134" t="n">
        <f aca="false">SUMIF('Basis Options'!$X:$X,CONCATENATE($BS22,BX$4),'Basis Options'!$AI:$AI)</f>
        <v>0</v>
      </c>
      <c r="BY22" s="134" t="n">
        <f aca="false">SUMIF('Basis Options'!$X:$X,CONCATENATE($BS22,BY$4),'Basis Options'!$AI:$AI)</f>
        <v>0</v>
      </c>
      <c r="BZ22" s="134" t="n">
        <f aca="false">SUMIF('Basis Options'!$X:$X,CONCATENATE($BS22,BZ$4),'Basis Options'!$AI:$AI)</f>
        <v>0</v>
      </c>
      <c r="CA22" s="134" t="n">
        <f aca="false">SUMIF('Basis Options'!$X:$X,CONCATENATE($BS22,CA$4),'Basis Options'!$AI:$AI)</f>
        <v>0</v>
      </c>
      <c r="CB22" s="134" t="n">
        <f aca="false">SUMIF('Basis Options'!$X:$X,CONCATENATE($BS22,CB$4),'Basis Options'!$AI:$AI)</f>
        <v>0</v>
      </c>
      <c r="CC22" s="134" t="n">
        <f aca="false">SUMIF('Basis Options'!$X:$X,CONCATENATE($BS22,CC$4),'Basis Options'!$AI:$AI)</f>
        <v>0</v>
      </c>
      <c r="CD22" s="134" t="n">
        <f aca="false">SUMIF('Basis Options'!$X:$X,CONCATENATE($BS22,CD$4),'Basis Options'!$AI:$AI)</f>
        <v>0</v>
      </c>
      <c r="CE22" s="134" t="n">
        <f aca="false">SUMIF('Basis Options'!$X:$X,CONCATENATE($BS22,CE$4),'Basis Options'!$AI:$AI)</f>
        <v>0</v>
      </c>
      <c r="CF22" s="134" t="n">
        <f aca="false">SUMIF('Basis Options'!$X:$X,CONCATENATE($BS22,CF$4),'Basis Options'!$AI:$AI)</f>
        <v>0</v>
      </c>
      <c r="CG22" s="208" t="n">
        <f aca="false">EOMONTH(CG21,0)+1</f>
        <v>37257</v>
      </c>
      <c r="CH22" s="209" t="e">
        <f aca="false">SUM(BT22:CF22)</f>
        <v>#NAME?</v>
      </c>
    </row>
    <row r="23" customFormat="false" ht="12.75" hidden="false" customHeight="false" outlineLevel="0" collapsed="false">
      <c r="A23" s="208" t="n">
        <f aca="false">EOMONTH(A22,0)+1</f>
        <v>37288</v>
      </c>
      <c r="B23" s="134" t="e">
        <f aca="false">SUMIF('Basis Options'!X:X,CONCATENATE($A23,B$4),'Basis Options'!AB:AB)</f>
        <v>#NAME?</v>
      </c>
      <c r="C23" s="134" t="n">
        <f aca="false">SUMIF('Basis Options'!$X:$X,CONCATENATE($A23,C$4),'Basis Options'!$AB:$AB)</f>
        <v>0</v>
      </c>
      <c r="D23" s="134" t="n">
        <f aca="false">SUMIF('Basis Options'!$X:$X,CONCATENATE($A23,D$4),'Basis Options'!$AB:$AB)</f>
        <v>0</v>
      </c>
      <c r="E23" s="134" t="n">
        <f aca="false">SUMIF('Basis Options'!$X:$X,CONCATENATE($A23,E$4),'Basis Options'!$AB:$AB)</f>
        <v>0</v>
      </c>
      <c r="F23" s="134" t="n">
        <f aca="false">SUMIF('Basis Options'!$X:$X,CONCATENATE($A23,F$4),'Basis Options'!$AB:$AB)</f>
        <v>0</v>
      </c>
      <c r="G23" s="134" t="n">
        <f aca="false">SUMIF('Basis Options'!$X:$X,CONCATENATE($A23,G$4),'Basis Options'!$AB:$AB)</f>
        <v>0</v>
      </c>
      <c r="H23" s="134" t="n">
        <f aca="false">SUMIF('Basis Options'!$X:$X,CONCATENATE($A23,H$4),'Basis Options'!$AB:$AB)</f>
        <v>0</v>
      </c>
      <c r="I23" s="134" t="n">
        <f aca="false">SUMIF('Basis Options'!$X:$X,CONCATENATE($A23,I$4),'Basis Options'!$AB:$AB)</f>
        <v>0</v>
      </c>
      <c r="J23" s="134" t="n">
        <f aca="false">SUMIF('Basis Options'!$X:$X,CONCATENATE($A23,J$4),'Basis Options'!$AB:$AB)</f>
        <v>0</v>
      </c>
      <c r="K23" s="134" t="n">
        <f aca="false">SUMIF('Basis Options'!$X:$X,CONCATENATE($A23,K$4),'Basis Options'!$AB:$AB)</f>
        <v>0</v>
      </c>
      <c r="L23" s="134" t="n">
        <f aca="false">SUMIF('Basis Options'!$X:$X,CONCATENATE($A23,L$4),'Basis Options'!$AB:$AB)</f>
        <v>0</v>
      </c>
      <c r="M23" s="134" t="n">
        <f aca="false">SUMIF('Basis Options'!$X:$X,CONCATENATE($A23,M$4),'Basis Options'!$AB:$AB)</f>
        <v>0</v>
      </c>
      <c r="N23" s="134" t="n">
        <f aca="false">SUMIF('Basis Options'!$X:$X,CONCATENATE($A23,N$4),'Basis Options'!$AB:$AB)</f>
        <v>0</v>
      </c>
      <c r="O23" s="208" t="n">
        <f aca="false">EOMONTH(O22,0)+1</f>
        <v>37288</v>
      </c>
      <c r="P23" s="135" t="e">
        <f aca="false">SUM(B23:N23)</f>
        <v>#NAME?</v>
      </c>
      <c r="R23" s="134" t="e">
        <f aca="false">SUM(T23:AE23)</f>
        <v>#NAME?</v>
      </c>
      <c r="S23" s="208" t="n">
        <f aca="false">EOMONTH(S22,0)+1</f>
        <v>37288</v>
      </c>
      <c r="T23" s="134" t="e">
        <f aca="false">SUMIF('Basis Options'!$X:$X,CONCATENATE($S23,T$4),'Basis Options'!$AC:$AC)</f>
        <v>#NAME?</v>
      </c>
      <c r="U23" s="134" t="n">
        <f aca="false">SUMIF('Basis Options'!$X:$X,CONCATENATE($S23,U$4),'Basis Options'!$AC:$AC)</f>
        <v>0</v>
      </c>
      <c r="V23" s="134" t="n">
        <f aca="false">SUMIF('Basis Options'!$X:$X,CONCATENATE($S23,V$4),'Basis Options'!$AC:$AC)</f>
        <v>0</v>
      </c>
      <c r="W23" s="134" t="n">
        <f aca="false">SUMIF('Basis Options'!$X:$X,CONCATENATE($S23,W$4),'Basis Options'!$AC:$AC)</f>
        <v>0</v>
      </c>
      <c r="X23" s="134" t="n">
        <f aca="false">SUMIF('Basis Options'!$X:$X,CONCATENATE($S23,X$4),'Basis Options'!$AC:$AC)</f>
        <v>0</v>
      </c>
      <c r="Y23" s="134" t="n">
        <f aca="false">SUMIF('Basis Options'!$X:$X,CONCATENATE($S23,Y$4),'Basis Options'!$AC:$AC)</f>
        <v>0</v>
      </c>
      <c r="Z23" s="134" t="n">
        <f aca="false">SUMIF('Basis Options'!$X:$X,CONCATENATE($S23,Z$4),'Basis Options'!$AC:$AC)</f>
        <v>0</v>
      </c>
      <c r="AA23" s="134" t="n">
        <f aca="false">SUMIF('Basis Options'!$X:$X,CONCATENATE($S23,AA$4),'Basis Options'!$AC:$AC)</f>
        <v>0</v>
      </c>
      <c r="AB23" s="134" t="n">
        <f aca="false">SUMIF('Basis Options'!$X:$X,CONCATENATE($S23,AB$4),'Basis Options'!$AC:$AC)</f>
        <v>0</v>
      </c>
      <c r="AC23" s="134" t="n">
        <f aca="false">SUMIF('Basis Options'!$X:$X,CONCATENATE($S23,AC$4),'Basis Options'!$AC:$AC)</f>
        <v>0</v>
      </c>
      <c r="AD23" s="134" t="n">
        <f aca="false">SUMIF('Basis Options'!$X:$X,CONCATENATE($S23,AD$4),'Basis Options'!$AC:$AC)</f>
        <v>0</v>
      </c>
      <c r="AE23" s="134" t="n">
        <f aca="false">SUMIF('Basis Options'!$X:$X,CONCATENATE($S23,AE$4),'Basis Options'!$AC:$AC)</f>
        <v>0</v>
      </c>
      <c r="AF23" s="134" t="n">
        <f aca="false">SUMIF('Basis Options'!$X:$X,CONCATENATE($S23,AF$4),'Basis Options'!$AC:$AC)</f>
        <v>0</v>
      </c>
      <c r="AG23" s="208" t="n">
        <f aca="false">EOMONTH(AG22,0)+1</f>
        <v>37288</v>
      </c>
      <c r="AH23" s="135" t="e">
        <f aca="false">SUM(T23:AF23)</f>
        <v>#NAME?</v>
      </c>
      <c r="AK23" s="208" t="n">
        <f aca="false">EOMONTH(AK22,0)+1</f>
        <v>37288</v>
      </c>
      <c r="AL23" s="134" t="e">
        <f aca="false">SUMIF('Basis Options'!$X:$X,CONCATENATE($AK23,AL$4),'Basis Options'!$AD:$AD)</f>
        <v>#NAME?</v>
      </c>
      <c r="AM23" s="134" t="n">
        <f aca="false">SUMIF('Basis Options'!$X:$X,CONCATENATE($AK23,AM$4),'Basis Options'!$AD:$AD)</f>
        <v>0</v>
      </c>
      <c r="AN23" s="134" t="n">
        <f aca="false">SUMIF('Basis Options'!$X:$X,CONCATENATE($AK23,AN$4),'Basis Options'!$AD:$AD)</f>
        <v>0</v>
      </c>
      <c r="AO23" s="134" t="n">
        <f aca="false">SUMIF('Basis Options'!$X:$X,CONCATENATE($AK23,AO$4),'Basis Options'!$AD:$AD)</f>
        <v>0</v>
      </c>
      <c r="AP23" s="134" t="n">
        <f aca="false">SUMIF('Basis Options'!$X:$X,CONCATENATE($AK23,AP$4),'Basis Options'!$AD:$AD)</f>
        <v>0</v>
      </c>
      <c r="AQ23" s="134" t="n">
        <f aca="false">SUMIF('Basis Options'!$X:$X,CONCATENATE($AK23,AQ$4),'Basis Options'!$AD:$AD)</f>
        <v>0</v>
      </c>
      <c r="AR23" s="134" t="n">
        <f aca="false">SUMIF('Basis Options'!$X:$X,CONCATENATE($AK23,AR$4),'Basis Options'!$AD:$AD)</f>
        <v>0</v>
      </c>
      <c r="AS23" s="134" t="n">
        <f aca="false">SUMIF('Basis Options'!$X:$X,CONCATENATE($AK23,AS$4),'Basis Options'!$AD:$AD)</f>
        <v>0</v>
      </c>
      <c r="AT23" s="134" t="n">
        <f aca="false">SUMIF('Basis Options'!$X:$X,CONCATENATE($AK23,AT$4),'Basis Options'!$AD:$AD)</f>
        <v>0</v>
      </c>
      <c r="AU23" s="134" t="n">
        <f aca="false">SUMIF('Basis Options'!$X:$X,CONCATENATE($AK23,AU$4),'Basis Options'!$AD:$AD)</f>
        <v>0</v>
      </c>
      <c r="AV23" s="134" t="n">
        <f aca="false">SUMIF('Basis Options'!$X:$X,CONCATENATE($AK23,AV$4),'Basis Options'!$AD:$AD)</f>
        <v>0</v>
      </c>
      <c r="AW23" s="134" t="n">
        <f aca="false">SUMIF('Basis Options'!$X:$X,CONCATENATE($AK23,AW$4),'Basis Options'!$AD:$AD)</f>
        <v>0</v>
      </c>
      <c r="AX23" s="134" t="n">
        <f aca="false">SUMIF('Basis Options'!$X:$X,CONCATENATE($AK23,AX$4),'Basis Options'!$AD:$AD)</f>
        <v>0</v>
      </c>
      <c r="AY23" s="208" t="n">
        <f aca="false">EOMONTH(AY22,0)+1</f>
        <v>37288</v>
      </c>
      <c r="AZ23" s="135" t="e">
        <f aca="false">SUM(AL23:AX23)</f>
        <v>#NAME?</v>
      </c>
      <c r="BB23" s="208" t="n">
        <f aca="false">EOMONTH(BB22,0)+1</f>
        <v>37288</v>
      </c>
      <c r="BC23" s="134" t="e">
        <f aca="false">SUMIF('Basis Options'!$X:$X,CONCATENATE($AK23,BC$4),'Basis Options'!$AF:$AF)</f>
        <v>#NAME?</v>
      </c>
      <c r="BD23" s="134" t="n">
        <f aca="false">SUMIF('Basis Options'!$X:$X,CONCATENATE($AK23,BD$4),'Basis Options'!$AF:$AF)</f>
        <v>0</v>
      </c>
      <c r="BE23" s="134" t="n">
        <f aca="false">SUMIF('Basis Options'!$X:$X,CONCATENATE($AK23,BE$4),'Basis Options'!$AF:$AF)</f>
        <v>0</v>
      </c>
      <c r="BF23" s="134" t="n">
        <f aca="false">SUMIF('Basis Options'!$X:$X,CONCATENATE($AK23,BF$4),'Basis Options'!$AF:$AF)</f>
        <v>0</v>
      </c>
      <c r="BG23" s="134" t="n">
        <f aca="false">SUMIF('Basis Options'!$X:$X,CONCATENATE($AK23,BG$4),'Basis Options'!$AF:$AF)</f>
        <v>0</v>
      </c>
      <c r="BH23" s="134" t="n">
        <f aca="false">SUMIF('Basis Options'!$X:$X,CONCATENATE($AK23,BH$4),'Basis Options'!$AF:$AF)</f>
        <v>0</v>
      </c>
      <c r="BI23" s="134" t="n">
        <f aca="false">SUMIF('Basis Options'!$X:$X,CONCATENATE($AK23,BI$4),'Basis Options'!$AF:$AF)</f>
        <v>0</v>
      </c>
      <c r="BJ23" s="134" t="n">
        <f aca="false">SUMIF('Basis Options'!$X:$X,CONCATENATE($AK23,BJ$4),'Basis Options'!$AF:$AF)</f>
        <v>0</v>
      </c>
      <c r="BK23" s="134" t="n">
        <f aca="false">SUMIF('Basis Options'!$X:$X,CONCATENATE($AK23,BK$4),'Basis Options'!$AF:$AF)</f>
        <v>0</v>
      </c>
      <c r="BL23" s="134" t="n">
        <f aca="false">SUMIF('Basis Options'!$X:$X,CONCATENATE($AK23,BL$4),'Basis Options'!$AF:$AF)</f>
        <v>0</v>
      </c>
      <c r="BM23" s="134" t="n">
        <f aca="false">SUMIF('Basis Options'!$X:$X,CONCATENATE($AK23,BM$4),'Basis Options'!$AF:$AF)</f>
        <v>0</v>
      </c>
      <c r="BN23" s="134" t="n">
        <f aca="false">SUMIF('Basis Options'!$X:$X,CONCATENATE($AK23,BN$4),'Basis Options'!$AF:$AF)</f>
        <v>0</v>
      </c>
      <c r="BO23" s="134" t="n">
        <f aca="false">SUMIF('Basis Options'!$X:$X,CONCATENATE($AK23,BO$4),'Basis Options'!$AF:$AF)</f>
        <v>0</v>
      </c>
      <c r="BP23" s="208" t="n">
        <f aca="false">EOMONTH(BP22,0)+1</f>
        <v>37288</v>
      </c>
      <c r="BQ23" s="135" t="e">
        <f aca="false">SUM(BC23:BO23)</f>
        <v>#NAME?</v>
      </c>
      <c r="BS23" s="208" t="n">
        <f aca="false">EOMONTH(BS22,0)+1</f>
        <v>37288</v>
      </c>
      <c r="BT23" s="134" t="e">
        <f aca="false">SUMIF('Basis Options'!$X:$X,CONCATENATE($BS23,BT$4),'Basis Options'!$AI:$AI)</f>
        <v>#NAME?</v>
      </c>
      <c r="BU23" s="134" t="n">
        <f aca="false">SUMIF('Basis Options'!$X:$X,CONCATENATE($BS23,BU$4),'Basis Options'!$AI:$AI)</f>
        <v>0</v>
      </c>
      <c r="BV23" s="134" t="n">
        <f aca="false">SUMIF('Basis Options'!$X:$X,CONCATENATE($BS23,BV$4),'Basis Options'!$AI:$AI)</f>
        <v>0</v>
      </c>
      <c r="BW23" s="134" t="n">
        <f aca="false">SUMIF('Basis Options'!$X:$X,CONCATENATE($BS23,BW$4),'Basis Options'!$AI:$AI)</f>
        <v>0</v>
      </c>
      <c r="BX23" s="134" t="n">
        <f aca="false">SUMIF('Basis Options'!$X:$X,CONCATENATE($BS23,BX$4),'Basis Options'!$AI:$AI)</f>
        <v>0</v>
      </c>
      <c r="BY23" s="134" t="n">
        <f aca="false">SUMIF('Basis Options'!$X:$X,CONCATENATE($BS23,BY$4),'Basis Options'!$AI:$AI)</f>
        <v>0</v>
      </c>
      <c r="BZ23" s="134" t="n">
        <f aca="false">SUMIF('Basis Options'!$X:$X,CONCATENATE($BS23,BZ$4),'Basis Options'!$AI:$AI)</f>
        <v>0</v>
      </c>
      <c r="CA23" s="134" t="n">
        <f aca="false">SUMIF('Basis Options'!$X:$X,CONCATENATE($BS23,CA$4),'Basis Options'!$AI:$AI)</f>
        <v>0</v>
      </c>
      <c r="CB23" s="134" t="n">
        <f aca="false">SUMIF('Basis Options'!$X:$X,CONCATENATE($BS23,CB$4),'Basis Options'!$AI:$AI)</f>
        <v>0</v>
      </c>
      <c r="CC23" s="134" t="n">
        <f aca="false">SUMIF('Basis Options'!$X:$X,CONCATENATE($BS23,CC$4),'Basis Options'!$AI:$AI)</f>
        <v>0</v>
      </c>
      <c r="CD23" s="134" t="n">
        <f aca="false">SUMIF('Basis Options'!$X:$X,CONCATENATE($BS23,CD$4),'Basis Options'!$AI:$AI)</f>
        <v>0</v>
      </c>
      <c r="CE23" s="134" t="n">
        <f aca="false">SUMIF('Basis Options'!$X:$X,CONCATENATE($BS23,CE$4),'Basis Options'!$AI:$AI)</f>
        <v>0</v>
      </c>
      <c r="CF23" s="134" t="n">
        <f aca="false">SUMIF('Basis Options'!$X:$X,CONCATENATE($BS23,CF$4),'Basis Options'!$AI:$AI)</f>
        <v>0</v>
      </c>
      <c r="CG23" s="208" t="n">
        <f aca="false">EOMONTH(CG22,0)+1</f>
        <v>37288</v>
      </c>
      <c r="CH23" s="209" t="e">
        <f aca="false">SUM(BT23:CF23)</f>
        <v>#NAME?</v>
      </c>
    </row>
    <row r="24" customFormat="false" ht="12.75" hidden="false" customHeight="false" outlineLevel="0" collapsed="false">
      <c r="A24" s="208" t="n">
        <f aca="false">EOMONTH(A23,0)+1</f>
        <v>37316</v>
      </c>
      <c r="B24" s="134" t="e">
        <f aca="false">SUMIF('Basis Options'!X:X,CONCATENATE($A24,B$4),'Basis Options'!AB:AB)</f>
        <v>#NAME?</v>
      </c>
      <c r="C24" s="134" t="n">
        <f aca="false">SUMIF('Basis Options'!$X:$X,CONCATENATE($A24,C$4),'Basis Options'!$AB:$AB)</f>
        <v>0</v>
      </c>
      <c r="D24" s="134" t="n">
        <f aca="false">SUMIF('Basis Options'!$X:$X,CONCATENATE($A24,D$4),'Basis Options'!$AB:$AB)</f>
        <v>0</v>
      </c>
      <c r="E24" s="134" t="n">
        <f aca="false">SUMIF('Basis Options'!$X:$X,CONCATENATE($A24,E$4),'Basis Options'!$AB:$AB)</f>
        <v>0</v>
      </c>
      <c r="F24" s="134" t="n">
        <f aca="false">SUMIF('Basis Options'!$X:$X,CONCATENATE($A24,F$4),'Basis Options'!$AB:$AB)</f>
        <v>0</v>
      </c>
      <c r="G24" s="134" t="n">
        <f aca="false">SUMIF('Basis Options'!$X:$X,CONCATENATE($A24,G$4),'Basis Options'!$AB:$AB)</f>
        <v>0</v>
      </c>
      <c r="H24" s="134" t="n">
        <f aca="false">SUMIF('Basis Options'!$X:$X,CONCATENATE($A24,H$4),'Basis Options'!$AB:$AB)</f>
        <v>0</v>
      </c>
      <c r="I24" s="134" t="n">
        <f aca="false">SUMIF('Basis Options'!$X:$X,CONCATENATE($A24,I$4),'Basis Options'!$AB:$AB)</f>
        <v>0</v>
      </c>
      <c r="J24" s="134" t="n">
        <f aca="false">SUMIF('Basis Options'!$X:$X,CONCATENATE($A24,J$4),'Basis Options'!$AB:$AB)</f>
        <v>0</v>
      </c>
      <c r="K24" s="134" t="n">
        <f aca="false">SUMIF('Basis Options'!$X:$X,CONCATENATE($A24,K$4),'Basis Options'!$AB:$AB)</f>
        <v>0</v>
      </c>
      <c r="L24" s="134" t="n">
        <f aca="false">SUMIF('Basis Options'!$X:$X,CONCATENATE($A24,L$4),'Basis Options'!$AB:$AB)</f>
        <v>0</v>
      </c>
      <c r="M24" s="134" t="n">
        <f aca="false">SUMIF('Basis Options'!$X:$X,CONCATENATE($A24,M$4),'Basis Options'!$AB:$AB)</f>
        <v>0</v>
      </c>
      <c r="N24" s="134" t="n">
        <f aca="false">SUMIF('Basis Options'!$X:$X,CONCATENATE($A24,N$4),'Basis Options'!$AB:$AB)</f>
        <v>0</v>
      </c>
      <c r="O24" s="208" t="n">
        <f aca="false">EOMONTH(O23,0)+1</f>
        <v>37316</v>
      </c>
      <c r="P24" s="135" t="e">
        <f aca="false">SUM(B24:N24)</f>
        <v>#NAME?</v>
      </c>
      <c r="R24" s="134" t="e">
        <f aca="false">SUM(T24:AE24)</f>
        <v>#NAME?</v>
      </c>
      <c r="S24" s="208" t="n">
        <f aca="false">EOMONTH(S23,0)+1</f>
        <v>37316</v>
      </c>
      <c r="T24" s="134" t="e">
        <f aca="false">SUMIF('Basis Options'!$X:$X,CONCATENATE($S24,T$4),'Basis Options'!$AC:$AC)</f>
        <v>#NAME?</v>
      </c>
      <c r="U24" s="134" t="n">
        <f aca="false">SUMIF('Basis Options'!$X:$X,CONCATENATE($S24,U$4),'Basis Options'!$AC:$AC)</f>
        <v>0</v>
      </c>
      <c r="V24" s="134" t="n">
        <f aca="false">SUMIF('Basis Options'!$X:$X,CONCATENATE($S24,V$4),'Basis Options'!$AC:$AC)</f>
        <v>0</v>
      </c>
      <c r="W24" s="134" t="n">
        <f aca="false">SUMIF('Basis Options'!$X:$X,CONCATENATE($S24,W$4),'Basis Options'!$AC:$AC)</f>
        <v>0</v>
      </c>
      <c r="X24" s="134" t="n">
        <f aca="false">SUMIF('Basis Options'!$X:$X,CONCATENATE($S24,X$4),'Basis Options'!$AC:$AC)</f>
        <v>0</v>
      </c>
      <c r="Y24" s="134" t="n">
        <f aca="false">SUMIF('Basis Options'!$X:$X,CONCATENATE($S24,Y$4),'Basis Options'!$AC:$AC)</f>
        <v>0</v>
      </c>
      <c r="Z24" s="134" t="n">
        <f aca="false">SUMIF('Basis Options'!$X:$X,CONCATENATE($S24,Z$4),'Basis Options'!$AC:$AC)</f>
        <v>0</v>
      </c>
      <c r="AA24" s="134" t="n">
        <f aca="false">SUMIF('Basis Options'!$X:$X,CONCATENATE($S24,AA$4),'Basis Options'!$AC:$AC)</f>
        <v>0</v>
      </c>
      <c r="AB24" s="134" t="n">
        <f aca="false">SUMIF('Basis Options'!$X:$X,CONCATENATE($S24,AB$4),'Basis Options'!$AC:$AC)</f>
        <v>0</v>
      </c>
      <c r="AC24" s="134" t="n">
        <f aca="false">SUMIF('Basis Options'!$X:$X,CONCATENATE($S24,AC$4),'Basis Options'!$AC:$AC)</f>
        <v>0</v>
      </c>
      <c r="AD24" s="134" t="n">
        <f aca="false">SUMIF('Basis Options'!$X:$X,CONCATENATE($S24,AD$4),'Basis Options'!$AC:$AC)</f>
        <v>0</v>
      </c>
      <c r="AE24" s="134" t="n">
        <f aca="false">SUMIF('Basis Options'!$X:$X,CONCATENATE($S24,AE$4),'Basis Options'!$AC:$AC)</f>
        <v>0</v>
      </c>
      <c r="AF24" s="134" t="n">
        <f aca="false">SUMIF('Basis Options'!$X:$X,CONCATENATE($S24,AF$4),'Basis Options'!$AC:$AC)</f>
        <v>0</v>
      </c>
      <c r="AG24" s="208" t="n">
        <f aca="false">EOMONTH(AG23,0)+1</f>
        <v>37316</v>
      </c>
      <c r="AH24" s="135" t="e">
        <f aca="false">SUM(T24:AF24)</f>
        <v>#NAME?</v>
      </c>
      <c r="AK24" s="208" t="n">
        <f aca="false">EOMONTH(AK23,0)+1</f>
        <v>37316</v>
      </c>
      <c r="AL24" s="134" t="e">
        <f aca="false">SUMIF('Basis Options'!$X:$X,CONCATENATE($AK24,AL$4),'Basis Options'!$AD:$AD)</f>
        <v>#NAME?</v>
      </c>
      <c r="AM24" s="134" t="n">
        <f aca="false">SUMIF('Basis Options'!$X:$X,CONCATENATE($AK24,AM$4),'Basis Options'!$AD:$AD)</f>
        <v>0</v>
      </c>
      <c r="AN24" s="134" t="n">
        <f aca="false">SUMIF('Basis Options'!$X:$X,CONCATENATE($AK24,AN$4),'Basis Options'!$AD:$AD)</f>
        <v>0</v>
      </c>
      <c r="AO24" s="134" t="n">
        <f aca="false">SUMIF('Basis Options'!$X:$X,CONCATENATE($AK24,AO$4),'Basis Options'!$AD:$AD)</f>
        <v>0</v>
      </c>
      <c r="AP24" s="134" t="n">
        <f aca="false">SUMIF('Basis Options'!$X:$X,CONCATENATE($AK24,AP$4),'Basis Options'!$AD:$AD)</f>
        <v>0</v>
      </c>
      <c r="AQ24" s="134" t="n">
        <f aca="false">SUMIF('Basis Options'!$X:$X,CONCATENATE($AK24,AQ$4),'Basis Options'!$AD:$AD)</f>
        <v>0</v>
      </c>
      <c r="AR24" s="134" t="n">
        <f aca="false">SUMIF('Basis Options'!$X:$X,CONCATENATE($AK24,AR$4),'Basis Options'!$AD:$AD)</f>
        <v>0</v>
      </c>
      <c r="AS24" s="134" t="n">
        <f aca="false">SUMIF('Basis Options'!$X:$X,CONCATENATE($AK24,AS$4),'Basis Options'!$AD:$AD)</f>
        <v>0</v>
      </c>
      <c r="AT24" s="134" t="n">
        <f aca="false">SUMIF('Basis Options'!$X:$X,CONCATENATE($AK24,AT$4),'Basis Options'!$AD:$AD)</f>
        <v>0</v>
      </c>
      <c r="AU24" s="134" t="n">
        <f aca="false">SUMIF('Basis Options'!$X:$X,CONCATENATE($AK24,AU$4),'Basis Options'!$AD:$AD)</f>
        <v>0</v>
      </c>
      <c r="AV24" s="134" t="n">
        <f aca="false">SUMIF('Basis Options'!$X:$X,CONCATENATE($AK24,AV$4),'Basis Options'!$AD:$AD)</f>
        <v>0</v>
      </c>
      <c r="AW24" s="134" t="n">
        <f aca="false">SUMIF('Basis Options'!$X:$X,CONCATENATE($AK24,AW$4),'Basis Options'!$AD:$AD)</f>
        <v>0</v>
      </c>
      <c r="AX24" s="134" t="n">
        <f aca="false">SUMIF('Basis Options'!$X:$X,CONCATENATE($AK24,AX$4),'Basis Options'!$AD:$AD)</f>
        <v>0</v>
      </c>
      <c r="AY24" s="208" t="n">
        <f aca="false">EOMONTH(AY23,0)+1</f>
        <v>37316</v>
      </c>
      <c r="AZ24" s="135" t="e">
        <f aca="false">SUM(AL24:AX24)</f>
        <v>#NAME?</v>
      </c>
      <c r="BB24" s="208" t="n">
        <f aca="false">EOMONTH(BB23,0)+1</f>
        <v>37316</v>
      </c>
      <c r="BC24" s="134" t="e">
        <f aca="false">SUMIF('Basis Options'!$X:$X,CONCATENATE($AK24,BC$4),'Basis Options'!$AF:$AF)</f>
        <v>#NAME?</v>
      </c>
      <c r="BD24" s="134" t="n">
        <f aca="false">SUMIF('Basis Options'!$X:$X,CONCATENATE($AK24,BD$4),'Basis Options'!$AF:$AF)</f>
        <v>0</v>
      </c>
      <c r="BE24" s="134" t="n">
        <f aca="false">SUMIF('Basis Options'!$X:$X,CONCATENATE($AK24,BE$4),'Basis Options'!$AF:$AF)</f>
        <v>0</v>
      </c>
      <c r="BF24" s="134" t="n">
        <f aca="false">SUMIF('Basis Options'!$X:$X,CONCATENATE($AK24,BF$4),'Basis Options'!$AF:$AF)</f>
        <v>0</v>
      </c>
      <c r="BG24" s="134" t="n">
        <f aca="false">SUMIF('Basis Options'!$X:$X,CONCATENATE($AK24,BG$4),'Basis Options'!$AF:$AF)</f>
        <v>0</v>
      </c>
      <c r="BH24" s="134" t="n">
        <f aca="false">SUMIF('Basis Options'!$X:$X,CONCATENATE($AK24,BH$4),'Basis Options'!$AF:$AF)</f>
        <v>0</v>
      </c>
      <c r="BI24" s="134" t="n">
        <f aca="false">SUMIF('Basis Options'!$X:$X,CONCATENATE($AK24,BI$4),'Basis Options'!$AF:$AF)</f>
        <v>0</v>
      </c>
      <c r="BJ24" s="134" t="n">
        <f aca="false">SUMIF('Basis Options'!$X:$X,CONCATENATE($AK24,BJ$4),'Basis Options'!$AF:$AF)</f>
        <v>0</v>
      </c>
      <c r="BK24" s="134" t="n">
        <f aca="false">SUMIF('Basis Options'!$X:$X,CONCATENATE($AK24,BK$4),'Basis Options'!$AF:$AF)</f>
        <v>0</v>
      </c>
      <c r="BL24" s="134" t="n">
        <f aca="false">SUMIF('Basis Options'!$X:$X,CONCATENATE($AK24,BL$4),'Basis Options'!$AF:$AF)</f>
        <v>0</v>
      </c>
      <c r="BM24" s="134" t="n">
        <f aca="false">SUMIF('Basis Options'!$X:$X,CONCATENATE($AK24,BM$4),'Basis Options'!$AF:$AF)</f>
        <v>0</v>
      </c>
      <c r="BN24" s="134" t="n">
        <f aca="false">SUMIF('Basis Options'!$X:$X,CONCATENATE($AK24,BN$4),'Basis Options'!$AF:$AF)</f>
        <v>0</v>
      </c>
      <c r="BO24" s="134" t="n">
        <f aca="false">SUMIF('Basis Options'!$X:$X,CONCATENATE($AK24,BO$4),'Basis Options'!$AF:$AF)</f>
        <v>0</v>
      </c>
      <c r="BP24" s="208" t="n">
        <f aca="false">EOMONTH(BP23,0)+1</f>
        <v>37316</v>
      </c>
      <c r="BQ24" s="135" t="e">
        <f aca="false">SUM(BC24:BO24)</f>
        <v>#NAME?</v>
      </c>
      <c r="BS24" s="208" t="n">
        <f aca="false">EOMONTH(BS23,0)+1</f>
        <v>37316</v>
      </c>
      <c r="BT24" s="134" t="e">
        <f aca="false">SUMIF('Basis Options'!$X:$X,CONCATENATE($BS24,BT$4),'Basis Options'!$AI:$AI)</f>
        <v>#NAME?</v>
      </c>
      <c r="BU24" s="134" t="n">
        <f aca="false">SUMIF('Basis Options'!$X:$X,CONCATENATE($BS24,BU$4),'Basis Options'!$AI:$AI)</f>
        <v>0</v>
      </c>
      <c r="BV24" s="134" t="n">
        <f aca="false">SUMIF('Basis Options'!$X:$X,CONCATENATE($BS24,BV$4),'Basis Options'!$AI:$AI)</f>
        <v>0</v>
      </c>
      <c r="BW24" s="134" t="n">
        <f aca="false">SUMIF('Basis Options'!$X:$X,CONCATENATE($BS24,BW$4),'Basis Options'!$AI:$AI)</f>
        <v>0</v>
      </c>
      <c r="BX24" s="134" t="n">
        <f aca="false">SUMIF('Basis Options'!$X:$X,CONCATENATE($BS24,BX$4),'Basis Options'!$AI:$AI)</f>
        <v>0</v>
      </c>
      <c r="BY24" s="134" t="n">
        <f aca="false">SUMIF('Basis Options'!$X:$X,CONCATENATE($BS24,BY$4),'Basis Options'!$AI:$AI)</f>
        <v>0</v>
      </c>
      <c r="BZ24" s="134" t="n">
        <f aca="false">SUMIF('Basis Options'!$X:$X,CONCATENATE($BS24,BZ$4),'Basis Options'!$AI:$AI)</f>
        <v>0</v>
      </c>
      <c r="CA24" s="134" t="n">
        <f aca="false">SUMIF('Basis Options'!$X:$X,CONCATENATE($BS24,CA$4),'Basis Options'!$AI:$AI)</f>
        <v>0</v>
      </c>
      <c r="CB24" s="134" t="n">
        <f aca="false">SUMIF('Basis Options'!$X:$X,CONCATENATE($BS24,CB$4),'Basis Options'!$AI:$AI)</f>
        <v>0</v>
      </c>
      <c r="CC24" s="134" t="n">
        <f aca="false">SUMIF('Basis Options'!$X:$X,CONCATENATE($BS24,CC$4),'Basis Options'!$AI:$AI)</f>
        <v>0</v>
      </c>
      <c r="CD24" s="134" t="n">
        <f aca="false">SUMIF('Basis Options'!$X:$X,CONCATENATE($BS24,CD$4),'Basis Options'!$AI:$AI)</f>
        <v>0</v>
      </c>
      <c r="CE24" s="134" t="n">
        <f aca="false">SUMIF('Basis Options'!$X:$X,CONCATENATE($BS24,CE$4),'Basis Options'!$AI:$AI)</f>
        <v>0</v>
      </c>
      <c r="CF24" s="134" t="n">
        <f aca="false">SUMIF('Basis Options'!$X:$X,CONCATENATE($BS24,CF$4),'Basis Options'!$AI:$AI)</f>
        <v>0</v>
      </c>
      <c r="CG24" s="208" t="n">
        <f aca="false">EOMONTH(CG23,0)+1</f>
        <v>37316</v>
      </c>
      <c r="CH24" s="209" t="e">
        <f aca="false">SUM(BT24:CF24)</f>
        <v>#NAME?</v>
      </c>
    </row>
    <row r="25" customFormat="false" ht="12.75" hidden="false" customHeight="false" outlineLevel="0" collapsed="false">
      <c r="A25" s="208" t="n">
        <f aca="false">EOMONTH(A24,0)+1</f>
        <v>37347</v>
      </c>
      <c r="B25" s="134" t="n">
        <f aca="false">SUMIF('Basis Options'!X:X,CONCATENATE($A25,B$4),'Basis Options'!AB:AB)</f>
        <v>0</v>
      </c>
      <c r="C25" s="134" t="n">
        <f aca="false">SUMIF('Basis Options'!$X:$X,CONCATENATE($A25,C$4),'Basis Options'!$AB:$AB)</f>
        <v>0</v>
      </c>
      <c r="D25" s="134" t="n">
        <f aca="false">SUMIF('Basis Options'!$X:$X,CONCATENATE($A25,D$4),'Basis Options'!$AB:$AB)</f>
        <v>0</v>
      </c>
      <c r="E25" s="134" t="n">
        <f aca="false">SUMIF('Basis Options'!$X:$X,CONCATENATE($A25,E$4),'Basis Options'!$AB:$AB)</f>
        <v>0</v>
      </c>
      <c r="F25" s="134" t="n">
        <f aca="false">SUMIF('Basis Options'!$X:$X,CONCATENATE($A25,F$4),'Basis Options'!$AB:$AB)</f>
        <v>0</v>
      </c>
      <c r="G25" s="134" t="n">
        <f aca="false">SUMIF('Basis Options'!$X:$X,CONCATENATE($A25,G$4),'Basis Options'!$AB:$AB)</f>
        <v>0</v>
      </c>
      <c r="H25" s="134" t="n">
        <f aca="false">SUMIF('Basis Options'!$X:$X,CONCATENATE($A25,H$4),'Basis Options'!$AB:$AB)</f>
        <v>0</v>
      </c>
      <c r="I25" s="134" t="n">
        <f aca="false">SUMIF('Basis Options'!$X:$X,CONCATENATE($A25,I$4),'Basis Options'!$AB:$AB)</f>
        <v>0</v>
      </c>
      <c r="J25" s="134" t="n">
        <f aca="false">SUMIF('Basis Options'!$X:$X,CONCATENATE($A25,J$4),'Basis Options'!$AB:$AB)</f>
        <v>0</v>
      </c>
      <c r="K25" s="134" t="n">
        <f aca="false">SUMIF('Basis Options'!$X:$X,CONCATENATE($A25,K$4),'Basis Options'!$AB:$AB)</f>
        <v>0</v>
      </c>
      <c r="L25" s="134" t="n">
        <f aca="false">SUMIF('Basis Options'!$X:$X,CONCATENATE($A25,L$4),'Basis Options'!$AB:$AB)</f>
        <v>0</v>
      </c>
      <c r="M25" s="134" t="n">
        <f aca="false">SUMIF('Basis Options'!$X:$X,CONCATENATE($A25,M$4),'Basis Options'!$AB:$AB)</f>
        <v>0</v>
      </c>
      <c r="N25" s="134" t="n">
        <f aca="false">SUMIF('Basis Options'!$X:$X,CONCATENATE($A25,N$4),'Basis Options'!$AB:$AB)</f>
        <v>0</v>
      </c>
      <c r="O25" s="208" t="n">
        <f aca="false">EOMONTH(O24,0)+1</f>
        <v>37347</v>
      </c>
      <c r="P25" s="135" t="n">
        <f aca="false">SUM(B25:N25)</f>
        <v>0</v>
      </c>
      <c r="R25" s="134" t="n">
        <f aca="false">SUM(T25:AE25)</f>
        <v>0</v>
      </c>
      <c r="S25" s="208" t="n">
        <f aca="false">EOMONTH(S24,0)+1</f>
        <v>37347</v>
      </c>
      <c r="T25" s="134" t="n">
        <f aca="false">SUMIF('Basis Options'!$X:$X,CONCATENATE($S25,T$4),'Basis Options'!$AC:$AC)</f>
        <v>0</v>
      </c>
      <c r="U25" s="134" t="n">
        <f aca="false">SUMIF('Basis Options'!$X:$X,CONCATENATE($S25,U$4),'Basis Options'!$AC:$AC)</f>
        <v>0</v>
      </c>
      <c r="V25" s="134" t="n">
        <f aca="false">SUMIF('Basis Options'!$X:$X,CONCATENATE($S25,V$4),'Basis Options'!$AC:$AC)</f>
        <v>0</v>
      </c>
      <c r="W25" s="134" t="n">
        <f aca="false">SUMIF('Basis Options'!$X:$X,CONCATENATE($S25,W$4),'Basis Options'!$AC:$AC)</f>
        <v>0</v>
      </c>
      <c r="X25" s="134" t="n">
        <f aca="false">SUMIF('Basis Options'!$X:$X,CONCATENATE($S25,X$4),'Basis Options'!$AC:$AC)</f>
        <v>0</v>
      </c>
      <c r="Y25" s="134" t="n">
        <f aca="false">SUMIF('Basis Options'!$X:$X,CONCATENATE($S25,Y$4),'Basis Options'!$AC:$AC)</f>
        <v>0</v>
      </c>
      <c r="Z25" s="134" t="n">
        <f aca="false">SUMIF('Basis Options'!$X:$X,CONCATENATE($S25,Z$4),'Basis Options'!$AC:$AC)</f>
        <v>0</v>
      </c>
      <c r="AA25" s="134" t="n">
        <f aca="false">SUMIF('Basis Options'!$X:$X,CONCATENATE($S25,AA$4),'Basis Options'!$AC:$AC)</f>
        <v>0</v>
      </c>
      <c r="AB25" s="134" t="n">
        <f aca="false">SUMIF('Basis Options'!$X:$X,CONCATENATE($S25,AB$4),'Basis Options'!$AC:$AC)</f>
        <v>0</v>
      </c>
      <c r="AC25" s="134" t="n">
        <f aca="false">SUMIF('Basis Options'!$X:$X,CONCATENATE($S25,AC$4),'Basis Options'!$AC:$AC)</f>
        <v>0</v>
      </c>
      <c r="AD25" s="134" t="n">
        <f aca="false">SUMIF('Basis Options'!$X:$X,CONCATENATE($S25,AD$4),'Basis Options'!$AC:$AC)</f>
        <v>0</v>
      </c>
      <c r="AE25" s="134" t="n">
        <f aca="false">SUMIF('Basis Options'!$X:$X,CONCATENATE($S25,AE$4),'Basis Options'!$AC:$AC)</f>
        <v>0</v>
      </c>
      <c r="AF25" s="134" t="n">
        <f aca="false">SUMIF('Basis Options'!$X:$X,CONCATENATE($S25,AF$4),'Basis Options'!$AC:$AC)</f>
        <v>0</v>
      </c>
      <c r="AG25" s="208" t="n">
        <f aca="false">EOMONTH(AG24,0)+1</f>
        <v>37347</v>
      </c>
      <c r="AH25" s="135" t="n">
        <f aca="false">SUM(T25:AF25)</f>
        <v>0</v>
      </c>
      <c r="AK25" s="208" t="n">
        <f aca="false">EOMONTH(AK24,0)+1</f>
        <v>37347</v>
      </c>
      <c r="AL25" s="134" t="n">
        <f aca="false">SUMIF('Basis Options'!$X:$X,CONCATENATE($AK25,AL$4),'Basis Options'!$AD:$AD)</f>
        <v>0</v>
      </c>
      <c r="AM25" s="134" t="n">
        <f aca="false">SUMIF('Basis Options'!$X:$X,CONCATENATE($AK25,AM$4),'Basis Options'!$AD:$AD)</f>
        <v>0</v>
      </c>
      <c r="AN25" s="134" t="n">
        <f aca="false">SUMIF('Basis Options'!$X:$X,CONCATENATE($AK25,AN$4),'Basis Options'!$AD:$AD)</f>
        <v>0</v>
      </c>
      <c r="AO25" s="134" t="n">
        <f aca="false">SUMIF('Basis Options'!$X:$X,CONCATENATE($AK25,AO$4),'Basis Options'!$AD:$AD)</f>
        <v>0</v>
      </c>
      <c r="AP25" s="134" t="n">
        <f aca="false">SUMIF('Basis Options'!$X:$X,CONCATENATE($AK25,AP$4),'Basis Options'!$AD:$AD)</f>
        <v>0</v>
      </c>
      <c r="AQ25" s="134" t="n">
        <f aca="false">SUMIF('Basis Options'!$X:$X,CONCATENATE($AK25,AQ$4),'Basis Options'!$AD:$AD)</f>
        <v>0</v>
      </c>
      <c r="AR25" s="134" t="n">
        <f aca="false">SUMIF('Basis Options'!$X:$X,CONCATENATE($AK25,AR$4),'Basis Options'!$AD:$AD)</f>
        <v>0</v>
      </c>
      <c r="AS25" s="134" t="n">
        <f aca="false">SUMIF('Basis Options'!$X:$X,CONCATENATE($AK25,AS$4),'Basis Options'!$AD:$AD)</f>
        <v>0</v>
      </c>
      <c r="AT25" s="134" t="n">
        <f aca="false">SUMIF('Basis Options'!$X:$X,CONCATENATE($AK25,AT$4),'Basis Options'!$AD:$AD)</f>
        <v>0</v>
      </c>
      <c r="AU25" s="134" t="n">
        <f aca="false">SUMIF('Basis Options'!$X:$X,CONCATENATE($AK25,AU$4),'Basis Options'!$AD:$AD)</f>
        <v>0</v>
      </c>
      <c r="AV25" s="134" t="n">
        <f aca="false">SUMIF('Basis Options'!$X:$X,CONCATENATE($AK25,AV$4),'Basis Options'!$AD:$AD)</f>
        <v>0</v>
      </c>
      <c r="AW25" s="134" t="n">
        <f aca="false">SUMIF('Basis Options'!$X:$X,CONCATENATE($AK25,AW$4),'Basis Options'!$AD:$AD)</f>
        <v>0</v>
      </c>
      <c r="AX25" s="134" t="n">
        <f aca="false">SUMIF('Basis Options'!$X:$X,CONCATENATE($AK25,AX$4),'Basis Options'!$AD:$AD)</f>
        <v>0</v>
      </c>
      <c r="AY25" s="208" t="n">
        <f aca="false">EOMONTH(AY24,0)+1</f>
        <v>37347</v>
      </c>
      <c r="AZ25" s="135" t="n">
        <f aca="false">SUM(AL25:AX25)</f>
        <v>0</v>
      </c>
      <c r="BB25" s="208" t="n">
        <f aca="false">EOMONTH(BB24,0)+1</f>
        <v>37347</v>
      </c>
      <c r="BC25" s="134" t="n">
        <f aca="false">SUMIF('Basis Options'!$X:$X,CONCATENATE($AK25,BC$4),'Basis Options'!$AF:$AF)</f>
        <v>0</v>
      </c>
      <c r="BD25" s="134" t="n">
        <f aca="false">SUMIF('Basis Options'!$X:$X,CONCATENATE($AK25,BD$4),'Basis Options'!$AF:$AF)</f>
        <v>0</v>
      </c>
      <c r="BE25" s="134" t="n">
        <f aca="false">SUMIF('Basis Options'!$X:$X,CONCATENATE($AK25,BE$4),'Basis Options'!$AF:$AF)</f>
        <v>0</v>
      </c>
      <c r="BF25" s="134" t="n">
        <f aca="false">SUMIF('Basis Options'!$X:$X,CONCATENATE($AK25,BF$4),'Basis Options'!$AF:$AF)</f>
        <v>0</v>
      </c>
      <c r="BG25" s="134" t="n">
        <f aca="false">SUMIF('Basis Options'!$X:$X,CONCATENATE($AK25,BG$4),'Basis Options'!$AF:$AF)</f>
        <v>0</v>
      </c>
      <c r="BH25" s="134" t="n">
        <f aca="false">SUMIF('Basis Options'!$X:$X,CONCATENATE($AK25,BH$4),'Basis Options'!$AF:$AF)</f>
        <v>0</v>
      </c>
      <c r="BI25" s="134" t="n">
        <f aca="false">SUMIF('Basis Options'!$X:$X,CONCATENATE($AK25,BI$4),'Basis Options'!$AF:$AF)</f>
        <v>0</v>
      </c>
      <c r="BJ25" s="134" t="n">
        <f aca="false">SUMIF('Basis Options'!$X:$X,CONCATENATE($AK25,BJ$4),'Basis Options'!$AF:$AF)</f>
        <v>0</v>
      </c>
      <c r="BK25" s="134" t="n">
        <f aca="false">SUMIF('Basis Options'!$X:$X,CONCATENATE($AK25,BK$4),'Basis Options'!$AF:$AF)</f>
        <v>0</v>
      </c>
      <c r="BL25" s="134" t="n">
        <f aca="false">SUMIF('Basis Options'!$X:$X,CONCATENATE($AK25,BL$4),'Basis Options'!$AF:$AF)</f>
        <v>0</v>
      </c>
      <c r="BM25" s="134" t="n">
        <f aca="false">SUMIF('Basis Options'!$X:$X,CONCATENATE($AK25,BM$4),'Basis Options'!$AF:$AF)</f>
        <v>0</v>
      </c>
      <c r="BN25" s="134" t="n">
        <f aca="false">SUMIF('Basis Options'!$X:$X,CONCATENATE($AK25,BN$4),'Basis Options'!$AF:$AF)</f>
        <v>0</v>
      </c>
      <c r="BO25" s="134" t="n">
        <f aca="false">SUMIF('Basis Options'!$X:$X,CONCATENATE($AK25,BO$4),'Basis Options'!$AF:$AF)</f>
        <v>0</v>
      </c>
      <c r="BP25" s="208" t="n">
        <f aca="false">EOMONTH(BP24,0)+1</f>
        <v>37347</v>
      </c>
      <c r="BQ25" s="135" t="n">
        <f aca="false">SUM(BC25:BO25)</f>
        <v>0</v>
      </c>
      <c r="BS25" s="208" t="n">
        <f aca="false">EOMONTH(BS24,0)+1</f>
        <v>37347</v>
      </c>
      <c r="BT25" s="134" t="n">
        <f aca="false">SUMIF('Basis Options'!$X:$X,CONCATENATE($BS25,BT$4),'Basis Options'!$AI:$AI)</f>
        <v>0</v>
      </c>
      <c r="BU25" s="134" t="n">
        <f aca="false">SUMIF('Basis Options'!$X:$X,CONCATENATE($BS25,BU$4),'Basis Options'!$AI:$AI)</f>
        <v>0</v>
      </c>
      <c r="BV25" s="134" t="n">
        <f aca="false">SUMIF('Basis Options'!$X:$X,CONCATENATE($BS25,BV$4),'Basis Options'!$AI:$AI)</f>
        <v>0</v>
      </c>
      <c r="BW25" s="134" t="n">
        <f aca="false">SUMIF('Basis Options'!$X:$X,CONCATENATE($BS25,BW$4),'Basis Options'!$AI:$AI)</f>
        <v>0</v>
      </c>
      <c r="BX25" s="134" t="n">
        <f aca="false">SUMIF('Basis Options'!$X:$X,CONCATENATE($BS25,BX$4),'Basis Options'!$AI:$AI)</f>
        <v>0</v>
      </c>
      <c r="BY25" s="134" t="n">
        <f aca="false">SUMIF('Basis Options'!$X:$X,CONCATENATE($BS25,BY$4),'Basis Options'!$AI:$AI)</f>
        <v>0</v>
      </c>
      <c r="BZ25" s="134" t="n">
        <f aca="false">SUMIF('Basis Options'!$X:$X,CONCATENATE($BS25,BZ$4),'Basis Options'!$AI:$AI)</f>
        <v>0</v>
      </c>
      <c r="CA25" s="134" t="n">
        <f aca="false">SUMIF('Basis Options'!$X:$X,CONCATENATE($BS25,CA$4),'Basis Options'!$AI:$AI)</f>
        <v>0</v>
      </c>
      <c r="CB25" s="134" t="n">
        <f aca="false">SUMIF('Basis Options'!$X:$X,CONCATENATE($BS25,CB$4),'Basis Options'!$AI:$AI)</f>
        <v>0</v>
      </c>
      <c r="CC25" s="134" t="n">
        <f aca="false">SUMIF('Basis Options'!$X:$X,CONCATENATE($BS25,CC$4),'Basis Options'!$AI:$AI)</f>
        <v>0</v>
      </c>
      <c r="CD25" s="134" t="n">
        <f aca="false">SUMIF('Basis Options'!$X:$X,CONCATENATE($BS25,CD$4),'Basis Options'!$AI:$AI)</f>
        <v>0</v>
      </c>
      <c r="CE25" s="134" t="n">
        <f aca="false">SUMIF('Basis Options'!$X:$X,CONCATENATE($BS25,CE$4),'Basis Options'!$AI:$AI)</f>
        <v>0</v>
      </c>
      <c r="CF25" s="134" t="n">
        <f aca="false">SUMIF('Basis Options'!$X:$X,CONCATENATE($BS25,CF$4),'Basis Options'!$AI:$AI)</f>
        <v>0</v>
      </c>
      <c r="CG25" s="208" t="n">
        <f aca="false">EOMONTH(CG24,0)+1</f>
        <v>37347</v>
      </c>
      <c r="CH25" s="209" t="n">
        <f aca="false">SUM(BT25:CF25)</f>
        <v>0</v>
      </c>
    </row>
    <row r="26" customFormat="false" ht="12.75" hidden="false" customHeight="false" outlineLevel="0" collapsed="false">
      <c r="A26" s="208" t="n">
        <f aca="false">EOMONTH(A25,0)+1</f>
        <v>37377</v>
      </c>
      <c r="B26" s="134" t="n">
        <f aca="false">SUMIF('Basis Options'!X:X,CONCATENATE($A26,B$4),'Basis Options'!AB:AB)</f>
        <v>0</v>
      </c>
      <c r="C26" s="134" t="n">
        <f aca="false">SUMIF('Basis Options'!$X:$X,CONCATENATE($A26,C$4),'Basis Options'!$AB:$AB)</f>
        <v>0</v>
      </c>
      <c r="D26" s="134" t="n">
        <f aca="false">SUMIF('Basis Options'!$X:$X,CONCATENATE($A26,D$4),'Basis Options'!$AB:$AB)</f>
        <v>0</v>
      </c>
      <c r="E26" s="134" t="n">
        <f aca="false">SUMIF('Basis Options'!$X:$X,CONCATENATE($A26,E$4),'Basis Options'!$AB:$AB)</f>
        <v>0</v>
      </c>
      <c r="F26" s="134" t="n">
        <f aca="false">SUMIF('Basis Options'!$X:$X,CONCATENATE($A26,F$4),'Basis Options'!$AB:$AB)</f>
        <v>0</v>
      </c>
      <c r="G26" s="134" t="n">
        <f aca="false">SUMIF('Basis Options'!$X:$X,CONCATENATE($A26,G$4),'Basis Options'!$AB:$AB)</f>
        <v>0</v>
      </c>
      <c r="H26" s="134" t="n">
        <f aca="false">SUMIF('Basis Options'!$X:$X,CONCATENATE($A26,H$4),'Basis Options'!$AB:$AB)</f>
        <v>0</v>
      </c>
      <c r="I26" s="134" t="n">
        <f aca="false">SUMIF('Basis Options'!$X:$X,CONCATENATE($A26,I$4),'Basis Options'!$AB:$AB)</f>
        <v>0</v>
      </c>
      <c r="J26" s="134" t="n">
        <f aca="false">SUMIF('Basis Options'!$X:$X,CONCATENATE($A26,J$4),'Basis Options'!$AB:$AB)</f>
        <v>0</v>
      </c>
      <c r="K26" s="134" t="n">
        <f aca="false">SUMIF('Basis Options'!$X:$X,CONCATENATE($A26,K$4),'Basis Options'!$AB:$AB)</f>
        <v>0</v>
      </c>
      <c r="L26" s="134" t="n">
        <f aca="false">SUMIF('Basis Options'!$X:$X,CONCATENATE($A26,L$4),'Basis Options'!$AB:$AB)</f>
        <v>0</v>
      </c>
      <c r="M26" s="134" t="n">
        <f aca="false">SUMIF('Basis Options'!$X:$X,CONCATENATE($A26,M$4),'Basis Options'!$AB:$AB)</f>
        <v>0</v>
      </c>
      <c r="N26" s="134" t="n">
        <f aca="false">SUMIF('Basis Options'!$X:$X,CONCATENATE($A26,N$4),'Basis Options'!$AB:$AB)</f>
        <v>0</v>
      </c>
      <c r="O26" s="208" t="n">
        <f aca="false">EOMONTH(O25,0)+1</f>
        <v>37377</v>
      </c>
      <c r="P26" s="135" t="n">
        <f aca="false">SUM(B26:N26)</f>
        <v>0</v>
      </c>
      <c r="S26" s="208" t="n">
        <f aca="false">EOMONTH(S25,0)+1</f>
        <v>37377</v>
      </c>
      <c r="T26" s="134" t="n">
        <f aca="false">SUMIF('Basis Options'!$X:$X,CONCATENATE($S26,T$4),'Basis Options'!$AC:$AC)</f>
        <v>0</v>
      </c>
      <c r="U26" s="134" t="n">
        <f aca="false">SUMIF('Basis Options'!$X:$X,CONCATENATE($S26,U$4),'Basis Options'!$AC:$AC)</f>
        <v>0</v>
      </c>
      <c r="V26" s="134" t="n">
        <f aca="false">SUMIF('Basis Options'!$X:$X,CONCATENATE($S26,V$4),'Basis Options'!$AC:$AC)</f>
        <v>0</v>
      </c>
      <c r="W26" s="134" t="n">
        <f aca="false">SUMIF('Basis Options'!$X:$X,CONCATENATE($S26,W$4),'Basis Options'!$AC:$AC)</f>
        <v>0</v>
      </c>
      <c r="X26" s="134" t="n">
        <f aca="false">SUMIF('Basis Options'!$X:$X,CONCATENATE($S26,X$4),'Basis Options'!$AC:$AC)</f>
        <v>0</v>
      </c>
      <c r="Y26" s="134" t="n">
        <f aca="false">SUMIF('Basis Options'!$X:$X,CONCATENATE($S26,Y$4),'Basis Options'!$AC:$AC)</f>
        <v>0</v>
      </c>
      <c r="Z26" s="134" t="n">
        <f aca="false">SUMIF('Basis Options'!$X:$X,CONCATENATE($S26,Z$4),'Basis Options'!$AC:$AC)</f>
        <v>0</v>
      </c>
      <c r="AA26" s="134" t="n">
        <f aca="false">SUMIF('Basis Options'!$X:$X,CONCATENATE($S26,AA$4),'Basis Options'!$AC:$AC)</f>
        <v>0</v>
      </c>
      <c r="AB26" s="134" t="n">
        <f aca="false">SUMIF('Basis Options'!$X:$X,CONCATENATE($S26,AB$4),'Basis Options'!$AC:$AC)</f>
        <v>0</v>
      </c>
      <c r="AC26" s="134" t="n">
        <f aca="false">SUMIF('Basis Options'!$X:$X,CONCATENATE($S26,AC$4),'Basis Options'!$AC:$AC)</f>
        <v>0</v>
      </c>
      <c r="AD26" s="134" t="n">
        <f aca="false">SUMIF('Basis Options'!$X:$X,CONCATENATE($S26,AD$4),'Basis Options'!$AC:$AC)</f>
        <v>0</v>
      </c>
      <c r="AE26" s="134" t="n">
        <f aca="false">SUMIF('Basis Options'!$X:$X,CONCATENATE($S26,AE$4),'Basis Options'!$AC:$AC)</f>
        <v>0</v>
      </c>
      <c r="AF26" s="134" t="n">
        <f aca="false">SUMIF('Basis Options'!$X:$X,CONCATENATE($S26,AF$4),'Basis Options'!$AC:$AC)</f>
        <v>0</v>
      </c>
      <c r="AG26" s="208" t="n">
        <f aca="false">EOMONTH(AG25,0)+1</f>
        <v>37377</v>
      </c>
      <c r="AH26" s="135" t="n">
        <f aca="false">SUM(T26:AF26)</f>
        <v>0</v>
      </c>
      <c r="AK26" s="208" t="n">
        <f aca="false">EOMONTH(AK25,0)+1</f>
        <v>37377</v>
      </c>
      <c r="AL26" s="134" t="n">
        <f aca="false">SUMIF('Basis Options'!$X:$X,CONCATENATE($AK26,AL$4),'Basis Options'!$AD:$AD)</f>
        <v>0</v>
      </c>
      <c r="AM26" s="134" t="n">
        <f aca="false">SUMIF('Basis Options'!$X:$X,CONCATENATE($AK26,AM$4),'Basis Options'!$AD:$AD)</f>
        <v>0</v>
      </c>
      <c r="AN26" s="134" t="n">
        <f aca="false">SUMIF('Basis Options'!$X:$X,CONCATENATE($AK26,AN$4),'Basis Options'!$AD:$AD)</f>
        <v>0</v>
      </c>
      <c r="AO26" s="134" t="n">
        <f aca="false">SUMIF('Basis Options'!$X:$X,CONCATENATE($AK26,AO$4),'Basis Options'!$AD:$AD)</f>
        <v>0</v>
      </c>
      <c r="AP26" s="134" t="n">
        <f aca="false">SUMIF('Basis Options'!$X:$X,CONCATENATE($AK26,AP$4),'Basis Options'!$AD:$AD)</f>
        <v>0</v>
      </c>
      <c r="AQ26" s="134" t="n">
        <f aca="false">SUMIF('Basis Options'!$X:$X,CONCATENATE($AK26,AQ$4),'Basis Options'!$AD:$AD)</f>
        <v>0</v>
      </c>
      <c r="AR26" s="134" t="n">
        <f aca="false">SUMIF('Basis Options'!$X:$X,CONCATENATE($AK26,AR$4),'Basis Options'!$AD:$AD)</f>
        <v>0</v>
      </c>
      <c r="AS26" s="134" t="n">
        <f aca="false">SUMIF('Basis Options'!$X:$X,CONCATENATE($AK26,AS$4),'Basis Options'!$AD:$AD)</f>
        <v>0</v>
      </c>
      <c r="AT26" s="134" t="n">
        <f aca="false">SUMIF('Basis Options'!$X:$X,CONCATENATE($AK26,AT$4),'Basis Options'!$AD:$AD)</f>
        <v>0</v>
      </c>
      <c r="AU26" s="134" t="n">
        <f aca="false">SUMIF('Basis Options'!$X:$X,CONCATENATE($AK26,AU$4),'Basis Options'!$AD:$AD)</f>
        <v>0</v>
      </c>
      <c r="AV26" s="134" t="n">
        <f aca="false">SUMIF('Basis Options'!$X:$X,CONCATENATE($AK26,AV$4),'Basis Options'!$AD:$AD)</f>
        <v>0</v>
      </c>
      <c r="AW26" s="134" t="n">
        <f aca="false">SUMIF('Basis Options'!$X:$X,CONCATENATE($AK26,AW$4),'Basis Options'!$AD:$AD)</f>
        <v>0</v>
      </c>
      <c r="AX26" s="134" t="n">
        <f aca="false">SUMIF('Basis Options'!$X:$X,CONCATENATE($AK26,AX$4),'Basis Options'!$AD:$AD)</f>
        <v>0</v>
      </c>
      <c r="AY26" s="208" t="n">
        <f aca="false">EOMONTH(AY25,0)+1</f>
        <v>37377</v>
      </c>
      <c r="AZ26" s="135" t="n">
        <f aca="false">SUM(AL26:AX26)</f>
        <v>0</v>
      </c>
      <c r="BB26" s="208" t="n">
        <f aca="false">EOMONTH(BB25,0)+1</f>
        <v>37377</v>
      </c>
      <c r="BC26" s="134" t="n">
        <f aca="false">SUMIF('Basis Options'!$X:$X,CONCATENATE($AK26,BC$4),'Basis Options'!$AF:$AF)</f>
        <v>0</v>
      </c>
      <c r="BD26" s="134" t="n">
        <f aca="false">SUMIF('Basis Options'!$X:$X,CONCATENATE($AK26,BD$4),'Basis Options'!$AF:$AF)</f>
        <v>0</v>
      </c>
      <c r="BE26" s="134" t="n">
        <f aca="false">SUMIF('Basis Options'!$X:$X,CONCATENATE($AK26,BE$4),'Basis Options'!$AF:$AF)</f>
        <v>0</v>
      </c>
      <c r="BF26" s="134" t="n">
        <f aca="false">SUMIF('Basis Options'!$X:$X,CONCATENATE($AK26,BF$4),'Basis Options'!$AF:$AF)</f>
        <v>0</v>
      </c>
      <c r="BG26" s="134" t="n">
        <f aca="false">SUMIF('Basis Options'!$X:$X,CONCATENATE($AK26,BG$4),'Basis Options'!$AF:$AF)</f>
        <v>0</v>
      </c>
      <c r="BH26" s="134" t="n">
        <f aca="false">SUMIF('Basis Options'!$X:$X,CONCATENATE($AK26,BH$4),'Basis Options'!$AF:$AF)</f>
        <v>0</v>
      </c>
      <c r="BI26" s="134" t="n">
        <f aca="false">SUMIF('Basis Options'!$X:$X,CONCATENATE($AK26,BI$4),'Basis Options'!$AF:$AF)</f>
        <v>0</v>
      </c>
      <c r="BJ26" s="134" t="n">
        <f aca="false">SUMIF('Basis Options'!$X:$X,CONCATENATE($AK26,BJ$4),'Basis Options'!$AF:$AF)</f>
        <v>0</v>
      </c>
      <c r="BK26" s="134" t="n">
        <f aca="false">SUMIF('Basis Options'!$X:$X,CONCATENATE($AK26,BK$4),'Basis Options'!$AF:$AF)</f>
        <v>0</v>
      </c>
      <c r="BL26" s="134" t="n">
        <f aca="false">SUMIF('Basis Options'!$X:$X,CONCATENATE($AK26,BL$4),'Basis Options'!$AF:$AF)</f>
        <v>0</v>
      </c>
      <c r="BM26" s="134" t="n">
        <f aca="false">SUMIF('Basis Options'!$X:$X,CONCATENATE($AK26,BM$4),'Basis Options'!$AF:$AF)</f>
        <v>0</v>
      </c>
      <c r="BN26" s="134" t="n">
        <f aca="false">SUMIF('Basis Options'!$X:$X,CONCATENATE($AK26,BN$4),'Basis Options'!$AF:$AF)</f>
        <v>0</v>
      </c>
      <c r="BO26" s="134" t="n">
        <f aca="false">SUMIF('Basis Options'!$X:$X,CONCATENATE($AK26,BO$4),'Basis Options'!$AF:$AF)</f>
        <v>0</v>
      </c>
      <c r="BP26" s="208" t="n">
        <f aca="false">EOMONTH(BP25,0)+1</f>
        <v>37377</v>
      </c>
      <c r="BQ26" s="135" t="n">
        <f aca="false">SUM(BC26:BO26)</f>
        <v>0</v>
      </c>
      <c r="BS26" s="208" t="n">
        <f aca="false">EOMONTH(BS25,0)+1</f>
        <v>37377</v>
      </c>
      <c r="BT26" s="134" t="n">
        <f aca="false">SUMIF('Basis Options'!$X:$X,CONCATENATE($BS26,BT$4),'Basis Options'!$AI:$AI)</f>
        <v>0</v>
      </c>
      <c r="BU26" s="134" t="n">
        <f aca="false">SUMIF('Basis Options'!$X:$X,CONCATENATE($BS26,BU$4),'Basis Options'!$AI:$AI)</f>
        <v>0</v>
      </c>
      <c r="BV26" s="134" t="n">
        <f aca="false">SUMIF('Basis Options'!$X:$X,CONCATENATE($BS26,BV$4),'Basis Options'!$AI:$AI)</f>
        <v>0</v>
      </c>
      <c r="BW26" s="134" t="n">
        <f aca="false">SUMIF('Basis Options'!$X:$X,CONCATENATE($BS26,BW$4),'Basis Options'!$AI:$AI)</f>
        <v>0</v>
      </c>
      <c r="BX26" s="134" t="n">
        <f aca="false">SUMIF('Basis Options'!$X:$X,CONCATENATE($BS26,BX$4),'Basis Options'!$AI:$AI)</f>
        <v>0</v>
      </c>
      <c r="BY26" s="134" t="n">
        <f aca="false">SUMIF('Basis Options'!$X:$X,CONCATENATE($BS26,BY$4),'Basis Options'!$AI:$AI)</f>
        <v>0</v>
      </c>
      <c r="BZ26" s="134" t="n">
        <f aca="false">SUMIF('Basis Options'!$X:$X,CONCATENATE($BS26,BZ$4),'Basis Options'!$AI:$AI)</f>
        <v>0</v>
      </c>
      <c r="CA26" s="134" t="n">
        <f aca="false">SUMIF('Basis Options'!$X:$X,CONCATENATE($BS26,CA$4),'Basis Options'!$AI:$AI)</f>
        <v>0</v>
      </c>
      <c r="CB26" s="134" t="n">
        <f aca="false">SUMIF('Basis Options'!$X:$X,CONCATENATE($BS26,CB$4),'Basis Options'!$AI:$AI)</f>
        <v>0</v>
      </c>
      <c r="CC26" s="134" t="n">
        <f aca="false">SUMIF('Basis Options'!$X:$X,CONCATENATE($BS26,CC$4),'Basis Options'!$AI:$AI)</f>
        <v>0</v>
      </c>
      <c r="CD26" s="134" t="n">
        <f aca="false">SUMIF('Basis Options'!$X:$X,CONCATENATE($BS26,CD$4),'Basis Options'!$AI:$AI)</f>
        <v>0</v>
      </c>
      <c r="CE26" s="134" t="n">
        <f aca="false">SUMIF('Basis Options'!$X:$X,CONCATENATE($BS26,CE$4),'Basis Options'!$AI:$AI)</f>
        <v>0</v>
      </c>
      <c r="CF26" s="134" t="n">
        <f aca="false">SUMIF('Basis Options'!$X:$X,CONCATENATE($BS26,CF$4),'Basis Options'!$AI:$AI)</f>
        <v>0</v>
      </c>
      <c r="CG26" s="208" t="n">
        <f aca="false">EOMONTH(CG25,0)+1</f>
        <v>37377</v>
      </c>
      <c r="CH26" s="135" t="n">
        <f aca="false">SUM(BT26:CF26)</f>
        <v>0</v>
      </c>
    </row>
    <row r="27" customFormat="false" ht="12.75" hidden="false" customHeight="false" outlineLevel="0" collapsed="false">
      <c r="A27" s="208" t="n">
        <f aca="false">EOMONTH(A26,0)+1</f>
        <v>37408</v>
      </c>
      <c r="B27" s="134" t="n">
        <f aca="false">SUMIF('Basis Options'!X:X,CONCATENATE($A27,B$4),'Basis Options'!AB:AB)</f>
        <v>0</v>
      </c>
      <c r="C27" s="134" t="n">
        <f aca="false">SUMIF('Basis Options'!$X:$X,CONCATENATE($A27,C$4),'Basis Options'!$AB:$AB)</f>
        <v>0</v>
      </c>
      <c r="D27" s="134" t="n">
        <f aca="false">SUMIF('Basis Options'!$X:$X,CONCATENATE($A27,D$4),'Basis Options'!$AB:$AB)</f>
        <v>0</v>
      </c>
      <c r="E27" s="134" t="n">
        <f aca="false">SUMIF('Basis Options'!$X:$X,CONCATENATE($A27,E$4),'Basis Options'!$AB:$AB)</f>
        <v>0</v>
      </c>
      <c r="F27" s="134" t="n">
        <f aca="false">SUMIF('Basis Options'!$X:$X,CONCATENATE($A27,F$4),'Basis Options'!$AB:$AB)</f>
        <v>0</v>
      </c>
      <c r="G27" s="134" t="n">
        <f aca="false">SUMIF('Basis Options'!$X:$X,CONCATENATE($A27,G$4),'Basis Options'!$AB:$AB)</f>
        <v>0</v>
      </c>
      <c r="H27" s="134" t="n">
        <f aca="false">SUMIF('Basis Options'!$X:$X,CONCATENATE($A27,H$4),'Basis Options'!$AB:$AB)</f>
        <v>0</v>
      </c>
      <c r="I27" s="134" t="n">
        <f aca="false">SUMIF('Basis Options'!$X:$X,CONCATENATE($A27,I$4),'Basis Options'!$AB:$AB)</f>
        <v>0</v>
      </c>
      <c r="J27" s="134" t="n">
        <f aca="false">SUMIF('Basis Options'!$X:$X,CONCATENATE($A27,J$4),'Basis Options'!$AB:$AB)</f>
        <v>0</v>
      </c>
      <c r="K27" s="134" t="n">
        <f aca="false">SUMIF('Basis Options'!$X:$X,CONCATENATE($A27,K$4),'Basis Options'!$AB:$AB)</f>
        <v>0</v>
      </c>
      <c r="L27" s="134" t="n">
        <f aca="false">SUMIF('Basis Options'!$X:$X,CONCATENATE($A27,L$4),'Basis Options'!$AB:$AB)</f>
        <v>0</v>
      </c>
      <c r="M27" s="134" t="n">
        <f aca="false">SUMIF('Basis Options'!$X:$X,CONCATENATE($A27,M$4),'Basis Options'!$AB:$AB)</f>
        <v>0</v>
      </c>
      <c r="N27" s="134" t="n">
        <f aca="false">SUMIF('Basis Options'!$X:$X,CONCATENATE($A27,N$4),'Basis Options'!$AB:$AB)</f>
        <v>0</v>
      </c>
      <c r="O27" s="208" t="n">
        <f aca="false">EOMONTH(O26,0)+1</f>
        <v>37408</v>
      </c>
      <c r="P27" s="135" t="n">
        <f aca="false">SUM(B27:N27)</f>
        <v>0</v>
      </c>
      <c r="S27" s="208" t="n">
        <f aca="false">EOMONTH(S26,0)+1</f>
        <v>37408</v>
      </c>
      <c r="T27" s="134" t="n">
        <f aca="false">SUMIF('Basis Options'!$X:$X,CONCATENATE($S27,T$4),'Basis Options'!$AC:$AC)</f>
        <v>0</v>
      </c>
      <c r="U27" s="134" t="n">
        <f aca="false">SUMIF('Basis Options'!$X:$X,CONCATENATE($S27,U$4),'Basis Options'!$AC:$AC)</f>
        <v>0</v>
      </c>
      <c r="V27" s="134" t="n">
        <f aca="false">SUMIF('Basis Options'!$X:$X,CONCATENATE($S27,V$4),'Basis Options'!$AC:$AC)</f>
        <v>0</v>
      </c>
      <c r="W27" s="134" t="n">
        <f aca="false">SUMIF('Basis Options'!$X:$X,CONCATENATE($S27,W$4),'Basis Options'!$AC:$AC)</f>
        <v>0</v>
      </c>
      <c r="X27" s="134" t="n">
        <f aca="false">SUMIF('Basis Options'!$X:$X,CONCATENATE($S27,X$4),'Basis Options'!$AC:$AC)</f>
        <v>0</v>
      </c>
      <c r="Y27" s="134" t="n">
        <f aca="false">SUMIF('Basis Options'!$X:$X,CONCATENATE($S27,Y$4),'Basis Options'!$AC:$AC)</f>
        <v>0</v>
      </c>
      <c r="Z27" s="134" t="n">
        <f aca="false">SUMIF('Basis Options'!$X:$X,CONCATENATE($S27,Z$4),'Basis Options'!$AC:$AC)</f>
        <v>0</v>
      </c>
      <c r="AA27" s="134" t="n">
        <f aca="false">SUMIF('Basis Options'!$X:$X,CONCATENATE($S27,AA$4),'Basis Options'!$AC:$AC)</f>
        <v>0</v>
      </c>
      <c r="AB27" s="134" t="n">
        <f aca="false">SUMIF('Basis Options'!$X:$X,CONCATENATE($S27,AB$4),'Basis Options'!$AC:$AC)</f>
        <v>0</v>
      </c>
      <c r="AC27" s="134" t="n">
        <f aca="false">SUMIF('Basis Options'!$X:$X,CONCATENATE($S27,AC$4),'Basis Options'!$AC:$AC)</f>
        <v>0</v>
      </c>
      <c r="AD27" s="134" t="n">
        <f aca="false">SUMIF('Basis Options'!$X:$X,CONCATENATE($S27,AD$4),'Basis Options'!$AC:$AC)</f>
        <v>0</v>
      </c>
      <c r="AE27" s="134" t="n">
        <f aca="false">SUMIF('Basis Options'!$X:$X,CONCATENATE($S27,AE$4),'Basis Options'!$AC:$AC)</f>
        <v>0</v>
      </c>
      <c r="AF27" s="134" t="n">
        <f aca="false">SUMIF('Basis Options'!$X:$X,CONCATENATE($S27,AF$4),'Basis Options'!$AC:$AC)</f>
        <v>0</v>
      </c>
      <c r="AG27" s="208" t="n">
        <f aca="false">EOMONTH(AG26,0)+1</f>
        <v>37408</v>
      </c>
      <c r="AH27" s="135" t="n">
        <f aca="false">SUM(T27:AF27)</f>
        <v>0</v>
      </c>
      <c r="AK27" s="208" t="n">
        <f aca="false">EOMONTH(AK26,0)+1</f>
        <v>37408</v>
      </c>
      <c r="AL27" s="134" t="n">
        <f aca="false">SUMIF('Basis Options'!$X:$X,CONCATENATE($AK27,AL$4),'Basis Options'!$AD:$AD)</f>
        <v>0</v>
      </c>
      <c r="AM27" s="134" t="n">
        <f aca="false">SUMIF('Basis Options'!$X:$X,CONCATENATE($AK27,AM$4),'Basis Options'!$AD:$AD)</f>
        <v>0</v>
      </c>
      <c r="AN27" s="134" t="n">
        <f aca="false">SUMIF('Basis Options'!$X:$X,CONCATENATE($AK27,AN$4),'Basis Options'!$AD:$AD)</f>
        <v>0</v>
      </c>
      <c r="AO27" s="134" t="n">
        <f aca="false">SUMIF('Basis Options'!$X:$X,CONCATENATE($AK27,AO$4),'Basis Options'!$AD:$AD)</f>
        <v>0</v>
      </c>
      <c r="AP27" s="134" t="n">
        <f aca="false">SUMIF('Basis Options'!$X:$X,CONCATENATE($AK27,AP$4),'Basis Options'!$AD:$AD)</f>
        <v>0</v>
      </c>
      <c r="AQ27" s="134" t="n">
        <f aca="false">SUMIF('Basis Options'!$X:$X,CONCATENATE($AK27,AQ$4),'Basis Options'!$AD:$AD)</f>
        <v>0</v>
      </c>
      <c r="AR27" s="134" t="n">
        <f aca="false">SUMIF('Basis Options'!$X:$X,CONCATENATE($AK27,AR$4),'Basis Options'!$AD:$AD)</f>
        <v>0</v>
      </c>
      <c r="AS27" s="134" t="n">
        <f aca="false">SUMIF('Basis Options'!$X:$X,CONCATENATE($AK27,AS$4),'Basis Options'!$AD:$AD)</f>
        <v>0</v>
      </c>
      <c r="AT27" s="134" t="n">
        <f aca="false">SUMIF('Basis Options'!$X:$X,CONCATENATE($AK27,AT$4),'Basis Options'!$AD:$AD)</f>
        <v>0</v>
      </c>
      <c r="AU27" s="134" t="n">
        <f aca="false">SUMIF('Basis Options'!$X:$X,CONCATENATE($AK27,AU$4),'Basis Options'!$AD:$AD)</f>
        <v>0</v>
      </c>
      <c r="AV27" s="134" t="n">
        <f aca="false">SUMIF('Basis Options'!$X:$X,CONCATENATE($AK27,AV$4),'Basis Options'!$AD:$AD)</f>
        <v>0</v>
      </c>
      <c r="AW27" s="134" t="n">
        <f aca="false">SUMIF('Basis Options'!$X:$X,CONCATENATE($AK27,AW$4),'Basis Options'!$AD:$AD)</f>
        <v>0</v>
      </c>
      <c r="AX27" s="134" t="n">
        <f aca="false">SUMIF('Basis Options'!$X:$X,CONCATENATE($AK27,AX$4),'Basis Options'!$AD:$AD)</f>
        <v>0</v>
      </c>
      <c r="AY27" s="208" t="n">
        <f aca="false">EOMONTH(AY26,0)+1</f>
        <v>37408</v>
      </c>
      <c r="AZ27" s="135" t="n">
        <f aca="false">SUM(AL27:AX27)</f>
        <v>0</v>
      </c>
      <c r="BB27" s="208" t="n">
        <f aca="false">EOMONTH(BB26,0)+1</f>
        <v>37408</v>
      </c>
      <c r="BC27" s="134" t="n">
        <f aca="false">SUMIF('Basis Options'!$X:$X,CONCATENATE($AK27,BC$4),'Basis Options'!$AF:$AF)</f>
        <v>0</v>
      </c>
      <c r="BD27" s="134" t="n">
        <f aca="false">SUMIF('Basis Options'!$X:$X,CONCATENATE($AK27,BD$4),'Basis Options'!$AF:$AF)</f>
        <v>0</v>
      </c>
      <c r="BE27" s="134" t="n">
        <f aca="false">SUMIF('Basis Options'!$X:$X,CONCATENATE($AK27,BE$4),'Basis Options'!$AF:$AF)</f>
        <v>0</v>
      </c>
      <c r="BF27" s="134" t="n">
        <f aca="false">SUMIF('Basis Options'!$X:$X,CONCATENATE($AK27,BF$4),'Basis Options'!$AF:$AF)</f>
        <v>0</v>
      </c>
      <c r="BG27" s="134" t="n">
        <f aca="false">SUMIF('Basis Options'!$X:$X,CONCATENATE($AK27,BG$4),'Basis Options'!$AF:$AF)</f>
        <v>0</v>
      </c>
      <c r="BH27" s="134" t="n">
        <f aca="false">SUMIF('Basis Options'!$X:$X,CONCATENATE($AK27,BH$4),'Basis Options'!$AF:$AF)</f>
        <v>0</v>
      </c>
      <c r="BI27" s="134" t="n">
        <f aca="false">SUMIF('Basis Options'!$X:$X,CONCATENATE($AK27,BI$4),'Basis Options'!$AF:$AF)</f>
        <v>0</v>
      </c>
      <c r="BJ27" s="134" t="n">
        <f aca="false">SUMIF('Basis Options'!$X:$X,CONCATENATE($AK27,BJ$4),'Basis Options'!$AF:$AF)</f>
        <v>0</v>
      </c>
      <c r="BK27" s="134" t="n">
        <f aca="false">SUMIF('Basis Options'!$X:$X,CONCATENATE($AK27,BK$4),'Basis Options'!$AF:$AF)</f>
        <v>0</v>
      </c>
      <c r="BL27" s="134" t="n">
        <f aca="false">SUMIF('Basis Options'!$X:$X,CONCATENATE($AK27,BL$4),'Basis Options'!$AF:$AF)</f>
        <v>0</v>
      </c>
      <c r="BM27" s="134" t="n">
        <f aca="false">SUMIF('Basis Options'!$X:$X,CONCATENATE($AK27,BM$4),'Basis Options'!$AF:$AF)</f>
        <v>0</v>
      </c>
      <c r="BN27" s="134" t="n">
        <f aca="false">SUMIF('Basis Options'!$X:$X,CONCATENATE($AK27,BN$4),'Basis Options'!$AF:$AF)</f>
        <v>0</v>
      </c>
      <c r="BO27" s="134" t="n">
        <f aca="false">SUMIF('Basis Options'!$X:$X,CONCATENATE($AK27,BO$4),'Basis Options'!$AF:$AF)</f>
        <v>0</v>
      </c>
      <c r="BP27" s="208" t="n">
        <f aca="false">EOMONTH(BP26,0)+1</f>
        <v>37408</v>
      </c>
      <c r="BQ27" s="135" t="n">
        <f aca="false">SUM(BC27:BO27)</f>
        <v>0</v>
      </c>
      <c r="BS27" s="208" t="n">
        <f aca="false">EOMONTH(BS26,0)+1</f>
        <v>37408</v>
      </c>
      <c r="BT27" s="134" t="n">
        <f aca="false">SUMIF('Basis Options'!$X:$X,CONCATENATE($BS27,BT$4),'Basis Options'!$AI:$AI)</f>
        <v>0</v>
      </c>
      <c r="BU27" s="134" t="n">
        <f aca="false">SUMIF('Basis Options'!$X:$X,CONCATENATE($BS27,BU$4),'Basis Options'!$AI:$AI)</f>
        <v>0</v>
      </c>
      <c r="BV27" s="134" t="n">
        <f aca="false">SUMIF('Basis Options'!$X:$X,CONCATENATE($BS27,BV$4),'Basis Options'!$AI:$AI)</f>
        <v>0</v>
      </c>
      <c r="BW27" s="134" t="n">
        <f aca="false">SUMIF('Basis Options'!$X:$X,CONCATENATE($BS27,BW$4),'Basis Options'!$AI:$AI)</f>
        <v>0</v>
      </c>
      <c r="BX27" s="134" t="n">
        <f aca="false">SUMIF('Basis Options'!$X:$X,CONCATENATE($BS27,BX$4),'Basis Options'!$AI:$AI)</f>
        <v>0</v>
      </c>
      <c r="BY27" s="134" t="n">
        <f aca="false">SUMIF('Basis Options'!$X:$X,CONCATENATE($BS27,BY$4),'Basis Options'!$AI:$AI)</f>
        <v>0</v>
      </c>
      <c r="BZ27" s="134" t="n">
        <f aca="false">SUMIF('Basis Options'!$X:$X,CONCATENATE($BS27,BZ$4),'Basis Options'!$AI:$AI)</f>
        <v>0</v>
      </c>
      <c r="CA27" s="134" t="n">
        <f aca="false">SUMIF('Basis Options'!$X:$X,CONCATENATE($BS27,CA$4),'Basis Options'!$AI:$AI)</f>
        <v>0</v>
      </c>
      <c r="CB27" s="134" t="n">
        <f aca="false">SUMIF('Basis Options'!$X:$X,CONCATENATE($BS27,CB$4),'Basis Options'!$AI:$AI)</f>
        <v>0</v>
      </c>
      <c r="CC27" s="134" t="n">
        <f aca="false">SUMIF('Basis Options'!$X:$X,CONCATENATE($BS27,CC$4),'Basis Options'!$AI:$AI)</f>
        <v>0</v>
      </c>
      <c r="CD27" s="134" t="n">
        <f aca="false">SUMIF('Basis Options'!$X:$X,CONCATENATE($BS27,CD$4),'Basis Options'!$AI:$AI)</f>
        <v>0</v>
      </c>
      <c r="CE27" s="134" t="n">
        <f aca="false">SUMIF('Basis Options'!$X:$X,CONCATENATE($BS27,CE$4),'Basis Options'!$AI:$AI)</f>
        <v>0</v>
      </c>
      <c r="CF27" s="134" t="n">
        <f aca="false">SUMIF('Basis Options'!$X:$X,CONCATENATE($BS27,CF$4),'Basis Options'!$AI:$AI)</f>
        <v>0</v>
      </c>
      <c r="CG27" s="208" t="n">
        <f aca="false">EOMONTH(CG26,0)+1</f>
        <v>37408</v>
      </c>
      <c r="CH27" s="135" t="n">
        <f aca="false">SUM(BT27:CF27)</f>
        <v>0</v>
      </c>
    </row>
    <row r="28" customFormat="false" ht="12.75" hidden="false" customHeight="false" outlineLevel="0" collapsed="false">
      <c r="A28" s="208" t="n">
        <f aca="false">EOMONTH(A27,0)+1</f>
        <v>37438</v>
      </c>
      <c r="B28" s="134" t="n">
        <f aca="false">SUMIF('Basis Options'!X:X,CONCATENATE($A28,B$4),'Basis Options'!AB:AB)</f>
        <v>0</v>
      </c>
      <c r="C28" s="134" t="n">
        <f aca="false">SUMIF('Basis Options'!$X:$X,CONCATENATE($A28,C$4),'Basis Options'!$AB:$AB)</f>
        <v>0</v>
      </c>
      <c r="D28" s="134" t="n">
        <f aca="false">SUMIF('Basis Options'!$X:$X,CONCATENATE($A28,D$4),'Basis Options'!$AB:$AB)</f>
        <v>0</v>
      </c>
      <c r="E28" s="134" t="n">
        <f aca="false">SUMIF('Basis Options'!$X:$X,CONCATENATE($A28,E$4),'Basis Options'!$AB:$AB)</f>
        <v>0</v>
      </c>
      <c r="F28" s="134" t="n">
        <f aca="false">SUMIF('Basis Options'!$X:$X,CONCATENATE($A28,F$4),'Basis Options'!$AB:$AB)</f>
        <v>0</v>
      </c>
      <c r="G28" s="134" t="n">
        <f aca="false">SUMIF('Basis Options'!$X:$X,CONCATENATE($A28,G$4),'Basis Options'!$AB:$AB)</f>
        <v>0</v>
      </c>
      <c r="H28" s="134" t="n">
        <f aca="false">SUMIF('Basis Options'!$X:$X,CONCATENATE($A28,H$4),'Basis Options'!$AB:$AB)</f>
        <v>0</v>
      </c>
      <c r="I28" s="134" t="n">
        <f aca="false">SUMIF('Basis Options'!$X:$X,CONCATENATE($A28,I$4),'Basis Options'!$AB:$AB)</f>
        <v>0</v>
      </c>
      <c r="J28" s="134" t="n">
        <f aca="false">SUMIF('Basis Options'!$X:$X,CONCATENATE($A28,J$4),'Basis Options'!$AB:$AB)</f>
        <v>0</v>
      </c>
      <c r="K28" s="134" t="n">
        <f aca="false">SUMIF('Basis Options'!$X:$X,CONCATENATE($A28,K$4),'Basis Options'!$AB:$AB)</f>
        <v>0</v>
      </c>
      <c r="L28" s="134" t="n">
        <f aca="false">SUMIF('Basis Options'!$X:$X,CONCATENATE($A28,L$4),'Basis Options'!$AB:$AB)</f>
        <v>0</v>
      </c>
      <c r="M28" s="134" t="n">
        <f aca="false">SUMIF('Basis Options'!$X:$X,CONCATENATE($A28,M$4),'Basis Options'!$AB:$AB)</f>
        <v>0</v>
      </c>
      <c r="N28" s="134" t="n">
        <f aca="false">SUMIF('Basis Options'!$X:$X,CONCATENATE($A28,N$4),'Basis Options'!$AB:$AB)</f>
        <v>0</v>
      </c>
      <c r="O28" s="208" t="n">
        <f aca="false">EOMONTH(O27,0)+1</f>
        <v>37438</v>
      </c>
      <c r="P28" s="135" t="n">
        <f aca="false">SUM(B28:N28)</f>
        <v>0</v>
      </c>
      <c r="S28" s="208" t="n">
        <f aca="false">EOMONTH(S27,0)+1</f>
        <v>37438</v>
      </c>
      <c r="T28" s="134" t="n">
        <f aca="false">SUMIF('Basis Options'!$X:$X,CONCATENATE($S28,T$4),'Basis Options'!$AC:$AC)</f>
        <v>0</v>
      </c>
      <c r="U28" s="134" t="n">
        <f aca="false">SUMIF('Basis Options'!$X:$X,CONCATENATE($S28,U$4),'Basis Options'!$AC:$AC)</f>
        <v>0</v>
      </c>
      <c r="V28" s="134" t="n">
        <f aca="false">SUMIF('Basis Options'!$X:$X,CONCATENATE($S28,V$4),'Basis Options'!$AC:$AC)</f>
        <v>0</v>
      </c>
      <c r="W28" s="134" t="n">
        <f aca="false">SUMIF('Basis Options'!$X:$X,CONCATENATE($S28,W$4),'Basis Options'!$AC:$AC)</f>
        <v>0</v>
      </c>
      <c r="X28" s="134" t="n">
        <f aca="false">SUMIF('Basis Options'!$X:$X,CONCATENATE($S28,X$4),'Basis Options'!$AC:$AC)</f>
        <v>0</v>
      </c>
      <c r="Y28" s="134" t="n">
        <f aca="false">SUMIF('Basis Options'!$X:$X,CONCATENATE($S28,Y$4),'Basis Options'!$AC:$AC)</f>
        <v>0</v>
      </c>
      <c r="Z28" s="134" t="n">
        <f aca="false">SUMIF('Basis Options'!$X:$X,CONCATENATE($S28,Z$4),'Basis Options'!$AC:$AC)</f>
        <v>0</v>
      </c>
      <c r="AA28" s="134" t="n">
        <f aca="false">SUMIF('Basis Options'!$X:$X,CONCATENATE($S28,AA$4),'Basis Options'!$AC:$AC)</f>
        <v>0</v>
      </c>
      <c r="AB28" s="134" t="n">
        <f aca="false">SUMIF('Basis Options'!$X:$X,CONCATENATE($S28,AB$4),'Basis Options'!$AC:$AC)</f>
        <v>0</v>
      </c>
      <c r="AC28" s="134" t="n">
        <f aca="false">SUMIF('Basis Options'!$X:$X,CONCATENATE($S28,AC$4),'Basis Options'!$AC:$AC)</f>
        <v>0</v>
      </c>
      <c r="AD28" s="134" t="n">
        <f aca="false">SUMIF('Basis Options'!$X:$X,CONCATENATE($S28,AD$4),'Basis Options'!$AC:$AC)</f>
        <v>0</v>
      </c>
      <c r="AE28" s="134" t="n">
        <f aca="false">SUMIF('Basis Options'!$X:$X,CONCATENATE($S28,AE$4),'Basis Options'!$AC:$AC)</f>
        <v>0</v>
      </c>
      <c r="AF28" s="134" t="n">
        <f aca="false">SUMIF('Basis Options'!$X:$X,CONCATENATE($S28,AF$4),'Basis Options'!$AC:$AC)</f>
        <v>0</v>
      </c>
      <c r="AG28" s="208" t="n">
        <f aca="false">EOMONTH(AG27,0)+1</f>
        <v>37438</v>
      </c>
      <c r="AH28" s="135" t="n">
        <f aca="false">SUM(T28:AF28)</f>
        <v>0</v>
      </c>
      <c r="AK28" s="208" t="n">
        <f aca="false">EOMONTH(AK27,0)+1</f>
        <v>37438</v>
      </c>
      <c r="AL28" s="134" t="n">
        <f aca="false">SUMIF('Basis Options'!$X:$X,CONCATENATE($AK28,AL$4),'Basis Options'!$AD:$AD)</f>
        <v>0</v>
      </c>
      <c r="AM28" s="134" t="n">
        <f aca="false">SUMIF('Basis Options'!$X:$X,CONCATENATE($AK28,AM$4),'Basis Options'!$AD:$AD)</f>
        <v>0</v>
      </c>
      <c r="AN28" s="134" t="n">
        <f aca="false">SUMIF('Basis Options'!$X:$X,CONCATENATE($AK28,AN$4),'Basis Options'!$AD:$AD)</f>
        <v>0</v>
      </c>
      <c r="AO28" s="134" t="n">
        <f aca="false">SUMIF('Basis Options'!$X:$X,CONCATENATE($AK28,AO$4),'Basis Options'!$AD:$AD)</f>
        <v>0</v>
      </c>
      <c r="AP28" s="134" t="n">
        <f aca="false">SUMIF('Basis Options'!$X:$X,CONCATENATE($AK28,AP$4),'Basis Options'!$AD:$AD)</f>
        <v>0</v>
      </c>
      <c r="AQ28" s="134" t="n">
        <f aca="false">SUMIF('Basis Options'!$X:$X,CONCATENATE($AK28,AQ$4),'Basis Options'!$AD:$AD)</f>
        <v>0</v>
      </c>
      <c r="AR28" s="134" t="n">
        <f aca="false">SUMIF('Basis Options'!$X:$X,CONCATENATE($AK28,AR$4),'Basis Options'!$AD:$AD)</f>
        <v>0</v>
      </c>
      <c r="AS28" s="134" t="n">
        <f aca="false">SUMIF('Basis Options'!$X:$X,CONCATENATE($AK28,AS$4),'Basis Options'!$AD:$AD)</f>
        <v>0</v>
      </c>
      <c r="AT28" s="134" t="n">
        <f aca="false">SUMIF('Basis Options'!$X:$X,CONCATENATE($AK28,AT$4),'Basis Options'!$AD:$AD)</f>
        <v>0</v>
      </c>
      <c r="AU28" s="134" t="n">
        <f aca="false">SUMIF('Basis Options'!$X:$X,CONCATENATE($AK28,AU$4),'Basis Options'!$AD:$AD)</f>
        <v>0</v>
      </c>
      <c r="AV28" s="134" t="n">
        <f aca="false">SUMIF('Basis Options'!$X:$X,CONCATENATE($AK28,AV$4),'Basis Options'!$AD:$AD)</f>
        <v>0</v>
      </c>
      <c r="AW28" s="134" t="n">
        <f aca="false">SUMIF('Basis Options'!$X:$X,CONCATENATE($AK28,AW$4),'Basis Options'!$AD:$AD)</f>
        <v>0</v>
      </c>
      <c r="AX28" s="134" t="n">
        <f aca="false">SUMIF('Basis Options'!$X:$X,CONCATENATE($AK28,AX$4),'Basis Options'!$AD:$AD)</f>
        <v>0</v>
      </c>
      <c r="AY28" s="208" t="n">
        <f aca="false">EOMONTH(AY27,0)+1</f>
        <v>37438</v>
      </c>
      <c r="AZ28" s="135" t="n">
        <f aca="false">SUM(AL28:AX28)</f>
        <v>0</v>
      </c>
      <c r="BB28" s="208" t="n">
        <f aca="false">EOMONTH(BB27,0)+1</f>
        <v>37438</v>
      </c>
      <c r="BC28" s="134" t="n">
        <f aca="false">SUMIF('Basis Options'!$X:$X,CONCATENATE($AK28,BC$4),'Basis Options'!$AF:$AF)</f>
        <v>0</v>
      </c>
      <c r="BD28" s="134" t="n">
        <f aca="false">SUMIF('Basis Options'!$X:$X,CONCATENATE($AK28,BD$4),'Basis Options'!$AF:$AF)</f>
        <v>0</v>
      </c>
      <c r="BE28" s="134" t="n">
        <f aca="false">SUMIF('Basis Options'!$X:$X,CONCATENATE($AK28,BE$4),'Basis Options'!$AF:$AF)</f>
        <v>0</v>
      </c>
      <c r="BF28" s="134" t="n">
        <f aca="false">SUMIF('Basis Options'!$X:$X,CONCATENATE($AK28,BF$4),'Basis Options'!$AF:$AF)</f>
        <v>0</v>
      </c>
      <c r="BG28" s="134" t="n">
        <f aca="false">SUMIF('Basis Options'!$X:$X,CONCATENATE($AK28,BG$4),'Basis Options'!$AF:$AF)</f>
        <v>0</v>
      </c>
      <c r="BH28" s="134" t="n">
        <f aca="false">SUMIF('Basis Options'!$X:$X,CONCATENATE($AK28,BH$4),'Basis Options'!$AF:$AF)</f>
        <v>0</v>
      </c>
      <c r="BI28" s="134" t="n">
        <f aca="false">SUMIF('Basis Options'!$X:$X,CONCATENATE($AK28,BI$4),'Basis Options'!$AF:$AF)</f>
        <v>0</v>
      </c>
      <c r="BJ28" s="134" t="n">
        <f aca="false">SUMIF('Basis Options'!$X:$X,CONCATENATE($AK28,BJ$4),'Basis Options'!$AF:$AF)</f>
        <v>0</v>
      </c>
      <c r="BK28" s="134" t="n">
        <f aca="false">SUMIF('Basis Options'!$X:$X,CONCATENATE($AK28,BK$4),'Basis Options'!$AF:$AF)</f>
        <v>0</v>
      </c>
      <c r="BL28" s="134" t="n">
        <f aca="false">SUMIF('Basis Options'!$X:$X,CONCATENATE($AK28,BL$4),'Basis Options'!$AF:$AF)</f>
        <v>0</v>
      </c>
      <c r="BM28" s="134" t="n">
        <f aca="false">SUMIF('Basis Options'!$X:$X,CONCATENATE($AK28,BM$4),'Basis Options'!$AF:$AF)</f>
        <v>0</v>
      </c>
      <c r="BN28" s="134" t="n">
        <f aca="false">SUMIF('Basis Options'!$X:$X,CONCATENATE($AK28,BN$4),'Basis Options'!$AF:$AF)</f>
        <v>0</v>
      </c>
      <c r="BO28" s="134" t="n">
        <f aca="false">SUMIF('Basis Options'!$X:$X,CONCATENATE($AK28,BO$4),'Basis Options'!$AF:$AF)</f>
        <v>0</v>
      </c>
      <c r="BP28" s="208" t="n">
        <f aca="false">EOMONTH(BP27,0)+1</f>
        <v>37438</v>
      </c>
      <c r="BQ28" s="135" t="n">
        <f aca="false">SUM(BC28:BO28)</f>
        <v>0</v>
      </c>
      <c r="BS28" s="208" t="n">
        <f aca="false">EOMONTH(BS27,0)+1</f>
        <v>37438</v>
      </c>
      <c r="BT28" s="134" t="n">
        <f aca="false">SUMIF('Basis Options'!$X:$X,CONCATENATE($BS28,BT$4),'Basis Options'!$AI:$AI)</f>
        <v>0</v>
      </c>
      <c r="BU28" s="134" t="n">
        <f aca="false">SUMIF('Basis Options'!$X:$X,CONCATENATE($BS28,BU$4),'Basis Options'!$AI:$AI)</f>
        <v>0</v>
      </c>
      <c r="BV28" s="134" t="n">
        <f aca="false">SUMIF('Basis Options'!$X:$X,CONCATENATE($BS28,BV$4),'Basis Options'!$AI:$AI)</f>
        <v>0</v>
      </c>
      <c r="BW28" s="134" t="n">
        <f aca="false">SUMIF('Basis Options'!$X:$X,CONCATENATE($BS28,BW$4),'Basis Options'!$AI:$AI)</f>
        <v>0</v>
      </c>
      <c r="BX28" s="134" t="n">
        <f aca="false">SUMIF('Basis Options'!$X:$X,CONCATENATE($BS28,BX$4),'Basis Options'!$AI:$AI)</f>
        <v>0</v>
      </c>
      <c r="BY28" s="134" t="n">
        <f aca="false">SUMIF('Basis Options'!$X:$X,CONCATENATE($BS28,BY$4),'Basis Options'!$AI:$AI)</f>
        <v>0</v>
      </c>
      <c r="BZ28" s="134" t="n">
        <f aca="false">SUMIF('Basis Options'!$X:$X,CONCATENATE($BS28,BZ$4),'Basis Options'!$AI:$AI)</f>
        <v>0</v>
      </c>
      <c r="CA28" s="134" t="n">
        <f aca="false">SUMIF('Basis Options'!$X:$X,CONCATENATE($BS28,CA$4),'Basis Options'!$AI:$AI)</f>
        <v>0</v>
      </c>
      <c r="CB28" s="134" t="n">
        <f aca="false">SUMIF('Basis Options'!$X:$X,CONCATENATE($BS28,CB$4),'Basis Options'!$AI:$AI)</f>
        <v>0</v>
      </c>
      <c r="CC28" s="134" t="n">
        <f aca="false">SUMIF('Basis Options'!$X:$X,CONCATENATE($BS28,CC$4),'Basis Options'!$AI:$AI)</f>
        <v>0</v>
      </c>
      <c r="CD28" s="134" t="n">
        <f aca="false">SUMIF('Basis Options'!$X:$X,CONCATENATE($BS28,CD$4),'Basis Options'!$AI:$AI)</f>
        <v>0</v>
      </c>
      <c r="CE28" s="134" t="n">
        <f aca="false">SUMIF('Basis Options'!$X:$X,CONCATENATE($BS28,CE$4),'Basis Options'!$AI:$AI)</f>
        <v>0</v>
      </c>
      <c r="CF28" s="134" t="n">
        <f aca="false">SUMIF('Basis Options'!$X:$X,CONCATENATE($BS28,CF$4),'Basis Options'!$AI:$AI)</f>
        <v>0</v>
      </c>
      <c r="CG28" s="208" t="n">
        <f aca="false">EOMONTH(CG27,0)+1</f>
        <v>37438</v>
      </c>
      <c r="CH28" s="135" t="n">
        <f aca="false">SUM(BT28:CF28)</f>
        <v>0</v>
      </c>
    </row>
    <row r="29" customFormat="false" ht="12.75" hidden="false" customHeight="false" outlineLevel="0" collapsed="false">
      <c r="A29" s="208" t="n">
        <f aca="false">EOMONTH(A28,0)+1</f>
        <v>37469</v>
      </c>
      <c r="B29" s="134" t="n">
        <f aca="false">SUMIF('Basis Options'!X:X,CONCATENATE($A29,B$4),'Basis Options'!AB:AB)</f>
        <v>0</v>
      </c>
      <c r="C29" s="134" t="n">
        <f aca="false">SUMIF('Basis Options'!$X:$X,CONCATENATE($A29,C$4),'Basis Options'!$AB:$AB)</f>
        <v>0</v>
      </c>
      <c r="D29" s="134" t="n">
        <f aca="false">SUMIF('Basis Options'!$X:$X,CONCATENATE($A29,D$4),'Basis Options'!$AB:$AB)</f>
        <v>0</v>
      </c>
      <c r="E29" s="134" t="n">
        <f aca="false">SUMIF('Basis Options'!$X:$X,CONCATENATE($A29,E$4),'Basis Options'!$AB:$AB)</f>
        <v>0</v>
      </c>
      <c r="F29" s="134" t="n">
        <f aca="false">SUMIF('Basis Options'!$X:$X,CONCATENATE($A29,F$4),'Basis Options'!$AB:$AB)</f>
        <v>0</v>
      </c>
      <c r="G29" s="134" t="n">
        <f aca="false">SUMIF('Basis Options'!$X:$X,CONCATENATE($A29,G$4),'Basis Options'!$AB:$AB)</f>
        <v>0</v>
      </c>
      <c r="H29" s="134" t="n">
        <f aca="false">SUMIF('Basis Options'!$X:$X,CONCATENATE($A29,H$4),'Basis Options'!$AB:$AB)</f>
        <v>0</v>
      </c>
      <c r="I29" s="134" t="n">
        <f aca="false">SUMIF('Basis Options'!$X:$X,CONCATENATE($A29,I$4),'Basis Options'!$AB:$AB)</f>
        <v>0</v>
      </c>
      <c r="J29" s="134" t="n">
        <f aca="false">SUMIF('Basis Options'!$X:$X,CONCATENATE($A29,J$4),'Basis Options'!$AB:$AB)</f>
        <v>0</v>
      </c>
      <c r="K29" s="134" t="n">
        <f aca="false">SUMIF('Basis Options'!$X:$X,CONCATENATE($A29,K$4),'Basis Options'!$AB:$AB)</f>
        <v>0</v>
      </c>
      <c r="L29" s="134" t="n">
        <f aca="false">SUMIF('Basis Options'!$X:$X,CONCATENATE($A29,L$4),'Basis Options'!$AB:$AB)</f>
        <v>0</v>
      </c>
      <c r="M29" s="134" t="n">
        <f aca="false">SUMIF('Basis Options'!$X:$X,CONCATENATE($A29,M$4),'Basis Options'!$AB:$AB)</f>
        <v>0</v>
      </c>
      <c r="N29" s="134" t="n">
        <f aca="false">SUMIF('Basis Options'!$X:$X,CONCATENATE($A29,N$4),'Basis Options'!$AB:$AB)</f>
        <v>0</v>
      </c>
      <c r="O29" s="208" t="n">
        <f aca="false">EOMONTH(O28,0)+1</f>
        <v>37469</v>
      </c>
      <c r="P29" s="135" t="n">
        <f aca="false">SUM(B29:N29)</f>
        <v>0</v>
      </c>
      <c r="S29" s="208" t="n">
        <f aca="false">EOMONTH(S28,0)+1</f>
        <v>37469</v>
      </c>
      <c r="T29" s="134" t="n">
        <f aca="false">SUMIF('Basis Options'!$X:$X,CONCATENATE($S29,T$4),'Basis Options'!$AC:$AC)</f>
        <v>0</v>
      </c>
      <c r="U29" s="134" t="n">
        <f aca="false">SUMIF('Basis Options'!$X:$X,CONCATENATE($S29,U$4),'Basis Options'!$AC:$AC)</f>
        <v>0</v>
      </c>
      <c r="V29" s="134" t="n">
        <f aca="false">SUMIF('Basis Options'!$X:$X,CONCATENATE($S29,V$4),'Basis Options'!$AC:$AC)</f>
        <v>0</v>
      </c>
      <c r="W29" s="134" t="n">
        <f aca="false">SUMIF('Basis Options'!$X:$X,CONCATENATE($S29,W$4),'Basis Options'!$AC:$AC)</f>
        <v>0</v>
      </c>
      <c r="X29" s="134" t="n">
        <f aca="false">SUMIF('Basis Options'!$X:$X,CONCATENATE($S29,X$4),'Basis Options'!$AC:$AC)</f>
        <v>0</v>
      </c>
      <c r="Y29" s="134" t="n">
        <f aca="false">SUMIF('Basis Options'!$X:$X,CONCATENATE($S29,Y$4),'Basis Options'!$AC:$AC)</f>
        <v>0</v>
      </c>
      <c r="Z29" s="134" t="n">
        <f aca="false">SUMIF('Basis Options'!$X:$X,CONCATENATE($S29,Z$4),'Basis Options'!$AC:$AC)</f>
        <v>0</v>
      </c>
      <c r="AA29" s="134" t="n">
        <f aca="false">SUMIF('Basis Options'!$X:$X,CONCATENATE($S29,AA$4),'Basis Options'!$AC:$AC)</f>
        <v>0</v>
      </c>
      <c r="AB29" s="134" t="n">
        <f aca="false">SUMIF('Basis Options'!$X:$X,CONCATENATE($S29,AB$4),'Basis Options'!$AC:$AC)</f>
        <v>0</v>
      </c>
      <c r="AC29" s="134" t="n">
        <f aca="false">SUMIF('Basis Options'!$X:$X,CONCATENATE($S29,AC$4),'Basis Options'!$AC:$AC)</f>
        <v>0</v>
      </c>
      <c r="AD29" s="134" t="n">
        <f aca="false">SUMIF('Basis Options'!$X:$X,CONCATENATE($S29,AD$4),'Basis Options'!$AC:$AC)</f>
        <v>0</v>
      </c>
      <c r="AE29" s="134" t="n">
        <f aca="false">SUMIF('Basis Options'!$X:$X,CONCATENATE($S29,AE$4),'Basis Options'!$AC:$AC)</f>
        <v>0</v>
      </c>
      <c r="AF29" s="134" t="n">
        <f aca="false">SUMIF('Basis Options'!$X:$X,CONCATENATE($S29,AF$4),'Basis Options'!$AC:$AC)</f>
        <v>0</v>
      </c>
      <c r="AG29" s="208" t="n">
        <f aca="false">EOMONTH(AG28,0)+1</f>
        <v>37469</v>
      </c>
      <c r="AH29" s="135" t="n">
        <f aca="false">SUM(T29:AF29)</f>
        <v>0</v>
      </c>
      <c r="AK29" s="208" t="n">
        <f aca="false">EOMONTH(AK28,0)+1</f>
        <v>37469</v>
      </c>
      <c r="AL29" s="134" t="n">
        <f aca="false">SUMIF('Basis Options'!$X:$X,CONCATENATE($AK29,AL$4),'Basis Options'!$AD:$AD)</f>
        <v>0</v>
      </c>
      <c r="AM29" s="134" t="n">
        <f aca="false">SUMIF('Basis Options'!$X:$X,CONCATENATE($AK29,AM$4),'Basis Options'!$AD:$AD)</f>
        <v>0</v>
      </c>
      <c r="AN29" s="134" t="n">
        <f aca="false">SUMIF('Basis Options'!$X:$X,CONCATENATE($AK29,AN$4),'Basis Options'!$AD:$AD)</f>
        <v>0</v>
      </c>
      <c r="AO29" s="134" t="n">
        <f aca="false">SUMIF('Basis Options'!$X:$X,CONCATENATE($AK29,AO$4),'Basis Options'!$AD:$AD)</f>
        <v>0</v>
      </c>
      <c r="AP29" s="134" t="n">
        <f aca="false">SUMIF('Basis Options'!$X:$X,CONCATENATE($AK29,AP$4),'Basis Options'!$AD:$AD)</f>
        <v>0</v>
      </c>
      <c r="AQ29" s="134" t="n">
        <f aca="false">SUMIF('Basis Options'!$X:$X,CONCATENATE($AK29,AQ$4),'Basis Options'!$AD:$AD)</f>
        <v>0</v>
      </c>
      <c r="AR29" s="134" t="n">
        <f aca="false">SUMIF('Basis Options'!$X:$X,CONCATENATE($AK29,AR$4),'Basis Options'!$AD:$AD)</f>
        <v>0</v>
      </c>
      <c r="AS29" s="134" t="n">
        <f aca="false">SUMIF('Basis Options'!$X:$X,CONCATENATE($AK29,AS$4),'Basis Options'!$AD:$AD)</f>
        <v>0</v>
      </c>
      <c r="AT29" s="134" t="n">
        <f aca="false">SUMIF('Basis Options'!$X:$X,CONCATENATE($AK29,AT$4),'Basis Options'!$AD:$AD)</f>
        <v>0</v>
      </c>
      <c r="AU29" s="134" t="n">
        <f aca="false">SUMIF('Basis Options'!$X:$X,CONCATENATE($AK29,AU$4),'Basis Options'!$AD:$AD)</f>
        <v>0</v>
      </c>
      <c r="AV29" s="134" t="n">
        <f aca="false">SUMIF('Basis Options'!$X:$X,CONCATENATE($AK29,AV$4),'Basis Options'!$AD:$AD)</f>
        <v>0</v>
      </c>
      <c r="AW29" s="134" t="n">
        <f aca="false">SUMIF('Basis Options'!$X:$X,CONCATENATE($AK29,AW$4),'Basis Options'!$AD:$AD)</f>
        <v>0</v>
      </c>
      <c r="AX29" s="134" t="n">
        <f aca="false">SUMIF('Basis Options'!$X:$X,CONCATENATE($AK29,AX$4),'Basis Options'!$AD:$AD)</f>
        <v>0</v>
      </c>
      <c r="AY29" s="208" t="n">
        <f aca="false">EOMONTH(AY28,0)+1</f>
        <v>37469</v>
      </c>
      <c r="AZ29" s="135" t="n">
        <f aca="false">SUM(AL29:AX29)</f>
        <v>0</v>
      </c>
      <c r="BB29" s="208" t="n">
        <f aca="false">EOMONTH(BB28,0)+1</f>
        <v>37469</v>
      </c>
      <c r="BC29" s="134" t="n">
        <f aca="false">SUMIF('Basis Options'!$X:$X,CONCATENATE($AK29,BC$4),'Basis Options'!$AF:$AF)</f>
        <v>0</v>
      </c>
      <c r="BD29" s="134" t="n">
        <f aca="false">SUMIF('Basis Options'!$X:$X,CONCATENATE($AK29,BD$4),'Basis Options'!$AF:$AF)</f>
        <v>0</v>
      </c>
      <c r="BE29" s="134" t="n">
        <f aca="false">SUMIF('Basis Options'!$X:$X,CONCATENATE($AK29,BE$4),'Basis Options'!$AF:$AF)</f>
        <v>0</v>
      </c>
      <c r="BF29" s="134" t="n">
        <f aca="false">SUMIF('Basis Options'!$X:$X,CONCATENATE($AK29,BF$4),'Basis Options'!$AF:$AF)</f>
        <v>0</v>
      </c>
      <c r="BG29" s="134" t="n">
        <f aca="false">SUMIF('Basis Options'!$X:$X,CONCATENATE($AK29,BG$4),'Basis Options'!$AF:$AF)</f>
        <v>0</v>
      </c>
      <c r="BH29" s="134" t="n">
        <f aca="false">SUMIF('Basis Options'!$X:$X,CONCATENATE($AK29,BH$4),'Basis Options'!$AF:$AF)</f>
        <v>0</v>
      </c>
      <c r="BI29" s="134" t="n">
        <f aca="false">SUMIF('Basis Options'!$X:$X,CONCATENATE($AK29,BI$4),'Basis Options'!$AF:$AF)</f>
        <v>0</v>
      </c>
      <c r="BJ29" s="134" t="n">
        <f aca="false">SUMIF('Basis Options'!$X:$X,CONCATENATE($AK29,BJ$4),'Basis Options'!$AF:$AF)</f>
        <v>0</v>
      </c>
      <c r="BK29" s="134" t="n">
        <f aca="false">SUMIF('Basis Options'!$X:$X,CONCATENATE($AK29,BK$4),'Basis Options'!$AF:$AF)</f>
        <v>0</v>
      </c>
      <c r="BL29" s="134" t="n">
        <f aca="false">SUMIF('Basis Options'!$X:$X,CONCATENATE($AK29,BL$4),'Basis Options'!$AF:$AF)</f>
        <v>0</v>
      </c>
      <c r="BM29" s="134" t="n">
        <f aca="false">SUMIF('Basis Options'!$X:$X,CONCATENATE($AK29,BM$4),'Basis Options'!$AF:$AF)</f>
        <v>0</v>
      </c>
      <c r="BN29" s="134" t="n">
        <f aca="false">SUMIF('Basis Options'!$X:$X,CONCATENATE($AK29,BN$4),'Basis Options'!$AF:$AF)</f>
        <v>0</v>
      </c>
      <c r="BO29" s="134" t="n">
        <f aca="false">SUMIF('Basis Options'!$X:$X,CONCATENATE($AK29,BO$4),'Basis Options'!$AF:$AF)</f>
        <v>0</v>
      </c>
      <c r="BP29" s="208" t="n">
        <f aca="false">EOMONTH(BP28,0)+1</f>
        <v>37469</v>
      </c>
      <c r="BQ29" s="135" t="n">
        <f aca="false">SUM(BC29:BO29)</f>
        <v>0</v>
      </c>
      <c r="BS29" s="208" t="n">
        <f aca="false">EOMONTH(BS28,0)+1</f>
        <v>37469</v>
      </c>
      <c r="BT29" s="134" t="n">
        <f aca="false">SUMIF('Basis Options'!$X:$X,CONCATENATE($BS29,BT$4),'Basis Options'!$AI:$AI)</f>
        <v>0</v>
      </c>
      <c r="BU29" s="134" t="n">
        <f aca="false">SUMIF('Basis Options'!$X:$X,CONCATENATE($BS29,BU$4),'Basis Options'!$AI:$AI)</f>
        <v>0</v>
      </c>
      <c r="BV29" s="134" t="n">
        <f aca="false">SUMIF('Basis Options'!$X:$X,CONCATENATE($BS29,BV$4),'Basis Options'!$AI:$AI)</f>
        <v>0</v>
      </c>
      <c r="BW29" s="134" t="n">
        <f aca="false">SUMIF('Basis Options'!$X:$X,CONCATENATE($BS29,BW$4),'Basis Options'!$AI:$AI)</f>
        <v>0</v>
      </c>
      <c r="BX29" s="134" t="n">
        <f aca="false">SUMIF('Basis Options'!$X:$X,CONCATENATE($BS29,BX$4),'Basis Options'!$AI:$AI)</f>
        <v>0</v>
      </c>
      <c r="BY29" s="134" t="n">
        <f aca="false">SUMIF('Basis Options'!$X:$X,CONCATENATE($BS29,BY$4),'Basis Options'!$AI:$AI)</f>
        <v>0</v>
      </c>
      <c r="BZ29" s="134" t="n">
        <f aca="false">SUMIF('Basis Options'!$X:$X,CONCATENATE($BS29,BZ$4),'Basis Options'!$AI:$AI)</f>
        <v>0</v>
      </c>
      <c r="CA29" s="134" t="n">
        <f aca="false">SUMIF('Basis Options'!$X:$X,CONCATENATE($BS29,CA$4),'Basis Options'!$AI:$AI)</f>
        <v>0</v>
      </c>
      <c r="CB29" s="134" t="n">
        <f aca="false">SUMIF('Basis Options'!$X:$X,CONCATENATE($BS29,CB$4),'Basis Options'!$AI:$AI)</f>
        <v>0</v>
      </c>
      <c r="CC29" s="134" t="n">
        <f aca="false">SUMIF('Basis Options'!$X:$X,CONCATENATE($BS29,CC$4),'Basis Options'!$AI:$AI)</f>
        <v>0</v>
      </c>
      <c r="CD29" s="134" t="n">
        <f aca="false">SUMIF('Basis Options'!$X:$X,CONCATENATE($BS29,CD$4),'Basis Options'!$AI:$AI)</f>
        <v>0</v>
      </c>
      <c r="CE29" s="134" t="n">
        <f aca="false">SUMIF('Basis Options'!$X:$X,CONCATENATE($BS29,CE$4),'Basis Options'!$AI:$AI)</f>
        <v>0</v>
      </c>
      <c r="CF29" s="134" t="n">
        <f aca="false">SUMIF('Basis Options'!$X:$X,CONCATENATE($BS29,CF$4),'Basis Options'!$AI:$AI)</f>
        <v>0</v>
      </c>
      <c r="CG29" s="208" t="n">
        <f aca="false">EOMONTH(CG28,0)+1</f>
        <v>37469</v>
      </c>
      <c r="CH29" s="135" t="n">
        <f aca="false">SUM(BT29:CF29)</f>
        <v>0</v>
      </c>
    </row>
    <row r="30" customFormat="false" ht="12.75" hidden="false" customHeight="false" outlineLevel="0" collapsed="false">
      <c r="A30" s="208" t="n">
        <f aca="false">EOMONTH(A29,0)+1</f>
        <v>37500</v>
      </c>
      <c r="B30" s="134" t="n">
        <f aca="false">SUMIF('Basis Options'!X:X,CONCATENATE($A30,B$4),'Basis Options'!AB:AB)</f>
        <v>0</v>
      </c>
      <c r="C30" s="134" t="n">
        <f aca="false">SUMIF('Basis Options'!$X:$X,CONCATENATE($A30,C$4),'Basis Options'!$AB:$AB)</f>
        <v>0</v>
      </c>
      <c r="D30" s="134" t="n">
        <f aca="false">SUMIF('Basis Options'!$X:$X,CONCATENATE($A30,D$4),'Basis Options'!$AB:$AB)</f>
        <v>0</v>
      </c>
      <c r="E30" s="134" t="n">
        <f aca="false">SUMIF('Basis Options'!$X:$X,CONCATENATE($A30,E$4),'Basis Options'!$AB:$AB)</f>
        <v>0</v>
      </c>
      <c r="F30" s="134" t="n">
        <f aca="false">SUMIF('Basis Options'!$X:$X,CONCATENATE($A30,F$4),'Basis Options'!$AB:$AB)</f>
        <v>0</v>
      </c>
      <c r="G30" s="134" t="n">
        <f aca="false">SUMIF('Basis Options'!$X:$X,CONCATENATE($A30,G$4),'Basis Options'!$AB:$AB)</f>
        <v>0</v>
      </c>
      <c r="H30" s="134" t="n">
        <f aca="false">SUMIF('Basis Options'!$X:$X,CONCATENATE($A30,H$4),'Basis Options'!$AB:$AB)</f>
        <v>0</v>
      </c>
      <c r="I30" s="134" t="n">
        <f aca="false">SUMIF('Basis Options'!$X:$X,CONCATENATE($A30,I$4),'Basis Options'!$AB:$AB)</f>
        <v>0</v>
      </c>
      <c r="J30" s="134" t="n">
        <f aca="false">SUMIF('Basis Options'!$X:$X,CONCATENATE($A30,J$4),'Basis Options'!$AB:$AB)</f>
        <v>0</v>
      </c>
      <c r="K30" s="134" t="n">
        <f aca="false">SUMIF('Basis Options'!$X:$X,CONCATENATE($A30,K$4),'Basis Options'!$AB:$AB)</f>
        <v>0</v>
      </c>
      <c r="L30" s="134" t="n">
        <f aca="false">SUMIF('Basis Options'!$X:$X,CONCATENATE($A30,L$4),'Basis Options'!$AB:$AB)</f>
        <v>0</v>
      </c>
      <c r="M30" s="134" t="n">
        <f aca="false">SUMIF('Basis Options'!$X:$X,CONCATENATE($A30,M$4),'Basis Options'!$AB:$AB)</f>
        <v>0</v>
      </c>
      <c r="N30" s="134" t="n">
        <f aca="false">SUMIF('Basis Options'!$X:$X,CONCATENATE($A30,N$4),'Basis Options'!$AB:$AB)</f>
        <v>0</v>
      </c>
      <c r="O30" s="208" t="n">
        <f aca="false">EOMONTH(O29,0)+1</f>
        <v>37500</v>
      </c>
      <c r="P30" s="135" t="n">
        <f aca="false">SUM(B30:N30)</f>
        <v>0</v>
      </c>
      <c r="S30" s="208" t="n">
        <f aca="false">EOMONTH(S29,0)+1</f>
        <v>37500</v>
      </c>
      <c r="T30" s="134" t="n">
        <f aca="false">SUMIF('Basis Options'!$X:$X,CONCATENATE($S30,T$4),'Basis Options'!$AC:$AC)</f>
        <v>0</v>
      </c>
      <c r="U30" s="134" t="n">
        <f aca="false">SUMIF('Basis Options'!$X:$X,CONCATENATE($S30,U$4),'Basis Options'!$AC:$AC)</f>
        <v>0</v>
      </c>
      <c r="V30" s="134" t="n">
        <f aca="false">SUMIF('Basis Options'!$X:$X,CONCATENATE($S30,V$4),'Basis Options'!$AC:$AC)</f>
        <v>0</v>
      </c>
      <c r="W30" s="134" t="n">
        <f aca="false">SUMIF('Basis Options'!$X:$X,CONCATENATE($S30,W$4),'Basis Options'!$AC:$AC)</f>
        <v>0</v>
      </c>
      <c r="X30" s="134" t="n">
        <f aca="false">SUMIF('Basis Options'!$X:$X,CONCATENATE($S30,X$4),'Basis Options'!$AC:$AC)</f>
        <v>0</v>
      </c>
      <c r="Y30" s="134" t="n">
        <f aca="false">SUMIF('Basis Options'!$X:$X,CONCATENATE($S30,Y$4),'Basis Options'!$AC:$AC)</f>
        <v>0</v>
      </c>
      <c r="Z30" s="134" t="n">
        <f aca="false">SUMIF('Basis Options'!$X:$X,CONCATENATE($S30,Z$4),'Basis Options'!$AC:$AC)</f>
        <v>0</v>
      </c>
      <c r="AA30" s="134" t="n">
        <f aca="false">SUMIF('Basis Options'!$X:$X,CONCATENATE($S30,AA$4),'Basis Options'!$AC:$AC)</f>
        <v>0</v>
      </c>
      <c r="AB30" s="134" t="n">
        <f aca="false">SUMIF('Basis Options'!$X:$X,CONCATENATE($S30,AB$4),'Basis Options'!$AC:$AC)</f>
        <v>0</v>
      </c>
      <c r="AC30" s="134" t="n">
        <f aca="false">SUMIF('Basis Options'!$X:$X,CONCATENATE($S30,AC$4),'Basis Options'!$AC:$AC)</f>
        <v>0</v>
      </c>
      <c r="AD30" s="134" t="n">
        <f aca="false">SUMIF('Basis Options'!$X:$X,CONCATENATE($S30,AD$4),'Basis Options'!$AC:$AC)</f>
        <v>0</v>
      </c>
      <c r="AE30" s="134" t="n">
        <f aca="false">SUMIF('Basis Options'!$X:$X,CONCATENATE($S30,AE$4),'Basis Options'!$AC:$AC)</f>
        <v>0</v>
      </c>
      <c r="AF30" s="134" t="n">
        <f aca="false">SUMIF('Basis Options'!$X:$X,CONCATENATE($S30,AF$4),'Basis Options'!$AC:$AC)</f>
        <v>0</v>
      </c>
      <c r="AG30" s="208" t="n">
        <f aca="false">EOMONTH(AG29,0)+1</f>
        <v>37500</v>
      </c>
      <c r="AH30" s="135" t="n">
        <f aca="false">SUM(T30:AF30)</f>
        <v>0</v>
      </c>
      <c r="AK30" s="208" t="n">
        <f aca="false">EOMONTH(AK29,0)+1</f>
        <v>37500</v>
      </c>
      <c r="AL30" s="134" t="n">
        <f aca="false">SUMIF('Basis Options'!$X:$X,CONCATENATE($AK30,AL$4),'Basis Options'!$AD:$AD)</f>
        <v>0</v>
      </c>
      <c r="AM30" s="134" t="n">
        <f aca="false">SUMIF('Basis Options'!$X:$X,CONCATENATE($AK30,AM$4),'Basis Options'!$AD:$AD)</f>
        <v>0</v>
      </c>
      <c r="AN30" s="134" t="n">
        <f aca="false">SUMIF('Basis Options'!$X:$X,CONCATENATE($AK30,AN$4),'Basis Options'!$AD:$AD)</f>
        <v>0</v>
      </c>
      <c r="AO30" s="134" t="n">
        <f aca="false">SUMIF('Basis Options'!$X:$X,CONCATENATE($AK30,AO$4),'Basis Options'!$AD:$AD)</f>
        <v>0</v>
      </c>
      <c r="AP30" s="134" t="n">
        <f aca="false">SUMIF('Basis Options'!$X:$X,CONCATENATE($AK30,AP$4),'Basis Options'!$AD:$AD)</f>
        <v>0</v>
      </c>
      <c r="AQ30" s="134" t="n">
        <f aca="false">SUMIF('Basis Options'!$X:$X,CONCATENATE($AK30,AQ$4),'Basis Options'!$AD:$AD)</f>
        <v>0</v>
      </c>
      <c r="AR30" s="134" t="n">
        <f aca="false">SUMIF('Basis Options'!$X:$X,CONCATENATE($AK30,AR$4),'Basis Options'!$AD:$AD)</f>
        <v>0</v>
      </c>
      <c r="AS30" s="134" t="n">
        <f aca="false">SUMIF('Basis Options'!$X:$X,CONCATENATE($AK30,AS$4),'Basis Options'!$AD:$AD)</f>
        <v>0</v>
      </c>
      <c r="AT30" s="134" t="n">
        <f aca="false">SUMIF('Basis Options'!$X:$X,CONCATENATE($AK30,AT$4),'Basis Options'!$AD:$AD)</f>
        <v>0</v>
      </c>
      <c r="AU30" s="134" t="n">
        <f aca="false">SUMIF('Basis Options'!$X:$X,CONCATENATE($AK30,AU$4),'Basis Options'!$AD:$AD)</f>
        <v>0</v>
      </c>
      <c r="AV30" s="134" t="n">
        <f aca="false">SUMIF('Basis Options'!$X:$X,CONCATENATE($AK30,AV$4),'Basis Options'!$AD:$AD)</f>
        <v>0</v>
      </c>
      <c r="AW30" s="134" t="n">
        <f aca="false">SUMIF('Basis Options'!$X:$X,CONCATENATE($AK30,AW$4),'Basis Options'!$AD:$AD)</f>
        <v>0</v>
      </c>
      <c r="AX30" s="134" t="n">
        <f aca="false">SUMIF('Basis Options'!$X:$X,CONCATENATE($AK30,AX$4),'Basis Options'!$AD:$AD)</f>
        <v>0</v>
      </c>
      <c r="AY30" s="208" t="n">
        <f aca="false">EOMONTH(AY29,0)+1</f>
        <v>37500</v>
      </c>
      <c r="AZ30" s="135" t="n">
        <f aca="false">SUM(AL30:AX30)</f>
        <v>0</v>
      </c>
      <c r="BB30" s="208" t="n">
        <f aca="false">EOMONTH(BB29,0)+1</f>
        <v>37500</v>
      </c>
      <c r="BC30" s="134" t="n">
        <f aca="false">SUMIF('Basis Options'!$X:$X,CONCATENATE($AK30,BC$4),'Basis Options'!$AF:$AF)</f>
        <v>0</v>
      </c>
      <c r="BD30" s="134" t="n">
        <f aca="false">SUMIF('Basis Options'!$X:$X,CONCATENATE($AK30,BD$4),'Basis Options'!$AF:$AF)</f>
        <v>0</v>
      </c>
      <c r="BE30" s="134" t="n">
        <f aca="false">SUMIF('Basis Options'!$X:$X,CONCATENATE($AK30,BE$4),'Basis Options'!$AF:$AF)</f>
        <v>0</v>
      </c>
      <c r="BF30" s="134" t="n">
        <f aca="false">SUMIF('Basis Options'!$X:$X,CONCATENATE($AK30,BF$4),'Basis Options'!$AF:$AF)</f>
        <v>0</v>
      </c>
      <c r="BG30" s="134" t="n">
        <f aca="false">SUMIF('Basis Options'!$X:$X,CONCATENATE($AK30,BG$4),'Basis Options'!$AF:$AF)</f>
        <v>0</v>
      </c>
      <c r="BH30" s="134" t="n">
        <f aca="false">SUMIF('Basis Options'!$X:$X,CONCATENATE($AK30,BH$4),'Basis Options'!$AF:$AF)</f>
        <v>0</v>
      </c>
      <c r="BI30" s="134" t="n">
        <f aca="false">SUMIF('Basis Options'!$X:$X,CONCATENATE($AK30,BI$4),'Basis Options'!$AF:$AF)</f>
        <v>0</v>
      </c>
      <c r="BJ30" s="134" t="n">
        <f aca="false">SUMIF('Basis Options'!$X:$X,CONCATENATE($AK30,BJ$4),'Basis Options'!$AF:$AF)</f>
        <v>0</v>
      </c>
      <c r="BK30" s="134" t="n">
        <f aca="false">SUMIF('Basis Options'!$X:$X,CONCATENATE($AK30,BK$4),'Basis Options'!$AF:$AF)</f>
        <v>0</v>
      </c>
      <c r="BL30" s="134" t="n">
        <f aca="false">SUMIF('Basis Options'!$X:$X,CONCATENATE($AK30,BL$4),'Basis Options'!$AF:$AF)</f>
        <v>0</v>
      </c>
      <c r="BM30" s="134" t="n">
        <f aca="false">SUMIF('Basis Options'!$X:$X,CONCATENATE($AK30,BM$4),'Basis Options'!$AF:$AF)</f>
        <v>0</v>
      </c>
      <c r="BN30" s="134" t="n">
        <f aca="false">SUMIF('Basis Options'!$X:$X,CONCATENATE($AK30,BN$4),'Basis Options'!$AF:$AF)</f>
        <v>0</v>
      </c>
      <c r="BO30" s="134" t="n">
        <f aca="false">SUMIF('Basis Options'!$X:$X,CONCATENATE($AK30,BO$4),'Basis Options'!$AF:$AF)</f>
        <v>0</v>
      </c>
      <c r="BP30" s="208" t="n">
        <f aca="false">EOMONTH(BP29,0)+1</f>
        <v>37500</v>
      </c>
      <c r="BQ30" s="135" t="n">
        <f aca="false">SUM(BC30:BO30)</f>
        <v>0</v>
      </c>
      <c r="BS30" s="208" t="n">
        <f aca="false">EOMONTH(BS29,0)+1</f>
        <v>37500</v>
      </c>
      <c r="BT30" s="134" t="n">
        <f aca="false">SUMIF('Basis Options'!$X:$X,CONCATENATE($BS30,BT$4),'Basis Options'!$AI:$AI)</f>
        <v>0</v>
      </c>
      <c r="BU30" s="134" t="n">
        <f aca="false">SUMIF('Basis Options'!$X:$X,CONCATENATE($BS30,BU$4),'Basis Options'!$AI:$AI)</f>
        <v>0</v>
      </c>
      <c r="BV30" s="134" t="n">
        <f aca="false">SUMIF('Basis Options'!$X:$X,CONCATENATE($BS30,BV$4),'Basis Options'!$AI:$AI)</f>
        <v>0</v>
      </c>
      <c r="BW30" s="134" t="n">
        <f aca="false">SUMIF('Basis Options'!$X:$X,CONCATENATE($BS30,BW$4),'Basis Options'!$AI:$AI)</f>
        <v>0</v>
      </c>
      <c r="BX30" s="134" t="n">
        <f aca="false">SUMIF('Basis Options'!$X:$X,CONCATENATE($BS30,BX$4),'Basis Options'!$AI:$AI)</f>
        <v>0</v>
      </c>
      <c r="BY30" s="134" t="n">
        <f aca="false">SUMIF('Basis Options'!$X:$X,CONCATENATE($BS30,BY$4),'Basis Options'!$AI:$AI)</f>
        <v>0</v>
      </c>
      <c r="BZ30" s="134" t="n">
        <f aca="false">SUMIF('Basis Options'!$X:$X,CONCATENATE($BS30,BZ$4),'Basis Options'!$AI:$AI)</f>
        <v>0</v>
      </c>
      <c r="CA30" s="134" t="n">
        <f aca="false">SUMIF('Basis Options'!$X:$X,CONCATENATE($BS30,CA$4),'Basis Options'!$AI:$AI)</f>
        <v>0</v>
      </c>
      <c r="CB30" s="134" t="n">
        <f aca="false">SUMIF('Basis Options'!$X:$X,CONCATENATE($BS30,CB$4),'Basis Options'!$AI:$AI)</f>
        <v>0</v>
      </c>
      <c r="CC30" s="134" t="n">
        <f aca="false">SUMIF('Basis Options'!$X:$X,CONCATENATE($BS30,CC$4),'Basis Options'!$AI:$AI)</f>
        <v>0</v>
      </c>
      <c r="CD30" s="134" t="n">
        <f aca="false">SUMIF('Basis Options'!$X:$X,CONCATENATE($BS30,CD$4),'Basis Options'!$AI:$AI)</f>
        <v>0</v>
      </c>
      <c r="CE30" s="134" t="n">
        <f aca="false">SUMIF('Basis Options'!$X:$X,CONCATENATE($BS30,CE$4),'Basis Options'!$AI:$AI)</f>
        <v>0</v>
      </c>
      <c r="CF30" s="134" t="n">
        <f aca="false">SUMIF('Basis Options'!$X:$X,CONCATENATE($BS30,CF$4),'Basis Options'!$AI:$AI)</f>
        <v>0</v>
      </c>
      <c r="CG30" s="208" t="n">
        <f aca="false">EOMONTH(CG29,0)+1</f>
        <v>37500</v>
      </c>
      <c r="CH30" s="135" t="n">
        <f aca="false">SUM(BT30:CF30)</f>
        <v>0</v>
      </c>
    </row>
    <row r="31" customFormat="false" ht="12.75" hidden="false" customHeight="false" outlineLevel="0" collapsed="false">
      <c r="A31" s="208" t="n">
        <f aca="false">EOMONTH(A30,0)+1</f>
        <v>37530</v>
      </c>
      <c r="B31" s="134" t="n">
        <f aca="false">SUMIF('Basis Options'!X:X,CONCATENATE($A31,B$4),'Basis Options'!AB:AB)</f>
        <v>0</v>
      </c>
      <c r="C31" s="134" t="n">
        <f aca="false">SUMIF('Basis Options'!$X:$X,CONCATENATE($A31,C$4),'Basis Options'!$AB:$AB)</f>
        <v>0</v>
      </c>
      <c r="D31" s="134" t="n">
        <f aca="false">SUMIF('Basis Options'!$X:$X,CONCATENATE($A31,D$4),'Basis Options'!$AB:$AB)</f>
        <v>0</v>
      </c>
      <c r="E31" s="134" t="n">
        <f aca="false">SUMIF('Basis Options'!$X:$X,CONCATENATE($A31,E$4),'Basis Options'!$AB:$AB)</f>
        <v>0</v>
      </c>
      <c r="F31" s="134" t="n">
        <f aca="false">SUMIF('Basis Options'!$X:$X,CONCATENATE($A31,F$4),'Basis Options'!$AB:$AB)</f>
        <v>0</v>
      </c>
      <c r="G31" s="134" t="n">
        <f aca="false">SUMIF('Basis Options'!$X:$X,CONCATENATE($A31,G$4),'Basis Options'!$AB:$AB)</f>
        <v>0</v>
      </c>
      <c r="H31" s="134" t="n">
        <f aca="false">SUMIF('Basis Options'!$X:$X,CONCATENATE($A31,H$4),'Basis Options'!$AB:$AB)</f>
        <v>0</v>
      </c>
      <c r="I31" s="134" t="n">
        <f aca="false">SUMIF('Basis Options'!$X:$X,CONCATENATE($A31,I$4),'Basis Options'!$AB:$AB)</f>
        <v>0</v>
      </c>
      <c r="J31" s="134" t="n">
        <f aca="false">SUMIF('Basis Options'!$X:$X,CONCATENATE($A31,J$4),'Basis Options'!$AB:$AB)</f>
        <v>0</v>
      </c>
      <c r="K31" s="134" t="n">
        <f aca="false">SUMIF('Basis Options'!$X:$X,CONCATENATE($A31,K$4),'Basis Options'!$AB:$AB)</f>
        <v>0</v>
      </c>
      <c r="L31" s="134" t="n">
        <f aca="false">SUMIF('Basis Options'!$X:$X,CONCATENATE($A31,L$4),'Basis Options'!$AB:$AB)</f>
        <v>0</v>
      </c>
      <c r="M31" s="134" t="n">
        <f aca="false">SUMIF('Basis Options'!$X:$X,CONCATENATE($A31,M$4),'Basis Options'!$AB:$AB)</f>
        <v>0</v>
      </c>
      <c r="N31" s="134" t="n">
        <f aca="false">SUMIF('Basis Options'!$X:$X,CONCATENATE($A31,N$4),'Basis Options'!$AB:$AB)</f>
        <v>0</v>
      </c>
      <c r="O31" s="208" t="n">
        <f aca="false">EOMONTH(O30,0)+1</f>
        <v>37530</v>
      </c>
      <c r="P31" s="135" t="n">
        <f aca="false">SUM(B31:N31)</f>
        <v>0</v>
      </c>
      <c r="S31" s="208" t="n">
        <f aca="false">EOMONTH(S30,0)+1</f>
        <v>37530</v>
      </c>
      <c r="T31" s="134" t="n">
        <f aca="false">SUMIF('Basis Options'!$X:$X,CONCATENATE($S31,T$4),'Basis Options'!$AC:$AC)</f>
        <v>0</v>
      </c>
      <c r="U31" s="134" t="n">
        <f aca="false">SUMIF('Basis Options'!$X:$X,CONCATENATE($S31,U$4),'Basis Options'!$AC:$AC)</f>
        <v>0</v>
      </c>
      <c r="V31" s="134" t="n">
        <f aca="false">SUMIF('Basis Options'!$X:$X,CONCATENATE($S31,V$4),'Basis Options'!$AC:$AC)</f>
        <v>0</v>
      </c>
      <c r="W31" s="134" t="n">
        <f aca="false">SUMIF('Basis Options'!$X:$X,CONCATENATE($S31,W$4),'Basis Options'!$AC:$AC)</f>
        <v>0</v>
      </c>
      <c r="X31" s="134" t="n">
        <f aca="false">SUMIF('Basis Options'!$X:$X,CONCATENATE($S31,X$4),'Basis Options'!$AC:$AC)</f>
        <v>0</v>
      </c>
      <c r="Y31" s="134" t="n">
        <f aca="false">SUMIF('Basis Options'!$X:$X,CONCATENATE($S31,Y$4),'Basis Options'!$AC:$AC)</f>
        <v>0</v>
      </c>
      <c r="Z31" s="134" t="n">
        <f aca="false">SUMIF('Basis Options'!$X:$X,CONCATENATE($S31,Z$4),'Basis Options'!$AC:$AC)</f>
        <v>0</v>
      </c>
      <c r="AA31" s="134" t="n">
        <f aca="false">SUMIF('Basis Options'!$X:$X,CONCATENATE($S31,AA$4),'Basis Options'!$AC:$AC)</f>
        <v>0</v>
      </c>
      <c r="AB31" s="134" t="n">
        <f aca="false">SUMIF('Basis Options'!$X:$X,CONCATENATE($S31,AB$4),'Basis Options'!$AC:$AC)</f>
        <v>0</v>
      </c>
      <c r="AC31" s="134" t="n">
        <f aca="false">SUMIF('Basis Options'!$X:$X,CONCATENATE($S31,AC$4),'Basis Options'!$AC:$AC)</f>
        <v>0</v>
      </c>
      <c r="AD31" s="134" t="n">
        <f aca="false">SUMIF('Basis Options'!$X:$X,CONCATENATE($S31,AD$4),'Basis Options'!$AC:$AC)</f>
        <v>0</v>
      </c>
      <c r="AE31" s="134" t="n">
        <f aca="false">SUMIF('Basis Options'!$X:$X,CONCATENATE($S31,AE$4),'Basis Options'!$AC:$AC)</f>
        <v>0</v>
      </c>
      <c r="AF31" s="134" t="n">
        <f aca="false">SUMIF('Basis Options'!$X:$X,CONCATENATE($S31,AF$4),'Basis Options'!$AC:$AC)</f>
        <v>0</v>
      </c>
      <c r="AG31" s="208" t="n">
        <f aca="false">EOMONTH(AG30,0)+1</f>
        <v>37530</v>
      </c>
      <c r="AH31" s="135" t="n">
        <f aca="false">SUM(T31:AF31)</f>
        <v>0</v>
      </c>
      <c r="AK31" s="208" t="n">
        <f aca="false">EOMONTH(AK30,0)+1</f>
        <v>37530</v>
      </c>
      <c r="AL31" s="134" t="n">
        <f aca="false">SUMIF('Basis Options'!$X:$X,CONCATENATE($AK31,AL$4),'Basis Options'!$AD:$AD)</f>
        <v>0</v>
      </c>
      <c r="AM31" s="134" t="n">
        <f aca="false">SUMIF('Basis Options'!$X:$X,CONCATENATE($AK31,AM$4),'Basis Options'!$AD:$AD)</f>
        <v>0</v>
      </c>
      <c r="AN31" s="134" t="n">
        <f aca="false">SUMIF('Basis Options'!$X:$X,CONCATENATE($AK31,AN$4),'Basis Options'!$AD:$AD)</f>
        <v>0</v>
      </c>
      <c r="AO31" s="134" t="n">
        <f aca="false">SUMIF('Basis Options'!$X:$X,CONCATENATE($AK31,AO$4),'Basis Options'!$AD:$AD)</f>
        <v>0</v>
      </c>
      <c r="AP31" s="134" t="n">
        <f aca="false">SUMIF('Basis Options'!$X:$X,CONCATENATE($AK31,AP$4),'Basis Options'!$AD:$AD)</f>
        <v>0</v>
      </c>
      <c r="AQ31" s="134" t="n">
        <f aca="false">SUMIF('Basis Options'!$X:$X,CONCATENATE($AK31,AQ$4),'Basis Options'!$AD:$AD)</f>
        <v>0</v>
      </c>
      <c r="AR31" s="134" t="n">
        <f aca="false">SUMIF('Basis Options'!$X:$X,CONCATENATE($AK31,AR$4),'Basis Options'!$AD:$AD)</f>
        <v>0</v>
      </c>
      <c r="AS31" s="134" t="n">
        <f aca="false">SUMIF('Basis Options'!$X:$X,CONCATENATE($AK31,AS$4),'Basis Options'!$AD:$AD)</f>
        <v>0</v>
      </c>
      <c r="AT31" s="134" t="n">
        <f aca="false">SUMIF('Basis Options'!$X:$X,CONCATENATE($AK31,AT$4),'Basis Options'!$AD:$AD)</f>
        <v>0</v>
      </c>
      <c r="AU31" s="134" t="n">
        <f aca="false">SUMIF('Basis Options'!$X:$X,CONCATENATE($AK31,AU$4),'Basis Options'!$AD:$AD)</f>
        <v>0</v>
      </c>
      <c r="AV31" s="134" t="n">
        <f aca="false">SUMIF('Basis Options'!$X:$X,CONCATENATE($AK31,AV$4),'Basis Options'!$AD:$AD)</f>
        <v>0</v>
      </c>
      <c r="AW31" s="134" t="n">
        <f aca="false">SUMIF('Basis Options'!$X:$X,CONCATENATE($AK31,AW$4),'Basis Options'!$AD:$AD)</f>
        <v>0</v>
      </c>
      <c r="AX31" s="134" t="n">
        <f aca="false">SUMIF('Basis Options'!$X:$X,CONCATENATE($AK31,AX$4),'Basis Options'!$AD:$AD)</f>
        <v>0</v>
      </c>
      <c r="AY31" s="208" t="n">
        <f aca="false">EOMONTH(AY30,0)+1</f>
        <v>37530</v>
      </c>
      <c r="AZ31" s="135" t="n">
        <f aca="false">SUM(AL31:AX31)</f>
        <v>0</v>
      </c>
      <c r="BB31" s="208" t="n">
        <f aca="false">EOMONTH(BB30,0)+1</f>
        <v>37530</v>
      </c>
      <c r="BC31" s="134" t="n">
        <f aca="false">SUMIF('Basis Options'!$X:$X,CONCATENATE($AK31,BC$4),'Basis Options'!$AF:$AF)</f>
        <v>0</v>
      </c>
      <c r="BD31" s="134" t="n">
        <f aca="false">SUMIF('Basis Options'!$X:$X,CONCATENATE($AK31,BD$4),'Basis Options'!$AF:$AF)</f>
        <v>0</v>
      </c>
      <c r="BE31" s="134" t="n">
        <f aca="false">SUMIF('Basis Options'!$X:$X,CONCATENATE($AK31,BE$4),'Basis Options'!$AF:$AF)</f>
        <v>0</v>
      </c>
      <c r="BF31" s="134" t="n">
        <f aca="false">SUMIF('Basis Options'!$X:$X,CONCATENATE($AK31,BF$4),'Basis Options'!$AF:$AF)</f>
        <v>0</v>
      </c>
      <c r="BG31" s="134" t="n">
        <f aca="false">SUMIF('Basis Options'!$X:$X,CONCATENATE($AK31,BG$4),'Basis Options'!$AF:$AF)</f>
        <v>0</v>
      </c>
      <c r="BH31" s="134" t="n">
        <f aca="false">SUMIF('Basis Options'!$X:$X,CONCATENATE($AK31,BH$4),'Basis Options'!$AF:$AF)</f>
        <v>0</v>
      </c>
      <c r="BI31" s="134" t="n">
        <f aca="false">SUMIF('Basis Options'!$X:$X,CONCATENATE($AK31,BI$4),'Basis Options'!$AF:$AF)</f>
        <v>0</v>
      </c>
      <c r="BJ31" s="134" t="n">
        <f aca="false">SUMIF('Basis Options'!$X:$X,CONCATENATE($AK31,BJ$4),'Basis Options'!$AF:$AF)</f>
        <v>0</v>
      </c>
      <c r="BK31" s="134" t="n">
        <f aca="false">SUMIF('Basis Options'!$X:$X,CONCATENATE($AK31,BK$4),'Basis Options'!$AF:$AF)</f>
        <v>0</v>
      </c>
      <c r="BL31" s="134" t="n">
        <f aca="false">SUMIF('Basis Options'!$X:$X,CONCATENATE($AK31,BL$4),'Basis Options'!$AF:$AF)</f>
        <v>0</v>
      </c>
      <c r="BM31" s="134" t="n">
        <f aca="false">SUMIF('Basis Options'!$X:$X,CONCATENATE($AK31,BM$4),'Basis Options'!$AF:$AF)</f>
        <v>0</v>
      </c>
      <c r="BN31" s="134" t="n">
        <f aca="false">SUMIF('Basis Options'!$X:$X,CONCATENATE($AK31,BN$4),'Basis Options'!$AF:$AF)</f>
        <v>0</v>
      </c>
      <c r="BO31" s="134" t="n">
        <f aca="false">SUMIF('Basis Options'!$X:$X,CONCATENATE($AK31,BO$4),'Basis Options'!$AF:$AF)</f>
        <v>0</v>
      </c>
      <c r="BP31" s="208" t="n">
        <f aca="false">EOMONTH(BP30,0)+1</f>
        <v>37530</v>
      </c>
      <c r="BQ31" s="135" t="n">
        <f aca="false">SUM(BC31:BO31)</f>
        <v>0</v>
      </c>
      <c r="BS31" s="208" t="n">
        <f aca="false">EOMONTH(BS30,0)+1</f>
        <v>37530</v>
      </c>
      <c r="BT31" s="134" t="n">
        <f aca="false">SUMIF('Basis Options'!$X:$X,CONCATENATE($BS31,BT$4),'Basis Options'!$AI:$AI)</f>
        <v>0</v>
      </c>
      <c r="BU31" s="134" t="n">
        <f aca="false">SUMIF('Basis Options'!$X:$X,CONCATENATE($BS31,BU$4),'Basis Options'!$AI:$AI)</f>
        <v>0</v>
      </c>
      <c r="BV31" s="134" t="n">
        <f aca="false">SUMIF('Basis Options'!$X:$X,CONCATENATE($BS31,BV$4),'Basis Options'!$AI:$AI)</f>
        <v>0</v>
      </c>
      <c r="BW31" s="134" t="n">
        <f aca="false">SUMIF('Basis Options'!$X:$X,CONCATENATE($BS31,BW$4),'Basis Options'!$AI:$AI)</f>
        <v>0</v>
      </c>
      <c r="BX31" s="134" t="n">
        <f aca="false">SUMIF('Basis Options'!$X:$X,CONCATENATE($BS31,BX$4),'Basis Options'!$AI:$AI)</f>
        <v>0</v>
      </c>
      <c r="BY31" s="134" t="n">
        <f aca="false">SUMIF('Basis Options'!$X:$X,CONCATENATE($BS31,BY$4),'Basis Options'!$AI:$AI)</f>
        <v>0</v>
      </c>
      <c r="BZ31" s="134" t="n">
        <f aca="false">SUMIF('Basis Options'!$X:$X,CONCATENATE($BS31,BZ$4),'Basis Options'!$AI:$AI)</f>
        <v>0</v>
      </c>
      <c r="CA31" s="134" t="n">
        <f aca="false">SUMIF('Basis Options'!$X:$X,CONCATENATE($BS31,CA$4),'Basis Options'!$AI:$AI)</f>
        <v>0</v>
      </c>
      <c r="CB31" s="134" t="n">
        <f aca="false">SUMIF('Basis Options'!$X:$X,CONCATENATE($BS31,CB$4),'Basis Options'!$AI:$AI)</f>
        <v>0</v>
      </c>
      <c r="CC31" s="134" t="n">
        <f aca="false">SUMIF('Basis Options'!$X:$X,CONCATENATE($BS31,CC$4),'Basis Options'!$AI:$AI)</f>
        <v>0</v>
      </c>
      <c r="CD31" s="134" t="n">
        <f aca="false">SUMIF('Basis Options'!$X:$X,CONCATENATE($BS31,CD$4),'Basis Options'!$AI:$AI)</f>
        <v>0</v>
      </c>
      <c r="CE31" s="134" t="n">
        <f aca="false">SUMIF('Basis Options'!$X:$X,CONCATENATE($BS31,CE$4),'Basis Options'!$AI:$AI)</f>
        <v>0</v>
      </c>
      <c r="CF31" s="134" t="n">
        <f aca="false">SUMIF('Basis Options'!$X:$X,CONCATENATE($BS31,CF$4),'Basis Options'!$AI:$AI)</f>
        <v>0</v>
      </c>
      <c r="CG31" s="208" t="n">
        <f aca="false">EOMONTH(CG30,0)+1</f>
        <v>37530</v>
      </c>
      <c r="CH31" s="135" t="n">
        <f aca="false">SUM(BT31:CF31)</f>
        <v>0</v>
      </c>
    </row>
    <row r="32" customFormat="false" ht="12.75" hidden="false" customHeight="false" outlineLevel="0" collapsed="false">
      <c r="A32" s="208" t="n">
        <f aca="false">EOMONTH(A31,0)+1</f>
        <v>37561</v>
      </c>
      <c r="B32" s="134" t="n">
        <f aca="false">SUMIF('Basis Options'!X:X,CONCATENATE($A32,B$4),'Basis Options'!AB:AB)</f>
        <v>0</v>
      </c>
      <c r="C32" s="134" t="n">
        <f aca="false">SUMIF('Basis Options'!$X:$X,CONCATENATE($A32,C$4),'Basis Options'!$AB:$AB)</f>
        <v>0</v>
      </c>
      <c r="D32" s="134" t="n">
        <f aca="false">SUMIF('Basis Options'!$X:$X,CONCATENATE($A32,D$4),'Basis Options'!$AB:$AB)</f>
        <v>0</v>
      </c>
      <c r="E32" s="134" t="e">
        <f aca="false">SUMIF('Basis Options'!$X:$X,CONCATENATE($A32,E$4),'Basis Options'!$AB:$AB)</f>
        <v>#NAME?</v>
      </c>
      <c r="F32" s="134" t="n">
        <f aca="false">SUMIF('Basis Options'!$X:$X,CONCATENATE($A32,F$4),'Basis Options'!$AB:$AB)</f>
        <v>0</v>
      </c>
      <c r="G32" s="134" t="n">
        <f aca="false">SUMIF('Basis Options'!$X:$X,CONCATENATE($A32,G$4),'Basis Options'!$AB:$AB)</f>
        <v>0</v>
      </c>
      <c r="H32" s="134" t="n">
        <f aca="false">SUMIF('Basis Options'!$X:$X,CONCATENATE($A32,H$4),'Basis Options'!$AB:$AB)</f>
        <v>0</v>
      </c>
      <c r="I32" s="134" t="n">
        <f aca="false">SUMIF('Basis Options'!$X:$X,CONCATENATE($A32,I$4),'Basis Options'!$AB:$AB)</f>
        <v>0</v>
      </c>
      <c r="J32" s="134" t="n">
        <f aca="false">SUMIF('Basis Options'!$X:$X,CONCATENATE($A32,J$4),'Basis Options'!$AB:$AB)</f>
        <v>0</v>
      </c>
      <c r="K32" s="134" t="n">
        <f aca="false">SUMIF('Basis Options'!$X:$X,CONCATENATE($A32,K$4),'Basis Options'!$AB:$AB)</f>
        <v>0</v>
      </c>
      <c r="L32" s="134" t="n">
        <f aca="false">SUMIF('Basis Options'!$X:$X,CONCATENATE($A32,L$4),'Basis Options'!$AB:$AB)</f>
        <v>0</v>
      </c>
      <c r="M32" s="134" t="n">
        <f aca="false">SUMIF('Basis Options'!$X:$X,CONCATENATE($A32,M$4),'Basis Options'!$AB:$AB)</f>
        <v>0</v>
      </c>
      <c r="N32" s="134" t="n">
        <f aca="false">SUMIF('Basis Options'!$X:$X,CONCATENATE($A32,N$4),'Basis Options'!$AB:$AB)</f>
        <v>0</v>
      </c>
      <c r="O32" s="208" t="n">
        <f aca="false">EOMONTH(O31,0)+1</f>
        <v>37561</v>
      </c>
      <c r="P32" s="135" t="e">
        <f aca="false">SUM(B32:N32)</f>
        <v>#NAME?</v>
      </c>
      <c r="S32" s="208" t="n">
        <f aca="false">EOMONTH(S31,0)+1</f>
        <v>37561</v>
      </c>
      <c r="T32" s="134" t="n">
        <f aca="false">SUMIF('Basis Options'!$X:$X,CONCATENATE($S32,T$4),'Basis Options'!$AC:$AC)</f>
        <v>0</v>
      </c>
      <c r="U32" s="134" t="n">
        <f aca="false">SUMIF('Basis Options'!$X:$X,CONCATENATE($S32,U$4),'Basis Options'!$AC:$AC)</f>
        <v>0</v>
      </c>
      <c r="V32" s="134" t="n">
        <f aca="false">SUMIF('Basis Options'!$X:$X,CONCATENATE($S32,V$4),'Basis Options'!$AC:$AC)</f>
        <v>0</v>
      </c>
      <c r="W32" s="134" t="e">
        <f aca="false">SUMIF('Basis Options'!$X:$X,CONCATENATE($S32,W$4),'Basis Options'!$AC:$AC)</f>
        <v>#NAME?</v>
      </c>
      <c r="X32" s="134" t="n">
        <f aca="false">SUMIF('Basis Options'!$X:$X,CONCATENATE($S32,X$4),'Basis Options'!$AC:$AC)</f>
        <v>0</v>
      </c>
      <c r="Y32" s="134" t="n">
        <f aca="false">SUMIF('Basis Options'!$X:$X,CONCATENATE($S32,Y$4),'Basis Options'!$AC:$AC)</f>
        <v>0</v>
      </c>
      <c r="Z32" s="134" t="n">
        <f aca="false">SUMIF('Basis Options'!$X:$X,CONCATENATE($S32,Z$4),'Basis Options'!$AC:$AC)</f>
        <v>0</v>
      </c>
      <c r="AA32" s="134" t="n">
        <f aca="false">SUMIF('Basis Options'!$X:$X,CONCATENATE($S32,AA$4),'Basis Options'!$AC:$AC)</f>
        <v>0</v>
      </c>
      <c r="AB32" s="134" t="n">
        <f aca="false">SUMIF('Basis Options'!$X:$X,CONCATENATE($S32,AB$4),'Basis Options'!$AC:$AC)</f>
        <v>0</v>
      </c>
      <c r="AC32" s="134" t="n">
        <f aca="false">SUMIF('Basis Options'!$X:$X,CONCATENATE($S32,AC$4),'Basis Options'!$AC:$AC)</f>
        <v>0</v>
      </c>
      <c r="AD32" s="134" t="n">
        <f aca="false">SUMIF('Basis Options'!$X:$X,CONCATENATE($S32,AD$4),'Basis Options'!$AC:$AC)</f>
        <v>0</v>
      </c>
      <c r="AE32" s="134" t="n">
        <f aca="false">SUMIF('Basis Options'!$X:$X,CONCATENATE($S32,AE$4),'Basis Options'!$AC:$AC)</f>
        <v>0</v>
      </c>
      <c r="AF32" s="134" t="n">
        <f aca="false">SUMIF('Basis Options'!$X:$X,CONCATENATE($S32,AF$4),'Basis Options'!$AC:$AC)</f>
        <v>0</v>
      </c>
      <c r="AG32" s="208" t="n">
        <f aca="false">EOMONTH(AG31,0)+1</f>
        <v>37561</v>
      </c>
      <c r="AH32" s="135" t="e">
        <f aca="false">SUM(T32:AF32)</f>
        <v>#NAME?</v>
      </c>
      <c r="AK32" s="208" t="n">
        <f aca="false">EOMONTH(AK31,0)+1</f>
        <v>37561</v>
      </c>
      <c r="AL32" s="134" t="n">
        <f aca="false">SUMIF('Basis Options'!$X:$X,CONCATENATE($AK32,AL$4),'Basis Options'!$AD:$AD)</f>
        <v>0</v>
      </c>
      <c r="AM32" s="134" t="n">
        <f aca="false">SUMIF('Basis Options'!$X:$X,CONCATENATE($AK32,AM$4),'Basis Options'!$AD:$AD)</f>
        <v>0</v>
      </c>
      <c r="AN32" s="134" t="n">
        <f aca="false">SUMIF('Basis Options'!$X:$X,CONCATENATE($AK32,AN$4),'Basis Options'!$AD:$AD)</f>
        <v>0</v>
      </c>
      <c r="AO32" s="134" t="e">
        <f aca="false">SUMIF('Basis Options'!$X:$X,CONCATENATE($AK32,AO$4),'Basis Options'!$AD:$AD)</f>
        <v>#NAME?</v>
      </c>
      <c r="AP32" s="134" t="n">
        <f aca="false">SUMIF('Basis Options'!$X:$X,CONCATENATE($AK32,AP$4),'Basis Options'!$AD:$AD)</f>
        <v>0</v>
      </c>
      <c r="AQ32" s="134" t="n">
        <f aca="false">SUMIF('Basis Options'!$X:$X,CONCATENATE($AK32,AQ$4),'Basis Options'!$AD:$AD)</f>
        <v>0</v>
      </c>
      <c r="AR32" s="134" t="n">
        <f aca="false">SUMIF('Basis Options'!$X:$X,CONCATENATE($AK32,AR$4),'Basis Options'!$AD:$AD)</f>
        <v>0</v>
      </c>
      <c r="AS32" s="134" t="n">
        <f aca="false">SUMIF('Basis Options'!$X:$X,CONCATENATE($AK32,AS$4),'Basis Options'!$AD:$AD)</f>
        <v>0</v>
      </c>
      <c r="AT32" s="134" t="n">
        <f aca="false">SUMIF('Basis Options'!$X:$X,CONCATENATE($AK32,AT$4),'Basis Options'!$AD:$AD)</f>
        <v>0</v>
      </c>
      <c r="AU32" s="134" t="n">
        <f aca="false">SUMIF('Basis Options'!$X:$X,CONCATENATE($AK32,AU$4),'Basis Options'!$AD:$AD)</f>
        <v>0</v>
      </c>
      <c r="AV32" s="134" t="n">
        <f aca="false">SUMIF('Basis Options'!$X:$X,CONCATENATE($AK32,AV$4),'Basis Options'!$AD:$AD)</f>
        <v>0</v>
      </c>
      <c r="AW32" s="134" t="n">
        <f aca="false">SUMIF('Basis Options'!$X:$X,CONCATENATE($AK32,AW$4),'Basis Options'!$AD:$AD)</f>
        <v>0</v>
      </c>
      <c r="AX32" s="134" t="n">
        <f aca="false">SUMIF('Basis Options'!$X:$X,CONCATENATE($AK32,AX$4),'Basis Options'!$AD:$AD)</f>
        <v>0</v>
      </c>
      <c r="AY32" s="208" t="n">
        <f aca="false">EOMONTH(AY31,0)+1</f>
        <v>37561</v>
      </c>
      <c r="AZ32" s="135" t="e">
        <f aca="false">SUM(AL32:AX32)</f>
        <v>#NAME?</v>
      </c>
      <c r="BB32" s="208" t="n">
        <f aca="false">EOMONTH(BB31,0)+1</f>
        <v>37561</v>
      </c>
      <c r="BC32" s="134" t="n">
        <f aca="false">SUMIF('Basis Options'!$X:$X,CONCATENATE($AK32,BC$4),'Basis Options'!$AF:$AF)</f>
        <v>0</v>
      </c>
      <c r="BD32" s="134" t="n">
        <f aca="false">SUMIF('Basis Options'!$X:$X,CONCATENATE($AK32,BD$4),'Basis Options'!$AF:$AF)</f>
        <v>0</v>
      </c>
      <c r="BE32" s="134" t="n">
        <f aca="false">SUMIF('Basis Options'!$X:$X,CONCATENATE($AK32,BE$4),'Basis Options'!$AF:$AF)</f>
        <v>0</v>
      </c>
      <c r="BF32" s="134" t="e">
        <f aca="false">SUMIF('Basis Options'!$X:$X,CONCATENATE($AK32,BF$4),'Basis Options'!$AF:$AF)</f>
        <v>#NAME?</v>
      </c>
      <c r="BG32" s="134" t="n">
        <f aca="false">SUMIF('Basis Options'!$X:$X,CONCATENATE($AK32,BG$4),'Basis Options'!$AF:$AF)</f>
        <v>0</v>
      </c>
      <c r="BH32" s="134" t="n">
        <f aca="false">SUMIF('Basis Options'!$X:$X,CONCATENATE($AK32,BH$4),'Basis Options'!$AF:$AF)</f>
        <v>0</v>
      </c>
      <c r="BI32" s="134" t="n">
        <f aca="false">SUMIF('Basis Options'!$X:$X,CONCATENATE($AK32,BI$4),'Basis Options'!$AF:$AF)</f>
        <v>0</v>
      </c>
      <c r="BJ32" s="134" t="n">
        <f aca="false">SUMIF('Basis Options'!$X:$X,CONCATENATE($AK32,BJ$4),'Basis Options'!$AF:$AF)</f>
        <v>0</v>
      </c>
      <c r="BK32" s="134" t="n">
        <f aca="false">SUMIF('Basis Options'!$X:$X,CONCATENATE($AK32,BK$4),'Basis Options'!$AF:$AF)</f>
        <v>0</v>
      </c>
      <c r="BL32" s="134" t="n">
        <f aca="false">SUMIF('Basis Options'!$X:$X,CONCATENATE($AK32,BL$4),'Basis Options'!$AF:$AF)</f>
        <v>0</v>
      </c>
      <c r="BM32" s="134" t="n">
        <f aca="false">SUMIF('Basis Options'!$X:$X,CONCATENATE($AK32,BM$4),'Basis Options'!$AF:$AF)</f>
        <v>0</v>
      </c>
      <c r="BN32" s="134" t="n">
        <f aca="false">SUMIF('Basis Options'!$X:$X,CONCATENATE($AK32,BN$4),'Basis Options'!$AF:$AF)</f>
        <v>0</v>
      </c>
      <c r="BO32" s="134" t="n">
        <f aca="false">SUMIF('Basis Options'!$X:$X,CONCATENATE($AK32,BO$4),'Basis Options'!$AF:$AF)</f>
        <v>0</v>
      </c>
      <c r="BP32" s="208" t="n">
        <f aca="false">EOMONTH(BP31,0)+1</f>
        <v>37561</v>
      </c>
      <c r="BQ32" s="135" t="e">
        <f aca="false">SUM(BC32:BO32)</f>
        <v>#NAME?</v>
      </c>
      <c r="BS32" s="208" t="n">
        <f aca="false">EOMONTH(BS31,0)+1</f>
        <v>37561</v>
      </c>
      <c r="BT32" s="134" t="n">
        <f aca="false">SUMIF('Basis Options'!$X:$X,CONCATENATE($BS32,BT$4),'Basis Options'!$AI:$AI)</f>
        <v>0</v>
      </c>
      <c r="BU32" s="134" t="n">
        <f aca="false">SUMIF('Basis Options'!$X:$X,CONCATENATE($BS32,BU$4),'Basis Options'!$AI:$AI)</f>
        <v>0</v>
      </c>
      <c r="BV32" s="134" t="n">
        <f aca="false">SUMIF('Basis Options'!$X:$X,CONCATENATE($BS32,BV$4),'Basis Options'!$AI:$AI)</f>
        <v>0</v>
      </c>
      <c r="BW32" s="134" t="e">
        <f aca="false">SUMIF('Basis Options'!$X:$X,CONCATENATE($BS32,BW$4),'Basis Options'!$AI:$AI)</f>
        <v>#NAME?</v>
      </c>
      <c r="BX32" s="134" t="n">
        <f aca="false">SUMIF('Basis Options'!$X:$X,CONCATENATE($BS32,BX$4),'Basis Options'!$AI:$AI)</f>
        <v>0</v>
      </c>
      <c r="BY32" s="134" t="n">
        <f aca="false">SUMIF('Basis Options'!$X:$X,CONCATENATE($BS32,BY$4),'Basis Options'!$AI:$AI)</f>
        <v>0</v>
      </c>
      <c r="BZ32" s="134" t="n">
        <f aca="false">SUMIF('Basis Options'!$X:$X,CONCATENATE($BS32,BZ$4),'Basis Options'!$AI:$AI)</f>
        <v>0</v>
      </c>
      <c r="CA32" s="134" t="n">
        <f aca="false">SUMIF('Basis Options'!$X:$X,CONCATENATE($BS32,CA$4),'Basis Options'!$AI:$AI)</f>
        <v>0</v>
      </c>
      <c r="CB32" s="134" t="n">
        <f aca="false">SUMIF('Basis Options'!$X:$X,CONCATENATE($BS32,CB$4),'Basis Options'!$AI:$AI)</f>
        <v>0</v>
      </c>
      <c r="CC32" s="134" t="n">
        <f aca="false">SUMIF('Basis Options'!$X:$X,CONCATENATE($BS32,CC$4),'Basis Options'!$AI:$AI)</f>
        <v>0</v>
      </c>
      <c r="CD32" s="134" t="n">
        <f aca="false">SUMIF('Basis Options'!$X:$X,CONCATENATE($BS32,CD$4),'Basis Options'!$AI:$AI)</f>
        <v>0</v>
      </c>
      <c r="CE32" s="134" t="n">
        <f aca="false">SUMIF('Basis Options'!$X:$X,CONCATENATE($BS32,CE$4),'Basis Options'!$AI:$AI)</f>
        <v>0</v>
      </c>
      <c r="CF32" s="134" t="n">
        <f aca="false">SUMIF('Basis Options'!$X:$X,CONCATENATE($BS32,CF$4),'Basis Options'!$AI:$AI)</f>
        <v>0</v>
      </c>
      <c r="CG32" s="208" t="n">
        <f aca="false">EOMONTH(CG31,0)+1</f>
        <v>37561</v>
      </c>
      <c r="CH32" s="135" t="e">
        <f aca="false">SUM(BT32:CF32)</f>
        <v>#NAME?</v>
      </c>
    </row>
    <row r="33" customFormat="false" ht="12.75" hidden="false" customHeight="false" outlineLevel="0" collapsed="false">
      <c r="A33" s="208" t="n">
        <f aca="false">EOMONTH(A32,0)+1</f>
        <v>37591</v>
      </c>
      <c r="B33" s="134" t="n">
        <f aca="false">SUMIF('Basis Options'!X:X,CONCATENATE($A33,B$4),'Basis Options'!AB:AB)</f>
        <v>0</v>
      </c>
      <c r="C33" s="134" t="n">
        <f aca="false">SUMIF('Basis Options'!$X:$X,CONCATENATE($A33,C$4),'Basis Options'!$AB:$AB)</f>
        <v>0</v>
      </c>
      <c r="D33" s="134" t="n">
        <f aca="false">SUMIF('Basis Options'!$X:$X,CONCATENATE($A33,D$4),'Basis Options'!$AB:$AB)</f>
        <v>0</v>
      </c>
      <c r="E33" s="134" t="e">
        <f aca="false">SUMIF('Basis Options'!$X:$X,CONCATENATE($A33,E$4),'Basis Options'!$AB:$AB)</f>
        <v>#NAME?</v>
      </c>
      <c r="F33" s="134" t="n">
        <f aca="false">SUMIF('Basis Options'!$X:$X,CONCATENATE($A33,F$4),'Basis Options'!$AB:$AB)</f>
        <v>0</v>
      </c>
      <c r="G33" s="134" t="n">
        <f aca="false">SUMIF('Basis Options'!$X:$X,CONCATENATE($A33,G$4),'Basis Options'!$AB:$AB)</f>
        <v>0</v>
      </c>
      <c r="H33" s="134" t="n">
        <f aca="false">SUMIF('Basis Options'!$X:$X,CONCATENATE($A33,H$4),'Basis Options'!$AB:$AB)</f>
        <v>0</v>
      </c>
      <c r="I33" s="134" t="n">
        <f aca="false">SUMIF('Basis Options'!$X:$X,CONCATENATE($A33,I$4),'Basis Options'!$AB:$AB)</f>
        <v>0</v>
      </c>
      <c r="J33" s="134" t="n">
        <f aca="false">SUMIF('Basis Options'!$X:$X,CONCATENATE($A33,J$4),'Basis Options'!$AB:$AB)</f>
        <v>0</v>
      </c>
      <c r="K33" s="134" t="n">
        <f aca="false">SUMIF('Basis Options'!$X:$X,CONCATENATE($A33,K$4),'Basis Options'!$AB:$AB)</f>
        <v>0</v>
      </c>
      <c r="L33" s="134" t="n">
        <f aca="false">SUMIF('Basis Options'!$X:$X,CONCATENATE($A33,L$4),'Basis Options'!$AB:$AB)</f>
        <v>0</v>
      </c>
      <c r="M33" s="134" t="n">
        <f aca="false">SUMIF('Basis Options'!$X:$X,CONCATENATE($A33,M$4),'Basis Options'!$AB:$AB)</f>
        <v>0</v>
      </c>
      <c r="N33" s="134" t="n">
        <f aca="false">SUMIF('Basis Options'!$X:$X,CONCATENATE($A33,N$4),'Basis Options'!$AB:$AB)</f>
        <v>0</v>
      </c>
      <c r="O33" s="208" t="n">
        <f aca="false">EOMONTH(O32,0)+1</f>
        <v>37591</v>
      </c>
      <c r="P33" s="135" t="e">
        <f aca="false">SUM(B33:N33)</f>
        <v>#NAME?</v>
      </c>
      <c r="S33" s="208" t="n">
        <f aca="false">EOMONTH(S32,0)+1</f>
        <v>37591</v>
      </c>
      <c r="T33" s="134" t="n">
        <f aca="false">SUMIF('Basis Options'!$X:$X,CONCATENATE($S33,T$4),'Basis Options'!$AC:$AC)</f>
        <v>0</v>
      </c>
      <c r="U33" s="134" t="n">
        <f aca="false">SUMIF('Basis Options'!$X:$X,CONCATENATE($S33,U$4),'Basis Options'!$AC:$AC)</f>
        <v>0</v>
      </c>
      <c r="V33" s="134" t="n">
        <f aca="false">SUMIF('Basis Options'!$X:$X,CONCATENATE($S33,V$4),'Basis Options'!$AC:$AC)</f>
        <v>0</v>
      </c>
      <c r="W33" s="134" t="e">
        <f aca="false">SUMIF('Basis Options'!$X:$X,CONCATENATE($S33,W$4),'Basis Options'!$AC:$AC)</f>
        <v>#NAME?</v>
      </c>
      <c r="X33" s="134" t="n">
        <f aca="false">SUMIF('Basis Options'!$X:$X,CONCATENATE($S33,X$4),'Basis Options'!$AC:$AC)</f>
        <v>0</v>
      </c>
      <c r="Y33" s="134" t="n">
        <f aca="false">SUMIF('Basis Options'!$X:$X,CONCATENATE($S33,Y$4),'Basis Options'!$AC:$AC)</f>
        <v>0</v>
      </c>
      <c r="Z33" s="134" t="n">
        <f aca="false">SUMIF('Basis Options'!$X:$X,CONCATENATE($S33,Z$4),'Basis Options'!$AC:$AC)</f>
        <v>0</v>
      </c>
      <c r="AA33" s="134" t="n">
        <f aca="false">SUMIF('Basis Options'!$X:$X,CONCATENATE($S33,AA$4),'Basis Options'!$AC:$AC)</f>
        <v>0</v>
      </c>
      <c r="AB33" s="134" t="n">
        <f aca="false">SUMIF('Basis Options'!$X:$X,CONCATENATE($S33,AB$4),'Basis Options'!$AC:$AC)</f>
        <v>0</v>
      </c>
      <c r="AC33" s="134" t="n">
        <f aca="false">SUMIF('Basis Options'!$X:$X,CONCATENATE($S33,AC$4),'Basis Options'!$AC:$AC)</f>
        <v>0</v>
      </c>
      <c r="AD33" s="134" t="n">
        <f aca="false">SUMIF('Basis Options'!$X:$X,CONCATENATE($S33,AD$4),'Basis Options'!$AC:$AC)</f>
        <v>0</v>
      </c>
      <c r="AE33" s="134" t="n">
        <f aca="false">SUMIF('Basis Options'!$X:$X,CONCATENATE($S33,AE$4),'Basis Options'!$AC:$AC)</f>
        <v>0</v>
      </c>
      <c r="AF33" s="134" t="n">
        <f aca="false">SUMIF('Basis Options'!$X:$X,CONCATENATE($S33,AF$4),'Basis Options'!$AC:$AC)</f>
        <v>0</v>
      </c>
      <c r="AG33" s="208" t="n">
        <f aca="false">EOMONTH(AG32,0)+1</f>
        <v>37591</v>
      </c>
      <c r="AH33" s="135" t="e">
        <f aca="false">SUM(T33:AF33)</f>
        <v>#NAME?</v>
      </c>
      <c r="AK33" s="208" t="n">
        <f aca="false">EOMONTH(AK32,0)+1</f>
        <v>37591</v>
      </c>
      <c r="AL33" s="134" t="n">
        <f aca="false">SUMIF('Basis Options'!$X:$X,CONCATENATE($AK33,AL$4),'Basis Options'!$AD:$AD)</f>
        <v>0</v>
      </c>
      <c r="AM33" s="134" t="n">
        <f aca="false">SUMIF('Basis Options'!$X:$X,CONCATENATE($AK33,AM$4),'Basis Options'!$AD:$AD)</f>
        <v>0</v>
      </c>
      <c r="AN33" s="134" t="n">
        <f aca="false">SUMIF('Basis Options'!$X:$X,CONCATENATE($AK33,AN$4),'Basis Options'!$AD:$AD)</f>
        <v>0</v>
      </c>
      <c r="AO33" s="134" t="e">
        <f aca="false">SUMIF('Basis Options'!$X:$X,CONCATENATE($AK33,AO$4),'Basis Options'!$AD:$AD)</f>
        <v>#NAME?</v>
      </c>
      <c r="AP33" s="134" t="n">
        <f aca="false">SUMIF('Basis Options'!$X:$X,CONCATENATE($AK33,AP$4),'Basis Options'!$AD:$AD)</f>
        <v>0</v>
      </c>
      <c r="AQ33" s="134" t="n">
        <f aca="false">SUMIF('Basis Options'!$X:$X,CONCATENATE($AK33,AQ$4),'Basis Options'!$AD:$AD)</f>
        <v>0</v>
      </c>
      <c r="AR33" s="134" t="n">
        <f aca="false">SUMIF('Basis Options'!$X:$X,CONCATENATE($AK33,AR$4),'Basis Options'!$AD:$AD)</f>
        <v>0</v>
      </c>
      <c r="AS33" s="134" t="n">
        <f aca="false">SUMIF('Basis Options'!$X:$X,CONCATENATE($AK33,AS$4),'Basis Options'!$AD:$AD)</f>
        <v>0</v>
      </c>
      <c r="AT33" s="134" t="n">
        <f aca="false">SUMIF('Basis Options'!$X:$X,CONCATENATE($AK33,AT$4),'Basis Options'!$AD:$AD)</f>
        <v>0</v>
      </c>
      <c r="AU33" s="134" t="n">
        <f aca="false">SUMIF('Basis Options'!$X:$X,CONCATENATE($AK33,AU$4),'Basis Options'!$AD:$AD)</f>
        <v>0</v>
      </c>
      <c r="AV33" s="134" t="n">
        <f aca="false">SUMIF('Basis Options'!$X:$X,CONCATENATE($AK33,AV$4),'Basis Options'!$AD:$AD)</f>
        <v>0</v>
      </c>
      <c r="AW33" s="134" t="n">
        <f aca="false">SUMIF('Basis Options'!$X:$X,CONCATENATE($AK33,AW$4),'Basis Options'!$AD:$AD)</f>
        <v>0</v>
      </c>
      <c r="AX33" s="134" t="n">
        <f aca="false">SUMIF('Basis Options'!$X:$X,CONCATENATE($AK33,AX$4),'Basis Options'!$AD:$AD)</f>
        <v>0</v>
      </c>
      <c r="AY33" s="208" t="n">
        <f aca="false">EOMONTH(AY32,0)+1</f>
        <v>37591</v>
      </c>
      <c r="AZ33" s="135" t="e">
        <f aca="false">SUM(AL33:AX33)</f>
        <v>#NAME?</v>
      </c>
      <c r="BB33" s="208" t="n">
        <f aca="false">EOMONTH(BB32,0)+1</f>
        <v>37591</v>
      </c>
      <c r="BC33" s="134" t="n">
        <f aca="false">SUMIF('Basis Options'!$X:$X,CONCATENATE($AK33,BC$4),'Basis Options'!$AF:$AF)</f>
        <v>0</v>
      </c>
      <c r="BD33" s="134" t="n">
        <f aca="false">SUMIF('Basis Options'!$X:$X,CONCATENATE($AK33,BD$4),'Basis Options'!$AF:$AF)</f>
        <v>0</v>
      </c>
      <c r="BE33" s="134" t="n">
        <f aca="false">SUMIF('Basis Options'!$X:$X,CONCATENATE($AK33,BE$4),'Basis Options'!$AF:$AF)</f>
        <v>0</v>
      </c>
      <c r="BF33" s="134" t="e">
        <f aca="false">SUMIF('Basis Options'!$X:$X,CONCATENATE($AK33,BF$4),'Basis Options'!$AF:$AF)</f>
        <v>#NAME?</v>
      </c>
      <c r="BG33" s="134" t="n">
        <f aca="false">SUMIF('Basis Options'!$X:$X,CONCATENATE($AK33,BG$4),'Basis Options'!$AF:$AF)</f>
        <v>0</v>
      </c>
      <c r="BH33" s="134" t="n">
        <f aca="false">SUMIF('Basis Options'!$X:$X,CONCATENATE($AK33,BH$4),'Basis Options'!$AF:$AF)</f>
        <v>0</v>
      </c>
      <c r="BI33" s="134" t="n">
        <f aca="false">SUMIF('Basis Options'!$X:$X,CONCATENATE($AK33,BI$4),'Basis Options'!$AF:$AF)</f>
        <v>0</v>
      </c>
      <c r="BJ33" s="134" t="n">
        <f aca="false">SUMIF('Basis Options'!$X:$X,CONCATENATE($AK33,BJ$4),'Basis Options'!$AF:$AF)</f>
        <v>0</v>
      </c>
      <c r="BK33" s="134" t="n">
        <f aca="false">SUMIF('Basis Options'!$X:$X,CONCATENATE($AK33,BK$4),'Basis Options'!$AF:$AF)</f>
        <v>0</v>
      </c>
      <c r="BL33" s="134" t="n">
        <f aca="false">SUMIF('Basis Options'!$X:$X,CONCATENATE($AK33,BL$4),'Basis Options'!$AF:$AF)</f>
        <v>0</v>
      </c>
      <c r="BM33" s="134" t="n">
        <f aca="false">SUMIF('Basis Options'!$X:$X,CONCATENATE($AK33,BM$4),'Basis Options'!$AF:$AF)</f>
        <v>0</v>
      </c>
      <c r="BN33" s="134" t="n">
        <f aca="false">SUMIF('Basis Options'!$X:$X,CONCATENATE($AK33,BN$4),'Basis Options'!$AF:$AF)</f>
        <v>0</v>
      </c>
      <c r="BO33" s="134" t="n">
        <f aca="false">SUMIF('Basis Options'!$X:$X,CONCATENATE($AK33,BO$4),'Basis Options'!$AF:$AF)</f>
        <v>0</v>
      </c>
      <c r="BP33" s="208" t="n">
        <f aca="false">EOMONTH(BP32,0)+1</f>
        <v>37591</v>
      </c>
      <c r="BQ33" s="135" t="e">
        <f aca="false">SUM(BC33:BO33)</f>
        <v>#NAME?</v>
      </c>
      <c r="BS33" s="208" t="n">
        <f aca="false">EOMONTH(BS32,0)+1</f>
        <v>37591</v>
      </c>
      <c r="BT33" s="134" t="n">
        <f aca="false">SUMIF('Basis Options'!$X:$X,CONCATENATE($BS33,BT$4),'Basis Options'!$AI:$AI)</f>
        <v>0</v>
      </c>
      <c r="BU33" s="134" t="n">
        <f aca="false">SUMIF('Basis Options'!$X:$X,CONCATENATE($BS33,BU$4),'Basis Options'!$AI:$AI)</f>
        <v>0</v>
      </c>
      <c r="BV33" s="134" t="n">
        <f aca="false">SUMIF('Basis Options'!$X:$X,CONCATENATE($BS33,BV$4),'Basis Options'!$AI:$AI)</f>
        <v>0</v>
      </c>
      <c r="BW33" s="134" t="e">
        <f aca="false">SUMIF('Basis Options'!$X:$X,CONCATENATE($BS33,BW$4),'Basis Options'!$AI:$AI)</f>
        <v>#NAME?</v>
      </c>
      <c r="BX33" s="134" t="n">
        <f aca="false">SUMIF('Basis Options'!$X:$X,CONCATENATE($BS33,BX$4),'Basis Options'!$AI:$AI)</f>
        <v>0</v>
      </c>
      <c r="BY33" s="134" t="n">
        <f aca="false">SUMIF('Basis Options'!$X:$X,CONCATENATE($BS33,BY$4),'Basis Options'!$AI:$AI)</f>
        <v>0</v>
      </c>
      <c r="BZ33" s="134" t="n">
        <f aca="false">SUMIF('Basis Options'!$X:$X,CONCATENATE($BS33,BZ$4),'Basis Options'!$AI:$AI)</f>
        <v>0</v>
      </c>
      <c r="CA33" s="134" t="n">
        <f aca="false">SUMIF('Basis Options'!$X:$X,CONCATENATE($BS33,CA$4),'Basis Options'!$AI:$AI)</f>
        <v>0</v>
      </c>
      <c r="CB33" s="134" t="n">
        <f aca="false">SUMIF('Basis Options'!$X:$X,CONCATENATE($BS33,CB$4),'Basis Options'!$AI:$AI)</f>
        <v>0</v>
      </c>
      <c r="CC33" s="134" t="n">
        <f aca="false">SUMIF('Basis Options'!$X:$X,CONCATENATE($BS33,CC$4),'Basis Options'!$AI:$AI)</f>
        <v>0</v>
      </c>
      <c r="CD33" s="134" t="n">
        <f aca="false">SUMIF('Basis Options'!$X:$X,CONCATENATE($BS33,CD$4),'Basis Options'!$AI:$AI)</f>
        <v>0</v>
      </c>
      <c r="CE33" s="134" t="n">
        <f aca="false">SUMIF('Basis Options'!$X:$X,CONCATENATE($BS33,CE$4),'Basis Options'!$AI:$AI)</f>
        <v>0</v>
      </c>
      <c r="CF33" s="134" t="n">
        <f aca="false">SUMIF('Basis Options'!$X:$X,CONCATENATE($BS33,CF$4),'Basis Options'!$AI:$AI)</f>
        <v>0</v>
      </c>
      <c r="CG33" s="208" t="n">
        <f aca="false">EOMONTH(CG32,0)+1</f>
        <v>37591</v>
      </c>
      <c r="CH33" s="135" t="e">
        <f aca="false">SUM(BT33:CF33)</f>
        <v>#NAME?</v>
      </c>
    </row>
    <row r="34" customFormat="false" ht="12.75" hidden="false" customHeight="false" outlineLevel="0" collapsed="false">
      <c r="A34" s="208" t="n">
        <f aca="false">EOMONTH(A33,0)+1</f>
        <v>37622</v>
      </c>
      <c r="B34" s="134" t="n">
        <f aca="false">SUMIF('Basis Options'!X:X,CONCATENATE($A34,B$4),'Basis Options'!AB:AB)</f>
        <v>0</v>
      </c>
      <c r="C34" s="134" t="n">
        <f aca="false">SUMIF('Basis Options'!$X:$X,CONCATENATE($A34,C$4),'Basis Options'!$AB:$AB)</f>
        <v>0</v>
      </c>
      <c r="D34" s="134" t="n">
        <f aca="false">SUMIF('Basis Options'!$X:$X,CONCATENATE($A34,D$4),'Basis Options'!$AB:$AB)</f>
        <v>0</v>
      </c>
      <c r="E34" s="134" t="e">
        <f aca="false">SUMIF('Basis Options'!$X:$X,CONCATENATE($A34,E$4),'Basis Options'!$AB:$AB)</f>
        <v>#NAME?</v>
      </c>
      <c r="F34" s="134" t="n">
        <f aca="false">SUMIF('Basis Options'!$X:$X,CONCATENATE($A34,F$4),'Basis Options'!$AB:$AB)</f>
        <v>0</v>
      </c>
      <c r="G34" s="134" t="n">
        <f aca="false">SUMIF('Basis Options'!$X:$X,CONCATENATE($A34,G$4),'Basis Options'!$AB:$AB)</f>
        <v>0</v>
      </c>
      <c r="H34" s="134" t="n">
        <f aca="false">SUMIF('Basis Options'!$X:$X,CONCATENATE($A34,H$4),'Basis Options'!$AB:$AB)</f>
        <v>0</v>
      </c>
      <c r="I34" s="134" t="n">
        <f aca="false">SUMIF('Basis Options'!$X:$X,CONCATENATE($A34,I$4),'Basis Options'!$AB:$AB)</f>
        <v>0</v>
      </c>
      <c r="J34" s="134" t="n">
        <f aca="false">SUMIF('Basis Options'!$X:$X,CONCATENATE($A34,J$4),'Basis Options'!$AB:$AB)</f>
        <v>0</v>
      </c>
      <c r="K34" s="134" t="n">
        <f aca="false">SUMIF('Basis Options'!$X:$X,CONCATENATE($A34,K$4),'Basis Options'!$AB:$AB)</f>
        <v>0</v>
      </c>
      <c r="L34" s="134" t="n">
        <f aca="false">SUMIF('Basis Options'!$X:$X,CONCATENATE($A34,L$4),'Basis Options'!$AB:$AB)</f>
        <v>0</v>
      </c>
      <c r="M34" s="134" t="n">
        <f aca="false">SUMIF('Basis Options'!$X:$X,CONCATENATE($A34,M$4),'Basis Options'!$AB:$AB)</f>
        <v>0</v>
      </c>
      <c r="N34" s="134" t="n">
        <f aca="false">SUMIF('Basis Options'!$X:$X,CONCATENATE($A34,N$4),'Basis Options'!$AB:$AB)</f>
        <v>0</v>
      </c>
      <c r="O34" s="208" t="n">
        <f aca="false">EOMONTH(O33,0)+1</f>
        <v>37622</v>
      </c>
      <c r="P34" s="135" t="e">
        <f aca="false">SUM(B34:N34)</f>
        <v>#NAME?</v>
      </c>
      <c r="S34" s="208" t="n">
        <f aca="false">EOMONTH(S33,0)+1</f>
        <v>37622</v>
      </c>
      <c r="T34" s="134" t="n">
        <f aca="false">SUMIF('Basis Options'!$X:$X,CONCATENATE($S34,T$4),'Basis Options'!$AC:$AC)</f>
        <v>0</v>
      </c>
      <c r="U34" s="134" t="n">
        <f aca="false">SUMIF('Basis Options'!$X:$X,CONCATENATE($S34,U$4),'Basis Options'!$AC:$AC)</f>
        <v>0</v>
      </c>
      <c r="V34" s="134" t="n">
        <f aca="false">SUMIF('Basis Options'!$X:$X,CONCATENATE($S34,V$4),'Basis Options'!$AC:$AC)</f>
        <v>0</v>
      </c>
      <c r="W34" s="134" t="e">
        <f aca="false">SUMIF('Basis Options'!$X:$X,CONCATENATE($S34,W$4),'Basis Options'!$AC:$AC)</f>
        <v>#NAME?</v>
      </c>
      <c r="X34" s="134" t="n">
        <f aca="false">SUMIF('Basis Options'!$X:$X,CONCATENATE($S34,X$4),'Basis Options'!$AC:$AC)</f>
        <v>0</v>
      </c>
      <c r="Y34" s="134" t="n">
        <f aca="false">SUMIF('Basis Options'!$X:$X,CONCATENATE($S34,Y$4),'Basis Options'!$AC:$AC)</f>
        <v>0</v>
      </c>
      <c r="Z34" s="134" t="n">
        <f aca="false">SUMIF('Basis Options'!$X:$X,CONCATENATE($S34,Z$4),'Basis Options'!$AC:$AC)</f>
        <v>0</v>
      </c>
      <c r="AA34" s="134" t="n">
        <f aca="false">SUMIF('Basis Options'!$X:$X,CONCATENATE($S34,AA$4),'Basis Options'!$AC:$AC)</f>
        <v>0</v>
      </c>
      <c r="AB34" s="134" t="n">
        <f aca="false">SUMIF('Basis Options'!$X:$X,CONCATENATE($S34,AB$4),'Basis Options'!$AC:$AC)</f>
        <v>0</v>
      </c>
      <c r="AC34" s="134" t="n">
        <f aca="false">SUMIF('Basis Options'!$X:$X,CONCATENATE($S34,AC$4),'Basis Options'!$AC:$AC)</f>
        <v>0</v>
      </c>
      <c r="AD34" s="134" t="n">
        <f aca="false">SUMIF('Basis Options'!$X:$X,CONCATENATE($S34,AD$4),'Basis Options'!$AC:$AC)</f>
        <v>0</v>
      </c>
      <c r="AE34" s="134" t="n">
        <f aca="false">SUMIF('Basis Options'!$X:$X,CONCATENATE($S34,AE$4),'Basis Options'!$AC:$AC)</f>
        <v>0</v>
      </c>
      <c r="AF34" s="134" t="n">
        <f aca="false">SUMIF('Basis Options'!$X:$X,CONCATENATE($S34,AF$4),'Basis Options'!$AC:$AC)</f>
        <v>0</v>
      </c>
      <c r="AG34" s="208" t="n">
        <f aca="false">EOMONTH(AG33,0)+1</f>
        <v>37622</v>
      </c>
      <c r="AH34" s="135" t="e">
        <f aca="false">SUM(T34:AF34)</f>
        <v>#NAME?</v>
      </c>
      <c r="AK34" s="208" t="n">
        <f aca="false">EOMONTH(AK33,0)+1</f>
        <v>37622</v>
      </c>
      <c r="AL34" s="134" t="n">
        <f aca="false">SUMIF('Basis Options'!$X:$X,CONCATENATE($AK34,AL$4),'Basis Options'!$AD:$AD)</f>
        <v>0</v>
      </c>
      <c r="AM34" s="134" t="n">
        <f aca="false">SUMIF('Basis Options'!$X:$X,CONCATENATE($AK34,AM$4),'Basis Options'!$AD:$AD)</f>
        <v>0</v>
      </c>
      <c r="AN34" s="134" t="n">
        <f aca="false">SUMIF('Basis Options'!$X:$X,CONCATENATE($AK34,AN$4),'Basis Options'!$AD:$AD)</f>
        <v>0</v>
      </c>
      <c r="AO34" s="134" t="e">
        <f aca="false">SUMIF('Basis Options'!$X:$X,CONCATENATE($AK34,AO$4),'Basis Options'!$AD:$AD)</f>
        <v>#NAME?</v>
      </c>
      <c r="AP34" s="134" t="n">
        <f aca="false">SUMIF('Basis Options'!$X:$X,CONCATENATE($AK34,AP$4),'Basis Options'!$AD:$AD)</f>
        <v>0</v>
      </c>
      <c r="AQ34" s="134" t="n">
        <f aca="false">SUMIF('Basis Options'!$X:$X,CONCATENATE($AK34,AQ$4),'Basis Options'!$AD:$AD)</f>
        <v>0</v>
      </c>
      <c r="AR34" s="134" t="n">
        <f aca="false">SUMIF('Basis Options'!$X:$X,CONCATENATE($AK34,AR$4),'Basis Options'!$AD:$AD)</f>
        <v>0</v>
      </c>
      <c r="AS34" s="134" t="n">
        <f aca="false">SUMIF('Basis Options'!$X:$X,CONCATENATE($AK34,AS$4),'Basis Options'!$AD:$AD)</f>
        <v>0</v>
      </c>
      <c r="AT34" s="134" t="n">
        <f aca="false">SUMIF('Basis Options'!$X:$X,CONCATENATE($AK34,AT$4),'Basis Options'!$AD:$AD)</f>
        <v>0</v>
      </c>
      <c r="AU34" s="134" t="n">
        <f aca="false">SUMIF('Basis Options'!$X:$X,CONCATENATE($AK34,AU$4),'Basis Options'!$AD:$AD)</f>
        <v>0</v>
      </c>
      <c r="AV34" s="134" t="n">
        <f aca="false">SUMIF('Basis Options'!$X:$X,CONCATENATE($AK34,AV$4),'Basis Options'!$AD:$AD)</f>
        <v>0</v>
      </c>
      <c r="AW34" s="134" t="n">
        <f aca="false">SUMIF('Basis Options'!$X:$X,CONCATENATE($AK34,AW$4),'Basis Options'!$AD:$AD)</f>
        <v>0</v>
      </c>
      <c r="AX34" s="134" t="n">
        <f aca="false">SUMIF('Basis Options'!$X:$X,CONCATENATE($AK34,AX$4),'Basis Options'!$AD:$AD)</f>
        <v>0</v>
      </c>
      <c r="AY34" s="208" t="n">
        <f aca="false">EOMONTH(AY33,0)+1</f>
        <v>37622</v>
      </c>
      <c r="AZ34" s="135" t="e">
        <f aca="false">SUM(AL34:AX34)</f>
        <v>#NAME?</v>
      </c>
      <c r="BB34" s="208" t="n">
        <f aca="false">EOMONTH(BB33,0)+1</f>
        <v>37622</v>
      </c>
      <c r="BC34" s="134" t="n">
        <f aca="false">SUMIF('Basis Options'!$X:$X,CONCATENATE($AK34,BC$4),'Basis Options'!$AF:$AF)</f>
        <v>0</v>
      </c>
      <c r="BD34" s="134" t="n">
        <f aca="false">SUMIF('Basis Options'!$X:$X,CONCATENATE($AK34,BD$4),'Basis Options'!$AF:$AF)</f>
        <v>0</v>
      </c>
      <c r="BE34" s="134" t="n">
        <f aca="false">SUMIF('Basis Options'!$X:$X,CONCATENATE($AK34,BE$4),'Basis Options'!$AF:$AF)</f>
        <v>0</v>
      </c>
      <c r="BF34" s="134" t="e">
        <f aca="false">SUMIF('Basis Options'!$X:$X,CONCATENATE($AK34,BF$4),'Basis Options'!$AF:$AF)</f>
        <v>#NAME?</v>
      </c>
      <c r="BG34" s="134" t="n">
        <f aca="false">SUMIF('Basis Options'!$X:$X,CONCATENATE($AK34,BG$4),'Basis Options'!$AF:$AF)</f>
        <v>0</v>
      </c>
      <c r="BH34" s="134" t="n">
        <f aca="false">SUMIF('Basis Options'!$X:$X,CONCATENATE($AK34,BH$4),'Basis Options'!$AF:$AF)</f>
        <v>0</v>
      </c>
      <c r="BI34" s="134" t="n">
        <f aca="false">SUMIF('Basis Options'!$X:$X,CONCATENATE($AK34,BI$4),'Basis Options'!$AF:$AF)</f>
        <v>0</v>
      </c>
      <c r="BJ34" s="134" t="n">
        <f aca="false">SUMIF('Basis Options'!$X:$X,CONCATENATE($AK34,BJ$4),'Basis Options'!$AF:$AF)</f>
        <v>0</v>
      </c>
      <c r="BK34" s="134" t="n">
        <f aca="false">SUMIF('Basis Options'!$X:$X,CONCATENATE($AK34,BK$4),'Basis Options'!$AF:$AF)</f>
        <v>0</v>
      </c>
      <c r="BL34" s="134" t="n">
        <f aca="false">SUMIF('Basis Options'!$X:$X,CONCATENATE($AK34,BL$4),'Basis Options'!$AF:$AF)</f>
        <v>0</v>
      </c>
      <c r="BM34" s="134" t="n">
        <f aca="false">SUMIF('Basis Options'!$X:$X,CONCATENATE($AK34,BM$4),'Basis Options'!$AF:$AF)</f>
        <v>0</v>
      </c>
      <c r="BN34" s="134" t="n">
        <f aca="false">SUMIF('Basis Options'!$X:$X,CONCATENATE($AK34,BN$4),'Basis Options'!$AF:$AF)</f>
        <v>0</v>
      </c>
      <c r="BO34" s="134" t="n">
        <f aca="false">SUMIF('Basis Options'!$X:$X,CONCATENATE($AK34,BO$4),'Basis Options'!$AF:$AF)</f>
        <v>0</v>
      </c>
      <c r="BP34" s="208" t="n">
        <f aca="false">EOMONTH(BP33,0)+1</f>
        <v>37622</v>
      </c>
      <c r="BQ34" s="135" t="e">
        <f aca="false">SUM(BC34:BO34)</f>
        <v>#NAME?</v>
      </c>
      <c r="BS34" s="208" t="n">
        <f aca="false">EOMONTH(BS33,0)+1</f>
        <v>37622</v>
      </c>
      <c r="BT34" s="134" t="n">
        <f aca="false">SUMIF('Basis Options'!$X:$X,CONCATENATE($BS34,BT$4),'Basis Options'!$AI:$AI)</f>
        <v>0</v>
      </c>
      <c r="BU34" s="134" t="n">
        <f aca="false">SUMIF('Basis Options'!$X:$X,CONCATENATE($BS34,BU$4),'Basis Options'!$AI:$AI)</f>
        <v>0</v>
      </c>
      <c r="BV34" s="134" t="n">
        <f aca="false">SUMIF('Basis Options'!$X:$X,CONCATENATE($BS34,BV$4),'Basis Options'!$AI:$AI)</f>
        <v>0</v>
      </c>
      <c r="BW34" s="134" t="e">
        <f aca="false">SUMIF('Basis Options'!$X:$X,CONCATENATE($BS34,BW$4),'Basis Options'!$AI:$AI)</f>
        <v>#NAME?</v>
      </c>
      <c r="BX34" s="134" t="n">
        <f aca="false">SUMIF('Basis Options'!$X:$X,CONCATENATE($BS34,BX$4),'Basis Options'!$AI:$AI)</f>
        <v>0</v>
      </c>
      <c r="BY34" s="134" t="n">
        <f aca="false">SUMIF('Basis Options'!$X:$X,CONCATENATE($BS34,BY$4),'Basis Options'!$AI:$AI)</f>
        <v>0</v>
      </c>
      <c r="BZ34" s="134" t="n">
        <f aca="false">SUMIF('Basis Options'!$X:$X,CONCATENATE($BS34,BZ$4),'Basis Options'!$AI:$AI)</f>
        <v>0</v>
      </c>
      <c r="CA34" s="134" t="n">
        <f aca="false">SUMIF('Basis Options'!$X:$X,CONCATENATE($BS34,CA$4),'Basis Options'!$AI:$AI)</f>
        <v>0</v>
      </c>
      <c r="CB34" s="134" t="n">
        <f aca="false">SUMIF('Basis Options'!$X:$X,CONCATENATE($BS34,CB$4),'Basis Options'!$AI:$AI)</f>
        <v>0</v>
      </c>
      <c r="CC34" s="134" t="n">
        <f aca="false">SUMIF('Basis Options'!$X:$X,CONCATENATE($BS34,CC$4),'Basis Options'!$AI:$AI)</f>
        <v>0</v>
      </c>
      <c r="CD34" s="134" t="n">
        <f aca="false">SUMIF('Basis Options'!$X:$X,CONCATENATE($BS34,CD$4),'Basis Options'!$AI:$AI)</f>
        <v>0</v>
      </c>
      <c r="CE34" s="134" t="n">
        <f aca="false">SUMIF('Basis Options'!$X:$X,CONCATENATE($BS34,CE$4),'Basis Options'!$AI:$AI)</f>
        <v>0</v>
      </c>
      <c r="CF34" s="134" t="n">
        <f aca="false">SUMIF('Basis Options'!$X:$X,CONCATENATE($BS34,CF$4),'Basis Options'!$AI:$AI)</f>
        <v>0</v>
      </c>
      <c r="CG34" s="208" t="n">
        <f aca="false">EOMONTH(CG33,0)+1</f>
        <v>37622</v>
      </c>
      <c r="CH34" s="135" t="e">
        <f aca="false">SUM(BT34:CF34)</f>
        <v>#NAME?</v>
      </c>
    </row>
    <row r="35" customFormat="false" ht="12.75" hidden="false" customHeight="false" outlineLevel="0" collapsed="false">
      <c r="A35" s="208" t="n">
        <f aca="false">EOMONTH(A34,0)+1</f>
        <v>37653</v>
      </c>
      <c r="B35" s="134" t="n">
        <f aca="false">SUMIF('Basis Options'!X:X,CONCATENATE($A35,B$4),'Basis Options'!AB:AB)</f>
        <v>0</v>
      </c>
      <c r="C35" s="134" t="n">
        <f aca="false">SUMIF('Basis Options'!$X:$X,CONCATENATE($A35,C$4),'Basis Options'!$AB:$AB)</f>
        <v>0</v>
      </c>
      <c r="D35" s="134" t="n">
        <f aca="false">SUMIF('Basis Options'!$X:$X,CONCATENATE($A35,D$4),'Basis Options'!$AB:$AB)</f>
        <v>0</v>
      </c>
      <c r="E35" s="134" t="e">
        <f aca="false">SUMIF('Basis Options'!$X:$X,CONCATENATE($A35,E$4),'Basis Options'!$AB:$AB)</f>
        <v>#NAME?</v>
      </c>
      <c r="F35" s="134" t="n">
        <f aca="false">SUMIF('Basis Options'!$X:$X,CONCATENATE($A35,F$4),'Basis Options'!$AB:$AB)</f>
        <v>0</v>
      </c>
      <c r="G35" s="134" t="n">
        <f aca="false">SUMIF('Basis Options'!$X:$X,CONCATENATE($A35,G$4),'Basis Options'!$AB:$AB)</f>
        <v>0</v>
      </c>
      <c r="H35" s="134" t="n">
        <f aca="false">SUMIF('Basis Options'!$X:$X,CONCATENATE($A35,H$4),'Basis Options'!$AB:$AB)</f>
        <v>0</v>
      </c>
      <c r="I35" s="134" t="n">
        <f aca="false">SUMIF('Basis Options'!$X:$X,CONCATENATE($A35,I$4),'Basis Options'!$AB:$AB)</f>
        <v>0</v>
      </c>
      <c r="J35" s="134" t="n">
        <f aca="false">SUMIF('Basis Options'!$X:$X,CONCATENATE($A35,J$4),'Basis Options'!$AB:$AB)</f>
        <v>0</v>
      </c>
      <c r="K35" s="134" t="n">
        <f aca="false">SUMIF('Basis Options'!$X:$X,CONCATENATE($A35,K$4),'Basis Options'!$AB:$AB)</f>
        <v>0</v>
      </c>
      <c r="L35" s="134" t="n">
        <f aca="false">SUMIF('Basis Options'!$X:$X,CONCATENATE($A35,L$4),'Basis Options'!$AB:$AB)</f>
        <v>0</v>
      </c>
      <c r="M35" s="134" t="n">
        <f aca="false">SUMIF('Basis Options'!$X:$X,CONCATENATE($A35,M$4),'Basis Options'!$AB:$AB)</f>
        <v>0</v>
      </c>
      <c r="N35" s="134" t="n">
        <f aca="false">SUMIF('Basis Options'!$X:$X,CONCATENATE($A35,N$4),'Basis Options'!$AB:$AB)</f>
        <v>0</v>
      </c>
      <c r="O35" s="208" t="n">
        <f aca="false">EOMONTH(O34,0)+1</f>
        <v>37653</v>
      </c>
      <c r="P35" s="135" t="e">
        <f aca="false">SUM(B35:N35)</f>
        <v>#NAME?</v>
      </c>
      <c r="S35" s="208" t="n">
        <f aca="false">EOMONTH(S34,0)+1</f>
        <v>37653</v>
      </c>
      <c r="T35" s="134" t="n">
        <f aca="false">SUMIF('Basis Options'!$X:$X,CONCATENATE($S35,T$4),'Basis Options'!$AC:$AC)</f>
        <v>0</v>
      </c>
      <c r="U35" s="134" t="n">
        <f aca="false">SUMIF('Basis Options'!$X:$X,CONCATENATE($S35,U$4),'Basis Options'!$AC:$AC)</f>
        <v>0</v>
      </c>
      <c r="V35" s="134" t="n">
        <f aca="false">SUMIF('Basis Options'!$X:$X,CONCATENATE($S35,V$4),'Basis Options'!$AC:$AC)</f>
        <v>0</v>
      </c>
      <c r="W35" s="134" t="e">
        <f aca="false">SUMIF('Basis Options'!$X:$X,CONCATENATE($S35,W$4),'Basis Options'!$AC:$AC)</f>
        <v>#NAME?</v>
      </c>
      <c r="X35" s="134" t="n">
        <f aca="false">SUMIF('Basis Options'!$X:$X,CONCATENATE($S35,X$4),'Basis Options'!$AC:$AC)</f>
        <v>0</v>
      </c>
      <c r="Y35" s="134" t="n">
        <f aca="false">SUMIF('Basis Options'!$X:$X,CONCATENATE($S35,Y$4),'Basis Options'!$AC:$AC)</f>
        <v>0</v>
      </c>
      <c r="Z35" s="134" t="n">
        <f aca="false">SUMIF('Basis Options'!$X:$X,CONCATENATE($S35,Z$4),'Basis Options'!$AC:$AC)</f>
        <v>0</v>
      </c>
      <c r="AA35" s="134" t="n">
        <f aca="false">SUMIF('Basis Options'!$X:$X,CONCATENATE($S35,AA$4),'Basis Options'!$AC:$AC)</f>
        <v>0</v>
      </c>
      <c r="AB35" s="134" t="n">
        <f aca="false">SUMIF('Basis Options'!$X:$X,CONCATENATE($S35,AB$4),'Basis Options'!$AC:$AC)</f>
        <v>0</v>
      </c>
      <c r="AC35" s="134" t="n">
        <f aca="false">SUMIF('Basis Options'!$X:$X,CONCATENATE($S35,AC$4),'Basis Options'!$AC:$AC)</f>
        <v>0</v>
      </c>
      <c r="AD35" s="134" t="n">
        <f aca="false">SUMIF('Basis Options'!$X:$X,CONCATENATE($S35,AD$4),'Basis Options'!$AC:$AC)</f>
        <v>0</v>
      </c>
      <c r="AE35" s="134" t="n">
        <f aca="false">SUMIF('Basis Options'!$X:$X,CONCATENATE($S35,AE$4),'Basis Options'!$AC:$AC)</f>
        <v>0</v>
      </c>
      <c r="AF35" s="134" t="n">
        <f aca="false">SUMIF('Basis Options'!$X:$X,CONCATENATE($S35,AF$4),'Basis Options'!$AC:$AC)</f>
        <v>0</v>
      </c>
      <c r="AG35" s="208" t="n">
        <f aca="false">EOMONTH(AG34,0)+1</f>
        <v>37653</v>
      </c>
      <c r="AH35" s="135" t="e">
        <f aca="false">SUM(T35:AF35)</f>
        <v>#NAME?</v>
      </c>
      <c r="AK35" s="208" t="n">
        <f aca="false">EOMONTH(AK34,0)+1</f>
        <v>37653</v>
      </c>
      <c r="AL35" s="134" t="n">
        <f aca="false">SUMIF('Basis Options'!$X:$X,CONCATENATE($AK35,AL$4),'Basis Options'!$AD:$AD)</f>
        <v>0</v>
      </c>
      <c r="AM35" s="134" t="n">
        <f aca="false">SUMIF('Basis Options'!$X:$X,CONCATENATE($AK35,AM$4),'Basis Options'!$AD:$AD)</f>
        <v>0</v>
      </c>
      <c r="AN35" s="134" t="n">
        <f aca="false">SUMIF('Basis Options'!$X:$X,CONCATENATE($AK35,AN$4),'Basis Options'!$AD:$AD)</f>
        <v>0</v>
      </c>
      <c r="AO35" s="134" t="e">
        <f aca="false">SUMIF('Basis Options'!$X:$X,CONCATENATE($AK35,AO$4),'Basis Options'!$AD:$AD)</f>
        <v>#NAME?</v>
      </c>
      <c r="AP35" s="134" t="n">
        <f aca="false">SUMIF('Basis Options'!$X:$X,CONCATENATE($AK35,AP$4),'Basis Options'!$AD:$AD)</f>
        <v>0</v>
      </c>
      <c r="AQ35" s="134" t="n">
        <f aca="false">SUMIF('Basis Options'!$X:$X,CONCATENATE($AK35,AQ$4),'Basis Options'!$AD:$AD)</f>
        <v>0</v>
      </c>
      <c r="AR35" s="134" t="n">
        <f aca="false">SUMIF('Basis Options'!$X:$X,CONCATENATE($AK35,AR$4),'Basis Options'!$AD:$AD)</f>
        <v>0</v>
      </c>
      <c r="AS35" s="134" t="n">
        <f aca="false">SUMIF('Basis Options'!$X:$X,CONCATENATE($AK35,AS$4),'Basis Options'!$AD:$AD)</f>
        <v>0</v>
      </c>
      <c r="AT35" s="134" t="n">
        <f aca="false">SUMIF('Basis Options'!$X:$X,CONCATENATE($AK35,AT$4),'Basis Options'!$AD:$AD)</f>
        <v>0</v>
      </c>
      <c r="AU35" s="134" t="n">
        <f aca="false">SUMIF('Basis Options'!$X:$X,CONCATENATE($AK35,AU$4),'Basis Options'!$AD:$AD)</f>
        <v>0</v>
      </c>
      <c r="AV35" s="134" t="n">
        <f aca="false">SUMIF('Basis Options'!$X:$X,CONCATENATE($AK35,AV$4),'Basis Options'!$AD:$AD)</f>
        <v>0</v>
      </c>
      <c r="AW35" s="134" t="n">
        <f aca="false">SUMIF('Basis Options'!$X:$X,CONCATENATE($AK35,AW$4),'Basis Options'!$AD:$AD)</f>
        <v>0</v>
      </c>
      <c r="AX35" s="134" t="n">
        <f aca="false">SUMIF('Basis Options'!$X:$X,CONCATENATE($AK35,AX$4),'Basis Options'!$AD:$AD)</f>
        <v>0</v>
      </c>
      <c r="AY35" s="208" t="n">
        <f aca="false">EOMONTH(AY34,0)+1</f>
        <v>37653</v>
      </c>
      <c r="AZ35" s="135" t="e">
        <f aca="false">SUM(AL35:AX35)</f>
        <v>#NAME?</v>
      </c>
      <c r="BB35" s="208" t="n">
        <f aca="false">EOMONTH(BB34,0)+1</f>
        <v>37653</v>
      </c>
      <c r="BC35" s="134" t="n">
        <f aca="false">SUMIF('Basis Options'!$X:$X,CONCATENATE($AK35,BC$4),'Basis Options'!$AF:$AF)</f>
        <v>0</v>
      </c>
      <c r="BD35" s="134" t="n">
        <f aca="false">SUMIF('Basis Options'!$X:$X,CONCATENATE($AK35,BD$4),'Basis Options'!$AF:$AF)</f>
        <v>0</v>
      </c>
      <c r="BE35" s="134" t="n">
        <f aca="false">SUMIF('Basis Options'!$X:$X,CONCATENATE($AK35,BE$4),'Basis Options'!$AF:$AF)</f>
        <v>0</v>
      </c>
      <c r="BF35" s="134" t="e">
        <f aca="false">SUMIF('Basis Options'!$X:$X,CONCATENATE($AK35,BF$4),'Basis Options'!$AF:$AF)</f>
        <v>#NAME?</v>
      </c>
      <c r="BG35" s="134" t="n">
        <f aca="false">SUMIF('Basis Options'!$X:$X,CONCATENATE($AK35,BG$4),'Basis Options'!$AF:$AF)</f>
        <v>0</v>
      </c>
      <c r="BH35" s="134" t="n">
        <f aca="false">SUMIF('Basis Options'!$X:$X,CONCATENATE($AK35,BH$4),'Basis Options'!$AF:$AF)</f>
        <v>0</v>
      </c>
      <c r="BI35" s="134" t="n">
        <f aca="false">SUMIF('Basis Options'!$X:$X,CONCATENATE($AK35,BI$4),'Basis Options'!$AF:$AF)</f>
        <v>0</v>
      </c>
      <c r="BJ35" s="134" t="n">
        <f aca="false">SUMIF('Basis Options'!$X:$X,CONCATENATE($AK35,BJ$4),'Basis Options'!$AF:$AF)</f>
        <v>0</v>
      </c>
      <c r="BK35" s="134" t="n">
        <f aca="false">SUMIF('Basis Options'!$X:$X,CONCATENATE($AK35,BK$4),'Basis Options'!$AF:$AF)</f>
        <v>0</v>
      </c>
      <c r="BL35" s="134" t="n">
        <f aca="false">SUMIF('Basis Options'!$X:$X,CONCATENATE($AK35,BL$4),'Basis Options'!$AF:$AF)</f>
        <v>0</v>
      </c>
      <c r="BM35" s="134" t="n">
        <f aca="false">SUMIF('Basis Options'!$X:$X,CONCATENATE($AK35,BM$4),'Basis Options'!$AF:$AF)</f>
        <v>0</v>
      </c>
      <c r="BN35" s="134" t="n">
        <f aca="false">SUMIF('Basis Options'!$X:$X,CONCATENATE($AK35,BN$4),'Basis Options'!$AF:$AF)</f>
        <v>0</v>
      </c>
      <c r="BO35" s="134" t="n">
        <f aca="false">SUMIF('Basis Options'!$X:$X,CONCATENATE($AK35,BO$4),'Basis Options'!$AF:$AF)</f>
        <v>0</v>
      </c>
      <c r="BP35" s="208" t="n">
        <f aca="false">EOMONTH(BP34,0)+1</f>
        <v>37653</v>
      </c>
      <c r="BQ35" s="135" t="e">
        <f aca="false">SUM(BC35:BO35)</f>
        <v>#NAME?</v>
      </c>
      <c r="BS35" s="208" t="n">
        <f aca="false">EOMONTH(BS34,0)+1</f>
        <v>37653</v>
      </c>
      <c r="BT35" s="134" t="n">
        <f aca="false">SUMIF('Basis Options'!$X:$X,CONCATENATE($BS35,BT$4),'Basis Options'!$AI:$AI)</f>
        <v>0</v>
      </c>
      <c r="BU35" s="134" t="n">
        <f aca="false">SUMIF('Basis Options'!$X:$X,CONCATENATE($BS35,BU$4),'Basis Options'!$AI:$AI)</f>
        <v>0</v>
      </c>
      <c r="BV35" s="134" t="n">
        <f aca="false">SUMIF('Basis Options'!$X:$X,CONCATENATE($BS35,BV$4),'Basis Options'!$AI:$AI)</f>
        <v>0</v>
      </c>
      <c r="BW35" s="134" t="e">
        <f aca="false">SUMIF('Basis Options'!$X:$X,CONCATENATE($BS35,BW$4),'Basis Options'!$AI:$AI)</f>
        <v>#NAME?</v>
      </c>
      <c r="BX35" s="134" t="n">
        <f aca="false">SUMIF('Basis Options'!$X:$X,CONCATENATE($BS35,BX$4),'Basis Options'!$AI:$AI)</f>
        <v>0</v>
      </c>
      <c r="BY35" s="134" t="n">
        <f aca="false">SUMIF('Basis Options'!$X:$X,CONCATENATE($BS35,BY$4),'Basis Options'!$AI:$AI)</f>
        <v>0</v>
      </c>
      <c r="BZ35" s="134" t="n">
        <f aca="false">SUMIF('Basis Options'!$X:$X,CONCATENATE($BS35,BZ$4),'Basis Options'!$AI:$AI)</f>
        <v>0</v>
      </c>
      <c r="CA35" s="134" t="n">
        <f aca="false">SUMIF('Basis Options'!$X:$X,CONCATENATE($BS35,CA$4),'Basis Options'!$AI:$AI)</f>
        <v>0</v>
      </c>
      <c r="CB35" s="134" t="n">
        <f aca="false">SUMIF('Basis Options'!$X:$X,CONCATENATE($BS35,CB$4),'Basis Options'!$AI:$AI)</f>
        <v>0</v>
      </c>
      <c r="CC35" s="134" t="n">
        <f aca="false">SUMIF('Basis Options'!$X:$X,CONCATENATE($BS35,CC$4),'Basis Options'!$AI:$AI)</f>
        <v>0</v>
      </c>
      <c r="CD35" s="134" t="n">
        <f aca="false">SUMIF('Basis Options'!$X:$X,CONCATENATE($BS35,CD$4),'Basis Options'!$AI:$AI)</f>
        <v>0</v>
      </c>
      <c r="CE35" s="134" t="n">
        <f aca="false">SUMIF('Basis Options'!$X:$X,CONCATENATE($BS35,CE$4),'Basis Options'!$AI:$AI)</f>
        <v>0</v>
      </c>
      <c r="CF35" s="134" t="n">
        <f aca="false">SUMIF('Basis Options'!$X:$X,CONCATENATE($BS35,CF$4),'Basis Options'!$AI:$AI)</f>
        <v>0</v>
      </c>
      <c r="CG35" s="208" t="n">
        <f aca="false">EOMONTH(CG34,0)+1</f>
        <v>37653</v>
      </c>
      <c r="CH35" s="135" t="e">
        <f aca="false">SUM(BT35:CF35)</f>
        <v>#NAME?</v>
      </c>
    </row>
    <row r="36" customFormat="false" ht="12.75" hidden="false" customHeight="false" outlineLevel="0" collapsed="false">
      <c r="A36" s="208" t="n">
        <f aca="false">EOMONTH(A35,0)+1</f>
        <v>37681</v>
      </c>
      <c r="B36" s="134" t="n">
        <f aca="false">SUMIF('Basis Options'!X:X,CONCATENATE($A36,B$4),'Basis Options'!AB:AB)</f>
        <v>0</v>
      </c>
      <c r="C36" s="134" t="n">
        <f aca="false">SUMIF('Basis Options'!$X:$X,CONCATENATE($A36,C$4),'Basis Options'!$AB:$AB)</f>
        <v>0</v>
      </c>
      <c r="D36" s="134" t="n">
        <f aca="false">SUMIF('Basis Options'!$X:$X,CONCATENATE($A36,D$4),'Basis Options'!$AB:$AB)</f>
        <v>0</v>
      </c>
      <c r="E36" s="134" t="e">
        <f aca="false">SUMIF('Basis Options'!$X:$X,CONCATENATE($A36,E$4),'Basis Options'!$AB:$AB)</f>
        <v>#NAME?</v>
      </c>
      <c r="F36" s="134" t="n">
        <f aca="false">SUMIF('Basis Options'!$X:$X,CONCATENATE($A36,F$4),'Basis Options'!$AB:$AB)</f>
        <v>0</v>
      </c>
      <c r="G36" s="134" t="n">
        <f aca="false">SUMIF('Basis Options'!$X:$X,CONCATENATE($A36,G$4),'Basis Options'!$AB:$AB)</f>
        <v>0</v>
      </c>
      <c r="H36" s="134" t="n">
        <f aca="false">SUMIF('Basis Options'!$X:$X,CONCATENATE($A36,H$4),'Basis Options'!$AB:$AB)</f>
        <v>0</v>
      </c>
      <c r="I36" s="134" t="n">
        <f aca="false">SUMIF('Basis Options'!$X:$X,CONCATENATE($A36,I$4),'Basis Options'!$AB:$AB)</f>
        <v>0</v>
      </c>
      <c r="J36" s="134" t="n">
        <f aca="false">SUMIF('Basis Options'!$X:$X,CONCATENATE($A36,J$4),'Basis Options'!$AB:$AB)</f>
        <v>0</v>
      </c>
      <c r="K36" s="134" t="n">
        <f aca="false">SUMIF('Basis Options'!$X:$X,CONCATENATE($A36,K$4),'Basis Options'!$AB:$AB)</f>
        <v>0</v>
      </c>
      <c r="L36" s="134" t="n">
        <f aca="false">SUMIF('Basis Options'!$X:$X,CONCATENATE($A36,L$4),'Basis Options'!$AB:$AB)</f>
        <v>0</v>
      </c>
      <c r="M36" s="134" t="n">
        <f aca="false">SUMIF('Basis Options'!$X:$X,CONCATENATE($A36,M$4),'Basis Options'!$AB:$AB)</f>
        <v>0</v>
      </c>
      <c r="N36" s="134" t="n">
        <f aca="false">SUMIF('Basis Options'!$X:$X,CONCATENATE($A36,N$4),'Basis Options'!$AB:$AB)</f>
        <v>0</v>
      </c>
      <c r="O36" s="208" t="n">
        <f aca="false">EOMONTH(O35,0)+1</f>
        <v>37681</v>
      </c>
      <c r="P36" s="135" t="e">
        <f aca="false">SUM(B36:N36)</f>
        <v>#NAME?</v>
      </c>
      <c r="S36" s="208" t="n">
        <f aca="false">EOMONTH(S35,0)+1</f>
        <v>37681</v>
      </c>
      <c r="T36" s="134" t="n">
        <f aca="false">SUMIF('Basis Options'!$X:$X,CONCATENATE($S36,T$4),'Basis Options'!$AC:$AC)</f>
        <v>0</v>
      </c>
      <c r="U36" s="134" t="n">
        <f aca="false">SUMIF('Basis Options'!$X:$X,CONCATENATE($S36,U$4),'Basis Options'!$AC:$AC)</f>
        <v>0</v>
      </c>
      <c r="V36" s="134" t="n">
        <f aca="false">SUMIF('Basis Options'!$X:$X,CONCATENATE($S36,V$4),'Basis Options'!$AC:$AC)</f>
        <v>0</v>
      </c>
      <c r="W36" s="134" t="e">
        <f aca="false">SUMIF('Basis Options'!$X:$X,CONCATENATE($S36,W$4),'Basis Options'!$AC:$AC)</f>
        <v>#NAME?</v>
      </c>
      <c r="X36" s="134" t="n">
        <f aca="false">SUMIF('Basis Options'!$X:$X,CONCATENATE($S36,X$4),'Basis Options'!$AC:$AC)</f>
        <v>0</v>
      </c>
      <c r="Y36" s="134" t="n">
        <f aca="false">SUMIF('Basis Options'!$X:$X,CONCATENATE($S36,Y$4),'Basis Options'!$AC:$AC)</f>
        <v>0</v>
      </c>
      <c r="Z36" s="134" t="n">
        <f aca="false">SUMIF('Basis Options'!$X:$X,CONCATENATE($S36,Z$4),'Basis Options'!$AC:$AC)</f>
        <v>0</v>
      </c>
      <c r="AA36" s="134" t="n">
        <f aca="false">SUMIF('Basis Options'!$X:$X,CONCATENATE($S36,AA$4),'Basis Options'!$AC:$AC)</f>
        <v>0</v>
      </c>
      <c r="AB36" s="134" t="n">
        <f aca="false">SUMIF('Basis Options'!$X:$X,CONCATENATE($S36,AB$4),'Basis Options'!$AC:$AC)</f>
        <v>0</v>
      </c>
      <c r="AC36" s="134" t="n">
        <f aca="false">SUMIF('Basis Options'!$X:$X,CONCATENATE($S36,AC$4),'Basis Options'!$AC:$AC)</f>
        <v>0</v>
      </c>
      <c r="AD36" s="134" t="n">
        <f aca="false">SUMIF('Basis Options'!$X:$X,CONCATENATE($S36,AD$4),'Basis Options'!$AC:$AC)</f>
        <v>0</v>
      </c>
      <c r="AE36" s="134" t="n">
        <f aca="false">SUMIF('Basis Options'!$X:$X,CONCATENATE($S36,AE$4),'Basis Options'!$AC:$AC)</f>
        <v>0</v>
      </c>
      <c r="AF36" s="134" t="n">
        <f aca="false">SUMIF('Basis Options'!$X:$X,CONCATENATE($S36,AF$4),'Basis Options'!$AC:$AC)</f>
        <v>0</v>
      </c>
      <c r="AG36" s="208" t="n">
        <f aca="false">EOMONTH(AG35,0)+1</f>
        <v>37681</v>
      </c>
      <c r="AH36" s="135" t="e">
        <f aca="false">SUM(T36:AF36)</f>
        <v>#NAME?</v>
      </c>
      <c r="AK36" s="208" t="n">
        <f aca="false">EOMONTH(AK35,0)+1</f>
        <v>37681</v>
      </c>
      <c r="AL36" s="134" t="n">
        <f aca="false">SUMIF('Basis Options'!$X:$X,CONCATENATE($AK36,AL$4),'Basis Options'!$AD:$AD)</f>
        <v>0</v>
      </c>
      <c r="AM36" s="134" t="n">
        <f aca="false">SUMIF('Basis Options'!$X:$X,CONCATENATE($AK36,AM$4),'Basis Options'!$AD:$AD)</f>
        <v>0</v>
      </c>
      <c r="AN36" s="134" t="n">
        <f aca="false">SUMIF('Basis Options'!$X:$X,CONCATENATE($AK36,AN$4),'Basis Options'!$AD:$AD)</f>
        <v>0</v>
      </c>
      <c r="AO36" s="134" t="e">
        <f aca="false">SUMIF('Basis Options'!$X:$X,CONCATENATE($AK36,AO$4),'Basis Options'!$AD:$AD)</f>
        <v>#NAME?</v>
      </c>
      <c r="AP36" s="134" t="n">
        <f aca="false">SUMIF('Basis Options'!$X:$X,CONCATENATE($AK36,AP$4),'Basis Options'!$AD:$AD)</f>
        <v>0</v>
      </c>
      <c r="AQ36" s="134" t="n">
        <f aca="false">SUMIF('Basis Options'!$X:$X,CONCATENATE($AK36,AQ$4),'Basis Options'!$AD:$AD)</f>
        <v>0</v>
      </c>
      <c r="AR36" s="134" t="n">
        <f aca="false">SUMIF('Basis Options'!$X:$X,CONCATENATE($AK36,AR$4),'Basis Options'!$AD:$AD)</f>
        <v>0</v>
      </c>
      <c r="AS36" s="134" t="n">
        <f aca="false">SUMIF('Basis Options'!$X:$X,CONCATENATE($AK36,AS$4),'Basis Options'!$AD:$AD)</f>
        <v>0</v>
      </c>
      <c r="AT36" s="134" t="n">
        <f aca="false">SUMIF('Basis Options'!$X:$X,CONCATENATE($AK36,AT$4),'Basis Options'!$AD:$AD)</f>
        <v>0</v>
      </c>
      <c r="AU36" s="134" t="n">
        <f aca="false">SUMIF('Basis Options'!$X:$X,CONCATENATE($AK36,AU$4),'Basis Options'!$AD:$AD)</f>
        <v>0</v>
      </c>
      <c r="AV36" s="134" t="n">
        <f aca="false">SUMIF('Basis Options'!$X:$X,CONCATENATE($AK36,AV$4),'Basis Options'!$AD:$AD)</f>
        <v>0</v>
      </c>
      <c r="AW36" s="134" t="n">
        <f aca="false">SUMIF('Basis Options'!$X:$X,CONCATENATE($AK36,AW$4),'Basis Options'!$AD:$AD)</f>
        <v>0</v>
      </c>
      <c r="AX36" s="134" t="n">
        <f aca="false">SUMIF('Basis Options'!$X:$X,CONCATENATE($AK36,AX$4),'Basis Options'!$AD:$AD)</f>
        <v>0</v>
      </c>
      <c r="AY36" s="208" t="n">
        <f aca="false">EOMONTH(AY35,0)+1</f>
        <v>37681</v>
      </c>
      <c r="AZ36" s="135" t="e">
        <f aca="false">SUM(AL36:AX36)</f>
        <v>#NAME?</v>
      </c>
      <c r="BB36" s="208" t="n">
        <f aca="false">EOMONTH(BB35,0)+1</f>
        <v>37681</v>
      </c>
      <c r="BC36" s="134" t="n">
        <f aca="false">SUMIF('Basis Options'!$X:$X,CONCATENATE($AK36,BC$4),'Basis Options'!$AF:$AF)</f>
        <v>0</v>
      </c>
      <c r="BD36" s="134" t="n">
        <f aca="false">SUMIF('Basis Options'!$X:$X,CONCATENATE($AK36,BD$4),'Basis Options'!$AF:$AF)</f>
        <v>0</v>
      </c>
      <c r="BE36" s="134" t="n">
        <f aca="false">SUMIF('Basis Options'!$X:$X,CONCATENATE($AK36,BE$4),'Basis Options'!$AF:$AF)</f>
        <v>0</v>
      </c>
      <c r="BF36" s="134" t="e">
        <f aca="false">SUMIF('Basis Options'!$X:$X,CONCATENATE($AK36,BF$4),'Basis Options'!$AF:$AF)</f>
        <v>#NAME?</v>
      </c>
      <c r="BG36" s="134" t="n">
        <f aca="false">SUMIF('Basis Options'!$X:$X,CONCATENATE($AK36,BG$4),'Basis Options'!$AF:$AF)</f>
        <v>0</v>
      </c>
      <c r="BH36" s="134" t="n">
        <f aca="false">SUMIF('Basis Options'!$X:$X,CONCATENATE($AK36,BH$4),'Basis Options'!$AF:$AF)</f>
        <v>0</v>
      </c>
      <c r="BI36" s="134" t="n">
        <f aca="false">SUMIF('Basis Options'!$X:$X,CONCATENATE($AK36,BI$4),'Basis Options'!$AF:$AF)</f>
        <v>0</v>
      </c>
      <c r="BJ36" s="134" t="n">
        <f aca="false">SUMIF('Basis Options'!$X:$X,CONCATENATE($AK36,BJ$4),'Basis Options'!$AF:$AF)</f>
        <v>0</v>
      </c>
      <c r="BK36" s="134" t="n">
        <f aca="false">SUMIF('Basis Options'!$X:$X,CONCATENATE($AK36,BK$4),'Basis Options'!$AF:$AF)</f>
        <v>0</v>
      </c>
      <c r="BL36" s="134" t="n">
        <f aca="false">SUMIF('Basis Options'!$X:$X,CONCATENATE($AK36,BL$4),'Basis Options'!$AF:$AF)</f>
        <v>0</v>
      </c>
      <c r="BM36" s="134" t="n">
        <f aca="false">SUMIF('Basis Options'!$X:$X,CONCATENATE($AK36,BM$4),'Basis Options'!$AF:$AF)</f>
        <v>0</v>
      </c>
      <c r="BN36" s="134" t="n">
        <f aca="false">SUMIF('Basis Options'!$X:$X,CONCATENATE($AK36,BN$4),'Basis Options'!$AF:$AF)</f>
        <v>0</v>
      </c>
      <c r="BO36" s="134" t="n">
        <f aca="false">SUMIF('Basis Options'!$X:$X,CONCATENATE($AK36,BO$4),'Basis Options'!$AF:$AF)</f>
        <v>0</v>
      </c>
      <c r="BP36" s="208" t="n">
        <f aca="false">EOMONTH(BP35,0)+1</f>
        <v>37681</v>
      </c>
      <c r="BQ36" s="135" t="e">
        <f aca="false">SUM(BC36:BO36)</f>
        <v>#NAME?</v>
      </c>
      <c r="BS36" s="208" t="n">
        <f aca="false">EOMONTH(BS35,0)+1</f>
        <v>37681</v>
      </c>
      <c r="BT36" s="134" t="n">
        <f aca="false">SUMIF('Basis Options'!$X:$X,CONCATENATE($BS36,BT$4),'Basis Options'!$AI:$AI)</f>
        <v>0</v>
      </c>
      <c r="BU36" s="134" t="n">
        <f aca="false">SUMIF('Basis Options'!$X:$X,CONCATENATE($BS36,BU$4),'Basis Options'!$AI:$AI)</f>
        <v>0</v>
      </c>
      <c r="BV36" s="134" t="n">
        <f aca="false">SUMIF('Basis Options'!$X:$X,CONCATENATE($BS36,BV$4),'Basis Options'!$AI:$AI)</f>
        <v>0</v>
      </c>
      <c r="BW36" s="134" t="e">
        <f aca="false">SUMIF('Basis Options'!$X:$X,CONCATENATE($BS36,BW$4),'Basis Options'!$AI:$AI)</f>
        <v>#NAME?</v>
      </c>
      <c r="BX36" s="134" t="n">
        <f aca="false">SUMIF('Basis Options'!$X:$X,CONCATENATE($BS36,BX$4),'Basis Options'!$AI:$AI)</f>
        <v>0</v>
      </c>
      <c r="BY36" s="134" t="n">
        <f aca="false">SUMIF('Basis Options'!$X:$X,CONCATENATE($BS36,BY$4),'Basis Options'!$AI:$AI)</f>
        <v>0</v>
      </c>
      <c r="BZ36" s="134" t="n">
        <f aca="false">SUMIF('Basis Options'!$X:$X,CONCATENATE($BS36,BZ$4),'Basis Options'!$AI:$AI)</f>
        <v>0</v>
      </c>
      <c r="CA36" s="134" t="n">
        <f aca="false">SUMIF('Basis Options'!$X:$X,CONCATENATE($BS36,CA$4),'Basis Options'!$AI:$AI)</f>
        <v>0</v>
      </c>
      <c r="CB36" s="134" t="n">
        <f aca="false">SUMIF('Basis Options'!$X:$X,CONCATENATE($BS36,CB$4),'Basis Options'!$AI:$AI)</f>
        <v>0</v>
      </c>
      <c r="CC36" s="134" t="n">
        <f aca="false">SUMIF('Basis Options'!$X:$X,CONCATENATE($BS36,CC$4),'Basis Options'!$AI:$AI)</f>
        <v>0</v>
      </c>
      <c r="CD36" s="134" t="n">
        <f aca="false">SUMIF('Basis Options'!$X:$X,CONCATENATE($BS36,CD$4),'Basis Options'!$AI:$AI)</f>
        <v>0</v>
      </c>
      <c r="CE36" s="134" t="n">
        <f aca="false">SUMIF('Basis Options'!$X:$X,CONCATENATE($BS36,CE$4),'Basis Options'!$AI:$AI)</f>
        <v>0</v>
      </c>
      <c r="CF36" s="134" t="n">
        <f aca="false">SUMIF('Basis Options'!$X:$X,CONCATENATE($BS36,CF$4),'Basis Options'!$AI:$AI)</f>
        <v>0</v>
      </c>
      <c r="CG36" s="208" t="n">
        <f aca="false">EOMONTH(CG35,0)+1</f>
        <v>37681</v>
      </c>
      <c r="CH36" s="135" t="e">
        <f aca="false">SUM(BT36:CF36)</f>
        <v>#NAME?</v>
      </c>
    </row>
    <row r="37" customFormat="false" ht="12.75" hidden="false" customHeight="false" outlineLevel="0" collapsed="false">
      <c r="A37" s="208" t="n">
        <f aca="false">EOMONTH(A36,0)+1</f>
        <v>37712</v>
      </c>
      <c r="B37" s="134" t="n">
        <f aca="false">SUMIF('Basis Options'!X:X,CONCATENATE($A37,B$4),'Basis Options'!AB:AB)</f>
        <v>0</v>
      </c>
      <c r="C37" s="134" t="n">
        <f aca="false">SUMIF('Basis Options'!$X:$X,CONCATENATE($A37,C$4),'Basis Options'!$AB:$AB)</f>
        <v>0</v>
      </c>
      <c r="D37" s="134" t="n">
        <f aca="false">SUMIF('Basis Options'!$X:$X,CONCATENATE($A37,D$4),'Basis Options'!$AB:$AB)</f>
        <v>0</v>
      </c>
      <c r="E37" s="134" t="n">
        <f aca="false">SUMIF('Basis Options'!$X:$X,CONCATENATE($A37,E$4),'Basis Options'!$AB:$AB)</f>
        <v>0</v>
      </c>
      <c r="F37" s="134" t="n">
        <f aca="false">SUMIF('Basis Options'!$X:$X,CONCATENATE($A37,F$4),'Basis Options'!$AB:$AB)</f>
        <v>0</v>
      </c>
      <c r="G37" s="134" t="n">
        <f aca="false">SUMIF('Basis Options'!$X:$X,CONCATENATE($A37,G$4),'Basis Options'!$AB:$AB)</f>
        <v>0</v>
      </c>
      <c r="H37" s="134" t="n">
        <f aca="false">SUMIF('Basis Options'!$X:$X,CONCATENATE($A37,H$4),'Basis Options'!$AB:$AB)</f>
        <v>0</v>
      </c>
      <c r="I37" s="134" t="n">
        <f aca="false">SUMIF('Basis Options'!$X:$X,CONCATENATE($A37,I$4),'Basis Options'!$AB:$AB)</f>
        <v>0</v>
      </c>
      <c r="J37" s="134" t="n">
        <f aca="false">SUMIF('Basis Options'!$X:$X,CONCATENATE($A37,J$4),'Basis Options'!$AB:$AB)</f>
        <v>0</v>
      </c>
      <c r="K37" s="134" t="n">
        <f aca="false">SUMIF('Basis Options'!$X:$X,CONCATENATE($A37,K$4),'Basis Options'!$AB:$AB)</f>
        <v>0</v>
      </c>
      <c r="L37" s="134" t="n">
        <f aca="false">SUMIF('Basis Options'!$X:$X,CONCATENATE($A37,L$4),'Basis Options'!$AB:$AB)</f>
        <v>0</v>
      </c>
      <c r="M37" s="134" t="n">
        <f aca="false">SUMIF('Basis Options'!$X:$X,CONCATENATE($A37,M$4),'Basis Options'!$AB:$AB)</f>
        <v>0</v>
      </c>
      <c r="N37" s="134" t="n">
        <f aca="false">SUMIF('Basis Options'!$X:$X,CONCATENATE($A37,N$4),'Basis Options'!$AB:$AB)</f>
        <v>0</v>
      </c>
      <c r="O37" s="208" t="n">
        <f aca="false">EOMONTH(O36,0)+1</f>
        <v>37712</v>
      </c>
      <c r="P37" s="135" t="n">
        <f aca="false">SUM(B37:N37)</f>
        <v>0</v>
      </c>
      <c r="S37" s="208" t="n">
        <f aca="false">EOMONTH(S36,0)+1</f>
        <v>37712</v>
      </c>
      <c r="T37" s="134" t="n">
        <f aca="false">SUMIF('Basis Options'!$X:$X,CONCATENATE($S37,T$4),'Basis Options'!$AC:$AC)</f>
        <v>0</v>
      </c>
      <c r="U37" s="134" t="n">
        <f aca="false">SUMIF('Basis Options'!$X:$X,CONCATENATE($S37,U$4),'Basis Options'!$AC:$AC)</f>
        <v>0</v>
      </c>
      <c r="V37" s="134" t="n">
        <f aca="false">SUMIF('Basis Options'!$X:$X,CONCATENATE($S37,V$4),'Basis Options'!$AC:$AC)</f>
        <v>0</v>
      </c>
      <c r="W37" s="134" t="n">
        <f aca="false">SUMIF('Basis Options'!$X:$X,CONCATENATE($S37,W$4),'Basis Options'!$AC:$AC)</f>
        <v>0</v>
      </c>
      <c r="X37" s="134" t="n">
        <f aca="false">SUMIF('Basis Options'!$X:$X,CONCATENATE($S37,X$4),'Basis Options'!$AC:$AC)</f>
        <v>0</v>
      </c>
      <c r="Y37" s="134" t="n">
        <f aca="false">SUMIF('Basis Options'!$X:$X,CONCATENATE($S37,Y$4),'Basis Options'!$AC:$AC)</f>
        <v>0</v>
      </c>
      <c r="Z37" s="134" t="n">
        <f aca="false">SUMIF('Basis Options'!$X:$X,CONCATENATE($S37,Z$4),'Basis Options'!$AC:$AC)</f>
        <v>0</v>
      </c>
      <c r="AA37" s="134" t="n">
        <f aca="false">SUMIF('Basis Options'!$X:$X,CONCATENATE($S37,AA$4),'Basis Options'!$AC:$AC)</f>
        <v>0</v>
      </c>
      <c r="AB37" s="134" t="n">
        <f aca="false">SUMIF('Basis Options'!$X:$X,CONCATENATE($S37,AB$4),'Basis Options'!$AC:$AC)</f>
        <v>0</v>
      </c>
      <c r="AC37" s="134" t="n">
        <f aca="false">SUMIF('Basis Options'!$X:$X,CONCATENATE($S37,AC$4),'Basis Options'!$AC:$AC)</f>
        <v>0</v>
      </c>
      <c r="AD37" s="134" t="n">
        <f aca="false">SUMIF('Basis Options'!$X:$X,CONCATENATE($S37,AD$4),'Basis Options'!$AC:$AC)</f>
        <v>0</v>
      </c>
      <c r="AE37" s="134" t="n">
        <f aca="false">SUMIF('Basis Options'!$X:$X,CONCATENATE($S37,AE$4),'Basis Options'!$AC:$AC)</f>
        <v>0</v>
      </c>
      <c r="AF37" s="134" t="n">
        <f aca="false">SUMIF('Basis Options'!$X:$X,CONCATENATE($S37,AF$4),'Basis Options'!$AC:$AC)</f>
        <v>0</v>
      </c>
      <c r="AG37" s="208" t="n">
        <f aca="false">EOMONTH(AG36,0)+1</f>
        <v>37712</v>
      </c>
      <c r="AH37" s="135" t="n">
        <f aca="false">SUM(T37:AF37)</f>
        <v>0</v>
      </c>
      <c r="AK37" s="208" t="n">
        <f aca="false">EOMONTH(AK36,0)+1</f>
        <v>37712</v>
      </c>
      <c r="AL37" s="134" t="n">
        <f aca="false">SUMIF('Basis Options'!$X:$X,CONCATENATE($AK37,AL$4),'Basis Options'!$AD:$AD)</f>
        <v>0</v>
      </c>
      <c r="AM37" s="134" t="n">
        <f aca="false">SUMIF('Basis Options'!$X:$X,CONCATENATE($AK37,AM$4),'Basis Options'!$AD:$AD)</f>
        <v>0</v>
      </c>
      <c r="AN37" s="134" t="n">
        <f aca="false">SUMIF('Basis Options'!$X:$X,CONCATENATE($AK37,AN$4),'Basis Options'!$AD:$AD)</f>
        <v>0</v>
      </c>
      <c r="AO37" s="134" t="n">
        <f aca="false">SUMIF('Basis Options'!$X:$X,CONCATENATE($AK37,AO$4),'Basis Options'!$AD:$AD)</f>
        <v>0</v>
      </c>
      <c r="AP37" s="134" t="n">
        <f aca="false">SUMIF('Basis Options'!$X:$X,CONCATENATE($AK37,AP$4),'Basis Options'!$AD:$AD)</f>
        <v>0</v>
      </c>
      <c r="AQ37" s="134" t="n">
        <f aca="false">SUMIF('Basis Options'!$X:$X,CONCATENATE($AK37,AQ$4),'Basis Options'!$AD:$AD)</f>
        <v>0</v>
      </c>
      <c r="AR37" s="134" t="n">
        <f aca="false">SUMIF('Basis Options'!$X:$X,CONCATENATE($AK37,AR$4),'Basis Options'!$AD:$AD)</f>
        <v>0</v>
      </c>
      <c r="AS37" s="134" t="n">
        <f aca="false">SUMIF('Basis Options'!$X:$X,CONCATENATE($AK37,AS$4),'Basis Options'!$AD:$AD)</f>
        <v>0</v>
      </c>
      <c r="AT37" s="134" t="n">
        <f aca="false">SUMIF('Basis Options'!$X:$X,CONCATENATE($AK37,AT$4),'Basis Options'!$AD:$AD)</f>
        <v>0</v>
      </c>
      <c r="AU37" s="134" t="n">
        <f aca="false">SUMIF('Basis Options'!$X:$X,CONCATENATE($AK37,AU$4),'Basis Options'!$AD:$AD)</f>
        <v>0</v>
      </c>
      <c r="AV37" s="134" t="n">
        <f aca="false">SUMIF('Basis Options'!$X:$X,CONCATENATE($AK37,AV$4),'Basis Options'!$AD:$AD)</f>
        <v>0</v>
      </c>
      <c r="AW37" s="134" t="n">
        <f aca="false">SUMIF('Basis Options'!$X:$X,CONCATENATE($AK37,AW$4),'Basis Options'!$AD:$AD)</f>
        <v>0</v>
      </c>
      <c r="AX37" s="134" t="n">
        <f aca="false">SUMIF('Basis Options'!$X:$X,CONCATENATE($AK37,AX$4),'Basis Options'!$AD:$AD)</f>
        <v>0</v>
      </c>
      <c r="AY37" s="208" t="n">
        <f aca="false">EOMONTH(AY36,0)+1</f>
        <v>37712</v>
      </c>
      <c r="AZ37" s="135" t="n">
        <f aca="false">SUM(AL37:AX37)</f>
        <v>0</v>
      </c>
      <c r="BB37" s="208" t="n">
        <f aca="false">EOMONTH(BB36,0)+1</f>
        <v>37712</v>
      </c>
      <c r="BC37" s="134" t="n">
        <f aca="false">SUMIF('Basis Options'!$X:$X,CONCATENATE($AK37,BC$4),'Basis Options'!$AF:$AF)</f>
        <v>0</v>
      </c>
      <c r="BD37" s="134" t="n">
        <f aca="false">SUMIF('Basis Options'!$X:$X,CONCATENATE($AK37,BD$4),'Basis Options'!$AF:$AF)</f>
        <v>0</v>
      </c>
      <c r="BE37" s="134" t="n">
        <f aca="false">SUMIF('Basis Options'!$X:$X,CONCATENATE($AK37,BE$4),'Basis Options'!$AF:$AF)</f>
        <v>0</v>
      </c>
      <c r="BF37" s="134" t="n">
        <f aca="false">SUMIF('Basis Options'!$X:$X,CONCATENATE($AK37,BF$4),'Basis Options'!$AF:$AF)</f>
        <v>0</v>
      </c>
      <c r="BG37" s="134" t="n">
        <f aca="false">SUMIF('Basis Options'!$X:$X,CONCATENATE($AK37,BG$4),'Basis Options'!$AF:$AF)</f>
        <v>0</v>
      </c>
      <c r="BH37" s="134" t="n">
        <f aca="false">SUMIF('Basis Options'!$X:$X,CONCATENATE($AK37,BH$4),'Basis Options'!$AF:$AF)</f>
        <v>0</v>
      </c>
      <c r="BI37" s="134" t="n">
        <f aca="false">SUMIF('Basis Options'!$X:$X,CONCATENATE($AK37,BI$4),'Basis Options'!$AF:$AF)</f>
        <v>0</v>
      </c>
      <c r="BJ37" s="134" t="n">
        <f aca="false">SUMIF('Basis Options'!$X:$X,CONCATENATE($AK37,BJ$4),'Basis Options'!$AF:$AF)</f>
        <v>0</v>
      </c>
      <c r="BK37" s="134" t="n">
        <f aca="false">SUMIF('Basis Options'!$X:$X,CONCATENATE($AK37,BK$4),'Basis Options'!$AF:$AF)</f>
        <v>0</v>
      </c>
      <c r="BL37" s="134" t="n">
        <f aca="false">SUMIF('Basis Options'!$X:$X,CONCATENATE($AK37,BL$4),'Basis Options'!$AF:$AF)</f>
        <v>0</v>
      </c>
      <c r="BM37" s="134" t="n">
        <f aca="false">SUMIF('Basis Options'!$X:$X,CONCATENATE($AK37,BM$4),'Basis Options'!$AF:$AF)</f>
        <v>0</v>
      </c>
      <c r="BN37" s="134" t="n">
        <f aca="false">SUMIF('Basis Options'!$X:$X,CONCATENATE($AK37,BN$4),'Basis Options'!$AF:$AF)</f>
        <v>0</v>
      </c>
      <c r="BO37" s="134" t="n">
        <f aca="false">SUMIF('Basis Options'!$X:$X,CONCATENATE($AK37,BO$4),'Basis Options'!$AF:$AF)</f>
        <v>0</v>
      </c>
      <c r="BP37" s="208" t="n">
        <f aca="false">EOMONTH(BP36,0)+1</f>
        <v>37712</v>
      </c>
      <c r="BQ37" s="135" t="n">
        <f aca="false">SUM(BC37:BO37)</f>
        <v>0</v>
      </c>
      <c r="BS37" s="208" t="n">
        <f aca="false">EOMONTH(BS36,0)+1</f>
        <v>37712</v>
      </c>
      <c r="BT37" s="134" t="n">
        <f aca="false">SUMIF('Basis Options'!$X:$X,CONCATENATE($BS37,BT$4),'Basis Options'!$AI:$AI)</f>
        <v>0</v>
      </c>
      <c r="BU37" s="134" t="n">
        <f aca="false">SUMIF('Basis Options'!$X:$X,CONCATENATE($BS37,BU$4),'Basis Options'!$AI:$AI)</f>
        <v>0</v>
      </c>
      <c r="BV37" s="134" t="n">
        <f aca="false">SUMIF('Basis Options'!$X:$X,CONCATENATE($BS37,BV$4),'Basis Options'!$AI:$AI)</f>
        <v>0</v>
      </c>
      <c r="BW37" s="134" t="n">
        <f aca="false">SUMIF('Basis Options'!$X:$X,CONCATENATE($BS37,BW$4),'Basis Options'!$AI:$AI)</f>
        <v>0</v>
      </c>
      <c r="BX37" s="134" t="n">
        <f aca="false">SUMIF('Basis Options'!$X:$X,CONCATENATE($BS37,BX$4),'Basis Options'!$AI:$AI)</f>
        <v>0</v>
      </c>
      <c r="BY37" s="134" t="n">
        <f aca="false">SUMIF('Basis Options'!$X:$X,CONCATENATE($BS37,BY$4),'Basis Options'!$AI:$AI)</f>
        <v>0</v>
      </c>
      <c r="BZ37" s="134" t="n">
        <f aca="false">SUMIF('Basis Options'!$X:$X,CONCATENATE($BS37,BZ$4),'Basis Options'!$AI:$AI)</f>
        <v>0</v>
      </c>
      <c r="CA37" s="134" t="n">
        <f aca="false">SUMIF('Basis Options'!$X:$X,CONCATENATE($BS37,CA$4),'Basis Options'!$AI:$AI)</f>
        <v>0</v>
      </c>
      <c r="CB37" s="134" t="n">
        <f aca="false">SUMIF('Basis Options'!$X:$X,CONCATENATE($BS37,CB$4),'Basis Options'!$AI:$AI)</f>
        <v>0</v>
      </c>
      <c r="CC37" s="134" t="n">
        <f aca="false">SUMIF('Basis Options'!$X:$X,CONCATENATE($BS37,CC$4),'Basis Options'!$AI:$AI)</f>
        <v>0</v>
      </c>
      <c r="CD37" s="134" t="n">
        <f aca="false">SUMIF('Basis Options'!$X:$X,CONCATENATE($BS37,CD$4),'Basis Options'!$AI:$AI)</f>
        <v>0</v>
      </c>
      <c r="CE37" s="134" t="n">
        <f aca="false">SUMIF('Basis Options'!$X:$X,CONCATENATE($BS37,CE$4),'Basis Options'!$AI:$AI)</f>
        <v>0</v>
      </c>
      <c r="CF37" s="134" t="n">
        <f aca="false">SUMIF('Basis Options'!$X:$X,CONCATENATE($BS37,CF$4),'Basis Options'!$AI:$AI)</f>
        <v>0</v>
      </c>
      <c r="CG37" s="208" t="n">
        <f aca="false">EOMONTH(CG36,0)+1</f>
        <v>37712</v>
      </c>
      <c r="CH37" s="135" t="n">
        <f aca="false">SUM(BT37:CF37)</f>
        <v>0</v>
      </c>
    </row>
    <row r="38" customFormat="false" ht="12.75" hidden="false" customHeight="false" outlineLevel="0" collapsed="false">
      <c r="A38" s="208" t="n">
        <f aca="false">EOMONTH(A37,0)+1</f>
        <v>37742</v>
      </c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208" t="n">
        <f aca="false">EOMONTH(O37,0)+1</f>
        <v>37742</v>
      </c>
      <c r="P38" s="135" t="n">
        <f aca="false">SUM(B38:N38)</f>
        <v>0</v>
      </c>
      <c r="S38" s="208" t="n">
        <f aca="false">EOMONTH(S37,0)+1</f>
        <v>37742</v>
      </c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208" t="n">
        <f aca="false">EOMONTH(AG37,0)+1</f>
        <v>37742</v>
      </c>
      <c r="AH38" s="135" t="n">
        <f aca="false">SUM(T38:AF38)</f>
        <v>0</v>
      </c>
      <c r="AK38" s="208" t="n">
        <f aca="false">EOMONTH(AK37,0)+1</f>
        <v>37742</v>
      </c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208" t="n">
        <f aca="false">EOMONTH(AY37,0)+1</f>
        <v>37742</v>
      </c>
      <c r="AZ38" s="135" t="n">
        <f aca="false">SUM(AL38:AX38)</f>
        <v>0</v>
      </c>
      <c r="BB38" s="208" t="n">
        <f aca="false">EOMONTH(BB37,0)+1</f>
        <v>37742</v>
      </c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208" t="n">
        <f aca="false">EOMONTH(BP37,0)+1</f>
        <v>37742</v>
      </c>
      <c r="BQ38" s="135" t="n">
        <f aca="false">SUM(BC38:BO38)</f>
        <v>0</v>
      </c>
      <c r="BS38" s="208" t="n">
        <f aca="false">EOMONTH(BS37,0)+1</f>
        <v>37742</v>
      </c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208" t="n">
        <f aca="false">EOMONTH(CG37,0)+1</f>
        <v>37742</v>
      </c>
      <c r="CH38" s="135" t="n">
        <f aca="false">SUM(BT38:CF38)</f>
        <v>0</v>
      </c>
    </row>
    <row r="39" customFormat="false" ht="12.75" hidden="false" customHeight="false" outlineLevel="0" collapsed="false">
      <c r="A39" s="208" t="n">
        <f aca="false">EOMONTH(A38,0)+1</f>
        <v>37773</v>
      </c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208" t="n">
        <f aca="false">EOMONTH(O38,0)+1</f>
        <v>37773</v>
      </c>
      <c r="P39" s="135" t="n">
        <f aca="false">SUM(B39:N39)</f>
        <v>0</v>
      </c>
      <c r="S39" s="208" t="n">
        <f aca="false">EOMONTH(S38,0)+1</f>
        <v>37773</v>
      </c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208" t="n">
        <f aca="false">EOMONTH(AG38,0)+1</f>
        <v>37773</v>
      </c>
      <c r="AH39" s="135" t="n">
        <f aca="false">SUM(T39:AF39)</f>
        <v>0</v>
      </c>
      <c r="AK39" s="208" t="n">
        <f aca="false">EOMONTH(AK38,0)+1</f>
        <v>37773</v>
      </c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208" t="n">
        <f aca="false">EOMONTH(AY38,0)+1</f>
        <v>37773</v>
      </c>
      <c r="AZ39" s="135" t="n">
        <f aca="false">SUM(AL39:AX39)</f>
        <v>0</v>
      </c>
      <c r="BB39" s="208" t="n">
        <f aca="false">EOMONTH(BB38,0)+1</f>
        <v>37773</v>
      </c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208" t="n">
        <f aca="false">EOMONTH(BP38,0)+1</f>
        <v>37773</v>
      </c>
      <c r="BQ39" s="135" t="n">
        <f aca="false">SUM(BC39:BO39)</f>
        <v>0</v>
      </c>
      <c r="BS39" s="208" t="n">
        <f aca="false">EOMONTH(BS38,0)+1</f>
        <v>37773</v>
      </c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208" t="n">
        <f aca="false">EOMONTH(CG38,0)+1</f>
        <v>37773</v>
      </c>
      <c r="CH39" s="135" t="n">
        <f aca="false">SUM(BT39:CF39)</f>
        <v>0</v>
      </c>
    </row>
    <row r="40" customFormat="false" ht="12.75" hidden="false" customHeight="false" outlineLevel="0" collapsed="false">
      <c r="A40" s="208" t="n">
        <f aca="false">EOMONTH(A39,0)+1</f>
        <v>37803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208" t="n">
        <f aca="false">EOMONTH(O39,0)+1</f>
        <v>37803</v>
      </c>
      <c r="P40" s="135" t="n">
        <f aca="false">SUM(B40:N40)</f>
        <v>0</v>
      </c>
      <c r="S40" s="208" t="n">
        <f aca="false">EOMONTH(S39,0)+1</f>
        <v>37803</v>
      </c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208" t="n">
        <f aca="false">EOMONTH(AG39,0)+1</f>
        <v>37803</v>
      </c>
      <c r="AH40" s="135" t="n">
        <f aca="false">SUM(T40:AF40)</f>
        <v>0</v>
      </c>
      <c r="AK40" s="208" t="n">
        <f aca="false">EOMONTH(AK39,0)+1</f>
        <v>37803</v>
      </c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208" t="n">
        <f aca="false">EOMONTH(AY39,0)+1</f>
        <v>37803</v>
      </c>
      <c r="AZ40" s="135" t="n">
        <f aca="false">SUM(AL40:AX40)</f>
        <v>0</v>
      </c>
      <c r="BB40" s="208" t="n">
        <f aca="false">EOMONTH(BB39,0)+1</f>
        <v>37803</v>
      </c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208" t="n">
        <f aca="false">EOMONTH(BP39,0)+1</f>
        <v>37803</v>
      </c>
      <c r="BQ40" s="135" t="n">
        <f aca="false">SUM(BC40:BO40)</f>
        <v>0</v>
      </c>
      <c r="BS40" s="208" t="n">
        <f aca="false">EOMONTH(BS39,0)+1</f>
        <v>37803</v>
      </c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208" t="n">
        <f aca="false">EOMONTH(CG39,0)+1</f>
        <v>37803</v>
      </c>
      <c r="CH40" s="135" t="n">
        <f aca="false">SUM(BT40:CF40)</f>
        <v>0</v>
      </c>
    </row>
    <row r="41" customFormat="false" ht="12.75" hidden="false" customHeight="false" outlineLevel="0" collapsed="false">
      <c r="A41" s="208" t="n">
        <f aca="false">EOMONTH(A40,0)+1</f>
        <v>37834</v>
      </c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208" t="n">
        <f aca="false">EOMONTH(O40,0)+1</f>
        <v>37834</v>
      </c>
      <c r="P41" s="135" t="n">
        <f aca="false">SUM(B41:N41)</f>
        <v>0</v>
      </c>
      <c r="S41" s="208" t="n">
        <f aca="false">EOMONTH(S40,0)+1</f>
        <v>37834</v>
      </c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208" t="n">
        <f aca="false">EOMONTH(AG40,0)+1</f>
        <v>37834</v>
      </c>
      <c r="AH41" s="135" t="n">
        <f aca="false">SUM(T41:AF41)</f>
        <v>0</v>
      </c>
      <c r="AK41" s="208" t="n">
        <f aca="false">EOMONTH(AK40,0)+1</f>
        <v>37834</v>
      </c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208" t="n">
        <f aca="false">EOMONTH(AY40,0)+1</f>
        <v>37834</v>
      </c>
      <c r="AZ41" s="135" t="n">
        <f aca="false">SUM(AL41:AX41)</f>
        <v>0</v>
      </c>
      <c r="BB41" s="208" t="n">
        <f aca="false">EOMONTH(BB40,0)+1</f>
        <v>37834</v>
      </c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208" t="n">
        <f aca="false">EOMONTH(BP40,0)+1</f>
        <v>37834</v>
      </c>
      <c r="BQ41" s="135" t="n">
        <f aca="false">SUM(BC41:BO41)</f>
        <v>0</v>
      </c>
      <c r="BS41" s="208" t="n">
        <f aca="false">EOMONTH(BS40,0)+1</f>
        <v>37834</v>
      </c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208" t="n">
        <f aca="false">EOMONTH(CG40,0)+1</f>
        <v>37834</v>
      </c>
      <c r="CH41" s="135" t="n">
        <f aca="false">SUM(BT41:CF41)</f>
        <v>0</v>
      </c>
    </row>
    <row r="42" customFormat="false" ht="12.75" hidden="false" customHeight="false" outlineLevel="0" collapsed="false">
      <c r="A42" s="208" t="n">
        <f aca="false">EOMONTH(A41,0)+1</f>
        <v>37865</v>
      </c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208" t="n">
        <f aca="false">EOMONTH(O41,0)+1</f>
        <v>37865</v>
      </c>
      <c r="P42" s="135" t="n">
        <f aca="false">SUM(B42:N42)</f>
        <v>0</v>
      </c>
      <c r="S42" s="208" t="n">
        <f aca="false">EOMONTH(S41,0)+1</f>
        <v>37865</v>
      </c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208" t="n">
        <f aca="false">EOMONTH(AG41,0)+1</f>
        <v>37865</v>
      </c>
      <c r="AH42" s="135" t="n">
        <f aca="false">SUM(T42:AF42)</f>
        <v>0</v>
      </c>
      <c r="AK42" s="208" t="n">
        <f aca="false">EOMONTH(AK41,0)+1</f>
        <v>37865</v>
      </c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208" t="n">
        <f aca="false">EOMONTH(AY41,0)+1</f>
        <v>37865</v>
      </c>
      <c r="AZ42" s="135" t="n">
        <f aca="false">SUM(AL42:AX42)</f>
        <v>0</v>
      </c>
      <c r="BB42" s="208" t="n">
        <f aca="false">EOMONTH(BB41,0)+1</f>
        <v>37865</v>
      </c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208" t="n">
        <f aca="false">EOMONTH(BP41,0)+1</f>
        <v>37865</v>
      </c>
      <c r="BQ42" s="135" t="n">
        <f aca="false">SUM(BC42:BO42)</f>
        <v>0</v>
      </c>
      <c r="BS42" s="208" t="n">
        <f aca="false">EOMONTH(BS41,0)+1</f>
        <v>37865</v>
      </c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208" t="n">
        <f aca="false">EOMONTH(CG41,0)+1</f>
        <v>37865</v>
      </c>
      <c r="CH42" s="135" t="n">
        <f aca="false">SUM(BT42:CF42)</f>
        <v>0</v>
      </c>
    </row>
    <row r="43" customFormat="false" ht="12.75" hidden="false" customHeight="false" outlineLevel="0" collapsed="false">
      <c r="A43" s="208" t="n">
        <f aca="false">EOMONTH(A42,0)+1</f>
        <v>37895</v>
      </c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208" t="n">
        <f aca="false">EOMONTH(O42,0)+1</f>
        <v>37895</v>
      </c>
      <c r="P43" s="135" t="n">
        <f aca="false">SUM(B43:N43)</f>
        <v>0</v>
      </c>
      <c r="S43" s="208" t="n">
        <f aca="false">EOMONTH(S42,0)+1</f>
        <v>37895</v>
      </c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208" t="n">
        <f aca="false">EOMONTH(AG42,0)+1</f>
        <v>37895</v>
      </c>
      <c r="AH43" s="135" t="n">
        <f aca="false">SUM(T43:AF43)</f>
        <v>0</v>
      </c>
      <c r="AK43" s="208" t="n">
        <f aca="false">EOMONTH(AK42,0)+1</f>
        <v>37895</v>
      </c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208" t="n">
        <f aca="false">EOMONTH(AY42,0)+1</f>
        <v>37895</v>
      </c>
      <c r="AZ43" s="135" t="n">
        <f aca="false">SUM(AL43:AX43)</f>
        <v>0</v>
      </c>
      <c r="BB43" s="208" t="n">
        <f aca="false">EOMONTH(BB42,0)+1</f>
        <v>37895</v>
      </c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208" t="n">
        <f aca="false">EOMONTH(BP42,0)+1</f>
        <v>37895</v>
      </c>
      <c r="BQ43" s="135" t="n">
        <f aca="false">SUM(BC43:BO43)</f>
        <v>0</v>
      </c>
      <c r="BS43" s="208" t="n">
        <f aca="false">EOMONTH(BS42,0)+1</f>
        <v>37895</v>
      </c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208" t="n">
        <f aca="false">EOMONTH(CG42,0)+1</f>
        <v>37895</v>
      </c>
      <c r="CH43" s="135" t="n">
        <f aca="false">SUM(BT43:CF43)</f>
        <v>0</v>
      </c>
    </row>
    <row r="44" customFormat="false" ht="12.75" hidden="false" customHeight="false" outlineLevel="0" collapsed="false">
      <c r="A44" s="208" t="n">
        <f aca="false">EOMONTH(A43,0)+1</f>
        <v>37926</v>
      </c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208" t="n">
        <f aca="false">EOMONTH(O43,0)+1</f>
        <v>37926</v>
      </c>
      <c r="P44" s="135" t="n">
        <f aca="false">SUM(B44:N44)</f>
        <v>0</v>
      </c>
      <c r="S44" s="208" t="n">
        <f aca="false">EOMONTH(S43,0)+1</f>
        <v>37926</v>
      </c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208" t="n">
        <f aca="false">EOMONTH(AG43,0)+1</f>
        <v>37926</v>
      </c>
      <c r="AH44" s="135" t="n">
        <f aca="false">SUM(T44:AF44)</f>
        <v>0</v>
      </c>
      <c r="AK44" s="208" t="n">
        <f aca="false">EOMONTH(AK43,0)+1</f>
        <v>37926</v>
      </c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208" t="n">
        <f aca="false">EOMONTH(AY43,0)+1</f>
        <v>37926</v>
      </c>
      <c r="AZ44" s="135" t="n">
        <f aca="false">SUM(AL44:AX44)</f>
        <v>0</v>
      </c>
      <c r="BB44" s="208" t="n">
        <f aca="false">EOMONTH(BB43,0)+1</f>
        <v>37926</v>
      </c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208" t="n">
        <f aca="false">EOMONTH(BP43,0)+1</f>
        <v>37926</v>
      </c>
      <c r="BQ44" s="135" t="n">
        <f aca="false">SUM(BC44:BO44)</f>
        <v>0</v>
      </c>
      <c r="BS44" s="208" t="n">
        <f aca="false">EOMONTH(BS43,0)+1</f>
        <v>37926</v>
      </c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208" t="n">
        <f aca="false">EOMONTH(CG43,0)+1</f>
        <v>37926</v>
      </c>
      <c r="CH44" s="135" t="n">
        <f aca="false">SUM(BT44:CF44)</f>
        <v>0</v>
      </c>
    </row>
    <row r="45" customFormat="false" ht="12.75" hidden="false" customHeight="false" outlineLevel="0" collapsed="false">
      <c r="A45" s="208" t="n">
        <f aca="false">EOMONTH(A44,0)+1</f>
        <v>37956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208" t="n">
        <f aca="false">EOMONTH(O44,0)+1</f>
        <v>37956</v>
      </c>
      <c r="P45" s="135" t="n">
        <f aca="false">SUM(B45:N45)</f>
        <v>0</v>
      </c>
      <c r="S45" s="208" t="n">
        <f aca="false">EOMONTH(S44,0)+1</f>
        <v>37956</v>
      </c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208" t="n">
        <f aca="false">EOMONTH(AG44,0)+1</f>
        <v>37956</v>
      </c>
      <c r="AH45" s="135" t="n">
        <f aca="false">SUM(T45:AF45)</f>
        <v>0</v>
      </c>
      <c r="AK45" s="208" t="n">
        <f aca="false">EOMONTH(AK44,0)+1</f>
        <v>37956</v>
      </c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208" t="n">
        <f aca="false">EOMONTH(AY44,0)+1</f>
        <v>37956</v>
      </c>
      <c r="AZ45" s="135" t="n">
        <f aca="false">SUM(AL45:AX45)</f>
        <v>0</v>
      </c>
      <c r="BB45" s="208" t="n">
        <f aca="false">EOMONTH(BB44,0)+1</f>
        <v>37956</v>
      </c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208" t="n">
        <f aca="false">EOMONTH(BP44,0)+1</f>
        <v>37956</v>
      </c>
      <c r="BQ45" s="135" t="n">
        <f aca="false">SUM(BC45:BO45)</f>
        <v>0</v>
      </c>
      <c r="BS45" s="208" t="n">
        <f aca="false">EOMONTH(BS44,0)+1</f>
        <v>37956</v>
      </c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208" t="n">
        <f aca="false">EOMONTH(CG44,0)+1</f>
        <v>37956</v>
      </c>
      <c r="CH45" s="135" t="n">
        <f aca="false">SUM(BT45:CF45)</f>
        <v>0</v>
      </c>
    </row>
    <row r="46" customFormat="false" ht="12.75" hidden="false" customHeight="false" outlineLevel="0" collapsed="false">
      <c r="A46" s="208" t="n">
        <f aca="false">EOMONTH(A45,0)+1</f>
        <v>37987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208" t="n">
        <f aca="false">EOMONTH(O45,0)+1</f>
        <v>37987</v>
      </c>
      <c r="P46" s="135" t="n">
        <f aca="false">SUM(B46:N46)</f>
        <v>0</v>
      </c>
      <c r="S46" s="208" t="n">
        <f aca="false">EOMONTH(S45,0)+1</f>
        <v>37987</v>
      </c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208" t="n">
        <f aca="false">EOMONTH(AG45,0)+1</f>
        <v>37987</v>
      </c>
      <c r="AH46" s="135" t="n">
        <f aca="false">SUM(T46:AF46)</f>
        <v>0</v>
      </c>
      <c r="AK46" s="208" t="n">
        <f aca="false">EOMONTH(AK45,0)+1</f>
        <v>37987</v>
      </c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208" t="n">
        <f aca="false">EOMONTH(AY45,0)+1</f>
        <v>37987</v>
      </c>
      <c r="AZ46" s="135" t="n">
        <f aca="false">SUM(AL46:AX46)</f>
        <v>0</v>
      </c>
      <c r="BB46" s="208" t="n">
        <f aca="false">EOMONTH(BB45,0)+1</f>
        <v>37987</v>
      </c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208" t="n">
        <f aca="false">EOMONTH(BP45,0)+1</f>
        <v>37987</v>
      </c>
      <c r="BQ46" s="135" t="n">
        <f aca="false">SUM(BC46:BO46)</f>
        <v>0</v>
      </c>
      <c r="BS46" s="208" t="n">
        <f aca="false">EOMONTH(BS45,0)+1</f>
        <v>37987</v>
      </c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208" t="n">
        <f aca="false">EOMONTH(CG45,0)+1</f>
        <v>37987</v>
      </c>
      <c r="CH46" s="135" t="n">
        <f aca="false">SUM(BT46:CF46)</f>
        <v>0</v>
      </c>
    </row>
    <row r="47" customFormat="false" ht="12.75" hidden="false" customHeight="false" outlineLevel="0" collapsed="false">
      <c r="A47" s="208" t="n">
        <f aca="false">EOMONTH(A46,0)+1</f>
        <v>38018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208" t="n">
        <f aca="false">EOMONTH(O46,0)+1</f>
        <v>38018</v>
      </c>
      <c r="P47" s="135" t="n">
        <f aca="false">SUM(B47:N47)</f>
        <v>0</v>
      </c>
      <c r="S47" s="208" t="n">
        <f aca="false">EOMONTH(S46,0)+1</f>
        <v>38018</v>
      </c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208" t="n">
        <f aca="false">EOMONTH(AG46,0)+1</f>
        <v>38018</v>
      </c>
      <c r="AH47" s="135" t="n">
        <f aca="false">SUM(T47:AF47)</f>
        <v>0</v>
      </c>
      <c r="AK47" s="208" t="n">
        <f aca="false">EOMONTH(AK46,0)+1</f>
        <v>38018</v>
      </c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208" t="n">
        <f aca="false">EOMONTH(AY46,0)+1</f>
        <v>38018</v>
      </c>
      <c r="AZ47" s="135" t="n">
        <f aca="false">SUM(AL47:AX47)</f>
        <v>0</v>
      </c>
      <c r="BB47" s="208" t="n">
        <f aca="false">EOMONTH(BB46,0)+1</f>
        <v>38018</v>
      </c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208" t="n">
        <f aca="false">EOMONTH(BP46,0)+1</f>
        <v>38018</v>
      </c>
      <c r="BQ47" s="135" t="n">
        <f aca="false">SUM(BC47:BO47)</f>
        <v>0</v>
      </c>
      <c r="BS47" s="208" t="n">
        <f aca="false">EOMONTH(BS46,0)+1</f>
        <v>38018</v>
      </c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208" t="n">
        <f aca="false">EOMONTH(CG46,0)+1</f>
        <v>38018</v>
      </c>
      <c r="CH47" s="135" t="n">
        <f aca="false">SUM(BT47:CF47)</f>
        <v>0</v>
      </c>
    </row>
    <row r="48" customFormat="false" ht="12.75" hidden="false" customHeight="false" outlineLevel="0" collapsed="false">
      <c r="A48" s="208" t="n">
        <f aca="false">EOMONTH(A47,0)+1</f>
        <v>38047</v>
      </c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208" t="n">
        <f aca="false">EOMONTH(O47,0)+1</f>
        <v>38047</v>
      </c>
      <c r="P48" s="135" t="n">
        <f aca="false">SUM(B48:N48)</f>
        <v>0</v>
      </c>
      <c r="S48" s="208" t="n">
        <f aca="false">EOMONTH(S47,0)+1</f>
        <v>38047</v>
      </c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208" t="n">
        <f aca="false">EOMONTH(AG47,0)+1</f>
        <v>38047</v>
      </c>
      <c r="AH48" s="135" t="n">
        <f aca="false">SUM(T48:AF48)</f>
        <v>0</v>
      </c>
      <c r="AK48" s="208" t="n">
        <f aca="false">EOMONTH(AK47,0)+1</f>
        <v>38047</v>
      </c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208" t="n">
        <f aca="false">EOMONTH(AY47,0)+1</f>
        <v>38047</v>
      </c>
      <c r="AZ48" s="135" t="n">
        <f aca="false">SUM(AL48:AX48)</f>
        <v>0</v>
      </c>
      <c r="BB48" s="208" t="n">
        <f aca="false">EOMONTH(BB47,0)+1</f>
        <v>38047</v>
      </c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208" t="n">
        <f aca="false">EOMONTH(BP47,0)+1</f>
        <v>38047</v>
      </c>
      <c r="BQ48" s="135" t="n">
        <f aca="false">SUM(BC48:BO48)</f>
        <v>0</v>
      </c>
      <c r="BS48" s="208" t="n">
        <f aca="false">EOMONTH(BS47,0)+1</f>
        <v>38047</v>
      </c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208" t="n">
        <f aca="false">EOMONTH(CG47,0)+1</f>
        <v>38047</v>
      </c>
      <c r="CH48" s="135" t="n">
        <f aca="false">SUM(BT48:CF48)</f>
        <v>0</v>
      </c>
    </row>
    <row r="49" customFormat="false" ht="12.75" hidden="false" customHeight="false" outlineLevel="0" collapsed="false">
      <c r="A49" s="208" t="n">
        <f aca="false">EOMONTH(A48,0)+1</f>
        <v>38078</v>
      </c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208" t="n">
        <f aca="false">EOMONTH(O48,0)+1</f>
        <v>38078</v>
      </c>
      <c r="P49" s="135" t="n">
        <f aca="false">SUM(B49:N49)</f>
        <v>0</v>
      </c>
      <c r="S49" s="208" t="n">
        <f aca="false">EOMONTH(S48,0)+1</f>
        <v>38078</v>
      </c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208" t="n">
        <f aca="false">EOMONTH(AG48,0)+1</f>
        <v>38078</v>
      </c>
      <c r="AH49" s="135" t="n">
        <f aca="false">SUM(T49:AF49)</f>
        <v>0</v>
      </c>
      <c r="AK49" s="208" t="n">
        <f aca="false">EOMONTH(AK48,0)+1</f>
        <v>38078</v>
      </c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208" t="n">
        <f aca="false">EOMONTH(AY48,0)+1</f>
        <v>38078</v>
      </c>
      <c r="AZ49" s="135" t="n">
        <f aca="false">SUM(AL49:AX49)</f>
        <v>0</v>
      </c>
      <c r="BB49" s="208" t="n">
        <f aca="false">EOMONTH(BB48,0)+1</f>
        <v>38078</v>
      </c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208" t="n">
        <f aca="false">EOMONTH(BP48,0)+1</f>
        <v>38078</v>
      </c>
      <c r="BQ49" s="135" t="n">
        <f aca="false">SUM(BC49:BO49)</f>
        <v>0</v>
      </c>
      <c r="BS49" s="208" t="n">
        <f aca="false">EOMONTH(BS48,0)+1</f>
        <v>38078</v>
      </c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208" t="n">
        <f aca="false">EOMONTH(CG48,0)+1</f>
        <v>38078</v>
      </c>
      <c r="CH49" s="135" t="n">
        <f aca="false">SUM(BT49:CF49)</f>
        <v>0</v>
      </c>
    </row>
    <row r="50" customFormat="false" ht="12.75" hidden="false" customHeight="false" outlineLevel="0" collapsed="false">
      <c r="A50" s="208" t="n">
        <f aca="false">EOMONTH(A49,0)+1</f>
        <v>38108</v>
      </c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208" t="n">
        <f aca="false">EOMONTH(O49,0)+1</f>
        <v>38108</v>
      </c>
      <c r="P50" s="135" t="n">
        <f aca="false">SUM(B50:N50)</f>
        <v>0</v>
      </c>
      <c r="S50" s="208" t="n">
        <f aca="false">EOMONTH(S49,0)+1</f>
        <v>38108</v>
      </c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208" t="n">
        <f aca="false">EOMONTH(AG49,0)+1</f>
        <v>38108</v>
      </c>
      <c r="AH50" s="135" t="n">
        <f aca="false">SUM(T50:AF50)</f>
        <v>0</v>
      </c>
      <c r="AK50" s="208" t="n">
        <f aca="false">EOMONTH(AK49,0)+1</f>
        <v>38108</v>
      </c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208" t="n">
        <f aca="false">EOMONTH(AY49,0)+1</f>
        <v>38108</v>
      </c>
      <c r="AZ50" s="135" t="n">
        <f aca="false">SUM(AL50:AX50)</f>
        <v>0</v>
      </c>
      <c r="BB50" s="208" t="n">
        <f aca="false">EOMONTH(BB49,0)+1</f>
        <v>38108</v>
      </c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208" t="n">
        <f aca="false">EOMONTH(BP49,0)+1</f>
        <v>38108</v>
      </c>
      <c r="BQ50" s="135" t="n">
        <f aca="false">SUM(BC50:BO50)</f>
        <v>0</v>
      </c>
      <c r="BS50" s="208" t="n">
        <f aca="false">EOMONTH(BS49,0)+1</f>
        <v>38108</v>
      </c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208" t="n">
        <f aca="false">EOMONTH(CG49,0)+1</f>
        <v>38108</v>
      </c>
      <c r="CH50" s="135" t="n">
        <f aca="false">SUM(BT50:CF50)</f>
        <v>0</v>
      </c>
    </row>
    <row r="51" customFormat="false" ht="12.75" hidden="false" customHeight="false" outlineLevel="0" collapsed="false">
      <c r="A51" s="208" t="n">
        <f aca="false">EOMONTH(A50,0)+1</f>
        <v>38139</v>
      </c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208" t="n">
        <f aca="false">EOMONTH(O50,0)+1</f>
        <v>38139</v>
      </c>
      <c r="P51" s="135" t="n">
        <f aca="false">SUM(B51:N51)</f>
        <v>0</v>
      </c>
      <c r="S51" s="208" t="n">
        <f aca="false">EOMONTH(S50,0)+1</f>
        <v>38139</v>
      </c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208" t="n">
        <f aca="false">EOMONTH(AG50,0)+1</f>
        <v>38139</v>
      </c>
      <c r="AH51" s="135" t="n">
        <f aca="false">SUM(T51:AF51)</f>
        <v>0</v>
      </c>
      <c r="AK51" s="208" t="n">
        <f aca="false">EOMONTH(AK50,0)+1</f>
        <v>38139</v>
      </c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208" t="n">
        <f aca="false">EOMONTH(AY50,0)+1</f>
        <v>38139</v>
      </c>
      <c r="AZ51" s="135" t="n">
        <f aca="false">SUM(AL51:AX51)</f>
        <v>0</v>
      </c>
      <c r="BB51" s="208" t="n">
        <f aca="false">EOMONTH(BB50,0)+1</f>
        <v>38139</v>
      </c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208" t="n">
        <f aca="false">EOMONTH(BP50,0)+1</f>
        <v>38139</v>
      </c>
      <c r="BQ51" s="135" t="n">
        <f aca="false">SUM(BC51:BO51)</f>
        <v>0</v>
      </c>
      <c r="BS51" s="208" t="n">
        <f aca="false">EOMONTH(BS50,0)+1</f>
        <v>38139</v>
      </c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208" t="n">
        <f aca="false">EOMONTH(CG50,0)+1</f>
        <v>38139</v>
      </c>
      <c r="CH51" s="135" t="n">
        <f aca="false">SUM(BT51:CF51)</f>
        <v>0</v>
      </c>
    </row>
    <row r="52" customFormat="false" ht="12.75" hidden="false" customHeight="false" outlineLevel="0" collapsed="false">
      <c r="A52" s="208" t="n">
        <f aca="false">EOMONTH(A51,0)+1</f>
        <v>38169</v>
      </c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208" t="n">
        <f aca="false">EOMONTH(O51,0)+1</f>
        <v>38169</v>
      </c>
      <c r="P52" s="135" t="n">
        <f aca="false">SUM(B52:N52)</f>
        <v>0</v>
      </c>
      <c r="S52" s="208" t="n">
        <f aca="false">EOMONTH(S51,0)+1</f>
        <v>38169</v>
      </c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208" t="n">
        <f aca="false">EOMONTH(AG51,0)+1</f>
        <v>38169</v>
      </c>
      <c r="AH52" s="135" t="n">
        <f aca="false">SUM(T52:AF52)</f>
        <v>0</v>
      </c>
      <c r="AK52" s="208" t="n">
        <f aca="false">EOMONTH(AK51,0)+1</f>
        <v>38169</v>
      </c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208" t="n">
        <f aca="false">EOMONTH(AY51,0)+1</f>
        <v>38169</v>
      </c>
      <c r="AZ52" s="135" t="n">
        <f aca="false">SUM(AL52:AX52)</f>
        <v>0</v>
      </c>
      <c r="BB52" s="208" t="n">
        <f aca="false">EOMONTH(BB51,0)+1</f>
        <v>38169</v>
      </c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208" t="n">
        <f aca="false">EOMONTH(BP51,0)+1</f>
        <v>38169</v>
      </c>
      <c r="BQ52" s="135" t="n">
        <f aca="false">SUM(BC52:BO52)</f>
        <v>0</v>
      </c>
      <c r="BS52" s="208" t="n">
        <f aca="false">EOMONTH(BS51,0)+1</f>
        <v>38169</v>
      </c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208" t="n">
        <f aca="false">EOMONTH(CG51,0)+1</f>
        <v>38169</v>
      </c>
      <c r="CH52" s="135" t="n">
        <f aca="false">SUM(BT52:CF52)</f>
        <v>0</v>
      </c>
    </row>
    <row r="53" customFormat="false" ht="12.75" hidden="false" customHeight="false" outlineLevel="0" collapsed="false">
      <c r="A53" s="208" t="n">
        <f aca="false">EOMONTH(A52,0)+1</f>
        <v>38200</v>
      </c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208" t="n">
        <f aca="false">EOMONTH(O52,0)+1</f>
        <v>38200</v>
      </c>
      <c r="P53" s="135" t="n">
        <f aca="false">SUM(B53:N53)</f>
        <v>0</v>
      </c>
      <c r="S53" s="208" t="n">
        <f aca="false">EOMONTH(S52,0)+1</f>
        <v>38200</v>
      </c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208" t="n">
        <f aca="false">EOMONTH(AG52,0)+1</f>
        <v>38200</v>
      </c>
      <c r="AH53" s="135" t="n">
        <f aca="false">SUM(T53:AF53)</f>
        <v>0</v>
      </c>
      <c r="AK53" s="208" t="n">
        <f aca="false">EOMONTH(AK52,0)+1</f>
        <v>38200</v>
      </c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208" t="n">
        <f aca="false">EOMONTH(AY52,0)+1</f>
        <v>38200</v>
      </c>
      <c r="AZ53" s="135" t="n">
        <f aca="false">SUM(AL53:AX53)</f>
        <v>0</v>
      </c>
      <c r="BB53" s="208" t="n">
        <f aca="false">EOMONTH(BB52,0)+1</f>
        <v>38200</v>
      </c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208" t="n">
        <f aca="false">EOMONTH(BP52,0)+1</f>
        <v>38200</v>
      </c>
      <c r="BQ53" s="135" t="n">
        <f aca="false">SUM(BC53:BO53)</f>
        <v>0</v>
      </c>
      <c r="BS53" s="208" t="n">
        <f aca="false">EOMONTH(BS52,0)+1</f>
        <v>38200</v>
      </c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208" t="n">
        <f aca="false">EOMONTH(CG52,0)+1</f>
        <v>38200</v>
      </c>
      <c r="CH53" s="135" t="n">
        <f aca="false">SUM(BT53:CF53)</f>
        <v>0</v>
      </c>
    </row>
    <row r="54" customFormat="false" ht="12.75" hidden="false" customHeight="false" outlineLevel="0" collapsed="false">
      <c r="A54" s="208" t="n">
        <f aca="false">EOMONTH(A53,0)+1</f>
        <v>38231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208" t="n">
        <f aca="false">EOMONTH(O53,0)+1</f>
        <v>38231</v>
      </c>
      <c r="P54" s="135" t="n">
        <f aca="false">SUM(B54:N54)</f>
        <v>0</v>
      </c>
      <c r="S54" s="208" t="n">
        <f aca="false">EOMONTH(S53,0)+1</f>
        <v>38231</v>
      </c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208" t="n">
        <f aca="false">EOMONTH(AG53,0)+1</f>
        <v>38231</v>
      </c>
      <c r="AH54" s="135" t="n">
        <f aca="false">SUM(T54:AF54)</f>
        <v>0</v>
      </c>
      <c r="AK54" s="208" t="n">
        <f aca="false">EOMONTH(AK53,0)+1</f>
        <v>38231</v>
      </c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208" t="n">
        <f aca="false">EOMONTH(AY53,0)+1</f>
        <v>38231</v>
      </c>
      <c r="AZ54" s="135" t="n">
        <f aca="false">SUM(AL54:AX54)</f>
        <v>0</v>
      </c>
      <c r="BB54" s="208" t="n">
        <f aca="false">EOMONTH(BB53,0)+1</f>
        <v>38231</v>
      </c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208" t="n">
        <f aca="false">EOMONTH(BP53,0)+1</f>
        <v>38231</v>
      </c>
      <c r="BQ54" s="135" t="n">
        <f aca="false">SUM(BC54:BO54)</f>
        <v>0</v>
      </c>
      <c r="BS54" s="208" t="n">
        <f aca="false">EOMONTH(BS53,0)+1</f>
        <v>38231</v>
      </c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208" t="n">
        <f aca="false">EOMONTH(CG53,0)+1</f>
        <v>38231</v>
      </c>
      <c r="CH54" s="135" t="n">
        <f aca="false">SUM(BT54:CF54)</f>
        <v>0</v>
      </c>
    </row>
    <row r="55" customFormat="false" ht="12.75" hidden="false" customHeight="false" outlineLevel="0" collapsed="false">
      <c r="A55" s="208" t="n">
        <f aca="false">EOMONTH(A54,0)+1</f>
        <v>38261</v>
      </c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208" t="n">
        <f aca="false">EOMONTH(O54,0)+1</f>
        <v>38261</v>
      </c>
      <c r="P55" s="135" t="n">
        <f aca="false">SUM(B55:N55)</f>
        <v>0</v>
      </c>
      <c r="S55" s="208" t="n">
        <f aca="false">EOMONTH(S54,0)+1</f>
        <v>38261</v>
      </c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208" t="n">
        <f aca="false">EOMONTH(AG54,0)+1</f>
        <v>38261</v>
      </c>
      <c r="AH55" s="135" t="n">
        <f aca="false">SUM(T55:AF55)</f>
        <v>0</v>
      </c>
      <c r="AK55" s="208" t="n">
        <f aca="false">EOMONTH(AK54,0)+1</f>
        <v>38261</v>
      </c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208" t="n">
        <f aca="false">EOMONTH(AY54,0)+1</f>
        <v>38261</v>
      </c>
      <c r="AZ55" s="135" t="n">
        <f aca="false">SUM(AL55:AX55)</f>
        <v>0</v>
      </c>
      <c r="BB55" s="208" t="n">
        <f aca="false">EOMONTH(BB54,0)+1</f>
        <v>38261</v>
      </c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208" t="n">
        <f aca="false">EOMONTH(BP54,0)+1</f>
        <v>38261</v>
      </c>
      <c r="BQ55" s="135" t="n">
        <f aca="false">SUM(BC55:BO55)</f>
        <v>0</v>
      </c>
      <c r="BS55" s="208" t="n">
        <f aca="false">EOMONTH(BS54,0)+1</f>
        <v>38261</v>
      </c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208" t="n">
        <f aca="false">EOMONTH(CG54,0)+1</f>
        <v>38261</v>
      </c>
      <c r="CH55" s="135" t="n">
        <f aca="false">SUM(BT55:CF55)</f>
        <v>0</v>
      </c>
    </row>
    <row r="56" customFormat="false" ht="12.75" hidden="false" customHeight="false" outlineLevel="0" collapsed="false">
      <c r="A56" s="208" t="n">
        <f aca="false">EOMONTH(A55,0)+1</f>
        <v>38292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208" t="n">
        <f aca="false">EOMONTH(O55,0)+1</f>
        <v>38292</v>
      </c>
      <c r="P56" s="135" t="n">
        <f aca="false">SUM(B56:N56)</f>
        <v>0</v>
      </c>
      <c r="S56" s="208" t="n">
        <f aca="false">EOMONTH(S55,0)+1</f>
        <v>38292</v>
      </c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208" t="n">
        <f aca="false">EOMONTH(AG55,0)+1</f>
        <v>38292</v>
      </c>
      <c r="AH56" s="135" t="n">
        <f aca="false">SUM(T56:AF56)</f>
        <v>0</v>
      </c>
      <c r="AK56" s="208" t="n">
        <f aca="false">EOMONTH(AK55,0)+1</f>
        <v>38292</v>
      </c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208" t="n">
        <f aca="false">EOMONTH(AY55,0)+1</f>
        <v>38292</v>
      </c>
      <c r="AZ56" s="135" t="n">
        <f aca="false">SUM(AL56:AX56)</f>
        <v>0</v>
      </c>
      <c r="BB56" s="208" t="n">
        <f aca="false">EOMONTH(BB55,0)+1</f>
        <v>38292</v>
      </c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208" t="n">
        <f aca="false">EOMONTH(BP55,0)+1</f>
        <v>38292</v>
      </c>
      <c r="BQ56" s="135" t="n">
        <f aca="false">SUM(BC56:BO56)</f>
        <v>0</v>
      </c>
      <c r="BS56" s="208" t="n">
        <f aca="false">EOMONTH(BS55,0)+1</f>
        <v>38292</v>
      </c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208" t="n">
        <f aca="false">EOMONTH(CG55,0)+1</f>
        <v>38292</v>
      </c>
      <c r="CH56" s="135" t="n">
        <f aca="false">SUM(BT56:CF56)</f>
        <v>0</v>
      </c>
    </row>
    <row r="57" customFormat="false" ht="12.75" hidden="false" customHeight="false" outlineLevel="0" collapsed="false">
      <c r="A57" s="208" t="n">
        <f aca="false">EOMONTH(A56,0)+1</f>
        <v>38322</v>
      </c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208" t="n">
        <f aca="false">EOMONTH(O56,0)+1</f>
        <v>38322</v>
      </c>
      <c r="P57" s="135" t="n">
        <f aca="false">SUM(B57:N57)</f>
        <v>0</v>
      </c>
      <c r="S57" s="208" t="n">
        <f aca="false">EOMONTH(S56,0)+1</f>
        <v>38322</v>
      </c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208" t="n">
        <f aca="false">EOMONTH(AG56,0)+1</f>
        <v>38322</v>
      </c>
      <c r="AH57" s="135" t="n">
        <f aca="false">SUM(T57:AF57)</f>
        <v>0</v>
      </c>
      <c r="AK57" s="208" t="n">
        <f aca="false">EOMONTH(AK56,0)+1</f>
        <v>38322</v>
      </c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208" t="n">
        <f aca="false">EOMONTH(AY56,0)+1</f>
        <v>38322</v>
      </c>
      <c r="AZ57" s="135" t="n">
        <f aca="false">SUM(AL57:AX57)</f>
        <v>0</v>
      </c>
      <c r="BB57" s="208" t="n">
        <f aca="false">EOMONTH(BB56,0)+1</f>
        <v>38322</v>
      </c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208" t="n">
        <f aca="false">EOMONTH(BP56,0)+1</f>
        <v>38322</v>
      </c>
      <c r="BQ57" s="135" t="n">
        <f aca="false">SUM(BC57:BO57)</f>
        <v>0</v>
      </c>
      <c r="BS57" s="208" t="n">
        <f aca="false">EOMONTH(BS56,0)+1</f>
        <v>38322</v>
      </c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208" t="n">
        <f aca="false">EOMONTH(CG56,0)+1</f>
        <v>38322</v>
      </c>
      <c r="CH57" s="135" t="n">
        <f aca="false">SUM(BT57:CF57)</f>
        <v>0</v>
      </c>
    </row>
    <row r="58" customFormat="false" ht="12.75" hidden="false" customHeight="false" outlineLevel="0" collapsed="false">
      <c r="A58" s="208" t="n">
        <f aca="false">EOMONTH(A57,0)+1</f>
        <v>38353</v>
      </c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208" t="n">
        <f aca="false">EOMONTH(O57,0)+1</f>
        <v>38353</v>
      </c>
      <c r="P58" s="135" t="n">
        <f aca="false">SUM(B58:N58)</f>
        <v>0</v>
      </c>
      <c r="S58" s="208" t="n">
        <f aca="false">EOMONTH(S57,0)+1</f>
        <v>38353</v>
      </c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208" t="n">
        <f aca="false">EOMONTH(AG57,0)+1</f>
        <v>38353</v>
      </c>
      <c r="AH58" s="135" t="n">
        <f aca="false">SUM(T58:AF58)</f>
        <v>0</v>
      </c>
      <c r="AK58" s="208" t="n">
        <f aca="false">EOMONTH(AK57,0)+1</f>
        <v>38353</v>
      </c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208" t="n">
        <f aca="false">EOMONTH(AY57,0)+1</f>
        <v>38353</v>
      </c>
      <c r="AZ58" s="135" t="n">
        <f aca="false">SUM(AL58:AX58)</f>
        <v>0</v>
      </c>
      <c r="BB58" s="208" t="n">
        <f aca="false">EOMONTH(BB57,0)+1</f>
        <v>38353</v>
      </c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208" t="n">
        <f aca="false">EOMONTH(BP57,0)+1</f>
        <v>38353</v>
      </c>
      <c r="BQ58" s="135" t="n">
        <f aca="false">SUM(BC58:BO58)</f>
        <v>0</v>
      </c>
      <c r="BS58" s="208" t="n">
        <f aca="false">EOMONTH(BS57,0)+1</f>
        <v>38353</v>
      </c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208" t="n">
        <f aca="false">EOMONTH(CG57,0)+1</f>
        <v>38353</v>
      </c>
      <c r="CH58" s="135" t="n">
        <f aca="false">SUM(BT58:CF58)</f>
        <v>0</v>
      </c>
    </row>
    <row r="59" customFormat="false" ht="12.75" hidden="false" customHeight="false" outlineLevel="0" collapsed="false">
      <c r="A59" s="208" t="n">
        <f aca="false">EOMONTH(A58,0)+1</f>
        <v>38384</v>
      </c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208" t="n">
        <f aca="false">EOMONTH(O58,0)+1</f>
        <v>38384</v>
      </c>
      <c r="P59" s="135" t="n">
        <f aca="false">SUM(B59:N59)</f>
        <v>0</v>
      </c>
      <c r="S59" s="208" t="n">
        <f aca="false">EOMONTH(S58,0)+1</f>
        <v>38384</v>
      </c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208" t="n">
        <f aca="false">EOMONTH(AG58,0)+1</f>
        <v>38384</v>
      </c>
      <c r="AH59" s="135" t="n">
        <f aca="false">SUM(T59:AF59)</f>
        <v>0</v>
      </c>
      <c r="AK59" s="208" t="n">
        <f aca="false">EOMONTH(AK58,0)+1</f>
        <v>38384</v>
      </c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208" t="n">
        <f aca="false">EOMONTH(AY58,0)+1</f>
        <v>38384</v>
      </c>
      <c r="AZ59" s="135" t="n">
        <f aca="false">SUM(AL59:AX59)</f>
        <v>0</v>
      </c>
      <c r="BB59" s="208" t="n">
        <f aca="false">EOMONTH(BB58,0)+1</f>
        <v>38384</v>
      </c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208" t="n">
        <f aca="false">EOMONTH(BP58,0)+1</f>
        <v>38384</v>
      </c>
      <c r="BQ59" s="135" t="n">
        <f aca="false">SUM(BC59:BO59)</f>
        <v>0</v>
      </c>
      <c r="BS59" s="208" t="n">
        <f aca="false">EOMONTH(BS58,0)+1</f>
        <v>38384</v>
      </c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208" t="n">
        <f aca="false">EOMONTH(CG58,0)+1</f>
        <v>38384</v>
      </c>
      <c r="CH59" s="135" t="n">
        <f aca="false">SUM(BT59:CF59)</f>
        <v>0</v>
      </c>
    </row>
    <row r="60" customFormat="false" ht="12.75" hidden="false" customHeight="false" outlineLevel="0" collapsed="false">
      <c r="A60" s="208" t="n">
        <f aca="false">EOMONTH(A59,0)+1</f>
        <v>38412</v>
      </c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208" t="n">
        <f aca="false">EOMONTH(O59,0)+1</f>
        <v>38412</v>
      </c>
      <c r="P60" s="135" t="n">
        <f aca="false">SUM(B60:N60)</f>
        <v>0</v>
      </c>
      <c r="S60" s="208" t="n">
        <f aca="false">EOMONTH(S59,0)+1</f>
        <v>38412</v>
      </c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208" t="n">
        <f aca="false">EOMONTH(AG59,0)+1</f>
        <v>38412</v>
      </c>
      <c r="AH60" s="135" t="n">
        <f aca="false">SUM(T60:AF60)</f>
        <v>0</v>
      </c>
      <c r="AK60" s="208" t="n">
        <f aca="false">EOMONTH(AK59,0)+1</f>
        <v>38412</v>
      </c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208" t="n">
        <f aca="false">EOMONTH(AY59,0)+1</f>
        <v>38412</v>
      </c>
      <c r="AZ60" s="135" t="n">
        <f aca="false">SUM(AL60:AX60)</f>
        <v>0</v>
      </c>
      <c r="BB60" s="208" t="n">
        <f aca="false">EOMONTH(BB59,0)+1</f>
        <v>38412</v>
      </c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208" t="n">
        <f aca="false">EOMONTH(BP59,0)+1</f>
        <v>38412</v>
      </c>
      <c r="BQ60" s="135" t="n">
        <f aca="false">SUM(BC60:BO60)</f>
        <v>0</v>
      </c>
      <c r="BS60" s="208" t="n">
        <f aca="false">EOMONTH(BS59,0)+1</f>
        <v>38412</v>
      </c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208" t="n">
        <f aca="false">EOMONTH(CG59,0)+1</f>
        <v>38412</v>
      </c>
      <c r="CH60" s="135" t="n">
        <f aca="false">SUM(BT60:CF60)</f>
        <v>0</v>
      </c>
    </row>
    <row r="61" customFormat="false" ht="12.75" hidden="false" customHeight="false" outlineLevel="0" collapsed="false">
      <c r="A61" s="208" t="n">
        <f aca="false">EOMONTH(A60,0)+1</f>
        <v>38443</v>
      </c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208" t="n">
        <f aca="false">EOMONTH(O60,0)+1</f>
        <v>38443</v>
      </c>
      <c r="P61" s="135" t="n">
        <f aca="false">SUM(B61:N61)</f>
        <v>0</v>
      </c>
      <c r="S61" s="208" t="n">
        <f aca="false">EOMONTH(S60,0)+1</f>
        <v>38443</v>
      </c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208" t="n">
        <f aca="false">EOMONTH(AG60,0)+1</f>
        <v>38443</v>
      </c>
      <c r="AH61" s="135" t="n">
        <f aca="false">SUM(T61:AF61)</f>
        <v>0</v>
      </c>
      <c r="AK61" s="208" t="n">
        <f aca="false">EOMONTH(AK60,0)+1</f>
        <v>38443</v>
      </c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208" t="n">
        <f aca="false">EOMONTH(AY60,0)+1</f>
        <v>38443</v>
      </c>
      <c r="AZ61" s="135" t="n">
        <f aca="false">SUM(AL61:AX61)</f>
        <v>0</v>
      </c>
      <c r="BB61" s="208" t="n">
        <f aca="false">EOMONTH(BB60,0)+1</f>
        <v>38443</v>
      </c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208" t="n">
        <f aca="false">EOMONTH(BP60,0)+1</f>
        <v>38443</v>
      </c>
      <c r="BQ61" s="135" t="n">
        <f aca="false">SUM(BC61:BO61)</f>
        <v>0</v>
      </c>
      <c r="BS61" s="208" t="n">
        <f aca="false">EOMONTH(BS60,0)+1</f>
        <v>38443</v>
      </c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208" t="n">
        <f aca="false">EOMONTH(CG60,0)+1</f>
        <v>38443</v>
      </c>
      <c r="CH61" s="135" t="n">
        <f aca="false">SUM(BT61:CF61)</f>
        <v>0</v>
      </c>
    </row>
    <row r="62" customFormat="false" ht="12.75" hidden="false" customHeight="false" outlineLevel="0" collapsed="false">
      <c r="A62" s="208" t="n">
        <f aca="false">EOMONTH(A61,0)+1</f>
        <v>38473</v>
      </c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208" t="n">
        <f aca="false">EOMONTH(O61,0)+1</f>
        <v>38473</v>
      </c>
      <c r="P62" s="135" t="n">
        <f aca="false">SUM(B62:N62)</f>
        <v>0</v>
      </c>
      <c r="S62" s="208" t="n">
        <f aca="false">EOMONTH(S61,0)+1</f>
        <v>38473</v>
      </c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208" t="n">
        <f aca="false">EOMONTH(AG61,0)+1</f>
        <v>38473</v>
      </c>
      <c r="AH62" s="135" t="n">
        <f aca="false">SUM(T62:AF62)</f>
        <v>0</v>
      </c>
      <c r="AK62" s="208" t="n">
        <f aca="false">EOMONTH(AK61,0)+1</f>
        <v>38473</v>
      </c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208" t="n">
        <f aca="false">EOMONTH(AY61,0)+1</f>
        <v>38473</v>
      </c>
      <c r="AZ62" s="135" t="n">
        <f aca="false">SUM(AL62:AX62)</f>
        <v>0</v>
      </c>
      <c r="BB62" s="208" t="n">
        <f aca="false">EOMONTH(BB61,0)+1</f>
        <v>38473</v>
      </c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208" t="n">
        <f aca="false">EOMONTH(BP61,0)+1</f>
        <v>38473</v>
      </c>
      <c r="BQ62" s="135" t="n">
        <f aca="false">SUM(BC62:BO62)</f>
        <v>0</v>
      </c>
      <c r="BS62" s="208" t="n">
        <f aca="false">EOMONTH(BS61,0)+1</f>
        <v>38473</v>
      </c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208" t="n">
        <f aca="false">EOMONTH(CG61,0)+1</f>
        <v>38473</v>
      </c>
      <c r="CH62" s="135" t="n">
        <f aca="false">SUM(BT62:CF62)</f>
        <v>0</v>
      </c>
    </row>
    <row r="63" customFormat="false" ht="12.75" hidden="false" customHeight="false" outlineLevel="0" collapsed="false">
      <c r="A63" s="208" t="n">
        <f aca="false">EOMONTH(A62,0)+1</f>
        <v>38504</v>
      </c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208" t="n">
        <f aca="false">EOMONTH(O62,0)+1</f>
        <v>38504</v>
      </c>
      <c r="P63" s="135" t="n">
        <f aca="false">SUM(B63:N63)</f>
        <v>0</v>
      </c>
      <c r="S63" s="208" t="n">
        <f aca="false">EOMONTH(S62,0)+1</f>
        <v>38504</v>
      </c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208" t="n">
        <f aca="false">EOMONTH(AG62,0)+1</f>
        <v>38504</v>
      </c>
      <c r="AH63" s="135" t="n">
        <f aca="false">SUM(T63:AF63)</f>
        <v>0</v>
      </c>
      <c r="AK63" s="208" t="n">
        <f aca="false">EOMONTH(AK62,0)+1</f>
        <v>38504</v>
      </c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208" t="n">
        <f aca="false">EOMONTH(AY62,0)+1</f>
        <v>38504</v>
      </c>
      <c r="AZ63" s="135" t="n">
        <f aca="false">SUM(AL63:AX63)</f>
        <v>0</v>
      </c>
      <c r="BB63" s="208" t="n">
        <f aca="false">EOMONTH(BB62,0)+1</f>
        <v>38504</v>
      </c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208" t="n">
        <f aca="false">EOMONTH(BP62,0)+1</f>
        <v>38504</v>
      </c>
      <c r="BQ63" s="135" t="n">
        <f aca="false">SUM(BC63:BO63)</f>
        <v>0</v>
      </c>
      <c r="BS63" s="208" t="n">
        <f aca="false">EOMONTH(BS62,0)+1</f>
        <v>38504</v>
      </c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208" t="n">
        <f aca="false">EOMONTH(CG62,0)+1</f>
        <v>38504</v>
      </c>
      <c r="CH63" s="135" t="n">
        <f aca="false">SUM(BT63:CF63)</f>
        <v>0</v>
      </c>
    </row>
    <row r="64" customFormat="false" ht="12.75" hidden="false" customHeight="false" outlineLevel="0" collapsed="false">
      <c r="A64" s="208" t="n">
        <f aca="false">EOMONTH(A63,0)+1</f>
        <v>38534</v>
      </c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208" t="n">
        <f aca="false">EOMONTH(O63,0)+1</f>
        <v>38534</v>
      </c>
      <c r="P64" s="135" t="n">
        <f aca="false">SUM(B64:N64)</f>
        <v>0</v>
      </c>
      <c r="S64" s="208" t="n">
        <f aca="false">EOMONTH(S63,0)+1</f>
        <v>38534</v>
      </c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208" t="n">
        <f aca="false">EOMONTH(AG63,0)+1</f>
        <v>38534</v>
      </c>
      <c r="AH64" s="135" t="n">
        <f aca="false">SUM(T64:AF64)</f>
        <v>0</v>
      </c>
      <c r="AK64" s="208" t="n">
        <f aca="false">EOMONTH(AK63,0)+1</f>
        <v>38534</v>
      </c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208" t="n">
        <f aca="false">EOMONTH(AY63,0)+1</f>
        <v>38534</v>
      </c>
      <c r="AZ64" s="135" t="n">
        <f aca="false">SUM(AL64:AX64)</f>
        <v>0</v>
      </c>
      <c r="BB64" s="208" t="n">
        <f aca="false">EOMONTH(BB63,0)+1</f>
        <v>38534</v>
      </c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208" t="n">
        <f aca="false">EOMONTH(BP63,0)+1</f>
        <v>38534</v>
      </c>
      <c r="BQ64" s="135" t="n">
        <f aca="false">SUM(BC64:BO64)</f>
        <v>0</v>
      </c>
      <c r="BS64" s="208" t="n">
        <f aca="false">EOMONTH(BS63,0)+1</f>
        <v>38534</v>
      </c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208" t="n">
        <f aca="false">EOMONTH(CG63,0)+1</f>
        <v>38534</v>
      </c>
      <c r="CH64" s="135" t="n">
        <f aca="false">SUM(BT64:CF64)</f>
        <v>0</v>
      </c>
    </row>
    <row r="65" customFormat="false" ht="12.75" hidden="false" customHeight="false" outlineLevel="0" collapsed="false">
      <c r="A65" s="208" t="n">
        <f aca="false">EOMONTH(A64,0)+1</f>
        <v>38565</v>
      </c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208" t="n">
        <f aca="false">EOMONTH(O64,0)+1</f>
        <v>38565</v>
      </c>
      <c r="P65" s="135" t="n">
        <f aca="false">SUM(B65:N65)</f>
        <v>0</v>
      </c>
      <c r="S65" s="208" t="n">
        <f aca="false">EOMONTH(S64,0)+1</f>
        <v>38565</v>
      </c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208" t="n">
        <f aca="false">EOMONTH(AG64,0)+1</f>
        <v>38565</v>
      </c>
      <c r="AH65" s="135" t="n">
        <f aca="false">SUM(T65:AF65)</f>
        <v>0</v>
      </c>
      <c r="AK65" s="208" t="n">
        <f aca="false">EOMONTH(AK64,0)+1</f>
        <v>38565</v>
      </c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208" t="n">
        <f aca="false">EOMONTH(AY64,0)+1</f>
        <v>38565</v>
      </c>
      <c r="AZ65" s="135" t="n">
        <f aca="false">SUM(AL65:AX65)</f>
        <v>0</v>
      </c>
      <c r="BB65" s="208" t="n">
        <f aca="false">EOMONTH(BB64,0)+1</f>
        <v>38565</v>
      </c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208" t="n">
        <f aca="false">EOMONTH(BP64,0)+1</f>
        <v>38565</v>
      </c>
      <c r="BQ65" s="135" t="n">
        <f aca="false">SUM(BC65:BO65)</f>
        <v>0</v>
      </c>
      <c r="BS65" s="208" t="n">
        <f aca="false">EOMONTH(BS64,0)+1</f>
        <v>38565</v>
      </c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208" t="n">
        <f aca="false">EOMONTH(CG64,0)+1</f>
        <v>38565</v>
      </c>
      <c r="CH65" s="135" t="n">
        <f aca="false">SUM(BT65:CF65)</f>
        <v>0</v>
      </c>
    </row>
    <row r="66" customFormat="false" ht="12.75" hidden="false" customHeight="false" outlineLevel="0" collapsed="false">
      <c r="A66" s="208" t="n">
        <f aca="false">EOMONTH(A65,0)+1</f>
        <v>38596</v>
      </c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208" t="n">
        <f aca="false">EOMONTH(O65,0)+1</f>
        <v>38596</v>
      </c>
      <c r="P66" s="135" t="n">
        <f aca="false">SUM(B66:N66)</f>
        <v>0</v>
      </c>
      <c r="S66" s="208" t="n">
        <f aca="false">EOMONTH(S65,0)+1</f>
        <v>38596</v>
      </c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208" t="n">
        <f aca="false">EOMONTH(AG65,0)+1</f>
        <v>38596</v>
      </c>
      <c r="AH66" s="135" t="n">
        <f aca="false">SUM(T66:AF66)</f>
        <v>0</v>
      </c>
      <c r="AK66" s="208" t="n">
        <f aca="false">EOMONTH(AK65,0)+1</f>
        <v>38596</v>
      </c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208" t="n">
        <f aca="false">EOMONTH(AY65,0)+1</f>
        <v>38596</v>
      </c>
      <c r="AZ66" s="135" t="n">
        <f aca="false">SUM(AL66:AX66)</f>
        <v>0</v>
      </c>
      <c r="BB66" s="208" t="n">
        <f aca="false">EOMONTH(BB65,0)+1</f>
        <v>38596</v>
      </c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208" t="n">
        <f aca="false">EOMONTH(BP65,0)+1</f>
        <v>38596</v>
      </c>
      <c r="BQ66" s="135" t="n">
        <f aca="false">SUM(BC66:BO66)</f>
        <v>0</v>
      </c>
      <c r="BS66" s="208" t="n">
        <f aca="false">EOMONTH(BS65,0)+1</f>
        <v>38596</v>
      </c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208" t="n">
        <f aca="false">EOMONTH(CG65,0)+1</f>
        <v>38596</v>
      </c>
      <c r="CH66" s="135" t="n">
        <f aca="false">SUM(BT66:CF66)</f>
        <v>0</v>
      </c>
    </row>
    <row r="67" customFormat="false" ht="12.75" hidden="false" customHeight="false" outlineLevel="0" collapsed="false">
      <c r="A67" s="208" t="n">
        <f aca="false">EOMONTH(A66,0)+1</f>
        <v>38626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208" t="n">
        <f aca="false">EOMONTH(O66,0)+1</f>
        <v>38626</v>
      </c>
      <c r="P67" s="135" t="n">
        <f aca="false">SUM(B67:N67)</f>
        <v>0</v>
      </c>
      <c r="S67" s="208" t="n">
        <f aca="false">EOMONTH(S66,0)+1</f>
        <v>38626</v>
      </c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208" t="n">
        <f aca="false">EOMONTH(AG66,0)+1</f>
        <v>38626</v>
      </c>
      <c r="AH67" s="135" t="n">
        <f aca="false">SUM(T67:AF67)</f>
        <v>0</v>
      </c>
      <c r="AK67" s="208" t="n">
        <f aca="false">EOMONTH(AK66,0)+1</f>
        <v>38626</v>
      </c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208" t="n">
        <f aca="false">EOMONTH(AY66,0)+1</f>
        <v>38626</v>
      </c>
      <c r="AZ67" s="135" t="n">
        <f aca="false">SUM(AL67:AX67)</f>
        <v>0</v>
      </c>
      <c r="BB67" s="208" t="n">
        <f aca="false">EOMONTH(BB66,0)+1</f>
        <v>38626</v>
      </c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208" t="n">
        <f aca="false">EOMONTH(BP66,0)+1</f>
        <v>38626</v>
      </c>
      <c r="BQ67" s="135" t="n">
        <f aca="false">SUM(BC67:BO67)</f>
        <v>0</v>
      </c>
      <c r="BS67" s="208" t="n">
        <f aca="false">EOMONTH(BS66,0)+1</f>
        <v>38626</v>
      </c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208" t="n">
        <f aca="false">EOMONTH(CG66,0)+1</f>
        <v>38626</v>
      </c>
      <c r="CH67" s="135" t="n">
        <f aca="false">SUM(BT67:CF67)</f>
        <v>0</v>
      </c>
    </row>
    <row r="68" customFormat="false" ht="12.75" hidden="false" customHeight="false" outlineLevel="0" collapsed="false">
      <c r="A68" s="208" t="n">
        <f aca="false">EOMONTH(A67,0)+1</f>
        <v>38657</v>
      </c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208" t="n">
        <f aca="false">EOMONTH(O67,0)+1</f>
        <v>38657</v>
      </c>
      <c r="P68" s="135" t="n">
        <f aca="false">SUM(B68:N68)</f>
        <v>0</v>
      </c>
      <c r="S68" s="208" t="n">
        <f aca="false">EOMONTH(S67,0)+1</f>
        <v>38657</v>
      </c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208" t="n">
        <f aca="false">EOMONTH(AG67,0)+1</f>
        <v>38657</v>
      </c>
      <c r="AH68" s="135" t="n">
        <f aca="false">SUM(T68:AF68)</f>
        <v>0</v>
      </c>
      <c r="AK68" s="208" t="n">
        <f aca="false">EOMONTH(AK67,0)+1</f>
        <v>38657</v>
      </c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208" t="n">
        <f aca="false">EOMONTH(AY67,0)+1</f>
        <v>38657</v>
      </c>
      <c r="AZ68" s="135" t="n">
        <f aca="false">SUM(AL68:AX68)</f>
        <v>0</v>
      </c>
      <c r="BB68" s="208" t="n">
        <f aca="false">EOMONTH(BB67,0)+1</f>
        <v>38657</v>
      </c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208" t="n">
        <f aca="false">EOMONTH(BP67,0)+1</f>
        <v>38657</v>
      </c>
      <c r="BQ68" s="135" t="n">
        <f aca="false">SUM(BC68:BO68)</f>
        <v>0</v>
      </c>
      <c r="BS68" s="208" t="n">
        <f aca="false">EOMONTH(BS67,0)+1</f>
        <v>38657</v>
      </c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208" t="n">
        <f aca="false">EOMONTH(CG67,0)+1</f>
        <v>38657</v>
      </c>
      <c r="CH68" s="135" t="n">
        <f aca="false">SUM(BT68:CF68)</f>
        <v>0</v>
      </c>
    </row>
    <row r="69" customFormat="false" ht="12.75" hidden="false" customHeight="false" outlineLevel="0" collapsed="false">
      <c r="A69" s="208" t="n">
        <f aca="false">EOMONTH(A68,0)+1</f>
        <v>38687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208" t="n">
        <f aca="false">EOMONTH(O68,0)+1</f>
        <v>38687</v>
      </c>
      <c r="P69" s="135" t="n">
        <f aca="false">SUM(B69:N69)</f>
        <v>0</v>
      </c>
      <c r="S69" s="208" t="n">
        <f aca="false">EOMONTH(S68,0)+1</f>
        <v>38687</v>
      </c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208" t="n">
        <f aca="false">EOMONTH(AG68,0)+1</f>
        <v>38687</v>
      </c>
      <c r="AH69" s="135" t="n">
        <f aca="false">SUM(T69:AF69)</f>
        <v>0</v>
      </c>
      <c r="AK69" s="208" t="n">
        <f aca="false">EOMONTH(AK68,0)+1</f>
        <v>38687</v>
      </c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208" t="n">
        <f aca="false">EOMONTH(AY68,0)+1</f>
        <v>38687</v>
      </c>
      <c r="AZ69" s="135" t="n">
        <f aca="false">SUM(AL69:AX69)</f>
        <v>0</v>
      </c>
      <c r="BB69" s="208" t="n">
        <f aca="false">EOMONTH(BB68,0)+1</f>
        <v>38687</v>
      </c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208" t="n">
        <f aca="false">EOMONTH(BP68,0)+1</f>
        <v>38687</v>
      </c>
      <c r="BQ69" s="135" t="n">
        <f aca="false">SUM(BC69:BO69)</f>
        <v>0</v>
      </c>
      <c r="BS69" s="208" t="n">
        <f aca="false">EOMONTH(BS68,0)+1</f>
        <v>38687</v>
      </c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208" t="n">
        <f aca="false">EOMONTH(CG68,0)+1</f>
        <v>38687</v>
      </c>
      <c r="CH69" s="135" t="n">
        <f aca="false">SUM(BT69:CF69)</f>
        <v>0</v>
      </c>
    </row>
    <row r="70" customFormat="false" ht="12.75" hidden="false" customHeight="false" outlineLevel="0" collapsed="false">
      <c r="A70" s="208" t="n">
        <f aca="false">EOMONTH(A69,0)+1</f>
        <v>38718</v>
      </c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208" t="n">
        <f aca="false">EOMONTH(O69,0)+1</f>
        <v>38718</v>
      </c>
      <c r="P70" s="135" t="n">
        <f aca="false">SUM(B70:N70)</f>
        <v>0</v>
      </c>
      <c r="S70" s="208" t="n">
        <f aca="false">EOMONTH(S69,0)+1</f>
        <v>38718</v>
      </c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208" t="n">
        <f aca="false">EOMONTH(AG69,0)+1</f>
        <v>38718</v>
      </c>
      <c r="AH70" s="135" t="n">
        <f aca="false">SUM(T70:AF70)</f>
        <v>0</v>
      </c>
      <c r="AK70" s="208" t="n">
        <f aca="false">EOMONTH(AK69,0)+1</f>
        <v>38718</v>
      </c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208" t="n">
        <f aca="false">EOMONTH(AY69,0)+1</f>
        <v>38718</v>
      </c>
      <c r="AZ70" s="135" t="n">
        <f aca="false">SUM(AL70:AX70)</f>
        <v>0</v>
      </c>
      <c r="BB70" s="208" t="n">
        <f aca="false">EOMONTH(BB69,0)+1</f>
        <v>38718</v>
      </c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208" t="n">
        <f aca="false">EOMONTH(BP69,0)+1</f>
        <v>38718</v>
      </c>
      <c r="BQ70" s="135" t="n">
        <f aca="false">SUM(BC70:BO70)</f>
        <v>0</v>
      </c>
      <c r="BS70" s="208" t="n">
        <f aca="false">EOMONTH(BS69,0)+1</f>
        <v>38718</v>
      </c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208" t="n">
        <f aca="false">EOMONTH(CG69,0)+1</f>
        <v>38718</v>
      </c>
      <c r="CH70" s="135" t="n">
        <f aca="false">SUM(BT70:CF70)</f>
        <v>0</v>
      </c>
    </row>
    <row r="71" customFormat="false" ht="12.75" hidden="false" customHeight="false" outlineLevel="0" collapsed="false">
      <c r="A71" s="208" t="n">
        <f aca="false">EOMONTH(A70,0)+1</f>
        <v>38749</v>
      </c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208" t="n">
        <f aca="false">EOMONTH(O70,0)+1</f>
        <v>38749</v>
      </c>
      <c r="P71" s="135" t="n">
        <f aca="false">SUM(B71:N71)</f>
        <v>0</v>
      </c>
      <c r="S71" s="208" t="n">
        <f aca="false">EOMONTH(S70,0)+1</f>
        <v>38749</v>
      </c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208" t="n">
        <f aca="false">EOMONTH(AG70,0)+1</f>
        <v>38749</v>
      </c>
      <c r="AH71" s="135" t="n">
        <f aca="false">SUM(T71:AF71)</f>
        <v>0</v>
      </c>
      <c r="AK71" s="208" t="n">
        <f aca="false">EOMONTH(AK70,0)+1</f>
        <v>38749</v>
      </c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208" t="n">
        <f aca="false">EOMONTH(AY70,0)+1</f>
        <v>38749</v>
      </c>
      <c r="AZ71" s="135" t="n">
        <f aca="false">SUM(AL71:AX71)</f>
        <v>0</v>
      </c>
      <c r="BB71" s="208" t="n">
        <f aca="false">EOMONTH(BB70,0)+1</f>
        <v>38749</v>
      </c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208" t="n">
        <f aca="false">EOMONTH(BP70,0)+1</f>
        <v>38749</v>
      </c>
      <c r="BQ71" s="135" t="n">
        <f aca="false">SUM(BC71:BO71)</f>
        <v>0</v>
      </c>
      <c r="BS71" s="208" t="n">
        <f aca="false">EOMONTH(BS70,0)+1</f>
        <v>38749</v>
      </c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208" t="n">
        <f aca="false">EOMONTH(CG70,0)+1</f>
        <v>38749</v>
      </c>
      <c r="CH71" s="135" t="n">
        <f aca="false">SUM(BT71:CF71)</f>
        <v>0</v>
      </c>
    </row>
    <row r="72" customFormat="false" ht="12.75" hidden="false" customHeight="false" outlineLevel="0" collapsed="false">
      <c r="A72" s="208" t="n">
        <f aca="false">EOMONTH(A71,0)+1</f>
        <v>38777</v>
      </c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208" t="n">
        <f aca="false">EOMONTH(O71,0)+1</f>
        <v>38777</v>
      </c>
      <c r="P72" s="135" t="n">
        <f aca="false">SUM(B72:N72)</f>
        <v>0</v>
      </c>
      <c r="S72" s="208" t="n">
        <f aca="false">EOMONTH(S71,0)+1</f>
        <v>38777</v>
      </c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208" t="n">
        <f aca="false">EOMONTH(AG71,0)+1</f>
        <v>38777</v>
      </c>
      <c r="AH72" s="135" t="n">
        <f aca="false">SUM(T72:AF72)</f>
        <v>0</v>
      </c>
      <c r="AK72" s="208" t="n">
        <f aca="false">EOMONTH(AK71,0)+1</f>
        <v>38777</v>
      </c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208" t="n">
        <f aca="false">EOMONTH(AY71,0)+1</f>
        <v>38777</v>
      </c>
      <c r="AZ72" s="135" t="n">
        <f aca="false">SUM(AL72:AX72)</f>
        <v>0</v>
      </c>
      <c r="BB72" s="208" t="n">
        <f aca="false">EOMONTH(BB71,0)+1</f>
        <v>38777</v>
      </c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208" t="n">
        <f aca="false">EOMONTH(BP71,0)+1</f>
        <v>38777</v>
      </c>
      <c r="BQ72" s="135" t="n">
        <f aca="false">SUM(BC72:BO72)</f>
        <v>0</v>
      </c>
      <c r="BS72" s="208" t="n">
        <f aca="false">EOMONTH(BS71,0)+1</f>
        <v>38777</v>
      </c>
      <c r="BT72" s="134" t="n">
        <f aca="false">SUMIF('Basis Options'!$X:$X,CONCATENATE($AK72,BT$4),'Basis Options'!$AF:$AF)</f>
        <v>0</v>
      </c>
      <c r="BU72" s="134" t="n">
        <f aca="false">SUMIF('Basis Options'!$X:$X,CONCATENATE($AK72,BU$4),'Basis Options'!$AF:$AF)</f>
        <v>0</v>
      </c>
      <c r="BV72" s="134" t="n">
        <f aca="false">SUMIF('Basis Options'!$X:$X,CONCATENATE($AK72,BV$4),'Basis Options'!$AF:$AF)</f>
        <v>0</v>
      </c>
      <c r="BW72" s="134" t="n">
        <f aca="false">SUMIF('Basis Options'!$X:$X,CONCATENATE($AK72,BW$4),'Basis Options'!$AF:$AF)</f>
        <v>0</v>
      </c>
      <c r="BX72" s="134" t="n">
        <f aca="false">SUMIF('Basis Options'!$X:$X,CONCATENATE($AK72,BX$4),'Basis Options'!$AF:$AF)</f>
        <v>0</v>
      </c>
      <c r="BY72" s="134" t="n">
        <f aca="false">SUMIF('Basis Options'!$X:$X,CONCATENATE($AK72,BY$4),'Basis Options'!$AF:$AF)</f>
        <v>0</v>
      </c>
      <c r="BZ72" s="134" t="n">
        <f aca="false">SUMIF('Basis Options'!$X:$X,CONCATENATE($AK72,BZ$4),'Basis Options'!$AF:$AF)</f>
        <v>0</v>
      </c>
      <c r="CA72" s="134" t="n">
        <f aca="false">SUMIF('Basis Options'!$X:$X,CONCATENATE($AK72,CA$4),'Basis Options'!$AF:$AF)</f>
        <v>0</v>
      </c>
      <c r="CB72" s="134" t="n">
        <f aca="false">SUMIF('Basis Options'!$X:$X,CONCATENATE($AK72,CB$4),'Basis Options'!$AF:$AF)</f>
        <v>0</v>
      </c>
      <c r="CC72" s="134" t="n">
        <f aca="false">SUMIF('Basis Options'!$X:$X,CONCATENATE($AK72,CC$4),'Basis Options'!$AF:$AF)</f>
        <v>0</v>
      </c>
      <c r="CD72" s="134"/>
      <c r="CE72" s="134" t="n">
        <f aca="false">SUMIF('Basis Options'!$X:$X,CONCATENATE($AK72,CE$4),'Basis Options'!$AF:$AF)</f>
        <v>0</v>
      </c>
      <c r="CF72" s="134"/>
      <c r="CG72" s="208" t="n">
        <f aca="false">EOMONTH(CG71,0)+1</f>
        <v>38777</v>
      </c>
      <c r="CH72" s="135" t="n">
        <f aca="false">SUM(BT72:CF72)</f>
        <v>0</v>
      </c>
    </row>
    <row r="73" customFormat="false" ht="12.75" hidden="false" customHeight="false" outlineLevel="0" collapsed="false">
      <c r="A73" s="208" t="n">
        <f aca="false">EOMONTH(A72,0)+1</f>
        <v>38808</v>
      </c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208" t="n">
        <f aca="false">EOMONTH(O72,0)+1</f>
        <v>38808</v>
      </c>
      <c r="P73" s="135" t="n">
        <f aca="false">SUM(B73:N73)</f>
        <v>0</v>
      </c>
      <c r="S73" s="208" t="n">
        <f aca="false">EOMONTH(S72,0)+1</f>
        <v>38808</v>
      </c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208" t="n">
        <f aca="false">EOMONTH(AG72,0)+1</f>
        <v>38808</v>
      </c>
      <c r="AH73" s="135" t="n">
        <f aca="false">SUM(T73:AF73)</f>
        <v>0</v>
      </c>
      <c r="AK73" s="208" t="n">
        <f aca="false">EOMONTH(AK72,0)+1</f>
        <v>38808</v>
      </c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208" t="n">
        <f aca="false">EOMONTH(AY72,0)+1</f>
        <v>38808</v>
      </c>
      <c r="AZ73" s="135" t="n">
        <f aca="false">SUM(AL73:AX73)</f>
        <v>0</v>
      </c>
      <c r="BB73" s="208" t="n">
        <f aca="false">EOMONTH(BB72,0)+1</f>
        <v>38808</v>
      </c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208" t="n">
        <f aca="false">EOMONTH(BP72,0)+1</f>
        <v>38808</v>
      </c>
      <c r="BQ73" s="135" t="n">
        <f aca="false">SUM(BC73:BO73)</f>
        <v>0</v>
      </c>
      <c r="BS73" s="208" t="n">
        <f aca="false">EOMONTH(BS72,0)+1</f>
        <v>38808</v>
      </c>
      <c r="BT73" s="134" t="n">
        <f aca="false">SUMIF('Basis Options'!$X:$X,CONCATENATE($AK73,BT$4),'Basis Options'!$AF:$AF)</f>
        <v>0</v>
      </c>
      <c r="BU73" s="134" t="n">
        <f aca="false">SUMIF('Basis Options'!$X:$X,CONCATENATE($AK73,BU$4),'Basis Options'!$AF:$AF)</f>
        <v>0</v>
      </c>
      <c r="BV73" s="134" t="n">
        <f aca="false">SUMIF('Basis Options'!$X:$X,CONCATENATE($AK73,BV$4),'Basis Options'!$AF:$AF)</f>
        <v>0</v>
      </c>
      <c r="BW73" s="134" t="n">
        <f aca="false">SUMIF('Basis Options'!$X:$X,CONCATENATE($AK73,BW$4),'Basis Options'!$AF:$AF)</f>
        <v>0</v>
      </c>
      <c r="BX73" s="134" t="n">
        <f aca="false">SUMIF('Basis Options'!$X:$X,CONCATENATE($AK73,BX$4),'Basis Options'!$AF:$AF)</f>
        <v>0</v>
      </c>
      <c r="BY73" s="134" t="n">
        <f aca="false">SUMIF('Basis Options'!$X:$X,CONCATENATE($AK73,BY$4),'Basis Options'!$AF:$AF)</f>
        <v>0</v>
      </c>
      <c r="BZ73" s="134" t="n">
        <f aca="false">SUMIF('Basis Options'!$X:$X,CONCATENATE($AK73,BZ$4),'Basis Options'!$AF:$AF)</f>
        <v>0</v>
      </c>
      <c r="CA73" s="134" t="n">
        <f aca="false">SUMIF('Basis Options'!$X:$X,CONCATENATE($AK73,CA$4),'Basis Options'!$AF:$AF)</f>
        <v>0</v>
      </c>
      <c r="CB73" s="134" t="n">
        <f aca="false">SUMIF('Basis Options'!$X:$X,CONCATENATE($AK73,CB$4),'Basis Options'!$AF:$AF)</f>
        <v>0</v>
      </c>
      <c r="CC73" s="134" t="n">
        <f aca="false">SUMIF('Basis Options'!$X:$X,CONCATENATE($AK73,CC$4),'Basis Options'!$AF:$AF)</f>
        <v>0</v>
      </c>
      <c r="CD73" s="134"/>
      <c r="CE73" s="134" t="n">
        <f aca="false">SUMIF('Basis Options'!$X:$X,CONCATENATE($AK73,CE$4),'Basis Options'!$AF:$AF)</f>
        <v>0</v>
      </c>
      <c r="CF73" s="134"/>
      <c r="CG73" s="208" t="n">
        <f aca="false">EOMONTH(CG72,0)+1</f>
        <v>38808</v>
      </c>
      <c r="CH73" s="135" t="n">
        <f aca="false">SUM(BT73:CF73)</f>
        <v>0</v>
      </c>
    </row>
    <row r="74" customFormat="false" ht="12.75" hidden="false" customHeight="false" outlineLevel="0" collapsed="false">
      <c r="A74" s="208" t="n">
        <f aca="false">EOMONTH(A73,0)+1</f>
        <v>38838</v>
      </c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208" t="n">
        <f aca="false">EOMONTH(O73,0)+1</f>
        <v>38838</v>
      </c>
      <c r="P74" s="135" t="n">
        <f aca="false">SUM(B74:N74)</f>
        <v>0</v>
      </c>
      <c r="S74" s="208" t="n">
        <f aca="false">EOMONTH(S73,0)+1</f>
        <v>38838</v>
      </c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208" t="n">
        <f aca="false">EOMONTH(AG73,0)+1</f>
        <v>38838</v>
      </c>
      <c r="AH74" s="135" t="n">
        <f aca="false">SUM(T74:AF74)</f>
        <v>0</v>
      </c>
      <c r="AK74" s="208" t="n">
        <f aca="false">EOMONTH(AK73,0)+1</f>
        <v>38838</v>
      </c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208" t="n">
        <f aca="false">EOMONTH(AY73,0)+1</f>
        <v>38838</v>
      </c>
      <c r="AZ74" s="135" t="n">
        <f aca="false">SUM(AL74:AX74)</f>
        <v>0</v>
      </c>
      <c r="BB74" s="208" t="n">
        <f aca="false">EOMONTH(BB73,0)+1</f>
        <v>38838</v>
      </c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208" t="n">
        <f aca="false">EOMONTH(BP73,0)+1</f>
        <v>38838</v>
      </c>
      <c r="BQ74" s="135" t="n">
        <f aca="false">SUM(BC74:BO74)</f>
        <v>0</v>
      </c>
      <c r="BS74" s="208" t="n">
        <f aca="false">EOMONTH(BS73,0)+1</f>
        <v>38838</v>
      </c>
      <c r="BT74" s="134" t="n">
        <f aca="false">SUMIF('Basis Options'!$X:$X,CONCATENATE($AK74,BT$4),'Basis Options'!$AF:$AF)</f>
        <v>0</v>
      </c>
      <c r="BU74" s="134" t="n">
        <f aca="false">SUMIF('Basis Options'!$X:$X,CONCATENATE($AK74,BU$4),'Basis Options'!$AF:$AF)</f>
        <v>0</v>
      </c>
      <c r="BV74" s="134" t="n">
        <f aca="false">SUMIF('Basis Options'!$X:$X,CONCATENATE($AK74,BV$4),'Basis Options'!$AF:$AF)</f>
        <v>0</v>
      </c>
      <c r="BW74" s="134" t="n">
        <f aca="false">SUMIF('Basis Options'!$X:$X,CONCATENATE($AK74,BW$4),'Basis Options'!$AF:$AF)</f>
        <v>0</v>
      </c>
      <c r="BX74" s="134" t="n">
        <f aca="false">SUMIF('Basis Options'!$X:$X,CONCATENATE($AK74,BX$4),'Basis Options'!$AF:$AF)</f>
        <v>0</v>
      </c>
      <c r="BY74" s="134" t="n">
        <f aca="false">SUMIF('Basis Options'!$X:$X,CONCATENATE($AK74,BY$4),'Basis Options'!$AF:$AF)</f>
        <v>0</v>
      </c>
      <c r="BZ74" s="134" t="n">
        <f aca="false">SUMIF('Basis Options'!$X:$X,CONCATENATE($AK74,BZ$4),'Basis Options'!$AF:$AF)</f>
        <v>0</v>
      </c>
      <c r="CA74" s="134" t="n">
        <f aca="false">SUMIF('Basis Options'!$X:$X,CONCATENATE($AK74,CA$4),'Basis Options'!$AF:$AF)</f>
        <v>0</v>
      </c>
      <c r="CB74" s="134" t="n">
        <f aca="false">SUMIF('Basis Options'!$X:$X,CONCATENATE($AK74,CB$4),'Basis Options'!$AF:$AF)</f>
        <v>0</v>
      </c>
      <c r="CC74" s="134" t="n">
        <f aca="false">SUMIF('Basis Options'!$X:$X,CONCATENATE($AK74,CC$4),'Basis Options'!$AF:$AF)</f>
        <v>0</v>
      </c>
      <c r="CD74" s="134"/>
      <c r="CE74" s="134" t="n">
        <f aca="false">SUMIF('Basis Options'!$X:$X,CONCATENATE($AK74,CE$4),'Basis Options'!$AF:$AF)</f>
        <v>0</v>
      </c>
      <c r="CF74" s="134"/>
      <c r="CG74" s="208" t="n">
        <f aca="false">EOMONTH(CG73,0)+1</f>
        <v>38838</v>
      </c>
      <c r="CH74" s="135" t="n">
        <f aca="false">SUM(BT74:CF74)</f>
        <v>0</v>
      </c>
    </row>
    <row r="75" customFormat="false" ht="12.75" hidden="false" customHeight="false" outlineLevel="0" collapsed="false">
      <c r="A75" s="208" t="n">
        <f aca="false">EOMONTH(A74,0)+1</f>
        <v>38869</v>
      </c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208" t="n">
        <f aca="false">EOMONTH(O74,0)+1</f>
        <v>38869</v>
      </c>
      <c r="P75" s="135" t="n">
        <f aca="false">SUM(B75:N75)</f>
        <v>0</v>
      </c>
      <c r="S75" s="208" t="n">
        <f aca="false">EOMONTH(S74,0)+1</f>
        <v>38869</v>
      </c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208" t="n">
        <f aca="false">EOMONTH(AG74,0)+1</f>
        <v>38869</v>
      </c>
      <c r="AH75" s="135" t="n">
        <f aca="false">SUM(T75:AF75)</f>
        <v>0</v>
      </c>
      <c r="AK75" s="208" t="n">
        <f aca="false">EOMONTH(AK74,0)+1</f>
        <v>38869</v>
      </c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208" t="n">
        <f aca="false">EOMONTH(AY74,0)+1</f>
        <v>38869</v>
      </c>
      <c r="AZ75" s="135" t="n">
        <f aca="false">SUM(AL75:AX75)</f>
        <v>0</v>
      </c>
      <c r="BB75" s="208" t="n">
        <f aca="false">EOMONTH(BB74,0)+1</f>
        <v>38869</v>
      </c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208" t="n">
        <f aca="false">EOMONTH(BP74,0)+1</f>
        <v>38869</v>
      </c>
      <c r="BQ75" s="135" t="n">
        <f aca="false">SUM(BC75:BO75)</f>
        <v>0</v>
      </c>
      <c r="BS75" s="208" t="n">
        <f aca="false">EOMONTH(BS74,0)+1</f>
        <v>38869</v>
      </c>
      <c r="BT75" s="134" t="n">
        <f aca="false">SUMIF('Basis Options'!$X:$X,CONCATENATE($AK75,BT$4),'Basis Options'!$AF:$AF)</f>
        <v>0</v>
      </c>
      <c r="BU75" s="134" t="n">
        <f aca="false">SUMIF('Basis Options'!$X:$X,CONCATENATE($AK75,BU$4),'Basis Options'!$AF:$AF)</f>
        <v>0</v>
      </c>
      <c r="BV75" s="134" t="n">
        <f aca="false">SUMIF('Basis Options'!$X:$X,CONCATENATE($AK75,BV$4),'Basis Options'!$AF:$AF)</f>
        <v>0</v>
      </c>
      <c r="BW75" s="134" t="n">
        <f aca="false">SUMIF('Basis Options'!$X:$X,CONCATENATE($AK75,BW$4),'Basis Options'!$AF:$AF)</f>
        <v>0</v>
      </c>
      <c r="BX75" s="134" t="n">
        <f aca="false">SUMIF('Basis Options'!$X:$X,CONCATENATE($AK75,BX$4),'Basis Options'!$AF:$AF)</f>
        <v>0</v>
      </c>
      <c r="BY75" s="134" t="n">
        <f aca="false">SUMIF('Basis Options'!$X:$X,CONCATENATE($AK75,BY$4),'Basis Options'!$AF:$AF)</f>
        <v>0</v>
      </c>
      <c r="BZ75" s="134" t="n">
        <f aca="false">SUMIF('Basis Options'!$X:$X,CONCATENATE($AK75,BZ$4),'Basis Options'!$AF:$AF)</f>
        <v>0</v>
      </c>
      <c r="CA75" s="134" t="n">
        <f aca="false">SUMIF('Basis Options'!$X:$X,CONCATENATE($AK75,CA$4),'Basis Options'!$AF:$AF)</f>
        <v>0</v>
      </c>
      <c r="CB75" s="134" t="n">
        <f aca="false">SUMIF('Basis Options'!$X:$X,CONCATENATE($AK75,CB$4),'Basis Options'!$AF:$AF)</f>
        <v>0</v>
      </c>
      <c r="CC75" s="134" t="n">
        <f aca="false">SUMIF('Basis Options'!$X:$X,CONCATENATE($AK75,CC$4),'Basis Options'!$AF:$AF)</f>
        <v>0</v>
      </c>
      <c r="CD75" s="134"/>
      <c r="CE75" s="134" t="n">
        <f aca="false">SUMIF('Basis Options'!$X:$X,CONCATENATE($AK75,CE$4),'Basis Options'!$AF:$AF)</f>
        <v>0</v>
      </c>
      <c r="CF75" s="134"/>
      <c r="CG75" s="208" t="n">
        <f aca="false">EOMONTH(CG74,0)+1</f>
        <v>38869</v>
      </c>
      <c r="CH75" s="135" t="n">
        <f aca="false">SUM(BT75:CF75)</f>
        <v>0</v>
      </c>
    </row>
    <row r="76" customFormat="false" ht="12.75" hidden="false" customHeight="false" outlineLevel="0" collapsed="false">
      <c r="A76" s="208" t="n">
        <f aca="false">EOMONTH(A75,0)+1</f>
        <v>38899</v>
      </c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208" t="n">
        <f aca="false">EOMONTH(O75,0)+1</f>
        <v>38899</v>
      </c>
      <c r="P76" s="135" t="n">
        <f aca="false">SUM(B76:N76)</f>
        <v>0</v>
      </c>
      <c r="S76" s="208" t="n">
        <f aca="false">EOMONTH(S75,0)+1</f>
        <v>38899</v>
      </c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208" t="n">
        <f aca="false">EOMONTH(AG75,0)+1</f>
        <v>38899</v>
      </c>
      <c r="AH76" s="135" t="n">
        <f aca="false">SUM(T76:AF76)</f>
        <v>0</v>
      </c>
      <c r="AK76" s="208" t="n">
        <f aca="false">EOMONTH(AK75,0)+1</f>
        <v>38899</v>
      </c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208" t="n">
        <f aca="false">EOMONTH(AY75,0)+1</f>
        <v>38899</v>
      </c>
      <c r="AZ76" s="135" t="n">
        <f aca="false">SUM(AL76:AX76)</f>
        <v>0</v>
      </c>
      <c r="BB76" s="208" t="n">
        <f aca="false">EOMONTH(BB75,0)+1</f>
        <v>38899</v>
      </c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208" t="n">
        <f aca="false">EOMONTH(BP75,0)+1</f>
        <v>38899</v>
      </c>
      <c r="BQ76" s="135" t="n">
        <f aca="false">SUM(BC76:BO76)</f>
        <v>0</v>
      </c>
      <c r="BS76" s="208" t="n">
        <f aca="false">EOMONTH(BS75,0)+1</f>
        <v>38899</v>
      </c>
      <c r="BT76" s="134" t="n">
        <f aca="false">SUMIF('Basis Options'!$X:$X,CONCATENATE($AK76,BT$4),'Basis Options'!$AF:$AF)</f>
        <v>0</v>
      </c>
      <c r="BU76" s="134" t="n">
        <f aca="false">SUMIF('Basis Options'!$X:$X,CONCATENATE($AK76,BU$4),'Basis Options'!$AF:$AF)</f>
        <v>0</v>
      </c>
      <c r="BV76" s="134" t="n">
        <f aca="false">SUMIF('Basis Options'!$X:$X,CONCATENATE($AK76,BV$4),'Basis Options'!$AF:$AF)</f>
        <v>0</v>
      </c>
      <c r="BW76" s="134" t="n">
        <f aca="false">SUMIF('Basis Options'!$X:$X,CONCATENATE($AK76,BW$4),'Basis Options'!$AF:$AF)</f>
        <v>0</v>
      </c>
      <c r="BX76" s="134" t="n">
        <f aca="false">SUMIF('Basis Options'!$X:$X,CONCATENATE($AK76,BX$4),'Basis Options'!$AF:$AF)</f>
        <v>0</v>
      </c>
      <c r="BY76" s="134" t="n">
        <f aca="false">SUMIF('Basis Options'!$X:$X,CONCATENATE($AK76,BY$4),'Basis Options'!$AF:$AF)</f>
        <v>0</v>
      </c>
      <c r="BZ76" s="134" t="n">
        <f aca="false">SUMIF('Basis Options'!$X:$X,CONCATENATE($AK76,BZ$4),'Basis Options'!$AF:$AF)</f>
        <v>0</v>
      </c>
      <c r="CA76" s="134" t="n">
        <f aca="false">SUMIF('Basis Options'!$X:$X,CONCATENATE($AK76,CA$4),'Basis Options'!$AF:$AF)</f>
        <v>0</v>
      </c>
      <c r="CB76" s="134" t="n">
        <f aca="false">SUMIF('Basis Options'!$X:$X,CONCATENATE($AK76,CB$4),'Basis Options'!$AF:$AF)</f>
        <v>0</v>
      </c>
      <c r="CC76" s="134" t="n">
        <f aca="false">SUMIF('Basis Options'!$X:$X,CONCATENATE($AK76,CC$4),'Basis Options'!$AF:$AF)</f>
        <v>0</v>
      </c>
      <c r="CD76" s="134"/>
      <c r="CE76" s="134" t="n">
        <f aca="false">SUMIF('Basis Options'!$X:$X,CONCATENATE($AK76,CE$4),'Basis Options'!$AF:$AF)</f>
        <v>0</v>
      </c>
      <c r="CF76" s="134"/>
      <c r="CG76" s="208" t="n">
        <f aca="false">EOMONTH(CG75,0)+1</f>
        <v>38899</v>
      </c>
      <c r="CH76" s="135" t="n">
        <f aca="false">SUM(BT76:CF76)</f>
        <v>0</v>
      </c>
    </row>
    <row r="77" customFormat="false" ht="12.75" hidden="false" customHeight="false" outlineLevel="0" collapsed="false">
      <c r="A77" s="208" t="n">
        <f aca="false">EOMONTH(A76,0)+1</f>
        <v>38930</v>
      </c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208" t="n">
        <f aca="false">EOMONTH(O76,0)+1</f>
        <v>38930</v>
      </c>
      <c r="P77" s="135" t="n">
        <f aca="false">SUM(B77:N77)</f>
        <v>0</v>
      </c>
      <c r="S77" s="208" t="n">
        <f aca="false">EOMONTH(S76,0)+1</f>
        <v>38930</v>
      </c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208" t="n">
        <f aca="false">EOMONTH(AG76,0)+1</f>
        <v>38930</v>
      </c>
      <c r="AH77" s="135" t="n">
        <f aca="false">SUM(T77:AF77)</f>
        <v>0</v>
      </c>
      <c r="AK77" s="208" t="n">
        <f aca="false">EOMONTH(AK76,0)+1</f>
        <v>38930</v>
      </c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208" t="n">
        <f aca="false">EOMONTH(AY76,0)+1</f>
        <v>38930</v>
      </c>
      <c r="AZ77" s="135" t="n">
        <f aca="false">SUM(AL77:AX77)</f>
        <v>0</v>
      </c>
      <c r="BB77" s="208" t="n">
        <f aca="false">EOMONTH(BB76,0)+1</f>
        <v>38930</v>
      </c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208" t="n">
        <f aca="false">EOMONTH(BP76,0)+1</f>
        <v>38930</v>
      </c>
      <c r="BQ77" s="135" t="n">
        <f aca="false">SUM(BC77:BO77)</f>
        <v>0</v>
      </c>
      <c r="BS77" s="208" t="n">
        <f aca="false">EOMONTH(BS76,0)+1</f>
        <v>38930</v>
      </c>
      <c r="BT77" s="134" t="n">
        <f aca="false">SUMIF('Basis Options'!$X:$X,CONCATENATE($AK77,BT$4),'Basis Options'!$AF:$AF)</f>
        <v>0</v>
      </c>
      <c r="BU77" s="134" t="n">
        <f aca="false">SUMIF('Basis Options'!$X:$X,CONCATENATE($AK77,BU$4),'Basis Options'!$AF:$AF)</f>
        <v>0</v>
      </c>
      <c r="BV77" s="134" t="n">
        <f aca="false">SUMIF('Basis Options'!$X:$X,CONCATENATE($AK77,BV$4),'Basis Options'!$AF:$AF)</f>
        <v>0</v>
      </c>
      <c r="BW77" s="134" t="n">
        <f aca="false">SUMIF('Basis Options'!$X:$X,CONCATENATE($AK77,BW$4),'Basis Options'!$AF:$AF)</f>
        <v>0</v>
      </c>
      <c r="BX77" s="134" t="n">
        <f aca="false">SUMIF('Basis Options'!$X:$X,CONCATENATE($AK77,BX$4),'Basis Options'!$AF:$AF)</f>
        <v>0</v>
      </c>
      <c r="BY77" s="134" t="n">
        <f aca="false">SUMIF('Basis Options'!$X:$X,CONCATENATE($AK77,BY$4),'Basis Options'!$AF:$AF)</f>
        <v>0</v>
      </c>
      <c r="BZ77" s="134" t="n">
        <f aca="false">SUMIF('Basis Options'!$X:$X,CONCATENATE($AK77,BZ$4),'Basis Options'!$AF:$AF)</f>
        <v>0</v>
      </c>
      <c r="CA77" s="134" t="n">
        <f aca="false">SUMIF('Basis Options'!$X:$X,CONCATENATE($AK77,CA$4),'Basis Options'!$AF:$AF)</f>
        <v>0</v>
      </c>
      <c r="CB77" s="134" t="n">
        <f aca="false">SUMIF('Basis Options'!$X:$X,CONCATENATE($AK77,CB$4),'Basis Options'!$AF:$AF)</f>
        <v>0</v>
      </c>
      <c r="CC77" s="134" t="n">
        <f aca="false">SUMIF('Basis Options'!$X:$X,CONCATENATE($AK77,CC$4),'Basis Options'!$AF:$AF)</f>
        <v>0</v>
      </c>
      <c r="CD77" s="134"/>
      <c r="CE77" s="134" t="n">
        <f aca="false">SUMIF('Basis Options'!$X:$X,CONCATENATE($AK77,CE$4),'Basis Options'!$AF:$AF)</f>
        <v>0</v>
      </c>
      <c r="CF77" s="134"/>
      <c r="CG77" s="208" t="n">
        <f aca="false">EOMONTH(CG76,0)+1</f>
        <v>38930</v>
      </c>
      <c r="CH77" s="135" t="n">
        <f aca="false">SUM(BT77:CF77)</f>
        <v>0</v>
      </c>
    </row>
    <row r="78" customFormat="false" ht="12.75" hidden="false" customHeight="false" outlineLevel="0" collapsed="false">
      <c r="A78" s="208" t="n">
        <f aca="false">EOMONTH(A77,0)+1</f>
        <v>38961</v>
      </c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208" t="n">
        <f aca="false">EOMONTH(O77,0)+1</f>
        <v>38961</v>
      </c>
      <c r="P78" s="135" t="n">
        <f aca="false">SUM(B78:N78)</f>
        <v>0</v>
      </c>
      <c r="S78" s="208" t="n">
        <f aca="false">EOMONTH(S77,0)+1</f>
        <v>38961</v>
      </c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208" t="n">
        <f aca="false">EOMONTH(AG77,0)+1</f>
        <v>38961</v>
      </c>
      <c r="AH78" s="135" t="n">
        <f aca="false">SUM(T78:AF78)</f>
        <v>0</v>
      </c>
      <c r="AK78" s="208" t="n">
        <f aca="false">EOMONTH(AK77,0)+1</f>
        <v>38961</v>
      </c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208" t="n">
        <f aca="false">EOMONTH(AY77,0)+1</f>
        <v>38961</v>
      </c>
      <c r="AZ78" s="135" t="n">
        <f aca="false">SUM(AL78:AX78)</f>
        <v>0</v>
      </c>
      <c r="BB78" s="208" t="n">
        <f aca="false">EOMONTH(BB77,0)+1</f>
        <v>38961</v>
      </c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208" t="n">
        <f aca="false">EOMONTH(BP77,0)+1</f>
        <v>38961</v>
      </c>
      <c r="BQ78" s="135" t="n">
        <f aca="false">SUM(BC78:BO78)</f>
        <v>0</v>
      </c>
      <c r="BS78" s="208" t="n">
        <f aca="false">EOMONTH(BS77,0)+1</f>
        <v>38961</v>
      </c>
      <c r="BT78" s="134" t="n">
        <f aca="false">SUMIF('Basis Options'!$X:$X,CONCATENATE($AK78,BT$4),'Basis Options'!$AF:$AF)</f>
        <v>0</v>
      </c>
      <c r="BU78" s="134" t="n">
        <f aca="false">SUMIF('Basis Options'!$X:$X,CONCATENATE($AK78,BU$4),'Basis Options'!$AF:$AF)</f>
        <v>0</v>
      </c>
      <c r="BV78" s="134" t="n">
        <f aca="false">SUMIF('Basis Options'!$X:$X,CONCATENATE($AK78,BV$4),'Basis Options'!$AF:$AF)</f>
        <v>0</v>
      </c>
      <c r="BW78" s="134" t="n">
        <f aca="false">SUMIF('Basis Options'!$X:$X,CONCATENATE($AK78,BW$4),'Basis Options'!$AF:$AF)</f>
        <v>0</v>
      </c>
      <c r="BX78" s="134" t="n">
        <f aca="false">SUMIF('Basis Options'!$X:$X,CONCATENATE($AK78,BX$4),'Basis Options'!$AF:$AF)</f>
        <v>0</v>
      </c>
      <c r="BY78" s="134" t="n">
        <f aca="false">SUMIF('Basis Options'!$X:$X,CONCATENATE($AK78,BY$4),'Basis Options'!$AF:$AF)</f>
        <v>0</v>
      </c>
      <c r="BZ78" s="134" t="n">
        <f aca="false">SUMIF('Basis Options'!$X:$X,CONCATENATE($AK78,BZ$4),'Basis Options'!$AF:$AF)</f>
        <v>0</v>
      </c>
      <c r="CA78" s="134" t="n">
        <f aca="false">SUMIF('Basis Options'!$X:$X,CONCATENATE($AK78,CA$4),'Basis Options'!$AF:$AF)</f>
        <v>0</v>
      </c>
      <c r="CB78" s="134" t="n">
        <f aca="false">SUMIF('Basis Options'!$X:$X,CONCATENATE($AK78,CB$4),'Basis Options'!$AF:$AF)</f>
        <v>0</v>
      </c>
      <c r="CC78" s="134" t="n">
        <f aca="false">SUMIF('Basis Options'!$X:$X,CONCATENATE($AK78,CC$4),'Basis Options'!$AF:$AF)</f>
        <v>0</v>
      </c>
      <c r="CD78" s="134"/>
      <c r="CE78" s="134" t="n">
        <f aca="false">SUMIF('Basis Options'!$X:$X,CONCATENATE($AK78,CE$4),'Basis Options'!$AF:$AF)</f>
        <v>0</v>
      </c>
      <c r="CF78" s="134"/>
      <c r="CG78" s="208" t="n">
        <f aca="false">EOMONTH(CG77,0)+1</f>
        <v>38961</v>
      </c>
      <c r="CH78" s="135" t="n">
        <f aca="false">SUM(BT78:CF78)</f>
        <v>0</v>
      </c>
    </row>
    <row r="79" customFormat="false" ht="12.75" hidden="false" customHeight="false" outlineLevel="0" collapsed="false">
      <c r="A79" s="208" t="n">
        <f aca="false">EOMONTH(A78,0)+1</f>
        <v>38991</v>
      </c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208" t="n">
        <f aca="false">EOMONTH(O78,0)+1</f>
        <v>38991</v>
      </c>
      <c r="P79" s="135" t="n">
        <f aca="false">SUM(B79:N79)</f>
        <v>0</v>
      </c>
      <c r="S79" s="208" t="n">
        <f aca="false">EOMONTH(S78,0)+1</f>
        <v>38991</v>
      </c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208" t="n">
        <f aca="false">EOMONTH(AG78,0)+1</f>
        <v>38991</v>
      </c>
      <c r="AH79" s="135" t="n">
        <f aca="false">SUM(T79:AF79)</f>
        <v>0</v>
      </c>
      <c r="AK79" s="208" t="n">
        <f aca="false">EOMONTH(AK78,0)+1</f>
        <v>38991</v>
      </c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208" t="n">
        <f aca="false">EOMONTH(AY78,0)+1</f>
        <v>38991</v>
      </c>
      <c r="AZ79" s="135" t="n">
        <f aca="false">SUM(AL79:AX79)</f>
        <v>0</v>
      </c>
      <c r="BB79" s="208" t="n">
        <f aca="false">EOMONTH(BB78,0)+1</f>
        <v>38991</v>
      </c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208" t="n">
        <f aca="false">EOMONTH(BP78,0)+1</f>
        <v>38991</v>
      </c>
      <c r="BQ79" s="135" t="n">
        <f aca="false">SUM(BC79:BO79)</f>
        <v>0</v>
      </c>
      <c r="BS79" s="208" t="n">
        <f aca="false">EOMONTH(BS78,0)+1</f>
        <v>38991</v>
      </c>
      <c r="BT79" s="134" t="n">
        <f aca="false">SUMIF('Basis Options'!$X:$X,CONCATENATE($AK79,BT$4),'Basis Options'!$AF:$AF)</f>
        <v>0</v>
      </c>
      <c r="BU79" s="134" t="n">
        <f aca="false">SUMIF('Basis Options'!$X:$X,CONCATENATE($AK79,BU$4),'Basis Options'!$AF:$AF)</f>
        <v>0</v>
      </c>
      <c r="BV79" s="134" t="n">
        <f aca="false">SUMIF('Basis Options'!$X:$X,CONCATENATE($AK79,BV$4),'Basis Options'!$AF:$AF)</f>
        <v>0</v>
      </c>
      <c r="BW79" s="134" t="n">
        <f aca="false">SUMIF('Basis Options'!$X:$X,CONCATENATE($AK79,BW$4),'Basis Options'!$AF:$AF)</f>
        <v>0</v>
      </c>
      <c r="BX79" s="134" t="n">
        <f aca="false">SUMIF('Basis Options'!$X:$X,CONCATENATE($AK79,BX$4),'Basis Options'!$AF:$AF)</f>
        <v>0</v>
      </c>
      <c r="BY79" s="134" t="n">
        <f aca="false">SUMIF('Basis Options'!$X:$X,CONCATENATE($AK79,BY$4),'Basis Options'!$AF:$AF)</f>
        <v>0</v>
      </c>
      <c r="BZ79" s="134" t="n">
        <f aca="false">SUMIF('Basis Options'!$X:$X,CONCATENATE($AK79,BZ$4),'Basis Options'!$AF:$AF)</f>
        <v>0</v>
      </c>
      <c r="CA79" s="134" t="n">
        <f aca="false">SUMIF('Basis Options'!$X:$X,CONCATENATE($AK79,CA$4),'Basis Options'!$AF:$AF)</f>
        <v>0</v>
      </c>
      <c r="CB79" s="134" t="n">
        <f aca="false">SUMIF('Basis Options'!$X:$X,CONCATENATE($AK79,CB$4),'Basis Options'!$AF:$AF)</f>
        <v>0</v>
      </c>
      <c r="CC79" s="134" t="n">
        <f aca="false">SUMIF('Basis Options'!$X:$X,CONCATENATE($AK79,CC$4),'Basis Options'!$AF:$AF)</f>
        <v>0</v>
      </c>
      <c r="CD79" s="134"/>
      <c r="CE79" s="134" t="n">
        <f aca="false">SUMIF('Basis Options'!$X:$X,CONCATENATE($AK79,CE$4),'Basis Options'!$AF:$AF)</f>
        <v>0</v>
      </c>
      <c r="CF79" s="134"/>
      <c r="CG79" s="208" t="n">
        <f aca="false">EOMONTH(CG78,0)+1</f>
        <v>38991</v>
      </c>
      <c r="CH79" s="135" t="n">
        <f aca="false">SUM(BT79:CF79)</f>
        <v>0</v>
      </c>
    </row>
    <row r="80" customFormat="false" ht="12.75" hidden="false" customHeight="false" outlineLevel="0" collapsed="false">
      <c r="A80" s="208" t="n">
        <f aca="false">EOMONTH(A79,0)+1</f>
        <v>39022</v>
      </c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208" t="n">
        <f aca="false">EOMONTH(O79,0)+1</f>
        <v>39022</v>
      </c>
      <c r="P80" s="135" t="n">
        <f aca="false">SUM(B80:N80)</f>
        <v>0</v>
      </c>
      <c r="S80" s="208" t="n">
        <f aca="false">EOMONTH(S79,0)+1</f>
        <v>39022</v>
      </c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208" t="n">
        <f aca="false">EOMONTH(AG79,0)+1</f>
        <v>39022</v>
      </c>
      <c r="AH80" s="135" t="n">
        <f aca="false">SUM(T80:AF80)</f>
        <v>0</v>
      </c>
      <c r="AK80" s="208" t="n">
        <f aca="false">EOMONTH(AK79,0)+1</f>
        <v>39022</v>
      </c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208" t="n">
        <f aca="false">EOMONTH(AY79,0)+1</f>
        <v>39022</v>
      </c>
      <c r="AZ80" s="135" t="n">
        <f aca="false">SUM(AL80:AX80)</f>
        <v>0</v>
      </c>
      <c r="BB80" s="208" t="n">
        <f aca="false">EOMONTH(BB79,0)+1</f>
        <v>39022</v>
      </c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208" t="n">
        <f aca="false">EOMONTH(BP79,0)+1</f>
        <v>39022</v>
      </c>
      <c r="BQ80" s="135" t="n">
        <f aca="false">SUM(BC80:BO80)</f>
        <v>0</v>
      </c>
      <c r="BS80" s="208" t="n">
        <f aca="false">EOMONTH(BS79,0)+1</f>
        <v>39022</v>
      </c>
      <c r="BT80" s="134" t="n">
        <f aca="false">SUMIF('Basis Options'!$X:$X,CONCATENATE($AK80,BT$4),'Basis Options'!$AF:$AF)</f>
        <v>0</v>
      </c>
      <c r="BU80" s="134" t="n">
        <f aca="false">SUMIF('Basis Options'!$X:$X,CONCATENATE($AK80,BU$4),'Basis Options'!$AF:$AF)</f>
        <v>0</v>
      </c>
      <c r="BV80" s="134" t="n">
        <f aca="false">SUMIF('Basis Options'!$X:$X,CONCATENATE($AK80,BV$4),'Basis Options'!$AF:$AF)</f>
        <v>0</v>
      </c>
      <c r="BW80" s="134" t="n">
        <f aca="false">SUMIF('Basis Options'!$X:$X,CONCATENATE($AK80,BW$4),'Basis Options'!$AF:$AF)</f>
        <v>0</v>
      </c>
      <c r="BX80" s="134" t="n">
        <f aca="false">SUMIF('Basis Options'!$X:$X,CONCATENATE($AK80,BX$4),'Basis Options'!$AF:$AF)</f>
        <v>0</v>
      </c>
      <c r="BY80" s="134" t="n">
        <f aca="false">SUMIF('Basis Options'!$X:$X,CONCATENATE($AK80,BY$4),'Basis Options'!$AF:$AF)</f>
        <v>0</v>
      </c>
      <c r="BZ80" s="134" t="n">
        <f aca="false">SUMIF('Basis Options'!$X:$X,CONCATENATE($AK80,BZ$4),'Basis Options'!$AF:$AF)</f>
        <v>0</v>
      </c>
      <c r="CA80" s="134" t="n">
        <f aca="false">SUMIF('Basis Options'!$X:$X,CONCATENATE($AK80,CA$4),'Basis Options'!$AF:$AF)</f>
        <v>0</v>
      </c>
      <c r="CB80" s="134" t="n">
        <f aca="false">SUMIF('Basis Options'!$X:$X,CONCATENATE($AK80,CB$4),'Basis Options'!$AF:$AF)</f>
        <v>0</v>
      </c>
      <c r="CC80" s="134" t="n">
        <f aca="false">SUMIF('Basis Options'!$X:$X,CONCATENATE($AK80,CC$4),'Basis Options'!$AF:$AF)</f>
        <v>0</v>
      </c>
      <c r="CD80" s="134"/>
      <c r="CE80" s="134" t="n">
        <f aca="false">SUMIF('Basis Options'!$X:$X,CONCATENATE($AK80,CE$4),'Basis Options'!$AF:$AF)</f>
        <v>0</v>
      </c>
      <c r="CF80" s="134"/>
      <c r="CG80" s="208" t="n">
        <f aca="false">EOMONTH(CG79,0)+1</f>
        <v>39022</v>
      </c>
      <c r="CH80" s="135" t="n">
        <f aca="false">SUM(BT80:CF80)</f>
        <v>0</v>
      </c>
    </row>
    <row r="81" customFormat="false" ht="12.75" hidden="false" customHeight="false" outlineLevel="0" collapsed="false">
      <c r="A81" s="208" t="n">
        <f aca="false">EOMONTH(A80,0)+1</f>
        <v>39052</v>
      </c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208" t="n">
        <f aca="false">EOMONTH(O80,0)+1</f>
        <v>39052</v>
      </c>
      <c r="P81" s="135" t="n">
        <f aca="false">SUM(B81:N81)</f>
        <v>0</v>
      </c>
      <c r="S81" s="208" t="n">
        <f aca="false">EOMONTH(S80,0)+1</f>
        <v>39052</v>
      </c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208" t="n">
        <f aca="false">EOMONTH(AG80,0)+1</f>
        <v>39052</v>
      </c>
      <c r="AH81" s="135" t="n">
        <f aca="false">SUM(T81:AF81)</f>
        <v>0</v>
      </c>
      <c r="AK81" s="208" t="n">
        <f aca="false">EOMONTH(AK80,0)+1</f>
        <v>39052</v>
      </c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208" t="n">
        <f aca="false">EOMONTH(AY80,0)+1</f>
        <v>39052</v>
      </c>
      <c r="AZ81" s="135" t="n">
        <f aca="false">SUM(AL81:AX81)</f>
        <v>0</v>
      </c>
      <c r="BB81" s="208" t="n">
        <f aca="false">EOMONTH(BB80,0)+1</f>
        <v>39052</v>
      </c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208" t="n">
        <f aca="false">EOMONTH(BP80,0)+1</f>
        <v>39052</v>
      </c>
      <c r="BQ81" s="135" t="n">
        <f aca="false">SUM(BC81:BO81)</f>
        <v>0</v>
      </c>
      <c r="BS81" s="208" t="n">
        <f aca="false">EOMONTH(BS80,0)+1</f>
        <v>39052</v>
      </c>
      <c r="BT81" s="134" t="n">
        <f aca="false">SUMIF('Basis Options'!$X:$X,CONCATENATE($AK81,BT$4),'Basis Options'!$AF:$AF)</f>
        <v>0</v>
      </c>
      <c r="BU81" s="134" t="n">
        <f aca="false">SUMIF('Basis Options'!$X:$X,CONCATENATE($AK81,BU$4),'Basis Options'!$AF:$AF)</f>
        <v>0</v>
      </c>
      <c r="BV81" s="134" t="n">
        <f aca="false">SUMIF('Basis Options'!$X:$X,CONCATENATE($AK81,BV$4),'Basis Options'!$AF:$AF)</f>
        <v>0</v>
      </c>
      <c r="BW81" s="134" t="n">
        <f aca="false">SUMIF('Basis Options'!$X:$X,CONCATENATE($AK81,BW$4),'Basis Options'!$AF:$AF)</f>
        <v>0</v>
      </c>
      <c r="BX81" s="134" t="n">
        <f aca="false">SUMIF('Basis Options'!$X:$X,CONCATENATE($AK81,BX$4),'Basis Options'!$AF:$AF)</f>
        <v>0</v>
      </c>
      <c r="BY81" s="134" t="n">
        <f aca="false">SUMIF('Basis Options'!$X:$X,CONCATENATE($AK81,BY$4),'Basis Options'!$AF:$AF)</f>
        <v>0</v>
      </c>
      <c r="BZ81" s="134" t="n">
        <f aca="false">SUMIF('Basis Options'!$X:$X,CONCATENATE($AK81,BZ$4),'Basis Options'!$AF:$AF)</f>
        <v>0</v>
      </c>
      <c r="CA81" s="134" t="n">
        <f aca="false">SUMIF('Basis Options'!$X:$X,CONCATENATE($AK81,CA$4),'Basis Options'!$AF:$AF)</f>
        <v>0</v>
      </c>
      <c r="CB81" s="134" t="n">
        <f aca="false">SUMIF('Basis Options'!$X:$X,CONCATENATE($AK81,CB$4),'Basis Options'!$AF:$AF)</f>
        <v>0</v>
      </c>
      <c r="CC81" s="134" t="n">
        <f aca="false">SUMIF('Basis Options'!$X:$X,CONCATENATE($AK81,CC$4),'Basis Options'!$AF:$AF)</f>
        <v>0</v>
      </c>
      <c r="CD81" s="134"/>
      <c r="CE81" s="134" t="n">
        <f aca="false">SUMIF('Basis Options'!$X:$X,CONCATENATE($AK81,CE$4),'Basis Options'!$AF:$AF)</f>
        <v>0</v>
      </c>
      <c r="CF81" s="134"/>
      <c r="CG81" s="208" t="n">
        <f aca="false">EOMONTH(CG80,0)+1</f>
        <v>39052</v>
      </c>
      <c r="CH81" s="135" t="n">
        <f aca="false">SUM(BT81:CF81)</f>
        <v>0</v>
      </c>
    </row>
    <row r="82" customFormat="false" ht="12.75" hidden="false" customHeight="false" outlineLevel="0" collapsed="false">
      <c r="A82" s="208" t="n">
        <f aca="false">EOMONTH(A81,0)+1</f>
        <v>39083</v>
      </c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208" t="n">
        <f aca="false">EOMONTH(O81,0)+1</f>
        <v>39083</v>
      </c>
      <c r="P82" s="135" t="n">
        <f aca="false">SUM(B82:N82)</f>
        <v>0</v>
      </c>
      <c r="S82" s="208" t="n">
        <f aca="false">EOMONTH(S81,0)+1</f>
        <v>39083</v>
      </c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208" t="n">
        <f aca="false">EOMONTH(AG81,0)+1</f>
        <v>39083</v>
      </c>
      <c r="AH82" s="135" t="n">
        <f aca="false">SUM(T82:AF82)</f>
        <v>0</v>
      </c>
      <c r="AK82" s="208" t="n">
        <f aca="false">EOMONTH(AK81,0)+1</f>
        <v>39083</v>
      </c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208" t="n">
        <f aca="false">EOMONTH(AY81,0)+1</f>
        <v>39083</v>
      </c>
      <c r="AZ82" s="135" t="n">
        <f aca="false">SUM(AL82:AX82)</f>
        <v>0</v>
      </c>
      <c r="BB82" s="208" t="n">
        <f aca="false">EOMONTH(BB81,0)+1</f>
        <v>39083</v>
      </c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208" t="n">
        <f aca="false">EOMONTH(BP81,0)+1</f>
        <v>39083</v>
      </c>
      <c r="BQ82" s="135" t="n">
        <f aca="false">SUM(BC82:BO82)</f>
        <v>0</v>
      </c>
      <c r="BS82" s="208" t="n">
        <f aca="false">EOMONTH(BS81,0)+1</f>
        <v>39083</v>
      </c>
      <c r="BT82" s="134" t="n">
        <f aca="false">SUMIF('Basis Options'!$X:$X,CONCATENATE($AK82,BT$4),'Basis Options'!$AF:$AF)</f>
        <v>0</v>
      </c>
      <c r="BU82" s="134" t="n">
        <f aca="false">SUMIF('Basis Options'!$X:$X,CONCATENATE($AK82,BU$4),'Basis Options'!$AF:$AF)</f>
        <v>0</v>
      </c>
      <c r="BV82" s="134" t="n">
        <f aca="false">SUMIF('Basis Options'!$X:$X,CONCATENATE($AK82,BV$4),'Basis Options'!$AF:$AF)</f>
        <v>0</v>
      </c>
      <c r="BW82" s="134" t="n">
        <f aca="false">SUMIF('Basis Options'!$X:$X,CONCATENATE($AK82,BW$4),'Basis Options'!$AF:$AF)</f>
        <v>0</v>
      </c>
      <c r="BX82" s="134" t="n">
        <f aca="false">SUMIF('Basis Options'!$X:$X,CONCATENATE($AK82,BX$4),'Basis Options'!$AF:$AF)</f>
        <v>0</v>
      </c>
      <c r="BY82" s="134" t="n">
        <f aca="false">SUMIF('Basis Options'!$X:$X,CONCATENATE($AK82,BY$4),'Basis Options'!$AF:$AF)</f>
        <v>0</v>
      </c>
      <c r="BZ82" s="134" t="n">
        <f aca="false">SUMIF('Basis Options'!$X:$X,CONCATENATE($AK82,BZ$4),'Basis Options'!$AF:$AF)</f>
        <v>0</v>
      </c>
      <c r="CA82" s="134" t="n">
        <f aca="false">SUMIF('Basis Options'!$X:$X,CONCATENATE($AK82,CA$4),'Basis Options'!$AF:$AF)</f>
        <v>0</v>
      </c>
      <c r="CB82" s="134" t="n">
        <f aca="false">SUMIF('Basis Options'!$X:$X,CONCATENATE($AK82,CB$4),'Basis Options'!$AF:$AF)</f>
        <v>0</v>
      </c>
      <c r="CC82" s="134" t="n">
        <f aca="false">SUMIF('Basis Options'!$X:$X,CONCATENATE($AK82,CC$4),'Basis Options'!$AF:$AF)</f>
        <v>0</v>
      </c>
      <c r="CD82" s="134"/>
      <c r="CE82" s="134" t="n">
        <f aca="false">SUMIF('Basis Options'!$X:$X,CONCATENATE($AK82,CE$4),'Basis Options'!$AF:$AF)</f>
        <v>0</v>
      </c>
      <c r="CF82" s="134"/>
      <c r="CG82" s="208" t="n">
        <f aca="false">EOMONTH(CG81,0)+1</f>
        <v>39083</v>
      </c>
      <c r="CH82" s="135" t="n">
        <f aca="false">SUM(BT82:CF82)</f>
        <v>0</v>
      </c>
    </row>
    <row r="83" customFormat="false" ht="12.75" hidden="false" customHeight="false" outlineLevel="0" collapsed="false">
      <c r="A83" s="208" t="n">
        <f aca="false">EOMONTH(A82,0)+1</f>
        <v>39114</v>
      </c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208" t="n">
        <f aca="false">EOMONTH(O82,0)+1</f>
        <v>39114</v>
      </c>
      <c r="P83" s="135" t="n">
        <f aca="false">SUM(B83:N83)</f>
        <v>0</v>
      </c>
      <c r="S83" s="208" t="n">
        <f aca="false">EOMONTH(S82,0)+1</f>
        <v>39114</v>
      </c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208" t="n">
        <f aca="false">EOMONTH(AG82,0)+1</f>
        <v>39114</v>
      </c>
      <c r="AH83" s="135" t="n">
        <f aca="false">SUM(T83:AF83)</f>
        <v>0</v>
      </c>
      <c r="AK83" s="208" t="n">
        <f aca="false">EOMONTH(AK82,0)+1</f>
        <v>39114</v>
      </c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208" t="n">
        <f aca="false">EOMONTH(AY82,0)+1</f>
        <v>39114</v>
      </c>
      <c r="AZ83" s="135" t="n">
        <f aca="false">SUM(AL83:AX83)</f>
        <v>0</v>
      </c>
      <c r="BB83" s="208" t="n">
        <f aca="false">EOMONTH(BB82,0)+1</f>
        <v>39114</v>
      </c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208" t="n">
        <f aca="false">EOMONTH(BP82,0)+1</f>
        <v>39114</v>
      </c>
      <c r="BQ83" s="135" t="n">
        <f aca="false">SUM(BC83:BO83)</f>
        <v>0</v>
      </c>
      <c r="BS83" s="208" t="n">
        <f aca="false">EOMONTH(BS82,0)+1</f>
        <v>39114</v>
      </c>
      <c r="BT83" s="134" t="n">
        <f aca="false">SUMIF('Basis Options'!$X:$X,CONCATENATE($AK83,BT$4),'Basis Options'!$AF:$AF)</f>
        <v>0</v>
      </c>
      <c r="BU83" s="134" t="n">
        <f aca="false">SUMIF('Basis Options'!$X:$X,CONCATENATE($AK83,BU$4),'Basis Options'!$AF:$AF)</f>
        <v>0</v>
      </c>
      <c r="BV83" s="134" t="n">
        <f aca="false">SUMIF('Basis Options'!$X:$X,CONCATENATE($AK83,BV$4),'Basis Options'!$AF:$AF)</f>
        <v>0</v>
      </c>
      <c r="BW83" s="134" t="n">
        <f aca="false">SUMIF('Basis Options'!$X:$X,CONCATENATE($AK83,BW$4),'Basis Options'!$AF:$AF)</f>
        <v>0</v>
      </c>
      <c r="BX83" s="134" t="n">
        <f aca="false">SUMIF('Basis Options'!$X:$X,CONCATENATE($AK83,BX$4),'Basis Options'!$AF:$AF)</f>
        <v>0</v>
      </c>
      <c r="BY83" s="134" t="n">
        <f aca="false">SUMIF('Basis Options'!$X:$X,CONCATENATE($AK83,BY$4),'Basis Options'!$AF:$AF)</f>
        <v>0</v>
      </c>
      <c r="BZ83" s="134" t="n">
        <f aca="false">SUMIF('Basis Options'!$X:$X,CONCATENATE($AK83,BZ$4),'Basis Options'!$AF:$AF)</f>
        <v>0</v>
      </c>
      <c r="CA83" s="134" t="n">
        <f aca="false">SUMIF('Basis Options'!$X:$X,CONCATENATE($AK83,CA$4),'Basis Options'!$AF:$AF)</f>
        <v>0</v>
      </c>
      <c r="CB83" s="134" t="n">
        <f aca="false">SUMIF('Basis Options'!$X:$X,CONCATENATE($AK83,CB$4),'Basis Options'!$AF:$AF)</f>
        <v>0</v>
      </c>
      <c r="CC83" s="134" t="n">
        <f aca="false">SUMIF('Basis Options'!$X:$X,CONCATENATE($AK83,CC$4),'Basis Options'!$AF:$AF)</f>
        <v>0</v>
      </c>
      <c r="CD83" s="134"/>
      <c r="CE83" s="134" t="n">
        <f aca="false">SUMIF('Basis Options'!$X:$X,CONCATENATE($AK83,CE$4),'Basis Options'!$AF:$AF)</f>
        <v>0</v>
      </c>
      <c r="CF83" s="134"/>
      <c r="CG83" s="208" t="n">
        <f aca="false">EOMONTH(CG82,0)+1</f>
        <v>39114</v>
      </c>
      <c r="CH83" s="135" t="n">
        <f aca="false">SUM(BT83:CF83)</f>
        <v>0</v>
      </c>
    </row>
    <row r="84" customFormat="false" ht="12.75" hidden="false" customHeight="false" outlineLevel="0" collapsed="false">
      <c r="A84" s="208" t="n">
        <f aca="false">EOMONTH(A83,0)+1</f>
        <v>39142</v>
      </c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208" t="n">
        <f aca="false">EOMONTH(O83,0)+1</f>
        <v>39142</v>
      </c>
      <c r="P84" s="135" t="n">
        <f aca="false">SUM(B84:N84)</f>
        <v>0</v>
      </c>
      <c r="S84" s="208" t="n">
        <f aca="false">EOMONTH(S83,0)+1</f>
        <v>39142</v>
      </c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208" t="n">
        <f aca="false">EOMONTH(AG83,0)+1</f>
        <v>39142</v>
      </c>
      <c r="AH84" s="135" t="n">
        <f aca="false">SUM(T84:AF84)</f>
        <v>0</v>
      </c>
      <c r="AK84" s="208" t="n">
        <f aca="false">EOMONTH(AK83,0)+1</f>
        <v>39142</v>
      </c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208" t="n">
        <f aca="false">EOMONTH(AY83,0)+1</f>
        <v>39142</v>
      </c>
      <c r="AZ84" s="135" t="n">
        <f aca="false">SUM(AL84:AX84)</f>
        <v>0</v>
      </c>
      <c r="BB84" s="208" t="n">
        <f aca="false">EOMONTH(BB83,0)+1</f>
        <v>39142</v>
      </c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208" t="n">
        <f aca="false">EOMONTH(BP83,0)+1</f>
        <v>39142</v>
      </c>
      <c r="BQ84" s="135" t="n">
        <f aca="false">SUM(BC84:BO84)</f>
        <v>0</v>
      </c>
      <c r="BS84" s="208" t="n">
        <f aca="false">EOMONTH(BS83,0)+1</f>
        <v>39142</v>
      </c>
      <c r="BT84" s="134" t="n">
        <f aca="false">SUMIF('Basis Options'!$X:$X,CONCATENATE($AK84,BT$4),'Basis Options'!$AF:$AF)</f>
        <v>0</v>
      </c>
      <c r="BU84" s="134" t="n">
        <f aca="false">SUMIF('Basis Options'!$X:$X,CONCATENATE($AK84,BU$4),'Basis Options'!$AF:$AF)</f>
        <v>0</v>
      </c>
      <c r="BV84" s="134" t="n">
        <f aca="false">SUMIF('Basis Options'!$X:$X,CONCATENATE($AK84,BV$4),'Basis Options'!$AF:$AF)</f>
        <v>0</v>
      </c>
      <c r="BW84" s="134" t="n">
        <f aca="false">SUMIF('Basis Options'!$X:$X,CONCATENATE($AK84,BW$4),'Basis Options'!$AF:$AF)</f>
        <v>0</v>
      </c>
      <c r="BX84" s="134" t="n">
        <f aca="false">SUMIF('Basis Options'!$X:$X,CONCATENATE($AK84,BX$4),'Basis Options'!$AF:$AF)</f>
        <v>0</v>
      </c>
      <c r="BY84" s="134" t="n">
        <f aca="false">SUMIF('Basis Options'!$X:$X,CONCATENATE($AK84,BY$4),'Basis Options'!$AF:$AF)</f>
        <v>0</v>
      </c>
      <c r="BZ84" s="134" t="n">
        <f aca="false">SUMIF('Basis Options'!$X:$X,CONCATENATE($AK84,BZ$4),'Basis Options'!$AF:$AF)</f>
        <v>0</v>
      </c>
      <c r="CA84" s="134" t="n">
        <f aca="false">SUMIF('Basis Options'!$X:$X,CONCATENATE($AK84,CA$4),'Basis Options'!$AF:$AF)</f>
        <v>0</v>
      </c>
      <c r="CB84" s="134" t="n">
        <f aca="false">SUMIF('Basis Options'!$X:$X,CONCATENATE($AK84,CB$4),'Basis Options'!$AF:$AF)</f>
        <v>0</v>
      </c>
      <c r="CC84" s="134" t="n">
        <f aca="false">SUMIF('Basis Options'!$X:$X,CONCATENATE($AK84,CC$4),'Basis Options'!$AF:$AF)</f>
        <v>0</v>
      </c>
      <c r="CD84" s="134"/>
      <c r="CE84" s="134" t="n">
        <f aca="false">SUMIF('Basis Options'!$X:$X,CONCATENATE($AK84,CE$4),'Basis Options'!$AF:$AF)</f>
        <v>0</v>
      </c>
      <c r="CF84" s="134"/>
      <c r="CG84" s="208" t="n">
        <f aca="false">EOMONTH(CG83,0)+1</f>
        <v>39142</v>
      </c>
      <c r="CH84" s="135" t="n">
        <f aca="false">SUM(BT84:CF84)</f>
        <v>0</v>
      </c>
    </row>
    <row r="85" customFormat="false" ht="12.75" hidden="false" customHeight="false" outlineLevel="0" collapsed="false">
      <c r="A85" s="208" t="n">
        <f aca="false">EOMONTH(A84,0)+1</f>
        <v>39173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208" t="n">
        <f aca="false">EOMONTH(O84,0)+1</f>
        <v>39173</v>
      </c>
      <c r="P85" s="135" t="n">
        <f aca="false">SUM(B85:N85)</f>
        <v>0</v>
      </c>
      <c r="S85" s="208" t="n">
        <f aca="false">EOMONTH(S84,0)+1</f>
        <v>39173</v>
      </c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208" t="n">
        <f aca="false">EOMONTH(AG84,0)+1</f>
        <v>39173</v>
      </c>
      <c r="AH85" s="135" t="n">
        <f aca="false">SUM(T85:AF85)</f>
        <v>0</v>
      </c>
      <c r="AK85" s="208" t="n">
        <f aca="false">EOMONTH(AK84,0)+1</f>
        <v>39173</v>
      </c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208" t="n">
        <f aca="false">EOMONTH(AY84,0)+1</f>
        <v>39173</v>
      </c>
      <c r="AZ85" s="135" t="n">
        <f aca="false">SUM(AL85:AX85)</f>
        <v>0</v>
      </c>
      <c r="BB85" s="208" t="n">
        <f aca="false">EOMONTH(BB84,0)+1</f>
        <v>39173</v>
      </c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208" t="n">
        <f aca="false">EOMONTH(BP84,0)+1</f>
        <v>39173</v>
      </c>
      <c r="BQ85" s="135" t="n">
        <f aca="false">SUM(BC85:BO85)</f>
        <v>0</v>
      </c>
      <c r="BS85" s="208" t="n">
        <f aca="false">EOMONTH(BS84,0)+1</f>
        <v>39173</v>
      </c>
      <c r="BT85" s="134" t="n">
        <f aca="false">SUMIF('Basis Options'!$X:$X,CONCATENATE($AK85,BT$4),'Basis Options'!$AF:$AF)</f>
        <v>0</v>
      </c>
      <c r="BU85" s="134" t="n">
        <f aca="false">SUMIF('Basis Options'!$X:$X,CONCATENATE($AK85,BU$4),'Basis Options'!$AF:$AF)</f>
        <v>0</v>
      </c>
      <c r="BV85" s="134" t="n">
        <f aca="false">SUMIF('Basis Options'!$X:$X,CONCATENATE($AK85,BV$4),'Basis Options'!$AF:$AF)</f>
        <v>0</v>
      </c>
      <c r="BW85" s="134" t="n">
        <f aca="false">SUMIF('Basis Options'!$X:$X,CONCATENATE($AK85,BW$4),'Basis Options'!$AF:$AF)</f>
        <v>0</v>
      </c>
      <c r="BX85" s="134" t="n">
        <f aca="false">SUMIF('Basis Options'!$X:$X,CONCATENATE($AK85,BX$4),'Basis Options'!$AF:$AF)</f>
        <v>0</v>
      </c>
      <c r="BY85" s="134" t="n">
        <f aca="false">SUMIF('Basis Options'!$X:$X,CONCATENATE($AK85,BY$4),'Basis Options'!$AF:$AF)</f>
        <v>0</v>
      </c>
      <c r="BZ85" s="134" t="n">
        <f aca="false">SUMIF('Basis Options'!$X:$X,CONCATENATE($AK85,BZ$4),'Basis Options'!$AF:$AF)</f>
        <v>0</v>
      </c>
      <c r="CA85" s="134" t="n">
        <f aca="false">SUMIF('Basis Options'!$X:$X,CONCATENATE($AK85,CA$4),'Basis Options'!$AF:$AF)</f>
        <v>0</v>
      </c>
      <c r="CB85" s="134" t="n">
        <f aca="false">SUMIF('Basis Options'!$X:$X,CONCATENATE($AK85,CB$4),'Basis Options'!$AF:$AF)</f>
        <v>0</v>
      </c>
      <c r="CC85" s="134" t="n">
        <f aca="false">SUMIF('Basis Options'!$X:$X,CONCATENATE($AK85,CC$4),'Basis Options'!$AF:$AF)</f>
        <v>0</v>
      </c>
      <c r="CD85" s="134"/>
      <c r="CE85" s="134" t="n">
        <f aca="false">SUMIF('Basis Options'!$X:$X,CONCATENATE($AK85,CE$4),'Basis Options'!$AF:$AF)</f>
        <v>0</v>
      </c>
      <c r="CF85" s="134"/>
      <c r="CG85" s="208" t="n">
        <f aca="false">EOMONTH(CG84,0)+1</f>
        <v>39173</v>
      </c>
      <c r="CH85" s="135" t="n">
        <f aca="false">SUM(BT85:CF85)</f>
        <v>0</v>
      </c>
    </row>
    <row r="86" customFormat="false" ht="12.75" hidden="false" customHeight="false" outlineLevel="0" collapsed="false">
      <c r="A86" s="208" t="n">
        <f aca="false">EOMONTH(A85,0)+1</f>
        <v>39203</v>
      </c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208" t="n">
        <f aca="false">EOMONTH(O85,0)+1</f>
        <v>39203</v>
      </c>
      <c r="P86" s="135" t="n">
        <f aca="false">SUM(B86:N86)</f>
        <v>0</v>
      </c>
      <c r="S86" s="208" t="n">
        <f aca="false">EOMONTH(S85,0)+1</f>
        <v>39203</v>
      </c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208" t="n">
        <f aca="false">EOMONTH(AG85,0)+1</f>
        <v>39203</v>
      </c>
      <c r="AH86" s="135" t="n">
        <f aca="false">SUM(T86:AF86)</f>
        <v>0</v>
      </c>
      <c r="AK86" s="208" t="n">
        <f aca="false">EOMONTH(AK85,0)+1</f>
        <v>39203</v>
      </c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208" t="n">
        <f aca="false">EOMONTH(AY85,0)+1</f>
        <v>39203</v>
      </c>
      <c r="AZ86" s="135" t="n">
        <f aca="false">SUM(AL86:AX86)</f>
        <v>0</v>
      </c>
      <c r="BB86" s="208" t="n">
        <f aca="false">EOMONTH(BB85,0)+1</f>
        <v>39203</v>
      </c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208" t="n">
        <f aca="false">EOMONTH(BP85,0)+1</f>
        <v>39203</v>
      </c>
      <c r="BQ86" s="135" t="n">
        <f aca="false">SUM(BC86:BO86)</f>
        <v>0</v>
      </c>
      <c r="BS86" s="208" t="n">
        <f aca="false">EOMONTH(BS85,0)+1</f>
        <v>39203</v>
      </c>
      <c r="BT86" s="134" t="n">
        <f aca="false">SUMIF('Basis Options'!$X:$X,CONCATENATE($AK86,BT$4),'Basis Options'!$AF:$AF)</f>
        <v>0</v>
      </c>
      <c r="BU86" s="134" t="n">
        <f aca="false">SUMIF('Basis Options'!$X:$X,CONCATENATE($AK86,BU$4),'Basis Options'!$AF:$AF)</f>
        <v>0</v>
      </c>
      <c r="BV86" s="134" t="n">
        <f aca="false">SUMIF('Basis Options'!$X:$X,CONCATENATE($AK86,BV$4),'Basis Options'!$AF:$AF)</f>
        <v>0</v>
      </c>
      <c r="BW86" s="134" t="n">
        <f aca="false">SUMIF('Basis Options'!$X:$X,CONCATENATE($AK86,BW$4),'Basis Options'!$AF:$AF)</f>
        <v>0</v>
      </c>
      <c r="BX86" s="134" t="n">
        <f aca="false">SUMIF('Basis Options'!$X:$X,CONCATENATE($AK86,BX$4),'Basis Options'!$AF:$AF)</f>
        <v>0</v>
      </c>
      <c r="BY86" s="134" t="n">
        <f aca="false">SUMIF('Basis Options'!$X:$X,CONCATENATE($AK86,BY$4),'Basis Options'!$AF:$AF)</f>
        <v>0</v>
      </c>
      <c r="BZ86" s="134" t="n">
        <f aca="false">SUMIF('Basis Options'!$X:$X,CONCATENATE($AK86,BZ$4),'Basis Options'!$AF:$AF)</f>
        <v>0</v>
      </c>
      <c r="CA86" s="134" t="n">
        <f aca="false">SUMIF('Basis Options'!$X:$X,CONCATENATE($AK86,CA$4),'Basis Options'!$AF:$AF)</f>
        <v>0</v>
      </c>
      <c r="CB86" s="134" t="n">
        <f aca="false">SUMIF('Basis Options'!$X:$X,CONCATENATE($AK86,CB$4),'Basis Options'!$AF:$AF)</f>
        <v>0</v>
      </c>
      <c r="CC86" s="134" t="n">
        <f aca="false">SUMIF('Basis Options'!$X:$X,CONCATENATE($AK86,CC$4),'Basis Options'!$AF:$AF)</f>
        <v>0</v>
      </c>
      <c r="CD86" s="134"/>
      <c r="CE86" s="134" t="n">
        <f aca="false">SUMIF('Basis Options'!$X:$X,CONCATENATE($AK86,CE$4),'Basis Options'!$AF:$AF)</f>
        <v>0</v>
      </c>
      <c r="CF86" s="134"/>
      <c r="CG86" s="208" t="n">
        <f aca="false">EOMONTH(CG85,0)+1</f>
        <v>39203</v>
      </c>
      <c r="CH86" s="135" t="n">
        <f aca="false">SUM(BT86:CF86)</f>
        <v>0</v>
      </c>
    </row>
    <row r="87" customFormat="false" ht="12.75" hidden="false" customHeight="false" outlineLevel="0" collapsed="false">
      <c r="A87" s="208" t="n">
        <f aca="false">EOMONTH(A86,0)+1</f>
        <v>39234</v>
      </c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208" t="n">
        <f aca="false">EOMONTH(O86,0)+1</f>
        <v>39234</v>
      </c>
      <c r="P87" s="135" t="n">
        <f aca="false">SUM(B87:N87)</f>
        <v>0</v>
      </c>
      <c r="S87" s="208" t="n">
        <f aca="false">EOMONTH(S86,0)+1</f>
        <v>39234</v>
      </c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208" t="n">
        <f aca="false">EOMONTH(AG86,0)+1</f>
        <v>39234</v>
      </c>
      <c r="AH87" s="135" t="n">
        <f aca="false">SUM(T87:AF87)</f>
        <v>0</v>
      </c>
      <c r="AK87" s="208" t="n">
        <f aca="false">EOMONTH(AK86,0)+1</f>
        <v>39234</v>
      </c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208" t="n">
        <f aca="false">EOMONTH(AY86,0)+1</f>
        <v>39234</v>
      </c>
      <c r="AZ87" s="135" t="n">
        <f aca="false">SUM(AL87:AX87)</f>
        <v>0</v>
      </c>
      <c r="BB87" s="208" t="n">
        <f aca="false">EOMONTH(BB86,0)+1</f>
        <v>39234</v>
      </c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208" t="n">
        <f aca="false">EOMONTH(BP86,0)+1</f>
        <v>39234</v>
      </c>
      <c r="BQ87" s="135" t="n">
        <f aca="false">SUM(BC87:BO87)</f>
        <v>0</v>
      </c>
      <c r="BS87" s="208" t="n">
        <f aca="false">EOMONTH(BS86,0)+1</f>
        <v>39234</v>
      </c>
      <c r="BT87" s="134" t="n">
        <f aca="false">SUMIF('Basis Options'!$X:$X,CONCATENATE($AK87,BT$4),'Basis Options'!$AF:$AF)</f>
        <v>0</v>
      </c>
      <c r="BU87" s="134" t="n">
        <f aca="false">SUMIF('Basis Options'!$X:$X,CONCATENATE($AK87,BU$4),'Basis Options'!$AF:$AF)</f>
        <v>0</v>
      </c>
      <c r="BV87" s="134" t="n">
        <f aca="false">SUMIF('Basis Options'!$X:$X,CONCATENATE($AK87,BV$4),'Basis Options'!$AF:$AF)</f>
        <v>0</v>
      </c>
      <c r="BW87" s="134" t="n">
        <f aca="false">SUMIF('Basis Options'!$X:$X,CONCATENATE($AK87,BW$4),'Basis Options'!$AF:$AF)</f>
        <v>0</v>
      </c>
      <c r="BX87" s="134" t="n">
        <f aca="false">SUMIF('Basis Options'!$X:$X,CONCATENATE($AK87,BX$4),'Basis Options'!$AF:$AF)</f>
        <v>0</v>
      </c>
      <c r="BY87" s="134" t="n">
        <f aca="false">SUMIF('Basis Options'!$X:$X,CONCATENATE($AK87,BY$4),'Basis Options'!$AF:$AF)</f>
        <v>0</v>
      </c>
      <c r="BZ87" s="134" t="n">
        <f aca="false">SUMIF('Basis Options'!$X:$X,CONCATENATE($AK87,BZ$4),'Basis Options'!$AF:$AF)</f>
        <v>0</v>
      </c>
      <c r="CA87" s="134" t="n">
        <f aca="false">SUMIF('Basis Options'!$X:$X,CONCATENATE($AK87,CA$4),'Basis Options'!$AF:$AF)</f>
        <v>0</v>
      </c>
      <c r="CB87" s="134" t="n">
        <f aca="false">SUMIF('Basis Options'!$X:$X,CONCATENATE($AK87,CB$4),'Basis Options'!$AF:$AF)</f>
        <v>0</v>
      </c>
      <c r="CC87" s="134" t="n">
        <f aca="false">SUMIF('Basis Options'!$X:$X,CONCATENATE($AK87,CC$4),'Basis Options'!$AF:$AF)</f>
        <v>0</v>
      </c>
      <c r="CD87" s="134"/>
      <c r="CE87" s="134" t="n">
        <f aca="false">SUMIF('Basis Options'!$X:$X,CONCATENATE($AK87,CE$4),'Basis Options'!$AF:$AF)</f>
        <v>0</v>
      </c>
      <c r="CF87" s="134"/>
      <c r="CG87" s="208" t="n">
        <f aca="false">EOMONTH(CG86,0)+1</f>
        <v>39234</v>
      </c>
      <c r="CH87" s="135" t="n">
        <f aca="false">SUM(BT87:CF87)</f>
        <v>0</v>
      </c>
    </row>
    <row r="88" customFormat="false" ht="12.75" hidden="false" customHeight="false" outlineLevel="0" collapsed="false">
      <c r="A88" s="208" t="n">
        <f aca="false">EOMONTH(A87,0)+1</f>
        <v>39264</v>
      </c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208" t="n">
        <f aca="false">EOMONTH(O87,0)+1</f>
        <v>39264</v>
      </c>
      <c r="P88" s="135" t="n">
        <f aca="false">SUM(B88:N88)</f>
        <v>0</v>
      </c>
      <c r="S88" s="208" t="n">
        <f aca="false">EOMONTH(S87,0)+1</f>
        <v>39264</v>
      </c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208" t="n">
        <f aca="false">EOMONTH(AG87,0)+1</f>
        <v>39264</v>
      </c>
      <c r="AH88" s="135" t="n">
        <f aca="false">SUM(T88:AF88)</f>
        <v>0</v>
      </c>
      <c r="AK88" s="208" t="n">
        <f aca="false">EOMONTH(AK87,0)+1</f>
        <v>39264</v>
      </c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208" t="n">
        <f aca="false">EOMONTH(AY87,0)+1</f>
        <v>39264</v>
      </c>
      <c r="AZ88" s="135" t="n">
        <f aca="false">SUM(AL88:AX88)</f>
        <v>0</v>
      </c>
      <c r="BB88" s="208" t="n">
        <f aca="false">EOMONTH(BB87,0)+1</f>
        <v>39264</v>
      </c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208" t="n">
        <f aca="false">EOMONTH(BP87,0)+1</f>
        <v>39264</v>
      </c>
      <c r="BQ88" s="135" t="n">
        <f aca="false">SUM(BC88:BO88)</f>
        <v>0</v>
      </c>
      <c r="BS88" s="208" t="n">
        <f aca="false">EOMONTH(BS87,0)+1</f>
        <v>39264</v>
      </c>
      <c r="BT88" s="134" t="n">
        <f aca="false">SUMIF('Basis Options'!$X:$X,CONCATENATE($AK88,BT$4),'Basis Options'!$AF:$AF)</f>
        <v>0</v>
      </c>
      <c r="BU88" s="134" t="n">
        <f aca="false">SUMIF('Basis Options'!$X:$X,CONCATENATE($AK88,BU$4),'Basis Options'!$AF:$AF)</f>
        <v>0</v>
      </c>
      <c r="BV88" s="134" t="n">
        <f aca="false">SUMIF('Basis Options'!$X:$X,CONCATENATE($AK88,BV$4),'Basis Options'!$AF:$AF)</f>
        <v>0</v>
      </c>
      <c r="BW88" s="134" t="n">
        <f aca="false">SUMIF('Basis Options'!$X:$X,CONCATENATE($AK88,BW$4),'Basis Options'!$AF:$AF)</f>
        <v>0</v>
      </c>
      <c r="BX88" s="134" t="n">
        <f aca="false">SUMIF('Basis Options'!$X:$X,CONCATENATE($AK88,BX$4),'Basis Options'!$AF:$AF)</f>
        <v>0</v>
      </c>
      <c r="BY88" s="134" t="n">
        <f aca="false">SUMIF('Basis Options'!$X:$X,CONCATENATE($AK88,BY$4),'Basis Options'!$AF:$AF)</f>
        <v>0</v>
      </c>
      <c r="BZ88" s="134" t="n">
        <f aca="false">SUMIF('Basis Options'!$X:$X,CONCATENATE($AK88,BZ$4),'Basis Options'!$AF:$AF)</f>
        <v>0</v>
      </c>
      <c r="CA88" s="134" t="n">
        <f aca="false">SUMIF('Basis Options'!$X:$X,CONCATENATE($AK88,CA$4),'Basis Options'!$AF:$AF)</f>
        <v>0</v>
      </c>
      <c r="CB88" s="134" t="n">
        <f aca="false">SUMIF('Basis Options'!$X:$X,CONCATENATE($AK88,CB$4),'Basis Options'!$AF:$AF)</f>
        <v>0</v>
      </c>
      <c r="CC88" s="134" t="n">
        <f aca="false">SUMIF('Basis Options'!$X:$X,CONCATENATE($AK88,CC$4),'Basis Options'!$AF:$AF)</f>
        <v>0</v>
      </c>
      <c r="CD88" s="134"/>
      <c r="CE88" s="134" t="n">
        <f aca="false">SUMIF('Basis Options'!$X:$X,CONCATENATE($AK88,CE$4),'Basis Options'!$AF:$AF)</f>
        <v>0</v>
      </c>
      <c r="CF88" s="134"/>
      <c r="CG88" s="208" t="n">
        <f aca="false">EOMONTH(CG87,0)+1</f>
        <v>39264</v>
      </c>
      <c r="CH88" s="135" t="n">
        <f aca="false">SUM(BT88:CF88)</f>
        <v>0</v>
      </c>
    </row>
    <row r="89" customFormat="false" ht="12.75" hidden="false" customHeight="false" outlineLevel="0" collapsed="false">
      <c r="A89" s="208" t="n">
        <f aca="false">EOMONTH(A88,0)+1</f>
        <v>39295</v>
      </c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208" t="n">
        <f aca="false">EOMONTH(O88,0)+1</f>
        <v>39295</v>
      </c>
      <c r="P89" s="135" t="n">
        <f aca="false">SUM(B89:N89)</f>
        <v>0</v>
      </c>
      <c r="S89" s="208" t="n">
        <f aca="false">EOMONTH(S88,0)+1</f>
        <v>39295</v>
      </c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208" t="n">
        <f aca="false">EOMONTH(AG88,0)+1</f>
        <v>39295</v>
      </c>
      <c r="AH89" s="135" t="n">
        <f aca="false">SUM(T89:AF89)</f>
        <v>0</v>
      </c>
      <c r="AK89" s="208" t="n">
        <f aca="false">EOMONTH(AK88,0)+1</f>
        <v>39295</v>
      </c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208" t="n">
        <f aca="false">EOMONTH(AY88,0)+1</f>
        <v>39295</v>
      </c>
      <c r="AZ89" s="135" t="n">
        <f aca="false">SUM(AL89:AX89)</f>
        <v>0</v>
      </c>
      <c r="BB89" s="208" t="n">
        <f aca="false">EOMONTH(BB88,0)+1</f>
        <v>39295</v>
      </c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208" t="n">
        <f aca="false">EOMONTH(BP88,0)+1</f>
        <v>39295</v>
      </c>
      <c r="BQ89" s="135" t="n">
        <f aca="false">SUM(BC89:BO89)</f>
        <v>0</v>
      </c>
      <c r="BS89" s="208" t="n">
        <f aca="false">EOMONTH(BS88,0)+1</f>
        <v>39295</v>
      </c>
      <c r="BT89" s="134" t="n">
        <f aca="false">SUMIF('Basis Options'!$X:$X,CONCATENATE($AK89,BT$4),'Basis Options'!$AF:$AF)</f>
        <v>0</v>
      </c>
      <c r="BU89" s="134" t="n">
        <f aca="false">SUMIF('Basis Options'!$X:$X,CONCATENATE($AK89,BU$4),'Basis Options'!$AF:$AF)</f>
        <v>0</v>
      </c>
      <c r="BV89" s="134" t="n">
        <f aca="false">SUMIF('Basis Options'!$X:$X,CONCATENATE($AK89,BV$4),'Basis Options'!$AF:$AF)</f>
        <v>0</v>
      </c>
      <c r="BW89" s="134" t="n">
        <f aca="false">SUMIF('Basis Options'!$X:$X,CONCATENATE($AK89,BW$4),'Basis Options'!$AF:$AF)</f>
        <v>0</v>
      </c>
      <c r="BX89" s="134" t="n">
        <f aca="false">SUMIF('Basis Options'!$X:$X,CONCATENATE($AK89,BX$4),'Basis Options'!$AF:$AF)</f>
        <v>0</v>
      </c>
      <c r="BY89" s="134" t="n">
        <f aca="false">SUMIF('Basis Options'!$X:$X,CONCATENATE($AK89,BY$4),'Basis Options'!$AF:$AF)</f>
        <v>0</v>
      </c>
      <c r="BZ89" s="134" t="n">
        <f aca="false">SUMIF('Basis Options'!$X:$X,CONCATENATE($AK89,BZ$4),'Basis Options'!$AF:$AF)</f>
        <v>0</v>
      </c>
      <c r="CA89" s="134" t="n">
        <f aca="false">SUMIF('Basis Options'!$X:$X,CONCATENATE($AK89,CA$4),'Basis Options'!$AF:$AF)</f>
        <v>0</v>
      </c>
      <c r="CB89" s="134" t="n">
        <f aca="false">SUMIF('Basis Options'!$X:$X,CONCATENATE($AK89,CB$4),'Basis Options'!$AF:$AF)</f>
        <v>0</v>
      </c>
      <c r="CC89" s="134" t="n">
        <f aca="false">SUMIF('Basis Options'!$X:$X,CONCATENATE($AK89,CC$4),'Basis Options'!$AF:$AF)</f>
        <v>0</v>
      </c>
      <c r="CD89" s="134"/>
      <c r="CE89" s="134" t="n">
        <f aca="false">SUMIF('Basis Options'!$X:$X,CONCATENATE($AK89,CE$4),'Basis Options'!$AF:$AF)</f>
        <v>0</v>
      </c>
      <c r="CF89" s="134"/>
      <c r="CG89" s="208" t="n">
        <f aca="false">EOMONTH(CG88,0)+1</f>
        <v>39295</v>
      </c>
      <c r="CH89" s="135" t="n">
        <f aca="false">SUM(BT89:CF89)</f>
        <v>0</v>
      </c>
    </row>
    <row r="90" customFormat="false" ht="12.75" hidden="false" customHeight="false" outlineLevel="0" collapsed="false">
      <c r="A90" s="208" t="n">
        <f aca="false">EOMONTH(A89,0)+1</f>
        <v>39326</v>
      </c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208" t="n">
        <f aca="false">EOMONTH(O89,0)+1</f>
        <v>39326</v>
      </c>
      <c r="P90" s="135" t="n">
        <f aca="false">SUM(B90:N90)</f>
        <v>0</v>
      </c>
      <c r="S90" s="208" t="n">
        <f aca="false">EOMONTH(S89,0)+1</f>
        <v>39326</v>
      </c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208" t="n">
        <f aca="false">EOMONTH(AG89,0)+1</f>
        <v>39326</v>
      </c>
      <c r="AH90" s="135" t="n">
        <f aca="false">SUM(T90:AF90)</f>
        <v>0</v>
      </c>
      <c r="AK90" s="208" t="n">
        <f aca="false">EOMONTH(AK89,0)+1</f>
        <v>39326</v>
      </c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208" t="n">
        <f aca="false">EOMONTH(AY89,0)+1</f>
        <v>39326</v>
      </c>
      <c r="AZ90" s="135" t="n">
        <f aca="false">SUM(AL90:AX90)</f>
        <v>0</v>
      </c>
      <c r="BB90" s="208" t="n">
        <f aca="false">EOMONTH(BB89,0)+1</f>
        <v>39326</v>
      </c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208" t="n">
        <f aca="false">EOMONTH(BP89,0)+1</f>
        <v>39326</v>
      </c>
      <c r="BQ90" s="135" t="n">
        <f aca="false">SUM(BC90:BO90)</f>
        <v>0</v>
      </c>
      <c r="BS90" s="208" t="n">
        <f aca="false">EOMONTH(BS89,0)+1</f>
        <v>39326</v>
      </c>
      <c r="BT90" s="134" t="n">
        <f aca="false">SUMIF('Basis Options'!$X:$X,CONCATENATE($AK90,BT$4),'Basis Options'!$AF:$AF)</f>
        <v>0</v>
      </c>
      <c r="BU90" s="134" t="n">
        <f aca="false">SUMIF('Basis Options'!$X:$X,CONCATENATE($AK90,BU$4),'Basis Options'!$AF:$AF)</f>
        <v>0</v>
      </c>
      <c r="BV90" s="134" t="n">
        <f aca="false">SUMIF('Basis Options'!$X:$X,CONCATENATE($AK90,BV$4),'Basis Options'!$AF:$AF)</f>
        <v>0</v>
      </c>
      <c r="BW90" s="134" t="n">
        <f aca="false">SUMIF('Basis Options'!$X:$X,CONCATENATE($AK90,BW$4),'Basis Options'!$AF:$AF)</f>
        <v>0</v>
      </c>
      <c r="BX90" s="134" t="n">
        <f aca="false">SUMIF('Basis Options'!$X:$X,CONCATENATE($AK90,BX$4),'Basis Options'!$AF:$AF)</f>
        <v>0</v>
      </c>
      <c r="BY90" s="134" t="n">
        <f aca="false">SUMIF('Basis Options'!$X:$X,CONCATENATE($AK90,BY$4),'Basis Options'!$AF:$AF)</f>
        <v>0</v>
      </c>
      <c r="BZ90" s="134" t="n">
        <f aca="false">SUMIF('Basis Options'!$X:$X,CONCATENATE($AK90,BZ$4),'Basis Options'!$AF:$AF)</f>
        <v>0</v>
      </c>
      <c r="CA90" s="134" t="n">
        <f aca="false">SUMIF('Basis Options'!$X:$X,CONCATENATE($AK90,CA$4),'Basis Options'!$AF:$AF)</f>
        <v>0</v>
      </c>
      <c r="CB90" s="134" t="n">
        <f aca="false">SUMIF('Basis Options'!$X:$X,CONCATENATE($AK90,CB$4),'Basis Options'!$AF:$AF)</f>
        <v>0</v>
      </c>
      <c r="CC90" s="134" t="n">
        <f aca="false">SUMIF('Basis Options'!$X:$X,CONCATENATE($AK90,CC$4),'Basis Options'!$AF:$AF)</f>
        <v>0</v>
      </c>
      <c r="CD90" s="134"/>
      <c r="CE90" s="134" t="n">
        <f aca="false">SUMIF('Basis Options'!$X:$X,CONCATENATE($AK90,CE$4),'Basis Options'!$AF:$AF)</f>
        <v>0</v>
      </c>
      <c r="CF90" s="134"/>
      <c r="CG90" s="208" t="n">
        <f aca="false">EOMONTH(CG89,0)+1</f>
        <v>39326</v>
      </c>
      <c r="CH90" s="135" t="n">
        <f aca="false">SUM(BT90:CF90)</f>
        <v>0</v>
      </c>
    </row>
    <row r="91" customFormat="false" ht="12.75" hidden="false" customHeight="false" outlineLevel="0" collapsed="false">
      <c r="A91" s="208" t="n">
        <f aca="false">EOMONTH(A90,0)+1</f>
        <v>39356</v>
      </c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208" t="n">
        <f aca="false">EOMONTH(O90,0)+1</f>
        <v>39356</v>
      </c>
      <c r="P91" s="135" t="n">
        <f aca="false">SUM(B91:N91)</f>
        <v>0</v>
      </c>
      <c r="S91" s="208" t="n">
        <f aca="false">EOMONTH(S90,0)+1</f>
        <v>39356</v>
      </c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208" t="n">
        <f aca="false">EOMONTH(AG90,0)+1</f>
        <v>39356</v>
      </c>
      <c r="AH91" s="135" t="n">
        <f aca="false">SUM(T91:AF91)</f>
        <v>0</v>
      </c>
      <c r="AK91" s="208" t="n">
        <f aca="false">EOMONTH(AK90,0)+1</f>
        <v>39356</v>
      </c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208" t="n">
        <f aca="false">EOMONTH(AY90,0)+1</f>
        <v>39356</v>
      </c>
      <c r="AZ91" s="135" t="n">
        <f aca="false">SUM(AL91:AX91)</f>
        <v>0</v>
      </c>
      <c r="BB91" s="208" t="n">
        <f aca="false">EOMONTH(BB90,0)+1</f>
        <v>39356</v>
      </c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208" t="n">
        <f aca="false">EOMONTH(BP90,0)+1</f>
        <v>39356</v>
      </c>
      <c r="BQ91" s="135" t="n">
        <f aca="false">SUM(BC91:BO91)</f>
        <v>0</v>
      </c>
      <c r="BS91" s="208" t="n">
        <f aca="false">EOMONTH(BS90,0)+1</f>
        <v>39356</v>
      </c>
      <c r="BT91" s="134" t="n">
        <f aca="false">SUMIF('Basis Options'!$X:$X,CONCATENATE($AK91,BT$4),'Basis Options'!$AF:$AF)</f>
        <v>0</v>
      </c>
      <c r="BU91" s="134" t="n">
        <f aca="false">SUMIF('Basis Options'!$X:$X,CONCATENATE($AK91,BU$4),'Basis Options'!$AF:$AF)</f>
        <v>0</v>
      </c>
      <c r="BV91" s="134" t="n">
        <f aca="false">SUMIF('Basis Options'!$X:$X,CONCATENATE($AK91,BV$4),'Basis Options'!$AF:$AF)</f>
        <v>0</v>
      </c>
      <c r="BW91" s="134" t="n">
        <f aca="false">SUMIF('Basis Options'!$X:$X,CONCATENATE($AK91,BW$4),'Basis Options'!$AF:$AF)</f>
        <v>0</v>
      </c>
      <c r="BX91" s="134" t="n">
        <f aca="false">SUMIF('Basis Options'!$X:$X,CONCATENATE($AK91,BX$4),'Basis Options'!$AF:$AF)</f>
        <v>0</v>
      </c>
      <c r="BY91" s="134" t="n">
        <f aca="false">SUMIF('Basis Options'!$X:$X,CONCATENATE($AK91,BY$4),'Basis Options'!$AF:$AF)</f>
        <v>0</v>
      </c>
      <c r="BZ91" s="134" t="n">
        <f aca="false">SUMIF('Basis Options'!$X:$X,CONCATENATE($AK91,BZ$4),'Basis Options'!$AF:$AF)</f>
        <v>0</v>
      </c>
      <c r="CA91" s="134" t="n">
        <f aca="false">SUMIF('Basis Options'!$X:$X,CONCATENATE($AK91,CA$4),'Basis Options'!$AF:$AF)</f>
        <v>0</v>
      </c>
      <c r="CB91" s="134" t="n">
        <f aca="false">SUMIF('Basis Options'!$X:$X,CONCATENATE($AK91,CB$4),'Basis Options'!$AF:$AF)</f>
        <v>0</v>
      </c>
      <c r="CC91" s="134" t="n">
        <f aca="false">SUMIF('Basis Options'!$X:$X,CONCATENATE($AK91,CC$4),'Basis Options'!$AF:$AF)</f>
        <v>0</v>
      </c>
      <c r="CD91" s="134"/>
      <c r="CE91" s="134" t="n">
        <f aca="false">SUMIF('Basis Options'!$X:$X,CONCATENATE($AK91,CE$4),'Basis Options'!$AF:$AF)</f>
        <v>0</v>
      </c>
      <c r="CF91" s="134"/>
      <c r="CG91" s="208" t="n">
        <f aca="false">EOMONTH(CG90,0)+1</f>
        <v>39356</v>
      </c>
      <c r="CH91" s="135" t="n">
        <f aca="false">SUM(BT91:CF91)</f>
        <v>0</v>
      </c>
    </row>
    <row r="92" customFormat="false" ht="12.75" hidden="false" customHeight="false" outlineLevel="0" collapsed="false">
      <c r="A92" s="208" t="n">
        <f aca="false">EOMONTH(A91,0)+1</f>
        <v>39387</v>
      </c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208" t="n">
        <f aca="false">EOMONTH(O91,0)+1</f>
        <v>39387</v>
      </c>
      <c r="P92" s="135" t="n">
        <f aca="false">SUM(B92:N92)</f>
        <v>0</v>
      </c>
      <c r="S92" s="208" t="n">
        <f aca="false">EOMONTH(S91,0)+1</f>
        <v>39387</v>
      </c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208" t="n">
        <f aca="false">EOMONTH(AG91,0)+1</f>
        <v>39387</v>
      </c>
      <c r="AH92" s="135" t="n">
        <f aca="false">SUM(T92:AF92)</f>
        <v>0</v>
      </c>
      <c r="AK92" s="208" t="n">
        <f aca="false">EOMONTH(AK91,0)+1</f>
        <v>39387</v>
      </c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208" t="n">
        <f aca="false">EOMONTH(AY91,0)+1</f>
        <v>39387</v>
      </c>
      <c r="AZ92" s="135" t="n">
        <f aca="false">SUM(AL92:AX92)</f>
        <v>0</v>
      </c>
      <c r="BB92" s="208" t="n">
        <f aca="false">EOMONTH(BB91,0)+1</f>
        <v>39387</v>
      </c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208" t="n">
        <f aca="false">EOMONTH(BP91,0)+1</f>
        <v>39387</v>
      </c>
      <c r="BQ92" s="135" t="n">
        <f aca="false">SUM(BC92:BO92)</f>
        <v>0</v>
      </c>
      <c r="BS92" s="208" t="n">
        <f aca="false">EOMONTH(BS91,0)+1</f>
        <v>39387</v>
      </c>
      <c r="BT92" s="134" t="n">
        <f aca="false">SUMIF('Basis Options'!$X:$X,CONCATENATE($AK92,BT$4),'Basis Options'!$AF:$AF)</f>
        <v>0</v>
      </c>
      <c r="BU92" s="134" t="n">
        <f aca="false">SUMIF('Basis Options'!$X:$X,CONCATENATE($AK92,BU$4),'Basis Options'!$AF:$AF)</f>
        <v>0</v>
      </c>
      <c r="BV92" s="134" t="n">
        <f aca="false">SUMIF('Basis Options'!$X:$X,CONCATENATE($AK92,BV$4),'Basis Options'!$AF:$AF)</f>
        <v>0</v>
      </c>
      <c r="BW92" s="134" t="n">
        <f aca="false">SUMIF('Basis Options'!$X:$X,CONCATENATE($AK92,BW$4),'Basis Options'!$AF:$AF)</f>
        <v>0</v>
      </c>
      <c r="BX92" s="134" t="n">
        <f aca="false">SUMIF('Basis Options'!$X:$X,CONCATENATE($AK92,BX$4),'Basis Options'!$AF:$AF)</f>
        <v>0</v>
      </c>
      <c r="BY92" s="134" t="n">
        <f aca="false">SUMIF('Basis Options'!$X:$X,CONCATENATE($AK92,BY$4),'Basis Options'!$AF:$AF)</f>
        <v>0</v>
      </c>
      <c r="BZ92" s="134" t="n">
        <f aca="false">SUMIF('Basis Options'!$X:$X,CONCATENATE($AK92,BZ$4),'Basis Options'!$AF:$AF)</f>
        <v>0</v>
      </c>
      <c r="CA92" s="134" t="n">
        <f aca="false">SUMIF('Basis Options'!$X:$X,CONCATENATE($AK92,CA$4),'Basis Options'!$AF:$AF)</f>
        <v>0</v>
      </c>
      <c r="CB92" s="134" t="n">
        <f aca="false">SUMIF('Basis Options'!$X:$X,CONCATENATE($AK92,CB$4),'Basis Options'!$AF:$AF)</f>
        <v>0</v>
      </c>
      <c r="CC92" s="134" t="n">
        <f aca="false">SUMIF('Basis Options'!$X:$X,CONCATENATE($AK92,CC$4),'Basis Options'!$AF:$AF)</f>
        <v>0</v>
      </c>
      <c r="CD92" s="134"/>
      <c r="CE92" s="134" t="n">
        <f aca="false">SUMIF('Basis Options'!$X:$X,CONCATENATE($AK92,CE$4),'Basis Options'!$AF:$AF)</f>
        <v>0</v>
      </c>
      <c r="CF92" s="134"/>
      <c r="CG92" s="208" t="n">
        <f aca="false">EOMONTH(CG91,0)+1</f>
        <v>39387</v>
      </c>
      <c r="CH92" s="135" t="n">
        <f aca="false">SUM(BT92:CF92)</f>
        <v>0</v>
      </c>
    </row>
    <row r="93" customFormat="false" ht="12.75" hidden="false" customHeight="false" outlineLevel="0" collapsed="false">
      <c r="A93" s="208" t="n">
        <f aca="false">EOMONTH(A92,0)+1</f>
        <v>39417</v>
      </c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208" t="n">
        <f aca="false">EOMONTH(O92,0)+1</f>
        <v>39417</v>
      </c>
      <c r="P93" s="135" t="n">
        <f aca="false">SUM(B93:N93)</f>
        <v>0</v>
      </c>
      <c r="S93" s="208" t="n">
        <f aca="false">EOMONTH(S92,0)+1</f>
        <v>39417</v>
      </c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208" t="n">
        <f aca="false">EOMONTH(AG92,0)+1</f>
        <v>39417</v>
      </c>
      <c r="AH93" s="135" t="n">
        <f aca="false">SUM(T93:AF93)</f>
        <v>0</v>
      </c>
      <c r="AK93" s="208" t="n">
        <f aca="false">EOMONTH(AK92,0)+1</f>
        <v>39417</v>
      </c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208" t="n">
        <f aca="false">EOMONTH(AY92,0)+1</f>
        <v>39417</v>
      </c>
      <c r="AZ93" s="135" t="n">
        <f aca="false">SUM(AL93:AX93)</f>
        <v>0</v>
      </c>
      <c r="BB93" s="208" t="n">
        <f aca="false">EOMONTH(BB92,0)+1</f>
        <v>39417</v>
      </c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208" t="n">
        <f aca="false">EOMONTH(BP92,0)+1</f>
        <v>39417</v>
      </c>
      <c r="BQ93" s="135" t="n">
        <f aca="false">SUM(BC93:BO93)</f>
        <v>0</v>
      </c>
      <c r="BS93" s="208" t="n">
        <f aca="false">EOMONTH(BS92,0)+1</f>
        <v>39417</v>
      </c>
      <c r="BT93" s="134" t="n">
        <f aca="false">SUMIF('Basis Options'!$X:$X,CONCATENATE($AK93,BT$4),'Basis Options'!$AF:$AF)</f>
        <v>0</v>
      </c>
      <c r="BU93" s="134" t="n">
        <f aca="false">SUMIF('Basis Options'!$X:$X,CONCATENATE($AK93,BU$4),'Basis Options'!$AF:$AF)</f>
        <v>0</v>
      </c>
      <c r="BV93" s="134" t="n">
        <f aca="false">SUMIF('Basis Options'!$X:$X,CONCATENATE($AK93,BV$4),'Basis Options'!$AF:$AF)</f>
        <v>0</v>
      </c>
      <c r="BW93" s="134" t="n">
        <f aca="false">SUMIF('Basis Options'!$X:$X,CONCATENATE($AK93,BW$4),'Basis Options'!$AF:$AF)</f>
        <v>0</v>
      </c>
      <c r="BX93" s="134" t="n">
        <f aca="false">SUMIF('Basis Options'!$X:$X,CONCATENATE($AK93,BX$4),'Basis Options'!$AF:$AF)</f>
        <v>0</v>
      </c>
      <c r="BY93" s="134" t="n">
        <f aca="false">SUMIF('Basis Options'!$X:$X,CONCATENATE($AK93,BY$4),'Basis Options'!$AF:$AF)</f>
        <v>0</v>
      </c>
      <c r="BZ93" s="134" t="n">
        <f aca="false">SUMIF('Basis Options'!$X:$X,CONCATENATE($AK93,BZ$4),'Basis Options'!$AF:$AF)</f>
        <v>0</v>
      </c>
      <c r="CA93" s="134" t="n">
        <f aca="false">SUMIF('Basis Options'!$X:$X,CONCATENATE($AK93,CA$4),'Basis Options'!$AF:$AF)</f>
        <v>0</v>
      </c>
      <c r="CB93" s="134" t="n">
        <f aca="false">SUMIF('Basis Options'!$X:$X,CONCATENATE($AK93,CB$4),'Basis Options'!$AF:$AF)</f>
        <v>0</v>
      </c>
      <c r="CC93" s="134" t="n">
        <f aca="false">SUMIF('Basis Options'!$X:$X,CONCATENATE($AK93,CC$4),'Basis Options'!$AF:$AF)</f>
        <v>0</v>
      </c>
      <c r="CD93" s="134"/>
      <c r="CE93" s="134" t="n">
        <f aca="false">SUMIF('Basis Options'!$X:$X,CONCATENATE($AK93,CE$4),'Basis Options'!$AF:$AF)</f>
        <v>0</v>
      </c>
      <c r="CF93" s="134"/>
      <c r="CG93" s="208" t="n">
        <f aca="false">EOMONTH(CG92,0)+1</f>
        <v>39417</v>
      </c>
      <c r="CH93" s="135" t="n">
        <f aca="false">SUM(BT93:CF93)</f>
        <v>0</v>
      </c>
    </row>
    <row r="94" customFormat="false" ht="12.75" hidden="false" customHeight="false" outlineLevel="0" collapsed="false">
      <c r="A94" s="208" t="n">
        <f aca="false">EOMONTH(A93,0)+1</f>
        <v>39448</v>
      </c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208" t="n">
        <f aca="false">EOMONTH(O93,0)+1</f>
        <v>39448</v>
      </c>
      <c r="P94" s="135" t="n">
        <f aca="false">SUM(B94:N94)</f>
        <v>0</v>
      </c>
      <c r="S94" s="208" t="n">
        <f aca="false">EOMONTH(S93,0)+1</f>
        <v>39448</v>
      </c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208" t="n">
        <f aca="false">EOMONTH(AG93,0)+1</f>
        <v>39448</v>
      </c>
      <c r="AH94" s="135" t="n">
        <f aca="false">SUM(T94:AF94)</f>
        <v>0</v>
      </c>
      <c r="AK94" s="208" t="n">
        <f aca="false">EOMONTH(AK93,0)+1</f>
        <v>39448</v>
      </c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208" t="n">
        <f aca="false">EOMONTH(AY93,0)+1</f>
        <v>39448</v>
      </c>
      <c r="AZ94" s="135" t="n">
        <f aca="false">SUM(AL94:AX94)</f>
        <v>0</v>
      </c>
      <c r="BB94" s="208" t="n">
        <f aca="false">EOMONTH(BB93,0)+1</f>
        <v>39448</v>
      </c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208" t="n">
        <f aca="false">EOMONTH(BP93,0)+1</f>
        <v>39448</v>
      </c>
      <c r="BQ94" s="135" t="n">
        <f aca="false">SUM(BC94:BO94)</f>
        <v>0</v>
      </c>
      <c r="BS94" s="208" t="n">
        <f aca="false">EOMONTH(BS93,0)+1</f>
        <v>39448</v>
      </c>
      <c r="BT94" s="134" t="n">
        <f aca="false">SUMIF('Basis Options'!$X:$X,CONCATENATE($AK94,BT$4),'Basis Options'!$AF:$AF)</f>
        <v>0</v>
      </c>
      <c r="BU94" s="134" t="n">
        <f aca="false">SUMIF('Basis Options'!$X:$X,CONCATENATE($AK94,BU$4),'Basis Options'!$AF:$AF)</f>
        <v>0</v>
      </c>
      <c r="BV94" s="134" t="n">
        <f aca="false">SUMIF('Basis Options'!$X:$X,CONCATENATE($AK94,BV$4),'Basis Options'!$AF:$AF)</f>
        <v>0</v>
      </c>
      <c r="BW94" s="134" t="n">
        <f aca="false">SUMIF('Basis Options'!$X:$X,CONCATENATE($AK94,BW$4),'Basis Options'!$AF:$AF)</f>
        <v>0</v>
      </c>
      <c r="BX94" s="134" t="n">
        <f aca="false">SUMIF('Basis Options'!$X:$X,CONCATENATE($AK94,BX$4),'Basis Options'!$AF:$AF)</f>
        <v>0</v>
      </c>
      <c r="BY94" s="134" t="n">
        <f aca="false">SUMIF('Basis Options'!$X:$X,CONCATENATE($AK94,BY$4),'Basis Options'!$AF:$AF)</f>
        <v>0</v>
      </c>
      <c r="BZ94" s="134" t="n">
        <f aca="false">SUMIF('Basis Options'!$X:$X,CONCATENATE($AK94,BZ$4),'Basis Options'!$AF:$AF)</f>
        <v>0</v>
      </c>
      <c r="CA94" s="134" t="n">
        <f aca="false">SUMIF('Basis Options'!$X:$X,CONCATENATE($AK94,CA$4),'Basis Options'!$AF:$AF)</f>
        <v>0</v>
      </c>
      <c r="CB94" s="134" t="n">
        <f aca="false">SUMIF('Basis Options'!$X:$X,CONCATENATE($AK94,CB$4),'Basis Options'!$AF:$AF)</f>
        <v>0</v>
      </c>
      <c r="CC94" s="134" t="n">
        <f aca="false">SUMIF('Basis Options'!$X:$X,CONCATENATE($AK94,CC$4),'Basis Options'!$AF:$AF)</f>
        <v>0</v>
      </c>
      <c r="CD94" s="134"/>
      <c r="CE94" s="134" t="n">
        <f aca="false">SUMIF('Basis Options'!$X:$X,CONCATENATE($AK94,CE$4),'Basis Options'!$AF:$AF)</f>
        <v>0</v>
      </c>
      <c r="CF94" s="134"/>
      <c r="CG94" s="208" t="n">
        <f aca="false">EOMONTH(CG93,0)+1</f>
        <v>39448</v>
      </c>
      <c r="CH94" s="135" t="n">
        <f aca="false">SUM(BT94:CF94)</f>
        <v>0</v>
      </c>
    </row>
    <row r="95" customFormat="false" ht="12.75" hidden="false" customHeight="false" outlineLevel="0" collapsed="false">
      <c r="A95" s="208" t="n">
        <f aca="false">EOMONTH(A94,0)+1</f>
        <v>39479</v>
      </c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208" t="n">
        <f aca="false">EOMONTH(O94,0)+1</f>
        <v>39479</v>
      </c>
      <c r="P95" s="135" t="n">
        <f aca="false">SUM(B95:N95)</f>
        <v>0</v>
      </c>
      <c r="S95" s="208" t="n">
        <f aca="false">EOMONTH(S94,0)+1</f>
        <v>39479</v>
      </c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208" t="n">
        <f aca="false">EOMONTH(AG94,0)+1</f>
        <v>39479</v>
      </c>
      <c r="AH95" s="135" t="n">
        <f aca="false">SUM(T95:AF95)</f>
        <v>0</v>
      </c>
      <c r="AK95" s="208" t="n">
        <f aca="false">EOMONTH(AK94,0)+1</f>
        <v>39479</v>
      </c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208" t="n">
        <f aca="false">EOMONTH(AY94,0)+1</f>
        <v>39479</v>
      </c>
      <c r="AZ95" s="135" t="n">
        <f aca="false">SUM(AL95:AX95)</f>
        <v>0</v>
      </c>
      <c r="BB95" s="208" t="n">
        <f aca="false">EOMONTH(BB94,0)+1</f>
        <v>39479</v>
      </c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208" t="n">
        <f aca="false">EOMONTH(BP94,0)+1</f>
        <v>39479</v>
      </c>
      <c r="BQ95" s="135" t="n">
        <f aca="false">SUM(BC95:BO95)</f>
        <v>0</v>
      </c>
      <c r="BS95" s="208" t="n">
        <f aca="false">EOMONTH(BS94,0)+1</f>
        <v>39479</v>
      </c>
      <c r="BT95" s="134" t="n">
        <f aca="false">SUMIF('Basis Options'!$X:$X,CONCATENATE($AK95,BT$4),'Basis Options'!$AF:$AF)</f>
        <v>0</v>
      </c>
      <c r="BU95" s="134" t="n">
        <f aca="false">SUMIF('Basis Options'!$X:$X,CONCATENATE($AK95,BU$4),'Basis Options'!$AF:$AF)</f>
        <v>0</v>
      </c>
      <c r="BV95" s="134" t="n">
        <f aca="false">SUMIF('Basis Options'!$X:$X,CONCATENATE($AK95,BV$4),'Basis Options'!$AF:$AF)</f>
        <v>0</v>
      </c>
      <c r="BW95" s="134" t="n">
        <f aca="false">SUMIF('Basis Options'!$X:$X,CONCATENATE($AK95,BW$4),'Basis Options'!$AF:$AF)</f>
        <v>0</v>
      </c>
      <c r="BX95" s="134" t="n">
        <f aca="false">SUMIF('Basis Options'!$X:$X,CONCATENATE($AK95,BX$4),'Basis Options'!$AF:$AF)</f>
        <v>0</v>
      </c>
      <c r="BY95" s="134" t="n">
        <f aca="false">SUMIF('Basis Options'!$X:$X,CONCATENATE($AK95,BY$4),'Basis Options'!$AF:$AF)</f>
        <v>0</v>
      </c>
      <c r="BZ95" s="134" t="n">
        <f aca="false">SUMIF('Basis Options'!$X:$X,CONCATENATE($AK95,BZ$4),'Basis Options'!$AF:$AF)</f>
        <v>0</v>
      </c>
      <c r="CA95" s="134" t="n">
        <f aca="false">SUMIF('Basis Options'!$X:$X,CONCATENATE($AK95,CA$4),'Basis Options'!$AF:$AF)</f>
        <v>0</v>
      </c>
      <c r="CB95" s="134" t="n">
        <f aca="false">SUMIF('Basis Options'!$X:$X,CONCATENATE($AK95,CB$4),'Basis Options'!$AF:$AF)</f>
        <v>0</v>
      </c>
      <c r="CC95" s="134" t="n">
        <f aca="false">SUMIF('Basis Options'!$X:$X,CONCATENATE($AK95,CC$4),'Basis Options'!$AF:$AF)</f>
        <v>0</v>
      </c>
      <c r="CD95" s="134"/>
      <c r="CE95" s="134" t="n">
        <f aca="false">SUMIF('Basis Options'!$X:$X,CONCATENATE($AK95,CE$4),'Basis Options'!$AF:$AF)</f>
        <v>0</v>
      </c>
      <c r="CF95" s="134"/>
      <c r="CG95" s="208" t="n">
        <f aca="false">EOMONTH(CG94,0)+1</f>
        <v>39479</v>
      </c>
      <c r="CH95" s="135" t="n">
        <f aca="false">SUM(BT95:CF95)</f>
        <v>0</v>
      </c>
    </row>
    <row r="96" customFormat="false" ht="12.75" hidden="false" customHeight="false" outlineLevel="0" collapsed="false">
      <c r="A96" s="208" t="n">
        <f aca="false">EOMONTH(A95,0)+1</f>
        <v>39508</v>
      </c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208" t="n">
        <f aca="false">EOMONTH(O95,0)+1</f>
        <v>39508</v>
      </c>
      <c r="P96" s="135" t="n">
        <f aca="false">SUM(B96:N96)</f>
        <v>0</v>
      </c>
      <c r="S96" s="208" t="n">
        <f aca="false">EOMONTH(S95,0)+1</f>
        <v>39508</v>
      </c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208" t="n">
        <f aca="false">EOMONTH(AG95,0)+1</f>
        <v>39508</v>
      </c>
      <c r="AH96" s="135" t="n">
        <f aca="false">SUM(T96:AF96)</f>
        <v>0</v>
      </c>
      <c r="AK96" s="208" t="n">
        <f aca="false">EOMONTH(AK95,0)+1</f>
        <v>39508</v>
      </c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208" t="n">
        <f aca="false">EOMONTH(AY95,0)+1</f>
        <v>39508</v>
      </c>
      <c r="AZ96" s="135" t="n">
        <f aca="false">SUM(AL96:AX96)</f>
        <v>0</v>
      </c>
      <c r="BB96" s="208" t="n">
        <f aca="false">EOMONTH(BB95,0)+1</f>
        <v>39508</v>
      </c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208" t="n">
        <f aca="false">EOMONTH(BP95,0)+1</f>
        <v>39508</v>
      </c>
      <c r="BQ96" s="135" t="n">
        <f aca="false">SUM(BC96:BO96)</f>
        <v>0</v>
      </c>
      <c r="BS96" s="208" t="n">
        <f aca="false">EOMONTH(BS95,0)+1</f>
        <v>39508</v>
      </c>
      <c r="BT96" s="134" t="n">
        <f aca="false">SUMIF('Basis Options'!$X:$X,CONCATENATE($AK96,BT$4),'Basis Options'!$AF:$AF)</f>
        <v>0</v>
      </c>
      <c r="BU96" s="134" t="n">
        <f aca="false">SUMIF('Basis Options'!$X:$X,CONCATENATE($AK96,BU$4),'Basis Options'!$AF:$AF)</f>
        <v>0</v>
      </c>
      <c r="BV96" s="134" t="n">
        <f aca="false">SUMIF('Basis Options'!$X:$X,CONCATENATE($AK96,BV$4),'Basis Options'!$AF:$AF)</f>
        <v>0</v>
      </c>
      <c r="BW96" s="134" t="n">
        <f aca="false">SUMIF('Basis Options'!$X:$X,CONCATENATE($AK96,BW$4),'Basis Options'!$AF:$AF)</f>
        <v>0</v>
      </c>
      <c r="BX96" s="134" t="n">
        <f aca="false">SUMIF('Basis Options'!$X:$X,CONCATENATE($AK96,BX$4),'Basis Options'!$AF:$AF)</f>
        <v>0</v>
      </c>
      <c r="BY96" s="134" t="n">
        <f aca="false">SUMIF('Basis Options'!$X:$X,CONCATENATE($AK96,BY$4),'Basis Options'!$AF:$AF)</f>
        <v>0</v>
      </c>
      <c r="BZ96" s="134" t="n">
        <f aca="false">SUMIF('Basis Options'!$X:$X,CONCATENATE($AK96,BZ$4),'Basis Options'!$AF:$AF)</f>
        <v>0</v>
      </c>
      <c r="CA96" s="134" t="n">
        <f aca="false">SUMIF('Basis Options'!$X:$X,CONCATENATE($AK96,CA$4),'Basis Options'!$AF:$AF)</f>
        <v>0</v>
      </c>
      <c r="CB96" s="134" t="n">
        <f aca="false">SUMIF('Basis Options'!$X:$X,CONCATENATE($AK96,CB$4),'Basis Options'!$AF:$AF)</f>
        <v>0</v>
      </c>
      <c r="CC96" s="134" t="n">
        <f aca="false">SUMIF('Basis Options'!$X:$X,CONCATENATE($AK96,CC$4),'Basis Options'!$AF:$AF)</f>
        <v>0</v>
      </c>
      <c r="CD96" s="134"/>
      <c r="CE96" s="134" t="n">
        <f aca="false">SUMIF('Basis Options'!$X:$X,CONCATENATE($AK96,CE$4),'Basis Options'!$AF:$AF)</f>
        <v>0</v>
      </c>
      <c r="CF96" s="134"/>
      <c r="CG96" s="208" t="n">
        <f aca="false">EOMONTH(CG95,0)+1</f>
        <v>39508</v>
      </c>
      <c r="CH96" s="135" t="n">
        <f aca="false">SUM(BT96:CF96)</f>
        <v>0</v>
      </c>
    </row>
    <row r="97" customFormat="false" ht="12.75" hidden="false" customHeight="false" outlineLevel="0" collapsed="false">
      <c r="A97" s="208" t="n">
        <f aca="false">EOMONTH(A96,0)+1</f>
        <v>39539</v>
      </c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208" t="n">
        <f aca="false">EOMONTH(O96,0)+1</f>
        <v>39539</v>
      </c>
      <c r="P97" s="135" t="n">
        <f aca="false">SUM(B97:N97)</f>
        <v>0</v>
      </c>
      <c r="S97" s="208" t="n">
        <f aca="false">EOMONTH(S96,0)+1</f>
        <v>39539</v>
      </c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208" t="n">
        <f aca="false">EOMONTH(AG96,0)+1</f>
        <v>39539</v>
      </c>
      <c r="AH97" s="135" t="n">
        <f aca="false">SUM(T97:AF97)</f>
        <v>0</v>
      </c>
      <c r="AK97" s="208" t="n">
        <f aca="false">EOMONTH(AK96,0)+1</f>
        <v>39539</v>
      </c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208" t="n">
        <f aca="false">EOMONTH(AY96,0)+1</f>
        <v>39539</v>
      </c>
      <c r="AZ97" s="135" t="n">
        <f aca="false">SUM(AL97:AX97)</f>
        <v>0</v>
      </c>
      <c r="BB97" s="208" t="n">
        <f aca="false">EOMONTH(BB96,0)+1</f>
        <v>39539</v>
      </c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208" t="n">
        <f aca="false">EOMONTH(BP96,0)+1</f>
        <v>39539</v>
      </c>
      <c r="BQ97" s="135" t="n">
        <f aca="false">SUM(BC97:BO97)</f>
        <v>0</v>
      </c>
      <c r="BS97" s="208" t="n">
        <f aca="false">EOMONTH(BS96,0)+1</f>
        <v>39539</v>
      </c>
      <c r="BT97" s="134" t="n">
        <f aca="false">SUMIF('Basis Options'!$X:$X,CONCATENATE($AK97,BT$4),'Basis Options'!$AF:$AF)</f>
        <v>0</v>
      </c>
      <c r="BU97" s="134" t="n">
        <f aca="false">SUMIF('Basis Options'!$X:$X,CONCATENATE($AK97,BU$4),'Basis Options'!$AF:$AF)</f>
        <v>0</v>
      </c>
      <c r="BV97" s="134" t="n">
        <f aca="false">SUMIF('Basis Options'!$X:$X,CONCATENATE($AK97,BV$4),'Basis Options'!$AF:$AF)</f>
        <v>0</v>
      </c>
      <c r="BW97" s="134" t="n">
        <f aca="false">SUMIF('Basis Options'!$X:$X,CONCATENATE($AK97,BW$4),'Basis Options'!$AF:$AF)</f>
        <v>0</v>
      </c>
      <c r="BX97" s="134" t="n">
        <f aca="false">SUMIF('Basis Options'!$X:$X,CONCATENATE($AK97,BX$4),'Basis Options'!$AF:$AF)</f>
        <v>0</v>
      </c>
      <c r="BY97" s="134" t="n">
        <f aca="false">SUMIF('Basis Options'!$X:$X,CONCATENATE($AK97,BY$4),'Basis Options'!$AF:$AF)</f>
        <v>0</v>
      </c>
      <c r="BZ97" s="134" t="n">
        <f aca="false">SUMIF('Basis Options'!$X:$X,CONCATENATE($AK97,BZ$4),'Basis Options'!$AF:$AF)</f>
        <v>0</v>
      </c>
      <c r="CA97" s="134" t="n">
        <f aca="false">SUMIF('Basis Options'!$X:$X,CONCATENATE($AK97,CA$4),'Basis Options'!$AF:$AF)</f>
        <v>0</v>
      </c>
      <c r="CB97" s="134" t="n">
        <f aca="false">SUMIF('Basis Options'!$X:$X,CONCATENATE($AK97,CB$4),'Basis Options'!$AF:$AF)</f>
        <v>0</v>
      </c>
      <c r="CC97" s="134" t="n">
        <f aca="false">SUMIF('Basis Options'!$X:$X,CONCATENATE($AK97,CC$4),'Basis Options'!$AF:$AF)</f>
        <v>0</v>
      </c>
      <c r="CD97" s="134"/>
      <c r="CE97" s="134" t="n">
        <f aca="false">SUMIF('Basis Options'!$X:$X,CONCATENATE($AK97,CE$4),'Basis Options'!$AF:$AF)</f>
        <v>0</v>
      </c>
      <c r="CF97" s="134"/>
      <c r="CG97" s="208" t="n">
        <f aca="false">EOMONTH(CG96,0)+1</f>
        <v>39539</v>
      </c>
      <c r="CH97" s="135" t="n">
        <f aca="false">SUM(BT97:CF97)</f>
        <v>0</v>
      </c>
    </row>
    <row r="98" customFormat="false" ht="12.75" hidden="false" customHeight="false" outlineLevel="0" collapsed="false">
      <c r="A98" s="208" t="n">
        <f aca="false">EOMONTH(A97,0)+1</f>
        <v>39569</v>
      </c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208" t="n">
        <f aca="false">EOMONTH(O97,0)+1</f>
        <v>39569</v>
      </c>
      <c r="P98" s="135" t="n">
        <f aca="false">SUM(B98:N98)</f>
        <v>0</v>
      </c>
      <c r="S98" s="208" t="n">
        <f aca="false">EOMONTH(S97,0)+1</f>
        <v>39569</v>
      </c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208" t="n">
        <f aca="false">EOMONTH(AG97,0)+1</f>
        <v>39569</v>
      </c>
      <c r="AH98" s="135" t="n">
        <f aca="false">SUM(T98:AF98)</f>
        <v>0</v>
      </c>
      <c r="AK98" s="208" t="n">
        <f aca="false">EOMONTH(AK97,0)+1</f>
        <v>39569</v>
      </c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208" t="n">
        <f aca="false">EOMONTH(AY97,0)+1</f>
        <v>39569</v>
      </c>
      <c r="AZ98" s="135" t="n">
        <f aca="false">SUM(AL98:AX98)</f>
        <v>0</v>
      </c>
      <c r="BB98" s="208" t="n">
        <f aca="false">EOMONTH(BB97,0)+1</f>
        <v>39569</v>
      </c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208" t="n">
        <f aca="false">EOMONTH(BP97,0)+1</f>
        <v>39569</v>
      </c>
      <c r="BQ98" s="135" t="n">
        <f aca="false">SUM(BC98:BO98)</f>
        <v>0</v>
      </c>
      <c r="BS98" s="208" t="n">
        <f aca="false">EOMONTH(BS97,0)+1</f>
        <v>39569</v>
      </c>
      <c r="BT98" s="134" t="n">
        <f aca="false">SUMIF('Basis Options'!$X:$X,CONCATENATE($AK98,BT$4),'Basis Options'!$AF:$AF)</f>
        <v>0</v>
      </c>
      <c r="BU98" s="134" t="n">
        <f aca="false">SUMIF('Basis Options'!$X:$X,CONCATENATE($AK98,BU$4),'Basis Options'!$AF:$AF)</f>
        <v>0</v>
      </c>
      <c r="BV98" s="134" t="n">
        <f aca="false">SUMIF('Basis Options'!$X:$X,CONCATENATE($AK98,BV$4),'Basis Options'!$AF:$AF)</f>
        <v>0</v>
      </c>
      <c r="BW98" s="134" t="n">
        <f aca="false">SUMIF('Basis Options'!$X:$X,CONCATENATE($AK98,BW$4),'Basis Options'!$AF:$AF)</f>
        <v>0</v>
      </c>
      <c r="BX98" s="134" t="n">
        <f aca="false">SUMIF('Basis Options'!$X:$X,CONCATENATE($AK98,BX$4),'Basis Options'!$AF:$AF)</f>
        <v>0</v>
      </c>
      <c r="BY98" s="134" t="n">
        <f aca="false">SUMIF('Basis Options'!$X:$X,CONCATENATE($AK98,BY$4),'Basis Options'!$AF:$AF)</f>
        <v>0</v>
      </c>
      <c r="BZ98" s="134" t="n">
        <f aca="false">SUMIF('Basis Options'!$X:$X,CONCATENATE($AK98,BZ$4),'Basis Options'!$AF:$AF)</f>
        <v>0</v>
      </c>
      <c r="CA98" s="134" t="n">
        <f aca="false">SUMIF('Basis Options'!$X:$X,CONCATENATE($AK98,CA$4),'Basis Options'!$AF:$AF)</f>
        <v>0</v>
      </c>
      <c r="CB98" s="134" t="n">
        <f aca="false">SUMIF('Basis Options'!$X:$X,CONCATENATE($AK98,CB$4),'Basis Options'!$AF:$AF)</f>
        <v>0</v>
      </c>
      <c r="CC98" s="134" t="n">
        <f aca="false">SUMIF('Basis Options'!$X:$X,CONCATENATE($AK98,CC$4),'Basis Options'!$AF:$AF)</f>
        <v>0</v>
      </c>
      <c r="CD98" s="134"/>
      <c r="CE98" s="134" t="n">
        <f aca="false">SUMIF('Basis Options'!$X:$X,CONCATENATE($AK98,CE$4),'Basis Options'!$AF:$AF)</f>
        <v>0</v>
      </c>
      <c r="CF98" s="134"/>
      <c r="CG98" s="208" t="n">
        <f aca="false">EOMONTH(CG97,0)+1</f>
        <v>39569</v>
      </c>
      <c r="CH98" s="135" t="n">
        <f aca="false">SUM(BT98:CF98)</f>
        <v>0</v>
      </c>
    </row>
    <row r="99" customFormat="false" ht="12.75" hidden="false" customHeight="false" outlineLevel="0" collapsed="false">
      <c r="A99" s="208" t="n">
        <f aca="false">EOMONTH(A98,0)+1</f>
        <v>39600</v>
      </c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208" t="n">
        <f aca="false">EOMONTH(O98,0)+1</f>
        <v>39600</v>
      </c>
      <c r="P99" s="135" t="n">
        <f aca="false">SUM(B99:N99)</f>
        <v>0</v>
      </c>
      <c r="S99" s="208" t="n">
        <f aca="false">EOMONTH(S98,0)+1</f>
        <v>39600</v>
      </c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208" t="n">
        <f aca="false">EOMONTH(AG98,0)+1</f>
        <v>39600</v>
      </c>
      <c r="AH99" s="135" t="n">
        <f aca="false">SUM(T99:AF99)</f>
        <v>0</v>
      </c>
      <c r="AK99" s="208" t="n">
        <f aca="false">EOMONTH(AK98,0)+1</f>
        <v>39600</v>
      </c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208" t="n">
        <f aca="false">EOMONTH(AY98,0)+1</f>
        <v>39600</v>
      </c>
      <c r="AZ99" s="135" t="n">
        <f aca="false">SUM(AL99:AX99)</f>
        <v>0</v>
      </c>
      <c r="BB99" s="208" t="n">
        <f aca="false">EOMONTH(BB98,0)+1</f>
        <v>39600</v>
      </c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208" t="n">
        <f aca="false">EOMONTH(BP98,0)+1</f>
        <v>39600</v>
      </c>
      <c r="BQ99" s="135" t="n">
        <f aca="false">SUM(BC99:BO99)</f>
        <v>0</v>
      </c>
      <c r="BS99" s="208" t="n">
        <f aca="false">EOMONTH(BS98,0)+1</f>
        <v>39600</v>
      </c>
      <c r="BT99" s="134" t="n">
        <f aca="false">SUMIF('Basis Options'!$X:$X,CONCATENATE($AK99,BT$4),'Basis Options'!$AF:$AF)</f>
        <v>0</v>
      </c>
      <c r="BU99" s="134" t="n">
        <f aca="false">SUMIF('Basis Options'!$X:$X,CONCATENATE($AK99,BU$4),'Basis Options'!$AF:$AF)</f>
        <v>0</v>
      </c>
      <c r="BV99" s="134" t="n">
        <f aca="false">SUMIF('Basis Options'!$X:$X,CONCATENATE($AK99,BV$4),'Basis Options'!$AF:$AF)</f>
        <v>0</v>
      </c>
      <c r="BW99" s="134" t="n">
        <f aca="false">SUMIF('Basis Options'!$X:$X,CONCATENATE($AK99,BW$4),'Basis Options'!$AF:$AF)</f>
        <v>0</v>
      </c>
      <c r="BX99" s="134" t="n">
        <f aca="false">SUMIF('Basis Options'!$X:$X,CONCATENATE($AK99,BX$4),'Basis Options'!$AF:$AF)</f>
        <v>0</v>
      </c>
      <c r="BY99" s="134" t="n">
        <f aca="false">SUMIF('Basis Options'!$X:$X,CONCATENATE($AK99,BY$4),'Basis Options'!$AF:$AF)</f>
        <v>0</v>
      </c>
      <c r="BZ99" s="134" t="n">
        <f aca="false">SUMIF('Basis Options'!$X:$X,CONCATENATE($AK99,BZ$4),'Basis Options'!$AF:$AF)</f>
        <v>0</v>
      </c>
      <c r="CA99" s="134" t="n">
        <f aca="false">SUMIF('Basis Options'!$X:$X,CONCATENATE($AK99,CA$4),'Basis Options'!$AF:$AF)</f>
        <v>0</v>
      </c>
      <c r="CB99" s="134" t="n">
        <f aca="false">SUMIF('Basis Options'!$X:$X,CONCATENATE($AK99,CB$4),'Basis Options'!$AF:$AF)</f>
        <v>0</v>
      </c>
      <c r="CC99" s="134" t="n">
        <f aca="false">SUMIF('Basis Options'!$X:$X,CONCATENATE($AK99,CC$4),'Basis Options'!$AF:$AF)</f>
        <v>0</v>
      </c>
      <c r="CD99" s="134"/>
      <c r="CE99" s="134" t="n">
        <f aca="false">SUMIF('Basis Options'!$X:$X,CONCATENATE($AK99,CE$4),'Basis Options'!$AF:$AF)</f>
        <v>0</v>
      </c>
      <c r="CF99" s="134"/>
      <c r="CG99" s="208" t="n">
        <f aca="false">EOMONTH(CG98,0)+1</f>
        <v>39600</v>
      </c>
      <c r="CH99" s="135" t="n">
        <f aca="false">SUM(BT99:CF99)</f>
        <v>0</v>
      </c>
    </row>
    <row r="100" customFormat="false" ht="12.75" hidden="false" customHeight="false" outlineLevel="0" collapsed="false">
      <c r="A100" s="208" t="n">
        <f aca="false">EOMONTH(A99,0)+1</f>
        <v>39630</v>
      </c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208" t="n">
        <f aca="false">EOMONTH(O99,0)+1</f>
        <v>39630</v>
      </c>
      <c r="P100" s="135" t="n">
        <f aca="false">SUM(B100:N100)</f>
        <v>0</v>
      </c>
      <c r="S100" s="208" t="n">
        <f aca="false">EOMONTH(S99,0)+1</f>
        <v>39630</v>
      </c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208" t="n">
        <f aca="false">EOMONTH(AG99,0)+1</f>
        <v>39630</v>
      </c>
      <c r="AH100" s="135" t="n">
        <f aca="false">SUM(T100:AF100)</f>
        <v>0</v>
      </c>
      <c r="AK100" s="208" t="n">
        <f aca="false">EOMONTH(AK99,0)+1</f>
        <v>39630</v>
      </c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208" t="n">
        <f aca="false">EOMONTH(AY99,0)+1</f>
        <v>39630</v>
      </c>
      <c r="AZ100" s="135" t="n">
        <f aca="false">SUM(AL100:AX100)</f>
        <v>0</v>
      </c>
      <c r="BB100" s="208" t="n">
        <f aca="false">EOMONTH(BB99,0)+1</f>
        <v>39630</v>
      </c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208" t="n">
        <f aca="false">EOMONTH(BP99,0)+1</f>
        <v>39630</v>
      </c>
      <c r="BQ100" s="135" t="n">
        <f aca="false">SUM(BC100:BO100)</f>
        <v>0</v>
      </c>
      <c r="BS100" s="208" t="n">
        <f aca="false">EOMONTH(BS99,0)+1</f>
        <v>39630</v>
      </c>
      <c r="BT100" s="134" t="n">
        <f aca="false">SUMIF('Basis Options'!$X:$X,CONCATENATE($AK100,BT$4),'Basis Options'!$AF:$AF)</f>
        <v>0</v>
      </c>
      <c r="BU100" s="134" t="n">
        <f aca="false">SUMIF('Basis Options'!$X:$X,CONCATENATE($AK100,BU$4),'Basis Options'!$AF:$AF)</f>
        <v>0</v>
      </c>
      <c r="BV100" s="134" t="n">
        <f aca="false">SUMIF('Basis Options'!$X:$X,CONCATENATE($AK100,BV$4),'Basis Options'!$AF:$AF)</f>
        <v>0</v>
      </c>
      <c r="BW100" s="134" t="n">
        <f aca="false">SUMIF('Basis Options'!$X:$X,CONCATENATE($AK100,BW$4),'Basis Options'!$AF:$AF)</f>
        <v>0</v>
      </c>
      <c r="BX100" s="134" t="n">
        <f aca="false">SUMIF('Basis Options'!$X:$X,CONCATENATE($AK100,BX$4),'Basis Options'!$AF:$AF)</f>
        <v>0</v>
      </c>
      <c r="BY100" s="134" t="n">
        <f aca="false">SUMIF('Basis Options'!$X:$X,CONCATENATE($AK100,BY$4),'Basis Options'!$AF:$AF)</f>
        <v>0</v>
      </c>
      <c r="BZ100" s="134" t="n">
        <f aca="false">SUMIF('Basis Options'!$X:$X,CONCATENATE($AK100,BZ$4),'Basis Options'!$AF:$AF)</f>
        <v>0</v>
      </c>
      <c r="CA100" s="134" t="n">
        <f aca="false">SUMIF('Basis Options'!$X:$X,CONCATENATE($AK100,CA$4),'Basis Options'!$AF:$AF)</f>
        <v>0</v>
      </c>
      <c r="CB100" s="134" t="n">
        <f aca="false">SUMIF('Basis Options'!$X:$X,CONCATENATE($AK100,CB$4),'Basis Options'!$AF:$AF)</f>
        <v>0</v>
      </c>
      <c r="CC100" s="134" t="n">
        <f aca="false">SUMIF('Basis Options'!$X:$X,CONCATENATE($AK100,CC$4),'Basis Options'!$AF:$AF)</f>
        <v>0</v>
      </c>
      <c r="CD100" s="134"/>
      <c r="CE100" s="134" t="n">
        <f aca="false">SUMIF('Basis Options'!$X:$X,CONCATENATE($AK100,CE$4),'Basis Options'!$AF:$AF)</f>
        <v>0</v>
      </c>
      <c r="CF100" s="134"/>
      <c r="CG100" s="208" t="n">
        <f aca="false">EOMONTH(CG99,0)+1</f>
        <v>39630</v>
      </c>
      <c r="CH100" s="135" t="n">
        <f aca="false">SUM(BT100:CF100)</f>
        <v>0</v>
      </c>
    </row>
    <row r="101" customFormat="false" ht="12.75" hidden="false" customHeight="false" outlineLevel="0" collapsed="false">
      <c r="A101" s="208" t="n">
        <f aca="false">EOMONTH(A100,0)+1</f>
        <v>39661</v>
      </c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208" t="n">
        <f aca="false">EOMONTH(O100,0)+1</f>
        <v>39661</v>
      </c>
      <c r="P101" s="135" t="n">
        <f aca="false">SUM(B101:N101)</f>
        <v>0</v>
      </c>
      <c r="S101" s="208" t="n">
        <f aca="false">EOMONTH(S100,0)+1</f>
        <v>39661</v>
      </c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208" t="n">
        <f aca="false">EOMONTH(AG100,0)+1</f>
        <v>39661</v>
      </c>
      <c r="AH101" s="135" t="n">
        <f aca="false">SUM(T101:AF101)</f>
        <v>0</v>
      </c>
      <c r="AK101" s="208" t="n">
        <f aca="false">EOMONTH(AK100,0)+1</f>
        <v>39661</v>
      </c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208" t="n">
        <f aca="false">EOMONTH(AY100,0)+1</f>
        <v>39661</v>
      </c>
      <c r="AZ101" s="135" t="n">
        <f aca="false">SUM(AL101:AX101)</f>
        <v>0</v>
      </c>
      <c r="BB101" s="208" t="n">
        <f aca="false">EOMONTH(BB100,0)+1</f>
        <v>39661</v>
      </c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208" t="n">
        <f aca="false">EOMONTH(BP100,0)+1</f>
        <v>39661</v>
      </c>
      <c r="BQ101" s="135" t="n">
        <f aca="false">SUM(BC101:BO101)</f>
        <v>0</v>
      </c>
      <c r="BS101" s="208" t="n">
        <f aca="false">EOMONTH(BS100,0)+1</f>
        <v>39661</v>
      </c>
      <c r="BT101" s="134" t="n">
        <f aca="false">SUMIF('Basis Options'!$X:$X,CONCATENATE($AK101,BT$4),'Basis Options'!$AF:$AF)</f>
        <v>0</v>
      </c>
      <c r="BU101" s="134" t="n">
        <f aca="false">SUMIF('Basis Options'!$X:$X,CONCATENATE($AK101,BU$4),'Basis Options'!$AF:$AF)</f>
        <v>0</v>
      </c>
      <c r="BV101" s="134" t="n">
        <f aca="false">SUMIF('Basis Options'!$X:$X,CONCATENATE($AK101,BV$4),'Basis Options'!$AF:$AF)</f>
        <v>0</v>
      </c>
      <c r="BW101" s="134" t="n">
        <f aca="false">SUMIF('Basis Options'!$X:$X,CONCATENATE($AK101,BW$4),'Basis Options'!$AF:$AF)</f>
        <v>0</v>
      </c>
      <c r="BX101" s="134" t="n">
        <f aca="false">SUMIF('Basis Options'!$X:$X,CONCATENATE($AK101,BX$4),'Basis Options'!$AF:$AF)</f>
        <v>0</v>
      </c>
      <c r="BY101" s="134" t="n">
        <f aca="false">SUMIF('Basis Options'!$X:$X,CONCATENATE($AK101,BY$4),'Basis Options'!$AF:$AF)</f>
        <v>0</v>
      </c>
      <c r="BZ101" s="134" t="n">
        <f aca="false">SUMIF('Basis Options'!$X:$X,CONCATENATE($AK101,BZ$4),'Basis Options'!$AF:$AF)</f>
        <v>0</v>
      </c>
      <c r="CA101" s="134" t="n">
        <f aca="false">SUMIF('Basis Options'!$X:$X,CONCATENATE($AK101,CA$4),'Basis Options'!$AF:$AF)</f>
        <v>0</v>
      </c>
      <c r="CB101" s="134" t="n">
        <f aca="false">SUMIF('Basis Options'!$X:$X,CONCATENATE($AK101,CB$4),'Basis Options'!$AF:$AF)</f>
        <v>0</v>
      </c>
      <c r="CC101" s="134" t="n">
        <f aca="false">SUMIF('Basis Options'!$X:$X,CONCATENATE($AK101,CC$4),'Basis Options'!$AF:$AF)</f>
        <v>0</v>
      </c>
      <c r="CD101" s="134"/>
      <c r="CE101" s="134" t="n">
        <f aca="false">SUMIF('Basis Options'!$X:$X,CONCATENATE($AK101,CE$4),'Basis Options'!$AF:$AF)</f>
        <v>0</v>
      </c>
      <c r="CF101" s="134"/>
      <c r="CG101" s="208" t="n">
        <f aca="false">EOMONTH(CG100,0)+1</f>
        <v>39661</v>
      </c>
      <c r="CH101" s="135" t="n">
        <f aca="false">SUM(BT101:CF101)</f>
        <v>0</v>
      </c>
    </row>
    <row r="102" customFormat="false" ht="12.75" hidden="false" customHeight="false" outlineLevel="0" collapsed="false">
      <c r="A102" s="208" t="n">
        <f aca="false">EOMONTH(A101,0)+1</f>
        <v>39692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208" t="n">
        <f aca="false">EOMONTH(O101,0)+1</f>
        <v>39692</v>
      </c>
      <c r="P102" s="135" t="n">
        <f aca="false">SUM(B102:N102)</f>
        <v>0</v>
      </c>
      <c r="S102" s="208" t="n">
        <f aca="false">EOMONTH(S101,0)+1</f>
        <v>39692</v>
      </c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208" t="n">
        <f aca="false">EOMONTH(AG101,0)+1</f>
        <v>39692</v>
      </c>
      <c r="AH102" s="135" t="n">
        <f aca="false">SUM(T102:AF102)</f>
        <v>0</v>
      </c>
      <c r="AK102" s="208" t="n">
        <f aca="false">EOMONTH(AK101,0)+1</f>
        <v>39692</v>
      </c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208" t="n">
        <f aca="false">EOMONTH(AY101,0)+1</f>
        <v>39692</v>
      </c>
      <c r="AZ102" s="135" t="n">
        <f aca="false">SUM(AL102:AX102)</f>
        <v>0</v>
      </c>
      <c r="BB102" s="208" t="n">
        <f aca="false">EOMONTH(BB101,0)+1</f>
        <v>39692</v>
      </c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208" t="n">
        <f aca="false">EOMONTH(BP101,0)+1</f>
        <v>39692</v>
      </c>
      <c r="BQ102" s="135" t="n">
        <f aca="false">SUM(BC102:BO102)</f>
        <v>0</v>
      </c>
      <c r="BS102" s="208" t="n">
        <f aca="false">EOMONTH(BS101,0)+1</f>
        <v>39692</v>
      </c>
      <c r="BT102" s="134" t="n">
        <f aca="false">SUMIF('Basis Options'!$X:$X,CONCATENATE($AK102,BT$4),'Basis Options'!$AF:$AF)</f>
        <v>0</v>
      </c>
      <c r="BU102" s="134" t="n">
        <f aca="false">SUMIF('Basis Options'!$X:$X,CONCATENATE($AK102,BU$4),'Basis Options'!$AF:$AF)</f>
        <v>0</v>
      </c>
      <c r="BV102" s="134" t="n">
        <f aca="false">SUMIF('Basis Options'!$X:$X,CONCATENATE($AK102,BV$4),'Basis Options'!$AF:$AF)</f>
        <v>0</v>
      </c>
      <c r="BW102" s="134" t="n">
        <f aca="false">SUMIF('Basis Options'!$X:$X,CONCATENATE($AK102,BW$4),'Basis Options'!$AF:$AF)</f>
        <v>0</v>
      </c>
      <c r="BX102" s="134" t="n">
        <f aca="false">SUMIF('Basis Options'!$X:$X,CONCATENATE($AK102,BX$4),'Basis Options'!$AF:$AF)</f>
        <v>0</v>
      </c>
      <c r="BY102" s="134" t="n">
        <f aca="false">SUMIF('Basis Options'!$X:$X,CONCATENATE($AK102,BY$4),'Basis Options'!$AF:$AF)</f>
        <v>0</v>
      </c>
      <c r="BZ102" s="134" t="n">
        <f aca="false">SUMIF('Basis Options'!$X:$X,CONCATENATE($AK102,BZ$4),'Basis Options'!$AF:$AF)</f>
        <v>0</v>
      </c>
      <c r="CA102" s="134" t="n">
        <f aca="false">SUMIF('Basis Options'!$X:$X,CONCATENATE($AK102,CA$4),'Basis Options'!$AF:$AF)</f>
        <v>0</v>
      </c>
      <c r="CB102" s="134" t="n">
        <f aca="false">SUMIF('Basis Options'!$X:$X,CONCATENATE($AK102,CB$4),'Basis Options'!$AF:$AF)</f>
        <v>0</v>
      </c>
      <c r="CC102" s="134" t="n">
        <f aca="false">SUMIF('Basis Options'!$X:$X,CONCATENATE($AK102,CC$4),'Basis Options'!$AF:$AF)</f>
        <v>0</v>
      </c>
      <c r="CD102" s="134"/>
      <c r="CE102" s="134" t="n">
        <f aca="false">SUMIF('Basis Options'!$X:$X,CONCATENATE($AK102,CE$4),'Basis Options'!$AF:$AF)</f>
        <v>0</v>
      </c>
      <c r="CF102" s="134"/>
      <c r="CG102" s="208" t="n">
        <f aca="false">EOMONTH(CG101,0)+1</f>
        <v>39692</v>
      </c>
      <c r="CH102" s="135" t="n">
        <f aca="false">SUM(BT102:CF102)</f>
        <v>0</v>
      </c>
    </row>
    <row r="103" customFormat="false" ht="12.75" hidden="false" customHeight="false" outlineLevel="0" collapsed="false">
      <c r="A103" s="208" t="n">
        <f aca="false">EOMONTH(A102,0)+1</f>
        <v>39722</v>
      </c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208" t="n">
        <f aca="false">EOMONTH(O102,0)+1</f>
        <v>39722</v>
      </c>
      <c r="P103" s="135" t="n">
        <f aca="false">SUM(B103:N103)</f>
        <v>0</v>
      </c>
      <c r="S103" s="208" t="n">
        <f aca="false">EOMONTH(S102,0)+1</f>
        <v>39722</v>
      </c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208" t="n">
        <f aca="false">EOMONTH(AG102,0)+1</f>
        <v>39722</v>
      </c>
      <c r="AH103" s="135" t="n">
        <f aca="false">SUM(T103:AF103)</f>
        <v>0</v>
      </c>
      <c r="AK103" s="208" t="n">
        <f aca="false">EOMONTH(AK102,0)+1</f>
        <v>39722</v>
      </c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208" t="n">
        <f aca="false">EOMONTH(AY102,0)+1</f>
        <v>39722</v>
      </c>
      <c r="AZ103" s="135" t="n">
        <f aca="false">SUM(AL103:AX103)</f>
        <v>0</v>
      </c>
      <c r="BB103" s="208" t="n">
        <f aca="false">EOMONTH(BB102,0)+1</f>
        <v>39722</v>
      </c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208" t="n">
        <f aca="false">EOMONTH(BP102,0)+1</f>
        <v>39722</v>
      </c>
      <c r="BQ103" s="135" t="n">
        <f aca="false">SUM(BC103:BO103)</f>
        <v>0</v>
      </c>
      <c r="BS103" s="208" t="n">
        <f aca="false">EOMONTH(BS102,0)+1</f>
        <v>39722</v>
      </c>
      <c r="BT103" s="134" t="n">
        <f aca="false">SUMIF('Basis Options'!$X:$X,CONCATENATE($AK103,BT$4),'Basis Options'!$AF:$AF)</f>
        <v>0</v>
      </c>
      <c r="BU103" s="134" t="n">
        <f aca="false">SUMIF('Basis Options'!$X:$X,CONCATENATE($AK103,BU$4),'Basis Options'!$AF:$AF)</f>
        <v>0</v>
      </c>
      <c r="BV103" s="134" t="n">
        <f aca="false">SUMIF('Basis Options'!$X:$X,CONCATENATE($AK103,BV$4),'Basis Options'!$AF:$AF)</f>
        <v>0</v>
      </c>
      <c r="BW103" s="134" t="n">
        <f aca="false">SUMIF('Basis Options'!$X:$X,CONCATENATE($AK103,BW$4),'Basis Options'!$AF:$AF)</f>
        <v>0</v>
      </c>
      <c r="BX103" s="134" t="n">
        <f aca="false">SUMIF('Basis Options'!$X:$X,CONCATENATE($AK103,BX$4),'Basis Options'!$AF:$AF)</f>
        <v>0</v>
      </c>
      <c r="BY103" s="134" t="n">
        <f aca="false">SUMIF('Basis Options'!$X:$X,CONCATENATE($AK103,BY$4),'Basis Options'!$AF:$AF)</f>
        <v>0</v>
      </c>
      <c r="BZ103" s="134" t="n">
        <f aca="false">SUMIF('Basis Options'!$X:$X,CONCATENATE($AK103,BZ$4),'Basis Options'!$AF:$AF)</f>
        <v>0</v>
      </c>
      <c r="CA103" s="134" t="n">
        <f aca="false">SUMIF('Basis Options'!$X:$X,CONCATENATE($AK103,CA$4),'Basis Options'!$AF:$AF)</f>
        <v>0</v>
      </c>
      <c r="CB103" s="134" t="n">
        <f aca="false">SUMIF('Basis Options'!$X:$X,CONCATENATE($AK103,CB$4),'Basis Options'!$AF:$AF)</f>
        <v>0</v>
      </c>
      <c r="CC103" s="134" t="n">
        <f aca="false">SUMIF('Basis Options'!$X:$X,CONCATENATE($AK103,CC$4),'Basis Options'!$AF:$AF)</f>
        <v>0</v>
      </c>
      <c r="CD103" s="134"/>
      <c r="CE103" s="134" t="n">
        <f aca="false">SUMIF('Basis Options'!$X:$X,CONCATENATE($AK103,CE$4),'Basis Options'!$AF:$AF)</f>
        <v>0</v>
      </c>
      <c r="CF103" s="134"/>
      <c r="CG103" s="208" t="n">
        <f aca="false">EOMONTH(CG102,0)+1</f>
        <v>39722</v>
      </c>
      <c r="CH103" s="135" t="n">
        <f aca="false">SUM(BT103:CF103)</f>
        <v>0</v>
      </c>
    </row>
    <row r="104" customFormat="false" ht="12.75" hidden="false" customHeight="false" outlineLevel="0" collapsed="false">
      <c r="A104" s="208" t="n">
        <f aca="false">EOMONTH(A103,0)+1</f>
        <v>39753</v>
      </c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208" t="n">
        <f aca="false">EOMONTH(O103,0)+1</f>
        <v>39753</v>
      </c>
      <c r="P104" s="135" t="n">
        <f aca="false">SUM(B104:N104)</f>
        <v>0</v>
      </c>
      <c r="S104" s="208" t="n">
        <f aca="false">EOMONTH(S103,0)+1</f>
        <v>39753</v>
      </c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208" t="n">
        <f aca="false">EOMONTH(AG103,0)+1</f>
        <v>39753</v>
      </c>
      <c r="AH104" s="135" t="n">
        <f aca="false">SUM(T104:AF104)</f>
        <v>0</v>
      </c>
      <c r="AK104" s="208" t="n">
        <f aca="false">EOMONTH(AK103,0)+1</f>
        <v>39753</v>
      </c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208" t="n">
        <f aca="false">EOMONTH(AY103,0)+1</f>
        <v>39753</v>
      </c>
      <c r="AZ104" s="135" t="n">
        <f aca="false">SUM(AL104:AX104)</f>
        <v>0</v>
      </c>
      <c r="BB104" s="208" t="n">
        <f aca="false">EOMONTH(BB103,0)+1</f>
        <v>39753</v>
      </c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208" t="n">
        <f aca="false">EOMONTH(BP103,0)+1</f>
        <v>39753</v>
      </c>
      <c r="BQ104" s="135" t="n">
        <f aca="false">SUM(BC104:BO104)</f>
        <v>0</v>
      </c>
      <c r="BS104" s="208" t="n">
        <f aca="false">EOMONTH(BS103,0)+1</f>
        <v>39753</v>
      </c>
      <c r="BT104" s="134" t="n">
        <f aca="false">SUMIF('Basis Options'!$X:$X,CONCATENATE($AK104,BT$4),'Basis Options'!$AF:$AF)</f>
        <v>0</v>
      </c>
      <c r="BU104" s="134" t="n">
        <f aca="false">SUMIF('Basis Options'!$X:$X,CONCATENATE($AK104,BU$4),'Basis Options'!$AF:$AF)</f>
        <v>0</v>
      </c>
      <c r="BV104" s="134" t="n">
        <f aca="false">SUMIF('Basis Options'!$X:$X,CONCATENATE($AK104,BV$4),'Basis Options'!$AF:$AF)</f>
        <v>0</v>
      </c>
      <c r="BW104" s="134" t="n">
        <f aca="false">SUMIF('Basis Options'!$X:$X,CONCATENATE($AK104,BW$4),'Basis Options'!$AF:$AF)</f>
        <v>0</v>
      </c>
      <c r="BX104" s="134" t="n">
        <f aca="false">SUMIF('Basis Options'!$X:$X,CONCATENATE($AK104,BX$4),'Basis Options'!$AF:$AF)</f>
        <v>0</v>
      </c>
      <c r="BY104" s="134" t="n">
        <f aca="false">SUMIF('Basis Options'!$X:$X,CONCATENATE($AK104,BY$4),'Basis Options'!$AF:$AF)</f>
        <v>0</v>
      </c>
      <c r="BZ104" s="134" t="n">
        <f aca="false">SUMIF('Basis Options'!$X:$X,CONCATENATE($AK104,BZ$4),'Basis Options'!$AF:$AF)</f>
        <v>0</v>
      </c>
      <c r="CA104" s="134" t="n">
        <f aca="false">SUMIF('Basis Options'!$X:$X,CONCATENATE($AK104,CA$4),'Basis Options'!$AF:$AF)</f>
        <v>0</v>
      </c>
      <c r="CB104" s="134" t="n">
        <f aca="false">SUMIF('Basis Options'!$X:$X,CONCATENATE($AK104,CB$4),'Basis Options'!$AF:$AF)</f>
        <v>0</v>
      </c>
      <c r="CC104" s="134" t="n">
        <f aca="false">SUMIF('Basis Options'!$X:$X,CONCATENATE($AK104,CC$4),'Basis Options'!$AF:$AF)</f>
        <v>0</v>
      </c>
      <c r="CD104" s="134"/>
      <c r="CE104" s="134" t="n">
        <f aca="false">SUMIF('Basis Options'!$X:$X,CONCATENATE($AK104,CE$4),'Basis Options'!$AF:$AF)</f>
        <v>0</v>
      </c>
      <c r="CF104" s="134"/>
      <c r="CG104" s="208" t="n">
        <f aca="false">EOMONTH(CG103,0)+1</f>
        <v>39753</v>
      </c>
      <c r="CH104" s="135" t="n">
        <f aca="false">SUM(BT104:CF104)</f>
        <v>0</v>
      </c>
    </row>
    <row r="105" customFormat="false" ht="12.75" hidden="false" customHeight="false" outlineLevel="0" collapsed="false">
      <c r="A105" s="208" t="n">
        <f aca="false">EOMONTH(A104,0)+1</f>
        <v>39783</v>
      </c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208" t="n">
        <f aca="false">EOMONTH(O104,0)+1</f>
        <v>39783</v>
      </c>
      <c r="P105" s="135" t="n">
        <f aca="false">SUM(B105:N105)</f>
        <v>0</v>
      </c>
      <c r="S105" s="208" t="n">
        <f aca="false">EOMONTH(S104,0)+1</f>
        <v>39783</v>
      </c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208" t="n">
        <f aca="false">EOMONTH(AG104,0)+1</f>
        <v>39783</v>
      </c>
      <c r="AH105" s="135" t="n">
        <f aca="false">SUM(T105:AF105)</f>
        <v>0</v>
      </c>
      <c r="AK105" s="208" t="n">
        <f aca="false">EOMONTH(AK104,0)+1</f>
        <v>39783</v>
      </c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208" t="n">
        <f aca="false">EOMONTH(AY104,0)+1</f>
        <v>39783</v>
      </c>
      <c r="AZ105" s="135" t="n">
        <f aca="false">SUM(AL105:AX105)</f>
        <v>0</v>
      </c>
      <c r="BB105" s="208" t="n">
        <f aca="false">EOMONTH(BB104,0)+1</f>
        <v>39783</v>
      </c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208" t="n">
        <f aca="false">EOMONTH(BP104,0)+1</f>
        <v>39783</v>
      </c>
      <c r="BQ105" s="135" t="n">
        <f aca="false">SUM(BC105:BO105)</f>
        <v>0</v>
      </c>
      <c r="BS105" s="208" t="n">
        <f aca="false">EOMONTH(BS104,0)+1</f>
        <v>39783</v>
      </c>
      <c r="BT105" s="134" t="n">
        <f aca="false">SUMIF('Basis Options'!$X:$X,CONCATENATE($AK105,BT$4),'Basis Options'!$AF:$AF)</f>
        <v>0</v>
      </c>
      <c r="BU105" s="134" t="n">
        <f aca="false">SUMIF('Basis Options'!$X:$X,CONCATENATE($AK105,BU$4),'Basis Options'!$AF:$AF)</f>
        <v>0</v>
      </c>
      <c r="BV105" s="134" t="n">
        <f aca="false">SUMIF('Basis Options'!$X:$X,CONCATENATE($AK105,BV$4),'Basis Options'!$AF:$AF)</f>
        <v>0</v>
      </c>
      <c r="BW105" s="134" t="n">
        <f aca="false">SUMIF('Basis Options'!$X:$X,CONCATENATE($AK105,BW$4),'Basis Options'!$AF:$AF)</f>
        <v>0</v>
      </c>
      <c r="BX105" s="134" t="n">
        <f aca="false">SUMIF('Basis Options'!$X:$X,CONCATENATE($AK105,BX$4),'Basis Options'!$AF:$AF)</f>
        <v>0</v>
      </c>
      <c r="BY105" s="134" t="n">
        <f aca="false">SUMIF('Basis Options'!$X:$X,CONCATENATE($AK105,BY$4),'Basis Options'!$AF:$AF)</f>
        <v>0</v>
      </c>
      <c r="BZ105" s="134" t="n">
        <f aca="false">SUMIF('Basis Options'!$X:$X,CONCATENATE($AK105,BZ$4),'Basis Options'!$AF:$AF)</f>
        <v>0</v>
      </c>
      <c r="CA105" s="134" t="n">
        <f aca="false">SUMIF('Basis Options'!$X:$X,CONCATENATE($AK105,CA$4),'Basis Options'!$AF:$AF)</f>
        <v>0</v>
      </c>
      <c r="CB105" s="134" t="n">
        <f aca="false">SUMIF('Basis Options'!$X:$X,CONCATENATE($AK105,CB$4),'Basis Options'!$AF:$AF)</f>
        <v>0</v>
      </c>
      <c r="CC105" s="134" t="n">
        <f aca="false">SUMIF('Basis Options'!$X:$X,CONCATENATE($AK105,CC$4),'Basis Options'!$AF:$AF)</f>
        <v>0</v>
      </c>
      <c r="CD105" s="134"/>
      <c r="CE105" s="134" t="n">
        <f aca="false">SUMIF('Basis Options'!$X:$X,CONCATENATE($AK105,CE$4),'Basis Options'!$AF:$AF)</f>
        <v>0</v>
      </c>
      <c r="CF105" s="134"/>
      <c r="CG105" s="208" t="n">
        <f aca="false">EOMONTH(CG104,0)+1</f>
        <v>39783</v>
      </c>
      <c r="CH105" s="135" t="n">
        <f aca="false">SUM(BT105:CF105)</f>
        <v>0</v>
      </c>
    </row>
    <row r="106" customFormat="false" ht="12.75" hidden="false" customHeight="false" outlineLevel="0" collapsed="false">
      <c r="A106" s="208" t="n">
        <f aca="false">EOMONTH(A105,0)+1</f>
        <v>39814</v>
      </c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208" t="n">
        <f aca="false">EOMONTH(O105,0)+1</f>
        <v>39814</v>
      </c>
      <c r="P106" s="135" t="n">
        <f aca="false">SUM(B106:N106)</f>
        <v>0</v>
      </c>
      <c r="S106" s="208" t="n">
        <f aca="false">EOMONTH(S105,0)+1</f>
        <v>39814</v>
      </c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208" t="n">
        <f aca="false">EOMONTH(AG105,0)+1</f>
        <v>39814</v>
      </c>
      <c r="AH106" s="135" t="n">
        <f aca="false">SUM(T106:AF106)</f>
        <v>0</v>
      </c>
      <c r="AK106" s="208" t="n">
        <f aca="false">EOMONTH(AK105,0)+1</f>
        <v>39814</v>
      </c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208" t="n">
        <f aca="false">EOMONTH(AY105,0)+1</f>
        <v>39814</v>
      </c>
      <c r="AZ106" s="135" t="n">
        <f aca="false">SUM(AL106:AX106)</f>
        <v>0</v>
      </c>
      <c r="BB106" s="208" t="n">
        <f aca="false">EOMONTH(BB105,0)+1</f>
        <v>39814</v>
      </c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208" t="n">
        <f aca="false">EOMONTH(BP105,0)+1</f>
        <v>39814</v>
      </c>
      <c r="BQ106" s="135" t="n">
        <f aca="false">SUM(BC106:BO106)</f>
        <v>0</v>
      </c>
      <c r="BS106" s="208" t="n">
        <f aca="false">EOMONTH(BS105,0)+1</f>
        <v>39814</v>
      </c>
      <c r="BT106" s="134" t="n">
        <f aca="false">SUMIF('Basis Options'!$X:$X,CONCATENATE($AK106,BT$4),'Basis Options'!$AF:$AF)</f>
        <v>0</v>
      </c>
      <c r="BU106" s="134" t="n">
        <f aca="false">SUMIF('Basis Options'!$X:$X,CONCATENATE($AK106,BU$4),'Basis Options'!$AF:$AF)</f>
        <v>0</v>
      </c>
      <c r="BV106" s="134" t="n">
        <f aca="false">SUMIF('Basis Options'!$X:$X,CONCATENATE($AK106,BV$4),'Basis Options'!$AF:$AF)</f>
        <v>0</v>
      </c>
      <c r="BW106" s="134" t="n">
        <f aca="false">SUMIF('Basis Options'!$X:$X,CONCATENATE($AK106,BW$4),'Basis Options'!$AF:$AF)</f>
        <v>0</v>
      </c>
      <c r="BX106" s="134" t="n">
        <f aca="false">SUMIF('Basis Options'!$X:$X,CONCATENATE($AK106,BX$4),'Basis Options'!$AF:$AF)</f>
        <v>0</v>
      </c>
      <c r="BY106" s="134" t="n">
        <f aca="false">SUMIF('Basis Options'!$X:$X,CONCATENATE($AK106,BY$4),'Basis Options'!$AF:$AF)</f>
        <v>0</v>
      </c>
      <c r="BZ106" s="134" t="n">
        <f aca="false">SUMIF('Basis Options'!$X:$X,CONCATENATE($AK106,BZ$4),'Basis Options'!$AF:$AF)</f>
        <v>0</v>
      </c>
      <c r="CA106" s="134" t="n">
        <f aca="false">SUMIF('Basis Options'!$X:$X,CONCATENATE($AK106,CA$4),'Basis Options'!$AF:$AF)</f>
        <v>0</v>
      </c>
      <c r="CB106" s="134" t="n">
        <f aca="false">SUMIF('Basis Options'!$X:$X,CONCATENATE($AK106,CB$4),'Basis Options'!$AF:$AF)</f>
        <v>0</v>
      </c>
      <c r="CC106" s="134" t="n">
        <f aca="false">SUMIF('Basis Options'!$X:$X,CONCATENATE($AK106,CC$4),'Basis Options'!$AF:$AF)</f>
        <v>0</v>
      </c>
      <c r="CD106" s="134"/>
      <c r="CE106" s="134" t="n">
        <f aca="false">SUMIF('Basis Options'!$X:$X,CONCATENATE($AK106,CE$4),'Basis Options'!$AF:$AF)</f>
        <v>0</v>
      </c>
      <c r="CF106" s="134"/>
      <c r="CG106" s="208" t="n">
        <f aca="false">EOMONTH(CG105,0)+1</f>
        <v>39814</v>
      </c>
      <c r="CH106" s="135" t="n">
        <f aca="false">SUM(BT106:CF106)</f>
        <v>0</v>
      </c>
    </row>
    <row r="107" customFormat="false" ht="12.75" hidden="false" customHeight="false" outlineLevel="0" collapsed="false">
      <c r="A107" s="208" t="n">
        <f aca="false">EOMONTH(A106,0)+1</f>
        <v>39845</v>
      </c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208" t="n">
        <f aca="false">EOMONTH(O106,0)+1</f>
        <v>39845</v>
      </c>
      <c r="P107" s="135" t="n">
        <f aca="false">SUM(B107:N107)</f>
        <v>0</v>
      </c>
      <c r="S107" s="208" t="n">
        <f aca="false">EOMONTH(S106,0)+1</f>
        <v>39845</v>
      </c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208" t="n">
        <f aca="false">EOMONTH(AG106,0)+1</f>
        <v>39845</v>
      </c>
      <c r="AH107" s="135" t="n">
        <f aca="false">SUM(T107:AF107)</f>
        <v>0</v>
      </c>
      <c r="AK107" s="208" t="n">
        <f aca="false">EOMONTH(AK106,0)+1</f>
        <v>39845</v>
      </c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208" t="n">
        <f aca="false">EOMONTH(AY106,0)+1</f>
        <v>39845</v>
      </c>
      <c r="AZ107" s="135" t="n">
        <f aca="false">SUM(AL107:AX107)</f>
        <v>0</v>
      </c>
      <c r="BB107" s="208" t="n">
        <f aca="false">EOMONTH(BB106,0)+1</f>
        <v>39845</v>
      </c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208" t="n">
        <f aca="false">EOMONTH(BP106,0)+1</f>
        <v>39845</v>
      </c>
      <c r="BQ107" s="135" t="n">
        <f aca="false">SUM(BC107:BO107)</f>
        <v>0</v>
      </c>
      <c r="BS107" s="208" t="n">
        <f aca="false">EOMONTH(BS106,0)+1</f>
        <v>39845</v>
      </c>
      <c r="BT107" s="134" t="n">
        <f aca="false">SUMIF('Basis Options'!$X:$X,CONCATENATE($AK107,BT$4),'Basis Options'!$AF:$AF)</f>
        <v>0</v>
      </c>
      <c r="BU107" s="134" t="n">
        <f aca="false">SUMIF('Basis Options'!$X:$X,CONCATENATE($AK107,BU$4),'Basis Options'!$AF:$AF)</f>
        <v>0</v>
      </c>
      <c r="BV107" s="134" t="n">
        <f aca="false">SUMIF('Basis Options'!$X:$X,CONCATENATE($AK107,BV$4),'Basis Options'!$AF:$AF)</f>
        <v>0</v>
      </c>
      <c r="BW107" s="134" t="n">
        <f aca="false">SUMIF('Basis Options'!$X:$X,CONCATENATE($AK107,BW$4),'Basis Options'!$AF:$AF)</f>
        <v>0</v>
      </c>
      <c r="BX107" s="134" t="n">
        <f aca="false">SUMIF('Basis Options'!$X:$X,CONCATENATE($AK107,BX$4),'Basis Options'!$AF:$AF)</f>
        <v>0</v>
      </c>
      <c r="BY107" s="134" t="n">
        <f aca="false">SUMIF('Basis Options'!$X:$X,CONCATENATE($AK107,BY$4),'Basis Options'!$AF:$AF)</f>
        <v>0</v>
      </c>
      <c r="BZ107" s="134" t="n">
        <f aca="false">SUMIF('Basis Options'!$X:$X,CONCATENATE($AK107,BZ$4),'Basis Options'!$AF:$AF)</f>
        <v>0</v>
      </c>
      <c r="CA107" s="134" t="n">
        <f aca="false">SUMIF('Basis Options'!$X:$X,CONCATENATE($AK107,CA$4),'Basis Options'!$AF:$AF)</f>
        <v>0</v>
      </c>
      <c r="CB107" s="134" t="n">
        <f aca="false">SUMIF('Basis Options'!$X:$X,CONCATENATE($AK107,CB$4),'Basis Options'!$AF:$AF)</f>
        <v>0</v>
      </c>
      <c r="CC107" s="134" t="n">
        <f aca="false">SUMIF('Basis Options'!$X:$X,CONCATENATE($AK107,CC$4),'Basis Options'!$AF:$AF)</f>
        <v>0</v>
      </c>
      <c r="CD107" s="134"/>
      <c r="CE107" s="134" t="n">
        <f aca="false">SUMIF('Basis Options'!$X:$X,CONCATENATE($AK107,CE$4),'Basis Options'!$AF:$AF)</f>
        <v>0</v>
      </c>
      <c r="CF107" s="134"/>
      <c r="CG107" s="208" t="n">
        <f aca="false">EOMONTH(CG106,0)+1</f>
        <v>39845</v>
      </c>
      <c r="CH107" s="135" t="n">
        <f aca="false">SUM(BT107:CF107)</f>
        <v>0</v>
      </c>
    </row>
    <row r="108" customFormat="false" ht="12.75" hidden="false" customHeight="false" outlineLevel="0" collapsed="false">
      <c r="A108" s="208" t="n">
        <f aca="false">EOMONTH(A107,0)+1</f>
        <v>39873</v>
      </c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208" t="n">
        <f aca="false">EOMONTH(O107,0)+1</f>
        <v>39873</v>
      </c>
      <c r="P108" s="135" t="n">
        <f aca="false">SUM(B108:N108)</f>
        <v>0</v>
      </c>
      <c r="S108" s="208" t="n">
        <f aca="false">EOMONTH(S107,0)+1</f>
        <v>39873</v>
      </c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208" t="n">
        <f aca="false">EOMONTH(AG107,0)+1</f>
        <v>39873</v>
      </c>
      <c r="AH108" s="135" t="n">
        <f aca="false">SUM(T108:AF108)</f>
        <v>0</v>
      </c>
      <c r="AK108" s="208" t="n">
        <f aca="false">EOMONTH(AK107,0)+1</f>
        <v>39873</v>
      </c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208" t="n">
        <f aca="false">EOMONTH(AY107,0)+1</f>
        <v>39873</v>
      </c>
      <c r="AZ108" s="135" t="n">
        <f aca="false">SUM(AL108:AX108)</f>
        <v>0</v>
      </c>
      <c r="BB108" s="208" t="n">
        <f aca="false">EOMONTH(BB107,0)+1</f>
        <v>39873</v>
      </c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208" t="n">
        <f aca="false">EOMONTH(BP107,0)+1</f>
        <v>39873</v>
      </c>
      <c r="BQ108" s="135" t="n">
        <f aca="false">SUM(BC108:BO108)</f>
        <v>0</v>
      </c>
      <c r="BS108" s="208" t="n">
        <f aca="false">EOMONTH(BS107,0)+1</f>
        <v>39873</v>
      </c>
      <c r="BT108" s="134" t="n">
        <f aca="false">SUMIF('Basis Options'!$X:$X,CONCATENATE($AK108,BT$4),'Basis Options'!$AF:$AF)</f>
        <v>0</v>
      </c>
      <c r="BU108" s="134" t="n">
        <f aca="false">SUMIF('Basis Options'!$X:$X,CONCATENATE($AK108,BU$4),'Basis Options'!$AF:$AF)</f>
        <v>0</v>
      </c>
      <c r="BV108" s="134" t="n">
        <f aca="false">SUMIF('Basis Options'!$X:$X,CONCATENATE($AK108,BV$4),'Basis Options'!$AF:$AF)</f>
        <v>0</v>
      </c>
      <c r="BW108" s="134" t="n">
        <f aca="false">SUMIF('Basis Options'!$X:$X,CONCATENATE($AK108,BW$4),'Basis Options'!$AF:$AF)</f>
        <v>0</v>
      </c>
      <c r="BX108" s="134" t="n">
        <f aca="false">SUMIF('Basis Options'!$X:$X,CONCATENATE($AK108,BX$4),'Basis Options'!$AF:$AF)</f>
        <v>0</v>
      </c>
      <c r="BY108" s="134" t="n">
        <f aca="false">SUMIF('Basis Options'!$X:$X,CONCATENATE($AK108,BY$4),'Basis Options'!$AF:$AF)</f>
        <v>0</v>
      </c>
      <c r="BZ108" s="134" t="n">
        <f aca="false">SUMIF('Basis Options'!$X:$X,CONCATENATE($AK108,BZ$4),'Basis Options'!$AF:$AF)</f>
        <v>0</v>
      </c>
      <c r="CA108" s="134" t="n">
        <f aca="false">SUMIF('Basis Options'!$X:$X,CONCATENATE($AK108,CA$4),'Basis Options'!$AF:$AF)</f>
        <v>0</v>
      </c>
      <c r="CB108" s="134" t="n">
        <f aca="false">SUMIF('Basis Options'!$X:$X,CONCATENATE($AK108,CB$4),'Basis Options'!$AF:$AF)</f>
        <v>0</v>
      </c>
      <c r="CC108" s="134" t="n">
        <f aca="false">SUMIF('Basis Options'!$X:$X,CONCATENATE($AK108,CC$4),'Basis Options'!$AF:$AF)</f>
        <v>0</v>
      </c>
      <c r="CD108" s="134"/>
      <c r="CE108" s="134" t="n">
        <f aca="false">SUMIF('Basis Options'!$X:$X,CONCATENATE($AK108,CE$4),'Basis Options'!$AF:$AF)</f>
        <v>0</v>
      </c>
      <c r="CF108" s="134"/>
      <c r="CG108" s="208" t="n">
        <f aca="false">EOMONTH(CG107,0)+1</f>
        <v>39873</v>
      </c>
      <c r="CH108" s="135" t="n">
        <f aca="false">SUM(BT108:CF108)</f>
        <v>0</v>
      </c>
    </row>
    <row r="109" customFormat="false" ht="12.75" hidden="false" customHeight="false" outlineLevel="0" collapsed="false">
      <c r="A109" s="208" t="n">
        <f aca="false">EOMONTH(A108,0)+1</f>
        <v>39904</v>
      </c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208" t="n">
        <f aca="false">EOMONTH(O108,0)+1</f>
        <v>39904</v>
      </c>
      <c r="P109" s="135" t="n">
        <f aca="false">SUM(B109:N109)</f>
        <v>0</v>
      </c>
      <c r="S109" s="208" t="n">
        <f aca="false">EOMONTH(S108,0)+1</f>
        <v>39904</v>
      </c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208" t="n">
        <f aca="false">EOMONTH(AG108,0)+1</f>
        <v>39904</v>
      </c>
      <c r="AH109" s="135" t="n">
        <f aca="false">SUM(T109:AF109)</f>
        <v>0</v>
      </c>
      <c r="AK109" s="208" t="n">
        <f aca="false">EOMONTH(AK108,0)+1</f>
        <v>39904</v>
      </c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208" t="n">
        <f aca="false">EOMONTH(AY108,0)+1</f>
        <v>39904</v>
      </c>
      <c r="AZ109" s="135" t="n">
        <f aca="false">SUM(AL109:AX109)</f>
        <v>0</v>
      </c>
      <c r="BB109" s="208" t="n">
        <f aca="false">EOMONTH(BB108,0)+1</f>
        <v>39904</v>
      </c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208" t="n">
        <f aca="false">EOMONTH(BP108,0)+1</f>
        <v>39904</v>
      </c>
      <c r="BQ109" s="135" t="n">
        <f aca="false">SUM(BC109:BO109)</f>
        <v>0</v>
      </c>
      <c r="BS109" s="208" t="n">
        <f aca="false">EOMONTH(BS108,0)+1</f>
        <v>39904</v>
      </c>
      <c r="BT109" s="134" t="n">
        <f aca="false">SUMIF('Basis Options'!$X:$X,CONCATENATE($AK109,BT$4),'Basis Options'!$AF:$AF)</f>
        <v>0</v>
      </c>
      <c r="BU109" s="134" t="n">
        <f aca="false">SUMIF('Basis Options'!$X:$X,CONCATENATE($AK109,BU$4),'Basis Options'!$AF:$AF)</f>
        <v>0</v>
      </c>
      <c r="BV109" s="134" t="n">
        <f aca="false">SUMIF('Basis Options'!$X:$X,CONCATENATE($AK109,BV$4),'Basis Options'!$AF:$AF)</f>
        <v>0</v>
      </c>
      <c r="BW109" s="134" t="n">
        <f aca="false">SUMIF('Basis Options'!$X:$X,CONCATENATE($AK109,BW$4),'Basis Options'!$AF:$AF)</f>
        <v>0</v>
      </c>
      <c r="BX109" s="134" t="n">
        <f aca="false">SUMIF('Basis Options'!$X:$X,CONCATENATE($AK109,BX$4),'Basis Options'!$AF:$AF)</f>
        <v>0</v>
      </c>
      <c r="BY109" s="134" t="n">
        <f aca="false">SUMIF('Basis Options'!$X:$X,CONCATENATE($AK109,BY$4),'Basis Options'!$AF:$AF)</f>
        <v>0</v>
      </c>
      <c r="BZ109" s="134" t="n">
        <f aca="false">SUMIF('Basis Options'!$X:$X,CONCATENATE($AK109,BZ$4),'Basis Options'!$AF:$AF)</f>
        <v>0</v>
      </c>
      <c r="CA109" s="134" t="n">
        <f aca="false">SUMIF('Basis Options'!$X:$X,CONCATENATE($AK109,CA$4),'Basis Options'!$AF:$AF)</f>
        <v>0</v>
      </c>
      <c r="CB109" s="134" t="n">
        <f aca="false">SUMIF('Basis Options'!$X:$X,CONCATENATE($AK109,CB$4),'Basis Options'!$AF:$AF)</f>
        <v>0</v>
      </c>
      <c r="CC109" s="134" t="n">
        <f aca="false">SUMIF('Basis Options'!$X:$X,CONCATENATE($AK109,CC$4),'Basis Options'!$AF:$AF)</f>
        <v>0</v>
      </c>
      <c r="CD109" s="134"/>
      <c r="CE109" s="134" t="n">
        <f aca="false">SUMIF('Basis Options'!$X:$X,CONCATENATE($AK109,CE$4),'Basis Options'!$AF:$AF)</f>
        <v>0</v>
      </c>
      <c r="CF109" s="134"/>
      <c r="CG109" s="208" t="n">
        <f aca="false">EOMONTH(CG108,0)+1</f>
        <v>39904</v>
      </c>
      <c r="CH109" s="135" t="n">
        <f aca="false">SUM(BT109:CF109)</f>
        <v>0</v>
      </c>
    </row>
    <row r="110" customFormat="false" ht="12.75" hidden="false" customHeight="false" outlineLevel="0" collapsed="false">
      <c r="A110" s="208" t="n">
        <f aca="false">EOMONTH(A109,0)+1</f>
        <v>39934</v>
      </c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208" t="n">
        <f aca="false">EOMONTH(O109,0)+1</f>
        <v>39934</v>
      </c>
      <c r="P110" s="135" t="n">
        <f aca="false">SUM(B110:N110)</f>
        <v>0</v>
      </c>
      <c r="S110" s="208" t="n">
        <f aca="false">EOMONTH(S109,0)+1</f>
        <v>39934</v>
      </c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208" t="n">
        <f aca="false">EOMONTH(AG109,0)+1</f>
        <v>39934</v>
      </c>
      <c r="AH110" s="135" t="n">
        <f aca="false">SUM(T110:AF110)</f>
        <v>0</v>
      </c>
      <c r="AK110" s="208" t="n">
        <f aca="false">EOMONTH(AK109,0)+1</f>
        <v>39934</v>
      </c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208" t="n">
        <f aca="false">EOMONTH(AY109,0)+1</f>
        <v>39934</v>
      </c>
      <c r="AZ110" s="135" t="n">
        <f aca="false">SUM(AL110:AX110)</f>
        <v>0</v>
      </c>
      <c r="BB110" s="208" t="n">
        <f aca="false">EOMONTH(BB109,0)+1</f>
        <v>39934</v>
      </c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208" t="n">
        <f aca="false">EOMONTH(BP109,0)+1</f>
        <v>39934</v>
      </c>
      <c r="BQ110" s="135" t="n">
        <f aca="false">SUM(BC110:BO110)</f>
        <v>0</v>
      </c>
      <c r="BS110" s="208" t="n">
        <f aca="false">EOMONTH(BS109,0)+1</f>
        <v>39934</v>
      </c>
      <c r="BT110" s="134" t="n">
        <f aca="false">SUMIF('Basis Options'!$X:$X,CONCATENATE($AK110,BT$4),'Basis Options'!$AF:$AF)</f>
        <v>0</v>
      </c>
      <c r="BU110" s="134" t="n">
        <f aca="false">SUMIF('Basis Options'!$X:$X,CONCATENATE($AK110,BU$4),'Basis Options'!$AF:$AF)</f>
        <v>0</v>
      </c>
      <c r="BV110" s="134" t="n">
        <f aca="false">SUMIF('Basis Options'!$X:$X,CONCATENATE($AK110,BV$4),'Basis Options'!$AF:$AF)</f>
        <v>0</v>
      </c>
      <c r="BW110" s="134" t="n">
        <f aca="false">SUMIF('Basis Options'!$X:$X,CONCATENATE($AK110,BW$4),'Basis Options'!$AF:$AF)</f>
        <v>0</v>
      </c>
      <c r="BX110" s="134" t="n">
        <f aca="false">SUMIF('Basis Options'!$X:$X,CONCATENATE($AK110,BX$4),'Basis Options'!$AF:$AF)</f>
        <v>0</v>
      </c>
      <c r="BY110" s="134" t="n">
        <f aca="false">SUMIF('Basis Options'!$X:$X,CONCATENATE($AK110,BY$4),'Basis Options'!$AF:$AF)</f>
        <v>0</v>
      </c>
      <c r="BZ110" s="134" t="n">
        <f aca="false">SUMIF('Basis Options'!$X:$X,CONCATENATE($AK110,BZ$4),'Basis Options'!$AF:$AF)</f>
        <v>0</v>
      </c>
      <c r="CA110" s="134" t="n">
        <f aca="false">SUMIF('Basis Options'!$X:$X,CONCATENATE($AK110,CA$4),'Basis Options'!$AF:$AF)</f>
        <v>0</v>
      </c>
      <c r="CB110" s="134" t="n">
        <f aca="false">SUMIF('Basis Options'!$X:$X,CONCATENATE($AK110,CB$4),'Basis Options'!$AF:$AF)</f>
        <v>0</v>
      </c>
      <c r="CC110" s="134" t="n">
        <f aca="false">SUMIF('Basis Options'!$X:$X,CONCATENATE($AK110,CC$4),'Basis Options'!$AF:$AF)</f>
        <v>0</v>
      </c>
      <c r="CD110" s="134"/>
      <c r="CE110" s="134" t="n">
        <f aca="false">SUMIF('Basis Options'!$X:$X,CONCATENATE($AK110,CE$4),'Basis Options'!$AF:$AF)</f>
        <v>0</v>
      </c>
      <c r="CF110" s="134"/>
      <c r="CG110" s="208" t="n">
        <f aca="false">EOMONTH(CG109,0)+1</f>
        <v>39934</v>
      </c>
      <c r="CH110" s="135" t="n">
        <f aca="false">SUM(BT110:CF110)</f>
        <v>0</v>
      </c>
    </row>
    <row r="111" customFormat="false" ht="12.75" hidden="false" customHeight="false" outlineLevel="0" collapsed="false">
      <c r="A111" s="208" t="n">
        <f aca="false">EOMONTH(A110,0)+1</f>
        <v>39965</v>
      </c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208" t="n">
        <f aca="false">EOMONTH(O110,0)+1</f>
        <v>39965</v>
      </c>
      <c r="P111" s="135" t="n">
        <f aca="false">SUM(B111:N111)</f>
        <v>0</v>
      </c>
      <c r="S111" s="208" t="n">
        <f aca="false">EOMONTH(S110,0)+1</f>
        <v>39965</v>
      </c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208" t="n">
        <f aca="false">EOMONTH(AG110,0)+1</f>
        <v>39965</v>
      </c>
      <c r="AH111" s="135" t="n">
        <f aca="false">SUM(T111:AF111)</f>
        <v>0</v>
      </c>
      <c r="AK111" s="208" t="n">
        <f aca="false">EOMONTH(AK110,0)+1</f>
        <v>39965</v>
      </c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208" t="n">
        <f aca="false">EOMONTH(AY110,0)+1</f>
        <v>39965</v>
      </c>
      <c r="AZ111" s="135" t="n">
        <f aca="false">SUM(AL111:AX111)</f>
        <v>0</v>
      </c>
      <c r="BB111" s="208" t="n">
        <f aca="false">EOMONTH(BB110,0)+1</f>
        <v>39965</v>
      </c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208" t="n">
        <f aca="false">EOMONTH(BP110,0)+1</f>
        <v>39965</v>
      </c>
      <c r="BQ111" s="135" t="n">
        <f aca="false">SUM(BC111:BO111)</f>
        <v>0</v>
      </c>
      <c r="BS111" s="208" t="n">
        <f aca="false">EOMONTH(BS110,0)+1</f>
        <v>39965</v>
      </c>
      <c r="BT111" s="134" t="n">
        <f aca="false">SUMIF('Basis Options'!$X:$X,CONCATENATE($AK111,BT$4),'Basis Options'!$AF:$AF)</f>
        <v>0</v>
      </c>
      <c r="BU111" s="134" t="n">
        <f aca="false">SUMIF('Basis Options'!$X:$X,CONCATENATE($AK111,BU$4),'Basis Options'!$AF:$AF)</f>
        <v>0</v>
      </c>
      <c r="BV111" s="134" t="n">
        <f aca="false">SUMIF('Basis Options'!$X:$X,CONCATENATE($AK111,BV$4),'Basis Options'!$AF:$AF)</f>
        <v>0</v>
      </c>
      <c r="BW111" s="134" t="n">
        <f aca="false">SUMIF('Basis Options'!$X:$X,CONCATENATE($AK111,BW$4),'Basis Options'!$AF:$AF)</f>
        <v>0</v>
      </c>
      <c r="BX111" s="134" t="n">
        <f aca="false">SUMIF('Basis Options'!$X:$X,CONCATENATE($AK111,BX$4),'Basis Options'!$AF:$AF)</f>
        <v>0</v>
      </c>
      <c r="BY111" s="134" t="n">
        <f aca="false">SUMIF('Basis Options'!$X:$X,CONCATENATE($AK111,BY$4),'Basis Options'!$AF:$AF)</f>
        <v>0</v>
      </c>
      <c r="BZ111" s="134" t="n">
        <f aca="false">SUMIF('Basis Options'!$X:$X,CONCATENATE($AK111,BZ$4),'Basis Options'!$AF:$AF)</f>
        <v>0</v>
      </c>
      <c r="CA111" s="134" t="n">
        <f aca="false">SUMIF('Basis Options'!$X:$X,CONCATENATE($AK111,CA$4),'Basis Options'!$AF:$AF)</f>
        <v>0</v>
      </c>
      <c r="CB111" s="134" t="n">
        <f aca="false">SUMIF('Basis Options'!$X:$X,CONCATENATE($AK111,CB$4),'Basis Options'!$AF:$AF)</f>
        <v>0</v>
      </c>
      <c r="CC111" s="134" t="n">
        <f aca="false">SUMIF('Basis Options'!$X:$X,CONCATENATE($AK111,CC$4),'Basis Options'!$AF:$AF)</f>
        <v>0</v>
      </c>
      <c r="CD111" s="134"/>
      <c r="CE111" s="134" t="n">
        <f aca="false">SUMIF('Basis Options'!$X:$X,CONCATENATE($AK111,CE$4),'Basis Options'!$AF:$AF)</f>
        <v>0</v>
      </c>
      <c r="CF111" s="134"/>
      <c r="CG111" s="208" t="n">
        <f aca="false">EOMONTH(CG110,0)+1</f>
        <v>39965</v>
      </c>
      <c r="CH111" s="135" t="n">
        <f aca="false">SUM(BT111:CF111)</f>
        <v>0</v>
      </c>
    </row>
    <row r="112" customFormat="false" ht="12.75" hidden="false" customHeight="false" outlineLevel="0" collapsed="false">
      <c r="A112" s="208" t="n">
        <f aca="false">EOMONTH(A111,0)+1</f>
        <v>39995</v>
      </c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208" t="n">
        <f aca="false">EOMONTH(O111,0)+1</f>
        <v>39995</v>
      </c>
      <c r="P112" s="135" t="n">
        <f aca="false">SUM(B112:N112)</f>
        <v>0</v>
      </c>
      <c r="S112" s="208" t="n">
        <f aca="false">EOMONTH(S111,0)+1</f>
        <v>39995</v>
      </c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208" t="n">
        <f aca="false">EOMONTH(AG111,0)+1</f>
        <v>39995</v>
      </c>
      <c r="AH112" s="135" t="n">
        <f aca="false">SUM(T112:AF112)</f>
        <v>0</v>
      </c>
      <c r="AK112" s="208" t="n">
        <f aca="false">EOMONTH(AK111,0)+1</f>
        <v>39995</v>
      </c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208" t="n">
        <f aca="false">EOMONTH(AY111,0)+1</f>
        <v>39995</v>
      </c>
      <c r="AZ112" s="135" t="n">
        <f aca="false">SUM(AL112:AX112)</f>
        <v>0</v>
      </c>
      <c r="BB112" s="208" t="n">
        <f aca="false">EOMONTH(BB111,0)+1</f>
        <v>39995</v>
      </c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208" t="n">
        <f aca="false">EOMONTH(BP111,0)+1</f>
        <v>39995</v>
      </c>
      <c r="BQ112" s="135" t="n">
        <f aca="false">SUM(BC112:BO112)</f>
        <v>0</v>
      </c>
      <c r="BS112" s="208" t="n">
        <f aca="false">EOMONTH(BS111,0)+1</f>
        <v>39995</v>
      </c>
      <c r="BT112" s="134" t="n">
        <f aca="false">SUMIF('Basis Options'!$X:$X,CONCATENATE($AK112,BT$4),'Basis Options'!$AF:$AF)</f>
        <v>0</v>
      </c>
      <c r="BU112" s="134" t="n">
        <f aca="false">SUMIF('Basis Options'!$X:$X,CONCATENATE($AK112,BU$4),'Basis Options'!$AF:$AF)</f>
        <v>0</v>
      </c>
      <c r="BV112" s="134" t="n">
        <f aca="false">SUMIF('Basis Options'!$X:$X,CONCATENATE($AK112,BV$4),'Basis Options'!$AF:$AF)</f>
        <v>0</v>
      </c>
      <c r="BW112" s="134" t="n">
        <f aca="false">SUMIF('Basis Options'!$X:$X,CONCATENATE($AK112,BW$4),'Basis Options'!$AF:$AF)</f>
        <v>0</v>
      </c>
      <c r="BX112" s="134" t="n">
        <f aca="false">SUMIF('Basis Options'!$X:$X,CONCATENATE($AK112,BX$4),'Basis Options'!$AF:$AF)</f>
        <v>0</v>
      </c>
      <c r="BY112" s="134" t="n">
        <f aca="false">SUMIF('Basis Options'!$X:$X,CONCATENATE($AK112,BY$4),'Basis Options'!$AF:$AF)</f>
        <v>0</v>
      </c>
      <c r="BZ112" s="134" t="n">
        <f aca="false">SUMIF('Basis Options'!$X:$X,CONCATENATE($AK112,BZ$4),'Basis Options'!$AF:$AF)</f>
        <v>0</v>
      </c>
      <c r="CA112" s="134" t="n">
        <f aca="false">SUMIF('Basis Options'!$X:$X,CONCATENATE($AK112,CA$4),'Basis Options'!$AF:$AF)</f>
        <v>0</v>
      </c>
      <c r="CB112" s="134" t="n">
        <f aca="false">SUMIF('Basis Options'!$X:$X,CONCATENATE($AK112,CB$4),'Basis Options'!$AF:$AF)</f>
        <v>0</v>
      </c>
      <c r="CC112" s="134" t="n">
        <f aca="false">SUMIF('Basis Options'!$X:$X,CONCATENATE($AK112,CC$4),'Basis Options'!$AF:$AF)</f>
        <v>0</v>
      </c>
      <c r="CD112" s="134"/>
      <c r="CE112" s="134" t="n">
        <f aca="false">SUMIF('Basis Options'!$X:$X,CONCATENATE($AK112,CE$4),'Basis Options'!$AF:$AF)</f>
        <v>0</v>
      </c>
      <c r="CF112" s="134"/>
      <c r="CG112" s="208" t="n">
        <f aca="false">EOMONTH(CG111,0)+1</f>
        <v>39995</v>
      </c>
      <c r="CH112" s="135" t="n">
        <f aca="false">SUM(BT112:CF112)</f>
        <v>0</v>
      </c>
    </row>
    <row r="113" customFormat="false" ht="12.75" hidden="false" customHeight="false" outlineLevel="0" collapsed="false">
      <c r="A113" s="208" t="n">
        <f aca="false">EOMONTH(A112,0)+1</f>
        <v>40026</v>
      </c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208" t="n">
        <f aca="false">EOMONTH(O112,0)+1</f>
        <v>40026</v>
      </c>
      <c r="P113" s="135" t="n">
        <f aca="false">SUM(B113:N113)</f>
        <v>0</v>
      </c>
      <c r="S113" s="208" t="n">
        <f aca="false">EOMONTH(S112,0)+1</f>
        <v>40026</v>
      </c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208" t="n">
        <f aca="false">EOMONTH(AG112,0)+1</f>
        <v>40026</v>
      </c>
      <c r="AH113" s="135" t="n">
        <f aca="false">SUM(T113:AF113)</f>
        <v>0</v>
      </c>
      <c r="AK113" s="208" t="n">
        <f aca="false">EOMONTH(AK112,0)+1</f>
        <v>40026</v>
      </c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208" t="n">
        <f aca="false">EOMONTH(AY112,0)+1</f>
        <v>40026</v>
      </c>
      <c r="AZ113" s="135" t="n">
        <f aca="false">SUM(AL113:AX113)</f>
        <v>0</v>
      </c>
      <c r="BB113" s="208" t="n">
        <f aca="false">EOMONTH(BB112,0)+1</f>
        <v>40026</v>
      </c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208" t="n">
        <f aca="false">EOMONTH(BP112,0)+1</f>
        <v>40026</v>
      </c>
      <c r="BQ113" s="135" t="n">
        <f aca="false">SUM(BC113:BO113)</f>
        <v>0</v>
      </c>
      <c r="BS113" s="208" t="n">
        <f aca="false">EOMONTH(BS112,0)+1</f>
        <v>40026</v>
      </c>
      <c r="BT113" s="134" t="n">
        <f aca="false">SUMIF('Basis Options'!$X:$X,CONCATENATE($AK113,BT$4),'Basis Options'!$AF:$AF)</f>
        <v>0</v>
      </c>
      <c r="BU113" s="134" t="n">
        <f aca="false">SUMIF('Basis Options'!$X:$X,CONCATENATE($AK113,BU$4),'Basis Options'!$AF:$AF)</f>
        <v>0</v>
      </c>
      <c r="BV113" s="134" t="n">
        <f aca="false">SUMIF('Basis Options'!$X:$X,CONCATENATE($AK113,BV$4),'Basis Options'!$AF:$AF)</f>
        <v>0</v>
      </c>
      <c r="BW113" s="134" t="n">
        <f aca="false">SUMIF('Basis Options'!$X:$X,CONCATENATE($AK113,BW$4),'Basis Options'!$AF:$AF)</f>
        <v>0</v>
      </c>
      <c r="BX113" s="134" t="n">
        <f aca="false">SUMIF('Basis Options'!$X:$X,CONCATENATE($AK113,BX$4),'Basis Options'!$AF:$AF)</f>
        <v>0</v>
      </c>
      <c r="BY113" s="134" t="n">
        <f aca="false">SUMIF('Basis Options'!$X:$X,CONCATENATE($AK113,BY$4),'Basis Options'!$AF:$AF)</f>
        <v>0</v>
      </c>
      <c r="BZ113" s="134" t="n">
        <f aca="false">SUMIF('Basis Options'!$X:$X,CONCATENATE($AK113,BZ$4),'Basis Options'!$AF:$AF)</f>
        <v>0</v>
      </c>
      <c r="CA113" s="134" t="n">
        <f aca="false">SUMIF('Basis Options'!$X:$X,CONCATENATE($AK113,CA$4),'Basis Options'!$AF:$AF)</f>
        <v>0</v>
      </c>
      <c r="CB113" s="134" t="n">
        <f aca="false">SUMIF('Basis Options'!$X:$X,CONCATENATE($AK113,CB$4),'Basis Options'!$AF:$AF)</f>
        <v>0</v>
      </c>
      <c r="CC113" s="134" t="n">
        <f aca="false">SUMIF('Basis Options'!$X:$X,CONCATENATE($AK113,CC$4),'Basis Options'!$AF:$AF)</f>
        <v>0</v>
      </c>
      <c r="CD113" s="134"/>
      <c r="CE113" s="134" t="n">
        <f aca="false">SUMIF('Basis Options'!$X:$X,CONCATENATE($AK113,CE$4),'Basis Options'!$AF:$AF)</f>
        <v>0</v>
      </c>
      <c r="CF113" s="134"/>
      <c r="CG113" s="208" t="n">
        <f aca="false">EOMONTH(CG112,0)+1</f>
        <v>40026</v>
      </c>
      <c r="CH113" s="135" t="n">
        <f aca="false">SUM(BT113:CF113)</f>
        <v>0</v>
      </c>
    </row>
    <row r="114" customFormat="false" ht="12.75" hidden="false" customHeight="false" outlineLevel="0" collapsed="false">
      <c r="A114" s="208" t="n">
        <f aca="false">EOMONTH(A113,0)+1</f>
        <v>40057</v>
      </c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208" t="n">
        <f aca="false">EOMONTH(O113,0)+1</f>
        <v>40057</v>
      </c>
      <c r="P114" s="135" t="n">
        <f aca="false">SUM(B114:N114)</f>
        <v>0</v>
      </c>
      <c r="S114" s="208" t="n">
        <f aca="false">EOMONTH(S113,0)+1</f>
        <v>40057</v>
      </c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208" t="n">
        <f aca="false">EOMONTH(AG113,0)+1</f>
        <v>40057</v>
      </c>
      <c r="AH114" s="135" t="n">
        <f aca="false">SUM(T114:AF114)</f>
        <v>0</v>
      </c>
      <c r="AK114" s="208" t="n">
        <f aca="false">EOMONTH(AK113,0)+1</f>
        <v>40057</v>
      </c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208" t="n">
        <f aca="false">EOMONTH(AY113,0)+1</f>
        <v>40057</v>
      </c>
      <c r="AZ114" s="135" t="n">
        <f aca="false">SUM(AL114:AX114)</f>
        <v>0</v>
      </c>
      <c r="BB114" s="208" t="n">
        <f aca="false">EOMONTH(BB113,0)+1</f>
        <v>40057</v>
      </c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208" t="n">
        <f aca="false">EOMONTH(BP113,0)+1</f>
        <v>40057</v>
      </c>
      <c r="BQ114" s="135" t="n">
        <f aca="false">SUM(BC114:BO114)</f>
        <v>0</v>
      </c>
      <c r="BS114" s="208" t="n">
        <f aca="false">EOMONTH(BS113,0)+1</f>
        <v>40057</v>
      </c>
      <c r="BT114" s="134" t="n">
        <f aca="false">SUMIF('Basis Options'!$X:$X,CONCATENATE($AK114,BT$4),'Basis Options'!$AF:$AF)</f>
        <v>0</v>
      </c>
      <c r="BU114" s="134" t="n">
        <f aca="false">SUMIF('Basis Options'!$X:$X,CONCATENATE($AK114,BU$4),'Basis Options'!$AF:$AF)</f>
        <v>0</v>
      </c>
      <c r="BV114" s="134" t="n">
        <f aca="false">SUMIF('Basis Options'!$X:$X,CONCATENATE($AK114,BV$4),'Basis Options'!$AF:$AF)</f>
        <v>0</v>
      </c>
      <c r="BW114" s="134" t="n">
        <f aca="false">SUMIF('Basis Options'!$X:$X,CONCATENATE($AK114,BW$4),'Basis Options'!$AF:$AF)</f>
        <v>0</v>
      </c>
      <c r="BX114" s="134" t="n">
        <f aca="false">SUMIF('Basis Options'!$X:$X,CONCATENATE($AK114,BX$4),'Basis Options'!$AF:$AF)</f>
        <v>0</v>
      </c>
      <c r="BY114" s="134" t="n">
        <f aca="false">SUMIF('Basis Options'!$X:$X,CONCATENATE($AK114,BY$4),'Basis Options'!$AF:$AF)</f>
        <v>0</v>
      </c>
      <c r="BZ114" s="134" t="n">
        <f aca="false">SUMIF('Basis Options'!$X:$X,CONCATENATE($AK114,BZ$4),'Basis Options'!$AF:$AF)</f>
        <v>0</v>
      </c>
      <c r="CA114" s="134" t="n">
        <f aca="false">SUMIF('Basis Options'!$X:$X,CONCATENATE($AK114,CA$4),'Basis Options'!$AF:$AF)</f>
        <v>0</v>
      </c>
      <c r="CB114" s="134" t="n">
        <f aca="false">SUMIF('Basis Options'!$X:$X,CONCATENATE($AK114,CB$4),'Basis Options'!$AF:$AF)</f>
        <v>0</v>
      </c>
      <c r="CC114" s="134" t="n">
        <f aca="false">SUMIF('Basis Options'!$X:$X,CONCATENATE($AK114,CC$4),'Basis Options'!$AF:$AF)</f>
        <v>0</v>
      </c>
      <c r="CD114" s="134"/>
      <c r="CE114" s="134" t="n">
        <f aca="false">SUMIF('Basis Options'!$X:$X,CONCATENATE($AK114,CE$4),'Basis Options'!$AF:$AF)</f>
        <v>0</v>
      </c>
      <c r="CF114" s="134"/>
      <c r="CG114" s="208" t="n">
        <f aca="false">EOMONTH(CG113,0)+1</f>
        <v>40057</v>
      </c>
      <c r="CH114" s="135" t="n">
        <f aca="false">SUM(BT114:CF114)</f>
        <v>0</v>
      </c>
    </row>
    <row r="115" customFormat="false" ht="12.75" hidden="false" customHeight="false" outlineLevel="0" collapsed="false">
      <c r="A115" s="208" t="n">
        <f aca="false">EOMONTH(A114,0)+1</f>
        <v>40087</v>
      </c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208" t="n">
        <f aca="false">EOMONTH(O114,0)+1</f>
        <v>40087</v>
      </c>
      <c r="P115" s="135" t="n">
        <f aca="false">SUM(B115:N115)</f>
        <v>0</v>
      </c>
      <c r="S115" s="208" t="n">
        <f aca="false">EOMONTH(S114,0)+1</f>
        <v>40087</v>
      </c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208" t="n">
        <f aca="false">EOMONTH(AG114,0)+1</f>
        <v>40087</v>
      </c>
      <c r="AH115" s="135" t="n">
        <f aca="false">SUM(T115:AF115)</f>
        <v>0</v>
      </c>
      <c r="AK115" s="208" t="n">
        <f aca="false">EOMONTH(AK114,0)+1</f>
        <v>40087</v>
      </c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208" t="n">
        <f aca="false">EOMONTH(AY114,0)+1</f>
        <v>40087</v>
      </c>
      <c r="AZ115" s="135" t="n">
        <f aca="false">SUM(AL115:AX115)</f>
        <v>0</v>
      </c>
      <c r="BB115" s="208" t="n">
        <f aca="false">EOMONTH(BB114,0)+1</f>
        <v>40087</v>
      </c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208" t="n">
        <f aca="false">EOMONTH(BP114,0)+1</f>
        <v>40087</v>
      </c>
      <c r="BQ115" s="135" t="n">
        <f aca="false">SUM(BC115:BO115)</f>
        <v>0</v>
      </c>
      <c r="BS115" s="208" t="n">
        <f aca="false">EOMONTH(BS114,0)+1</f>
        <v>40087</v>
      </c>
      <c r="BT115" s="134" t="n">
        <f aca="false">SUMIF('Basis Options'!$X:$X,CONCATENATE($AK115,BT$4),'Basis Options'!$AF:$AF)</f>
        <v>0</v>
      </c>
      <c r="BU115" s="134" t="n">
        <f aca="false">SUMIF('Basis Options'!$X:$X,CONCATENATE($AK115,BU$4),'Basis Options'!$AF:$AF)</f>
        <v>0</v>
      </c>
      <c r="BV115" s="134" t="n">
        <f aca="false">SUMIF('Basis Options'!$X:$X,CONCATENATE($AK115,BV$4),'Basis Options'!$AF:$AF)</f>
        <v>0</v>
      </c>
      <c r="BW115" s="134" t="n">
        <f aca="false">SUMIF('Basis Options'!$X:$X,CONCATENATE($AK115,BW$4),'Basis Options'!$AF:$AF)</f>
        <v>0</v>
      </c>
      <c r="BX115" s="134" t="n">
        <f aca="false">SUMIF('Basis Options'!$X:$X,CONCATENATE($AK115,BX$4),'Basis Options'!$AF:$AF)</f>
        <v>0</v>
      </c>
      <c r="BY115" s="134" t="n">
        <f aca="false">SUMIF('Basis Options'!$X:$X,CONCATENATE($AK115,BY$4),'Basis Options'!$AF:$AF)</f>
        <v>0</v>
      </c>
      <c r="BZ115" s="134" t="n">
        <f aca="false">SUMIF('Basis Options'!$X:$X,CONCATENATE($AK115,BZ$4),'Basis Options'!$AF:$AF)</f>
        <v>0</v>
      </c>
      <c r="CA115" s="134" t="n">
        <f aca="false">SUMIF('Basis Options'!$X:$X,CONCATENATE($AK115,CA$4),'Basis Options'!$AF:$AF)</f>
        <v>0</v>
      </c>
      <c r="CB115" s="134" t="n">
        <f aca="false">SUMIF('Basis Options'!$X:$X,CONCATENATE($AK115,CB$4),'Basis Options'!$AF:$AF)</f>
        <v>0</v>
      </c>
      <c r="CC115" s="134" t="n">
        <f aca="false">SUMIF('Basis Options'!$X:$X,CONCATENATE($AK115,CC$4),'Basis Options'!$AF:$AF)</f>
        <v>0</v>
      </c>
      <c r="CD115" s="134"/>
      <c r="CE115" s="134" t="n">
        <f aca="false">SUMIF('Basis Options'!$X:$X,CONCATENATE($AK115,CE$4),'Basis Options'!$AF:$AF)</f>
        <v>0</v>
      </c>
      <c r="CF115" s="134"/>
      <c r="CG115" s="208" t="n">
        <f aca="false">EOMONTH(CG114,0)+1</f>
        <v>40087</v>
      </c>
      <c r="CH115" s="135" t="n">
        <f aca="false">SUM(BT115:CF115)</f>
        <v>0</v>
      </c>
    </row>
    <row r="116" customFormat="false" ht="12.75" hidden="false" customHeight="false" outlineLevel="0" collapsed="false">
      <c r="A116" s="208" t="n">
        <f aca="false">EOMONTH(A115,0)+1</f>
        <v>40118</v>
      </c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208" t="n">
        <f aca="false">EOMONTH(O115,0)+1</f>
        <v>40118</v>
      </c>
      <c r="P116" s="135" t="n">
        <f aca="false">SUM(B116:N116)</f>
        <v>0</v>
      </c>
      <c r="S116" s="208" t="n">
        <f aca="false">EOMONTH(S115,0)+1</f>
        <v>40118</v>
      </c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208" t="n">
        <f aca="false">EOMONTH(AG115,0)+1</f>
        <v>40118</v>
      </c>
      <c r="AH116" s="135" t="n">
        <f aca="false">SUM(T116:AF116)</f>
        <v>0</v>
      </c>
      <c r="AK116" s="208" t="n">
        <f aca="false">EOMONTH(AK115,0)+1</f>
        <v>40118</v>
      </c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208" t="n">
        <f aca="false">EOMONTH(AY115,0)+1</f>
        <v>40118</v>
      </c>
      <c r="AZ116" s="135" t="n">
        <f aca="false">SUM(AL116:AX116)</f>
        <v>0</v>
      </c>
      <c r="BB116" s="208" t="n">
        <f aca="false">EOMONTH(BB115,0)+1</f>
        <v>40118</v>
      </c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208" t="n">
        <f aca="false">EOMONTH(BP115,0)+1</f>
        <v>40118</v>
      </c>
      <c r="BQ116" s="135" t="n">
        <f aca="false">SUM(BC116:BO116)</f>
        <v>0</v>
      </c>
      <c r="BS116" s="208" t="n">
        <f aca="false">EOMONTH(BS115,0)+1</f>
        <v>40118</v>
      </c>
      <c r="BT116" s="134" t="n">
        <f aca="false">SUMIF('Basis Options'!$X:$X,CONCATENATE($AK116,BT$4),'Basis Options'!$AF:$AF)</f>
        <v>0</v>
      </c>
      <c r="BU116" s="134" t="n">
        <f aca="false">SUMIF('Basis Options'!$X:$X,CONCATENATE($AK116,BU$4),'Basis Options'!$AF:$AF)</f>
        <v>0</v>
      </c>
      <c r="BV116" s="134" t="n">
        <f aca="false">SUMIF('Basis Options'!$X:$X,CONCATENATE($AK116,BV$4),'Basis Options'!$AF:$AF)</f>
        <v>0</v>
      </c>
      <c r="BW116" s="134" t="n">
        <f aca="false">SUMIF('Basis Options'!$X:$X,CONCATENATE($AK116,BW$4),'Basis Options'!$AF:$AF)</f>
        <v>0</v>
      </c>
      <c r="BX116" s="134" t="n">
        <f aca="false">SUMIF('Basis Options'!$X:$X,CONCATENATE($AK116,BX$4),'Basis Options'!$AF:$AF)</f>
        <v>0</v>
      </c>
      <c r="BY116" s="134" t="n">
        <f aca="false">SUMIF('Basis Options'!$X:$X,CONCATENATE($AK116,BY$4),'Basis Options'!$AF:$AF)</f>
        <v>0</v>
      </c>
      <c r="BZ116" s="134" t="n">
        <f aca="false">SUMIF('Basis Options'!$X:$X,CONCATENATE($AK116,BZ$4),'Basis Options'!$AF:$AF)</f>
        <v>0</v>
      </c>
      <c r="CA116" s="134" t="n">
        <f aca="false">SUMIF('Basis Options'!$X:$X,CONCATENATE($AK116,CA$4),'Basis Options'!$AF:$AF)</f>
        <v>0</v>
      </c>
      <c r="CB116" s="134" t="n">
        <f aca="false">SUMIF('Basis Options'!$X:$X,CONCATENATE($AK116,CB$4),'Basis Options'!$AF:$AF)</f>
        <v>0</v>
      </c>
      <c r="CC116" s="134" t="n">
        <f aca="false">SUMIF('Basis Options'!$X:$X,CONCATENATE($AK116,CC$4),'Basis Options'!$AF:$AF)</f>
        <v>0</v>
      </c>
      <c r="CD116" s="134"/>
      <c r="CE116" s="134" t="n">
        <f aca="false">SUMIF('Basis Options'!$X:$X,CONCATENATE($AK116,CE$4),'Basis Options'!$AF:$AF)</f>
        <v>0</v>
      </c>
      <c r="CF116" s="134"/>
      <c r="CG116" s="208" t="n">
        <f aca="false">EOMONTH(CG115,0)+1</f>
        <v>40118</v>
      </c>
      <c r="CH116" s="135" t="n">
        <f aca="false">SUM(BT116:CF116)</f>
        <v>0</v>
      </c>
    </row>
    <row r="117" customFormat="false" ht="12.75" hidden="false" customHeight="false" outlineLevel="0" collapsed="false">
      <c r="A117" s="208" t="n">
        <f aca="false">EOMONTH(A116,0)+1</f>
        <v>40148</v>
      </c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208" t="n">
        <f aca="false">EOMONTH(O116,0)+1</f>
        <v>40148</v>
      </c>
      <c r="P117" s="135" t="n">
        <f aca="false">SUM(B117:N117)</f>
        <v>0</v>
      </c>
      <c r="S117" s="208" t="n">
        <f aca="false">EOMONTH(S116,0)+1</f>
        <v>40148</v>
      </c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208" t="n">
        <f aca="false">EOMONTH(AG116,0)+1</f>
        <v>40148</v>
      </c>
      <c r="AH117" s="135" t="n">
        <f aca="false">SUM(T117:AF117)</f>
        <v>0</v>
      </c>
      <c r="AK117" s="208" t="n">
        <f aca="false">EOMONTH(AK116,0)+1</f>
        <v>40148</v>
      </c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208" t="n">
        <f aca="false">EOMONTH(AY116,0)+1</f>
        <v>40148</v>
      </c>
      <c r="AZ117" s="135" t="n">
        <f aca="false">SUM(AL117:AX117)</f>
        <v>0</v>
      </c>
      <c r="BB117" s="208" t="n">
        <f aca="false">EOMONTH(BB116,0)+1</f>
        <v>40148</v>
      </c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208" t="n">
        <f aca="false">EOMONTH(BP116,0)+1</f>
        <v>40148</v>
      </c>
      <c r="BQ117" s="135" t="n">
        <f aca="false">SUM(BC117:BO117)</f>
        <v>0</v>
      </c>
      <c r="BS117" s="208" t="n">
        <f aca="false">EOMONTH(BS116,0)+1</f>
        <v>40148</v>
      </c>
      <c r="BT117" s="134" t="n">
        <f aca="false">SUMIF('Basis Options'!$X:$X,CONCATENATE($AK117,BT$4),'Basis Options'!$AF:$AF)</f>
        <v>0</v>
      </c>
      <c r="BU117" s="134" t="n">
        <f aca="false">SUMIF('Basis Options'!$X:$X,CONCATENATE($AK117,BU$4),'Basis Options'!$AF:$AF)</f>
        <v>0</v>
      </c>
      <c r="BV117" s="134" t="n">
        <f aca="false">SUMIF('Basis Options'!$X:$X,CONCATENATE($AK117,BV$4),'Basis Options'!$AF:$AF)</f>
        <v>0</v>
      </c>
      <c r="BW117" s="134" t="n">
        <f aca="false">SUMIF('Basis Options'!$X:$X,CONCATENATE($AK117,BW$4),'Basis Options'!$AF:$AF)</f>
        <v>0</v>
      </c>
      <c r="BX117" s="134" t="n">
        <f aca="false">SUMIF('Basis Options'!$X:$X,CONCATENATE($AK117,BX$4),'Basis Options'!$AF:$AF)</f>
        <v>0</v>
      </c>
      <c r="BY117" s="134" t="n">
        <f aca="false">SUMIF('Basis Options'!$X:$X,CONCATENATE($AK117,BY$4),'Basis Options'!$AF:$AF)</f>
        <v>0</v>
      </c>
      <c r="BZ117" s="134" t="n">
        <f aca="false">SUMIF('Basis Options'!$X:$X,CONCATENATE($AK117,BZ$4),'Basis Options'!$AF:$AF)</f>
        <v>0</v>
      </c>
      <c r="CA117" s="134" t="n">
        <f aca="false">SUMIF('Basis Options'!$X:$X,CONCATENATE($AK117,CA$4),'Basis Options'!$AF:$AF)</f>
        <v>0</v>
      </c>
      <c r="CB117" s="134" t="n">
        <f aca="false">SUMIF('Basis Options'!$X:$X,CONCATENATE($AK117,CB$4),'Basis Options'!$AF:$AF)</f>
        <v>0</v>
      </c>
      <c r="CC117" s="134" t="n">
        <f aca="false">SUMIF('Basis Options'!$X:$X,CONCATENATE($AK117,CC$4),'Basis Options'!$AF:$AF)</f>
        <v>0</v>
      </c>
      <c r="CD117" s="134"/>
      <c r="CE117" s="134" t="n">
        <f aca="false">SUMIF('Basis Options'!$X:$X,CONCATENATE($AK117,CE$4),'Basis Options'!$AF:$AF)</f>
        <v>0</v>
      </c>
      <c r="CF117" s="134"/>
      <c r="CG117" s="208" t="n">
        <f aca="false">EOMONTH(CG116,0)+1</f>
        <v>40148</v>
      </c>
      <c r="CH117" s="135" t="n">
        <f aca="false">SUM(BT117:CF117)</f>
        <v>0</v>
      </c>
    </row>
    <row r="118" customFormat="false" ht="12.75" hidden="false" customHeight="false" outlineLevel="0" collapsed="false">
      <c r="A118" s="208" t="n">
        <f aca="false">EOMONTH(A117,0)+1</f>
        <v>40179</v>
      </c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208" t="n">
        <f aca="false">EOMONTH(O117,0)+1</f>
        <v>40179</v>
      </c>
      <c r="P118" s="135" t="n">
        <f aca="false">SUM(B118:N118)</f>
        <v>0</v>
      </c>
      <c r="S118" s="208" t="n">
        <f aca="false">EOMONTH(S117,0)+1</f>
        <v>40179</v>
      </c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208" t="n">
        <f aca="false">EOMONTH(AG117,0)+1</f>
        <v>40179</v>
      </c>
      <c r="AH118" s="135" t="n">
        <f aca="false">SUM(T118:AF118)</f>
        <v>0</v>
      </c>
      <c r="AK118" s="208" t="n">
        <f aca="false">EOMONTH(AK117,0)+1</f>
        <v>40179</v>
      </c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208" t="n">
        <f aca="false">EOMONTH(AY117,0)+1</f>
        <v>40179</v>
      </c>
      <c r="AZ118" s="135" t="n">
        <f aca="false">SUM(AL118:AX118)</f>
        <v>0</v>
      </c>
      <c r="BB118" s="208" t="n">
        <f aca="false">EOMONTH(BB117,0)+1</f>
        <v>40179</v>
      </c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208" t="n">
        <f aca="false">EOMONTH(BP117,0)+1</f>
        <v>40179</v>
      </c>
      <c r="BQ118" s="135" t="n">
        <f aca="false">SUM(BC118:BO118)</f>
        <v>0</v>
      </c>
      <c r="BS118" s="208" t="n">
        <f aca="false">EOMONTH(BS117,0)+1</f>
        <v>40179</v>
      </c>
      <c r="BT118" s="134" t="n">
        <f aca="false">SUMIF('Basis Options'!$X:$X,CONCATENATE($AK118,BT$4),'Basis Options'!$AF:$AF)</f>
        <v>0</v>
      </c>
      <c r="BU118" s="134" t="n">
        <f aca="false">SUMIF('Basis Options'!$X:$X,CONCATENATE($AK118,BU$4),'Basis Options'!$AF:$AF)</f>
        <v>0</v>
      </c>
      <c r="BV118" s="134" t="n">
        <f aca="false">SUMIF('Basis Options'!$X:$X,CONCATENATE($AK118,BV$4),'Basis Options'!$AF:$AF)</f>
        <v>0</v>
      </c>
      <c r="BW118" s="134" t="n">
        <f aca="false">SUMIF('Basis Options'!$X:$X,CONCATENATE($AK118,BW$4),'Basis Options'!$AF:$AF)</f>
        <v>0</v>
      </c>
      <c r="BX118" s="134" t="n">
        <f aca="false">SUMIF('Basis Options'!$X:$X,CONCATENATE($AK118,BX$4),'Basis Options'!$AF:$AF)</f>
        <v>0</v>
      </c>
      <c r="BY118" s="134" t="n">
        <f aca="false">SUMIF('Basis Options'!$X:$X,CONCATENATE($AK118,BY$4),'Basis Options'!$AF:$AF)</f>
        <v>0</v>
      </c>
      <c r="BZ118" s="134" t="n">
        <f aca="false">SUMIF('Basis Options'!$X:$X,CONCATENATE($AK118,BZ$4),'Basis Options'!$AF:$AF)</f>
        <v>0</v>
      </c>
      <c r="CA118" s="134" t="n">
        <f aca="false">SUMIF('Basis Options'!$X:$X,CONCATENATE($AK118,CA$4),'Basis Options'!$AF:$AF)</f>
        <v>0</v>
      </c>
      <c r="CB118" s="134" t="n">
        <f aca="false">SUMIF('Basis Options'!$X:$X,CONCATENATE($AK118,CB$4),'Basis Options'!$AF:$AF)</f>
        <v>0</v>
      </c>
      <c r="CC118" s="134" t="n">
        <f aca="false">SUMIF('Basis Options'!$X:$X,CONCATENATE($AK118,CC$4),'Basis Options'!$AF:$AF)</f>
        <v>0</v>
      </c>
      <c r="CD118" s="134"/>
      <c r="CE118" s="134" t="n">
        <f aca="false">SUMIF('Basis Options'!$X:$X,CONCATENATE($AK118,CE$4),'Basis Options'!$AF:$AF)</f>
        <v>0</v>
      </c>
      <c r="CF118" s="134"/>
      <c r="CG118" s="208" t="n">
        <f aca="false">EOMONTH(CG117,0)+1</f>
        <v>40179</v>
      </c>
      <c r="CH118" s="135" t="n">
        <f aca="false">SUM(BT118:CF118)</f>
        <v>0</v>
      </c>
    </row>
    <row r="119" customFormat="false" ht="12.75" hidden="false" customHeight="false" outlineLevel="0" collapsed="false">
      <c r="A119" s="208" t="n">
        <f aca="false">EOMONTH(A118,0)+1</f>
        <v>40210</v>
      </c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208" t="n">
        <f aca="false">EOMONTH(O118,0)+1</f>
        <v>40210</v>
      </c>
      <c r="P119" s="135" t="n">
        <f aca="false">SUM(B119:N119)</f>
        <v>0</v>
      </c>
      <c r="S119" s="208" t="n">
        <f aca="false">EOMONTH(S118,0)+1</f>
        <v>40210</v>
      </c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208" t="n">
        <f aca="false">EOMONTH(AG118,0)+1</f>
        <v>40210</v>
      </c>
      <c r="AH119" s="135" t="n">
        <f aca="false">SUM(T119:AF119)</f>
        <v>0</v>
      </c>
      <c r="AK119" s="208" t="n">
        <f aca="false">EOMONTH(AK118,0)+1</f>
        <v>40210</v>
      </c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208" t="n">
        <f aca="false">EOMONTH(AY118,0)+1</f>
        <v>40210</v>
      </c>
      <c r="AZ119" s="135" t="n">
        <f aca="false">SUM(AL119:AX119)</f>
        <v>0</v>
      </c>
      <c r="BB119" s="208" t="n">
        <f aca="false">EOMONTH(BB118,0)+1</f>
        <v>40210</v>
      </c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208" t="n">
        <f aca="false">EOMONTH(BP118,0)+1</f>
        <v>40210</v>
      </c>
      <c r="BQ119" s="135" t="n">
        <f aca="false">SUM(BC119:BO119)</f>
        <v>0</v>
      </c>
      <c r="BS119" s="208" t="n">
        <f aca="false">EOMONTH(BS118,0)+1</f>
        <v>40210</v>
      </c>
      <c r="BT119" s="134" t="n">
        <f aca="false">SUMIF('Basis Options'!$X:$X,CONCATENATE($AK119,BT$4),'Basis Options'!$AF:$AF)</f>
        <v>0</v>
      </c>
      <c r="BU119" s="134" t="n">
        <f aca="false">SUMIF('Basis Options'!$X:$X,CONCATENATE($AK119,BU$4),'Basis Options'!$AF:$AF)</f>
        <v>0</v>
      </c>
      <c r="BV119" s="134" t="n">
        <f aca="false">SUMIF('Basis Options'!$X:$X,CONCATENATE($AK119,BV$4),'Basis Options'!$AF:$AF)</f>
        <v>0</v>
      </c>
      <c r="BW119" s="134" t="n">
        <f aca="false">SUMIF('Basis Options'!$X:$X,CONCATENATE($AK119,BW$4),'Basis Options'!$AF:$AF)</f>
        <v>0</v>
      </c>
      <c r="BX119" s="134" t="n">
        <f aca="false">SUMIF('Basis Options'!$X:$X,CONCATENATE($AK119,BX$4),'Basis Options'!$AF:$AF)</f>
        <v>0</v>
      </c>
      <c r="BY119" s="134" t="n">
        <f aca="false">SUMIF('Basis Options'!$X:$X,CONCATENATE($AK119,BY$4),'Basis Options'!$AF:$AF)</f>
        <v>0</v>
      </c>
      <c r="BZ119" s="134" t="n">
        <f aca="false">SUMIF('Basis Options'!$X:$X,CONCATENATE($AK119,BZ$4),'Basis Options'!$AF:$AF)</f>
        <v>0</v>
      </c>
      <c r="CA119" s="134" t="n">
        <f aca="false">SUMIF('Basis Options'!$X:$X,CONCATENATE($AK119,CA$4),'Basis Options'!$AF:$AF)</f>
        <v>0</v>
      </c>
      <c r="CB119" s="134" t="n">
        <f aca="false">SUMIF('Basis Options'!$X:$X,CONCATENATE($AK119,CB$4),'Basis Options'!$AF:$AF)</f>
        <v>0</v>
      </c>
      <c r="CC119" s="134" t="n">
        <f aca="false">SUMIF('Basis Options'!$X:$X,CONCATENATE($AK119,CC$4),'Basis Options'!$AF:$AF)</f>
        <v>0</v>
      </c>
      <c r="CD119" s="134"/>
      <c r="CE119" s="134" t="n">
        <f aca="false">SUMIF('Basis Options'!$X:$X,CONCATENATE($AK119,CE$4),'Basis Options'!$AF:$AF)</f>
        <v>0</v>
      </c>
      <c r="CF119" s="134"/>
      <c r="CG119" s="208" t="n">
        <f aca="false">EOMONTH(CG118,0)+1</f>
        <v>40210</v>
      </c>
      <c r="CH119" s="135" t="n">
        <f aca="false">SUM(BT119:CF119)</f>
        <v>0</v>
      </c>
    </row>
    <row r="120" customFormat="false" ht="12.75" hidden="false" customHeight="false" outlineLevel="0" collapsed="false">
      <c r="A120" s="208" t="n">
        <f aca="false">EOMONTH(A119,0)+1</f>
        <v>40238</v>
      </c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208" t="n">
        <f aca="false">EOMONTH(O119,0)+1</f>
        <v>40238</v>
      </c>
      <c r="P120" s="135" t="n">
        <f aca="false">SUM(B120:N120)</f>
        <v>0</v>
      </c>
      <c r="S120" s="208" t="n">
        <f aca="false">EOMONTH(S119,0)+1</f>
        <v>40238</v>
      </c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208" t="n">
        <f aca="false">EOMONTH(AG119,0)+1</f>
        <v>40238</v>
      </c>
      <c r="AH120" s="135" t="n">
        <f aca="false">SUM(T120:AF120)</f>
        <v>0</v>
      </c>
      <c r="AK120" s="208" t="n">
        <f aca="false">EOMONTH(AK119,0)+1</f>
        <v>40238</v>
      </c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208" t="n">
        <f aca="false">EOMONTH(AY119,0)+1</f>
        <v>40238</v>
      </c>
      <c r="AZ120" s="135" t="n">
        <f aca="false">SUM(AL120:AX120)</f>
        <v>0</v>
      </c>
      <c r="BB120" s="208" t="n">
        <f aca="false">EOMONTH(BB119,0)+1</f>
        <v>40238</v>
      </c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208" t="n">
        <f aca="false">EOMONTH(BP119,0)+1</f>
        <v>40238</v>
      </c>
      <c r="BQ120" s="135" t="n">
        <f aca="false">SUM(BC120:BO120)</f>
        <v>0</v>
      </c>
      <c r="BS120" s="208" t="n">
        <f aca="false">EOMONTH(BS119,0)+1</f>
        <v>40238</v>
      </c>
      <c r="BT120" s="134" t="n">
        <f aca="false">SUMIF('Basis Options'!$X:$X,CONCATENATE($AK120,BT$4),'Basis Options'!$AF:$AF)</f>
        <v>0</v>
      </c>
      <c r="BU120" s="134" t="n">
        <f aca="false">SUMIF('Basis Options'!$X:$X,CONCATENATE($AK120,BU$4),'Basis Options'!$AF:$AF)</f>
        <v>0</v>
      </c>
      <c r="BV120" s="134" t="n">
        <f aca="false">SUMIF('Basis Options'!$X:$X,CONCATENATE($AK120,BV$4),'Basis Options'!$AF:$AF)</f>
        <v>0</v>
      </c>
      <c r="BW120" s="134" t="n">
        <f aca="false">SUMIF('Basis Options'!$X:$X,CONCATENATE($AK120,BW$4),'Basis Options'!$AF:$AF)</f>
        <v>0</v>
      </c>
      <c r="BX120" s="134" t="n">
        <f aca="false">SUMIF('Basis Options'!$X:$X,CONCATENATE($AK120,BX$4),'Basis Options'!$AF:$AF)</f>
        <v>0</v>
      </c>
      <c r="BY120" s="134" t="n">
        <f aca="false">SUMIF('Basis Options'!$X:$X,CONCATENATE($AK120,BY$4),'Basis Options'!$AF:$AF)</f>
        <v>0</v>
      </c>
      <c r="BZ120" s="134" t="n">
        <f aca="false">SUMIF('Basis Options'!$X:$X,CONCATENATE($AK120,BZ$4),'Basis Options'!$AF:$AF)</f>
        <v>0</v>
      </c>
      <c r="CA120" s="134" t="n">
        <f aca="false">SUMIF('Basis Options'!$X:$X,CONCATENATE($AK120,CA$4),'Basis Options'!$AF:$AF)</f>
        <v>0</v>
      </c>
      <c r="CB120" s="134" t="n">
        <f aca="false">SUMIF('Basis Options'!$X:$X,CONCATENATE($AK120,CB$4),'Basis Options'!$AF:$AF)</f>
        <v>0</v>
      </c>
      <c r="CC120" s="134" t="n">
        <f aca="false">SUMIF('Basis Options'!$X:$X,CONCATENATE($AK120,CC$4),'Basis Options'!$AF:$AF)</f>
        <v>0</v>
      </c>
      <c r="CD120" s="134"/>
      <c r="CE120" s="134" t="n">
        <f aca="false">SUMIF('Basis Options'!$X:$X,CONCATENATE($AK120,CE$4),'Basis Options'!$AF:$AF)</f>
        <v>0</v>
      </c>
      <c r="CF120" s="134"/>
      <c r="CG120" s="208" t="n">
        <f aca="false">EOMONTH(CG119,0)+1</f>
        <v>40238</v>
      </c>
      <c r="CH120" s="135" t="n">
        <f aca="false">SUM(BT120:CF120)</f>
        <v>0</v>
      </c>
    </row>
    <row r="121" customFormat="false" ht="12.75" hidden="false" customHeight="false" outlineLevel="0" collapsed="false">
      <c r="A121" s="208" t="n">
        <f aca="false">EOMONTH(A120,0)+1</f>
        <v>40269</v>
      </c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208" t="n">
        <f aca="false">EOMONTH(O120,0)+1</f>
        <v>40269</v>
      </c>
      <c r="P121" s="135" t="n">
        <f aca="false">SUM(B121:N121)</f>
        <v>0</v>
      </c>
      <c r="S121" s="208" t="n">
        <f aca="false">EOMONTH(S120,0)+1</f>
        <v>40269</v>
      </c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208" t="n">
        <f aca="false">EOMONTH(AG120,0)+1</f>
        <v>40269</v>
      </c>
      <c r="AH121" s="135" t="n">
        <f aca="false">SUM(T121:AF121)</f>
        <v>0</v>
      </c>
      <c r="AK121" s="208" t="n">
        <f aca="false">EOMONTH(AK120,0)+1</f>
        <v>40269</v>
      </c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208" t="n">
        <f aca="false">EOMONTH(AY120,0)+1</f>
        <v>40269</v>
      </c>
      <c r="AZ121" s="135" t="n">
        <f aca="false">SUM(AL121:AX121)</f>
        <v>0</v>
      </c>
      <c r="BB121" s="208" t="n">
        <f aca="false">EOMONTH(BB120,0)+1</f>
        <v>40269</v>
      </c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208" t="n">
        <f aca="false">EOMONTH(BP120,0)+1</f>
        <v>40269</v>
      </c>
      <c r="BQ121" s="135" t="n">
        <f aca="false">SUM(BC121:BO121)</f>
        <v>0</v>
      </c>
      <c r="BS121" s="208" t="n">
        <f aca="false">EOMONTH(BS120,0)+1</f>
        <v>40269</v>
      </c>
      <c r="BT121" s="134" t="n">
        <f aca="false">SUMIF('Basis Options'!$X:$X,CONCATENATE($AK121,BT$4),'Basis Options'!$AF:$AF)</f>
        <v>0</v>
      </c>
      <c r="BU121" s="134" t="n">
        <f aca="false">SUMIF('Basis Options'!$X:$X,CONCATENATE($AK121,BU$4),'Basis Options'!$AF:$AF)</f>
        <v>0</v>
      </c>
      <c r="BV121" s="134" t="n">
        <f aca="false">SUMIF('Basis Options'!$X:$X,CONCATENATE($AK121,BV$4),'Basis Options'!$AF:$AF)</f>
        <v>0</v>
      </c>
      <c r="BW121" s="134" t="n">
        <f aca="false">SUMIF('Basis Options'!$X:$X,CONCATENATE($AK121,BW$4),'Basis Options'!$AF:$AF)</f>
        <v>0</v>
      </c>
      <c r="BX121" s="134" t="n">
        <f aca="false">SUMIF('Basis Options'!$X:$X,CONCATENATE($AK121,BX$4),'Basis Options'!$AF:$AF)</f>
        <v>0</v>
      </c>
      <c r="BY121" s="134" t="n">
        <f aca="false">SUMIF('Basis Options'!$X:$X,CONCATENATE($AK121,BY$4),'Basis Options'!$AF:$AF)</f>
        <v>0</v>
      </c>
      <c r="BZ121" s="134" t="n">
        <f aca="false">SUMIF('Basis Options'!$X:$X,CONCATENATE($AK121,BZ$4),'Basis Options'!$AF:$AF)</f>
        <v>0</v>
      </c>
      <c r="CA121" s="134" t="n">
        <f aca="false">SUMIF('Basis Options'!$X:$X,CONCATENATE($AK121,CA$4),'Basis Options'!$AF:$AF)</f>
        <v>0</v>
      </c>
      <c r="CB121" s="134" t="n">
        <f aca="false">SUMIF('Basis Options'!$X:$X,CONCATENATE($AK121,CB$4),'Basis Options'!$AF:$AF)</f>
        <v>0</v>
      </c>
      <c r="CC121" s="134" t="n">
        <f aca="false">SUMIF('Basis Options'!$X:$X,CONCATENATE($AK121,CC$4),'Basis Options'!$AF:$AF)</f>
        <v>0</v>
      </c>
      <c r="CD121" s="134"/>
      <c r="CE121" s="134" t="n">
        <f aca="false">SUMIF('Basis Options'!$X:$X,CONCATENATE($AK121,CE$4),'Basis Options'!$AF:$AF)</f>
        <v>0</v>
      </c>
      <c r="CF121" s="134"/>
      <c r="CG121" s="208" t="n">
        <f aca="false">EOMONTH(CG120,0)+1</f>
        <v>40269</v>
      </c>
      <c r="CH121" s="135" t="n">
        <f aca="false">SUM(BT121:CF121)</f>
        <v>0</v>
      </c>
    </row>
    <row r="122" customFormat="false" ht="12.75" hidden="false" customHeight="false" outlineLevel="0" collapsed="false">
      <c r="A122" s="208" t="n">
        <f aca="false">EOMONTH(A121,0)+1</f>
        <v>40299</v>
      </c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208" t="n">
        <f aca="false">EOMONTH(O121,0)+1</f>
        <v>40299</v>
      </c>
      <c r="P122" s="135" t="n">
        <f aca="false">SUM(B122:N122)</f>
        <v>0</v>
      </c>
      <c r="S122" s="208" t="n">
        <f aca="false">EOMONTH(S121,0)+1</f>
        <v>40299</v>
      </c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208" t="n">
        <f aca="false">EOMONTH(AG121,0)+1</f>
        <v>40299</v>
      </c>
      <c r="AH122" s="135" t="n">
        <f aca="false">SUM(T122:AF122)</f>
        <v>0</v>
      </c>
      <c r="AK122" s="208" t="n">
        <f aca="false">EOMONTH(AK121,0)+1</f>
        <v>40299</v>
      </c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208" t="n">
        <f aca="false">EOMONTH(AY121,0)+1</f>
        <v>40299</v>
      </c>
      <c r="AZ122" s="135" t="n">
        <f aca="false">SUM(AL122:AX122)</f>
        <v>0</v>
      </c>
      <c r="BB122" s="208" t="n">
        <f aca="false">EOMONTH(BB121,0)+1</f>
        <v>40299</v>
      </c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208" t="n">
        <f aca="false">EOMONTH(BP121,0)+1</f>
        <v>40299</v>
      </c>
      <c r="BQ122" s="135" t="n">
        <f aca="false">SUM(BC122:BO122)</f>
        <v>0</v>
      </c>
      <c r="BS122" s="208" t="n">
        <f aca="false">EOMONTH(BS121,0)+1</f>
        <v>40299</v>
      </c>
      <c r="BT122" s="134" t="n">
        <f aca="false">SUMIF('Basis Options'!$X:$X,CONCATENATE($AK122,BT$4),'Basis Options'!$AF:$AF)</f>
        <v>0</v>
      </c>
      <c r="BU122" s="134" t="n">
        <f aca="false">SUMIF('Basis Options'!$X:$X,CONCATENATE($AK122,BU$4),'Basis Options'!$AF:$AF)</f>
        <v>0</v>
      </c>
      <c r="BV122" s="134" t="n">
        <f aca="false">SUMIF('Basis Options'!$X:$X,CONCATENATE($AK122,BV$4),'Basis Options'!$AF:$AF)</f>
        <v>0</v>
      </c>
      <c r="BW122" s="134" t="n">
        <f aca="false">SUMIF('Basis Options'!$X:$X,CONCATENATE($AK122,BW$4),'Basis Options'!$AF:$AF)</f>
        <v>0</v>
      </c>
      <c r="BX122" s="134" t="n">
        <f aca="false">SUMIF('Basis Options'!$X:$X,CONCATENATE($AK122,BX$4),'Basis Options'!$AF:$AF)</f>
        <v>0</v>
      </c>
      <c r="BY122" s="134" t="n">
        <f aca="false">SUMIF('Basis Options'!$X:$X,CONCATENATE($AK122,BY$4),'Basis Options'!$AF:$AF)</f>
        <v>0</v>
      </c>
      <c r="BZ122" s="134" t="n">
        <f aca="false">SUMIF('Basis Options'!$X:$X,CONCATENATE($AK122,BZ$4),'Basis Options'!$AF:$AF)</f>
        <v>0</v>
      </c>
      <c r="CA122" s="134" t="n">
        <f aca="false">SUMIF('Basis Options'!$X:$X,CONCATENATE($AK122,CA$4),'Basis Options'!$AF:$AF)</f>
        <v>0</v>
      </c>
      <c r="CB122" s="134" t="n">
        <f aca="false">SUMIF('Basis Options'!$X:$X,CONCATENATE($AK122,CB$4),'Basis Options'!$AF:$AF)</f>
        <v>0</v>
      </c>
      <c r="CC122" s="134" t="n">
        <f aca="false">SUMIF('Basis Options'!$X:$X,CONCATENATE($AK122,CC$4),'Basis Options'!$AF:$AF)</f>
        <v>0</v>
      </c>
      <c r="CD122" s="134"/>
      <c r="CE122" s="134" t="n">
        <f aca="false">SUMIF('Basis Options'!$X:$X,CONCATENATE($AK122,CE$4),'Basis Options'!$AF:$AF)</f>
        <v>0</v>
      </c>
      <c r="CF122" s="134"/>
      <c r="CG122" s="208" t="n">
        <f aca="false">EOMONTH(CG121,0)+1</f>
        <v>40299</v>
      </c>
      <c r="CH122" s="135" t="n">
        <f aca="false">SUM(BT122:CF122)</f>
        <v>0</v>
      </c>
    </row>
    <row r="123" customFormat="false" ht="12.75" hidden="false" customHeight="false" outlineLevel="0" collapsed="false">
      <c r="A123" s="208" t="n">
        <f aca="false">EOMONTH(A122,0)+1</f>
        <v>40330</v>
      </c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208" t="n">
        <f aca="false">EOMONTH(O122,0)+1</f>
        <v>40330</v>
      </c>
      <c r="P123" s="135" t="n">
        <f aca="false">SUM(B123:N123)</f>
        <v>0</v>
      </c>
      <c r="S123" s="208" t="n">
        <f aca="false">EOMONTH(S122,0)+1</f>
        <v>40330</v>
      </c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208" t="n">
        <f aca="false">EOMONTH(AG122,0)+1</f>
        <v>40330</v>
      </c>
      <c r="AH123" s="135" t="n">
        <f aca="false">SUM(T123:AF123)</f>
        <v>0</v>
      </c>
      <c r="AK123" s="208" t="n">
        <f aca="false">EOMONTH(AK122,0)+1</f>
        <v>40330</v>
      </c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208" t="n">
        <f aca="false">EOMONTH(AY122,0)+1</f>
        <v>40330</v>
      </c>
      <c r="AZ123" s="135" t="n">
        <f aca="false">SUM(AL123:AX123)</f>
        <v>0</v>
      </c>
      <c r="BB123" s="208" t="n">
        <f aca="false">EOMONTH(BB122,0)+1</f>
        <v>40330</v>
      </c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208" t="n">
        <f aca="false">EOMONTH(BP122,0)+1</f>
        <v>40330</v>
      </c>
      <c r="BQ123" s="135" t="n">
        <f aca="false">SUM(BC123:BO123)</f>
        <v>0</v>
      </c>
      <c r="BS123" s="208" t="n">
        <f aca="false">EOMONTH(BS122,0)+1</f>
        <v>40330</v>
      </c>
      <c r="BT123" s="134" t="n">
        <f aca="false">SUMIF('Basis Options'!$X:$X,CONCATENATE($AK123,BT$4),'Basis Options'!$AF:$AF)</f>
        <v>0</v>
      </c>
      <c r="BU123" s="134" t="n">
        <f aca="false">SUMIF('Basis Options'!$X:$X,CONCATENATE($AK123,BU$4),'Basis Options'!$AF:$AF)</f>
        <v>0</v>
      </c>
      <c r="BV123" s="134" t="n">
        <f aca="false">SUMIF('Basis Options'!$X:$X,CONCATENATE($AK123,BV$4),'Basis Options'!$AF:$AF)</f>
        <v>0</v>
      </c>
      <c r="BW123" s="134" t="n">
        <f aca="false">SUMIF('Basis Options'!$X:$X,CONCATENATE($AK123,BW$4),'Basis Options'!$AF:$AF)</f>
        <v>0</v>
      </c>
      <c r="BX123" s="134" t="n">
        <f aca="false">SUMIF('Basis Options'!$X:$X,CONCATENATE($AK123,BX$4),'Basis Options'!$AF:$AF)</f>
        <v>0</v>
      </c>
      <c r="BY123" s="134" t="n">
        <f aca="false">SUMIF('Basis Options'!$X:$X,CONCATENATE($AK123,BY$4),'Basis Options'!$AF:$AF)</f>
        <v>0</v>
      </c>
      <c r="BZ123" s="134" t="n">
        <f aca="false">SUMIF('Basis Options'!$X:$X,CONCATENATE($AK123,BZ$4),'Basis Options'!$AF:$AF)</f>
        <v>0</v>
      </c>
      <c r="CA123" s="134" t="n">
        <f aca="false">SUMIF('Basis Options'!$X:$X,CONCATENATE($AK123,CA$4),'Basis Options'!$AF:$AF)</f>
        <v>0</v>
      </c>
      <c r="CB123" s="134" t="n">
        <f aca="false">SUMIF('Basis Options'!$X:$X,CONCATENATE($AK123,CB$4),'Basis Options'!$AF:$AF)</f>
        <v>0</v>
      </c>
      <c r="CC123" s="134" t="n">
        <f aca="false">SUMIF('Basis Options'!$X:$X,CONCATENATE($AK123,CC$4),'Basis Options'!$AF:$AF)</f>
        <v>0</v>
      </c>
      <c r="CD123" s="134"/>
      <c r="CE123" s="134" t="n">
        <f aca="false">SUMIF('Basis Options'!$X:$X,CONCATENATE($AK123,CE$4),'Basis Options'!$AF:$AF)</f>
        <v>0</v>
      </c>
      <c r="CF123" s="134"/>
      <c r="CG123" s="208" t="n">
        <f aca="false">EOMONTH(CG122,0)+1</f>
        <v>40330</v>
      </c>
      <c r="CH123" s="135" t="n">
        <f aca="false">SUM(BT123:CF123)</f>
        <v>0</v>
      </c>
    </row>
    <row r="124" customFormat="false" ht="12.75" hidden="false" customHeight="false" outlineLevel="0" collapsed="false">
      <c r="A124" s="208" t="n">
        <f aca="false">EOMONTH(A123,0)+1</f>
        <v>40360</v>
      </c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208" t="n">
        <f aca="false">EOMONTH(O123,0)+1</f>
        <v>40360</v>
      </c>
      <c r="P124" s="135" t="n">
        <f aca="false">SUM(B124:N124)</f>
        <v>0</v>
      </c>
      <c r="S124" s="208" t="n">
        <f aca="false">EOMONTH(S123,0)+1</f>
        <v>40360</v>
      </c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208" t="n">
        <f aca="false">EOMONTH(AG123,0)+1</f>
        <v>40360</v>
      </c>
      <c r="AH124" s="135" t="n">
        <f aca="false">SUM(T124:AF124)</f>
        <v>0</v>
      </c>
      <c r="AK124" s="208" t="n">
        <f aca="false">EOMONTH(AK123,0)+1</f>
        <v>40360</v>
      </c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208" t="n">
        <f aca="false">EOMONTH(AY123,0)+1</f>
        <v>40360</v>
      </c>
      <c r="AZ124" s="135" t="n">
        <f aca="false">SUM(AL124:AX124)</f>
        <v>0</v>
      </c>
      <c r="BB124" s="208" t="n">
        <f aca="false">EOMONTH(BB123,0)+1</f>
        <v>40360</v>
      </c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208" t="n">
        <f aca="false">EOMONTH(BP123,0)+1</f>
        <v>40360</v>
      </c>
      <c r="BQ124" s="135" t="n">
        <f aca="false">SUM(BC124:BO124)</f>
        <v>0</v>
      </c>
      <c r="BS124" s="208" t="n">
        <f aca="false">EOMONTH(BS123,0)+1</f>
        <v>40360</v>
      </c>
      <c r="BT124" s="134" t="n">
        <f aca="false">SUMIF('Basis Options'!$X:$X,CONCATENATE($AK124,BT$4),'Basis Options'!$AF:$AF)</f>
        <v>0</v>
      </c>
      <c r="BU124" s="134" t="n">
        <f aca="false">SUMIF('Basis Options'!$X:$X,CONCATENATE($AK124,BU$4),'Basis Options'!$AF:$AF)</f>
        <v>0</v>
      </c>
      <c r="BV124" s="134" t="n">
        <f aca="false">SUMIF('Basis Options'!$X:$X,CONCATENATE($AK124,BV$4),'Basis Options'!$AF:$AF)</f>
        <v>0</v>
      </c>
      <c r="BW124" s="134" t="n">
        <f aca="false">SUMIF('Basis Options'!$X:$X,CONCATENATE($AK124,BW$4),'Basis Options'!$AF:$AF)</f>
        <v>0</v>
      </c>
      <c r="BX124" s="134" t="n">
        <f aca="false">SUMIF('Basis Options'!$X:$X,CONCATENATE($AK124,BX$4),'Basis Options'!$AF:$AF)</f>
        <v>0</v>
      </c>
      <c r="BY124" s="134" t="n">
        <f aca="false">SUMIF('Basis Options'!$X:$X,CONCATENATE($AK124,BY$4),'Basis Options'!$AF:$AF)</f>
        <v>0</v>
      </c>
      <c r="BZ124" s="134" t="n">
        <f aca="false">SUMIF('Basis Options'!$X:$X,CONCATENATE($AK124,BZ$4),'Basis Options'!$AF:$AF)</f>
        <v>0</v>
      </c>
      <c r="CA124" s="134" t="n">
        <f aca="false">SUMIF('Basis Options'!$X:$X,CONCATENATE($AK124,CA$4),'Basis Options'!$AF:$AF)</f>
        <v>0</v>
      </c>
      <c r="CB124" s="134" t="n">
        <f aca="false">SUMIF('Basis Options'!$X:$X,CONCATENATE($AK124,CB$4),'Basis Options'!$AF:$AF)</f>
        <v>0</v>
      </c>
      <c r="CC124" s="134" t="n">
        <f aca="false">SUMIF('Basis Options'!$X:$X,CONCATENATE($AK124,CC$4),'Basis Options'!$AF:$AF)</f>
        <v>0</v>
      </c>
      <c r="CD124" s="134"/>
      <c r="CE124" s="134" t="n">
        <f aca="false">SUMIF('Basis Options'!$X:$X,CONCATENATE($AK124,CE$4),'Basis Options'!$AF:$AF)</f>
        <v>0</v>
      </c>
      <c r="CF124" s="134"/>
      <c r="CG124" s="208" t="n">
        <f aca="false">EOMONTH(CG123,0)+1</f>
        <v>40360</v>
      </c>
      <c r="CH124" s="135" t="n">
        <f aca="false">SUM(BT124:CF124)</f>
        <v>0</v>
      </c>
    </row>
    <row r="125" customFormat="false" ht="12.75" hidden="false" customHeight="false" outlineLevel="0" collapsed="false">
      <c r="A125" s="208" t="n">
        <f aca="false">EOMONTH(A124,0)+1</f>
        <v>40391</v>
      </c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208" t="n">
        <f aca="false">EOMONTH(O124,0)+1</f>
        <v>40391</v>
      </c>
      <c r="P125" s="135" t="n">
        <f aca="false">SUM(B125:N125)</f>
        <v>0</v>
      </c>
      <c r="S125" s="208" t="n">
        <f aca="false">EOMONTH(S124,0)+1</f>
        <v>40391</v>
      </c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208" t="n">
        <f aca="false">EOMONTH(AG124,0)+1</f>
        <v>40391</v>
      </c>
      <c r="AH125" s="135" t="n">
        <f aca="false">SUM(T125:AF125)</f>
        <v>0</v>
      </c>
      <c r="AK125" s="208" t="n">
        <f aca="false">EOMONTH(AK124,0)+1</f>
        <v>40391</v>
      </c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208" t="n">
        <f aca="false">EOMONTH(AY124,0)+1</f>
        <v>40391</v>
      </c>
      <c r="AZ125" s="135" t="n">
        <f aca="false">SUM(AL125:AX125)</f>
        <v>0</v>
      </c>
      <c r="BB125" s="208" t="n">
        <f aca="false">EOMONTH(BB124,0)+1</f>
        <v>40391</v>
      </c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208" t="n">
        <f aca="false">EOMONTH(BP124,0)+1</f>
        <v>40391</v>
      </c>
      <c r="BQ125" s="135" t="n">
        <f aca="false">SUM(BC125:BO125)</f>
        <v>0</v>
      </c>
      <c r="BS125" s="208" t="n">
        <f aca="false">EOMONTH(BS124,0)+1</f>
        <v>40391</v>
      </c>
      <c r="BT125" s="134" t="n">
        <f aca="false">SUMIF('Basis Options'!$X:$X,CONCATENATE($AK125,BT$4),'Basis Options'!$AF:$AF)</f>
        <v>0</v>
      </c>
      <c r="BU125" s="134" t="n">
        <f aca="false">SUMIF('Basis Options'!$X:$X,CONCATENATE($AK125,BU$4),'Basis Options'!$AF:$AF)</f>
        <v>0</v>
      </c>
      <c r="BV125" s="134" t="n">
        <f aca="false">SUMIF('Basis Options'!$X:$X,CONCATENATE($AK125,BV$4),'Basis Options'!$AF:$AF)</f>
        <v>0</v>
      </c>
      <c r="BW125" s="134" t="n">
        <f aca="false">SUMIF('Basis Options'!$X:$X,CONCATENATE($AK125,BW$4),'Basis Options'!$AF:$AF)</f>
        <v>0</v>
      </c>
      <c r="BX125" s="134" t="n">
        <f aca="false">SUMIF('Basis Options'!$X:$X,CONCATENATE($AK125,BX$4),'Basis Options'!$AF:$AF)</f>
        <v>0</v>
      </c>
      <c r="BY125" s="134" t="n">
        <f aca="false">SUMIF('Basis Options'!$X:$X,CONCATENATE($AK125,BY$4),'Basis Options'!$AF:$AF)</f>
        <v>0</v>
      </c>
      <c r="BZ125" s="134" t="n">
        <f aca="false">SUMIF('Basis Options'!$X:$X,CONCATENATE($AK125,BZ$4),'Basis Options'!$AF:$AF)</f>
        <v>0</v>
      </c>
      <c r="CA125" s="134" t="n">
        <f aca="false">SUMIF('Basis Options'!$X:$X,CONCATENATE($AK125,CA$4),'Basis Options'!$AF:$AF)</f>
        <v>0</v>
      </c>
      <c r="CB125" s="134" t="n">
        <f aca="false">SUMIF('Basis Options'!$X:$X,CONCATENATE($AK125,CB$4),'Basis Options'!$AF:$AF)</f>
        <v>0</v>
      </c>
      <c r="CC125" s="134" t="n">
        <f aca="false">SUMIF('Basis Options'!$X:$X,CONCATENATE($AK125,CC$4),'Basis Options'!$AF:$AF)</f>
        <v>0</v>
      </c>
      <c r="CD125" s="134"/>
      <c r="CE125" s="134" t="n">
        <f aca="false">SUMIF('Basis Options'!$X:$X,CONCATENATE($AK125,CE$4),'Basis Options'!$AF:$AF)</f>
        <v>0</v>
      </c>
      <c r="CF125" s="134"/>
      <c r="CG125" s="208" t="n">
        <f aca="false">EOMONTH(CG124,0)+1</f>
        <v>40391</v>
      </c>
      <c r="CH125" s="135" t="n">
        <f aca="false">SUM(BT125:CF125)</f>
        <v>0</v>
      </c>
    </row>
    <row r="126" customFormat="false" ht="12.75" hidden="false" customHeight="false" outlineLevel="0" collapsed="false">
      <c r="A126" s="208" t="n">
        <f aca="false">EOMONTH(A125,0)+1</f>
        <v>40422</v>
      </c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208" t="n">
        <f aca="false">EOMONTH(O125,0)+1</f>
        <v>40422</v>
      </c>
      <c r="P126" s="135" t="n">
        <f aca="false">SUM(B126:N126)</f>
        <v>0</v>
      </c>
      <c r="S126" s="208" t="n">
        <f aca="false">EOMONTH(S125,0)+1</f>
        <v>40422</v>
      </c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208" t="n">
        <f aca="false">EOMONTH(AG125,0)+1</f>
        <v>40422</v>
      </c>
      <c r="AH126" s="135" t="n">
        <f aca="false">SUM(T126:AF126)</f>
        <v>0</v>
      </c>
      <c r="AK126" s="208" t="n">
        <f aca="false">EOMONTH(AK125,0)+1</f>
        <v>40422</v>
      </c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208" t="n">
        <f aca="false">EOMONTH(AY125,0)+1</f>
        <v>40422</v>
      </c>
      <c r="AZ126" s="135" t="n">
        <f aca="false">SUM(AL126:AX126)</f>
        <v>0</v>
      </c>
      <c r="BB126" s="208" t="n">
        <f aca="false">EOMONTH(BB125,0)+1</f>
        <v>40422</v>
      </c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208" t="n">
        <f aca="false">EOMONTH(BP125,0)+1</f>
        <v>40422</v>
      </c>
      <c r="BQ126" s="135" t="n">
        <f aca="false">SUM(BC126:BO126)</f>
        <v>0</v>
      </c>
      <c r="BS126" s="208" t="n">
        <f aca="false">EOMONTH(BS125,0)+1</f>
        <v>40422</v>
      </c>
      <c r="BT126" s="134" t="n">
        <f aca="false">SUMIF('Basis Options'!$X:$X,CONCATENATE($AK126,BT$4),'Basis Options'!$AF:$AF)</f>
        <v>0</v>
      </c>
      <c r="BU126" s="134" t="n">
        <f aca="false">SUMIF('Basis Options'!$X:$X,CONCATENATE($AK126,BU$4),'Basis Options'!$AF:$AF)</f>
        <v>0</v>
      </c>
      <c r="BV126" s="134" t="n">
        <f aca="false">SUMIF('Basis Options'!$X:$X,CONCATENATE($AK126,BV$4),'Basis Options'!$AF:$AF)</f>
        <v>0</v>
      </c>
      <c r="BW126" s="134" t="n">
        <f aca="false">SUMIF('Basis Options'!$X:$X,CONCATENATE($AK126,BW$4),'Basis Options'!$AF:$AF)</f>
        <v>0</v>
      </c>
      <c r="BX126" s="134" t="n">
        <f aca="false">SUMIF('Basis Options'!$X:$X,CONCATENATE($AK126,BX$4),'Basis Options'!$AF:$AF)</f>
        <v>0</v>
      </c>
      <c r="BY126" s="134" t="n">
        <f aca="false">SUMIF('Basis Options'!$X:$X,CONCATENATE($AK126,BY$4),'Basis Options'!$AF:$AF)</f>
        <v>0</v>
      </c>
      <c r="BZ126" s="134" t="n">
        <f aca="false">SUMIF('Basis Options'!$X:$X,CONCATENATE($AK126,BZ$4),'Basis Options'!$AF:$AF)</f>
        <v>0</v>
      </c>
      <c r="CA126" s="134" t="n">
        <f aca="false">SUMIF('Basis Options'!$X:$X,CONCATENATE($AK126,CA$4),'Basis Options'!$AF:$AF)</f>
        <v>0</v>
      </c>
      <c r="CB126" s="134" t="n">
        <f aca="false">SUMIF('Basis Options'!$X:$X,CONCATENATE($AK126,CB$4),'Basis Options'!$AF:$AF)</f>
        <v>0</v>
      </c>
      <c r="CC126" s="134" t="n">
        <f aca="false">SUMIF('Basis Options'!$X:$X,CONCATENATE($AK126,CC$4),'Basis Options'!$AF:$AF)</f>
        <v>0</v>
      </c>
      <c r="CD126" s="134"/>
      <c r="CE126" s="134" t="n">
        <f aca="false">SUMIF('Basis Options'!$X:$X,CONCATENATE($AK126,CE$4),'Basis Options'!$AF:$AF)</f>
        <v>0</v>
      </c>
      <c r="CF126" s="134"/>
      <c r="CG126" s="208" t="n">
        <f aca="false">EOMONTH(CG125,0)+1</f>
        <v>40422</v>
      </c>
      <c r="CH126" s="135" t="n">
        <f aca="false">SUM(BT126:CF126)</f>
        <v>0</v>
      </c>
    </row>
    <row r="127" customFormat="false" ht="12.75" hidden="false" customHeight="false" outlineLevel="0" collapsed="false">
      <c r="A127" s="208" t="n">
        <f aca="false">EOMONTH(A126,0)+1</f>
        <v>40452</v>
      </c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208" t="n">
        <f aca="false">EOMONTH(O126,0)+1</f>
        <v>40452</v>
      </c>
      <c r="P127" s="135" t="n">
        <f aca="false">SUM(B127:N127)</f>
        <v>0</v>
      </c>
      <c r="S127" s="208" t="n">
        <f aca="false">EOMONTH(S126,0)+1</f>
        <v>40452</v>
      </c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208" t="n">
        <f aca="false">EOMONTH(AG126,0)+1</f>
        <v>40452</v>
      </c>
      <c r="AH127" s="135" t="n">
        <f aca="false">SUM(T127:AF127)</f>
        <v>0</v>
      </c>
      <c r="AK127" s="208" t="n">
        <f aca="false">EOMONTH(AK126,0)+1</f>
        <v>40452</v>
      </c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208" t="n">
        <f aca="false">EOMONTH(AY126,0)+1</f>
        <v>40452</v>
      </c>
      <c r="AZ127" s="135" t="n">
        <f aca="false">SUM(AL127:AX127)</f>
        <v>0</v>
      </c>
      <c r="BB127" s="208" t="n">
        <f aca="false">EOMONTH(BB126,0)+1</f>
        <v>40452</v>
      </c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208" t="n">
        <f aca="false">EOMONTH(BP126,0)+1</f>
        <v>40452</v>
      </c>
      <c r="BQ127" s="135" t="n">
        <f aca="false">SUM(BC127:BO127)</f>
        <v>0</v>
      </c>
      <c r="BS127" s="208" t="n">
        <f aca="false">EOMONTH(BS126,0)+1</f>
        <v>40452</v>
      </c>
      <c r="BT127" s="134" t="n">
        <f aca="false">SUMIF('Basis Options'!$X:$X,CONCATENATE($AK127,BT$4),'Basis Options'!$AF:$AF)</f>
        <v>0</v>
      </c>
      <c r="BU127" s="134" t="n">
        <f aca="false">SUMIF('Basis Options'!$X:$X,CONCATENATE($AK127,BU$4),'Basis Options'!$AF:$AF)</f>
        <v>0</v>
      </c>
      <c r="BV127" s="134" t="n">
        <f aca="false">SUMIF('Basis Options'!$X:$X,CONCATENATE($AK127,BV$4),'Basis Options'!$AF:$AF)</f>
        <v>0</v>
      </c>
      <c r="BW127" s="134" t="n">
        <f aca="false">SUMIF('Basis Options'!$X:$X,CONCATENATE($AK127,BW$4),'Basis Options'!$AF:$AF)</f>
        <v>0</v>
      </c>
      <c r="BX127" s="134" t="n">
        <f aca="false">SUMIF('Basis Options'!$X:$X,CONCATENATE($AK127,BX$4),'Basis Options'!$AF:$AF)</f>
        <v>0</v>
      </c>
      <c r="BY127" s="134" t="n">
        <f aca="false">SUMIF('Basis Options'!$X:$X,CONCATENATE($AK127,BY$4),'Basis Options'!$AF:$AF)</f>
        <v>0</v>
      </c>
      <c r="BZ127" s="134" t="n">
        <f aca="false">SUMIF('Basis Options'!$X:$X,CONCATENATE($AK127,BZ$4),'Basis Options'!$AF:$AF)</f>
        <v>0</v>
      </c>
      <c r="CA127" s="134" t="n">
        <f aca="false">SUMIF('Basis Options'!$X:$X,CONCATENATE($AK127,CA$4),'Basis Options'!$AF:$AF)</f>
        <v>0</v>
      </c>
      <c r="CB127" s="134" t="n">
        <f aca="false">SUMIF('Basis Options'!$X:$X,CONCATENATE($AK127,CB$4),'Basis Options'!$AF:$AF)</f>
        <v>0</v>
      </c>
      <c r="CC127" s="134" t="n">
        <f aca="false">SUMIF('Basis Options'!$X:$X,CONCATENATE($AK127,CC$4),'Basis Options'!$AF:$AF)</f>
        <v>0</v>
      </c>
      <c r="CD127" s="134"/>
      <c r="CE127" s="134" t="n">
        <f aca="false">SUMIF('Basis Options'!$X:$X,CONCATENATE($AK127,CE$4),'Basis Options'!$AF:$AF)</f>
        <v>0</v>
      </c>
      <c r="CF127" s="134"/>
      <c r="CG127" s="208" t="n">
        <f aca="false">EOMONTH(CG126,0)+1</f>
        <v>40452</v>
      </c>
      <c r="CH127" s="135" t="n">
        <f aca="false">SUM(BT127:CF127)</f>
        <v>0</v>
      </c>
    </row>
    <row r="128" customFormat="false" ht="12.75" hidden="false" customHeight="false" outlineLevel="0" collapsed="false">
      <c r="A128" s="208" t="n">
        <f aca="false">EOMONTH(A127,0)+1</f>
        <v>40483</v>
      </c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208" t="n">
        <f aca="false">EOMONTH(O127,0)+1</f>
        <v>40483</v>
      </c>
      <c r="P128" s="135" t="n">
        <f aca="false">SUM(B128:N128)</f>
        <v>0</v>
      </c>
      <c r="S128" s="208" t="n">
        <f aca="false">EOMONTH(S127,0)+1</f>
        <v>40483</v>
      </c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208" t="n">
        <f aca="false">EOMONTH(AG127,0)+1</f>
        <v>40483</v>
      </c>
      <c r="AH128" s="135" t="n">
        <f aca="false">SUM(T128:AF128)</f>
        <v>0</v>
      </c>
      <c r="AK128" s="208" t="n">
        <f aca="false">EOMONTH(AK127,0)+1</f>
        <v>40483</v>
      </c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208" t="n">
        <f aca="false">EOMONTH(AY127,0)+1</f>
        <v>40483</v>
      </c>
      <c r="AZ128" s="135" t="n">
        <f aca="false">SUM(AL128:AX128)</f>
        <v>0</v>
      </c>
      <c r="BB128" s="208" t="n">
        <f aca="false">EOMONTH(BB127,0)+1</f>
        <v>40483</v>
      </c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208" t="n">
        <f aca="false">EOMONTH(BP127,0)+1</f>
        <v>40483</v>
      </c>
      <c r="BQ128" s="135" t="n">
        <f aca="false">SUM(BC128:BO128)</f>
        <v>0</v>
      </c>
      <c r="BS128" s="208" t="n">
        <f aca="false">EOMONTH(BS127,0)+1</f>
        <v>40483</v>
      </c>
      <c r="BT128" s="134" t="n">
        <f aca="false">SUMIF('Basis Options'!$X:$X,CONCATENATE($AK128,BT$4),'Basis Options'!$AF:$AF)</f>
        <v>0</v>
      </c>
      <c r="BU128" s="134" t="n">
        <f aca="false">SUMIF('Basis Options'!$X:$X,CONCATENATE($AK128,BU$4),'Basis Options'!$AF:$AF)</f>
        <v>0</v>
      </c>
      <c r="BV128" s="134" t="n">
        <f aca="false">SUMIF('Basis Options'!$X:$X,CONCATENATE($AK128,BV$4),'Basis Options'!$AF:$AF)</f>
        <v>0</v>
      </c>
      <c r="BW128" s="134" t="n">
        <f aca="false">SUMIF('Basis Options'!$X:$X,CONCATENATE($AK128,BW$4),'Basis Options'!$AF:$AF)</f>
        <v>0</v>
      </c>
      <c r="BX128" s="134" t="n">
        <f aca="false">SUMIF('Basis Options'!$X:$X,CONCATENATE($AK128,BX$4),'Basis Options'!$AF:$AF)</f>
        <v>0</v>
      </c>
      <c r="BY128" s="134" t="n">
        <f aca="false">SUMIF('Basis Options'!$X:$X,CONCATENATE($AK128,BY$4),'Basis Options'!$AF:$AF)</f>
        <v>0</v>
      </c>
      <c r="BZ128" s="134" t="n">
        <f aca="false">SUMIF('Basis Options'!$X:$X,CONCATENATE($AK128,BZ$4),'Basis Options'!$AF:$AF)</f>
        <v>0</v>
      </c>
      <c r="CA128" s="134" t="n">
        <f aca="false">SUMIF('Basis Options'!$X:$X,CONCATENATE($AK128,CA$4),'Basis Options'!$AF:$AF)</f>
        <v>0</v>
      </c>
      <c r="CB128" s="134" t="n">
        <f aca="false">SUMIF('Basis Options'!$X:$X,CONCATENATE($AK128,CB$4),'Basis Options'!$AF:$AF)</f>
        <v>0</v>
      </c>
      <c r="CC128" s="134" t="n">
        <f aca="false">SUMIF('Basis Options'!$X:$X,CONCATENATE($AK128,CC$4),'Basis Options'!$AF:$AF)</f>
        <v>0</v>
      </c>
      <c r="CD128" s="134"/>
      <c r="CE128" s="134" t="n">
        <f aca="false">SUMIF('Basis Options'!$X:$X,CONCATENATE($AK128,CE$4),'Basis Options'!$AF:$AF)</f>
        <v>0</v>
      </c>
      <c r="CF128" s="134"/>
      <c r="CG128" s="208" t="n">
        <f aca="false">EOMONTH(CG127,0)+1</f>
        <v>40483</v>
      </c>
      <c r="CH128" s="135" t="n">
        <f aca="false">SUM(BT128:CF128)</f>
        <v>0</v>
      </c>
    </row>
    <row r="129" customFormat="false" ht="12.75" hidden="false" customHeight="false" outlineLevel="0" collapsed="false">
      <c r="A129" s="208" t="n">
        <f aca="false">EOMONTH(A128,0)+1</f>
        <v>40513</v>
      </c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208" t="n">
        <f aca="false">EOMONTH(O128,0)+1</f>
        <v>40513</v>
      </c>
      <c r="P129" s="135" t="n">
        <f aca="false">SUM(B129:N129)</f>
        <v>0</v>
      </c>
      <c r="S129" s="208" t="n">
        <f aca="false">EOMONTH(S128,0)+1</f>
        <v>40513</v>
      </c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208" t="n">
        <f aca="false">EOMONTH(AG128,0)+1</f>
        <v>40513</v>
      </c>
      <c r="AH129" s="135" t="n">
        <f aca="false">SUM(T129:AF129)</f>
        <v>0</v>
      </c>
      <c r="AK129" s="208" t="n">
        <f aca="false">EOMONTH(AK128,0)+1</f>
        <v>40513</v>
      </c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208" t="n">
        <f aca="false">EOMONTH(AY128,0)+1</f>
        <v>40513</v>
      </c>
      <c r="AZ129" s="135" t="n">
        <f aca="false">SUM(AL129:AX129)</f>
        <v>0</v>
      </c>
      <c r="BB129" s="208" t="n">
        <f aca="false">EOMONTH(BB128,0)+1</f>
        <v>40513</v>
      </c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208" t="n">
        <f aca="false">EOMONTH(BP128,0)+1</f>
        <v>40513</v>
      </c>
      <c r="BQ129" s="135" t="n">
        <f aca="false">SUM(BC129:BO129)</f>
        <v>0</v>
      </c>
      <c r="BS129" s="208" t="n">
        <f aca="false">EOMONTH(BS128,0)+1</f>
        <v>40513</v>
      </c>
      <c r="BT129" s="134" t="n">
        <f aca="false">SUMIF('Basis Options'!$X:$X,CONCATENATE($AK129,BT$4),'Basis Options'!$AF:$AF)</f>
        <v>0</v>
      </c>
      <c r="BU129" s="134" t="n">
        <f aca="false">SUMIF('Basis Options'!$X:$X,CONCATENATE($AK129,BU$4),'Basis Options'!$AF:$AF)</f>
        <v>0</v>
      </c>
      <c r="BV129" s="134" t="n">
        <f aca="false">SUMIF('Basis Options'!$X:$X,CONCATENATE($AK129,BV$4),'Basis Options'!$AF:$AF)</f>
        <v>0</v>
      </c>
      <c r="BW129" s="134" t="n">
        <f aca="false">SUMIF('Basis Options'!$X:$X,CONCATENATE($AK129,BW$4),'Basis Options'!$AF:$AF)</f>
        <v>0</v>
      </c>
      <c r="BX129" s="134" t="n">
        <f aca="false">SUMIF('Basis Options'!$X:$X,CONCATENATE($AK129,BX$4),'Basis Options'!$AF:$AF)</f>
        <v>0</v>
      </c>
      <c r="BY129" s="134" t="n">
        <f aca="false">SUMIF('Basis Options'!$X:$X,CONCATENATE($AK129,BY$4),'Basis Options'!$AF:$AF)</f>
        <v>0</v>
      </c>
      <c r="BZ129" s="134" t="n">
        <f aca="false">SUMIF('Basis Options'!$X:$X,CONCATENATE($AK129,BZ$4),'Basis Options'!$AF:$AF)</f>
        <v>0</v>
      </c>
      <c r="CA129" s="134" t="n">
        <f aca="false">SUMIF('Basis Options'!$X:$X,CONCATENATE($AK129,CA$4),'Basis Options'!$AF:$AF)</f>
        <v>0</v>
      </c>
      <c r="CB129" s="134" t="n">
        <f aca="false">SUMIF('Basis Options'!$X:$X,CONCATENATE($AK129,CB$4),'Basis Options'!$AF:$AF)</f>
        <v>0</v>
      </c>
      <c r="CC129" s="134" t="n">
        <f aca="false">SUMIF('Basis Options'!$X:$X,CONCATENATE($AK129,CC$4),'Basis Options'!$AF:$AF)</f>
        <v>0</v>
      </c>
      <c r="CD129" s="134"/>
      <c r="CE129" s="134" t="n">
        <f aca="false">SUMIF('Basis Options'!$X:$X,CONCATENATE($AK129,CE$4),'Basis Options'!$AF:$AF)</f>
        <v>0</v>
      </c>
      <c r="CF129" s="134"/>
      <c r="CG129" s="208" t="n">
        <f aca="false">EOMONTH(CG128,0)+1</f>
        <v>40513</v>
      </c>
      <c r="CH129" s="135" t="n">
        <f aca="false">SUM(BT129:CF129)</f>
        <v>0</v>
      </c>
    </row>
    <row r="130" customFormat="false" ht="12.75" hidden="false" customHeight="false" outlineLevel="0" collapsed="false">
      <c r="A130" s="208" t="n">
        <f aca="false">EOMONTH(A129,0)+1</f>
        <v>40544</v>
      </c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208" t="n">
        <f aca="false">EOMONTH(O129,0)+1</f>
        <v>40544</v>
      </c>
      <c r="P130" s="135" t="n">
        <f aca="false">SUM(B130:N130)</f>
        <v>0</v>
      </c>
      <c r="S130" s="208" t="n">
        <f aca="false">EOMONTH(S129,0)+1</f>
        <v>40544</v>
      </c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208" t="n">
        <f aca="false">EOMONTH(AG129,0)+1</f>
        <v>40544</v>
      </c>
      <c r="AH130" s="135" t="n">
        <f aca="false">SUM(T130:AF130)</f>
        <v>0</v>
      </c>
      <c r="AK130" s="208" t="n">
        <f aca="false">EOMONTH(AK129,0)+1</f>
        <v>40544</v>
      </c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208" t="n">
        <f aca="false">EOMONTH(AY129,0)+1</f>
        <v>40544</v>
      </c>
      <c r="AZ130" s="135" t="n">
        <f aca="false">SUM(AL130:AX130)</f>
        <v>0</v>
      </c>
      <c r="BB130" s="208" t="n">
        <f aca="false">EOMONTH(BB129,0)+1</f>
        <v>40544</v>
      </c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208" t="n">
        <f aca="false">EOMONTH(BP129,0)+1</f>
        <v>40544</v>
      </c>
      <c r="BQ130" s="135" t="n">
        <f aca="false">SUM(BC130:BO130)</f>
        <v>0</v>
      </c>
      <c r="BS130" s="208" t="n">
        <f aca="false">EOMONTH(BS129,0)+1</f>
        <v>40544</v>
      </c>
      <c r="BT130" s="134" t="n">
        <f aca="false">SUMIF('Basis Options'!$X:$X,CONCATENATE($AK130,BT$4),'Basis Options'!$AF:$AF)</f>
        <v>0</v>
      </c>
      <c r="BU130" s="134" t="n">
        <f aca="false">SUMIF('Basis Options'!$X:$X,CONCATENATE($AK130,BU$4),'Basis Options'!$AF:$AF)</f>
        <v>0</v>
      </c>
      <c r="BV130" s="134" t="n">
        <f aca="false">SUMIF('Basis Options'!$X:$X,CONCATENATE($AK130,BV$4),'Basis Options'!$AF:$AF)</f>
        <v>0</v>
      </c>
      <c r="BW130" s="134" t="n">
        <f aca="false">SUMIF('Basis Options'!$X:$X,CONCATENATE($AK130,BW$4),'Basis Options'!$AF:$AF)</f>
        <v>0</v>
      </c>
      <c r="BX130" s="134" t="n">
        <f aca="false">SUMIF('Basis Options'!$X:$X,CONCATENATE($AK130,BX$4),'Basis Options'!$AF:$AF)</f>
        <v>0</v>
      </c>
      <c r="BY130" s="134" t="n">
        <f aca="false">SUMIF('Basis Options'!$X:$X,CONCATENATE($AK130,BY$4),'Basis Options'!$AF:$AF)</f>
        <v>0</v>
      </c>
      <c r="BZ130" s="134" t="n">
        <f aca="false">SUMIF('Basis Options'!$X:$X,CONCATENATE($AK130,BZ$4),'Basis Options'!$AF:$AF)</f>
        <v>0</v>
      </c>
      <c r="CA130" s="134" t="n">
        <f aca="false">SUMIF('Basis Options'!$X:$X,CONCATENATE($AK130,CA$4),'Basis Options'!$AF:$AF)</f>
        <v>0</v>
      </c>
      <c r="CB130" s="134" t="n">
        <f aca="false">SUMIF('Basis Options'!$X:$X,CONCATENATE($AK130,CB$4),'Basis Options'!$AF:$AF)</f>
        <v>0</v>
      </c>
      <c r="CC130" s="134" t="n">
        <f aca="false">SUMIF('Basis Options'!$X:$X,CONCATENATE($AK130,CC$4),'Basis Options'!$AF:$AF)</f>
        <v>0</v>
      </c>
      <c r="CD130" s="134"/>
      <c r="CE130" s="134" t="n">
        <f aca="false">SUMIF('Basis Options'!$X:$X,CONCATENATE($AK130,CE$4),'Basis Options'!$AF:$AF)</f>
        <v>0</v>
      </c>
      <c r="CF130" s="134"/>
      <c r="CG130" s="208" t="n">
        <f aca="false">EOMONTH(CG129,0)+1</f>
        <v>40544</v>
      </c>
      <c r="CH130" s="135" t="n">
        <f aca="false">SUM(BT130:CF130)</f>
        <v>0</v>
      </c>
    </row>
    <row r="131" customFormat="false" ht="12.75" hidden="false" customHeight="false" outlineLevel="0" collapsed="false">
      <c r="A131" s="208" t="n">
        <f aca="false">EOMONTH(A130,0)+1</f>
        <v>40575</v>
      </c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208" t="n">
        <f aca="false">EOMONTH(O130,0)+1</f>
        <v>40575</v>
      </c>
      <c r="P131" s="135" t="n">
        <f aca="false">SUM(B131:N131)</f>
        <v>0</v>
      </c>
      <c r="S131" s="208" t="n">
        <f aca="false">EOMONTH(S130,0)+1</f>
        <v>40575</v>
      </c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208" t="n">
        <f aca="false">EOMONTH(AG130,0)+1</f>
        <v>40575</v>
      </c>
      <c r="AH131" s="135" t="n">
        <f aca="false">SUM(T131:AF131)</f>
        <v>0</v>
      </c>
      <c r="AK131" s="208" t="n">
        <f aca="false">EOMONTH(AK130,0)+1</f>
        <v>40575</v>
      </c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208" t="n">
        <f aca="false">EOMONTH(AY130,0)+1</f>
        <v>40575</v>
      </c>
      <c r="AZ131" s="135" t="n">
        <f aca="false">SUM(AL131:AX131)</f>
        <v>0</v>
      </c>
      <c r="BB131" s="208" t="n">
        <f aca="false">EOMONTH(BB130,0)+1</f>
        <v>40575</v>
      </c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208" t="n">
        <f aca="false">EOMONTH(BP130,0)+1</f>
        <v>40575</v>
      </c>
      <c r="BQ131" s="135" t="n">
        <f aca="false">SUM(BC131:BO131)</f>
        <v>0</v>
      </c>
      <c r="BS131" s="208" t="n">
        <f aca="false">EOMONTH(BS130,0)+1</f>
        <v>40575</v>
      </c>
      <c r="BT131" s="134" t="n">
        <f aca="false">SUMIF('Basis Options'!$X:$X,CONCATENATE($AK131,BT$4),'Basis Options'!$AF:$AF)</f>
        <v>0</v>
      </c>
      <c r="BU131" s="134" t="n">
        <f aca="false">SUMIF('Basis Options'!$X:$X,CONCATENATE($AK131,BU$4),'Basis Options'!$AF:$AF)</f>
        <v>0</v>
      </c>
      <c r="BV131" s="134" t="n">
        <f aca="false">SUMIF('Basis Options'!$X:$X,CONCATENATE($AK131,BV$4),'Basis Options'!$AF:$AF)</f>
        <v>0</v>
      </c>
      <c r="BW131" s="134" t="n">
        <f aca="false">SUMIF('Basis Options'!$X:$X,CONCATENATE($AK131,BW$4),'Basis Options'!$AF:$AF)</f>
        <v>0</v>
      </c>
      <c r="BX131" s="134" t="n">
        <f aca="false">SUMIF('Basis Options'!$X:$X,CONCATENATE($AK131,BX$4),'Basis Options'!$AF:$AF)</f>
        <v>0</v>
      </c>
      <c r="BY131" s="134" t="n">
        <f aca="false">SUMIF('Basis Options'!$X:$X,CONCATENATE($AK131,BY$4),'Basis Options'!$AF:$AF)</f>
        <v>0</v>
      </c>
      <c r="BZ131" s="134" t="n">
        <f aca="false">SUMIF('Basis Options'!$X:$X,CONCATENATE($AK131,BZ$4),'Basis Options'!$AF:$AF)</f>
        <v>0</v>
      </c>
      <c r="CA131" s="134" t="n">
        <f aca="false">SUMIF('Basis Options'!$X:$X,CONCATENATE($AK131,CA$4),'Basis Options'!$AF:$AF)</f>
        <v>0</v>
      </c>
      <c r="CB131" s="134" t="n">
        <f aca="false">SUMIF('Basis Options'!$X:$X,CONCATENATE($AK131,CB$4),'Basis Options'!$AF:$AF)</f>
        <v>0</v>
      </c>
      <c r="CC131" s="134" t="n">
        <f aca="false">SUMIF('Basis Options'!$X:$X,CONCATENATE($AK131,CC$4),'Basis Options'!$AF:$AF)</f>
        <v>0</v>
      </c>
      <c r="CD131" s="134"/>
      <c r="CE131" s="134" t="n">
        <f aca="false">SUMIF('Basis Options'!$X:$X,CONCATENATE($AK131,CE$4),'Basis Options'!$AF:$AF)</f>
        <v>0</v>
      </c>
      <c r="CF131" s="134"/>
      <c r="CG131" s="208" t="n">
        <f aca="false">EOMONTH(CG130,0)+1</f>
        <v>40575</v>
      </c>
      <c r="CH131" s="135" t="n">
        <f aca="false">SUM(BT131:CF131)</f>
        <v>0</v>
      </c>
    </row>
    <row r="132" customFormat="false" ht="12.75" hidden="false" customHeight="false" outlineLevel="0" collapsed="false">
      <c r="A132" s="208" t="n">
        <f aca="false">EOMONTH(A131,0)+1</f>
        <v>40603</v>
      </c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208" t="n">
        <f aca="false">EOMONTH(O131,0)+1</f>
        <v>40603</v>
      </c>
      <c r="P132" s="135" t="n">
        <f aca="false">SUM(B132:N132)</f>
        <v>0</v>
      </c>
      <c r="S132" s="208" t="n">
        <f aca="false">EOMONTH(S131,0)+1</f>
        <v>40603</v>
      </c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208" t="n">
        <f aca="false">EOMONTH(AG131,0)+1</f>
        <v>40603</v>
      </c>
      <c r="AH132" s="135" t="n">
        <f aca="false">SUM(T132:AF132)</f>
        <v>0</v>
      </c>
      <c r="AK132" s="208" t="n">
        <f aca="false">EOMONTH(AK131,0)+1</f>
        <v>40603</v>
      </c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208" t="n">
        <f aca="false">EOMONTH(AY131,0)+1</f>
        <v>40603</v>
      </c>
      <c r="AZ132" s="135" t="n">
        <f aca="false">SUM(AL132:AX132)</f>
        <v>0</v>
      </c>
      <c r="BB132" s="208" t="n">
        <f aca="false">EOMONTH(BB131,0)+1</f>
        <v>40603</v>
      </c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208" t="n">
        <f aca="false">EOMONTH(BP131,0)+1</f>
        <v>40603</v>
      </c>
      <c r="BQ132" s="135" t="n">
        <f aca="false">SUM(BC132:BO132)</f>
        <v>0</v>
      </c>
      <c r="BS132" s="208" t="n">
        <f aca="false">EOMONTH(BS131,0)+1</f>
        <v>40603</v>
      </c>
      <c r="BT132" s="134" t="n">
        <f aca="false">SUMIF('Basis Options'!$X:$X,CONCATENATE($AK132,BT$4),'Basis Options'!$AF:$AF)</f>
        <v>0</v>
      </c>
      <c r="BU132" s="134" t="n">
        <f aca="false">SUMIF('Basis Options'!$X:$X,CONCATENATE($AK132,BU$4),'Basis Options'!$AF:$AF)</f>
        <v>0</v>
      </c>
      <c r="BV132" s="134" t="n">
        <f aca="false">SUMIF('Basis Options'!$X:$X,CONCATENATE($AK132,BV$4),'Basis Options'!$AF:$AF)</f>
        <v>0</v>
      </c>
      <c r="BW132" s="134" t="n">
        <f aca="false">SUMIF('Basis Options'!$X:$X,CONCATENATE($AK132,BW$4),'Basis Options'!$AF:$AF)</f>
        <v>0</v>
      </c>
      <c r="BX132" s="134" t="n">
        <f aca="false">SUMIF('Basis Options'!$X:$X,CONCATENATE($AK132,BX$4),'Basis Options'!$AF:$AF)</f>
        <v>0</v>
      </c>
      <c r="BY132" s="134" t="n">
        <f aca="false">SUMIF('Basis Options'!$X:$X,CONCATENATE($AK132,BY$4),'Basis Options'!$AF:$AF)</f>
        <v>0</v>
      </c>
      <c r="BZ132" s="134" t="n">
        <f aca="false">SUMIF('Basis Options'!$X:$X,CONCATENATE($AK132,BZ$4),'Basis Options'!$AF:$AF)</f>
        <v>0</v>
      </c>
      <c r="CA132" s="134" t="n">
        <f aca="false">SUMIF('Basis Options'!$X:$X,CONCATENATE($AK132,CA$4),'Basis Options'!$AF:$AF)</f>
        <v>0</v>
      </c>
      <c r="CB132" s="134" t="n">
        <f aca="false">SUMIF('Basis Options'!$X:$X,CONCATENATE($AK132,CB$4),'Basis Options'!$AF:$AF)</f>
        <v>0</v>
      </c>
      <c r="CC132" s="134" t="n">
        <f aca="false">SUMIF('Basis Options'!$X:$X,CONCATENATE($AK132,CC$4),'Basis Options'!$AF:$AF)</f>
        <v>0</v>
      </c>
      <c r="CD132" s="134"/>
      <c r="CE132" s="134" t="n">
        <f aca="false">SUMIF('Basis Options'!$X:$X,CONCATENATE($AK132,CE$4),'Basis Options'!$AF:$AF)</f>
        <v>0</v>
      </c>
      <c r="CF132" s="134"/>
      <c r="CG132" s="208" t="n">
        <f aca="false">EOMONTH(CG131,0)+1</f>
        <v>40603</v>
      </c>
      <c r="CH132" s="135" t="n">
        <f aca="false">SUM(BT132:CF132)</f>
        <v>0</v>
      </c>
    </row>
    <row r="133" customFormat="false" ht="12.75" hidden="false" customHeight="false" outlineLevel="0" collapsed="false">
      <c r="A133" s="208" t="n">
        <f aca="false">EOMONTH(A132,0)+1</f>
        <v>40634</v>
      </c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208" t="n">
        <f aca="false">EOMONTH(O132,0)+1</f>
        <v>40634</v>
      </c>
      <c r="P133" s="135" t="n">
        <f aca="false">SUM(B133:N133)</f>
        <v>0</v>
      </c>
      <c r="S133" s="208" t="n">
        <f aca="false">EOMONTH(S132,0)+1</f>
        <v>40634</v>
      </c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208" t="n">
        <f aca="false">EOMONTH(AG132,0)+1</f>
        <v>40634</v>
      </c>
      <c r="AH133" s="135" t="n">
        <f aca="false">SUM(T133:AF133)</f>
        <v>0</v>
      </c>
      <c r="AK133" s="208" t="n">
        <f aca="false">EOMONTH(AK132,0)+1</f>
        <v>40634</v>
      </c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208" t="n">
        <f aca="false">EOMONTH(AY132,0)+1</f>
        <v>40634</v>
      </c>
      <c r="AZ133" s="135" t="n">
        <f aca="false">SUM(AL133:AX133)</f>
        <v>0</v>
      </c>
      <c r="BB133" s="208" t="n">
        <f aca="false">EOMONTH(BB132,0)+1</f>
        <v>40634</v>
      </c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208" t="n">
        <f aca="false">EOMONTH(BP132,0)+1</f>
        <v>40634</v>
      </c>
      <c r="BQ133" s="135" t="n">
        <f aca="false">SUM(BC133:BO133)</f>
        <v>0</v>
      </c>
      <c r="BS133" s="208" t="n">
        <f aca="false">EOMONTH(BS132,0)+1</f>
        <v>40634</v>
      </c>
      <c r="BT133" s="134" t="n">
        <f aca="false">SUMIF('Basis Options'!$X:$X,CONCATENATE($AK133,BT$4),'Basis Options'!$AF:$AF)</f>
        <v>0</v>
      </c>
      <c r="BU133" s="134" t="n">
        <f aca="false">SUMIF('Basis Options'!$X:$X,CONCATENATE($AK133,BU$4),'Basis Options'!$AF:$AF)</f>
        <v>0</v>
      </c>
      <c r="BV133" s="134" t="n">
        <f aca="false">SUMIF('Basis Options'!$X:$X,CONCATENATE($AK133,BV$4),'Basis Options'!$AF:$AF)</f>
        <v>0</v>
      </c>
      <c r="BW133" s="134" t="n">
        <f aca="false">SUMIF('Basis Options'!$X:$X,CONCATENATE($AK133,BW$4),'Basis Options'!$AF:$AF)</f>
        <v>0</v>
      </c>
      <c r="BX133" s="134" t="n">
        <f aca="false">SUMIF('Basis Options'!$X:$X,CONCATENATE($AK133,BX$4),'Basis Options'!$AF:$AF)</f>
        <v>0</v>
      </c>
      <c r="BY133" s="134" t="n">
        <f aca="false">SUMIF('Basis Options'!$X:$X,CONCATENATE($AK133,BY$4),'Basis Options'!$AF:$AF)</f>
        <v>0</v>
      </c>
      <c r="BZ133" s="134" t="n">
        <f aca="false">SUMIF('Basis Options'!$X:$X,CONCATENATE($AK133,BZ$4),'Basis Options'!$AF:$AF)</f>
        <v>0</v>
      </c>
      <c r="CA133" s="134" t="n">
        <f aca="false">SUMIF('Basis Options'!$X:$X,CONCATENATE($AK133,CA$4),'Basis Options'!$AF:$AF)</f>
        <v>0</v>
      </c>
      <c r="CB133" s="134" t="n">
        <f aca="false">SUMIF('Basis Options'!$X:$X,CONCATENATE($AK133,CB$4),'Basis Options'!$AF:$AF)</f>
        <v>0</v>
      </c>
      <c r="CC133" s="134" t="n">
        <f aca="false">SUMIF('Basis Options'!$X:$X,CONCATENATE($AK133,CC$4),'Basis Options'!$AF:$AF)</f>
        <v>0</v>
      </c>
      <c r="CD133" s="134"/>
      <c r="CE133" s="134" t="n">
        <f aca="false">SUMIF('Basis Options'!$X:$X,CONCATENATE($AK133,CE$4),'Basis Options'!$AF:$AF)</f>
        <v>0</v>
      </c>
      <c r="CF133" s="134"/>
      <c r="CG133" s="208" t="n">
        <f aca="false">EOMONTH(CG132,0)+1</f>
        <v>40634</v>
      </c>
      <c r="CH133" s="135" t="n">
        <f aca="false">SUM(BT133:CF133)</f>
        <v>0</v>
      </c>
    </row>
    <row r="134" customFormat="false" ht="12.75" hidden="false" customHeight="false" outlineLevel="0" collapsed="false">
      <c r="A134" s="208" t="n">
        <f aca="false">EOMONTH(A133,0)+1</f>
        <v>40664</v>
      </c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208" t="n">
        <f aca="false">EOMONTH(O133,0)+1</f>
        <v>40664</v>
      </c>
      <c r="P134" s="135" t="n">
        <f aca="false">SUM(B134:N134)</f>
        <v>0</v>
      </c>
      <c r="S134" s="208" t="n">
        <f aca="false">EOMONTH(S133,0)+1</f>
        <v>40664</v>
      </c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208" t="n">
        <f aca="false">EOMONTH(AG133,0)+1</f>
        <v>40664</v>
      </c>
      <c r="AH134" s="135" t="n">
        <f aca="false">SUM(T134:AF134)</f>
        <v>0</v>
      </c>
      <c r="AK134" s="208" t="n">
        <f aca="false">EOMONTH(AK133,0)+1</f>
        <v>40664</v>
      </c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208" t="n">
        <f aca="false">EOMONTH(AY133,0)+1</f>
        <v>40664</v>
      </c>
      <c r="AZ134" s="135" t="n">
        <f aca="false">SUM(AL134:AX134)</f>
        <v>0</v>
      </c>
      <c r="BB134" s="208" t="n">
        <f aca="false">EOMONTH(BB133,0)+1</f>
        <v>40664</v>
      </c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208" t="n">
        <f aca="false">EOMONTH(BP133,0)+1</f>
        <v>40664</v>
      </c>
      <c r="BQ134" s="135" t="n">
        <f aca="false">SUM(BC134:BO134)</f>
        <v>0</v>
      </c>
      <c r="BS134" s="208" t="n">
        <f aca="false">EOMONTH(BS133,0)+1</f>
        <v>40664</v>
      </c>
      <c r="BT134" s="134" t="n">
        <f aca="false">SUMIF('Basis Options'!$X:$X,CONCATENATE($AK134,BT$4),'Basis Options'!$AF:$AF)</f>
        <v>0</v>
      </c>
      <c r="BU134" s="134" t="n">
        <f aca="false">SUMIF('Basis Options'!$X:$X,CONCATENATE($AK134,BU$4),'Basis Options'!$AF:$AF)</f>
        <v>0</v>
      </c>
      <c r="BV134" s="134" t="n">
        <f aca="false">SUMIF('Basis Options'!$X:$X,CONCATENATE($AK134,BV$4),'Basis Options'!$AF:$AF)</f>
        <v>0</v>
      </c>
      <c r="BW134" s="134" t="n">
        <f aca="false">SUMIF('Basis Options'!$X:$X,CONCATENATE($AK134,BW$4),'Basis Options'!$AF:$AF)</f>
        <v>0</v>
      </c>
      <c r="BX134" s="134" t="n">
        <f aca="false">SUMIF('Basis Options'!$X:$X,CONCATENATE($AK134,BX$4),'Basis Options'!$AF:$AF)</f>
        <v>0</v>
      </c>
      <c r="BY134" s="134" t="n">
        <f aca="false">SUMIF('Basis Options'!$X:$X,CONCATENATE($AK134,BY$4),'Basis Options'!$AF:$AF)</f>
        <v>0</v>
      </c>
      <c r="BZ134" s="134" t="n">
        <f aca="false">SUMIF('Basis Options'!$X:$X,CONCATENATE($AK134,BZ$4),'Basis Options'!$AF:$AF)</f>
        <v>0</v>
      </c>
      <c r="CA134" s="134" t="n">
        <f aca="false">SUMIF('Basis Options'!$X:$X,CONCATENATE($AK134,CA$4),'Basis Options'!$AF:$AF)</f>
        <v>0</v>
      </c>
      <c r="CB134" s="134" t="n">
        <f aca="false">SUMIF('Basis Options'!$X:$X,CONCATENATE($AK134,CB$4),'Basis Options'!$AF:$AF)</f>
        <v>0</v>
      </c>
      <c r="CC134" s="134" t="n">
        <f aca="false">SUMIF('Basis Options'!$X:$X,CONCATENATE($AK134,CC$4),'Basis Options'!$AF:$AF)</f>
        <v>0</v>
      </c>
      <c r="CD134" s="134"/>
      <c r="CE134" s="134" t="n">
        <f aca="false">SUMIF('Basis Options'!$X:$X,CONCATENATE($AK134,CE$4),'Basis Options'!$AF:$AF)</f>
        <v>0</v>
      </c>
      <c r="CF134" s="134"/>
      <c r="CG134" s="208" t="n">
        <f aca="false">EOMONTH(CG133,0)+1</f>
        <v>40664</v>
      </c>
      <c r="CH134" s="135" t="n">
        <f aca="false">SUM(BT134:CF134)</f>
        <v>0</v>
      </c>
    </row>
    <row r="135" customFormat="false" ht="12.75" hidden="false" customHeight="false" outlineLevel="0" collapsed="false">
      <c r="A135" s="208" t="n">
        <f aca="false">EOMONTH(A134,0)+1</f>
        <v>40695</v>
      </c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208" t="n">
        <f aca="false">EOMONTH(O134,0)+1</f>
        <v>40695</v>
      </c>
      <c r="P135" s="135" t="n">
        <f aca="false">SUM(B135:N135)</f>
        <v>0</v>
      </c>
      <c r="S135" s="208" t="n">
        <f aca="false">EOMONTH(S134,0)+1</f>
        <v>40695</v>
      </c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208" t="n">
        <f aca="false">EOMONTH(AG134,0)+1</f>
        <v>40695</v>
      </c>
      <c r="AH135" s="135" t="n">
        <f aca="false">SUM(T135:AF135)</f>
        <v>0</v>
      </c>
      <c r="AK135" s="208" t="n">
        <f aca="false">EOMONTH(AK134,0)+1</f>
        <v>40695</v>
      </c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208" t="n">
        <f aca="false">EOMONTH(AY134,0)+1</f>
        <v>40695</v>
      </c>
      <c r="AZ135" s="135" t="n">
        <f aca="false">SUM(AL135:AX135)</f>
        <v>0</v>
      </c>
      <c r="BB135" s="208" t="n">
        <f aca="false">EOMONTH(BB134,0)+1</f>
        <v>40695</v>
      </c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208" t="n">
        <f aca="false">EOMONTH(BP134,0)+1</f>
        <v>40695</v>
      </c>
      <c r="BQ135" s="135" t="n">
        <f aca="false">SUM(BC135:BO135)</f>
        <v>0</v>
      </c>
      <c r="BS135" s="208" t="n">
        <f aca="false">EOMONTH(BS134,0)+1</f>
        <v>40695</v>
      </c>
      <c r="BT135" s="134" t="n">
        <f aca="false">SUMIF('Basis Options'!$X:$X,CONCATENATE($AK135,BT$4),'Basis Options'!$AF:$AF)</f>
        <v>0</v>
      </c>
      <c r="BU135" s="134" t="n">
        <f aca="false">SUMIF('Basis Options'!$X:$X,CONCATENATE($AK135,BU$4),'Basis Options'!$AF:$AF)</f>
        <v>0</v>
      </c>
      <c r="BV135" s="134" t="n">
        <f aca="false">SUMIF('Basis Options'!$X:$X,CONCATENATE($AK135,BV$4),'Basis Options'!$AF:$AF)</f>
        <v>0</v>
      </c>
      <c r="BW135" s="134" t="n">
        <f aca="false">SUMIF('Basis Options'!$X:$X,CONCATENATE($AK135,BW$4),'Basis Options'!$AF:$AF)</f>
        <v>0</v>
      </c>
      <c r="BX135" s="134" t="n">
        <f aca="false">SUMIF('Basis Options'!$X:$X,CONCATENATE($AK135,BX$4),'Basis Options'!$AF:$AF)</f>
        <v>0</v>
      </c>
      <c r="BY135" s="134" t="n">
        <f aca="false">SUMIF('Basis Options'!$X:$X,CONCATENATE($AK135,BY$4),'Basis Options'!$AF:$AF)</f>
        <v>0</v>
      </c>
      <c r="BZ135" s="134" t="n">
        <f aca="false">SUMIF('Basis Options'!$X:$X,CONCATENATE($AK135,BZ$4),'Basis Options'!$AF:$AF)</f>
        <v>0</v>
      </c>
      <c r="CA135" s="134" t="n">
        <f aca="false">SUMIF('Basis Options'!$X:$X,CONCATENATE($AK135,CA$4),'Basis Options'!$AF:$AF)</f>
        <v>0</v>
      </c>
      <c r="CB135" s="134" t="n">
        <f aca="false">SUMIF('Basis Options'!$X:$X,CONCATENATE($AK135,CB$4),'Basis Options'!$AF:$AF)</f>
        <v>0</v>
      </c>
      <c r="CC135" s="134" t="n">
        <f aca="false">SUMIF('Basis Options'!$X:$X,CONCATENATE($AK135,CC$4),'Basis Options'!$AF:$AF)</f>
        <v>0</v>
      </c>
      <c r="CD135" s="134"/>
      <c r="CE135" s="134" t="n">
        <f aca="false">SUMIF('Basis Options'!$X:$X,CONCATENATE($AK135,CE$4),'Basis Options'!$AF:$AF)</f>
        <v>0</v>
      </c>
      <c r="CF135" s="134"/>
      <c r="CG135" s="208" t="n">
        <f aca="false">EOMONTH(CG134,0)+1</f>
        <v>40695</v>
      </c>
      <c r="CH135" s="135" t="n">
        <f aca="false">SUM(BT135:CF135)</f>
        <v>0</v>
      </c>
    </row>
    <row r="136" customFormat="false" ht="12.75" hidden="false" customHeight="false" outlineLevel="0" collapsed="false">
      <c r="A136" s="208" t="n">
        <f aca="false">EOMONTH(A135,0)+1</f>
        <v>40725</v>
      </c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208" t="n">
        <f aca="false">EOMONTH(O135,0)+1</f>
        <v>40725</v>
      </c>
      <c r="P136" s="135" t="n">
        <f aca="false">SUM(B136:N136)</f>
        <v>0</v>
      </c>
      <c r="S136" s="208" t="n">
        <f aca="false">EOMONTH(S135,0)+1</f>
        <v>40725</v>
      </c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208" t="n">
        <f aca="false">EOMONTH(AG135,0)+1</f>
        <v>40725</v>
      </c>
      <c r="AH136" s="135" t="n">
        <f aca="false">SUM(T136:AF136)</f>
        <v>0</v>
      </c>
      <c r="AK136" s="208" t="n">
        <f aca="false">EOMONTH(AK135,0)+1</f>
        <v>40725</v>
      </c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208" t="n">
        <f aca="false">EOMONTH(AY135,0)+1</f>
        <v>40725</v>
      </c>
      <c r="AZ136" s="135" t="n">
        <f aca="false">SUM(AL136:AX136)</f>
        <v>0</v>
      </c>
      <c r="BB136" s="208" t="n">
        <f aca="false">EOMONTH(BB135,0)+1</f>
        <v>40725</v>
      </c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208" t="n">
        <f aca="false">EOMONTH(BP135,0)+1</f>
        <v>40725</v>
      </c>
      <c r="BQ136" s="135" t="n">
        <f aca="false">SUM(BC136:BO136)</f>
        <v>0</v>
      </c>
      <c r="BS136" s="208" t="n">
        <f aca="false">EOMONTH(BS135,0)+1</f>
        <v>40725</v>
      </c>
      <c r="BT136" s="134" t="n">
        <f aca="false">SUMIF('Basis Options'!$X:$X,CONCATENATE($AK136,BT$4),'Basis Options'!$AF:$AF)</f>
        <v>0</v>
      </c>
      <c r="BU136" s="134" t="n">
        <f aca="false">SUMIF('Basis Options'!$X:$X,CONCATENATE($AK136,BU$4),'Basis Options'!$AF:$AF)</f>
        <v>0</v>
      </c>
      <c r="BV136" s="134" t="n">
        <f aca="false">SUMIF('Basis Options'!$X:$X,CONCATENATE($AK136,BV$4),'Basis Options'!$AF:$AF)</f>
        <v>0</v>
      </c>
      <c r="BW136" s="134" t="n">
        <f aca="false">SUMIF('Basis Options'!$X:$X,CONCATENATE($AK136,BW$4),'Basis Options'!$AF:$AF)</f>
        <v>0</v>
      </c>
      <c r="BX136" s="134" t="n">
        <f aca="false">SUMIF('Basis Options'!$X:$X,CONCATENATE($AK136,BX$4),'Basis Options'!$AF:$AF)</f>
        <v>0</v>
      </c>
      <c r="BY136" s="134" t="n">
        <f aca="false">SUMIF('Basis Options'!$X:$X,CONCATENATE($AK136,BY$4),'Basis Options'!$AF:$AF)</f>
        <v>0</v>
      </c>
      <c r="BZ136" s="134" t="n">
        <f aca="false">SUMIF('Basis Options'!$X:$X,CONCATENATE($AK136,BZ$4),'Basis Options'!$AF:$AF)</f>
        <v>0</v>
      </c>
      <c r="CA136" s="134" t="n">
        <f aca="false">SUMIF('Basis Options'!$X:$X,CONCATENATE($AK136,CA$4),'Basis Options'!$AF:$AF)</f>
        <v>0</v>
      </c>
      <c r="CB136" s="134" t="n">
        <f aca="false">SUMIF('Basis Options'!$X:$X,CONCATENATE($AK136,CB$4),'Basis Options'!$AF:$AF)</f>
        <v>0</v>
      </c>
      <c r="CC136" s="134" t="n">
        <f aca="false">SUMIF('Basis Options'!$X:$X,CONCATENATE($AK136,CC$4),'Basis Options'!$AF:$AF)</f>
        <v>0</v>
      </c>
      <c r="CD136" s="134"/>
      <c r="CE136" s="134" t="n">
        <f aca="false">SUMIF('Basis Options'!$X:$X,CONCATENATE($AK136,CE$4),'Basis Options'!$AF:$AF)</f>
        <v>0</v>
      </c>
      <c r="CF136" s="134"/>
      <c r="CG136" s="208" t="n">
        <f aca="false">EOMONTH(CG135,0)+1</f>
        <v>40725</v>
      </c>
      <c r="CH136" s="135" t="n">
        <f aca="false">SUM(BT136:CF136)</f>
        <v>0</v>
      </c>
    </row>
    <row r="137" customFormat="false" ht="12.75" hidden="false" customHeight="false" outlineLevel="0" collapsed="false">
      <c r="A137" s="143" t="n">
        <f aca="false">EOMONTH(A136,0)+1</f>
        <v>40756</v>
      </c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43" t="n">
        <f aca="false">EOMONTH(O136,0)+1</f>
        <v>40756</v>
      </c>
      <c r="P137" s="135" t="n">
        <f aca="false">SUM(B137:N137)</f>
        <v>0</v>
      </c>
      <c r="S137" s="143" t="n">
        <f aca="false">EOMONTH(S136,0)+1</f>
        <v>40756</v>
      </c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43" t="n">
        <f aca="false">EOMONTH(AG136,0)+1</f>
        <v>40756</v>
      </c>
      <c r="AH137" s="135" t="n">
        <f aca="false">SUM(T137:AF137)</f>
        <v>0</v>
      </c>
      <c r="AK137" s="143" t="n">
        <f aca="false">EOMONTH(AK136,0)+1</f>
        <v>40756</v>
      </c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43" t="n">
        <f aca="false">EOMONTH(AY136,0)+1</f>
        <v>40756</v>
      </c>
      <c r="AZ137" s="135" t="n">
        <f aca="false">SUM(AL137:AX137)</f>
        <v>0</v>
      </c>
      <c r="BB137" s="143" t="n">
        <f aca="false">EOMONTH(BB136,0)+1</f>
        <v>40756</v>
      </c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43" t="n">
        <f aca="false">EOMONTH(BP136,0)+1</f>
        <v>40756</v>
      </c>
      <c r="BQ137" s="135" t="n">
        <f aca="false">SUM(BC137:BO137)</f>
        <v>0</v>
      </c>
      <c r="BS137" s="143" t="n">
        <f aca="false">EOMONTH(BS136,0)+1</f>
        <v>40756</v>
      </c>
      <c r="BT137" s="134" t="n">
        <f aca="false">SUMIF('Basis Options'!$X:$X,CONCATENATE($AK137,BT$4),'Basis Options'!$AF:$AF)</f>
        <v>0</v>
      </c>
      <c r="BU137" s="134" t="n">
        <f aca="false">SUMIF('Basis Options'!$X:$X,CONCATENATE($AK137,BU$4),'Basis Options'!$AF:$AF)</f>
        <v>0</v>
      </c>
      <c r="BV137" s="134" t="n">
        <f aca="false">SUMIF('Basis Options'!$X:$X,CONCATENATE($AK137,BV$4),'Basis Options'!$AF:$AF)</f>
        <v>0</v>
      </c>
      <c r="BW137" s="134" t="n">
        <f aca="false">SUMIF('Basis Options'!$X:$X,CONCATENATE($AK137,BW$4),'Basis Options'!$AF:$AF)</f>
        <v>0</v>
      </c>
      <c r="BX137" s="134" t="n">
        <f aca="false">SUMIF('Basis Options'!$X:$X,CONCATENATE($AK137,BX$4),'Basis Options'!$AF:$AF)</f>
        <v>0</v>
      </c>
      <c r="BY137" s="134" t="n">
        <f aca="false">SUMIF('Basis Options'!$X:$X,CONCATENATE($AK137,BY$4),'Basis Options'!$AF:$AF)</f>
        <v>0</v>
      </c>
      <c r="BZ137" s="134" t="n">
        <f aca="false">SUMIF('Basis Options'!$X:$X,CONCATENATE($AK137,BZ$4),'Basis Options'!$AF:$AF)</f>
        <v>0</v>
      </c>
      <c r="CA137" s="134" t="n">
        <f aca="false">SUMIF('Basis Options'!$X:$X,CONCATENATE($AK137,CA$4),'Basis Options'!$AF:$AF)</f>
        <v>0</v>
      </c>
      <c r="CB137" s="134" t="n">
        <f aca="false">SUMIF('Basis Options'!$X:$X,CONCATENATE($AK137,CB$4),'Basis Options'!$AF:$AF)</f>
        <v>0</v>
      </c>
      <c r="CC137" s="134" t="n">
        <f aca="false">SUMIF('Basis Options'!$X:$X,CONCATENATE($AK137,CC$4),'Basis Options'!$AF:$AF)</f>
        <v>0</v>
      </c>
      <c r="CD137" s="134"/>
      <c r="CE137" s="134" t="n">
        <f aca="false">SUMIF('Basis Options'!$X:$X,CONCATENATE($AK137,CE$4),'Basis Options'!$AF:$AF)</f>
        <v>0</v>
      </c>
      <c r="CF137" s="134"/>
      <c r="CG137" s="143" t="n">
        <f aca="false">EOMONTH(CG136,0)+1</f>
        <v>40756</v>
      </c>
      <c r="CH137" s="135" t="n">
        <f aca="false">SUM(BT137:CF137)</f>
        <v>0</v>
      </c>
    </row>
    <row r="138" customFormat="false" ht="12.75" hidden="false" customHeight="false" outlineLevel="0" collapsed="false">
      <c r="A138" s="143" t="n">
        <f aca="false">EOMONTH(A137,0)+1</f>
        <v>40787</v>
      </c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43" t="n">
        <f aca="false">EOMONTH(O137,0)+1</f>
        <v>40787</v>
      </c>
      <c r="P138" s="135" t="n">
        <f aca="false">SUM(B138:N138)</f>
        <v>0</v>
      </c>
      <c r="S138" s="143" t="n">
        <f aca="false">EOMONTH(S137,0)+1</f>
        <v>40787</v>
      </c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43" t="n">
        <f aca="false">EOMONTH(AG137,0)+1</f>
        <v>40787</v>
      </c>
      <c r="AH138" s="135" t="n">
        <f aca="false">SUM(T138:AF138)</f>
        <v>0</v>
      </c>
      <c r="AK138" s="143" t="n">
        <f aca="false">EOMONTH(AK137,0)+1</f>
        <v>40787</v>
      </c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43" t="n">
        <f aca="false">EOMONTH(AY137,0)+1</f>
        <v>40787</v>
      </c>
      <c r="AZ138" s="135" t="n">
        <f aca="false">SUM(AL138:AX138)</f>
        <v>0</v>
      </c>
      <c r="BB138" s="143" t="n">
        <f aca="false">EOMONTH(BB137,0)+1</f>
        <v>40787</v>
      </c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43" t="n">
        <f aca="false">EOMONTH(BP137,0)+1</f>
        <v>40787</v>
      </c>
      <c r="BQ138" s="135" t="n">
        <f aca="false">SUM(BC138:BO138)</f>
        <v>0</v>
      </c>
      <c r="BS138" s="143" t="n">
        <f aca="false">EOMONTH(BS137,0)+1</f>
        <v>40787</v>
      </c>
      <c r="BT138" s="134" t="n">
        <f aca="false">SUMIF('Basis Options'!$X:$X,CONCATENATE($AK138,BT$4),'Basis Options'!$AF:$AF)</f>
        <v>0</v>
      </c>
      <c r="BU138" s="134" t="n">
        <f aca="false">SUMIF('Basis Options'!$X:$X,CONCATENATE($AK138,BU$4),'Basis Options'!$AF:$AF)</f>
        <v>0</v>
      </c>
      <c r="BV138" s="134" t="n">
        <f aca="false">SUMIF('Basis Options'!$X:$X,CONCATENATE($AK138,BV$4),'Basis Options'!$AF:$AF)</f>
        <v>0</v>
      </c>
      <c r="BW138" s="134" t="n">
        <f aca="false">SUMIF('Basis Options'!$X:$X,CONCATENATE($AK138,BW$4),'Basis Options'!$AF:$AF)</f>
        <v>0</v>
      </c>
      <c r="BX138" s="134" t="n">
        <f aca="false">SUMIF('Basis Options'!$X:$X,CONCATENATE($AK138,BX$4),'Basis Options'!$AF:$AF)</f>
        <v>0</v>
      </c>
      <c r="BY138" s="134" t="n">
        <f aca="false">SUMIF('Basis Options'!$X:$X,CONCATENATE($AK138,BY$4),'Basis Options'!$AF:$AF)</f>
        <v>0</v>
      </c>
      <c r="BZ138" s="134" t="n">
        <f aca="false">SUMIF('Basis Options'!$X:$X,CONCATENATE($AK138,BZ$4),'Basis Options'!$AF:$AF)</f>
        <v>0</v>
      </c>
      <c r="CA138" s="134" t="n">
        <f aca="false">SUMIF('Basis Options'!$X:$X,CONCATENATE($AK138,CA$4),'Basis Options'!$AF:$AF)</f>
        <v>0</v>
      </c>
      <c r="CB138" s="134" t="n">
        <f aca="false">SUMIF('Basis Options'!$X:$X,CONCATENATE($AK138,CB$4),'Basis Options'!$AF:$AF)</f>
        <v>0</v>
      </c>
      <c r="CC138" s="134" t="n">
        <f aca="false">SUMIF('Basis Options'!$X:$X,CONCATENATE($AK138,CC$4),'Basis Options'!$AF:$AF)</f>
        <v>0</v>
      </c>
      <c r="CD138" s="134"/>
      <c r="CE138" s="134" t="n">
        <f aca="false">SUMIF('Basis Options'!$X:$X,CONCATENATE($AK138,CE$4),'Basis Options'!$AF:$AF)</f>
        <v>0</v>
      </c>
      <c r="CF138" s="134"/>
      <c r="CG138" s="143" t="n">
        <f aca="false">EOMONTH(CG137,0)+1</f>
        <v>40787</v>
      </c>
      <c r="CH138" s="135" t="n">
        <f aca="false">SUM(BT138:CF138)</f>
        <v>0</v>
      </c>
    </row>
    <row r="139" customFormat="false" ht="12.75" hidden="false" customHeight="false" outlineLevel="0" collapsed="false">
      <c r="A139" s="143" t="n">
        <f aca="false">EOMONTH(A138,0)+1</f>
        <v>40817</v>
      </c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43" t="n">
        <f aca="false">EOMONTH(O138,0)+1</f>
        <v>40817</v>
      </c>
      <c r="P139" s="135" t="n">
        <f aca="false">SUM(B139:N139)</f>
        <v>0</v>
      </c>
      <c r="S139" s="143" t="n">
        <f aca="false">EOMONTH(S138,0)+1</f>
        <v>40817</v>
      </c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43" t="n">
        <f aca="false">EOMONTH(AG138,0)+1</f>
        <v>40817</v>
      </c>
      <c r="AH139" s="135" t="n">
        <f aca="false">SUM(T139:AF139)</f>
        <v>0</v>
      </c>
      <c r="AK139" s="143" t="n">
        <f aca="false">EOMONTH(AK138,0)+1</f>
        <v>40817</v>
      </c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43" t="n">
        <f aca="false">EOMONTH(AY138,0)+1</f>
        <v>40817</v>
      </c>
      <c r="AZ139" s="135" t="n">
        <f aca="false">SUM(AL139:AX139)</f>
        <v>0</v>
      </c>
      <c r="BB139" s="143" t="n">
        <f aca="false">EOMONTH(BB138,0)+1</f>
        <v>40817</v>
      </c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43" t="n">
        <f aca="false">EOMONTH(BP138,0)+1</f>
        <v>40817</v>
      </c>
      <c r="BQ139" s="135" t="n">
        <f aca="false">SUM(BC139:BO139)</f>
        <v>0</v>
      </c>
      <c r="BS139" s="143" t="n">
        <f aca="false">EOMONTH(BS138,0)+1</f>
        <v>40817</v>
      </c>
      <c r="BT139" s="134" t="n">
        <f aca="false">SUMIF('Basis Options'!$X:$X,CONCATENATE($AK139,BT$4),'Basis Options'!$AF:$AF)</f>
        <v>0</v>
      </c>
      <c r="BU139" s="134" t="n">
        <f aca="false">SUMIF('Basis Options'!$X:$X,CONCATENATE($AK139,BU$4),'Basis Options'!$AF:$AF)</f>
        <v>0</v>
      </c>
      <c r="BV139" s="134" t="n">
        <f aca="false">SUMIF('Basis Options'!$X:$X,CONCATENATE($AK139,BV$4),'Basis Options'!$AF:$AF)</f>
        <v>0</v>
      </c>
      <c r="BW139" s="134" t="n">
        <f aca="false">SUMIF('Basis Options'!$X:$X,CONCATENATE($AK139,BW$4),'Basis Options'!$AF:$AF)</f>
        <v>0</v>
      </c>
      <c r="BX139" s="134" t="n">
        <f aca="false">SUMIF('Basis Options'!$X:$X,CONCATENATE($AK139,BX$4),'Basis Options'!$AF:$AF)</f>
        <v>0</v>
      </c>
      <c r="BY139" s="134" t="n">
        <f aca="false">SUMIF('Basis Options'!$X:$X,CONCATENATE($AK139,BY$4),'Basis Options'!$AF:$AF)</f>
        <v>0</v>
      </c>
      <c r="BZ139" s="134" t="n">
        <f aca="false">SUMIF('Basis Options'!$X:$X,CONCATENATE($AK139,BZ$4),'Basis Options'!$AF:$AF)</f>
        <v>0</v>
      </c>
      <c r="CA139" s="134" t="n">
        <f aca="false">SUMIF('Basis Options'!$X:$X,CONCATENATE($AK139,CA$4),'Basis Options'!$AF:$AF)</f>
        <v>0</v>
      </c>
      <c r="CB139" s="134" t="n">
        <f aca="false">SUMIF('Basis Options'!$X:$X,CONCATENATE($AK139,CB$4),'Basis Options'!$AF:$AF)</f>
        <v>0</v>
      </c>
      <c r="CC139" s="134" t="n">
        <f aca="false">SUMIF('Basis Options'!$X:$X,CONCATENATE($AK139,CC$4),'Basis Options'!$AF:$AF)</f>
        <v>0</v>
      </c>
      <c r="CD139" s="134"/>
      <c r="CE139" s="134" t="n">
        <f aca="false">SUMIF('Basis Options'!$X:$X,CONCATENATE($AK139,CE$4),'Basis Options'!$AF:$AF)</f>
        <v>0</v>
      </c>
      <c r="CF139" s="134"/>
      <c r="CG139" s="143" t="n">
        <f aca="false">EOMONTH(CG138,0)+1</f>
        <v>40817</v>
      </c>
      <c r="CH139" s="135" t="n">
        <f aca="false">SUM(BT139:CF139)</f>
        <v>0</v>
      </c>
    </row>
    <row r="140" customFormat="false" ht="12.75" hidden="false" customHeight="false" outlineLevel="0" collapsed="false">
      <c r="A140" s="143" t="n">
        <f aca="false">EOMONTH(A139,0)+1</f>
        <v>40848</v>
      </c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43" t="n">
        <f aca="false">EOMONTH(O139,0)+1</f>
        <v>40848</v>
      </c>
      <c r="P140" s="135" t="n">
        <f aca="false">SUM(B140:N140)</f>
        <v>0</v>
      </c>
      <c r="S140" s="143" t="n">
        <f aca="false">EOMONTH(S139,0)+1</f>
        <v>40848</v>
      </c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43" t="n">
        <f aca="false">EOMONTH(AG139,0)+1</f>
        <v>40848</v>
      </c>
      <c r="AH140" s="135" t="n">
        <f aca="false">SUM(T140:AF140)</f>
        <v>0</v>
      </c>
      <c r="AK140" s="143" t="n">
        <f aca="false">EOMONTH(AK139,0)+1</f>
        <v>40848</v>
      </c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43" t="n">
        <f aca="false">EOMONTH(AY139,0)+1</f>
        <v>40848</v>
      </c>
      <c r="AZ140" s="135" t="n">
        <f aca="false">SUM(AL140:AX140)</f>
        <v>0</v>
      </c>
      <c r="BB140" s="143" t="n">
        <f aca="false">EOMONTH(BB139,0)+1</f>
        <v>40848</v>
      </c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43" t="n">
        <f aca="false">EOMONTH(BP139,0)+1</f>
        <v>40848</v>
      </c>
      <c r="BQ140" s="135" t="n">
        <f aca="false">SUM(BC140:BO140)</f>
        <v>0</v>
      </c>
      <c r="BS140" s="143" t="n">
        <f aca="false">EOMONTH(BS139,0)+1</f>
        <v>40848</v>
      </c>
      <c r="BT140" s="134" t="n">
        <f aca="false">SUMIF('Basis Options'!$X:$X,CONCATENATE($AK140,BT$4),'Basis Options'!$AF:$AF)</f>
        <v>0</v>
      </c>
      <c r="BU140" s="134" t="n">
        <f aca="false">SUMIF('Basis Options'!$X:$X,CONCATENATE($AK140,BU$4),'Basis Options'!$AF:$AF)</f>
        <v>0</v>
      </c>
      <c r="BV140" s="134" t="n">
        <f aca="false">SUMIF('Basis Options'!$X:$X,CONCATENATE($AK140,BV$4),'Basis Options'!$AF:$AF)</f>
        <v>0</v>
      </c>
      <c r="BW140" s="134" t="n">
        <f aca="false">SUMIF('Basis Options'!$X:$X,CONCATENATE($AK140,BW$4),'Basis Options'!$AF:$AF)</f>
        <v>0</v>
      </c>
      <c r="BX140" s="134" t="n">
        <f aca="false">SUMIF('Basis Options'!$X:$X,CONCATENATE($AK140,BX$4),'Basis Options'!$AF:$AF)</f>
        <v>0</v>
      </c>
      <c r="BY140" s="134" t="n">
        <f aca="false">SUMIF('Basis Options'!$X:$X,CONCATENATE($AK140,BY$4),'Basis Options'!$AF:$AF)</f>
        <v>0</v>
      </c>
      <c r="BZ140" s="134" t="n">
        <f aca="false">SUMIF('Basis Options'!$X:$X,CONCATENATE($AK140,BZ$4),'Basis Options'!$AF:$AF)</f>
        <v>0</v>
      </c>
      <c r="CA140" s="134" t="n">
        <f aca="false">SUMIF('Basis Options'!$X:$X,CONCATENATE($AK140,CA$4),'Basis Options'!$AF:$AF)</f>
        <v>0</v>
      </c>
      <c r="CB140" s="134" t="n">
        <f aca="false">SUMIF('Basis Options'!$X:$X,CONCATENATE($AK140,CB$4),'Basis Options'!$AF:$AF)</f>
        <v>0</v>
      </c>
      <c r="CC140" s="134" t="n">
        <f aca="false">SUMIF('Basis Options'!$X:$X,CONCATENATE($AK140,CC$4),'Basis Options'!$AF:$AF)</f>
        <v>0</v>
      </c>
      <c r="CD140" s="134"/>
      <c r="CE140" s="134" t="n">
        <f aca="false">SUMIF('Basis Options'!$X:$X,CONCATENATE($AK140,CE$4),'Basis Options'!$AF:$AF)</f>
        <v>0</v>
      </c>
      <c r="CF140" s="134"/>
      <c r="CG140" s="143" t="n">
        <f aca="false">EOMONTH(CG139,0)+1</f>
        <v>40848</v>
      </c>
      <c r="CH140" s="135" t="n">
        <f aca="false">SUM(BT140:CF140)</f>
        <v>0</v>
      </c>
    </row>
    <row r="141" customFormat="false" ht="12.75" hidden="false" customHeight="false" outlineLevel="0" collapsed="false">
      <c r="A141" s="143" t="n">
        <f aca="false">EOMONTH(A140,0)+1</f>
        <v>40878</v>
      </c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43" t="n">
        <f aca="false">EOMONTH(O140,0)+1</f>
        <v>40878</v>
      </c>
      <c r="P141" s="135" t="n">
        <f aca="false">SUM(B141:N141)</f>
        <v>0</v>
      </c>
      <c r="S141" s="143" t="n">
        <f aca="false">EOMONTH(S140,0)+1</f>
        <v>40878</v>
      </c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43" t="n">
        <f aca="false">EOMONTH(AG140,0)+1</f>
        <v>40878</v>
      </c>
      <c r="AH141" s="135" t="n">
        <f aca="false">SUM(T141:AF141)</f>
        <v>0</v>
      </c>
      <c r="AK141" s="143" t="n">
        <f aca="false">EOMONTH(AK140,0)+1</f>
        <v>40878</v>
      </c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43" t="n">
        <f aca="false">EOMONTH(AY140,0)+1</f>
        <v>40878</v>
      </c>
      <c r="AZ141" s="135" t="n">
        <f aca="false">SUM(AL141:AX141)</f>
        <v>0</v>
      </c>
      <c r="BB141" s="143" t="n">
        <f aca="false">EOMONTH(BB140,0)+1</f>
        <v>40878</v>
      </c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43" t="n">
        <f aca="false">EOMONTH(BP140,0)+1</f>
        <v>40878</v>
      </c>
      <c r="BQ141" s="135" t="n">
        <f aca="false">SUM(BC141:BO141)</f>
        <v>0</v>
      </c>
      <c r="BS141" s="143" t="n">
        <f aca="false">EOMONTH(BS140,0)+1</f>
        <v>40878</v>
      </c>
      <c r="BT141" s="134" t="n">
        <f aca="false">SUMIF('Basis Options'!$X:$X,CONCATENATE($AK141,BT$4),'Basis Options'!$AF:$AF)</f>
        <v>0</v>
      </c>
      <c r="BU141" s="134" t="n">
        <f aca="false">SUMIF('Basis Options'!$X:$X,CONCATENATE($AK141,BU$4),'Basis Options'!$AF:$AF)</f>
        <v>0</v>
      </c>
      <c r="BV141" s="134" t="n">
        <f aca="false">SUMIF('Basis Options'!$X:$X,CONCATENATE($AK141,BV$4),'Basis Options'!$AF:$AF)</f>
        <v>0</v>
      </c>
      <c r="BW141" s="134" t="n">
        <f aca="false">SUMIF('Basis Options'!$X:$X,CONCATENATE($AK141,BW$4),'Basis Options'!$AF:$AF)</f>
        <v>0</v>
      </c>
      <c r="BX141" s="134" t="n">
        <f aca="false">SUMIF('Basis Options'!$X:$X,CONCATENATE($AK141,BX$4),'Basis Options'!$AF:$AF)</f>
        <v>0</v>
      </c>
      <c r="BY141" s="134" t="n">
        <f aca="false">SUMIF('Basis Options'!$X:$X,CONCATENATE($AK141,BY$4),'Basis Options'!$AF:$AF)</f>
        <v>0</v>
      </c>
      <c r="BZ141" s="134" t="n">
        <f aca="false">SUMIF('Basis Options'!$X:$X,CONCATENATE($AK141,BZ$4),'Basis Options'!$AF:$AF)</f>
        <v>0</v>
      </c>
      <c r="CA141" s="134" t="n">
        <f aca="false">SUMIF('Basis Options'!$X:$X,CONCATENATE($AK141,CA$4),'Basis Options'!$AF:$AF)</f>
        <v>0</v>
      </c>
      <c r="CB141" s="134" t="n">
        <f aca="false">SUMIF('Basis Options'!$X:$X,CONCATENATE($AK141,CB$4),'Basis Options'!$AF:$AF)</f>
        <v>0</v>
      </c>
      <c r="CC141" s="134" t="n">
        <f aca="false">SUMIF('Basis Options'!$X:$X,CONCATENATE($AK141,CC$4),'Basis Options'!$AF:$AF)</f>
        <v>0</v>
      </c>
      <c r="CD141" s="134"/>
      <c r="CE141" s="134" t="n">
        <f aca="false">SUMIF('Basis Options'!$X:$X,CONCATENATE($AK141,CE$4),'Basis Options'!$AF:$AF)</f>
        <v>0</v>
      </c>
      <c r="CF141" s="134"/>
      <c r="CG141" s="143" t="n">
        <f aca="false">EOMONTH(CG140,0)+1</f>
        <v>40878</v>
      </c>
      <c r="CH141" s="135" t="n">
        <f aca="false">SUM(BT141:CF141)</f>
        <v>0</v>
      </c>
    </row>
    <row r="142" customFormat="false" ht="12.75" hidden="false" customHeight="false" outlineLevel="0" collapsed="false">
      <c r="A142" s="143" t="n">
        <f aca="false">EOMONTH(A141,0)+1</f>
        <v>40909</v>
      </c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43" t="n">
        <f aca="false">EOMONTH(O141,0)+1</f>
        <v>40909</v>
      </c>
      <c r="P142" s="135" t="n">
        <f aca="false">SUM(B142:N142)</f>
        <v>0</v>
      </c>
      <c r="S142" s="143" t="n">
        <f aca="false">EOMONTH(S141,0)+1</f>
        <v>40909</v>
      </c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43" t="n">
        <f aca="false">EOMONTH(AG141,0)+1</f>
        <v>40909</v>
      </c>
      <c r="AH142" s="135" t="n">
        <f aca="false">SUM(T142:AF142)</f>
        <v>0</v>
      </c>
      <c r="AK142" s="143" t="n">
        <f aca="false">EOMONTH(AK141,0)+1</f>
        <v>40909</v>
      </c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43" t="n">
        <f aca="false">EOMONTH(AY141,0)+1</f>
        <v>40909</v>
      </c>
      <c r="AZ142" s="135" t="n">
        <f aca="false">SUM(AL142:AX142)</f>
        <v>0</v>
      </c>
      <c r="BB142" s="143" t="n">
        <f aca="false">EOMONTH(BB141,0)+1</f>
        <v>40909</v>
      </c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43" t="n">
        <f aca="false">EOMONTH(BP141,0)+1</f>
        <v>40909</v>
      </c>
      <c r="BQ142" s="135" t="n">
        <f aca="false">SUM(BC142:BO142)</f>
        <v>0</v>
      </c>
      <c r="BS142" s="143" t="n">
        <f aca="false">EOMONTH(BS141,0)+1</f>
        <v>40909</v>
      </c>
      <c r="BT142" s="134" t="n">
        <f aca="false">SUMIF('Basis Options'!$X:$X,CONCATENATE($AK142,BT$4),'Basis Options'!$AF:$AF)</f>
        <v>0</v>
      </c>
      <c r="BU142" s="134" t="n">
        <f aca="false">SUMIF('Basis Options'!$X:$X,CONCATENATE($AK142,BU$4),'Basis Options'!$AF:$AF)</f>
        <v>0</v>
      </c>
      <c r="BV142" s="134" t="n">
        <f aca="false">SUMIF('Basis Options'!$X:$X,CONCATENATE($AK142,BV$4),'Basis Options'!$AF:$AF)</f>
        <v>0</v>
      </c>
      <c r="BW142" s="134" t="n">
        <f aca="false">SUMIF('Basis Options'!$X:$X,CONCATENATE($AK142,BW$4),'Basis Options'!$AF:$AF)</f>
        <v>0</v>
      </c>
      <c r="BX142" s="134" t="n">
        <f aca="false">SUMIF('Basis Options'!$X:$X,CONCATENATE($AK142,BX$4),'Basis Options'!$AF:$AF)</f>
        <v>0</v>
      </c>
      <c r="BY142" s="134" t="n">
        <f aca="false">SUMIF('Basis Options'!$X:$X,CONCATENATE($AK142,BY$4),'Basis Options'!$AF:$AF)</f>
        <v>0</v>
      </c>
      <c r="BZ142" s="134" t="n">
        <f aca="false">SUMIF('Basis Options'!$X:$X,CONCATENATE($AK142,BZ$4),'Basis Options'!$AF:$AF)</f>
        <v>0</v>
      </c>
      <c r="CA142" s="134" t="n">
        <f aca="false">SUMIF('Basis Options'!$X:$X,CONCATENATE($AK142,CA$4),'Basis Options'!$AF:$AF)</f>
        <v>0</v>
      </c>
      <c r="CB142" s="134" t="n">
        <f aca="false">SUMIF('Basis Options'!$X:$X,CONCATENATE($AK142,CB$4),'Basis Options'!$AF:$AF)</f>
        <v>0</v>
      </c>
      <c r="CC142" s="134" t="n">
        <f aca="false">SUMIF('Basis Options'!$X:$X,CONCATENATE($AK142,CC$4),'Basis Options'!$AF:$AF)</f>
        <v>0</v>
      </c>
      <c r="CD142" s="134"/>
      <c r="CE142" s="134" t="n">
        <f aca="false">SUMIF('Basis Options'!$X:$X,CONCATENATE($AK142,CE$4),'Basis Options'!$AF:$AF)</f>
        <v>0</v>
      </c>
      <c r="CF142" s="134"/>
      <c r="CG142" s="143" t="n">
        <f aca="false">EOMONTH(CG141,0)+1</f>
        <v>40909</v>
      </c>
      <c r="CH142" s="135" t="n">
        <f aca="false">SUM(BT142:CF142)</f>
        <v>0</v>
      </c>
    </row>
    <row r="143" customFormat="false" ht="12.75" hidden="false" customHeight="false" outlineLevel="0" collapsed="false">
      <c r="A143" s="143" t="n">
        <f aca="false">EOMONTH(A142,0)+1</f>
        <v>40940</v>
      </c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43" t="n">
        <f aca="false">EOMONTH(O142,0)+1</f>
        <v>40940</v>
      </c>
      <c r="P143" s="135" t="n">
        <f aca="false">SUM(B143:N143)</f>
        <v>0</v>
      </c>
      <c r="S143" s="143" t="n">
        <f aca="false">EOMONTH(S142,0)+1</f>
        <v>40940</v>
      </c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43" t="n">
        <f aca="false">EOMONTH(AG142,0)+1</f>
        <v>40940</v>
      </c>
      <c r="AH143" s="135" t="n">
        <f aca="false">SUM(T143:AF143)</f>
        <v>0</v>
      </c>
      <c r="AK143" s="143" t="n">
        <f aca="false">EOMONTH(AK142,0)+1</f>
        <v>40940</v>
      </c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43" t="n">
        <f aca="false">EOMONTH(AY142,0)+1</f>
        <v>40940</v>
      </c>
      <c r="AZ143" s="135" t="n">
        <f aca="false">SUM(AL143:AX143)</f>
        <v>0</v>
      </c>
      <c r="BB143" s="143" t="n">
        <f aca="false">EOMONTH(BB142,0)+1</f>
        <v>40940</v>
      </c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43" t="n">
        <f aca="false">EOMONTH(BP142,0)+1</f>
        <v>40940</v>
      </c>
      <c r="BQ143" s="135" t="n">
        <f aca="false">SUM(BC143:BO143)</f>
        <v>0</v>
      </c>
      <c r="BS143" s="143" t="n">
        <f aca="false">EOMONTH(BS142,0)+1</f>
        <v>40940</v>
      </c>
      <c r="BT143" s="134" t="n">
        <f aca="false">SUMIF('Basis Options'!$X:$X,CONCATENATE($AK143,BT$4),'Basis Options'!$AF:$AF)</f>
        <v>0</v>
      </c>
      <c r="BU143" s="134" t="n">
        <f aca="false">SUMIF('Basis Options'!$X:$X,CONCATENATE($AK143,BU$4),'Basis Options'!$AF:$AF)</f>
        <v>0</v>
      </c>
      <c r="BV143" s="134" t="n">
        <f aca="false">SUMIF('Basis Options'!$X:$X,CONCATENATE($AK143,BV$4),'Basis Options'!$AF:$AF)</f>
        <v>0</v>
      </c>
      <c r="BW143" s="134" t="n">
        <f aca="false">SUMIF('Basis Options'!$X:$X,CONCATENATE($AK143,BW$4),'Basis Options'!$AF:$AF)</f>
        <v>0</v>
      </c>
      <c r="BX143" s="134" t="n">
        <f aca="false">SUMIF('Basis Options'!$X:$X,CONCATENATE($AK143,BX$4),'Basis Options'!$AF:$AF)</f>
        <v>0</v>
      </c>
      <c r="BY143" s="134" t="n">
        <f aca="false">SUMIF('Basis Options'!$X:$X,CONCATENATE($AK143,BY$4),'Basis Options'!$AF:$AF)</f>
        <v>0</v>
      </c>
      <c r="BZ143" s="134" t="n">
        <f aca="false">SUMIF('Basis Options'!$X:$X,CONCATENATE($AK143,BZ$4),'Basis Options'!$AF:$AF)</f>
        <v>0</v>
      </c>
      <c r="CA143" s="134" t="n">
        <f aca="false">SUMIF('Basis Options'!$X:$X,CONCATENATE($AK143,CA$4),'Basis Options'!$AF:$AF)</f>
        <v>0</v>
      </c>
      <c r="CB143" s="134" t="n">
        <f aca="false">SUMIF('Basis Options'!$X:$X,CONCATENATE($AK143,CB$4),'Basis Options'!$AF:$AF)</f>
        <v>0</v>
      </c>
      <c r="CC143" s="134" t="n">
        <f aca="false">SUMIF('Basis Options'!$X:$X,CONCATENATE($AK143,CC$4),'Basis Options'!$AF:$AF)</f>
        <v>0</v>
      </c>
      <c r="CD143" s="134"/>
      <c r="CE143" s="134" t="n">
        <f aca="false">SUMIF('Basis Options'!$X:$X,CONCATENATE($AK143,CE$4),'Basis Options'!$AF:$AF)</f>
        <v>0</v>
      </c>
      <c r="CF143" s="134"/>
      <c r="CG143" s="143" t="n">
        <f aca="false">EOMONTH(CG142,0)+1</f>
        <v>40940</v>
      </c>
      <c r="CH143" s="135" t="n">
        <f aca="false">SUM(BT143:CF143)</f>
        <v>0</v>
      </c>
    </row>
    <row r="144" customFormat="false" ht="12.75" hidden="false" customHeight="false" outlineLevel="0" collapsed="false">
      <c r="A144" s="143" t="n">
        <f aca="false">EOMONTH(A143,0)+1</f>
        <v>40969</v>
      </c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43" t="n">
        <f aca="false">EOMONTH(O143,0)+1</f>
        <v>40969</v>
      </c>
      <c r="P144" s="135" t="n">
        <f aca="false">SUM(B144:N144)</f>
        <v>0</v>
      </c>
      <c r="S144" s="143" t="n">
        <f aca="false">EOMONTH(S143,0)+1</f>
        <v>40969</v>
      </c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43" t="n">
        <f aca="false">EOMONTH(AG143,0)+1</f>
        <v>40969</v>
      </c>
      <c r="AH144" s="135" t="n">
        <f aca="false">SUM(T144:AF144)</f>
        <v>0</v>
      </c>
      <c r="AK144" s="143" t="n">
        <f aca="false">EOMONTH(AK143,0)+1</f>
        <v>40969</v>
      </c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43" t="n">
        <f aca="false">EOMONTH(AY143,0)+1</f>
        <v>40969</v>
      </c>
      <c r="AZ144" s="135" t="n">
        <f aca="false">SUM(AL144:AX144)</f>
        <v>0</v>
      </c>
      <c r="BB144" s="143" t="n">
        <f aca="false">EOMONTH(BB143,0)+1</f>
        <v>40969</v>
      </c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43" t="n">
        <f aca="false">EOMONTH(BP143,0)+1</f>
        <v>40969</v>
      </c>
      <c r="BQ144" s="135" t="n">
        <f aca="false">SUM(BC144:BO144)</f>
        <v>0</v>
      </c>
      <c r="BS144" s="143" t="n">
        <f aca="false">EOMONTH(BS143,0)+1</f>
        <v>40969</v>
      </c>
      <c r="BT144" s="134" t="n">
        <f aca="false">SUMIF('Basis Options'!$X:$X,CONCATENATE($AK144,BT$4),'Basis Options'!$AF:$AF)</f>
        <v>0</v>
      </c>
      <c r="BU144" s="134" t="n">
        <f aca="false">SUMIF('Basis Options'!$X:$X,CONCATENATE($AK144,BU$4),'Basis Options'!$AF:$AF)</f>
        <v>0</v>
      </c>
      <c r="BV144" s="134" t="n">
        <f aca="false">SUMIF('Basis Options'!$X:$X,CONCATENATE($AK144,BV$4),'Basis Options'!$AF:$AF)</f>
        <v>0</v>
      </c>
      <c r="BW144" s="134" t="n">
        <f aca="false">SUMIF('Basis Options'!$X:$X,CONCATENATE($AK144,BW$4),'Basis Options'!$AF:$AF)</f>
        <v>0</v>
      </c>
      <c r="BX144" s="134" t="n">
        <f aca="false">SUMIF('Basis Options'!$X:$X,CONCATENATE($AK144,BX$4),'Basis Options'!$AF:$AF)</f>
        <v>0</v>
      </c>
      <c r="BY144" s="134" t="n">
        <f aca="false">SUMIF('Basis Options'!$X:$X,CONCATENATE($AK144,BY$4),'Basis Options'!$AF:$AF)</f>
        <v>0</v>
      </c>
      <c r="BZ144" s="134" t="n">
        <f aca="false">SUMIF('Basis Options'!$X:$X,CONCATENATE($AK144,BZ$4),'Basis Options'!$AF:$AF)</f>
        <v>0</v>
      </c>
      <c r="CA144" s="134" t="n">
        <f aca="false">SUMIF('Basis Options'!$X:$X,CONCATENATE($AK144,CA$4),'Basis Options'!$AF:$AF)</f>
        <v>0</v>
      </c>
      <c r="CB144" s="134" t="n">
        <f aca="false">SUMIF('Basis Options'!$X:$X,CONCATENATE($AK144,CB$4),'Basis Options'!$AF:$AF)</f>
        <v>0</v>
      </c>
      <c r="CC144" s="134" t="n">
        <f aca="false">SUMIF('Basis Options'!$X:$X,CONCATENATE($AK144,CC$4),'Basis Options'!$AF:$AF)</f>
        <v>0</v>
      </c>
      <c r="CD144" s="134"/>
      <c r="CE144" s="134" t="n">
        <f aca="false">SUMIF('Basis Options'!$X:$X,CONCATENATE($AK144,CE$4),'Basis Options'!$AF:$AF)</f>
        <v>0</v>
      </c>
      <c r="CF144" s="134"/>
      <c r="CG144" s="143" t="n">
        <f aca="false">EOMONTH(CG143,0)+1</f>
        <v>40969</v>
      </c>
      <c r="CH144" s="135" t="n">
        <f aca="false">SUM(BT144:CF144)</f>
        <v>0</v>
      </c>
    </row>
    <row r="145" customFormat="false" ht="12.75" hidden="false" customHeight="false" outlineLevel="0" collapsed="false">
      <c r="A145" s="143" t="n">
        <f aca="false">EOMONTH(A144,0)+1</f>
        <v>41000</v>
      </c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43" t="n">
        <f aca="false">EOMONTH(O144,0)+1</f>
        <v>41000</v>
      </c>
      <c r="P145" s="135" t="n">
        <f aca="false">SUM(B145:N145)</f>
        <v>0</v>
      </c>
      <c r="S145" s="143" t="n">
        <f aca="false">EOMONTH(S144,0)+1</f>
        <v>41000</v>
      </c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43" t="n">
        <f aca="false">EOMONTH(AG144,0)+1</f>
        <v>41000</v>
      </c>
      <c r="AH145" s="135" t="n">
        <f aca="false">SUM(T145:AF145)</f>
        <v>0</v>
      </c>
      <c r="AK145" s="143" t="n">
        <f aca="false">EOMONTH(AK144,0)+1</f>
        <v>41000</v>
      </c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43" t="n">
        <f aca="false">EOMONTH(AY144,0)+1</f>
        <v>41000</v>
      </c>
      <c r="AZ145" s="135" t="n">
        <f aca="false">SUM(AL145:AX145)</f>
        <v>0</v>
      </c>
      <c r="BB145" s="143" t="n">
        <f aca="false">EOMONTH(BB144,0)+1</f>
        <v>41000</v>
      </c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43" t="n">
        <f aca="false">EOMONTH(BP144,0)+1</f>
        <v>41000</v>
      </c>
      <c r="BQ145" s="135" t="n">
        <f aca="false">SUM(BC145:BO145)</f>
        <v>0</v>
      </c>
      <c r="BS145" s="143" t="n">
        <f aca="false">EOMONTH(BS144,0)+1</f>
        <v>41000</v>
      </c>
      <c r="BT145" s="134" t="n">
        <f aca="false">SUMIF('Basis Options'!$X:$X,CONCATENATE($AK145,BT$4),'Basis Options'!$AF:$AF)</f>
        <v>0</v>
      </c>
      <c r="BU145" s="134" t="n">
        <f aca="false">SUMIF('Basis Options'!$X:$X,CONCATENATE($AK145,BU$4),'Basis Options'!$AF:$AF)</f>
        <v>0</v>
      </c>
      <c r="BV145" s="134" t="n">
        <f aca="false">SUMIF('Basis Options'!$X:$X,CONCATENATE($AK145,BV$4),'Basis Options'!$AF:$AF)</f>
        <v>0</v>
      </c>
      <c r="BW145" s="134" t="n">
        <f aca="false">SUMIF('Basis Options'!$X:$X,CONCATENATE($AK145,BW$4),'Basis Options'!$AF:$AF)</f>
        <v>0</v>
      </c>
      <c r="BX145" s="134" t="n">
        <f aca="false">SUMIF('Basis Options'!$X:$X,CONCATENATE($AK145,BX$4),'Basis Options'!$AF:$AF)</f>
        <v>0</v>
      </c>
      <c r="BY145" s="134" t="n">
        <f aca="false">SUMIF('Basis Options'!$X:$X,CONCATENATE($AK145,BY$4),'Basis Options'!$AF:$AF)</f>
        <v>0</v>
      </c>
      <c r="BZ145" s="134" t="n">
        <f aca="false">SUMIF('Basis Options'!$X:$X,CONCATENATE($AK145,BZ$4),'Basis Options'!$AF:$AF)</f>
        <v>0</v>
      </c>
      <c r="CA145" s="134" t="n">
        <f aca="false">SUMIF('Basis Options'!$X:$X,CONCATENATE($AK145,CA$4),'Basis Options'!$AF:$AF)</f>
        <v>0</v>
      </c>
      <c r="CB145" s="134" t="n">
        <f aca="false">SUMIF('Basis Options'!$X:$X,CONCATENATE($AK145,CB$4),'Basis Options'!$AF:$AF)</f>
        <v>0</v>
      </c>
      <c r="CC145" s="134" t="n">
        <f aca="false">SUMIF('Basis Options'!$X:$X,CONCATENATE($AK145,CC$4),'Basis Options'!$AF:$AF)</f>
        <v>0</v>
      </c>
      <c r="CD145" s="134"/>
      <c r="CE145" s="134" t="n">
        <f aca="false">SUMIF('Basis Options'!$X:$X,CONCATENATE($AK145,CE$4),'Basis Options'!$AF:$AF)</f>
        <v>0</v>
      </c>
      <c r="CF145" s="134"/>
      <c r="CG145" s="143" t="n">
        <f aca="false">EOMONTH(CG144,0)+1</f>
        <v>41000</v>
      </c>
      <c r="CH145" s="135" t="n">
        <f aca="false">SUM(BT145:CF145)</f>
        <v>0</v>
      </c>
    </row>
    <row r="146" customFormat="false" ht="12.75" hidden="false" customHeight="false" outlineLevel="0" collapsed="false">
      <c r="A146" s="143" t="n">
        <f aca="false">EOMONTH(A145,0)+1</f>
        <v>41030</v>
      </c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43" t="n">
        <f aca="false">EOMONTH(O145,0)+1</f>
        <v>41030</v>
      </c>
      <c r="P146" s="135" t="n">
        <f aca="false">SUM(B146:N146)</f>
        <v>0</v>
      </c>
      <c r="S146" s="143" t="n">
        <f aca="false">EOMONTH(S145,0)+1</f>
        <v>41030</v>
      </c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43" t="n">
        <f aca="false">EOMONTH(AG145,0)+1</f>
        <v>41030</v>
      </c>
      <c r="AH146" s="135" t="n">
        <f aca="false">SUM(T146:AF146)</f>
        <v>0</v>
      </c>
      <c r="AK146" s="143" t="n">
        <f aca="false">EOMONTH(AK145,0)+1</f>
        <v>41030</v>
      </c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43" t="n">
        <f aca="false">EOMONTH(AY145,0)+1</f>
        <v>41030</v>
      </c>
      <c r="AZ146" s="135" t="n">
        <f aca="false">SUM(AL146:AX146)</f>
        <v>0</v>
      </c>
      <c r="BB146" s="143" t="n">
        <f aca="false">EOMONTH(BB145,0)+1</f>
        <v>41030</v>
      </c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43" t="n">
        <f aca="false">EOMONTH(BP145,0)+1</f>
        <v>41030</v>
      </c>
      <c r="BQ146" s="135" t="n">
        <f aca="false">SUM(BC146:BO146)</f>
        <v>0</v>
      </c>
      <c r="BS146" s="143" t="n">
        <f aca="false">EOMONTH(BS145,0)+1</f>
        <v>41030</v>
      </c>
      <c r="BT146" s="134" t="n">
        <f aca="false">SUMIF('Basis Options'!$X:$X,CONCATENATE($AK146,BT$4),'Basis Options'!$AF:$AF)</f>
        <v>0</v>
      </c>
      <c r="BU146" s="134" t="n">
        <f aca="false">SUMIF('Basis Options'!$X:$X,CONCATENATE($AK146,BU$4),'Basis Options'!$AF:$AF)</f>
        <v>0</v>
      </c>
      <c r="BV146" s="134" t="n">
        <f aca="false">SUMIF('Basis Options'!$X:$X,CONCATENATE($AK146,BV$4),'Basis Options'!$AF:$AF)</f>
        <v>0</v>
      </c>
      <c r="BW146" s="134" t="n">
        <f aca="false">SUMIF('Basis Options'!$X:$X,CONCATENATE($AK146,BW$4),'Basis Options'!$AF:$AF)</f>
        <v>0</v>
      </c>
      <c r="BX146" s="134" t="n">
        <f aca="false">SUMIF('Basis Options'!$X:$X,CONCATENATE($AK146,BX$4),'Basis Options'!$AF:$AF)</f>
        <v>0</v>
      </c>
      <c r="BY146" s="134" t="n">
        <f aca="false">SUMIF('Basis Options'!$X:$X,CONCATENATE($AK146,BY$4),'Basis Options'!$AF:$AF)</f>
        <v>0</v>
      </c>
      <c r="BZ146" s="134" t="n">
        <f aca="false">SUMIF('Basis Options'!$X:$X,CONCATENATE($AK146,BZ$4),'Basis Options'!$AF:$AF)</f>
        <v>0</v>
      </c>
      <c r="CA146" s="134" t="n">
        <f aca="false">SUMIF('Basis Options'!$X:$X,CONCATENATE($AK146,CA$4),'Basis Options'!$AF:$AF)</f>
        <v>0</v>
      </c>
      <c r="CB146" s="134" t="n">
        <f aca="false">SUMIF('Basis Options'!$X:$X,CONCATENATE($AK146,CB$4),'Basis Options'!$AF:$AF)</f>
        <v>0</v>
      </c>
      <c r="CC146" s="134" t="n">
        <f aca="false">SUMIF('Basis Options'!$X:$X,CONCATENATE($AK146,CC$4),'Basis Options'!$AF:$AF)</f>
        <v>0</v>
      </c>
      <c r="CD146" s="134"/>
      <c r="CE146" s="134" t="n">
        <f aca="false">SUMIF('Basis Options'!$X:$X,CONCATENATE($AK146,CE$4),'Basis Options'!$AF:$AF)</f>
        <v>0</v>
      </c>
      <c r="CF146" s="134"/>
      <c r="CG146" s="143" t="n">
        <f aca="false">EOMONTH(CG145,0)+1</f>
        <v>41030</v>
      </c>
      <c r="CH146" s="135" t="n">
        <f aca="false">SUM(BT146:CF146)</f>
        <v>0</v>
      </c>
    </row>
    <row r="147" customFormat="false" ht="12.75" hidden="false" customHeight="false" outlineLevel="0" collapsed="false">
      <c r="A147" s="143" t="n">
        <f aca="false">EOMONTH(A146,0)+1</f>
        <v>41061</v>
      </c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43" t="n">
        <f aca="false">EOMONTH(O146,0)+1</f>
        <v>41061</v>
      </c>
      <c r="P147" s="135" t="n">
        <f aca="false">SUM(B147:N147)</f>
        <v>0</v>
      </c>
      <c r="S147" s="143" t="n">
        <f aca="false">EOMONTH(S146,0)+1</f>
        <v>41061</v>
      </c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43" t="n">
        <f aca="false">EOMONTH(AG146,0)+1</f>
        <v>41061</v>
      </c>
      <c r="AH147" s="135" t="n">
        <f aca="false">SUM(T147:AF147)</f>
        <v>0</v>
      </c>
      <c r="AK147" s="143" t="n">
        <f aca="false">EOMONTH(AK146,0)+1</f>
        <v>41061</v>
      </c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43" t="n">
        <f aca="false">EOMONTH(AY146,0)+1</f>
        <v>41061</v>
      </c>
      <c r="AZ147" s="135" t="n">
        <f aca="false">SUM(AL147:AX147)</f>
        <v>0</v>
      </c>
      <c r="BB147" s="143" t="n">
        <f aca="false">EOMONTH(BB146,0)+1</f>
        <v>41061</v>
      </c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43" t="n">
        <f aca="false">EOMONTH(BP146,0)+1</f>
        <v>41061</v>
      </c>
      <c r="BQ147" s="135" t="n">
        <f aca="false">SUM(BC147:BO147)</f>
        <v>0</v>
      </c>
      <c r="BS147" s="143" t="n">
        <f aca="false">EOMONTH(BS146,0)+1</f>
        <v>41061</v>
      </c>
      <c r="BT147" s="134" t="n">
        <f aca="false">SUMIF('Basis Options'!$X:$X,CONCATENATE($AK147,BT$4),'Basis Options'!$AF:$AF)</f>
        <v>0</v>
      </c>
      <c r="BU147" s="134" t="n">
        <f aca="false">SUMIF('Basis Options'!$X:$X,CONCATENATE($AK147,BU$4),'Basis Options'!$AF:$AF)</f>
        <v>0</v>
      </c>
      <c r="BV147" s="134" t="n">
        <f aca="false">SUMIF('Basis Options'!$X:$X,CONCATENATE($AK147,BV$4),'Basis Options'!$AF:$AF)</f>
        <v>0</v>
      </c>
      <c r="BW147" s="134" t="n">
        <f aca="false">SUMIF('Basis Options'!$X:$X,CONCATENATE($AK147,BW$4),'Basis Options'!$AF:$AF)</f>
        <v>0</v>
      </c>
      <c r="BX147" s="134" t="n">
        <f aca="false">SUMIF('Basis Options'!$X:$X,CONCATENATE($AK147,BX$4),'Basis Options'!$AF:$AF)</f>
        <v>0</v>
      </c>
      <c r="BY147" s="134" t="n">
        <f aca="false">SUMIF('Basis Options'!$X:$X,CONCATENATE($AK147,BY$4),'Basis Options'!$AF:$AF)</f>
        <v>0</v>
      </c>
      <c r="BZ147" s="134" t="n">
        <f aca="false">SUMIF('Basis Options'!$X:$X,CONCATENATE($AK147,BZ$4),'Basis Options'!$AF:$AF)</f>
        <v>0</v>
      </c>
      <c r="CA147" s="134" t="n">
        <f aca="false">SUMIF('Basis Options'!$X:$X,CONCATENATE($AK147,CA$4),'Basis Options'!$AF:$AF)</f>
        <v>0</v>
      </c>
      <c r="CB147" s="134" t="n">
        <f aca="false">SUMIF('Basis Options'!$X:$X,CONCATENATE($AK147,CB$4),'Basis Options'!$AF:$AF)</f>
        <v>0</v>
      </c>
      <c r="CC147" s="134" t="n">
        <f aca="false">SUMIF('Basis Options'!$X:$X,CONCATENATE($AK147,CC$4),'Basis Options'!$AF:$AF)</f>
        <v>0</v>
      </c>
      <c r="CD147" s="134"/>
      <c r="CE147" s="134" t="n">
        <f aca="false">SUMIF('Basis Options'!$X:$X,CONCATENATE($AK147,CE$4),'Basis Options'!$AF:$AF)</f>
        <v>0</v>
      </c>
      <c r="CF147" s="134"/>
      <c r="CG147" s="143" t="n">
        <f aca="false">EOMONTH(CG146,0)+1</f>
        <v>41061</v>
      </c>
      <c r="CH147" s="135" t="n">
        <f aca="false">SUM(BT147:CF147)</f>
        <v>0</v>
      </c>
    </row>
    <row r="148" customFormat="false" ht="12.75" hidden="false" customHeight="false" outlineLevel="0" collapsed="false">
      <c r="A148" s="143" t="n">
        <f aca="false">EOMONTH(A147,0)+1</f>
        <v>41091</v>
      </c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43" t="n">
        <f aca="false">EOMONTH(O147,0)+1</f>
        <v>41091</v>
      </c>
      <c r="P148" s="135" t="n">
        <f aca="false">SUM(B148:N148)</f>
        <v>0</v>
      </c>
      <c r="S148" s="143" t="n">
        <f aca="false">EOMONTH(S147,0)+1</f>
        <v>41091</v>
      </c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43" t="n">
        <f aca="false">EOMONTH(AG147,0)+1</f>
        <v>41091</v>
      </c>
      <c r="AH148" s="135" t="n">
        <f aca="false">SUM(T148:AF148)</f>
        <v>0</v>
      </c>
      <c r="AK148" s="143" t="n">
        <f aca="false">EOMONTH(AK147,0)+1</f>
        <v>41091</v>
      </c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43" t="n">
        <f aca="false">EOMONTH(AY147,0)+1</f>
        <v>41091</v>
      </c>
      <c r="AZ148" s="135" t="n">
        <f aca="false">SUM(AL148:AX148)</f>
        <v>0</v>
      </c>
      <c r="BB148" s="143" t="n">
        <f aca="false">EOMONTH(BB147,0)+1</f>
        <v>41091</v>
      </c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43" t="n">
        <f aca="false">EOMONTH(BP147,0)+1</f>
        <v>41091</v>
      </c>
      <c r="BQ148" s="135" t="n">
        <f aca="false">SUM(BC148:BO148)</f>
        <v>0</v>
      </c>
      <c r="BS148" s="143" t="n">
        <f aca="false">EOMONTH(BS147,0)+1</f>
        <v>41091</v>
      </c>
      <c r="BT148" s="134" t="n">
        <f aca="false">SUMIF('Basis Options'!$X:$X,CONCATENATE($AK148,BT$4),'Basis Options'!$AF:$AF)</f>
        <v>0</v>
      </c>
      <c r="BU148" s="134" t="n">
        <f aca="false">SUMIF('Basis Options'!$X:$X,CONCATENATE($AK148,BU$4),'Basis Options'!$AF:$AF)</f>
        <v>0</v>
      </c>
      <c r="BV148" s="134" t="n">
        <f aca="false">SUMIF('Basis Options'!$X:$X,CONCATENATE($AK148,BV$4),'Basis Options'!$AF:$AF)</f>
        <v>0</v>
      </c>
      <c r="BW148" s="134" t="n">
        <f aca="false">SUMIF('Basis Options'!$X:$X,CONCATENATE($AK148,BW$4),'Basis Options'!$AF:$AF)</f>
        <v>0</v>
      </c>
      <c r="BX148" s="134" t="n">
        <f aca="false">SUMIF('Basis Options'!$X:$X,CONCATENATE($AK148,BX$4),'Basis Options'!$AF:$AF)</f>
        <v>0</v>
      </c>
      <c r="BY148" s="134" t="n">
        <f aca="false">SUMIF('Basis Options'!$X:$X,CONCATENATE($AK148,BY$4),'Basis Options'!$AF:$AF)</f>
        <v>0</v>
      </c>
      <c r="BZ148" s="134" t="n">
        <f aca="false">SUMIF('Basis Options'!$X:$X,CONCATENATE($AK148,BZ$4),'Basis Options'!$AF:$AF)</f>
        <v>0</v>
      </c>
      <c r="CA148" s="134" t="n">
        <f aca="false">SUMIF('Basis Options'!$X:$X,CONCATENATE($AK148,CA$4),'Basis Options'!$AF:$AF)</f>
        <v>0</v>
      </c>
      <c r="CB148" s="134" t="n">
        <f aca="false">SUMIF('Basis Options'!$X:$X,CONCATENATE($AK148,CB$4),'Basis Options'!$AF:$AF)</f>
        <v>0</v>
      </c>
      <c r="CC148" s="134" t="n">
        <f aca="false">SUMIF('Basis Options'!$X:$X,CONCATENATE($AK148,CC$4),'Basis Options'!$AF:$AF)</f>
        <v>0</v>
      </c>
      <c r="CD148" s="134"/>
      <c r="CE148" s="134" t="n">
        <f aca="false">SUMIF('Basis Options'!$X:$X,CONCATENATE($AK148,CE$4),'Basis Options'!$AF:$AF)</f>
        <v>0</v>
      </c>
      <c r="CF148" s="134"/>
      <c r="CG148" s="143" t="n">
        <f aca="false">EOMONTH(CG147,0)+1</f>
        <v>41091</v>
      </c>
      <c r="CH148" s="135" t="n">
        <f aca="false">SUM(BT148:CF148)</f>
        <v>0</v>
      </c>
    </row>
    <row r="149" customFormat="false" ht="12.75" hidden="false" customHeight="false" outlineLevel="0" collapsed="false">
      <c r="A149" s="143" t="n">
        <f aca="false">EOMONTH(A148,0)+1</f>
        <v>41122</v>
      </c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43" t="n">
        <f aca="false">EOMONTH(O148,0)+1</f>
        <v>41122</v>
      </c>
      <c r="P149" s="135" t="n">
        <f aca="false">SUM(B149:N149)</f>
        <v>0</v>
      </c>
      <c r="S149" s="143" t="n">
        <f aca="false">EOMONTH(S148,0)+1</f>
        <v>41122</v>
      </c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43" t="n">
        <f aca="false">EOMONTH(AG148,0)+1</f>
        <v>41122</v>
      </c>
      <c r="AH149" s="135" t="n">
        <f aca="false">SUM(T149:AF149)</f>
        <v>0</v>
      </c>
      <c r="AK149" s="143" t="n">
        <f aca="false">EOMONTH(AK148,0)+1</f>
        <v>41122</v>
      </c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43" t="n">
        <f aca="false">EOMONTH(AY148,0)+1</f>
        <v>41122</v>
      </c>
      <c r="AZ149" s="135" t="n">
        <f aca="false">SUM(AL149:AX149)</f>
        <v>0</v>
      </c>
      <c r="BB149" s="143" t="n">
        <f aca="false">EOMONTH(BB148,0)+1</f>
        <v>41122</v>
      </c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43" t="n">
        <f aca="false">EOMONTH(BP148,0)+1</f>
        <v>41122</v>
      </c>
      <c r="BQ149" s="135" t="n">
        <f aca="false">SUM(BC149:BO149)</f>
        <v>0</v>
      </c>
      <c r="BS149" s="143" t="n">
        <f aca="false">EOMONTH(BS148,0)+1</f>
        <v>41122</v>
      </c>
      <c r="BT149" s="134" t="n">
        <f aca="false">SUMIF('Basis Options'!$X:$X,CONCATENATE($AK149,BT$4),'Basis Options'!$AF:$AF)</f>
        <v>0</v>
      </c>
      <c r="BU149" s="134" t="n">
        <f aca="false">SUMIF('Basis Options'!$X:$X,CONCATENATE($AK149,BU$4),'Basis Options'!$AF:$AF)</f>
        <v>0</v>
      </c>
      <c r="BV149" s="134" t="n">
        <f aca="false">SUMIF('Basis Options'!$X:$X,CONCATENATE($AK149,BV$4),'Basis Options'!$AF:$AF)</f>
        <v>0</v>
      </c>
      <c r="BW149" s="134" t="n">
        <f aca="false">SUMIF('Basis Options'!$X:$X,CONCATENATE($AK149,BW$4),'Basis Options'!$AF:$AF)</f>
        <v>0</v>
      </c>
      <c r="BX149" s="134" t="n">
        <f aca="false">SUMIF('Basis Options'!$X:$X,CONCATENATE($AK149,BX$4),'Basis Options'!$AF:$AF)</f>
        <v>0</v>
      </c>
      <c r="BY149" s="134" t="n">
        <f aca="false">SUMIF('Basis Options'!$X:$X,CONCATENATE($AK149,BY$4),'Basis Options'!$AF:$AF)</f>
        <v>0</v>
      </c>
      <c r="BZ149" s="134" t="n">
        <f aca="false">SUMIF('Basis Options'!$X:$X,CONCATENATE($AK149,BZ$4),'Basis Options'!$AF:$AF)</f>
        <v>0</v>
      </c>
      <c r="CA149" s="134" t="n">
        <f aca="false">SUMIF('Basis Options'!$X:$X,CONCATENATE($AK149,CA$4),'Basis Options'!$AF:$AF)</f>
        <v>0</v>
      </c>
      <c r="CB149" s="134" t="n">
        <f aca="false">SUMIF('Basis Options'!$X:$X,CONCATENATE($AK149,CB$4),'Basis Options'!$AF:$AF)</f>
        <v>0</v>
      </c>
      <c r="CC149" s="134" t="n">
        <f aca="false">SUMIF('Basis Options'!$X:$X,CONCATENATE($AK149,CC$4),'Basis Options'!$AF:$AF)</f>
        <v>0</v>
      </c>
      <c r="CD149" s="134"/>
      <c r="CE149" s="134" t="n">
        <f aca="false">SUMIF('Basis Options'!$X:$X,CONCATENATE($AK149,CE$4),'Basis Options'!$AF:$AF)</f>
        <v>0</v>
      </c>
      <c r="CF149" s="134"/>
      <c r="CG149" s="143" t="n">
        <f aca="false">EOMONTH(CG148,0)+1</f>
        <v>41122</v>
      </c>
      <c r="CH149" s="135" t="n">
        <f aca="false">SUM(BT149:CF149)</f>
        <v>0</v>
      </c>
    </row>
    <row r="150" customFormat="false" ht="12.75" hidden="false" customHeight="false" outlineLevel="0" collapsed="false">
      <c r="A150" s="143" t="n">
        <f aca="false">EOMONTH(A149,0)+1</f>
        <v>41153</v>
      </c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43" t="n">
        <f aca="false">EOMONTH(O149,0)+1</f>
        <v>41153</v>
      </c>
      <c r="P150" s="135" t="n">
        <f aca="false">SUM(B150:N150)</f>
        <v>0</v>
      </c>
      <c r="S150" s="143" t="n">
        <f aca="false">EOMONTH(S149,0)+1</f>
        <v>41153</v>
      </c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43" t="n">
        <f aca="false">EOMONTH(AG149,0)+1</f>
        <v>41153</v>
      </c>
      <c r="AH150" s="135" t="n">
        <f aca="false">SUM(T150:AF150)</f>
        <v>0</v>
      </c>
      <c r="AK150" s="143" t="n">
        <f aca="false">EOMONTH(AK149,0)+1</f>
        <v>41153</v>
      </c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43" t="n">
        <f aca="false">EOMONTH(AY149,0)+1</f>
        <v>41153</v>
      </c>
      <c r="AZ150" s="135" t="n">
        <f aca="false">SUM(AL150:AX150)</f>
        <v>0</v>
      </c>
      <c r="BB150" s="143" t="n">
        <f aca="false">EOMONTH(BB149,0)+1</f>
        <v>41153</v>
      </c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43" t="n">
        <f aca="false">EOMONTH(BP149,0)+1</f>
        <v>41153</v>
      </c>
      <c r="BQ150" s="135" t="n">
        <f aca="false">SUM(BC150:BO150)</f>
        <v>0</v>
      </c>
      <c r="BS150" s="143" t="n">
        <f aca="false">EOMONTH(BS149,0)+1</f>
        <v>41153</v>
      </c>
      <c r="BT150" s="134" t="n">
        <f aca="false">SUMIF('Basis Options'!$X:$X,CONCATENATE($AK150,BT$4),'Basis Options'!$AF:$AF)</f>
        <v>0</v>
      </c>
      <c r="BU150" s="134" t="n">
        <f aca="false">SUMIF('Basis Options'!$X:$X,CONCATENATE($AK150,BU$4),'Basis Options'!$AF:$AF)</f>
        <v>0</v>
      </c>
      <c r="BV150" s="134" t="n">
        <f aca="false">SUMIF('Basis Options'!$X:$X,CONCATENATE($AK150,BV$4),'Basis Options'!$AF:$AF)</f>
        <v>0</v>
      </c>
      <c r="BW150" s="134" t="n">
        <f aca="false">SUMIF('Basis Options'!$X:$X,CONCATENATE($AK150,BW$4),'Basis Options'!$AF:$AF)</f>
        <v>0</v>
      </c>
      <c r="BX150" s="134" t="n">
        <f aca="false">SUMIF('Basis Options'!$X:$X,CONCATENATE($AK150,BX$4),'Basis Options'!$AF:$AF)</f>
        <v>0</v>
      </c>
      <c r="BY150" s="134" t="n">
        <f aca="false">SUMIF('Basis Options'!$X:$X,CONCATENATE($AK150,BY$4),'Basis Options'!$AF:$AF)</f>
        <v>0</v>
      </c>
      <c r="BZ150" s="134" t="n">
        <f aca="false">SUMIF('Basis Options'!$X:$X,CONCATENATE($AK150,BZ$4),'Basis Options'!$AF:$AF)</f>
        <v>0</v>
      </c>
      <c r="CA150" s="134" t="n">
        <f aca="false">SUMIF('Basis Options'!$X:$X,CONCATENATE($AK150,CA$4),'Basis Options'!$AF:$AF)</f>
        <v>0</v>
      </c>
      <c r="CB150" s="134" t="n">
        <f aca="false">SUMIF('Basis Options'!$X:$X,CONCATENATE($AK150,CB$4),'Basis Options'!$AF:$AF)</f>
        <v>0</v>
      </c>
      <c r="CC150" s="134" t="n">
        <f aca="false">SUMIF('Basis Options'!$X:$X,CONCATENATE($AK150,CC$4),'Basis Options'!$AF:$AF)</f>
        <v>0</v>
      </c>
      <c r="CD150" s="134"/>
      <c r="CE150" s="134" t="n">
        <f aca="false">SUMIF('Basis Options'!$X:$X,CONCATENATE($AK150,CE$4),'Basis Options'!$AF:$AF)</f>
        <v>0</v>
      </c>
      <c r="CF150" s="134"/>
      <c r="CG150" s="143" t="n">
        <f aca="false">EOMONTH(CG149,0)+1</f>
        <v>41153</v>
      </c>
      <c r="CH150" s="135" t="n">
        <f aca="false">SUM(BT150:CF150)</f>
        <v>0</v>
      </c>
    </row>
    <row r="151" customFormat="false" ht="12.75" hidden="false" customHeight="false" outlineLevel="0" collapsed="false">
      <c r="A151" s="143" t="n">
        <f aca="false">EOMONTH(A150,0)+1</f>
        <v>41183</v>
      </c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43" t="n">
        <f aca="false">EOMONTH(O150,0)+1</f>
        <v>41183</v>
      </c>
      <c r="P151" s="135" t="n">
        <f aca="false">SUM(B151:N151)</f>
        <v>0</v>
      </c>
      <c r="S151" s="143" t="n">
        <f aca="false">EOMONTH(S150,0)+1</f>
        <v>41183</v>
      </c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43" t="n">
        <f aca="false">EOMONTH(AG150,0)+1</f>
        <v>41183</v>
      </c>
      <c r="AH151" s="135" t="n">
        <f aca="false">SUM(T151:AF151)</f>
        <v>0</v>
      </c>
      <c r="AK151" s="143" t="n">
        <f aca="false">EOMONTH(AK150,0)+1</f>
        <v>41183</v>
      </c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43" t="n">
        <f aca="false">EOMONTH(AY150,0)+1</f>
        <v>41183</v>
      </c>
      <c r="AZ151" s="135" t="n">
        <f aca="false">SUM(AL151:AX151)</f>
        <v>0</v>
      </c>
      <c r="BB151" s="143" t="n">
        <f aca="false">EOMONTH(BB150,0)+1</f>
        <v>41183</v>
      </c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43" t="n">
        <f aca="false">EOMONTH(BP150,0)+1</f>
        <v>41183</v>
      </c>
      <c r="BQ151" s="135" t="n">
        <f aca="false">SUM(BC151:BO151)</f>
        <v>0</v>
      </c>
      <c r="BS151" s="143" t="n">
        <f aca="false">EOMONTH(BS150,0)+1</f>
        <v>41183</v>
      </c>
      <c r="BT151" s="134" t="n">
        <f aca="false">SUMIF('Basis Options'!$X:$X,CONCATENATE($AK151,BT$4),'Basis Options'!$AF:$AF)</f>
        <v>0</v>
      </c>
      <c r="BU151" s="134" t="n">
        <f aca="false">SUMIF('Basis Options'!$X:$X,CONCATENATE($AK151,BU$4),'Basis Options'!$AF:$AF)</f>
        <v>0</v>
      </c>
      <c r="BV151" s="134" t="n">
        <f aca="false">SUMIF('Basis Options'!$X:$X,CONCATENATE($AK151,BV$4),'Basis Options'!$AF:$AF)</f>
        <v>0</v>
      </c>
      <c r="BW151" s="134" t="n">
        <f aca="false">SUMIF('Basis Options'!$X:$X,CONCATENATE($AK151,BW$4),'Basis Options'!$AF:$AF)</f>
        <v>0</v>
      </c>
      <c r="BX151" s="134" t="n">
        <f aca="false">SUMIF('Basis Options'!$X:$X,CONCATENATE($AK151,BX$4),'Basis Options'!$AF:$AF)</f>
        <v>0</v>
      </c>
      <c r="BY151" s="134" t="n">
        <f aca="false">SUMIF('Basis Options'!$X:$X,CONCATENATE($AK151,BY$4),'Basis Options'!$AF:$AF)</f>
        <v>0</v>
      </c>
      <c r="BZ151" s="134" t="n">
        <f aca="false">SUMIF('Basis Options'!$X:$X,CONCATENATE($AK151,BZ$4),'Basis Options'!$AF:$AF)</f>
        <v>0</v>
      </c>
      <c r="CA151" s="134" t="n">
        <f aca="false">SUMIF('Basis Options'!$X:$X,CONCATENATE($AK151,CA$4),'Basis Options'!$AF:$AF)</f>
        <v>0</v>
      </c>
      <c r="CB151" s="134" t="n">
        <f aca="false">SUMIF('Basis Options'!$X:$X,CONCATENATE($AK151,CB$4),'Basis Options'!$AF:$AF)</f>
        <v>0</v>
      </c>
      <c r="CC151" s="134" t="n">
        <f aca="false">SUMIF('Basis Options'!$X:$X,CONCATENATE($AK151,CC$4),'Basis Options'!$AF:$AF)</f>
        <v>0</v>
      </c>
      <c r="CD151" s="134"/>
      <c r="CE151" s="134" t="n">
        <f aca="false">SUMIF('Basis Options'!$X:$X,CONCATENATE($AK151,CE$4),'Basis Options'!$AF:$AF)</f>
        <v>0</v>
      </c>
      <c r="CF151" s="134"/>
      <c r="CG151" s="143" t="n">
        <f aca="false">EOMONTH(CG150,0)+1</f>
        <v>41183</v>
      </c>
      <c r="CH151" s="135" t="n">
        <f aca="false">SUM(BT151:CF151)</f>
        <v>0</v>
      </c>
    </row>
    <row r="152" customFormat="false" ht="12.75" hidden="false" customHeight="false" outlineLevel="0" collapsed="false">
      <c r="A152" s="143" t="n">
        <f aca="false">EOMONTH(A151,0)+1</f>
        <v>41214</v>
      </c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43" t="n">
        <f aca="false">EOMONTH(O151,0)+1</f>
        <v>41214</v>
      </c>
      <c r="P152" s="135" t="n">
        <f aca="false">SUM(B152:N152)</f>
        <v>0</v>
      </c>
      <c r="S152" s="143" t="n">
        <f aca="false">EOMONTH(S151,0)+1</f>
        <v>41214</v>
      </c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43" t="n">
        <f aca="false">EOMONTH(AG151,0)+1</f>
        <v>41214</v>
      </c>
      <c r="AH152" s="135" t="n">
        <f aca="false">SUM(T152:AF152)</f>
        <v>0</v>
      </c>
      <c r="AK152" s="143" t="n">
        <f aca="false">EOMONTH(AK151,0)+1</f>
        <v>41214</v>
      </c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43" t="n">
        <f aca="false">EOMONTH(AY151,0)+1</f>
        <v>41214</v>
      </c>
      <c r="AZ152" s="135" t="n">
        <f aca="false">SUM(AL152:AX152)</f>
        <v>0</v>
      </c>
      <c r="BB152" s="143" t="n">
        <f aca="false">EOMONTH(BB151,0)+1</f>
        <v>41214</v>
      </c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43" t="n">
        <f aca="false">EOMONTH(BP151,0)+1</f>
        <v>41214</v>
      </c>
      <c r="BQ152" s="135" t="n">
        <f aca="false">SUM(BC152:BO152)</f>
        <v>0</v>
      </c>
      <c r="BS152" s="143" t="n">
        <f aca="false">EOMONTH(BS151,0)+1</f>
        <v>41214</v>
      </c>
      <c r="BT152" s="134" t="n">
        <f aca="false">SUMIF('Basis Options'!$X:$X,CONCATENATE($AK152,BT$4),'Basis Options'!$AF:$AF)</f>
        <v>0</v>
      </c>
      <c r="BU152" s="134" t="n">
        <f aca="false">SUMIF('Basis Options'!$X:$X,CONCATENATE($AK152,BU$4),'Basis Options'!$AF:$AF)</f>
        <v>0</v>
      </c>
      <c r="BV152" s="134" t="n">
        <f aca="false">SUMIF('Basis Options'!$X:$X,CONCATENATE($AK152,BV$4),'Basis Options'!$AF:$AF)</f>
        <v>0</v>
      </c>
      <c r="BW152" s="134" t="n">
        <f aca="false">SUMIF('Basis Options'!$X:$X,CONCATENATE($AK152,BW$4),'Basis Options'!$AF:$AF)</f>
        <v>0</v>
      </c>
      <c r="BX152" s="134" t="n">
        <f aca="false">SUMIF('Basis Options'!$X:$X,CONCATENATE($AK152,BX$4),'Basis Options'!$AF:$AF)</f>
        <v>0</v>
      </c>
      <c r="BY152" s="134" t="n">
        <f aca="false">SUMIF('Basis Options'!$X:$X,CONCATENATE($AK152,BY$4),'Basis Options'!$AF:$AF)</f>
        <v>0</v>
      </c>
      <c r="BZ152" s="134" t="n">
        <f aca="false">SUMIF('Basis Options'!$X:$X,CONCATENATE($AK152,BZ$4),'Basis Options'!$AF:$AF)</f>
        <v>0</v>
      </c>
      <c r="CA152" s="134" t="n">
        <f aca="false">SUMIF('Basis Options'!$X:$X,CONCATENATE($AK152,CA$4),'Basis Options'!$AF:$AF)</f>
        <v>0</v>
      </c>
      <c r="CB152" s="134" t="n">
        <f aca="false">SUMIF('Basis Options'!$X:$X,CONCATENATE($AK152,CB$4),'Basis Options'!$AF:$AF)</f>
        <v>0</v>
      </c>
      <c r="CC152" s="134" t="n">
        <f aca="false">SUMIF('Basis Options'!$X:$X,CONCATENATE($AK152,CC$4),'Basis Options'!$AF:$AF)</f>
        <v>0</v>
      </c>
      <c r="CD152" s="134"/>
      <c r="CE152" s="134" t="n">
        <f aca="false">SUMIF('Basis Options'!$X:$X,CONCATENATE($AK152,CE$4),'Basis Options'!$AF:$AF)</f>
        <v>0</v>
      </c>
      <c r="CF152" s="134"/>
      <c r="CG152" s="143" t="n">
        <f aca="false">EOMONTH(CG151,0)+1</f>
        <v>41214</v>
      </c>
      <c r="CH152" s="135" t="n">
        <f aca="false">SUM(BT152:CF152)</f>
        <v>0</v>
      </c>
    </row>
    <row r="153" customFormat="false" ht="12.75" hidden="false" customHeight="false" outlineLevel="0" collapsed="false">
      <c r="A153" s="143" t="n">
        <f aca="false">EOMONTH(A152,0)+1</f>
        <v>41244</v>
      </c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43" t="n">
        <f aca="false">EOMONTH(O152,0)+1</f>
        <v>41244</v>
      </c>
      <c r="P153" s="135" t="n">
        <f aca="false">SUM(B153:N153)</f>
        <v>0</v>
      </c>
      <c r="S153" s="143" t="n">
        <f aca="false">EOMONTH(S152,0)+1</f>
        <v>41244</v>
      </c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43" t="n">
        <f aca="false">EOMONTH(AG152,0)+1</f>
        <v>41244</v>
      </c>
      <c r="AH153" s="135" t="n">
        <f aca="false">SUM(T153:AF153)</f>
        <v>0</v>
      </c>
      <c r="AK153" s="143" t="n">
        <f aca="false">EOMONTH(AK152,0)+1</f>
        <v>41244</v>
      </c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43" t="n">
        <f aca="false">EOMONTH(AY152,0)+1</f>
        <v>41244</v>
      </c>
      <c r="AZ153" s="135" t="n">
        <f aca="false">SUM(AL153:AX153)</f>
        <v>0</v>
      </c>
      <c r="BB153" s="143" t="n">
        <f aca="false">EOMONTH(BB152,0)+1</f>
        <v>41244</v>
      </c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43" t="n">
        <f aca="false">EOMONTH(BP152,0)+1</f>
        <v>41244</v>
      </c>
      <c r="BQ153" s="135" t="n">
        <f aca="false">SUM(BC153:BO153)</f>
        <v>0</v>
      </c>
      <c r="BS153" s="143" t="n">
        <f aca="false">EOMONTH(BS152,0)+1</f>
        <v>41244</v>
      </c>
      <c r="BT153" s="134" t="n">
        <f aca="false">SUMIF('Basis Options'!$X:$X,CONCATENATE($AK153,BT$4),'Basis Options'!$AF:$AF)</f>
        <v>0</v>
      </c>
      <c r="BU153" s="134" t="n">
        <f aca="false">SUMIF('Basis Options'!$X:$X,CONCATENATE($AK153,BU$4),'Basis Options'!$AF:$AF)</f>
        <v>0</v>
      </c>
      <c r="BV153" s="134" t="n">
        <f aca="false">SUMIF('Basis Options'!$X:$X,CONCATENATE($AK153,BV$4),'Basis Options'!$AF:$AF)</f>
        <v>0</v>
      </c>
      <c r="BW153" s="134" t="n">
        <f aca="false">SUMIF('Basis Options'!$X:$X,CONCATENATE($AK153,BW$4),'Basis Options'!$AF:$AF)</f>
        <v>0</v>
      </c>
      <c r="BX153" s="134" t="n">
        <f aca="false">SUMIF('Basis Options'!$X:$X,CONCATENATE($AK153,BX$4),'Basis Options'!$AF:$AF)</f>
        <v>0</v>
      </c>
      <c r="BY153" s="134" t="n">
        <f aca="false">SUMIF('Basis Options'!$X:$X,CONCATENATE($AK153,BY$4),'Basis Options'!$AF:$AF)</f>
        <v>0</v>
      </c>
      <c r="BZ153" s="134" t="n">
        <f aca="false">SUMIF('Basis Options'!$X:$X,CONCATENATE($AK153,BZ$4),'Basis Options'!$AF:$AF)</f>
        <v>0</v>
      </c>
      <c r="CA153" s="134" t="n">
        <f aca="false">SUMIF('Basis Options'!$X:$X,CONCATENATE($AK153,CA$4),'Basis Options'!$AF:$AF)</f>
        <v>0</v>
      </c>
      <c r="CB153" s="134" t="n">
        <f aca="false">SUMIF('Basis Options'!$X:$X,CONCATENATE($AK153,CB$4),'Basis Options'!$AF:$AF)</f>
        <v>0</v>
      </c>
      <c r="CC153" s="134" t="n">
        <f aca="false">SUMIF('Basis Options'!$X:$X,CONCATENATE($AK153,CC$4),'Basis Options'!$AF:$AF)</f>
        <v>0</v>
      </c>
      <c r="CD153" s="134"/>
      <c r="CE153" s="134" t="n">
        <f aca="false">SUMIF('Basis Options'!$X:$X,CONCATENATE($AK153,CE$4),'Basis Options'!$AF:$AF)</f>
        <v>0</v>
      </c>
      <c r="CF153" s="134"/>
      <c r="CG153" s="143" t="n">
        <f aca="false">EOMONTH(CG152,0)+1</f>
        <v>41244</v>
      </c>
      <c r="CH153" s="135" t="n">
        <f aca="false">SUM(BT153:CF153)</f>
        <v>0</v>
      </c>
    </row>
    <row r="154" customFormat="false" ht="12.75" hidden="false" customHeight="false" outlineLevel="0" collapsed="false">
      <c r="A154" s="143" t="n">
        <f aca="false">EOMONTH(A153,0)+1</f>
        <v>41275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43" t="n">
        <f aca="false">EOMONTH(O153,0)+1</f>
        <v>41275</v>
      </c>
      <c r="P154" s="135" t="n">
        <f aca="false">SUM(B154:N154)</f>
        <v>0</v>
      </c>
      <c r="S154" s="143" t="n">
        <f aca="false">EOMONTH(S153,0)+1</f>
        <v>41275</v>
      </c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43" t="n">
        <f aca="false">EOMONTH(AG153,0)+1</f>
        <v>41275</v>
      </c>
      <c r="AH154" s="135" t="n">
        <f aca="false">SUM(T154:AF154)</f>
        <v>0</v>
      </c>
      <c r="AK154" s="143" t="n">
        <f aca="false">EOMONTH(AK153,0)+1</f>
        <v>41275</v>
      </c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43" t="n">
        <f aca="false">EOMONTH(AY153,0)+1</f>
        <v>41275</v>
      </c>
      <c r="AZ154" s="135" t="n">
        <f aca="false">SUM(AL154:AX154)</f>
        <v>0</v>
      </c>
      <c r="BB154" s="143" t="n">
        <f aca="false">EOMONTH(BB153,0)+1</f>
        <v>41275</v>
      </c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43" t="n">
        <f aca="false">EOMONTH(BP153,0)+1</f>
        <v>41275</v>
      </c>
      <c r="BQ154" s="135" t="n">
        <f aca="false">SUM(BC154:BO154)</f>
        <v>0</v>
      </c>
      <c r="BS154" s="143" t="n">
        <f aca="false">EOMONTH(BS153,0)+1</f>
        <v>41275</v>
      </c>
      <c r="BT154" s="134" t="n">
        <f aca="false">SUMIF('Basis Options'!$X:$X,CONCATENATE($AK154,BT$4),'Basis Options'!$AF:$AF)</f>
        <v>0</v>
      </c>
      <c r="BU154" s="134" t="n">
        <f aca="false">SUMIF('Basis Options'!$X:$X,CONCATENATE($AK154,BU$4),'Basis Options'!$AF:$AF)</f>
        <v>0</v>
      </c>
      <c r="BV154" s="134" t="n">
        <f aca="false">SUMIF('Basis Options'!$X:$X,CONCATENATE($AK154,BV$4),'Basis Options'!$AF:$AF)</f>
        <v>0</v>
      </c>
      <c r="BW154" s="134" t="n">
        <f aca="false">SUMIF('Basis Options'!$X:$X,CONCATENATE($AK154,BW$4),'Basis Options'!$AF:$AF)</f>
        <v>0</v>
      </c>
      <c r="BX154" s="134" t="n">
        <f aca="false">SUMIF('Basis Options'!$X:$X,CONCATENATE($AK154,BX$4),'Basis Options'!$AF:$AF)</f>
        <v>0</v>
      </c>
      <c r="BY154" s="134" t="n">
        <f aca="false">SUMIF('Basis Options'!$X:$X,CONCATENATE($AK154,BY$4),'Basis Options'!$AF:$AF)</f>
        <v>0</v>
      </c>
      <c r="BZ154" s="134" t="n">
        <f aca="false">SUMIF('Basis Options'!$X:$X,CONCATENATE($AK154,BZ$4),'Basis Options'!$AF:$AF)</f>
        <v>0</v>
      </c>
      <c r="CA154" s="134" t="n">
        <f aca="false">SUMIF('Basis Options'!$X:$X,CONCATENATE($AK154,CA$4),'Basis Options'!$AF:$AF)</f>
        <v>0</v>
      </c>
      <c r="CB154" s="134" t="n">
        <f aca="false">SUMIF('Basis Options'!$X:$X,CONCATENATE($AK154,CB$4),'Basis Options'!$AF:$AF)</f>
        <v>0</v>
      </c>
      <c r="CC154" s="134" t="n">
        <f aca="false">SUMIF('Basis Options'!$X:$X,CONCATENATE($AK154,CC$4),'Basis Options'!$AF:$AF)</f>
        <v>0</v>
      </c>
      <c r="CD154" s="134"/>
      <c r="CE154" s="134" t="n">
        <f aca="false">SUMIF('Basis Options'!$X:$X,CONCATENATE($AK154,CE$4),'Basis Options'!$AF:$AF)</f>
        <v>0</v>
      </c>
      <c r="CF154" s="134"/>
      <c r="CG154" s="143" t="n">
        <f aca="false">EOMONTH(CG153,0)+1</f>
        <v>41275</v>
      </c>
      <c r="CH154" s="135" t="n">
        <f aca="false">SUM(BT154:CF154)</f>
        <v>0</v>
      </c>
    </row>
    <row r="155" customFormat="false" ht="12.75" hidden="false" customHeight="false" outlineLevel="0" collapsed="false">
      <c r="A155" s="143" t="n">
        <f aca="false">EOMONTH(A154,0)+1</f>
        <v>41306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43" t="n">
        <f aca="false">EOMONTH(O154,0)+1</f>
        <v>41306</v>
      </c>
      <c r="P155" s="135" t="n">
        <f aca="false">SUM(B155:N155)</f>
        <v>0</v>
      </c>
      <c r="S155" s="143" t="n">
        <f aca="false">EOMONTH(S154,0)+1</f>
        <v>41306</v>
      </c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43" t="n">
        <f aca="false">EOMONTH(AG154,0)+1</f>
        <v>41306</v>
      </c>
      <c r="AH155" s="135" t="n">
        <f aca="false">SUM(T155:AF155)</f>
        <v>0</v>
      </c>
      <c r="AK155" s="143" t="n">
        <f aca="false">EOMONTH(AK154,0)+1</f>
        <v>41306</v>
      </c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43" t="n">
        <f aca="false">EOMONTH(AY154,0)+1</f>
        <v>41306</v>
      </c>
      <c r="AZ155" s="135" t="n">
        <f aca="false">SUM(AL155:AX155)</f>
        <v>0</v>
      </c>
      <c r="BB155" s="143" t="n">
        <f aca="false">EOMONTH(BB154,0)+1</f>
        <v>41306</v>
      </c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43" t="n">
        <f aca="false">EOMONTH(BP154,0)+1</f>
        <v>41306</v>
      </c>
      <c r="BQ155" s="135" t="n">
        <f aca="false">SUM(BC155:BO155)</f>
        <v>0</v>
      </c>
      <c r="BS155" s="143" t="n">
        <f aca="false">EOMONTH(BS154,0)+1</f>
        <v>41306</v>
      </c>
      <c r="BT155" s="134" t="n">
        <f aca="false">SUMIF('Basis Options'!$X:$X,CONCATENATE($AK155,BT$4),'Basis Options'!$AF:$AF)</f>
        <v>0</v>
      </c>
      <c r="BU155" s="134" t="n">
        <f aca="false">SUMIF('Basis Options'!$X:$X,CONCATENATE($AK155,BU$4),'Basis Options'!$AF:$AF)</f>
        <v>0</v>
      </c>
      <c r="BV155" s="134" t="n">
        <f aca="false">SUMIF('Basis Options'!$X:$X,CONCATENATE($AK155,BV$4),'Basis Options'!$AF:$AF)</f>
        <v>0</v>
      </c>
      <c r="BW155" s="134" t="n">
        <f aca="false">SUMIF('Basis Options'!$X:$X,CONCATENATE($AK155,BW$4),'Basis Options'!$AF:$AF)</f>
        <v>0</v>
      </c>
      <c r="BX155" s="134" t="n">
        <f aca="false">SUMIF('Basis Options'!$X:$X,CONCATENATE($AK155,BX$4),'Basis Options'!$AF:$AF)</f>
        <v>0</v>
      </c>
      <c r="BY155" s="134" t="n">
        <f aca="false">SUMIF('Basis Options'!$X:$X,CONCATENATE($AK155,BY$4),'Basis Options'!$AF:$AF)</f>
        <v>0</v>
      </c>
      <c r="BZ155" s="134" t="n">
        <f aca="false">SUMIF('Basis Options'!$X:$X,CONCATENATE($AK155,BZ$4),'Basis Options'!$AF:$AF)</f>
        <v>0</v>
      </c>
      <c r="CA155" s="134" t="n">
        <f aca="false">SUMIF('Basis Options'!$X:$X,CONCATENATE($AK155,CA$4),'Basis Options'!$AF:$AF)</f>
        <v>0</v>
      </c>
      <c r="CB155" s="134" t="n">
        <f aca="false">SUMIF('Basis Options'!$X:$X,CONCATENATE($AK155,CB$4),'Basis Options'!$AF:$AF)</f>
        <v>0</v>
      </c>
      <c r="CC155" s="134" t="n">
        <f aca="false">SUMIF('Basis Options'!$X:$X,CONCATENATE($AK155,CC$4),'Basis Options'!$AF:$AF)</f>
        <v>0</v>
      </c>
      <c r="CD155" s="134"/>
      <c r="CE155" s="134" t="n">
        <f aca="false">SUMIF('Basis Options'!$X:$X,CONCATENATE($AK155,CE$4),'Basis Options'!$AF:$AF)</f>
        <v>0</v>
      </c>
      <c r="CF155" s="134"/>
      <c r="CG155" s="143" t="n">
        <f aca="false">EOMONTH(CG154,0)+1</f>
        <v>41306</v>
      </c>
      <c r="CH155" s="135" t="n">
        <f aca="false">SUM(BT155:CF155)</f>
        <v>0</v>
      </c>
    </row>
    <row r="156" customFormat="false" ht="12.75" hidden="false" customHeight="false" outlineLevel="0" collapsed="false">
      <c r="A156" s="143" t="n">
        <f aca="false">EOMONTH(A155,0)+1</f>
        <v>41334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43" t="n">
        <f aca="false">EOMONTH(O155,0)+1</f>
        <v>41334</v>
      </c>
      <c r="P156" s="135" t="n">
        <f aca="false">SUM(B156:N156)</f>
        <v>0</v>
      </c>
      <c r="S156" s="143" t="n">
        <f aca="false">EOMONTH(S155,0)+1</f>
        <v>41334</v>
      </c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43" t="n">
        <f aca="false">EOMONTH(AG155,0)+1</f>
        <v>41334</v>
      </c>
      <c r="AH156" s="135" t="n">
        <f aca="false">SUM(T156:AF156)</f>
        <v>0</v>
      </c>
      <c r="AK156" s="143" t="n">
        <f aca="false">EOMONTH(AK155,0)+1</f>
        <v>41334</v>
      </c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43" t="n">
        <f aca="false">EOMONTH(AY155,0)+1</f>
        <v>41334</v>
      </c>
      <c r="AZ156" s="135" t="n">
        <f aca="false">SUM(AL156:AX156)</f>
        <v>0</v>
      </c>
      <c r="BB156" s="143" t="n">
        <f aca="false">EOMONTH(BB155,0)+1</f>
        <v>41334</v>
      </c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43" t="n">
        <f aca="false">EOMONTH(BP155,0)+1</f>
        <v>41334</v>
      </c>
      <c r="BQ156" s="135" t="n">
        <f aca="false">SUM(BC156:BO156)</f>
        <v>0</v>
      </c>
      <c r="BS156" s="143" t="n">
        <f aca="false">EOMONTH(BS155,0)+1</f>
        <v>41334</v>
      </c>
      <c r="BT156" s="134" t="n">
        <f aca="false">SUMIF('Basis Options'!$X:$X,CONCATENATE($AK156,BT$4),'Basis Options'!$AF:$AF)</f>
        <v>0</v>
      </c>
      <c r="BU156" s="134" t="n">
        <f aca="false">SUMIF('Basis Options'!$X:$X,CONCATENATE($AK156,BU$4),'Basis Options'!$AF:$AF)</f>
        <v>0</v>
      </c>
      <c r="BV156" s="134" t="n">
        <f aca="false">SUMIF('Basis Options'!$X:$X,CONCATENATE($AK156,BV$4),'Basis Options'!$AF:$AF)</f>
        <v>0</v>
      </c>
      <c r="BW156" s="134" t="n">
        <f aca="false">SUMIF('Basis Options'!$X:$X,CONCATENATE($AK156,BW$4),'Basis Options'!$AF:$AF)</f>
        <v>0</v>
      </c>
      <c r="BX156" s="134" t="n">
        <f aca="false">SUMIF('Basis Options'!$X:$X,CONCATENATE($AK156,BX$4),'Basis Options'!$AF:$AF)</f>
        <v>0</v>
      </c>
      <c r="BY156" s="134" t="n">
        <f aca="false">SUMIF('Basis Options'!$X:$X,CONCATENATE($AK156,BY$4),'Basis Options'!$AF:$AF)</f>
        <v>0</v>
      </c>
      <c r="BZ156" s="134" t="n">
        <f aca="false">SUMIF('Basis Options'!$X:$X,CONCATENATE($AK156,BZ$4),'Basis Options'!$AF:$AF)</f>
        <v>0</v>
      </c>
      <c r="CA156" s="134" t="n">
        <f aca="false">SUMIF('Basis Options'!$X:$X,CONCATENATE($AK156,CA$4),'Basis Options'!$AF:$AF)</f>
        <v>0</v>
      </c>
      <c r="CB156" s="134" t="n">
        <f aca="false">SUMIF('Basis Options'!$X:$X,CONCATENATE($AK156,CB$4),'Basis Options'!$AF:$AF)</f>
        <v>0</v>
      </c>
      <c r="CC156" s="134" t="n">
        <f aca="false">SUMIF('Basis Options'!$X:$X,CONCATENATE($AK156,CC$4),'Basis Options'!$AF:$AF)</f>
        <v>0</v>
      </c>
      <c r="CD156" s="134"/>
      <c r="CE156" s="134" t="n">
        <f aca="false">SUMIF('Basis Options'!$X:$X,CONCATENATE($AK156,CE$4),'Basis Options'!$AF:$AF)</f>
        <v>0</v>
      </c>
      <c r="CF156" s="134"/>
      <c r="CG156" s="143" t="n">
        <f aca="false">EOMONTH(CG155,0)+1</f>
        <v>41334</v>
      </c>
      <c r="CH156" s="135" t="n">
        <f aca="false">SUM(BT156:CF156)</f>
        <v>0</v>
      </c>
    </row>
    <row r="157" customFormat="false" ht="12.75" hidden="false" customHeight="false" outlineLevel="0" collapsed="false">
      <c r="A157" s="143" t="n">
        <f aca="false">EOMONTH(A156,0)+1</f>
        <v>41365</v>
      </c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43" t="n">
        <f aca="false">EOMONTH(O156,0)+1</f>
        <v>41365</v>
      </c>
      <c r="P157" s="135" t="n">
        <f aca="false">SUM(B157:N157)</f>
        <v>0</v>
      </c>
      <c r="S157" s="143" t="n">
        <f aca="false">EOMONTH(S156,0)+1</f>
        <v>41365</v>
      </c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43" t="n">
        <f aca="false">EOMONTH(AG156,0)+1</f>
        <v>41365</v>
      </c>
      <c r="AH157" s="135" t="n">
        <f aca="false">SUM(T157:AF157)</f>
        <v>0</v>
      </c>
      <c r="AK157" s="143" t="n">
        <f aca="false">EOMONTH(AK156,0)+1</f>
        <v>41365</v>
      </c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43" t="n">
        <f aca="false">EOMONTH(AY156,0)+1</f>
        <v>41365</v>
      </c>
      <c r="AZ157" s="135" t="n">
        <f aca="false">SUM(AL157:AX157)</f>
        <v>0</v>
      </c>
      <c r="BB157" s="143" t="n">
        <f aca="false">EOMONTH(BB156,0)+1</f>
        <v>41365</v>
      </c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43" t="n">
        <f aca="false">EOMONTH(BP156,0)+1</f>
        <v>41365</v>
      </c>
      <c r="BQ157" s="135" t="n">
        <f aca="false">SUM(BC157:BO157)</f>
        <v>0</v>
      </c>
      <c r="BS157" s="143" t="n">
        <f aca="false">EOMONTH(BS156,0)+1</f>
        <v>41365</v>
      </c>
      <c r="BT157" s="134" t="n">
        <f aca="false">SUMIF('Basis Options'!$X:$X,CONCATENATE($AK157,BT$4),'Basis Options'!$AF:$AF)</f>
        <v>0</v>
      </c>
      <c r="BU157" s="134" t="n">
        <f aca="false">SUMIF('Basis Options'!$X:$X,CONCATENATE($AK157,BU$4),'Basis Options'!$AF:$AF)</f>
        <v>0</v>
      </c>
      <c r="BV157" s="134" t="n">
        <f aca="false">SUMIF('Basis Options'!$X:$X,CONCATENATE($AK157,BV$4),'Basis Options'!$AF:$AF)</f>
        <v>0</v>
      </c>
      <c r="BW157" s="134" t="n">
        <f aca="false">SUMIF('Basis Options'!$X:$X,CONCATENATE($AK157,BW$4),'Basis Options'!$AF:$AF)</f>
        <v>0</v>
      </c>
      <c r="BX157" s="134" t="n">
        <f aca="false">SUMIF('Basis Options'!$X:$X,CONCATENATE($AK157,BX$4),'Basis Options'!$AF:$AF)</f>
        <v>0</v>
      </c>
      <c r="BY157" s="134" t="n">
        <f aca="false">SUMIF('Basis Options'!$X:$X,CONCATENATE($AK157,BY$4),'Basis Options'!$AF:$AF)</f>
        <v>0</v>
      </c>
      <c r="BZ157" s="134" t="n">
        <f aca="false">SUMIF('Basis Options'!$X:$X,CONCATENATE($AK157,BZ$4),'Basis Options'!$AF:$AF)</f>
        <v>0</v>
      </c>
      <c r="CA157" s="134" t="n">
        <f aca="false">SUMIF('Basis Options'!$X:$X,CONCATENATE($AK157,CA$4),'Basis Options'!$AF:$AF)</f>
        <v>0</v>
      </c>
      <c r="CB157" s="134" t="n">
        <f aca="false">SUMIF('Basis Options'!$X:$X,CONCATENATE($AK157,CB$4),'Basis Options'!$AF:$AF)</f>
        <v>0</v>
      </c>
      <c r="CC157" s="134" t="n">
        <f aca="false">SUMIF('Basis Options'!$X:$X,CONCATENATE($AK157,CC$4),'Basis Options'!$AF:$AF)</f>
        <v>0</v>
      </c>
      <c r="CD157" s="134"/>
      <c r="CE157" s="134" t="n">
        <f aca="false">SUMIF('Basis Options'!$X:$X,CONCATENATE($AK157,CE$4),'Basis Options'!$AF:$AF)</f>
        <v>0</v>
      </c>
      <c r="CF157" s="134"/>
      <c r="CG157" s="143" t="n">
        <f aca="false">EOMONTH(CG156,0)+1</f>
        <v>41365</v>
      </c>
      <c r="CH157" s="135" t="n">
        <f aca="false">SUM(BT157:CF157)</f>
        <v>0</v>
      </c>
    </row>
    <row r="158" customFormat="false" ht="12.75" hidden="false" customHeight="false" outlineLevel="0" collapsed="false">
      <c r="A158" s="143" t="n">
        <f aca="false">EOMONTH(A157,0)+1</f>
        <v>41395</v>
      </c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43" t="n">
        <f aca="false">EOMONTH(O157,0)+1</f>
        <v>41395</v>
      </c>
      <c r="P158" s="135" t="n">
        <f aca="false">SUM(B158:N158)</f>
        <v>0</v>
      </c>
      <c r="S158" s="143" t="n">
        <f aca="false">EOMONTH(S157,0)+1</f>
        <v>41395</v>
      </c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43" t="n">
        <f aca="false">EOMONTH(AG157,0)+1</f>
        <v>41395</v>
      </c>
      <c r="AH158" s="135" t="n">
        <f aca="false">SUM(T158:AF158)</f>
        <v>0</v>
      </c>
      <c r="AK158" s="143" t="n">
        <f aca="false">EOMONTH(AK157,0)+1</f>
        <v>41395</v>
      </c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43" t="n">
        <f aca="false">EOMONTH(AY157,0)+1</f>
        <v>41395</v>
      </c>
      <c r="AZ158" s="135" t="n">
        <f aca="false">SUM(AL158:AX158)</f>
        <v>0</v>
      </c>
      <c r="BB158" s="143" t="n">
        <f aca="false">EOMONTH(BB157,0)+1</f>
        <v>41395</v>
      </c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43" t="n">
        <f aca="false">EOMONTH(BP157,0)+1</f>
        <v>41395</v>
      </c>
      <c r="BQ158" s="135" t="n">
        <f aca="false">SUM(BC158:BO158)</f>
        <v>0</v>
      </c>
      <c r="BS158" s="143" t="n">
        <f aca="false">EOMONTH(BS157,0)+1</f>
        <v>41395</v>
      </c>
      <c r="BT158" s="134" t="n">
        <f aca="false">SUMIF('Basis Options'!$X:$X,CONCATENATE($AK158,BT$4),'Basis Options'!$AF:$AF)</f>
        <v>0</v>
      </c>
      <c r="BU158" s="134" t="n">
        <f aca="false">SUMIF('Basis Options'!$X:$X,CONCATENATE($AK158,BU$4),'Basis Options'!$AF:$AF)</f>
        <v>0</v>
      </c>
      <c r="BV158" s="134" t="n">
        <f aca="false">SUMIF('Basis Options'!$X:$X,CONCATENATE($AK158,BV$4),'Basis Options'!$AF:$AF)</f>
        <v>0</v>
      </c>
      <c r="BW158" s="134" t="n">
        <f aca="false">SUMIF('Basis Options'!$X:$X,CONCATENATE($AK158,BW$4),'Basis Options'!$AF:$AF)</f>
        <v>0</v>
      </c>
      <c r="BX158" s="134" t="n">
        <f aca="false">SUMIF('Basis Options'!$X:$X,CONCATENATE($AK158,BX$4),'Basis Options'!$AF:$AF)</f>
        <v>0</v>
      </c>
      <c r="BY158" s="134" t="n">
        <f aca="false">SUMIF('Basis Options'!$X:$X,CONCATENATE($AK158,BY$4),'Basis Options'!$AF:$AF)</f>
        <v>0</v>
      </c>
      <c r="BZ158" s="134" t="n">
        <f aca="false">SUMIF('Basis Options'!$X:$X,CONCATENATE($AK158,BZ$4),'Basis Options'!$AF:$AF)</f>
        <v>0</v>
      </c>
      <c r="CA158" s="134" t="n">
        <f aca="false">SUMIF('Basis Options'!$X:$X,CONCATENATE($AK158,CA$4),'Basis Options'!$AF:$AF)</f>
        <v>0</v>
      </c>
      <c r="CB158" s="134" t="n">
        <f aca="false">SUMIF('Basis Options'!$X:$X,CONCATENATE($AK158,CB$4),'Basis Options'!$AF:$AF)</f>
        <v>0</v>
      </c>
      <c r="CC158" s="134" t="n">
        <f aca="false">SUMIF('Basis Options'!$X:$X,CONCATENATE($AK158,CC$4),'Basis Options'!$AF:$AF)</f>
        <v>0</v>
      </c>
      <c r="CD158" s="134"/>
      <c r="CE158" s="134" t="n">
        <f aca="false">SUMIF('Basis Options'!$X:$X,CONCATENATE($AK158,CE$4),'Basis Options'!$AF:$AF)</f>
        <v>0</v>
      </c>
      <c r="CF158" s="134"/>
      <c r="CG158" s="143" t="n">
        <f aca="false">EOMONTH(CG157,0)+1</f>
        <v>41395</v>
      </c>
      <c r="CH158" s="135" t="n">
        <f aca="false">SUM(BT158:CF158)</f>
        <v>0</v>
      </c>
    </row>
    <row r="159" customFormat="false" ht="12.75" hidden="false" customHeight="false" outlineLevel="0" collapsed="false">
      <c r="A159" s="143" t="n">
        <f aca="false">EOMONTH(A158,0)+1</f>
        <v>41426</v>
      </c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43" t="n">
        <f aca="false">EOMONTH(O158,0)+1</f>
        <v>41426</v>
      </c>
      <c r="P159" s="135" t="n">
        <f aca="false">SUM(B159:N159)</f>
        <v>0</v>
      </c>
      <c r="S159" s="143" t="n">
        <f aca="false">EOMONTH(S158,0)+1</f>
        <v>41426</v>
      </c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43" t="n">
        <f aca="false">EOMONTH(AG158,0)+1</f>
        <v>41426</v>
      </c>
      <c r="AH159" s="135" t="n">
        <f aca="false">SUM(T159:AF159)</f>
        <v>0</v>
      </c>
      <c r="AK159" s="143" t="n">
        <f aca="false">EOMONTH(AK158,0)+1</f>
        <v>41426</v>
      </c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43" t="n">
        <f aca="false">EOMONTH(AY158,0)+1</f>
        <v>41426</v>
      </c>
      <c r="AZ159" s="135" t="n">
        <f aca="false">SUM(AL159:AX159)</f>
        <v>0</v>
      </c>
      <c r="BB159" s="143" t="n">
        <f aca="false">EOMONTH(BB158,0)+1</f>
        <v>41426</v>
      </c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43" t="n">
        <f aca="false">EOMONTH(BP158,0)+1</f>
        <v>41426</v>
      </c>
      <c r="BQ159" s="135" t="n">
        <f aca="false">SUM(BC159:BO159)</f>
        <v>0</v>
      </c>
      <c r="BS159" s="143" t="n">
        <f aca="false">EOMONTH(BS158,0)+1</f>
        <v>41426</v>
      </c>
      <c r="BT159" s="134" t="n">
        <f aca="false">SUMIF('Basis Options'!$X:$X,CONCATENATE($AK159,BT$4),'Basis Options'!$AF:$AF)</f>
        <v>0</v>
      </c>
      <c r="BU159" s="134" t="n">
        <f aca="false">SUMIF('Basis Options'!$X:$X,CONCATENATE($AK159,BU$4),'Basis Options'!$AF:$AF)</f>
        <v>0</v>
      </c>
      <c r="BV159" s="134" t="n">
        <f aca="false">SUMIF('Basis Options'!$X:$X,CONCATENATE($AK159,BV$4),'Basis Options'!$AF:$AF)</f>
        <v>0</v>
      </c>
      <c r="BW159" s="134" t="n">
        <f aca="false">SUMIF('Basis Options'!$X:$X,CONCATENATE($AK159,BW$4),'Basis Options'!$AF:$AF)</f>
        <v>0</v>
      </c>
      <c r="BX159" s="134" t="n">
        <f aca="false">SUMIF('Basis Options'!$X:$X,CONCATENATE($AK159,BX$4),'Basis Options'!$AF:$AF)</f>
        <v>0</v>
      </c>
      <c r="BY159" s="134" t="n">
        <f aca="false">SUMIF('Basis Options'!$X:$X,CONCATENATE($AK159,BY$4),'Basis Options'!$AF:$AF)</f>
        <v>0</v>
      </c>
      <c r="BZ159" s="134" t="n">
        <f aca="false">SUMIF('Basis Options'!$X:$X,CONCATENATE($AK159,BZ$4),'Basis Options'!$AF:$AF)</f>
        <v>0</v>
      </c>
      <c r="CA159" s="134" t="n">
        <f aca="false">SUMIF('Basis Options'!$X:$X,CONCATENATE($AK159,CA$4),'Basis Options'!$AF:$AF)</f>
        <v>0</v>
      </c>
      <c r="CB159" s="134" t="n">
        <f aca="false">SUMIF('Basis Options'!$X:$X,CONCATENATE($AK159,CB$4),'Basis Options'!$AF:$AF)</f>
        <v>0</v>
      </c>
      <c r="CC159" s="134" t="n">
        <f aca="false">SUMIF('Basis Options'!$X:$X,CONCATENATE($AK159,CC$4),'Basis Options'!$AF:$AF)</f>
        <v>0</v>
      </c>
      <c r="CD159" s="134"/>
      <c r="CE159" s="134" t="n">
        <f aca="false">SUMIF('Basis Options'!$X:$X,CONCATENATE($AK159,CE$4),'Basis Options'!$AF:$AF)</f>
        <v>0</v>
      </c>
      <c r="CF159" s="134"/>
      <c r="CG159" s="143" t="n">
        <f aca="false">EOMONTH(CG158,0)+1</f>
        <v>41426</v>
      </c>
      <c r="CH159" s="135" t="n">
        <f aca="false">SUM(BT159:CF159)</f>
        <v>0</v>
      </c>
    </row>
    <row r="160" customFormat="false" ht="12.75" hidden="false" customHeight="false" outlineLevel="0" collapsed="false">
      <c r="A160" s="143" t="n">
        <f aca="false">EOMONTH(A159,0)+1</f>
        <v>41456</v>
      </c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43" t="n">
        <f aca="false">EOMONTH(O159,0)+1</f>
        <v>41456</v>
      </c>
      <c r="P160" s="135" t="n">
        <f aca="false">SUM(B160:N160)</f>
        <v>0</v>
      </c>
      <c r="S160" s="143" t="n">
        <f aca="false">EOMONTH(S159,0)+1</f>
        <v>41456</v>
      </c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43" t="n">
        <f aca="false">EOMONTH(AG159,0)+1</f>
        <v>41456</v>
      </c>
      <c r="AH160" s="135" t="n">
        <f aca="false">SUM(T160:AF160)</f>
        <v>0</v>
      </c>
      <c r="AK160" s="143" t="n">
        <f aca="false">EOMONTH(AK159,0)+1</f>
        <v>41456</v>
      </c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43" t="n">
        <f aca="false">EOMONTH(AY159,0)+1</f>
        <v>41456</v>
      </c>
      <c r="AZ160" s="135" t="n">
        <f aca="false">SUM(AL160:AX160)</f>
        <v>0</v>
      </c>
      <c r="BB160" s="143" t="n">
        <f aca="false">EOMONTH(BB159,0)+1</f>
        <v>41456</v>
      </c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43" t="n">
        <f aca="false">EOMONTH(BP159,0)+1</f>
        <v>41456</v>
      </c>
      <c r="BQ160" s="135" t="n">
        <f aca="false">SUM(BC160:BO160)</f>
        <v>0</v>
      </c>
      <c r="BS160" s="143" t="n">
        <f aca="false">EOMONTH(BS159,0)+1</f>
        <v>41456</v>
      </c>
      <c r="BT160" s="134" t="n">
        <f aca="false">SUMIF('Basis Options'!$X:$X,CONCATENATE($AK160,BT$4),'Basis Options'!$AF:$AF)</f>
        <v>0</v>
      </c>
      <c r="BU160" s="134" t="n">
        <f aca="false">SUMIF('Basis Options'!$X:$X,CONCATENATE($AK160,BU$4),'Basis Options'!$AF:$AF)</f>
        <v>0</v>
      </c>
      <c r="BV160" s="134" t="n">
        <f aca="false">SUMIF('Basis Options'!$X:$X,CONCATENATE($AK160,BV$4),'Basis Options'!$AF:$AF)</f>
        <v>0</v>
      </c>
      <c r="BW160" s="134" t="n">
        <f aca="false">SUMIF('Basis Options'!$X:$X,CONCATENATE($AK160,BW$4),'Basis Options'!$AF:$AF)</f>
        <v>0</v>
      </c>
      <c r="BX160" s="134" t="n">
        <f aca="false">SUMIF('Basis Options'!$X:$X,CONCATENATE($AK160,BX$4),'Basis Options'!$AF:$AF)</f>
        <v>0</v>
      </c>
      <c r="BY160" s="134" t="n">
        <f aca="false">SUMIF('Basis Options'!$X:$X,CONCATENATE($AK160,BY$4),'Basis Options'!$AF:$AF)</f>
        <v>0</v>
      </c>
      <c r="BZ160" s="134" t="n">
        <f aca="false">SUMIF('Basis Options'!$X:$X,CONCATENATE($AK160,BZ$4),'Basis Options'!$AF:$AF)</f>
        <v>0</v>
      </c>
      <c r="CA160" s="134" t="n">
        <f aca="false">SUMIF('Basis Options'!$X:$X,CONCATENATE($AK160,CA$4),'Basis Options'!$AF:$AF)</f>
        <v>0</v>
      </c>
      <c r="CB160" s="134" t="n">
        <f aca="false">SUMIF('Basis Options'!$X:$X,CONCATENATE($AK160,CB$4),'Basis Options'!$AF:$AF)</f>
        <v>0</v>
      </c>
      <c r="CC160" s="134" t="n">
        <f aca="false">SUMIF('Basis Options'!$X:$X,CONCATENATE($AK160,CC$4),'Basis Options'!$AF:$AF)</f>
        <v>0</v>
      </c>
      <c r="CD160" s="134"/>
      <c r="CE160" s="134" t="n">
        <f aca="false">SUMIF('Basis Options'!$X:$X,CONCATENATE($AK160,CE$4),'Basis Options'!$AF:$AF)</f>
        <v>0</v>
      </c>
      <c r="CF160" s="134"/>
      <c r="CG160" s="143" t="n">
        <f aca="false">EOMONTH(CG159,0)+1</f>
        <v>41456</v>
      </c>
      <c r="CH160" s="135" t="n">
        <f aca="false">SUM(BT160:CF160)</f>
        <v>0</v>
      </c>
    </row>
    <row r="161" customFormat="false" ht="12.75" hidden="false" customHeight="false" outlineLevel="0" collapsed="false">
      <c r="A161" s="143" t="n">
        <f aca="false">EOMONTH(A160,0)+1</f>
        <v>41487</v>
      </c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43" t="n">
        <f aca="false">EOMONTH(O160,0)+1</f>
        <v>41487</v>
      </c>
      <c r="P161" s="135" t="n">
        <f aca="false">SUM(B161:N161)</f>
        <v>0</v>
      </c>
      <c r="S161" s="143" t="n">
        <f aca="false">EOMONTH(S160,0)+1</f>
        <v>41487</v>
      </c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43" t="n">
        <f aca="false">EOMONTH(AG160,0)+1</f>
        <v>41487</v>
      </c>
      <c r="AH161" s="135" t="n">
        <f aca="false">SUM(T161:AF161)</f>
        <v>0</v>
      </c>
      <c r="AK161" s="143" t="n">
        <f aca="false">EOMONTH(AK160,0)+1</f>
        <v>41487</v>
      </c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43" t="n">
        <f aca="false">EOMONTH(AY160,0)+1</f>
        <v>41487</v>
      </c>
      <c r="AZ161" s="135" t="n">
        <f aca="false">SUM(AL161:AX161)</f>
        <v>0</v>
      </c>
      <c r="BB161" s="143" t="n">
        <f aca="false">EOMONTH(BB160,0)+1</f>
        <v>41487</v>
      </c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43" t="n">
        <f aca="false">EOMONTH(BP160,0)+1</f>
        <v>41487</v>
      </c>
      <c r="BQ161" s="135" t="n">
        <f aca="false">SUM(BC161:BO161)</f>
        <v>0</v>
      </c>
      <c r="BS161" s="143" t="n">
        <f aca="false">EOMONTH(BS160,0)+1</f>
        <v>41487</v>
      </c>
      <c r="BT161" s="134" t="n">
        <f aca="false">SUMIF('Basis Options'!$X:$X,CONCATENATE($AK161,BT$4),'Basis Options'!$AF:$AF)</f>
        <v>0</v>
      </c>
      <c r="BU161" s="134" t="n">
        <f aca="false">SUMIF('Basis Options'!$X:$X,CONCATENATE($AK161,BU$4),'Basis Options'!$AF:$AF)</f>
        <v>0</v>
      </c>
      <c r="BV161" s="134" t="n">
        <f aca="false">SUMIF('Basis Options'!$X:$X,CONCATENATE($AK161,BV$4),'Basis Options'!$AF:$AF)</f>
        <v>0</v>
      </c>
      <c r="BW161" s="134" t="n">
        <f aca="false">SUMIF('Basis Options'!$X:$X,CONCATENATE($AK161,BW$4),'Basis Options'!$AF:$AF)</f>
        <v>0</v>
      </c>
      <c r="BX161" s="134" t="n">
        <f aca="false">SUMIF('Basis Options'!$X:$X,CONCATENATE($AK161,BX$4),'Basis Options'!$AF:$AF)</f>
        <v>0</v>
      </c>
      <c r="BY161" s="134" t="n">
        <f aca="false">SUMIF('Basis Options'!$X:$X,CONCATENATE($AK161,BY$4),'Basis Options'!$AF:$AF)</f>
        <v>0</v>
      </c>
      <c r="BZ161" s="134" t="n">
        <f aca="false">SUMIF('Basis Options'!$X:$X,CONCATENATE($AK161,BZ$4),'Basis Options'!$AF:$AF)</f>
        <v>0</v>
      </c>
      <c r="CA161" s="134" t="n">
        <f aca="false">SUMIF('Basis Options'!$X:$X,CONCATENATE($AK161,CA$4),'Basis Options'!$AF:$AF)</f>
        <v>0</v>
      </c>
      <c r="CB161" s="134" t="n">
        <f aca="false">SUMIF('Basis Options'!$X:$X,CONCATENATE($AK161,CB$4),'Basis Options'!$AF:$AF)</f>
        <v>0</v>
      </c>
      <c r="CC161" s="134" t="n">
        <f aca="false">SUMIF('Basis Options'!$X:$X,CONCATENATE($AK161,CC$4),'Basis Options'!$AF:$AF)</f>
        <v>0</v>
      </c>
      <c r="CD161" s="134"/>
      <c r="CE161" s="134" t="n">
        <f aca="false">SUMIF('Basis Options'!$X:$X,CONCATENATE($AK161,CE$4),'Basis Options'!$AF:$AF)</f>
        <v>0</v>
      </c>
      <c r="CF161" s="134"/>
      <c r="CG161" s="143" t="n">
        <f aca="false">EOMONTH(CG160,0)+1</f>
        <v>41487</v>
      </c>
      <c r="CH161" s="135" t="n">
        <f aca="false">SUM(BT161:CF161)</f>
        <v>0</v>
      </c>
    </row>
    <row r="162" customFormat="false" ht="12.75" hidden="false" customHeight="false" outlineLevel="0" collapsed="false">
      <c r="A162" s="143" t="n">
        <f aca="false">EOMONTH(A161,0)+1</f>
        <v>41518</v>
      </c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43" t="n">
        <f aca="false">EOMONTH(O161,0)+1</f>
        <v>41518</v>
      </c>
      <c r="P162" s="135" t="n">
        <f aca="false">SUM(B162:N162)</f>
        <v>0</v>
      </c>
      <c r="S162" s="143" t="n">
        <f aca="false">EOMONTH(S161,0)+1</f>
        <v>41518</v>
      </c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43" t="n">
        <f aca="false">EOMONTH(AG161,0)+1</f>
        <v>41518</v>
      </c>
      <c r="AH162" s="135" t="n">
        <f aca="false">SUM(T162:AF162)</f>
        <v>0</v>
      </c>
      <c r="AK162" s="143" t="n">
        <f aca="false">EOMONTH(AK161,0)+1</f>
        <v>41518</v>
      </c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43" t="n">
        <f aca="false">EOMONTH(AY161,0)+1</f>
        <v>41518</v>
      </c>
      <c r="AZ162" s="135" t="n">
        <f aca="false">SUM(AL162:AX162)</f>
        <v>0</v>
      </c>
      <c r="BB162" s="143" t="n">
        <f aca="false">EOMONTH(BB161,0)+1</f>
        <v>41518</v>
      </c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43" t="n">
        <f aca="false">EOMONTH(BP161,0)+1</f>
        <v>41518</v>
      </c>
      <c r="BQ162" s="135" t="n">
        <f aca="false">SUM(BC162:BO162)</f>
        <v>0</v>
      </c>
      <c r="BS162" s="143" t="n">
        <f aca="false">EOMONTH(BS161,0)+1</f>
        <v>41518</v>
      </c>
      <c r="BT162" s="134" t="n">
        <f aca="false">SUMIF('Basis Options'!$X:$X,CONCATENATE($AK162,BT$4),'Basis Options'!$AF:$AF)</f>
        <v>0</v>
      </c>
      <c r="BU162" s="134" t="n">
        <f aca="false">SUMIF('Basis Options'!$X:$X,CONCATENATE($AK162,BU$4),'Basis Options'!$AF:$AF)</f>
        <v>0</v>
      </c>
      <c r="BV162" s="134" t="n">
        <f aca="false">SUMIF('Basis Options'!$X:$X,CONCATENATE($AK162,BV$4),'Basis Options'!$AF:$AF)</f>
        <v>0</v>
      </c>
      <c r="BW162" s="134" t="n">
        <f aca="false">SUMIF('Basis Options'!$X:$X,CONCATENATE($AK162,BW$4),'Basis Options'!$AF:$AF)</f>
        <v>0</v>
      </c>
      <c r="BX162" s="134" t="n">
        <f aca="false">SUMIF('Basis Options'!$X:$X,CONCATENATE($AK162,BX$4),'Basis Options'!$AF:$AF)</f>
        <v>0</v>
      </c>
      <c r="BY162" s="134" t="n">
        <f aca="false">SUMIF('Basis Options'!$X:$X,CONCATENATE($AK162,BY$4),'Basis Options'!$AF:$AF)</f>
        <v>0</v>
      </c>
      <c r="BZ162" s="134" t="n">
        <f aca="false">SUMIF('Basis Options'!$X:$X,CONCATENATE($AK162,BZ$4),'Basis Options'!$AF:$AF)</f>
        <v>0</v>
      </c>
      <c r="CA162" s="134" t="n">
        <f aca="false">SUMIF('Basis Options'!$X:$X,CONCATENATE($AK162,CA$4),'Basis Options'!$AF:$AF)</f>
        <v>0</v>
      </c>
      <c r="CB162" s="134" t="n">
        <f aca="false">SUMIF('Basis Options'!$X:$X,CONCATENATE($AK162,CB$4),'Basis Options'!$AF:$AF)</f>
        <v>0</v>
      </c>
      <c r="CC162" s="134" t="n">
        <f aca="false">SUMIF('Basis Options'!$X:$X,CONCATENATE($AK162,CC$4),'Basis Options'!$AF:$AF)</f>
        <v>0</v>
      </c>
      <c r="CD162" s="134"/>
      <c r="CE162" s="134" t="n">
        <f aca="false">SUMIF('Basis Options'!$X:$X,CONCATENATE($AK162,CE$4),'Basis Options'!$AF:$AF)</f>
        <v>0</v>
      </c>
      <c r="CF162" s="134"/>
      <c r="CG162" s="143" t="n">
        <f aca="false">EOMONTH(CG161,0)+1</f>
        <v>41518</v>
      </c>
      <c r="CH162" s="135" t="n">
        <f aca="false">SUM(BT162:CF162)</f>
        <v>0</v>
      </c>
    </row>
    <row r="163" customFormat="false" ht="12.75" hidden="false" customHeight="false" outlineLevel="0" collapsed="false">
      <c r="A163" s="143" t="n">
        <f aca="false">EOMONTH(A162,0)+1</f>
        <v>41548</v>
      </c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43" t="n">
        <f aca="false">EOMONTH(O162,0)+1</f>
        <v>41548</v>
      </c>
      <c r="P163" s="135" t="n">
        <f aca="false">SUM(B163:N163)</f>
        <v>0</v>
      </c>
      <c r="S163" s="143" t="n">
        <f aca="false">EOMONTH(S162,0)+1</f>
        <v>41548</v>
      </c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43" t="n">
        <f aca="false">EOMONTH(AG162,0)+1</f>
        <v>41548</v>
      </c>
      <c r="AH163" s="135" t="n">
        <f aca="false">SUM(T163:AF163)</f>
        <v>0</v>
      </c>
      <c r="AK163" s="143" t="n">
        <f aca="false">EOMONTH(AK162,0)+1</f>
        <v>41548</v>
      </c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43" t="n">
        <f aca="false">EOMONTH(AY162,0)+1</f>
        <v>41548</v>
      </c>
      <c r="AZ163" s="135" t="n">
        <f aca="false">SUM(AL163:AX163)</f>
        <v>0</v>
      </c>
      <c r="BB163" s="143" t="n">
        <f aca="false">EOMONTH(BB162,0)+1</f>
        <v>41548</v>
      </c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43" t="n">
        <f aca="false">EOMONTH(BP162,0)+1</f>
        <v>41548</v>
      </c>
      <c r="BQ163" s="135" t="n">
        <f aca="false">SUM(BC163:BO163)</f>
        <v>0</v>
      </c>
      <c r="BS163" s="143" t="n">
        <f aca="false">EOMONTH(BS162,0)+1</f>
        <v>41548</v>
      </c>
      <c r="BT163" s="134" t="n">
        <f aca="false">SUMIF('Basis Options'!$X:$X,CONCATENATE($AK163,BT$4),'Basis Options'!$AF:$AF)</f>
        <v>0</v>
      </c>
      <c r="BU163" s="134" t="n">
        <f aca="false">SUMIF('Basis Options'!$X:$X,CONCATENATE($AK163,BU$4),'Basis Options'!$AF:$AF)</f>
        <v>0</v>
      </c>
      <c r="BV163" s="134" t="n">
        <f aca="false">SUMIF('Basis Options'!$X:$X,CONCATENATE($AK163,BV$4),'Basis Options'!$AF:$AF)</f>
        <v>0</v>
      </c>
      <c r="BW163" s="134" t="n">
        <f aca="false">SUMIF('Basis Options'!$X:$X,CONCATENATE($AK163,BW$4),'Basis Options'!$AF:$AF)</f>
        <v>0</v>
      </c>
      <c r="BX163" s="134" t="n">
        <f aca="false">SUMIF('Basis Options'!$X:$X,CONCATENATE($AK163,BX$4),'Basis Options'!$AF:$AF)</f>
        <v>0</v>
      </c>
      <c r="BY163" s="134" t="n">
        <f aca="false">SUMIF('Basis Options'!$X:$X,CONCATENATE($AK163,BY$4),'Basis Options'!$AF:$AF)</f>
        <v>0</v>
      </c>
      <c r="BZ163" s="134" t="n">
        <f aca="false">SUMIF('Basis Options'!$X:$X,CONCATENATE($AK163,BZ$4),'Basis Options'!$AF:$AF)</f>
        <v>0</v>
      </c>
      <c r="CA163" s="134" t="n">
        <f aca="false">SUMIF('Basis Options'!$X:$X,CONCATENATE($AK163,CA$4),'Basis Options'!$AF:$AF)</f>
        <v>0</v>
      </c>
      <c r="CB163" s="134" t="n">
        <f aca="false">SUMIF('Basis Options'!$X:$X,CONCATENATE($AK163,CB$4),'Basis Options'!$AF:$AF)</f>
        <v>0</v>
      </c>
      <c r="CC163" s="134" t="n">
        <f aca="false">SUMIF('Basis Options'!$X:$X,CONCATENATE($AK163,CC$4),'Basis Options'!$AF:$AF)</f>
        <v>0</v>
      </c>
      <c r="CD163" s="134"/>
      <c r="CE163" s="134" t="n">
        <f aca="false">SUMIF('Basis Options'!$X:$X,CONCATENATE($AK163,CE$4),'Basis Options'!$AF:$AF)</f>
        <v>0</v>
      </c>
      <c r="CF163" s="134"/>
      <c r="CG163" s="143" t="n">
        <f aca="false">EOMONTH(CG162,0)+1</f>
        <v>41548</v>
      </c>
      <c r="CH163" s="135" t="n">
        <f aca="false">SUM(BT163:CF163)</f>
        <v>0</v>
      </c>
    </row>
    <row r="164" customFormat="false" ht="12.75" hidden="false" customHeight="false" outlineLevel="0" collapsed="false">
      <c r="A164" s="143" t="n">
        <f aca="false">EOMONTH(A163,0)+1</f>
        <v>41579</v>
      </c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43" t="n">
        <f aca="false">EOMONTH(O163,0)+1</f>
        <v>41579</v>
      </c>
      <c r="P164" s="135" t="n">
        <f aca="false">SUM(B164:N164)</f>
        <v>0</v>
      </c>
      <c r="S164" s="143" t="n">
        <f aca="false">EOMONTH(S163,0)+1</f>
        <v>41579</v>
      </c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43" t="n">
        <f aca="false">EOMONTH(AG163,0)+1</f>
        <v>41579</v>
      </c>
      <c r="AH164" s="135" t="n">
        <f aca="false">SUM(T164:AF164)</f>
        <v>0</v>
      </c>
      <c r="AK164" s="143" t="n">
        <f aca="false">EOMONTH(AK163,0)+1</f>
        <v>41579</v>
      </c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43" t="n">
        <f aca="false">EOMONTH(AY163,0)+1</f>
        <v>41579</v>
      </c>
      <c r="AZ164" s="135" t="n">
        <f aca="false">SUM(AL164:AX164)</f>
        <v>0</v>
      </c>
      <c r="BB164" s="143" t="n">
        <f aca="false">EOMONTH(BB163,0)+1</f>
        <v>41579</v>
      </c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43" t="n">
        <f aca="false">EOMONTH(BP163,0)+1</f>
        <v>41579</v>
      </c>
      <c r="BQ164" s="135" t="n">
        <f aca="false">SUM(BC164:BO164)</f>
        <v>0</v>
      </c>
      <c r="BS164" s="143" t="n">
        <f aca="false">EOMONTH(BS163,0)+1</f>
        <v>41579</v>
      </c>
      <c r="BT164" s="134" t="n">
        <f aca="false">SUMIF('Basis Options'!$X:$X,CONCATENATE($AK164,BT$4),'Basis Options'!$AF:$AF)</f>
        <v>0</v>
      </c>
      <c r="BU164" s="134" t="n">
        <f aca="false">SUMIF('Basis Options'!$X:$X,CONCATENATE($AK164,BU$4),'Basis Options'!$AF:$AF)</f>
        <v>0</v>
      </c>
      <c r="BV164" s="134" t="n">
        <f aca="false">SUMIF('Basis Options'!$X:$X,CONCATENATE($AK164,BV$4),'Basis Options'!$AF:$AF)</f>
        <v>0</v>
      </c>
      <c r="BW164" s="134" t="n">
        <f aca="false">SUMIF('Basis Options'!$X:$X,CONCATENATE($AK164,BW$4),'Basis Options'!$AF:$AF)</f>
        <v>0</v>
      </c>
      <c r="BX164" s="134" t="n">
        <f aca="false">SUMIF('Basis Options'!$X:$X,CONCATENATE($AK164,BX$4),'Basis Options'!$AF:$AF)</f>
        <v>0</v>
      </c>
      <c r="BY164" s="134" t="n">
        <f aca="false">SUMIF('Basis Options'!$X:$X,CONCATENATE($AK164,BY$4),'Basis Options'!$AF:$AF)</f>
        <v>0</v>
      </c>
      <c r="BZ164" s="134" t="n">
        <f aca="false">SUMIF('Basis Options'!$X:$X,CONCATENATE($AK164,BZ$4),'Basis Options'!$AF:$AF)</f>
        <v>0</v>
      </c>
      <c r="CA164" s="134" t="n">
        <f aca="false">SUMIF('Basis Options'!$X:$X,CONCATENATE($AK164,CA$4),'Basis Options'!$AF:$AF)</f>
        <v>0</v>
      </c>
      <c r="CB164" s="134" t="n">
        <f aca="false">SUMIF('Basis Options'!$X:$X,CONCATENATE($AK164,CB$4),'Basis Options'!$AF:$AF)</f>
        <v>0</v>
      </c>
      <c r="CC164" s="134" t="n">
        <f aca="false">SUMIF('Basis Options'!$X:$X,CONCATENATE($AK164,CC$4),'Basis Options'!$AF:$AF)</f>
        <v>0</v>
      </c>
      <c r="CD164" s="134"/>
      <c r="CE164" s="134" t="n">
        <f aca="false">SUMIF('Basis Options'!$X:$X,CONCATENATE($AK164,CE$4),'Basis Options'!$AF:$AF)</f>
        <v>0</v>
      </c>
      <c r="CF164" s="134"/>
      <c r="CG164" s="143" t="n">
        <f aca="false">EOMONTH(CG163,0)+1</f>
        <v>41579</v>
      </c>
      <c r="CH164" s="135" t="n">
        <f aca="false">SUM(BT164:CF164)</f>
        <v>0</v>
      </c>
    </row>
    <row r="165" customFormat="false" ht="13.5" hidden="false" customHeight="false" outlineLevel="0" collapsed="false">
      <c r="A165" s="163" t="n">
        <f aca="false">EOMONTH(A164,0)+1</f>
        <v>41609</v>
      </c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63" t="n">
        <f aca="false">EOMONTH(O164,0)+1</f>
        <v>41609</v>
      </c>
      <c r="P165" s="135" t="n">
        <f aca="false">SUM(B165:N165)</f>
        <v>0</v>
      </c>
      <c r="S165" s="163" t="n">
        <f aca="false">EOMONTH(S164,0)+1</f>
        <v>41609</v>
      </c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63" t="n">
        <f aca="false">EOMONTH(AG164,0)+1</f>
        <v>41609</v>
      </c>
      <c r="AH165" s="135" t="n">
        <f aca="false">SUM(T165:AF165)</f>
        <v>0</v>
      </c>
      <c r="AK165" s="163" t="n">
        <f aca="false">EOMONTH(AK164,0)+1</f>
        <v>41609</v>
      </c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63" t="n">
        <f aca="false">EOMONTH(AY164,0)+1</f>
        <v>41609</v>
      </c>
      <c r="AZ165" s="135" t="n">
        <f aca="false">SUM(AL165:AX165)</f>
        <v>0</v>
      </c>
      <c r="BB165" s="163" t="n">
        <f aca="false">EOMONTH(BB164,0)+1</f>
        <v>41609</v>
      </c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63" t="n">
        <f aca="false">EOMONTH(BP164,0)+1</f>
        <v>41609</v>
      </c>
      <c r="BQ165" s="135" t="n">
        <f aca="false">SUM(BC165:BO165)</f>
        <v>0</v>
      </c>
      <c r="BS165" s="163" t="n">
        <f aca="false">EOMONTH(BS164,0)+1</f>
        <v>41609</v>
      </c>
      <c r="BT165" s="134" t="n">
        <f aca="false">SUMIF('Basis Options'!$X:$X,CONCATENATE($AK165,BT$4),'Basis Options'!$AF:$AF)</f>
        <v>0</v>
      </c>
      <c r="BU165" s="134" t="n">
        <f aca="false">SUMIF('Basis Options'!$X:$X,CONCATENATE($AK165,BU$4),'Basis Options'!$AF:$AF)</f>
        <v>0</v>
      </c>
      <c r="BV165" s="134" t="n">
        <f aca="false">SUMIF('Basis Options'!$X:$X,CONCATENATE($AK165,BV$4),'Basis Options'!$AF:$AF)</f>
        <v>0</v>
      </c>
      <c r="BW165" s="134" t="n">
        <f aca="false">SUMIF('Basis Options'!$X:$X,CONCATENATE($AK165,BW$4),'Basis Options'!$AF:$AF)</f>
        <v>0</v>
      </c>
      <c r="BX165" s="134" t="n">
        <f aca="false">SUMIF('Basis Options'!$X:$X,CONCATENATE($AK165,BX$4),'Basis Options'!$AF:$AF)</f>
        <v>0</v>
      </c>
      <c r="BY165" s="134" t="n">
        <f aca="false">SUMIF('Basis Options'!$X:$X,CONCATENATE($AK165,BY$4),'Basis Options'!$AF:$AF)</f>
        <v>0</v>
      </c>
      <c r="BZ165" s="134" t="n">
        <f aca="false">SUMIF('Basis Options'!$X:$X,CONCATENATE($AK165,BZ$4),'Basis Options'!$AF:$AF)</f>
        <v>0</v>
      </c>
      <c r="CA165" s="134" t="n">
        <f aca="false">SUMIF('Basis Options'!$X:$X,CONCATENATE($AK165,CA$4),'Basis Options'!$AF:$AF)</f>
        <v>0</v>
      </c>
      <c r="CB165" s="134" t="n">
        <f aca="false">SUMIF('Basis Options'!$X:$X,CONCATENATE($AK165,CB$4),'Basis Options'!$AF:$AF)</f>
        <v>0</v>
      </c>
      <c r="CC165" s="134" t="n">
        <f aca="false">SUMIF('Basis Options'!$X:$X,CONCATENATE($AK165,CC$4),'Basis Options'!$AF:$AF)</f>
        <v>0</v>
      </c>
      <c r="CD165" s="134"/>
      <c r="CE165" s="134" t="n">
        <f aca="false">SUMIF('Basis Options'!$X:$X,CONCATENATE($AK165,CE$4),'Basis Options'!$AF:$AF)</f>
        <v>0</v>
      </c>
      <c r="CF165" s="134"/>
      <c r="CG165" s="163" t="n">
        <f aca="false">EOMONTH(CG164,0)+1</f>
        <v>41609</v>
      </c>
      <c r="CH165" s="135" t="n">
        <f aca="false">SUM(BT165:CF165)</f>
        <v>0</v>
      </c>
    </row>
  </sheetData>
  <mergeCells count="10">
    <mergeCell ref="A2:N2"/>
    <mergeCell ref="O2:P2"/>
    <mergeCell ref="S2:AF2"/>
    <mergeCell ref="AG2:AH2"/>
    <mergeCell ref="AK2:AX2"/>
    <mergeCell ref="AY2:AZ2"/>
    <mergeCell ref="BB2:BO2"/>
    <mergeCell ref="BP2:BQ2"/>
    <mergeCell ref="BS2:CF2"/>
    <mergeCell ref="CG2:CH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8" activeCellId="0" sqref="A18:M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3.41"/>
    <col collapsed="false" customWidth="true" hidden="false" outlineLevel="0" max="12" min="2" style="0" width="18.7"/>
    <col collapsed="false" customWidth="true" hidden="false" outlineLevel="0" max="13" min="13" style="0" width="10.56"/>
  </cols>
  <sheetData>
    <row r="1" customFormat="false" ht="12.75" hidden="false" customHeight="false" outlineLevel="0" collapsed="false">
      <c r="A1" s="117" t="s">
        <v>159</v>
      </c>
      <c r="B1" s="119" t="s">
        <v>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20"/>
    </row>
    <row r="2" customFormat="false" ht="12.75" hidden="false" customHeight="false" outlineLevel="0" collapsed="false">
      <c r="A2" s="119" t="s">
        <v>18</v>
      </c>
      <c r="B2" s="117" t="s">
        <v>150</v>
      </c>
      <c r="C2" s="118" t="s">
        <v>157</v>
      </c>
      <c r="D2" s="118" t="s">
        <v>153</v>
      </c>
      <c r="E2" s="118" t="s">
        <v>158</v>
      </c>
      <c r="F2" s="118" t="s">
        <v>151</v>
      </c>
      <c r="G2" s="118" t="s">
        <v>68</v>
      </c>
      <c r="H2" s="118" t="s">
        <v>155</v>
      </c>
      <c r="I2" s="118" t="s">
        <v>149</v>
      </c>
      <c r="J2" s="118" t="s">
        <v>156</v>
      </c>
      <c r="K2" s="118" t="s">
        <v>152</v>
      </c>
      <c r="L2" s="118" t="s">
        <v>137</v>
      </c>
      <c r="M2" s="141" t="s">
        <v>99</v>
      </c>
    </row>
    <row r="3" customFormat="false" ht="12.75" hidden="false" customHeight="false" outlineLevel="0" collapsed="false">
      <c r="A3" s="211" t="n">
        <v>36770</v>
      </c>
      <c r="B3" s="212" t="n">
        <v>0</v>
      </c>
      <c r="C3" s="213"/>
      <c r="D3" s="213" t="n">
        <v>0</v>
      </c>
      <c r="E3" s="213"/>
      <c r="F3" s="213" t="n">
        <v>0</v>
      </c>
      <c r="G3" s="213"/>
      <c r="H3" s="213" t="n">
        <v>0</v>
      </c>
      <c r="I3" s="213" t="n">
        <v>0</v>
      </c>
      <c r="J3" s="213"/>
      <c r="K3" s="213"/>
      <c r="L3" s="213" t="n">
        <v>0</v>
      </c>
      <c r="M3" s="214" t="n">
        <v>0</v>
      </c>
    </row>
    <row r="4" customFormat="false" ht="12.75" hidden="false" customHeight="false" outlineLevel="0" collapsed="false">
      <c r="A4" s="215" t="n">
        <v>36800</v>
      </c>
      <c r="B4" s="216" t="n">
        <v>0</v>
      </c>
      <c r="C4" s="217"/>
      <c r="D4" s="217" t="n">
        <v>0</v>
      </c>
      <c r="E4" s="217"/>
      <c r="F4" s="217" t="n">
        <v>0</v>
      </c>
      <c r="G4" s="217"/>
      <c r="H4" s="217" t="n">
        <v>0</v>
      </c>
      <c r="I4" s="217" t="n">
        <v>0</v>
      </c>
      <c r="J4" s="217"/>
      <c r="K4" s="217"/>
      <c r="L4" s="217" t="n">
        <v>0</v>
      </c>
      <c r="M4" s="218" t="n">
        <v>0</v>
      </c>
    </row>
    <row r="5" customFormat="false" ht="12.75" hidden="false" customHeight="false" outlineLevel="0" collapsed="false">
      <c r="A5" s="215" t="n">
        <v>36831</v>
      </c>
      <c r="B5" s="216" t="n">
        <v>0</v>
      </c>
      <c r="C5" s="217" t="n">
        <v>0</v>
      </c>
      <c r="D5" s="217" t="n">
        <v>0</v>
      </c>
      <c r="E5" s="217" t="n">
        <v>0</v>
      </c>
      <c r="F5" s="217" t="n">
        <v>0</v>
      </c>
      <c r="G5" s="217" t="n">
        <v>0</v>
      </c>
      <c r="H5" s="217"/>
      <c r="I5" s="217" t="n">
        <v>0</v>
      </c>
      <c r="J5" s="217" t="n">
        <v>0</v>
      </c>
      <c r="K5" s="217" t="n">
        <v>0</v>
      </c>
      <c r="L5" s="217" t="n">
        <v>0</v>
      </c>
      <c r="M5" s="218" t="n">
        <v>0</v>
      </c>
    </row>
    <row r="6" customFormat="false" ht="12.75" hidden="false" customHeight="false" outlineLevel="0" collapsed="false">
      <c r="A6" s="215" t="n">
        <v>36861</v>
      </c>
      <c r="B6" s="216" t="n">
        <v>0</v>
      </c>
      <c r="C6" s="217" t="n">
        <v>0</v>
      </c>
      <c r="D6" s="217" t="n">
        <v>0</v>
      </c>
      <c r="E6" s="217" t="n">
        <v>0</v>
      </c>
      <c r="F6" s="217" t="n">
        <v>0</v>
      </c>
      <c r="G6" s="217" t="n">
        <v>0</v>
      </c>
      <c r="H6" s="217"/>
      <c r="I6" s="217" t="n">
        <v>0</v>
      </c>
      <c r="J6" s="217" t="n">
        <v>0</v>
      </c>
      <c r="K6" s="217" t="n">
        <v>0</v>
      </c>
      <c r="L6" s="217" t="n">
        <v>0</v>
      </c>
      <c r="M6" s="218" t="n">
        <v>0</v>
      </c>
    </row>
    <row r="7" customFormat="false" ht="12.75" hidden="false" customHeight="false" outlineLevel="0" collapsed="false">
      <c r="A7" s="215" t="n">
        <v>36892</v>
      </c>
      <c r="B7" s="216" t="n">
        <v>0</v>
      </c>
      <c r="C7" s="217" t="n">
        <v>0</v>
      </c>
      <c r="D7" s="217" t="n">
        <v>0</v>
      </c>
      <c r="E7" s="217" t="n">
        <v>0</v>
      </c>
      <c r="F7" s="217" t="n">
        <v>0</v>
      </c>
      <c r="G7" s="217" t="n">
        <v>0</v>
      </c>
      <c r="H7" s="217"/>
      <c r="I7" s="217" t="n">
        <v>0</v>
      </c>
      <c r="J7" s="217" t="n">
        <v>0</v>
      </c>
      <c r="K7" s="217" t="n">
        <v>0</v>
      </c>
      <c r="L7" s="217" t="n">
        <v>0</v>
      </c>
      <c r="M7" s="218" t="n">
        <v>0</v>
      </c>
    </row>
    <row r="8" customFormat="false" ht="12.75" hidden="false" customHeight="false" outlineLevel="0" collapsed="false">
      <c r="A8" s="215" t="n">
        <v>36923</v>
      </c>
      <c r="B8" s="216" t="n">
        <v>0</v>
      </c>
      <c r="C8" s="217" t="n">
        <v>0</v>
      </c>
      <c r="D8" s="217" t="n">
        <v>0</v>
      </c>
      <c r="E8" s="217" t="n">
        <v>0</v>
      </c>
      <c r="F8" s="217" t="n">
        <v>0</v>
      </c>
      <c r="G8" s="217" t="n">
        <v>0</v>
      </c>
      <c r="H8" s="217"/>
      <c r="I8" s="217" t="n">
        <v>0</v>
      </c>
      <c r="J8" s="217" t="n">
        <v>0</v>
      </c>
      <c r="K8" s="217" t="n">
        <v>0</v>
      </c>
      <c r="L8" s="217" t="n">
        <v>0</v>
      </c>
      <c r="M8" s="218" t="n">
        <v>0</v>
      </c>
    </row>
    <row r="9" customFormat="false" ht="12.75" hidden="false" customHeight="false" outlineLevel="0" collapsed="false">
      <c r="A9" s="215" t="n">
        <v>36951</v>
      </c>
      <c r="B9" s="216" t="n">
        <v>0</v>
      </c>
      <c r="C9" s="217" t="n">
        <v>0</v>
      </c>
      <c r="D9" s="217" t="n">
        <v>0</v>
      </c>
      <c r="E9" s="217" t="n">
        <v>0</v>
      </c>
      <c r="F9" s="217" t="n">
        <v>0</v>
      </c>
      <c r="G9" s="217" t="n">
        <v>0</v>
      </c>
      <c r="H9" s="217"/>
      <c r="I9" s="217" t="n">
        <v>0</v>
      </c>
      <c r="J9" s="217" t="n">
        <v>0</v>
      </c>
      <c r="K9" s="217" t="n">
        <v>0</v>
      </c>
      <c r="L9" s="217" t="n">
        <v>0</v>
      </c>
      <c r="M9" s="218" t="n">
        <v>0</v>
      </c>
    </row>
    <row r="10" customFormat="false" ht="12.75" hidden="false" customHeight="false" outlineLevel="0" collapsed="false">
      <c r="A10" s="215" t="n">
        <v>36982</v>
      </c>
      <c r="B10" s="216"/>
      <c r="C10" s="217"/>
      <c r="D10" s="217"/>
      <c r="E10" s="217"/>
      <c r="F10" s="217"/>
      <c r="G10" s="217"/>
      <c r="H10" s="217" t="n">
        <v>0</v>
      </c>
      <c r="I10" s="217" t="n">
        <v>0</v>
      </c>
      <c r="J10" s="217"/>
      <c r="K10" s="217"/>
      <c r="L10" s="217"/>
      <c r="M10" s="218" t="n">
        <v>0</v>
      </c>
    </row>
    <row r="11" customFormat="false" ht="12.75" hidden="false" customHeight="false" outlineLevel="0" collapsed="false">
      <c r="A11" s="215" t="n">
        <v>37012</v>
      </c>
      <c r="B11" s="216"/>
      <c r="C11" s="217"/>
      <c r="D11" s="217"/>
      <c r="E11" s="217"/>
      <c r="F11" s="217"/>
      <c r="G11" s="217"/>
      <c r="H11" s="217" t="n">
        <v>0</v>
      </c>
      <c r="I11" s="217" t="n">
        <v>0</v>
      </c>
      <c r="J11" s="217"/>
      <c r="K11" s="217"/>
      <c r="L11" s="217"/>
      <c r="M11" s="218" t="n">
        <v>0</v>
      </c>
    </row>
    <row r="12" customFormat="false" ht="12.75" hidden="false" customHeight="false" outlineLevel="0" collapsed="false">
      <c r="A12" s="215" t="n">
        <v>37043</v>
      </c>
      <c r="B12" s="216"/>
      <c r="C12" s="217"/>
      <c r="D12" s="217"/>
      <c r="E12" s="217"/>
      <c r="F12" s="217"/>
      <c r="G12" s="217"/>
      <c r="H12" s="217" t="n">
        <v>0</v>
      </c>
      <c r="I12" s="217" t="n">
        <v>0</v>
      </c>
      <c r="J12" s="217"/>
      <c r="K12" s="217"/>
      <c r="L12" s="217"/>
      <c r="M12" s="218" t="n">
        <v>0</v>
      </c>
    </row>
    <row r="13" customFormat="false" ht="12.75" hidden="false" customHeight="false" outlineLevel="0" collapsed="false">
      <c r="A13" s="215" t="n">
        <v>37073</v>
      </c>
      <c r="B13" s="216"/>
      <c r="C13" s="217"/>
      <c r="D13" s="217"/>
      <c r="E13" s="217"/>
      <c r="F13" s="217"/>
      <c r="G13" s="217"/>
      <c r="H13" s="217" t="n">
        <v>0</v>
      </c>
      <c r="I13" s="217" t="n">
        <v>0</v>
      </c>
      <c r="J13" s="217"/>
      <c r="K13" s="217"/>
      <c r="L13" s="217"/>
      <c r="M13" s="218" t="n">
        <v>0</v>
      </c>
    </row>
    <row r="14" customFormat="false" ht="12.75" hidden="false" customHeight="false" outlineLevel="0" collapsed="false">
      <c r="A14" s="215" t="n">
        <v>37104</v>
      </c>
      <c r="B14" s="216"/>
      <c r="C14" s="217"/>
      <c r="D14" s="217"/>
      <c r="E14" s="217"/>
      <c r="F14" s="217"/>
      <c r="G14" s="217"/>
      <c r="H14" s="217" t="n">
        <v>0</v>
      </c>
      <c r="I14" s="217" t="n">
        <v>0</v>
      </c>
      <c r="J14" s="217"/>
      <c r="K14" s="217"/>
      <c r="L14" s="217"/>
      <c r="M14" s="218" t="n">
        <v>0</v>
      </c>
    </row>
    <row r="15" customFormat="false" ht="12.75" hidden="false" customHeight="false" outlineLevel="0" collapsed="false">
      <c r="A15" s="215" t="n">
        <v>37135</v>
      </c>
      <c r="B15" s="216"/>
      <c r="C15" s="217"/>
      <c r="D15" s="217"/>
      <c r="E15" s="217"/>
      <c r="F15" s="217"/>
      <c r="G15" s="217"/>
      <c r="H15" s="217" t="n">
        <v>0</v>
      </c>
      <c r="I15" s="217" t="n">
        <v>0</v>
      </c>
      <c r="J15" s="217"/>
      <c r="K15" s="217"/>
      <c r="L15" s="217"/>
      <c r="M15" s="218" t="n">
        <v>0</v>
      </c>
    </row>
    <row r="16" customFormat="false" ht="12.75" hidden="false" customHeight="false" outlineLevel="0" collapsed="false">
      <c r="A16" s="215" t="n">
        <v>37165</v>
      </c>
      <c r="B16" s="216"/>
      <c r="C16" s="217"/>
      <c r="D16" s="217"/>
      <c r="E16" s="217"/>
      <c r="F16" s="217"/>
      <c r="G16" s="217"/>
      <c r="H16" s="217" t="n">
        <v>0</v>
      </c>
      <c r="I16" s="217" t="n">
        <v>0</v>
      </c>
      <c r="J16" s="217"/>
      <c r="K16" s="217"/>
      <c r="L16" s="217"/>
      <c r="M16" s="218" t="n">
        <v>0</v>
      </c>
    </row>
    <row r="17" customFormat="false" ht="12.75" hidden="false" customHeight="false" outlineLevel="0" collapsed="false">
      <c r="A17" s="215" t="n">
        <v>37196</v>
      </c>
      <c r="B17" s="216"/>
      <c r="C17" s="217"/>
      <c r="D17" s="217"/>
      <c r="E17" s="217"/>
      <c r="F17" s="217"/>
      <c r="G17" s="217"/>
      <c r="H17" s="217"/>
      <c r="I17" s="217" t="n">
        <v>0</v>
      </c>
      <c r="J17" s="217"/>
      <c r="K17" s="217"/>
      <c r="L17" s="217"/>
      <c r="M17" s="218" t="n">
        <v>0</v>
      </c>
    </row>
    <row r="18" customFormat="false" ht="12.75" hidden="false" customHeight="false" outlineLevel="0" collapsed="false">
      <c r="A18" s="215" t="n">
        <v>37226</v>
      </c>
      <c r="B18" s="216"/>
      <c r="C18" s="217"/>
      <c r="D18" s="217"/>
      <c r="E18" s="217"/>
      <c r="F18" s="217"/>
      <c r="G18" s="217"/>
      <c r="H18" s="217"/>
      <c r="I18" s="217" t="n">
        <v>0</v>
      </c>
      <c r="J18" s="217"/>
      <c r="K18" s="217"/>
      <c r="L18" s="217"/>
      <c r="M18" s="218" t="n">
        <v>0</v>
      </c>
    </row>
    <row r="19" customFormat="false" ht="12.75" hidden="false" customHeight="false" outlineLevel="0" collapsed="false">
      <c r="A19" s="215" t="n">
        <v>37257</v>
      </c>
      <c r="B19" s="216"/>
      <c r="C19" s="217"/>
      <c r="D19" s="217"/>
      <c r="E19" s="217"/>
      <c r="F19" s="217"/>
      <c r="G19" s="217"/>
      <c r="H19" s="217"/>
      <c r="I19" s="217" t="n">
        <v>0</v>
      </c>
      <c r="J19" s="217"/>
      <c r="K19" s="217"/>
      <c r="L19" s="217"/>
      <c r="M19" s="218" t="n">
        <v>0</v>
      </c>
    </row>
    <row r="20" customFormat="false" ht="12.75" hidden="false" customHeight="false" outlineLevel="0" collapsed="false">
      <c r="A20" s="215" t="n">
        <v>37288</v>
      </c>
      <c r="B20" s="216"/>
      <c r="C20" s="217"/>
      <c r="D20" s="217"/>
      <c r="E20" s="217"/>
      <c r="F20" s="217"/>
      <c r="G20" s="217"/>
      <c r="H20" s="217"/>
      <c r="I20" s="217" t="n">
        <v>0</v>
      </c>
      <c r="J20" s="217"/>
      <c r="K20" s="217"/>
      <c r="L20" s="217"/>
      <c r="M20" s="218" t="n">
        <v>0</v>
      </c>
    </row>
    <row r="21" customFormat="false" ht="12.75" hidden="false" customHeight="false" outlineLevel="0" collapsed="false">
      <c r="A21" s="215" t="n">
        <v>37316</v>
      </c>
      <c r="B21" s="216"/>
      <c r="C21" s="217"/>
      <c r="D21" s="217"/>
      <c r="E21" s="217"/>
      <c r="F21" s="217"/>
      <c r="G21" s="217"/>
      <c r="H21" s="217"/>
      <c r="I21" s="217" t="n">
        <v>0</v>
      </c>
      <c r="J21" s="217"/>
      <c r="K21" s="217"/>
      <c r="L21" s="217"/>
      <c r="M21" s="218" t="n">
        <v>0</v>
      </c>
    </row>
    <row r="22" customFormat="false" ht="12.75" hidden="false" customHeight="false" outlineLevel="0" collapsed="false">
      <c r="A22" s="215" t="n">
        <v>37561</v>
      </c>
      <c r="B22" s="216"/>
      <c r="C22" s="217"/>
      <c r="D22" s="217"/>
      <c r="E22" s="217"/>
      <c r="F22" s="217"/>
      <c r="G22" s="217"/>
      <c r="H22" s="217"/>
      <c r="I22" s="217"/>
      <c r="J22" s="217"/>
      <c r="K22" s="217" t="n">
        <v>0</v>
      </c>
      <c r="L22" s="217"/>
      <c r="M22" s="218" t="n">
        <v>0</v>
      </c>
    </row>
    <row r="23" customFormat="false" ht="12.75" hidden="false" customHeight="false" outlineLevel="0" collapsed="false">
      <c r="A23" s="215" t="n">
        <v>37591</v>
      </c>
      <c r="B23" s="216"/>
      <c r="C23" s="217"/>
      <c r="D23" s="217"/>
      <c r="E23" s="217"/>
      <c r="F23" s="217"/>
      <c r="G23" s="217"/>
      <c r="H23" s="217"/>
      <c r="I23" s="217"/>
      <c r="J23" s="217"/>
      <c r="K23" s="217" t="n">
        <v>0</v>
      </c>
      <c r="L23" s="217"/>
      <c r="M23" s="218" t="n">
        <v>0</v>
      </c>
    </row>
    <row r="24" customFormat="false" ht="12.75" hidden="false" customHeight="false" outlineLevel="0" collapsed="false">
      <c r="A24" s="215" t="n">
        <v>37622</v>
      </c>
      <c r="B24" s="216"/>
      <c r="C24" s="217"/>
      <c r="D24" s="217"/>
      <c r="E24" s="217"/>
      <c r="F24" s="217"/>
      <c r="G24" s="217"/>
      <c r="H24" s="217"/>
      <c r="I24" s="217"/>
      <c r="J24" s="217"/>
      <c r="K24" s="217" t="n">
        <v>0</v>
      </c>
      <c r="L24" s="217"/>
      <c r="M24" s="218" t="n">
        <v>0</v>
      </c>
    </row>
    <row r="25" customFormat="false" ht="12.75" hidden="false" customHeight="false" outlineLevel="0" collapsed="false">
      <c r="A25" s="215" t="n">
        <v>37653</v>
      </c>
      <c r="B25" s="216"/>
      <c r="C25" s="217"/>
      <c r="D25" s="217"/>
      <c r="E25" s="217"/>
      <c r="F25" s="217"/>
      <c r="G25" s="217"/>
      <c r="H25" s="217"/>
      <c r="I25" s="217"/>
      <c r="J25" s="217"/>
      <c r="K25" s="217" t="n">
        <v>0</v>
      </c>
      <c r="L25" s="217"/>
      <c r="M25" s="218" t="n">
        <v>0</v>
      </c>
    </row>
    <row r="26" customFormat="false" ht="12.75" hidden="false" customHeight="false" outlineLevel="0" collapsed="false">
      <c r="A26" s="215" t="n">
        <v>37681</v>
      </c>
      <c r="B26" s="216"/>
      <c r="C26" s="217"/>
      <c r="D26" s="217"/>
      <c r="E26" s="217"/>
      <c r="F26" s="217"/>
      <c r="G26" s="217"/>
      <c r="H26" s="217"/>
      <c r="I26" s="217"/>
      <c r="J26" s="217"/>
      <c r="K26" s="217" t="n">
        <v>0</v>
      </c>
      <c r="L26" s="217"/>
      <c r="M26" s="218" t="n">
        <v>0</v>
      </c>
    </row>
    <row r="27" customFormat="false" ht="12.75" hidden="false" customHeight="false" outlineLevel="0" collapsed="false">
      <c r="A27" s="219" t="s">
        <v>99</v>
      </c>
      <c r="B27" s="220" t="n">
        <v>0</v>
      </c>
      <c r="C27" s="221" t="n">
        <v>0</v>
      </c>
      <c r="D27" s="221" t="n">
        <v>0</v>
      </c>
      <c r="E27" s="221" t="n">
        <v>0</v>
      </c>
      <c r="F27" s="221" t="n">
        <v>0</v>
      </c>
      <c r="G27" s="221" t="n">
        <v>0</v>
      </c>
      <c r="H27" s="221" t="n">
        <v>0</v>
      </c>
      <c r="I27" s="221" t="n">
        <v>0</v>
      </c>
      <c r="J27" s="221" t="n">
        <v>0</v>
      </c>
      <c r="K27" s="221" t="n">
        <v>0</v>
      </c>
      <c r="L27" s="221" t="n">
        <v>0</v>
      </c>
      <c r="M27" s="222" t="n">
        <v>0</v>
      </c>
    </row>
    <row r="29" customFormat="false" ht="12.75" hidden="false" customHeight="false" outlineLevel="0" collapsed="false">
      <c r="B29" s="139" t="n">
        <f aca="false">B27</f>
        <v>0</v>
      </c>
      <c r="C29" s="139" t="n">
        <f aca="false">C27</f>
        <v>0</v>
      </c>
      <c r="D29" s="139" t="n">
        <f aca="false">D27</f>
        <v>0</v>
      </c>
      <c r="E29" s="139" t="n">
        <f aca="false">E27</f>
        <v>0</v>
      </c>
      <c r="F29" s="139" t="n">
        <f aca="false">F27</f>
        <v>0</v>
      </c>
      <c r="G29" s="139" t="n">
        <f aca="false">G27</f>
        <v>0</v>
      </c>
      <c r="H29" s="139" t="n">
        <f aca="false">H27</f>
        <v>0</v>
      </c>
      <c r="I29" s="139" t="n">
        <f aca="false">I27</f>
        <v>0</v>
      </c>
      <c r="J29" s="139" t="n">
        <f aca="false">J27</f>
        <v>0</v>
      </c>
      <c r="K29" s="139" t="n">
        <f aca="false">K27</f>
        <v>0</v>
      </c>
      <c r="L29" s="139" t="n">
        <f aca="false">L27</f>
        <v>0</v>
      </c>
      <c r="M29" s="139" t="n">
        <f aca="false">M27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F868"/>
  <sheetViews>
    <sheetView showFormulas="false" showGridLines="false" showRowColHeaders="true" showZeros="true" rightToLeft="false" tabSelected="false" showOutlineSymbols="true" defaultGridColor="true" view="normal" topLeftCell="BJ134" colorId="64" zoomScale="100" zoomScaleNormal="100" zoomScalePageLayoutView="100" workbookViewId="0">
      <selection pane="topLeft" activeCell="BT7" activeCellId="0" sqref="BT7:BT16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8.14"/>
    <col collapsed="false" customWidth="true" hidden="false" outlineLevel="0" max="3" min="3" style="0" width="11.99"/>
    <col collapsed="false" customWidth="true" hidden="false" outlineLevel="0" max="4" min="4" style="0" width="17.99"/>
    <col collapsed="false" customWidth="true" hidden="false" outlineLevel="0" max="5" min="5" style="0" width="6.28"/>
    <col collapsed="false" customWidth="true" hidden="false" outlineLevel="0" max="6" min="6" style="0" width="5.99"/>
    <col collapsed="false" customWidth="true" hidden="false" outlineLevel="0" max="7" min="7" style="0" width="12.7"/>
    <col collapsed="false" customWidth="true" hidden="false" outlineLevel="0" max="8" min="8" style="0" width="13.41"/>
    <col collapsed="false" customWidth="true" hidden="false" outlineLevel="0" max="9" min="9" style="0" width="12.42"/>
    <col collapsed="false" customWidth="true" hidden="false" outlineLevel="0" max="11" min="11" style="0" width="11.28"/>
    <col collapsed="false" customWidth="true" hidden="false" outlineLevel="0" max="16" min="13" style="0" width="10.41"/>
    <col collapsed="false" customWidth="true" hidden="false" outlineLevel="0" max="17" min="17" style="0" width="11.13"/>
    <col collapsed="false" customWidth="true" hidden="false" outlineLevel="0" max="18" min="18" style="0" width="8.85"/>
    <col collapsed="false" customWidth="true" hidden="false" outlineLevel="0" max="19" min="19" style="0" width="12.14"/>
    <col collapsed="false" customWidth="true" hidden="false" outlineLevel="0" max="20" min="20" style="0" width="12.99"/>
    <col collapsed="false" customWidth="true" hidden="false" outlineLevel="0" max="21" min="21" style="0" width="13.28"/>
    <col collapsed="false" customWidth="true" hidden="false" outlineLevel="0" max="22" min="22" style="0" width="15.28"/>
    <col collapsed="false" customWidth="true" hidden="false" outlineLevel="0" max="23" min="23" style="0" width="13.28"/>
    <col collapsed="false" customWidth="true" hidden="false" outlineLevel="0" max="24" min="24" style="0" width="3.85"/>
    <col collapsed="false" customWidth="true" hidden="false" outlineLevel="0" max="26" min="26" style="0" width="10.99"/>
    <col collapsed="false" customWidth="true" hidden="false" outlineLevel="0" max="29" min="28" style="0" width="13.14"/>
    <col collapsed="false" customWidth="true" hidden="false" outlineLevel="0" max="39" min="30" style="0" width="11.28"/>
    <col collapsed="false" customWidth="true" hidden="false" outlineLevel="0" max="40" min="40" style="0" width="13.56"/>
    <col collapsed="false" customWidth="true" hidden="false" outlineLevel="0" max="41" min="41" style="0" width="16.56"/>
    <col collapsed="false" customWidth="true" hidden="false" outlineLevel="0" max="42" min="42" style="0" width="17.85"/>
    <col collapsed="false" customWidth="true" hidden="false" outlineLevel="0" max="43" min="43" style="0" width="19.41"/>
    <col collapsed="false" customWidth="true" hidden="false" outlineLevel="0" max="44" min="44" style="0" width="16.42"/>
    <col collapsed="false" customWidth="true" hidden="false" outlineLevel="0" max="47" min="45" style="0" width="17.42"/>
    <col collapsed="false" customWidth="true" hidden="false" outlineLevel="0" max="54" min="54" style="0" width="13.56"/>
    <col collapsed="false" customWidth="true" hidden="false" outlineLevel="0" max="55" min="55" style="0" width="10.56"/>
    <col collapsed="false" customWidth="true" hidden="false" outlineLevel="0" max="57" min="57" style="0" width="13.56"/>
    <col collapsed="false" customWidth="true" hidden="false" outlineLevel="0" max="58" min="58" style="0" width="14.7"/>
    <col collapsed="false" customWidth="true" hidden="false" outlineLevel="0" max="59" min="59" style="0" width="15.99"/>
    <col collapsed="false" customWidth="true" hidden="false" outlineLevel="0" max="60" min="60" style="0" width="18.56"/>
    <col collapsed="false" customWidth="true" hidden="false" outlineLevel="0" max="61" min="61" style="0" width="13.41"/>
    <col collapsed="false" customWidth="true" hidden="false" outlineLevel="0" max="64" min="62" style="0" width="15.99"/>
    <col collapsed="false" customWidth="true" hidden="false" outlineLevel="0" max="71" min="71" style="0" width="13.56"/>
    <col collapsed="false" customWidth="true" hidden="false" outlineLevel="0" max="72" min="72" style="0" width="9.99"/>
    <col collapsed="false" customWidth="true" hidden="false" outlineLevel="0" max="82" min="82" style="0" width="14.14"/>
    <col collapsed="false" customWidth="true" hidden="false" outlineLevel="0" max="83" min="83" style="0" width="10.56"/>
    <col collapsed="false" customWidth="true" hidden="false" outlineLevel="0" max="84" min="84" style="0" width="10.28"/>
    <col collapsed="false" customWidth="true" hidden="false" outlineLevel="0" max="85" min="85" style="0" width="13.99"/>
    <col collapsed="false" customWidth="true" hidden="false" outlineLevel="0" max="86" min="86" style="0" width="11.99"/>
    <col collapsed="false" customWidth="true" hidden="false" outlineLevel="0" max="87" min="87" style="0" width="13.28"/>
    <col collapsed="false" customWidth="true" hidden="false" outlineLevel="0" max="88" min="88" style="0" width="14.41"/>
    <col collapsed="false" customWidth="true" hidden="false" outlineLevel="0" max="90" min="90" style="0" width="17.28"/>
    <col collapsed="false" customWidth="true" hidden="false" outlineLevel="0" max="91" min="91" style="0" width="21.99"/>
    <col collapsed="false" customWidth="true" hidden="false" outlineLevel="0" max="96" min="96" style="0" width="12.42"/>
    <col collapsed="false" customWidth="true" hidden="false" outlineLevel="0" max="97" min="97" style="0" width="16.42"/>
    <col collapsed="false" customWidth="true" hidden="false" outlineLevel="0" max="98" min="98" style="0" width="11.28"/>
    <col collapsed="false" customWidth="true" hidden="false" outlineLevel="0" max="99" min="99" style="0" width="9.7"/>
    <col collapsed="false" customWidth="true" hidden="false" outlineLevel="0" max="100" min="100" style="0" width="13.28"/>
    <col collapsed="false" customWidth="true" hidden="false" outlineLevel="0" max="101" min="101" style="0" width="14.14"/>
    <col collapsed="false" customWidth="true" hidden="false" outlineLevel="0" max="102" min="102" style="0" width="13.85"/>
    <col collapsed="false" customWidth="true" hidden="false" outlineLevel="0" max="104" min="104" style="0" width="12.56"/>
    <col collapsed="false" customWidth="true" hidden="false" outlineLevel="0" max="105" min="105" style="0" width="18.28"/>
    <col collapsed="false" customWidth="true" hidden="false" outlineLevel="0" max="108" min="106" style="0" width="12.42"/>
    <col collapsed="false" customWidth="true" hidden="false" outlineLevel="0" max="109" min="109" style="0" width="17.14"/>
    <col collapsed="false" customWidth="true" hidden="false" outlineLevel="0" max="110" min="110" style="0" width="16.13"/>
  </cols>
  <sheetData>
    <row r="1" customFormat="false" ht="20.25" hidden="false" customHeight="false" outlineLevel="0" collapsed="false">
      <c r="A1" s="1" t="s">
        <v>160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 t="n">
        <v>-364260.766891632</v>
      </c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106" t="s">
        <v>161</v>
      </c>
      <c r="CD1" s="106" t="s">
        <v>81</v>
      </c>
      <c r="CE1" s="106" t="s">
        <v>82</v>
      </c>
      <c r="CF1" s="106" t="s">
        <v>83</v>
      </c>
      <c r="CG1" s="106" t="s">
        <v>84</v>
      </c>
      <c r="CH1" s="106" t="s">
        <v>85</v>
      </c>
      <c r="CI1" s="106" t="s">
        <v>162</v>
      </c>
      <c r="CS1" s="67" t="s">
        <v>163</v>
      </c>
      <c r="CT1" s="68"/>
      <c r="CU1" s="223"/>
      <c r="CV1" s="223"/>
      <c r="CW1" s="224" t="e">
        <f aca="false">U3</f>
        <v>#NAME?</v>
      </c>
      <c r="DA1" s="67" t="s">
        <v>163</v>
      </c>
      <c r="DB1" s="68"/>
      <c r="DC1" s="223"/>
      <c r="DD1" s="223"/>
      <c r="DE1" s="224" t="e">
        <f aca="false">CW1</f>
        <v>#NAME?</v>
      </c>
    </row>
    <row r="2" customFormat="false" ht="15" hidden="false" customHeight="false" outlineLevel="0" collapsed="false">
      <c r="A2" s="2"/>
      <c r="B2" s="2"/>
      <c r="C2" s="2"/>
      <c r="D2" s="2"/>
      <c r="E2" s="2"/>
      <c r="F2" s="2"/>
      <c r="G2" s="2"/>
      <c r="H2" s="225" t="n">
        <v>-10811202.5583966</v>
      </c>
      <c r="I2" s="2"/>
      <c r="J2" s="2"/>
      <c r="K2" s="2" t="n">
        <v>-0.05</v>
      </c>
      <c r="L2" s="2"/>
      <c r="M2" s="2"/>
      <c r="N2" s="2"/>
      <c r="O2" s="2"/>
      <c r="P2" s="2"/>
      <c r="Q2" s="2"/>
      <c r="R2" s="2"/>
      <c r="S2" s="167" t="s">
        <v>24</v>
      </c>
      <c r="T2" s="168" t="s">
        <v>48</v>
      </c>
      <c r="U2" s="169" t="s">
        <v>8</v>
      </c>
      <c r="V2" s="169"/>
      <c r="W2" s="169" t="s">
        <v>7</v>
      </c>
      <c r="X2" s="2"/>
      <c r="Y2" s="2"/>
      <c r="Z2" s="226" t="n">
        <v>-355693.328785743</v>
      </c>
      <c r="AA2" s="2" t="n">
        <v>-7920.74762447865</v>
      </c>
      <c r="AB2" s="227" t="n">
        <f aca="false">Z2+AA2</f>
        <v>-363614.076410222</v>
      </c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D2" s="228" t="e">
        <f aca="false">SUM(CD7:CD631)</f>
        <v>#NAME?</v>
      </c>
      <c r="CE2" s="228" t="e">
        <f aca="false">SUM(CE7:CE631)</f>
        <v>#NAME?</v>
      </c>
      <c r="CF2" s="228" t="e">
        <f aca="false">SUM(CF7:CF631)</f>
        <v>#NAME?</v>
      </c>
      <c r="CG2" s="228" t="e">
        <f aca="false">SUM(CG7:CG631)</f>
        <v>#NAME?</v>
      </c>
      <c r="CH2" s="228" t="e">
        <f aca="false">SUM(CH7:CH631)</f>
        <v>#NAME?</v>
      </c>
      <c r="CI2" s="228" t="e">
        <f aca="false">SUM(CI7:CI631)</f>
        <v>#NAME?</v>
      </c>
      <c r="CJ2" s="229" t="e">
        <f aca="false">SUM(CJ7:CJ631)</f>
        <v>#NAME?</v>
      </c>
      <c r="CL2" s="230" t="e">
        <f aca="false">U3-CJ2</f>
        <v>#NAME?</v>
      </c>
      <c r="CS2" s="74" t="s">
        <v>164</v>
      </c>
      <c r="CT2" s="75"/>
      <c r="CU2" s="231"/>
      <c r="CV2" s="231"/>
      <c r="CW2" s="232" t="e">
        <f aca="false">CJ2</f>
        <v>#NAME?</v>
      </c>
      <c r="DA2" s="74" t="s">
        <v>164</v>
      </c>
      <c r="DB2" s="75"/>
      <c r="DC2" s="231"/>
      <c r="DD2" s="231"/>
      <c r="DE2" s="233" t="e">
        <f aca="false">CW2</f>
        <v>#NAME?</v>
      </c>
    </row>
    <row r="3" customFormat="false" ht="15" hidden="false" customHeight="false" outlineLevel="0" collapsed="false">
      <c r="A3" s="77" t="s">
        <v>28</v>
      </c>
      <c r="B3" s="77"/>
      <c r="C3" s="78" t="n">
        <f aca="false">Summary!P1</f>
        <v>36767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71"/>
      <c r="T3" s="234" t="e">
        <f aca="false">SUM(T7:T5006)</f>
        <v>#NAME?</v>
      </c>
      <c r="U3" s="225" t="e">
        <f aca="false">SUM(U7:U5006)</f>
        <v>#NAME?</v>
      </c>
      <c r="V3" s="225"/>
      <c r="W3" s="234" t="e">
        <f aca="false">SUM(W7:W5006)</f>
        <v>#NAME?</v>
      </c>
      <c r="X3" s="2"/>
      <c r="Y3" s="2"/>
      <c r="Z3" s="2"/>
      <c r="AA3" s="2" t="s">
        <v>165</v>
      </c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D3" s="235" t="n">
        <f aca="false">WORKDAY(C3,-1)</f>
        <v>36766</v>
      </c>
      <c r="CS3" s="86" t="s">
        <v>166</v>
      </c>
      <c r="CT3" s="87"/>
      <c r="CU3" s="236"/>
      <c r="CV3" s="236"/>
      <c r="CW3" s="237" t="e">
        <f aca="false">CW1-CW2</f>
        <v>#NAME?</v>
      </c>
      <c r="DA3" s="86" t="s">
        <v>166</v>
      </c>
      <c r="DB3" s="87"/>
      <c r="DC3" s="236"/>
      <c r="DD3" s="236"/>
      <c r="DE3" s="237" t="e">
        <f aca="false">DE1-DE2</f>
        <v>#NAME?</v>
      </c>
    </row>
    <row r="4" customFormat="false" ht="16.5" hidden="false" customHeight="false" outlineLevel="0" collapsed="false">
      <c r="A4" s="89" t="s">
        <v>113</v>
      </c>
      <c r="B4" s="89"/>
      <c r="C4" s="89"/>
      <c r="D4" s="89"/>
      <c r="E4" s="89"/>
      <c r="F4" s="89"/>
      <c r="G4" s="89"/>
      <c r="H4" s="89"/>
      <c r="I4" s="89"/>
      <c r="J4" s="238" t="s">
        <v>114</v>
      </c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"/>
      <c r="W4" s="2"/>
      <c r="X4" s="2"/>
      <c r="Y4" s="2"/>
      <c r="Z4" s="2"/>
      <c r="AA4" s="2" t="s">
        <v>167</v>
      </c>
      <c r="AB4" s="239" t="n">
        <v>36697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91" t="s">
        <v>35</v>
      </c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 t="s">
        <v>36</v>
      </c>
      <c r="BC4" s="91"/>
      <c r="BD4" s="2"/>
      <c r="BE4" s="91" t="s">
        <v>168</v>
      </c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 t="s">
        <v>36</v>
      </c>
      <c r="BT4" s="91"/>
      <c r="BU4" s="2"/>
      <c r="BV4" s="2"/>
      <c r="BW4" s="2"/>
      <c r="BX4" s="2"/>
      <c r="BY4" s="2"/>
      <c r="BZ4" s="2"/>
      <c r="CA4" s="2"/>
      <c r="CB4" s="2"/>
      <c r="CS4" s="240"/>
      <c r="CT4" s="241" t="s">
        <v>169</v>
      </c>
      <c r="CU4" s="240"/>
      <c r="CV4" s="240"/>
      <c r="CW4" s="240"/>
      <c r="DA4" s="240"/>
      <c r="DB4" s="241" t="s">
        <v>169</v>
      </c>
      <c r="DC4" s="240"/>
      <c r="DD4" s="240"/>
      <c r="DE4" s="240"/>
    </row>
    <row r="5" customFormat="false" ht="15.75" hidden="false" customHeight="true" outlineLevel="0" collapsed="false">
      <c r="A5" s="176"/>
      <c r="B5" s="176" t="s">
        <v>170</v>
      </c>
      <c r="C5" s="176"/>
      <c r="D5" s="176"/>
      <c r="E5" s="176" t="s">
        <v>115</v>
      </c>
      <c r="F5" s="176" t="s">
        <v>116</v>
      </c>
      <c r="G5" s="176"/>
      <c r="H5" s="176" t="s">
        <v>38</v>
      </c>
      <c r="I5" s="177" t="s">
        <v>117</v>
      </c>
      <c r="J5" s="95" t="s">
        <v>41</v>
      </c>
      <c r="K5" s="95"/>
      <c r="L5" s="178" t="s">
        <v>29</v>
      </c>
      <c r="M5" s="178" t="s">
        <v>42</v>
      </c>
      <c r="N5" s="178" t="s">
        <v>41</v>
      </c>
      <c r="O5" s="178" t="s">
        <v>45</v>
      </c>
      <c r="P5" s="177"/>
      <c r="Q5" s="176"/>
      <c r="R5" s="178" t="s">
        <v>119</v>
      </c>
      <c r="S5" s="178"/>
      <c r="T5" s="178"/>
      <c r="U5" s="178"/>
      <c r="V5" s="178" t="s">
        <v>171</v>
      </c>
      <c r="W5" s="178" t="s">
        <v>172</v>
      </c>
      <c r="X5" s="2"/>
      <c r="Y5" s="2"/>
      <c r="Z5" s="2"/>
      <c r="AA5" s="2" t="s">
        <v>173</v>
      </c>
      <c r="AB5" s="2" t="n">
        <v>0</v>
      </c>
      <c r="AC5" s="2"/>
      <c r="AD5" s="2" t="n">
        <v>0.1</v>
      </c>
      <c r="AE5" s="2"/>
      <c r="AF5" s="2"/>
      <c r="AG5" s="2"/>
      <c r="AH5" s="2"/>
      <c r="AI5" s="227" t="e">
        <f aca="false">SUM(AI7:AI558)</f>
        <v>#NAME?</v>
      </c>
      <c r="AJ5" s="2"/>
      <c r="AK5" s="2"/>
      <c r="AL5" s="2"/>
      <c r="AM5" s="2"/>
      <c r="AN5" s="97" t="s">
        <v>18</v>
      </c>
      <c r="AO5" s="175" t="s">
        <v>48</v>
      </c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97" t="s">
        <v>18</v>
      </c>
      <c r="BC5" s="175" t="s">
        <v>48</v>
      </c>
      <c r="BD5" s="2"/>
      <c r="BE5" s="97" t="s">
        <v>18</v>
      </c>
      <c r="BF5" s="175" t="s">
        <v>48</v>
      </c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97" t="s">
        <v>18</v>
      </c>
      <c r="BT5" s="175" t="s">
        <v>48</v>
      </c>
      <c r="BU5" s="2"/>
      <c r="BV5" s="2"/>
      <c r="BW5" s="2"/>
      <c r="BX5" s="2"/>
      <c r="BY5" s="2"/>
      <c r="BZ5" s="2"/>
      <c r="CA5" s="2"/>
      <c r="CB5" s="2"/>
      <c r="CD5" s="0" t="n">
        <v>0</v>
      </c>
      <c r="CJ5" s="0" t="n">
        <v>0</v>
      </c>
      <c r="CR5" s="102"/>
      <c r="CS5" s="104"/>
      <c r="CT5" s="104"/>
      <c r="CU5" s="104"/>
      <c r="CV5" s="104"/>
      <c r="CW5" s="104"/>
      <c r="CX5" s="242"/>
      <c r="CZ5" s="102"/>
      <c r="DA5" s="104"/>
      <c r="DB5" s="104"/>
      <c r="DC5" s="104"/>
      <c r="DD5" s="104"/>
      <c r="DE5" s="104"/>
      <c r="DF5" s="242"/>
    </row>
    <row r="6" customFormat="false" ht="18" hidden="false" customHeight="true" outlineLevel="0" collapsed="false">
      <c r="A6" s="107" t="s">
        <v>53</v>
      </c>
      <c r="B6" s="107" t="s">
        <v>174</v>
      </c>
      <c r="C6" s="107" t="s">
        <v>54</v>
      </c>
      <c r="D6" s="107" t="s">
        <v>55</v>
      </c>
      <c r="E6" s="107" t="s">
        <v>123</v>
      </c>
      <c r="F6" s="107" t="s">
        <v>124</v>
      </c>
      <c r="G6" s="107" t="s">
        <v>18</v>
      </c>
      <c r="H6" s="107" t="s">
        <v>57</v>
      </c>
      <c r="I6" s="107" t="s">
        <v>58</v>
      </c>
      <c r="J6" s="107" t="s">
        <v>58</v>
      </c>
      <c r="K6" s="107" t="s">
        <v>59</v>
      </c>
      <c r="L6" s="107" t="s">
        <v>58</v>
      </c>
      <c r="M6" s="107" t="s">
        <v>60</v>
      </c>
      <c r="N6" s="107" t="s">
        <v>63</v>
      </c>
      <c r="O6" s="107" t="s">
        <v>63</v>
      </c>
      <c r="P6" s="107" t="s">
        <v>175</v>
      </c>
      <c r="Q6" s="107" t="s">
        <v>61</v>
      </c>
      <c r="R6" s="107" t="s">
        <v>125</v>
      </c>
      <c r="S6" s="107" t="s">
        <v>66</v>
      </c>
      <c r="T6" s="107" t="s">
        <v>67</v>
      </c>
      <c r="U6" s="107" t="s">
        <v>8</v>
      </c>
      <c r="V6" s="107" t="s">
        <v>176</v>
      </c>
      <c r="W6" s="107" t="s">
        <v>127</v>
      </c>
      <c r="X6" s="2" t="s">
        <v>177</v>
      </c>
      <c r="Y6" s="2" t="s">
        <v>178</v>
      </c>
      <c r="Z6" s="2" t="s">
        <v>179</v>
      </c>
      <c r="AA6" s="2" t="s">
        <v>180</v>
      </c>
      <c r="AB6" s="0" t="s">
        <v>180</v>
      </c>
      <c r="AC6" s="0" t="s">
        <v>181</v>
      </c>
      <c r="AD6" s="243" t="s">
        <v>182</v>
      </c>
      <c r="AE6" s="0" t="str">
        <f aca="false">CD6</f>
        <v>Curve Shift/Gamma</v>
      </c>
      <c r="AF6" s="0" t="s">
        <v>183</v>
      </c>
      <c r="AG6" s="0" t="s">
        <v>184</v>
      </c>
      <c r="AH6" s="0" t="s">
        <v>185</v>
      </c>
      <c r="AI6" s="0" t="s">
        <v>186</v>
      </c>
      <c r="AN6" s="109"/>
      <c r="AO6" s="110" t="s">
        <v>149</v>
      </c>
      <c r="AP6" s="111" t="s">
        <v>150</v>
      </c>
      <c r="AQ6" s="111" t="s">
        <v>151</v>
      </c>
      <c r="AR6" s="111" t="s">
        <v>152</v>
      </c>
      <c r="AS6" s="111" t="s">
        <v>74</v>
      </c>
      <c r="AT6" s="111" t="s">
        <v>137</v>
      </c>
      <c r="AU6" s="111" t="s">
        <v>153</v>
      </c>
      <c r="AV6" s="111" t="s">
        <v>154</v>
      </c>
      <c r="AW6" s="111" t="s">
        <v>155</v>
      </c>
      <c r="AX6" s="111" t="s">
        <v>68</v>
      </c>
      <c r="AY6" s="111" t="s">
        <v>156</v>
      </c>
      <c r="AZ6" s="111" t="s">
        <v>157</v>
      </c>
      <c r="BA6" s="112" t="s">
        <v>158</v>
      </c>
      <c r="BB6" s="109"/>
      <c r="BC6" s="206"/>
      <c r="BD6" s="2"/>
      <c r="BE6" s="109"/>
      <c r="BF6" s="110" t="s">
        <v>149</v>
      </c>
      <c r="BG6" s="111" t="s">
        <v>150</v>
      </c>
      <c r="BH6" s="111" t="s">
        <v>151</v>
      </c>
      <c r="BI6" s="111" t="s">
        <v>152</v>
      </c>
      <c r="BJ6" s="111" t="s">
        <v>74</v>
      </c>
      <c r="BK6" s="111" t="s">
        <v>137</v>
      </c>
      <c r="BL6" s="111" t="s">
        <v>153</v>
      </c>
      <c r="BM6" s="111" t="s">
        <v>154</v>
      </c>
      <c r="BN6" s="111" t="s">
        <v>155</v>
      </c>
      <c r="BO6" s="111" t="s">
        <v>68</v>
      </c>
      <c r="BP6" s="111" t="s">
        <v>156</v>
      </c>
      <c r="BQ6" s="111" t="s">
        <v>157</v>
      </c>
      <c r="BR6" s="112" t="s">
        <v>158</v>
      </c>
      <c r="BS6" s="109"/>
      <c r="BT6" s="206"/>
      <c r="BU6" s="2"/>
      <c r="BV6" s="2"/>
      <c r="BW6" s="2"/>
      <c r="BX6" s="2"/>
      <c r="BY6" s="2"/>
      <c r="BZ6" s="2"/>
      <c r="CA6" s="2"/>
      <c r="CB6" s="2"/>
      <c r="CC6" s="0" t="s">
        <v>187</v>
      </c>
      <c r="CD6" s="244" t="s">
        <v>188</v>
      </c>
      <c r="CE6" s="244" t="s">
        <v>82</v>
      </c>
      <c r="CF6" s="244" t="s">
        <v>83</v>
      </c>
      <c r="CG6" s="244" t="s">
        <v>84</v>
      </c>
      <c r="CH6" s="244" t="s">
        <v>85</v>
      </c>
      <c r="CI6" s="244" t="s">
        <v>162</v>
      </c>
      <c r="CJ6" s="244" t="s">
        <v>189</v>
      </c>
      <c r="CK6" s="0" t="s">
        <v>190</v>
      </c>
      <c r="CR6" s="245"/>
      <c r="CS6" s="246" t="s">
        <v>188</v>
      </c>
      <c r="CT6" s="246" t="s">
        <v>82</v>
      </c>
      <c r="CU6" s="246" t="s">
        <v>83</v>
      </c>
      <c r="CV6" s="246" t="s">
        <v>84</v>
      </c>
      <c r="CW6" s="246" t="s">
        <v>85</v>
      </c>
      <c r="CX6" s="247" t="s">
        <v>162</v>
      </c>
      <c r="CZ6" s="245"/>
      <c r="DA6" s="246" t="s">
        <v>188</v>
      </c>
      <c r="DB6" s="246" t="s">
        <v>82</v>
      </c>
      <c r="DC6" s="246" t="s">
        <v>83</v>
      </c>
      <c r="DD6" s="246" t="s">
        <v>84</v>
      </c>
      <c r="DE6" s="246" t="s">
        <v>85</v>
      </c>
      <c r="DF6" s="247" t="s">
        <v>162</v>
      </c>
    </row>
    <row r="7" customFormat="false" ht="12" hidden="false" customHeight="true" outlineLevel="0" collapsed="false">
      <c r="A7" s="17" t="s">
        <v>191</v>
      </c>
      <c r="B7" s="0" t="s">
        <v>192</v>
      </c>
      <c r="C7" s="125" t="s">
        <v>193</v>
      </c>
      <c r="D7" s="7" t="s">
        <v>149</v>
      </c>
      <c r="E7" s="7" t="s">
        <v>131</v>
      </c>
      <c r="F7" s="92" t="s">
        <v>136</v>
      </c>
      <c r="G7" s="92" t="n">
        <v>37316</v>
      </c>
      <c r="H7" s="248" t="n">
        <v>-1000000</v>
      </c>
      <c r="I7" s="7" t="n">
        <v>0.95</v>
      </c>
      <c r="J7" s="124" t="n">
        <f aca="false">VLOOKUP(G7,NGPrices,2,FALSE())</f>
        <v>3.605</v>
      </c>
      <c r="K7" s="125" t="n">
        <f aca="false">HLOOKUP(D7,Prices,VLOOKUP(G7,move_down,2,FALSE()),FALSE())+VLOOKUP(G7,CHANGE,HLOOKUP(D7,CHANGE,2,FALSE()),FALSE())</f>
        <v>0.99</v>
      </c>
      <c r="L7" s="124" t="n">
        <f aca="false">K7+J7</f>
        <v>4.595</v>
      </c>
      <c r="M7" s="126" t="n">
        <f aca="false">VLOOKUP(G7,NGPrices,4,FALSE())</f>
        <v>0.069499863695119</v>
      </c>
      <c r="N7" s="7" t="n">
        <f aca="false">VLOOKUP(G7,NGPrices,3,FALSE())</f>
        <v>0.365</v>
      </c>
      <c r="O7" s="7" t="n">
        <f aca="false">HLOOKUP(D7,VOLS,VLOOKUP(G7,move_down,2,FALSE()),FALSE())</f>
        <v>0.402</v>
      </c>
      <c r="P7" s="249" t="n">
        <f aca="false">HLOOKUP(D7,Correllate,VLOOKUP(G7,CorMove,2,FALSE()),FALSE())</f>
        <v>0.95</v>
      </c>
      <c r="Q7" s="92" t="n">
        <f aca="false">WORKDAY(G7,-2)</f>
        <v>37314</v>
      </c>
      <c r="R7" s="7" t="n">
        <f aca="false">IF(F7="P",0,1)</f>
        <v>1</v>
      </c>
      <c r="S7" s="130" t="e">
        <f aca="false">xSPRDOPT($L7,$J7,$I7,$M7,$O7,$N7,$P7,$Q7-$C$3,$R7,0)</f>
        <v>#NAME?</v>
      </c>
      <c r="T7" s="250" t="e">
        <f aca="false">xSPRDOPT($L7,$J7,$I7,$M7,$O7,$N7,$P7,$Q7-$C$3,$R7,1)*H7</f>
        <v>#NAME?</v>
      </c>
      <c r="U7" s="43" t="e">
        <f aca="false">S7*H7</f>
        <v>#NAME?</v>
      </c>
      <c r="V7" s="250" t="e">
        <f aca="false">xSPRDOPT($L7,$J7,$I7,$M7,$O7,$N7,$P7,$Q7-$C$3,$R7,2)*H7</f>
        <v>#NAME?</v>
      </c>
      <c r="W7" s="250" t="e">
        <f aca="false">+V7+T7</f>
        <v>#NAME?</v>
      </c>
      <c r="X7" s="2" t="str">
        <f aca="false">CONCATENATE(G7,D7)</f>
        <v>37316IF-TRANSCO/Z6</v>
      </c>
      <c r="Y7" s="251" t="n">
        <f aca="false">H7/10000</f>
        <v>-100</v>
      </c>
      <c r="Z7" s="226" t="e">
        <f aca="false">T7/H7</f>
        <v>#NAME?</v>
      </c>
      <c r="AA7" s="226" t="e">
        <f aca="false">xSPRDOPT($L7,$J7,$I7,$M7,$O7,$N7,$P7,$Q7-$C$3,$R7,3)</f>
        <v>#NAME?</v>
      </c>
      <c r="AB7" s="226" t="e">
        <f aca="false">((xSPRDOPT($L7+AB$5,$J7,$I7,$M7,$O7,$N7,$P7,$Q7-$C$3,$R7,3)*$H7)/10000)/100</f>
        <v>#NAME?</v>
      </c>
      <c r="AC7" s="226" t="e">
        <f aca="false">((xSPRDOPT($L7+$AB$5,$J7,$I7,$M7,$O7,$N7,$P7,$Q7-$C$3,$R7,7)*$H7)/100)</f>
        <v>#NAME?</v>
      </c>
      <c r="AD7" s="226" t="e">
        <f aca="false">(xSPRDOPT($L7+$AB$5,$J7,$I7,$M7,$O7,$N7,$P7,$Q7-$C$3,$R7,9)/365)*$H7</f>
        <v>#NAME?</v>
      </c>
      <c r="AE7" s="0" t="e">
        <f aca="false">CD7</f>
        <v>#NAME?</v>
      </c>
      <c r="AF7" s="226" t="e">
        <f aca="false">((O7/N7)*AH7)+AG7</f>
        <v>#NAME?</v>
      </c>
      <c r="AG7" s="226" t="e">
        <f aca="false">((xSPRDOPT($L7,$J7,$I7,$M7,$O7,$N7,$P7,$Q7-$C$3,$R7,6)*$H7)/100)</f>
        <v>#NAME?</v>
      </c>
      <c r="AH7" s="226" t="e">
        <f aca="false">((xSPRDOPT($L7,$J7,$I7,$M7,$O7,$N7,$P7,$Q7-$C$3,$R7,5)*$H7)/100)</f>
        <v>#NAME?</v>
      </c>
      <c r="AI7" s="226" t="e">
        <f aca="false">(((xSPRDOPT($L7,$J7,$I7,$M7,$O7,$N7,$P7,$Q7-$C$3,$R7,4)*$H7)/10000)/100)-AB7</f>
        <v>#NAME?</v>
      </c>
      <c r="AJ7" s="226"/>
      <c r="AK7" s="226"/>
      <c r="AL7" s="226"/>
      <c r="AM7" s="252"/>
      <c r="AN7" s="207" t="n">
        <v>36739</v>
      </c>
      <c r="AO7" s="134" t="n">
        <f aca="false">SUMIF($X:$X,CONCATENATE($AN7,AO$6),$T:$T)/10000</f>
        <v>0</v>
      </c>
      <c r="AP7" s="134" t="n">
        <f aca="false">SUMIF($X:$X,CONCATENATE($AN7,AP$6),$T:$T)/10000</f>
        <v>0</v>
      </c>
      <c r="AQ7" s="134" t="n">
        <f aca="false">SUMIF($X:$X,CONCATENATE($AN7,AQ$6),$T:$T)/10000</f>
        <v>0</v>
      </c>
      <c r="AR7" s="134" t="n">
        <f aca="false">SUMIF($X:$X,CONCATENATE($AN7,AR$6),$T:$T)/10000</f>
        <v>0</v>
      </c>
      <c r="AS7" s="134" t="n">
        <f aca="false">SUMIF($X:$X,CONCATENATE($AN7,AS$6),$T:$T)/10000</f>
        <v>0</v>
      </c>
      <c r="AT7" s="134" t="n">
        <f aca="false">SUMIF($X:$X,CONCATENATE($AN7,AT$6),$T:$T)/10000</f>
        <v>0</v>
      </c>
      <c r="AU7" s="134" t="n">
        <f aca="false">SUMIF($X:$X,CONCATENATE($AN7,AU$6),$T:$T)/10000</f>
        <v>0</v>
      </c>
      <c r="AV7" s="134" t="n">
        <f aca="false">SUMIF($X:$X,CONCATENATE($AN7,AV$6),$T:$T)/10000</f>
        <v>0</v>
      </c>
      <c r="AW7" s="134" t="n">
        <f aca="false">SUMIF($X:$X,CONCATENATE($AN7,AW$6),$T:$T)/10000</f>
        <v>0</v>
      </c>
      <c r="AX7" s="134" t="n">
        <f aca="false">SUMIF($X:$X,CONCATENATE($AN7,AX$6),$T:$T)/10000</f>
        <v>0</v>
      </c>
      <c r="AY7" s="134" t="n">
        <f aca="false">SUMIF($X:$X,CONCATENATE($AN7,AY$6),$T:$T)/10000</f>
        <v>0</v>
      </c>
      <c r="AZ7" s="134" t="n">
        <f aca="false">SUMIF($X:$X,CONCATENATE($AN7,AZ$6),$T:$T)/10000</f>
        <v>0</v>
      </c>
      <c r="BA7" s="135" t="n">
        <f aca="false">SUMIF($X:$X,CONCATENATE($AN7,BA$6),$T:$T)/10000</f>
        <v>0</v>
      </c>
      <c r="BB7" s="207" t="n">
        <f aca="false">AN7</f>
        <v>36739</v>
      </c>
      <c r="BC7" s="135" t="n">
        <f aca="false">SUM(AO7:BA7)</f>
        <v>0</v>
      </c>
      <c r="BD7" s="2"/>
      <c r="BE7" s="207" t="n">
        <f aca="false">AN7</f>
        <v>36739</v>
      </c>
      <c r="BF7" s="134" t="n">
        <f aca="false">SUMIF($X:$X,CONCATENATE($AN7,BF$6),$W:$W)</f>
        <v>0</v>
      </c>
      <c r="BG7" s="134" t="n">
        <f aca="false">SUMIF($X:$X,CONCATENATE($AN7,BG$6),$W:$W)</f>
        <v>0</v>
      </c>
      <c r="BH7" s="134" t="n">
        <f aca="false">SUMIF($X:$X,CONCATENATE($AN7,BH$6),$W:$W)</f>
        <v>0</v>
      </c>
      <c r="BI7" s="134" t="n">
        <f aca="false">SUMIF($X:$X,CONCATENATE($AN7,BI$6),$W:$W)</f>
        <v>0</v>
      </c>
      <c r="BJ7" s="134" t="n">
        <f aca="false">SUMIF($X:$X,CONCATENATE($AN7,BJ$6),$W:$W)</f>
        <v>0</v>
      </c>
      <c r="BK7" s="134" t="n">
        <f aca="false">SUMIF($X:$X,CONCATENATE($AN7,BK$6),$W:$W)</f>
        <v>0</v>
      </c>
      <c r="BL7" s="134" t="n">
        <f aca="false">SUMIF($X:$X,CONCATENATE($AN7,BL$6),$W:$W)</f>
        <v>0</v>
      </c>
      <c r="BM7" s="134" t="n">
        <f aca="false">SUMIF($X:$X,CONCATENATE($AN7,BM$6),$W:$W)</f>
        <v>0</v>
      </c>
      <c r="BN7" s="134" t="n">
        <f aca="false">SUMIF($X:$X,CONCATENATE($AN7,BN$6),$W:$W)</f>
        <v>0</v>
      </c>
      <c r="BO7" s="134" t="n">
        <f aca="false">SUMIF($X:$X,CONCATENATE($AN7,BO$6),$W:$W)</f>
        <v>0</v>
      </c>
      <c r="BP7" s="134" t="n">
        <f aca="false">SUMIF($X:$X,CONCATENATE($AN7,BP$6),$W:$W)</f>
        <v>0</v>
      </c>
      <c r="BQ7" s="134" t="n">
        <f aca="false">SUMIF($X:$X,CONCATENATE($AN7,BQ$6),$W:$W)</f>
        <v>0</v>
      </c>
      <c r="BR7" s="135" t="n">
        <f aca="false">SUMIF($X:$X,CONCATENATE($AN7,BR$6),$W:$W)</f>
        <v>0</v>
      </c>
      <c r="BS7" s="207" t="n">
        <f aca="false">AN7</f>
        <v>36739</v>
      </c>
      <c r="BT7" s="135" t="n">
        <f aca="false">SUM(BF7:BR7)</f>
        <v>0</v>
      </c>
      <c r="BU7" s="2"/>
      <c r="BV7" s="2"/>
      <c r="BW7" s="2"/>
      <c r="BX7" s="2"/>
      <c r="BY7" s="2"/>
      <c r="BZ7" s="2"/>
      <c r="CA7" s="2"/>
      <c r="CB7" s="2"/>
      <c r="CC7" s="182" t="n">
        <f aca="false">G7</f>
        <v>37316</v>
      </c>
      <c r="CD7" s="253" t="e">
        <f aca="false">xSPRDOPT((VLOOKUP(G7,NGPrices,2,FALSE())+HLOOKUP(D7,Prices,VLOOKUP(G7,move_down,2,FALSE()),FALSE())),VLOOKUP(G7,NGPrices,2,FALSE()),I7,VLOOKUP(G7,NGPREVPRICES,4,FALSE()),HLOOKUP(D7,PREVVOLS,VLOOKUP(G7,MOVE_DOWN2,2,FALSE()),FALSE()),VLOOKUP(G7,NGPREVPRICES,3,FALSE()),HLOOKUP(D7,Correllate,VLOOKUP(G7,CorMove,2,FALSE()),FALSE()),Q7-$CD$3,R7,$CD$5)*H7-CJ7</f>
        <v>#NAME?</v>
      </c>
      <c r="CE7" s="253" t="e">
        <f aca="false">xSPRDOPT((VLOOKUP(G7,NGPREVPRICES,2,FALSE())+HLOOKUP(D7,PREVCURVES,VLOOKUP(G7,MOVE_DOWN2,2,FALSE()),FALSE())),VLOOKUP(G7,NGPREVPRICES,2,FALSE()),CK7,VLOOKUP(G7,NGPrices,4,FALSE()),HLOOKUP(D7,PREVVOLS,VLOOKUP(G7,MOVE_DOWN2,2,FALSE()),FALSE()),VLOOKUP(G7,NGPREVPRICES,3,FALSE()),HLOOKUP(D7,Correllate,VLOOKUP(G7,CorMove,2,FALSE()),FALSE()),Q7-$CD$3,R7,$CJ$5)*H7-CJ7</f>
        <v>#NAME?</v>
      </c>
      <c r="CF7" s="132" t="e">
        <f aca="false">(CJ7/VLOOKUP(CC7,discount,3,FALSE()))-(CJ7/VLOOKUP(CC7,discount,2,FALSE()))</f>
        <v>#NAME?</v>
      </c>
      <c r="CG7" s="253" t="e">
        <f aca="false">xSPRDOPT((VLOOKUP(G7,NGPREVPRICES,2,FALSE())+HLOOKUP(D7,PREVCURVES,VLOOKUP(G7,MOVE_DOWN2,2,FALSE()),FALSE())),VLOOKUP(G7,NGPREVPRICES,2,FALSE()),CK7,VLOOKUP(G7,NGPREVPRICES,4,FALSE()),HLOOKUP(D7,VOLS,VLOOKUP(G7,move_down,2,FALSE()),FALSE()),VLOOKUP(G7,NGPrices,3,FALSE()),HLOOKUP(D7,Correllate,VLOOKUP(G7,CorMove,2,FALSE()),FALSE()),Q7-$CD$3,R7,$CJ$5)*H7-CJ7</f>
        <v>#NAME?</v>
      </c>
      <c r="CH7" s="253" t="e">
        <f aca="false">xSPRDOPT((VLOOKUP(G7,NGPREVPRICES,2,FALSE())+HLOOKUP(D7,PREVCURVES,VLOOKUP(G7,MOVE_DOWN2,2,FALSE()),FALSE())),VLOOKUP(G7,NGPREVPRICES,2,FALSE()),CK7,VLOOKUP(G7,NGPREVPRICES,4,FALSE()),HLOOKUP(D7,PREVVOLS,VLOOKUP(G7,MOVE_DOWN2,2,FALSE()),FALSE()),VLOOKUP(G7,NGPREVPRICES,3,FALSE()),HLOOKUP(D7,Correllate,VLOOKUP(G7,CorMove,2,FALSE()),FALSE()),Q7-$C$3,R7,$CJ$5)*H7-CJ7</f>
        <v>#NAME?</v>
      </c>
      <c r="CI7" s="253" t="e">
        <f aca="false">SUM(CD7:CH7)</f>
        <v>#NAME?</v>
      </c>
      <c r="CJ7" s="253" t="e">
        <f aca="false">xSPRDOPT((VLOOKUP(G7,NGPREVPRICES,2,FALSE())+HLOOKUP(D7,PREVCURVES,VLOOKUP(G7,MOVE_DOWN2,2,FALSE()),FALSE())),VLOOKUP(G7,NGPREVPRICES,2,FALSE()),CK7,VLOOKUP(G7,NGPREVPRICES,4,FALSE()),HLOOKUP(D7,PREVVOLS,VLOOKUP(G7,MOVE_DOWN2,2,FALSE()),FALSE()),VLOOKUP(G7,NGPREVPRICES,3,FALSE()),HLOOKUP(D7,Correllate,VLOOKUP(G7,CorMove,2,FALSE()),FALSE()),Q7-$CD$3,R7,$CJ$5)*H7</f>
        <v>#NAME?</v>
      </c>
      <c r="CK7" s="254" t="n">
        <f aca="false">I7</f>
        <v>0.95</v>
      </c>
      <c r="CM7" s="0" t="str">
        <f aca="false">CONCATENATE(CC7,$CD$6)</f>
        <v>37316Curve Shift/Gamma</v>
      </c>
      <c r="CN7" s="0" t="str">
        <f aca="false">CONCATENATE($CC7,$CE$6)</f>
        <v>37316Rho</v>
      </c>
      <c r="CO7" s="0" t="str">
        <f aca="false">CONCATENATE($CC7,$CF$6)</f>
        <v>37316Drift</v>
      </c>
      <c r="CP7" s="0" t="str">
        <f aca="false">CONCATENATE($CC7,$CG$6)</f>
        <v>37316Vega</v>
      </c>
      <c r="CQ7" s="0" t="str">
        <f aca="false">CONCATENATE($CC7,$CH$6)</f>
        <v>37316Theta</v>
      </c>
      <c r="CR7" s="255" t="n">
        <v>36739</v>
      </c>
      <c r="CS7" s="256" t="n">
        <f aca="false">SUMIF($CM$7:$CM$631,CONCATENATE($CR7,$CS$6),$CD$7:$CD$631)</f>
        <v>0</v>
      </c>
      <c r="CT7" s="257" t="n">
        <f aca="false">SUMIF($CN$7:$CN$636,CONCATENATE($CR7,$CT$6),$CE$7:$CE$631)</f>
        <v>0</v>
      </c>
      <c r="CU7" s="257" t="n">
        <f aca="false">SUMIF($CO$7:$CO$636,CONCATENATE($CR7,$CU$6),$CF$7:$CF$631)</f>
        <v>0</v>
      </c>
      <c r="CV7" s="257" t="n">
        <f aca="false">SUMIF($CP$7:$CP$636,CONCATENATE($CR7,$CV$6),$CG$7:$CG$631)</f>
        <v>0</v>
      </c>
      <c r="CW7" s="258" t="n">
        <f aca="false">SUMIF($CQ$7:$CQ$636,CONCATENATE($CR7,$CW$6),$CH$7:$CH$631)</f>
        <v>0</v>
      </c>
      <c r="CX7" s="259" t="n">
        <f aca="false">SUM(CS7:CW7)</f>
        <v>0</v>
      </c>
      <c r="CZ7" s="255" t="n">
        <f aca="false">CR7</f>
        <v>36739</v>
      </c>
      <c r="DA7" s="256" t="n">
        <f aca="false">SUMIF($CC$7:$CC$1008,$CR7,$CD$7:$CD$1008)</f>
        <v>0</v>
      </c>
      <c r="DB7" s="257" t="n">
        <f aca="false">SUMIF($CC$7:$CC$1008,$CR7,$CE$7:$CE$1008)</f>
        <v>0</v>
      </c>
      <c r="DC7" s="257" t="n">
        <f aca="false">SUMIF($CC$7:$CC$1008,$CR7,$CF$7:$CF$1008)</f>
        <v>0</v>
      </c>
      <c r="DD7" s="257" t="n">
        <f aca="false">SUMIF($CC$7:$CC$1008,$CR7,$CG$7:$CG$1008)</f>
        <v>0</v>
      </c>
      <c r="DE7" s="258" t="n">
        <f aca="false">SUMIF($CC$7:$CC$1008,$CR7,$CH$7:$CH$1008)</f>
        <v>0</v>
      </c>
      <c r="DF7" s="259"/>
    </row>
    <row r="8" customFormat="false" ht="12" hidden="false" customHeight="true" outlineLevel="0" collapsed="false">
      <c r="A8" s="119" t="s">
        <v>191</v>
      </c>
      <c r="B8" s="0" t="s">
        <v>192</v>
      </c>
      <c r="C8" s="125" t="s">
        <v>193</v>
      </c>
      <c r="D8" s="7" t="s">
        <v>149</v>
      </c>
      <c r="E8" s="7" t="s">
        <v>131</v>
      </c>
      <c r="F8" s="92" t="s">
        <v>136</v>
      </c>
      <c r="G8" s="92" t="n">
        <v>37288</v>
      </c>
      <c r="H8" s="248" t="n">
        <v>-1000000</v>
      </c>
      <c r="I8" s="7" t="n">
        <v>0.95</v>
      </c>
      <c r="J8" s="124" t="n">
        <f aca="false">VLOOKUP(G8,NGPrices,2,FALSE())</f>
        <v>3.77</v>
      </c>
      <c r="K8" s="125" t="n">
        <f aca="false">HLOOKUP(D8,Prices,VLOOKUP(G8,move_down,2,FALSE()),FALSE())+VLOOKUP(G8,CHANGE,HLOOKUP(D8,CHANGE,2,FALSE()),FALSE())</f>
        <v>1.56</v>
      </c>
      <c r="L8" s="124" t="n">
        <f aca="false">K8+J8</f>
        <v>5.33</v>
      </c>
      <c r="M8" s="126" t="n">
        <f aca="false">VLOOKUP(G8,NGPrices,4,FALSE())</f>
        <v>0.069453688628792</v>
      </c>
      <c r="N8" s="7" t="n">
        <f aca="false">VLOOKUP(G8,NGPrices,3,FALSE())</f>
        <v>0.395</v>
      </c>
      <c r="O8" s="7" t="n">
        <f aca="false">HLOOKUP(D8,VOLS,VLOOKUP(G8,move_down,2,FALSE()),FALSE())</f>
        <v>0.435</v>
      </c>
      <c r="P8" s="249" t="n">
        <f aca="false">HLOOKUP(D8,Correllate,VLOOKUP(G8,CorMove,2,FALSE()),FALSE())</f>
        <v>0.95</v>
      </c>
      <c r="Q8" s="92" t="n">
        <f aca="false">WORKDAY(G8,-2)</f>
        <v>37286</v>
      </c>
      <c r="R8" s="7" t="n">
        <f aca="false">IF(F8="P",0,1)</f>
        <v>1</v>
      </c>
      <c r="S8" s="130" t="e">
        <f aca="false">xSPRDOPT($L8,$J8,$I8,$M8,$O8,$N8,$P8,$Q8-$C$3,$R8,0)</f>
        <v>#NAME?</v>
      </c>
      <c r="T8" s="250" t="e">
        <f aca="false">xSPRDOPT($L8,$J8,$I8,$M8,$O8,$N8,$P8,$Q8-$C$3,$R8,1)*H8</f>
        <v>#NAME?</v>
      </c>
      <c r="U8" s="43" t="e">
        <f aca="false">S8*H8</f>
        <v>#NAME?</v>
      </c>
      <c r="V8" s="250" t="e">
        <f aca="false">xSPRDOPT($L8,$J8,$I8,$M8,$O8,$N8,$P8,$Q8-$C$3,$R8,2)*H8</f>
        <v>#NAME?</v>
      </c>
      <c r="W8" s="250" t="e">
        <f aca="false">+V8+T8</f>
        <v>#NAME?</v>
      </c>
      <c r="X8" s="2" t="str">
        <f aca="false">CONCATENATE(G8,D8)</f>
        <v>37288IF-TRANSCO/Z6</v>
      </c>
      <c r="Y8" s="251" t="n">
        <f aca="false">H8/10000</f>
        <v>-100</v>
      </c>
      <c r="Z8" s="226" t="e">
        <f aca="false">T8/H8</f>
        <v>#NAME?</v>
      </c>
      <c r="AA8" s="226" t="e">
        <f aca="false">xSPRDOPT($L8,$J8,$I8,$M8,$O8,$N8,$P8,$Q8-$C$3,$R8,3)</f>
        <v>#NAME?</v>
      </c>
      <c r="AB8" s="226" t="e">
        <f aca="false">((xSPRDOPT($L8+AB$5,$J8,$I8,$M8,$O8,$N8,$P8,$Q8-$C$3,$R8,3)*$H8)/10000)/100</f>
        <v>#NAME?</v>
      </c>
      <c r="AC8" s="226" t="e">
        <f aca="false">((xSPRDOPT($L8+$AB$5,$J8,$I8,$M8,$O8,$N8,$P8,$Q8-$C$3,$R8,7)*$H8)/100)</f>
        <v>#NAME?</v>
      </c>
      <c r="AD8" s="226" t="e">
        <f aca="false">(xSPRDOPT($L8+$AB$5,$J8,$I8,$M8,$O8,$N8,$P8,$Q8-$C$3,$R8,9)/365)*$H8</f>
        <v>#NAME?</v>
      </c>
      <c r="AE8" s="0" t="e">
        <f aca="false">CD8</f>
        <v>#NAME?</v>
      </c>
      <c r="AF8" s="226" t="e">
        <f aca="false">((O8/N8)*AH8)+AG8</f>
        <v>#NAME?</v>
      </c>
      <c r="AG8" s="226" t="e">
        <f aca="false">((xSPRDOPT($L8,$J8,$I8,$M8,$O8,$N8,$P8,$Q8-$C$3,$R8,6)*$H8)/100)</f>
        <v>#NAME?</v>
      </c>
      <c r="AH8" s="226" t="e">
        <f aca="false">((xSPRDOPT($L8,$J8,$I8,$M8,$O8,$N8,$P8,$Q8-$C$3,$R8,5)*$H8)/100)</f>
        <v>#NAME?</v>
      </c>
      <c r="AI8" s="226" t="e">
        <f aca="false">(((xSPRDOPT($L8,$J8,$I8,$M8,$O8,$N8,$P8,$Q8-$C$3,$R8,4)*$H8)/10000)/100)-AB8</f>
        <v>#NAME?</v>
      </c>
      <c r="AJ8" s="226"/>
      <c r="AK8" s="226"/>
      <c r="AL8" s="226"/>
      <c r="AM8" s="252"/>
      <c r="AN8" s="208" t="n">
        <f aca="false">EOMONTH(AN7,0)+1</f>
        <v>36770</v>
      </c>
      <c r="AO8" s="134" t="e">
        <f aca="false">SUMIF($X:$X,CONCATENATE($AN8,AO$6),$T:$T)/10000</f>
        <v>#NAME?</v>
      </c>
      <c r="AP8" s="134" t="e">
        <f aca="false">SUMIF($X:$X,CONCATENATE($AN8,AP$6),$T:$T)/10000</f>
        <v>#NAME?</v>
      </c>
      <c r="AQ8" s="134" t="e">
        <f aca="false">SUMIF($X:$X,CONCATENATE($AN8,AQ$6),$T:$T)/10000</f>
        <v>#NAME?</v>
      </c>
      <c r="AR8" s="134" t="n">
        <f aca="false">SUMIF($X:$X,CONCATENATE($AN8,AR$6),$T:$T)/10000</f>
        <v>0</v>
      </c>
      <c r="AS8" s="134" t="n">
        <f aca="false">SUMIF($X:$X,CONCATENATE($AN8,AS$6),$T:$T)/10000</f>
        <v>0</v>
      </c>
      <c r="AT8" s="134" t="e">
        <f aca="false">SUMIF($X:$X,CONCATENATE($AN8,AT$6),$T:$T)/10000</f>
        <v>#NAME?</v>
      </c>
      <c r="AU8" s="134" t="e">
        <f aca="false">SUMIF($X:$X,CONCATENATE($AN8,AU$6),$T:$T)/10000</f>
        <v>#NAME?</v>
      </c>
      <c r="AV8" s="134" t="n">
        <f aca="false">SUMIF($X:$X,CONCATENATE($AN8,AV$6),$T:$T)/10000</f>
        <v>0</v>
      </c>
      <c r="AW8" s="134" t="e">
        <f aca="false">SUMIF($X:$X,CONCATENATE($AN8,AW$6),$T:$T)/10000</f>
        <v>#NAME?</v>
      </c>
      <c r="AX8" s="134" t="n">
        <f aca="false">SUMIF($X:$X,CONCATENATE($AN8,AX$6),$T:$T)/10000</f>
        <v>0</v>
      </c>
      <c r="AY8" s="134" t="n">
        <f aca="false">SUMIF($X:$X,CONCATENATE($AN8,AY$6),$T:$T)/10000</f>
        <v>0</v>
      </c>
      <c r="AZ8" s="134" t="n">
        <f aca="false">SUMIF($X:$X,CONCATENATE($AN8,AZ$6),$T:$T)/10000</f>
        <v>0</v>
      </c>
      <c r="BA8" s="135" t="n">
        <f aca="false">SUMIF($X:$X,CONCATENATE($AN8,BA$6),$T:$T)/10000</f>
        <v>0</v>
      </c>
      <c r="BB8" s="208" t="n">
        <f aca="false">EOMONTH(BB7,0)+1</f>
        <v>36770</v>
      </c>
      <c r="BC8" s="135" t="e">
        <f aca="false">SUM(AO8:BA8)</f>
        <v>#NAME?</v>
      </c>
      <c r="BD8" s="2"/>
      <c r="BE8" s="208" t="n">
        <f aca="false">EOMONTH(BE7,0)+1</f>
        <v>36770</v>
      </c>
      <c r="BF8" s="134" t="e">
        <f aca="false">SUMIF($X:$X,CONCATENATE($AN8,BF$6),$W:$W)</f>
        <v>#NAME?</v>
      </c>
      <c r="BG8" s="134" t="e">
        <f aca="false">SUMIF($X:$X,CONCATENATE($AN8,BG$6),$W:$W)</f>
        <v>#NAME?</v>
      </c>
      <c r="BH8" s="134" t="e">
        <f aca="false">SUMIF($X:$X,CONCATENATE($AN8,BH$6),$W:$W)</f>
        <v>#NAME?</v>
      </c>
      <c r="BI8" s="134" t="n">
        <f aca="false">SUMIF($X:$X,CONCATENATE($AN8,BI$6),$W:$W)</f>
        <v>0</v>
      </c>
      <c r="BJ8" s="134" t="n">
        <f aca="false">SUMIF($X:$X,CONCATENATE($AN8,BJ$6),$W:$W)</f>
        <v>0</v>
      </c>
      <c r="BK8" s="134" t="e">
        <f aca="false">SUMIF($X:$X,CONCATENATE($AN8,BK$6),$W:$W)</f>
        <v>#NAME?</v>
      </c>
      <c r="BL8" s="134" t="e">
        <f aca="false">SUMIF($X:$X,CONCATENATE($AN8,BL$6),$W:$W)</f>
        <v>#NAME?</v>
      </c>
      <c r="BM8" s="134" t="n">
        <f aca="false">SUMIF($X:$X,CONCATENATE($AN8,BM$6),$W:$W)</f>
        <v>0</v>
      </c>
      <c r="BN8" s="134" t="e">
        <f aca="false">SUMIF($X:$X,CONCATENATE($AN8,BN$6),$W:$W)</f>
        <v>#NAME?</v>
      </c>
      <c r="BO8" s="134" t="n">
        <f aca="false">SUMIF($X:$X,CONCATENATE($AN8,BO$6),$W:$W)</f>
        <v>0</v>
      </c>
      <c r="BP8" s="134" t="n">
        <f aca="false">SUMIF($X:$X,CONCATENATE($AN8,BP$6),$W:$W)</f>
        <v>0</v>
      </c>
      <c r="BQ8" s="134" t="n">
        <f aca="false">SUMIF($X:$X,CONCATENATE($AN8,BQ$6),$W:$W)</f>
        <v>0</v>
      </c>
      <c r="BR8" s="135" t="n">
        <f aca="false">SUMIF($X:$X,CONCATENATE($AN8,BR$6),$W:$W)</f>
        <v>0</v>
      </c>
      <c r="BS8" s="208" t="n">
        <f aca="false">EOMONTH(BS7,0)+1</f>
        <v>36770</v>
      </c>
      <c r="BT8" s="135" t="e">
        <f aca="false">SUM(BF8:BR8)</f>
        <v>#NAME?</v>
      </c>
      <c r="BU8" s="260" t="e">
        <f aca="false">BT8/10000</f>
        <v>#NAME?</v>
      </c>
      <c r="BV8" s="2"/>
      <c r="BW8" s="2"/>
      <c r="BX8" s="2"/>
      <c r="BY8" s="2"/>
      <c r="BZ8" s="2"/>
      <c r="CA8" s="2"/>
      <c r="CB8" s="2"/>
      <c r="CC8" s="182" t="n">
        <f aca="false">G8</f>
        <v>37288</v>
      </c>
      <c r="CD8" s="253" t="e">
        <f aca="false">xSPRDOPT((VLOOKUP(G8,NGPrices,2,FALSE())+HLOOKUP(D8,Prices,VLOOKUP(G8,move_down,2,FALSE()),FALSE())),VLOOKUP(G8,NGPrices,2,FALSE()),I8,VLOOKUP(G8,NGPREVPRICES,4,FALSE()),HLOOKUP(D8,PREVVOLS,VLOOKUP(G8,MOVE_DOWN2,2,FALSE()),FALSE()),VLOOKUP(G8,NGPREVPRICES,3,FALSE()),HLOOKUP(D8,Correllate,VLOOKUP(G8,CorMove,2,FALSE()),FALSE()),Q8-$CD$3,R8,$CD$5)*H8-CJ8</f>
        <v>#NAME?</v>
      </c>
      <c r="CE8" s="253" t="e">
        <f aca="false">xSPRDOPT((VLOOKUP(G8,NGPREVPRICES,2,FALSE())+HLOOKUP(D8,PREVCURVES,VLOOKUP(G8,MOVE_DOWN2,2,FALSE()),FALSE())),VLOOKUP(G8,NGPREVPRICES,2,FALSE()),CK8,VLOOKUP(G8,NGPrices,4,FALSE()),HLOOKUP(D8,PREVVOLS,VLOOKUP(G8,MOVE_DOWN2,2,FALSE()),FALSE()),VLOOKUP(G8,NGPREVPRICES,3,FALSE()),HLOOKUP(D8,Correllate,VLOOKUP(G8,CorMove,2,FALSE()),FALSE()),Q8-$CD$3,R8,$CJ$5)*H8-CJ8</f>
        <v>#NAME?</v>
      </c>
      <c r="CF8" s="132" t="e">
        <f aca="false">(CJ8/VLOOKUP(CC8,discount,3,FALSE()))-(CJ8/VLOOKUP(CC8,discount,2,FALSE()))</f>
        <v>#NAME?</v>
      </c>
      <c r="CG8" s="253" t="e">
        <f aca="false">xSPRDOPT((VLOOKUP(G8,NGPREVPRICES,2,FALSE())+HLOOKUP(D8,PREVCURVES,VLOOKUP(G8,MOVE_DOWN2,2,FALSE()),FALSE())),VLOOKUP(G8,NGPREVPRICES,2,FALSE()),CK8,VLOOKUP(G8,NGPREVPRICES,4,FALSE()),HLOOKUP(D8,VOLS,VLOOKUP(G8,move_down,2,FALSE()),FALSE()),VLOOKUP(G8,NGPrices,3,FALSE()),HLOOKUP(D8,Correllate,VLOOKUP(G8,CorMove,2,FALSE()),FALSE()),Q8-$CD$3,R8,$CJ$5)*H8-CJ8</f>
        <v>#NAME?</v>
      </c>
      <c r="CH8" s="253" t="e">
        <f aca="false">xSPRDOPT((VLOOKUP(G8,NGPREVPRICES,2,FALSE())+HLOOKUP(D8,PREVCURVES,VLOOKUP(G8,MOVE_DOWN2,2,FALSE()),FALSE())),VLOOKUP(G8,NGPREVPRICES,2,FALSE()),CK8,VLOOKUP(G8,NGPREVPRICES,4,FALSE()),HLOOKUP(D8,PREVVOLS,VLOOKUP(G8,MOVE_DOWN2,2,FALSE()),FALSE()),VLOOKUP(G8,NGPREVPRICES,3,FALSE()),HLOOKUP(D8,Correllate,VLOOKUP(G8,CorMove,2,FALSE()),FALSE()),Q8-$C$3,R8,$CJ$5)*H8-CJ8</f>
        <v>#NAME?</v>
      </c>
      <c r="CI8" s="253" t="e">
        <f aca="false">SUM(CD8:CH8)</f>
        <v>#NAME?</v>
      </c>
      <c r="CJ8" s="253" t="e">
        <f aca="false">xSPRDOPT((VLOOKUP(G8,NGPREVPRICES,2,FALSE())+HLOOKUP(D8,PREVCURVES,VLOOKUP(G8,MOVE_DOWN2,2,FALSE()),FALSE())),VLOOKUP(G8,NGPREVPRICES,2,FALSE()),CK8,VLOOKUP(G8,NGPREVPRICES,4,FALSE()),HLOOKUP(D8,PREVVOLS,VLOOKUP(G8,MOVE_DOWN2,2,FALSE()),FALSE()),VLOOKUP(G8,NGPREVPRICES,3,FALSE()),HLOOKUP(D8,Correllate,VLOOKUP(G8,CorMove,2,FALSE()),FALSE()),Q8-$CD$3,R8,$CJ$5)*H8</f>
        <v>#NAME?</v>
      </c>
      <c r="CK8" s="254" t="n">
        <f aca="false">I8</f>
        <v>0.95</v>
      </c>
      <c r="CM8" s="0" t="str">
        <f aca="false">CONCATENATE(CC8,$CD$6)</f>
        <v>37288Curve Shift/Gamma</v>
      </c>
      <c r="CN8" s="0" t="str">
        <f aca="false">CONCATENATE($CC8,$CE$6)</f>
        <v>37288Rho</v>
      </c>
      <c r="CO8" s="0" t="str">
        <f aca="false">CONCATENATE($CC8,$CF$6)</f>
        <v>37288Drift</v>
      </c>
      <c r="CP8" s="0" t="str">
        <f aca="false">CONCATENATE($CC8,$CG$6)</f>
        <v>37288Vega</v>
      </c>
      <c r="CQ8" s="0" t="str">
        <f aca="false">CONCATENATE($CC8,$CH$6)</f>
        <v>37288Theta</v>
      </c>
      <c r="CR8" s="255" t="n">
        <f aca="false">EOMONTH(CR7,0)+1</f>
        <v>36770</v>
      </c>
      <c r="CS8" s="261" t="e">
        <f aca="false">SUMIF($CM$7:$CM$631,CONCATENATE($CR8,$CS$6),$CD$7:$CD$631)</f>
        <v>#NAME?</v>
      </c>
      <c r="CT8" s="262" t="e">
        <f aca="false">SUMIF($CN$7:$CN$636,CONCATENATE($CR8,$CT$6),$CE$7:$CE$631)</f>
        <v>#NAME?</v>
      </c>
      <c r="CU8" s="262" t="e">
        <f aca="false">SUMIF($CO$7:$CO$636,CONCATENATE($CR8,$CU$6),$CF$7:$CF$631)</f>
        <v>#NAME?</v>
      </c>
      <c r="CV8" s="262" t="e">
        <f aca="false">SUMIF($CP$7:$CP$636,CONCATENATE($CR8,$CV$6),$CG$7:$CG$631)</f>
        <v>#NAME?</v>
      </c>
      <c r="CW8" s="263" t="e">
        <f aca="false">SUMIF($CQ$7:$CQ$636,CONCATENATE($CR8,$CW$6),$CH$7:$CH$631)</f>
        <v>#NAME?</v>
      </c>
      <c r="CX8" s="264" t="e">
        <f aca="false">SUM(CS8:CW8)</f>
        <v>#NAME?</v>
      </c>
      <c r="CZ8" s="255" t="n">
        <f aca="false">CR8</f>
        <v>36770</v>
      </c>
      <c r="DA8" s="261" t="e">
        <f aca="false">SUMIF($CC$7:$CC$1008,$CR8,$CD$7:$CD$1008)</f>
        <v>#NAME?</v>
      </c>
      <c r="DB8" s="262" t="e">
        <f aca="false">SUMIF($CC$7:$CC$1008,$CR8,$CE$7:$CE$1008)</f>
        <v>#NAME?</v>
      </c>
      <c r="DC8" s="262" t="e">
        <f aca="false">SUMIF($CC$7:$CC$1008,$CR8,$CF$7:$CF$1008)</f>
        <v>#NAME?</v>
      </c>
      <c r="DD8" s="262" t="e">
        <f aca="false">SUMIF($CC$7:$CC$1008,$CR8,$CG$7:$CG$1008)</f>
        <v>#NAME?</v>
      </c>
      <c r="DE8" s="263" t="e">
        <f aca="false">SUMIF($CC$7:$CC$1008,$CR8,$CH$7:$CH$1008)</f>
        <v>#NAME?</v>
      </c>
      <c r="DF8" s="264" t="e">
        <f aca="false">SUM(DA8:DE8)</f>
        <v>#NAME?</v>
      </c>
    </row>
    <row r="9" customFormat="false" ht="12" hidden="false" customHeight="true" outlineLevel="0" collapsed="false">
      <c r="A9" s="17" t="s">
        <v>191</v>
      </c>
      <c r="B9" s="0" t="s">
        <v>192</v>
      </c>
      <c r="C9" s="125" t="s">
        <v>193</v>
      </c>
      <c r="D9" s="7" t="s">
        <v>149</v>
      </c>
      <c r="E9" s="7" t="s">
        <v>131</v>
      </c>
      <c r="F9" s="92" t="s">
        <v>136</v>
      </c>
      <c r="G9" s="92" t="n">
        <v>37257</v>
      </c>
      <c r="H9" s="248" t="n">
        <v>-1000000</v>
      </c>
      <c r="I9" s="7" t="n">
        <v>0.95</v>
      </c>
      <c r="J9" s="124" t="n">
        <f aca="false">VLOOKUP(G9,NGPrices,2,FALSE())</f>
        <v>3.94</v>
      </c>
      <c r="K9" s="125" t="n">
        <f aca="false">HLOOKUP(D9,Prices,VLOOKUP(G9,move_down,2,FALSE()),FALSE())+VLOOKUP(G9,CHANGE,HLOOKUP(D9,CHANGE,2,FALSE()),FALSE())</f>
        <v>1.56</v>
      </c>
      <c r="L9" s="124" t="n">
        <f aca="false">K9+J9</f>
        <v>5.5</v>
      </c>
      <c r="M9" s="126" t="n">
        <f aca="false">VLOOKUP(G9,NGPrices,4,FALSE())</f>
        <v>0.069402566234751</v>
      </c>
      <c r="N9" s="7" t="n">
        <f aca="false">VLOOKUP(G9,NGPrices,3,FALSE())</f>
        <v>0.4125</v>
      </c>
      <c r="O9" s="7" t="n">
        <f aca="false">HLOOKUP(D9,VOLS,VLOOKUP(G9,move_down,2,FALSE()),FALSE())</f>
        <v>0.454</v>
      </c>
      <c r="P9" s="249" t="n">
        <f aca="false">HLOOKUP(D9,Correllate,VLOOKUP(G9,CorMove,2,FALSE()),FALSE())</f>
        <v>0.95</v>
      </c>
      <c r="Q9" s="92" t="n">
        <f aca="false">WORKDAY(G9,-2)</f>
        <v>37253</v>
      </c>
      <c r="R9" s="7" t="n">
        <f aca="false">IF(F9="P",0,1)</f>
        <v>1</v>
      </c>
      <c r="S9" s="130" t="e">
        <f aca="false">xSPRDOPT($L9,$J9,$I9,$M9,$O9,$N9,$P9,$Q9-$C$3,$R9,0)</f>
        <v>#NAME?</v>
      </c>
      <c r="T9" s="250" t="e">
        <f aca="false">xSPRDOPT($L9,$J9,$I9,$M9,$O9,$N9,$P9,$Q9-$C$3,$R9,1)*H9</f>
        <v>#NAME?</v>
      </c>
      <c r="U9" s="43" t="e">
        <f aca="false">S9*H9</f>
        <v>#NAME?</v>
      </c>
      <c r="V9" s="250" t="e">
        <f aca="false">xSPRDOPT($L9,$J9,$I9,$M9,$O9,$N9,$P9,$Q9-$C$3,$R9,2)*H9</f>
        <v>#NAME?</v>
      </c>
      <c r="W9" s="250" t="e">
        <f aca="false">+V9+T9</f>
        <v>#NAME?</v>
      </c>
      <c r="X9" s="2" t="str">
        <f aca="false">CONCATENATE(G9,D9)</f>
        <v>37257IF-TRANSCO/Z6</v>
      </c>
      <c r="Y9" s="251" t="n">
        <f aca="false">H9/10000</f>
        <v>-100</v>
      </c>
      <c r="Z9" s="226" t="e">
        <f aca="false">T9/H9</f>
        <v>#NAME?</v>
      </c>
      <c r="AA9" s="226" t="e">
        <f aca="false">xSPRDOPT($L9,$J9,$I9,$M9,$O9,$N9,$P9,$Q9-$C$3,$R9,3)</f>
        <v>#NAME?</v>
      </c>
      <c r="AB9" s="226" t="e">
        <f aca="false">((xSPRDOPT($L9+AB$5,$J9,$I9,$M9,$O9,$N9,$P9,$Q9-$C$3,$R9,3)*$H9)/10000)/100</f>
        <v>#NAME?</v>
      </c>
      <c r="AC9" s="226" t="e">
        <f aca="false">((xSPRDOPT($L9+$AB$5,$J9,$I9,$M9,$O9,$N9,$P9,$Q9-$C$3,$R9,7)*$H9)/100)</f>
        <v>#NAME?</v>
      </c>
      <c r="AD9" s="226" t="e">
        <f aca="false">(xSPRDOPT($L9+$AB$5,$J9,$I9,$M9,$O9,$N9,$P9,$Q9-$C$3,$R9,9)/365)*$H9</f>
        <v>#NAME?</v>
      </c>
      <c r="AE9" s="0" t="e">
        <f aca="false">CD9</f>
        <v>#NAME?</v>
      </c>
      <c r="AF9" s="226" t="e">
        <f aca="false">((O9/N9)*AH9)+AG9</f>
        <v>#NAME?</v>
      </c>
      <c r="AG9" s="226" t="e">
        <f aca="false">((xSPRDOPT($L9,$J9,$I9,$M9,$O9,$N9,$P9,$Q9-$C$3,$R9,6)*$H9)/100)</f>
        <v>#NAME?</v>
      </c>
      <c r="AH9" s="226" t="e">
        <f aca="false">((xSPRDOPT($L9,$J9,$I9,$M9,$O9,$N9,$P9,$Q9-$C$3,$R9,5)*$H9)/100)</f>
        <v>#NAME?</v>
      </c>
      <c r="AI9" s="226" t="e">
        <f aca="false">(((xSPRDOPT($L9,$J9,$I9,$M9,$O9,$N9,$P9,$Q9-$C$3,$R9,4)*$H9)/10000)/100)-AB9</f>
        <v>#NAME?</v>
      </c>
      <c r="AJ9" s="226"/>
      <c r="AK9" s="226"/>
      <c r="AL9" s="226"/>
      <c r="AM9" s="252"/>
      <c r="AN9" s="208" t="n">
        <f aca="false">EOMONTH(AN8,0)+1</f>
        <v>36800</v>
      </c>
      <c r="AO9" s="134" t="e">
        <f aca="false">SUMIF($X:$X,CONCATENATE($AN9,AO$6),$T:$T)/10000</f>
        <v>#NAME?</v>
      </c>
      <c r="AP9" s="134" t="e">
        <f aca="false">SUMIF($X:$X,CONCATENATE($AN9,AP$6),$T:$T)/10000</f>
        <v>#NAME?</v>
      </c>
      <c r="AQ9" s="134" t="e">
        <f aca="false">SUMIF($X:$X,CONCATENATE($AN9,AQ$6),$T:$T)/10000</f>
        <v>#NAME?</v>
      </c>
      <c r="AR9" s="134" t="n">
        <f aca="false">SUMIF($X:$X,CONCATENATE($AN9,AR$6),$T:$T)/10000</f>
        <v>0</v>
      </c>
      <c r="AS9" s="134" t="n">
        <f aca="false">SUMIF($X:$X,CONCATENATE($AN9,AS$6),$T:$T)/10000</f>
        <v>0</v>
      </c>
      <c r="AT9" s="134" t="e">
        <f aca="false">SUMIF($X:$X,CONCATENATE($AN9,AT$6),$T:$T)/10000</f>
        <v>#NAME?</v>
      </c>
      <c r="AU9" s="134" t="e">
        <f aca="false">SUMIF($X:$X,CONCATENATE($AN9,AU$6),$T:$T)/10000</f>
        <v>#NAME?</v>
      </c>
      <c r="AV9" s="134" t="n">
        <f aca="false">SUMIF($X:$X,CONCATENATE($AN9,AV$6),$T:$T)/10000</f>
        <v>0</v>
      </c>
      <c r="AW9" s="134" t="e">
        <f aca="false">SUMIF($X:$X,CONCATENATE($AN9,AW$6),$T:$T)/10000</f>
        <v>#NAME?</v>
      </c>
      <c r="AX9" s="134" t="n">
        <f aca="false">SUMIF($X:$X,CONCATENATE($AN9,AX$6),$T:$T)/10000</f>
        <v>0</v>
      </c>
      <c r="AY9" s="134" t="n">
        <f aca="false">SUMIF($X:$X,CONCATENATE($AN9,AY$6),$T:$T)/10000</f>
        <v>0</v>
      </c>
      <c r="AZ9" s="134" t="n">
        <f aca="false">SUMIF($X:$X,CONCATENATE($AN9,AZ$6),$T:$T)/10000</f>
        <v>0</v>
      </c>
      <c r="BA9" s="135" t="n">
        <f aca="false">SUMIF($X:$X,CONCATENATE($AN9,BA$6),$T:$T)/10000</f>
        <v>0</v>
      </c>
      <c r="BB9" s="208" t="n">
        <f aca="false">EOMONTH(BB8,0)+1</f>
        <v>36800</v>
      </c>
      <c r="BC9" s="135" t="e">
        <f aca="false">SUM(AO9:BA9)</f>
        <v>#NAME?</v>
      </c>
      <c r="BD9" s="2"/>
      <c r="BE9" s="208" t="n">
        <f aca="false">EOMONTH(BE8,0)+1</f>
        <v>36800</v>
      </c>
      <c r="BF9" s="134" t="e">
        <f aca="false">SUMIF($X:$X,CONCATENATE($AN9,BF$6),$W:$W)</f>
        <v>#NAME?</v>
      </c>
      <c r="BG9" s="134" t="e">
        <f aca="false">SUMIF($X:$X,CONCATENATE($AN9,BG$6),$W:$W)</f>
        <v>#NAME?</v>
      </c>
      <c r="BH9" s="134" t="e">
        <f aca="false">SUMIF($X:$X,CONCATENATE($AN9,BH$6),$W:$W)</f>
        <v>#NAME?</v>
      </c>
      <c r="BI9" s="134" t="n">
        <f aca="false">SUMIF($X:$X,CONCATENATE($AN9,BI$6),$W:$W)</f>
        <v>0</v>
      </c>
      <c r="BJ9" s="134" t="n">
        <f aca="false">SUMIF($X:$X,CONCATENATE($AN9,BJ$6),$W:$W)</f>
        <v>0</v>
      </c>
      <c r="BK9" s="134" t="e">
        <f aca="false">SUMIF($X:$X,CONCATENATE($AN9,BK$6),$W:$W)</f>
        <v>#NAME?</v>
      </c>
      <c r="BL9" s="134" t="e">
        <f aca="false">SUMIF($X:$X,CONCATENATE($AN9,BL$6),$W:$W)</f>
        <v>#NAME?</v>
      </c>
      <c r="BM9" s="134" t="n">
        <f aca="false">SUMIF($X:$X,CONCATENATE($AN9,BM$6),$W:$W)</f>
        <v>0</v>
      </c>
      <c r="BN9" s="134" t="e">
        <f aca="false">SUMIF($X:$X,CONCATENATE($AN9,BN$6),$W:$W)</f>
        <v>#NAME?</v>
      </c>
      <c r="BO9" s="134" t="n">
        <f aca="false">SUMIF($X:$X,CONCATENATE($AN9,BO$6),$W:$W)</f>
        <v>0</v>
      </c>
      <c r="BP9" s="134" t="n">
        <f aca="false">SUMIF($X:$X,CONCATENATE($AN9,BP$6),$W:$W)</f>
        <v>0</v>
      </c>
      <c r="BQ9" s="134" t="n">
        <f aca="false">SUMIF($X:$X,CONCATENATE($AN9,BQ$6),$W:$W)</f>
        <v>0</v>
      </c>
      <c r="BR9" s="135" t="n">
        <f aca="false">SUMIF($X:$X,CONCATENATE($AN9,BR$6),$W:$W)</f>
        <v>0</v>
      </c>
      <c r="BS9" s="208" t="n">
        <f aca="false">EOMONTH(BS8,0)+1</f>
        <v>36800</v>
      </c>
      <c r="BT9" s="135" t="e">
        <f aca="false">SUM(BF9:BR9)</f>
        <v>#NAME?</v>
      </c>
      <c r="BU9" s="260" t="e">
        <f aca="false">BT9/10000</f>
        <v>#NAME?</v>
      </c>
      <c r="BV9" s="2"/>
      <c r="BW9" s="2"/>
      <c r="BX9" s="2"/>
      <c r="BY9" s="2"/>
      <c r="BZ9" s="2"/>
      <c r="CA9" s="2"/>
      <c r="CB9" s="2"/>
      <c r="CC9" s="182" t="n">
        <f aca="false">G9</f>
        <v>37257</v>
      </c>
      <c r="CD9" s="253" t="e">
        <f aca="false">xSPRDOPT((VLOOKUP(G9,NGPrices,2,FALSE())+HLOOKUP(D9,Prices,VLOOKUP(G9,move_down,2,FALSE()),FALSE())),VLOOKUP(G9,NGPrices,2,FALSE()),I9,VLOOKUP(G9,NGPREVPRICES,4,FALSE()),HLOOKUP(D9,PREVVOLS,VLOOKUP(G9,MOVE_DOWN2,2,FALSE()),FALSE()),VLOOKUP(G9,NGPREVPRICES,3,FALSE()),HLOOKUP(D9,Correllate,VLOOKUP(G9,CorMove,2,FALSE()),FALSE()),Q9-$CD$3,R9,$CD$5)*H9-CJ9</f>
        <v>#NAME?</v>
      </c>
      <c r="CE9" s="253" t="e">
        <f aca="false">xSPRDOPT((VLOOKUP(G9,NGPREVPRICES,2,FALSE())+HLOOKUP(D9,PREVCURVES,VLOOKUP(G9,MOVE_DOWN2,2,FALSE()),FALSE())),VLOOKUP(G9,NGPREVPRICES,2,FALSE()),CK9,VLOOKUP(G9,NGPrices,4,FALSE()),HLOOKUP(D9,PREVVOLS,VLOOKUP(G9,MOVE_DOWN2,2,FALSE()),FALSE()),VLOOKUP(G9,NGPREVPRICES,3,FALSE()),HLOOKUP(D9,Correllate,VLOOKUP(G9,CorMove,2,FALSE()),FALSE()),Q9-$CD$3,R9,$CJ$5)*H9-CJ9</f>
        <v>#NAME?</v>
      </c>
      <c r="CF9" s="132" t="e">
        <f aca="false">(CJ9/VLOOKUP(CC9,discount,3,FALSE()))-(CJ9/VLOOKUP(CC9,discount,2,FALSE()))</f>
        <v>#NAME?</v>
      </c>
      <c r="CG9" s="253" t="e">
        <f aca="false">xSPRDOPT((VLOOKUP(G9,NGPREVPRICES,2,FALSE())+HLOOKUP(D9,PREVCURVES,VLOOKUP(G9,MOVE_DOWN2,2,FALSE()),FALSE())),VLOOKUP(G9,NGPREVPRICES,2,FALSE()),CK9,VLOOKUP(G9,NGPREVPRICES,4,FALSE()),HLOOKUP(D9,VOLS,VLOOKUP(G9,move_down,2,FALSE()),FALSE()),VLOOKUP(G9,NGPrices,3,FALSE()),HLOOKUP(D9,Correllate,VLOOKUP(G9,CorMove,2,FALSE()),FALSE()),Q9-$CD$3,R9,$CJ$5)*H9-CJ9</f>
        <v>#NAME?</v>
      </c>
      <c r="CH9" s="253" t="e">
        <f aca="false">xSPRDOPT((VLOOKUP(G9,NGPREVPRICES,2,FALSE())+HLOOKUP(D9,PREVCURVES,VLOOKUP(G9,MOVE_DOWN2,2,FALSE()),FALSE())),VLOOKUP(G9,NGPREVPRICES,2,FALSE()),CK9,VLOOKUP(G9,NGPREVPRICES,4,FALSE()),HLOOKUP(D9,PREVVOLS,VLOOKUP(G9,MOVE_DOWN2,2,FALSE()),FALSE()),VLOOKUP(G9,NGPREVPRICES,3,FALSE()),HLOOKUP(D9,Correllate,VLOOKUP(G9,CorMove,2,FALSE()),FALSE()),Q9-$C$3,R9,$CJ$5)*H9-CJ9</f>
        <v>#NAME?</v>
      </c>
      <c r="CI9" s="253" t="e">
        <f aca="false">SUM(CD9:CH9)</f>
        <v>#NAME?</v>
      </c>
      <c r="CJ9" s="253" t="e">
        <f aca="false">xSPRDOPT((VLOOKUP(G9,NGPREVPRICES,2,FALSE())+HLOOKUP(D9,PREVCURVES,VLOOKUP(G9,MOVE_DOWN2,2,FALSE()),FALSE())),VLOOKUP(G9,NGPREVPRICES,2,FALSE()),CK9,VLOOKUP(G9,NGPREVPRICES,4,FALSE()),HLOOKUP(D9,PREVVOLS,VLOOKUP(G9,MOVE_DOWN2,2,FALSE()),FALSE()),VLOOKUP(G9,NGPREVPRICES,3,FALSE()),HLOOKUP(D9,Correllate,VLOOKUP(G9,CorMove,2,FALSE()),FALSE()),Q9-$CD$3,R9,$CJ$5)*H9</f>
        <v>#NAME?</v>
      </c>
      <c r="CK9" s="254" t="n">
        <f aca="false">I9</f>
        <v>0.95</v>
      </c>
      <c r="CM9" s="0" t="str">
        <f aca="false">CONCATENATE(CC9,$CD$6)</f>
        <v>37257Curve Shift/Gamma</v>
      </c>
      <c r="CN9" s="0" t="str">
        <f aca="false">CONCATENATE($CC9,$CE$6)</f>
        <v>37257Rho</v>
      </c>
      <c r="CO9" s="0" t="str">
        <f aca="false">CONCATENATE($CC9,$CF$6)</f>
        <v>37257Drift</v>
      </c>
      <c r="CP9" s="0" t="str">
        <f aca="false">CONCATENATE($CC9,$CG$6)</f>
        <v>37257Vega</v>
      </c>
      <c r="CQ9" s="0" t="str">
        <f aca="false">CONCATENATE($CC9,$CH$6)</f>
        <v>37257Theta</v>
      </c>
      <c r="CR9" s="255" t="n">
        <f aca="false">EOMONTH(CR8,0)+1</f>
        <v>36800</v>
      </c>
      <c r="CS9" s="261" t="e">
        <f aca="false">SUMIF($CM$7:$CM$631,CONCATENATE($CR9,$CS$6),$CD$7:$CD$631)</f>
        <v>#NAME?</v>
      </c>
      <c r="CT9" s="262" t="e">
        <f aca="false">SUMIF($CN$7:$CN$636,CONCATENATE($CR9,$CT$6),$CE$7:$CE$631)</f>
        <v>#NAME?</v>
      </c>
      <c r="CU9" s="262" t="e">
        <f aca="false">SUMIF($CO$7:$CO$636,CONCATENATE($CR9,$CU$6),$CF$7:$CF$631)</f>
        <v>#NAME?</v>
      </c>
      <c r="CV9" s="262" t="e">
        <f aca="false">SUMIF($CP$7:$CP$636,CONCATENATE($CR9,$CV$6),$CG$7:$CG$631)</f>
        <v>#NAME?</v>
      </c>
      <c r="CW9" s="263" t="e">
        <f aca="false">SUMIF($CQ$7:$CQ$636,CONCATENATE($CR9,$CW$6),$CH$7:$CH$631)</f>
        <v>#NAME?</v>
      </c>
      <c r="CX9" s="264" t="e">
        <f aca="false">SUM(CS9:CW9)</f>
        <v>#NAME?</v>
      </c>
      <c r="CZ9" s="255" t="n">
        <f aca="false">CR9</f>
        <v>36800</v>
      </c>
      <c r="DA9" s="261" t="e">
        <f aca="false">SUMIF($CC$7:$CC$1008,$CR9,$CD$7:$CD$1008)</f>
        <v>#NAME?</v>
      </c>
      <c r="DB9" s="262" t="e">
        <f aca="false">SUMIF($CC$7:$CC$1008,$CR9,$CE$7:$CE$1008)</f>
        <v>#NAME?</v>
      </c>
      <c r="DC9" s="262" t="e">
        <f aca="false">SUMIF($CC$7:$CC$1008,$CR9,$CF$7:$CF$1008)</f>
        <v>#NAME?</v>
      </c>
      <c r="DD9" s="262" t="e">
        <f aca="false">SUMIF($CC$7:$CC$1008,$CR9,$CG$7:$CG$1008)</f>
        <v>#NAME?</v>
      </c>
      <c r="DE9" s="263" t="e">
        <f aca="false">SUMIF($CC$7:$CC$1008,$CR9,$CH$7:$CH$1008)</f>
        <v>#NAME?</v>
      </c>
      <c r="DF9" s="264" t="e">
        <f aca="false">SUM(DA9:DE9)</f>
        <v>#NAME?</v>
      </c>
    </row>
    <row r="10" customFormat="false" ht="12" hidden="false" customHeight="true" outlineLevel="0" collapsed="false">
      <c r="A10" s="17" t="s">
        <v>191</v>
      </c>
      <c r="B10" s="0" t="s">
        <v>192</v>
      </c>
      <c r="C10" s="125" t="s">
        <v>193</v>
      </c>
      <c r="D10" s="7" t="s">
        <v>149</v>
      </c>
      <c r="E10" s="7" t="s">
        <v>131</v>
      </c>
      <c r="F10" s="92" t="s">
        <v>136</v>
      </c>
      <c r="G10" s="92" t="n">
        <v>37226</v>
      </c>
      <c r="H10" s="248" t="n">
        <v>-1000000</v>
      </c>
      <c r="I10" s="7" t="n">
        <v>0.95</v>
      </c>
      <c r="J10" s="124" t="n">
        <f aca="false">VLOOKUP(G10,NGPrices,2,FALSE())</f>
        <v>3.968</v>
      </c>
      <c r="K10" s="125" t="n">
        <f aca="false">HLOOKUP(D10,Prices,VLOOKUP(G10,move_down,2,FALSE()),FALSE())+VLOOKUP(G10,CHANGE,HLOOKUP(D10,CHANGE,2,FALSE()),FALSE())</f>
        <v>1.31</v>
      </c>
      <c r="L10" s="124" t="n">
        <f aca="false">K10+J10</f>
        <v>5.278</v>
      </c>
      <c r="M10" s="126" t="n">
        <f aca="false">VLOOKUP(G10,NGPrices,4,FALSE())</f>
        <v>0.069362858204931</v>
      </c>
      <c r="N10" s="7" t="n">
        <f aca="false">VLOOKUP(G10,NGPrices,3,FALSE())</f>
        <v>0.4075</v>
      </c>
      <c r="O10" s="7" t="n">
        <f aca="false">HLOOKUP(D10,VOLS,VLOOKUP(G10,move_down,2,FALSE()),FALSE())</f>
        <v>0.448</v>
      </c>
      <c r="P10" s="249" t="n">
        <f aca="false">HLOOKUP(D10,Correllate,VLOOKUP(G10,CorMove,2,FALSE()),FALSE())</f>
        <v>0.95</v>
      </c>
      <c r="Q10" s="92" t="n">
        <f aca="false">WORKDAY(G10,-2)</f>
        <v>37224</v>
      </c>
      <c r="R10" s="7" t="n">
        <f aca="false">IF(F10="P",0,1)</f>
        <v>1</v>
      </c>
      <c r="S10" s="130" t="e">
        <f aca="false">xSPRDOPT($L10,$J10,$I10,$M10,$O10,$N10,$P10,$Q10-$C$3,$R10,0)</f>
        <v>#NAME?</v>
      </c>
      <c r="T10" s="250" t="e">
        <f aca="false">xSPRDOPT($L10,$J10,$I10,$M10,$O10,$N10,$P10,$Q10-$C$3,$R10,1)*H10</f>
        <v>#NAME?</v>
      </c>
      <c r="U10" s="43" t="e">
        <f aca="false">S10*H10</f>
        <v>#NAME?</v>
      </c>
      <c r="V10" s="250" t="e">
        <f aca="false">xSPRDOPT($L10,$J10,$I10,$M10,$O10,$N10,$P10,$Q10-$C$3,$R10,2)*H10</f>
        <v>#NAME?</v>
      </c>
      <c r="W10" s="250" t="e">
        <f aca="false">+V10+T10</f>
        <v>#NAME?</v>
      </c>
      <c r="X10" s="2" t="str">
        <f aca="false">CONCATENATE(G10,D10)</f>
        <v>37226IF-TRANSCO/Z6</v>
      </c>
      <c r="Y10" s="251" t="n">
        <f aca="false">H10/10000</f>
        <v>-100</v>
      </c>
      <c r="Z10" s="226" t="e">
        <f aca="false">T10/H10</f>
        <v>#NAME?</v>
      </c>
      <c r="AA10" s="226" t="e">
        <f aca="false">xSPRDOPT($L10,$J10,$I10,$M10,$O10,$N10,$P10,$Q10-$C$3,$R10,3)</f>
        <v>#NAME?</v>
      </c>
      <c r="AB10" s="226" t="e">
        <f aca="false">((xSPRDOPT($L10+AB$5,$J10,$I10,$M10,$O10,$N10,$P10,$Q10-$C$3,$R10,3)*$H10)/10000)/100</f>
        <v>#NAME?</v>
      </c>
      <c r="AC10" s="226" t="e">
        <f aca="false">((xSPRDOPT($L10+$AB$5,$J10,$I10,$M10,$O10,$N10,$P10,$Q10-$C$3,$R10,7)*$H10)/100)</f>
        <v>#NAME?</v>
      </c>
      <c r="AD10" s="226" t="e">
        <f aca="false">(xSPRDOPT($L10+$AB$5,$J10,$I10,$M10,$O10,$N10,$P10,$Q10-$C$3,$R10,9)/365)*$H10</f>
        <v>#NAME?</v>
      </c>
      <c r="AE10" s="0" t="e">
        <f aca="false">CD10</f>
        <v>#NAME?</v>
      </c>
      <c r="AF10" s="226" t="e">
        <f aca="false">((O10/N10)*AH10)+AG10</f>
        <v>#NAME?</v>
      </c>
      <c r="AG10" s="226" t="e">
        <f aca="false">((xSPRDOPT($L10,$J10,$I10,$M10,$O10,$N10,$P10,$Q10-$C$3,$R10,6)*$H10)/100)</f>
        <v>#NAME?</v>
      </c>
      <c r="AH10" s="226" t="e">
        <f aca="false">((xSPRDOPT($L10,$J10,$I10,$M10,$O10,$N10,$P10,$Q10-$C$3,$R10,5)*$H10)/100)</f>
        <v>#NAME?</v>
      </c>
      <c r="AI10" s="226" t="e">
        <f aca="false">(((xSPRDOPT($L10,$J10,$I10,$M10,$O10,$N10,$P10,$Q10-$C$3,$R10,4)*$H10)/10000)/100)-AB10</f>
        <v>#NAME?</v>
      </c>
      <c r="AJ10" s="226"/>
      <c r="AK10" s="226"/>
      <c r="AL10" s="226"/>
      <c r="AM10" s="252"/>
      <c r="AN10" s="208" t="n">
        <f aca="false">EOMONTH(AN9,0)+1</f>
        <v>36831</v>
      </c>
      <c r="AO10" s="134" t="e">
        <f aca="false">SUMIF($X:$X,CONCATENATE($AN10,AO$6),$T:$T)/10000</f>
        <v>#NAME?</v>
      </c>
      <c r="AP10" s="134" t="e">
        <f aca="false">SUMIF($X:$X,CONCATENATE($AN10,AP$6),$T:$T)/10000</f>
        <v>#NAME?</v>
      </c>
      <c r="AQ10" s="134" t="e">
        <f aca="false">SUMIF($X:$X,CONCATENATE($AN10,AQ$6),$T:$T)/10000</f>
        <v>#NAME?</v>
      </c>
      <c r="AR10" s="134" t="e">
        <f aca="false">SUMIF($X:$X,CONCATENATE($AN10,AR$6),$T:$T)/10000</f>
        <v>#NAME?</v>
      </c>
      <c r="AS10" s="134" t="n">
        <f aca="false">SUMIF($X:$X,CONCATENATE($AN10,AS$6),$T:$T)/10000</f>
        <v>0</v>
      </c>
      <c r="AT10" s="134" t="e">
        <f aca="false">SUMIF($X:$X,CONCATENATE($AN10,AT$6),$T:$T)/10000</f>
        <v>#NAME?</v>
      </c>
      <c r="AU10" s="134" t="e">
        <f aca="false">SUMIF($X:$X,CONCATENATE($AN10,AU$6),$T:$T)/10000</f>
        <v>#NAME?</v>
      </c>
      <c r="AV10" s="134" t="n">
        <f aca="false">SUMIF($X:$X,CONCATENATE($AN10,AV$6),$T:$T)/10000</f>
        <v>0</v>
      </c>
      <c r="AW10" s="134" t="n">
        <f aca="false">SUMIF($X:$X,CONCATENATE($AN10,AW$6),$T:$T)/10000</f>
        <v>0</v>
      </c>
      <c r="AX10" s="134" t="e">
        <f aca="false">SUMIF($X:$X,CONCATENATE($AN10,AX$6),$T:$T)/10000</f>
        <v>#NAME?</v>
      </c>
      <c r="AY10" s="134" t="e">
        <f aca="false">SUMIF($X:$X,CONCATENATE($AN10,AY$6),$T:$T)/10000</f>
        <v>#NAME?</v>
      </c>
      <c r="AZ10" s="134" t="e">
        <f aca="false">SUMIF($X:$X,CONCATENATE($AN10,AZ$6),$T:$T)/10000</f>
        <v>#NAME?</v>
      </c>
      <c r="BA10" s="135" t="e">
        <f aca="false">SUMIF($X:$X,CONCATENATE($AN10,BA$6),$T:$T)/10000</f>
        <v>#NAME?</v>
      </c>
      <c r="BB10" s="208" t="n">
        <f aca="false">EOMONTH(BB9,0)+1</f>
        <v>36831</v>
      </c>
      <c r="BC10" s="135" t="e">
        <f aca="false">SUM(AO10:BA10)</f>
        <v>#NAME?</v>
      </c>
      <c r="BD10" s="2"/>
      <c r="BE10" s="208" t="n">
        <f aca="false">EOMONTH(BE9,0)+1</f>
        <v>36831</v>
      </c>
      <c r="BF10" s="134" t="e">
        <f aca="false">SUMIF($X:$X,CONCATENATE($AN10,BF$6),$W:$W)</f>
        <v>#NAME?</v>
      </c>
      <c r="BG10" s="134" t="e">
        <f aca="false">SUMIF($X:$X,CONCATENATE($AN10,BG$6),$W:$W)</f>
        <v>#NAME?</v>
      </c>
      <c r="BH10" s="134" t="e">
        <f aca="false">SUMIF($X:$X,CONCATENATE($AN10,BH$6),$W:$W)</f>
        <v>#NAME?</v>
      </c>
      <c r="BI10" s="134" t="e">
        <f aca="false">SUMIF($X:$X,CONCATENATE($AN10,BI$6),$W:$W)</f>
        <v>#NAME?</v>
      </c>
      <c r="BJ10" s="134" t="n">
        <f aca="false">SUMIF($X:$X,CONCATENATE($AN10,BJ$6),$W:$W)</f>
        <v>0</v>
      </c>
      <c r="BK10" s="134" t="e">
        <f aca="false">SUMIF($X:$X,CONCATENATE($AN10,BK$6),$W:$W)</f>
        <v>#NAME?</v>
      </c>
      <c r="BL10" s="134" t="e">
        <f aca="false">SUMIF($X:$X,CONCATENATE($AN10,BL$6),$W:$W)</f>
        <v>#NAME?</v>
      </c>
      <c r="BM10" s="134" t="n">
        <f aca="false">SUMIF($X:$X,CONCATENATE($AN10,BM$6),$W:$W)</f>
        <v>0</v>
      </c>
      <c r="BN10" s="134" t="n">
        <f aca="false">SUMIF($X:$X,CONCATENATE($AN10,BN$6),$W:$W)</f>
        <v>0</v>
      </c>
      <c r="BO10" s="134" t="e">
        <f aca="false">SUMIF($X:$X,CONCATENATE($AN10,BO$6),$W:$W)</f>
        <v>#NAME?</v>
      </c>
      <c r="BP10" s="134" t="e">
        <f aca="false">SUMIF($X:$X,CONCATENATE($AN10,BP$6),$W:$W)</f>
        <v>#NAME?</v>
      </c>
      <c r="BQ10" s="134" t="e">
        <f aca="false">SUMIF($X:$X,CONCATENATE($AN10,BQ$6),$W:$W)</f>
        <v>#NAME?</v>
      </c>
      <c r="BR10" s="135" t="e">
        <f aca="false">SUMIF($X:$X,CONCATENATE($AN10,BR$6),$W:$W)</f>
        <v>#NAME?</v>
      </c>
      <c r="BS10" s="208" t="n">
        <f aca="false">EOMONTH(BS9,0)+1</f>
        <v>36831</v>
      </c>
      <c r="BT10" s="135" t="e">
        <f aca="false">SUM(BF10:BR10)</f>
        <v>#NAME?</v>
      </c>
      <c r="BU10" s="260" t="e">
        <f aca="false">BT10/10000</f>
        <v>#NAME?</v>
      </c>
      <c r="BV10" s="2"/>
      <c r="BW10" s="2"/>
      <c r="BX10" s="2"/>
      <c r="BY10" s="2"/>
      <c r="BZ10" s="2"/>
      <c r="CA10" s="2"/>
      <c r="CB10" s="2"/>
      <c r="CC10" s="182" t="n">
        <f aca="false">G10</f>
        <v>37226</v>
      </c>
      <c r="CD10" s="253" t="e">
        <f aca="false">xSPRDOPT((VLOOKUP(G10,NGPrices,2,FALSE())+HLOOKUP(D10,Prices,VLOOKUP(G10,move_down,2,FALSE()),FALSE())),VLOOKUP(G10,NGPrices,2,FALSE()),I10,VLOOKUP(G10,NGPREVPRICES,4,FALSE()),HLOOKUP(D10,PREVVOLS,VLOOKUP(G10,MOVE_DOWN2,2,FALSE()),FALSE()),VLOOKUP(G10,NGPREVPRICES,3,FALSE()),HLOOKUP(D10,Correllate,VLOOKUP(G10,CorMove,2,FALSE()),FALSE()),Q10-$CD$3,R10,$CD$5)*H10-CJ10</f>
        <v>#NAME?</v>
      </c>
      <c r="CE10" s="253" t="e">
        <f aca="false">xSPRDOPT((VLOOKUP(G10,NGPREVPRICES,2,FALSE())+HLOOKUP(D10,PREVCURVES,VLOOKUP(G10,MOVE_DOWN2,2,FALSE()),FALSE())),VLOOKUP(G10,NGPREVPRICES,2,FALSE()),CK10,VLOOKUP(G10,NGPrices,4,FALSE()),HLOOKUP(D10,PREVVOLS,VLOOKUP(G10,MOVE_DOWN2,2,FALSE()),FALSE()),VLOOKUP(G10,NGPREVPRICES,3,FALSE()),HLOOKUP(D10,Correllate,VLOOKUP(G10,CorMove,2,FALSE()),FALSE()),Q10-$CD$3,R10,$CJ$5)*H10-CJ10</f>
        <v>#NAME?</v>
      </c>
      <c r="CF10" s="132" t="e">
        <f aca="false">(CJ10/VLOOKUP(CC10,discount,3,FALSE()))-(CJ10/VLOOKUP(CC10,discount,2,FALSE()))</f>
        <v>#NAME?</v>
      </c>
      <c r="CG10" s="253" t="e">
        <f aca="false">xSPRDOPT((VLOOKUP(G10,NGPREVPRICES,2,FALSE())+HLOOKUP(D10,PREVCURVES,VLOOKUP(G10,MOVE_DOWN2,2,FALSE()),FALSE())),VLOOKUP(G10,NGPREVPRICES,2,FALSE()),CK10,VLOOKUP(G10,NGPREVPRICES,4,FALSE()),HLOOKUP(D10,VOLS,VLOOKUP(G10,move_down,2,FALSE()),FALSE()),VLOOKUP(G10,NGPrices,3,FALSE()),HLOOKUP(D10,Correllate,VLOOKUP(G10,CorMove,2,FALSE()),FALSE()),Q10-$CD$3,R10,$CJ$5)*H10-CJ10</f>
        <v>#NAME?</v>
      </c>
      <c r="CH10" s="253" t="e">
        <f aca="false">xSPRDOPT((VLOOKUP(G10,NGPREVPRICES,2,FALSE())+HLOOKUP(D10,PREVCURVES,VLOOKUP(G10,MOVE_DOWN2,2,FALSE()),FALSE())),VLOOKUP(G10,NGPREVPRICES,2,FALSE()),CK10,VLOOKUP(G10,NGPREVPRICES,4,FALSE()),HLOOKUP(D10,PREVVOLS,VLOOKUP(G10,MOVE_DOWN2,2,FALSE()),FALSE()),VLOOKUP(G10,NGPREVPRICES,3,FALSE()),HLOOKUP(D10,Correllate,VLOOKUP(G10,CorMove,2,FALSE()),FALSE()),Q10-$C$3,R10,$CJ$5)*H10-CJ10</f>
        <v>#NAME?</v>
      </c>
      <c r="CI10" s="253" t="e">
        <f aca="false">SUM(CD10:CH10)</f>
        <v>#NAME?</v>
      </c>
      <c r="CJ10" s="253" t="e">
        <f aca="false">xSPRDOPT((VLOOKUP(G10,NGPREVPRICES,2,FALSE())+HLOOKUP(D10,PREVCURVES,VLOOKUP(G10,MOVE_DOWN2,2,FALSE()),FALSE())),VLOOKUP(G10,NGPREVPRICES,2,FALSE()),CK10,VLOOKUP(G10,NGPREVPRICES,4,FALSE()),HLOOKUP(D10,PREVVOLS,VLOOKUP(G10,MOVE_DOWN2,2,FALSE()),FALSE()),VLOOKUP(G10,NGPREVPRICES,3,FALSE()),HLOOKUP(D10,Correllate,VLOOKUP(G10,CorMove,2,FALSE()),FALSE()),Q10-$CD$3,R10,$CJ$5)*H10</f>
        <v>#NAME?</v>
      </c>
      <c r="CK10" s="254" t="n">
        <f aca="false">I10</f>
        <v>0.95</v>
      </c>
      <c r="CM10" s="0" t="str">
        <f aca="false">CONCATENATE(CC10,$CD$6)</f>
        <v>37226Curve Shift/Gamma</v>
      </c>
      <c r="CN10" s="0" t="str">
        <f aca="false">CONCATENATE($CC10,$CE$6)</f>
        <v>37226Rho</v>
      </c>
      <c r="CO10" s="0" t="str">
        <f aca="false">CONCATENATE($CC10,$CF$6)</f>
        <v>37226Drift</v>
      </c>
      <c r="CP10" s="0" t="str">
        <f aca="false">CONCATENATE($CC10,$CG$6)</f>
        <v>37226Vega</v>
      </c>
      <c r="CQ10" s="0" t="str">
        <f aca="false">CONCATENATE($CC10,$CH$6)</f>
        <v>37226Theta</v>
      </c>
      <c r="CR10" s="255" t="n">
        <f aca="false">EOMONTH(CR9,0)+1</f>
        <v>36831</v>
      </c>
      <c r="CS10" s="261" t="e">
        <f aca="false">SUMIF($CM$7:$CM$631,CONCATENATE($CR10,$CS$6),$CD$7:$CD$631)</f>
        <v>#NAME?</v>
      </c>
      <c r="CT10" s="262" t="e">
        <f aca="false">SUMIF($CN$7:$CN$636,CONCATENATE($CR10,$CT$6),$CE$7:$CE$631)</f>
        <v>#NAME?</v>
      </c>
      <c r="CU10" s="262" t="e">
        <f aca="false">SUMIF($CO$7:$CO$636,CONCATENATE($CR10,$CU$6),$CF$7:$CF$631)</f>
        <v>#NAME?</v>
      </c>
      <c r="CV10" s="262" t="e">
        <f aca="false">SUMIF($CP$7:$CP$636,CONCATENATE($CR10,$CV$6),$CG$7:$CG$631)</f>
        <v>#NAME?</v>
      </c>
      <c r="CW10" s="263" t="e">
        <f aca="false">SUMIF($CQ$7:$CQ$636,CONCATENATE($CR10,$CW$6),$CH$7:$CH$631)</f>
        <v>#NAME?</v>
      </c>
      <c r="CX10" s="264" t="e">
        <f aca="false">SUM(CS10:CW10)</f>
        <v>#NAME?</v>
      </c>
      <c r="CZ10" s="255" t="n">
        <f aca="false">CR10</f>
        <v>36831</v>
      </c>
      <c r="DA10" s="261" t="e">
        <f aca="false">SUMIF($CC$7:$CC$1008,$CR10,$CD$7:$CD$1008)</f>
        <v>#NAME?</v>
      </c>
      <c r="DB10" s="262" t="e">
        <f aca="false">SUMIF($CC$7:$CC$1008,$CR10,$CE$7:$CE$1008)</f>
        <v>#NAME?</v>
      </c>
      <c r="DC10" s="262" t="e">
        <f aca="false">SUMIF($CC$7:$CC$1008,$CR10,$CF$7:$CF$1008)</f>
        <v>#NAME?</v>
      </c>
      <c r="DD10" s="262" t="e">
        <f aca="false">SUMIF($CC$7:$CC$1008,$CR10,$CG$7:$CG$1008)</f>
        <v>#NAME?</v>
      </c>
      <c r="DE10" s="263" t="e">
        <f aca="false">SUMIF($CC$7:$CC$1008,$CR10,$CH$7:$CH$1008)</f>
        <v>#NAME?</v>
      </c>
      <c r="DF10" s="264" t="e">
        <f aca="false">SUM(DA10:DE10)</f>
        <v>#NAME?</v>
      </c>
    </row>
    <row r="11" customFormat="false" ht="12" hidden="false" customHeight="true" outlineLevel="0" collapsed="false">
      <c r="A11" s="17" t="s">
        <v>191</v>
      </c>
      <c r="B11" s="0" t="s">
        <v>192</v>
      </c>
      <c r="C11" s="125" t="s">
        <v>193</v>
      </c>
      <c r="D11" s="7" t="s">
        <v>149</v>
      </c>
      <c r="E11" s="7" t="s">
        <v>131</v>
      </c>
      <c r="F11" s="92" t="s">
        <v>136</v>
      </c>
      <c r="G11" s="92" t="n">
        <v>37196</v>
      </c>
      <c r="H11" s="248" t="n">
        <v>-1000000</v>
      </c>
      <c r="I11" s="7" t="n">
        <v>0.95</v>
      </c>
      <c r="J11" s="124" t="n">
        <f aca="false">VLOOKUP(G11,NGPrices,2,FALSE())</f>
        <v>3.878</v>
      </c>
      <c r="K11" s="125" t="n">
        <f aca="false">HLOOKUP(D11,Prices,VLOOKUP(G11,move_down,2,FALSE()),FALSE())+VLOOKUP(G11,CHANGE,HLOOKUP(D11,CHANGE,2,FALSE()),FALSE())</f>
        <v>0.89</v>
      </c>
      <c r="L11" s="124" t="n">
        <f aca="false">K11+J11</f>
        <v>4.768</v>
      </c>
      <c r="M11" s="126" t="n">
        <f aca="false">VLOOKUP(G11,NGPrices,4,FALSE())</f>
        <v>0.069332408860559</v>
      </c>
      <c r="N11" s="7" t="n">
        <f aca="false">VLOOKUP(G11,NGPrices,3,FALSE())</f>
        <v>0.4025</v>
      </c>
      <c r="O11" s="7" t="n">
        <f aca="false">HLOOKUP(D11,VOLS,VLOOKUP(G11,move_down,2,FALSE()),FALSE())</f>
        <v>0.443</v>
      </c>
      <c r="P11" s="249" t="n">
        <f aca="false">HLOOKUP(D11,Correllate,VLOOKUP(G11,CorMove,2,FALSE()),FALSE())</f>
        <v>0.95</v>
      </c>
      <c r="Q11" s="92" t="n">
        <f aca="false">WORKDAY(G11,-2)</f>
        <v>37194</v>
      </c>
      <c r="R11" s="7" t="n">
        <f aca="false">IF(F11="P",0,1)</f>
        <v>1</v>
      </c>
      <c r="S11" s="130" t="e">
        <f aca="false">xSPRDOPT($L11,$J11,$I11,$M11,$O11,$N11,$P11,$Q11-$C$3,$R11,0)</f>
        <v>#NAME?</v>
      </c>
      <c r="T11" s="250" t="e">
        <f aca="false">xSPRDOPT($L11,$J11,$I11,$M11,$O11,$N11,$P11,$Q11-$C$3,$R11,1)*H11</f>
        <v>#NAME?</v>
      </c>
      <c r="U11" s="43" t="e">
        <f aca="false">S11*H11</f>
        <v>#NAME?</v>
      </c>
      <c r="V11" s="250" t="e">
        <f aca="false">xSPRDOPT($L11,$J11,$I11,$M11,$O11,$N11,$P11,$Q11-$C$3,$R11,2)*H11</f>
        <v>#NAME?</v>
      </c>
      <c r="W11" s="250" t="e">
        <f aca="false">+V11+T11</f>
        <v>#NAME?</v>
      </c>
      <c r="X11" s="2" t="str">
        <f aca="false">CONCATENATE(G11,D11)</f>
        <v>37196IF-TRANSCO/Z6</v>
      </c>
      <c r="Y11" s="251" t="n">
        <f aca="false">H11/10000</f>
        <v>-100</v>
      </c>
      <c r="Z11" s="226" t="e">
        <f aca="false">T11/H11</f>
        <v>#NAME?</v>
      </c>
      <c r="AA11" s="226" t="e">
        <f aca="false">xSPRDOPT($L11,$J11,$I11,$M11,$O11,$N11,$P11,$Q11-$C$3,$R11,3)</f>
        <v>#NAME?</v>
      </c>
      <c r="AB11" s="226" t="e">
        <f aca="false">((xSPRDOPT($L11+AB$5,$J11,$I11,$M11,$O11,$N11,$P11,$Q11-$C$3,$R11,3)*$H11)/10000)/100</f>
        <v>#NAME?</v>
      </c>
      <c r="AC11" s="226" t="e">
        <f aca="false">((xSPRDOPT($L11+$AB$5,$J11,$I11,$M11,$O11,$N11,$P11,$Q11-$C$3,$R11,7)*$H11)/100)</f>
        <v>#NAME?</v>
      </c>
      <c r="AD11" s="226" t="e">
        <f aca="false">(xSPRDOPT($L11+$AB$5,$J11,$I11,$M11,$O11,$N11,$P11,$Q11-$C$3,$R11,9)/365)*$H11</f>
        <v>#NAME?</v>
      </c>
      <c r="AE11" s="0" t="e">
        <f aca="false">CD11</f>
        <v>#NAME?</v>
      </c>
      <c r="AF11" s="226" t="e">
        <f aca="false">((O11/N11)*AH11)+AG11</f>
        <v>#NAME?</v>
      </c>
      <c r="AG11" s="226" t="e">
        <f aca="false">((xSPRDOPT($L11,$J11,$I11,$M11,$O11,$N11,$P11,$Q11-$C$3,$R11,6)*$H11)/100)</f>
        <v>#NAME?</v>
      </c>
      <c r="AH11" s="226" t="e">
        <f aca="false">((xSPRDOPT($L11,$J11,$I11,$M11,$O11,$N11,$P11,$Q11-$C$3,$R11,5)*$H11)/100)</f>
        <v>#NAME?</v>
      </c>
      <c r="AI11" s="226" t="e">
        <f aca="false">(((xSPRDOPT($L11,$J11,$I11,$M11,$O11,$N11,$P11,$Q11-$C$3,$R11,4)*$H11)/10000)/100)-AB11</f>
        <v>#NAME?</v>
      </c>
      <c r="AJ11" s="226"/>
      <c r="AK11" s="226"/>
      <c r="AL11" s="226"/>
      <c r="AM11" s="252"/>
      <c r="AN11" s="208" t="n">
        <f aca="false">EOMONTH(AN10,0)+1</f>
        <v>36861</v>
      </c>
      <c r="AO11" s="134" t="e">
        <f aca="false">SUMIF($X:$X,CONCATENATE($AN11,AO$6),$T:$T)/10000</f>
        <v>#NAME?</v>
      </c>
      <c r="AP11" s="134" t="e">
        <f aca="false">SUMIF($X:$X,CONCATENATE($AN11,AP$6),$T:$T)/10000</f>
        <v>#NAME?</v>
      </c>
      <c r="AQ11" s="134" t="e">
        <f aca="false">SUMIF($X:$X,CONCATENATE($AN11,AQ$6),$T:$T)/10000</f>
        <v>#NAME?</v>
      </c>
      <c r="AR11" s="134" t="e">
        <f aca="false">SUMIF($X:$X,CONCATENATE($AN11,AR$6),$T:$T)/10000</f>
        <v>#NAME?</v>
      </c>
      <c r="AS11" s="134" t="n">
        <f aca="false">SUMIF($X:$X,CONCATENATE($AN11,AS$6),$T:$T)/10000</f>
        <v>0</v>
      </c>
      <c r="AT11" s="134" t="e">
        <f aca="false">SUMIF($X:$X,CONCATENATE($AN11,AT$6),$T:$T)/10000</f>
        <v>#NAME?</v>
      </c>
      <c r="AU11" s="134" t="e">
        <f aca="false">SUMIF($X:$X,CONCATENATE($AN11,AU$6),$T:$T)/10000</f>
        <v>#NAME?</v>
      </c>
      <c r="AV11" s="134" t="n">
        <f aca="false">SUMIF($X:$X,CONCATENATE($AN11,AV$6),$T:$T)/10000</f>
        <v>0</v>
      </c>
      <c r="AW11" s="134" t="n">
        <f aca="false">SUMIF($X:$X,CONCATENATE($AN11,AW$6),$T:$T)/10000</f>
        <v>0</v>
      </c>
      <c r="AX11" s="134" t="e">
        <f aca="false">SUMIF($X:$X,CONCATENATE($AN11,AX$6),$T:$T)/10000</f>
        <v>#NAME?</v>
      </c>
      <c r="AY11" s="134" t="e">
        <f aca="false">SUMIF($X:$X,CONCATENATE($AN11,AY$6),$T:$T)/10000</f>
        <v>#NAME?</v>
      </c>
      <c r="AZ11" s="134" t="e">
        <f aca="false">SUMIF($X:$X,CONCATENATE($AN11,AZ$6),$T:$T)/10000</f>
        <v>#NAME?</v>
      </c>
      <c r="BA11" s="135" t="e">
        <f aca="false">SUMIF($X:$X,CONCATENATE($AN11,BA$6),$T:$T)/10000</f>
        <v>#NAME?</v>
      </c>
      <c r="BB11" s="208" t="n">
        <f aca="false">EOMONTH(BB10,0)+1</f>
        <v>36861</v>
      </c>
      <c r="BC11" s="135" t="e">
        <f aca="false">SUM(AO11:BA11)</f>
        <v>#NAME?</v>
      </c>
      <c r="BD11" s="2"/>
      <c r="BE11" s="208" t="n">
        <f aca="false">EOMONTH(BE10,0)+1</f>
        <v>36861</v>
      </c>
      <c r="BF11" s="134" t="e">
        <f aca="false">SUMIF($X:$X,CONCATENATE($AN11,BF$6),$W:$W)</f>
        <v>#NAME?</v>
      </c>
      <c r="BG11" s="134" t="e">
        <f aca="false">SUMIF($X:$X,CONCATENATE($AN11,BG$6),$W:$W)</f>
        <v>#NAME?</v>
      </c>
      <c r="BH11" s="134" t="e">
        <f aca="false">SUMIF($X:$X,CONCATENATE($AN11,BH$6),$W:$W)</f>
        <v>#NAME?</v>
      </c>
      <c r="BI11" s="134" t="e">
        <f aca="false">SUMIF($X:$X,CONCATENATE($AN11,BI$6),$W:$W)</f>
        <v>#NAME?</v>
      </c>
      <c r="BJ11" s="134" t="n">
        <f aca="false">SUMIF($X:$X,CONCATENATE($AN11,BJ$6),$W:$W)</f>
        <v>0</v>
      </c>
      <c r="BK11" s="134" t="e">
        <f aca="false">SUMIF($X:$X,CONCATENATE($AN11,BK$6),$W:$W)</f>
        <v>#NAME?</v>
      </c>
      <c r="BL11" s="134" t="e">
        <f aca="false">SUMIF($X:$X,CONCATENATE($AN11,BL$6),$W:$W)</f>
        <v>#NAME?</v>
      </c>
      <c r="BM11" s="134" t="n">
        <f aca="false">SUMIF($X:$X,CONCATENATE($AN11,BM$6),$W:$W)</f>
        <v>0</v>
      </c>
      <c r="BN11" s="134" t="n">
        <f aca="false">SUMIF($X:$X,CONCATENATE($AN11,BN$6),$W:$W)</f>
        <v>0</v>
      </c>
      <c r="BO11" s="134" t="e">
        <f aca="false">SUMIF($X:$X,CONCATENATE($AN11,BO$6),$W:$W)</f>
        <v>#NAME?</v>
      </c>
      <c r="BP11" s="134" t="e">
        <f aca="false">SUMIF($X:$X,CONCATENATE($AN11,BP$6),$W:$W)</f>
        <v>#NAME?</v>
      </c>
      <c r="BQ11" s="134" t="e">
        <f aca="false">SUMIF($X:$X,CONCATENATE($AN11,BQ$6),$W:$W)</f>
        <v>#NAME?</v>
      </c>
      <c r="BR11" s="135" t="e">
        <f aca="false">SUMIF($X:$X,CONCATENATE($AN11,BR$6),$W:$W)</f>
        <v>#NAME?</v>
      </c>
      <c r="BS11" s="208" t="n">
        <f aca="false">EOMONTH(BS10,0)+1</f>
        <v>36861</v>
      </c>
      <c r="BT11" s="135" t="e">
        <f aca="false">SUM(BF11:BR11)</f>
        <v>#NAME?</v>
      </c>
      <c r="BU11" s="260" t="e">
        <f aca="false">BT11/10000</f>
        <v>#NAME?</v>
      </c>
      <c r="BV11" s="2"/>
      <c r="BW11" s="2"/>
      <c r="BX11" s="2"/>
      <c r="BY11" s="2"/>
      <c r="BZ11" s="2"/>
      <c r="CA11" s="2"/>
      <c r="CB11" s="2"/>
      <c r="CC11" s="182" t="n">
        <f aca="false">G11</f>
        <v>37196</v>
      </c>
      <c r="CD11" s="253" t="e">
        <f aca="false">xSPRDOPT((VLOOKUP(G11,NGPrices,2,FALSE())+HLOOKUP(D11,Prices,VLOOKUP(G11,move_down,2,FALSE()),FALSE())),VLOOKUP(G11,NGPrices,2,FALSE()),I11,VLOOKUP(G11,NGPREVPRICES,4,FALSE()),HLOOKUP(D11,PREVVOLS,VLOOKUP(G11,MOVE_DOWN2,2,FALSE()),FALSE()),VLOOKUP(G11,NGPREVPRICES,3,FALSE()),HLOOKUP(D11,Correllate,VLOOKUP(G11,CorMove,2,FALSE()),FALSE()),Q11-$CD$3,R11,$CD$5)*H11-CJ11</f>
        <v>#NAME?</v>
      </c>
      <c r="CE11" s="253" t="e">
        <f aca="false">xSPRDOPT((VLOOKUP(G11,NGPREVPRICES,2,FALSE())+HLOOKUP(D11,PREVCURVES,VLOOKUP(G11,MOVE_DOWN2,2,FALSE()),FALSE())),VLOOKUP(G11,NGPREVPRICES,2,FALSE()),CK11,VLOOKUP(G11,NGPrices,4,FALSE()),HLOOKUP(D11,PREVVOLS,VLOOKUP(G11,MOVE_DOWN2,2,FALSE()),FALSE()),VLOOKUP(G11,NGPREVPRICES,3,FALSE()),HLOOKUP(D11,Correllate,VLOOKUP(G11,CorMove,2,FALSE()),FALSE()),Q11-$CD$3,R11,$CJ$5)*H11-CJ11</f>
        <v>#NAME?</v>
      </c>
      <c r="CF11" s="132" t="e">
        <f aca="false">(CJ11/VLOOKUP(CC11,discount,3,FALSE()))-(CJ11/VLOOKUP(CC11,discount,2,FALSE()))</f>
        <v>#NAME?</v>
      </c>
      <c r="CG11" s="253" t="e">
        <f aca="false">xSPRDOPT((VLOOKUP(G11,NGPREVPRICES,2,FALSE())+HLOOKUP(D11,PREVCURVES,VLOOKUP(G11,MOVE_DOWN2,2,FALSE()),FALSE())),VLOOKUP(G11,NGPREVPRICES,2,FALSE()),CK11,VLOOKUP(G11,NGPREVPRICES,4,FALSE()),HLOOKUP(D11,VOLS,VLOOKUP(G11,move_down,2,FALSE()),FALSE()),VLOOKUP(G11,NGPrices,3,FALSE()),HLOOKUP(D11,Correllate,VLOOKUP(G11,CorMove,2,FALSE()),FALSE()),Q11-$CD$3,R11,$CJ$5)*H11-CJ11</f>
        <v>#NAME?</v>
      </c>
      <c r="CH11" s="253" t="e">
        <f aca="false">xSPRDOPT((VLOOKUP(G11,NGPREVPRICES,2,FALSE())+HLOOKUP(D11,PREVCURVES,VLOOKUP(G11,MOVE_DOWN2,2,FALSE()),FALSE())),VLOOKUP(G11,NGPREVPRICES,2,FALSE()),CK11,VLOOKUP(G11,NGPREVPRICES,4,FALSE()),HLOOKUP(D11,PREVVOLS,VLOOKUP(G11,MOVE_DOWN2,2,FALSE()),FALSE()),VLOOKUP(G11,NGPREVPRICES,3,FALSE()),HLOOKUP(D11,Correllate,VLOOKUP(G11,CorMove,2,FALSE()),FALSE()),Q11-$C$3,R11,$CJ$5)*H11-CJ11</f>
        <v>#NAME?</v>
      </c>
      <c r="CI11" s="253" t="e">
        <f aca="false">SUM(CD11:CH11)</f>
        <v>#NAME?</v>
      </c>
      <c r="CJ11" s="253" t="e">
        <f aca="false">xSPRDOPT((VLOOKUP(G11,NGPREVPRICES,2,FALSE())+HLOOKUP(D11,PREVCURVES,VLOOKUP(G11,MOVE_DOWN2,2,FALSE()),FALSE())),VLOOKUP(G11,NGPREVPRICES,2,FALSE()),CK11,VLOOKUP(G11,NGPREVPRICES,4,FALSE()),HLOOKUP(D11,PREVVOLS,VLOOKUP(G11,MOVE_DOWN2,2,FALSE()),FALSE()),VLOOKUP(G11,NGPREVPRICES,3,FALSE()),HLOOKUP(D11,Correllate,VLOOKUP(G11,CorMove,2,FALSE()),FALSE()),Q11-$CD$3,R11,$CJ$5)*H11</f>
        <v>#NAME?</v>
      </c>
      <c r="CK11" s="254" t="n">
        <f aca="false">I11</f>
        <v>0.95</v>
      </c>
      <c r="CM11" s="0" t="str">
        <f aca="false">CONCATENATE(CC11,$CD$6)</f>
        <v>37196Curve Shift/Gamma</v>
      </c>
      <c r="CN11" s="0" t="str">
        <f aca="false">CONCATENATE($CC11,$CE$6)</f>
        <v>37196Rho</v>
      </c>
      <c r="CO11" s="0" t="str">
        <f aca="false">CONCATENATE($CC11,$CF$6)</f>
        <v>37196Drift</v>
      </c>
      <c r="CP11" s="0" t="str">
        <f aca="false">CONCATENATE($CC11,$CG$6)</f>
        <v>37196Vega</v>
      </c>
      <c r="CQ11" s="0" t="str">
        <f aca="false">CONCATENATE($CC11,$CH$6)</f>
        <v>37196Theta</v>
      </c>
      <c r="CR11" s="255" t="n">
        <f aca="false">EOMONTH(CR10,0)+1</f>
        <v>36861</v>
      </c>
      <c r="CS11" s="261" t="e">
        <f aca="false">SUMIF($CM$7:$CM$631,CONCATENATE($CR11,$CS$6),$CD$7:$CD$631)</f>
        <v>#NAME?</v>
      </c>
      <c r="CT11" s="262" t="e">
        <f aca="false">SUMIF($CN$7:$CN$636,CONCATENATE($CR11,$CT$6),$CE$7:$CE$631)</f>
        <v>#NAME?</v>
      </c>
      <c r="CU11" s="262" t="e">
        <f aca="false">SUMIF($CO$7:$CO$636,CONCATENATE($CR11,$CU$6),$CF$7:$CF$631)</f>
        <v>#NAME?</v>
      </c>
      <c r="CV11" s="262" t="e">
        <f aca="false">SUMIF($CP$7:$CP$636,CONCATENATE($CR11,$CV$6),$CG$7:$CG$631)</f>
        <v>#NAME?</v>
      </c>
      <c r="CW11" s="263" t="e">
        <f aca="false">SUMIF($CQ$7:$CQ$636,CONCATENATE($CR11,$CW$6),$CH$7:$CH$631)</f>
        <v>#NAME?</v>
      </c>
      <c r="CX11" s="264" t="e">
        <f aca="false">SUM(CS11:CW11)</f>
        <v>#NAME?</v>
      </c>
      <c r="CZ11" s="255" t="n">
        <f aca="false">CR11</f>
        <v>36861</v>
      </c>
      <c r="DA11" s="261" t="e">
        <f aca="false">SUMIF($CC$7:$CC$1008,$CR11,$CD$7:$CD$1008)</f>
        <v>#NAME?</v>
      </c>
      <c r="DB11" s="262" t="e">
        <f aca="false">SUMIF($CC$7:$CC$1008,$CR11,$CE$7:$CE$1008)</f>
        <v>#NAME?</v>
      </c>
      <c r="DC11" s="262" t="e">
        <f aca="false">SUMIF($CC$7:$CC$1008,$CR11,$CF$7:$CF$1008)</f>
        <v>#NAME?</v>
      </c>
      <c r="DD11" s="262" t="e">
        <f aca="false">SUMIF($CC$7:$CC$1008,$CR11,$CG$7:$CG$1008)</f>
        <v>#NAME?</v>
      </c>
      <c r="DE11" s="263" t="e">
        <f aca="false">SUMIF($CC$7:$CC$1008,$CR11,$CH$7:$CH$1008)</f>
        <v>#NAME?</v>
      </c>
      <c r="DF11" s="264" t="e">
        <f aca="false">SUM(DA11:DE11)</f>
        <v>#NAME?</v>
      </c>
    </row>
    <row r="12" customFormat="false" ht="12" hidden="false" customHeight="true" outlineLevel="0" collapsed="false">
      <c r="A12" s="265" t="s">
        <v>194</v>
      </c>
      <c r="B12" s="125" t="s">
        <v>192</v>
      </c>
      <c r="C12" s="125" t="s">
        <v>195</v>
      </c>
      <c r="D12" s="7" t="s">
        <v>149</v>
      </c>
      <c r="E12" s="7" t="s">
        <v>131</v>
      </c>
      <c r="F12" s="92" t="s">
        <v>136</v>
      </c>
      <c r="G12" s="92" t="n">
        <v>37165</v>
      </c>
      <c r="H12" s="248" t="n">
        <v>500000</v>
      </c>
      <c r="I12" s="7" t="n">
        <v>0.3</v>
      </c>
      <c r="J12" s="124" t="n">
        <f aca="false">VLOOKUP(G12,NGPrices,2,FALSE())</f>
        <v>3.773</v>
      </c>
      <c r="K12" s="125" t="n">
        <f aca="false">HLOOKUP(D12,Prices,VLOOKUP(G12,move_down,2,FALSE()),FALSE())+VLOOKUP(G12,CHANGE,HLOOKUP(D12,CHANGE,2,FALSE()),FALSE())</f>
        <v>0.461</v>
      </c>
      <c r="L12" s="124" t="n">
        <f aca="false">K12+J12</f>
        <v>4.234</v>
      </c>
      <c r="M12" s="126" t="n">
        <f aca="false">VLOOKUP(G12,NGPrices,4,FALSE())</f>
        <v>0.069300944538364</v>
      </c>
      <c r="N12" s="7" t="n">
        <f aca="false">VLOOKUP(G12,NGPrices,3,FALSE())</f>
        <v>0.4025</v>
      </c>
      <c r="O12" s="7" t="n">
        <f aca="false">HLOOKUP(D12,VOLS,VLOOKUP(G12,move_down,2,FALSE()),FALSE())</f>
        <v>0.394</v>
      </c>
      <c r="P12" s="249" t="n">
        <f aca="false">HLOOKUP(D12,Correllate,VLOOKUP(G12,CorMove,2,FALSE()),FALSE())</f>
        <v>0.9738</v>
      </c>
      <c r="Q12" s="92" t="n">
        <f aca="false">WORKDAY(G12,-2)</f>
        <v>37161</v>
      </c>
      <c r="R12" s="7" t="n">
        <f aca="false">IF(F12="P",0,1)</f>
        <v>1</v>
      </c>
      <c r="S12" s="130" t="e">
        <f aca="false">xSPRDOPT($L12,$J12,$I12,$M12,$O12,$N12,$P12,$Q12-$C$3,$R12,0)</f>
        <v>#NAME?</v>
      </c>
      <c r="T12" s="250" t="e">
        <f aca="false">xSPRDOPT($L12,$J12,$I12,$M12,$O12,$N12,$P12,$Q12-$C$3,$R12,1)*H12</f>
        <v>#NAME?</v>
      </c>
      <c r="U12" s="43" t="e">
        <f aca="false">S12*H12</f>
        <v>#NAME?</v>
      </c>
      <c r="V12" s="250" t="e">
        <f aca="false">xSPRDOPT($L12,$J12,$I12,$M12,$O12,$N12,$P12,$Q12-$C$3,$R12,2)*H12</f>
        <v>#NAME?</v>
      </c>
      <c r="W12" s="250" t="e">
        <f aca="false">+V12+T12</f>
        <v>#NAME?</v>
      </c>
      <c r="X12" s="2" t="str">
        <f aca="false">CONCATENATE(G12,D12)</f>
        <v>37165IF-TRANSCO/Z6</v>
      </c>
      <c r="Y12" s="251" t="n">
        <f aca="false">H12/10000</f>
        <v>50</v>
      </c>
      <c r="Z12" s="226" t="e">
        <f aca="false">T12/H12</f>
        <v>#NAME?</v>
      </c>
      <c r="AA12" s="226" t="e">
        <f aca="false">xSPRDOPT($L12,$J12,$I12,$M12,$O12,$N12,$P12,$Q12-$C$3,$R12,3)</f>
        <v>#NAME?</v>
      </c>
      <c r="AB12" s="226" t="e">
        <f aca="false">((xSPRDOPT($L12+AB$5,$J12,$I12,$M12,$O12,$N12,$P12,$Q12-$C$3,$R12,3)*$H12)/10000)/100</f>
        <v>#NAME?</v>
      </c>
      <c r="AC12" s="226" t="e">
        <f aca="false">((xSPRDOPT($L12+$AB$5,$J12,$I12,$M12,$O12,$N12,$P12,$Q12-$C$3,$R12,7)*$H12)/100)</f>
        <v>#NAME?</v>
      </c>
      <c r="AD12" s="226" t="e">
        <f aca="false">(xSPRDOPT($L12+$AB$5,$J12,$I12,$M12,$O12,$N12,$P12,$Q12-$C$3,$R12,9)/365)*$H12</f>
        <v>#NAME?</v>
      </c>
      <c r="AE12" s="0" t="e">
        <f aca="false">CD12</f>
        <v>#NAME?</v>
      </c>
      <c r="AF12" s="226" t="e">
        <f aca="false">((O12/N12)*AH12)+AG12</f>
        <v>#NAME?</v>
      </c>
      <c r="AG12" s="226" t="e">
        <f aca="false">((xSPRDOPT($L12,$J12,$I12,$M12,$O12,$N12,$P12,$Q12-$C$3,$R12,6)*$H12)/100)</f>
        <v>#NAME?</v>
      </c>
      <c r="AH12" s="226" t="e">
        <f aca="false">((xSPRDOPT($L12,$J12,$I12,$M12,$O12,$N12,$P12,$Q12-$C$3,$R12,5)*$H12)/100)</f>
        <v>#NAME?</v>
      </c>
      <c r="AI12" s="226" t="e">
        <f aca="false">(((xSPRDOPT($L12,$J12,$I12,$M12,$O12,$N12,$P12,$Q12-$C$3,$R12,4)*$H12)/10000)/100)-AB12</f>
        <v>#NAME?</v>
      </c>
      <c r="AJ12" s="226"/>
      <c r="AK12" s="226"/>
      <c r="AL12" s="226"/>
      <c r="AM12" s="252"/>
      <c r="AN12" s="208" t="n">
        <f aca="false">EOMONTH(AN11,0)+1</f>
        <v>36892</v>
      </c>
      <c r="AO12" s="134" t="e">
        <f aca="false">SUMIF($X:$X,CONCATENATE($AN12,AO$6),$T:$T)/10000</f>
        <v>#NAME?</v>
      </c>
      <c r="AP12" s="134" t="e">
        <f aca="false">SUMIF($X:$X,CONCATENATE($AN12,AP$6),$T:$T)/10000</f>
        <v>#NAME?</v>
      </c>
      <c r="AQ12" s="134" t="e">
        <f aca="false">SUMIF($X:$X,CONCATENATE($AN12,AQ$6),$T:$T)/10000</f>
        <v>#NAME?</v>
      </c>
      <c r="AR12" s="134" t="e">
        <f aca="false">SUMIF($X:$X,CONCATENATE($AN12,AR$6),$T:$T)/10000</f>
        <v>#NAME?</v>
      </c>
      <c r="AS12" s="134" t="n">
        <f aca="false">SUMIF($X:$X,CONCATENATE($AN12,AS$6),$T:$T)/10000</f>
        <v>0</v>
      </c>
      <c r="AT12" s="134" t="e">
        <f aca="false">SUMIF($X:$X,CONCATENATE($AN12,AT$6),$T:$T)/10000</f>
        <v>#NAME?</v>
      </c>
      <c r="AU12" s="134" t="e">
        <f aca="false">SUMIF($X:$X,CONCATENATE($AN12,AU$6),$T:$T)/10000</f>
        <v>#NAME?</v>
      </c>
      <c r="AV12" s="134" t="n">
        <f aca="false">SUMIF($X:$X,CONCATENATE($AN12,AV$6),$T:$T)/10000</f>
        <v>0</v>
      </c>
      <c r="AW12" s="134" t="n">
        <f aca="false">SUMIF($X:$X,CONCATENATE($AN12,AW$6),$T:$T)/10000</f>
        <v>0</v>
      </c>
      <c r="AX12" s="134" t="e">
        <f aca="false">SUMIF($X:$X,CONCATENATE($AN12,AX$6),$T:$T)/10000</f>
        <v>#NAME?</v>
      </c>
      <c r="AY12" s="134" t="e">
        <f aca="false">SUMIF($X:$X,CONCATENATE($AN12,AY$6),$T:$T)/10000</f>
        <v>#NAME?</v>
      </c>
      <c r="AZ12" s="134" t="e">
        <f aca="false">SUMIF($X:$X,CONCATENATE($AN12,AZ$6),$T:$T)/10000</f>
        <v>#NAME?</v>
      </c>
      <c r="BA12" s="135" t="e">
        <f aca="false">SUMIF($X:$X,CONCATENATE($AN12,BA$6),$T:$T)/10000</f>
        <v>#NAME?</v>
      </c>
      <c r="BB12" s="208" t="n">
        <f aca="false">EOMONTH(BB11,0)+1</f>
        <v>36892</v>
      </c>
      <c r="BC12" s="135" t="e">
        <f aca="false">SUM(AO12:BA12)</f>
        <v>#NAME?</v>
      </c>
      <c r="BD12" s="2"/>
      <c r="BE12" s="208" t="n">
        <f aca="false">EOMONTH(BE11,0)+1</f>
        <v>36892</v>
      </c>
      <c r="BF12" s="134" t="e">
        <f aca="false">SUMIF($X:$X,CONCATENATE($AN12,BF$6),$W:$W)</f>
        <v>#NAME?</v>
      </c>
      <c r="BG12" s="134" t="e">
        <f aca="false">SUMIF($X:$X,CONCATENATE($AN12,BG$6),$W:$W)</f>
        <v>#NAME?</v>
      </c>
      <c r="BH12" s="134" t="e">
        <f aca="false">SUMIF($X:$X,CONCATENATE($AN12,BH$6),$W:$W)</f>
        <v>#NAME?</v>
      </c>
      <c r="BI12" s="134" t="e">
        <f aca="false">SUMIF($X:$X,CONCATENATE($AN12,BI$6),$W:$W)</f>
        <v>#NAME?</v>
      </c>
      <c r="BJ12" s="134" t="n">
        <f aca="false">SUMIF($X:$X,CONCATENATE($AN12,BJ$6),$W:$W)</f>
        <v>0</v>
      </c>
      <c r="BK12" s="134" t="e">
        <f aca="false">SUMIF($X:$X,CONCATENATE($AN12,BK$6),$W:$W)</f>
        <v>#NAME?</v>
      </c>
      <c r="BL12" s="134" t="e">
        <f aca="false">SUMIF($X:$X,CONCATENATE($AN12,BL$6),$W:$W)</f>
        <v>#NAME?</v>
      </c>
      <c r="BM12" s="134" t="n">
        <f aca="false">SUMIF($X:$X,CONCATENATE($AN12,BM$6),$W:$W)</f>
        <v>0</v>
      </c>
      <c r="BN12" s="134" t="n">
        <f aca="false">SUMIF($X:$X,CONCATENATE($AN12,BN$6),$W:$W)</f>
        <v>0</v>
      </c>
      <c r="BO12" s="134" t="e">
        <f aca="false">SUMIF($X:$X,CONCATENATE($AN12,BO$6),$W:$W)</f>
        <v>#NAME?</v>
      </c>
      <c r="BP12" s="134" t="e">
        <f aca="false">SUMIF($X:$X,CONCATENATE($AN12,BP$6),$W:$W)</f>
        <v>#NAME?</v>
      </c>
      <c r="BQ12" s="134" t="e">
        <f aca="false">SUMIF($X:$X,CONCATENATE($AN12,BQ$6),$W:$W)</f>
        <v>#NAME?</v>
      </c>
      <c r="BR12" s="135" t="e">
        <f aca="false">SUMIF($X:$X,CONCATENATE($AN12,BR$6),$W:$W)</f>
        <v>#NAME?</v>
      </c>
      <c r="BS12" s="208" t="n">
        <f aca="false">EOMONTH(BS11,0)+1</f>
        <v>36892</v>
      </c>
      <c r="BT12" s="135" t="e">
        <f aca="false">SUM(BF12:BR12)</f>
        <v>#NAME?</v>
      </c>
      <c r="BU12" s="260" t="e">
        <f aca="false">BT12/10000</f>
        <v>#NAME?</v>
      </c>
      <c r="BV12" s="2"/>
      <c r="BW12" s="2"/>
      <c r="BX12" s="2"/>
      <c r="BY12" s="2"/>
      <c r="BZ12" s="2"/>
      <c r="CA12" s="2"/>
      <c r="CB12" s="2"/>
      <c r="CC12" s="182" t="n">
        <f aca="false">G12</f>
        <v>37165</v>
      </c>
      <c r="CD12" s="253" t="e">
        <f aca="false">xSPRDOPT((VLOOKUP(G12,NGPrices,2,FALSE())+HLOOKUP(D12,Prices,VLOOKUP(G12,move_down,2,FALSE()),FALSE())),VLOOKUP(G12,NGPrices,2,FALSE()),I12,VLOOKUP(G12,NGPREVPRICES,4,FALSE()),HLOOKUP(D12,PREVVOLS,VLOOKUP(G12,MOVE_DOWN2,2,FALSE()),FALSE()),VLOOKUP(G12,NGPREVPRICES,3,FALSE()),HLOOKUP(D12,Correllate,VLOOKUP(G12,CorMove,2,FALSE()),FALSE()),Q12-$CD$3,R12,$CD$5)*H12-CJ12</f>
        <v>#NAME?</v>
      </c>
      <c r="CE12" s="253" t="e">
        <f aca="false">xSPRDOPT((VLOOKUP(G12,NGPREVPRICES,2,FALSE())+HLOOKUP(D12,PREVCURVES,VLOOKUP(G12,MOVE_DOWN2,2,FALSE()),FALSE())),VLOOKUP(G12,NGPREVPRICES,2,FALSE()),CK12,VLOOKUP(G12,NGPrices,4,FALSE()),HLOOKUP(D12,PREVVOLS,VLOOKUP(G12,MOVE_DOWN2,2,FALSE()),FALSE()),VLOOKUP(G12,NGPREVPRICES,3,FALSE()),HLOOKUP(D12,Correllate,VLOOKUP(G12,CorMove,2,FALSE()),FALSE()),Q12-$CD$3,R12,$CJ$5)*H12-CJ12</f>
        <v>#NAME?</v>
      </c>
      <c r="CF12" s="132" t="e">
        <f aca="false">(CJ12/VLOOKUP(CC12,discount,3,FALSE()))-(CJ12/VLOOKUP(CC12,discount,2,FALSE()))</f>
        <v>#NAME?</v>
      </c>
      <c r="CG12" s="253" t="e">
        <f aca="false">xSPRDOPT((VLOOKUP(G12,NGPREVPRICES,2,FALSE())+HLOOKUP(D12,PREVCURVES,VLOOKUP(G12,MOVE_DOWN2,2,FALSE()),FALSE())),VLOOKUP(G12,NGPREVPRICES,2,FALSE()),CK12,VLOOKUP(G12,NGPREVPRICES,4,FALSE()),HLOOKUP(D12,VOLS,VLOOKUP(G12,move_down,2,FALSE()),FALSE()),VLOOKUP(G12,NGPrices,3,FALSE()),HLOOKUP(D12,Correllate,VLOOKUP(G12,CorMove,2,FALSE()),FALSE()),Q12-$CD$3,R12,$CJ$5)*H12-CJ12</f>
        <v>#NAME?</v>
      </c>
      <c r="CH12" s="253" t="e">
        <f aca="false">xSPRDOPT((VLOOKUP(G12,NGPREVPRICES,2,FALSE())+HLOOKUP(D12,PREVCURVES,VLOOKUP(G12,MOVE_DOWN2,2,FALSE()),FALSE())),VLOOKUP(G12,NGPREVPRICES,2,FALSE()),CK12,VLOOKUP(G12,NGPREVPRICES,4,FALSE()),HLOOKUP(D12,PREVVOLS,VLOOKUP(G12,MOVE_DOWN2,2,FALSE()),FALSE()),VLOOKUP(G12,NGPREVPRICES,3,FALSE()),HLOOKUP(D12,Correllate,VLOOKUP(G12,CorMove,2,FALSE()),FALSE()),Q12-$C$3,R12,$CJ$5)*H12-CJ12</f>
        <v>#NAME?</v>
      </c>
      <c r="CI12" s="253" t="e">
        <f aca="false">SUM(CD12:CH12)</f>
        <v>#NAME?</v>
      </c>
      <c r="CJ12" s="253" t="e">
        <f aca="false">xSPRDOPT((VLOOKUP(G12,NGPREVPRICES,2,FALSE())+HLOOKUP(D12,PREVCURVES,VLOOKUP(G12,MOVE_DOWN2,2,FALSE()),FALSE())),VLOOKUP(G12,NGPREVPRICES,2,FALSE()),CK12,VLOOKUP(G12,NGPREVPRICES,4,FALSE()),HLOOKUP(D12,PREVVOLS,VLOOKUP(G12,MOVE_DOWN2,2,FALSE()),FALSE()),VLOOKUP(G12,NGPREVPRICES,3,FALSE()),HLOOKUP(D12,Correllate,VLOOKUP(G12,CorMove,2,FALSE()),FALSE()),Q12-$CD$3,R12,$CJ$5)*H12</f>
        <v>#NAME?</v>
      </c>
      <c r="CK12" s="254" t="n">
        <f aca="false">I12</f>
        <v>0.3</v>
      </c>
      <c r="CM12" s="0" t="str">
        <f aca="false">CONCATENATE(CC12,$CD$6)</f>
        <v>37165Curve Shift/Gamma</v>
      </c>
      <c r="CN12" s="0" t="str">
        <f aca="false">CONCATENATE($CC12,$CE$6)</f>
        <v>37165Rho</v>
      </c>
      <c r="CO12" s="0" t="str">
        <f aca="false">CONCATENATE($CC12,$CF$6)</f>
        <v>37165Drift</v>
      </c>
      <c r="CP12" s="0" t="str">
        <f aca="false">CONCATENATE($CC12,$CG$6)</f>
        <v>37165Vega</v>
      </c>
      <c r="CQ12" s="0" t="str">
        <f aca="false">CONCATENATE($CC12,$CH$6)</f>
        <v>37165Theta</v>
      </c>
      <c r="CR12" s="255" t="n">
        <f aca="false">EOMONTH(CR11,0)+1</f>
        <v>36892</v>
      </c>
      <c r="CS12" s="261" t="e">
        <f aca="false">SUMIF($CM$7:$CM$631,CONCATENATE($CR12,$CS$6),$CD$7:$CD$631)</f>
        <v>#NAME?</v>
      </c>
      <c r="CT12" s="262" t="e">
        <f aca="false">SUMIF($CN$7:$CN$636,CONCATENATE($CR12,$CT$6),$CE$7:$CE$631)</f>
        <v>#NAME?</v>
      </c>
      <c r="CU12" s="262" t="e">
        <f aca="false">SUMIF($CO$7:$CO$636,CONCATENATE($CR12,$CU$6),$CF$7:$CF$631)</f>
        <v>#NAME?</v>
      </c>
      <c r="CV12" s="262" t="e">
        <f aca="false">SUMIF($CP$7:$CP$636,CONCATENATE($CR12,$CV$6),$CG$7:$CG$631)</f>
        <v>#NAME?</v>
      </c>
      <c r="CW12" s="263" t="e">
        <f aca="false">SUMIF($CQ$7:$CQ$636,CONCATENATE($CR12,$CW$6),$CH$7:$CH$631)</f>
        <v>#NAME?</v>
      </c>
      <c r="CX12" s="264" t="e">
        <f aca="false">SUM(CS12:CW12)</f>
        <v>#NAME?</v>
      </c>
      <c r="CZ12" s="255" t="n">
        <f aca="false">CR12</f>
        <v>36892</v>
      </c>
      <c r="DA12" s="261" t="e">
        <f aca="false">SUMIF($CC$7:$CC$1008,$CR12,$CD$7:$CD$1008)</f>
        <v>#NAME?</v>
      </c>
      <c r="DB12" s="262" t="e">
        <f aca="false">SUMIF($CC$7:$CC$1008,$CR12,$CE$7:$CE$1008)</f>
        <v>#NAME?</v>
      </c>
      <c r="DC12" s="262" t="e">
        <f aca="false">SUMIF($CC$7:$CC$1008,$CR12,$CF$7:$CF$1008)</f>
        <v>#NAME?</v>
      </c>
      <c r="DD12" s="262" t="e">
        <f aca="false">SUMIF($CC$7:$CC$1008,$CR12,$CG$7:$CG$1008)</f>
        <v>#NAME?</v>
      </c>
      <c r="DE12" s="263" t="e">
        <f aca="false">SUMIF($CC$7:$CC$1008,$CR12,$CH$7:$CH$1008)</f>
        <v>#NAME?</v>
      </c>
      <c r="DF12" s="264" t="e">
        <f aca="false">SUM(DA12:DE12)</f>
        <v>#NAME?</v>
      </c>
    </row>
    <row r="13" customFormat="false" ht="12" hidden="false" customHeight="true" outlineLevel="0" collapsed="false">
      <c r="A13" s="266" t="s">
        <v>194</v>
      </c>
      <c r="B13" s="125" t="s">
        <v>192</v>
      </c>
      <c r="C13" s="125" t="s">
        <v>195</v>
      </c>
      <c r="D13" s="7" t="s">
        <v>149</v>
      </c>
      <c r="E13" s="7" t="s">
        <v>131</v>
      </c>
      <c r="F13" s="92" t="s">
        <v>136</v>
      </c>
      <c r="G13" s="92" t="n">
        <v>37135</v>
      </c>
      <c r="H13" s="248" t="n">
        <v>500000</v>
      </c>
      <c r="I13" s="7" t="n">
        <v>0.3</v>
      </c>
      <c r="J13" s="124" t="n">
        <f aca="false">VLOOKUP(G13,NGPrices,2,FALSE())</f>
        <v>3.788</v>
      </c>
      <c r="K13" s="125" t="n">
        <f aca="false">HLOOKUP(D13,Prices,VLOOKUP(G13,move_down,2,FALSE()),FALSE())+VLOOKUP(G13,CHANGE,HLOOKUP(D13,CHANGE,2,FALSE()),FALSE())</f>
        <v>0.395</v>
      </c>
      <c r="L13" s="124" t="n">
        <f aca="false">K13+J13</f>
        <v>4.183</v>
      </c>
      <c r="M13" s="126" t="n">
        <f aca="false">VLOOKUP(G13,NGPrices,4,FALSE())</f>
        <v>0.069264550207512</v>
      </c>
      <c r="N13" s="7" t="n">
        <f aca="false">VLOOKUP(G13,NGPrices,3,FALSE())</f>
        <v>0.4</v>
      </c>
      <c r="O13" s="7" t="n">
        <f aca="false">HLOOKUP(D13,VOLS,VLOOKUP(G13,move_down,2,FALSE()),FALSE())</f>
        <v>0.392</v>
      </c>
      <c r="P13" s="249" t="n">
        <f aca="false">HLOOKUP(D13,Correllate,VLOOKUP(G13,CorMove,2,FALSE()),FALSE())</f>
        <v>0.9738</v>
      </c>
      <c r="Q13" s="92" t="n">
        <f aca="false">WORKDAY(G13,-2)</f>
        <v>37133</v>
      </c>
      <c r="R13" s="7" t="n">
        <f aca="false">IF(F13="P",0,1)</f>
        <v>1</v>
      </c>
      <c r="S13" s="130" t="e">
        <f aca="false">xSPRDOPT($L13,$J13,$I13,$M13,$O13,$N13,$P13,$Q13-$C$3,$R13,0)</f>
        <v>#NAME?</v>
      </c>
      <c r="T13" s="250" t="e">
        <f aca="false">xSPRDOPT($L13,$J13,$I13,$M13,$O13,$N13,$P13,$Q13-$C$3,$R13,1)*H13</f>
        <v>#NAME?</v>
      </c>
      <c r="U13" s="43" t="e">
        <f aca="false">S13*H13</f>
        <v>#NAME?</v>
      </c>
      <c r="V13" s="250" t="e">
        <f aca="false">xSPRDOPT($L13,$J13,$I13,$M13,$O13,$N13,$P13,$Q13-$C$3,$R13,2)*H13</f>
        <v>#NAME?</v>
      </c>
      <c r="W13" s="250" t="e">
        <f aca="false">+V13+T13</f>
        <v>#NAME?</v>
      </c>
      <c r="X13" s="2" t="str">
        <f aca="false">CONCATENATE(G13,D13)</f>
        <v>37135IF-TRANSCO/Z6</v>
      </c>
      <c r="Y13" s="251" t="n">
        <f aca="false">H13/10000</f>
        <v>50</v>
      </c>
      <c r="Z13" s="226" t="e">
        <f aca="false">T13/H13</f>
        <v>#NAME?</v>
      </c>
      <c r="AA13" s="226" t="e">
        <f aca="false">xSPRDOPT($L13,$J13,$I13,$M13,$O13,$N13,$P13,$Q13-$C$3,$R13,3)</f>
        <v>#NAME?</v>
      </c>
      <c r="AB13" s="226" t="e">
        <f aca="false">((xSPRDOPT($L13+AB$5,$J13,$I13,$M13,$O13,$N13,$P13,$Q13-$C$3,$R13,3)*$H13)/10000)/100</f>
        <v>#NAME?</v>
      </c>
      <c r="AC13" s="226" t="e">
        <f aca="false">((xSPRDOPT($L13+$AB$5,$J13,$I13,$M13,$O13,$N13,$P13,$Q13-$C$3,$R13,7)*$H13)/100)</f>
        <v>#NAME?</v>
      </c>
      <c r="AD13" s="226" t="e">
        <f aca="false">(xSPRDOPT($L13+$AB$5,$J13,$I13,$M13,$O13,$N13,$P13,$Q13-$C$3,$R13,9)/365)*$H13</f>
        <v>#NAME?</v>
      </c>
      <c r="AE13" s="0" t="e">
        <f aca="false">CD13</f>
        <v>#NAME?</v>
      </c>
      <c r="AF13" s="226" t="e">
        <f aca="false">((O13/N13)*AH13)+AG13</f>
        <v>#NAME?</v>
      </c>
      <c r="AG13" s="226" t="e">
        <f aca="false">((xSPRDOPT($L13,$J13,$I13,$M13,$O13,$N13,$P13,$Q13-$C$3,$R13,6)*$H13)/100)</f>
        <v>#NAME?</v>
      </c>
      <c r="AH13" s="226" t="e">
        <f aca="false">((xSPRDOPT($L13,$J13,$I13,$M13,$O13,$N13,$P13,$Q13-$C$3,$R13,5)*$H13)/100)</f>
        <v>#NAME?</v>
      </c>
      <c r="AI13" s="226" t="e">
        <f aca="false">(((xSPRDOPT($L13,$J13,$I13,$M13,$O13,$N13,$P13,$Q13-$C$3,$R13,4)*$H13)/10000)/100)-AB13</f>
        <v>#NAME?</v>
      </c>
      <c r="AJ13" s="226"/>
      <c r="AK13" s="226"/>
      <c r="AL13" s="226"/>
      <c r="AM13" s="252"/>
      <c r="AN13" s="208" t="n">
        <f aca="false">EOMONTH(AN12,0)+1</f>
        <v>36923</v>
      </c>
      <c r="AO13" s="134" t="e">
        <f aca="false">SUMIF($X:$X,CONCATENATE($AN13,AO$6),$T:$T)/10000</f>
        <v>#NAME?</v>
      </c>
      <c r="AP13" s="134" t="e">
        <f aca="false">SUMIF($X:$X,CONCATENATE($AN13,AP$6),$T:$T)/10000</f>
        <v>#NAME?</v>
      </c>
      <c r="AQ13" s="134" t="e">
        <f aca="false">SUMIF($X:$X,CONCATENATE($AN13,AQ$6),$T:$T)/10000</f>
        <v>#NAME?</v>
      </c>
      <c r="AR13" s="134" t="e">
        <f aca="false">SUMIF($X:$X,CONCATENATE($AN13,AR$6),$T:$T)/10000</f>
        <v>#NAME?</v>
      </c>
      <c r="AS13" s="134" t="n">
        <f aca="false">SUMIF($X:$X,CONCATENATE($AN13,AS$6),$T:$T)/10000</f>
        <v>0</v>
      </c>
      <c r="AT13" s="134" t="e">
        <f aca="false">SUMIF($X:$X,CONCATENATE($AN13,AT$6),$T:$T)/10000</f>
        <v>#NAME?</v>
      </c>
      <c r="AU13" s="134" t="e">
        <f aca="false">SUMIF($X:$X,CONCATENATE($AN13,AU$6),$T:$T)/10000</f>
        <v>#NAME?</v>
      </c>
      <c r="AV13" s="134" t="n">
        <f aca="false">SUMIF($X:$X,CONCATENATE($AN13,AV$6),$T:$T)/10000</f>
        <v>0</v>
      </c>
      <c r="AW13" s="134" t="n">
        <f aca="false">SUMIF($X:$X,CONCATENATE($AN13,AW$6),$T:$T)/10000</f>
        <v>0</v>
      </c>
      <c r="AX13" s="134" t="e">
        <f aca="false">SUMIF($X:$X,CONCATENATE($AN13,AX$6),$T:$T)/10000</f>
        <v>#NAME?</v>
      </c>
      <c r="AY13" s="134" t="e">
        <f aca="false">SUMIF($X:$X,CONCATENATE($AN13,AY$6),$T:$T)/10000</f>
        <v>#NAME?</v>
      </c>
      <c r="AZ13" s="134" t="e">
        <f aca="false">SUMIF($X:$X,CONCATENATE($AN13,AZ$6),$T:$T)/10000</f>
        <v>#NAME?</v>
      </c>
      <c r="BA13" s="135" t="e">
        <f aca="false">SUMIF($X:$X,CONCATENATE($AN13,BA$6),$T:$T)/10000</f>
        <v>#NAME?</v>
      </c>
      <c r="BB13" s="208" t="n">
        <f aca="false">EOMONTH(BB12,0)+1</f>
        <v>36923</v>
      </c>
      <c r="BC13" s="135" t="e">
        <f aca="false">SUM(AO13:BA13)</f>
        <v>#NAME?</v>
      </c>
      <c r="BD13" s="2"/>
      <c r="BE13" s="208" t="n">
        <f aca="false">EOMONTH(BE12,0)+1</f>
        <v>36923</v>
      </c>
      <c r="BF13" s="134" t="e">
        <f aca="false">SUMIF($X:$X,CONCATENATE($AN13,BF$6),$W:$W)</f>
        <v>#NAME?</v>
      </c>
      <c r="BG13" s="134" t="e">
        <f aca="false">SUMIF($X:$X,CONCATENATE($AN13,BG$6),$W:$W)</f>
        <v>#NAME?</v>
      </c>
      <c r="BH13" s="134" t="e">
        <f aca="false">SUMIF($X:$X,CONCATENATE($AN13,BH$6),$W:$W)</f>
        <v>#NAME?</v>
      </c>
      <c r="BI13" s="134" t="e">
        <f aca="false">SUMIF($X:$X,CONCATENATE($AN13,BI$6),$W:$W)</f>
        <v>#NAME?</v>
      </c>
      <c r="BJ13" s="134" t="n">
        <f aca="false">SUMIF($X:$X,CONCATENATE($AN13,BJ$6),$W:$W)</f>
        <v>0</v>
      </c>
      <c r="BK13" s="134" t="e">
        <f aca="false">SUMIF($X:$X,CONCATENATE($AN13,BK$6),$W:$W)</f>
        <v>#NAME?</v>
      </c>
      <c r="BL13" s="134" t="e">
        <f aca="false">SUMIF($X:$X,CONCATENATE($AN13,BL$6),$W:$W)</f>
        <v>#NAME?</v>
      </c>
      <c r="BM13" s="134" t="n">
        <f aca="false">SUMIF($X:$X,CONCATENATE($AN13,BM$6),$W:$W)</f>
        <v>0</v>
      </c>
      <c r="BN13" s="134" t="n">
        <f aca="false">SUMIF($X:$X,CONCATENATE($AN13,BN$6),$W:$W)</f>
        <v>0</v>
      </c>
      <c r="BO13" s="134" t="e">
        <f aca="false">SUMIF($X:$X,CONCATENATE($AN13,BO$6),$W:$W)</f>
        <v>#NAME?</v>
      </c>
      <c r="BP13" s="134" t="e">
        <f aca="false">SUMIF($X:$X,CONCATENATE($AN13,BP$6),$W:$W)</f>
        <v>#NAME?</v>
      </c>
      <c r="BQ13" s="134" t="e">
        <f aca="false">SUMIF($X:$X,CONCATENATE($AN13,BQ$6),$W:$W)</f>
        <v>#NAME?</v>
      </c>
      <c r="BR13" s="135" t="e">
        <f aca="false">SUMIF($X:$X,CONCATENATE($AN13,BR$6),$W:$W)</f>
        <v>#NAME?</v>
      </c>
      <c r="BS13" s="208" t="n">
        <f aca="false">EOMONTH(BS12,0)+1</f>
        <v>36923</v>
      </c>
      <c r="BT13" s="135" t="e">
        <f aca="false">SUM(BF13:BR13)</f>
        <v>#NAME?</v>
      </c>
      <c r="BU13" s="260" t="e">
        <f aca="false">BT13/10000</f>
        <v>#NAME?</v>
      </c>
      <c r="BV13" s="2"/>
      <c r="BW13" s="2"/>
      <c r="BX13" s="2"/>
      <c r="BY13" s="2"/>
      <c r="BZ13" s="2"/>
      <c r="CA13" s="2"/>
      <c r="CB13" s="2"/>
      <c r="CC13" s="182" t="n">
        <f aca="false">G13</f>
        <v>37135</v>
      </c>
      <c r="CD13" s="253" t="e">
        <f aca="false">xSPRDOPT((VLOOKUP(G13,NGPrices,2,FALSE())+HLOOKUP(D13,Prices,VLOOKUP(G13,move_down,2,FALSE()),FALSE())),VLOOKUP(G13,NGPrices,2,FALSE()),I13,VLOOKUP(G13,NGPREVPRICES,4,FALSE()),HLOOKUP(D13,PREVVOLS,VLOOKUP(G13,MOVE_DOWN2,2,FALSE()),FALSE()),VLOOKUP(G13,NGPREVPRICES,3,FALSE()),HLOOKUP(D13,Correllate,VLOOKUP(G13,CorMove,2,FALSE()),FALSE()),Q13-$CD$3,R13,$CD$5)*H13-CJ13</f>
        <v>#NAME?</v>
      </c>
      <c r="CE13" s="253" t="e">
        <f aca="false">xSPRDOPT((VLOOKUP(G13,NGPREVPRICES,2,FALSE())+HLOOKUP(D13,PREVCURVES,VLOOKUP(G13,MOVE_DOWN2,2,FALSE()),FALSE())),VLOOKUP(G13,NGPREVPRICES,2,FALSE()),CK13,VLOOKUP(G13,NGPrices,4,FALSE()),HLOOKUP(D13,PREVVOLS,VLOOKUP(G13,MOVE_DOWN2,2,FALSE()),FALSE()),VLOOKUP(G13,NGPREVPRICES,3,FALSE()),HLOOKUP(D13,Correllate,VLOOKUP(G13,CorMove,2,FALSE()),FALSE()),Q13-$CD$3,R13,$CJ$5)*H13-CJ13</f>
        <v>#NAME?</v>
      </c>
      <c r="CF13" s="132" t="e">
        <f aca="false">(CJ13/VLOOKUP(CC13,discount,3,FALSE()))-(CJ13/VLOOKUP(CC13,discount,2,FALSE()))</f>
        <v>#NAME?</v>
      </c>
      <c r="CG13" s="253" t="e">
        <f aca="false">xSPRDOPT((VLOOKUP(G13,NGPREVPRICES,2,FALSE())+HLOOKUP(D13,PREVCURVES,VLOOKUP(G13,MOVE_DOWN2,2,FALSE()),FALSE())),VLOOKUP(G13,NGPREVPRICES,2,FALSE()),CK13,VLOOKUP(G13,NGPREVPRICES,4,FALSE()),HLOOKUP(D13,VOLS,VLOOKUP(G13,move_down,2,FALSE()),FALSE()),VLOOKUP(G13,NGPrices,3,FALSE()),HLOOKUP(D13,Correllate,VLOOKUP(G13,CorMove,2,FALSE()),FALSE()),Q13-$CD$3,R13,$CJ$5)*H13-CJ13</f>
        <v>#NAME?</v>
      </c>
      <c r="CH13" s="253" t="e">
        <f aca="false">xSPRDOPT((VLOOKUP(G13,NGPREVPRICES,2,FALSE())+HLOOKUP(D13,PREVCURVES,VLOOKUP(G13,MOVE_DOWN2,2,FALSE()),FALSE())),VLOOKUP(G13,NGPREVPRICES,2,FALSE()),CK13,VLOOKUP(G13,NGPREVPRICES,4,FALSE()),HLOOKUP(D13,PREVVOLS,VLOOKUP(G13,MOVE_DOWN2,2,FALSE()),FALSE()),VLOOKUP(G13,NGPREVPRICES,3,FALSE()),HLOOKUP(D13,Correllate,VLOOKUP(G13,CorMove,2,FALSE()),FALSE()),Q13-$C$3,R13,$CJ$5)*H13-CJ13</f>
        <v>#NAME?</v>
      </c>
      <c r="CI13" s="253" t="e">
        <f aca="false">SUM(CD13:CH13)</f>
        <v>#NAME?</v>
      </c>
      <c r="CJ13" s="253" t="e">
        <f aca="false">xSPRDOPT((VLOOKUP(G13,NGPREVPRICES,2,FALSE())+HLOOKUP(D13,PREVCURVES,VLOOKUP(G13,MOVE_DOWN2,2,FALSE()),FALSE())),VLOOKUP(G13,NGPREVPRICES,2,FALSE()),CK13,VLOOKUP(G13,NGPREVPRICES,4,FALSE()),HLOOKUP(D13,PREVVOLS,VLOOKUP(G13,MOVE_DOWN2,2,FALSE()),FALSE()),VLOOKUP(G13,NGPREVPRICES,3,FALSE()),HLOOKUP(D13,Correllate,VLOOKUP(G13,CorMove,2,FALSE()),FALSE()),Q13-$CD$3,R13,$CJ$5)*H13</f>
        <v>#NAME?</v>
      </c>
      <c r="CK13" s="254" t="n">
        <f aca="false">I13</f>
        <v>0.3</v>
      </c>
      <c r="CM13" s="0" t="str">
        <f aca="false">CONCATENATE(CC13,$CD$6)</f>
        <v>37135Curve Shift/Gamma</v>
      </c>
      <c r="CN13" s="0" t="str">
        <f aca="false">CONCATENATE($CC13,$CE$6)</f>
        <v>37135Rho</v>
      </c>
      <c r="CO13" s="0" t="str">
        <f aca="false">CONCATENATE($CC13,$CF$6)</f>
        <v>37135Drift</v>
      </c>
      <c r="CP13" s="0" t="str">
        <f aca="false">CONCATENATE($CC13,$CG$6)</f>
        <v>37135Vega</v>
      </c>
      <c r="CQ13" s="0" t="str">
        <f aca="false">CONCATENATE($CC13,$CH$6)</f>
        <v>37135Theta</v>
      </c>
      <c r="CR13" s="255" t="n">
        <f aca="false">EOMONTH(CR12,0)+1</f>
        <v>36923</v>
      </c>
      <c r="CS13" s="261" t="e">
        <f aca="false">SUMIF($CM$7:$CM$631,CONCATENATE($CR13,$CS$6),$CD$7:$CD$631)</f>
        <v>#NAME?</v>
      </c>
      <c r="CT13" s="262" t="e">
        <f aca="false">SUMIF($CN$7:$CN$636,CONCATENATE($CR13,$CT$6),$CE$7:$CE$631)</f>
        <v>#NAME?</v>
      </c>
      <c r="CU13" s="262" t="e">
        <f aca="false">SUMIF($CO$7:$CO$636,CONCATENATE($CR13,$CU$6),$CF$7:$CF$631)</f>
        <v>#NAME?</v>
      </c>
      <c r="CV13" s="262" t="e">
        <f aca="false">SUMIF($CP$7:$CP$636,CONCATENATE($CR13,$CV$6),$CG$7:$CG$631)</f>
        <v>#NAME?</v>
      </c>
      <c r="CW13" s="263" t="e">
        <f aca="false">SUMIF($CQ$7:$CQ$636,CONCATENATE($CR13,$CW$6),$CH$7:$CH$631)</f>
        <v>#NAME?</v>
      </c>
      <c r="CX13" s="264" t="e">
        <f aca="false">SUM(CS13:CW13)</f>
        <v>#NAME?</v>
      </c>
      <c r="CZ13" s="255" t="n">
        <f aca="false">CR13</f>
        <v>36923</v>
      </c>
      <c r="DA13" s="261" t="e">
        <f aca="false">SUMIF($CC$7:$CC$1008,$CR13,$CD$7:$CD$1008)</f>
        <v>#NAME?</v>
      </c>
      <c r="DB13" s="262" t="e">
        <f aca="false">SUMIF($CC$7:$CC$1008,$CR13,$CE$7:$CE$1008)</f>
        <v>#NAME?</v>
      </c>
      <c r="DC13" s="262" t="e">
        <f aca="false">SUMIF($CC$7:$CC$1008,$CR13,$CF$7:$CF$1008)</f>
        <v>#NAME?</v>
      </c>
      <c r="DD13" s="262" t="e">
        <f aca="false">SUMIF($CC$7:$CC$1008,$CR13,$CG$7:$CG$1008)</f>
        <v>#NAME?</v>
      </c>
      <c r="DE13" s="263" t="e">
        <f aca="false">SUMIF($CC$7:$CC$1008,$CR13,$CH$7:$CH$1008)</f>
        <v>#NAME?</v>
      </c>
      <c r="DF13" s="264" t="e">
        <f aca="false">SUM(DA13:DE13)</f>
        <v>#NAME?</v>
      </c>
    </row>
    <row r="14" customFormat="false" ht="12" hidden="false" customHeight="true" outlineLevel="0" collapsed="false">
      <c r="A14" s="265" t="s">
        <v>194</v>
      </c>
      <c r="B14" s="125" t="s">
        <v>192</v>
      </c>
      <c r="C14" s="125" t="s">
        <v>195</v>
      </c>
      <c r="D14" s="7" t="s">
        <v>149</v>
      </c>
      <c r="E14" s="7" t="s">
        <v>131</v>
      </c>
      <c r="F14" s="92" t="s">
        <v>136</v>
      </c>
      <c r="G14" s="92" t="n">
        <v>37104</v>
      </c>
      <c r="H14" s="248" t="n">
        <v>500000</v>
      </c>
      <c r="I14" s="7" t="n">
        <v>0.3</v>
      </c>
      <c r="J14" s="124" t="n">
        <f aca="false">VLOOKUP(G14,NGPrices,2,FALSE())</f>
        <v>3.808</v>
      </c>
      <c r="K14" s="125" t="n">
        <f aca="false">HLOOKUP(D14,Prices,VLOOKUP(G14,move_down,2,FALSE()),FALSE())+VLOOKUP(G14,CHANGE,HLOOKUP(D14,CHANGE,2,FALSE()),FALSE())</f>
        <v>0.46</v>
      </c>
      <c r="L14" s="124" t="n">
        <f aca="false">K14+J14</f>
        <v>4.268</v>
      </c>
      <c r="M14" s="126" t="n">
        <f aca="false">VLOOKUP(G14,NGPrices,4,FALSE())</f>
        <v>0.069223060737755</v>
      </c>
      <c r="N14" s="7" t="n">
        <f aca="false">VLOOKUP(G14,NGPrices,3,FALSE())</f>
        <v>0.4</v>
      </c>
      <c r="O14" s="7" t="n">
        <f aca="false">HLOOKUP(D14,VOLS,VLOOKUP(G14,move_down,2,FALSE()),FALSE())</f>
        <v>0.392</v>
      </c>
      <c r="P14" s="249" t="n">
        <f aca="false">HLOOKUP(D14,Correllate,VLOOKUP(G14,CorMove,2,FALSE()),FALSE())</f>
        <v>0.9738</v>
      </c>
      <c r="Q14" s="92" t="n">
        <f aca="false">WORKDAY(G14,-2)</f>
        <v>37102</v>
      </c>
      <c r="R14" s="7" t="n">
        <f aca="false">IF(F14="P",0,1)</f>
        <v>1</v>
      </c>
      <c r="S14" s="130" t="e">
        <f aca="false">xSPRDOPT($L14,$J14,$I14,$M14,$O14,$N14,$P14,$Q14-$C$3,$R14,0)</f>
        <v>#NAME?</v>
      </c>
      <c r="T14" s="250" t="e">
        <f aca="false">xSPRDOPT($L14,$J14,$I14,$M14,$O14,$N14,$P14,$Q14-$C$3,$R14,1)*H14</f>
        <v>#NAME?</v>
      </c>
      <c r="U14" s="43" t="e">
        <f aca="false">S14*H14</f>
        <v>#NAME?</v>
      </c>
      <c r="V14" s="250" t="e">
        <f aca="false">xSPRDOPT($L14,$J14,$I14,$M14,$O14,$N14,$P14,$Q14-$C$3,$R14,2)*H14</f>
        <v>#NAME?</v>
      </c>
      <c r="W14" s="250" t="e">
        <f aca="false">+V14+T14</f>
        <v>#NAME?</v>
      </c>
      <c r="X14" s="2" t="str">
        <f aca="false">CONCATENATE(G14,D14)</f>
        <v>37104IF-TRANSCO/Z6</v>
      </c>
      <c r="Y14" s="251" t="n">
        <f aca="false">H14/10000</f>
        <v>50</v>
      </c>
      <c r="Z14" s="226" t="e">
        <f aca="false">T14/H14</f>
        <v>#NAME?</v>
      </c>
      <c r="AA14" s="226" t="e">
        <f aca="false">xSPRDOPT($L14,$J14,$I14,$M14,$O14,$N14,$P14,$Q14-$C$3,$R14,3)</f>
        <v>#NAME?</v>
      </c>
      <c r="AB14" s="226" t="e">
        <f aca="false">((xSPRDOPT($L14+AB$5,$J14,$I14,$M14,$O14,$N14,$P14,$Q14-$C$3,$R14,3)*$H14)/10000)/100</f>
        <v>#NAME?</v>
      </c>
      <c r="AC14" s="226" t="e">
        <f aca="false">((xSPRDOPT($L14+$AB$5,$J14,$I14,$M14,$O14,$N14,$P14,$Q14-$C$3,$R14,7)*$H14)/100)</f>
        <v>#NAME?</v>
      </c>
      <c r="AD14" s="226" t="e">
        <f aca="false">(xSPRDOPT($L14+$AB$5,$J14,$I14,$M14,$O14,$N14,$P14,$Q14-$C$3,$R14,9)/365)*$H14</f>
        <v>#NAME?</v>
      </c>
      <c r="AE14" s="0" t="e">
        <f aca="false">CD14</f>
        <v>#NAME?</v>
      </c>
      <c r="AF14" s="226" t="e">
        <f aca="false">((O14/N14)*AH14)+AG14</f>
        <v>#NAME?</v>
      </c>
      <c r="AG14" s="226" t="e">
        <f aca="false">((xSPRDOPT($L14,$J14,$I14,$M14,$O14,$N14,$P14,$Q14-$C$3,$R14,6)*$H14)/100)</f>
        <v>#NAME?</v>
      </c>
      <c r="AH14" s="226" t="e">
        <f aca="false">((xSPRDOPT($L14,$J14,$I14,$M14,$O14,$N14,$P14,$Q14-$C$3,$R14,5)*$H14)/100)</f>
        <v>#NAME?</v>
      </c>
      <c r="AI14" s="226" t="e">
        <f aca="false">(((xSPRDOPT($L14,$J14,$I14,$M14,$O14,$N14,$P14,$Q14-$C$3,$R14,4)*$H14)/10000)/100)-AB14</f>
        <v>#NAME?</v>
      </c>
      <c r="AJ14" s="226"/>
      <c r="AK14" s="226"/>
      <c r="AL14" s="226"/>
      <c r="AM14" s="252"/>
      <c r="AN14" s="208" t="n">
        <f aca="false">EOMONTH(AN13,0)+1</f>
        <v>36951</v>
      </c>
      <c r="AO14" s="134" t="e">
        <f aca="false">SUMIF($X:$X,CONCATENATE($AN14,AO$6),$T:$T)/10000</f>
        <v>#NAME?</v>
      </c>
      <c r="AP14" s="134" t="e">
        <f aca="false">SUMIF($X:$X,CONCATENATE($AN14,AP$6),$T:$T)/10000</f>
        <v>#NAME?</v>
      </c>
      <c r="AQ14" s="134" t="e">
        <f aca="false">SUMIF($X:$X,CONCATENATE($AN14,AQ$6),$T:$T)/10000</f>
        <v>#NAME?</v>
      </c>
      <c r="AR14" s="134" t="e">
        <f aca="false">SUMIF($X:$X,CONCATENATE($AN14,AR$6),$T:$T)/10000</f>
        <v>#NAME?</v>
      </c>
      <c r="AS14" s="134" t="n">
        <f aca="false">SUMIF($X:$X,CONCATENATE($AN14,AS$6),$T:$T)/10000</f>
        <v>0</v>
      </c>
      <c r="AT14" s="134" t="e">
        <f aca="false">SUMIF($X:$X,CONCATENATE($AN14,AT$6),$T:$T)/10000</f>
        <v>#NAME?</v>
      </c>
      <c r="AU14" s="134" t="e">
        <f aca="false">SUMIF($X:$X,CONCATENATE($AN14,AU$6),$T:$T)/10000</f>
        <v>#NAME?</v>
      </c>
      <c r="AV14" s="134" t="n">
        <f aca="false">SUMIF($X:$X,CONCATENATE($AN14,AV$6),$T:$T)/10000</f>
        <v>0</v>
      </c>
      <c r="AW14" s="134" t="n">
        <f aca="false">SUMIF($X:$X,CONCATENATE($AN14,AW$6),$T:$T)/10000</f>
        <v>0</v>
      </c>
      <c r="AX14" s="134" t="e">
        <f aca="false">SUMIF($X:$X,CONCATENATE($AN14,AX$6),$T:$T)/10000</f>
        <v>#NAME?</v>
      </c>
      <c r="AY14" s="134" t="e">
        <f aca="false">SUMIF($X:$X,CONCATENATE($AN14,AY$6),$T:$T)/10000</f>
        <v>#NAME?</v>
      </c>
      <c r="AZ14" s="134" t="e">
        <f aca="false">SUMIF($X:$X,CONCATENATE($AN14,AZ$6),$T:$T)/10000</f>
        <v>#NAME?</v>
      </c>
      <c r="BA14" s="135" t="e">
        <f aca="false">SUMIF($X:$X,CONCATENATE($AN14,BA$6),$T:$T)/10000</f>
        <v>#NAME?</v>
      </c>
      <c r="BB14" s="208" t="n">
        <f aca="false">EOMONTH(BB13,0)+1</f>
        <v>36951</v>
      </c>
      <c r="BC14" s="135" t="e">
        <f aca="false">SUM(AO14:BA14)</f>
        <v>#NAME?</v>
      </c>
      <c r="BD14" s="2"/>
      <c r="BE14" s="208" t="n">
        <f aca="false">EOMONTH(BE13,0)+1</f>
        <v>36951</v>
      </c>
      <c r="BF14" s="134" t="e">
        <f aca="false">SUMIF($X:$X,CONCATENATE($AN14,BF$6),$W:$W)</f>
        <v>#NAME?</v>
      </c>
      <c r="BG14" s="134" t="e">
        <f aca="false">SUMIF($X:$X,CONCATENATE($AN14,BG$6),$W:$W)</f>
        <v>#NAME?</v>
      </c>
      <c r="BH14" s="134" t="e">
        <f aca="false">SUMIF($X:$X,CONCATENATE($AN14,BH$6),$W:$W)</f>
        <v>#NAME?</v>
      </c>
      <c r="BI14" s="134" t="e">
        <f aca="false">SUMIF($X:$X,CONCATENATE($AN14,BI$6),$W:$W)</f>
        <v>#NAME?</v>
      </c>
      <c r="BJ14" s="134" t="n">
        <f aca="false">SUMIF($X:$X,CONCATENATE($AN14,BJ$6),$W:$W)</f>
        <v>0</v>
      </c>
      <c r="BK14" s="134" t="e">
        <f aca="false">SUMIF($X:$X,CONCATENATE($AN14,BK$6),$W:$W)</f>
        <v>#NAME?</v>
      </c>
      <c r="BL14" s="134" t="e">
        <f aca="false">SUMIF($X:$X,CONCATENATE($AN14,BL$6),$W:$W)</f>
        <v>#NAME?</v>
      </c>
      <c r="BM14" s="134" t="n">
        <f aca="false">SUMIF($X:$X,CONCATENATE($AN14,BM$6),$W:$W)</f>
        <v>0</v>
      </c>
      <c r="BN14" s="134" t="n">
        <f aca="false">SUMIF($X:$X,CONCATENATE($AN14,BN$6),$W:$W)</f>
        <v>0</v>
      </c>
      <c r="BO14" s="134" t="e">
        <f aca="false">SUMIF($X:$X,CONCATENATE($AN14,BO$6),$W:$W)</f>
        <v>#NAME?</v>
      </c>
      <c r="BP14" s="134" t="e">
        <f aca="false">SUMIF($X:$X,CONCATENATE($AN14,BP$6),$W:$W)</f>
        <v>#NAME?</v>
      </c>
      <c r="BQ14" s="134" t="e">
        <f aca="false">SUMIF($X:$X,CONCATENATE($AN14,BQ$6),$W:$W)</f>
        <v>#NAME?</v>
      </c>
      <c r="BR14" s="135" t="e">
        <f aca="false">SUMIF($X:$X,CONCATENATE($AN14,BR$6),$W:$W)</f>
        <v>#NAME?</v>
      </c>
      <c r="BS14" s="208" t="n">
        <f aca="false">EOMONTH(BS13,0)+1</f>
        <v>36951</v>
      </c>
      <c r="BT14" s="135" t="e">
        <f aca="false">SUM(BF14:BR14)</f>
        <v>#NAME?</v>
      </c>
      <c r="BU14" s="260" t="e">
        <f aca="false">BT14/10000</f>
        <v>#NAME?</v>
      </c>
      <c r="BV14" s="2"/>
      <c r="BW14" s="2"/>
      <c r="BX14" s="2"/>
      <c r="BY14" s="2"/>
      <c r="BZ14" s="2"/>
      <c r="CA14" s="2"/>
      <c r="CB14" s="2"/>
      <c r="CC14" s="182" t="n">
        <f aca="false">G14</f>
        <v>37104</v>
      </c>
      <c r="CD14" s="253" t="e">
        <f aca="false">xSPRDOPT((VLOOKUP(G14,NGPrices,2,FALSE())+HLOOKUP(D14,Prices,VLOOKUP(G14,move_down,2,FALSE()),FALSE())),VLOOKUP(G14,NGPrices,2,FALSE()),I14,VLOOKUP(G14,NGPREVPRICES,4,FALSE()),HLOOKUP(D14,PREVVOLS,VLOOKUP(G14,MOVE_DOWN2,2,FALSE()),FALSE()),VLOOKUP(G14,NGPREVPRICES,3,FALSE()),HLOOKUP(D14,Correllate,VLOOKUP(G14,CorMove,2,FALSE()),FALSE()),Q14-$CD$3,R14,$CD$5)*H14-CJ14</f>
        <v>#NAME?</v>
      </c>
      <c r="CE14" s="253" t="e">
        <f aca="false">xSPRDOPT((VLOOKUP(G14,NGPREVPRICES,2,FALSE())+HLOOKUP(D14,PREVCURVES,VLOOKUP(G14,MOVE_DOWN2,2,FALSE()),FALSE())),VLOOKUP(G14,NGPREVPRICES,2,FALSE()),CK14,VLOOKUP(G14,NGPrices,4,FALSE()),HLOOKUP(D14,PREVVOLS,VLOOKUP(G14,MOVE_DOWN2,2,FALSE()),FALSE()),VLOOKUP(G14,NGPREVPRICES,3,FALSE()),HLOOKUP(D14,Correllate,VLOOKUP(G14,CorMove,2,FALSE()),FALSE()),Q14-$CD$3,R14,$CJ$5)*H14-CJ14</f>
        <v>#NAME?</v>
      </c>
      <c r="CF14" s="132" t="e">
        <f aca="false">(CJ14/VLOOKUP(CC14,discount,3,FALSE()))-(CJ14/VLOOKUP(CC14,discount,2,FALSE()))</f>
        <v>#NAME?</v>
      </c>
      <c r="CG14" s="253" t="e">
        <f aca="false">xSPRDOPT((VLOOKUP(G14,NGPREVPRICES,2,FALSE())+HLOOKUP(D14,PREVCURVES,VLOOKUP(G14,MOVE_DOWN2,2,FALSE()),FALSE())),VLOOKUP(G14,NGPREVPRICES,2,FALSE()),CK14,VLOOKUP(G14,NGPREVPRICES,4,FALSE()),HLOOKUP(D14,VOLS,VLOOKUP(G14,move_down,2,FALSE()),FALSE()),VLOOKUP(G14,NGPrices,3,FALSE()),HLOOKUP(D14,Correllate,VLOOKUP(G14,CorMove,2,FALSE()),FALSE()),Q14-$CD$3,R14,$CJ$5)*H14-CJ14</f>
        <v>#NAME?</v>
      </c>
      <c r="CH14" s="253" t="e">
        <f aca="false">xSPRDOPT((VLOOKUP(G14,NGPREVPRICES,2,FALSE())+HLOOKUP(D14,PREVCURVES,VLOOKUP(G14,MOVE_DOWN2,2,FALSE()),FALSE())),VLOOKUP(G14,NGPREVPRICES,2,FALSE()),CK14,VLOOKUP(G14,NGPREVPRICES,4,FALSE()),HLOOKUP(D14,PREVVOLS,VLOOKUP(G14,MOVE_DOWN2,2,FALSE()),FALSE()),VLOOKUP(G14,NGPREVPRICES,3,FALSE()),HLOOKUP(D14,Correllate,VLOOKUP(G14,CorMove,2,FALSE()),FALSE()),Q14-$C$3,R14,$CJ$5)*H14-CJ14</f>
        <v>#NAME?</v>
      </c>
      <c r="CI14" s="253" t="e">
        <f aca="false">SUM(CD14:CH14)</f>
        <v>#NAME?</v>
      </c>
      <c r="CJ14" s="253" t="e">
        <f aca="false">xSPRDOPT((VLOOKUP(G14,NGPREVPRICES,2,FALSE())+HLOOKUP(D14,PREVCURVES,VLOOKUP(G14,MOVE_DOWN2,2,FALSE()),FALSE())),VLOOKUP(G14,NGPREVPRICES,2,FALSE()),CK14,VLOOKUP(G14,NGPREVPRICES,4,FALSE()),HLOOKUP(D14,PREVVOLS,VLOOKUP(G14,MOVE_DOWN2,2,FALSE()),FALSE()),VLOOKUP(G14,NGPREVPRICES,3,FALSE()),HLOOKUP(D14,Correllate,VLOOKUP(G14,CorMove,2,FALSE()),FALSE()),Q14-$CD$3,R14,$CJ$5)*H14</f>
        <v>#NAME?</v>
      </c>
      <c r="CK14" s="254" t="n">
        <f aca="false">I14</f>
        <v>0.3</v>
      </c>
      <c r="CM14" s="0" t="str">
        <f aca="false">CONCATENATE(CC14,$CD$6)</f>
        <v>37104Curve Shift/Gamma</v>
      </c>
      <c r="CN14" s="0" t="str">
        <f aca="false">CONCATENATE($CC14,$CE$6)</f>
        <v>37104Rho</v>
      </c>
      <c r="CO14" s="0" t="str">
        <f aca="false">CONCATENATE($CC14,$CF$6)</f>
        <v>37104Drift</v>
      </c>
      <c r="CP14" s="0" t="str">
        <f aca="false">CONCATENATE($CC14,$CG$6)</f>
        <v>37104Vega</v>
      </c>
      <c r="CQ14" s="0" t="str">
        <f aca="false">CONCATENATE($CC14,$CH$6)</f>
        <v>37104Theta</v>
      </c>
      <c r="CR14" s="255" t="n">
        <f aca="false">EOMONTH(CR13,0)+1</f>
        <v>36951</v>
      </c>
      <c r="CS14" s="261" t="e">
        <f aca="false">SUMIF($CM$7:$CM$631,CONCATENATE($CR14,$CS$6),$CD$7:$CD$631)</f>
        <v>#NAME?</v>
      </c>
      <c r="CT14" s="262" t="e">
        <f aca="false">SUMIF($CN$7:$CN$636,CONCATENATE($CR14,$CT$6),$CE$7:$CE$631)</f>
        <v>#NAME?</v>
      </c>
      <c r="CU14" s="262" t="e">
        <f aca="false">SUMIF($CO$7:$CO$636,CONCATENATE($CR14,$CU$6),$CF$7:$CF$631)</f>
        <v>#NAME?</v>
      </c>
      <c r="CV14" s="262" t="e">
        <f aca="false">SUMIF($CP$7:$CP$636,CONCATENATE($CR14,$CV$6),$CG$7:$CG$631)</f>
        <v>#NAME?</v>
      </c>
      <c r="CW14" s="263" t="e">
        <f aca="false">SUMIF($CQ$7:$CQ$636,CONCATENATE($CR14,$CW$6),$CH$7:$CH$631)</f>
        <v>#NAME?</v>
      </c>
      <c r="CX14" s="264" t="e">
        <f aca="false">SUM(CS14:CW14)</f>
        <v>#NAME?</v>
      </c>
      <c r="CZ14" s="255" t="n">
        <f aca="false">CR14</f>
        <v>36951</v>
      </c>
      <c r="DA14" s="261" t="e">
        <f aca="false">SUMIF($CC$7:$CC$1008,$CR14,$CD$7:$CD$1008)</f>
        <v>#NAME?</v>
      </c>
      <c r="DB14" s="262" t="e">
        <f aca="false">SUMIF($CC$7:$CC$1008,$CR14,$CE$7:$CE$1008)</f>
        <v>#NAME?</v>
      </c>
      <c r="DC14" s="262" t="e">
        <f aca="false">SUMIF($CC$7:$CC$1008,$CR14,$CF$7:$CF$1008)</f>
        <v>#NAME?</v>
      </c>
      <c r="DD14" s="262" t="e">
        <f aca="false">SUMIF($CC$7:$CC$1008,$CR14,$CG$7:$CG$1008)</f>
        <v>#NAME?</v>
      </c>
      <c r="DE14" s="263" t="e">
        <f aca="false">SUMIF($CC$7:$CC$1008,$CR14,$CH$7:$CH$1008)</f>
        <v>#NAME?</v>
      </c>
      <c r="DF14" s="264" t="e">
        <f aca="false">SUM(DA14:DE14)</f>
        <v>#NAME?</v>
      </c>
    </row>
    <row r="15" customFormat="false" ht="12" hidden="false" customHeight="true" outlineLevel="0" collapsed="false">
      <c r="A15" s="265" t="s">
        <v>194</v>
      </c>
      <c r="B15" s="125" t="s">
        <v>192</v>
      </c>
      <c r="C15" s="125" t="s">
        <v>195</v>
      </c>
      <c r="D15" s="7" t="s">
        <v>149</v>
      </c>
      <c r="E15" s="7" t="s">
        <v>131</v>
      </c>
      <c r="F15" s="92" t="s">
        <v>136</v>
      </c>
      <c r="G15" s="92" t="n">
        <v>37073</v>
      </c>
      <c r="H15" s="248" t="n">
        <v>500000</v>
      </c>
      <c r="I15" s="7" t="n">
        <v>0.3</v>
      </c>
      <c r="J15" s="124" t="n">
        <f aca="false">VLOOKUP(G15,NGPrices,2,FALSE())</f>
        <v>3.803</v>
      </c>
      <c r="K15" s="125" t="n">
        <f aca="false">HLOOKUP(D15,Prices,VLOOKUP(G15,move_down,2,FALSE()),FALSE())+VLOOKUP(G15,CHANGE,HLOOKUP(D15,CHANGE,2,FALSE()),FALSE())</f>
        <v>0.46</v>
      </c>
      <c r="L15" s="124" t="n">
        <f aca="false">K15+J15</f>
        <v>4.263</v>
      </c>
      <c r="M15" s="126" t="n">
        <f aca="false">VLOOKUP(G15,NGPrices,4,FALSE())</f>
        <v>0.069181571268568</v>
      </c>
      <c r="N15" s="7" t="n">
        <f aca="false">VLOOKUP(G15,NGPrices,3,FALSE())</f>
        <v>0.4</v>
      </c>
      <c r="O15" s="7" t="n">
        <f aca="false">HLOOKUP(D15,VOLS,VLOOKUP(G15,move_down,2,FALSE()),FALSE())</f>
        <v>0.392</v>
      </c>
      <c r="P15" s="249" t="n">
        <f aca="false">HLOOKUP(D15,Correllate,VLOOKUP(G15,CorMove,2,FALSE()),FALSE())</f>
        <v>0.9738</v>
      </c>
      <c r="Q15" s="92" t="n">
        <f aca="false">WORKDAY(G15,-2)</f>
        <v>37070</v>
      </c>
      <c r="R15" s="7" t="n">
        <f aca="false">IF(F15="P",0,1)</f>
        <v>1</v>
      </c>
      <c r="S15" s="130" t="e">
        <f aca="false">xSPRDOPT($L15,$J15,$I15,$M15,$O15,$N15,$P15,$Q15-$C$3,$R15,0)</f>
        <v>#NAME?</v>
      </c>
      <c r="T15" s="250" t="e">
        <f aca="false">xSPRDOPT($L15,$J15,$I15,$M15,$O15,$N15,$P15,$Q15-$C$3,$R15,1)*H15</f>
        <v>#NAME?</v>
      </c>
      <c r="U15" s="43" t="e">
        <f aca="false">S15*H15</f>
        <v>#NAME?</v>
      </c>
      <c r="V15" s="250" t="e">
        <f aca="false">xSPRDOPT($L15,$J15,$I15,$M15,$O15,$N15,$P15,$Q15-$C$3,$R15,2)*H15</f>
        <v>#NAME?</v>
      </c>
      <c r="W15" s="250" t="e">
        <f aca="false">+V15+T15</f>
        <v>#NAME?</v>
      </c>
      <c r="X15" s="2" t="str">
        <f aca="false">CONCATENATE(G15,D15)</f>
        <v>37073IF-TRANSCO/Z6</v>
      </c>
      <c r="Y15" s="251" t="n">
        <f aca="false">H15/10000</f>
        <v>50</v>
      </c>
      <c r="Z15" s="226" t="e">
        <f aca="false">T15/H15</f>
        <v>#NAME?</v>
      </c>
      <c r="AA15" s="226" t="e">
        <f aca="false">xSPRDOPT($L15,$J15,$I15,$M15,$O15,$N15,$P15,$Q15-$C$3,$R15,3)</f>
        <v>#NAME?</v>
      </c>
      <c r="AB15" s="226" t="e">
        <f aca="false">((xSPRDOPT($L15+AB$5,$J15,$I15,$M15,$O15,$N15,$P15,$Q15-$C$3,$R15,3)*$H15)/10000)/100</f>
        <v>#NAME?</v>
      </c>
      <c r="AC15" s="226" t="e">
        <f aca="false">((xSPRDOPT($L15+$AB$5,$J15,$I15,$M15,$O15,$N15,$P15,$Q15-$C$3,$R15,7)*$H15)/100)</f>
        <v>#NAME?</v>
      </c>
      <c r="AD15" s="226" t="e">
        <f aca="false">(xSPRDOPT($L15+$AB$5,$J15,$I15,$M15,$O15,$N15,$P15,$Q15-$C$3,$R15,9)/365)*$H15</f>
        <v>#NAME?</v>
      </c>
      <c r="AE15" s="0" t="e">
        <f aca="false">CD15</f>
        <v>#NAME?</v>
      </c>
      <c r="AF15" s="226" t="e">
        <f aca="false">((O15/N15)*AH15)+AG15</f>
        <v>#NAME?</v>
      </c>
      <c r="AG15" s="226" t="e">
        <f aca="false">((xSPRDOPT($L15,$J15,$I15,$M15,$O15,$N15,$P15,$Q15-$C$3,$R15,6)*$H15)/100)</f>
        <v>#NAME?</v>
      </c>
      <c r="AH15" s="226" t="e">
        <f aca="false">((xSPRDOPT($L15,$J15,$I15,$M15,$O15,$N15,$P15,$Q15-$C$3,$R15,5)*$H15)/100)</f>
        <v>#NAME?</v>
      </c>
      <c r="AI15" s="226" t="e">
        <f aca="false">(((xSPRDOPT($L15,$J15,$I15,$M15,$O15,$N15,$P15,$Q15-$C$3,$R15,4)*$H15)/10000)/100)-AB15</f>
        <v>#NAME?</v>
      </c>
      <c r="AJ15" s="226"/>
      <c r="AK15" s="226"/>
      <c r="AL15" s="226"/>
      <c r="AM15" s="252"/>
      <c r="AN15" s="208" t="n">
        <f aca="false">EOMONTH(AN14,0)+1</f>
        <v>36982</v>
      </c>
      <c r="AO15" s="134" t="e">
        <f aca="false">SUMIF($X:$X,CONCATENATE($AN15,AO$6),$T:$T)/10000</f>
        <v>#NAME?</v>
      </c>
      <c r="AP15" s="134" t="n">
        <f aca="false">SUMIF($X:$X,CONCATENATE($AN15,AP$6),$T:$T)/10000</f>
        <v>0</v>
      </c>
      <c r="AQ15" s="134" t="n">
        <f aca="false">SUMIF($X:$X,CONCATENATE($AN15,AQ$6),$T:$T)/10000</f>
        <v>0</v>
      </c>
      <c r="AR15" s="134" t="n">
        <f aca="false">SUMIF($X:$X,CONCATENATE($AN15,AR$6),$T:$T)/10000</f>
        <v>0</v>
      </c>
      <c r="AS15" s="134" t="n">
        <f aca="false">SUMIF($X:$X,CONCATENATE($AN15,AS$6),$T:$T)/10000</f>
        <v>0</v>
      </c>
      <c r="AT15" s="134" t="e">
        <f aca="false">SUMIF($X:$X,CONCATENATE($AN15,AT$6),$T:$T)/10000</f>
        <v>#NAME?</v>
      </c>
      <c r="AU15" s="134" t="n">
        <f aca="false">SUMIF($X:$X,CONCATENATE($AN15,AU$6),$T:$T)/10000</f>
        <v>0</v>
      </c>
      <c r="AV15" s="134" t="n">
        <f aca="false">SUMIF($X:$X,CONCATENATE($AN15,AV$6),$T:$T)/10000</f>
        <v>0</v>
      </c>
      <c r="AW15" s="134" t="e">
        <f aca="false">SUMIF($X:$X,CONCATENATE($AN15,AW$6),$T:$T)/10000</f>
        <v>#NAME?</v>
      </c>
      <c r="AX15" s="134" t="n">
        <f aca="false">SUMIF($X:$X,CONCATENATE($AN15,AX$6),$T:$T)/10000</f>
        <v>0</v>
      </c>
      <c r="AY15" s="134" t="n">
        <f aca="false">SUMIF($X:$X,CONCATENATE($AN15,AY$6),$T:$T)/10000</f>
        <v>0</v>
      </c>
      <c r="AZ15" s="134" t="n">
        <f aca="false">SUMIF($X:$X,CONCATENATE($AN15,AZ$6),$T:$T)/10000</f>
        <v>0</v>
      </c>
      <c r="BA15" s="135" t="n">
        <f aca="false">SUMIF($X:$X,CONCATENATE($AN15,BA$6),$T:$T)/10000</f>
        <v>0</v>
      </c>
      <c r="BB15" s="208" t="n">
        <f aca="false">EOMONTH(BB14,0)+1</f>
        <v>36982</v>
      </c>
      <c r="BC15" s="135" t="e">
        <f aca="false">SUM(AO15:BA15)</f>
        <v>#NAME?</v>
      </c>
      <c r="BD15" s="2"/>
      <c r="BE15" s="208" t="n">
        <f aca="false">EOMONTH(BE14,0)+1</f>
        <v>36982</v>
      </c>
      <c r="BF15" s="134" t="e">
        <f aca="false">SUMIF($X:$X,CONCATENATE($AN15,BF$6),$W:$W)</f>
        <v>#NAME?</v>
      </c>
      <c r="BG15" s="134" t="n">
        <f aca="false">SUMIF($X:$X,CONCATENATE($AN15,BG$6),$W:$W)</f>
        <v>0</v>
      </c>
      <c r="BH15" s="134" t="n">
        <f aca="false">SUMIF($X:$X,CONCATENATE($AN15,BH$6),$W:$W)</f>
        <v>0</v>
      </c>
      <c r="BI15" s="134" t="n">
        <f aca="false">SUMIF($X:$X,CONCATENATE($AN15,BI$6),$W:$W)</f>
        <v>0</v>
      </c>
      <c r="BJ15" s="134" t="n">
        <f aca="false">SUMIF($X:$X,CONCATENATE($AN15,BJ$6),$W:$W)</f>
        <v>0</v>
      </c>
      <c r="BK15" s="134" t="e">
        <f aca="false">SUMIF($X:$X,CONCATENATE($AN15,BK$6),$W:$W)</f>
        <v>#NAME?</v>
      </c>
      <c r="BL15" s="134" t="n">
        <f aca="false">SUMIF($X:$X,CONCATENATE($AN15,BL$6),$W:$W)</f>
        <v>0</v>
      </c>
      <c r="BM15" s="134" t="n">
        <f aca="false">SUMIF($X:$X,CONCATENATE($AN15,BM$6),$W:$W)</f>
        <v>0</v>
      </c>
      <c r="BN15" s="134" t="e">
        <f aca="false">SUMIF($X:$X,CONCATENATE($AN15,BN$6),$W:$W)</f>
        <v>#NAME?</v>
      </c>
      <c r="BO15" s="134" t="n">
        <f aca="false">SUMIF($X:$X,CONCATENATE($AN15,BO$6),$W:$W)</f>
        <v>0</v>
      </c>
      <c r="BP15" s="134" t="n">
        <f aca="false">SUMIF($X:$X,CONCATENATE($AN15,BP$6),$W:$W)</f>
        <v>0</v>
      </c>
      <c r="BQ15" s="134" t="n">
        <f aca="false">SUMIF($X:$X,CONCATENATE($AN15,BQ$6),$W:$W)</f>
        <v>0</v>
      </c>
      <c r="BR15" s="135" t="n">
        <f aca="false">SUMIF($X:$X,CONCATENATE($AN15,BR$6),$W:$W)</f>
        <v>0</v>
      </c>
      <c r="BS15" s="208" t="n">
        <f aca="false">EOMONTH(BS14,0)+1</f>
        <v>36982</v>
      </c>
      <c r="BT15" s="135" t="e">
        <f aca="false">SUM(BF15:BR15)</f>
        <v>#NAME?</v>
      </c>
      <c r="BU15" s="260" t="e">
        <f aca="false">BT15/10000</f>
        <v>#NAME?</v>
      </c>
      <c r="BV15" s="2"/>
      <c r="BW15" s="2"/>
      <c r="BX15" s="2"/>
      <c r="BY15" s="2"/>
      <c r="BZ15" s="2"/>
      <c r="CA15" s="2"/>
      <c r="CB15" s="2"/>
      <c r="CC15" s="182" t="n">
        <f aca="false">G15</f>
        <v>37073</v>
      </c>
      <c r="CD15" s="253" t="e">
        <f aca="false">xSPRDOPT((VLOOKUP(G15,NGPrices,2,FALSE())+HLOOKUP(D15,Prices,VLOOKUP(G15,move_down,2,FALSE()),FALSE())),VLOOKUP(G15,NGPrices,2,FALSE()),I15,VLOOKUP(G15,NGPREVPRICES,4,FALSE()),HLOOKUP(D15,PREVVOLS,VLOOKUP(G15,MOVE_DOWN2,2,FALSE()),FALSE()),VLOOKUP(G15,NGPREVPRICES,3,FALSE()),HLOOKUP(D15,Correllate,VLOOKUP(G15,CorMove,2,FALSE()),FALSE()),Q15-$CD$3,R15,$CD$5)*H15-CJ15</f>
        <v>#NAME?</v>
      </c>
      <c r="CE15" s="253" t="e">
        <f aca="false">xSPRDOPT((VLOOKUP(G15,NGPREVPRICES,2,FALSE())+HLOOKUP(D15,PREVCURVES,VLOOKUP(G15,MOVE_DOWN2,2,FALSE()),FALSE())),VLOOKUP(G15,NGPREVPRICES,2,FALSE()),CK15,VLOOKUP(G15,NGPrices,4,FALSE()),HLOOKUP(D15,PREVVOLS,VLOOKUP(G15,MOVE_DOWN2,2,FALSE()),FALSE()),VLOOKUP(G15,NGPREVPRICES,3,FALSE()),HLOOKUP(D15,Correllate,VLOOKUP(G15,CorMove,2,FALSE()),FALSE()),Q15-$CD$3,R15,$CJ$5)*H15-CJ15</f>
        <v>#NAME?</v>
      </c>
      <c r="CF15" s="132" t="e">
        <f aca="false">(CJ15/VLOOKUP(CC15,discount,3,FALSE()))-(CJ15/VLOOKUP(CC15,discount,2,FALSE()))</f>
        <v>#NAME?</v>
      </c>
      <c r="CG15" s="253" t="e">
        <f aca="false">xSPRDOPT((VLOOKUP(G15,NGPREVPRICES,2,FALSE())+HLOOKUP(D15,PREVCURVES,VLOOKUP(G15,MOVE_DOWN2,2,FALSE()),FALSE())),VLOOKUP(G15,NGPREVPRICES,2,FALSE()),CK15,VLOOKUP(G15,NGPREVPRICES,4,FALSE()),HLOOKUP(D15,VOLS,VLOOKUP(G15,move_down,2,FALSE()),FALSE()),VLOOKUP(G15,NGPrices,3,FALSE()),HLOOKUP(D15,Correllate,VLOOKUP(G15,CorMove,2,FALSE()),FALSE()),Q15-$CD$3,R15,$CJ$5)*H15-CJ15</f>
        <v>#NAME?</v>
      </c>
      <c r="CH15" s="253" t="e">
        <f aca="false">xSPRDOPT((VLOOKUP(G15,NGPREVPRICES,2,FALSE())+HLOOKUP(D15,PREVCURVES,VLOOKUP(G15,MOVE_DOWN2,2,FALSE()),FALSE())),VLOOKUP(G15,NGPREVPRICES,2,FALSE()),CK15,VLOOKUP(G15,NGPREVPRICES,4,FALSE()),HLOOKUP(D15,PREVVOLS,VLOOKUP(G15,MOVE_DOWN2,2,FALSE()),FALSE()),VLOOKUP(G15,NGPREVPRICES,3,FALSE()),HLOOKUP(D15,Correllate,VLOOKUP(G15,CorMove,2,FALSE()),FALSE()),Q15-$C$3,R15,$CJ$5)*H15-CJ15</f>
        <v>#NAME?</v>
      </c>
      <c r="CI15" s="253" t="e">
        <f aca="false">SUM(CD15:CH15)</f>
        <v>#NAME?</v>
      </c>
      <c r="CJ15" s="253" t="e">
        <f aca="false">xSPRDOPT((VLOOKUP(G15,NGPREVPRICES,2,FALSE())+HLOOKUP(D15,PREVCURVES,VLOOKUP(G15,MOVE_DOWN2,2,FALSE()),FALSE())),VLOOKUP(G15,NGPREVPRICES,2,FALSE()),CK15,VLOOKUP(G15,NGPREVPRICES,4,FALSE()),HLOOKUP(D15,PREVVOLS,VLOOKUP(G15,MOVE_DOWN2,2,FALSE()),FALSE()),VLOOKUP(G15,NGPREVPRICES,3,FALSE()),HLOOKUP(D15,Correllate,VLOOKUP(G15,CorMove,2,FALSE()),FALSE()),Q15-$CD$3,R15,$CJ$5)*H15</f>
        <v>#NAME?</v>
      </c>
      <c r="CK15" s="254" t="n">
        <f aca="false">I15</f>
        <v>0.3</v>
      </c>
      <c r="CM15" s="0" t="str">
        <f aca="false">CONCATENATE(CC15,$CD$6)</f>
        <v>37073Curve Shift/Gamma</v>
      </c>
      <c r="CN15" s="0" t="str">
        <f aca="false">CONCATENATE($CC15,$CE$6)</f>
        <v>37073Rho</v>
      </c>
      <c r="CO15" s="0" t="str">
        <f aca="false">CONCATENATE($CC15,$CF$6)</f>
        <v>37073Drift</v>
      </c>
      <c r="CP15" s="0" t="str">
        <f aca="false">CONCATENATE($CC15,$CG$6)</f>
        <v>37073Vega</v>
      </c>
      <c r="CQ15" s="0" t="str">
        <f aca="false">CONCATENATE($CC15,$CH$6)</f>
        <v>37073Theta</v>
      </c>
      <c r="CR15" s="255" t="n">
        <f aca="false">EOMONTH(CR14,0)+1</f>
        <v>36982</v>
      </c>
      <c r="CS15" s="261" t="e">
        <f aca="false">SUMIF($CM$7:$CM$631,CONCATENATE($CR15,$CS$6),$CD$7:$CD$631)</f>
        <v>#NAME?</v>
      </c>
      <c r="CT15" s="262" t="e">
        <f aca="false">SUMIF($CN$7:$CN$636,CONCATENATE($CR15,$CT$6),$CE$7:$CE$631)</f>
        <v>#NAME?</v>
      </c>
      <c r="CU15" s="262" t="e">
        <f aca="false">SUMIF($CO$7:$CO$636,CONCATENATE($CR15,$CU$6),$CF$7:$CF$631)</f>
        <v>#NAME?</v>
      </c>
      <c r="CV15" s="262" t="e">
        <f aca="false">SUMIF($CP$7:$CP$636,CONCATENATE($CR15,$CV$6),$CG$7:$CG$631)</f>
        <v>#NAME?</v>
      </c>
      <c r="CW15" s="263" t="e">
        <f aca="false">SUMIF($CQ$7:$CQ$636,CONCATENATE($CR15,$CW$6),$CH$7:$CH$631)</f>
        <v>#NAME?</v>
      </c>
      <c r="CX15" s="264" t="e">
        <f aca="false">SUM(CS15:CW15)</f>
        <v>#NAME?</v>
      </c>
      <c r="CZ15" s="255" t="n">
        <f aca="false">CR15</f>
        <v>36982</v>
      </c>
      <c r="DA15" s="261" t="e">
        <f aca="false">SUMIF($CC$7:$CC$1008,$CR15,$CD$7:$CD$1008)</f>
        <v>#NAME?</v>
      </c>
      <c r="DB15" s="262" t="e">
        <f aca="false">SUMIF($CC$7:$CC$1008,$CR15,$CE$7:$CE$1008)</f>
        <v>#NAME?</v>
      </c>
      <c r="DC15" s="262" t="e">
        <f aca="false">SUMIF($CC$7:$CC$1008,$CR15,$CF$7:$CF$1008)</f>
        <v>#NAME?</v>
      </c>
      <c r="DD15" s="262" t="e">
        <f aca="false">SUMIF($CC$7:$CC$1008,$CR15,$CG$7:$CG$1008)</f>
        <v>#NAME?</v>
      </c>
      <c r="DE15" s="263" t="e">
        <f aca="false">SUMIF($CC$7:$CC$1008,$CR15,$CH$7:$CH$1008)</f>
        <v>#NAME?</v>
      </c>
      <c r="DF15" s="264" t="e">
        <f aca="false">SUM(DA15:DE15)</f>
        <v>#NAME?</v>
      </c>
    </row>
    <row r="16" customFormat="false" ht="12" hidden="false" customHeight="true" outlineLevel="0" collapsed="false">
      <c r="A16" s="265" t="s">
        <v>194</v>
      </c>
      <c r="B16" s="125" t="s">
        <v>192</v>
      </c>
      <c r="C16" s="125" t="s">
        <v>195</v>
      </c>
      <c r="D16" s="7" t="s">
        <v>149</v>
      </c>
      <c r="E16" s="7" t="s">
        <v>131</v>
      </c>
      <c r="F16" s="92" t="s">
        <v>136</v>
      </c>
      <c r="G16" s="92" t="n">
        <v>37043</v>
      </c>
      <c r="H16" s="248" t="n">
        <v>500000</v>
      </c>
      <c r="I16" s="7" t="n">
        <v>0.3</v>
      </c>
      <c r="J16" s="124" t="n">
        <f aca="false">VLOOKUP(G16,NGPrices,2,FALSE())</f>
        <v>3.818</v>
      </c>
      <c r="K16" s="125" t="n">
        <f aca="false">HLOOKUP(D16,Prices,VLOOKUP(G16,move_down,2,FALSE()),FALSE())+VLOOKUP(G16,CHANGE,HLOOKUP(D16,CHANGE,2,FALSE()),FALSE())</f>
        <v>0.395</v>
      </c>
      <c r="L16" s="124" t="n">
        <f aca="false">K16+J16</f>
        <v>4.213</v>
      </c>
      <c r="M16" s="126" t="n">
        <f aca="false">VLOOKUP(G16,NGPrices,4,FALSE())</f>
        <v>0.069141890053328</v>
      </c>
      <c r="N16" s="7" t="n">
        <f aca="false">VLOOKUP(G16,NGPrices,3,FALSE())</f>
        <v>0.4</v>
      </c>
      <c r="O16" s="7" t="n">
        <f aca="false">HLOOKUP(D16,VOLS,VLOOKUP(G16,move_down,2,FALSE()),FALSE())</f>
        <v>0.392</v>
      </c>
      <c r="P16" s="249" t="n">
        <f aca="false">HLOOKUP(D16,Correllate,VLOOKUP(G16,CorMove,2,FALSE()),FALSE())</f>
        <v>0.9738</v>
      </c>
      <c r="Q16" s="92" t="n">
        <f aca="false">WORKDAY(G16,-2)</f>
        <v>37041</v>
      </c>
      <c r="R16" s="7" t="n">
        <f aca="false">IF(F16="P",0,1)</f>
        <v>1</v>
      </c>
      <c r="S16" s="130" t="e">
        <f aca="false">xSPRDOPT($L16,$J16,$I16,$M16,$O16,$N16,$P16,$Q16-$C$3,$R16,0)</f>
        <v>#NAME?</v>
      </c>
      <c r="T16" s="250" t="e">
        <f aca="false">xSPRDOPT($L16,$J16,$I16,$M16,$O16,$N16,$P16,$Q16-$C$3,$R16,1)*H16</f>
        <v>#NAME?</v>
      </c>
      <c r="U16" s="43" t="e">
        <f aca="false">S16*H16</f>
        <v>#NAME?</v>
      </c>
      <c r="V16" s="250" t="e">
        <f aca="false">xSPRDOPT($L16,$J16,$I16,$M16,$O16,$N16,$P16,$Q16-$C$3,$R16,2)*H16</f>
        <v>#NAME?</v>
      </c>
      <c r="W16" s="250" t="e">
        <f aca="false">+V16+T16</f>
        <v>#NAME?</v>
      </c>
      <c r="X16" s="2" t="str">
        <f aca="false">CONCATENATE(G16,D16)</f>
        <v>37043IF-TRANSCO/Z6</v>
      </c>
      <c r="Y16" s="251" t="n">
        <f aca="false">H16/10000</f>
        <v>50</v>
      </c>
      <c r="Z16" s="226" t="e">
        <f aca="false">T16/H16</f>
        <v>#NAME?</v>
      </c>
      <c r="AA16" s="226" t="e">
        <f aca="false">xSPRDOPT($L16,$J16,$I16,$M16,$O16,$N16,$P16,$Q16-$C$3,$R16,3)</f>
        <v>#NAME?</v>
      </c>
      <c r="AB16" s="226" t="e">
        <f aca="false">((xSPRDOPT($L16+AB$5,$J16,$I16,$M16,$O16,$N16,$P16,$Q16-$C$3,$R16,3)*$H16)/10000)/100</f>
        <v>#NAME?</v>
      </c>
      <c r="AC16" s="226" t="e">
        <f aca="false">((xSPRDOPT($L16+$AB$5,$J16,$I16,$M16,$O16,$N16,$P16,$Q16-$C$3,$R16,7)*$H16)/100)</f>
        <v>#NAME?</v>
      </c>
      <c r="AD16" s="226" t="e">
        <f aca="false">(xSPRDOPT($L16+$AB$5,$J16,$I16,$M16,$O16,$N16,$P16,$Q16-$C$3,$R16,9)/365)*$H16</f>
        <v>#NAME?</v>
      </c>
      <c r="AE16" s="0" t="e">
        <f aca="false">CD16</f>
        <v>#NAME?</v>
      </c>
      <c r="AF16" s="226" t="e">
        <f aca="false">((O16/N16)*AH16)+AG16</f>
        <v>#NAME?</v>
      </c>
      <c r="AG16" s="226" t="e">
        <f aca="false">((xSPRDOPT($L16,$J16,$I16,$M16,$O16,$N16,$P16,$Q16-$C$3,$R16,6)*$H16)/100)</f>
        <v>#NAME?</v>
      </c>
      <c r="AH16" s="226" t="e">
        <f aca="false">((xSPRDOPT($L16,$J16,$I16,$M16,$O16,$N16,$P16,$Q16-$C$3,$R16,5)*$H16)/100)</f>
        <v>#NAME?</v>
      </c>
      <c r="AI16" s="226" t="e">
        <f aca="false">(((xSPRDOPT($L16,$J16,$I16,$M16,$O16,$N16,$P16,$Q16-$C$3,$R16,4)*$H16)/10000)/100)-AB16</f>
        <v>#NAME?</v>
      </c>
      <c r="AJ16" s="226"/>
      <c r="AK16" s="226"/>
      <c r="AL16" s="226"/>
      <c r="AM16" s="252"/>
      <c r="AN16" s="208" t="n">
        <f aca="false">EOMONTH(AN15,0)+1</f>
        <v>37012</v>
      </c>
      <c r="AO16" s="134" t="e">
        <f aca="false">SUMIF($X:$X,CONCATENATE($AN16,AO$6),$T:$T)/10000</f>
        <v>#NAME?</v>
      </c>
      <c r="AP16" s="134" t="n">
        <f aca="false">SUMIF($X:$X,CONCATENATE($AN16,AP$6),$T:$T)/10000</f>
        <v>0</v>
      </c>
      <c r="AQ16" s="134" t="n">
        <f aca="false">SUMIF($X:$X,CONCATENATE($AN16,AQ$6),$T:$T)/10000</f>
        <v>0</v>
      </c>
      <c r="AR16" s="134" t="n">
        <f aca="false">SUMIF($X:$X,CONCATENATE($AN16,AR$6),$T:$T)/10000</f>
        <v>0</v>
      </c>
      <c r="AS16" s="134" t="n">
        <f aca="false">SUMIF($X:$X,CONCATENATE($AN16,AS$6),$T:$T)/10000</f>
        <v>0</v>
      </c>
      <c r="AT16" s="134" t="e">
        <f aca="false">SUMIF($X:$X,CONCATENATE($AN16,AT$6),$T:$T)/10000</f>
        <v>#NAME?</v>
      </c>
      <c r="AU16" s="134" t="n">
        <f aca="false">SUMIF($X:$X,CONCATENATE($AN16,AU$6),$T:$T)/10000</f>
        <v>0</v>
      </c>
      <c r="AV16" s="134" t="n">
        <f aca="false">SUMIF($X:$X,CONCATENATE($AN16,AV$6),$T:$T)/10000</f>
        <v>0</v>
      </c>
      <c r="AW16" s="134" t="e">
        <f aca="false">SUMIF($X:$X,CONCATENATE($AN16,AW$6),$T:$T)/10000</f>
        <v>#NAME?</v>
      </c>
      <c r="AX16" s="134" t="n">
        <f aca="false">SUMIF($X:$X,CONCATENATE($AN16,AX$6),$T:$T)/10000</f>
        <v>0</v>
      </c>
      <c r="AY16" s="134" t="n">
        <f aca="false">SUMIF($X:$X,CONCATENATE($AN16,AY$6),$T:$T)/10000</f>
        <v>0</v>
      </c>
      <c r="AZ16" s="134" t="n">
        <f aca="false">SUMIF($X:$X,CONCATENATE($AN16,AZ$6),$T:$T)/10000</f>
        <v>0</v>
      </c>
      <c r="BA16" s="135" t="n">
        <f aca="false">SUMIF($X:$X,CONCATENATE($AN16,BA$6),$T:$T)/10000</f>
        <v>0</v>
      </c>
      <c r="BB16" s="208" t="n">
        <f aca="false">EOMONTH(BB15,0)+1</f>
        <v>37012</v>
      </c>
      <c r="BC16" s="135" t="e">
        <f aca="false">SUM(AO16:BA16)</f>
        <v>#NAME?</v>
      </c>
      <c r="BD16" s="2"/>
      <c r="BE16" s="208" t="n">
        <f aca="false">EOMONTH(BE15,0)+1</f>
        <v>37012</v>
      </c>
      <c r="BF16" s="134" t="e">
        <f aca="false">SUMIF($X:$X,CONCATENATE($AN16,BF$6),$W:$W)</f>
        <v>#NAME?</v>
      </c>
      <c r="BG16" s="134" t="n">
        <f aca="false">SUMIF($X:$X,CONCATENATE($AN16,BG$6),$W:$W)</f>
        <v>0</v>
      </c>
      <c r="BH16" s="134" t="n">
        <f aca="false">SUMIF($X:$X,CONCATENATE($AN16,BH$6),$W:$W)</f>
        <v>0</v>
      </c>
      <c r="BI16" s="134" t="n">
        <f aca="false">SUMIF($X:$X,CONCATENATE($AN16,BI$6),$W:$W)</f>
        <v>0</v>
      </c>
      <c r="BJ16" s="134" t="n">
        <f aca="false">SUMIF($X:$X,CONCATENATE($AN16,BJ$6),$W:$W)</f>
        <v>0</v>
      </c>
      <c r="BK16" s="134" t="e">
        <f aca="false">SUMIF($X:$X,CONCATENATE($AN16,BK$6),$W:$W)</f>
        <v>#NAME?</v>
      </c>
      <c r="BL16" s="134" t="n">
        <f aca="false">SUMIF($X:$X,CONCATENATE($AN16,BL$6),$W:$W)</f>
        <v>0</v>
      </c>
      <c r="BM16" s="134" t="n">
        <f aca="false">SUMIF($X:$X,CONCATENATE($AN16,BM$6),$W:$W)</f>
        <v>0</v>
      </c>
      <c r="BN16" s="134" t="e">
        <f aca="false">SUMIF($X:$X,CONCATENATE($AN16,BN$6),$W:$W)</f>
        <v>#NAME?</v>
      </c>
      <c r="BO16" s="134" t="n">
        <f aca="false">SUMIF($X:$X,CONCATENATE($AN16,BO$6),$W:$W)</f>
        <v>0</v>
      </c>
      <c r="BP16" s="134" t="n">
        <f aca="false">SUMIF($X:$X,CONCATENATE($AN16,BP$6),$W:$W)</f>
        <v>0</v>
      </c>
      <c r="BQ16" s="134" t="n">
        <f aca="false">SUMIF($X:$X,CONCATENATE($AN16,BQ$6),$W:$W)</f>
        <v>0</v>
      </c>
      <c r="BR16" s="135" t="n">
        <f aca="false">SUMIF($X:$X,CONCATENATE($AN16,BR$6),$W:$W)</f>
        <v>0</v>
      </c>
      <c r="BS16" s="208" t="n">
        <f aca="false">EOMONTH(BS15,0)+1</f>
        <v>37012</v>
      </c>
      <c r="BT16" s="135" t="e">
        <f aca="false">SUM(BF16:BR16)</f>
        <v>#NAME?</v>
      </c>
      <c r="BU16" s="260" t="e">
        <f aca="false">BT16/10000</f>
        <v>#NAME?</v>
      </c>
      <c r="BV16" s="2"/>
      <c r="BW16" s="2"/>
      <c r="BX16" s="2"/>
      <c r="BY16" s="2"/>
      <c r="BZ16" s="2"/>
      <c r="CA16" s="2"/>
      <c r="CB16" s="2"/>
      <c r="CC16" s="182" t="n">
        <f aca="false">G16</f>
        <v>37043</v>
      </c>
      <c r="CD16" s="253" t="e">
        <f aca="false">xSPRDOPT((VLOOKUP(G16,NGPrices,2,FALSE())+HLOOKUP(D16,Prices,VLOOKUP(G16,move_down,2,FALSE()),FALSE())),VLOOKUP(G16,NGPrices,2,FALSE()),I16,VLOOKUP(G16,NGPREVPRICES,4,FALSE()),HLOOKUP(D16,PREVVOLS,VLOOKUP(G16,MOVE_DOWN2,2,FALSE()),FALSE()),VLOOKUP(G16,NGPREVPRICES,3,FALSE()),HLOOKUP(D16,Correllate,VLOOKUP(G16,CorMove,2,FALSE()),FALSE()),Q16-$CD$3,R16,$CD$5)*H16-CJ16</f>
        <v>#NAME?</v>
      </c>
      <c r="CE16" s="253" t="e">
        <f aca="false">xSPRDOPT((VLOOKUP(G16,NGPREVPRICES,2,FALSE())+HLOOKUP(D16,PREVCURVES,VLOOKUP(G16,MOVE_DOWN2,2,FALSE()),FALSE())),VLOOKUP(G16,NGPREVPRICES,2,FALSE()),CK16,VLOOKUP(G16,NGPrices,4,FALSE()),HLOOKUP(D16,PREVVOLS,VLOOKUP(G16,MOVE_DOWN2,2,FALSE()),FALSE()),VLOOKUP(G16,NGPREVPRICES,3,FALSE()),HLOOKUP(D16,Correllate,VLOOKUP(G16,CorMove,2,FALSE()),FALSE()),Q16-$CD$3,R16,$CJ$5)*H16-CJ16</f>
        <v>#NAME?</v>
      </c>
      <c r="CF16" s="132" t="e">
        <f aca="false">(CJ16/VLOOKUP(CC16,discount,3,FALSE()))-(CJ16/VLOOKUP(CC16,discount,2,FALSE()))</f>
        <v>#NAME?</v>
      </c>
      <c r="CG16" s="253" t="e">
        <f aca="false">xSPRDOPT((VLOOKUP(G16,NGPREVPRICES,2,FALSE())+HLOOKUP(D16,PREVCURVES,VLOOKUP(G16,MOVE_DOWN2,2,FALSE()),FALSE())),VLOOKUP(G16,NGPREVPRICES,2,FALSE()),CK16,VLOOKUP(G16,NGPREVPRICES,4,FALSE()),HLOOKUP(D16,VOLS,VLOOKUP(G16,move_down,2,FALSE()),FALSE()),VLOOKUP(G16,NGPrices,3,FALSE()),HLOOKUP(D16,Correllate,VLOOKUP(G16,CorMove,2,FALSE()),FALSE()),Q16-$CD$3,R16,$CJ$5)*H16-CJ16</f>
        <v>#NAME?</v>
      </c>
      <c r="CH16" s="253" t="e">
        <f aca="false">xSPRDOPT((VLOOKUP(G16,NGPREVPRICES,2,FALSE())+HLOOKUP(D16,PREVCURVES,VLOOKUP(G16,MOVE_DOWN2,2,FALSE()),FALSE())),VLOOKUP(G16,NGPREVPRICES,2,FALSE()),CK16,VLOOKUP(G16,NGPREVPRICES,4,FALSE()),HLOOKUP(D16,PREVVOLS,VLOOKUP(G16,MOVE_DOWN2,2,FALSE()),FALSE()),VLOOKUP(G16,NGPREVPRICES,3,FALSE()),HLOOKUP(D16,Correllate,VLOOKUP(G16,CorMove,2,FALSE()),FALSE()),Q16-$C$3,R16,$CJ$5)*H16-CJ16</f>
        <v>#NAME?</v>
      </c>
      <c r="CI16" s="253" t="e">
        <f aca="false">SUM(CD16:CH16)</f>
        <v>#NAME?</v>
      </c>
      <c r="CJ16" s="253" t="e">
        <f aca="false">xSPRDOPT((VLOOKUP(G16,NGPREVPRICES,2,FALSE())+HLOOKUP(D16,PREVCURVES,VLOOKUP(G16,MOVE_DOWN2,2,FALSE()),FALSE())),VLOOKUP(G16,NGPREVPRICES,2,FALSE()),CK16,VLOOKUP(G16,NGPREVPRICES,4,FALSE()),HLOOKUP(D16,PREVVOLS,VLOOKUP(G16,MOVE_DOWN2,2,FALSE()),FALSE()),VLOOKUP(G16,NGPREVPRICES,3,FALSE()),HLOOKUP(D16,Correllate,VLOOKUP(G16,CorMove,2,FALSE()),FALSE()),Q16-$CD$3,R16,$CJ$5)*H16</f>
        <v>#NAME?</v>
      </c>
      <c r="CK16" s="254" t="n">
        <f aca="false">I16</f>
        <v>0.3</v>
      </c>
      <c r="CM16" s="0" t="str">
        <f aca="false">CONCATENATE(CC16,$CD$6)</f>
        <v>37043Curve Shift/Gamma</v>
      </c>
      <c r="CN16" s="0" t="str">
        <f aca="false">CONCATENATE($CC16,$CE$6)</f>
        <v>37043Rho</v>
      </c>
      <c r="CO16" s="0" t="str">
        <f aca="false">CONCATENATE($CC16,$CF$6)</f>
        <v>37043Drift</v>
      </c>
      <c r="CP16" s="0" t="str">
        <f aca="false">CONCATENATE($CC16,$CG$6)</f>
        <v>37043Vega</v>
      </c>
      <c r="CQ16" s="0" t="str">
        <f aca="false">CONCATENATE($CC16,$CH$6)</f>
        <v>37043Theta</v>
      </c>
      <c r="CR16" s="255" t="n">
        <f aca="false">EOMONTH(CR15,0)+1</f>
        <v>37012</v>
      </c>
      <c r="CS16" s="261" t="e">
        <f aca="false">SUMIF($CM$7:$CM$631,CONCATENATE($CR16,$CS$6),$CD$7:$CD$631)</f>
        <v>#NAME?</v>
      </c>
      <c r="CT16" s="262" t="e">
        <f aca="false">SUMIF($CN$7:$CN$636,CONCATENATE($CR16,$CT$6),$CE$7:$CE$631)</f>
        <v>#NAME?</v>
      </c>
      <c r="CU16" s="262" t="e">
        <f aca="false">SUMIF($CO$7:$CO$636,CONCATENATE($CR16,$CU$6),$CF$7:$CF$631)</f>
        <v>#NAME?</v>
      </c>
      <c r="CV16" s="262" t="e">
        <f aca="false">SUMIF($CP$7:$CP$636,CONCATENATE($CR16,$CV$6),$CG$7:$CG$631)</f>
        <v>#NAME?</v>
      </c>
      <c r="CW16" s="263" t="e">
        <f aca="false">SUMIF($CQ$7:$CQ$636,CONCATENATE($CR16,$CW$6),$CH$7:$CH$631)</f>
        <v>#NAME?</v>
      </c>
      <c r="CX16" s="264" t="e">
        <f aca="false">SUM(CS16:CW16)</f>
        <v>#NAME?</v>
      </c>
      <c r="CZ16" s="255" t="n">
        <f aca="false">CR16</f>
        <v>37012</v>
      </c>
      <c r="DA16" s="261" t="e">
        <f aca="false">SUMIF($CC$7:$CC$1008,$CR16,$CD$7:$CD$1008)</f>
        <v>#NAME?</v>
      </c>
      <c r="DB16" s="262" t="e">
        <f aca="false">SUMIF($CC$7:$CC$1008,$CR16,$CE$7:$CE$1008)</f>
        <v>#NAME?</v>
      </c>
      <c r="DC16" s="262" t="e">
        <f aca="false">SUMIF($CC$7:$CC$1008,$CR16,$CF$7:$CF$1008)</f>
        <v>#NAME?</v>
      </c>
      <c r="DD16" s="262" t="e">
        <f aca="false">SUMIF($CC$7:$CC$1008,$CR16,$CG$7:$CG$1008)</f>
        <v>#NAME?</v>
      </c>
      <c r="DE16" s="263" t="e">
        <f aca="false">SUMIF($CC$7:$CC$1008,$CR16,$CH$7:$CH$1008)</f>
        <v>#NAME?</v>
      </c>
      <c r="DF16" s="264" t="e">
        <f aca="false">SUM(DA16:DE16)</f>
        <v>#NAME?</v>
      </c>
    </row>
    <row r="17" customFormat="false" ht="12" hidden="false" customHeight="true" outlineLevel="0" collapsed="false">
      <c r="A17" s="265" t="s">
        <v>194</v>
      </c>
      <c r="B17" s="125" t="s">
        <v>192</v>
      </c>
      <c r="C17" s="125" t="s">
        <v>195</v>
      </c>
      <c r="D17" s="7" t="s">
        <v>149</v>
      </c>
      <c r="E17" s="7" t="s">
        <v>131</v>
      </c>
      <c r="F17" s="92" t="s">
        <v>136</v>
      </c>
      <c r="G17" s="92" t="n">
        <v>37012</v>
      </c>
      <c r="H17" s="248" t="n">
        <v>500000</v>
      </c>
      <c r="I17" s="2" t="n">
        <v>0.3</v>
      </c>
      <c r="J17" s="124" t="n">
        <f aca="false">VLOOKUP(G17,NGPrices,2,FALSE())</f>
        <v>3.838</v>
      </c>
      <c r="K17" s="125" t="n">
        <f aca="false">HLOOKUP(D17,Prices,VLOOKUP(G17,move_down,2,FALSE()),FALSE())+VLOOKUP(G17,CHANGE,HLOOKUP(D17,CHANGE,2,FALSE()),FALSE())</f>
        <v>0.405</v>
      </c>
      <c r="L17" s="124" t="n">
        <f aca="false">K17+J17</f>
        <v>4.243</v>
      </c>
      <c r="M17" s="126" t="n">
        <f aca="false">VLOOKUP(G17,NGPrices,4,FALSE())</f>
        <v>0.069101151219</v>
      </c>
      <c r="N17" s="2" t="n">
        <f aca="false">VLOOKUP(G17,NGPrices,3,FALSE())</f>
        <v>0.405</v>
      </c>
      <c r="O17" s="2" t="n">
        <f aca="false">HLOOKUP(D17,VOLS,VLOOKUP(G17,move_down,2,FALSE()),FALSE())</f>
        <v>0.397</v>
      </c>
      <c r="P17" s="249" t="n">
        <f aca="false">HLOOKUP(D17,Correllate,VLOOKUP(G17,CorMove,2,FALSE()),FALSE())</f>
        <v>0.9738</v>
      </c>
      <c r="Q17" s="92" t="n">
        <f aca="false">WORKDAY(G17,-2)</f>
        <v>37008</v>
      </c>
      <c r="R17" s="2" t="n">
        <f aca="false">IF(F17="P",0,1)</f>
        <v>1</v>
      </c>
      <c r="S17" s="130" t="e">
        <f aca="false">xSPRDOPT($L17,$J17,$I17,$M17,$O17,$N17,$P17,$Q17-$C$3,$R17,0)</f>
        <v>#NAME?</v>
      </c>
      <c r="T17" s="250" t="e">
        <f aca="false">xSPRDOPT($L17,$J17,$I17,$M17,$O17,$N17,$P17,$Q17-$C$3,$R17,1)*H17</f>
        <v>#NAME?</v>
      </c>
      <c r="U17" s="43" t="e">
        <f aca="false">S17*H17</f>
        <v>#NAME?</v>
      </c>
      <c r="V17" s="250" t="e">
        <f aca="false">xSPRDOPT($L17,$J17,$I17,$M17,$O17,$N17,$P17,$Q17-$C$3,$R17,2)*H17</f>
        <v>#NAME?</v>
      </c>
      <c r="W17" s="250" t="e">
        <f aca="false">+V17+T17</f>
        <v>#NAME?</v>
      </c>
      <c r="X17" s="2" t="str">
        <f aca="false">CONCATENATE(G17,D17)</f>
        <v>37012IF-TRANSCO/Z6</v>
      </c>
      <c r="Y17" s="251" t="n">
        <f aca="false">H17/10000</f>
        <v>50</v>
      </c>
      <c r="Z17" s="226" t="e">
        <f aca="false">T17/H17</f>
        <v>#NAME?</v>
      </c>
      <c r="AA17" s="226" t="e">
        <f aca="false">xSPRDOPT($L17,$J17,$I17,$M17,$O17,$N17,$P17,$Q17-$C$3,$R17,3)</f>
        <v>#NAME?</v>
      </c>
      <c r="AB17" s="226" t="e">
        <f aca="false">((xSPRDOPT($L17+AB$5,$J17,$I17,$M17,$O17,$N17,$P17,$Q17-$C$3,$R17,3)*$H17)/10000)/100</f>
        <v>#NAME?</v>
      </c>
      <c r="AC17" s="226" t="e">
        <f aca="false">((xSPRDOPT($L17+$AB$5,$J17,$I17,$M17,$O17,$N17,$P17,$Q17-$C$3,$R17,7)*$H17)/100)</f>
        <v>#NAME?</v>
      </c>
      <c r="AD17" s="226" t="e">
        <f aca="false">(xSPRDOPT($L17+$AB$5,$J17,$I17,$M17,$O17,$N17,$P17,$Q17-$C$3,$R17,9)/365)*$H17</f>
        <v>#NAME?</v>
      </c>
      <c r="AE17" s="0" t="e">
        <f aca="false">CD17</f>
        <v>#NAME?</v>
      </c>
      <c r="AF17" s="226" t="e">
        <f aca="false">((O17/N17)*AH17)+AG17</f>
        <v>#NAME?</v>
      </c>
      <c r="AG17" s="226" t="e">
        <f aca="false">((xSPRDOPT($L17,$J17,$I17,$M17,$O17,$N17,$P17,$Q17-$C$3,$R17,6)*$H17)/100)</f>
        <v>#NAME?</v>
      </c>
      <c r="AH17" s="226" t="e">
        <f aca="false">((xSPRDOPT($L17,$J17,$I17,$M17,$O17,$N17,$P17,$Q17-$C$3,$R17,5)*$H17)/100)</f>
        <v>#NAME?</v>
      </c>
      <c r="AI17" s="226" t="e">
        <f aca="false">(((xSPRDOPT($L17,$J17,$I17,$M17,$O17,$N17,$P17,$Q17-$C$3,$R17,4)*$H17)/10000)/100)-AB17</f>
        <v>#NAME?</v>
      </c>
      <c r="AJ17" s="226"/>
      <c r="AK17" s="226"/>
      <c r="AL17" s="226"/>
      <c r="AM17" s="252"/>
      <c r="AN17" s="208" t="n">
        <f aca="false">EOMONTH(AN16,0)+1</f>
        <v>37043</v>
      </c>
      <c r="AO17" s="134" t="e">
        <f aca="false">SUMIF($X:$X,CONCATENATE($AN17,AO$6),$T:$T)/10000</f>
        <v>#NAME?</v>
      </c>
      <c r="AP17" s="134" t="n">
        <f aca="false">SUMIF($X:$X,CONCATENATE($AN17,AP$6),$T:$T)/10000</f>
        <v>0</v>
      </c>
      <c r="AQ17" s="134" t="n">
        <f aca="false">SUMIF($X:$X,CONCATENATE($AN17,AQ$6),$T:$T)/10000</f>
        <v>0</v>
      </c>
      <c r="AR17" s="134" t="n">
        <f aca="false">SUMIF($X:$X,CONCATENATE($AN17,AR$6),$T:$T)/10000</f>
        <v>0</v>
      </c>
      <c r="AS17" s="134" t="n">
        <f aca="false">SUMIF($X:$X,CONCATENATE($AN17,AS$6),$T:$T)/10000</f>
        <v>0</v>
      </c>
      <c r="AT17" s="134" t="e">
        <f aca="false">SUMIF($X:$X,CONCATENATE($AN17,AT$6),$T:$T)/10000</f>
        <v>#NAME?</v>
      </c>
      <c r="AU17" s="134" t="n">
        <f aca="false">SUMIF($X:$X,CONCATENATE($AN17,AU$6),$T:$T)/10000</f>
        <v>0</v>
      </c>
      <c r="AV17" s="134" t="n">
        <f aca="false">SUMIF($X:$X,CONCATENATE($AN17,AV$6),$T:$T)/10000</f>
        <v>0</v>
      </c>
      <c r="AW17" s="134" t="e">
        <f aca="false">SUMIF($X:$X,CONCATENATE($AN17,AW$6),$T:$T)/10000</f>
        <v>#NAME?</v>
      </c>
      <c r="AX17" s="134" t="n">
        <f aca="false">SUMIF($X:$X,CONCATENATE($AN17,AX$6),$T:$T)/10000</f>
        <v>0</v>
      </c>
      <c r="AY17" s="134" t="n">
        <f aca="false">SUMIF($X:$X,CONCATENATE($AN17,AY$6),$T:$T)/10000</f>
        <v>0</v>
      </c>
      <c r="AZ17" s="134" t="n">
        <f aca="false">SUMIF($X:$X,CONCATENATE($AN17,AZ$6),$T:$T)/10000</f>
        <v>0</v>
      </c>
      <c r="BA17" s="135" t="n">
        <f aca="false">SUMIF($X:$X,CONCATENATE($AN17,BA$6),$T:$T)/10000</f>
        <v>0</v>
      </c>
      <c r="BB17" s="208" t="n">
        <f aca="false">EOMONTH(BB16,0)+1</f>
        <v>37043</v>
      </c>
      <c r="BC17" s="135" t="e">
        <f aca="false">SUM(AO17:BA17)</f>
        <v>#NAME?</v>
      </c>
      <c r="BD17" s="2"/>
      <c r="BE17" s="208" t="n">
        <f aca="false">EOMONTH(BE16,0)+1</f>
        <v>37043</v>
      </c>
      <c r="BF17" s="134" t="e">
        <f aca="false">SUMIF($X:$X,CONCATENATE($AN17,BF$6),$W:$W)</f>
        <v>#NAME?</v>
      </c>
      <c r="BG17" s="134" t="n">
        <f aca="false">SUMIF($X:$X,CONCATENATE($AN17,BG$6),$W:$W)</f>
        <v>0</v>
      </c>
      <c r="BH17" s="134" t="n">
        <f aca="false">SUMIF($X:$X,CONCATENATE($AN17,BH$6),$W:$W)</f>
        <v>0</v>
      </c>
      <c r="BI17" s="134" t="n">
        <f aca="false">SUMIF($X:$X,CONCATENATE($AN17,BI$6),$W:$W)</f>
        <v>0</v>
      </c>
      <c r="BJ17" s="134" t="n">
        <f aca="false">SUMIF($X:$X,CONCATENATE($AN17,BJ$6),$W:$W)</f>
        <v>0</v>
      </c>
      <c r="BK17" s="134" t="e">
        <f aca="false">SUMIF($X:$X,CONCATENATE($AN17,BK$6),$W:$W)</f>
        <v>#NAME?</v>
      </c>
      <c r="BL17" s="134" t="n">
        <f aca="false">SUMIF($X:$X,CONCATENATE($AN17,BL$6),$W:$W)</f>
        <v>0</v>
      </c>
      <c r="BM17" s="134" t="n">
        <f aca="false">SUMIF($X:$X,CONCATENATE($AN17,BM$6),$W:$W)</f>
        <v>0</v>
      </c>
      <c r="BN17" s="134" t="e">
        <f aca="false">SUMIF($X:$X,CONCATENATE($AN17,BN$6),$W:$W)</f>
        <v>#NAME?</v>
      </c>
      <c r="BO17" s="134" t="n">
        <f aca="false">SUMIF($X:$X,CONCATENATE($AN17,BO$6),$W:$W)</f>
        <v>0</v>
      </c>
      <c r="BP17" s="134" t="n">
        <f aca="false">SUMIF($X:$X,CONCATENATE($AN17,BP$6),$W:$W)</f>
        <v>0</v>
      </c>
      <c r="BQ17" s="134" t="n">
        <f aca="false">SUMIF($X:$X,CONCATENATE($AN17,BQ$6),$W:$W)</f>
        <v>0</v>
      </c>
      <c r="BR17" s="135" t="n">
        <f aca="false">SUMIF($X:$X,CONCATENATE($AN17,BR$6),$W:$W)</f>
        <v>0</v>
      </c>
      <c r="BS17" s="208" t="n">
        <f aca="false">EOMONTH(BS16,0)+1</f>
        <v>37043</v>
      </c>
      <c r="BT17" s="135" t="e">
        <f aca="false">SUM(BF17:BR17)</f>
        <v>#NAME?</v>
      </c>
      <c r="BU17" s="260" t="e">
        <f aca="false">BT17/10000</f>
        <v>#NAME?</v>
      </c>
      <c r="BV17" s="2"/>
      <c r="BW17" s="2"/>
      <c r="BX17" s="2"/>
      <c r="BY17" s="2"/>
      <c r="BZ17" s="2"/>
      <c r="CA17" s="2"/>
      <c r="CB17" s="2"/>
      <c r="CC17" s="182" t="n">
        <f aca="false">G17</f>
        <v>37012</v>
      </c>
      <c r="CD17" s="253" t="e">
        <f aca="false">xSPRDOPT((VLOOKUP(G17,NGPrices,2,FALSE())+HLOOKUP(D17,Prices,VLOOKUP(G17,move_down,2,FALSE()),FALSE())),VLOOKUP(G17,NGPrices,2,FALSE()),I17,VLOOKUP(G17,NGPREVPRICES,4,FALSE()),HLOOKUP(D17,PREVVOLS,VLOOKUP(G17,MOVE_DOWN2,2,FALSE()),FALSE()),VLOOKUP(G17,NGPREVPRICES,3,FALSE()),HLOOKUP(D17,Correllate,VLOOKUP(G17,CorMove,2,FALSE()),FALSE()),Q17-$CD$3,R17,$CD$5)*H17-CJ17</f>
        <v>#NAME?</v>
      </c>
      <c r="CE17" s="253" t="e">
        <f aca="false">xSPRDOPT((VLOOKUP(G17,NGPREVPRICES,2,FALSE())+HLOOKUP(D17,PREVCURVES,VLOOKUP(G17,MOVE_DOWN2,2,FALSE()),FALSE())),VLOOKUP(G17,NGPREVPRICES,2,FALSE()),CK17,VLOOKUP(G17,NGPrices,4,FALSE()),HLOOKUP(D17,PREVVOLS,VLOOKUP(G17,MOVE_DOWN2,2,FALSE()),FALSE()),VLOOKUP(G17,NGPREVPRICES,3,FALSE()),HLOOKUP(D17,Correllate,VLOOKUP(G17,CorMove,2,FALSE()),FALSE()),Q17-$CD$3,R17,$CJ$5)*H17-CJ17</f>
        <v>#NAME?</v>
      </c>
      <c r="CF17" s="132" t="e">
        <f aca="false">(CJ17/VLOOKUP(CC17,discount,3,FALSE()))-(CJ17/VLOOKUP(CC17,discount,2,FALSE()))</f>
        <v>#NAME?</v>
      </c>
      <c r="CG17" s="253" t="e">
        <f aca="false">xSPRDOPT((VLOOKUP(G17,NGPREVPRICES,2,FALSE())+HLOOKUP(D17,PREVCURVES,VLOOKUP(G17,MOVE_DOWN2,2,FALSE()),FALSE())),VLOOKUP(G17,NGPREVPRICES,2,FALSE()),CK17,VLOOKUP(G17,NGPREVPRICES,4,FALSE()),HLOOKUP(D17,VOLS,VLOOKUP(G17,move_down,2,FALSE()),FALSE()),VLOOKUP(G17,NGPrices,3,FALSE()),HLOOKUP(D17,Correllate,VLOOKUP(G17,CorMove,2,FALSE()),FALSE()),Q17-$CD$3,R17,$CJ$5)*H17-CJ17</f>
        <v>#NAME?</v>
      </c>
      <c r="CH17" s="253" t="e">
        <f aca="false">xSPRDOPT((VLOOKUP(G17,NGPREVPRICES,2,FALSE())+HLOOKUP(D17,PREVCURVES,VLOOKUP(G17,MOVE_DOWN2,2,FALSE()),FALSE())),VLOOKUP(G17,NGPREVPRICES,2,FALSE()),CK17,VLOOKUP(G17,NGPREVPRICES,4,FALSE()),HLOOKUP(D17,PREVVOLS,VLOOKUP(G17,MOVE_DOWN2,2,FALSE()),FALSE()),VLOOKUP(G17,NGPREVPRICES,3,FALSE()),HLOOKUP(D17,Correllate,VLOOKUP(G17,CorMove,2,FALSE()),FALSE()),Q17-$C$3,R17,$CJ$5)*H17-CJ17</f>
        <v>#NAME?</v>
      </c>
      <c r="CI17" s="253" t="e">
        <f aca="false">SUM(CD17:CH17)</f>
        <v>#NAME?</v>
      </c>
      <c r="CJ17" s="253" t="e">
        <f aca="false">xSPRDOPT((VLOOKUP(G17,NGPREVPRICES,2,FALSE())+HLOOKUP(D17,PREVCURVES,VLOOKUP(G17,MOVE_DOWN2,2,FALSE()),FALSE())),VLOOKUP(G17,NGPREVPRICES,2,FALSE()),CK17,VLOOKUP(G17,NGPREVPRICES,4,FALSE()),HLOOKUP(D17,PREVVOLS,VLOOKUP(G17,MOVE_DOWN2,2,FALSE()),FALSE()),VLOOKUP(G17,NGPREVPRICES,3,FALSE()),HLOOKUP(D17,Correllate,VLOOKUP(G17,CorMove,2,FALSE()),FALSE()),Q17-$CD$3,R17,$CJ$5)*H17</f>
        <v>#NAME?</v>
      </c>
      <c r="CK17" s="254" t="n">
        <f aca="false">I17</f>
        <v>0.3</v>
      </c>
      <c r="CM17" s="0" t="str">
        <f aca="false">CONCATENATE(CC17,$CD$6)</f>
        <v>37012Curve Shift/Gamma</v>
      </c>
      <c r="CN17" s="0" t="str">
        <f aca="false">CONCATENATE($CC17,$CE$6)</f>
        <v>37012Rho</v>
      </c>
      <c r="CO17" s="0" t="str">
        <f aca="false">CONCATENATE($CC17,$CF$6)</f>
        <v>37012Drift</v>
      </c>
      <c r="CP17" s="0" t="str">
        <f aca="false">CONCATENATE($CC17,$CG$6)</f>
        <v>37012Vega</v>
      </c>
      <c r="CQ17" s="0" t="str">
        <f aca="false">CONCATENATE($CC17,$CH$6)</f>
        <v>37012Theta</v>
      </c>
      <c r="CR17" s="255" t="n">
        <f aca="false">EOMONTH(CR16,0)+1</f>
        <v>37043</v>
      </c>
      <c r="CS17" s="261" t="e">
        <f aca="false">SUMIF($CM$7:$CM$631,CONCATENATE($CR17,$CS$6),$CD$7:$CD$631)</f>
        <v>#NAME?</v>
      </c>
      <c r="CT17" s="262" t="e">
        <f aca="false">SUMIF($CN$7:$CN$636,CONCATENATE($CR17,$CT$6),$CE$7:$CE$631)</f>
        <v>#NAME?</v>
      </c>
      <c r="CU17" s="262" t="e">
        <f aca="false">SUMIF($CO$7:$CO$636,CONCATENATE($CR17,$CU$6),$CF$7:$CF$631)</f>
        <v>#NAME?</v>
      </c>
      <c r="CV17" s="262" t="e">
        <f aca="false">SUMIF($CP$7:$CP$636,CONCATENATE($CR17,$CV$6),$CG$7:$CG$631)</f>
        <v>#NAME?</v>
      </c>
      <c r="CW17" s="263" t="e">
        <f aca="false">SUMIF($CQ$7:$CQ$636,CONCATENATE($CR17,$CW$6),$CH$7:$CH$631)</f>
        <v>#NAME?</v>
      </c>
      <c r="CX17" s="264" t="e">
        <f aca="false">SUM(CS17:CW17)</f>
        <v>#NAME?</v>
      </c>
      <c r="CZ17" s="255" t="n">
        <f aca="false">CR17</f>
        <v>37043</v>
      </c>
      <c r="DA17" s="261" t="e">
        <f aca="false">SUMIF($CC$7:$CC$1008,$CR17,$CD$7:$CD$1008)</f>
        <v>#NAME?</v>
      </c>
      <c r="DB17" s="262" t="e">
        <f aca="false">SUMIF($CC$7:$CC$1008,$CR17,$CE$7:$CE$1008)</f>
        <v>#NAME?</v>
      </c>
      <c r="DC17" s="262" t="e">
        <f aca="false">SUMIF($CC$7:$CC$1008,$CR17,$CF$7:$CF$1008)</f>
        <v>#NAME?</v>
      </c>
      <c r="DD17" s="262" t="e">
        <f aca="false">SUMIF($CC$7:$CC$1008,$CR17,$CG$7:$CG$1008)</f>
        <v>#NAME?</v>
      </c>
      <c r="DE17" s="263" t="e">
        <f aca="false">SUMIF($CC$7:$CC$1008,$CR17,$CH$7:$CH$1008)</f>
        <v>#NAME?</v>
      </c>
      <c r="DF17" s="264" t="e">
        <f aca="false">SUM(DA17:DE17)</f>
        <v>#NAME?</v>
      </c>
    </row>
    <row r="18" customFormat="false" ht="12" hidden="false" customHeight="true" outlineLevel="0" collapsed="false">
      <c r="A18" s="265" t="s">
        <v>194</v>
      </c>
      <c r="B18" s="125" t="s">
        <v>192</v>
      </c>
      <c r="C18" s="125" t="s">
        <v>195</v>
      </c>
      <c r="D18" s="7" t="s">
        <v>149</v>
      </c>
      <c r="E18" s="7" t="s">
        <v>131</v>
      </c>
      <c r="F18" s="92" t="s">
        <v>136</v>
      </c>
      <c r="G18" s="92" t="n">
        <v>36982</v>
      </c>
      <c r="H18" s="248" t="n">
        <v>500000</v>
      </c>
      <c r="I18" s="7" t="n">
        <v>0.3</v>
      </c>
      <c r="J18" s="124" t="n">
        <f aca="false">VLOOKUP(G18,NGPrices,2,FALSE())</f>
        <v>3.938</v>
      </c>
      <c r="K18" s="125" t="n">
        <f aca="false">HLOOKUP(D18,Prices,VLOOKUP(G18,move_down,2,FALSE()),FALSE())+VLOOKUP(G18,CHANGE,HLOOKUP(D18,CHANGE,2,FALSE()),FALSE())</f>
        <v>0.52</v>
      </c>
      <c r="L18" s="124" t="n">
        <f aca="false">K18+J18</f>
        <v>4.458</v>
      </c>
      <c r="M18" s="126" t="n">
        <f aca="false">VLOOKUP(G18,NGPrices,4,FALSE())</f>
        <v>0.069061726541121</v>
      </c>
      <c r="N18" s="7" t="n">
        <f aca="false">VLOOKUP(G18,NGPrices,3,FALSE())</f>
        <v>0.4425</v>
      </c>
      <c r="O18" s="7" t="n">
        <f aca="false">HLOOKUP(D18,VOLS,VLOOKUP(G18,move_down,2,FALSE()),FALSE())</f>
        <v>0.434</v>
      </c>
      <c r="P18" s="249" t="n">
        <f aca="false">HLOOKUP(D18,Correllate,VLOOKUP(G18,CorMove,2,FALSE()),FALSE())</f>
        <v>0.9738</v>
      </c>
      <c r="Q18" s="92" t="n">
        <f aca="false">WORKDAY(G18,-2)</f>
        <v>36979</v>
      </c>
      <c r="R18" s="7" t="n">
        <f aca="false">IF(F18="P",0,1)</f>
        <v>1</v>
      </c>
      <c r="S18" s="130" t="e">
        <f aca="false">xSPRDOPT($L18,$J18,$I18,$M18,$O18,$N18,$P18,$Q18-$C$3,$R18,0)</f>
        <v>#NAME?</v>
      </c>
      <c r="T18" s="250" t="e">
        <f aca="false">xSPRDOPT($L18,$J18,$I18,$M18,$O18,$N18,$P18,$Q18-$C$3,$R18,1)*H18</f>
        <v>#NAME?</v>
      </c>
      <c r="U18" s="43" t="e">
        <f aca="false">S18*H18</f>
        <v>#NAME?</v>
      </c>
      <c r="V18" s="250" t="e">
        <f aca="false">xSPRDOPT($L18,$J18,$I18,$M18,$O18,$N18,$P18,$Q18-$C$3,$R18,2)*H18</f>
        <v>#NAME?</v>
      </c>
      <c r="W18" s="250" t="e">
        <f aca="false">+V18+T18</f>
        <v>#NAME?</v>
      </c>
      <c r="X18" s="2" t="str">
        <f aca="false">CONCATENATE(G18,D18)</f>
        <v>36982IF-TRANSCO/Z6</v>
      </c>
      <c r="Y18" s="251" t="n">
        <f aca="false">H18/10000</f>
        <v>50</v>
      </c>
      <c r="Z18" s="226" t="e">
        <f aca="false">T18/H18</f>
        <v>#NAME?</v>
      </c>
      <c r="AA18" s="226" t="e">
        <f aca="false">xSPRDOPT($L18,$J18,$I18,$M18,$O18,$N18,$P18,$Q18-$C$3,$R18,3)</f>
        <v>#NAME?</v>
      </c>
      <c r="AB18" s="226" t="e">
        <f aca="false">((xSPRDOPT($L18+AB$5,$J18,$I18,$M18,$O18,$N18,$P18,$Q18-$C$3,$R18,3)*$H18)/10000)/100</f>
        <v>#NAME?</v>
      </c>
      <c r="AC18" s="226" t="e">
        <f aca="false">((xSPRDOPT($L18+$AB$5,$J18,$I18,$M18,$O18,$N18,$P18,$Q18-$C$3,$R18,7)*$H18)/100)</f>
        <v>#NAME?</v>
      </c>
      <c r="AD18" s="226" t="e">
        <f aca="false">(xSPRDOPT($L18+$AB$5,$J18,$I18,$M18,$O18,$N18,$P18,$Q18-$C$3,$R18,9)/365)*$H18</f>
        <v>#NAME?</v>
      </c>
      <c r="AE18" s="0" t="e">
        <f aca="false">CD18</f>
        <v>#NAME?</v>
      </c>
      <c r="AF18" s="226" t="e">
        <f aca="false">((O18/N18)*AH18)+AG18</f>
        <v>#NAME?</v>
      </c>
      <c r="AG18" s="226" t="e">
        <f aca="false">((xSPRDOPT($L18,$J18,$I18,$M18,$O18,$N18,$P18,$Q18-$C$3,$R18,6)*$H18)/100)</f>
        <v>#NAME?</v>
      </c>
      <c r="AH18" s="226" t="e">
        <f aca="false">((xSPRDOPT($L18,$J18,$I18,$M18,$O18,$N18,$P18,$Q18-$C$3,$R18,5)*$H18)/100)</f>
        <v>#NAME?</v>
      </c>
      <c r="AI18" s="226" t="e">
        <f aca="false">(((xSPRDOPT($L18,$J18,$I18,$M18,$O18,$N18,$P18,$Q18-$C$3,$R18,4)*$H18)/10000)/100)-AB18</f>
        <v>#NAME?</v>
      </c>
      <c r="AJ18" s="226"/>
      <c r="AK18" s="226"/>
      <c r="AL18" s="226"/>
      <c r="AM18" s="252"/>
      <c r="AN18" s="208" t="n">
        <f aca="false">EOMONTH(AN17,0)+1</f>
        <v>37073</v>
      </c>
      <c r="AO18" s="134" t="e">
        <f aca="false">SUMIF($X:$X,CONCATENATE($AN18,AO$6),$T:$T)/10000</f>
        <v>#NAME?</v>
      </c>
      <c r="AP18" s="134" t="n">
        <f aca="false">SUMIF($X:$X,CONCATENATE($AN18,AP$6),$T:$T)/10000</f>
        <v>0</v>
      </c>
      <c r="AQ18" s="134" t="n">
        <f aca="false">SUMIF($X:$X,CONCATENATE($AN18,AQ$6),$T:$T)/10000</f>
        <v>0</v>
      </c>
      <c r="AR18" s="134" t="n">
        <f aca="false">SUMIF($X:$X,CONCATENATE($AN18,AR$6),$T:$T)/10000</f>
        <v>0</v>
      </c>
      <c r="AS18" s="134" t="n">
        <f aca="false">SUMIF($X:$X,CONCATENATE($AN18,AS$6),$T:$T)/10000</f>
        <v>0</v>
      </c>
      <c r="AT18" s="134" t="e">
        <f aca="false">SUMIF($X:$X,CONCATENATE($AN18,AT$6),$T:$T)/10000</f>
        <v>#NAME?</v>
      </c>
      <c r="AU18" s="134" t="n">
        <f aca="false">SUMIF($X:$X,CONCATENATE($AN18,AU$6),$T:$T)/10000</f>
        <v>0</v>
      </c>
      <c r="AV18" s="134" t="n">
        <f aca="false">SUMIF($X:$X,CONCATENATE($AN18,AV$6),$T:$T)/10000</f>
        <v>0</v>
      </c>
      <c r="AW18" s="134" t="e">
        <f aca="false">SUMIF($X:$X,CONCATENATE($AN18,AW$6),$T:$T)/10000</f>
        <v>#NAME?</v>
      </c>
      <c r="AX18" s="134" t="n">
        <f aca="false">SUMIF($X:$X,CONCATENATE($AN18,AX$6),$T:$T)/10000</f>
        <v>0</v>
      </c>
      <c r="AY18" s="134" t="n">
        <f aca="false">SUMIF($X:$X,CONCATENATE($AN18,AY$6),$T:$T)/10000</f>
        <v>0</v>
      </c>
      <c r="AZ18" s="134" t="n">
        <f aca="false">SUMIF($X:$X,CONCATENATE($AN18,AZ$6),$T:$T)/10000</f>
        <v>0</v>
      </c>
      <c r="BA18" s="135" t="n">
        <f aca="false">SUMIF($X:$X,CONCATENATE($AN18,BA$6),$T:$T)/10000</f>
        <v>0</v>
      </c>
      <c r="BB18" s="208" t="n">
        <f aca="false">EOMONTH(BB17,0)+1</f>
        <v>37073</v>
      </c>
      <c r="BC18" s="135" t="e">
        <f aca="false">SUM(AO18:BA18)</f>
        <v>#NAME?</v>
      </c>
      <c r="BD18" s="2"/>
      <c r="BE18" s="208" t="n">
        <f aca="false">EOMONTH(BE17,0)+1</f>
        <v>37073</v>
      </c>
      <c r="BF18" s="134" t="e">
        <f aca="false">SUMIF($X:$X,CONCATENATE($AN18,BF$6),$W:$W)</f>
        <v>#NAME?</v>
      </c>
      <c r="BG18" s="134" t="n">
        <f aca="false">SUMIF($X:$X,CONCATENATE($AN18,BG$6),$W:$W)</f>
        <v>0</v>
      </c>
      <c r="BH18" s="134" t="n">
        <f aca="false">SUMIF($X:$X,CONCATENATE($AN18,BH$6),$W:$W)</f>
        <v>0</v>
      </c>
      <c r="BI18" s="134" t="n">
        <f aca="false">SUMIF($X:$X,CONCATENATE($AN18,BI$6),$W:$W)</f>
        <v>0</v>
      </c>
      <c r="BJ18" s="134" t="n">
        <f aca="false">SUMIF($X:$X,CONCATENATE($AN18,BJ$6),$W:$W)</f>
        <v>0</v>
      </c>
      <c r="BK18" s="134" t="e">
        <f aca="false">SUMIF($X:$X,CONCATENATE($AN18,BK$6),$W:$W)</f>
        <v>#NAME?</v>
      </c>
      <c r="BL18" s="134" t="n">
        <f aca="false">SUMIF($X:$X,CONCATENATE($AN18,BL$6),$W:$W)</f>
        <v>0</v>
      </c>
      <c r="BM18" s="134" t="n">
        <f aca="false">SUMIF($X:$X,CONCATENATE($AN18,BM$6),$W:$W)</f>
        <v>0</v>
      </c>
      <c r="BN18" s="134" t="e">
        <f aca="false">SUMIF($X:$X,CONCATENATE($AN18,BN$6),$W:$W)</f>
        <v>#NAME?</v>
      </c>
      <c r="BO18" s="134" t="n">
        <f aca="false">SUMIF($X:$X,CONCATENATE($AN18,BO$6),$W:$W)</f>
        <v>0</v>
      </c>
      <c r="BP18" s="134" t="n">
        <f aca="false">SUMIF($X:$X,CONCATENATE($AN18,BP$6),$W:$W)</f>
        <v>0</v>
      </c>
      <c r="BQ18" s="134" t="n">
        <f aca="false">SUMIF($X:$X,CONCATENATE($AN18,BQ$6),$W:$W)</f>
        <v>0</v>
      </c>
      <c r="BR18" s="135" t="n">
        <f aca="false">SUMIF($X:$X,CONCATENATE($AN18,BR$6),$W:$W)</f>
        <v>0</v>
      </c>
      <c r="BS18" s="208" t="n">
        <f aca="false">EOMONTH(BS17,0)+1</f>
        <v>37073</v>
      </c>
      <c r="BT18" s="135" t="e">
        <f aca="false">SUM(BF18:BR18)</f>
        <v>#NAME?</v>
      </c>
      <c r="BU18" s="260" t="e">
        <f aca="false">BT18/10000</f>
        <v>#NAME?</v>
      </c>
      <c r="BV18" s="2"/>
      <c r="BW18" s="2"/>
      <c r="BX18" s="2"/>
      <c r="BY18" s="2"/>
      <c r="BZ18" s="2"/>
      <c r="CA18" s="2"/>
      <c r="CB18" s="2"/>
      <c r="CC18" s="182" t="n">
        <f aca="false">G18</f>
        <v>36982</v>
      </c>
      <c r="CD18" s="253" t="e">
        <f aca="false">xSPRDOPT((VLOOKUP(G18,NGPrices,2,FALSE())+HLOOKUP(D18,Prices,VLOOKUP(G18,move_down,2,FALSE()),FALSE())),VLOOKUP(G18,NGPrices,2,FALSE()),I18,VLOOKUP(G18,NGPREVPRICES,4,FALSE()),HLOOKUP(D18,PREVVOLS,VLOOKUP(G18,MOVE_DOWN2,2,FALSE()),FALSE()),VLOOKUP(G18,NGPREVPRICES,3,FALSE()),HLOOKUP(D18,Correllate,VLOOKUP(G18,CorMove,2,FALSE()),FALSE()),Q18-$CD$3,R18,$CD$5)*H18-CJ18</f>
        <v>#NAME?</v>
      </c>
      <c r="CE18" s="253" t="e">
        <f aca="false">xSPRDOPT((VLOOKUP(G18,NGPREVPRICES,2,FALSE())+HLOOKUP(D18,PREVCURVES,VLOOKUP(G18,MOVE_DOWN2,2,FALSE()),FALSE())),VLOOKUP(G18,NGPREVPRICES,2,FALSE()),CK18,VLOOKUP(G18,NGPrices,4,FALSE()),HLOOKUP(D18,PREVVOLS,VLOOKUP(G18,MOVE_DOWN2,2,FALSE()),FALSE()),VLOOKUP(G18,NGPREVPRICES,3,FALSE()),HLOOKUP(D18,Correllate,VLOOKUP(G18,CorMove,2,FALSE()),FALSE()),Q18-$CD$3,R18,$CJ$5)*H18-CJ18</f>
        <v>#NAME?</v>
      </c>
      <c r="CF18" s="132" t="e">
        <f aca="false">(CJ18/VLOOKUP(CC18,discount,3,FALSE()))-(CJ18/VLOOKUP(CC18,discount,2,FALSE()))</f>
        <v>#NAME?</v>
      </c>
      <c r="CG18" s="253" t="e">
        <f aca="false">xSPRDOPT((VLOOKUP(G18,NGPREVPRICES,2,FALSE())+HLOOKUP(D18,PREVCURVES,VLOOKUP(G18,MOVE_DOWN2,2,FALSE()),FALSE())),VLOOKUP(G18,NGPREVPRICES,2,FALSE()),CK18,VLOOKUP(G18,NGPREVPRICES,4,FALSE()),HLOOKUP(D18,VOLS,VLOOKUP(G18,move_down,2,FALSE()),FALSE()),VLOOKUP(G18,NGPrices,3,FALSE()),HLOOKUP(D18,Correllate,VLOOKUP(G18,CorMove,2,FALSE()),FALSE()),Q18-$CD$3,R18,$CJ$5)*H18-CJ18</f>
        <v>#NAME?</v>
      </c>
      <c r="CH18" s="253" t="e">
        <f aca="false">xSPRDOPT((VLOOKUP(G18,NGPREVPRICES,2,FALSE())+HLOOKUP(D18,PREVCURVES,VLOOKUP(G18,MOVE_DOWN2,2,FALSE()),FALSE())),VLOOKUP(G18,NGPREVPRICES,2,FALSE()),CK18,VLOOKUP(G18,NGPREVPRICES,4,FALSE()),HLOOKUP(D18,PREVVOLS,VLOOKUP(G18,MOVE_DOWN2,2,FALSE()),FALSE()),VLOOKUP(G18,NGPREVPRICES,3,FALSE()),HLOOKUP(D18,Correllate,VLOOKUP(G18,CorMove,2,FALSE()),FALSE()),Q18-$C$3,R18,$CJ$5)*H18-CJ18</f>
        <v>#NAME?</v>
      </c>
      <c r="CI18" s="253" t="e">
        <f aca="false">SUM(CD18:CH18)</f>
        <v>#NAME?</v>
      </c>
      <c r="CJ18" s="253" t="e">
        <f aca="false">xSPRDOPT((VLOOKUP(G18,NGPREVPRICES,2,FALSE())+HLOOKUP(D18,PREVCURVES,VLOOKUP(G18,MOVE_DOWN2,2,FALSE()),FALSE())),VLOOKUP(G18,NGPREVPRICES,2,FALSE()),CK18,VLOOKUP(G18,NGPREVPRICES,4,FALSE()),HLOOKUP(D18,PREVVOLS,VLOOKUP(G18,MOVE_DOWN2,2,FALSE()),FALSE()),VLOOKUP(G18,NGPREVPRICES,3,FALSE()),HLOOKUP(D18,Correllate,VLOOKUP(G18,CorMove,2,FALSE()),FALSE()),Q18-$CD$3,R18,$CJ$5)*H18</f>
        <v>#NAME?</v>
      </c>
      <c r="CK18" s="254" t="n">
        <f aca="false">I18</f>
        <v>0.3</v>
      </c>
      <c r="CM18" s="0" t="str">
        <f aca="false">CONCATENATE(CC18,$CD$6)</f>
        <v>36982Curve Shift/Gamma</v>
      </c>
      <c r="CN18" s="0" t="str">
        <f aca="false">CONCATENATE($CC18,$CE$6)</f>
        <v>36982Rho</v>
      </c>
      <c r="CO18" s="0" t="str">
        <f aca="false">CONCATENATE($CC18,$CF$6)</f>
        <v>36982Drift</v>
      </c>
      <c r="CP18" s="0" t="str">
        <f aca="false">CONCATENATE($CC18,$CG$6)</f>
        <v>36982Vega</v>
      </c>
      <c r="CQ18" s="0" t="str">
        <f aca="false">CONCATENATE($CC18,$CH$6)</f>
        <v>36982Theta</v>
      </c>
      <c r="CR18" s="255" t="n">
        <f aca="false">EOMONTH(CR17,0)+1</f>
        <v>37073</v>
      </c>
      <c r="CS18" s="261" t="e">
        <f aca="false">SUMIF($CM$7:$CM$631,CONCATENATE($CR18,$CS$6),$CD$7:$CD$631)</f>
        <v>#NAME?</v>
      </c>
      <c r="CT18" s="262" t="e">
        <f aca="false">SUMIF($CN$7:$CN$636,CONCATENATE($CR18,$CT$6),$CE$7:$CE$631)</f>
        <v>#NAME?</v>
      </c>
      <c r="CU18" s="262" t="e">
        <f aca="false">SUMIF($CO$7:$CO$636,CONCATENATE($CR18,$CU$6),$CF$7:$CF$631)</f>
        <v>#NAME?</v>
      </c>
      <c r="CV18" s="262" t="e">
        <f aca="false">SUMIF($CP$7:$CP$636,CONCATENATE($CR18,$CV$6),$CG$7:$CG$631)</f>
        <v>#NAME?</v>
      </c>
      <c r="CW18" s="263" t="e">
        <f aca="false">SUMIF($CQ$7:$CQ$636,CONCATENATE($CR18,$CW$6),$CH$7:$CH$631)</f>
        <v>#NAME?</v>
      </c>
      <c r="CX18" s="264" t="e">
        <f aca="false">SUM(CS18:CW18)</f>
        <v>#NAME?</v>
      </c>
      <c r="CZ18" s="255" t="n">
        <f aca="false">CR18</f>
        <v>37073</v>
      </c>
      <c r="DA18" s="261" t="e">
        <f aca="false">SUMIF($CC$7:$CC$1008,$CR18,$CD$7:$CD$1008)</f>
        <v>#NAME?</v>
      </c>
      <c r="DB18" s="262" t="e">
        <f aca="false">SUMIF($CC$7:$CC$1008,$CR18,$CE$7:$CE$1008)</f>
        <v>#NAME?</v>
      </c>
      <c r="DC18" s="262" t="e">
        <f aca="false">SUMIF($CC$7:$CC$1008,$CR18,$CF$7:$CF$1008)</f>
        <v>#NAME?</v>
      </c>
      <c r="DD18" s="262" t="e">
        <f aca="false">SUMIF($CC$7:$CC$1008,$CR18,$CG$7:$CG$1008)</f>
        <v>#NAME?</v>
      </c>
      <c r="DE18" s="263" t="e">
        <f aca="false">SUMIF($CC$7:$CC$1008,$CR18,$CH$7:$CH$1008)</f>
        <v>#NAME?</v>
      </c>
      <c r="DF18" s="264" t="e">
        <f aca="false">SUM(DA18:DE18)</f>
        <v>#NAME?</v>
      </c>
    </row>
    <row r="19" customFormat="false" ht="12" hidden="false" customHeight="true" outlineLevel="0" collapsed="false">
      <c r="A19" s="265" t="s">
        <v>194</v>
      </c>
      <c r="B19" s="125" t="s">
        <v>192</v>
      </c>
      <c r="C19" s="125" t="s">
        <v>195</v>
      </c>
      <c r="D19" s="7" t="s">
        <v>149</v>
      </c>
      <c r="E19" s="7" t="s">
        <v>131</v>
      </c>
      <c r="F19" s="92" t="s">
        <v>136</v>
      </c>
      <c r="G19" s="92" t="n">
        <v>36800</v>
      </c>
      <c r="H19" s="248" t="n">
        <v>500000</v>
      </c>
      <c r="I19" s="7" t="n">
        <v>0.3</v>
      </c>
      <c r="J19" s="124" t="n">
        <f aca="false">VLOOKUP(G19,NGPrices,2,FALSE())</f>
        <v>4.692</v>
      </c>
      <c r="K19" s="125" t="n">
        <f aca="false">HLOOKUP(D19,Prices,VLOOKUP(G19,move_down,2,FALSE()),FALSE())+VLOOKUP(G19,CHANGE,HLOOKUP(D19,CHANGE,2,FALSE()),FALSE())</f>
        <v>0.415</v>
      </c>
      <c r="L19" s="124" t="n">
        <f aca="false">K19+J19</f>
        <v>5.107</v>
      </c>
      <c r="M19" s="126" t="n">
        <f aca="false">VLOOKUP(G19,NGPrices,4,FALSE())</f>
        <v>0.068050789414654</v>
      </c>
      <c r="N19" s="7" t="n">
        <f aca="false">VLOOKUP(G19,NGPrices,3,FALSE())</f>
        <v>0.575</v>
      </c>
      <c r="O19" s="7" t="n">
        <f aca="false">HLOOKUP(D19,VOLS,VLOOKUP(G19,move_down,2,FALSE()),FALSE())</f>
        <v>0.564</v>
      </c>
      <c r="P19" s="249" t="n">
        <f aca="false">HLOOKUP(D19,Correllate,VLOOKUP(G19,CorMove,2,FALSE()),FALSE())</f>
        <v>0.9925</v>
      </c>
      <c r="Q19" s="92" t="n">
        <f aca="false">WORKDAY(G19,-2)</f>
        <v>36797</v>
      </c>
      <c r="R19" s="7" t="n">
        <f aca="false">IF(F19="P",0,1)</f>
        <v>1</v>
      </c>
      <c r="S19" s="130" t="e">
        <f aca="false">xSPRDOPT($L19,$J19,$I19,$M19,$O19,$N19,$P19,$Q19-$C$3,$R19,0)</f>
        <v>#NAME?</v>
      </c>
      <c r="T19" s="250" t="e">
        <f aca="false">xSPRDOPT($L19,$J19,$I19,$M19,$O19,$N19,$P19,$Q19-$C$3,$R19,1)*H19</f>
        <v>#NAME?</v>
      </c>
      <c r="U19" s="43" t="e">
        <f aca="false">S19*H19</f>
        <v>#NAME?</v>
      </c>
      <c r="V19" s="250" t="e">
        <f aca="false">xSPRDOPT($L19,$J19,$I19,$M19,$O19,$N19,$P19,$Q19-$C$3,$R19,2)*H19</f>
        <v>#NAME?</v>
      </c>
      <c r="W19" s="250" t="e">
        <f aca="false">+V19+T19</f>
        <v>#NAME?</v>
      </c>
      <c r="X19" s="2" t="str">
        <f aca="false">CONCATENATE(G19,D19)</f>
        <v>36800IF-TRANSCO/Z6</v>
      </c>
      <c r="Y19" s="251" t="n">
        <f aca="false">H19/10000</f>
        <v>50</v>
      </c>
      <c r="Z19" s="226" t="e">
        <f aca="false">T19/H19</f>
        <v>#NAME?</v>
      </c>
      <c r="AA19" s="226" t="e">
        <f aca="false">xSPRDOPT($L19,$J19,$I19,$M19,$O19,$N19,$P19,$Q19-$C$3,$R19,3)</f>
        <v>#NAME?</v>
      </c>
      <c r="AB19" s="226" t="e">
        <f aca="false">((xSPRDOPT($L19+AB$5,$J19,$I19,$M19,$O19,$N19,$P19,$Q19-$C$3,$R19,3)*$H19)/10000)/100</f>
        <v>#NAME?</v>
      </c>
      <c r="AC19" s="226" t="e">
        <f aca="false">((xSPRDOPT($L19+$AB$5,$J19,$I19,$M19,$O19,$N19,$P19,$Q19-$C$3,$R19,7)*$H19)/100)</f>
        <v>#NAME?</v>
      </c>
      <c r="AD19" s="226" t="e">
        <f aca="false">(xSPRDOPT($L19+$AB$5,$J19,$I19,$M19,$O19,$N19,$P19,$Q19-$C$3,$R19,9)/365)*$H19</f>
        <v>#NAME?</v>
      </c>
      <c r="AE19" s="0" t="e">
        <f aca="false">CD19</f>
        <v>#NAME?</v>
      </c>
      <c r="AF19" s="226" t="e">
        <f aca="false">((O19/N19)*AH19)+AG19</f>
        <v>#NAME?</v>
      </c>
      <c r="AG19" s="226" t="e">
        <f aca="false">((xSPRDOPT($L19,$J19,$I19,$M19,$O19,$N19,$P19,$Q19-$C$3,$R19,6)*$H19)/100)</f>
        <v>#NAME?</v>
      </c>
      <c r="AH19" s="226" t="e">
        <f aca="false">((xSPRDOPT($L19,$J19,$I19,$M19,$O19,$N19,$P19,$Q19-$C$3,$R19,5)*$H19)/100)</f>
        <v>#NAME?</v>
      </c>
      <c r="AI19" s="226" t="e">
        <f aca="false">(((xSPRDOPT($L19,$J19,$I19,$M19,$O19,$N19,$P19,$Q19-$C$3,$R19,4)*$H19)/10000)/100)-AB19</f>
        <v>#NAME?</v>
      </c>
      <c r="AJ19" s="226"/>
      <c r="AK19" s="226"/>
      <c r="AL19" s="226"/>
      <c r="AM19" s="252"/>
      <c r="AN19" s="208" t="n">
        <f aca="false">EOMONTH(AN18,0)+1</f>
        <v>37104</v>
      </c>
      <c r="AO19" s="134" t="e">
        <f aca="false">SUMIF($X:$X,CONCATENATE($AN19,AO$6),$T:$T)/10000</f>
        <v>#NAME?</v>
      </c>
      <c r="AP19" s="134" t="n">
        <f aca="false">SUMIF($X:$X,CONCATENATE($AN19,AP$6),$T:$T)/10000</f>
        <v>0</v>
      </c>
      <c r="AQ19" s="134" t="n">
        <f aca="false">SUMIF($X:$X,CONCATENATE($AN19,AQ$6),$T:$T)/10000</f>
        <v>0</v>
      </c>
      <c r="AR19" s="134" t="n">
        <f aca="false">SUMIF($X:$X,CONCATENATE($AN19,AR$6),$T:$T)/10000</f>
        <v>0</v>
      </c>
      <c r="AS19" s="134" t="n">
        <f aca="false">SUMIF($X:$X,CONCATENATE($AN19,AS$6),$T:$T)/10000</f>
        <v>0</v>
      </c>
      <c r="AT19" s="134" t="e">
        <f aca="false">SUMIF($X:$X,CONCATENATE($AN19,AT$6),$T:$T)/10000</f>
        <v>#NAME?</v>
      </c>
      <c r="AU19" s="134" t="n">
        <f aca="false">SUMIF($X:$X,CONCATENATE($AN19,AU$6),$T:$T)/10000</f>
        <v>0</v>
      </c>
      <c r="AV19" s="134" t="n">
        <f aca="false">SUMIF($X:$X,CONCATENATE($AN19,AV$6),$T:$T)/10000</f>
        <v>0</v>
      </c>
      <c r="AW19" s="134" t="e">
        <f aca="false">SUMIF($X:$X,CONCATENATE($AN19,AW$6),$T:$T)/10000</f>
        <v>#NAME?</v>
      </c>
      <c r="AX19" s="134" t="n">
        <f aca="false">SUMIF($X:$X,CONCATENATE($AN19,AX$6),$T:$T)/10000</f>
        <v>0</v>
      </c>
      <c r="AY19" s="134" t="n">
        <f aca="false">SUMIF($X:$X,CONCATENATE($AN19,AY$6),$T:$T)/10000</f>
        <v>0</v>
      </c>
      <c r="AZ19" s="134" t="n">
        <f aca="false">SUMIF($X:$X,CONCATENATE($AN19,AZ$6),$T:$T)/10000</f>
        <v>0</v>
      </c>
      <c r="BA19" s="135" t="n">
        <f aca="false">SUMIF($X:$X,CONCATENATE($AN19,BA$6),$T:$T)/10000</f>
        <v>0</v>
      </c>
      <c r="BB19" s="208" t="n">
        <f aca="false">EOMONTH(BB18,0)+1</f>
        <v>37104</v>
      </c>
      <c r="BC19" s="135" t="e">
        <f aca="false">SUM(AO19:BA19)</f>
        <v>#NAME?</v>
      </c>
      <c r="BD19" s="2"/>
      <c r="BE19" s="208" t="n">
        <f aca="false">EOMONTH(BE18,0)+1</f>
        <v>37104</v>
      </c>
      <c r="BF19" s="134" t="e">
        <f aca="false">SUMIF($X:$X,CONCATENATE($AN19,BF$6),$W:$W)</f>
        <v>#NAME?</v>
      </c>
      <c r="BG19" s="134" t="n">
        <f aca="false">SUMIF($X:$X,CONCATENATE($AN19,BG$6),$W:$W)</f>
        <v>0</v>
      </c>
      <c r="BH19" s="134" t="n">
        <f aca="false">SUMIF($X:$X,CONCATENATE($AN19,BH$6),$W:$W)</f>
        <v>0</v>
      </c>
      <c r="BI19" s="134" t="n">
        <f aca="false">SUMIF($X:$X,CONCATENATE($AN19,BI$6),$W:$W)</f>
        <v>0</v>
      </c>
      <c r="BJ19" s="134" t="n">
        <f aca="false">SUMIF($X:$X,CONCATENATE($AN19,BJ$6),$W:$W)</f>
        <v>0</v>
      </c>
      <c r="BK19" s="134" t="e">
        <f aca="false">SUMIF($X:$X,CONCATENATE($AN19,BK$6),$W:$W)</f>
        <v>#NAME?</v>
      </c>
      <c r="BL19" s="134" t="n">
        <f aca="false">SUMIF($X:$X,CONCATENATE($AN19,BL$6),$W:$W)</f>
        <v>0</v>
      </c>
      <c r="BM19" s="134" t="n">
        <f aca="false">SUMIF($X:$X,CONCATENATE($AN19,BM$6),$W:$W)</f>
        <v>0</v>
      </c>
      <c r="BN19" s="134" t="e">
        <f aca="false">SUMIF($X:$X,CONCATENATE($AN19,BN$6),$W:$W)</f>
        <v>#NAME?</v>
      </c>
      <c r="BO19" s="134" t="n">
        <f aca="false">SUMIF($X:$X,CONCATENATE($AN19,BO$6),$W:$W)</f>
        <v>0</v>
      </c>
      <c r="BP19" s="134" t="n">
        <f aca="false">SUMIF($X:$X,CONCATENATE($AN19,BP$6),$W:$W)</f>
        <v>0</v>
      </c>
      <c r="BQ19" s="134" t="n">
        <f aca="false">SUMIF($X:$X,CONCATENATE($AN19,BQ$6),$W:$W)</f>
        <v>0</v>
      </c>
      <c r="BR19" s="135" t="n">
        <f aca="false">SUMIF($X:$X,CONCATENATE($AN19,BR$6),$W:$W)</f>
        <v>0</v>
      </c>
      <c r="BS19" s="208" t="n">
        <f aca="false">EOMONTH(BS18,0)+1</f>
        <v>37104</v>
      </c>
      <c r="BT19" s="135" t="e">
        <f aca="false">SUM(BF19:BR19)</f>
        <v>#NAME?</v>
      </c>
      <c r="BU19" s="260" t="e">
        <f aca="false">BT19/10000</f>
        <v>#NAME?</v>
      </c>
      <c r="BV19" s="2"/>
      <c r="BW19" s="2"/>
      <c r="BX19" s="2"/>
      <c r="BY19" s="2"/>
      <c r="BZ19" s="2"/>
      <c r="CA19" s="2"/>
      <c r="CB19" s="2"/>
      <c r="CC19" s="182" t="n">
        <f aca="false">G19</f>
        <v>36800</v>
      </c>
      <c r="CD19" s="253" t="e">
        <f aca="false">xSPRDOPT((VLOOKUP(G19,NGPrices,2,FALSE())+HLOOKUP(D19,Prices,VLOOKUP(G19,move_down,2,FALSE()),FALSE())),VLOOKUP(G19,NGPrices,2,FALSE()),I19,VLOOKUP(G19,NGPREVPRICES,4,FALSE()),HLOOKUP(D19,PREVVOLS,VLOOKUP(G19,MOVE_DOWN2,2,FALSE()),FALSE()),VLOOKUP(G19,NGPREVPRICES,3,FALSE()),HLOOKUP(D19,Correllate,VLOOKUP(G19,CorMove,2,FALSE()),FALSE()),Q19-$CD$3,R19,$CD$5)*H19-CJ19</f>
        <v>#NAME?</v>
      </c>
      <c r="CE19" s="253" t="e">
        <f aca="false">xSPRDOPT((VLOOKUP(G19,NGPREVPRICES,2,FALSE())+HLOOKUP(D19,PREVCURVES,VLOOKUP(G19,MOVE_DOWN2,2,FALSE()),FALSE())),VLOOKUP(G19,NGPREVPRICES,2,FALSE()),CK19,VLOOKUP(G19,NGPrices,4,FALSE()),HLOOKUP(D19,PREVVOLS,VLOOKUP(G19,MOVE_DOWN2,2,FALSE()),FALSE()),VLOOKUP(G19,NGPREVPRICES,3,FALSE()),HLOOKUP(D19,Correllate,VLOOKUP(G19,CorMove,2,FALSE()),FALSE()),Q19-$CD$3,R19,$CJ$5)*H19-CJ19</f>
        <v>#NAME?</v>
      </c>
      <c r="CF19" s="132" t="e">
        <f aca="false">(CJ19/VLOOKUP(CC19,discount,3,FALSE()))-(CJ19/VLOOKUP(CC19,discount,2,FALSE()))</f>
        <v>#NAME?</v>
      </c>
      <c r="CG19" s="253" t="e">
        <f aca="false">xSPRDOPT((VLOOKUP(G19,NGPREVPRICES,2,FALSE())+HLOOKUP(D19,PREVCURVES,VLOOKUP(G19,MOVE_DOWN2,2,FALSE()),FALSE())),VLOOKUP(G19,NGPREVPRICES,2,FALSE()),CK19,VLOOKUP(G19,NGPREVPRICES,4,FALSE()),HLOOKUP(D19,VOLS,VLOOKUP(G19,move_down,2,FALSE()),FALSE()),VLOOKUP(G19,NGPrices,3,FALSE()),HLOOKUP(D19,Correllate,VLOOKUP(G19,CorMove,2,FALSE()),FALSE()),Q19-$CD$3,R19,$CJ$5)*H19-CJ19</f>
        <v>#NAME?</v>
      </c>
      <c r="CH19" s="253" t="e">
        <f aca="false">xSPRDOPT((VLOOKUP(G19,NGPREVPRICES,2,FALSE())+HLOOKUP(D19,PREVCURVES,VLOOKUP(G19,MOVE_DOWN2,2,FALSE()),FALSE())),VLOOKUP(G19,NGPREVPRICES,2,FALSE()),CK19,VLOOKUP(G19,NGPREVPRICES,4,FALSE()),HLOOKUP(D19,PREVVOLS,VLOOKUP(G19,MOVE_DOWN2,2,FALSE()),FALSE()),VLOOKUP(G19,NGPREVPRICES,3,FALSE()),HLOOKUP(D19,Correllate,VLOOKUP(G19,CorMove,2,FALSE()),FALSE()),Q19-$C$3,R19,$CJ$5)*H19-CJ19</f>
        <v>#NAME?</v>
      </c>
      <c r="CI19" s="253" t="e">
        <f aca="false">SUM(CD19:CH19)</f>
        <v>#NAME?</v>
      </c>
      <c r="CJ19" s="253" t="e">
        <f aca="false">xSPRDOPT((VLOOKUP(G19,NGPREVPRICES,2,FALSE())+HLOOKUP(D19,PREVCURVES,VLOOKUP(G19,MOVE_DOWN2,2,FALSE()),FALSE())),VLOOKUP(G19,NGPREVPRICES,2,FALSE()),CK19,VLOOKUP(G19,NGPREVPRICES,4,FALSE()),HLOOKUP(D19,PREVVOLS,VLOOKUP(G19,MOVE_DOWN2,2,FALSE()),FALSE()),VLOOKUP(G19,NGPREVPRICES,3,FALSE()),HLOOKUP(D19,Correllate,VLOOKUP(G19,CorMove,2,FALSE()),FALSE()),Q19-$CD$3,R19,$CJ$5)*H19</f>
        <v>#NAME?</v>
      </c>
      <c r="CK19" s="254" t="n">
        <f aca="false">I19</f>
        <v>0.3</v>
      </c>
      <c r="CM19" s="0" t="str">
        <f aca="false">CONCATENATE(CC19,$CD$6)</f>
        <v>36800Curve Shift/Gamma</v>
      </c>
      <c r="CN19" s="0" t="str">
        <f aca="false">CONCATENATE($CC19,$CE$6)</f>
        <v>36800Rho</v>
      </c>
      <c r="CO19" s="0" t="str">
        <f aca="false">CONCATENATE($CC19,$CF$6)</f>
        <v>36800Drift</v>
      </c>
      <c r="CP19" s="0" t="str">
        <f aca="false">CONCATENATE($CC19,$CG$6)</f>
        <v>36800Vega</v>
      </c>
      <c r="CQ19" s="0" t="str">
        <f aca="false">CONCATENATE($CC19,$CH$6)</f>
        <v>36800Theta</v>
      </c>
      <c r="CR19" s="255" t="n">
        <f aca="false">EOMONTH(CR18,0)+1</f>
        <v>37104</v>
      </c>
      <c r="CS19" s="261" t="e">
        <f aca="false">SUMIF($CM$7:$CM$631,CONCATENATE($CR19,$CS$6),$CD$7:$CD$631)</f>
        <v>#NAME?</v>
      </c>
      <c r="CT19" s="262" t="e">
        <f aca="false">SUMIF($CN$7:$CN$636,CONCATENATE($CR19,$CT$6),$CE$7:$CE$631)</f>
        <v>#NAME?</v>
      </c>
      <c r="CU19" s="262" t="e">
        <f aca="false">SUMIF($CO$7:$CO$636,CONCATENATE($CR19,$CU$6),$CF$7:$CF$631)</f>
        <v>#NAME?</v>
      </c>
      <c r="CV19" s="262" t="e">
        <f aca="false">SUMIF($CP$7:$CP$636,CONCATENATE($CR19,$CV$6),$CG$7:$CG$631)</f>
        <v>#NAME?</v>
      </c>
      <c r="CW19" s="263" t="e">
        <f aca="false">SUMIF($CQ$7:$CQ$636,CONCATENATE($CR19,$CW$6),$CH$7:$CH$631)</f>
        <v>#NAME?</v>
      </c>
      <c r="CX19" s="264" t="e">
        <f aca="false">SUM(CS19:CW19)</f>
        <v>#NAME?</v>
      </c>
      <c r="CZ19" s="255" t="n">
        <f aca="false">CR19</f>
        <v>37104</v>
      </c>
      <c r="DA19" s="261" t="e">
        <f aca="false">SUMIF($CC$7:$CC$1008,$CR19,$CD$7:$CD$1008)</f>
        <v>#NAME?</v>
      </c>
      <c r="DB19" s="262" t="e">
        <f aca="false">SUMIF($CC$7:$CC$1008,$CR19,$CE$7:$CE$1008)</f>
        <v>#NAME?</v>
      </c>
      <c r="DC19" s="262" t="e">
        <f aca="false">SUMIF($CC$7:$CC$1008,$CR19,$CF$7:$CF$1008)</f>
        <v>#NAME?</v>
      </c>
      <c r="DD19" s="262" t="e">
        <f aca="false">SUMIF($CC$7:$CC$1008,$CR19,$CG$7:$CG$1008)</f>
        <v>#NAME?</v>
      </c>
      <c r="DE19" s="263" t="e">
        <f aca="false">SUMIF($CC$7:$CC$1008,$CR19,$CH$7:$CH$1008)</f>
        <v>#NAME?</v>
      </c>
      <c r="DF19" s="264" t="e">
        <f aca="false">SUM(DA19:DE19)</f>
        <v>#NAME?</v>
      </c>
    </row>
    <row r="20" customFormat="false" ht="12" hidden="false" customHeight="true" outlineLevel="0" collapsed="false">
      <c r="A20" s="265" t="s">
        <v>194</v>
      </c>
      <c r="B20" s="125" t="s">
        <v>192</v>
      </c>
      <c r="C20" s="125" t="s">
        <v>195</v>
      </c>
      <c r="D20" s="7" t="s">
        <v>149</v>
      </c>
      <c r="E20" s="7" t="s">
        <v>131</v>
      </c>
      <c r="F20" s="92" t="s">
        <v>136</v>
      </c>
      <c r="G20" s="92" t="n">
        <v>36770</v>
      </c>
      <c r="H20" s="248" t="n">
        <v>500000</v>
      </c>
      <c r="I20" s="7" t="n">
        <v>0.3</v>
      </c>
      <c r="J20" s="124" t="n">
        <f aca="false">VLOOKUP(G20,NGPrices,2,FALSE())</f>
        <v>4.685</v>
      </c>
      <c r="K20" s="125" t="n">
        <f aca="false">HLOOKUP(D20,Prices,VLOOKUP(G20,move_down,2,FALSE()),FALSE())+VLOOKUP(G20,CHANGE,HLOOKUP(D20,CHANGE,2,FALSE()),FALSE())</f>
        <v>0.315</v>
      </c>
      <c r="L20" s="124" t="n">
        <f aca="false">K20+J20</f>
        <v>5</v>
      </c>
      <c r="M20" s="126" t="n">
        <f aca="false">VLOOKUP(G20,NGPrices,4,FALSE())</f>
        <v>0.067216196212185</v>
      </c>
      <c r="N20" s="7" t="n">
        <f aca="false">VLOOKUP(G20,NGPrices,3,FALSE())</f>
        <v>0.4</v>
      </c>
      <c r="O20" s="7" t="n">
        <f aca="false">HLOOKUP(D20,VOLS,VLOOKUP(G20,move_down,2,FALSE()),FALSE())</f>
        <v>0.392</v>
      </c>
      <c r="P20" s="249" t="n">
        <f aca="false">HLOOKUP(D20,Correllate,VLOOKUP(G20,CorMove,2,FALSE()),FALSE())</f>
        <v>0.9925</v>
      </c>
      <c r="Q20" s="92" t="n">
        <f aca="false">WORKDAY(G20,-2)</f>
        <v>36768</v>
      </c>
      <c r="R20" s="7" t="n">
        <f aca="false">IF(F20="P",0,1)</f>
        <v>1</v>
      </c>
      <c r="S20" s="130" t="e">
        <f aca="false">xSPRDOPT($L20,$J20,$I20,$M20,$O20,$N20,$P20,$Q20-$C$3,$R20,0)</f>
        <v>#NAME?</v>
      </c>
      <c r="T20" s="250" t="e">
        <f aca="false">xSPRDOPT($L20,$J20,$I20,$M20,$O20,$N20,$P20,$Q20-$C$3,$R20,1)*H20</f>
        <v>#NAME?</v>
      </c>
      <c r="U20" s="43" t="e">
        <f aca="false">S20*H20</f>
        <v>#NAME?</v>
      </c>
      <c r="V20" s="250" t="e">
        <f aca="false">xSPRDOPT($L20,$J20,$I20,$M20,$O20,$N20,$P20,$Q20-$C$3,$R20,2)*H20</f>
        <v>#NAME?</v>
      </c>
      <c r="W20" s="250" t="e">
        <f aca="false">+V20+T20</f>
        <v>#NAME?</v>
      </c>
      <c r="X20" s="2" t="str">
        <f aca="false">CONCATENATE(G20,D20)</f>
        <v>36770IF-TRANSCO/Z6</v>
      </c>
      <c r="Y20" s="251" t="n">
        <f aca="false">H20/10000</f>
        <v>50</v>
      </c>
      <c r="Z20" s="226" t="e">
        <f aca="false">T20/H20</f>
        <v>#NAME?</v>
      </c>
      <c r="AA20" s="226" t="e">
        <f aca="false">xSPRDOPT($L20,$J20,$I20,$M20,$O20,$N20,$P20,$Q20-$C$3,$R20,3)</f>
        <v>#NAME?</v>
      </c>
      <c r="AB20" s="226" t="e">
        <f aca="false">((xSPRDOPT($L20+AB$5,$J20,$I20,$M20,$O20,$N20,$P20,$Q20-$C$3,$R20,3)*$H20)/10000)/100</f>
        <v>#NAME?</v>
      </c>
      <c r="AC20" s="226" t="e">
        <f aca="false">((xSPRDOPT($L20+$AB$5,$J20,$I20,$M20,$O20,$N20,$P20,$Q20-$C$3,$R20,7)*$H20)/100)</f>
        <v>#NAME?</v>
      </c>
      <c r="AD20" s="226" t="e">
        <f aca="false">(xSPRDOPT($L20+$AB$5,$J20,$I20,$M20,$O20,$N20,$P20,$Q20-$C$3,$R20,9)/365)*$H20</f>
        <v>#NAME?</v>
      </c>
      <c r="AE20" s="0" t="e">
        <f aca="false">CD20</f>
        <v>#NAME?</v>
      </c>
      <c r="AF20" s="226" t="e">
        <f aca="false">((O20/N20)*AH20)+AG20</f>
        <v>#NAME?</v>
      </c>
      <c r="AG20" s="226" t="e">
        <f aca="false">((xSPRDOPT($L20,$J20,$I20,$M20,$O20,$N20,$P20,$Q20-$C$3,$R20,6)*$H20)/100)</f>
        <v>#NAME?</v>
      </c>
      <c r="AH20" s="226" t="e">
        <f aca="false">((xSPRDOPT($L20,$J20,$I20,$M20,$O20,$N20,$P20,$Q20-$C$3,$R20,5)*$H20)/100)</f>
        <v>#NAME?</v>
      </c>
      <c r="AI20" s="226" t="e">
        <f aca="false">(((xSPRDOPT($L20,$J20,$I20,$M20,$O20,$N20,$P20,$Q20-$C$3,$R20,4)*$H20)/10000)/100)-AB20</f>
        <v>#NAME?</v>
      </c>
      <c r="AJ20" s="226"/>
      <c r="AK20" s="226"/>
      <c r="AL20" s="226"/>
      <c r="AM20" s="252"/>
      <c r="AN20" s="208" t="n">
        <f aca="false">EOMONTH(AN19,0)+1</f>
        <v>37135</v>
      </c>
      <c r="AO20" s="134" t="e">
        <f aca="false">SUMIF($X:$X,CONCATENATE($AN20,AO$6),$T:$T)/10000</f>
        <v>#NAME?</v>
      </c>
      <c r="AP20" s="134" t="n">
        <f aca="false">SUMIF($X:$X,CONCATENATE($AN20,AP$6),$T:$T)/10000</f>
        <v>0</v>
      </c>
      <c r="AQ20" s="134" t="n">
        <f aca="false">SUMIF($X:$X,CONCATENATE($AN20,AQ$6),$T:$T)/10000</f>
        <v>0</v>
      </c>
      <c r="AR20" s="134" t="n">
        <f aca="false">SUMIF($X:$X,CONCATENATE($AN20,AR$6),$T:$T)/10000</f>
        <v>0</v>
      </c>
      <c r="AS20" s="134" t="n">
        <f aca="false">SUMIF($X:$X,CONCATENATE($AN20,AS$6),$T:$T)/10000</f>
        <v>0</v>
      </c>
      <c r="AT20" s="134" t="e">
        <f aca="false">SUMIF($X:$X,CONCATENATE($AN20,AT$6),$T:$T)/10000</f>
        <v>#NAME?</v>
      </c>
      <c r="AU20" s="134" t="n">
        <f aca="false">SUMIF($X:$X,CONCATENATE($AN20,AU$6),$T:$T)/10000</f>
        <v>0</v>
      </c>
      <c r="AV20" s="134" t="n">
        <f aca="false">SUMIF($X:$X,CONCATENATE($AN20,AV$6),$T:$T)/10000</f>
        <v>0</v>
      </c>
      <c r="AW20" s="134" t="e">
        <f aca="false">SUMIF($X:$X,CONCATENATE($AN20,AW$6),$T:$T)/10000</f>
        <v>#NAME?</v>
      </c>
      <c r="AX20" s="134" t="n">
        <f aca="false">SUMIF($X:$X,CONCATENATE($AN20,AX$6),$T:$T)/10000</f>
        <v>0</v>
      </c>
      <c r="AY20" s="134" t="n">
        <f aca="false">SUMIF($X:$X,CONCATENATE($AN20,AY$6),$T:$T)/10000</f>
        <v>0</v>
      </c>
      <c r="AZ20" s="134" t="n">
        <f aca="false">SUMIF($X:$X,CONCATENATE($AN20,AZ$6),$T:$T)/10000</f>
        <v>0</v>
      </c>
      <c r="BA20" s="135" t="n">
        <f aca="false">SUMIF($X:$X,CONCATENATE($AN20,BA$6),$T:$T)/10000</f>
        <v>0</v>
      </c>
      <c r="BB20" s="208" t="n">
        <f aca="false">EOMONTH(BB19,0)+1</f>
        <v>37135</v>
      </c>
      <c r="BC20" s="135" t="e">
        <f aca="false">SUM(AO20:BA20)</f>
        <v>#NAME?</v>
      </c>
      <c r="BD20" s="2"/>
      <c r="BE20" s="208" t="n">
        <f aca="false">EOMONTH(BE19,0)+1</f>
        <v>37135</v>
      </c>
      <c r="BF20" s="134" t="e">
        <f aca="false">SUMIF($X:$X,CONCATENATE($AN20,BF$6),$W:$W)</f>
        <v>#NAME?</v>
      </c>
      <c r="BG20" s="134" t="n">
        <f aca="false">SUMIF($X:$X,CONCATENATE($AN20,BG$6),$W:$W)</f>
        <v>0</v>
      </c>
      <c r="BH20" s="134" t="n">
        <f aca="false">SUMIF($X:$X,CONCATENATE($AN20,BH$6),$W:$W)</f>
        <v>0</v>
      </c>
      <c r="BI20" s="134" t="n">
        <f aca="false">SUMIF($X:$X,CONCATENATE($AN20,BI$6),$W:$W)</f>
        <v>0</v>
      </c>
      <c r="BJ20" s="134" t="n">
        <f aca="false">SUMIF($X:$X,CONCATENATE($AN20,BJ$6),$W:$W)</f>
        <v>0</v>
      </c>
      <c r="BK20" s="134" t="e">
        <f aca="false">SUMIF($X:$X,CONCATENATE($AN20,BK$6),$W:$W)</f>
        <v>#NAME?</v>
      </c>
      <c r="BL20" s="134" t="n">
        <f aca="false">SUMIF($X:$X,CONCATENATE($AN20,BL$6),$W:$W)</f>
        <v>0</v>
      </c>
      <c r="BM20" s="134" t="n">
        <f aca="false">SUMIF($X:$X,CONCATENATE($AN20,BM$6),$W:$W)</f>
        <v>0</v>
      </c>
      <c r="BN20" s="134" t="e">
        <f aca="false">SUMIF($X:$X,CONCATENATE($AN20,BN$6),$W:$W)</f>
        <v>#NAME?</v>
      </c>
      <c r="BO20" s="134" t="n">
        <f aca="false">SUMIF($X:$X,CONCATENATE($AN20,BO$6),$W:$W)</f>
        <v>0</v>
      </c>
      <c r="BP20" s="134" t="n">
        <f aca="false">SUMIF($X:$X,CONCATENATE($AN20,BP$6),$W:$W)</f>
        <v>0</v>
      </c>
      <c r="BQ20" s="134" t="n">
        <f aca="false">SUMIF($X:$X,CONCATENATE($AN20,BQ$6),$W:$W)</f>
        <v>0</v>
      </c>
      <c r="BR20" s="135" t="n">
        <f aca="false">SUMIF($X:$X,CONCATENATE($AN20,BR$6),$W:$W)</f>
        <v>0</v>
      </c>
      <c r="BS20" s="208" t="n">
        <f aca="false">EOMONTH(BS19,0)+1</f>
        <v>37135</v>
      </c>
      <c r="BT20" s="135" t="e">
        <f aca="false">SUM(BF20:BR20)</f>
        <v>#NAME?</v>
      </c>
      <c r="BU20" s="260" t="e">
        <f aca="false">BT20/10000</f>
        <v>#NAME?</v>
      </c>
      <c r="BV20" s="2"/>
      <c r="BW20" s="2"/>
      <c r="BX20" s="2"/>
      <c r="BY20" s="2"/>
      <c r="BZ20" s="2"/>
      <c r="CA20" s="2"/>
      <c r="CB20" s="2"/>
      <c r="CC20" s="182" t="n">
        <f aca="false">G20</f>
        <v>36770</v>
      </c>
      <c r="CD20" s="253" t="e">
        <f aca="false">xSPRDOPT((VLOOKUP(G20,NGPrices,2,FALSE())+HLOOKUP(D20,Prices,VLOOKUP(G20,move_down,2,FALSE()),FALSE())),VLOOKUP(G20,NGPrices,2,FALSE()),I20,VLOOKUP(G20,NGPREVPRICES,4,FALSE()),HLOOKUP(D20,PREVVOLS,VLOOKUP(G20,MOVE_DOWN2,2,FALSE()),FALSE()),VLOOKUP(G20,NGPREVPRICES,3,FALSE()),HLOOKUP(D20,Correllate,VLOOKUP(G20,CorMove,2,FALSE()),FALSE()),Q20-$CD$3,R20,$CD$5)*H20-CJ20</f>
        <v>#NAME?</v>
      </c>
      <c r="CE20" s="253" t="e">
        <f aca="false">xSPRDOPT((VLOOKUP(G20,NGPREVPRICES,2,FALSE())+HLOOKUP(D20,PREVCURVES,VLOOKUP(G20,MOVE_DOWN2,2,FALSE()),FALSE())),VLOOKUP(G20,NGPREVPRICES,2,FALSE()),CK20,VLOOKUP(G20,NGPrices,4,FALSE()),HLOOKUP(D20,PREVVOLS,VLOOKUP(G20,MOVE_DOWN2,2,FALSE()),FALSE()),VLOOKUP(G20,NGPREVPRICES,3,FALSE()),HLOOKUP(D20,Correllate,VLOOKUP(G20,CorMove,2,FALSE()),FALSE()),Q20-$CD$3,R20,$CJ$5)*H20-CJ20</f>
        <v>#NAME?</v>
      </c>
      <c r="CF20" s="132" t="e">
        <f aca="false">(CJ20/VLOOKUP(CC20,discount,3,FALSE()))-(CJ20/VLOOKUP(CC20,discount,2,FALSE()))</f>
        <v>#NAME?</v>
      </c>
      <c r="CG20" s="253" t="e">
        <f aca="false">xSPRDOPT((VLOOKUP(G20,NGPREVPRICES,2,FALSE())+HLOOKUP(D20,PREVCURVES,VLOOKUP(G20,MOVE_DOWN2,2,FALSE()),FALSE())),VLOOKUP(G20,NGPREVPRICES,2,FALSE()),CK20,VLOOKUP(G20,NGPREVPRICES,4,FALSE()),HLOOKUP(D20,VOLS,VLOOKUP(G20,move_down,2,FALSE()),FALSE()),VLOOKUP(G20,NGPrices,3,FALSE()),HLOOKUP(D20,Correllate,VLOOKUP(G20,CorMove,2,FALSE()),FALSE()),Q20-$CD$3,R20,$CJ$5)*H20-CJ20</f>
        <v>#NAME?</v>
      </c>
      <c r="CH20" s="253" t="e">
        <f aca="false">xSPRDOPT((VLOOKUP(G20,NGPREVPRICES,2,FALSE())+HLOOKUP(D20,PREVCURVES,VLOOKUP(G20,MOVE_DOWN2,2,FALSE()),FALSE())),VLOOKUP(G20,NGPREVPRICES,2,FALSE()),CK20,VLOOKUP(G20,NGPREVPRICES,4,FALSE()),HLOOKUP(D20,PREVVOLS,VLOOKUP(G20,MOVE_DOWN2,2,FALSE()),FALSE()),VLOOKUP(G20,NGPREVPRICES,3,FALSE()),HLOOKUP(D20,Correllate,VLOOKUP(G20,CorMove,2,FALSE()),FALSE()),Q20-$C$3,R20,$CJ$5)*H20-CJ20</f>
        <v>#NAME?</v>
      </c>
      <c r="CI20" s="253" t="e">
        <f aca="false">SUM(CD20:CH20)</f>
        <v>#NAME?</v>
      </c>
      <c r="CJ20" s="253" t="e">
        <f aca="false">xSPRDOPT((VLOOKUP(G20,NGPREVPRICES,2,FALSE())+HLOOKUP(D20,PREVCURVES,VLOOKUP(G20,MOVE_DOWN2,2,FALSE()),FALSE())),VLOOKUP(G20,NGPREVPRICES,2,FALSE()),CK20,VLOOKUP(G20,NGPREVPRICES,4,FALSE()),HLOOKUP(D20,PREVVOLS,VLOOKUP(G20,MOVE_DOWN2,2,FALSE()),FALSE()),VLOOKUP(G20,NGPREVPRICES,3,FALSE()),HLOOKUP(D20,Correllate,VLOOKUP(G20,CorMove,2,FALSE()),FALSE()),Q20-$CD$3,R20,$CJ$5)*H20</f>
        <v>#NAME?</v>
      </c>
      <c r="CK20" s="254" t="n">
        <f aca="false">I20</f>
        <v>0.3</v>
      </c>
      <c r="CM20" s="0" t="str">
        <f aca="false">CONCATENATE(CC20,$CD$6)</f>
        <v>36770Curve Shift/Gamma</v>
      </c>
      <c r="CN20" s="0" t="str">
        <f aca="false">CONCATENATE($CC20,$CE$6)</f>
        <v>36770Rho</v>
      </c>
      <c r="CO20" s="0" t="str">
        <f aca="false">CONCATENATE($CC20,$CF$6)</f>
        <v>36770Drift</v>
      </c>
      <c r="CP20" s="0" t="str">
        <f aca="false">CONCATENATE($CC20,$CG$6)</f>
        <v>36770Vega</v>
      </c>
      <c r="CQ20" s="0" t="str">
        <f aca="false">CONCATENATE($CC20,$CH$6)</f>
        <v>36770Theta</v>
      </c>
      <c r="CR20" s="255" t="n">
        <f aca="false">EOMONTH(CR19,0)+1</f>
        <v>37135</v>
      </c>
      <c r="CS20" s="261" t="e">
        <f aca="false">SUMIF($CM$7:$CM$631,CONCATENATE($CR20,$CS$6),$CD$7:$CD$631)</f>
        <v>#NAME?</v>
      </c>
      <c r="CT20" s="262" t="e">
        <f aca="false">SUMIF($CN$7:$CN$636,CONCATENATE($CR20,$CT$6),$CE$7:$CE$631)</f>
        <v>#NAME?</v>
      </c>
      <c r="CU20" s="262" t="e">
        <f aca="false">SUMIF($CO$7:$CO$636,CONCATENATE($CR20,$CU$6),$CF$7:$CF$631)</f>
        <v>#NAME?</v>
      </c>
      <c r="CV20" s="262" t="e">
        <f aca="false">SUMIF($CP$7:$CP$636,CONCATENATE($CR20,$CV$6),$CG$7:$CG$631)</f>
        <v>#NAME?</v>
      </c>
      <c r="CW20" s="263" t="e">
        <f aca="false">SUMIF($CQ$7:$CQ$636,CONCATENATE($CR20,$CW$6),$CH$7:$CH$631)</f>
        <v>#NAME?</v>
      </c>
      <c r="CX20" s="264" t="e">
        <f aca="false">SUM(CS20:CW20)</f>
        <v>#NAME?</v>
      </c>
      <c r="CZ20" s="255" t="n">
        <f aca="false">CR20</f>
        <v>37135</v>
      </c>
      <c r="DA20" s="261" t="e">
        <f aca="false">SUMIF($CC$7:$CC$1008,$CR20,$CD$7:$CD$1008)</f>
        <v>#NAME?</v>
      </c>
      <c r="DB20" s="262" t="e">
        <f aca="false">SUMIF($CC$7:$CC$1008,$CR20,$CE$7:$CE$1008)</f>
        <v>#NAME?</v>
      </c>
      <c r="DC20" s="262" t="e">
        <f aca="false">SUMIF($CC$7:$CC$1008,$CR20,$CF$7:$CF$1008)</f>
        <v>#NAME?</v>
      </c>
      <c r="DD20" s="262" t="e">
        <f aca="false">SUMIF($CC$7:$CC$1008,$CR20,$CG$7:$CG$1008)</f>
        <v>#NAME?</v>
      </c>
      <c r="DE20" s="263" t="e">
        <f aca="false">SUMIF($CC$7:$CC$1008,$CR20,$CH$7:$CH$1008)</f>
        <v>#NAME?</v>
      </c>
      <c r="DF20" s="264" t="e">
        <f aca="false">SUM(DA20:DE20)</f>
        <v>#NAME?</v>
      </c>
    </row>
    <row r="21" customFormat="false" ht="12" hidden="false" customHeight="true" outlineLevel="0" collapsed="false">
      <c r="A21" s="267" t="s">
        <v>196</v>
      </c>
      <c r="B21" s="7" t="s">
        <v>192</v>
      </c>
      <c r="C21" s="7" t="s">
        <v>197</v>
      </c>
      <c r="D21" s="7" t="s">
        <v>151</v>
      </c>
      <c r="E21" s="7" t="s">
        <v>131</v>
      </c>
      <c r="F21" s="2" t="s">
        <v>132</v>
      </c>
      <c r="G21" s="92" t="n">
        <v>36800</v>
      </c>
      <c r="H21" s="248" t="n">
        <f aca="false">10000*(EOMONTH(G21,0)-G21)+10000</f>
        <v>310000</v>
      </c>
      <c r="I21" s="2" t="n">
        <v>-0.4</v>
      </c>
      <c r="J21" s="124" t="n">
        <f aca="false">VLOOKUP(G21,NGPrices,2,FALSE())</f>
        <v>4.692</v>
      </c>
      <c r="K21" s="125" t="n">
        <f aca="false">HLOOKUP(D21,Prices,VLOOKUP(G21,move_down,2,FALSE()),FALSE())+VLOOKUP(G21,CHANGE,HLOOKUP(D21,CHANGE,2,FALSE()),FALSE())</f>
        <v>-0.805</v>
      </c>
      <c r="L21" s="124" t="n">
        <f aca="false">K21+J21</f>
        <v>3.887</v>
      </c>
      <c r="M21" s="126" t="n">
        <f aca="false">VLOOKUP(G21,NGPrices,4,FALSE())</f>
        <v>0.068050789414654</v>
      </c>
      <c r="N21" s="2" t="n">
        <f aca="false">VLOOKUP(G21,NGPrices,3,FALSE())</f>
        <v>0.575</v>
      </c>
      <c r="O21" s="2" t="n">
        <f aca="false">HLOOKUP(D21,VOLS,VLOOKUP(G21,move_down,2,FALSE()),FALSE())</f>
        <v>0.552</v>
      </c>
      <c r="P21" s="249" t="n">
        <f aca="false">HLOOKUP(D21,Correllate,VLOOKUP(G21,CorMove,2,FALSE()),FALSE())</f>
        <v>0.84</v>
      </c>
      <c r="Q21" s="92" t="n">
        <f aca="false">WORKDAY(G21,-2)</f>
        <v>36797</v>
      </c>
      <c r="R21" s="2" t="n">
        <f aca="false">IF(F21="P",0,1)</f>
        <v>0</v>
      </c>
      <c r="S21" s="130" t="e">
        <f aca="false">xSPRDOPT($L21,$J21,$I21,$M21,$O21,$N21,$P21,$Q21-$C$3,$R21,0)</f>
        <v>#NAME?</v>
      </c>
      <c r="T21" s="250" t="e">
        <f aca="false">xSPRDOPT($L21,$J21,$I21,$M21,$O21,$N21,$P21,$Q21-$C$3,$R21,1)*H21</f>
        <v>#NAME?</v>
      </c>
      <c r="U21" s="43" t="e">
        <f aca="false">S21*H21</f>
        <v>#NAME?</v>
      </c>
      <c r="V21" s="250" t="e">
        <f aca="false">xSPRDOPT($L21,$J21,$I21,$M21,$O21,$N21,$P21,$Q21-$C$3,$R21,2)*H21</f>
        <v>#NAME?</v>
      </c>
      <c r="W21" s="250" t="e">
        <f aca="false">+V21+T21</f>
        <v>#NAME?</v>
      </c>
      <c r="X21" s="2" t="str">
        <f aca="false">CONCATENATE(G21,D21)</f>
        <v>36800IF-NWPL_ROCKY_M</v>
      </c>
      <c r="Y21" s="251" t="n">
        <f aca="false">H21/10000</f>
        <v>31</v>
      </c>
      <c r="Z21" s="226" t="e">
        <f aca="false">T21/H21</f>
        <v>#NAME?</v>
      </c>
      <c r="AA21" s="226" t="e">
        <f aca="false">xSPRDOPT($L21,$J21,$I21,$M21,$O21,$N21,$P21,$Q21-$C$3,$R21,3)</f>
        <v>#NAME?</v>
      </c>
      <c r="AB21" s="226" t="e">
        <f aca="false">((xSPRDOPT($L21+AB$5,$J21,$I21,$M21,$O21,$N21,$P21,$Q21-$C$3,$R21,3)*$H21)/10000)/100</f>
        <v>#NAME?</v>
      </c>
      <c r="AC21" s="226" t="e">
        <f aca="false">((xSPRDOPT($L21+$AB$5,$J21,$I21,$M21,$O21,$N21,$P21,$Q21-$C$3,$R21,7)*$H21)/100)</f>
        <v>#NAME?</v>
      </c>
      <c r="AD21" s="226" t="e">
        <f aca="false">(xSPRDOPT($L21+$AB$5,$J21,$I21,$M21,$O21,$N21,$P21,$Q21-$C$3,$R21,9)/365)*$H21</f>
        <v>#NAME?</v>
      </c>
      <c r="AE21" s="0" t="e">
        <f aca="false">CD21</f>
        <v>#NAME?</v>
      </c>
      <c r="AF21" s="226" t="e">
        <f aca="false">((O21/N21)*AH21)+AG21</f>
        <v>#NAME?</v>
      </c>
      <c r="AG21" s="226" t="e">
        <f aca="false">((xSPRDOPT($L21,$J21,$I21,$M21,$O21,$N21,$P21,$Q21-$C$3,$R21,6)*$H21)/100)</f>
        <v>#NAME?</v>
      </c>
      <c r="AH21" s="226" t="e">
        <f aca="false">((xSPRDOPT($L21,$J21,$I21,$M21,$O21,$N21,$P21,$Q21-$C$3,$R21,5)*$H21)/100)</f>
        <v>#NAME?</v>
      </c>
      <c r="AI21" s="226" t="e">
        <f aca="false">(((xSPRDOPT($L21,$J21,$I21,$M21,$O21,$N21,$P21,$Q21-$C$3,$R21,4)*$H21)/10000)/100)-AB21</f>
        <v>#NAME?</v>
      </c>
      <c r="AJ21" s="226"/>
      <c r="AK21" s="226"/>
      <c r="AL21" s="226"/>
      <c r="AM21" s="252"/>
      <c r="AN21" s="208" t="n">
        <f aca="false">EOMONTH(AN20,0)+1</f>
        <v>37165</v>
      </c>
      <c r="AO21" s="134" t="e">
        <f aca="false">SUMIF($X:$X,CONCATENATE($AN21,AO$6),$T:$T)/10000</f>
        <v>#NAME?</v>
      </c>
      <c r="AP21" s="134" t="n">
        <f aca="false">SUMIF($X:$X,CONCATENATE($AN21,AP$6),$T:$T)/10000</f>
        <v>0</v>
      </c>
      <c r="AQ21" s="134" t="n">
        <f aca="false">SUMIF($X:$X,CONCATENATE($AN21,AQ$6),$T:$T)/10000</f>
        <v>0</v>
      </c>
      <c r="AR21" s="134" t="n">
        <f aca="false">SUMIF($X:$X,CONCATENATE($AN21,AR$6),$T:$T)/10000</f>
        <v>0</v>
      </c>
      <c r="AS21" s="134" t="n">
        <f aca="false">SUMIF($X:$X,CONCATENATE($AN21,AS$6),$T:$T)/10000</f>
        <v>0</v>
      </c>
      <c r="AT21" s="134" t="e">
        <f aca="false">SUMIF($X:$X,CONCATENATE($AN21,AT$6),$T:$T)/10000</f>
        <v>#NAME?</v>
      </c>
      <c r="AU21" s="134" t="n">
        <f aca="false">SUMIF($X:$X,CONCATENATE($AN21,AU$6),$T:$T)/10000</f>
        <v>0</v>
      </c>
      <c r="AV21" s="134" t="n">
        <f aca="false">SUMIF($X:$X,CONCATENATE($AN21,AV$6),$T:$T)/10000</f>
        <v>0</v>
      </c>
      <c r="AW21" s="134" t="e">
        <f aca="false">SUMIF($X:$X,CONCATENATE($AN21,AW$6),$T:$T)/10000</f>
        <v>#NAME?</v>
      </c>
      <c r="AX21" s="134" t="n">
        <f aca="false">SUMIF($X:$X,CONCATENATE($AN21,AX$6),$T:$T)/10000</f>
        <v>0</v>
      </c>
      <c r="AY21" s="134" t="n">
        <f aca="false">SUMIF($X:$X,CONCATENATE($AN21,AY$6),$T:$T)/10000</f>
        <v>0</v>
      </c>
      <c r="AZ21" s="134" t="n">
        <f aca="false">SUMIF($X:$X,CONCATENATE($AN21,AZ$6),$T:$T)/10000</f>
        <v>0</v>
      </c>
      <c r="BA21" s="135" t="n">
        <f aca="false">SUMIF($X:$X,CONCATENATE($AN21,BA$6),$T:$T)/10000</f>
        <v>0</v>
      </c>
      <c r="BB21" s="208" t="n">
        <f aca="false">EOMONTH(BB20,0)+1</f>
        <v>37165</v>
      </c>
      <c r="BC21" s="135" t="e">
        <f aca="false">SUM(AO21:BA21)</f>
        <v>#NAME?</v>
      </c>
      <c r="BD21" s="2"/>
      <c r="BE21" s="208" t="n">
        <f aca="false">EOMONTH(BE20,0)+1</f>
        <v>37165</v>
      </c>
      <c r="BF21" s="134" t="e">
        <f aca="false">SUMIF($X:$X,CONCATENATE($AN21,BF$6),$W:$W)</f>
        <v>#NAME?</v>
      </c>
      <c r="BG21" s="134" t="n">
        <f aca="false">SUMIF($X:$X,CONCATENATE($AN21,BG$6),$W:$W)</f>
        <v>0</v>
      </c>
      <c r="BH21" s="134" t="n">
        <f aca="false">SUMIF($X:$X,CONCATENATE($AN21,BH$6),$W:$W)</f>
        <v>0</v>
      </c>
      <c r="BI21" s="134" t="n">
        <f aca="false">SUMIF($X:$X,CONCATENATE($AN21,BI$6),$W:$W)</f>
        <v>0</v>
      </c>
      <c r="BJ21" s="134" t="n">
        <f aca="false">SUMIF($X:$X,CONCATENATE($AN21,BJ$6),$W:$W)</f>
        <v>0</v>
      </c>
      <c r="BK21" s="134" t="e">
        <f aca="false">SUMIF($X:$X,CONCATENATE($AN21,BK$6),$W:$W)</f>
        <v>#NAME?</v>
      </c>
      <c r="BL21" s="134" t="n">
        <f aca="false">SUMIF($X:$X,CONCATENATE($AN21,BL$6),$W:$W)</f>
        <v>0</v>
      </c>
      <c r="BM21" s="134" t="n">
        <f aca="false">SUMIF($X:$X,CONCATENATE($AN21,BM$6),$W:$W)</f>
        <v>0</v>
      </c>
      <c r="BN21" s="134" t="e">
        <f aca="false">SUMIF($X:$X,CONCATENATE($AN21,BN$6),$W:$W)</f>
        <v>#NAME?</v>
      </c>
      <c r="BO21" s="134" t="n">
        <f aca="false">SUMIF($X:$X,CONCATENATE($AN21,BO$6),$W:$W)</f>
        <v>0</v>
      </c>
      <c r="BP21" s="134" t="n">
        <f aca="false">SUMIF($X:$X,CONCATENATE($AN21,BP$6),$W:$W)</f>
        <v>0</v>
      </c>
      <c r="BQ21" s="134" t="n">
        <f aca="false">SUMIF($X:$X,CONCATENATE($AN21,BQ$6),$W:$W)</f>
        <v>0</v>
      </c>
      <c r="BR21" s="135" t="n">
        <f aca="false">SUMIF($X:$X,CONCATENATE($AN21,BR$6),$W:$W)</f>
        <v>0</v>
      </c>
      <c r="BS21" s="208" t="n">
        <f aca="false">EOMONTH(BS20,0)+1</f>
        <v>37165</v>
      </c>
      <c r="BT21" s="135" t="e">
        <f aca="false">SUM(BF21:BR21)</f>
        <v>#NAME?</v>
      </c>
      <c r="BU21" s="260" t="e">
        <f aca="false">BT21/10000</f>
        <v>#NAME?</v>
      </c>
      <c r="BV21" s="2"/>
      <c r="BW21" s="2"/>
      <c r="BX21" s="2"/>
      <c r="BY21" s="2"/>
      <c r="BZ21" s="2"/>
      <c r="CA21" s="2"/>
      <c r="CB21" s="2"/>
      <c r="CC21" s="182" t="n">
        <f aca="false">G21</f>
        <v>36800</v>
      </c>
      <c r="CD21" s="253" t="e">
        <f aca="false">xSPRDOPT((VLOOKUP(G21,NGPrices,2,FALSE())+HLOOKUP(D21,Prices,VLOOKUP(G21,move_down,2,FALSE()),FALSE())),VLOOKUP(G21,NGPrices,2,FALSE()),I21,VLOOKUP(G21,NGPREVPRICES,4,FALSE()),HLOOKUP(D21,PREVVOLS,VLOOKUP(G21,MOVE_DOWN2,2,FALSE()),FALSE()),VLOOKUP(G21,NGPREVPRICES,3,FALSE()),HLOOKUP(D21,Correllate,VLOOKUP(G21,CorMove,2,FALSE()),FALSE()),Q21-$CD$3,R21,$CD$5)*H21-CJ21</f>
        <v>#NAME?</v>
      </c>
      <c r="CE21" s="253" t="e">
        <f aca="false">xSPRDOPT((VLOOKUP(G21,NGPREVPRICES,2,FALSE())+HLOOKUP(D21,PREVCURVES,VLOOKUP(G21,MOVE_DOWN2,2,FALSE()),FALSE())),VLOOKUP(G21,NGPREVPRICES,2,FALSE()),CK21,VLOOKUP(G21,NGPrices,4,FALSE()),HLOOKUP(D21,PREVVOLS,VLOOKUP(G21,MOVE_DOWN2,2,FALSE()),FALSE()),VLOOKUP(G21,NGPREVPRICES,3,FALSE()),HLOOKUP(D21,Correllate,VLOOKUP(G21,CorMove,2,FALSE()),FALSE()),Q21-$CD$3,R21,$CJ$5)*H21-CJ21</f>
        <v>#NAME?</v>
      </c>
      <c r="CF21" s="132" t="e">
        <f aca="false">(CJ21/VLOOKUP(CC21,discount,3,FALSE()))-(CJ21/VLOOKUP(CC21,discount,2,FALSE()))</f>
        <v>#NAME?</v>
      </c>
      <c r="CG21" s="253" t="e">
        <f aca="false">xSPRDOPT((VLOOKUP(G21,NGPREVPRICES,2,FALSE())+HLOOKUP(D21,PREVCURVES,VLOOKUP(G21,MOVE_DOWN2,2,FALSE()),FALSE())),VLOOKUP(G21,NGPREVPRICES,2,FALSE()),CK21,VLOOKUP(G21,NGPREVPRICES,4,FALSE()),HLOOKUP(D21,VOLS,VLOOKUP(G21,move_down,2,FALSE()),FALSE()),VLOOKUP(G21,NGPrices,3,FALSE()),HLOOKUP(D21,Correllate,VLOOKUP(G21,CorMove,2,FALSE()),FALSE()),Q21-$CD$3,R21,$CJ$5)*H21-CJ21</f>
        <v>#NAME?</v>
      </c>
      <c r="CH21" s="253" t="e">
        <f aca="false">xSPRDOPT((VLOOKUP(G21,NGPREVPRICES,2,FALSE())+HLOOKUP(D21,PREVCURVES,VLOOKUP(G21,MOVE_DOWN2,2,FALSE()),FALSE())),VLOOKUP(G21,NGPREVPRICES,2,FALSE()),CK21,VLOOKUP(G21,NGPREVPRICES,4,FALSE()),HLOOKUP(D21,PREVVOLS,VLOOKUP(G21,MOVE_DOWN2,2,FALSE()),FALSE()),VLOOKUP(G21,NGPREVPRICES,3,FALSE()),HLOOKUP(D21,Correllate,VLOOKUP(G21,CorMove,2,FALSE()),FALSE()),Q21-$C$3,R21,$CJ$5)*H21-CJ21</f>
        <v>#NAME?</v>
      </c>
      <c r="CI21" s="253" t="e">
        <f aca="false">SUM(CD21:CH21)</f>
        <v>#NAME?</v>
      </c>
      <c r="CJ21" s="253" t="e">
        <f aca="false">xSPRDOPT((VLOOKUP(G21,NGPREVPRICES,2,FALSE())+HLOOKUP(D21,PREVCURVES,VLOOKUP(G21,MOVE_DOWN2,2,FALSE()),FALSE())),VLOOKUP(G21,NGPREVPRICES,2,FALSE()),CK21,VLOOKUP(G21,NGPREVPRICES,4,FALSE()),HLOOKUP(D21,PREVVOLS,VLOOKUP(G21,MOVE_DOWN2,2,FALSE()),FALSE()),VLOOKUP(G21,NGPREVPRICES,3,FALSE()),HLOOKUP(D21,Correllate,VLOOKUP(G21,CorMove,2,FALSE()),FALSE()),Q21-$CD$3,R21,$CJ$5)*H21</f>
        <v>#NAME?</v>
      </c>
      <c r="CK21" s="254" t="n">
        <f aca="false">I21</f>
        <v>-0.4</v>
      </c>
      <c r="CM21" s="0" t="str">
        <f aca="false">CONCATENATE(CC21,$CD$6)</f>
        <v>36800Curve Shift/Gamma</v>
      </c>
      <c r="CN21" s="0" t="str">
        <f aca="false">CONCATENATE($CC21,$CE$6)</f>
        <v>36800Rho</v>
      </c>
      <c r="CO21" s="0" t="str">
        <f aca="false">CONCATENATE($CC21,$CF$6)</f>
        <v>36800Drift</v>
      </c>
      <c r="CP21" s="0" t="str">
        <f aca="false">CONCATENATE($CC21,$CG$6)</f>
        <v>36800Vega</v>
      </c>
      <c r="CQ21" s="0" t="str">
        <f aca="false">CONCATENATE($CC21,$CH$6)</f>
        <v>36800Theta</v>
      </c>
      <c r="CR21" s="255" t="n">
        <f aca="false">EOMONTH(CR20,0)+1</f>
        <v>37165</v>
      </c>
      <c r="CS21" s="261" t="e">
        <f aca="false">SUMIF($CM$7:$CM$631,CONCATENATE($CR21,$CS$6),$CD$7:$CD$631)</f>
        <v>#NAME?</v>
      </c>
      <c r="CT21" s="262" t="e">
        <f aca="false">SUMIF($CN$7:$CN$636,CONCATENATE($CR21,$CT$6),$CE$7:$CE$631)</f>
        <v>#NAME?</v>
      </c>
      <c r="CU21" s="262" t="e">
        <f aca="false">SUMIF($CO$7:$CO$636,CONCATENATE($CR21,$CU$6),$CF$7:$CF$631)</f>
        <v>#NAME?</v>
      </c>
      <c r="CV21" s="262" t="e">
        <f aca="false">SUMIF($CP$7:$CP$636,CONCATENATE($CR21,$CV$6),$CG$7:$CG$631)</f>
        <v>#NAME?</v>
      </c>
      <c r="CW21" s="263" t="e">
        <f aca="false">SUMIF($CQ$7:$CQ$636,CONCATENATE($CR21,$CW$6),$CH$7:$CH$631)</f>
        <v>#NAME?</v>
      </c>
      <c r="CX21" s="264" t="e">
        <f aca="false">SUM(CS21:CW21)</f>
        <v>#NAME?</v>
      </c>
      <c r="CZ21" s="255" t="n">
        <f aca="false">CR21</f>
        <v>37165</v>
      </c>
      <c r="DA21" s="261" t="e">
        <f aca="false">SUMIF($CC$7:$CC$1008,$CR21,$CD$7:$CD$1008)</f>
        <v>#NAME?</v>
      </c>
      <c r="DB21" s="262" t="e">
        <f aca="false">SUMIF($CC$7:$CC$1008,$CR21,$CE$7:$CE$1008)</f>
        <v>#NAME?</v>
      </c>
      <c r="DC21" s="262" t="e">
        <f aca="false">SUMIF($CC$7:$CC$1008,$CR21,$CF$7:$CF$1008)</f>
        <v>#NAME?</v>
      </c>
      <c r="DD21" s="262" t="e">
        <f aca="false">SUMIF($CC$7:$CC$1008,$CR21,$CG$7:$CG$1008)</f>
        <v>#NAME?</v>
      </c>
      <c r="DE21" s="263" t="e">
        <f aca="false">SUMIF($CC$7:$CC$1008,$CR21,$CH$7:$CH$1008)</f>
        <v>#NAME?</v>
      </c>
      <c r="DF21" s="264" t="e">
        <f aca="false">SUM(DA21:DE21)</f>
        <v>#NAME?</v>
      </c>
    </row>
    <row r="22" customFormat="false" ht="12" hidden="false" customHeight="true" outlineLevel="0" collapsed="false">
      <c r="A22" s="267" t="s">
        <v>196</v>
      </c>
      <c r="B22" s="7" t="s">
        <v>192</v>
      </c>
      <c r="C22" s="7" t="s">
        <v>197</v>
      </c>
      <c r="D22" s="7" t="s">
        <v>151</v>
      </c>
      <c r="E22" s="7" t="s">
        <v>131</v>
      </c>
      <c r="F22" s="7" t="s">
        <v>132</v>
      </c>
      <c r="G22" s="92" t="n">
        <v>36770</v>
      </c>
      <c r="H22" s="248" t="n">
        <f aca="false">10000*(EOMONTH(G22,0)-G22)+10000</f>
        <v>300000</v>
      </c>
      <c r="I22" s="7" t="n">
        <v>-0.4</v>
      </c>
      <c r="J22" s="124" t="n">
        <f aca="false">VLOOKUP(G22,NGPrices,2,FALSE())</f>
        <v>4.685</v>
      </c>
      <c r="K22" s="125" t="n">
        <f aca="false">HLOOKUP(D22,Prices,VLOOKUP(G22,move_down,2,FALSE()),FALSE())+VLOOKUP(G22,CHANGE,HLOOKUP(D22,CHANGE,2,FALSE()),FALSE())</f>
        <v>-1.24</v>
      </c>
      <c r="L22" s="124" t="n">
        <f aca="false">K22+J22</f>
        <v>3.445</v>
      </c>
      <c r="M22" s="126" t="n">
        <f aca="false">VLOOKUP(G22,NGPrices,4,FALSE())</f>
        <v>0.067216196212185</v>
      </c>
      <c r="N22" s="7" t="n">
        <f aca="false">VLOOKUP(G22,NGPrices,3,FALSE())</f>
        <v>0.4</v>
      </c>
      <c r="O22" s="7" t="n">
        <f aca="false">HLOOKUP(D22,VOLS,VLOOKUP(G22,move_down,2,FALSE()),FALSE())</f>
        <v>0.384</v>
      </c>
      <c r="P22" s="249" t="n">
        <f aca="false">HLOOKUP(D22,Correllate,VLOOKUP(G22,CorMove,2,FALSE()),FALSE())</f>
        <v>0.84</v>
      </c>
      <c r="Q22" s="92" t="n">
        <f aca="false">WORKDAY(G22,-2)</f>
        <v>36768</v>
      </c>
      <c r="R22" s="7" t="n">
        <f aca="false">IF(F22="P",0,1)</f>
        <v>0</v>
      </c>
      <c r="S22" s="130" t="e">
        <f aca="false">xSPRDOPT($L22,$J22,$I22,$M22,$O22,$N22,$P22,$Q22-$C$3,$R22,0)</f>
        <v>#NAME?</v>
      </c>
      <c r="T22" s="250" t="e">
        <f aca="false">xSPRDOPT($L22,$J22,$I22,$M22,$O22,$N22,$P22,$Q22-$C$3,$R22,1)*H22</f>
        <v>#NAME?</v>
      </c>
      <c r="U22" s="43" t="e">
        <f aca="false">S22*H22</f>
        <v>#NAME?</v>
      </c>
      <c r="V22" s="250" t="e">
        <f aca="false">xSPRDOPT($L22,$J22,$I22,$M22,$O22,$N22,$P22,$Q22-$C$3,$R22,2)*H22</f>
        <v>#NAME?</v>
      </c>
      <c r="W22" s="250" t="e">
        <f aca="false">+V22+T22</f>
        <v>#NAME?</v>
      </c>
      <c r="X22" s="2" t="str">
        <f aca="false">CONCATENATE(G22,D22)</f>
        <v>36770IF-NWPL_ROCKY_M</v>
      </c>
      <c r="Y22" s="251" t="n">
        <f aca="false">H22/10000</f>
        <v>30</v>
      </c>
      <c r="Z22" s="226" t="e">
        <f aca="false">T22/H22</f>
        <v>#NAME?</v>
      </c>
      <c r="AA22" s="226" t="e">
        <f aca="false">xSPRDOPT($L22,$J22,$I22,$M22,$O22,$N22,$P22,$Q22-$C$3,$R22,3)</f>
        <v>#NAME?</v>
      </c>
      <c r="AB22" s="226" t="e">
        <f aca="false">((xSPRDOPT($L22+AB$5,$J22,$I22,$M22,$O22,$N22,$P22,$Q22-$C$3,$R22,3)*$H22)/10000)/100</f>
        <v>#NAME?</v>
      </c>
      <c r="AC22" s="226" t="e">
        <f aca="false">((xSPRDOPT($L22+$AB$5,$J22,$I22,$M22,$O22,$N22,$P22,$Q22-$C$3,$R22,7)*$H22)/100)</f>
        <v>#NAME?</v>
      </c>
      <c r="AD22" s="226" t="e">
        <f aca="false">(xSPRDOPT($L22+$AB$5,$J22,$I22,$M22,$O22,$N22,$P22,$Q22-$C$3,$R22,9)/365)*$H22</f>
        <v>#NAME?</v>
      </c>
      <c r="AE22" s="0" t="e">
        <f aca="false">CD22</f>
        <v>#NAME?</v>
      </c>
      <c r="AF22" s="226" t="e">
        <f aca="false">((O22/N22)*AH22)+AG22</f>
        <v>#NAME?</v>
      </c>
      <c r="AG22" s="226" t="e">
        <f aca="false">((xSPRDOPT($L22,$J22,$I22,$M22,$O22,$N22,$P22,$Q22-$C$3,$R22,6)*$H22)/100)</f>
        <v>#NAME?</v>
      </c>
      <c r="AH22" s="226" t="e">
        <f aca="false">((xSPRDOPT($L22,$J22,$I22,$M22,$O22,$N22,$P22,$Q22-$C$3,$R22,5)*$H22)/100)</f>
        <v>#NAME?</v>
      </c>
      <c r="AI22" s="226" t="e">
        <f aca="false">(((xSPRDOPT($L22,$J22,$I22,$M22,$O22,$N22,$P22,$Q22-$C$3,$R22,4)*$H22)/10000)/100)-AB22</f>
        <v>#NAME?</v>
      </c>
      <c r="AJ22" s="226"/>
      <c r="AK22" s="226"/>
      <c r="AL22" s="226"/>
      <c r="AM22" s="252"/>
      <c r="AN22" s="208" t="n">
        <f aca="false">EOMONTH(AN21,0)+1</f>
        <v>37196</v>
      </c>
      <c r="AO22" s="134" t="e">
        <f aca="false">SUMIF($X:$X,CONCATENATE($AN22,AO$6),$T:$T)/10000</f>
        <v>#NAME?</v>
      </c>
      <c r="AP22" s="134" t="n">
        <f aca="false">SUMIF($X:$X,CONCATENATE($AN22,AP$6),$T:$T)/10000</f>
        <v>0</v>
      </c>
      <c r="AQ22" s="134" t="n">
        <f aca="false">SUMIF($X:$X,CONCATENATE($AN22,AQ$6),$T:$T)/10000</f>
        <v>0</v>
      </c>
      <c r="AR22" s="134" t="n">
        <f aca="false">SUMIF($X:$X,CONCATENATE($AN22,AR$6),$T:$T)/10000</f>
        <v>0</v>
      </c>
      <c r="AS22" s="134" t="n">
        <f aca="false">SUMIF($X:$X,CONCATENATE($AN22,AS$6),$T:$T)/10000</f>
        <v>0</v>
      </c>
      <c r="AT22" s="134" t="n">
        <f aca="false">SUMIF($X:$X,CONCATENATE($AN22,AT$6),$T:$T)/10000</f>
        <v>0</v>
      </c>
      <c r="AU22" s="134" t="n">
        <f aca="false">SUMIF($X:$X,CONCATENATE($AN22,AU$6),$T:$T)/10000</f>
        <v>0</v>
      </c>
      <c r="AV22" s="134" t="n">
        <f aca="false">SUMIF($X:$X,CONCATENATE($AN22,AV$6),$T:$T)/10000</f>
        <v>0</v>
      </c>
      <c r="AW22" s="134" t="n">
        <f aca="false">SUMIF($X:$X,CONCATENATE($AN22,AW$6),$T:$T)/10000</f>
        <v>0</v>
      </c>
      <c r="AX22" s="134" t="n">
        <f aca="false">SUMIF($X:$X,CONCATENATE($AN22,AX$6),$T:$T)/10000</f>
        <v>0</v>
      </c>
      <c r="AY22" s="134" t="n">
        <f aca="false">SUMIF($X:$X,CONCATENATE($AN22,AY$6),$T:$T)/10000</f>
        <v>0</v>
      </c>
      <c r="AZ22" s="134" t="n">
        <f aca="false">SUMIF($X:$X,CONCATENATE($AN22,AZ$6),$T:$T)/10000</f>
        <v>0</v>
      </c>
      <c r="BA22" s="135" t="n">
        <f aca="false">SUMIF($X:$X,CONCATENATE($AN22,BA$6),$T:$T)/10000</f>
        <v>0</v>
      </c>
      <c r="BB22" s="208" t="n">
        <f aca="false">EOMONTH(BB21,0)+1</f>
        <v>37196</v>
      </c>
      <c r="BC22" s="135" t="e">
        <f aca="false">SUM(AO22:BA22)</f>
        <v>#NAME?</v>
      </c>
      <c r="BD22" s="2"/>
      <c r="BE22" s="208" t="n">
        <f aca="false">EOMONTH(BE21,0)+1</f>
        <v>37196</v>
      </c>
      <c r="BF22" s="134" t="e">
        <f aca="false">SUMIF($X:$X,CONCATENATE($AN22,BF$6),$W:$W)</f>
        <v>#NAME?</v>
      </c>
      <c r="BG22" s="134" t="n">
        <f aca="false">SUMIF($X:$X,CONCATENATE($AN22,BG$6),$W:$W)</f>
        <v>0</v>
      </c>
      <c r="BH22" s="134" t="n">
        <f aca="false">SUMIF($X:$X,CONCATENATE($AN22,BH$6),$W:$W)</f>
        <v>0</v>
      </c>
      <c r="BI22" s="134" t="n">
        <f aca="false">SUMIF($X:$X,CONCATENATE($AN22,BI$6),$W:$W)</f>
        <v>0</v>
      </c>
      <c r="BJ22" s="134" t="n">
        <f aca="false">SUMIF($X:$X,CONCATENATE($AN22,BJ$6),$W:$W)</f>
        <v>0</v>
      </c>
      <c r="BK22" s="134" t="n">
        <f aca="false">SUMIF($X:$X,CONCATENATE($AN22,BK$6),$W:$W)</f>
        <v>0</v>
      </c>
      <c r="BL22" s="134" t="n">
        <f aca="false">SUMIF($X:$X,CONCATENATE($AN22,BL$6),$W:$W)</f>
        <v>0</v>
      </c>
      <c r="BM22" s="134" t="n">
        <f aca="false">SUMIF($X:$X,CONCATENATE($AN22,BM$6),$W:$W)</f>
        <v>0</v>
      </c>
      <c r="BN22" s="134" t="n">
        <f aca="false">SUMIF($X:$X,CONCATENATE($AN22,BN$6),$W:$W)</f>
        <v>0</v>
      </c>
      <c r="BO22" s="134" t="n">
        <f aca="false">SUMIF($X:$X,CONCATENATE($AN22,BO$6),$W:$W)</f>
        <v>0</v>
      </c>
      <c r="BP22" s="134" t="n">
        <f aca="false">SUMIF($X:$X,CONCATENATE($AN22,BP$6),$W:$W)</f>
        <v>0</v>
      </c>
      <c r="BQ22" s="134" t="n">
        <f aca="false">SUMIF($X:$X,CONCATENATE($AN22,BQ$6),$W:$W)</f>
        <v>0</v>
      </c>
      <c r="BR22" s="135" t="n">
        <f aca="false">SUMIF($X:$X,CONCATENATE($AN22,BR$6),$W:$W)</f>
        <v>0</v>
      </c>
      <c r="BS22" s="208" t="n">
        <f aca="false">EOMONTH(BS21,0)+1</f>
        <v>37196</v>
      </c>
      <c r="BT22" s="135" t="e">
        <f aca="false">SUM(BF22:BR22)</f>
        <v>#NAME?</v>
      </c>
      <c r="BU22" s="260" t="e">
        <f aca="false">BT22/10000</f>
        <v>#NAME?</v>
      </c>
      <c r="BV22" s="2"/>
      <c r="BW22" s="2"/>
      <c r="BX22" s="2"/>
      <c r="BY22" s="2"/>
      <c r="BZ22" s="2"/>
      <c r="CA22" s="2"/>
      <c r="CB22" s="2"/>
      <c r="CC22" s="182" t="n">
        <f aca="false">G22</f>
        <v>36770</v>
      </c>
      <c r="CD22" s="253" t="e">
        <f aca="false">xSPRDOPT((VLOOKUP(G22,NGPrices,2,FALSE())+HLOOKUP(D22,Prices,VLOOKUP(G22,move_down,2,FALSE()),FALSE())),VLOOKUP(G22,NGPrices,2,FALSE()),I22,VLOOKUP(G22,NGPREVPRICES,4,FALSE()),HLOOKUP(D22,PREVVOLS,VLOOKUP(G22,MOVE_DOWN2,2,FALSE()),FALSE()),VLOOKUP(G22,NGPREVPRICES,3,FALSE()),HLOOKUP(D22,Correllate,VLOOKUP(G22,CorMove,2,FALSE()),FALSE()),Q22-$CD$3,R22,$CD$5)*H22-CJ22</f>
        <v>#NAME?</v>
      </c>
      <c r="CE22" s="253" t="e">
        <f aca="false">xSPRDOPT((VLOOKUP(G22,NGPREVPRICES,2,FALSE())+HLOOKUP(D22,PREVCURVES,VLOOKUP(G22,MOVE_DOWN2,2,FALSE()),FALSE())),VLOOKUP(G22,NGPREVPRICES,2,FALSE()),CK22,VLOOKUP(G22,NGPrices,4,FALSE()),HLOOKUP(D22,PREVVOLS,VLOOKUP(G22,MOVE_DOWN2,2,FALSE()),FALSE()),VLOOKUP(G22,NGPREVPRICES,3,FALSE()),HLOOKUP(D22,Correllate,VLOOKUP(G22,CorMove,2,FALSE()),FALSE()),Q22-$CD$3,R22,$CJ$5)*H22-CJ22</f>
        <v>#NAME?</v>
      </c>
      <c r="CF22" s="132" t="e">
        <f aca="false">(CJ22/VLOOKUP(CC22,discount,3,FALSE()))-(CJ22/VLOOKUP(CC22,discount,2,FALSE()))</f>
        <v>#NAME?</v>
      </c>
      <c r="CG22" s="253" t="e">
        <f aca="false">xSPRDOPT((VLOOKUP(G22,NGPREVPRICES,2,FALSE())+HLOOKUP(D22,PREVCURVES,VLOOKUP(G22,MOVE_DOWN2,2,FALSE()),FALSE())),VLOOKUP(G22,NGPREVPRICES,2,FALSE()),CK22,VLOOKUP(G22,NGPREVPRICES,4,FALSE()),HLOOKUP(D22,VOLS,VLOOKUP(G22,move_down,2,FALSE()),FALSE()),VLOOKUP(G22,NGPrices,3,FALSE()),HLOOKUP(D22,Correllate,VLOOKUP(G22,CorMove,2,FALSE()),FALSE()),Q22-$CD$3,R22,$CJ$5)*H22-CJ22</f>
        <v>#NAME?</v>
      </c>
      <c r="CH22" s="253" t="e">
        <f aca="false">xSPRDOPT((VLOOKUP(G22,NGPREVPRICES,2,FALSE())+HLOOKUP(D22,PREVCURVES,VLOOKUP(G22,MOVE_DOWN2,2,FALSE()),FALSE())),VLOOKUP(G22,NGPREVPRICES,2,FALSE()),CK22,VLOOKUP(G22,NGPREVPRICES,4,FALSE()),HLOOKUP(D22,PREVVOLS,VLOOKUP(G22,MOVE_DOWN2,2,FALSE()),FALSE()),VLOOKUP(G22,NGPREVPRICES,3,FALSE()),HLOOKUP(D22,Correllate,VLOOKUP(G22,CorMove,2,FALSE()),FALSE()),Q22-$C$3,R22,$CJ$5)*H22-CJ22</f>
        <v>#NAME?</v>
      </c>
      <c r="CI22" s="253" t="e">
        <f aca="false">SUM(CD22:CH22)</f>
        <v>#NAME?</v>
      </c>
      <c r="CJ22" s="253" t="e">
        <f aca="false">xSPRDOPT((VLOOKUP(G22,NGPREVPRICES,2,FALSE())+HLOOKUP(D22,PREVCURVES,VLOOKUP(G22,MOVE_DOWN2,2,FALSE()),FALSE())),VLOOKUP(G22,NGPREVPRICES,2,FALSE()),CK22,VLOOKUP(G22,NGPREVPRICES,4,FALSE()),HLOOKUP(D22,PREVVOLS,VLOOKUP(G22,MOVE_DOWN2,2,FALSE()),FALSE()),VLOOKUP(G22,NGPREVPRICES,3,FALSE()),HLOOKUP(D22,Correllate,VLOOKUP(G22,CorMove,2,FALSE()),FALSE()),Q22-$CD$3,R22,$CJ$5)*H22</f>
        <v>#NAME?</v>
      </c>
      <c r="CK22" s="254" t="n">
        <f aca="false">I22</f>
        <v>-0.4</v>
      </c>
      <c r="CM22" s="0" t="str">
        <f aca="false">CONCATENATE(CC22,$CD$6)</f>
        <v>36770Curve Shift/Gamma</v>
      </c>
      <c r="CN22" s="0" t="str">
        <f aca="false">CONCATENATE($CC22,$CE$6)</f>
        <v>36770Rho</v>
      </c>
      <c r="CO22" s="0" t="str">
        <f aca="false">CONCATENATE($CC22,$CF$6)</f>
        <v>36770Drift</v>
      </c>
      <c r="CP22" s="0" t="str">
        <f aca="false">CONCATENATE($CC22,$CG$6)</f>
        <v>36770Vega</v>
      </c>
      <c r="CQ22" s="0" t="str">
        <f aca="false">CONCATENATE($CC22,$CH$6)</f>
        <v>36770Theta</v>
      </c>
      <c r="CR22" s="255" t="n">
        <f aca="false">EOMONTH(CR21,0)+1</f>
        <v>37196</v>
      </c>
      <c r="CS22" s="261" t="e">
        <f aca="false">SUMIF($CM$7:$CM$631,CONCATENATE($CR22,$CS$6),$CD$7:$CD$631)</f>
        <v>#NAME?</v>
      </c>
      <c r="CT22" s="262" t="e">
        <f aca="false">SUMIF($CN$7:$CN$636,CONCATENATE($CR22,$CT$6),$CE$7:$CE$631)</f>
        <v>#NAME?</v>
      </c>
      <c r="CU22" s="262" t="e">
        <f aca="false">SUMIF($CO$7:$CO$636,CONCATENATE($CR22,$CU$6),$CF$7:$CF$631)</f>
        <v>#NAME?</v>
      </c>
      <c r="CV22" s="262" t="e">
        <f aca="false">SUMIF($CP$7:$CP$636,CONCATENATE($CR22,$CV$6),$CG$7:$CG$631)</f>
        <v>#NAME?</v>
      </c>
      <c r="CW22" s="263" t="e">
        <f aca="false">SUMIF($CQ$7:$CQ$636,CONCATENATE($CR22,$CW$6),$CH$7:$CH$631)</f>
        <v>#NAME?</v>
      </c>
      <c r="CX22" s="264" t="e">
        <f aca="false">SUM(CS22:CW22)</f>
        <v>#NAME?</v>
      </c>
      <c r="CZ22" s="255" t="n">
        <f aca="false">CR22</f>
        <v>37196</v>
      </c>
      <c r="DA22" s="261" t="e">
        <f aca="false">SUMIF($CC$7:$CC$1008,$CR22,$CD$7:$CD$1008)</f>
        <v>#NAME?</v>
      </c>
      <c r="DB22" s="262" t="e">
        <f aca="false">SUMIF($CC$7:$CC$1008,$CR22,$CE$7:$CE$1008)</f>
        <v>#NAME?</v>
      </c>
      <c r="DC22" s="262" t="e">
        <f aca="false">SUMIF($CC$7:$CC$1008,$CR22,$CF$7:$CF$1008)</f>
        <v>#NAME?</v>
      </c>
      <c r="DD22" s="262" t="e">
        <f aca="false">SUMIF($CC$7:$CC$1008,$CR22,$CG$7:$CG$1008)</f>
        <v>#NAME?</v>
      </c>
      <c r="DE22" s="263" t="e">
        <f aca="false">SUMIF($CC$7:$CC$1008,$CR22,$CH$7:$CH$1008)</f>
        <v>#NAME?</v>
      </c>
      <c r="DF22" s="264" t="e">
        <f aca="false">SUM(DA22:DE22)</f>
        <v>#NAME?</v>
      </c>
    </row>
    <row r="23" customFormat="false" ht="12" hidden="false" customHeight="true" outlineLevel="0" collapsed="false">
      <c r="A23" s="266" t="s">
        <v>198</v>
      </c>
      <c r="B23" s="17" t="s">
        <v>192</v>
      </c>
      <c r="C23" s="17" t="s">
        <v>199</v>
      </c>
      <c r="D23" s="7" t="s">
        <v>149</v>
      </c>
      <c r="E23" s="17" t="s">
        <v>131</v>
      </c>
      <c r="F23" s="17" t="s">
        <v>136</v>
      </c>
      <c r="G23" s="268" t="n">
        <v>36800</v>
      </c>
      <c r="H23" s="248" t="n">
        <v>310000</v>
      </c>
      <c r="I23" s="17" t="n">
        <v>0.25</v>
      </c>
      <c r="J23" s="124" t="n">
        <f aca="false">VLOOKUP(G23,NGPrices,2,FALSE())</f>
        <v>4.692</v>
      </c>
      <c r="K23" s="125" t="n">
        <f aca="false">HLOOKUP(D23,Prices,VLOOKUP(G23,move_down,2,FALSE()),FALSE())+VLOOKUP(G23,CHANGE,HLOOKUP(D23,CHANGE,2,FALSE()),FALSE())</f>
        <v>0.415</v>
      </c>
      <c r="L23" s="124" t="n">
        <f aca="false">K23+J23</f>
        <v>5.107</v>
      </c>
      <c r="M23" s="126" t="n">
        <f aca="false">VLOOKUP(G23,NGPrices,4,FALSE())</f>
        <v>0.068050789414654</v>
      </c>
      <c r="N23" s="7" t="n">
        <f aca="false">VLOOKUP(G23,NGPrices,3,FALSE())</f>
        <v>0.575</v>
      </c>
      <c r="O23" s="7" t="n">
        <f aca="false">HLOOKUP(D23,VOLS,VLOOKUP(G23,move_down,2,FALSE()),FALSE())</f>
        <v>0.564</v>
      </c>
      <c r="P23" s="249" t="n">
        <f aca="false">HLOOKUP(D23,Correllate,VLOOKUP(G23,CorMove,2,FALSE()),FALSE())</f>
        <v>0.9925</v>
      </c>
      <c r="Q23" s="92" t="n">
        <f aca="false">WORKDAY(G23,-2)</f>
        <v>36797</v>
      </c>
      <c r="R23" s="7" t="n">
        <f aca="false">IF(F23="P",0,1)</f>
        <v>1</v>
      </c>
      <c r="S23" s="130" t="e">
        <f aca="false">xSPRDOPT($L23,$J23,$I23,$M23,$O23,$N23,$P23,$Q23-$C$3,$R23,0)</f>
        <v>#NAME?</v>
      </c>
      <c r="T23" s="250" t="e">
        <f aca="false">xSPRDOPT($L23,$J23,$I23,$M23,$O23,$N23,$P23,$Q23-$C$3,$R23,1)*H23</f>
        <v>#NAME?</v>
      </c>
      <c r="U23" s="43" t="e">
        <f aca="false">S23*H23</f>
        <v>#NAME?</v>
      </c>
      <c r="V23" s="250" t="e">
        <f aca="false">xSPRDOPT($L23,$J23,$I23,$M23,$O23,$N23,$P23,$Q23-$C$3,$R23,2)*H23</f>
        <v>#NAME?</v>
      </c>
      <c r="W23" s="250" t="e">
        <f aca="false">+V23+T23</f>
        <v>#NAME?</v>
      </c>
      <c r="X23" s="2" t="str">
        <f aca="false">CONCATENATE(G23,D23)</f>
        <v>36800IF-TRANSCO/Z6</v>
      </c>
      <c r="Y23" s="251" t="n">
        <f aca="false">H23/10000</f>
        <v>31</v>
      </c>
      <c r="Z23" s="226" t="e">
        <f aca="false">T23/H23</f>
        <v>#NAME?</v>
      </c>
      <c r="AA23" s="226" t="e">
        <f aca="false">xSPRDOPT($L23,$J23,$I23,$M23,$O23,$N23,$P23,$Q23-$C$3,$R23,3)</f>
        <v>#NAME?</v>
      </c>
      <c r="AB23" s="226" t="e">
        <f aca="false">((xSPRDOPT($L23+AB$5,$J23,$I23,$M23,$O23,$N23,$P23,$Q23-$C$3,$R23,3)*$H23)/10000)/100</f>
        <v>#NAME?</v>
      </c>
      <c r="AC23" s="226" t="e">
        <f aca="false">((xSPRDOPT($L23+$AB$5,$J23,$I23,$M23,$O23,$N23,$P23,$Q23-$C$3,$R23,7)*$H23)/100)</f>
        <v>#NAME?</v>
      </c>
      <c r="AD23" s="226" t="e">
        <f aca="false">(xSPRDOPT($L23+$AB$5,$J23,$I23,$M23,$O23,$N23,$P23,$Q23-$C$3,$R23,9)/365)*$H23</f>
        <v>#NAME?</v>
      </c>
      <c r="AE23" s="0" t="e">
        <f aca="false">CD23</f>
        <v>#NAME?</v>
      </c>
      <c r="AF23" s="226" t="e">
        <f aca="false">((O23/N23)*AH23)+AG23</f>
        <v>#NAME?</v>
      </c>
      <c r="AG23" s="226" t="e">
        <f aca="false">((xSPRDOPT($L23,$J23,$I23,$M23,$O23,$N23,$P23,$Q23-$C$3,$R23,6)*$H23)/100)</f>
        <v>#NAME?</v>
      </c>
      <c r="AH23" s="226" t="e">
        <f aca="false">((xSPRDOPT($L23,$J23,$I23,$M23,$O23,$N23,$P23,$Q23-$C$3,$R23,5)*$H23)/100)</f>
        <v>#NAME?</v>
      </c>
      <c r="AI23" s="226" t="e">
        <f aca="false">(((xSPRDOPT($L23,$J23,$I23,$M23,$O23,$N23,$P23,$Q23-$C$3,$R23,4)*$H23)/10000)/100)-AB23</f>
        <v>#NAME?</v>
      </c>
      <c r="AJ23" s="226"/>
      <c r="AK23" s="226"/>
      <c r="AL23" s="226"/>
      <c r="AM23" s="252"/>
      <c r="AN23" s="208" t="n">
        <f aca="false">EOMONTH(AN22,0)+1</f>
        <v>37226</v>
      </c>
      <c r="AO23" s="134" t="e">
        <f aca="false">SUMIF($X:$X,CONCATENATE($AN23,AO$6),$T:$T)/10000</f>
        <v>#NAME?</v>
      </c>
      <c r="AP23" s="134" t="n">
        <f aca="false">SUMIF($X:$X,CONCATENATE($AN23,AP$6),$T:$T)/10000</f>
        <v>0</v>
      </c>
      <c r="AQ23" s="134" t="n">
        <f aca="false">SUMIF($X:$X,CONCATENATE($AN23,AQ$6),$T:$T)/10000</f>
        <v>0</v>
      </c>
      <c r="AR23" s="134" t="n">
        <f aca="false">SUMIF($X:$X,CONCATENATE($AN23,AR$6),$T:$T)/10000</f>
        <v>0</v>
      </c>
      <c r="AS23" s="134" t="n">
        <f aca="false">SUMIF($X:$X,CONCATENATE($AN23,AS$6),$T:$T)/10000</f>
        <v>0</v>
      </c>
      <c r="AT23" s="134" t="n">
        <f aca="false">SUMIF($X:$X,CONCATENATE($AN23,AT$6),$T:$T)/10000</f>
        <v>0</v>
      </c>
      <c r="AU23" s="134" t="n">
        <f aca="false">SUMIF($X:$X,CONCATENATE($AN23,AU$6),$T:$T)/10000</f>
        <v>0</v>
      </c>
      <c r="AV23" s="134" t="n">
        <f aca="false">SUMIF($X:$X,CONCATENATE($AN23,AV$6),$T:$T)/10000</f>
        <v>0</v>
      </c>
      <c r="AW23" s="134" t="n">
        <f aca="false">SUMIF($X:$X,CONCATENATE($AN23,AW$6),$T:$T)/10000</f>
        <v>0</v>
      </c>
      <c r="AX23" s="134" t="n">
        <f aca="false">SUMIF($X:$X,CONCATENATE($AN23,AX$6),$T:$T)/10000</f>
        <v>0</v>
      </c>
      <c r="AY23" s="134" t="n">
        <f aca="false">SUMIF($X:$X,CONCATENATE($AN23,AY$6),$T:$T)/10000</f>
        <v>0</v>
      </c>
      <c r="AZ23" s="134" t="n">
        <f aca="false">SUMIF($X:$X,CONCATENATE($AN23,AZ$6),$T:$T)/10000</f>
        <v>0</v>
      </c>
      <c r="BA23" s="135" t="n">
        <f aca="false">SUMIF($X:$X,CONCATENATE($AN23,BA$6),$T:$T)/10000</f>
        <v>0</v>
      </c>
      <c r="BB23" s="208" t="n">
        <f aca="false">EOMONTH(BB22,0)+1</f>
        <v>37226</v>
      </c>
      <c r="BC23" s="135" t="e">
        <f aca="false">SUM(AO23:BA23)</f>
        <v>#NAME?</v>
      </c>
      <c r="BD23" s="2"/>
      <c r="BE23" s="208" t="n">
        <f aca="false">EOMONTH(BE22,0)+1</f>
        <v>37226</v>
      </c>
      <c r="BF23" s="134" t="e">
        <f aca="false">SUMIF($X:$X,CONCATENATE($AN23,BF$6),$W:$W)</f>
        <v>#NAME?</v>
      </c>
      <c r="BG23" s="134" t="n">
        <f aca="false">SUMIF($X:$X,CONCATENATE($AN23,BG$6),$W:$W)</f>
        <v>0</v>
      </c>
      <c r="BH23" s="134" t="n">
        <f aca="false">SUMIF($X:$X,CONCATENATE($AN23,BH$6),$W:$W)</f>
        <v>0</v>
      </c>
      <c r="BI23" s="134" t="n">
        <f aca="false">SUMIF($X:$X,CONCATENATE($AN23,BI$6),$W:$W)</f>
        <v>0</v>
      </c>
      <c r="BJ23" s="134" t="n">
        <f aca="false">SUMIF($X:$X,CONCATENATE($AN23,BJ$6),$W:$W)</f>
        <v>0</v>
      </c>
      <c r="BK23" s="134" t="n">
        <f aca="false">SUMIF($X:$X,CONCATENATE($AN23,BK$6),$W:$W)</f>
        <v>0</v>
      </c>
      <c r="BL23" s="134" t="n">
        <f aca="false">SUMIF($X:$X,CONCATENATE($AN23,BL$6),$W:$W)</f>
        <v>0</v>
      </c>
      <c r="BM23" s="134" t="n">
        <f aca="false">SUMIF($X:$X,CONCATENATE($AN23,BM$6),$W:$W)</f>
        <v>0</v>
      </c>
      <c r="BN23" s="134" t="n">
        <f aca="false">SUMIF($X:$X,CONCATENATE($AN23,BN$6),$W:$W)</f>
        <v>0</v>
      </c>
      <c r="BO23" s="134" t="n">
        <f aca="false">SUMIF($X:$X,CONCATENATE($AN23,BO$6),$W:$W)</f>
        <v>0</v>
      </c>
      <c r="BP23" s="134" t="n">
        <f aca="false">SUMIF($X:$X,CONCATENATE($AN23,BP$6),$W:$W)</f>
        <v>0</v>
      </c>
      <c r="BQ23" s="134" t="n">
        <f aca="false">SUMIF($X:$X,CONCATENATE($AN23,BQ$6),$W:$W)</f>
        <v>0</v>
      </c>
      <c r="BR23" s="135" t="n">
        <f aca="false">SUMIF($X:$X,CONCATENATE($AN23,BR$6),$W:$W)</f>
        <v>0</v>
      </c>
      <c r="BS23" s="208" t="n">
        <f aca="false">EOMONTH(BS22,0)+1</f>
        <v>37226</v>
      </c>
      <c r="BT23" s="135" t="e">
        <f aca="false">SUM(BF23:BR23)</f>
        <v>#NAME?</v>
      </c>
      <c r="BU23" s="260" t="e">
        <f aca="false">BT23/10000</f>
        <v>#NAME?</v>
      </c>
      <c r="BV23" s="2"/>
      <c r="BW23" s="2"/>
      <c r="BX23" s="2"/>
      <c r="BY23" s="2"/>
      <c r="BZ23" s="2"/>
      <c r="CA23" s="2"/>
      <c r="CB23" s="2"/>
      <c r="CC23" s="182" t="n">
        <f aca="false">G23</f>
        <v>36800</v>
      </c>
      <c r="CD23" s="253" t="e">
        <f aca="false">xSPRDOPT((VLOOKUP(G23,NGPrices,2,FALSE())+HLOOKUP(D23,Prices,VLOOKUP(G23,move_down,2,FALSE()),FALSE())),VLOOKUP(G23,NGPrices,2,FALSE()),I23,VLOOKUP(G23,NGPREVPRICES,4,FALSE()),HLOOKUP(D23,PREVVOLS,VLOOKUP(G23,MOVE_DOWN2,2,FALSE()),FALSE()),VLOOKUP(G23,NGPREVPRICES,3,FALSE()),HLOOKUP(D23,Correllate,VLOOKUP(G23,CorMove,2,FALSE()),FALSE()),Q23-$CD$3,R23,$CD$5)*H23-CJ23</f>
        <v>#NAME?</v>
      </c>
      <c r="CE23" s="253" t="e">
        <f aca="false">xSPRDOPT((VLOOKUP(G23,NGPREVPRICES,2,FALSE())+HLOOKUP(D23,PREVCURVES,VLOOKUP(G23,MOVE_DOWN2,2,FALSE()),FALSE())),VLOOKUP(G23,NGPREVPRICES,2,FALSE()),CK23,VLOOKUP(G23,NGPrices,4,FALSE()),HLOOKUP(D23,PREVVOLS,VLOOKUP(G23,MOVE_DOWN2,2,FALSE()),FALSE()),VLOOKUP(G23,NGPREVPRICES,3,FALSE()),HLOOKUP(D23,Correllate,VLOOKUP(G23,CorMove,2,FALSE()),FALSE()),Q23-$CD$3,R23,$CJ$5)*H23-CJ23</f>
        <v>#NAME?</v>
      </c>
      <c r="CF23" s="132" t="e">
        <f aca="false">(CJ23/VLOOKUP(CC23,discount,3,FALSE()))-(CJ23/VLOOKUP(CC23,discount,2,FALSE()))</f>
        <v>#NAME?</v>
      </c>
      <c r="CG23" s="253" t="e">
        <f aca="false">xSPRDOPT((VLOOKUP(G23,NGPREVPRICES,2,FALSE())+HLOOKUP(D23,PREVCURVES,VLOOKUP(G23,MOVE_DOWN2,2,FALSE()),FALSE())),VLOOKUP(G23,NGPREVPRICES,2,FALSE()),CK23,VLOOKUP(G23,NGPREVPRICES,4,FALSE()),HLOOKUP(D23,VOLS,VLOOKUP(G23,move_down,2,FALSE()),FALSE()),VLOOKUP(G23,NGPrices,3,FALSE()),HLOOKUP(D23,Correllate,VLOOKUP(G23,CorMove,2,FALSE()),FALSE()),Q23-$CD$3,R23,$CJ$5)*H23-CJ23</f>
        <v>#NAME?</v>
      </c>
      <c r="CH23" s="253" t="e">
        <f aca="false">xSPRDOPT((VLOOKUP(G23,NGPREVPRICES,2,FALSE())+HLOOKUP(D23,PREVCURVES,VLOOKUP(G23,MOVE_DOWN2,2,FALSE()),FALSE())),VLOOKUP(G23,NGPREVPRICES,2,FALSE()),CK23,VLOOKUP(G23,NGPREVPRICES,4,FALSE()),HLOOKUP(D23,PREVVOLS,VLOOKUP(G23,MOVE_DOWN2,2,FALSE()),FALSE()),VLOOKUP(G23,NGPREVPRICES,3,FALSE()),HLOOKUP(D23,Correllate,VLOOKUP(G23,CorMove,2,FALSE()),FALSE()),Q23-$C$3,R23,$CJ$5)*H23-CJ23</f>
        <v>#NAME?</v>
      </c>
      <c r="CI23" s="253" t="e">
        <f aca="false">SUM(CD23:CH23)</f>
        <v>#NAME?</v>
      </c>
      <c r="CJ23" s="253" t="e">
        <f aca="false">xSPRDOPT((VLOOKUP(G23,NGPREVPRICES,2,FALSE())+HLOOKUP(D23,PREVCURVES,VLOOKUP(G23,MOVE_DOWN2,2,FALSE()),FALSE())),VLOOKUP(G23,NGPREVPRICES,2,FALSE()),CK23,VLOOKUP(G23,NGPREVPRICES,4,FALSE()),HLOOKUP(D23,PREVVOLS,VLOOKUP(G23,MOVE_DOWN2,2,FALSE()),FALSE()),VLOOKUP(G23,NGPREVPRICES,3,FALSE()),HLOOKUP(D23,Correllate,VLOOKUP(G23,CorMove,2,FALSE()),FALSE()),Q23-$CD$3,R23,$CJ$5)*H23</f>
        <v>#NAME?</v>
      </c>
      <c r="CK23" s="254" t="n">
        <f aca="false">I23</f>
        <v>0.25</v>
      </c>
      <c r="CM23" s="0" t="str">
        <f aca="false">CONCATENATE(CC23,$CD$6)</f>
        <v>36800Curve Shift/Gamma</v>
      </c>
      <c r="CN23" s="0" t="str">
        <f aca="false">CONCATENATE($CC23,$CE$6)</f>
        <v>36800Rho</v>
      </c>
      <c r="CO23" s="0" t="str">
        <f aca="false">CONCATENATE($CC23,$CF$6)</f>
        <v>36800Drift</v>
      </c>
      <c r="CP23" s="0" t="str">
        <f aca="false">CONCATENATE($CC23,$CG$6)</f>
        <v>36800Vega</v>
      </c>
      <c r="CQ23" s="0" t="str">
        <f aca="false">CONCATENATE($CC23,$CH$6)</f>
        <v>36800Theta</v>
      </c>
      <c r="CR23" s="255" t="n">
        <f aca="false">EOMONTH(CR22,0)+1</f>
        <v>37226</v>
      </c>
      <c r="CS23" s="261" t="e">
        <f aca="false">SUMIF($CM$7:$CM$631,CONCATENATE($CR23,$CS$6),$CD$7:$CD$631)</f>
        <v>#NAME?</v>
      </c>
      <c r="CT23" s="262" t="e">
        <f aca="false">SUMIF($CN$7:$CN$636,CONCATENATE($CR23,$CT$6),$CE$7:$CE$631)</f>
        <v>#NAME?</v>
      </c>
      <c r="CU23" s="262" t="e">
        <f aca="false">SUMIF($CO$7:$CO$636,CONCATENATE($CR23,$CU$6),$CF$7:$CF$631)</f>
        <v>#NAME?</v>
      </c>
      <c r="CV23" s="262" t="e">
        <f aca="false">SUMIF($CP$7:$CP$636,CONCATENATE($CR23,$CV$6),$CG$7:$CG$631)</f>
        <v>#NAME?</v>
      </c>
      <c r="CW23" s="263" t="e">
        <f aca="false">SUMIF($CQ$7:$CQ$636,CONCATENATE($CR23,$CW$6),$CH$7:$CH$631)</f>
        <v>#NAME?</v>
      </c>
      <c r="CX23" s="264" t="e">
        <f aca="false">SUM(CS23:CW23)</f>
        <v>#NAME?</v>
      </c>
      <c r="CZ23" s="255" t="n">
        <f aca="false">CR23</f>
        <v>37226</v>
      </c>
      <c r="DA23" s="261" t="e">
        <f aca="false">SUMIF($CC$7:$CC$1008,$CR23,$CD$7:$CD$1008)</f>
        <v>#NAME?</v>
      </c>
      <c r="DB23" s="262" t="e">
        <f aca="false">SUMIF($CC$7:$CC$1008,$CR23,$CE$7:$CE$1008)</f>
        <v>#NAME?</v>
      </c>
      <c r="DC23" s="262" t="e">
        <f aca="false">SUMIF($CC$7:$CC$1008,$CR23,$CF$7:$CF$1008)</f>
        <v>#NAME?</v>
      </c>
      <c r="DD23" s="262" t="e">
        <f aca="false">SUMIF($CC$7:$CC$1008,$CR23,$CG$7:$CG$1008)</f>
        <v>#NAME?</v>
      </c>
      <c r="DE23" s="263" t="e">
        <f aca="false">SUMIF($CC$7:$CC$1008,$CR23,$CH$7:$CH$1008)</f>
        <v>#NAME?</v>
      </c>
      <c r="DF23" s="264" t="e">
        <f aca="false">SUM(DA23:DE23)</f>
        <v>#NAME?</v>
      </c>
    </row>
    <row r="24" customFormat="false" ht="12" hidden="false" customHeight="true" outlineLevel="0" collapsed="false">
      <c r="A24" s="265" t="s">
        <v>198</v>
      </c>
      <c r="B24" s="269" t="s">
        <v>192</v>
      </c>
      <c r="C24" s="270" t="s">
        <v>199</v>
      </c>
      <c r="D24" s="7" t="s">
        <v>149</v>
      </c>
      <c r="E24" s="270" t="s">
        <v>131</v>
      </c>
      <c r="F24" s="270" t="s">
        <v>136</v>
      </c>
      <c r="G24" s="271" t="n">
        <v>36770</v>
      </c>
      <c r="H24" s="272" t="n">
        <v>300000</v>
      </c>
      <c r="I24" s="0" t="n">
        <v>0.25</v>
      </c>
      <c r="J24" s="124" t="n">
        <f aca="false">VLOOKUP(G24,NGPrices,2,FALSE())</f>
        <v>4.685</v>
      </c>
      <c r="K24" s="125" t="n">
        <f aca="false">HLOOKUP(D24,Prices,VLOOKUP(G24,move_down,2,FALSE()),FALSE())+VLOOKUP(G24,CHANGE,HLOOKUP(D24,CHANGE,2,FALSE()),FALSE())</f>
        <v>0.315</v>
      </c>
      <c r="L24" s="124" t="n">
        <f aca="false">K24+J24</f>
        <v>5</v>
      </c>
      <c r="M24" s="126" t="n">
        <f aca="false">VLOOKUP(G24,NGPrices,4,FALSE())</f>
        <v>0.067216196212185</v>
      </c>
      <c r="N24" s="2" t="n">
        <f aca="false">VLOOKUP(G24,NGPrices,3,FALSE())</f>
        <v>0.4</v>
      </c>
      <c r="O24" s="2" t="n">
        <f aca="false">HLOOKUP(D24,VOLS,VLOOKUP(G24,move_down,2,FALSE()),FALSE())</f>
        <v>0.392</v>
      </c>
      <c r="P24" s="249" t="n">
        <f aca="false">HLOOKUP(D24,Correllate,VLOOKUP(G24,CorMove,2,FALSE()),FALSE())</f>
        <v>0.9925</v>
      </c>
      <c r="Q24" s="92" t="n">
        <f aca="false">WORKDAY(G24,-2)</f>
        <v>36768</v>
      </c>
      <c r="R24" s="2" t="n">
        <f aca="false">IF(F24="P",0,1)</f>
        <v>1</v>
      </c>
      <c r="S24" s="130" t="e">
        <f aca="false">xSPRDOPT($L24,$J24,$I24,$M24,$O24,$N24,$P24,$Q24-$C$3,$R24,0)</f>
        <v>#NAME?</v>
      </c>
      <c r="T24" s="250" t="e">
        <f aca="false">xSPRDOPT($L24,$J24,$I24,$M24,$O24,$N24,$P24,$Q24-$C$3,$R24,1)*H24</f>
        <v>#NAME?</v>
      </c>
      <c r="U24" s="43" t="e">
        <f aca="false">S24*H24</f>
        <v>#NAME?</v>
      </c>
      <c r="V24" s="250" t="e">
        <f aca="false">xSPRDOPT($L24,$J24,$I24,$M24,$O24,$N24,$P24,$Q24-$C$3,$R24,2)*H24</f>
        <v>#NAME?</v>
      </c>
      <c r="W24" s="250" t="e">
        <f aca="false">+V24+T24</f>
        <v>#NAME?</v>
      </c>
      <c r="X24" s="2" t="str">
        <f aca="false">CONCATENATE(G24,D24)</f>
        <v>36770IF-TRANSCO/Z6</v>
      </c>
      <c r="Y24" s="251" t="n">
        <f aca="false">H24/10000</f>
        <v>30</v>
      </c>
      <c r="Z24" s="226" t="e">
        <f aca="false">T24/H24</f>
        <v>#NAME?</v>
      </c>
      <c r="AA24" s="226" t="e">
        <f aca="false">xSPRDOPT($L24,$J24,$I24,$M24,$O24,$N24,$P24,$Q24-$C$3,$R24,3)</f>
        <v>#NAME?</v>
      </c>
      <c r="AB24" s="226" t="e">
        <f aca="false">((xSPRDOPT($L24+AB$5,$J24,$I24,$M24,$O24,$N24,$P24,$Q24-$C$3,$R24,3)*$H24)/10000)/100</f>
        <v>#NAME?</v>
      </c>
      <c r="AC24" s="226" t="e">
        <f aca="false">((xSPRDOPT($L24+$AB$5,$J24,$I24,$M24,$O24,$N24,$P24,$Q24-$C$3,$R24,7)*$H24)/100)</f>
        <v>#NAME?</v>
      </c>
      <c r="AD24" s="226" t="e">
        <f aca="false">(xSPRDOPT($L24+$AB$5,$J24,$I24,$M24,$O24,$N24,$P24,$Q24-$C$3,$R24,9)/365)*$H24</f>
        <v>#NAME?</v>
      </c>
      <c r="AE24" s="0" t="e">
        <f aca="false">CD24</f>
        <v>#NAME?</v>
      </c>
      <c r="AF24" s="226" t="e">
        <f aca="false">((O24/N24)*AH24)+AG24</f>
        <v>#NAME?</v>
      </c>
      <c r="AG24" s="226" t="e">
        <f aca="false">((xSPRDOPT($L24,$J24,$I24,$M24,$O24,$N24,$P24,$Q24-$C$3,$R24,6)*$H24)/100)</f>
        <v>#NAME?</v>
      </c>
      <c r="AH24" s="226" t="e">
        <f aca="false">((xSPRDOPT($L24,$J24,$I24,$M24,$O24,$N24,$P24,$Q24-$C$3,$R24,5)*$H24)/100)</f>
        <v>#NAME?</v>
      </c>
      <c r="AI24" s="226" t="e">
        <f aca="false">(((xSPRDOPT($L24,$J24,$I24,$M24,$O24,$N24,$P24,$Q24-$C$3,$R24,4)*$H24)/10000)/100)-AB24</f>
        <v>#NAME?</v>
      </c>
      <c r="AJ24" s="226"/>
      <c r="AK24" s="226"/>
      <c r="AL24" s="226"/>
      <c r="AM24" s="252"/>
      <c r="AN24" s="208" t="n">
        <f aca="false">EOMONTH(AN23,0)+1</f>
        <v>37257</v>
      </c>
      <c r="AO24" s="134" t="e">
        <f aca="false">SUMIF($X:$X,CONCATENATE($AN24,AO$6),$T:$T)/10000</f>
        <v>#NAME?</v>
      </c>
      <c r="AP24" s="134" t="n">
        <f aca="false">SUMIF($X:$X,CONCATENATE($AN24,AP$6),$T:$T)/10000</f>
        <v>0</v>
      </c>
      <c r="AQ24" s="134" t="n">
        <f aca="false">SUMIF($X:$X,CONCATENATE($AN24,AQ$6),$T:$T)/10000</f>
        <v>0</v>
      </c>
      <c r="AR24" s="134" t="n">
        <f aca="false">SUMIF($X:$X,CONCATENATE($AN24,AR$6),$T:$T)/10000</f>
        <v>0</v>
      </c>
      <c r="AS24" s="134" t="n">
        <f aca="false">SUMIF($X:$X,CONCATENATE($AN24,AS$6),$T:$T)/10000</f>
        <v>0</v>
      </c>
      <c r="AT24" s="134" t="n">
        <f aca="false">SUMIF($X:$X,CONCATENATE($AN24,AT$6),$T:$T)/10000</f>
        <v>0</v>
      </c>
      <c r="AU24" s="134" t="n">
        <f aca="false">SUMIF($X:$X,CONCATENATE($AN24,AU$6),$T:$T)/10000</f>
        <v>0</v>
      </c>
      <c r="AV24" s="134" t="n">
        <f aca="false">SUMIF($X:$X,CONCATENATE($AN24,AV$6),$T:$T)/10000</f>
        <v>0</v>
      </c>
      <c r="AW24" s="134" t="n">
        <f aca="false">SUMIF($X:$X,CONCATENATE($AN24,AW$6),$T:$T)/10000</f>
        <v>0</v>
      </c>
      <c r="AX24" s="134" t="n">
        <f aca="false">SUMIF($X:$X,CONCATENATE($AN24,AX$6),$T:$T)/10000</f>
        <v>0</v>
      </c>
      <c r="AY24" s="134" t="n">
        <f aca="false">SUMIF($X:$X,CONCATENATE($AN24,AY$6),$T:$T)/10000</f>
        <v>0</v>
      </c>
      <c r="AZ24" s="134" t="n">
        <f aca="false">SUMIF($X:$X,CONCATENATE($AN24,AZ$6),$T:$T)/10000</f>
        <v>0</v>
      </c>
      <c r="BA24" s="135" t="n">
        <f aca="false">SUMIF($X:$X,CONCATENATE($AN24,BA$6),$T:$T)/10000</f>
        <v>0</v>
      </c>
      <c r="BB24" s="208" t="n">
        <f aca="false">EOMONTH(BB23,0)+1</f>
        <v>37257</v>
      </c>
      <c r="BC24" s="135" t="e">
        <f aca="false">SUM(AO24:BA24)</f>
        <v>#NAME?</v>
      </c>
      <c r="BD24" s="2"/>
      <c r="BE24" s="208" t="n">
        <f aca="false">EOMONTH(BE23,0)+1</f>
        <v>37257</v>
      </c>
      <c r="BF24" s="134" t="e">
        <f aca="false">SUMIF($X:$X,CONCATENATE($AN24,BF$6),$W:$W)</f>
        <v>#NAME?</v>
      </c>
      <c r="BG24" s="134" t="n">
        <f aca="false">SUMIF($X:$X,CONCATENATE($AN24,BG$6),$W:$W)</f>
        <v>0</v>
      </c>
      <c r="BH24" s="134" t="n">
        <f aca="false">SUMIF($X:$X,CONCATENATE($AN24,BH$6),$W:$W)</f>
        <v>0</v>
      </c>
      <c r="BI24" s="134" t="n">
        <f aca="false">SUMIF($X:$X,CONCATENATE($AN24,BI$6),$W:$W)</f>
        <v>0</v>
      </c>
      <c r="BJ24" s="134" t="n">
        <f aca="false">SUMIF($X:$X,CONCATENATE($AN24,BJ$6),$W:$W)</f>
        <v>0</v>
      </c>
      <c r="BK24" s="134" t="n">
        <f aca="false">SUMIF($X:$X,CONCATENATE($AN24,BK$6),$W:$W)</f>
        <v>0</v>
      </c>
      <c r="BL24" s="134" t="n">
        <f aca="false">SUMIF($X:$X,CONCATENATE($AN24,BL$6),$W:$W)</f>
        <v>0</v>
      </c>
      <c r="BM24" s="134" t="n">
        <f aca="false">SUMIF($X:$X,CONCATENATE($AN24,BM$6),$W:$W)</f>
        <v>0</v>
      </c>
      <c r="BN24" s="134" t="n">
        <f aca="false">SUMIF($X:$X,CONCATENATE($AN24,BN$6),$W:$W)</f>
        <v>0</v>
      </c>
      <c r="BO24" s="134" t="n">
        <f aca="false">SUMIF($X:$X,CONCATENATE($AN24,BO$6),$W:$W)</f>
        <v>0</v>
      </c>
      <c r="BP24" s="134" t="n">
        <f aca="false">SUMIF($X:$X,CONCATENATE($AN24,BP$6),$W:$W)</f>
        <v>0</v>
      </c>
      <c r="BQ24" s="134" t="n">
        <f aca="false">SUMIF($X:$X,CONCATENATE($AN24,BQ$6),$W:$W)</f>
        <v>0</v>
      </c>
      <c r="BR24" s="135" t="n">
        <f aca="false">SUMIF($X:$X,CONCATENATE($AN24,BR$6),$W:$W)</f>
        <v>0</v>
      </c>
      <c r="BS24" s="208" t="n">
        <f aca="false">EOMONTH(BS23,0)+1</f>
        <v>37257</v>
      </c>
      <c r="BT24" s="135" t="e">
        <f aca="false">SUM(BF24:BR24)</f>
        <v>#NAME?</v>
      </c>
      <c r="BU24" s="260" t="e">
        <f aca="false">BT24/10000</f>
        <v>#NAME?</v>
      </c>
      <c r="BV24" s="2"/>
      <c r="BW24" s="2"/>
      <c r="BX24" s="2"/>
      <c r="BY24" s="2"/>
      <c r="BZ24" s="2"/>
      <c r="CA24" s="2"/>
      <c r="CB24" s="2"/>
      <c r="CC24" s="182" t="n">
        <f aca="false">G24</f>
        <v>36770</v>
      </c>
      <c r="CD24" s="253" t="e">
        <f aca="false">xSPRDOPT((VLOOKUP(G24,NGPrices,2,FALSE())+HLOOKUP(D24,Prices,VLOOKUP(G24,move_down,2,FALSE()),FALSE())),VLOOKUP(G24,NGPrices,2,FALSE()),I24,VLOOKUP(G24,NGPREVPRICES,4,FALSE()),HLOOKUP(D24,PREVVOLS,VLOOKUP(G24,MOVE_DOWN2,2,FALSE()),FALSE()),VLOOKUP(G24,NGPREVPRICES,3,FALSE()),HLOOKUP(D24,Correllate,VLOOKUP(G24,CorMove,2,FALSE()),FALSE()),Q24-$CD$3,R24,$CD$5)*H24-CJ24</f>
        <v>#NAME?</v>
      </c>
      <c r="CE24" s="253" t="e">
        <f aca="false">xSPRDOPT((VLOOKUP(G24,NGPREVPRICES,2,FALSE())+HLOOKUP(D24,PREVCURVES,VLOOKUP(G24,MOVE_DOWN2,2,FALSE()),FALSE())),VLOOKUP(G24,NGPREVPRICES,2,FALSE()),CK24,VLOOKUP(G24,NGPrices,4,FALSE()),HLOOKUP(D24,PREVVOLS,VLOOKUP(G24,MOVE_DOWN2,2,FALSE()),FALSE()),VLOOKUP(G24,NGPREVPRICES,3,FALSE()),HLOOKUP(D24,Correllate,VLOOKUP(G24,CorMove,2,FALSE()),FALSE()),Q24-$CD$3,R24,$CJ$5)*H24-CJ24</f>
        <v>#NAME?</v>
      </c>
      <c r="CF24" s="132" t="e">
        <f aca="false">(CJ24/VLOOKUP(CC24,discount,3,FALSE()))-(CJ24/VLOOKUP(CC24,discount,2,FALSE()))</f>
        <v>#NAME?</v>
      </c>
      <c r="CG24" s="253" t="e">
        <f aca="false">xSPRDOPT((VLOOKUP(G24,NGPREVPRICES,2,FALSE())+HLOOKUP(D24,PREVCURVES,VLOOKUP(G24,MOVE_DOWN2,2,FALSE()),FALSE())),VLOOKUP(G24,NGPREVPRICES,2,FALSE()),CK24,VLOOKUP(G24,NGPREVPRICES,4,FALSE()),HLOOKUP(D24,VOLS,VLOOKUP(G24,move_down,2,FALSE()),FALSE()),VLOOKUP(G24,NGPrices,3,FALSE()),HLOOKUP(D24,Correllate,VLOOKUP(G24,CorMove,2,FALSE()),FALSE()),Q24-$CD$3,R24,$CJ$5)*H24-CJ24</f>
        <v>#NAME?</v>
      </c>
      <c r="CH24" s="253" t="e">
        <f aca="false">xSPRDOPT((VLOOKUP(G24,NGPREVPRICES,2,FALSE())+HLOOKUP(D24,PREVCURVES,VLOOKUP(G24,MOVE_DOWN2,2,FALSE()),FALSE())),VLOOKUP(G24,NGPREVPRICES,2,FALSE()),CK24,VLOOKUP(G24,NGPREVPRICES,4,FALSE()),HLOOKUP(D24,PREVVOLS,VLOOKUP(G24,MOVE_DOWN2,2,FALSE()),FALSE()),VLOOKUP(G24,NGPREVPRICES,3,FALSE()),HLOOKUP(D24,Correllate,VLOOKUP(G24,CorMove,2,FALSE()),FALSE()),Q24-$C$3,R24,$CJ$5)*H24-CJ24</f>
        <v>#NAME?</v>
      </c>
      <c r="CI24" s="253" t="e">
        <f aca="false">SUM(CD24:CH24)</f>
        <v>#NAME?</v>
      </c>
      <c r="CJ24" s="253" t="e">
        <f aca="false">xSPRDOPT((VLOOKUP(G24,NGPREVPRICES,2,FALSE())+HLOOKUP(D24,PREVCURVES,VLOOKUP(G24,MOVE_DOWN2,2,FALSE()),FALSE())),VLOOKUP(G24,NGPREVPRICES,2,FALSE()),CK24,VLOOKUP(G24,NGPREVPRICES,4,FALSE()),HLOOKUP(D24,PREVVOLS,VLOOKUP(G24,MOVE_DOWN2,2,FALSE()),FALSE()),VLOOKUP(G24,NGPREVPRICES,3,FALSE()),HLOOKUP(D24,Correllate,VLOOKUP(G24,CorMove,2,FALSE()),FALSE()),Q24-$CD$3,R24,$CJ$5)*H24</f>
        <v>#NAME?</v>
      </c>
      <c r="CK24" s="254" t="n">
        <f aca="false">I24</f>
        <v>0.25</v>
      </c>
      <c r="CM24" s="0" t="str">
        <f aca="false">CONCATENATE(CC24,$CD$6)</f>
        <v>36770Curve Shift/Gamma</v>
      </c>
      <c r="CN24" s="0" t="str">
        <f aca="false">CONCATENATE($CC24,$CE$6)</f>
        <v>36770Rho</v>
      </c>
      <c r="CO24" s="0" t="str">
        <f aca="false">CONCATENATE($CC24,$CF$6)</f>
        <v>36770Drift</v>
      </c>
      <c r="CP24" s="0" t="str">
        <f aca="false">CONCATENATE($CC24,$CG$6)</f>
        <v>36770Vega</v>
      </c>
      <c r="CQ24" s="0" t="str">
        <f aca="false">CONCATENATE($CC24,$CH$6)</f>
        <v>36770Theta</v>
      </c>
      <c r="CR24" s="255" t="n">
        <f aca="false">EOMONTH(CR23,0)+1</f>
        <v>37257</v>
      </c>
      <c r="CS24" s="261" t="e">
        <f aca="false">SUMIF($CM$7:$CM$631,CONCATENATE($CR24,$CS$6),$CD$7:$CD$631)</f>
        <v>#NAME?</v>
      </c>
      <c r="CT24" s="262" t="e">
        <f aca="false">SUMIF($CN$7:$CN$636,CONCATENATE($CR24,$CT$6),$CE$7:$CE$631)</f>
        <v>#NAME?</v>
      </c>
      <c r="CU24" s="262" t="e">
        <f aca="false">SUMIF($CO$7:$CO$636,CONCATENATE($CR24,$CU$6),$CF$7:$CF$631)</f>
        <v>#NAME?</v>
      </c>
      <c r="CV24" s="262" t="e">
        <f aca="false">SUMIF($CP$7:$CP$636,CONCATENATE($CR24,$CV$6),$CG$7:$CG$631)</f>
        <v>#NAME?</v>
      </c>
      <c r="CW24" s="263" t="e">
        <f aca="false">SUMIF($CQ$7:$CQ$636,CONCATENATE($CR24,$CW$6),$CH$7:$CH$631)</f>
        <v>#NAME?</v>
      </c>
      <c r="CX24" s="264" t="e">
        <f aca="false">SUM(CS24:CW24)</f>
        <v>#NAME?</v>
      </c>
      <c r="CZ24" s="255" t="n">
        <f aca="false">CR24</f>
        <v>37257</v>
      </c>
      <c r="DA24" s="261" t="e">
        <f aca="false">SUMIF($CC$7:$CC$1008,$CR24,$CD$7:$CD$1008)</f>
        <v>#NAME?</v>
      </c>
      <c r="DB24" s="262" t="e">
        <f aca="false">SUMIF($CC$7:$CC$1008,$CR24,$CE$7:$CE$1008)</f>
        <v>#NAME?</v>
      </c>
      <c r="DC24" s="262" t="e">
        <f aca="false">SUMIF($CC$7:$CC$1008,$CR24,$CF$7:$CF$1008)</f>
        <v>#NAME?</v>
      </c>
      <c r="DD24" s="262" t="e">
        <f aca="false">SUMIF($CC$7:$CC$1008,$CR24,$CG$7:$CG$1008)</f>
        <v>#NAME?</v>
      </c>
      <c r="DE24" s="263" t="e">
        <f aca="false">SUMIF($CC$7:$CC$1008,$CR24,$CH$7:$CH$1008)</f>
        <v>#NAME?</v>
      </c>
      <c r="DF24" s="264" t="e">
        <f aca="false">SUM(DA24:DE24)</f>
        <v>#NAME?</v>
      </c>
    </row>
    <row r="25" customFormat="false" ht="12" hidden="false" customHeight="true" outlineLevel="0" collapsed="false">
      <c r="A25" s="265" t="s">
        <v>194</v>
      </c>
      <c r="B25" s="0" t="s">
        <v>192</v>
      </c>
      <c r="C25" s="125" t="s">
        <v>200</v>
      </c>
      <c r="D25" s="7" t="s">
        <v>150</v>
      </c>
      <c r="E25" s="7" t="s">
        <v>131</v>
      </c>
      <c r="F25" s="92" t="s">
        <v>136</v>
      </c>
      <c r="G25" s="92" t="n">
        <v>36800</v>
      </c>
      <c r="H25" s="248" t="n">
        <v>620000</v>
      </c>
      <c r="I25" s="7" t="n">
        <v>0.16</v>
      </c>
      <c r="J25" s="124" t="n">
        <f aca="false">VLOOKUP(G25,NGPrices,2,FALSE())</f>
        <v>4.692</v>
      </c>
      <c r="K25" s="125" t="n">
        <f aca="false">HLOOKUP(D25,Prices,VLOOKUP(G25,move_down,2,FALSE()),FALSE())+VLOOKUP(G25,CHANGE,HLOOKUP(D25,CHANGE,2,FALSE()),FALSE())</f>
        <v>0.185</v>
      </c>
      <c r="L25" s="124" t="n">
        <f aca="false">K25+J25</f>
        <v>4.877</v>
      </c>
      <c r="M25" s="126" t="n">
        <f aca="false">VLOOKUP(G25,NGPrices,4,FALSE())</f>
        <v>0.068050789414654</v>
      </c>
      <c r="N25" s="7" t="n">
        <f aca="false">VLOOKUP(G25,NGPrices,3,FALSE())</f>
        <v>0.575</v>
      </c>
      <c r="O25" s="7" t="n">
        <f aca="false">HLOOKUP(D25,VOLS,VLOOKUP(G25,move_down,2,FALSE()),FALSE())</f>
        <v>0.564</v>
      </c>
      <c r="P25" s="249" t="n">
        <f aca="false">HLOOKUP(D25,Correllate,VLOOKUP(G25,CorMove,2,FALSE()),FALSE())</f>
        <v>0.995</v>
      </c>
      <c r="Q25" s="92" t="n">
        <f aca="false">WORKDAY(G25,-2)</f>
        <v>36797</v>
      </c>
      <c r="R25" s="7" t="n">
        <f aca="false">IF(F25="P",0,1)</f>
        <v>1</v>
      </c>
      <c r="S25" s="130" t="e">
        <f aca="false">xSPRDOPT($L25,$J25,$I25,$M25,$O25,$N25,$P25,$Q25-$C$3,$R25,0)</f>
        <v>#NAME?</v>
      </c>
      <c r="T25" s="250" t="e">
        <f aca="false">xSPRDOPT($L25,$J25,$I25,$M25,$O25,$N25,$P25,$Q25-$C$3,$R25,1)*H25</f>
        <v>#NAME?</v>
      </c>
      <c r="U25" s="43" t="e">
        <f aca="false">S25*H25</f>
        <v>#NAME?</v>
      </c>
      <c r="V25" s="250" t="e">
        <f aca="false">xSPRDOPT($L25,$J25,$I25,$M25,$O25,$N25,$P25,$Q25-$C$3,$R25,2)*H25</f>
        <v>#NAME?</v>
      </c>
      <c r="W25" s="250" t="e">
        <f aca="false">+V25+T25</f>
        <v>#NAME?</v>
      </c>
      <c r="X25" s="2" t="str">
        <f aca="false">CONCATENATE(G25,D25)</f>
        <v>36800IF-CGT/APPALAC</v>
      </c>
      <c r="Y25" s="251" t="n">
        <f aca="false">H25/10000</f>
        <v>62</v>
      </c>
      <c r="Z25" s="226" t="e">
        <f aca="false">T25/H25</f>
        <v>#NAME?</v>
      </c>
      <c r="AA25" s="226" t="e">
        <f aca="false">xSPRDOPT($L25,$J25,$I25,$M25,$O25,$N25,$P25,$Q25-$C$3,$R25,3)</f>
        <v>#NAME?</v>
      </c>
      <c r="AB25" s="226" t="e">
        <f aca="false">((xSPRDOPT($L25+AB$5,$J25,$I25,$M25,$O25,$N25,$P25,$Q25-$C$3,$R25,3)*$H25)/10000)/100</f>
        <v>#NAME?</v>
      </c>
      <c r="AC25" s="226" t="e">
        <f aca="false">((xSPRDOPT($L25+$AB$5,$J25,$I25,$M25,$O25,$N25,$P25,$Q25-$C$3,$R25,7)*$H25)/100)</f>
        <v>#NAME?</v>
      </c>
      <c r="AD25" s="226" t="e">
        <f aca="false">(xSPRDOPT($L25+$AB$5,$J25,$I25,$M25,$O25,$N25,$P25,$Q25-$C$3,$R25,9)/365)*$H25</f>
        <v>#NAME?</v>
      </c>
      <c r="AE25" s="0" t="e">
        <f aca="false">CD25</f>
        <v>#NAME?</v>
      </c>
      <c r="AF25" s="226" t="e">
        <f aca="false">((O25/N25)*AH25)+AG25</f>
        <v>#NAME?</v>
      </c>
      <c r="AG25" s="226" t="e">
        <f aca="false">((xSPRDOPT($L25,$J25,$I25,$M25,$O25,$N25,$P25,$Q25-$C$3,$R25,6)*$H25)/100)</f>
        <v>#NAME?</v>
      </c>
      <c r="AH25" s="226" t="e">
        <f aca="false">((xSPRDOPT($L25,$J25,$I25,$M25,$O25,$N25,$P25,$Q25-$C$3,$R25,5)*$H25)/100)</f>
        <v>#NAME?</v>
      </c>
      <c r="AI25" s="226" t="e">
        <f aca="false">(((xSPRDOPT($L25,$J25,$I25,$M25,$O25,$N25,$P25,$Q25-$C$3,$R25,4)*$H25)/10000)/100)-AB25</f>
        <v>#NAME?</v>
      </c>
      <c r="AJ25" s="226"/>
      <c r="AK25" s="226"/>
      <c r="AL25" s="226"/>
      <c r="AM25" s="252"/>
      <c r="AN25" s="208" t="n">
        <f aca="false">EOMONTH(AN24,0)+1</f>
        <v>37288</v>
      </c>
      <c r="AO25" s="134" t="e">
        <f aca="false">SUMIF($X:$X,CONCATENATE($AN25,AO$6),$T:$T)/10000</f>
        <v>#NAME?</v>
      </c>
      <c r="AP25" s="134" t="n">
        <f aca="false">SUMIF($X:$X,CONCATENATE($AN25,AP$6),$T:$T)/10000</f>
        <v>0</v>
      </c>
      <c r="AQ25" s="134" t="n">
        <f aca="false">SUMIF($X:$X,CONCATENATE($AN25,AQ$6),$T:$T)/10000</f>
        <v>0</v>
      </c>
      <c r="AR25" s="134" t="n">
        <f aca="false">SUMIF($X:$X,CONCATENATE($AN25,AR$6),$T:$T)/10000</f>
        <v>0</v>
      </c>
      <c r="AS25" s="134" t="n">
        <f aca="false">SUMIF($X:$X,CONCATENATE($AN25,AS$6),$T:$T)/10000</f>
        <v>0</v>
      </c>
      <c r="AT25" s="134" t="n">
        <f aca="false">SUMIF($X:$X,CONCATENATE($AN25,AT$6),$T:$T)/10000</f>
        <v>0</v>
      </c>
      <c r="AU25" s="134" t="n">
        <f aca="false">SUMIF($X:$X,CONCATENATE($AN25,AU$6),$T:$T)/10000</f>
        <v>0</v>
      </c>
      <c r="AV25" s="134" t="n">
        <f aca="false">SUMIF($X:$X,CONCATENATE($AN25,AV$6),$T:$T)/10000</f>
        <v>0</v>
      </c>
      <c r="AW25" s="134" t="n">
        <f aca="false">SUMIF($X:$X,CONCATENATE($AN25,AW$6),$T:$T)/10000</f>
        <v>0</v>
      </c>
      <c r="AX25" s="134" t="n">
        <f aca="false">SUMIF($X:$X,CONCATENATE($AN25,AX$6),$T:$T)/10000</f>
        <v>0</v>
      </c>
      <c r="AY25" s="134" t="n">
        <f aca="false">SUMIF($X:$X,CONCATENATE($AN25,AY$6),$T:$T)/10000</f>
        <v>0</v>
      </c>
      <c r="AZ25" s="134" t="n">
        <f aca="false">SUMIF($X:$X,CONCATENATE($AN25,AZ$6),$T:$T)/10000</f>
        <v>0</v>
      </c>
      <c r="BA25" s="135" t="n">
        <f aca="false">SUMIF($X:$X,CONCATENATE($AN25,BA$6),$T:$T)/10000</f>
        <v>0</v>
      </c>
      <c r="BB25" s="208" t="n">
        <f aca="false">EOMONTH(BB24,0)+1</f>
        <v>37288</v>
      </c>
      <c r="BC25" s="135" t="e">
        <f aca="false">SUM(AO25:BA25)</f>
        <v>#NAME?</v>
      </c>
      <c r="BD25" s="2"/>
      <c r="BE25" s="208" t="n">
        <f aca="false">EOMONTH(BE24,0)+1</f>
        <v>37288</v>
      </c>
      <c r="BF25" s="134" t="e">
        <f aca="false">SUMIF($X:$X,CONCATENATE($AN25,BF$6),$W:$W)</f>
        <v>#NAME?</v>
      </c>
      <c r="BG25" s="134" t="n">
        <f aca="false">SUMIF($X:$X,CONCATENATE($AN25,BG$6),$W:$W)</f>
        <v>0</v>
      </c>
      <c r="BH25" s="134" t="n">
        <f aca="false">SUMIF($X:$X,CONCATENATE($AN25,BH$6),$W:$W)</f>
        <v>0</v>
      </c>
      <c r="BI25" s="134" t="n">
        <f aca="false">SUMIF($X:$X,CONCATENATE($AN25,BI$6),$W:$W)</f>
        <v>0</v>
      </c>
      <c r="BJ25" s="134" t="n">
        <f aca="false">SUMIF($X:$X,CONCATENATE($AN25,BJ$6),$W:$W)</f>
        <v>0</v>
      </c>
      <c r="BK25" s="134" t="n">
        <f aca="false">SUMIF($X:$X,CONCATENATE($AN25,BK$6),$W:$W)</f>
        <v>0</v>
      </c>
      <c r="BL25" s="134" t="n">
        <f aca="false">SUMIF($X:$X,CONCATENATE($AN25,BL$6),$W:$W)</f>
        <v>0</v>
      </c>
      <c r="BM25" s="134" t="n">
        <f aca="false">SUMIF($X:$X,CONCATENATE($AN25,BM$6),$W:$W)</f>
        <v>0</v>
      </c>
      <c r="BN25" s="134" t="n">
        <f aca="false">SUMIF($X:$X,CONCATENATE($AN25,BN$6),$W:$W)</f>
        <v>0</v>
      </c>
      <c r="BO25" s="134" t="n">
        <f aca="false">SUMIF($X:$X,CONCATENATE($AN25,BO$6),$W:$W)</f>
        <v>0</v>
      </c>
      <c r="BP25" s="134" t="n">
        <f aca="false">SUMIF($X:$X,CONCATENATE($AN25,BP$6),$W:$W)</f>
        <v>0</v>
      </c>
      <c r="BQ25" s="134" t="n">
        <f aca="false">SUMIF($X:$X,CONCATENATE($AN25,BQ$6),$W:$W)</f>
        <v>0</v>
      </c>
      <c r="BR25" s="135" t="n">
        <f aca="false">SUMIF($X:$X,CONCATENATE($AN25,BR$6),$W:$W)</f>
        <v>0</v>
      </c>
      <c r="BS25" s="208" t="n">
        <f aca="false">EOMONTH(BS24,0)+1</f>
        <v>37288</v>
      </c>
      <c r="BT25" s="135" t="e">
        <f aca="false">SUM(BF25:BR25)</f>
        <v>#NAME?</v>
      </c>
      <c r="BU25" s="260" t="e">
        <f aca="false">BT25/10000</f>
        <v>#NAME?</v>
      </c>
      <c r="BV25" s="2"/>
      <c r="BW25" s="2"/>
      <c r="BX25" s="2"/>
      <c r="BY25" s="2"/>
      <c r="BZ25" s="2"/>
      <c r="CA25" s="2"/>
      <c r="CB25" s="2"/>
      <c r="CC25" s="182" t="n">
        <f aca="false">G25</f>
        <v>36800</v>
      </c>
      <c r="CD25" s="253" t="e">
        <f aca="false">xSPRDOPT((VLOOKUP(G25,NGPrices,2,FALSE())+HLOOKUP(D25,Prices,VLOOKUP(G25,move_down,2,FALSE()),FALSE())),VLOOKUP(G25,NGPrices,2,FALSE()),I25,VLOOKUP(G25,NGPREVPRICES,4,FALSE()),HLOOKUP(D25,PREVVOLS,VLOOKUP(G25,MOVE_DOWN2,2,FALSE()),FALSE()),VLOOKUP(G25,NGPREVPRICES,3,FALSE()),HLOOKUP(D25,Correllate,VLOOKUP(G25,CorMove,2,FALSE()),FALSE()),Q25-$CD$3,R25,$CD$5)*H25-CJ25</f>
        <v>#NAME?</v>
      </c>
      <c r="CE25" s="253" t="e">
        <f aca="false">xSPRDOPT((VLOOKUP(G25,NGPREVPRICES,2,FALSE())+HLOOKUP(D25,PREVCURVES,VLOOKUP(G25,MOVE_DOWN2,2,FALSE()),FALSE())),VLOOKUP(G25,NGPREVPRICES,2,FALSE()),CK25,VLOOKUP(G25,NGPrices,4,FALSE()),HLOOKUP(D25,PREVVOLS,VLOOKUP(G25,MOVE_DOWN2,2,FALSE()),FALSE()),VLOOKUP(G25,NGPREVPRICES,3,FALSE()),HLOOKUP(D25,Correllate,VLOOKUP(G25,CorMove,2,FALSE()),FALSE()),Q25-$CD$3,R25,$CJ$5)*H25-CJ25</f>
        <v>#NAME?</v>
      </c>
      <c r="CF25" s="132" t="e">
        <f aca="false">(CJ25/VLOOKUP(CC25,discount,3,FALSE()))-(CJ25/VLOOKUP(CC25,discount,2,FALSE()))</f>
        <v>#NAME?</v>
      </c>
      <c r="CG25" s="253" t="e">
        <f aca="false">xSPRDOPT((VLOOKUP(G25,NGPREVPRICES,2,FALSE())+HLOOKUP(D25,PREVCURVES,VLOOKUP(G25,MOVE_DOWN2,2,FALSE()),FALSE())),VLOOKUP(G25,NGPREVPRICES,2,FALSE()),CK25,VLOOKUP(G25,NGPREVPRICES,4,FALSE()),HLOOKUP(D25,VOLS,VLOOKUP(G25,move_down,2,FALSE()),FALSE()),VLOOKUP(G25,NGPrices,3,FALSE()),HLOOKUP(D25,Correllate,VLOOKUP(G25,CorMove,2,FALSE()),FALSE()),Q25-$CD$3,R25,$CJ$5)*H25-CJ25</f>
        <v>#NAME?</v>
      </c>
      <c r="CH25" s="253" t="e">
        <f aca="false">xSPRDOPT((VLOOKUP(G25,NGPREVPRICES,2,FALSE())+HLOOKUP(D25,PREVCURVES,VLOOKUP(G25,MOVE_DOWN2,2,FALSE()),FALSE())),VLOOKUP(G25,NGPREVPRICES,2,FALSE()),CK25,VLOOKUP(G25,NGPREVPRICES,4,FALSE()),HLOOKUP(D25,PREVVOLS,VLOOKUP(G25,MOVE_DOWN2,2,FALSE()),FALSE()),VLOOKUP(G25,NGPREVPRICES,3,FALSE()),HLOOKUP(D25,Correllate,VLOOKUP(G25,CorMove,2,FALSE()),FALSE()),Q25-$C$3,R25,$CJ$5)*H25-CJ25</f>
        <v>#NAME?</v>
      </c>
      <c r="CI25" s="253" t="e">
        <f aca="false">SUM(CD25:CH25)</f>
        <v>#NAME?</v>
      </c>
      <c r="CJ25" s="253" t="e">
        <f aca="false">xSPRDOPT((VLOOKUP(G25,NGPREVPRICES,2,FALSE())+HLOOKUP(D25,PREVCURVES,VLOOKUP(G25,MOVE_DOWN2,2,FALSE()),FALSE())),VLOOKUP(G25,NGPREVPRICES,2,FALSE()),CK25,VLOOKUP(G25,NGPREVPRICES,4,FALSE()),HLOOKUP(D25,PREVVOLS,VLOOKUP(G25,MOVE_DOWN2,2,FALSE()),FALSE()),VLOOKUP(G25,NGPREVPRICES,3,FALSE()),HLOOKUP(D25,Correllate,VLOOKUP(G25,CorMove,2,FALSE()),FALSE()),Q25-$CD$3,R25,$CJ$5)*H25</f>
        <v>#NAME?</v>
      </c>
      <c r="CK25" s="254" t="n">
        <f aca="false">I25</f>
        <v>0.16</v>
      </c>
      <c r="CM25" s="0" t="str">
        <f aca="false">CONCATENATE(CC25,$CD$6)</f>
        <v>36800Curve Shift/Gamma</v>
      </c>
      <c r="CN25" s="0" t="str">
        <f aca="false">CONCATENATE($CC25,$CE$6)</f>
        <v>36800Rho</v>
      </c>
      <c r="CO25" s="0" t="str">
        <f aca="false">CONCATENATE($CC25,$CF$6)</f>
        <v>36800Drift</v>
      </c>
      <c r="CP25" s="0" t="str">
        <f aca="false">CONCATENATE($CC25,$CG$6)</f>
        <v>36800Vega</v>
      </c>
      <c r="CQ25" s="0" t="str">
        <f aca="false">CONCATENATE($CC25,$CH$6)</f>
        <v>36800Theta</v>
      </c>
      <c r="CR25" s="255" t="n">
        <f aca="false">EOMONTH(CR24,0)+1</f>
        <v>37288</v>
      </c>
      <c r="CS25" s="261" t="e">
        <f aca="false">SUMIF($CM$7:$CM$631,CONCATENATE($CR25,$CS$6),$CD$7:$CD$631)</f>
        <v>#NAME?</v>
      </c>
      <c r="CT25" s="262" t="e">
        <f aca="false">SUMIF($CN$7:$CN$636,CONCATENATE($CR25,$CT$6),$CE$7:$CE$631)</f>
        <v>#NAME?</v>
      </c>
      <c r="CU25" s="262" t="e">
        <f aca="false">SUMIF($CO$7:$CO$636,CONCATENATE($CR25,$CU$6),$CF$7:$CF$631)</f>
        <v>#NAME?</v>
      </c>
      <c r="CV25" s="262" t="e">
        <f aca="false">SUMIF($CP$7:$CP$636,CONCATENATE($CR25,$CV$6),$CG$7:$CG$631)</f>
        <v>#NAME?</v>
      </c>
      <c r="CW25" s="263" t="e">
        <f aca="false">SUMIF($CQ$7:$CQ$636,CONCATENATE($CR25,$CW$6),$CH$7:$CH$631)</f>
        <v>#NAME?</v>
      </c>
      <c r="CX25" s="264" t="e">
        <f aca="false">SUM(CS25:CW25)</f>
        <v>#NAME?</v>
      </c>
      <c r="CZ25" s="255" t="n">
        <f aca="false">CR25</f>
        <v>37288</v>
      </c>
      <c r="DA25" s="261" t="e">
        <f aca="false">SUMIF($CC$7:$CC$1008,$CR25,$CD$7:$CD$1008)</f>
        <v>#NAME?</v>
      </c>
      <c r="DB25" s="262" t="e">
        <f aca="false">SUMIF($CC$7:$CC$1008,$CR25,$CE$7:$CE$1008)</f>
        <v>#NAME?</v>
      </c>
      <c r="DC25" s="262" t="e">
        <f aca="false">SUMIF($CC$7:$CC$1008,$CR25,$CF$7:$CF$1008)</f>
        <v>#NAME?</v>
      </c>
      <c r="DD25" s="262" t="e">
        <f aca="false">SUMIF($CC$7:$CC$1008,$CR25,$CG$7:$CG$1008)</f>
        <v>#NAME?</v>
      </c>
      <c r="DE25" s="263" t="e">
        <f aca="false">SUMIF($CC$7:$CC$1008,$CR25,$CH$7:$CH$1008)</f>
        <v>#NAME?</v>
      </c>
      <c r="DF25" s="264" t="e">
        <f aca="false">SUM(DA25:DE25)</f>
        <v>#NAME?</v>
      </c>
    </row>
    <row r="26" customFormat="false" ht="12" hidden="false" customHeight="true" outlineLevel="0" collapsed="false">
      <c r="A26" s="265" t="s">
        <v>194</v>
      </c>
      <c r="B26" s="0" t="s">
        <v>192</v>
      </c>
      <c r="C26" s="125" t="s">
        <v>200</v>
      </c>
      <c r="D26" s="7" t="s">
        <v>150</v>
      </c>
      <c r="E26" s="7" t="s">
        <v>131</v>
      </c>
      <c r="F26" s="92" t="s">
        <v>136</v>
      </c>
      <c r="G26" s="92" t="n">
        <v>36770</v>
      </c>
      <c r="H26" s="248" t="n">
        <v>600000</v>
      </c>
      <c r="I26" s="7" t="n">
        <v>0.16</v>
      </c>
      <c r="J26" s="124" t="n">
        <f aca="false">VLOOKUP(G26,NGPrices,2,FALSE())</f>
        <v>4.685</v>
      </c>
      <c r="K26" s="125" t="n">
        <f aca="false">HLOOKUP(D26,Prices,VLOOKUP(G26,move_down,2,FALSE()),FALSE())+VLOOKUP(G26,CHANGE,HLOOKUP(D26,CHANGE,2,FALSE()),FALSE())</f>
        <v>0.17</v>
      </c>
      <c r="L26" s="124" t="n">
        <f aca="false">K26+J26</f>
        <v>4.855</v>
      </c>
      <c r="M26" s="126" t="n">
        <f aca="false">VLOOKUP(G26,NGPrices,4,FALSE())</f>
        <v>0.067216196212185</v>
      </c>
      <c r="N26" s="7" t="n">
        <f aca="false">VLOOKUP(G26,NGPrices,3,FALSE())</f>
        <v>0.4</v>
      </c>
      <c r="O26" s="7" t="n">
        <f aca="false">HLOOKUP(D26,VOLS,VLOOKUP(G26,move_down,2,FALSE()),FALSE())</f>
        <v>0.392</v>
      </c>
      <c r="P26" s="249" t="n">
        <f aca="false">HLOOKUP(D26,Correllate,VLOOKUP(G26,CorMove,2,FALSE()),FALSE())</f>
        <v>0.995</v>
      </c>
      <c r="Q26" s="92" t="n">
        <f aca="false">WORKDAY(G26,-2)</f>
        <v>36768</v>
      </c>
      <c r="R26" s="7" t="n">
        <f aca="false">IF(F26="P",0,1)</f>
        <v>1</v>
      </c>
      <c r="S26" s="130" t="e">
        <f aca="false">xSPRDOPT($L26,$J26,$I26,$M26,$O26,$N26,$P26,$Q26-$C$3,$R26,0)</f>
        <v>#NAME?</v>
      </c>
      <c r="T26" s="250" t="e">
        <f aca="false">xSPRDOPT($L26,$J26,$I26,$M26,$O26,$N26,$P26,$Q26-$C$3,$R26,1)*H26</f>
        <v>#NAME?</v>
      </c>
      <c r="U26" s="43" t="e">
        <f aca="false">S26*H26</f>
        <v>#NAME?</v>
      </c>
      <c r="V26" s="250" t="e">
        <f aca="false">xSPRDOPT($L26,$J26,$I26,$M26,$O26,$N26,$P26,$Q26-$C$3,$R26,2)*H26</f>
        <v>#NAME?</v>
      </c>
      <c r="W26" s="250" t="e">
        <f aca="false">+V26+T26</f>
        <v>#NAME?</v>
      </c>
      <c r="X26" s="2" t="str">
        <f aca="false">CONCATENATE(G26,D26)</f>
        <v>36770IF-CGT/APPALAC</v>
      </c>
      <c r="Y26" s="251" t="n">
        <f aca="false">H26/10000</f>
        <v>60</v>
      </c>
      <c r="Z26" s="226" t="e">
        <f aca="false">T26/H26</f>
        <v>#NAME?</v>
      </c>
      <c r="AA26" s="226" t="e">
        <f aca="false">xSPRDOPT($L26,$J26,$I26,$M26,$O26,$N26,$P26,$Q26-$C$3,$R26,3)</f>
        <v>#NAME?</v>
      </c>
      <c r="AB26" s="226" t="e">
        <f aca="false">((xSPRDOPT($L26+AB$5,$J26,$I26,$M26,$O26,$N26,$P26,$Q26-$C$3,$R26,3)*$H26)/10000)/100</f>
        <v>#NAME?</v>
      </c>
      <c r="AC26" s="226" t="e">
        <f aca="false">((xSPRDOPT($L26+$AB$5,$J26,$I26,$M26,$O26,$N26,$P26,$Q26-$C$3,$R26,7)*$H26)/100)</f>
        <v>#NAME?</v>
      </c>
      <c r="AD26" s="226" t="e">
        <f aca="false">(xSPRDOPT($L26+$AB$5,$J26,$I26,$M26,$O26,$N26,$P26,$Q26-$C$3,$R26,9)/365)*$H26</f>
        <v>#NAME?</v>
      </c>
      <c r="AE26" s="0" t="e">
        <f aca="false">CD26</f>
        <v>#NAME?</v>
      </c>
      <c r="AF26" s="226" t="e">
        <f aca="false">((O26/N26)*AH26)+AG26</f>
        <v>#NAME?</v>
      </c>
      <c r="AG26" s="226" t="e">
        <f aca="false">((xSPRDOPT($L26,$J26,$I26,$M26,$O26,$N26,$P26,$Q26-$C$3,$R26,6)*$H26)/100)</f>
        <v>#NAME?</v>
      </c>
      <c r="AH26" s="226" t="e">
        <f aca="false">((xSPRDOPT($L26,$J26,$I26,$M26,$O26,$N26,$P26,$Q26-$C$3,$R26,5)*$H26)/100)</f>
        <v>#NAME?</v>
      </c>
      <c r="AI26" s="226" t="e">
        <f aca="false">(((xSPRDOPT($L26,$J26,$I26,$M26,$O26,$N26,$P26,$Q26-$C$3,$R26,4)*$H26)/10000)/100)-AB26</f>
        <v>#NAME?</v>
      </c>
      <c r="AJ26" s="226"/>
      <c r="AK26" s="226"/>
      <c r="AL26" s="226"/>
      <c r="AM26" s="252"/>
      <c r="AN26" s="208" t="n">
        <f aca="false">EOMONTH(AN25,0)+1</f>
        <v>37316</v>
      </c>
      <c r="AO26" s="134" t="e">
        <f aca="false">SUMIF($X:$X,CONCATENATE($AN26,AO$6),$T:$T)/10000</f>
        <v>#NAME?</v>
      </c>
      <c r="AP26" s="134" t="n">
        <f aca="false">SUMIF($X:$X,CONCATENATE($AN26,AP$6),$T:$T)/10000</f>
        <v>0</v>
      </c>
      <c r="AQ26" s="134" t="n">
        <f aca="false">SUMIF($X:$X,CONCATENATE($AN26,AQ$6),$T:$T)/10000</f>
        <v>0</v>
      </c>
      <c r="AR26" s="134" t="n">
        <f aca="false">SUMIF($X:$X,CONCATENATE($AN26,AR$6),$T:$T)/10000</f>
        <v>0</v>
      </c>
      <c r="AS26" s="134" t="n">
        <f aca="false">SUMIF($X:$X,CONCATENATE($AN26,AS$6),$T:$T)/10000</f>
        <v>0</v>
      </c>
      <c r="AT26" s="134" t="n">
        <f aca="false">SUMIF($X:$X,CONCATENATE($AN26,AT$6),$T:$T)/10000</f>
        <v>0</v>
      </c>
      <c r="AU26" s="134" t="n">
        <f aca="false">SUMIF($X:$X,CONCATENATE($AN26,AU$6),$T:$T)/10000</f>
        <v>0</v>
      </c>
      <c r="AV26" s="134" t="n">
        <f aca="false">SUMIF($X:$X,CONCATENATE($AN26,AV$6),$T:$T)/10000</f>
        <v>0</v>
      </c>
      <c r="AW26" s="134" t="n">
        <f aca="false">SUMIF($X:$X,CONCATENATE($AN26,AW$6),$T:$T)/10000</f>
        <v>0</v>
      </c>
      <c r="AX26" s="134" t="n">
        <f aca="false">SUMIF($X:$X,CONCATENATE($AN26,AX$6),$T:$T)/10000</f>
        <v>0</v>
      </c>
      <c r="AY26" s="134" t="n">
        <f aca="false">SUMIF($X:$X,CONCATENATE($AN26,AY$6),$T:$T)/10000</f>
        <v>0</v>
      </c>
      <c r="AZ26" s="134" t="n">
        <f aca="false">SUMIF($X:$X,CONCATENATE($AN26,AZ$6),$T:$T)/10000</f>
        <v>0</v>
      </c>
      <c r="BA26" s="135" t="n">
        <f aca="false">SUMIF($X:$X,CONCATENATE($AN26,BA$6),$T:$T)/10000</f>
        <v>0</v>
      </c>
      <c r="BB26" s="208" t="n">
        <f aca="false">EOMONTH(BB25,0)+1</f>
        <v>37316</v>
      </c>
      <c r="BC26" s="135" t="e">
        <f aca="false">SUM(AO26:BA26)</f>
        <v>#NAME?</v>
      </c>
      <c r="BD26" s="2"/>
      <c r="BE26" s="208" t="n">
        <f aca="false">EOMONTH(BE25,0)+1</f>
        <v>37316</v>
      </c>
      <c r="BF26" s="134" t="e">
        <f aca="false">SUMIF($X:$X,CONCATENATE($AN26,BF$6),$W:$W)</f>
        <v>#NAME?</v>
      </c>
      <c r="BG26" s="134" t="n">
        <f aca="false">SUMIF($X:$X,CONCATENATE($AN26,BG$6),$W:$W)</f>
        <v>0</v>
      </c>
      <c r="BH26" s="134" t="n">
        <f aca="false">SUMIF($X:$X,CONCATENATE($AN26,BH$6),$W:$W)</f>
        <v>0</v>
      </c>
      <c r="BI26" s="134" t="n">
        <f aca="false">SUMIF($X:$X,CONCATENATE($AN26,BI$6),$W:$W)</f>
        <v>0</v>
      </c>
      <c r="BJ26" s="134" t="n">
        <f aca="false">SUMIF($X:$X,CONCATENATE($AN26,BJ$6),$W:$W)</f>
        <v>0</v>
      </c>
      <c r="BK26" s="134" t="n">
        <f aca="false">SUMIF($X:$X,CONCATENATE($AN26,BK$6),$W:$W)</f>
        <v>0</v>
      </c>
      <c r="BL26" s="134" t="n">
        <f aca="false">SUMIF($X:$X,CONCATENATE($AN26,BL$6),$W:$W)</f>
        <v>0</v>
      </c>
      <c r="BM26" s="134" t="n">
        <f aca="false">SUMIF($X:$X,CONCATENATE($AN26,BM$6),$W:$W)</f>
        <v>0</v>
      </c>
      <c r="BN26" s="134" t="n">
        <f aca="false">SUMIF($X:$X,CONCATENATE($AN26,BN$6),$W:$W)</f>
        <v>0</v>
      </c>
      <c r="BO26" s="134" t="n">
        <f aca="false">SUMIF($X:$X,CONCATENATE($AN26,BO$6),$W:$W)</f>
        <v>0</v>
      </c>
      <c r="BP26" s="134" t="n">
        <f aca="false">SUMIF($X:$X,CONCATENATE($AN26,BP$6),$W:$W)</f>
        <v>0</v>
      </c>
      <c r="BQ26" s="134" t="n">
        <f aca="false">SUMIF($X:$X,CONCATENATE($AN26,BQ$6),$W:$W)</f>
        <v>0</v>
      </c>
      <c r="BR26" s="135" t="n">
        <f aca="false">SUMIF($X:$X,CONCATENATE($AN26,BR$6),$W:$W)</f>
        <v>0</v>
      </c>
      <c r="BS26" s="208" t="n">
        <f aca="false">EOMONTH(BS25,0)+1</f>
        <v>37316</v>
      </c>
      <c r="BT26" s="135" t="e">
        <f aca="false">SUM(BF26:BR26)</f>
        <v>#NAME?</v>
      </c>
      <c r="BU26" s="260" t="e">
        <f aca="false">BT26/10000</f>
        <v>#NAME?</v>
      </c>
      <c r="BV26" s="2"/>
      <c r="BW26" s="2"/>
      <c r="BX26" s="2"/>
      <c r="BY26" s="2"/>
      <c r="BZ26" s="2"/>
      <c r="CA26" s="2"/>
      <c r="CB26" s="2"/>
      <c r="CC26" s="182" t="n">
        <f aca="false">G26</f>
        <v>36770</v>
      </c>
      <c r="CD26" s="253" t="e">
        <f aca="false">xSPRDOPT((VLOOKUP(G26,NGPrices,2,FALSE())+HLOOKUP(D26,Prices,VLOOKUP(G26,move_down,2,FALSE()),FALSE())),VLOOKUP(G26,NGPrices,2,FALSE()),I26,VLOOKUP(G26,NGPREVPRICES,4,FALSE()),HLOOKUP(D26,PREVVOLS,VLOOKUP(G26,MOVE_DOWN2,2,FALSE()),FALSE()),VLOOKUP(G26,NGPREVPRICES,3,FALSE()),HLOOKUP(D26,Correllate,VLOOKUP(G26,CorMove,2,FALSE()),FALSE()),Q26-$CD$3,R26,$CD$5)*H26-CJ26</f>
        <v>#NAME?</v>
      </c>
      <c r="CE26" s="253" t="e">
        <f aca="false">xSPRDOPT((VLOOKUP(G26,NGPREVPRICES,2,FALSE())+HLOOKUP(D26,PREVCURVES,VLOOKUP(G26,MOVE_DOWN2,2,FALSE()),FALSE())),VLOOKUP(G26,NGPREVPRICES,2,FALSE()),CK26,VLOOKUP(G26,NGPrices,4,FALSE()),HLOOKUP(D26,PREVVOLS,VLOOKUP(G26,MOVE_DOWN2,2,FALSE()),FALSE()),VLOOKUP(G26,NGPREVPRICES,3,FALSE()),HLOOKUP(D26,Correllate,VLOOKUP(G26,CorMove,2,FALSE()),FALSE()),Q26-$CD$3,R26,$CJ$5)*H26-CJ26</f>
        <v>#NAME?</v>
      </c>
      <c r="CF26" s="132" t="e">
        <f aca="false">(CJ26/VLOOKUP(CC26,discount,3,FALSE()))-(CJ26/VLOOKUP(CC26,discount,2,FALSE()))</f>
        <v>#NAME?</v>
      </c>
      <c r="CG26" s="253" t="e">
        <f aca="false">xSPRDOPT((VLOOKUP(G26,NGPREVPRICES,2,FALSE())+HLOOKUP(D26,PREVCURVES,VLOOKUP(G26,MOVE_DOWN2,2,FALSE()),FALSE())),VLOOKUP(G26,NGPREVPRICES,2,FALSE()),CK26,VLOOKUP(G26,NGPREVPRICES,4,FALSE()),HLOOKUP(D26,VOLS,VLOOKUP(G26,move_down,2,FALSE()),FALSE()),VLOOKUP(G26,NGPrices,3,FALSE()),HLOOKUP(D26,Correllate,VLOOKUP(G26,CorMove,2,FALSE()),FALSE()),Q26-$CD$3,R26,$CJ$5)*H26-CJ26</f>
        <v>#NAME?</v>
      </c>
      <c r="CH26" s="253" t="e">
        <f aca="false">xSPRDOPT((VLOOKUP(G26,NGPREVPRICES,2,FALSE())+HLOOKUP(D26,PREVCURVES,VLOOKUP(G26,MOVE_DOWN2,2,FALSE()),FALSE())),VLOOKUP(G26,NGPREVPRICES,2,FALSE()),CK26,VLOOKUP(G26,NGPREVPRICES,4,FALSE()),HLOOKUP(D26,PREVVOLS,VLOOKUP(G26,MOVE_DOWN2,2,FALSE()),FALSE()),VLOOKUP(G26,NGPREVPRICES,3,FALSE()),HLOOKUP(D26,Correllate,VLOOKUP(G26,CorMove,2,FALSE()),FALSE()),Q26-$C$3,R26,$CJ$5)*H26-CJ26</f>
        <v>#NAME?</v>
      </c>
      <c r="CI26" s="253" t="e">
        <f aca="false">SUM(CD26:CH26)</f>
        <v>#NAME?</v>
      </c>
      <c r="CJ26" s="253" t="e">
        <f aca="false">xSPRDOPT((VLOOKUP(G26,NGPREVPRICES,2,FALSE())+HLOOKUP(D26,PREVCURVES,VLOOKUP(G26,MOVE_DOWN2,2,FALSE()),FALSE())),VLOOKUP(G26,NGPREVPRICES,2,FALSE()),CK26,VLOOKUP(G26,NGPREVPRICES,4,FALSE()),HLOOKUP(D26,PREVVOLS,VLOOKUP(G26,MOVE_DOWN2,2,FALSE()),FALSE()),VLOOKUP(G26,NGPREVPRICES,3,FALSE()),HLOOKUP(D26,Correllate,VLOOKUP(G26,CorMove,2,FALSE()),FALSE()),Q26-$CD$3,R26,$CJ$5)*H26</f>
        <v>#NAME?</v>
      </c>
      <c r="CK26" s="254" t="n">
        <f aca="false">I26</f>
        <v>0.16</v>
      </c>
      <c r="CM26" s="0" t="str">
        <f aca="false">CONCATENATE(CC26,$CD$6)</f>
        <v>36770Curve Shift/Gamma</v>
      </c>
      <c r="CN26" s="0" t="str">
        <f aca="false">CONCATENATE($CC26,$CE$6)</f>
        <v>36770Rho</v>
      </c>
      <c r="CO26" s="0" t="str">
        <f aca="false">CONCATENATE($CC26,$CF$6)</f>
        <v>36770Drift</v>
      </c>
      <c r="CP26" s="0" t="str">
        <f aca="false">CONCATENATE($CC26,$CG$6)</f>
        <v>36770Vega</v>
      </c>
      <c r="CQ26" s="0" t="str">
        <f aca="false">CONCATENATE($CC26,$CH$6)</f>
        <v>36770Theta</v>
      </c>
      <c r="CR26" s="255" t="n">
        <f aca="false">EOMONTH(CR25,0)+1</f>
        <v>37316</v>
      </c>
      <c r="CS26" s="261" t="e">
        <f aca="false">SUMIF($CM$7:$CM$631,CONCATENATE($CR26,$CS$6),$CD$7:$CD$631)</f>
        <v>#NAME?</v>
      </c>
      <c r="CT26" s="262" t="e">
        <f aca="false">SUMIF($CN$7:$CN$636,CONCATENATE($CR26,$CT$6),$CE$7:$CE$631)</f>
        <v>#NAME?</v>
      </c>
      <c r="CU26" s="262" t="e">
        <f aca="false">SUMIF($CO$7:$CO$636,CONCATENATE($CR26,$CU$6),$CF$7:$CF$631)</f>
        <v>#NAME?</v>
      </c>
      <c r="CV26" s="262" t="e">
        <f aca="false">SUMIF($CP$7:$CP$636,CONCATENATE($CR26,$CV$6),$CG$7:$CG$631)</f>
        <v>#NAME?</v>
      </c>
      <c r="CW26" s="263" t="e">
        <f aca="false">SUMIF($CQ$7:$CQ$636,CONCATENATE($CR26,$CW$6),$CH$7:$CH$631)</f>
        <v>#NAME?</v>
      </c>
      <c r="CX26" s="264" t="e">
        <f aca="false">SUM(CS26:CW26)</f>
        <v>#NAME?</v>
      </c>
      <c r="CZ26" s="255" t="n">
        <f aca="false">CR26</f>
        <v>37316</v>
      </c>
      <c r="DA26" s="261" t="e">
        <f aca="false">SUMIF($CC$7:$CC$1008,$CR26,$CD$7:$CD$1008)</f>
        <v>#NAME?</v>
      </c>
      <c r="DB26" s="262" t="e">
        <f aca="false">SUMIF($CC$7:$CC$1008,$CR26,$CE$7:$CE$1008)</f>
        <v>#NAME?</v>
      </c>
      <c r="DC26" s="262" t="e">
        <f aca="false">SUMIF($CC$7:$CC$1008,$CR26,$CF$7:$CF$1008)</f>
        <v>#NAME?</v>
      </c>
      <c r="DD26" s="262" t="e">
        <f aca="false">SUMIF($CC$7:$CC$1008,$CR26,$CG$7:$CG$1008)</f>
        <v>#NAME?</v>
      </c>
      <c r="DE26" s="263" t="e">
        <f aca="false">SUMIF($CC$7:$CC$1008,$CR26,$CH$7:$CH$1008)</f>
        <v>#NAME?</v>
      </c>
      <c r="DF26" s="264" t="e">
        <f aca="false">SUM(DA26:DE26)</f>
        <v>#NAME?</v>
      </c>
    </row>
    <row r="27" customFormat="false" ht="12" hidden="false" customHeight="true" outlineLevel="0" collapsed="false">
      <c r="A27" s="17" t="s">
        <v>201</v>
      </c>
      <c r="B27" s="0" t="s">
        <v>202</v>
      </c>
      <c r="C27" s="0" t="s">
        <v>203</v>
      </c>
      <c r="D27" s="7" t="s">
        <v>150</v>
      </c>
      <c r="E27" s="7" t="s">
        <v>131</v>
      </c>
      <c r="F27" s="92" t="s">
        <v>136</v>
      </c>
      <c r="G27" s="92" t="n">
        <v>36800</v>
      </c>
      <c r="H27" s="248" t="n">
        <v>310000</v>
      </c>
      <c r="I27" s="0" t="n">
        <v>0.16</v>
      </c>
      <c r="J27" s="124" t="n">
        <f aca="false">VLOOKUP(G27,NGPrices,2,FALSE())</f>
        <v>4.692</v>
      </c>
      <c r="K27" s="125" t="n">
        <f aca="false">HLOOKUP(D27,Prices,VLOOKUP(G27,move_down,2,FALSE()),FALSE())+VLOOKUP(G27,CHANGE,HLOOKUP(D27,CHANGE,2,FALSE()),FALSE())</f>
        <v>0.185</v>
      </c>
      <c r="L27" s="124" t="n">
        <f aca="false">K27+J27</f>
        <v>4.877</v>
      </c>
      <c r="M27" s="126" t="n">
        <f aca="false">VLOOKUP(G27,NGPrices,4,FALSE())</f>
        <v>0.068050789414654</v>
      </c>
      <c r="N27" s="7" t="n">
        <f aca="false">VLOOKUP(G27,NGPrices,3,FALSE())</f>
        <v>0.575</v>
      </c>
      <c r="O27" s="7" t="n">
        <f aca="false">HLOOKUP(D27,VOLS,VLOOKUP(G27,move_down,2,FALSE()),FALSE())</f>
        <v>0.564</v>
      </c>
      <c r="P27" s="249" t="n">
        <f aca="false">HLOOKUP(D27,Correllate,VLOOKUP(G27,CorMove,2,FALSE()),FALSE())</f>
        <v>0.995</v>
      </c>
      <c r="Q27" s="92" t="n">
        <f aca="false">WORKDAY(G27,-2)</f>
        <v>36797</v>
      </c>
      <c r="R27" s="7" t="n">
        <f aca="false">IF(F27="P",0,1)</f>
        <v>1</v>
      </c>
      <c r="S27" s="130" t="e">
        <f aca="false">xSPRDOPT($L27,$J27,$I27,$M27,$O27,$N27,$P27,$Q27-$C$3,$R27,0)</f>
        <v>#NAME?</v>
      </c>
      <c r="T27" s="250" t="e">
        <f aca="false">xSPRDOPT($L27,$J27,$I27,$M27,$O27,$N27,$P27,$Q27-$C$3,$R27,1)*H27</f>
        <v>#NAME?</v>
      </c>
      <c r="U27" s="43" t="e">
        <f aca="false">S27*H27</f>
        <v>#NAME?</v>
      </c>
      <c r="V27" s="250" t="e">
        <f aca="false">xSPRDOPT($L27,$J27,$I27,$M27,$O27,$N27,$P27,$Q27-$C$3,$R27,2)*H27</f>
        <v>#NAME?</v>
      </c>
      <c r="W27" s="250" t="e">
        <f aca="false">+V27+T27</f>
        <v>#NAME?</v>
      </c>
      <c r="X27" s="2" t="str">
        <f aca="false">CONCATENATE(G27,D27)</f>
        <v>36800IF-CGT/APPALAC</v>
      </c>
      <c r="Y27" s="251" t="n">
        <f aca="false">H27/10000</f>
        <v>31</v>
      </c>
      <c r="Z27" s="226" t="e">
        <f aca="false">T27/H27</f>
        <v>#NAME?</v>
      </c>
      <c r="AA27" s="226" t="e">
        <f aca="false">xSPRDOPT($L27,$J27,$I27,$M27,$O27,$N27,$P27,$Q27-$C$3,$R27,3)</f>
        <v>#NAME?</v>
      </c>
      <c r="AB27" s="226" t="e">
        <f aca="false">((xSPRDOPT($L27+AB$5,$J27,$I27,$M27,$O27,$N27,$P27,$Q27-$C$3,$R27,3)*$H27)/10000)/100</f>
        <v>#NAME?</v>
      </c>
      <c r="AC27" s="226" t="e">
        <f aca="false">((xSPRDOPT($L27+$AB$5,$J27,$I27,$M27,$O27,$N27,$P27,$Q27-$C$3,$R27,7)*$H27)/100)</f>
        <v>#NAME?</v>
      </c>
      <c r="AD27" s="226" t="e">
        <f aca="false">(xSPRDOPT($L27+$AB$5,$J27,$I27,$M27,$O27,$N27,$P27,$Q27-$C$3,$R27,9)/365)*$H27</f>
        <v>#NAME?</v>
      </c>
      <c r="AE27" s="0" t="e">
        <f aca="false">CD27</f>
        <v>#NAME?</v>
      </c>
      <c r="AF27" s="226" t="e">
        <f aca="false">((O27/N27)*AH27)+AG27</f>
        <v>#NAME?</v>
      </c>
      <c r="AG27" s="226" t="e">
        <f aca="false">((xSPRDOPT($L27,$J27,$I27,$M27,$O27,$N27,$P27,$Q27-$C$3,$R27,6)*$H27)/100)</f>
        <v>#NAME?</v>
      </c>
      <c r="AH27" s="226" t="e">
        <f aca="false">((xSPRDOPT($L27,$J27,$I27,$M27,$O27,$N27,$P27,$Q27-$C$3,$R27,5)*$H27)/100)</f>
        <v>#NAME?</v>
      </c>
      <c r="AI27" s="226" t="e">
        <f aca="false">(((xSPRDOPT($L27,$J27,$I27,$M27,$O27,$N27,$P27,$Q27-$C$3,$R27,4)*$H27)/10000)/100)-AB27</f>
        <v>#NAME?</v>
      </c>
      <c r="AJ27" s="226"/>
      <c r="AK27" s="226"/>
      <c r="AL27" s="226"/>
      <c r="AM27" s="252"/>
      <c r="AN27" s="208" t="n">
        <f aca="false">EOMONTH(AN26,0)+1</f>
        <v>37347</v>
      </c>
      <c r="AO27" s="134" t="n">
        <f aca="false">SUMIF($X:$X,CONCATENATE($AN27,AO$6),$T:$T)/10000</f>
        <v>0</v>
      </c>
      <c r="AP27" s="134" t="n">
        <f aca="false">SUMIF($X:$X,CONCATENATE($AN27,AP$6),$T:$T)/10000</f>
        <v>0</v>
      </c>
      <c r="AQ27" s="134" t="n">
        <f aca="false">SUMIF($X:$X,CONCATENATE($AN27,AQ$6),$T:$T)/10000</f>
        <v>0</v>
      </c>
      <c r="AR27" s="134" t="n">
        <f aca="false">SUMIF($X:$X,CONCATENATE($AN27,AR$6),$T:$T)/10000</f>
        <v>0</v>
      </c>
      <c r="AS27" s="134" t="n">
        <f aca="false">SUMIF($X:$X,CONCATENATE($AN27,AS$6),$T:$T)/10000</f>
        <v>0</v>
      </c>
      <c r="AT27" s="134" t="n">
        <f aca="false">SUMIF($X:$X,CONCATENATE($AN27,AT$6),$T:$T)/10000</f>
        <v>0</v>
      </c>
      <c r="AU27" s="134" t="n">
        <f aca="false">SUMIF($X:$X,CONCATENATE($AN27,AU$6),$T:$T)/10000</f>
        <v>0</v>
      </c>
      <c r="AV27" s="134" t="n">
        <f aca="false">SUMIF($X:$X,CONCATENATE($AN27,AV$6),$T:$T)/10000</f>
        <v>0</v>
      </c>
      <c r="AW27" s="134" t="n">
        <f aca="false">SUMIF($X:$X,CONCATENATE($AN27,AW$6),$T:$T)/10000</f>
        <v>0</v>
      </c>
      <c r="AX27" s="134" t="n">
        <f aca="false">SUMIF($X:$X,CONCATENATE($AN27,AX$6),$T:$T)/10000</f>
        <v>0</v>
      </c>
      <c r="AY27" s="134" t="n">
        <f aca="false">SUMIF($X:$X,CONCATENATE($AN27,AY$6),$T:$T)/10000</f>
        <v>0</v>
      </c>
      <c r="AZ27" s="134" t="n">
        <f aca="false">SUMIF($X:$X,CONCATENATE($AN27,AZ$6),$T:$T)/10000</f>
        <v>0</v>
      </c>
      <c r="BA27" s="135" t="n">
        <f aca="false">SUMIF($X:$X,CONCATENATE($AN27,BA$6),$T:$T)/10000</f>
        <v>0</v>
      </c>
      <c r="BB27" s="208" t="n">
        <f aca="false">EOMONTH(BB26,0)+1</f>
        <v>37347</v>
      </c>
      <c r="BC27" s="135" t="n">
        <f aca="false">SUM(AO27:BA27)</f>
        <v>0</v>
      </c>
      <c r="BD27" s="2"/>
      <c r="BE27" s="208" t="n">
        <f aca="false">EOMONTH(BE26,0)+1</f>
        <v>37347</v>
      </c>
      <c r="BF27" s="134" t="n">
        <f aca="false">SUMIF($X:$X,CONCATENATE($AN27,BF$6),$W:$W)</f>
        <v>0</v>
      </c>
      <c r="BG27" s="134" t="n">
        <f aca="false">SUMIF($X:$X,CONCATENATE($AN27,BG$6),$W:$W)</f>
        <v>0</v>
      </c>
      <c r="BH27" s="134" t="n">
        <f aca="false">SUMIF($X:$X,CONCATENATE($AN27,BH$6),$W:$W)</f>
        <v>0</v>
      </c>
      <c r="BI27" s="134" t="n">
        <f aca="false">SUMIF($X:$X,CONCATENATE($AN27,BI$6),$W:$W)</f>
        <v>0</v>
      </c>
      <c r="BJ27" s="134" t="n">
        <f aca="false">SUMIF($X:$X,CONCATENATE($AN27,BJ$6),$W:$W)</f>
        <v>0</v>
      </c>
      <c r="BK27" s="134" t="n">
        <f aca="false">SUMIF($X:$X,CONCATENATE($AN27,BK$6),$W:$W)</f>
        <v>0</v>
      </c>
      <c r="BL27" s="134" t="n">
        <f aca="false">SUMIF($X:$X,CONCATENATE($AN27,BL$6),$W:$W)</f>
        <v>0</v>
      </c>
      <c r="BM27" s="134" t="n">
        <f aca="false">SUMIF($X:$X,CONCATENATE($AN27,BM$6),$W:$W)</f>
        <v>0</v>
      </c>
      <c r="BN27" s="134" t="n">
        <f aca="false">SUMIF($X:$X,CONCATENATE($AN27,BN$6),$W:$W)</f>
        <v>0</v>
      </c>
      <c r="BO27" s="134" t="n">
        <f aca="false">SUMIF($X:$X,CONCATENATE($AN27,BO$6),$W:$W)</f>
        <v>0</v>
      </c>
      <c r="BP27" s="134" t="n">
        <f aca="false">SUMIF($X:$X,CONCATENATE($AN27,BP$6),$W:$W)</f>
        <v>0</v>
      </c>
      <c r="BQ27" s="134" t="n">
        <f aca="false">SUMIF($X:$X,CONCATENATE($AN27,BQ$6),$W:$W)</f>
        <v>0</v>
      </c>
      <c r="BR27" s="135" t="n">
        <f aca="false">SUMIF($X:$X,CONCATENATE($AN27,BR$6),$W:$W)</f>
        <v>0</v>
      </c>
      <c r="BS27" s="208" t="n">
        <f aca="false">EOMONTH(BS26,0)+1</f>
        <v>37347</v>
      </c>
      <c r="BT27" s="135" t="n">
        <f aca="false">SUM(BF27:BR27)</f>
        <v>0</v>
      </c>
      <c r="BU27" s="260" t="n">
        <f aca="false">BT27/10000</f>
        <v>0</v>
      </c>
      <c r="BV27" s="2"/>
      <c r="BW27" s="2"/>
      <c r="BX27" s="2"/>
      <c r="BY27" s="2"/>
      <c r="BZ27" s="2"/>
      <c r="CA27" s="2"/>
      <c r="CB27" s="2"/>
      <c r="CC27" s="182" t="n">
        <f aca="false">G27</f>
        <v>36800</v>
      </c>
      <c r="CD27" s="253" t="e">
        <f aca="false">xSPRDOPT((VLOOKUP(G27,NGPrices,2,FALSE())+HLOOKUP(D27,Prices,VLOOKUP(G27,move_down,2,FALSE()),FALSE())),VLOOKUP(G27,NGPrices,2,FALSE()),I27,VLOOKUP(G27,NGPREVPRICES,4,FALSE()),HLOOKUP(D27,PREVVOLS,VLOOKUP(G27,MOVE_DOWN2,2,FALSE()),FALSE()),VLOOKUP(G27,NGPREVPRICES,3,FALSE()),HLOOKUP(D27,Correllate,VLOOKUP(G27,CorMove,2,FALSE()),FALSE()),Q27-$CD$3,R27,$CD$5)*H27-CJ27</f>
        <v>#NAME?</v>
      </c>
      <c r="CE27" s="253" t="e">
        <f aca="false">xSPRDOPT((VLOOKUP(G27,NGPREVPRICES,2,FALSE())+HLOOKUP(D27,PREVCURVES,VLOOKUP(G27,MOVE_DOWN2,2,FALSE()),FALSE())),VLOOKUP(G27,NGPREVPRICES,2,FALSE()),CK27,VLOOKUP(G27,NGPrices,4,FALSE()),HLOOKUP(D27,PREVVOLS,VLOOKUP(G27,MOVE_DOWN2,2,FALSE()),FALSE()),VLOOKUP(G27,NGPREVPRICES,3,FALSE()),HLOOKUP(D27,Correllate,VLOOKUP(G27,CorMove,2,FALSE()),FALSE()),Q27-$CD$3,R27,$CJ$5)*H27-CJ27</f>
        <v>#NAME?</v>
      </c>
      <c r="CF27" s="132" t="e">
        <f aca="false">(CJ27/VLOOKUP(CC27,discount,3,FALSE()))-(CJ27/VLOOKUP(CC27,discount,2,FALSE()))</f>
        <v>#NAME?</v>
      </c>
      <c r="CG27" s="253" t="e">
        <f aca="false">xSPRDOPT((VLOOKUP(G27,NGPREVPRICES,2,FALSE())+HLOOKUP(D27,PREVCURVES,VLOOKUP(G27,MOVE_DOWN2,2,FALSE()),FALSE())),VLOOKUP(G27,NGPREVPRICES,2,FALSE()),CK27,VLOOKUP(G27,NGPREVPRICES,4,FALSE()),HLOOKUP(D27,VOLS,VLOOKUP(G27,move_down,2,FALSE()),FALSE()),VLOOKUP(G27,NGPrices,3,FALSE()),HLOOKUP(D27,Correllate,VLOOKUP(G27,CorMove,2,FALSE()),FALSE()),Q27-$CD$3,R27,$CJ$5)*H27-CJ27</f>
        <v>#NAME?</v>
      </c>
      <c r="CH27" s="253" t="e">
        <f aca="false">xSPRDOPT((VLOOKUP(G27,NGPREVPRICES,2,FALSE())+HLOOKUP(D27,PREVCURVES,VLOOKUP(G27,MOVE_DOWN2,2,FALSE()),FALSE())),VLOOKUP(G27,NGPREVPRICES,2,FALSE()),CK27,VLOOKUP(G27,NGPREVPRICES,4,FALSE()),HLOOKUP(D27,PREVVOLS,VLOOKUP(G27,MOVE_DOWN2,2,FALSE()),FALSE()),VLOOKUP(G27,NGPREVPRICES,3,FALSE()),HLOOKUP(D27,Correllate,VLOOKUP(G27,CorMove,2,FALSE()),FALSE()),Q27-$C$3,R27,$CJ$5)*H27-CJ27</f>
        <v>#NAME?</v>
      </c>
      <c r="CI27" s="253" t="e">
        <f aca="false">SUM(CD27:CH27)</f>
        <v>#NAME?</v>
      </c>
      <c r="CJ27" s="253" t="e">
        <f aca="false">xSPRDOPT((VLOOKUP(G27,NGPREVPRICES,2,FALSE())+HLOOKUP(D27,PREVCURVES,VLOOKUP(G27,MOVE_DOWN2,2,FALSE()),FALSE())),VLOOKUP(G27,NGPREVPRICES,2,FALSE()),CK27,VLOOKUP(G27,NGPREVPRICES,4,FALSE()),HLOOKUP(D27,PREVVOLS,VLOOKUP(G27,MOVE_DOWN2,2,FALSE()),FALSE()),VLOOKUP(G27,NGPREVPRICES,3,FALSE()),HLOOKUP(D27,Correllate,VLOOKUP(G27,CorMove,2,FALSE()),FALSE()),Q27-$CD$3,R27,$CJ$5)*H27</f>
        <v>#NAME?</v>
      </c>
      <c r="CK27" s="254" t="n">
        <f aca="false">I27</f>
        <v>0.16</v>
      </c>
      <c r="CM27" s="0" t="str">
        <f aca="false">CONCATENATE(CC27,$CD$6)</f>
        <v>36800Curve Shift/Gamma</v>
      </c>
      <c r="CN27" s="0" t="str">
        <f aca="false">CONCATENATE($CC27,$CE$6)</f>
        <v>36800Rho</v>
      </c>
      <c r="CO27" s="0" t="str">
        <f aca="false">CONCATENATE($CC27,$CF$6)</f>
        <v>36800Drift</v>
      </c>
      <c r="CP27" s="0" t="str">
        <f aca="false">CONCATENATE($CC27,$CG$6)</f>
        <v>36800Vega</v>
      </c>
      <c r="CQ27" s="0" t="str">
        <f aca="false">CONCATENATE($CC27,$CH$6)</f>
        <v>36800Theta</v>
      </c>
      <c r="CR27" s="255" t="n">
        <f aca="false">EOMONTH(CR26,0)+1</f>
        <v>37347</v>
      </c>
      <c r="CS27" s="261" t="n">
        <f aca="false">SUMIF($CM$7:$CM$631,CONCATENATE($CR27,$CS$6),$CD$7:$CD$631)</f>
        <v>0</v>
      </c>
      <c r="CT27" s="262" t="n">
        <f aca="false">SUMIF($CN$7:$CN$636,CONCATENATE($CR27,$CT$6),$CE$7:$CE$631)</f>
        <v>0</v>
      </c>
      <c r="CU27" s="262" t="n">
        <f aca="false">SUMIF($CO$7:$CO$636,CONCATENATE($CR27,$CU$6),$CF$7:$CF$631)</f>
        <v>0</v>
      </c>
      <c r="CV27" s="262" t="n">
        <f aca="false">SUMIF($CP$7:$CP$636,CONCATENATE($CR27,$CV$6),$CG$7:$CG$631)</f>
        <v>0</v>
      </c>
      <c r="CW27" s="263" t="n">
        <f aca="false">SUMIF($CQ$7:$CQ$636,CONCATENATE($CR27,$CW$6),$CH$7:$CH$631)</f>
        <v>0</v>
      </c>
      <c r="CX27" s="264" t="n">
        <f aca="false">SUM(CS27:CW27)</f>
        <v>0</v>
      </c>
      <c r="CZ27" s="255" t="n">
        <f aca="false">CR27</f>
        <v>37347</v>
      </c>
      <c r="DA27" s="261" t="n">
        <f aca="false">SUMIF($CC$7:$CC$1008,$CR27,$CD$7:$CD$1008)</f>
        <v>0</v>
      </c>
      <c r="DB27" s="262" t="n">
        <f aca="false">SUMIF($CC$7:$CC$1008,$CR27,$CE$7:$CE$1008)</f>
        <v>0</v>
      </c>
      <c r="DC27" s="262" t="n">
        <f aca="false">SUMIF($CC$7:$CC$1008,$CR27,$CF$7:$CF$1008)</f>
        <v>0</v>
      </c>
      <c r="DD27" s="262" t="n">
        <f aca="false">SUMIF($CC$7:$CC$1008,$CR27,$CG$7:$CG$1008)</f>
        <v>0</v>
      </c>
      <c r="DE27" s="263" t="n">
        <f aca="false">SUMIF($CC$7:$CC$1008,$CR27,$CH$7:$CH$1008)</f>
        <v>0</v>
      </c>
      <c r="DF27" s="264" t="n">
        <f aca="false">SUM(DA27:DE27)</f>
        <v>0</v>
      </c>
    </row>
    <row r="28" customFormat="false" ht="12" hidden="false" customHeight="true" outlineLevel="0" collapsed="false">
      <c r="A28" s="119" t="s">
        <v>201</v>
      </c>
      <c r="B28" s="0" t="s">
        <v>202</v>
      </c>
      <c r="C28" s="0" t="s">
        <v>203</v>
      </c>
      <c r="D28" s="7" t="s">
        <v>150</v>
      </c>
      <c r="E28" s="7" t="s">
        <v>131</v>
      </c>
      <c r="F28" s="92" t="s">
        <v>136</v>
      </c>
      <c r="G28" s="92" t="n">
        <v>36770</v>
      </c>
      <c r="H28" s="248" t="n">
        <v>300000</v>
      </c>
      <c r="I28" s="0" t="n">
        <v>0.16</v>
      </c>
      <c r="J28" s="124" t="n">
        <f aca="false">VLOOKUP(G28,NGPrices,2,FALSE())</f>
        <v>4.685</v>
      </c>
      <c r="K28" s="125" t="n">
        <f aca="false">HLOOKUP(D28,Prices,VLOOKUP(G28,move_down,2,FALSE()),FALSE())+VLOOKUP(G28,CHANGE,HLOOKUP(D28,CHANGE,2,FALSE()),FALSE())</f>
        <v>0.17</v>
      </c>
      <c r="L28" s="124" t="n">
        <f aca="false">K28+J28</f>
        <v>4.855</v>
      </c>
      <c r="M28" s="126" t="n">
        <f aca="false">VLOOKUP(G28,NGPrices,4,FALSE())</f>
        <v>0.067216196212185</v>
      </c>
      <c r="N28" s="7" t="n">
        <f aca="false">VLOOKUP(G28,NGPrices,3,FALSE())</f>
        <v>0.4</v>
      </c>
      <c r="O28" s="7" t="n">
        <f aca="false">HLOOKUP(D28,VOLS,VLOOKUP(G28,move_down,2,FALSE()),FALSE())</f>
        <v>0.392</v>
      </c>
      <c r="P28" s="249" t="n">
        <f aca="false">HLOOKUP(D28,Correllate,VLOOKUP(G28,CorMove,2,FALSE()),FALSE())</f>
        <v>0.995</v>
      </c>
      <c r="Q28" s="92" t="n">
        <f aca="false">WORKDAY(G28,-2)</f>
        <v>36768</v>
      </c>
      <c r="R28" s="7" t="n">
        <f aca="false">IF(F28="P",0,1)</f>
        <v>1</v>
      </c>
      <c r="S28" s="130" t="e">
        <f aca="false">xSPRDOPT($L28,$J28,$I28,$M28,$O28,$N28,$P28,$Q28-$C$3,$R28,0)</f>
        <v>#NAME?</v>
      </c>
      <c r="T28" s="250" t="e">
        <f aca="false">xSPRDOPT($L28,$J28,$I28,$M28,$O28,$N28,$P28,$Q28-$C$3,$R28,1)*H28</f>
        <v>#NAME?</v>
      </c>
      <c r="U28" s="43" t="e">
        <f aca="false">S28*H28</f>
        <v>#NAME?</v>
      </c>
      <c r="V28" s="250" t="e">
        <f aca="false">xSPRDOPT($L28,$J28,$I28,$M28,$O28,$N28,$P28,$Q28-$C$3,$R28,2)*H28</f>
        <v>#NAME?</v>
      </c>
      <c r="W28" s="250" t="e">
        <f aca="false">+V28+T28</f>
        <v>#NAME?</v>
      </c>
      <c r="X28" s="2" t="str">
        <f aca="false">CONCATENATE(G28,D28)</f>
        <v>36770IF-CGT/APPALAC</v>
      </c>
      <c r="Y28" s="251" t="n">
        <f aca="false">H28/10000</f>
        <v>30</v>
      </c>
      <c r="Z28" s="226" t="e">
        <f aca="false">T28/H28</f>
        <v>#NAME?</v>
      </c>
      <c r="AA28" s="226" t="e">
        <f aca="false">xSPRDOPT($L28,$J28,$I28,$M28,$O28,$N28,$P28,$Q28-$C$3,$R28,3)</f>
        <v>#NAME?</v>
      </c>
      <c r="AB28" s="226" t="e">
        <f aca="false">((xSPRDOPT($L28+AB$5,$J28,$I28,$M28,$O28,$N28,$P28,$Q28-$C$3,$R28,3)*$H28)/10000)/100</f>
        <v>#NAME?</v>
      </c>
      <c r="AC28" s="226" t="e">
        <f aca="false">((xSPRDOPT($L28+$AB$5,$J28,$I28,$M28,$O28,$N28,$P28,$Q28-$C$3,$R28,7)*$H28)/100)</f>
        <v>#NAME?</v>
      </c>
      <c r="AD28" s="226" t="e">
        <f aca="false">(xSPRDOPT($L28+$AB$5,$J28,$I28,$M28,$O28,$N28,$P28,$Q28-$C$3,$R28,9)/365)*$H28</f>
        <v>#NAME?</v>
      </c>
      <c r="AE28" s="0" t="e">
        <f aca="false">CD28</f>
        <v>#NAME?</v>
      </c>
      <c r="AF28" s="226" t="e">
        <f aca="false">((O28/N28)*AH28)+AG28</f>
        <v>#NAME?</v>
      </c>
      <c r="AG28" s="226" t="e">
        <f aca="false">((xSPRDOPT($L28,$J28,$I28,$M28,$O28,$N28,$P28,$Q28-$C$3,$R28,6)*$H28)/100)</f>
        <v>#NAME?</v>
      </c>
      <c r="AH28" s="226" t="e">
        <f aca="false">((xSPRDOPT($L28,$J28,$I28,$M28,$O28,$N28,$P28,$Q28-$C$3,$R28,5)*$H28)/100)</f>
        <v>#NAME?</v>
      </c>
      <c r="AI28" s="226" t="e">
        <f aca="false">(((xSPRDOPT($L28,$J28,$I28,$M28,$O28,$N28,$P28,$Q28-$C$3,$R28,4)*$H28)/10000)/100)-AB28</f>
        <v>#NAME?</v>
      </c>
      <c r="AJ28" s="226"/>
      <c r="AK28" s="226"/>
      <c r="AL28" s="226"/>
      <c r="AM28" s="252"/>
      <c r="AN28" s="208" t="n">
        <f aca="false">EOMONTH(AN27,0)+1</f>
        <v>37377</v>
      </c>
      <c r="AO28" s="134" t="n">
        <f aca="false">SUMIF($X:$X,CONCATENATE($AN28,AO$6),$T:$T)/10000</f>
        <v>0</v>
      </c>
      <c r="AP28" s="134" t="n">
        <f aca="false">SUMIF($X:$X,CONCATENATE($AN28,AP$6),$T:$T)/10000</f>
        <v>0</v>
      </c>
      <c r="AQ28" s="134" t="n">
        <f aca="false">SUMIF($X:$X,CONCATENATE($AN28,AQ$6),$T:$T)/10000</f>
        <v>0</v>
      </c>
      <c r="AR28" s="134" t="n">
        <f aca="false">SUMIF($X:$X,CONCATENATE($AN28,AR$6),$T:$T)/10000</f>
        <v>0</v>
      </c>
      <c r="AS28" s="134" t="n">
        <f aca="false">SUMIF($X:$X,CONCATENATE($AN28,AS$6),$T:$T)/10000</f>
        <v>0</v>
      </c>
      <c r="AT28" s="134" t="n">
        <f aca="false">SUMIF($X:$X,CONCATENATE($AN28,AT$6),$T:$T)/10000</f>
        <v>0</v>
      </c>
      <c r="AU28" s="134" t="n">
        <f aca="false">SUMIF($X:$X,CONCATENATE($AN28,AU$6),$T:$T)/10000</f>
        <v>0</v>
      </c>
      <c r="AV28" s="134" t="n">
        <f aca="false">SUMIF($X:$X,CONCATENATE($AN28,AV$6),$T:$T)/10000</f>
        <v>0</v>
      </c>
      <c r="AW28" s="134" t="n">
        <f aca="false">SUMIF($X:$X,CONCATENATE($AN28,AW$6),$T:$T)/10000</f>
        <v>0</v>
      </c>
      <c r="AX28" s="134" t="n">
        <f aca="false">SUMIF($X:$X,CONCATENATE($AN28,AX$6),$T:$T)/10000</f>
        <v>0</v>
      </c>
      <c r="AY28" s="134" t="n">
        <f aca="false">SUMIF($X:$X,CONCATENATE($AN28,AY$6),$T:$T)/10000</f>
        <v>0</v>
      </c>
      <c r="AZ28" s="134" t="n">
        <f aca="false">SUMIF($X:$X,CONCATENATE($AN28,AZ$6),$T:$T)/10000</f>
        <v>0</v>
      </c>
      <c r="BA28" s="135" t="n">
        <f aca="false">SUMIF($X:$X,CONCATENATE($AN28,BA$6),$T:$T)/10000</f>
        <v>0</v>
      </c>
      <c r="BB28" s="208" t="n">
        <f aca="false">EOMONTH(BB27,0)+1</f>
        <v>37377</v>
      </c>
      <c r="BC28" s="135" t="n">
        <f aca="false">SUM(AO28:BA28)</f>
        <v>0</v>
      </c>
      <c r="BD28" s="2"/>
      <c r="BE28" s="208" t="n">
        <f aca="false">EOMONTH(BE27,0)+1</f>
        <v>37377</v>
      </c>
      <c r="BF28" s="134" t="n">
        <f aca="false">SUMIF($X:$X,CONCATENATE($AN28,BF$6),$W:$W)</f>
        <v>0</v>
      </c>
      <c r="BG28" s="134" t="n">
        <f aca="false">SUMIF($X:$X,CONCATENATE($AN28,BG$6),$W:$W)</f>
        <v>0</v>
      </c>
      <c r="BH28" s="134" t="n">
        <f aca="false">SUMIF($X:$X,CONCATENATE($AN28,BH$6),$W:$W)</f>
        <v>0</v>
      </c>
      <c r="BI28" s="134" t="n">
        <f aca="false">SUMIF($X:$X,CONCATENATE($AN28,BI$6),$W:$W)</f>
        <v>0</v>
      </c>
      <c r="BJ28" s="134" t="n">
        <f aca="false">SUMIF($X:$X,CONCATENATE($AN28,BJ$6),$W:$W)</f>
        <v>0</v>
      </c>
      <c r="BK28" s="134" t="n">
        <f aca="false">SUMIF($X:$X,CONCATENATE($AN28,BK$6),$W:$W)</f>
        <v>0</v>
      </c>
      <c r="BL28" s="134" t="n">
        <f aca="false">SUMIF($X:$X,CONCATENATE($AN28,BL$6),$W:$W)</f>
        <v>0</v>
      </c>
      <c r="BM28" s="134" t="n">
        <f aca="false">SUMIF($X:$X,CONCATENATE($AN28,BM$6),$W:$W)</f>
        <v>0</v>
      </c>
      <c r="BN28" s="134" t="n">
        <f aca="false">SUMIF($X:$X,CONCATENATE($AN28,BN$6),$W:$W)</f>
        <v>0</v>
      </c>
      <c r="BO28" s="134" t="n">
        <f aca="false">SUMIF($X:$X,CONCATENATE($AN28,BO$6),$W:$W)</f>
        <v>0</v>
      </c>
      <c r="BP28" s="134" t="n">
        <f aca="false">SUMIF($X:$X,CONCATENATE($AN28,BP$6),$W:$W)</f>
        <v>0</v>
      </c>
      <c r="BQ28" s="134" t="n">
        <f aca="false">SUMIF($X:$X,CONCATENATE($AN28,BQ$6),$W:$W)</f>
        <v>0</v>
      </c>
      <c r="BR28" s="135" t="n">
        <f aca="false">SUMIF($X:$X,CONCATENATE($AN28,BR$6),$W:$W)</f>
        <v>0</v>
      </c>
      <c r="BS28" s="208" t="n">
        <f aca="false">EOMONTH(BS27,0)+1</f>
        <v>37377</v>
      </c>
      <c r="BT28" s="135" t="n">
        <f aca="false">SUM(BF28:BR28)</f>
        <v>0</v>
      </c>
      <c r="BU28" s="2"/>
      <c r="BV28" s="2"/>
      <c r="BW28" s="2"/>
      <c r="BX28" s="2"/>
      <c r="BY28" s="2"/>
      <c r="BZ28" s="2"/>
      <c r="CA28" s="2"/>
      <c r="CB28" s="2"/>
      <c r="CC28" s="182" t="n">
        <f aca="false">G28</f>
        <v>36770</v>
      </c>
      <c r="CD28" s="253" t="e">
        <f aca="false">xSPRDOPT((VLOOKUP(G28,NGPrices,2,FALSE())+HLOOKUP(D28,Prices,VLOOKUP(G28,move_down,2,FALSE()),FALSE())),VLOOKUP(G28,NGPrices,2,FALSE()),I28,VLOOKUP(G28,NGPREVPRICES,4,FALSE()),HLOOKUP(D28,PREVVOLS,VLOOKUP(G28,MOVE_DOWN2,2,FALSE()),FALSE()),VLOOKUP(G28,NGPREVPRICES,3,FALSE()),HLOOKUP(D28,Correllate,VLOOKUP(G28,CorMove,2,FALSE()),FALSE()),Q28-$CD$3,R28,$CD$5)*H28-CJ28</f>
        <v>#NAME?</v>
      </c>
      <c r="CE28" s="253" t="e">
        <f aca="false">xSPRDOPT((VLOOKUP(G28,NGPREVPRICES,2,FALSE())+HLOOKUP(D28,PREVCURVES,VLOOKUP(G28,MOVE_DOWN2,2,FALSE()),FALSE())),VLOOKUP(G28,NGPREVPRICES,2,FALSE()),CK28,VLOOKUP(G28,NGPrices,4,FALSE()),HLOOKUP(D28,PREVVOLS,VLOOKUP(G28,MOVE_DOWN2,2,FALSE()),FALSE()),VLOOKUP(G28,NGPREVPRICES,3,FALSE()),HLOOKUP(D28,Correllate,VLOOKUP(G28,CorMove,2,FALSE()),FALSE()),Q28-$CD$3,R28,$CJ$5)*H28-CJ28</f>
        <v>#NAME?</v>
      </c>
      <c r="CF28" s="132" t="e">
        <f aca="false">(CJ28/VLOOKUP(CC28,discount,3,FALSE()))-(CJ28/VLOOKUP(CC28,discount,2,FALSE()))</f>
        <v>#NAME?</v>
      </c>
      <c r="CG28" s="253" t="e">
        <f aca="false">xSPRDOPT((VLOOKUP(G28,NGPREVPRICES,2,FALSE())+HLOOKUP(D28,PREVCURVES,VLOOKUP(G28,MOVE_DOWN2,2,FALSE()),FALSE())),VLOOKUP(G28,NGPREVPRICES,2,FALSE()),CK28,VLOOKUP(G28,NGPREVPRICES,4,FALSE()),HLOOKUP(D28,VOLS,VLOOKUP(G28,move_down,2,FALSE()),FALSE()),VLOOKUP(G28,NGPrices,3,FALSE()),HLOOKUP(D28,Correllate,VLOOKUP(G28,CorMove,2,FALSE()),FALSE()),Q28-$CD$3,R28,$CJ$5)*H28-CJ28</f>
        <v>#NAME?</v>
      </c>
      <c r="CH28" s="253" t="e">
        <f aca="false">xSPRDOPT((VLOOKUP(G28,NGPREVPRICES,2,FALSE())+HLOOKUP(D28,PREVCURVES,VLOOKUP(G28,MOVE_DOWN2,2,FALSE()),FALSE())),VLOOKUP(G28,NGPREVPRICES,2,FALSE()),CK28,VLOOKUP(G28,NGPREVPRICES,4,FALSE()),HLOOKUP(D28,PREVVOLS,VLOOKUP(G28,MOVE_DOWN2,2,FALSE()),FALSE()),VLOOKUP(G28,NGPREVPRICES,3,FALSE()),HLOOKUP(D28,Correllate,VLOOKUP(G28,CorMove,2,FALSE()),FALSE()),Q28-$C$3,R28,$CJ$5)*H28-CJ28</f>
        <v>#NAME?</v>
      </c>
      <c r="CI28" s="253" t="e">
        <f aca="false">SUM(CD28:CH28)</f>
        <v>#NAME?</v>
      </c>
      <c r="CJ28" s="253" t="e">
        <f aca="false">xSPRDOPT((VLOOKUP(G28,NGPREVPRICES,2,FALSE())+HLOOKUP(D28,PREVCURVES,VLOOKUP(G28,MOVE_DOWN2,2,FALSE()),FALSE())),VLOOKUP(G28,NGPREVPRICES,2,FALSE()),CK28,VLOOKUP(G28,NGPREVPRICES,4,FALSE()),HLOOKUP(D28,PREVVOLS,VLOOKUP(G28,MOVE_DOWN2,2,FALSE()),FALSE()),VLOOKUP(G28,NGPREVPRICES,3,FALSE()),HLOOKUP(D28,Correllate,VLOOKUP(G28,CorMove,2,FALSE()),FALSE()),Q28-$CD$3,R28,$CJ$5)*H28</f>
        <v>#NAME?</v>
      </c>
      <c r="CK28" s="254" t="n">
        <f aca="false">I28</f>
        <v>0.16</v>
      </c>
      <c r="CM28" s="0" t="str">
        <f aca="false">CONCATENATE(CC28,$CD$6)</f>
        <v>36770Curve Shift/Gamma</v>
      </c>
      <c r="CN28" s="0" t="str">
        <f aca="false">CONCATENATE($CC28,$CE$6)</f>
        <v>36770Rho</v>
      </c>
      <c r="CO28" s="0" t="str">
        <f aca="false">CONCATENATE($CC28,$CF$6)</f>
        <v>36770Drift</v>
      </c>
      <c r="CP28" s="0" t="str">
        <f aca="false">CONCATENATE($CC28,$CG$6)</f>
        <v>36770Vega</v>
      </c>
      <c r="CQ28" s="0" t="str">
        <f aca="false">CONCATENATE($CC28,$CH$6)</f>
        <v>36770Theta</v>
      </c>
      <c r="CR28" s="255" t="n">
        <f aca="false">EOMONTH(CR27,0)+1</f>
        <v>37377</v>
      </c>
      <c r="CS28" s="261" t="n">
        <f aca="false">SUMIF($CM$7:$CM$631,CONCATENATE($CR28,$CS$6),$CD$7:$CD$631)</f>
        <v>0</v>
      </c>
      <c r="CT28" s="262" t="n">
        <f aca="false">SUMIF($CN$7:$CN$636,CONCATENATE($CR28,$CT$6),$CE$7:$CE$631)</f>
        <v>0</v>
      </c>
      <c r="CU28" s="262" t="n">
        <f aca="false">SUMIF($CO$7:$CO$636,CONCATENATE($CR28,$CU$6),$CF$7:$CF$631)</f>
        <v>0</v>
      </c>
      <c r="CV28" s="262" t="n">
        <f aca="false">SUMIF($CP$7:$CP$636,CONCATENATE($CR28,$CV$6),$CG$7:$CG$631)</f>
        <v>0</v>
      </c>
      <c r="CW28" s="263" t="n">
        <f aca="false">SUMIF($CQ$7:$CQ$636,CONCATENATE($CR28,$CW$6),$CH$7:$CH$631)</f>
        <v>0</v>
      </c>
      <c r="CX28" s="264" t="n">
        <f aca="false">SUM(CS28:CW28)</f>
        <v>0</v>
      </c>
      <c r="CZ28" s="255" t="n">
        <f aca="false">CR28</f>
        <v>37377</v>
      </c>
      <c r="DA28" s="261" t="n">
        <f aca="false">SUMIF($CC$7:$CC$1008,$CR28,$CD$7:$CD$1008)</f>
        <v>0</v>
      </c>
      <c r="DB28" s="262" t="n">
        <f aca="false">SUMIF($CC$7:$CC$1008,$CR28,$CE$7:$CE$1008)</f>
        <v>0</v>
      </c>
      <c r="DC28" s="262" t="n">
        <f aca="false">SUMIF($CC$7:$CC$1008,$CR28,$CF$7:$CF$1008)</f>
        <v>0</v>
      </c>
      <c r="DD28" s="262" t="n">
        <f aca="false">SUMIF($CC$7:$CC$1008,$CR28,$CG$7:$CG$1008)</f>
        <v>0</v>
      </c>
      <c r="DE28" s="263" t="n">
        <f aca="false">SUMIF($CC$7:$CC$1008,$CR28,$CH$7:$CH$1008)</f>
        <v>0</v>
      </c>
      <c r="DF28" s="264" t="n">
        <f aca="false">SUM(DA28:DE28)</f>
        <v>0</v>
      </c>
    </row>
    <row r="29" customFormat="false" ht="12" hidden="false" customHeight="true" outlineLevel="0" collapsed="false">
      <c r="A29" s="17" t="s">
        <v>204</v>
      </c>
      <c r="B29" s="0" t="s">
        <v>192</v>
      </c>
      <c r="C29" s="0" t="s">
        <v>205</v>
      </c>
      <c r="D29" s="7" t="s">
        <v>150</v>
      </c>
      <c r="E29" s="0" t="s">
        <v>131</v>
      </c>
      <c r="F29" s="0" t="s">
        <v>136</v>
      </c>
      <c r="G29" s="92" t="n">
        <v>36951</v>
      </c>
      <c r="H29" s="248" t="n">
        <v>310000</v>
      </c>
      <c r="I29" s="0" t="n">
        <v>0.33</v>
      </c>
      <c r="J29" s="124" t="n">
        <f aca="false">VLOOKUP(G29,NGPrices,2,FALSE())</f>
        <v>4.213</v>
      </c>
      <c r="K29" s="125" t="n">
        <f aca="false">HLOOKUP(D29,Prices,VLOOKUP(G29,move_down,2,FALSE()),FALSE())+VLOOKUP(G29,CHANGE,HLOOKUP(D29,CHANGE,2,FALSE()),FALSE())</f>
        <v>0.27</v>
      </c>
      <c r="L29" s="124" t="n">
        <f aca="false">K29+J29</f>
        <v>4.483</v>
      </c>
      <c r="M29" s="126" t="n">
        <f aca="false">VLOOKUP(G29,NGPrices,4,FALSE())</f>
        <v>0.068879814952707</v>
      </c>
      <c r="N29" s="7" t="n">
        <f aca="false">VLOOKUP(G29,NGPrices,3,FALSE())</f>
        <v>0.5325</v>
      </c>
      <c r="O29" s="7" t="n">
        <f aca="false">HLOOKUP(D29,VOLS,VLOOKUP(G29,move_down,2,FALSE()),FALSE())</f>
        <v>0.533</v>
      </c>
      <c r="P29" s="249" t="n">
        <f aca="false">HLOOKUP(D29,Correllate,VLOOKUP(G29,CorMove,2,FALSE()),FALSE())</f>
        <v>0.99</v>
      </c>
      <c r="Q29" s="92" t="n">
        <f aca="false">WORKDAY(G29,-2)</f>
        <v>36949</v>
      </c>
      <c r="R29" s="7" t="n">
        <f aca="false">IF(F29="P",0,1)</f>
        <v>1</v>
      </c>
      <c r="S29" s="130" t="e">
        <f aca="false">xSPRDOPT($L29,$J29,$I29,$M29,$O29,$N29,$P29,$Q29-$C$3,$R29,0)</f>
        <v>#NAME?</v>
      </c>
      <c r="T29" s="250" t="e">
        <f aca="false">xSPRDOPT($L29,$J29,$I29,$M29,$O29,$N29,$P29,$Q29-$C$3,$R29,1)*H29</f>
        <v>#NAME?</v>
      </c>
      <c r="U29" s="43" t="e">
        <f aca="false">S29*H29</f>
        <v>#NAME?</v>
      </c>
      <c r="V29" s="250" t="e">
        <f aca="false">xSPRDOPT($L29,$J29,$I29,$M29,$O29,$N29,$P29,$Q29-$C$3,$R29,2)*H29</f>
        <v>#NAME?</v>
      </c>
      <c r="W29" s="250" t="e">
        <f aca="false">+V29+T29</f>
        <v>#NAME?</v>
      </c>
      <c r="X29" s="2" t="str">
        <f aca="false">CONCATENATE(G29,D29)</f>
        <v>36951IF-CGT/APPALAC</v>
      </c>
      <c r="Y29" s="251" t="n">
        <f aca="false">H29/10000</f>
        <v>31</v>
      </c>
      <c r="Z29" s="226" t="e">
        <f aca="false">T29/H29</f>
        <v>#NAME?</v>
      </c>
      <c r="AA29" s="226" t="e">
        <f aca="false">xSPRDOPT($L29,$J29,$I29,$M29,$O29,$N29,$P29,$Q29-$C$3,$R29,3)</f>
        <v>#NAME?</v>
      </c>
      <c r="AB29" s="226" t="e">
        <f aca="false">((xSPRDOPT($L29+AB$5,$J29,$I29,$M29,$O29,$N29,$P29,$Q29-$C$3,$R29,3)*$H29)/10000)/100</f>
        <v>#NAME?</v>
      </c>
      <c r="AC29" s="226" t="e">
        <f aca="false">((xSPRDOPT($L29+$AB$5,$J29,$I29,$M29,$O29,$N29,$P29,$Q29-$C$3,$R29,7)*$H29)/100)</f>
        <v>#NAME?</v>
      </c>
      <c r="AD29" s="226" t="e">
        <f aca="false">(xSPRDOPT($L29+$AB$5,$J29,$I29,$M29,$O29,$N29,$P29,$Q29-$C$3,$R29,9)/365)*$H29</f>
        <v>#NAME?</v>
      </c>
      <c r="AE29" s="0" t="e">
        <f aca="false">CD29</f>
        <v>#NAME?</v>
      </c>
      <c r="AF29" s="226" t="e">
        <f aca="false">((O29/N29)*AH29)+AG29</f>
        <v>#NAME?</v>
      </c>
      <c r="AG29" s="226" t="e">
        <f aca="false">((xSPRDOPT($L29,$J29,$I29,$M29,$O29,$N29,$P29,$Q29-$C$3,$R29,6)*$H29)/100)</f>
        <v>#NAME?</v>
      </c>
      <c r="AH29" s="226" t="e">
        <f aca="false">((xSPRDOPT($L29,$J29,$I29,$M29,$O29,$N29,$P29,$Q29-$C$3,$R29,5)*$H29)/100)</f>
        <v>#NAME?</v>
      </c>
      <c r="AI29" s="226" t="e">
        <f aca="false">(((xSPRDOPT($L29,$J29,$I29,$M29,$O29,$N29,$P29,$Q29-$C$3,$R29,4)*$H29)/10000)/100)-AB29</f>
        <v>#NAME?</v>
      </c>
      <c r="AJ29" s="226"/>
      <c r="AK29" s="226"/>
      <c r="AL29" s="226"/>
      <c r="AM29" s="252"/>
      <c r="AN29" s="208" t="n">
        <f aca="false">EOMONTH(AN28,0)+1</f>
        <v>37408</v>
      </c>
      <c r="AO29" s="134" t="n">
        <f aca="false">SUMIF($X:$X,CONCATENATE($AN29,AO$6),$T:$T)/10000</f>
        <v>0</v>
      </c>
      <c r="AP29" s="134" t="n">
        <f aca="false">SUMIF($X:$X,CONCATENATE($AN29,AP$6),$T:$T)/10000</f>
        <v>0</v>
      </c>
      <c r="AQ29" s="134" t="n">
        <f aca="false">SUMIF($X:$X,CONCATENATE($AN29,AQ$6),$T:$T)/10000</f>
        <v>0</v>
      </c>
      <c r="AR29" s="134" t="n">
        <f aca="false">SUMIF($X:$X,CONCATENATE($AN29,AR$6),$T:$T)/10000</f>
        <v>0</v>
      </c>
      <c r="AS29" s="134" t="n">
        <f aca="false">SUMIF($X:$X,CONCATENATE($AN29,AS$6),$T:$T)/10000</f>
        <v>0</v>
      </c>
      <c r="AT29" s="134" t="n">
        <f aca="false">SUMIF($X:$X,CONCATENATE($AN29,AT$6),$T:$T)/10000</f>
        <v>0</v>
      </c>
      <c r="AU29" s="134" t="n">
        <f aca="false">SUMIF($X:$X,CONCATENATE($AN29,AU$6),$T:$T)/10000</f>
        <v>0</v>
      </c>
      <c r="AV29" s="134" t="n">
        <f aca="false">SUMIF($X:$X,CONCATENATE($AN29,AV$6),$T:$T)/10000</f>
        <v>0</v>
      </c>
      <c r="AW29" s="134" t="n">
        <f aca="false">SUMIF($X:$X,CONCATENATE($AN29,AW$6),$T:$T)/10000</f>
        <v>0</v>
      </c>
      <c r="AX29" s="134" t="n">
        <f aca="false">SUMIF($X:$X,CONCATENATE($AN29,AX$6),$T:$T)/10000</f>
        <v>0</v>
      </c>
      <c r="AY29" s="134" t="n">
        <f aca="false">SUMIF($X:$X,CONCATENATE($AN29,AY$6),$T:$T)/10000</f>
        <v>0</v>
      </c>
      <c r="AZ29" s="134" t="n">
        <f aca="false">SUMIF($X:$X,CONCATENATE($AN29,AZ$6),$T:$T)/10000</f>
        <v>0</v>
      </c>
      <c r="BA29" s="135" t="n">
        <f aca="false">SUMIF($X:$X,CONCATENATE($AN29,BA$6),$T:$T)/10000</f>
        <v>0</v>
      </c>
      <c r="BB29" s="208" t="n">
        <f aca="false">EOMONTH(BB28,0)+1</f>
        <v>37408</v>
      </c>
      <c r="BC29" s="135" t="n">
        <f aca="false">SUM(AO29:BA29)</f>
        <v>0</v>
      </c>
      <c r="BD29" s="2"/>
      <c r="BE29" s="208" t="n">
        <f aca="false">EOMONTH(BE28,0)+1</f>
        <v>37408</v>
      </c>
      <c r="BF29" s="134" t="n">
        <f aca="false">SUMIF($X:$X,CONCATENATE($AN29,BF$6),$W:$W)</f>
        <v>0</v>
      </c>
      <c r="BG29" s="134" t="n">
        <f aca="false">SUMIF($X:$X,CONCATENATE($AN29,BG$6),$W:$W)</f>
        <v>0</v>
      </c>
      <c r="BH29" s="134" t="n">
        <f aca="false">SUMIF($X:$X,CONCATENATE($AN29,BH$6),$W:$W)</f>
        <v>0</v>
      </c>
      <c r="BI29" s="134" t="n">
        <f aca="false">SUMIF($X:$X,CONCATENATE($AN29,BI$6),$W:$W)</f>
        <v>0</v>
      </c>
      <c r="BJ29" s="134" t="n">
        <f aca="false">SUMIF($X:$X,CONCATENATE($AN29,BJ$6),$W:$W)</f>
        <v>0</v>
      </c>
      <c r="BK29" s="134" t="n">
        <f aca="false">SUMIF($X:$X,CONCATENATE($AN29,BK$6),$W:$W)</f>
        <v>0</v>
      </c>
      <c r="BL29" s="134" t="n">
        <f aca="false">SUMIF($X:$X,CONCATENATE($AN29,BL$6),$W:$W)</f>
        <v>0</v>
      </c>
      <c r="BM29" s="134" t="n">
        <f aca="false">SUMIF($X:$X,CONCATENATE($AN29,BM$6),$W:$W)</f>
        <v>0</v>
      </c>
      <c r="BN29" s="134" t="n">
        <f aca="false">SUMIF($X:$X,CONCATENATE($AN29,BN$6),$W:$W)</f>
        <v>0</v>
      </c>
      <c r="BO29" s="134" t="n">
        <f aca="false">SUMIF($X:$X,CONCATENATE($AN29,BO$6),$W:$W)</f>
        <v>0</v>
      </c>
      <c r="BP29" s="134" t="n">
        <f aca="false">SUMIF($X:$X,CONCATENATE($AN29,BP$6),$W:$W)</f>
        <v>0</v>
      </c>
      <c r="BQ29" s="134" t="n">
        <f aca="false">SUMIF($X:$X,CONCATENATE($AN29,BQ$6),$W:$W)</f>
        <v>0</v>
      </c>
      <c r="BR29" s="135" t="n">
        <f aca="false">SUMIF($X:$X,CONCATENATE($AN29,BR$6),$W:$W)</f>
        <v>0</v>
      </c>
      <c r="BS29" s="208" t="n">
        <f aca="false">EOMONTH(BS28,0)+1</f>
        <v>37408</v>
      </c>
      <c r="BT29" s="135" t="n">
        <f aca="false">SUM(BF29:BR29)</f>
        <v>0</v>
      </c>
      <c r="BU29" s="2"/>
      <c r="BV29" s="2"/>
      <c r="BW29" s="2"/>
      <c r="BX29" s="2"/>
      <c r="BY29" s="2"/>
      <c r="BZ29" s="2"/>
      <c r="CA29" s="2"/>
      <c r="CB29" s="2"/>
      <c r="CC29" s="182" t="n">
        <f aca="false">G29</f>
        <v>36951</v>
      </c>
      <c r="CD29" s="253" t="e">
        <f aca="false">xSPRDOPT((VLOOKUP(G29,NGPrices,2,FALSE())+HLOOKUP(D29,Prices,VLOOKUP(G29,move_down,2,FALSE()),FALSE())),VLOOKUP(G29,NGPrices,2,FALSE()),I29,VLOOKUP(G29,NGPREVPRICES,4,FALSE()),HLOOKUP(D29,PREVVOLS,VLOOKUP(G29,MOVE_DOWN2,2,FALSE()),FALSE()),VLOOKUP(G29,NGPREVPRICES,3,FALSE()),HLOOKUP(D29,Correllate,VLOOKUP(G29,CorMove,2,FALSE()),FALSE()),Q29-$CD$3,R29,$CD$5)*H29-CJ29</f>
        <v>#NAME?</v>
      </c>
      <c r="CE29" s="253" t="e">
        <f aca="false">xSPRDOPT((VLOOKUP(G29,NGPREVPRICES,2,FALSE())+HLOOKUP(D29,PREVCURVES,VLOOKUP(G29,MOVE_DOWN2,2,FALSE()),FALSE())),VLOOKUP(G29,NGPREVPRICES,2,FALSE()),CK29,VLOOKUP(G29,NGPrices,4,FALSE()),HLOOKUP(D29,PREVVOLS,VLOOKUP(G29,MOVE_DOWN2,2,FALSE()),FALSE()),VLOOKUP(G29,NGPREVPRICES,3,FALSE()),HLOOKUP(D29,Correllate,VLOOKUP(G29,CorMove,2,FALSE()),FALSE()),Q29-$CD$3,R29,$CJ$5)*H29-CJ29</f>
        <v>#NAME?</v>
      </c>
      <c r="CF29" s="132" t="e">
        <f aca="false">(CJ29/VLOOKUP(CC29,discount,3,FALSE()))-(CJ29/VLOOKUP(CC29,discount,2,FALSE()))</f>
        <v>#NAME?</v>
      </c>
      <c r="CG29" s="253" t="e">
        <f aca="false">xSPRDOPT((VLOOKUP(G29,NGPREVPRICES,2,FALSE())+HLOOKUP(D29,PREVCURVES,VLOOKUP(G29,MOVE_DOWN2,2,FALSE()),FALSE())),VLOOKUP(G29,NGPREVPRICES,2,FALSE()),CK29,VLOOKUP(G29,NGPREVPRICES,4,FALSE()),HLOOKUP(D29,VOLS,VLOOKUP(G29,move_down,2,FALSE()),FALSE()),VLOOKUP(G29,NGPrices,3,FALSE()),HLOOKUP(D29,Correllate,VLOOKUP(G29,CorMove,2,FALSE()),FALSE()),Q29-$CD$3,R29,$CJ$5)*H29-CJ29</f>
        <v>#NAME?</v>
      </c>
      <c r="CH29" s="253" t="e">
        <f aca="false">xSPRDOPT((VLOOKUP(G29,NGPREVPRICES,2,FALSE())+HLOOKUP(D29,PREVCURVES,VLOOKUP(G29,MOVE_DOWN2,2,FALSE()),FALSE())),VLOOKUP(G29,NGPREVPRICES,2,FALSE()),CK29,VLOOKUP(G29,NGPREVPRICES,4,FALSE()),HLOOKUP(D29,PREVVOLS,VLOOKUP(G29,MOVE_DOWN2,2,FALSE()),FALSE()),VLOOKUP(G29,NGPREVPRICES,3,FALSE()),HLOOKUP(D29,Correllate,VLOOKUP(G29,CorMove,2,FALSE()),FALSE()),Q29-$C$3,R29,$CJ$5)*H29-CJ29</f>
        <v>#NAME?</v>
      </c>
      <c r="CI29" s="253" t="e">
        <f aca="false">SUM(CD29:CH29)</f>
        <v>#NAME?</v>
      </c>
      <c r="CJ29" s="253" t="e">
        <f aca="false">xSPRDOPT((VLOOKUP(G29,NGPREVPRICES,2,FALSE())+HLOOKUP(D29,PREVCURVES,VLOOKUP(G29,MOVE_DOWN2,2,FALSE()),FALSE())),VLOOKUP(G29,NGPREVPRICES,2,FALSE()),CK29,VLOOKUP(G29,NGPREVPRICES,4,FALSE()),HLOOKUP(D29,PREVVOLS,VLOOKUP(G29,MOVE_DOWN2,2,FALSE()),FALSE()),VLOOKUP(G29,NGPREVPRICES,3,FALSE()),HLOOKUP(D29,Correllate,VLOOKUP(G29,CorMove,2,FALSE()),FALSE()),Q29-$CD$3,R29,$CJ$5)*H29</f>
        <v>#NAME?</v>
      </c>
      <c r="CK29" s="254" t="n">
        <f aca="false">I29</f>
        <v>0.33</v>
      </c>
      <c r="CM29" s="0" t="str">
        <f aca="false">CONCATENATE(CC29,$CD$6)</f>
        <v>36951Curve Shift/Gamma</v>
      </c>
      <c r="CN29" s="0" t="str">
        <f aca="false">CONCATENATE($CC29,$CE$6)</f>
        <v>36951Rho</v>
      </c>
      <c r="CO29" s="0" t="str">
        <f aca="false">CONCATENATE($CC29,$CF$6)</f>
        <v>36951Drift</v>
      </c>
      <c r="CP29" s="0" t="str">
        <f aca="false">CONCATENATE($CC29,$CG$6)</f>
        <v>36951Vega</v>
      </c>
      <c r="CQ29" s="0" t="str">
        <f aca="false">CONCATENATE($CC29,$CH$6)</f>
        <v>36951Theta</v>
      </c>
      <c r="CR29" s="255" t="n">
        <f aca="false">EOMONTH(CR28,0)+1</f>
        <v>37408</v>
      </c>
      <c r="CS29" s="261" t="n">
        <f aca="false">SUMIF($CM$7:$CM$631,CONCATENATE($CR29,$CS$6),$CD$7:$CD$631)</f>
        <v>0</v>
      </c>
      <c r="CT29" s="262" t="n">
        <f aca="false">SUMIF($CN$7:$CN$636,CONCATENATE($CR29,$CT$6),$CE$7:$CE$631)</f>
        <v>0</v>
      </c>
      <c r="CU29" s="262" t="n">
        <f aca="false">SUMIF($CO$7:$CO$636,CONCATENATE($CR29,$CU$6),$CF$7:$CF$631)</f>
        <v>0</v>
      </c>
      <c r="CV29" s="262" t="n">
        <f aca="false">SUMIF($CP$7:$CP$636,CONCATENATE($CR29,$CV$6),$CG$7:$CG$631)</f>
        <v>0</v>
      </c>
      <c r="CW29" s="263" t="n">
        <f aca="false">SUMIF($CQ$7:$CQ$636,CONCATENATE($CR29,$CW$6),$CH$7:$CH$631)</f>
        <v>0</v>
      </c>
      <c r="CX29" s="264" t="n">
        <f aca="false">SUM(CS29:CW29)</f>
        <v>0</v>
      </c>
      <c r="CZ29" s="255" t="n">
        <f aca="false">CR29</f>
        <v>37408</v>
      </c>
      <c r="DA29" s="261" t="n">
        <f aca="false">SUMIF($CC$7:$CC$1008,$CR29,$CD$7:$CD$1008)</f>
        <v>0</v>
      </c>
      <c r="DB29" s="262" t="n">
        <f aca="false">SUMIF($CC$7:$CC$1008,$CR29,$CE$7:$CE$1008)</f>
        <v>0</v>
      </c>
      <c r="DC29" s="262" t="n">
        <f aca="false">SUMIF($CC$7:$CC$1008,$CR29,$CF$7:$CF$1008)</f>
        <v>0</v>
      </c>
      <c r="DD29" s="262" t="n">
        <f aca="false">SUMIF($CC$7:$CC$1008,$CR29,$CG$7:$CG$1008)</f>
        <v>0</v>
      </c>
      <c r="DE29" s="263" t="n">
        <f aca="false">SUMIF($CC$7:$CC$1008,$CR29,$CH$7:$CH$1008)</f>
        <v>0</v>
      </c>
      <c r="DF29" s="264" t="n">
        <f aca="false">SUM(DA29:DE29)</f>
        <v>0</v>
      </c>
    </row>
    <row r="30" customFormat="false" ht="12" hidden="false" customHeight="true" outlineLevel="0" collapsed="false">
      <c r="A30" s="17" t="s">
        <v>204</v>
      </c>
      <c r="B30" s="0" t="s">
        <v>192</v>
      </c>
      <c r="C30" s="0" t="s">
        <v>205</v>
      </c>
      <c r="D30" s="7" t="s">
        <v>150</v>
      </c>
      <c r="E30" s="0" t="s">
        <v>131</v>
      </c>
      <c r="F30" s="0" t="s">
        <v>136</v>
      </c>
      <c r="G30" s="92" t="n">
        <v>36923</v>
      </c>
      <c r="H30" s="248" t="n">
        <v>280000</v>
      </c>
      <c r="I30" s="0" t="n">
        <v>0.33</v>
      </c>
      <c r="J30" s="124" t="n">
        <f aca="false">VLOOKUP(G30,NGPrices,2,FALSE())</f>
        <v>4.48</v>
      </c>
      <c r="K30" s="125" t="n">
        <f aca="false">HLOOKUP(D30,Prices,VLOOKUP(G30,move_down,2,FALSE()),FALSE())+VLOOKUP(G30,CHANGE,HLOOKUP(D30,CHANGE,2,FALSE()),FALSE())</f>
        <v>0.295</v>
      </c>
      <c r="L30" s="124" t="n">
        <f aca="false">K30+J30</f>
        <v>4.775</v>
      </c>
      <c r="M30" s="126" t="n">
        <f aca="false">VLOOKUP(G30,NGPrices,4,FALSE())</f>
        <v>0.068640161611372</v>
      </c>
      <c r="N30" s="7" t="n">
        <f aca="false">VLOOKUP(G30,NGPrices,3,FALSE())</f>
        <v>0.5925</v>
      </c>
      <c r="O30" s="7" t="n">
        <f aca="false">HLOOKUP(D30,VOLS,VLOOKUP(G30,move_down,2,FALSE()),FALSE())</f>
        <v>0.593</v>
      </c>
      <c r="P30" s="249" t="n">
        <f aca="false">HLOOKUP(D30,Correllate,VLOOKUP(G30,CorMove,2,FALSE()),FALSE())</f>
        <v>0.99</v>
      </c>
      <c r="Q30" s="92" t="n">
        <f aca="false">WORKDAY(G30,-2)</f>
        <v>36921</v>
      </c>
      <c r="R30" s="7" t="n">
        <f aca="false">IF(F30="P",0,1)</f>
        <v>1</v>
      </c>
      <c r="S30" s="130" t="e">
        <f aca="false">xSPRDOPT($L30,$J30,$I30,$M30,$O30,$N30,$P30,$Q30-$C$3,$R30,0)</f>
        <v>#NAME?</v>
      </c>
      <c r="T30" s="250" t="e">
        <f aca="false">xSPRDOPT($L30,$J30,$I30,$M30,$O30,$N30,$P30,$Q30-$C$3,$R30,1)*H30</f>
        <v>#NAME?</v>
      </c>
      <c r="U30" s="43" t="e">
        <f aca="false">S30*H30</f>
        <v>#NAME?</v>
      </c>
      <c r="V30" s="250" t="e">
        <f aca="false">xSPRDOPT($L30,$J30,$I30,$M30,$O30,$N30,$P30,$Q30-$C$3,$R30,2)*H30</f>
        <v>#NAME?</v>
      </c>
      <c r="W30" s="250" t="e">
        <f aca="false">+V30+T30</f>
        <v>#NAME?</v>
      </c>
      <c r="X30" s="2" t="str">
        <f aca="false">CONCATENATE(G30,D30)</f>
        <v>36923IF-CGT/APPALAC</v>
      </c>
      <c r="Y30" s="251" t="n">
        <f aca="false">H30/10000</f>
        <v>28</v>
      </c>
      <c r="Z30" s="226" t="e">
        <f aca="false">T30/H30</f>
        <v>#NAME?</v>
      </c>
      <c r="AA30" s="226" t="e">
        <f aca="false">xSPRDOPT($L30,$J30,$I30,$M30,$O30,$N30,$P30,$Q30-$C$3,$R30,3)</f>
        <v>#NAME?</v>
      </c>
      <c r="AB30" s="226" t="e">
        <f aca="false">((xSPRDOPT($L30+AB$5,$J30,$I30,$M30,$O30,$N30,$P30,$Q30-$C$3,$R30,3)*$H30)/10000)/100</f>
        <v>#NAME?</v>
      </c>
      <c r="AC30" s="226" t="e">
        <f aca="false">((xSPRDOPT($L30+$AB$5,$J30,$I30,$M30,$O30,$N30,$P30,$Q30-$C$3,$R30,7)*$H30)/100)</f>
        <v>#NAME?</v>
      </c>
      <c r="AD30" s="226" t="e">
        <f aca="false">(xSPRDOPT($L30+$AB$5,$J30,$I30,$M30,$O30,$N30,$P30,$Q30-$C$3,$R30,9)/365)*$H30</f>
        <v>#NAME?</v>
      </c>
      <c r="AE30" s="0" t="e">
        <f aca="false">CD30</f>
        <v>#NAME?</v>
      </c>
      <c r="AF30" s="226" t="e">
        <f aca="false">((O30/N30)*AH30)+AG30</f>
        <v>#NAME?</v>
      </c>
      <c r="AG30" s="226" t="e">
        <f aca="false">((xSPRDOPT($L30,$J30,$I30,$M30,$O30,$N30,$P30,$Q30-$C$3,$R30,6)*$H30)/100)</f>
        <v>#NAME?</v>
      </c>
      <c r="AH30" s="226" t="e">
        <f aca="false">((xSPRDOPT($L30,$J30,$I30,$M30,$O30,$N30,$P30,$Q30-$C$3,$R30,5)*$H30)/100)</f>
        <v>#NAME?</v>
      </c>
      <c r="AI30" s="226" t="e">
        <f aca="false">(((xSPRDOPT($L30,$J30,$I30,$M30,$O30,$N30,$P30,$Q30-$C$3,$R30,4)*$H30)/10000)/100)-AB30</f>
        <v>#NAME?</v>
      </c>
      <c r="AJ30" s="226"/>
      <c r="AK30" s="226"/>
      <c r="AL30" s="226"/>
      <c r="AM30" s="252"/>
      <c r="AN30" s="208" t="n">
        <f aca="false">EOMONTH(AN29,0)+1</f>
        <v>37438</v>
      </c>
      <c r="AO30" s="134" t="n">
        <f aca="false">SUMIF($X:$X,CONCATENATE($AN30,AO$6),$T:$T)/10000</f>
        <v>0</v>
      </c>
      <c r="AP30" s="134" t="n">
        <f aca="false">SUMIF($X:$X,CONCATENATE($AN30,AP$6),$T:$T)/10000</f>
        <v>0</v>
      </c>
      <c r="AQ30" s="134" t="n">
        <f aca="false">SUMIF($X:$X,CONCATENATE($AN30,AQ$6),$T:$T)/10000</f>
        <v>0</v>
      </c>
      <c r="AR30" s="134" t="n">
        <f aca="false">SUMIF($X:$X,CONCATENATE($AN30,AR$6),$T:$T)/10000</f>
        <v>0</v>
      </c>
      <c r="AS30" s="134" t="n">
        <f aca="false">SUMIF($X:$X,CONCATENATE($AN30,AS$6),$T:$T)/10000</f>
        <v>0</v>
      </c>
      <c r="AT30" s="134" t="n">
        <f aca="false">SUMIF($X:$X,CONCATENATE($AN30,AT$6),$T:$T)/10000</f>
        <v>0</v>
      </c>
      <c r="AU30" s="134" t="n">
        <f aca="false">SUMIF($X:$X,CONCATENATE($AN30,AU$6),$T:$T)/10000</f>
        <v>0</v>
      </c>
      <c r="AV30" s="134" t="n">
        <f aca="false">SUMIF($X:$X,CONCATENATE($AN30,AV$6),$T:$T)/10000</f>
        <v>0</v>
      </c>
      <c r="AW30" s="134" t="n">
        <f aca="false">SUMIF($X:$X,CONCATENATE($AN30,AW$6),$T:$T)/10000</f>
        <v>0</v>
      </c>
      <c r="AX30" s="134" t="n">
        <f aca="false">SUMIF($X:$X,CONCATENATE($AN30,AX$6),$T:$T)/10000</f>
        <v>0</v>
      </c>
      <c r="AY30" s="134" t="n">
        <f aca="false">SUMIF($X:$X,CONCATENATE($AN30,AY$6),$T:$T)/10000</f>
        <v>0</v>
      </c>
      <c r="AZ30" s="134" t="n">
        <f aca="false">SUMIF($X:$X,CONCATENATE($AN30,AZ$6),$T:$T)/10000</f>
        <v>0</v>
      </c>
      <c r="BA30" s="135" t="n">
        <f aca="false">SUMIF($X:$X,CONCATENATE($AN30,BA$6),$T:$T)/10000</f>
        <v>0</v>
      </c>
      <c r="BB30" s="208" t="n">
        <f aca="false">EOMONTH(BB29,0)+1</f>
        <v>37438</v>
      </c>
      <c r="BC30" s="135" t="n">
        <f aca="false">SUM(AO30:BA30)</f>
        <v>0</v>
      </c>
      <c r="BD30" s="2"/>
      <c r="BE30" s="208" t="n">
        <f aca="false">EOMONTH(BE29,0)+1</f>
        <v>37438</v>
      </c>
      <c r="BF30" s="134" t="n">
        <f aca="false">SUMIF($X:$X,CONCATENATE($AN30,BF$6),$W:$W)</f>
        <v>0</v>
      </c>
      <c r="BG30" s="134" t="n">
        <f aca="false">SUMIF($X:$X,CONCATENATE($AN30,BG$6),$W:$W)</f>
        <v>0</v>
      </c>
      <c r="BH30" s="134" t="n">
        <f aca="false">SUMIF($X:$X,CONCATENATE($AN30,BH$6),$W:$W)</f>
        <v>0</v>
      </c>
      <c r="BI30" s="134" t="n">
        <f aca="false">SUMIF($X:$X,CONCATENATE($AN30,BI$6),$W:$W)</f>
        <v>0</v>
      </c>
      <c r="BJ30" s="134" t="n">
        <f aca="false">SUMIF($X:$X,CONCATENATE($AN30,BJ$6),$W:$W)</f>
        <v>0</v>
      </c>
      <c r="BK30" s="134" t="n">
        <f aca="false">SUMIF($X:$X,CONCATENATE($AN30,BK$6),$W:$W)</f>
        <v>0</v>
      </c>
      <c r="BL30" s="134" t="n">
        <f aca="false">SUMIF($X:$X,CONCATENATE($AN30,BL$6),$W:$W)</f>
        <v>0</v>
      </c>
      <c r="BM30" s="134" t="n">
        <f aca="false">SUMIF($X:$X,CONCATENATE($AN30,BM$6),$W:$W)</f>
        <v>0</v>
      </c>
      <c r="BN30" s="134" t="n">
        <f aca="false">SUMIF($X:$X,CONCATENATE($AN30,BN$6),$W:$W)</f>
        <v>0</v>
      </c>
      <c r="BO30" s="134" t="n">
        <f aca="false">SUMIF($X:$X,CONCATENATE($AN30,BO$6),$W:$W)</f>
        <v>0</v>
      </c>
      <c r="BP30" s="134" t="n">
        <f aca="false">SUMIF($X:$X,CONCATENATE($AN30,BP$6),$W:$W)</f>
        <v>0</v>
      </c>
      <c r="BQ30" s="134" t="n">
        <f aca="false">SUMIF($X:$X,CONCATENATE($AN30,BQ$6),$W:$W)</f>
        <v>0</v>
      </c>
      <c r="BR30" s="135" t="n">
        <f aca="false">SUMIF($X:$X,CONCATENATE($AN30,BR$6),$W:$W)</f>
        <v>0</v>
      </c>
      <c r="BS30" s="208" t="n">
        <f aca="false">EOMONTH(BS29,0)+1</f>
        <v>37438</v>
      </c>
      <c r="BT30" s="135" t="n">
        <f aca="false">SUM(BF30:BR30)</f>
        <v>0</v>
      </c>
      <c r="BU30" s="2"/>
      <c r="BV30" s="2"/>
      <c r="BW30" s="2"/>
      <c r="BX30" s="2"/>
      <c r="BY30" s="2"/>
      <c r="BZ30" s="2"/>
      <c r="CA30" s="2"/>
      <c r="CB30" s="2"/>
      <c r="CC30" s="182" t="n">
        <f aca="false">G30</f>
        <v>36923</v>
      </c>
      <c r="CD30" s="253" t="e">
        <f aca="false">xSPRDOPT((VLOOKUP(G30,NGPrices,2,FALSE())+HLOOKUP(D30,Prices,VLOOKUP(G30,move_down,2,FALSE()),FALSE())),VLOOKUP(G30,NGPrices,2,FALSE()),I30,VLOOKUP(G30,NGPREVPRICES,4,FALSE()),HLOOKUP(D30,PREVVOLS,VLOOKUP(G30,MOVE_DOWN2,2,FALSE()),FALSE()),VLOOKUP(G30,NGPREVPRICES,3,FALSE()),HLOOKUP(D30,Correllate,VLOOKUP(G30,CorMove,2,FALSE()),FALSE()),Q30-$CD$3,R30,$CD$5)*H30-CJ30</f>
        <v>#NAME?</v>
      </c>
      <c r="CE30" s="253" t="e">
        <f aca="false">xSPRDOPT((VLOOKUP(G30,NGPREVPRICES,2,FALSE())+HLOOKUP(D30,PREVCURVES,VLOOKUP(G30,MOVE_DOWN2,2,FALSE()),FALSE())),VLOOKUP(G30,NGPREVPRICES,2,FALSE()),CK30,VLOOKUP(G30,NGPrices,4,FALSE()),HLOOKUP(D30,PREVVOLS,VLOOKUP(G30,MOVE_DOWN2,2,FALSE()),FALSE()),VLOOKUP(G30,NGPREVPRICES,3,FALSE()),HLOOKUP(D30,Correllate,VLOOKUP(G30,CorMove,2,FALSE()),FALSE()),Q30-$CD$3,R30,$CJ$5)*H30-CJ30</f>
        <v>#NAME?</v>
      </c>
      <c r="CF30" s="132" t="e">
        <f aca="false">(CJ30/VLOOKUP(CC30,discount,3,FALSE()))-(CJ30/VLOOKUP(CC30,discount,2,FALSE()))</f>
        <v>#NAME?</v>
      </c>
      <c r="CG30" s="253" t="e">
        <f aca="false">xSPRDOPT((VLOOKUP(G30,NGPREVPRICES,2,FALSE())+HLOOKUP(D30,PREVCURVES,VLOOKUP(G30,MOVE_DOWN2,2,FALSE()),FALSE())),VLOOKUP(G30,NGPREVPRICES,2,FALSE()),CK30,VLOOKUP(G30,NGPREVPRICES,4,FALSE()),HLOOKUP(D30,VOLS,VLOOKUP(G30,move_down,2,FALSE()),FALSE()),VLOOKUP(G30,NGPrices,3,FALSE()),HLOOKUP(D30,Correllate,VLOOKUP(G30,CorMove,2,FALSE()),FALSE()),Q30-$CD$3,R30,$CJ$5)*H30-CJ30</f>
        <v>#NAME?</v>
      </c>
      <c r="CH30" s="253" t="e">
        <f aca="false">xSPRDOPT((VLOOKUP(G30,NGPREVPRICES,2,FALSE())+HLOOKUP(D30,PREVCURVES,VLOOKUP(G30,MOVE_DOWN2,2,FALSE()),FALSE())),VLOOKUP(G30,NGPREVPRICES,2,FALSE()),CK30,VLOOKUP(G30,NGPREVPRICES,4,FALSE()),HLOOKUP(D30,PREVVOLS,VLOOKUP(G30,MOVE_DOWN2,2,FALSE()),FALSE()),VLOOKUP(G30,NGPREVPRICES,3,FALSE()),HLOOKUP(D30,Correllate,VLOOKUP(G30,CorMove,2,FALSE()),FALSE()),Q30-$C$3,R30,$CJ$5)*H30-CJ30</f>
        <v>#NAME?</v>
      </c>
      <c r="CI30" s="253" t="e">
        <f aca="false">SUM(CD30:CH30)</f>
        <v>#NAME?</v>
      </c>
      <c r="CJ30" s="253" t="e">
        <f aca="false">xSPRDOPT((VLOOKUP(G30,NGPREVPRICES,2,FALSE())+HLOOKUP(D30,PREVCURVES,VLOOKUP(G30,MOVE_DOWN2,2,FALSE()),FALSE())),VLOOKUP(G30,NGPREVPRICES,2,FALSE()),CK30,VLOOKUP(G30,NGPREVPRICES,4,FALSE()),HLOOKUP(D30,PREVVOLS,VLOOKUP(G30,MOVE_DOWN2,2,FALSE()),FALSE()),VLOOKUP(G30,NGPREVPRICES,3,FALSE()),HLOOKUP(D30,Correllate,VLOOKUP(G30,CorMove,2,FALSE()),FALSE()),Q30-$CD$3,R30,$CJ$5)*H30</f>
        <v>#NAME?</v>
      </c>
      <c r="CK30" s="254" t="n">
        <f aca="false">I30</f>
        <v>0.33</v>
      </c>
      <c r="CM30" s="0" t="str">
        <f aca="false">CONCATENATE(CC30,$CD$6)</f>
        <v>36923Curve Shift/Gamma</v>
      </c>
      <c r="CN30" s="0" t="str">
        <f aca="false">CONCATENATE($CC30,$CE$6)</f>
        <v>36923Rho</v>
      </c>
      <c r="CO30" s="0" t="str">
        <f aca="false">CONCATENATE($CC30,$CF$6)</f>
        <v>36923Drift</v>
      </c>
      <c r="CP30" s="0" t="str">
        <f aca="false">CONCATENATE($CC30,$CG$6)</f>
        <v>36923Vega</v>
      </c>
      <c r="CQ30" s="0" t="str">
        <f aca="false">CONCATENATE($CC30,$CH$6)</f>
        <v>36923Theta</v>
      </c>
      <c r="CR30" s="255" t="n">
        <f aca="false">EOMONTH(CR29,0)+1</f>
        <v>37438</v>
      </c>
      <c r="CS30" s="261" t="n">
        <f aca="false">SUMIF($CM$7:$CM$631,CONCATENATE($CR30,$CS$6),$CD$7:$CD$631)</f>
        <v>0</v>
      </c>
      <c r="CT30" s="262" t="n">
        <f aca="false">SUMIF($CN$7:$CN$636,CONCATENATE($CR30,$CT$6),$CE$7:$CE$631)</f>
        <v>0</v>
      </c>
      <c r="CU30" s="262" t="n">
        <f aca="false">SUMIF($CO$7:$CO$636,CONCATENATE($CR30,$CU$6),$CF$7:$CF$631)</f>
        <v>0</v>
      </c>
      <c r="CV30" s="262" t="n">
        <f aca="false">SUMIF($CP$7:$CP$636,CONCATENATE($CR30,$CV$6),$CG$7:$CG$631)</f>
        <v>0</v>
      </c>
      <c r="CW30" s="263" t="n">
        <f aca="false">SUMIF($CQ$7:$CQ$636,CONCATENATE($CR30,$CW$6),$CH$7:$CH$631)</f>
        <v>0</v>
      </c>
      <c r="CX30" s="264" t="n">
        <f aca="false">SUM(CS30:CW30)</f>
        <v>0</v>
      </c>
      <c r="CZ30" s="255" t="n">
        <f aca="false">CR30</f>
        <v>37438</v>
      </c>
      <c r="DA30" s="261" t="n">
        <f aca="false">SUMIF($CC$7:$CC$1008,$CR30,$CD$7:$CD$1008)</f>
        <v>0</v>
      </c>
      <c r="DB30" s="262" t="n">
        <f aca="false">SUMIF($CC$7:$CC$1008,$CR30,$CE$7:$CE$1008)</f>
        <v>0</v>
      </c>
      <c r="DC30" s="262" t="n">
        <f aca="false">SUMIF($CC$7:$CC$1008,$CR30,$CF$7:$CF$1008)</f>
        <v>0</v>
      </c>
      <c r="DD30" s="262" t="n">
        <f aca="false">SUMIF($CC$7:$CC$1008,$CR30,$CG$7:$CG$1008)</f>
        <v>0</v>
      </c>
      <c r="DE30" s="263" t="n">
        <f aca="false">SUMIF($CC$7:$CC$1008,$CR30,$CH$7:$CH$1008)</f>
        <v>0</v>
      </c>
      <c r="DF30" s="264" t="n">
        <f aca="false">SUM(DA30:DE30)</f>
        <v>0</v>
      </c>
    </row>
    <row r="31" customFormat="false" ht="12" hidden="false" customHeight="true" outlineLevel="0" collapsed="false">
      <c r="A31" s="119" t="s">
        <v>204</v>
      </c>
      <c r="B31" s="0" t="s">
        <v>192</v>
      </c>
      <c r="C31" s="0" t="s">
        <v>205</v>
      </c>
      <c r="D31" s="7" t="s">
        <v>150</v>
      </c>
      <c r="E31" s="0" t="s">
        <v>131</v>
      </c>
      <c r="F31" s="0" t="s">
        <v>136</v>
      </c>
      <c r="G31" s="92" t="n">
        <v>36892</v>
      </c>
      <c r="H31" s="248" t="n">
        <v>310000</v>
      </c>
      <c r="I31" s="0" t="n">
        <v>0.33</v>
      </c>
      <c r="J31" s="124" t="n">
        <f aca="false">VLOOKUP(G31,NGPrices,2,FALSE())</f>
        <v>4.744</v>
      </c>
      <c r="K31" s="125" t="n">
        <f aca="false">HLOOKUP(D31,Prices,VLOOKUP(G31,move_down,2,FALSE()),FALSE())+VLOOKUP(G31,CHANGE,HLOOKUP(D31,CHANGE,2,FALSE()),FALSE())</f>
        <v>0.3</v>
      </c>
      <c r="L31" s="124" t="n">
        <f aca="false">K31+J31</f>
        <v>5.044</v>
      </c>
      <c r="M31" s="126" t="n">
        <f aca="false">VLOOKUP(G31,NGPrices,4,FALSE())</f>
        <v>0.068374831148491</v>
      </c>
      <c r="N31" s="7" t="n">
        <f aca="false">VLOOKUP(G31,NGPrices,3,FALSE())</f>
        <v>0.605</v>
      </c>
      <c r="O31" s="7" t="n">
        <f aca="false">HLOOKUP(D31,VOLS,VLOOKUP(G31,move_down,2,FALSE()),FALSE())</f>
        <v>0.605</v>
      </c>
      <c r="P31" s="249" t="n">
        <f aca="false">HLOOKUP(D31,Correllate,VLOOKUP(G31,CorMove,2,FALSE()),FALSE())</f>
        <v>0.99</v>
      </c>
      <c r="Q31" s="92" t="n">
        <f aca="false">WORKDAY(G31,-2)</f>
        <v>36888</v>
      </c>
      <c r="R31" s="7" t="n">
        <f aca="false">IF(F31="P",0,1)</f>
        <v>1</v>
      </c>
      <c r="S31" s="130" t="e">
        <f aca="false">xSPRDOPT($L31,$J31,$I31,$M31,$O31,$N31,$P31,$Q31-$C$3,$R31,0)</f>
        <v>#NAME?</v>
      </c>
      <c r="T31" s="250" t="e">
        <f aca="false">xSPRDOPT($L31,$J31,$I31,$M31,$O31,$N31,$P31,$Q31-$C$3,$R31,1)*H31</f>
        <v>#NAME?</v>
      </c>
      <c r="U31" s="43" t="e">
        <f aca="false">S31*H31</f>
        <v>#NAME?</v>
      </c>
      <c r="V31" s="250" t="e">
        <f aca="false">xSPRDOPT($L31,$J31,$I31,$M31,$O31,$N31,$P31,$Q31-$C$3,$R31,2)*H31</f>
        <v>#NAME?</v>
      </c>
      <c r="W31" s="250" t="e">
        <f aca="false">+V31+T31</f>
        <v>#NAME?</v>
      </c>
      <c r="X31" s="2" t="str">
        <f aca="false">CONCATENATE(G31,D31)</f>
        <v>36892IF-CGT/APPALAC</v>
      </c>
      <c r="Y31" s="251" t="n">
        <f aca="false">H31/10000</f>
        <v>31</v>
      </c>
      <c r="Z31" s="226" t="e">
        <f aca="false">T31/H31</f>
        <v>#NAME?</v>
      </c>
      <c r="AA31" s="226" t="e">
        <f aca="false">xSPRDOPT($L31,$J31,$I31,$M31,$O31,$N31,$P31,$Q31-$C$3,$R31,3)</f>
        <v>#NAME?</v>
      </c>
      <c r="AB31" s="226" t="e">
        <f aca="false">((xSPRDOPT($L31+AB$5,$J31,$I31,$M31,$O31,$N31,$P31,$Q31-$C$3,$R31,3)*$H31)/10000)/100</f>
        <v>#NAME?</v>
      </c>
      <c r="AC31" s="226" t="e">
        <f aca="false">((xSPRDOPT($L31+$AB$5,$J31,$I31,$M31,$O31,$N31,$P31,$Q31-$C$3,$R31,7)*$H31)/100)</f>
        <v>#NAME?</v>
      </c>
      <c r="AD31" s="226" t="e">
        <f aca="false">(xSPRDOPT($L31+$AB$5,$J31,$I31,$M31,$O31,$N31,$P31,$Q31-$C$3,$R31,9)/365)*$H31</f>
        <v>#NAME?</v>
      </c>
      <c r="AE31" s="0" t="e">
        <f aca="false">CD31</f>
        <v>#NAME?</v>
      </c>
      <c r="AF31" s="226" t="e">
        <f aca="false">((O31/N31)*AH31)+AG31</f>
        <v>#NAME?</v>
      </c>
      <c r="AG31" s="226" t="e">
        <f aca="false">((xSPRDOPT($L31,$J31,$I31,$M31,$O31,$N31,$P31,$Q31-$C$3,$R31,6)*$H31)/100)</f>
        <v>#NAME?</v>
      </c>
      <c r="AH31" s="226" t="e">
        <f aca="false">((xSPRDOPT($L31,$J31,$I31,$M31,$O31,$N31,$P31,$Q31-$C$3,$R31,5)*$H31)/100)</f>
        <v>#NAME?</v>
      </c>
      <c r="AI31" s="226" t="e">
        <f aca="false">(((xSPRDOPT($L31,$J31,$I31,$M31,$O31,$N31,$P31,$Q31-$C$3,$R31,4)*$H31)/10000)/100)-AB31</f>
        <v>#NAME?</v>
      </c>
      <c r="AJ31" s="226"/>
      <c r="AK31" s="226"/>
      <c r="AL31" s="226"/>
      <c r="AM31" s="252"/>
      <c r="AN31" s="208" t="n">
        <f aca="false">EOMONTH(AN30,0)+1</f>
        <v>37469</v>
      </c>
      <c r="AO31" s="134" t="n">
        <f aca="false">SUMIF($X:$X,CONCATENATE($AN31,AO$6),$T:$T)/10000</f>
        <v>0</v>
      </c>
      <c r="AP31" s="134" t="n">
        <f aca="false">SUMIF($X:$X,CONCATENATE($AN31,AP$6),$T:$T)/10000</f>
        <v>0</v>
      </c>
      <c r="AQ31" s="134" t="n">
        <f aca="false">SUMIF($X:$X,CONCATENATE($AN31,AQ$6),$T:$T)/10000</f>
        <v>0</v>
      </c>
      <c r="AR31" s="134" t="n">
        <f aca="false">SUMIF($X:$X,CONCATENATE($AN31,AR$6),$T:$T)/10000</f>
        <v>0</v>
      </c>
      <c r="AS31" s="134" t="n">
        <f aca="false">SUMIF($X:$X,CONCATENATE($AN31,AS$6),$T:$T)/10000</f>
        <v>0</v>
      </c>
      <c r="AT31" s="134" t="n">
        <f aca="false">SUMIF($X:$X,CONCATENATE($AN31,AT$6),$T:$T)/10000</f>
        <v>0</v>
      </c>
      <c r="AU31" s="134" t="n">
        <f aca="false">SUMIF($X:$X,CONCATENATE($AN31,AU$6),$T:$T)/10000</f>
        <v>0</v>
      </c>
      <c r="AV31" s="134" t="n">
        <f aca="false">SUMIF($X:$X,CONCATENATE($AN31,AV$6),$T:$T)/10000</f>
        <v>0</v>
      </c>
      <c r="AW31" s="134" t="n">
        <f aca="false">SUMIF($X:$X,CONCATENATE($AN31,AW$6),$T:$T)/10000</f>
        <v>0</v>
      </c>
      <c r="AX31" s="134" t="n">
        <f aca="false">SUMIF($X:$X,CONCATENATE($AN31,AX$6),$T:$T)/10000</f>
        <v>0</v>
      </c>
      <c r="AY31" s="134" t="n">
        <f aca="false">SUMIF($X:$X,CONCATENATE($AN31,AY$6),$T:$T)/10000</f>
        <v>0</v>
      </c>
      <c r="AZ31" s="134" t="n">
        <f aca="false">SUMIF($X:$X,CONCATENATE($AN31,AZ$6),$T:$T)/10000</f>
        <v>0</v>
      </c>
      <c r="BA31" s="135" t="n">
        <f aca="false">SUMIF($X:$X,CONCATENATE($AN31,BA$6),$T:$T)/10000</f>
        <v>0</v>
      </c>
      <c r="BB31" s="208" t="n">
        <f aca="false">EOMONTH(BB30,0)+1</f>
        <v>37469</v>
      </c>
      <c r="BC31" s="135" t="n">
        <f aca="false">SUM(AO31:BA31)</f>
        <v>0</v>
      </c>
      <c r="BD31" s="2"/>
      <c r="BE31" s="208" t="n">
        <f aca="false">EOMONTH(BE30,0)+1</f>
        <v>37469</v>
      </c>
      <c r="BF31" s="134" t="n">
        <f aca="false">SUMIF($X:$X,CONCATENATE($AN31,BF$6),$W:$W)</f>
        <v>0</v>
      </c>
      <c r="BG31" s="134" t="n">
        <f aca="false">SUMIF($X:$X,CONCATENATE($AN31,BG$6),$W:$W)</f>
        <v>0</v>
      </c>
      <c r="BH31" s="134" t="n">
        <f aca="false">SUMIF($X:$X,CONCATENATE($AN31,BH$6),$W:$W)</f>
        <v>0</v>
      </c>
      <c r="BI31" s="134" t="n">
        <f aca="false">SUMIF($X:$X,CONCATENATE($AN31,BI$6),$W:$W)</f>
        <v>0</v>
      </c>
      <c r="BJ31" s="134" t="n">
        <f aca="false">SUMIF($X:$X,CONCATENATE($AN31,BJ$6),$W:$W)</f>
        <v>0</v>
      </c>
      <c r="BK31" s="134" t="n">
        <f aca="false">SUMIF($X:$X,CONCATENATE($AN31,BK$6),$W:$W)</f>
        <v>0</v>
      </c>
      <c r="BL31" s="134" t="n">
        <f aca="false">SUMIF($X:$X,CONCATENATE($AN31,BL$6),$W:$W)</f>
        <v>0</v>
      </c>
      <c r="BM31" s="134" t="n">
        <f aca="false">SUMIF($X:$X,CONCATENATE($AN31,BM$6),$W:$W)</f>
        <v>0</v>
      </c>
      <c r="BN31" s="134" t="n">
        <f aca="false">SUMIF($X:$X,CONCATENATE($AN31,BN$6),$W:$W)</f>
        <v>0</v>
      </c>
      <c r="BO31" s="134" t="n">
        <f aca="false">SUMIF($X:$X,CONCATENATE($AN31,BO$6),$W:$W)</f>
        <v>0</v>
      </c>
      <c r="BP31" s="134" t="n">
        <f aca="false">SUMIF($X:$X,CONCATENATE($AN31,BP$6),$W:$W)</f>
        <v>0</v>
      </c>
      <c r="BQ31" s="134" t="n">
        <f aca="false">SUMIF($X:$X,CONCATENATE($AN31,BQ$6),$W:$W)</f>
        <v>0</v>
      </c>
      <c r="BR31" s="135" t="n">
        <f aca="false">SUMIF($X:$X,CONCATENATE($AN31,BR$6),$W:$W)</f>
        <v>0</v>
      </c>
      <c r="BS31" s="208" t="n">
        <f aca="false">EOMONTH(BS30,0)+1</f>
        <v>37469</v>
      </c>
      <c r="BT31" s="135" t="n">
        <f aca="false">SUM(BF31:BR31)</f>
        <v>0</v>
      </c>
      <c r="BU31" s="2"/>
      <c r="BV31" s="2"/>
      <c r="BW31" s="2"/>
      <c r="BX31" s="2"/>
      <c r="BY31" s="2"/>
      <c r="BZ31" s="2"/>
      <c r="CA31" s="2"/>
      <c r="CB31" s="2"/>
      <c r="CC31" s="182" t="n">
        <f aca="false">G31</f>
        <v>36892</v>
      </c>
      <c r="CD31" s="253" t="e">
        <f aca="false">xSPRDOPT((VLOOKUP(G31,NGPrices,2,FALSE())+HLOOKUP(D31,Prices,VLOOKUP(G31,move_down,2,FALSE()),FALSE())),VLOOKUP(G31,NGPrices,2,FALSE()),I31,VLOOKUP(G31,NGPREVPRICES,4,FALSE()),HLOOKUP(D31,PREVVOLS,VLOOKUP(G31,MOVE_DOWN2,2,FALSE()),FALSE()),VLOOKUP(G31,NGPREVPRICES,3,FALSE()),HLOOKUP(D31,Correllate,VLOOKUP(G31,CorMove,2,FALSE()),FALSE()),Q31-$CD$3,R31,$CD$5)*H31-CJ31</f>
        <v>#NAME?</v>
      </c>
      <c r="CE31" s="253" t="e">
        <f aca="false">xSPRDOPT((VLOOKUP(G31,NGPREVPRICES,2,FALSE())+HLOOKUP(D31,PREVCURVES,VLOOKUP(G31,MOVE_DOWN2,2,FALSE()),FALSE())),VLOOKUP(G31,NGPREVPRICES,2,FALSE()),CK31,VLOOKUP(G31,NGPrices,4,FALSE()),HLOOKUP(D31,PREVVOLS,VLOOKUP(G31,MOVE_DOWN2,2,FALSE()),FALSE()),VLOOKUP(G31,NGPREVPRICES,3,FALSE()),HLOOKUP(D31,Correllate,VLOOKUP(G31,CorMove,2,FALSE()),FALSE()),Q31-$CD$3,R31,$CJ$5)*H31-CJ31</f>
        <v>#NAME?</v>
      </c>
      <c r="CF31" s="132" t="e">
        <f aca="false">(CJ31/VLOOKUP(CC31,discount,3,FALSE()))-(CJ31/VLOOKUP(CC31,discount,2,FALSE()))</f>
        <v>#NAME?</v>
      </c>
      <c r="CG31" s="253" t="e">
        <f aca="false">xSPRDOPT((VLOOKUP(G31,NGPREVPRICES,2,FALSE())+HLOOKUP(D31,PREVCURVES,VLOOKUP(G31,MOVE_DOWN2,2,FALSE()),FALSE())),VLOOKUP(G31,NGPREVPRICES,2,FALSE()),CK31,VLOOKUP(G31,NGPREVPRICES,4,FALSE()),HLOOKUP(D31,VOLS,VLOOKUP(G31,move_down,2,FALSE()),FALSE()),VLOOKUP(G31,NGPrices,3,FALSE()),HLOOKUP(D31,Correllate,VLOOKUP(G31,CorMove,2,FALSE()),FALSE()),Q31-$CD$3,R31,$CJ$5)*H31-CJ31</f>
        <v>#NAME?</v>
      </c>
      <c r="CH31" s="253" t="e">
        <f aca="false">xSPRDOPT((VLOOKUP(G31,NGPREVPRICES,2,FALSE())+HLOOKUP(D31,PREVCURVES,VLOOKUP(G31,MOVE_DOWN2,2,FALSE()),FALSE())),VLOOKUP(G31,NGPREVPRICES,2,FALSE()),CK31,VLOOKUP(G31,NGPREVPRICES,4,FALSE()),HLOOKUP(D31,PREVVOLS,VLOOKUP(G31,MOVE_DOWN2,2,FALSE()),FALSE()),VLOOKUP(G31,NGPREVPRICES,3,FALSE()),HLOOKUP(D31,Correllate,VLOOKUP(G31,CorMove,2,FALSE()),FALSE()),Q31-$C$3,R31,$CJ$5)*H31-CJ31</f>
        <v>#NAME?</v>
      </c>
      <c r="CI31" s="253" t="e">
        <f aca="false">SUM(CD31:CH31)</f>
        <v>#NAME?</v>
      </c>
      <c r="CJ31" s="253" t="e">
        <f aca="false">xSPRDOPT((VLOOKUP(G31,NGPREVPRICES,2,FALSE())+HLOOKUP(D31,PREVCURVES,VLOOKUP(G31,MOVE_DOWN2,2,FALSE()),FALSE())),VLOOKUP(G31,NGPREVPRICES,2,FALSE()),CK31,VLOOKUP(G31,NGPREVPRICES,4,FALSE()),HLOOKUP(D31,PREVVOLS,VLOOKUP(G31,MOVE_DOWN2,2,FALSE()),FALSE()),VLOOKUP(G31,NGPREVPRICES,3,FALSE()),HLOOKUP(D31,Correllate,VLOOKUP(G31,CorMove,2,FALSE()),FALSE()),Q31-$CD$3,R31,$CJ$5)*H31</f>
        <v>#NAME?</v>
      </c>
      <c r="CK31" s="254" t="n">
        <f aca="false">I31</f>
        <v>0.33</v>
      </c>
      <c r="CM31" s="0" t="str">
        <f aca="false">CONCATENATE(CC31,$CD$6)</f>
        <v>36892Curve Shift/Gamma</v>
      </c>
      <c r="CN31" s="0" t="str">
        <f aca="false">CONCATENATE($CC31,$CE$6)</f>
        <v>36892Rho</v>
      </c>
      <c r="CO31" s="0" t="str">
        <f aca="false">CONCATENATE($CC31,$CF$6)</f>
        <v>36892Drift</v>
      </c>
      <c r="CP31" s="0" t="str">
        <f aca="false">CONCATENATE($CC31,$CG$6)</f>
        <v>36892Vega</v>
      </c>
      <c r="CQ31" s="0" t="str">
        <f aca="false">CONCATENATE($CC31,$CH$6)</f>
        <v>36892Theta</v>
      </c>
      <c r="CR31" s="255" t="n">
        <f aca="false">EOMONTH(CR30,0)+1</f>
        <v>37469</v>
      </c>
      <c r="CS31" s="261" t="n">
        <f aca="false">SUMIF($CM$7:$CM$631,CONCATENATE($CR31,$CS$6),$CD$7:$CD$631)</f>
        <v>0</v>
      </c>
      <c r="CT31" s="262" t="n">
        <f aca="false">SUMIF($CN$7:$CN$636,CONCATENATE($CR31,$CT$6),$CE$7:$CE$631)</f>
        <v>0</v>
      </c>
      <c r="CU31" s="262" t="n">
        <f aca="false">SUMIF($CO$7:$CO$636,CONCATENATE($CR31,$CU$6),$CF$7:$CF$631)</f>
        <v>0</v>
      </c>
      <c r="CV31" s="262" t="n">
        <f aca="false">SUMIF($CP$7:$CP$636,CONCATENATE($CR31,$CV$6),$CG$7:$CG$631)</f>
        <v>0</v>
      </c>
      <c r="CW31" s="263" t="n">
        <f aca="false">SUMIF($CQ$7:$CQ$636,CONCATENATE($CR31,$CW$6),$CH$7:$CH$631)</f>
        <v>0</v>
      </c>
      <c r="CX31" s="264" t="n">
        <f aca="false">SUM(CS31:CW31)</f>
        <v>0</v>
      </c>
      <c r="CZ31" s="255" t="n">
        <f aca="false">CR31</f>
        <v>37469</v>
      </c>
      <c r="DA31" s="261" t="n">
        <f aca="false">SUMIF($CC$7:$CC$1008,$CR31,$CD$7:$CD$1008)</f>
        <v>0</v>
      </c>
      <c r="DB31" s="262" t="n">
        <f aca="false">SUMIF($CC$7:$CC$1008,$CR31,$CE$7:$CE$1008)</f>
        <v>0</v>
      </c>
      <c r="DC31" s="262" t="n">
        <f aca="false">SUMIF($CC$7:$CC$1008,$CR31,$CF$7:$CF$1008)</f>
        <v>0</v>
      </c>
      <c r="DD31" s="262" t="n">
        <f aca="false">SUMIF($CC$7:$CC$1008,$CR31,$CG$7:$CG$1008)</f>
        <v>0</v>
      </c>
      <c r="DE31" s="263" t="n">
        <f aca="false">SUMIF($CC$7:$CC$1008,$CR31,$CH$7:$CH$1008)</f>
        <v>0</v>
      </c>
      <c r="DF31" s="264" t="n">
        <f aca="false">SUM(DA31:DE31)</f>
        <v>0</v>
      </c>
    </row>
    <row r="32" customFormat="false" ht="12" hidden="false" customHeight="true" outlineLevel="0" collapsed="false">
      <c r="A32" s="17" t="s">
        <v>204</v>
      </c>
      <c r="B32" s="0" t="s">
        <v>192</v>
      </c>
      <c r="C32" s="0" t="s">
        <v>205</v>
      </c>
      <c r="D32" s="7" t="s">
        <v>150</v>
      </c>
      <c r="E32" s="0" t="s">
        <v>131</v>
      </c>
      <c r="F32" s="0" t="s">
        <v>136</v>
      </c>
      <c r="G32" s="92" t="n">
        <v>36861</v>
      </c>
      <c r="H32" s="248" t="n">
        <v>310000</v>
      </c>
      <c r="I32" s="0" t="n">
        <v>0.33</v>
      </c>
      <c r="J32" s="124" t="n">
        <f aca="false">VLOOKUP(G32,NGPrices,2,FALSE())</f>
        <v>4.8</v>
      </c>
      <c r="K32" s="125" t="n">
        <f aca="false">HLOOKUP(D32,Prices,VLOOKUP(G32,move_down,2,FALSE()),FALSE())+VLOOKUP(G32,CHANGE,HLOOKUP(D32,CHANGE,2,FALSE()),FALSE())</f>
        <v>0.295</v>
      </c>
      <c r="L32" s="124" t="n">
        <f aca="false">K32+J32</f>
        <v>5.095</v>
      </c>
      <c r="M32" s="126" t="n">
        <f aca="false">VLOOKUP(G32,NGPrices,4,FALSE())</f>
        <v>0.068314027999354</v>
      </c>
      <c r="N32" s="7" t="n">
        <f aca="false">VLOOKUP(G32,NGPrices,3,FALSE())</f>
        <v>0.6</v>
      </c>
      <c r="O32" s="7" t="n">
        <f aca="false">HLOOKUP(D32,VOLS,VLOOKUP(G32,move_down,2,FALSE()),FALSE())</f>
        <v>0.6</v>
      </c>
      <c r="P32" s="249" t="n">
        <f aca="false">HLOOKUP(D32,Correllate,VLOOKUP(G32,CorMove,2,FALSE()),FALSE())</f>
        <v>0.99</v>
      </c>
      <c r="Q32" s="92" t="n">
        <f aca="false">WORKDAY(G32,-2)</f>
        <v>36859</v>
      </c>
      <c r="R32" s="7" t="n">
        <f aca="false">IF(F32="P",0,1)</f>
        <v>1</v>
      </c>
      <c r="S32" s="130" t="e">
        <f aca="false">xSPRDOPT($L32,$J32,$I32,$M32,$O32,$N32,$P32,$Q32-$C$3,$R32,0)</f>
        <v>#NAME?</v>
      </c>
      <c r="T32" s="250" t="e">
        <f aca="false">xSPRDOPT($L32,$J32,$I32,$M32,$O32,$N32,$P32,$Q32-$C$3,$R32,1)*H32</f>
        <v>#NAME?</v>
      </c>
      <c r="U32" s="43" t="e">
        <f aca="false">S32*H32</f>
        <v>#NAME?</v>
      </c>
      <c r="V32" s="250" t="e">
        <f aca="false">xSPRDOPT($L32,$J32,$I32,$M32,$O32,$N32,$P32,$Q32-$C$3,$R32,2)*H32</f>
        <v>#NAME?</v>
      </c>
      <c r="W32" s="250" t="e">
        <f aca="false">+V32+T32</f>
        <v>#NAME?</v>
      </c>
      <c r="X32" s="2" t="str">
        <f aca="false">CONCATENATE(G32,D32)</f>
        <v>36861IF-CGT/APPALAC</v>
      </c>
      <c r="Y32" s="251" t="n">
        <f aca="false">H32/10000</f>
        <v>31</v>
      </c>
      <c r="Z32" s="226" t="e">
        <f aca="false">T32/H32</f>
        <v>#NAME?</v>
      </c>
      <c r="AA32" s="226" t="e">
        <f aca="false">xSPRDOPT($L32,$J32,$I32,$M32,$O32,$N32,$P32,$Q32-$C$3,$R32,3)</f>
        <v>#NAME?</v>
      </c>
      <c r="AB32" s="226" t="e">
        <f aca="false">((xSPRDOPT($L32+AB$5,$J32,$I32,$M32,$O32,$N32,$P32,$Q32-$C$3,$R32,3)*$H32)/10000)/100</f>
        <v>#NAME?</v>
      </c>
      <c r="AC32" s="226" t="e">
        <f aca="false">((xSPRDOPT($L32+$AB$5,$J32,$I32,$M32,$O32,$N32,$P32,$Q32-$C$3,$R32,7)*$H32)/100)</f>
        <v>#NAME?</v>
      </c>
      <c r="AD32" s="226" t="e">
        <f aca="false">(xSPRDOPT($L32+$AB$5,$J32,$I32,$M32,$O32,$N32,$P32,$Q32-$C$3,$R32,9)/365)*$H32</f>
        <v>#NAME?</v>
      </c>
      <c r="AE32" s="0" t="e">
        <f aca="false">CD32</f>
        <v>#NAME?</v>
      </c>
      <c r="AF32" s="226" t="e">
        <f aca="false">((O32/N32)*AH32)+AG32</f>
        <v>#NAME?</v>
      </c>
      <c r="AG32" s="226" t="e">
        <f aca="false">((xSPRDOPT($L32,$J32,$I32,$M32,$O32,$N32,$P32,$Q32-$C$3,$R32,6)*$H32)/100)</f>
        <v>#NAME?</v>
      </c>
      <c r="AH32" s="226" t="e">
        <f aca="false">((xSPRDOPT($L32,$J32,$I32,$M32,$O32,$N32,$P32,$Q32-$C$3,$R32,5)*$H32)/100)</f>
        <v>#NAME?</v>
      </c>
      <c r="AI32" s="226" t="e">
        <f aca="false">(((xSPRDOPT($L32,$J32,$I32,$M32,$O32,$N32,$P32,$Q32-$C$3,$R32,4)*$H32)/10000)/100)-AB32</f>
        <v>#NAME?</v>
      </c>
      <c r="AJ32" s="226"/>
      <c r="AK32" s="226"/>
      <c r="AL32" s="226"/>
      <c r="AM32" s="252"/>
      <c r="AN32" s="208" t="n">
        <f aca="false">EOMONTH(AN31,0)+1</f>
        <v>37500</v>
      </c>
      <c r="AO32" s="134" t="n">
        <f aca="false">SUMIF($X:$X,CONCATENATE($AN32,AO$6),$T:$T)/10000</f>
        <v>0</v>
      </c>
      <c r="AP32" s="134" t="n">
        <f aca="false">SUMIF($X:$X,CONCATENATE($AN32,AP$6),$T:$T)/10000</f>
        <v>0</v>
      </c>
      <c r="AQ32" s="134" t="n">
        <f aca="false">SUMIF($X:$X,CONCATENATE($AN32,AQ$6),$T:$T)/10000</f>
        <v>0</v>
      </c>
      <c r="AR32" s="134" t="n">
        <f aca="false">SUMIF($X:$X,CONCATENATE($AN32,AR$6),$T:$T)/10000</f>
        <v>0</v>
      </c>
      <c r="AS32" s="134" t="n">
        <f aca="false">SUMIF($X:$X,CONCATENATE($AN32,AS$6),$T:$T)/10000</f>
        <v>0</v>
      </c>
      <c r="AT32" s="134" t="n">
        <f aca="false">SUMIF($X:$X,CONCATENATE($AN32,AT$6),$T:$T)/10000</f>
        <v>0</v>
      </c>
      <c r="AU32" s="134" t="n">
        <f aca="false">SUMIF($X:$X,CONCATENATE($AN32,AU$6),$T:$T)/10000</f>
        <v>0</v>
      </c>
      <c r="AV32" s="134" t="n">
        <f aca="false">SUMIF($X:$X,CONCATENATE($AN32,AV$6),$T:$T)/10000</f>
        <v>0</v>
      </c>
      <c r="AW32" s="134" t="n">
        <f aca="false">SUMIF($X:$X,CONCATENATE($AN32,AW$6),$T:$T)/10000</f>
        <v>0</v>
      </c>
      <c r="AX32" s="134" t="n">
        <f aca="false">SUMIF($X:$X,CONCATENATE($AN32,AX$6),$T:$T)/10000</f>
        <v>0</v>
      </c>
      <c r="AY32" s="134" t="n">
        <f aca="false">SUMIF($X:$X,CONCATENATE($AN32,AY$6),$T:$T)/10000</f>
        <v>0</v>
      </c>
      <c r="AZ32" s="134" t="n">
        <f aca="false">SUMIF($X:$X,CONCATENATE($AN32,AZ$6),$T:$T)/10000</f>
        <v>0</v>
      </c>
      <c r="BA32" s="135" t="n">
        <f aca="false">SUMIF($X:$X,CONCATENATE($AN32,BA$6),$T:$T)/10000</f>
        <v>0</v>
      </c>
      <c r="BB32" s="208" t="n">
        <f aca="false">EOMONTH(BB31,0)+1</f>
        <v>37500</v>
      </c>
      <c r="BC32" s="135" t="n">
        <f aca="false">SUM(AO32:BA32)</f>
        <v>0</v>
      </c>
      <c r="BD32" s="2"/>
      <c r="BE32" s="208" t="n">
        <f aca="false">EOMONTH(BE31,0)+1</f>
        <v>37500</v>
      </c>
      <c r="BF32" s="134" t="n">
        <f aca="false">SUMIF($X:$X,CONCATENATE($AN32,BF$6),$W:$W)</f>
        <v>0</v>
      </c>
      <c r="BG32" s="134" t="n">
        <f aca="false">SUMIF($X:$X,CONCATENATE($AN32,BG$6),$W:$W)</f>
        <v>0</v>
      </c>
      <c r="BH32" s="134" t="n">
        <f aca="false">SUMIF($X:$X,CONCATENATE($AN32,BH$6),$W:$W)</f>
        <v>0</v>
      </c>
      <c r="BI32" s="134" t="n">
        <f aca="false">SUMIF($X:$X,CONCATENATE($AN32,BI$6),$W:$W)</f>
        <v>0</v>
      </c>
      <c r="BJ32" s="134" t="n">
        <f aca="false">SUMIF($X:$X,CONCATENATE($AN32,BJ$6),$W:$W)</f>
        <v>0</v>
      </c>
      <c r="BK32" s="134" t="n">
        <f aca="false">SUMIF($X:$X,CONCATENATE($AN32,BK$6),$W:$W)</f>
        <v>0</v>
      </c>
      <c r="BL32" s="134" t="n">
        <f aca="false">SUMIF($X:$X,CONCATENATE($AN32,BL$6),$W:$W)</f>
        <v>0</v>
      </c>
      <c r="BM32" s="134" t="n">
        <f aca="false">SUMIF($X:$X,CONCATENATE($AN32,BM$6),$W:$W)</f>
        <v>0</v>
      </c>
      <c r="BN32" s="134" t="n">
        <f aca="false">SUMIF($X:$X,CONCATENATE($AN32,BN$6),$W:$W)</f>
        <v>0</v>
      </c>
      <c r="BO32" s="134" t="n">
        <f aca="false">SUMIF($X:$X,CONCATENATE($AN32,BO$6),$W:$W)</f>
        <v>0</v>
      </c>
      <c r="BP32" s="134" t="n">
        <f aca="false">SUMIF($X:$X,CONCATENATE($AN32,BP$6),$W:$W)</f>
        <v>0</v>
      </c>
      <c r="BQ32" s="134" t="n">
        <f aca="false">SUMIF($X:$X,CONCATENATE($AN32,BQ$6),$W:$W)</f>
        <v>0</v>
      </c>
      <c r="BR32" s="135" t="n">
        <f aca="false">SUMIF($X:$X,CONCATENATE($AN32,BR$6),$W:$W)</f>
        <v>0</v>
      </c>
      <c r="BS32" s="208" t="n">
        <f aca="false">EOMONTH(BS31,0)+1</f>
        <v>37500</v>
      </c>
      <c r="BT32" s="135" t="n">
        <f aca="false">SUM(BF32:BR32)</f>
        <v>0</v>
      </c>
      <c r="BU32" s="2"/>
      <c r="BV32" s="2"/>
      <c r="BW32" s="2"/>
      <c r="BX32" s="2"/>
      <c r="BY32" s="2"/>
      <c r="BZ32" s="2"/>
      <c r="CA32" s="2"/>
      <c r="CB32" s="2"/>
      <c r="CC32" s="182" t="n">
        <f aca="false">G32</f>
        <v>36861</v>
      </c>
      <c r="CD32" s="253" t="e">
        <f aca="false">xSPRDOPT((VLOOKUP(G32,NGPrices,2,FALSE())+HLOOKUP(D32,Prices,VLOOKUP(G32,move_down,2,FALSE()),FALSE())),VLOOKUP(G32,NGPrices,2,FALSE()),I32,VLOOKUP(G32,NGPREVPRICES,4,FALSE()),HLOOKUP(D32,PREVVOLS,VLOOKUP(G32,MOVE_DOWN2,2,FALSE()),FALSE()),VLOOKUP(G32,NGPREVPRICES,3,FALSE()),HLOOKUP(D32,Correllate,VLOOKUP(G32,CorMove,2,FALSE()),FALSE()),Q32-$CD$3,R32,$CD$5)*H32-CJ32</f>
        <v>#NAME?</v>
      </c>
      <c r="CE32" s="253" t="e">
        <f aca="false">xSPRDOPT((VLOOKUP(G32,NGPREVPRICES,2,FALSE())+HLOOKUP(D32,PREVCURVES,VLOOKUP(G32,MOVE_DOWN2,2,FALSE()),FALSE())),VLOOKUP(G32,NGPREVPRICES,2,FALSE()),CK32,VLOOKUP(G32,NGPrices,4,FALSE()),HLOOKUP(D32,PREVVOLS,VLOOKUP(G32,MOVE_DOWN2,2,FALSE()),FALSE()),VLOOKUP(G32,NGPREVPRICES,3,FALSE()),HLOOKUP(D32,Correllate,VLOOKUP(G32,CorMove,2,FALSE()),FALSE()),Q32-$CD$3,R32,$CJ$5)*H32-CJ32</f>
        <v>#NAME?</v>
      </c>
      <c r="CF32" s="132" t="e">
        <f aca="false">(CJ32/VLOOKUP(CC32,discount,3,FALSE()))-(CJ32/VLOOKUP(CC32,discount,2,FALSE()))</f>
        <v>#NAME?</v>
      </c>
      <c r="CG32" s="253" t="e">
        <f aca="false">xSPRDOPT((VLOOKUP(G32,NGPREVPRICES,2,FALSE())+HLOOKUP(D32,PREVCURVES,VLOOKUP(G32,MOVE_DOWN2,2,FALSE()),FALSE())),VLOOKUP(G32,NGPREVPRICES,2,FALSE()),CK32,VLOOKUP(G32,NGPREVPRICES,4,FALSE()),HLOOKUP(D32,VOLS,VLOOKUP(G32,move_down,2,FALSE()),FALSE()),VLOOKUP(G32,NGPrices,3,FALSE()),HLOOKUP(D32,Correllate,VLOOKUP(G32,CorMove,2,FALSE()),FALSE()),Q32-$CD$3,R32,$CJ$5)*H32-CJ32</f>
        <v>#NAME?</v>
      </c>
      <c r="CH32" s="253" t="e">
        <f aca="false">xSPRDOPT((VLOOKUP(G32,NGPREVPRICES,2,FALSE())+HLOOKUP(D32,PREVCURVES,VLOOKUP(G32,MOVE_DOWN2,2,FALSE()),FALSE())),VLOOKUP(G32,NGPREVPRICES,2,FALSE()),CK32,VLOOKUP(G32,NGPREVPRICES,4,FALSE()),HLOOKUP(D32,PREVVOLS,VLOOKUP(G32,MOVE_DOWN2,2,FALSE()),FALSE()),VLOOKUP(G32,NGPREVPRICES,3,FALSE()),HLOOKUP(D32,Correllate,VLOOKUP(G32,CorMove,2,FALSE()),FALSE()),Q32-$C$3,R32,$CJ$5)*H32-CJ32</f>
        <v>#NAME?</v>
      </c>
      <c r="CI32" s="253" t="e">
        <f aca="false">SUM(CD32:CH32)</f>
        <v>#NAME?</v>
      </c>
      <c r="CJ32" s="253" t="e">
        <f aca="false">xSPRDOPT((VLOOKUP(G32,NGPREVPRICES,2,FALSE())+HLOOKUP(D32,PREVCURVES,VLOOKUP(G32,MOVE_DOWN2,2,FALSE()),FALSE())),VLOOKUP(G32,NGPREVPRICES,2,FALSE()),CK32,VLOOKUP(G32,NGPREVPRICES,4,FALSE()),HLOOKUP(D32,PREVVOLS,VLOOKUP(G32,MOVE_DOWN2,2,FALSE()),FALSE()),VLOOKUP(G32,NGPREVPRICES,3,FALSE()),HLOOKUP(D32,Correllate,VLOOKUP(G32,CorMove,2,FALSE()),FALSE()),Q32-$CD$3,R32,$CJ$5)*H32</f>
        <v>#NAME?</v>
      </c>
      <c r="CK32" s="254" t="n">
        <f aca="false">I32</f>
        <v>0.33</v>
      </c>
      <c r="CM32" s="0" t="str">
        <f aca="false">CONCATENATE(CC32,$CD$6)</f>
        <v>36861Curve Shift/Gamma</v>
      </c>
      <c r="CN32" s="0" t="str">
        <f aca="false">CONCATENATE($CC32,$CE$6)</f>
        <v>36861Rho</v>
      </c>
      <c r="CO32" s="0" t="str">
        <f aca="false">CONCATENATE($CC32,$CF$6)</f>
        <v>36861Drift</v>
      </c>
      <c r="CP32" s="0" t="str">
        <f aca="false">CONCATENATE($CC32,$CG$6)</f>
        <v>36861Vega</v>
      </c>
      <c r="CQ32" s="0" t="str">
        <f aca="false">CONCATENATE($CC32,$CH$6)</f>
        <v>36861Theta</v>
      </c>
      <c r="CR32" s="255" t="n">
        <f aca="false">EOMONTH(CR31,0)+1</f>
        <v>37500</v>
      </c>
      <c r="CS32" s="261" t="n">
        <f aca="false">SUMIF($CM$7:$CM$631,CONCATENATE($CR32,$CS$6),$CD$7:$CD$631)</f>
        <v>0</v>
      </c>
      <c r="CT32" s="262" t="n">
        <f aca="false">SUMIF($CN$7:$CN$636,CONCATENATE($CR32,$CT$6),$CE$7:$CE$631)</f>
        <v>0</v>
      </c>
      <c r="CU32" s="262" t="n">
        <f aca="false">SUMIF($CO$7:$CO$636,CONCATENATE($CR32,$CU$6),$CF$7:$CF$631)</f>
        <v>0</v>
      </c>
      <c r="CV32" s="262" t="n">
        <f aca="false">SUMIF($CP$7:$CP$636,CONCATENATE($CR32,$CV$6),$CG$7:$CG$631)</f>
        <v>0</v>
      </c>
      <c r="CW32" s="263" t="n">
        <f aca="false">SUMIF($CQ$7:$CQ$636,CONCATENATE($CR32,$CW$6),$CH$7:$CH$631)</f>
        <v>0</v>
      </c>
      <c r="CX32" s="264" t="n">
        <f aca="false">SUM(CS32:CW32)</f>
        <v>0</v>
      </c>
      <c r="CZ32" s="255" t="n">
        <f aca="false">CR32</f>
        <v>37500</v>
      </c>
      <c r="DA32" s="261" t="n">
        <f aca="false">SUMIF($CC$7:$CC$1008,$CR32,$CD$7:$CD$1008)</f>
        <v>0</v>
      </c>
      <c r="DB32" s="262" t="n">
        <f aca="false">SUMIF($CC$7:$CC$1008,$CR32,$CE$7:$CE$1008)</f>
        <v>0</v>
      </c>
      <c r="DC32" s="262" t="n">
        <f aca="false">SUMIF($CC$7:$CC$1008,$CR32,$CF$7:$CF$1008)</f>
        <v>0</v>
      </c>
      <c r="DD32" s="262" t="n">
        <f aca="false">SUMIF($CC$7:$CC$1008,$CR32,$CG$7:$CG$1008)</f>
        <v>0</v>
      </c>
      <c r="DE32" s="263" t="n">
        <f aca="false">SUMIF($CC$7:$CC$1008,$CR32,$CH$7:$CH$1008)</f>
        <v>0</v>
      </c>
      <c r="DF32" s="264" t="n">
        <f aca="false">SUM(DA32:DE32)</f>
        <v>0</v>
      </c>
    </row>
    <row r="33" customFormat="false" ht="12" hidden="false" customHeight="true" outlineLevel="0" collapsed="false">
      <c r="A33" s="119" t="s">
        <v>204</v>
      </c>
      <c r="B33" s="0" t="s">
        <v>192</v>
      </c>
      <c r="C33" s="0" t="s">
        <v>205</v>
      </c>
      <c r="D33" s="7" t="s">
        <v>150</v>
      </c>
      <c r="E33" s="0" t="s">
        <v>131</v>
      </c>
      <c r="F33" s="0" t="s">
        <v>136</v>
      </c>
      <c r="G33" s="92" t="n">
        <v>36831</v>
      </c>
      <c r="H33" s="248" t="n">
        <v>300000</v>
      </c>
      <c r="I33" s="0" t="n">
        <v>0.33</v>
      </c>
      <c r="J33" s="124" t="n">
        <f aca="false">VLOOKUP(G33,NGPrices,2,FALSE())</f>
        <v>4.736</v>
      </c>
      <c r="K33" s="125" t="n">
        <f aca="false">HLOOKUP(D33,Prices,VLOOKUP(G33,move_down,2,FALSE()),FALSE())+VLOOKUP(G33,CHANGE,HLOOKUP(D33,CHANGE,2,FALSE()),FALSE())</f>
        <v>0.265</v>
      </c>
      <c r="L33" s="124" t="n">
        <f aca="false">K33+J33</f>
        <v>5.001</v>
      </c>
      <c r="M33" s="126" t="n">
        <f aca="false">VLOOKUP(G33,NGPrices,4,FALSE())</f>
        <v>0.06810675983792</v>
      </c>
      <c r="N33" s="7" t="n">
        <f aca="false">VLOOKUP(G33,NGPrices,3,FALSE())</f>
        <v>0.595</v>
      </c>
      <c r="O33" s="7" t="n">
        <f aca="false">HLOOKUP(D33,VOLS,VLOOKUP(G33,move_down,2,FALSE()),FALSE())</f>
        <v>0.595</v>
      </c>
      <c r="P33" s="249" t="n">
        <f aca="false">HLOOKUP(D33,Correllate,VLOOKUP(G33,CorMove,2,FALSE()),FALSE())</f>
        <v>0.99</v>
      </c>
      <c r="Q33" s="92" t="n">
        <f aca="false">WORKDAY(G33,-2)</f>
        <v>36829</v>
      </c>
      <c r="R33" s="7" t="n">
        <f aca="false">IF(F33="P",0,1)</f>
        <v>1</v>
      </c>
      <c r="S33" s="130" t="e">
        <f aca="false">xSPRDOPT($L33,$J33,$I33,$M33,$O33,$N33,$P33,$Q33-$C$3,$R33,0)</f>
        <v>#NAME?</v>
      </c>
      <c r="T33" s="250" t="e">
        <f aca="false">xSPRDOPT($L33,$J33,$I33,$M33,$O33,$N33,$P33,$Q33-$C$3,$R33,1)*H33</f>
        <v>#NAME?</v>
      </c>
      <c r="U33" s="43" t="e">
        <f aca="false">S33*H33</f>
        <v>#NAME?</v>
      </c>
      <c r="V33" s="250" t="e">
        <f aca="false">xSPRDOPT($L33,$J33,$I33,$M33,$O33,$N33,$P33,$Q33-$C$3,$R33,2)*H33</f>
        <v>#NAME?</v>
      </c>
      <c r="W33" s="250" t="e">
        <f aca="false">+V33+T33</f>
        <v>#NAME?</v>
      </c>
      <c r="X33" s="2" t="str">
        <f aca="false">CONCATENATE(G33,D33)</f>
        <v>36831IF-CGT/APPALAC</v>
      </c>
      <c r="Y33" s="251" t="n">
        <f aca="false">H33/10000</f>
        <v>30</v>
      </c>
      <c r="Z33" s="226" t="e">
        <f aca="false">T33/H33</f>
        <v>#NAME?</v>
      </c>
      <c r="AA33" s="226" t="e">
        <f aca="false">xSPRDOPT($L33,$J33,$I33,$M33,$O33,$N33,$P33,$Q33-$C$3,$R33,3)</f>
        <v>#NAME?</v>
      </c>
      <c r="AB33" s="226" t="e">
        <f aca="false">((xSPRDOPT($L33+AB$5,$J33,$I33,$M33,$O33,$N33,$P33,$Q33-$C$3,$R33,3)*$H33)/10000)/100</f>
        <v>#NAME?</v>
      </c>
      <c r="AC33" s="226" t="e">
        <f aca="false">((xSPRDOPT($L33+$AB$5,$J33,$I33,$M33,$O33,$N33,$P33,$Q33-$C$3,$R33,7)*$H33)/100)</f>
        <v>#NAME?</v>
      </c>
      <c r="AD33" s="226" t="e">
        <f aca="false">(xSPRDOPT($L33+$AB$5,$J33,$I33,$M33,$O33,$N33,$P33,$Q33-$C$3,$R33,9)/365)*$H33</f>
        <v>#NAME?</v>
      </c>
      <c r="AE33" s="0" t="e">
        <f aca="false">CD33</f>
        <v>#NAME?</v>
      </c>
      <c r="AF33" s="226" t="e">
        <f aca="false">((O33/N33)*AH33)+AG33</f>
        <v>#NAME?</v>
      </c>
      <c r="AG33" s="226" t="e">
        <f aca="false">((xSPRDOPT($L33,$J33,$I33,$M33,$O33,$N33,$P33,$Q33-$C$3,$R33,6)*$H33)/100)</f>
        <v>#NAME?</v>
      </c>
      <c r="AH33" s="226" t="e">
        <f aca="false">((xSPRDOPT($L33,$J33,$I33,$M33,$O33,$N33,$P33,$Q33-$C$3,$R33,5)*$H33)/100)</f>
        <v>#NAME?</v>
      </c>
      <c r="AI33" s="226" t="e">
        <f aca="false">(((xSPRDOPT($L33,$J33,$I33,$M33,$O33,$N33,$P33,$Q33-$C$3,$R33,4)*$H33)/10000)/100)-AB33</f>
        <v>#NAME?</v>
      </c>
      <c r="AJ33" s="226"/>
      <c r="AK33" s="226"/>
      <c r="AL33" s="226"/>
      <c r="AM33" s="252"/>
      <c r="AN33" s="208" t="n">
        <f aca="false">EOMONTH(AN32,0)+1</f>
        <v>37530</v>
      </c>
      <c r="AO33" s="134" t="n">
        <f aca="false">SUMIF($X:$X,CONCATENATE($AN33,AO$6),$T:$T)/10000</f>
        <v>0</v>
      </c>
      <c r="AP33" s="134" t="n">
        <f aca="false">SUMIF($X:$X,CONCATENATE($AN33,AP$6),$T:$T)/10000</f>
        <v>0</v>
      </c>
      <c r="AQ33" s="134" t="n">
        <f aca="false">SUMIF($X:$X,CONCATENATE($AN33,AQ$6),$T:$T)/10000</f>
        <v>0</v>
      </c>
      <c r="AR33" s="134" t="n">
        <f aca="false">SUMIF($X:$X,CONCATENATE($AN33,AR$6),$T:$T)/10000</f>
        <v>0</v>
      </c>
      <c r="AS33" s="134" t="n">
        <f aca="false">SUMIF($X:$X,CONCATENATE($AN33,AS$6),$T:$T)/10000</f>
        <v>0</v>
      </c>
      <c r="AT33" s="134" t="n">
        <f aca="false">SUMIF($X:$X,CONCATENATE($AN33,AT$6),$T:$T)/10000</f>
        <v>0</v>
      </c>
      <c r="AU33" s="134" t="n">
        <f aca="false">SUMIF($X:$X,CONCATENATE($AN33,AU$6),$T:$T)/10000</f>
        <v>0</v>
      </c>
      <c r="AV33" s="134" t="n">
        <f aca="false">SUMIF($X:$X,CONCATENATE($AN33,AV$6),$T:$T)/10000</f>
        <v>0</v>
      </c>
      <c r="AW33" s="134" t="n">
        <f aca="false">SUMIF($X:$X,CONCATENATE($AN33,AW$6),$T:$T)/10000</f>
        <v>0</v>
      </c>
      <c r="AX33" s="134" t="n">
        <f aca="false">SUMIF($X:$X,CONCATENATE($AN33,AX$6),$T:$T)/10000</f>
        <v>0</v>
      </c>
      <c r="AY33" s="134" t="n">
        <f aca="false">SUMIF($X:$X,CONCATENATE($AN33,AY$6),$T:$T)/10000</f>
        <v>0</v>
      </c>
      <c r="AZ33" s="134" t="n">
        <f aca="false">SUMIF($X:$X,CONCATENATE($AN33,AZ$6),$T:$T)/10000</f>
        <v>0</v>
      </c>
      <c r="BA33" s="135" t="n">
        <f aca="false">SUMIF($X:$X,CONCATENATE($AN33,BA$6),$T:$T)/10000</f>
        <v>0</v>
      </c>
      <c r="BB33" s="208" t="n">
        <f aca="false">EOMONTH(BB32,0)+1</f>
        <v>37530</v>
      </c>
      <c r="BC33" s="135" t="n">
        <f aca="false">SUM(AO33:BA33)</f>
        <v>0</v>
      </c>
      <c r="BD33" s="2"/>
      <c r="BE33" s="208" t="n">
        <f aca="false">EOMONTH(BE32,0)+1</f>
        <v>37530</v>
      </c>
      <c r="BF33" s="134" t="n">
        <f aca="false">SUMIF($X:$X,CONCATENATE($AN33,BF$6),$W:$W)</f>
        <v>0</v>
      </c>
      <c r="BG33" s="134" t="n">
        <f aca="false">SUMIF($X:$X,CONCATENATE($AN33,BG$6),$W:$W)</f>
        <v>0</v>
      </c>
      <c r="BH33" s="134" t="n">
        <f aca="false">SUMIF($X:$X,CONCATENATE($AN33,BH$6),$W:$W)</f>
        <v>0</v>
      </c>
      <c r="BI33" s="134" t="n">
        <f aca="false">SUMIF($X:$X,CONCATENATE($AN33,BI$6),$W:$W)</f>
        <v>0</v>
      </c>
      <c r="BJ33" s="134" t="n">
        <f aca="false">SUMIF($X:$X,CONCATENATE($AN33,BJ$6),$W:$W)</f>
        <v>0</v>
      </c>
      <c r="BK33" s="134" t="n">
        <f aca="false">SUMIF($X:$X,CONCATENATE($AN33,BK$6),$W:$W)</f>
        <v>0</v>
      </c>
      <c r="BL33" s="134" t="n">
        <f aca="false">SUMIF($X:$X,CONCATENATE($AN33,BL$6),$W:$W)</f>
        <v>0</v>
      </c>
      <c r="BM33" s="134" t="n">
        <f aca="false">SUMIF($X:$X,CONCATENATE($AN33,BM$6),$W:$W)</f>
        <v>0</v>
      </c>
      <c r="BN33" s="134" t="n">
        <f aca="false">SUMIF($X:$X,CONCATENATE($AN33,BN$6),$W:$W)</f>
        <v>0</v>
      </c>
      <c r="BO33" s="134" t="n">
        <f aca="false">SUMIF($X:$X,CONCATENATE($AN33,BO$6),$W:$W)</f>
        <v>0</v>
      </c>
      <c r="BP33" s="134" t="n">
        <f aca="false">SUMIF($X:$X,CONCATENATE($AN33,BP$6),$W:$W)</f>
        <v>0</v>
      </c>
      <c r="BQ33" s="134" t="n">
        <f aca="false">SUMIF($X:$X,CONCATENATE($AN33,BQ$6),$W:$W)</f>
        <v>0</v>
      </c>
      <c r="BR33" s="135" t="n">
        <f aca="false">SUMIF($X:$X,CONCATENATE($AN33,BR$6),$W:$W)</f>
        <v>0</v>
      </c>
      <c r="BS33" s="208" t="n">
        <f aca="false">EOMONTH(BS32,0)+1</f>
        <v>37530</v>
      </c>
      <c r="BT33" s="135" t="n">
        <f aca="false">SUM(BF33:BR33)</f>
        <v>0</v>
      </c>
      <c r="BU33" s="2"/>
      <c r="BV33" s="2"/>
      <c r="BW33" s="2"/>
      <c r="BX33" s="2"/>
      <c r="BY33" s="2"/>
      <c r="BZ33" s="2"/>
      <c r="CA33" s="2"/>
      <c r="CB33" s="2"/>
      <c r="CC33" s="182" t="n">
        <f aca="false">G33</f>
        <v>36831</v>
      </c>
      <c r="CD33" s="253" t="e">
        <f aca="false">xSPRDOPT((VLOOKUP(G33,NGPrices,2,FALSE())+HLOOKUP(D33,Prices,VLOOKUP(G33,move_down,2,FALSE()),FALSE())),VLOOKUP(G33,NGPrices,2,FALSE()),I33,VLOOKUP(G33,NGPREVPRICES,4,FALSE()),HLOOKUP(D33,PREVVOLS,VLOOKUP(G33,MOVE_DOWN2,2,FALSE()),FALSE()),VLOOKUP(G33,NGPREVPRICES,3,FALSE()),HLOOKUP(D33,Correllate,VLOOKUP(G33,CorMove,2,FALSE()),FALSE()),Q33-$CD$3,R33,$CD$5)*H33-CJ33</f>
        <v>#NAME?</v>
      </c>
      <c r="CE33" s="253" t="e">
        <f aca="false">xSPRDOPT((VLOOKUP(G33,NGPREVPRICES,2,FALSE())+HLOOKUP(D33,PREVCURVES,VLOOKUP(G33,MOVE_DOWN2,2,FALSE()),FALSE())),VLOOKUP(G33,NGPREVPRICES,2,FALSE()),CK33,VLOOKUP(G33,NGPrices,4,FALSE()),HLOOKUP(D33,PREVVOLS,VLOOKUP(G33,MOVE_DOWN2,2,FALSE()),FALSE()),VLOOKUP(G33,NGPREVPRICES,3,FALSE()),HLOOKUP(D33,Correllate,VLOOKUP(G33,CorMove,2,FALSE()),FALSE()),Q33-$CD$3,R33,$CJ$5)*H33-CJ33</f>
        <v>#NAME?</v>
      </c>
      <c r="CF33" s="132" t="e">
        <f aca="false">(CJ33/VLOOKUP(CC33,discount,3,FALSE()))-(CJ33/VLOOKUP(CC33,discount,2,FALSE()))</f>
        <v>#NAME?</v>
      </c>
      <c r="CG33" s="253" t="e">
        <f aca="false">xSPRDOPT((VLOOKUP(G33,NGPREVPRICES,2,FALSE())+HLOOKUP(D33,PREVCURVES,VLOOKUP(G33,MOVE_DOWN2,2,FALSE()),FALSE())),VLOOKUP(G33,NGPREVPRICES,2,FALSE()),CK33,VLOOKUP(G33,NGPREVPRICES,4,FALSE()),HLOOKUP(D33,VOLS,VLOOKUP(G33,move_down,2,FALSE()),FALSE()),VLOOKUP(G33,NGPrices,3,FALSE()),HLOOKUP(D33,Correllate,VLOOKUP(G33,CorMove,2,FALSE()),FALSE()),Q33-$CD$3,R33,$CJ$5)*H33-CJ33</f>
        <v>#NAME?</v>
      </c>
      <c r="CH33" s="253" t="e">
        <f aca="false">xSPRDOPT((VLOOKUP(G33,NGPREVPRICES,2,FALSE())+HLOOKUP(D33,PREVCURVES,VLOOKUP(G33,MOVE_DOWN2,2,FALSE()),FALSE())),VLOOKUP(G33,NGPREVPRICES,2,FALSE()),CK33,VLOOKUP(G33,NGPREVPRICES,4,FALSE()),HLOOKUP(D33,PREVVOLS,VLOOKUP(G33,MOVE_DOWN2,2,FALSE()),FALSE()),VLOOKUP(G33,NGPREVPRICES,3,FALSE()),HLOOKUP(D33,Correllate,VLOOKUP(G33,CorMove,2,FALSE()),FALSE()),Q33-$C$3,R33,$CJ$5)*H33-CJ33</f>
        <v>#NAME?</v>
      </c>
      <c r="CI33" s="253" t="e">
        <f aca="false">SUM(CD33:CH33)</f>
        <v>#NAME?</v>
      </c>
      <c r="CJ33" s="253" t="e">
        <f aca="false">xSPRDOPT((VLOOKUP(G33,NGPREVPRICES,2,FALSE())+HLOOKUP(D33,PREVCURVES,VLOOKUP(G33,MOVE_DOWN2,2,FALSE()),FALSE())),VLOOKUP(G33,NGPREVPRICES,2,FALSE()),CK33,VLOOKUP(G33,NGPREVPRICES,4,FALSE()),HLOOKUP(D33,PREVVOLS,VLOOKUP(G33,MOVE_DOWN2,2,FALSE()),FALSE()),VLOOKUP(G33,NGPREVPRICES,3,FALSE()),HLOOKUP(D33,Correllate,VLOOKUP(G33,CorMove,2,FALSE()),FALSE()),Q33-$CD$3,R33,$CJ$5)*H33</f>
        <v>#NAME?</v>
      </c>
      <c r="CK33" s="254" t="n">
        <f aca="false">I33</f>
        <v>0.33</v>
      </c>
      <c r="CM33" s="0" t="str">
        <f aca="false">CONCATENATE(CC33,$CD$6)</f>
        <v>36831Curve Shift/Gamma</v>
      </c>
      <c r="CN33" s="0" t="str">
        <f aca="false">CONCATENATE($CC33,$CE$6)</f>
        <v>36831Rho</v>
      </c>
      <c r="CO33" s="0" t="str">
        <f aca="false">CONCATENATE($CC33,$CF$6)</f>
        <v>36831Drift</v>
      </c>
      <c r="CP33" s="0" t="str">
        <f aca="false">CONCATENATE($CC33,$CG$6)</f>
        <v>36831Vega</v>
      </c>
      <c r="CQ33" s="0" t="str">
        <f aca="false">CONCATENATE($CC33,$CH$6)</f>
        <v>36831Theta</v>
      </c>
      <c r="CR33" s="255" t="n">
        <f aca="false">EOMONTH(CR32,0)+1</f>
        <v>37530</v>
      </c>
      <c r="CS33" s="261" t="n">
        <f aca="false">SUMIF($CM$7:$CM$631,CONCATENATE($CR33,$CS$6),$CD$7:$CD$631)</f>
        <v>0</v>
      </c>
      <c r="CT33" s="262" t="n">
        <f aca="false">SUMIF($CN$7:$CN$636,CONCATENATE($CR33,$CT$6),$CE$7:$CE$631)</f>
        <v>0</v>
      </c>
      <c r="CU33" s="262" t="n">
        <f aca="false">SUMIF($CO$7:$CO$636,CONCATENATE($CR33,$CU$6),$CF$7:$CF$631)</f>
        <v>0</v>
      </c>
      <c r="CV33" s="262" t="n">
        <f aca="false">SUMIF($CP$7:$CP$636,CONCATENATE($CR33,$CV$6),$CG$7:$CG$631)</f>
        <v>0</v>
      </c>
      <c r="CW33" s="263" t="n">
        <f aca="false">SUMIF($CQ$7:$CQ$636,CONCATENATE($CR33,$CW$6),$CH$7:$CH$631)</f>
        <v>0</v>
      </c>
      <c r="CX33" s="264" t="n">
        <f aca="false">SUM(CS33:CW33)</f>
        <v>0</v>
      </c>
      <c r="CZ33" s="255" t="n">
        <f aca="false">CR33</f>
        <v>37530</v>
      </c>
      <c r="DA33" s="261" t="n">
        <f aca="false">SUMIF($CC$7:$CC$1008,$CR33,$CD$7:$CD$1008)</f>
        <v>0</v>
      </c>
      <c r="DB33" s="262" t="n">
        <f aca="false">SUMIF($CC$7:$CC$1008,$CR33,$CE$7:$CE$1008)</f>
        <v>0</v>
      </c>
      <c r="DC33" s="262" t="n">
        <f aca="false">SUMIF($CC$7:$CC$1008,$CR33,$CF$7:$CF$1008)</f>
        <v>0</v>
      </c>
      <c r="DD33" s="262" t="n">
        <f aca="false">SUMIF($CC$7:$CC$1008,$CR33,$CG$7:$CG$1008)</f>
        <v>0</v>
      </c>
      <c r="DE33" s="263" t="n">
        <f aca="false">SUMIF($CC$7:$CC$1008,$CR33,$CH$7:$CH$1008)</f>
        <v>0</v>
      </c>
      <c r="DF33" s="264" t="n">
        <f aca="false">SUM(DA33:DE33)</f>
        <v>0</v>
      </c>
    </row>
    <row r="34" customFormat="false" ht="12" hidden="false" customHeight="true" outlineLevel="0" collapsed="false">
      <c r="A34" s="119" t="s">
        <v>206</v>
      </c>
      <c r="B34" s="0" t="s">
        <v>192</v>
      </c>
      <c r="C34" s="0" t="s">
        <v>207</v>
      </c>
      <c r="D34" s="7" t="s">
        <v>149</v>
      </c>
      <c r="E34" s="0" t="s">
        <v>131</v>
      </c>
      <c r="F34" s="0" t="s">
        <v>136</v>
      </c>
      <c r="G34" s="182" t="n">
        <v>36831</v>
      </c>
      <c r="H34" s="248" t="n">
        <v>900000</v>
      </c>
      <c r="I34" s="0" t="n">
        <v>1</v>
      </c>
      <c r="J34" s="124" t="n">
        <f aca="false">VLOOKUP(G34,NGPrices,2,FALSE())</f>
        <v>4.736</v>
      </c>
      <c r="K34" s="125" t="n">
        <f aca="false">HLOOKUP(D34,Prices,VLOOKUP(G34,move_down,2,FALSE()),FALSE())+VLOOKUP(G34,CHANGE,HLOOKUP(D34,CHANGE,2,FALSE()),FALSE())</f>
        <v>0.77</v>
      </c>
      <c r="L34" s="124" t="n">
        <f aca="false">K34+J34</f>
        <v>5.506</v>
      </c>
      <c r="M34" s="126" t="n">
        <f aca="false">VLOOKUP(G34,NGPrices,4,FALSE())</f>
        <v>0.06810675983792</v>
      </c>
      <c r="N34" s="7" t="n">
        <f aca="false">VLOOKUP(G34,NGPrices,3,FALSE())</f>
        <v>0.595</v>
      </c>
      <c r="O34" s="7" t="n">
        <f aca="false">HLOOKUP(D34,VOLS,VLOOKUP(G34,move_down,2,FALSE()),FALSE())</f>
        <v>0.625</v>
      </c>
      <c r="P34" s="249" t="n">
        <f aca="false">HLOOKUP(D34,Correllate,VLOOKUP(G34,CorMove,2,FALSE()),FALSE())</f>
        <v>0.89</v>
      </c>
      <c r="Q34" s="92" t="n">
        <f aca="false">WORKDAY(G34,-2)</f>
        <v>36829</v>
      </c>
      <c r="R34" s="7" t="n">
        <f aca="false">IF(F34="P",0,1)</f>
        <v>1</v>
      </c>
      <c r="S34" s="130" t="e">
        <f aca="false">xSPRDOPT($L34,$J34,$I34,$M34,$O34,$N34,$P34,$Q34-$C$3,$R34,0)</f>
        <v>#NAME?</v>
      </c>
      <c r="T34" s="250" t="e">
        <f aca="false">xSPRDOPT($L34,$J34,$I34,$M34,$O34,$N34,$P34,$Q34-$C$3,$R34,1)*H34</f>
        <v>#NAME?</v>
      </c>
      <c r="U34" s="43" t="e">
        <f aca="false">S34*H34</f>
        <v>#NAME?</v>
      </c>
      <c r="V34" s="250" t="e">
        <f aca="false">xSPRDOPT($L34,$J34,$I34,$M34,$O34,$N34,$P34,$Q34-$C$3,$R34,2)*H34</f>
        <v>#NAME?</v>
      </c>
      <c r="W34" s="250" t="e">
        <f aca="false">+V34+T34</f>
        <v>#NAME?</v>
      </c>
      <c r="X34" s="2" t="str">
        <f aca="false">CONCATENATE(G34,D34)</f>
        <v>36831IF-TRANSCO/Z6</v>
      </c>
      <c r="Y34" s="251" t="n">
        <f aca="false">H34/10000</f>
        <v>90</v>
      </c>
      <c r="Z34" s="226" t="e">
        <f aca="false">T34/H34</f>
        <v>#NAME?</v>
      </c>
      <c r="AA34" s="226" t="e">
        <f aca="false">xSPRDOPT($L34,$J34,$I34,$M34,$O34,$N34,$P34,$Q34-$C$3,$R34,3)</f>
        <v>#NAME?</v>
      </c>
      <c r="AB34" s="226" t="e">
        <f aca="false">((xSPRDOPT($L34+AB$5,$J34,$I34,$M34,$O34,$N34,$P34,$Q34-$C$3,$R34,3)*$H34)/10000)/100</f>
        <v>#NAME?</v>
      </c>
      <c r="AC34" s="226" t="e">
        <f aca="false">((xSPRDOPT($L34+$AB$5,$J34,$I34,$M34,$O34,$N34,$P34,$Q34-$C$3,$R34,7)*$H34)/100)</f>
        <v>#NAME?</v>
      </c>
      <c r="AD34" s="226" t="e">
        <f aca="false">(xSPRDOPT($L34+$AB$5,$J34,$I34,$M34,$O34,$N34,$P34,$Q34-$C$3,$R34,9)/365)*$H34</f>
        <v>#NAME?</v>
      </c>
      <c r="AE34" s="0" t="e">
        <f aca="false">CD34</f>
        <v>#NAME?</v>
      </c>
      <c r="AF34" s="226" t="e">
        <f aca="false">((O34/N34)*AH34)+AG34</f>
        <v>#NAME?</v>
      </c>
      <c r="AG34" s="226" t="e">
        <f aca="false">((xSPRDOPT($L34,$J34,$I34,$M34,$O34,$N34,$P34,$Q34-$C$3,$R34,6)*$H34)/100)</f>
        <v>#NAME?</v>
      </c>
      <c r="AH34" s="226" t="e">
        <f aca="false">((xSPRDOPT($L34,$J34,$I34,$M34,$O34,$N34,$P34,$Q34-$C$3,$R34,5)*$H34)/100)</f>
        <v>#NAME?</v>
      </c>
      <c r="AI34" s="226" t="e">
        <f aca="false">(((xSPRDOPT($L34,$J34,$I34,$M34,$O34,$N34,$P34,$Q34-$C$3,$R34,4)*$H34)/10000)/100)-AB34</f>
        <v>#NAME?</v>
      </c>
      <c r="AJ34" s="226"/>
      <c r="AK34" s="226"/>
      <c r="AL34" s="226"/>
      <c r="AM34" s="252"/>
      <c r="AN34" s="208" t="n">
        <f aca="false">EOMONTH(AN33,0)+1</f>
        <v>37561</v>
      </c>
      <c r="AO34" s="134" t="n">
        <f aca="false">SUMIF($X:$X,CONCATENATE($AN34,AO$6),$T:$T)/10000</f>
        <v>0</v>
      </c>
      <c r="AP34" s="134" t="n">
        <f aca="false">SUMIF($X:$X,CONCATENATE($AN34,AP$6),$T:$T)/10000</f>
        <v>0</v>
      </c>
      <c r="AQ34" s="134" t="n">
        <f aca="false">SUMIF($X:$X,CONCATENATE($AN34,AQ$6),$T:$T)/10000</f>
        <v>0</v>
      </c>
      <c r="AR34" s="134" t="e">
        <f aca="false">SUMIF($X:$X,CONCATENATE($AN34,AR$6),$T:$T)/10000</f>
        <v>#NAME?</v>
      </c>
      <c r="AS34" s="134" t="n">
        <f aca="false">SUMIF($X:$X,CONCATENATE($AN34,AS$6),$T:$T)/10000</f>
        <v>0</v>
      </c>
      <c r="AT34" s="134" t="n">
        <f aca="false">SUMIF($X:$X,CONCATENATE($AN34,AT$6),$T:$T)/10000</f>
        <v>0</v>
      </c>
      <c r="AU34" s="134" t="n">
        <f aca="false">SUMIF($X:$X,CONCATENATE($AN34,AU$6),$T:$T)/10000</f>
        <v>0</v>
      </c>
      <c r="AV34" s="134" t="n">
        <f aca="false">SUMIF($X:$X,CONCATENATE($AN34,AV$6),$T:$T)/10000</f>
        <v>0</v>
      </c>
      <c r="AW34" s="134" t="n">
        <f aca="false">SUMIF($X:$X,CONCATENATE($AN34,AW$6),$T:$T)/10000</f>
        <v>0</v>
      </c>
      <c r="AX34" s="134" t="n">
        <f aca="false">SUMIF($X:$X,CONCATENATE($AN34,AX$6),$T:$T)/10000</f>
        <v>0</v>
      </c>
      <c r="AY34" s="134" t="n">
        <f aca="false">SUMIF($X:$X,CONCATENATE($AN34,AY$6),$T:$T)/10000</f>
        <v>0</v>
      </c>
      <c r="AZ34" s="134" t="n">
        <f aca="false">SUMIF($X:$X,CONCATENATE($AN34,AZ$6),$T:$T)/10000</f>
        <v>0</v>
      </c>
      <c r="BA34" s="135" t="n">
        <f aca="false">SUMIF($X:$X,CONCATENATE($AN34,BA$6),$T:$T)/10000</f>
        <v>0</v>
      </c>
      <c r="BB34" s="208" t="n">
        <f aca="false">EOMONTH(BB33,0)+1</f>
        <v>37561</v>
      </c>
      <c r="BC34" s="135" t="e">
        <f aca="false">SUM(AO34:BA34)</f>
        <v>#NAME?</v>
      </c>
      <c r="BD34" s="2"/>
      <c r="BE34" s="208" t="n">
        <f aca="false">EOMONTH(BE33,0)+1</f>
        <v>37561</v>
      </c>
      <c r="BF34" s="134" t="n">
        <f aca="false">SUMIF($X:$X,CONCATENATE($AN34,BF$6),$W:$W)</f>
        <v>0</v>
      </c>
      <c r="BG34" s="134" t="n">
        <f aca="false">SUMIF($X:$X,CONCATENATE($AN34,BG$6),$W:$W)</f>
        <v>0</v>
      </c>
      <c r="BH34" s="134" t="n">
        <f aca="false">SUMIF($X:$X,CONCATENATE($AN34,BH$6),$W:$W)</f>
        <v>0</v>
      </c>
      <c r="BI34" s="134" t="e">
        <f aca="false">SUMIF($X:$X,CONCATENATE($AN34,BI$6),$W:$W)</f>
        <v>#NAME?</v>
      </c>
      <c r="BJ34" s="134" t="n">
        <f aca="false">SUMIF($X:$X,CONCATENATE($AN34,BJ$6),$W:$W)</f>
        <v>0</v>
      </c>
      <c r="BK34" s="134" t="n">
        <f aca="false">SUMIF($X:$X,CONCATENATE($AN34,BK$6),$W:$W)</f>
        <v>0</v>
      </c>
      <c r="BL34" s="134" t="n">
        <f aca="false">SUMIF($X:$X,CONCATENATE($AN34,BL$6),$W:$W)</f>
        <v>0</v>
      </c>
      <c r="BM34" s="134" t="n">
        <f aca="false">SUMIF($X:$X,CONCATENATE($AN34,BM$6),$W:$W)</f>
        <v>0</v>
      </c>
      <c r="BN34" s="134" t="n">
        <f aca="false">SUMIF($X:$X,CONCATENATE($AN34,BN$6),$W:$W)</f>
        <v>0</v>
      </c>
      <c r="BO34" s="134" t="n">
        <f aca="false">SUMIF($X:$X,CONCATENATE($AN34,BO$6),$W:$W)</f>
        <v>0</v>
      </c>
      <c r="BP34" s="134" t="n">
        <f aca="false">SUMIF($X:$X,CONCATENATE($AN34,BP$6),$W:$W)</f>
        <v>0</v>
      </c>
      <c r="BQ34" s="134" t="n">
        <f aca="false">SUMIF($X:$X,CONCATENATE($AN34,BQ$6),$W:$W)</f>
        <v>0</v>
      </c>
      <c r="BR34" s="135" t="n">
        <f aca="false">SUMIF($X:$X,CONCATENATE($AN34,BR$6),$W:$W)</f>
        <v>0</v>
      </c>
      <c r="BS34" s="208" t="n">
        <f aca="false">EOMONTH(BS33,0)+1</f>
        <v>37561</v>
      </c>
      <c r="BT34" s="135" t="e">
        <f aca="false">SUM(BF34:BR34)</f>
        <v>#NAME?</v>
      </c>
      <c r="BU34" s="2"/>
      <c r="BV34" s="2"/>
      <c r="BW34" s="2"/>
      <c r="BX34" s="2"/>
      <c r="BY34" s="2"/>
      <c r="BZ34" s="2"/>
      <c r="CA34" s="2"/>
      <c r="CB34" s="2"/>
      <c r="CC34" s="182" t="n">
        <f aca="false">G34</f>
        <v>36831</v>
      </c>
      <c r="CD34" s="253" t="e">
        <f aca="false">xSPRDOPT((VLOOKUP(G34,NGPrices,2,FALSE())+HLOOKUP(D34,Prices,VLOOKUP(G34,move_down,2,FALSE()),FALSE())),VLOOKUP(G34,NGPrices,2,FALSE()),I34,VLOOKUP(G34,NGPREVPRICES,4,FALSE()),HLOOKUP(D34,PREVVOLS,VLOOKUP(G34,MOVE_DOWN2,2,FALSE()),FALSE()),VLOOKUP(G34,NGPREVPRICES,3,FALSE()),HLOOKUP(D34,Correllate,VLOOKUP(G34,CorMove,2,FALSE()),FALSE()),Q34-$CD$3,R34,$CD$5)*H34-CJ34</f>
        <v>#NAME?</v>
      </c>
      <c r="CE34" s="253" t="e">
        <f aca="false">xSPRDOPT((VLOOKUP(G34,NGPREVPRICES,2,FALSE())+HLOOKUP(D34,PREVCURVES,VLOOKUP(G34,MOVE_DOWN2,2,FALSE()),FALSE())),VLOOKUP(G34,NGPREVPRICES,2,FALSE()),CK34,VLOOKUP(G34,NGPrices,4,FALSE()),HLOOKUP(D34,PREVVOLS,VLOOKUP(G34,MOVE_DOWN2,2,FALSE()),FALSE()),VLOOKUP(G34,NGPREVPRICES,3,FALSE()),HLOOKUP(D34,Correllate,VLOOKUP(G34,CorMove,2,FALSE()),FALSE()),Q34-$CD$3,R34,$CJ$5)*H34-CJ34</f>
        <v>#NAME?</v>
      </c>
      <c r="CF34" s="132" t="e">
        <f aca="false">(CJ34/VLOOKUP(CC34,discount,3,FALSE()))-(CJ34/VLOOKUP(CC34,discount,2,FALSE()))</f>
        <v>#NAME?</v>
      </c>
      <c r="CG34" s="253" t="e">
        <f aca="false">xSPRDOPT((VLOOKUP(G34,NGPREVPRICES,2,FALSE())+HLOOKUP(D34,PREVCURVES,VLOOKUP(G34,MOVE_DOWN2,2,FALSE()),FALSE())),VLOOKUP(G34,NGPREVPRICES,2,FALSE()),CK34,VLOOKUP(G34,NGPREVPRICES,4,FALSE()),HLOOKUP(D34,VOLS,VLOOKUP(G34,move_down,2,FALSE()),FALSE()),VLOOKUP(G34,NGPrices,3,FALSE()),HLOOKUP(D34,Correllate,VLOOKUP(G34,CorMove,2,FALSE()),FALSE()),Q34-$CD$3,R34,$CJ$5)*H34-CJ34</f>
        <v>#NAME?</v>
      </c>
      <c r="CH34" s="253" t="e">
        <f aca="false">xSPRDOPT((VLOOKUP(G34,NGPREVPRICES,2,FALSE())+HLOOKUP(D34,PREVCURVES,VLOOKUP(G34,MOVE_DOWN2,2,FALSE()),FALSE())),VLOOKUP(G34,NGPREVPRICES,2,FALSE()),CK34,VLOOKUP(G34,NGPREVPRICES,4,FALSE()),HLOOKUP(D34,PREVVOLS,VLOOKUP(G34,MOVE_DOWN2,2,FALSE()),FALSE()),VLOOKUP(G34,NGPREVPRICES,3,FALSE()),HLOOKUP(D34,Correllate,VLOOKUP(G34,CorMove,2,FALSE()),FALSE()),Q34-$C$3,R34,$CJ$5)*H34-CJ34</f>
        <v>#NAME?</v>
      </c>
      <c r="CI34" s="253" t="e">
        <f aca="false">SUM(CD34:CH34)</f>
        <v>#NAME?</v>
      </c>
      <c r="CJ34" s="253" t="e">
        <f aca="false">xSPRDOPT((VLOOKUP(G34,NGPREVPRICES,2,FALSE())+HLOOKUP(D34,PREVCURVES,VLOOKUP(G34,MOVE_DOWN2,2,FALSE()),FALSE())),VLOOKUP(G34,NGPREVPRICES,2,FALSE()),CK34,VLOOKUP(G34,NGPREVPRICES,4,FALSE()),HLOOKUP(D34,PREVVOLS,VLOOKUP(G34,MOVE_DOWN2,2,FALSE()),FALSE()),VLOOKUP(G34,NGPREVPRICES,3,FALSE()),HLOOKUP(D34,Correllate,VLOOKUP(G34,CorMove,2,FALSE()),FALSE()),Q34-$CD$3,R34,$CJ$5)*H34</f>
        <v>#NAME?</v>
      </c>
      <c r="CK34" s="254" t="n">
        <f aca="false">I34</f>
        <v>1</v>
      </c>
      <c r="CM34" s="0" t="str">
        <f aca="false">CONCATENATE(CC34,$CD$6)</f>
        <v>36831Curve Shift/Gamma</v>
      </c>
      <c r="CN34" s="0" t="str">
        <f aca="false">CONCATENATE($CC34,$CE$6)</f>
        <v>36831Rho</v>
      </c>
      <c r="CO34" s="0" t="str">
        <f aca="false">CONCATENATE($CC34,$CF$6)</f>
        <v>36831Drift</v>
      </c>
      <c r="CP34" s="0" t="str">
        <f aca="false">CONCATENATE($CC34,$CG$6)</f>
        <v>36831Vega</v>
      </c>
      <c r="CQ34" s="0" t="str">
        <f aca="false">CONCATENATE($CC34,$CH$6)</f>
        <v>36831Theta</v>
      </c>
      <c r="CR34" s="255" t="n">
        <f aca="false">EOMONTH(CR33,0)+1</f>
        <v>37561</v>
      </c>
      <c r="CS34" s="261" t="e">
        <f aca="false">SUMIF($CM$7:$CM$631,CONCATENATE($CR34,$CS$6),$CD$7:$CD$631)</f>
        <v>#NAME?</v>
      </c>
      <c r="CT34" s="262" t="e">
        <f aca="false">SUMIF($CN$7:$CN$636,CONCATENATE($CR34,$CT$6),$CE$7:$CE$631)</f>
        <v>#NAME?</v>
      </c>
      <c r="CU34" s="262" t="e">
        <f aca="false">SUMIF($CO$7:$CO$636,CONCATENATE($CR34,$CU$6),$CF$7:$CF$631)</f>
        <v>#NAME?</v>
      </c>
      <c r="CV34" s="262" t="e">
        <f aca="false">SUMIF($CP$7:$CP$636,CONCATENATE($CR34,$CV$6),$CG$7:$CG$631)</f>
        <v>#NAME?</v>
      </c>
      <c r="CW34" s="263" t="e">
        <f aca="false">SUMIF($CQ$7:$CQ$636,CONCATENATE($CR34,$CW$6),$CH$7:$CH$631)</f>
        <v>#NAME?</v>
      </c>
      <c r="CX34" s="264" t="e">
        <f aca="false">SUM(CS34:CW34)</f>
        <v>#NAME?</v>
      </c>
      <c r="CZ34" s="255" t="n">
        <f aca="false">CR34</f>
        <v>37561</v>
      </c>
      <c r="DA34" s="261" t="e">
        <f aca="false">SUMIF($CC$7:$CC$1008,$CR34,$CD$7:$CD$1008)</f>
        <v>#NAME?</v>
      </c>
      <c r="DB34" s="262" t="e">
        <f aca="false">SUMIF($CC$7:$CC$1008,$CR34,$CE$7:$CE$1008)</f>
        <v>#NAME?</v>
      </c>
      <c r="DC34" s="262" t="e">
        <f aca="false">SUMIF($CC$7:$CC$1008,$CR34,$CF$7:$CF$1008)</f>
        <v>#NAME?</v>
      </c>
      <c r="DD34" s="262" t="e">
        <f aca="false">SUMIF($CC$7:$CC$1008,$CR34,$CG$7:$CG$1008)</f>
        <v>#NAME?</v>
      </c>
      <c r="DE34" s="263" t="e">
        <f aca="false">SUMIF($CC$7:$CC$1008,$CR34,$CH$7:$CH$1008)</f>
        <v>#NAME?</v>
      </c>
      <c r="DF34" s="264" t="e">
        <f aca="false">SUM(DA34:DE34)</f>
        <v>#NAME?</v>
      </c>
    </row>
    <row r="35" customFormat="false" ht="12" hidden="false" customHeight="true" outlineLevel="0" collapsed="false">
      <c r="A35" s="17" t="s">
        <v>208</v>
      </c>
      <c r="B35" s="0" t="s">
        <v>192</v>
      </c>
      <c r="C35" s="0" t="s">
        <v>209</v>
      </c>
      <c r="D35" s="7" t="s">
        <v>149</v>
      </c>
      <c r="E35" s="0" t="s">
        <v>131</v>
      </c>
      <c r="F35" s="0" t="s">
        <v>132</v>
      </c>
      <c r="G35" s="182" t="n">
        <v>36831</v>
      </c>
      <c r="H35" s="248" t="n">
        <v>300000</v>
      </c>
      <c r="I35" s="0" t="n">
        <v>0.45</v>
      </c>
      <c r="J35" s="124" t="n">
        <f aca="false">VLOOKUP(G35,NGPrices,2,FALSE())</f>
        <v>4.736</v>
      </c>
      <c r="K35" s="125" t="n">
        <f aca="false">HLOOKUP(D35,Prices,VLOOKUP(G35,move_down,2,FALSE()),FALSE())+VLOOKUP(G35,CHANGE,HLOOKUP(D35,CHANGE,2,FALSE()),FALSE())</f>
        <v>0.77</v>
      </c>
      <c r="L35" s="124" t="n">
        <f aca="false">K35+J35</f>
        <v>5.506</v>
      </c>
      <c r="M35" s="126" t="n">
        <f aca="false">VLOOKUP(G35,NGPrices,4,FALSE())</f>
        <v>0.06810675983792</v>
      </c>
      <c r="N35" s="7" t="n">
        <f aca="false">VLOOKUP(G35,NGPrices,3,FALSE())</f>
        <v>0.595</v>
      </c>
      <c r="O35" s="7" t="n">
        <f aca="false">HLOOKUP(D35,VOLS,VLOOKUP(G35,move_down,2,FALSE()),FALSE())</f>
        <v>0.625</v>
      </c>
      <c r="P35" s="249" t="n">
        <f aca="false">HLOOKUP(D35,Correllate,VLOOKUP(G35,CorMove,2,FALSE()),FALSE())</f>
        <v>0.89</v>
      </c>
      <c r="Q35" s="92" t="n">
        <f aca="false">WORKDAY(G35,-2)</f>
        <v>36829</v>
      </c>
      <c r="R35" s="7" t="n">
        <f aca="false">IF(F35="P",0,1)</f>
        <v>0</v>
      </c>
      <c r="S35" s="130" t="e">
        <f aca="false">xSPRDOPT($L35,$J35,$I35,$M35,$O35,$N35,$P35,$Q35-$C$3,$R35,0)</f>
        <v>#NAME?</v>
      </c>
      <c r="T35" s="250" t="e">
        <f aca="false">xSPRDOPT($L35,$J35,$I35,$M35,$O35,$N35,$P35,$Q35-$C$3,$R35,1)*H35</f>
        <v>#NAME?</v>
      </c>
      <c r="U35" s="43" t="e">
        <f aca="false">S35*H35</f>
        <v>#NAME?</v>
      </c>
      <c r="V35" s="250" t="e">
        <f aca="false">xSPRDOPT($L35,$J35,$I35,$M35,$O35,$N35,$P35,$Q35-$C$3,$R35,2)*H35</f>
        <v>#NAME?</v>
      </c>
      <c r="W35" s="250" t="e">
        <f aca="false">+V35+T35</f>
        <v>#NAME?</v>
      </c>
      <c r="X35" s="2" t="str">
        <f aca="false">CONCATENATE(G35,D35)</f>
        <v>36831IF-TRANSCO/Z6</v>
      </c>
      <c r="Y35" s="251" t="n">
        <f aca="false">H35/10000</f>
        <v>30</v>
      </c>
      <c r="Z35" s="226" t="e">
        <f aca="false">T35/H35</f>
        <v>#NAME?</v>
      </c>
      <c r="AA35" s="226" t="e">
        <f aca="false">xSPRDOPT($L35,$J35,$I35,$M35,$O35,$N35,$P35,$Q35-$C$3,$R35,3)</f>
        <v>#NAME?</v>
      </c>
      <c r="AB35" s="226" t="e">
        <f aca="false">((xSPRDOPT($L35+AB$5,$J35,$I35,$M35,$O35,$N35,$P35,$Q35-$C$3,$R35,3)*$H35)/10000)/100</f>
        <v>#NAME?</v>
      </c>
      <c r="AC35" s="226" t="e">
        <f aca="false">((xSPRDOPT($L35+$AB$5,$J35,$I35,$M35,$O35,$N35,$P35,$Q35-$C$3,$R35,7)*$H35)/100)</f>
        <v>#NAME?</v>
      </c>
      <c r="AD35" s="226" t="e">
        <f aca="false">(xSPRDOPT($L35+$AB$5,$J35,$I35,$M35,$O35,$N35,$P35,$Q35-$C$3,$R35,9)/365)*$H35</f>
        <v>#NAME?</v>
      </c>
      <c r="AE35" s="0" t="e">
        <f aca="false">CD35</f>
        <v>#NAME?</v>
      </c>
      <c r="AF35" s="226" t="e">
        <f aca="false">((O35/N35)*AH35)+AG35</f>
        <v>#NAME?</v>
      </c>
      <c r="AG35" s="226" t="e">
        <f aca="false">((xSPRDOPT($L35,$J35,$I35,$M35,$O35,$N35,$P35,$Q35-$C$3,$R35,6)*$H35)/100)</f>
        <v>#NAME?</v>
      </c>
      <c r="AH35" s="226" t="e">
        <f aca="false">((xSPRDOPT($L35,$J35,$I35,$M35,$O35,$N35,$P35,$Q35-$C$3,$R35,5)*$H35)/100)</f>
        <v>#NAME?</v>
      </c>
      <c r="AI35" s="226" t="e">
        <f aca="false">(((xSPRDOPT($L35,$J35,$I35,$M35,$O35,$N35,$P35,$Q35-$C$3,$R35,4)*$H35)/10000)/100)-AB35</f>
        <v>#NAME?</v>
      </c>
      <c r="AJ35" s="226"/>
      <c r="AK35" s="226"/>
      <c r="AL35" s="226"/>
      <c r="AM35" s="252"/>
      <c r="AN35" s="208" t="n">
        <f aca="false">EOMONTH(AN34,0)+1</f>
        <v>37591</v>
      </c>
      <c r="AO35" s="134" t="n">
        <f aca="false">SUMIF($X:$X,CONCATENATE($AN35,AO$6),$T:$T)/10000</f>
        <v>0</v>
      </c>
      <c r="AP35" s="134" t="n">
        <f aca="false">SUMIF($X:$X,CONCATENATE($AN35,AP$6),$T:$T)/10000</f>
        <v>0</v>
      </c>
      <c r="AQ35" s="134" t="n">
        <f aca="false">SUMIF($X:$X,CONCATENATE($AN35,AQ$6),$T:$T)/10000</f>
        <v>0</v>
      </c>
      <c r="AR35" s="134" t="e">
        <f aca="false">SUMIF($X:$X,CONCATENATE($AN35,AR$6),$T:$T)/10000</f>
        <v>#NAME?</v>
      </c>
      <c r="AS35" s="134" t="n">
        <f aca="false">SUMIF($X:$X,CONCATENATE($AN35,AS$6),$T:$T)/10000</f>
        <v>0</v>
      </c>
      <c r="AT35" s="134" t="n">
        <f aca="false">SUMIF($X:$X,CONCATENATE($AN35,AT$6),$T:$T)/10000</f>
        <v>0</v>
      </c>
      <c r="AU35" s="134" t="n">
        <f aca="false">SUMIF($X:$X,CONCATENATE($AN35,AU$6),$T:$T)/10000</f>
        <v>0</v>
      </c>
      <c r="AV35" s="134" t="n">
        <f aca="false">SUMIF($X:$X,CONCATENATE($AN35,AV$6),$T:$T)/10000</f>
        <v>0</v>
      </c>
      <c r="AW35" s="134" t="n">
        <f aca="false">SUMIF($X:$X,CONCATENATE($AN35,AW$6),$T:$T)/10000</f>
        <v>0</v>
      </c>
      <c r="AX35" s="134" t="n">
        <f aca="false">SUMIF($X:$X,CONCATENATE($AN35,AX$6),$T:$T)/10000</f>
        <v>0</v>
      </c>
      <c r="AY35" s="134" t="n">
        <f aca="false">SUMIF($X:$X,CONCATENATE($AN35,AY$6),$T:$T)/10000</f>
        <v>0</v>
      </c>
      <c r="AZ35" s="134" t="n">
        <f aca="false">SUMIF($X:$X,CONCATENATE($AN35,AZ$6),$T:$T)/10000</f>
        <v>0</v>
      </c>
      <c r="BA35" s="135" t="n">
        <f aca="false">SUMIF($X:$X,CONCATENATE($AN35,BA$6),$T:$T)/10000</f>
        <v>0</v>
      </c>
      <c r="BB35" s="208" t="n">
        <f aca="false">EOMONTH(BB34,0)+1</f>
        <v>37591</v>
      </c>
      <c r="BC35" s="135" t="e">
        <f aca="false">SUM(AO35:BA35)</f>
        <v>#NAME?</v>
      </c>
      <c r="BD35" s="2"/>
      <c r="BE35" s="208" t="n">
        <f aca="false">EOMONTH(BE34,0)+1</f>
        <v>37591</v>
      </c>
      <c r="BF35" s="134" t="n">
        <f aca="false">SUMIF($X:$X,CONCATENATE($AN35,BF$6),$W:$W)</f>
        <v>0</v>
      </c>
      <c r="BG35" s="134" t="n">
        <f aca="false">SUMIF($X:$X,CONCATENATE($AN35,BG$6),$W:$W)</f>
        <v>0</v>
      </c>
      <c r="BH35" s="134" t="n">
        <f aca="false">SUMIF($X:$X,CONCATENATE($AN35,BH$6),$W:$W)</f>
        <v>0</v>
      </c>
      <c r="BI35" s="134" t="e">
        <f aca="false">SUMIF($X:$X,CONCATENATE($AN35,BI$6),$W:$W)</f>
        <v>#NAME?</v>
      </c>
      <c r="BJ35" s="134" t="n">
        <f aca="false">SUMIF($X:$X,CONCATENATE($AN35,BJ$6),$W:$W)</f>
        <v>0</v>
      </c>
      <c r="BK35" s="134" t="n">
        <f aca="false">SUMIF($X:$X,CONCATENATE($AN35,BK$6),$W:$W)</f>
        <v>0</v>
      </c>
      <c r="BL35" s="134" t="n">
        <f aca="false">SUMIF($X:$X,CONCATENATE($AN35,BL$6),$W:$W)</f>
        <v>0</v>
      </c>
      <c r="BM35" s="134" t="n">
        <f aca="false">SUMIF($X:$X,CONCATENATE($AN35,BM$6),$W:$W)</f>
        <v>0</v>
      </c>
      <c r="BN35" s="134" t="n">
        <f aca="false">SUMIF($X:$X,CONCATENATE($AN35,BN$6),$W:$W)</f>
        <v>0</v>
      </c>
      <c r="BO35" s="134" t="n">
        <f aca="false">SUMIF($X:$X,CONCATENATE($AN35,BO$6),$W:$W)</f>
        <v>0</v>
      </c>
      <c r="BP35" s="134" t="n">
        <f aca="false">SUMIF($X:$X,CONCATENATE($AN35,BP$6),$W:$W)</f>
        <v>0</v>
      </c>
      <c r="BQ35" s="134" t="n">
        <f aca="false">SUMIF($X:$X,CONCATENATE($AN35,BQ$6),$W:$W)</f>
        <v>0</v>
      </c>
      <c r="BR35" s="135" t="n">
        <f aca="false">SUMIF($X:$X,CONCATENATE($AN35,BR$6),$W:$W)</f>
        <v>0</v>
      </c>
      <c r="BS35" s="208" t="n">
        <f aca="false">EOMONTH(BS34,0)+1</f>
        <v>37591</v>
      </c>
      <c r="BT35" s="135" t="e">
        <f aca="false">SUM(BF35:BR35)</f>
        <v>#NAME?</v>
      </c>
      <c r="BU35" s="2"/>
      <c r="BV35" s="2"/>
      <c r="BW35" s="2"/>
      <c r="BX35" s="2"/>
      <c r="BY35" s="2"/>
      <c r="BZ35" s="2"/>
      <c r="CA35" s="2"/>
      <c r="CB35" s="2"/>
      <c r="CC35" s="182" t="n">
        <f aca="false">G35</f>
        <v>36831</v>
      </c>
      <c r="CD35" s="253" t="e">
        <f aca="false">xSPRDOPT((VLOOKUP(G35,NGPrices,2,FALSE())+HLOOKUP(D35,Prices,VLOOKUP(G35,move_down,2,FALSE()),FALSE())),VLOOKUP(G35,NGPrices,2,FALSE()),I35,VLOOKUP(G35,NGPREVPRICES,4,FALSE()),HLOOKUP(D35,PREVVOLS,VLOOKUP(G35,MOVE_DOWN2,2,FALSE()),FALSE()),VLOOKUP(G35,NGPREVPRICES,3,FALSE()),HLOOKUP(D35,Correllate,VLOOKUP(G35,CorMove,2,FALSE()),FALSE()),Q35-$CD$3,R35,$CD$5)*H35-CJ35</f>
        <v>#NAME?</v>
      </c>
      <c r="CE35" s="253" t="e">
        <f aca="false">xSPRDOPT((VLOOKUP(G35,NGPREVPRICES,2,FALSE())+HLOOKUP(D35,PREVCURVES,VLOOKUP(G35,MOVE_DOWN2,2,FALSE()),FALSE())),VLOOKUP(G35,NGPREVPRICES,2,FALSE()),CK35,VLOOKUP(G35,NGPrices,4,FALSE()),HLOOKUP(D35,PREVVOLS,VLOOKUP(G35,MOVE_DOWN2,2,FALSE()),FALSE()),VLOOKUP(G35,NGPREVPRICES,3,FALSE()),HLOOKUP(D35,Correllate,VLOOKUP(G35,CorMove,2,FALSE()),FALSE()),Q35-$CD$3,R35,$CJ$5)*H35-CJ35</f>
        <v>#NAME?</v>
      </c>
      <c r="CF35" s="132" t="e">
        <f aca="false">(CJ35/VLOOKUP(CC35,discount,3,FALSE()))-(CJ35/VLOOKUP(CC35,discount,2,FALSE()))</f>
        <v>#NAME?</v>
      </c>
      <c r="CG35" s="253" t="e">
        <f aca="false">xSPRDOPT((VLOOKUP(G35,NGPREVPRICES,2,FALSE())+HLOOKUP(D35,PREVCURVES,VLOOKUP(G35,MOVE_DOWN2,2,FALSE()),FALSE())),VLOOKUP(G35,NGPREVPRICES,2,FALSE()),CK35,VLOOKUP(G35,NGPREVPRICES,4,FALSE()),HLOOKUP(D35,VOLS,VLOOKUP(G35,move_down,2,FALSE()),FALSE()),VLOOKUP(G35,NGPrices,3,FALSE()),HLOOKUP(D35,Correllate,VLOOKUP(G35,CorMove,2,FALSE()),FALSE()),Q35-$CD$3,R35,$CJ$5)*H35-CJ35</f>
        <v>#NAME?</v>
      </c>
      <c r="CH35" s="253" t="e">
        <f aca="false">xSPRDOPT((VLOOKUP(G35,NGPREVPRICES,2,FALSE())+HLOOKUP(D35,PREVCURVES,VLOOKUP(G35,MOVE_DOWN2,2,FALSE()),FALSE())),VLOOKUP(G35,NGPREVPRICES,2,FALSE()),CK35,VLOOKUP(G35,NGPREVPRICES,4,FALSE()),HLOOKUP(D35,PREVVOLS,VLOOKUP(G35,MOVE_DOWN2,2,FALSE()),FALSE()),VLOOKUP(G35,NGPREVPRICES,3,FALSE()),HLOOKUP(D35,Correllate,VLOOKUP(G35,CorMove,2,FALSE()),FALSE()),Q35-$C$3,R35,$CJ$5)*H35-CJ35</f>
        <v>#NAME?</v>
      </c>
      <c r="CI35" s="253" t="e">
        <f aca="false">SUM(CD35:CH35)</f>
        <v>#NAME?</v>
      </c>
      <c r="CJ35" s="253" t="e">
        <f aca="false">xSPRDOPT((VLOOKUP(G35,NGPREVPRICES,2,FALSE())+HLOOKUP(D35,PREVCURVES,VLOOKUP(G35,MOVE_DOWN2,2,FALSE()),FALSE())),VLOOKUP(G35,NGPREVPRICES,2,FALSE()),CK35,VLOOKUP(G35,NGPREVPRICES,4,FALSE()),HLOOKUP(D35,PREVVOLS,VLOOKUP(G35,MOVE_DOWN2,2,FALSE()),FALSE()),VLOOKUP(G35,NGPREVPRICES,3,FALSE()),HLOOKUP(D35,Correllate,VLOOKUP(G35,CorMove,2,FALSE()),FALSE()),Q35-$CD$3,R35,$CJ$5)*H35</f>
        <v>#NAME?</v>
      </c>
      <c r="CK35" s="254" t="n">
        <f aca="false">I35</f>
        <v>0.45</v>
      </c>
      <c r="CM35" s="0" t="str">
        <f aca="false">CONCATENATE(CC35,$CD$6)</f>
        <v>36831Curve Shift/Gamma</v>
      </c>
      <c r="CN35" s="0" t="str">
        <f aca="false">CONCATENATE($CC35,$CE$6)</f>
        <v>36831Rho</v>
      </c>
      <c r="CO35" s="0" t="str">
        <f aca="false">CONCATENATE($CC35,$CF$6)</f>
        <v>36831Drift</v>
      </c>
      <c r="CP35" s="0" t="str">
        <f aca="false">CONCATENATE($CC35,$CG$6)</f>
        <v>36831Vega</v>
      </c>
      <c r="CQ35" s="0" t="str">
        <f aca="false">CONCATENATE($CC35,$CH$6)</f>
        <v>36831Theta</v>
      </c>
      <c r="CR35" s="255" t="n">
        <f aca="false">EOMONTH(CR34,0)+1</f>
        <v>37591</v>
      </c>
      <c r="CS35" s="261" t="e">
        <f aca="false">SUMIF($CM$7:$CM$631,CONCATENATE($CR35,$CS$6),$CD$7:$CD$631)</f>
        <v>#NAME?</v>
      </c>
      <c r="CT35" s="262" t="e">
        <f aca="false">SUMIF($CN$7:$CN$636,CONCATENATE($CR35,$CT$6),$CE$7:$CE$631)</f>
        <v>#NAME?</v>
      </c>
      <c r="CU35" s="262" t="e">
        <f aca="false">SUMIF($CO$7:$CO$636,CONCATENATE($CR35,$CU$6),$CF$7:$CF$631)</f>
        <v>#NAME?</v>
      </c>
      <c r="CV35" s="262" t="e">
        <f aca="false">SUMIF($CP$7:$CP$636,CONCATENATE($CR35,$CV$6),$CG$7:$CG$631)</f>
        <v>#NAME?</v>
      </c>
      <c r="CW35" s="263" t="e">
        <f aca="false">SUMIF($CQ$7:$CQ$636,CONCATENATE($CR35,$CW$6),$CH$7:$CH$631)</f>
        <v>#NAME?</v>
      </c>
      <c r="CX35" s="264" t="e">
        <f aca="false">SUM(CS35:CW35)</f>
        <v>#NAME?</v>
      </c>
      <c r="CZ35" s="255" t="n">
        <f aca="false">CR35</f>
        <v>37591</v>
      </c>
      <c r="DA35" s="261" t="e">
        <f aca="false">SUMIF($CC$7:$CC$1008,$CR35,$CD$7:$CD$1008)</f>
        <v>#NAME?</v>
      </c>
      <c r="DB35" s="262" t="e">
        <f aca="false">SUMIF($CC$7:$CC$1008,$CR35,$CE$7:$CE$1008)</f>
        <v>#NAME?</v>
      </c>
      <c r="DC35" s="262" t="e">
        <f aca="false">SUMIF($CC$7:$CC$1008,$CR35,$CF$7:$CF$1008)</f>
        <v>#NAME?</v>
      </c>
      <c r="DD35" s="262" t="e">
        <f aca="false">SUMIF($CC$7:$CC$1008,$CR35,$CG$7:$CG$1008)</f>
        <v>#NAME?</v>
      </c>
      <c r="DE35" s="263" t="e">
        <f aca="false">SUMIF($CC$7:$CC$1008,$CR35,$CH$7:$CH$1008)</f>
        <v>#NAME?</v>
      </c>
      <c r="DF35" s="264" t="e">
        <f aca="false">SUM(DA35:DE35)</f>
        <v>#NAME?</v>
      </c>
    </row>
    <row r="36" customFormat="false" ht="12" hidden="false" customHeight="true" outlineLevel="0" collapsed="false">
      <c r="A36" s="17" t="s">
        <v>210</v>
      </c>
      <c r="B36" s="0" t="s">
        <v>192</v>
      </c>
      <c r="C36" s="0" t="s">
        <v>211</v>
      </c>
      <c r="D36" s="7" t="s">
        <v>149</v>
      </c>
      <c r="E36" s="0" t="s">
        <v>131</v>
      </c>
      <c r="F36" s="0" t="s">
        <v>132</v>
      </c>
      <c r="G36" s="182" t="n">
        <v>36831</v>
      </c>
      <c r="H36" s="248" t="n">
        <v>900000</v>
      </c>
      <c r="I36" s="0" t="n">
        <v>0.45</v>
      </c>
      <c r="J36" s="124" t="n">
        <f aca="false">VLOOKUP(G36,NGPrices,2,FALSE())</f>
        <v>4.736</v>
      </c>
      <c r="K36" s="125" t="n">
        <f aca="false">HLOOKUP(D36,Prices,VLOOKUP(G36,move_down,2,FALSE()),FALSE())+VLOOKUP(G36,CHANGE,HLOOKUP(D36,CHANGE,2,FALSE()),FALSE())</f>
        <v>0.77</v>
      </c>
      <c r="L36" s="124" t="n">
        <f aca="false">K36+J36</f>
        <v>5.506</v>
      </c>
      <c r="M36" s="126" t="n">
        <f aca="false">VLOOKUP(G36,NGPrices,4,FALSE())</f>
        <v>0.06810675983792</v>
      </c>
      <c r="N36" s="7" t="n">
        <f aca="false">VLOOKUP(G36,NGPrices,3,FALSE())</f>
        <v>0.595</v>
      </c>
      <c r="O36" s="7" t="n">
        <f aca="false">HLOOKUP(D36,VOLS,VLOOKUP(G36,move_down,2,FALSE()),FALSE())</f>
        <v>0.625</v>
      </c>
      <c r="P36" s="249" t="n">
        <f aca="false">HLOOKUP(D36,Correllate,VLOOKUP(G36,CorMove,2,FALSE()),FALSE())</f>
        <v>0.89</v>
      </c>
      <c r="Q36" s="92" t="n">
        <f aca="false">WORKDAY(G36,-2)</f>
        <v>36829</v>
      </c>
      <c r="R36" s="7" t="n">
        <f aca="false">IF(F36="P",0,1)</f>
        <v>0</v>
      </c>
      <c r="S36" s="130" t="e">
        <f aca="false">xSPRDOPT($L36,$J36,$I36,$M36,$O36,$N36,$P36,$Q36-$C$3,$R36,0)</f>
        <v>#NAME?</v>
      </c>
      <c r="T36" s="250" t="e">
        <f aca="false">xSPRDOPT($L36,$J36,$I36,$M36,$O36,$N36,$P36,$Q36-$C$3,$R36,1)*H36</f>
        <v>#NAME?</v>
      </c>
      <c r="U36" s="43" t="e">
        <f aca="false">S36*H36</f>
        <v>#NAME?</v>
      </c>
      <c r="V36" s="250" t="e">
        <f aca="false">xSPRDOPT($L36,$J36,$I36,$M36,$O36,$N36,$P36,$Q36-$C$3,$R36,2)*H36</f>
        <v>#NAME?</v>
      </c>
      <c r="W36" s="250" t="e">
        <f aca="false">+V36+T36</f>
        <v>#NAME?</v>
      </c>
      <c r="X36" s="2" t="str">
        <f aca="false">CONCATENATE(G36,D36)</f>
        <v>36831IF-TRANSCO/Z6</v>
      </c>
      <c r="Y36" s="251" t="n">
        <f aca="false">H36/10000</f>
        <v>90</v>
      </c>
      <c r="Z36" s="226" t="e">
        <f aca="false">T36/H36</f>
        <v>#NAME?</v>
      </c>
      <c r="AA36" s="226" t="e">
        <f aca="false">xSPRDOPT($L36,$J36,$I36,$M36,$O36,$N36,$P36,$Q36-$C$3,$R36,3)</f>
        <v>#NAME?</v>
      </c>
      <c r="AB36" s="226" t="e">
        <f aca="false">((xSPRDOPT($L36+AB$5,$J36,$I36,$M36,$O36,$N36,$P36,$Q36-$C$3,$R36,3)*$H36)/10000)/100</f>
        <v>#NAME?</v>
      </c>
      <c r="AC36" s="226" t="e">
        <f aca="false">((xSPRDOPT($L36+$AB$5,$J36,$I36,$M36,$O36,$N36,$P36,$Q36-$C$3,$R36,7)*$H36)/100)</f>
        <v>#NAME?</v>
      </c>
      <c r="AD36" s="226" t="e">
        <f aca="false">(xSPRDOPT($L36+$AB$5,$J36,$I36,$M36,$O36,$N36,$P36,$Q36-$C$3,$R36,9)/365)*$H36</f>
        <v>#NAME?</v>
      </c>
      <c r="AE36" s="0" t="e">
        <f aca="false">CD36</f>
        <v>#NAME?</v>
      </c>
      <c r="AF36" s="226" t="e">
        <f aca="false">((O36/N36)*AH36)+AG36</f>
        <v>#NAME?</v>
      </c>
      <c r="AG36" s="226" t="e">
        <f aca="false">((xSPRDOPT($L36,$J36,$I36,$M36,$O36,$N36,$P36,$Q36-$C$3,$R36,6)*$H36)/100)</f>
        <v>#NAME?</v>
      </c>
      <c r="AH36" s="226" t="e">
        <f aca="false">((xSPRDOPT($L36,$J36,$I36,$M36,$O36,$N36,$P36,$Q36-$C$3,$R36,5)*$H36)/100)</f>
        <v>#NAME?</v>
      </c>
      <c r="AI36" s="226" t="e">
        <f aca="false">(((xSPRDOPT($L36,$J36,$I36,$M36,$O36,$N36,$P36,$Q36-$C$3,$R36,4)*$H36)/10000)/100)-AB36</f>
        <v>#NAME?</v>
      </c>
      <c r="AJ36" s="226"/>
      <c r="AK36" s="226"/>
      <c r="AL36" s="226"/>
      <c r="AM36" s="252"/>
      <c r="AN36" s="208" t="n">
        <f aca="false">EOMONTH(AN35,0)+1</f>
        <v>37622</v>
      </c>
      <c r="AO36" s="134" t="n">
        <f aca="false">SUMIF($X:$X,CONCATENATE($AN36,AO$6),$T:$T)/10000</f>
        <v>0</v>
      </c>
      <c r="AP36" s="134" t="n">
        <f aca="false">SUMIF($X:$X,CONCATENATE($AN36,AP$6),$T:$T)/10000</f>
        <v>0</v>
      </c>
      <c r="AQ36" s="134" t="n">
        <f aca="false">SUMIF($X:$X,CONCATENATE($AN36,AQ$6),$T:$T)/10000</f>
        <v>0</v>
      </c>
      <c r="AR36" s="134" t="e">
        <f aca="false">SUMIF($X:$X,CONCATENATE($AN36,AR$6),$T:$T)/10000</f>
        <v>#NAME?</v>
      </c>
      <c r="AS36" s="134" t="n">
        <f aca="false">SUMIF($X:$X,CONCATENATE($AN36,AS$6),$T:$T)/10000</f>
        <v>0</v>
      </c>
      <c r="AT36" s="134" t="n">
        <f aca="false">SUMIF($X:$X,CONCATENATE($AN36,AT$6),$T:$T)/10000</f>
        <v>0</v>
      </c>
      <c r="AU36" s="134" t="n">
        <f aca="false">SUMIF($X:$X,CONCATENATE($AN36,AU$6),$T:$T)/10000</f>
        <v>0</v>
      </c>
      <c r="AV36" s="134" t="n">
        <f aca="false">SUMIF($X:$X,CONCATENATE($AN36,AV$6),$T:$T)/10000</f>
        <v>0</v>
      </c>
      <c r="AW36" s="134" t="n">
        <f aca="false">SUMIF($X:$X,CONCATENATE($AN36,AW$6),$T:$T)/10000</f>
        <v>0</v>
      </c>
      <c r="AX36" s="134" t="n">
        <f aca="false">SUMIF($X:$X,CONCATENATE($AN36,AX$6),$T:$T)/10000</f>
        <v>0</v>
      </c>
      <c r="AY36" s="134" t="n">
        <f aca="false">SUMIF($X:$X,CONCATENATE($AN36,AY$6),$T:$T)/10000</f>
        <v>0</v>
      </c>
      <c r="AZ36" s="134" t="n">
        <f aca="false">SUMIF($X:$X,CONCATENATE($AN36,AZ$6),$T:$T)/10000</f>
        <v>0</v>
      </c>
      <c r="BA36" s="135" t="n">
        <f aca="false">SUMIF($X:$X,CONCATENATE($AN36,BA$6),$T:$T)/10000</f>
        <v>0</v>
      </c>
      <c r="BB36" s="208" t="n">
        <f aca="false">EOMONTH(BB35,0)+1</f>
        <v>37622</v>
      </c>
      <c r="BC36" s="135" t="e">
        <f aca="false">SUM(AO36:BA36)</f>
        <v>#NAME?</v>
      </c>
      <c r="BD36" s="2"/>
      <c r="BE36" s="208" t="n">
        <f aca="false">EOMONTH(BE35,0)+1</f>
        <v>37622</v>
      </c>
      <c r="BF36" s="134" t="n">
        <f aca="false">SUMIF($X:$X,CONCATENATE($AN36,BF$6),$W:$W)</f>
        <v>0</v>
      </c>
      <c r="BG36" s="134" t="n">
        <f aca="false">SUMIF($X:$X,CONCATENATE($AN36,BG$6),$W:$W)</f>
        <v>0</v>
      </c>
      <c r="BH36" s="134" t="n">
        <f aca="false">SUMIF($X:$X,CONCATENATE($AN36,BH$6),$W:$W)</f>
        <v>0</v>
      </c>
      <c r="BI36" s="134" t="e">
        <f aca="false">SUMIF($X:$X,CONCATENATE($AN36,BI$6),$W:$W)</f>
        <v>#NAME?</v>
      </c>
      <c r="BJ36" s="134" t="n">
        <f aca="false">SUMIF($X:$X,CONCATENATE($AN36,BJ$6),$W:$W)</f>
        <v>0</v>
      </c>
      <c r="BK36" s="134" t="n">
        <f aca="false">SUMIF($X:$X,CONCATENATE($AN36,BK$6),$W:$W)</f>
        <v>0</v>
      </c>
      <c r="BL36" s="134" t="n">
        <f aca="false">SUMIF($X:$X,CONCATENATE($AN36,BL$6),$W:$W)</f>
        <v>0</v>
      </c>
      <c r="BM36" s="134" t="n">
        <f aca="false">SUMIF($X:$X,CONCATENATE($AN36,BM$6),$W:$W)</f>
        <v>0</v>
      </c>
      <c r="BN36" s="134" t="n">
        <f aca="false">SUMIF($X:$X,CONCATENATE($AN36,BN$6),$W:$W)</f>
        <v>0</v>
      </c>
      <c r="BO36" s="134" t="n">
        <f aca="false">SUMIF($X:$X,CONCATENATE($AN36,BO$6),$W:$W)</f>
        <v>0</v>
      </c>
      <c r="BP36" s="134" t="n">
        <f aca="false">SUMIF($X:$X,CONCATENATE($AN36,BP$6),$W:$W)</f>
        <v>0</v>
      </c>
      <c r="BQ36" s="134" t="n">
        <f aca="false">SUMIF($X:$X,CONCATENATE($AN36,BQ$6),$W:$W)</f>
        <v>0</v>
      </c>
      <c r="BR36" s="135" t="n">
        <f aca="false">SUMIF($X:$X,CONCATENATE($AN36,BR$6),$W:$W)</f>
        <v>0</v>
      </c>
      <c r="BS36" s="208" t="n">
        <f aca="false">EOMONTH(BS35,0)+1</f>
        <v>37622</v>
      </c>
      <c r="BT36" s="135" t="e">
        <f aca="false">SUM(BF36:BR36)</f>
        <v>#NAME?</v>
      </c>
      <c r="BU36" s="2"/>
      <c r="BV36" s="2"/>
      <c r="BW36" s="2"/>
      <c r="BX36" s="2"/>
      <c r="BY36" s="2"/>
      <c r="BZ36" s="2"/>
      <c r="CA36" s="2"/>
      <c r="CB36" s="2"/>
      <c r="CC36" s="182" t="n">
        <f aca="false">G36</f>
        <v>36831</v>
      </c>
      <c r="CD36" s="253" t="e">
        <f aca="false">xSPRDOPT((VLOOKUP(G36,NGPrices,2,FALSE())+HLOOKUP(D36,Prices,VLOOKUP(G36,move_down,2,FALSE()),FALSE())),VLOOKUP(G36,NGPrices,2,FALSE()),I36,VLOOKUP(G36,NGPREVPRICES,4,FALSE()),HLOOKUP(D36,PREVVOLS,VLOOKUP(G36,MOVE_DOWN2,2,FALSE()),FALSE()),VLOOKUP(G36,NGPREVPRICES,3,FALSE()),HLOOKUP(D36,Correllate,VLOOKUP(G36,CorMove,2,FALSE()),FALSE()),Q36-$CD$3,R36,$CD$5)*H36-CJ36</f>
        <v>#NAME?</v>
      </c>
      <c r="CE36" s="253" t="e">
        <f aca="false">xSPRDOPT((VLOOKUP(G36,NGPREVPRICES,2,FALSE())+HLOOKUP(D36,PREVCURVES,VLOOKUP(G36,MOVE_DOWN2,2,FALSE()),FALSE())),VLOOKUP(G36,NGPREVPRICES,2,FALSE()),CK36,VLOOKUP(G36,NGPrices,4,FALSE()),HLOOKUP(D36,PREVVOLS,VLOOKUP(G36,MOVE_DOWN2,2,FALSE()),FALSE()),VLOOKUP(G36,NGPREVPRICES,3,FALSE()),HLOOKUP(D36,Correllate,VLOOKUP(G36,CorMove,2,FALSE()),FALSE()),Q36-$CD$3,R36,$CJ$5)*H36-CJ36</f>
        <v>#NAME?</v>
      </c>
      <c r="CF36" s="132" t="e">
        <f aca="false">(CJ36/VLOOKUP(CC36,discount,3,FALSE()))-(CJ36/VLOOKUP(CC36,discount,2,FALSE()))</f>
        <v>#NAME?</v>
      </c>
      <c r="CG36" s="253" t="e">
        <f aca="false">xSPRDOPT((VLOOKUP(G36,NGPREVPRICES,2,FALSE())+HLOOKUP(D36,PREVCURVES,VLOOKUP(G36,MOVE_DOWN2,2,FALSE()),FALSE())),VLOOKUP(G36,NGPREVPRICES,2,FALSE()),CK36,VLOOKUP(G36,NGPREVPRICES,4,FALSE()),HLOOKUP(D36,VOLS,VLOOKUP(G36,move_down,2,FALSE()),FALSE()),VLOOKUP(G36,NGPrices,3,FALSE()),HLOOKUP(D36,Correllate,VLOOKUP(G36,CorMove,2,FALSE()),FALSE()),Q36-$CD$3,R36,$CJ$5)*H36-CJ36</f>
        <v>#NAME?</v>
      </c>
      <c r="CH36" s="253" t="e">
        <f aca="false">xSPRDOPT((VLOOKUP(G36,NGPREVPRICES,2,FALSE())+HLOOKUP(D36,PREVCURVES,VLOOKUP(G36,MOVE_DOWN2,2,FALSE()),FALSE())),VLOOKUP(G36,NGPREVPRICES,2,FALSE()),CK36,VLOOKUP(G36,NGPREVPRICES,4,FALSE()),HLOOKUP(D36,PREVVOLS,VLOOKUP(G36,MOVE_DOWN2,2,FALSE()),FALSE()),VLOOKUP(G36,NGPREVPRICES,3,FALSE()),HLOOKUP(D36,Correllate,VLOOKUP(G36,CorMove,2,FALSE()),FALSE()),Q36-$C$3,R36,$CJ$5)*H36-CJ36</f>
        <v>#NAME?</v>
      </c>
      <c r="CI36" s="253" t="e">
        <f aca="false">SUM(CD36:CH36)</f>
        <v>#NAME?</v>
      </c>
      <c r="CJ36" s="253" t="e">
        <f aca="false">xSPRDOPT((VLOOKUP(G36,NGPREVPRICES,2,FALSE())+HLOOKUP(D36,PREVCURVES,VLOOKUP(G36,MOVE_DOWN2,2,FALSE()),FALSE())),VLOOKUP(G36,NGPREVPRICES,2,FALSE()),CK36,VLOOKUP(G36,NGPREVPRICES,4,FALSE()),HLOOKUP(D36,PREVVOLS,VLOOKUP(G36,MOVE_DOWN2,2,FALSE()),FALSE()),VLOOKUP(G36,NGPREVPRICES,3,FALSE()),HLOOKUP(D36,Correllate,VLOOKUP(G36,CorMove,2,FALSE()),FALSE()),Q36-$CD$3,R36,$CJ$5)*H36</f>
        <v>#NAME?</v>
      </c>
      <c r="CK36" s="254" t="n">
        <f aca="false">I36</f>
        <v>0.45</v>
      </c>
      <c r="CM36" s="0" t="str">
        <f aca="false">CONCATENATE(CC36,$CD$6)</f>
        <v>36831Curve Shift/Gamma</v>
      </c>
      <c r="CN36" s="0" t="str">
        <f aca="false">CONCATENATE($CC36,$CE$6)</f>
        <v>36831Rho</v>
      </c>
      <c r="CO36" s="0" t="str">
        <f aca="false">CONCATENATE($CC36,$CF$6)</f>
        <v>36831Drift</v>
      </c>
      <c r="CP36" s="0" t="str">
        <f aca="false">CONCATENATE($CC36,$CG$6)</f>
        <v>36831Vega</v>
      </c>
      <c r="CQ36" s="0" t="str">
        <f aca="false">CONCATENATE($CC36,$CH$6)</f>
        <v>36831Theta</v>
      </c>
      <c r="CR36" s="255" t="n">
        <f aca="false">EOMONTH(CR35,0)+1</f>
        <v>37622</v>
      </c>
      <c r="CS36" s="261" t="e">
        <f aca="false">SUMIF($CM$7:$CM$631,CONCATENATE($CR36,$CS$6),$CD$7:$CD$631)</f>
        <v>#NAME?</v>
      </c>
      <c r="CT36" s="262" t="e">
        <f aca="false">SUMIF($CN$7:$CN$636,CONCATENATE($CR36,$CT$6),$CE$7:$CE$631)</f>
        <v>#NAME?</v>
      </c>
      <c r="CU36" s="262" t="e">
        <f aca="false">SUMIF($CO$7:$CO$636,CONCATENATE($CR36,$CU$6),$CF$7:$CF$631)</f>
        <v>#NAME?</v>
      </c>
      <c r="CV36" s="262" t="e">
        <f aca="false">SUMIF($CP$7:$CP$636,CONCATENATE($CR36,$CV$6),$CG$7:$CG$631)</f>
        <v>#NAME?</v>
      </c>
      <c r="CW36" s="263" t="e">
        <f aca="false">SUMIF($CQ$7:$CQ$636,CONCATENATE($CR36,$CW$6),$CH$7:$CH$631)</f>
        <v>#NAME?</v>
      </c>
      <c r="CX36" s="264" t="e">
        <f aca="false">SUM(CS36:CW36)</f>
        <v>#NAME?</v>
      </c>
      <c r="CZ36" s="255" t="n">
        <f aca="false">CR36</f>
        <v>37622</v>
      </c>
      <c r="DA36" s="261" t="e">
        <f aca="false">SUMIF($CC$7:$CC$1008,$CR36,$CD$7:$CD$1008)</f>
        <v>#NAME?</v>
      </c>
      <c r="DB36" s="262" t="e">
        <f aca="false">SUMIF($CC$7:$CC$1008,$CR36,$CE$7:$CE$1008)</f>
        <v>#NAME?</v>
      </c>
      <c r="DC36" s="262" t="e">
        <f aca="false">SUMIF($CC$7:$CC$1008,$CR36,$CF$7:$CF$1008)</f>
        <v>#NAME?</v>
      </c>
      <c r="DD36" s="262" t="e">
        <f aca="false">SUMIF($CC$7:$CC$1008,$CR36,$CG$7:$CG$1008)</f>
        <v>#NAME?</v>
      </c>
      <c r="DE36" s="263" t="e">
        <f aca="false">SUMIF($CC$7:$CC$1008,$CR36,$CH$7:$CH$1008)</f>
        <v>#NAME?</v>
      </c>
      <c r="DF36" s="264" t="e">
        <f aca="false">SUM(DA36:DE36)</f>
        <v>#NAME?</v>
      </c>
    </row>
    <row r="37" customFormat="false" ht="12" hidden="false" customHeight="true" outlineLevel="0" collapsed="false">
      <c r="A37" s="17" t="s">
        <v>212</v>
      </c>
      <c r="B37" s="0" t="s">
        <v>192</v>
      </c>
      <c r="C37" s="0" t="s">
        <v>213</v>
      </c>
      <c r="D37" s="7" t="s">
        <v>149</v>
      </c>
      <c r="E37" s="0" t="s">
        <v>131</v>
      </c>
      <c r="F37" s="0" t="s">
        <v>132</v>
      </c>
      <c r="G37" s="182" t="n">
        <v>36831</v>
      </c>
      <c r="H37" s="248" t="n">
        <v>1500000</v>
      </c>
      <c r="I37" s="0" t="n">
        <v>0.45</v>
      </c>
      <c r="J37" s="124" t="n">
        <f aca="false">VLOOKUP(G37,NGPrices,2,FALSE())</f>
        <v>4.736</v>
      </c>
      <c r="K37" s="125" t="n">
        <f aca="false">HLOOKUP(D37,Prices,VLOOKUP(G37,move_down,2,FALSE()),FALSE())+VLOOKUP(G37,CHANGE,HLOOKUP(D37,CHANGE,2,FALSE()),FALSE())</f>
        <v>0.77</v>
      </c>
      <c r="L37" s="124" t="n">
        <f aca="false">K37+J37</f>
        <v>5.506</v>
      </c>
      <c r="M37" s="126" t="n">
        <f aca="false">VLOOKUP(G37,NGPrices,4,FALSE())</f>
        <v>0.06810675983792</v>
      </c>
      <c r="N37" s="7" t="n">
        <f aca="false">VLOOKUP(G37,NGPrices,3,FALSE())</f>
        <v>0.595</v>
      </c>
      <c r="O37" s="7" t="n">
        <f aca="false">HLOOKUP(D37,VOLS,VLOOKUP(G37,move_down,2,FALSE()),FALSE())</f>
        <v>0.625</v>
      </c>
      <c r="P37" s="249" t="n">
        <f aca="false">HLOOKUP(D37,Correllate,VLOOKUP(G37,CorMove,2,FALSE()),FALSE())</f>
        <v>0.89</v>
      </c>
      <c r="Q37" s="92" t="n">
        <f aca="false">WORKDAY(G37,-2)</f>
        <v>36829</v>
      </c>
      <c r="R37" s="7" t="n">
        <f aca="false">IF(F37="P",0,1)</f>
        <v>0</v>
      </c>
      <c r="S37" s="130" t="e">
        <f aca="false">xSPRDOPT($L37,$J37,$I37,$M37,$O37,$N37,$P37,$Q37-$C$3,$R37,0)</f>
        <v>#NAME?</v>
      </c>
      <c r="T37" s="250" t="e">
        <f aca="false">xSPRDOPT($L37,$J37,$I37,$M37,$O37,$N37,$P37,$Q37-$C$3,$R37,1)*H37</f>
        <v>#NAME?</v>
      </c>
      <c r="U37" s="43" t="e">
        <f aca="false">S37*H37</f>
        <v>#NAME?</v>
      </c>
      <c r="V37" s="250" t="e">
        <f aca="false">xSPRDOPT($L37,$J37,$I37,$M37,$O37,$N37,$P37,$Q37-$C$3,$R37,2)*H37</f>
        <v>#NAME?</v>
      </c>
      <c r="W37" s="250" t="e">
        <f aca="false">+V37+T37</f>
        <v>#NAME?</v>
      </c>
      <c r="X37" s="2" t="str">
        <f aca="false">CONCATENATE(G37,D37)</f>
        <v>36831IF-TRANSCO/Z6</v>
      </c>
      <c r="Y37" s="251" t="n">
        <f aca="false">H37/10000</f>
        <v>150</v>
      </c>
      <c r="Z37" s="226" t="e">
        <f aca="false">T37/H37</f>
        <v>#NAME?</v>
      </c>
      <c r="AA37" s="226" t="e">
        <f aca="false">xSPRDOPT($L37,$J37,$I37,$M37,$O37,$N37,$P37,$Q37-$C$3,$R37,3)</f>
        <v>#NAME?</v>
      </c>
      <c r="AB37" s="226" t="e">
        <f aca="false">((xSPRDOPT($L37+AB$5,$J37,$I37,$M37,$O37,$N37,$P37,$Q37-$C$3,$R37,3)*$H37)/10000)/100</f>
        <v>#NAME?</v>
      </c>
      <c r="AC37" s="226" t="e">
        <f aca="false">((xSPRDOPT($L37+$AB$5,$J37,$I37,$M37,$O37,$N37,$P37,$Q37-$C$3,$R37,7)*$H37)/100)</f>
        <v>#NAME?</v>
      </c>
      <c r="AD37" s="226" t="e">
        <f aca="false">(xSPRDOPT($L37+$AB$5,$J37,$I37,$M37,$O37,$N37,$P37,$Q37-$C$3,$R37,9)/365)*$H37</f>
        <v>#NAME?</v>
      </c>
      <c r="AE37" s="0" t="e">
        <f aca="false">CD37</f>
        <v>#NAME?</v>
      </c>
      <c r="AF37" s="226" t="e">
        <f aca="false">((O37/N37)*AH37)+AG37</f>
        <v>#NAME?</v>
      </c>
      <c r="AG37" s="226" t="e">
        <f aca="false">((xSPRDOPT($L37,$J37,$I37,$M37,$O37,$N37,$P37,$Q37-$C$3,$R37,6)*$H37)/100)</f>
        <v>#NAME?</v>
      </c>
      <c r="AH37" s="226" t="e">
        <f aca="false">((xSPRDOPT($L37,$J37,$I37,$M37,$O37,$N37,$P37,$Q37-$C$3,$R37,5)*$H37)/100)</f>
        <v>#NAME?</v>
      </c>
      <c r="AI37" s="226" t="e">
        <f aca="false">(((xSPRDOPT($L37,$J37,$I37,$M37,$O37,$N37,$P37,$Q37-$C$3,$R37,4)*$H37)/10000)/100)-AB37</f>
        <v>#NAME?</v>
      </c>
      <c r="AJ37" s="226"/>
      <c r="AK37" s="226"/>
      <c r="AL37" s="226"/>
      <c r="AM37" s="252"/>
      <c r="AN37" s="208" t="n">
        <f aca="false">EOMONTH(AN36,0)+1</f>
        <v>37653</v>
      </c>
      <c r="AO37" s="134" t="n">
        <f aca="false">SUMIF($X:$X,CONCATENATE($AN37,AO$6),$T:$T)/10000</f>
        <v>0</v>
      </c>
      <c r="AP37" s="134" t="n">
        <f aca="false">SUMIF($X:$X,CONCATENATE($AN37,AP$6),$T:$T)/10000</f>
        <v>0</v>
      </c>
      <c r="AQ37" s="134" t="n">
        <f aca="false">SUMIF($X:$X,CONCATENATE($AN37,AQ$6),$T:$T)/10000</f>
        <v>0</v>
      </c>
      <c r="AR37" s="134" t="e">
        <f aca="false">SUMIF($X:$X,CONCATENATE($AN37,AR$6),$T:$T)/10000</f>
        <v>#NAME?</v>
      </c>
      <c r="AS37" s="134" t="n">
        <f aca="false">SUMIF($X:$X,CONCATENATE($AN37,AS$6),$T:$T)/10000</f>
        <v>0</v>
      </c>
      <c r="AT37" s="134" t="n">
        <f aca="false">SUMIF($X:$X,CONCATENATE($AN37,AT$6),$T:$T)/10000</f>
        <v>0</v>
      </c>
      <c r="AU37" s="134" t="n">
        <f aca="false">SUMIF($X:$X,CONCATENATE($AN37,AU$6),$T:$T)/10000</f>
        <v>0</v>
      </c>
      <c r="AV37" s="134" t="n">
        <f aca="false">SUMIF($X:$X,CONCATENATE($AN37,AV$6),$T:$T)/10000</f>
        <v>0</v>
      </c>
      <c r="AW37" s="134" t="n">
        <f aca="false">SUMIF($X:$X,CONCATENATE($AN37,AW$6),$T:$T)/10000</f>
        <v>0</v>
      </c>
      <c r="AX37" s="134" t="n">
        <f aca="false">SUMIF($X:$X,CONCATENATE($AN37,AX$6),$T:$T)/10000</f>
        <v>0</v>
      </c>
      <c r="AY37" s="134" t="n">
        <f aca="false">SUMIF($X:$X,CONCATENATE($AN37,AY$6),$T:$T)/10000</f>
        <v>0</v>
      </c>
      <c r="AZ37" s="134" t="n">
        <f aca="false">SUMIF($X:$X,CONCATENATE($AN37,AZ$6),$T:$T)/10000</f>
        <v>0</v>
      </c>
      <c r="BA37" s="135" t="n">
        <f aca="false">SUMIF($X:$X,CONCATENATE($AN37,BA$6),$T:$T)/10000</f>
        <v>0</v>
      </c>
      <c r="BB37" s="208" t="n">
        <f aca="false">EOMONTH(BB36,0)+1</f>
        <v>37653</v>
      </c>
      <c r="BC37" s="135" t="e">
        <f aca="false">SUM(AO37:BA37)</f>
        <v>#NAME?</v>
      </c>
      <c r="BD37" s="2"/>
      <c r="BE37" s="208" t="n">
        <f aca="false">EOMONTH(BE36,0)+1</f>
        <v>37653</v>
      </c>
      <c r="BF37" s="134" t="n">
        <f aca="false">SUMIF($X:$X,CONCATENATE($AN37,BF$6),$W:$W)</f>
        <v>0</v>
      </c>
      <c r="BG37" s="134" t="n">
        <f aca="false">SUMIF($X:$X,CONCATENATE($AN37,BG$6),$W:$W)</f>
        <v>0</v>
      </c>
      <c r="BH37" s="134" t="n">
        <f aca="false">SUMIF($X:$X,CONCATENATE($AN37,BH$6),$W:$W)</f>
        <v>0</v>
      </c>
      <c r="BI37" s="134" t="e">
        <f aca="false">SUMIF($X:$X,CONCATENATE($AN37,BI$6),$W:$W)</f>
        <v>#NAME?</v>
      </c>
      <c r="BJ37" s="134" t="n">
        <f aca="false">SUMIF($X:$X,CONCATENATE($AN37,BJ$6),$W:$W)</f>
        <v>0</v>
      </c>
      <c r="BK37" s="134" t="n">
        <f aca="false">SUMIF($X:$X,CONCATENATE($AN37,BK$6),$W:$W)</f>
        <v>0</v>
      </c>
      <c r="BL37" s="134" t="n">
        <f aca="false">SUMIF($X:$X,CONCATENATE($AN37,BL$6),$W:$W)</f>
        <v>0</v>
      </c>
      <c r="BM37" s="134" t="n">
        <f aca="false">SUMIF($X:$X,CONCATENATE($AN37,BM$6),$W:$W)</f>
        <v>0</v>
      </c>
      <c r="BN37" s="134" t="n">
        <f aca="false">SUMIF($X:$X,CONCATENATE($AN37,BN$6),$W:$W)</f>
        <v>0</v>
      </c>
      <c r="BO37" s="134" t="n">
        <f aca="false">SUMIF($X:$X,CONCATENATE($AN37,BO$6),$W:$W)</f>
        <v>0</v>
      </c>
      <c r="BP37" s="134" t="n">
        <f aca="false">SUMIF($X:$X,CONCATENATE($AN37,BP$6),$W:$W)</f>
        <v>0</v>
      </c>
      <c r="BQ37" s="134" t="n">
        <f aca="false">SUMIF($X:$X,CONCATENATE($AN37,BQ$6),$W:$W)</f>
        <v>0</v>
      </c>
      <c r="BR37" s="135" t="n">
        <f aca="false">SUMIF($X:$X,CONCATENATE($AN37,BR$6),$W:$W)</f>
        <v>0</v>
      </c>
      <c r="BS37" s="208" t="n">
        <f aca="false">EOMONTH(BS36,0)+1</f>
        <v>37653</v>
      </c>
      <c r="BT37" s="135" t="e">
        <f aca="false">SUM(BF37:BR37)</f>
        <v>#NAME?</v>
      </c>
      <c r="BU37" s="2"/>
      <c r="BV37" s="2"/>
      <c r="BW37" s="2"/>
      <c r="BX37" s="2"/>
      <c r="BY37" s="2"/>
      <c r="BZ37" s="2"/>
      <c r="CA37" s="2"/>
      <c r="CB37" s="2"/>
      <c r="CC37" s="182" t="n">
        <f aca="false">G37</f>
        <v>36831</v>
      </c>
      <c r="CD37" s="253" t="e">
        <f aca="false">xSPRDOPT((VLOOKUP(G37,NGPrices,2,FALSE())+HLOOKUP(D37,Prices,VLOOKUP(G37,move_down,2,FALSE()),FALSE())),VLOOKUP(G37,NGPrices,2,FALSE()),I37,VLOOKUP(G37,NGPREVPRICES,4,FALSE()),HLOOKUP(D37,PREVVOLS,VLOOKUP(G37,MOVE_DOWN2,2,FALSE()),FALSE()),VLOOKUP(G37,NGPREVPRICES,3,FALSE()),HLOOKUP(D37,Correllate,VLOOKUP(G37,CorMove,2,FALSE()),FALSE()),Q37-$CD$3,R37,$CD$5)*H37-CJ37</f>
        <v>#NAME?</v>
      </c>
      <c r="CE37" s="253" t="e">
        <f aca="false">xSPRDOPT((VLOOKUP(G37,NGPREVPRICES,2,FALSE())+HLOOKUP(D37,PREVCURVES,VLOOKUP(G37,MOVE_DOWN2,2,FALSE()),FALSE())),VLOOKUP(G37,NGPREVPRICES,2,FALSE()),CK37,VLOOKUP(G37,NGPrices,4,FALSE()),HLOOKUP(D37,PREVVOLS,VLOOKUP(G37,MOVE_DOWN2,2,FALSE()),FALSE()),VLOOKUP(G37,NGPREVPRICES,3,FALSE()),HLOOKUP(D37,Correllate,VLOOKUP(G37,CorMove,2,FALSE()),FALSE()),Q37-$CD$3,R37,$CJ$5)*H37-CJ37</f>
        <v>#NAME?</v>
      </c>
      <c r="CF37" s="132" t="e">
        <f aca="false">(CJ37/VLOOKUP(CC37,discount,3,FALSE()))-(CJ37/VLOOKUP(CC37,discount,2,FALSE()))</f>
        <v>#NAME?</v>
      </c>
      <c r="CG37" s="253" t="e">
        <f aca="false">xSPRDOPT((VLOOKUP(G37,NGPREVPRICES,2,FALSE())+HLOOKUP(D37,PREVCURVES,VLOOKUP(G37,MOVE_DOWN2,2,FALSE()),FALSE())),VLOOKUP(G37,NGPREVPRICES,2,FALSE()),CK37,VLOOKUP(G37,NGPREVPRICES,4,FALSE()),HLOOKUP(D37,VOLS,VLOOKUP(G37,move_down,2,FALSE()),FALSE()),VLOOKUP(G37,NGPrices,3,FALSE()),HLOOKUP(D37,Correllate,VLOOKUP(G37,CorMove,2,FALSE()),FALSE()),Q37-$CD$3,R37,$CJ$5)*H37-CJ37</f>
        <v>#NAME?</v>
      </c>
      <c r="CH37" s="253" t="e">
        <f aca="false">xSPRDOPT((VLOOKUP(G37,NGPREVPRICES,2,FALSE())+HLOOKUP(D37,PREVCURVES,VLOOKUP(G37,MOVE_DOWN2,2,FALSE()),FALSE())),VLOOKUP(G37,NGPREVPRICES,2,FALSE()),CK37,VLOOKUP(G37,NGPREVPRICES,4,FALSE()),HLOOKUP(D37,PREVVOLS,VLOOKUP(G37,MOVE_DOWN2,2,FALSE()),FALSE()),VLOOKUP(G37,NGPREVPRICES,3,FALSE()),HLOOKUP(D37,Correllate,VLOOKUP(G37,CorMove,2,FALSE()),FALSE()),Q37-$C$3,R37,$CJ$5)*H37-CJ37</f>
        <v>#NAME?</v>
      </c>
      <c r="CI37" s="253" t="e">
        <f aca="false">SUM(CD37:CH37)</f>
        <v>#NAME?</v>
      </c>
      <c r="CJ37" s="253" t="e">
        <f aca="false">xSPRDOPT((VLOOKUP(G37,NGPREVPRICES,2,FALSE())+HLOOKUP(D37,PREVCURVES,VLOOKUP(G37,MOVE_DOWN2,2,FALSE()),FALSE())),VLOOKUP(G37,NGPREVPRICES,2,FALSE()),CK37,VLOOKUP(G37,NGPREVPRICES,4,FALSE()),HLOOKUP(D37,PREVVOLS,VLOOKUP(G37,MOVE_DOWN2,2,FALSE()),FALSE()),VLOOKUP(G37,NGPREVPRICES,3,FALSE()),HLOOKUP(D37,Correllate,VLOOKUP(G37,CorMove,2,FALSE()),FALSE()),Q37-$CD$3,R37,$CJ$5)*H37</f>
        <v>#NAME?</v>
      </c>
      <c r="CK37" s="254" t="n">
        <f aca="false">I37</f>
        <v>0.45</v>
      </c>
      <c r="CM37" s="0" t="str">
        <f aca="false">CONCATENATE(CC37,$CD$6)</f>
        <v>36831Curve Shift/Gamma</v>
      </c>
      <c r="CN37" s="0" t="str">
        <f aca="false">CONCATENATE($CC37,$CE$6)</f>
        <v>36831Rho</v>
      </c>
      <c r="CO37" s="0" t="str">
        <f aca="false">CONCATENATE($CC37,$CF$6)</f>
        <v>36831Drift</v>
      </c>
      <c r="CP37" s="0" t="str">
        <f aca="false">CONCATENATE($CC37,$CG$6)</f>
        <v>36831Vega</v>
      </c>
      <c r="CQ37" s="0" t="str">
        <f aca="false">CONCATENATE($CC37,$CH$6)</f>
        <v>36831Theta</v>
      </c>
      <c r="CR37" s="255" t="n">
        <f aca="false">EOMONTH(CR36,0)+1</f>
        <v>37653</v>
      </c>
      <c r="CS37" s="261" t="e">
        <f aca="false">SUMIF($CM$7:$CM$631,CONCATENATE($CR37,$CS$6),$CD$7:$CD$631)</f>
        <v>#NAME?</v>
      </c>
      <c r="CT37" s="262" t="e">
        <f aca="false">SUMIF($CN$7:$CN$636,CONCATENATE($CR37,$CT$6),$CE$7:$CE$631)</f>
        <v>#NAME?</v>
      </c>
      <c r="CU37" s="262" t="e">
        <f aca="false">SUMIF($CO$7:$CO$636,CONCATENATE($CR37,$CU$6),$CF$7:$CF$631)</f>
        <v>#NAME?</v>
      </c>
      <c r="CV37" s="262" t="e">
        <f aca="false">SUMIF($CP$7:$CP$636,CONCATENATE($CR37,$CV$6),$CG$7:$CG$631)</f>
        <v>#NAME?</v>
      </c>
      <c r="CW37" s="263" t="e">
        <f aca="false">SUMIF($CQ$7:$CQ$636,CONCATENATE($CR37,$CW$6),$CH$7:$CH$631)</f>
        <v>#NAME?</v>
      </c>
      <c r="CX37" s="264" t="e">
        <f aca="false">SUM(CS37:CW37)</f>
        <v>#NAME?</v>
      </c>
      <c r="CZ37" s="255" t="n">
        <f aca="false">CR37</f>
        <v>37653</v>
      </c>
      <c r="DA37" s="261" t="e">
        <f aca="false">SUMIF($CC$7:$CC$1008,$CR37,$CD$7:$CD$1008)</f>
        <v>#NAME?</v>
      </c>
      <c r="DB37" s="262" t="e">
        <f aca="false">SUMIF($CC$7:$CC$1008,$CR37,$CE$7:$CE$1008)</f>
        <v>#NAME?</v>
      </c>
      <c r="DC37" s="262" t="e">
        <f aca="false">SUMIF($CC$7:$CC$1008,$CR37,$CF$7:$CF$1008)</f>
        <v>#NAME?</v>
      </c>
      <c r="DD37" s="262" t="e">
        <f aca="false">SUMIF($CC$7:$CC$1008,$CR37,$CG$7:$CG$1008)</f>
        <v>#NAME?</v>
      </c>
      <c r="DE37" s="263" t="e">
        <f aca="false">SUMIF($CC$7:$CC$1008,$CR37,$CH$7:$CH$1008)</f>
        <v>#NAME?</v>
      </c>
      <c r="DF37" s="264" t="e">
        <f aca="false">SUM(DA37:DE37)</f>
        <v>#NAME?</v>
      </c>
    </row>
    <row r="38" customFormat="false" ht="12" hidden="false" customHeight="true" outlineLevel="0" collapsed="false">
      <c r="A38" s="17" t="s">
        <v>206</v>
      </c>
      <c r="B38" s="0" t="s">
        <v>192</v>
      </c>
      <c r="C38" s="0" t="s">
        <v>214</v>
      </c>
      <c r="D38" s="7" t="s">
        <v>149</v>
      </c>
      <c r="E38" s="0" t="s">
        <v>131</v>
      </c>
      <c r="F38" s="0" t="s">
        <v>215</v>
      </c>
      <c r="G38" s="92" t="n">
        <v>36951</v>
      </c>
      <c r="H38" s="248" t="n">
        <v>1240000</v>
      </c>
      <c r="I38" s="0" t="n">
        <v>1.25</v>
      </c>
      <c r="J38" s="124" t="n">
        <f aca="false">VLOOKUP(G38,NGPrices,2,FALSE())</f>
        <v>4.213</v>
      </c>
      <c r="K38" s="125" t="n">
        <f aca="false">HLOOKUP(D38,Prices,VLOOKUP(G38,move_down,2,FALSE()),FALSE())+VLOOKUP(G38,CHANGE,HLOOKUP(D38,CHANGE,2,FALSE()),FALSE())</f>
        <v>1.075</v>
      </c>
      <c r="L38" s="124" t="n">
        <f aca="false">K38+J38</f>
        <v>5.288</v>
      </c>
      <c r="M38" s="126" t="n">
        <f aca="false">VLOOKUP(G38,NGPrices,4,FALSE())</f>
        <v>0.068879814952707</v>
      </c>
      <c r="N38" s="7" t="n">
        <f aca="false">VLOOKUP(G38,NGPrices,3,FALSE())</f>
        <v>0.5325</v>
      </c>
      <c r="O38" s="7" t="n">
        <f aca="false">HLOOKUP(D38,VOLS,VLOOKUP(G38,move_down,2,FALSE()),FALSE())</f>
        <v>0.612</v>
      </c>
      <c r="P38" s="249" t="n">
        <f aca="false">HLOOKUP(D38,Correllate,VLOOKUP(G38,CorMove,2,FALSE()),FALSE())</f>
        <v>0.83</v>
      </c>
      <c r="Q38" s="92" t="n">
        <f aca="false">WORKDAY(G38,-2)</f>
        <v>36949</v>
      </c>
      <c r="R38" s="7" t="n">
        <f aca="false">IF(F38="P",0,1)</f>
        <v>1</v>
      </c>
      <c r="S38" s="130" t="e">
        <f aca="false">xSPRDOPT($L38,$J38,$I38,$M38,$O38,$N38,$P38,$Q38-$C$3,$R38,0)</f>
        <v>#NAME?</v>
      </c>
      <c r="T38" s="250" t="e">
        <f aca="false">xSPRDOPT($L38,$J38,$I38,$M38,$O38,$N38,$P38,$Q38-$C$3,$R38,1)*H38</f>
        <v>#NAME?</v>
      </c>
      <c r="U38" s="43" t="e">
        <f aca="false">S38*H38</f>
        <v>#NAME?</v>
      </c>
      <c r="V38" s="250" t="e">
        <f aca="false">xSPRDOPT($L38,$J38,$I38,$M38,$O38,$N38,$P38,$Q38-$C$3,$R38,2)*H38</f>
        <v>#NAME?</v>
      </c>
      <c r="W38" s="250" t="e">
        <f aca="false">+V38+T38</f>
        <v>#NAME?</v>
      </c>
      <c r="X38" s="2" t="str">
        <f aca="false">CONCATENATE(G38,D38)</f>
        <v>36951IF-TRANSCO/Z6</v>
      </c>
      <c r="Y38" s="251" t="n">
        <f aca="false">H38/10000</f>
        <v>124</v>
      </c>
      <c r="Z38" s="226" t="e">
        <f aca="false">T38/H38</f>
        <v>#NAME?</v>
      </c>
      <c r="AA38" s="226" t="e">
        <f aca="false">xSPRDOPT($L38,$J38,$I38,$M38,$O38,$N38,$P38,$Q38-$C$3,$R38,3)</f>
        <v>#NAME?</v>
      </c>
      <c r="AB38" s="226" t="e">
        <f aca="false">((xSPRDOPT($L38+AB$5,$J38,$I38,$M38,$O38,$N38,$P38,$Q38-$C$3,$R38,3)*$H38)/10000)/100</f>
        <v>#NAME?</v>
      </c>
      <c r="AC38" s="226" t="e">
        <f aca="false">((xSPRDOPT($L38+$AB$5,$J38,$I38,$M38,$O38,$N38,$P38,$Q38-$C$3,$R38,7)*$H38)/100)</f>
        <v>#NAME?</v>
      </c>
      <c r="AD38" s="226" t="e">
        <f aca="false">(xSPRDOPT($L38+$AB$5,$J38,$I38,$M38,$O38,$N38,$P38,$Q38-$C$3,$R38,9)/365)*$H38</f>
        <v>#NAME?</v>
      </c>
      <c r="AE38" s="0" t="e">
        <f aca="false">CD38</f>
        <v>#NAME?</v>
      </c>
      <c r="AF38" s="226" t="e">
        <f aca="false">((O38/N38)*AH38)+AG38</f>
        <v>#NAME?</v>
      </c>
      <c r="AG38" s="226" t="e">
        <f aca="false">((xSPRDOPT($L38,$J38,$I38,$M38,$O38,$N38,$P38,$Q38-$C$3,$R38,6)*$H38)/100)</f>
        <v>#NAME?</v>
      </c>
      <c r="AH38" s="226" t="e">
        <f aca="false">((xSPRDOPT($L38,$J38,$I38,$M38,$O38,$N38,$P38,$Q38-$C$3,$R38,5)*$H38)/100)</f>
        <v>#NAME?</v>
      </c>
      <c r="AI38" s="226" t="e">
        <f aca="false">(((xSPRDOPT($L38,$J38,$I38,$M38,$O38,$N38,$P38,$Q38-$C$3,$R38,4)*$H38)/10000)/100)-AB38</f>
        <v>#NAME?</v>
      </c>
      <c r="AJ38" s="226"/>
      <c r="AK38" s="226"/>
      <c r="AL38" s="226"/>
      <c r="AM38" s="252"/>
      <c r="AN38" s="208" t="n">
        <f aca="false">EOMONTH(AN37,0)+1</f>
        <v>37681</v>
      </c>
      <c r="AO38" s="134" t="n">
        <f aca="false">SUMIF($X:$X,CONCATENATE($AN38,AO$6),$T:$T)/10000</f>
        <v>0</v>
      </c>
      <c r="AP38" s="134" t="n">
        <f aca="false">SUMIF($X:$X,CONCATENATE($AN38,AP$6),$T:$T)/10000</f>
        <v>0</v>
      </c>
      <c r="AQ38" s="134" t="n">
        <f aca="false">SUMIF($X:$X,CONCATENATE($AN38,AQ$6),$T:$T)/10000</f>
        <v>0</v>
      </c>
      <c r="AR38" s="134" t="e">
        <f aca="false">SUMIF($X:$X,CONCATENATE($AN38,AR$6),$T:$T)/10000</f>
        <v>#NAME?</v>
      </c>
      <c r="AS38" s="134" t="n">
        <f aca="false">SUMIF($X:$X,CONCATENATE($AN38,AS$6),$T:$T)/10000</f>
        <v>0</v>
      </c>
      <c r="AT38" s="134" t="n">
        <f aca="false">SUMIF($X:$X,CONCATENATE($AN38,AT$6),$T:$T)/10000</f>
        <v>0</v>
      </c>
      <c r="AU38" s="134" t="n">
        <f aca="false">SUMIF($X:$X,CONCATENATE($AN38,AU$6),$T:$T)/10000</f>
        <v>0</v>
      </c>
      <c r="AV38" s="134" t="n">
        <f aca="false">SUMIF($X:$X,CONCATENATE($AN38,AV$6),$T:$T)/10000</f>
        <v>0</v>
      </c>
      <c r="AW38" s="134" t="n">
        <f aca="false">SUMIF($X:$X,CONCATENATE($AN38,AW$6),$T:$T)/10000</f>
        <v>0</v>
      </c>
      <c r="AX38" s="134" t="n">
        <f aca="false">SUMIF($X:$X,CONCATENATE($AN38,AX$6),$T:$T)/10000</f>
        <v>0</v>
      </c>
      <c r="AY38" s="134" t="n">
        <f aca="false">SUMIF($X:$X,CONCATENATE($AN38,AY$6),$T:$T)/10000</f>
        <v>0</v>
      </c>
      <c r="AZ38" s="134" t="n">
        <f aca="false">SUMIF($X:$X,CONCATENATE($AN38,AZ$6),$T:$T)/10000</f>
        <v>0</v>
      </c>
      <c r="BA38" s="135" t="n">
        <f aca="false">SUMIF($X:$X,CONCATENATE($AN38,BA$6),$T:$T)/10000</f>
        <v>0</v>
      </c>
      <c r="BB38" s="208" t="n">
        <f aca="false">EOMONTH(BB37,0)+1</f>
        <v>37681</v>
      </c>
      <c r="BC38" s="135" t="e">
        <f aca="false">SUM(AO38:BA38)</f>
        <v>#NAME?</v>
      </c>
      <c r="BD38" s="2"/>
      <c r="BE38" s="208" t="n">
        <f aca="false">EOMONTH(BE37,0)+1</f>
        <v>37681</v>
      </c>
      <c r="BF38" s="134" t="n">
        <f aca="false">SUMIF($X:$X,CONCATENATE($AN38,BF$6),$W:$W)</f>
        <v>0</v>
      </c>
      <c r="BG38" s="134" t="n">
        <f aca="false">SUMIF($X:$X,CONCATENATE($AN38,BG$6),$W:$W)</f>
        <v>0</v>
      </c>
      <c r="BH38" s="134" t="n">
        <f aca="false">SUMIF($X:$X,CONCATENATE($AN38,BH$6),$W:$W)</f>
        <v>0</v>
      </c>
      <c r="BI38" s="134" t="e">
        <f aca="false">SUMIF($X:$X,CONCATENATE($AN38,BI$6),$W:$W)</f>
        <v>#NAME?</v>
      </c>
      <c r="BJ38" s="134" t="n">
        <f aca="false">SUMIF($X:$X,CONCATENATE($AN38,BJ$6),$W:$W)</f>
        <v>0</v>
      </c>
      <c r="BK38" s="134" t="n">
        <f aca="false">SUMIF($X:$X,CONCATENATE($AN38,BK$6),$W:$W)</f>
        <v>0</v>
      </c>
      <c r="BL38" s="134" t="n">
        <f aca="false">SUMIF($X:$X,CONCATENATE($AN38,BL$6),$W:$W)</f>
        <v>0</v>
      </c>
      <c r="BM38" s="134" t="n">
        <f aca="false">SUMIF($X:$X,CONCATENATE($AN38,BM$6),$W:$W)</f>
        <v>0</v>
      </c>
      <c r="BN38" s="134" t="n">
        <f aca="false">SUMIF($X:$X,CONCATENATE($AN38,BN$6),$W:$W)</f>
        <v>0</v>
      </c>
      <c r="BO38" s="134" t="n">
        <f aca="false">SUMIF($X:$X,CONCATENATE($AN38,BO$6),$W:$W)</f>
        <v>0</v>
      </c>
      <c r="BP38" s="134" t="n">
        <f aca="false">SUMIF($X:$X,CONCATENATE($AN38,BP$6),$W:$W)</f>
        <v>0</v>
      </c>
      <c r="BQ38" s="134" t="n">
        <f aca="false">SUMIF($X:$X,CONCATENATE($AN38,BQ$6),$W:$W)</f>
        <v>0</v>
      </c>
      <c r="BR38" s="135" t="n">
        <f aca="false">SUMIF($X:$X,CONCATENATE($AN38,BR$6),$W:$W)</f>
        <v>0</v>
      </c>
      <c r="BS38" s="208" t="n">
        <f aca="false">EOMONTH(BS37,0)+1</f>
        <v>37681</v>
      </c>
      <c r="BT38" s="135" t="e">
        <f aca="false">SUM(BF38:BR38)</f>
        <v>#NAME?</v>
      </c>
      <c r="BU38" s="2"/>
      <c r="BV38" s="2"/>
      <c r="BW38" s="2"/>
      <c r="BX38" s="2"/>
      <c r="BY38" s="2"/>
      <c r="BZ38" s="2"/>
      <c r="CA38" s="2"/>
      <c r="CB38" s="2"/>
      <c r="CC38" s="182" t="n">
        <f aca="false">G38</f>
        <v>36951</v>
      </c>
      <c r="CD38" s="253" t="e">
        <f aca="false">xSPRDOPT((VLOOKUP(G38,NGPrices,2,FALSE())+HLOOKUP(D38,Prices,VLOOKUP(G38,move_down,2,FALSE()),FALSE())),VLOOKUP(G38,NGPrices,2,FALSE()),I38,VLOOKUP(G38,NGPREVPRICES,4,FALSE()),HLOOKUP(D38,PREVVOLS,VLOOKUP(G38,MOVE_DOWN2,2,FALSE()),FALSE()),VLOOKUP(G38,NGPREVPRICES,3,FALSE()),HLOOKUP(D38,Correllate,VLOOKUP(G38,CorMove,2,FALSE()),FALSE()),Q38-$CD$3,R38,$CD$5)*H38-CJ38</f>
        <v>#NAME?</v>
      </c>
      <c r="CE38" s="253" t="e">
        <f aca="false">xSPRDOPT((VLOOKUP(G38,NGPREVPRICES,2,FALSE())+HLOOKUP(D38,PREVCURVES,VLOOKUP(G38,MOVE_DOWN2,2,FALSE()),FALSE())),VLOOKUP(G38,NGPREVPRICES,2,FALSE()),CK38,VLOOKUP(G38,NGPrices,4,FALSE()),HLOOKUP(D38,PREVVOLS,VLOOKUP(G38,MOVE_DOWN2,2,FALSE()),FALSE()),VLOOKUP(G38,NGPREVPRICES,3,FALSE()),HLOOKUP(D38,Correllate,VLOOKUP(G38,CorMove,2,FALSE()),FALSE()),Q38-$CD$3,R38,$CJ$5)*H38-CJ38</f>
        <v>#NAME?</v>
      </c>
      <c r="CF38" s="132" t="e">
        <f aca="false">(CJ38/VLOOKUP(CC38,discount,3,FALSE()))-(CJ38/VLOOKUP(CC38,discount,2,FALSE()))</f>
        <v>#NAME?</v>
      </c>
      <c r="CG38" s="253" t="e">
        <f aca="false">xSPRDOPT((VLOOKUP(G38,NGPREVPRICES,2,FALSE())+HLOOKUP(D38,PREVCURVES,VLOOKUP(G38,MOVE_DOWN2,2,FALSE()),FALSE())),VLOOKUP(G38,NGPREVPRICES,2,FALSE()),CK38,VLOOKUP(G38,NGPREVPRICES,4,FALSE()),HLOOKUP(D38,VOLS,VLOOKUP(G38,move_down,2,FALSE()),FALSE()),VLOOKUP(G38,NGPrices,3,FALSE()),HLOOKUP(D38,Correllate,VLOOKUP(G38,CorMove,2,FALSE()),FALSE()),Q38-$CD$3,R38,$CJ$5)*H38-CJ38</f>
        <v>#NAME?</v>
      </c>
      <c r="CH38" s="253" t="e">
        <f aca="false">xSPRDOPT((VLOOKUP(G38,NGPREVPRICES,2,FALSE())+HLOOKUP(D38,PREVCURVES,VLOOKUP(G38,MOVE_DOWN2,2,FALSE()),FALSE())),VLOOKUP(G38,NGPREVPRICES,2,FALSE()),CK38,VLOOKUP(G38,NGPREVPRICES,4,FALSE()),HLOOKUP(D38,PREVVOLS,VLOOKUP(G38,MOVE_DOWN2,2,FALSE()),FALSE()),VLOOKUP(G38,NGPREVPRICES,3,FALSE()),HLOOKUP(D38,Correllate,VLOOKUP(G38,CorMove,2,FALSE()),FALSE()),Q38-$C$3,R38,$CJ$5)*H38-CJ38</f>
        <v>#NAME?</v>
      </c>
      <c r="CI38" s="253" t="e">
        <f aca="false">SUM(CD38:CH38)</f>
        <v>#NAME?</v>
      </c>
      <c r="CJ38" s="253" t="e">
        <f aca="false">xSPRDOPT((VLOOKUP(G38,NGPREVPRICES,2,FALSE())+HLOOKUP(D38,PREVCURVES,VLOOKUP(G38,MOVE_DOWN2,2,FALSE()),FALSE())),VLOOKUP(G38,NGPREVPRICES,2,FALSE()),CK38,VLOOKUP(G38,NGPREVPRICES,4,FALSE()),HLOOKUP(D38,PREVVOLS,VLOOKUP(G38,MOVE_DOWN2,2,FALSE()),FALSE()),VLOOKUP(G38,NGPREVPRICES,3,FALSE()),HLOOKUP(D38,Correllate,VLOOKUP(G38,CorMove,2,FALSE()),FALSE()),Q38-$CD$3,R38,$CJ$5)*H38</f>
        <v>#NAME?</v>
      </c>
      <c r="CK38" s="254" t="n">
        <f aca="false">I38</f>
        <v>1.25</v>
      </c>
      <c r="CM38" s="0" t="str">
        <f aca="false">CONCATENATE(CC38,$CD$6)</f>
        <v>36951Curve Shift/Gamma</v>
      </c>
      <c r="CN38" s="0" t="str">
        <f aca="false">CONCATENATE($CC38,$CE$6)</f>
        <v>36951Rho</v>
      </c>
      <c r="CO38" s="0" t="str">
        <f aca="false">CONCATENATE($CC38,$CF$6)</f>
        <v>36951Drift</v>
      </c>
      <c r="CP38" s="0" t="str">
        <f aca="false">CONCATENATE($CC38,$CG$6)</f>
        <v>36951Vega</v>
      </c>
      <c r="CQ38" s="0" t="str">
        <f aca="false">CONCATENATE($CC38,$CH$6)</f>
        <v>36951Theta</v>
      </c>
      <c r="CR38" s="255" t="n">
        <f aca="false">EOMONTH(CR37,0)+1</f>
        <v>37681</v>
      </c>
      <c r="CS38" s="261" t="e">
        <f aca="false">SUMIF($CM$7:$CM$631,CONCATENATE($CR38,$CS$6),$CD$7:$CD$631)</f>
        <v>#NAME?</v>
      </c>
      <c r="CT38" s="262" t="e">
        <f aca="false">SUMIF($CN$7:$CN$636,CONCATENATE($CR38,$CT$6),$CE$7:$CE$631)</f>
        <v>#NAME?</v>
      </c>
      <c r="CU38" s="262" t="e">
        <f aca="false">SUMIF($CO$7:$CO$636,CONCATENATE($CR38,$CU$6),$CF$7:$CF$631)</f>
        <v>#NAME?</v>
      </c>
      <c r="CV38" s="262" t="e">
        <f aca="false">SUMIF($CP$7:$CP$636,CONCATENATE($CR38,$CV$6),$CG$7:$CG$631)</f>
        <v>#NAME?</v>
      </c>
      <c r="CW38" s="263" t="e">
        <f aca="false">SUMIF($CQ$7:$CQ$636,CONCATENATE($CR38,$CW$6),$CH$7:$CH$631)</f>
        <v>#NAME?</v>
      </c>
      <c r="CX38" s="264" t="e">
        <f aca="false">SUM(CS38:CW38)</f>
        <v>#NAME?</v>
      </c>
      <c r="CZ38" s="255" t="n">
        <f aca="false">CR38</f>
        <v>37681</v>
      </c>
      <c r="DA38" s="261" t="e">
        <f aca="false">SUMIF($CC$7:$CC$1008,$CR38,$CD$7:$CD$1008)</f>
        <v>#NAME?</v>
      </c>
      <c r="DB38" s="262" t="e">
        <f aca="false">SUMIF($CC$7:$CC$1008,$CR38,$CE$7:$CE$1008)</f>
        <v>#NAME?</v>
      </c>
      <c r="DC38" s="262" t="e">
        <f aca="false">SUMIF($CC$7:$CC$1008,$CR38,$CF$7:$CF$1008)</f>
        <v>#NAME?</v>
      </c>
      <c r="DD38" s="262" t="e">
        <f aca="false">SUMIF($CC$7:$CC$1008,$CR38,$CG$7:$CG$1008)</f>
        <v>#NAME?</v>
      </c>
      <c r="DE38" s="263" t="e">
        <f aca="false">SUMIF($CC$7:$CC$1008,$CR38,$CH$7:$CH$1008)</f>
        <v>#NAME?</v>
      </c>
      <c r="DF38" s="264" t="e">
        <f aca="false">SUM(DA38:DE38)</f>
        <v>#NAME?</v>
      </c>
    </row>
    <row r="39" customFormat="false" ht="12" hidden="false" customHeight="true" outlineLevel="0" collapsed="false">
      <c r="A39" s="17" t="s">
        <v>216</v>
      </c>
      <c r="B39" s="0" t="s">
        <v>202</v>
      </c>
      <c r="C39" s="0" t="s">
        <v>217</v>
      </c>
      <c r="D39" s="7" t="s">
        <v>149</v>
      </c>
      <c r="E39" s="0" t="s">
        <v>131</v>
      </c>
      <c r="F39" s="0" t="s">
        <v>136</v>
      </c>
      <c r="G39" s="92" t="n">
        <v>36951</v>
      </c>
      <c r="H39" s="248" t="n">
        <v>-310000</v>
      </c>
      <c r="I39" s="0" t="n">
        <v>1.25</v>
      </c>
      <c r="J39" s="124" t="n">
        <f aca="false">VLOOKUP(G39,NGPrices,2,FALSE())</f>
        <v>4.213</v>
      </c>
      <c r="K39" s="125" t="n">
        <f aca="false">HLOOKUP(D39,Prices,VLOOKUP(G39,move_down,2,FALSE()),FALSE())+VLOOKUP(G39,CHANGE,HLOOKUP(D39,CHANGE,2,FALSE()),FALSE())</f>
        <v>1.075</v>
      </c>
      <c r="L39" s="124" t="n">
        <f aca="false">K39+J39</f>
        <v>5.288</v>
      </c>
      <c r="M39" s="126" t="n">
        <f aca="false">VLOOKUP(G39,NGPrices,4,FALSE())</f>
        <v>0.068879814952707</v>
      </c>
      <c r="N39" s="7" t="n">
        <f aca="false">VLOOKUP(G39,NGPrices,3,FALSE())</f>
        <v>0.5325</v>
      </c>
      <c r="O39" s="7" t="n">
        <f aca="false">HLOOKUP(D39,VOLS,VLOOKUP(G39,move_down,2,FALSE()),FALSE())</f>
        <v>0.612</v>
      </c>
      <c r="P39" s="249" t="n">
        <f aca="false">HLOOKUP(D39,Correllate,VLOOKUP(G39,CorMove,2,FALSE()),FALSE())</f>
        <v>0.83</v>
      </c>
      <c r="Q39" s="92" t="n">
        <f aca="false">WORKDAY(G39,-2)</f>
        <v>36949</v>
      </c>
      <c r="R39" s="7" t="n">
        <f aca="false">IF(F39="P",0,1)</f>
        <v>1</v>
      </c>
      <c r="S39" s="130" t="e">
        <f aca="false">xSPRDOPT($L39,$J39,$I39,$M39,$O39,$N39,$P39,$Q39-$C$3,$R39,0)</f>
        <v>#NAME?</v>
      </c>
      <c r="T39" s="250" t="e">
        <f aca="false">xSPRDOPT($L39,$J39,$I39,$M39,$O39,$N39,$P39,$Q39-$C$3,$R39,1)*H39</f>
        <v>#NAME?</v>
      </c>
      <c r="U39" s="43" t="e">
        <f aca="false">S39*H39</f>
        <v>#NAME?</v>
      </c>
      <c r="V39" s="250" t="e">
        <f aca="false">xSPRDOPT($L39,$J39,$I39,$M39,$O39,$N39,$P39,$Q39-$C$3,$R39,2)*H39</f>
        <v>#NAME?</v>
      </c>
      <c r="W39" s="250" t="e">
        <f aca="false">+V39+T39</f>
        <v>#NAME?</v>
      </c>
      <c r="X39" s="2" t="str">
        <f aca="false">CONCATENATE(G39,D39)</f>
        <v>36951IF-TRANSCO/Z6</v>
      </c>
      <c r="Y39" s="251" t="n">
        <f aca="false">H39/10000</f>
        <v>-31</v>
      </c>
      <c r="Z39" s="226" t="e">
        <f aca="false">T39/H39</f>
        <v>#NAME?</v>
      </c>
      <c r="AA39" s="226" t="e">
        <f aca="false">xSPRDOPT($L39,$J39,$I39,$M39,$O39,$N39,$P39,$Q39-$C$3,$R39,3)</f>
        <v>#NAME?</v>
      </c>
      <c r="AB39" s="226" t="e">
        <f aca="false">((xSPRDOPT($L39+AB$5,$J39,$I39,$M39,$O39,$N39,$P39,$Q39-$C$3,$R39,3)*$H39)/10000)/100</f>
        <v>#NAME?</v>
      </c>
      <c r="AC39" s="226" t="e">
        <f aca="false">((xSPRDOPT($L39+$AB$5,$J39,$I39,$M39,$O39,$N39,$P39,$Q39-$C$3,$R39,7)*$H39)/100)</f>
        <v>#NAME?</v>
      </c>
      <c r="AD39" s="226" t="e">
        <f aca="false">(xSPRDOPT($L39+$AB$5,$J39,$I39,$M39,$O39,$N39,$P39,$Q39-$C$3,$R39,9)/365)*$H39</f>
        <v>#NAME?</v>
      </c>
      <c r="AE39" s="0" t="e">
        <f aca="false">CD39</f>
        <v>#NAME?</v>
      </c>
      <c r="AF39" s="226" t="e">
        <f aca="false">((O39/N39)*AH39)+AG39</f>
        <v>#NAME?</v>
      </c>
      <c r="AG39" s="226" t="e">
        <f aca="false">((xSPRDOPT($L39,$J39,$I39,$M39,$O39,$N39,$P39,$Q39-$C$3,$R39,6)*$H39)/100)</f>
        <v>#NAME?</v>
      </c>
      <c r="AH39" s="226" t="e">
        <f aca="false">((xSPRDOPT($L39,$J39,$I39,$M39,$O39,$N39,$P39,$Q39-$C$3,$R39,5)*$H39)/100)</f>
        <v>#NAME?</v>
      </c>
      <c r="AI39" s="226" t="e">
        <f aca="false">(((xSPRDOPT($L39,$J39,$I39,$M39,$O39,$N39,$P39,$Q39-$C$3,$R39,4)*$H39)/10000)/100)-AB39</f>
        <v>#NAME?</v>
      </c>
      <c r="AJ39" s="226"/>
      <c r="AK39" s="226"/>
      <c r="AL39" s="226"/>
      <c r="AM39" s="252"/>
      <c r="AN39" s="208" t="n">
        <f aca="false">EOMONTH(AN38,0)+1</f>
        <v>37712</v>
      </c>
      <c r="AO39" s="134" t="n">
        <f aca="false">SUMIF($X:$X,CONCATENATE($AN39,AO$6),$T:$T)/10000</f>
        <v>0</v>
      </c>
      <c r="AP39" s="134" t="n">
        <f aca="false">SUMIF($X:$X,CONCATENATE($AN39,AP$6),$T:$T)/10000</f>
        <v>0</v>
      </c>
      <c r="AQ39" s="134" t="n">
        <f aca="false">SUMIF($X:$X,CONCATENATE($AN39,AQ$6),$T:$T)/10000</f>
        <v>0</v>
      </c>
      <c r="AR39" s="134" t="n">
        <f aca="false">SUMIF($X:$X,CONCATENATE($AN39,AR$6),$T:$T)/10000</f>
        <v>0</v>
      </c>
      <c r="AS39" s="134" t="n">
        <f aca="false">SUMIF($X:$X,CONCATENATE($AN39,AS$6),$T:$T)/10000</f>
        <v>0</v>
      </c>
      <c r="AT39" s="134" t="n">
        <f aca="false">SUMIF($X:$X,CONCATENATE($AN39,AT$6),$T:$T)/10000</f>
        <v>0</v>
      </c>
      <c r="AU39" s="134" t="n">
        <f aca="false">SUMIF($X:$X,CONCATENATE($AN39,AU$6),$T:$T)/10000</f>
        <v>0</v>
      </c>
      <c r="AV39" s="134" t="n">
        <f aca="false">SUMIF($X:$X,CONCATENATE($AN39,AV$6),$T:$T)/10000</f>
        <v>0</v>
      </c>
      <c r="AW39" s="134" t="n">
        <f aca="false">SUMIF($X:$X,CONCATENATE($AN39,AW$6),$T:$T)/10000</f>
        <v>0</v>
      </c>
      <c r="AX39" s="134" t="n">
        <f aca="false">SUMIF($X:$X,CONCATENATE($AN39,AX$6),$T:$T)/10000</f>
        <v>0</v>
      </c>
      <c r="AY39" s="134" t="n">
        <f aca="false">SUMIF($X:$X,CONCATENATE($AN39,AY$6),$T:$T)/10000</f>
        <v>0</v>
      </c>
      <c r="AZ39" s="134" t="n">
        <f aca="false">SUMIF($X:$X,CONCATENATE($AN39,AZ$6),$T:$T)/10000</f>
        <v>0</v>
      </c>
      <c r="BA39" s="135" t="n">
        <f aca="false">SUMIF($X:$X,CONCATENATE($AN39,BA$6),$T:$T)/10000</f>
        <v>0</v>
      </c>
      <c r="BB39" s="208" t="n">
        <f aca="false">EOMONTH(BB38,0)+1</f>
        <v>37712</v>
      </c>
      <c r="BC39" s="135" t="n">
        <f aca="false">SUM(AO39:BA39)</f>
        <v>0</v>
      </c>
      <c r="BD39" s="2"/>
      <c r="BE39" s="208" t="n">
        <f aca="false">EOMONTH(BE38,0)+1</f>
        <v>37712</v>
      </c>
      <c r="BF39" s="134" t="n">
        <f aca="false">SUMIF($X:$X,CONCATENATE($AN39,BF$6),$W:$W)</f>
        <v>0</v>
      </c>
      <c r="BG39" s="134" t="n">
        <f aca="false">SUMIF($X:$X,CONCATENATE($AN39,BG$6),$W:$W)</f>
        <v>0</v>
      </c>
      <c r="BH39" s="134" t="n">
        <f aca="false">SUMIF($X:$X,CONCATENATE($AN39,BH$6),$W:$W)</f>
        <v>0</v>
      </c>
      <c r="BI39" s="134" t="n">
        <f aca="false">SUMIF($X:$X,CONCATENATE($AN39,BI$6),$W:$W)</f>
        <v>0</v>
      </c>
      <c r="BJ39" s="134" t="n">
        <f aca="false">SUMIF($X:$X,CONCATENATE($AN39,BJ$6),$W:$W)</f>
        <v>0</v>
      </c>
      <c r="BK39" s="134" t="n">
        <f aca="false">SUMIF($X:$X,CONCATENATE($AN39,BK$6),$W:$W)</f>
        <v>0</v>
      </c>
      <c r="BL39" s="134" t="n">
        <f aca="false">SUMIF($X:$X,CONCATENATE($AN39,BL$6),$W:$W)</f>
        <v>0</v>
      </c>
      <c r="BM39" s="134" t="n">
        <f aca="false">SUMIF($X:$X,CONCATENATE($AN39,BM$6),$W:$W)</f>
        <v>0</v>
      </c>
      <c r="BN39" s="134" t="n">
        <f aca="false">SUMIF($X:$X,CONCATENATE($AN39,BN$6),$W:$W)</f>
        <v>0</v>
      </c>
      <c r="BO39" s="134" t="n">
        <f aca="false">SUMIF($X:$X,CONCATENATE($AN39,BO$6),$W:$W)</f>
        <v>0</v>
      </c>
      <c r="BP39" s="134" t="n">
        <f aca="false">SUMIF($X:$X,CONCATENATE($AN39,BP$6),$W:$W)</f>
        <v>0</v>
      </c>
      <c r="BQ39" s="134" t="n">
        <f aca="false">SUMIF($X:$X,CONCATENATE($AN39,BQ$6),$W:$W)</f>
        <v>0</v>
      </c>
      <c r="BR39" s="135" t="n">
        <f aca="false">SUMIF($X:$X,CONCATENATE($AN39,BR$6),$W:$W)</f>
        <v>0</v>
      </c>
      <c r="BS39" s="208" t="n">
        <f aca="false">EOMONTH(BS38,0)+1</f>
        <v>37712</v>
      </c>
      <c r="BT39" s="135" t="n">
        <f aca="false">SUM(BF39:BR39)</f>
        <v>0</v>
      </c>
      <c r="BU39" s="2"/>
      <c r="BV39" s="2"/>
      <c r="BW39" s="2"/>
      <c r="BX39" s="2"/>
      <c r="BY39" s="2"/>
      <c r="BZ39" s="2"/>
      <c r="CA39" s="2"/>
      <c r="CB39" s="2"/>
      <c r="CC39" s="182" t="n">
        <f aca="false">G39</f>
        <v>36951</v>
      </c>
      <c r="CD39" s="253" t="e">
        <f aca="false">xSPRDOPT((VLOOKUP(G39,NGPrices,2,FALSE())+HLOOKUP(D39,Prices,VLOOKUP(G39,move_down,2,FALSE()),FALSE())),VLOOKUP(G39,NGPrices,2,FALSE()),I39,VLOOKUP(G39,NGPREVPRICES,4,FALSE()),HLOOKUP(D39,PREVVOLS,VLOOKUP(G39,MOVE_DOWN2,2,FALSE()),FALSE()),VLOOKUP(G39,NGPREVPRICES,3,FALSE()),HLOOKUP(D39,Correllate,VLOOKUP(G39,CorMove,2,FALSE()),FALSE()),Q39-$CD$3,R39,$CD$5)*H39-CJ39</f>
        <v>#NAME?</v>
      </c>
      <c r="CE39" s="253" t="e">
        <f aca="false">xSPRDOPT((VLOOKUP(G39,NGPREVPRICES,2,FALSE())+HLOOKUP(D39,PREVCURVES,VLOOKUP(G39,MOVE_DOWN2,2,FALSE()),FALSE())),VLOOKUP(G39,NGPREVPRICES,2,FALSE()),CK39,VLOOKUP(G39,NGPrices,4,FALSE()),HLOOKUP(D39,PREVVOLS,VLOOKUP(G39,MOVE_DOWN2,2,FALSE()),FALSE()),VLOOKUP(G39,NGPREVPRICES,3,FALSE()),HLOOKUP(D39,Correllate,VLOOKUP(G39,CorMove,2,FALSE()),FALSE()),Q39-$CD$3,R39,$CJ$5)*H39-CJ39</f>
        <v>#NAME?</v>
      </c>
      <c r="CF39" s="132" t="e">
        <f aca="false">(CJ39/VLOOKUP(CC39,discount,3,FALSE()))-(CJ39/VLOOKUP(CC39,discount,2,FALSE()))</f>
        <v>#NAME?</v>
      </c>
      <c r="CG39" s="253" t="e">
        <f aca="false">xSPRDOPT((VLOOKUP(G39,NGPREVPRICES,2,FALSE())+HLOOKUP(D39,PREVCURVES,VLOOKUP(G39,MOVE_DOWN2,2,FALSE()),FALSE())),VLOOKUP(G39,NGPREVPRICES,2,FALSE()),CK39,VLOOKUP(G39,NGPREVPRICES,4,FALSE()),HLOOKUP(D39,VOLS,VLOOKUP(G39,move_down,2,FALSE()),FALSE()),VLOOKUP(G39,NGPrices,3,FALSE()),HLOOKUP(D39,Correllate,VLOOKUP(G39,CorMove,2,FALSE()),FALSE()),Q39-$CD$3,R39,$CJ$5)*H39-CJ39</f>
        <v>#NAME?</v>
      </c>
      <c r="CH39" s="253" t="e">
        <f aca="false">xSPRDOPT((VLOOKUP(G39,NGPREVPRICES,2,FALSE())+HLOOKUP(D39,PREVCURVES,VLOOKUP(G39,MOVE_DOWN2,2,FALSE()),FALSE())),VLOOKUP(G39,NGPREVPRICES,2,FALSE()),CK39,VLOOKUP(G39,NGPREVPRICES,4,FALSE()),HLOOKUP(D39,PREVVOLS,VLOOKUP(G39,MOVE_DOWN2,2,FALSE()),FALSE()),VLOOKUP(G39,NGPREVPRICES,3,FALSE()),HLOOKUP(D39,Correllate,VLOOKUP(G39,CorMove,2,FALSE()),FALSE()),Q39-$C$3,R39,$CJ$5)*H39-CJ39</f>
        <v>#NAME?</v>
      </c>
      <c r="CI39" s="253" t="e">
        <f aca="false">SUM(CD39:CH39)</f>
        <v>#NAME?</v>
      </c>
      <c r="CJ39" s="253" t="e">
        <f aca="false">xSPRDOPT((VLOOKUP(G39,NGPREVPRICES,2,FALSE())+HLOOKUP(D39,PREVCURVES,VLOOKUP(G39,MOVE_DOWN2,2,FALSE()),FALSE())),VLOOKUP(G39,NGPREVPRICES,2,FALSE()),CK39,VLOOKUP(G39,NGPREVPRICES,4,FALSE()),HLOOKUP(D39,PREVVOLS,VLOOKUP(G39,MOVE_DOWN2,2,FALSE()),FALSE()),VLOOKUP(G39,NGPREVPRICES,3,FALSE()),HLOOKUP(D39,Correllate,VLOOKUP(G39,CorMove,2,FALSE()),FALSE()),Q39-$CD$3,R39,$CJ$5)*H39</f>
        <v>#NAME?</v>
      </c>
      <c r="CK39" s="254" t="n">
        <f aca="false">I39</f>
        <v>1.25</v>
      </c>
      <c r="CM39" s="0" t="str">
        <f aca="false">CONCATENATE(CC39,$CD$6)</f>
        <v>36951Curve Shift/Gamma</v>
      </c>
      <c r="CN39" s="0" t="str">
        <f aca="false">CONCATENATE($CC39,$CE$6)</f>
        <v>36951Rho</v>
      </c>
      <c r="CO39" s="0" t="str">
        <f aca="false">CONCATENATE($CC39,$CF$6)</f>
        <v>36951Drift</v>
      </c>
      <c r="CP39" s="0" t="str">
        <f aca="false">CONCATENATE($CC39,$CG$6)</f>
        <v>36951Vega</v>
      </c>
      <c r="CQ39" s="0" t="str">
        <f aca="false">CONCATENATE($CC39,$CH$6)</f>
        <v>36951Theta</v>
      </c>
      <c r="CR39" s="255" t="n">
        <f aca="false">EOMONTH(CR38,0)+1</f>
        <v>37712</v>
      </c>
      <c r="CS39" s="261" t="n">
        <f aca="false">SUMIF($CM$7:$CM$631,CONCATENATE($CR39,$CS$6),$CD$7:$CD$631)</f>
        <v>0</v>
      </c>
      <c r="CT39" s="262" t="n">
        <f aca="false">SUMIF($CN$7:$CN$636,CONCATENATE($CR39,$CT$6),$CE$7:$CE$631)</f>
        <v>0</v>
      </c>
      <c r="CU39" s="262" t="n">
        <f aca="false">SUMIF($CO$7:$CO$636,CONCATENATE($CR39,$CU$6),$CF$7:$CF$631)</f>
        <v>0</v>
      </c>
      <c r="CV39" s="262" t="n">
        <f aca="false">SUMIF($CP$7:$CP$636,CONCATENATE($CR39,$CV$6),$CG$7:$CG$631)</f>
        <v>0</v>
      </c>
      <c r="CW39" s="263" t="n">
        <f aca="false">SUMIF($CQ$7:$CQ$636,CONCATENATE($CR39,$CW$6),$CH$7:$CH$631)</f>
        <v>0</v>
      </c>
      <c r="CX39" s="264" t="n">
        <f aca="false">SUM(CS39:CW39)</f>
        <v>0</v>
      </c>
      <c r="CZ39" s="255" t="n">
        <f aca="false">CR39</f>
        <v>37712</v>
      </c>
      <c r="DA39" s="261" t="n">
        <f aca="false">SUMIF($CC$7:$CC$1008,$CR39,$CD$7:$CD$1008)</f>
        <v>0</v>
      </c>
      <c r="DB39" s="262" t="n">
        <f aca="false">SUMIF($CC$7:$CC$1008,$CR39,$CE$7:$CE$1008)</f>
        <v>0</v>
      </c>
      <c r="DC39" s="262" t="n">
        <f aca="false">SUMIF($CC$7:$CC$1008,$CR39,$CF$7:$CF$1008)</f>
        <v>0</v>
      </c>
      <c r="DD39" s="262" t="n">
        <f aca="false">SUMIF($CC$7:$CC$1008,$CR39,$CG$7:$CG$1008)</f>
        <v>0</v>
      </c>
      <c r="DE39" s="263" t="n">
        <f aca="false">SUMIF($CC$7:$CC$1008,$CR39,$CH$7:$CH$1008)</f>
        <v>0</v>
      </c>
      <c r="DF39" s="264" t="n">
        <f aca="false">SUM(DA39:DE39)</f>
        <v>0</v>
      </c>
    </row>
    <row r="40" customFormat="false" ht="12" hidden="false" customHeight="true" outlineLevel="0" collapsed="false">
      <c r="A40" s="17" t="s">
        <v>218</v>
      </c>
      <c r="B40" s="0" t="s">
        <v>192</v>
      </c>
      <c r="C40" s="0" t="s">
        <v>219</v>
      </c>
      <c r="D40" s="7" t="s">
        <v>151</v>
      </c>
      <c r="E40" s="0" t="s">
        <v>131</v>
      </c>
      <c r="F40" s="0" t="s">
        <v>136</v>
      </c>
      <c r="G40" s="92" t="n">
        <v>36800</v>
      </c>
      <c r="H40" s="248" t="n">
        <v>310000</v>
      </c>
      <c r="I40" s="0" t="n">
        <v>-0.32</v>
      </c>
      <c r="J40" s="124" t="n">
        <f aca="false">VLOOKUP(G40,NGPrices,2,FALSE())</f>
        <v>4.692</v>
      </c>
      <c r="K40" s="125" t="n">
        <f aca="false">HLOOKUP(D40,Prices,VLOOKUP(G40,move_down,2,FALSE()),FALSE())+VLOOKUP(G40,CHANGE,HLOOKUP(D40,CHANGE,2,FALSE()),FALSE())</f>
        <v>-0.805</v>
      </c>
      <c r="L40" s="124" t="n">
        <f aca="false">K40+J40</f>
        <v>3.887</v>
      </c>
      <c r="M40" s="126" t="n">
        <f aca="false">VLOOKUP(G40,NGPrices,4,FALSE())</f>
        <v>0.068050789414654</v>
      </c>
      <c r="N40" s="7" t="n">
        <f aca="false">VLOOKUP(G40,NGPrices,3,FALSE())</f>
        <v>0.575</v>
      </c>
      <c r="O40" s="7" t="n">
        <f aca="false">HLOOKUP(D40,VOLS,VLOOKUP(G40,move_down,2,FALSE()),FALSE())</f>
        <v>0.552</v>
      </c>
      <c r="P40" s="249" t="n">
        <f aca="false">HLOOKUP(D40,Correllate,VLOOKUP(G40,CorMove,2,FALSE()),FALSE())</f>
        <v>0.84</v>
      </c>
      <c r="Q40" s="92" t="n">
        <f aca="false">WORKDAY(G40,-2)</f>
        <v>36797</v>
      </c>
      <c r="R40" s="7" t="n">
        <f aca="false">IF(F40="P",0,1)</f>
        <v>1</v>
      </c>
      <c r="S40" s="130" t="e">
        <f aca="false">xSPRDOPT($L40,$J40,$I40,$M40,$O40,$N40,$P40,$Q40-$C$3,$R40,0)</f>
        <v>#NAME?</v>
      </c>
      <c r="T40" s="250" t="e">
        <f aca="false">xSPRDOPT($L40,$J40,$I40,$M40,$O40,$N40,$P40,$Q40-$C$3,$R40,1)*H40</f>
        <v>#NAME?</v>
      </c>
      <c r="U40" s="43" t="e">
        <f aca="false">S40*H40</f>
        <v>#NAME?</v>
      </c>
      <c r="V40" s="250" t="e">
        <f aca="false">xSPRDOPT($L40,$J40,$I40,$M40,$O40,$N40,$P40,$Q40-$C$3,$R40,2)*H40</f>
        <v>#NAME?</v>
      </c>
      <c r="W40" s="250" t="e">
        <f aca="false">+V40+T40</f>
        <v>#NAME?</v>
      </c>
      <c r="X40" s="2" t="str">
        <f aca="false">CONCATENATE(G40,D40)</f>
        <v>36800IF-NWPL_ROCKY_M</v>
      </c>
      <c r="Y40" s="251" t="n">
        <f aca="false">H40/10000</f>
        <v>31</v>
      </c>
      <c r="Z40" s="226" t="e">
        <f aca="false">T40/H40</f>
        <v>#NAME?</v>
      </c>
      <c r="AA40" s="226" t="e">
        <f aca="false">xSPRDOPT($L40,$J40,$I40,$M40,$O40,$N40,$P40,$Q40-$C$3,$R40,3)</f>
        <v>#NAME?</v>
      </c>
      <c r="AB40" s="226" t="e">
        <f aca="false">((xSPRDOPT($L40+AB$5,$J40,$I40,$M40,$O40,$N40,$P40,$Q40-$C$3,$R40,3)*$H40)/10000)/100</f>
        <v>#NAME?</v>
      </c>
      <c r="AC40" s="226" t="e">
        <f aca="false">((xSPRDOPT($L40+$AB$5,$J40,$I40,$M40,$O40,$N40,$P40,$Q40-$C$3,$R40,7)*$H40)/100)</f>
        <v>#NAME?</v>
      </c>
      <c r="AD40" s="226" t="e">
        <f aca="false">(xSPRDOPT($L40+$AB$5,$J40,$I40,$M40,$O40,$N40,$P40,$Q40-$C$3,$R40,9)/365)*$H40</f>
        <v>#NAME?</v>
      </c>
      <c r="AE40" s="0" t="e">
        <f aca="false">CD40</f>
        <v>#NAME?</v>
      </c>
      <c r="AF40" s="226" t="e">
        <f aca="false">((O40/N40)*AH40)+AG40</f>
        <v>#NAME?</v>
      </c>
      <c r="AG40" s="226" t="e">
        <f aca="false">((xSPRDOPT($L40,$J40,$I40,$M40,$O40,$N40,$P40,$Q40-$C$3,$R40,6)*$H40)/100)</f>
        <v>#NAME?</v>
      </c>
      <c r="AH40" s="226" t="e">
        <f aca="false">((xSPRDOPT($L40,$J40,$I40,$M40,$O40,$N40,$P40,$Q40-$C$3,$R40,5)*$H40)/100)</f>
        <v>#NAME?</v>
      </c>
      <c r="AI40" s="226" t="e">
        <f aca="false">(((xSPRDOPT($L40,$J40,$I40,$M40,$O40,$N40,$P40,$Q40-$C$3,$R40,4)*$H40)/10000)/100)-AB40</f>
        <v>#NAME?</v>
      </c>
      <c r="AJ40" s="226"/>
      <c r="AK40" s="226"/>
      <c r="AL40" s="226"/>
      <c r="AM40" s="252"/>
      <c r="AN40" s="208" t="n">
        <f aca="false">EOMONTH(AN39,0)+1</f>
        <v>37742</v>
      </c>
      <c r="AO40" s="134" t="n">
        <f aca="false">SUMIF($X:$X,CONCATENATE($AN40,AO$6),$T:$T)/10000</f>
        <v>0</v>
      </c>
      <c r="AP40" s="134" t="n">
        <f aca="false">SUMIF($X:$X,CONCATENATE($AN40,AP$6),$T:$T)/10000</f>
        <v>0</v>
      </c>
      <c r="AQ40" s="134" t="n">
        <f aca="false">SUMIF($X:$X,CONCATENATE($AN40,AQ$6),$T:$T)/10000</f>
        <v>0</v>
      </c>
      <c r="AR40" s="134" t="n">
        <f aca="false">SUMIF($X:$X,CONCATENATE($AN40,AR$6),$T:$T)/10000</f>
        <v>0</v>
      </c>
      <c r="AS40" s="134" t="n">
        <f aca="false">SUMIF($X:$X,CONCATENATE($AN40,AS$6),$T:$T)/10000</f>
        <v>0</v>
      </c>
      <c r="AT40" s="134" t="n">
        <f aca="false">SUMIF($X:$X,CONCATENATE($AN40,AT$6),$T:$T)/10000</f>
        <v>0</v>
      </c>
      <c r="AU40" s="134" t="n">
        <f aca="false">SUMIF($X:$X,CONCATENATE($AN40,AU$6),$T:$T)/10000</f>
        <v>0</v>
      </c>
      <c r="AV40" s="134" t="n">
        <f aca="false">SUMIF($X:$X,CONCATENATE($AN40,AV$6),$T:$T)/10000</f>
        <v>0</v>
      </c>
      <c r="AW40" s="134" t="n">
        <f aca="false">SUMIF($X:$X,CONCATENATE($AN40,AW$6),$T:$T)/10000</f>
        <v>0</v>
      </c>
      <c r="AX40" s="134" t="n">
        <f aca="false">SUMIF($X:$X,CONCATENATE($AN40,AX$6),$T:$T)/10000</f>
        <v>0</v>
      </c>
      <c r="AY40" s="134" t="n">
        <f aca="false">SUMIF($X:$X,CONCATENATE($AN40,AY$6),$T:$T)/10000</f>
        <v>0</v>
      </c>
      <c r="AZ40" s="134" t="n">
        <f aca="false">SUMIF($X:$X,CONCATENATE($AN40,AZ$6),$T:$T)/10000</f>
        <v>0</v>
      </c>
      <c r="BA40" s="135" t="n">
        <f aca="false">SUMIF($X:$X,CONCATENATE($AN40,BA$6),$T:$T)/10000</f>
        <v>0</v>
      </c>
      <c r="BB40" s="208" t="n">
        <f aca="false">EOMONTH(BB39,0)+1</f>
        <v>37742</v>
      </c>
      <c r="BC40" s="135" t="n">
        <f aca="false">SUM(AO40:BA40)</f>
        <v>0</v>
      </c>
      <c r="BD40" s="2"/>
      <c r="BE40" s="208" t="n">
        <f aca="false">EOMONTH(BE39,0)+1</f>
        <v>37742</v>
      </c>
      <c r="BF40" s="134" t="n">
        <f aca="false">SUMIF($X:$X,CONCATENATE($AN40,BF$6),$W:$W)</f>
        <v>0</v>
      </c>
      <c r="BG40" s="134" t="n">
        <f aca="false">SUMIF($X:$X,CONCATENATE($AN40,BG$6),$W:$W)</f>
        <v>0</v>
      </c>
      <c r="BH40" s="134" t="n">
        <f aca="false">SUMIF($X:$X,CONCATENATE($AN40,BH$6),$W:$W)</f>
        <v>0</v>
      </c>
      <c r="BI40" s="134" t="n">
        <f aca="false">SUMIF($X:$X,CONCATENATE($AN40,BI$6),$W:$W)</f>
        <v>0</v>
      </c>
      <c r="BJ40" s="134" t="n">
        <f aca="false">SUMIF($X:$X,CONCATENATE($AN40,BJ$6),$W:$W)</f>
        <v>0</v>
      </c>
      <c r="BK40" s="134" t="n">
        <f aca="false">SUMIF($X:$X,CONCATENATE($AN40,BK$6),$W:$W)</f>
        <v>0</v>
      </c>
      <c r="BL40" s="134" t="n">
        <f aca="false">SUMIF($X:$X,CONCATENATE($AN40,BL$6),$W:$W)</f>
        <v>0</v>
      </c>
      <c r="BM40" s="134" t="n">
        <f aca="false">SUMIF($X:$X,CONCATENATE($AN40,BM$6),$W:$W)</f>
        <v>0</v>
      </c>
      <c r="BN40" s="134" t="n">
        <f aca="false">SUMIF($X:$X,CONCATENATE($AN40,BN$6),$W:$W)</f>
        <v>0</v>
      </c>
      <c r="BO40" s="134" t="n">
        <f aca="false">SUMIF($X:$X,CONCATENATE($AN40,BO$6),$W:$W)</f>
        <v>0</v>
      </c>
      <c r="BP40" s="134" t="n">
        <f aca="false">SUMIF($X:$X,CONCATENATE($AN40,BP$6),$W:$W)</f>
        <v>0</v>
      </c>
      <c r="BQ40" s="134" t="n">
        <f aca="false">SUMIF($X:$X,CONCATENATE($AN40,BQ$6),$W:$W)</f>
        <v>0</v>
      </c>
      <c r="BR40" s="135" t="n">
        <f aca="false">SUMIF($X:$X,CONCATENATE($AN40,BR$6),$W:$W)</f>
        <v>0</v>
      </c>
      <c r="BS40" s="208" t="n">
        <f aca="false">EOMONTH(BS39,0)+1</f>
        <v>37742</v>
      </c>
      <c r="BT40" s="135" t="n">
        <f aca="false">SUM(BF40:BR40)</f>
        <v>0</v>
      </c>
      <c r="BU40" s="2"/>
      <c r="BV40" s="2"/>
      <c r="BW40" s="2"/>
      <c r="BX40" s="2"/>
      <c r="BY40" s="2"/>
      <c r="BZ40" s="2"/>
      <c r="CA40" s="2"/>
      <c r="CB40" s="2"/>
      <c r="CC40" s="182" t="n">
        <f aca="false">G40</f>
        <v>36800</v>
      </c>
      <c r="CD40" s="253" t="e">
        <f aca="false">xSPRDOPT((VLOOKUP(G40,NGPrices,2,FALSE())+HLOOKUP(D40,Prices,VLOOKUP(G40,move_down,2,FALSE()),FALSE())),VLOOKUP(G40,NGPrices,2,FALSE()),I40,VLOOKUP(G40,NGPREVPRICES,4,FALSE()),HLOOKUP(D40,PREVVOLS,VLOOKUP(G40,MOVE_DOWN2,2,FALSE()),FALSE()),VLOOKUP(G40,NGPREVPRICES,3,FALSE()),HLOOKUP(D40,Correllate,VLOOKUP(G40,CorMove,2,FALSE()),FALSE()),Q40-$CD$3,R40,$CD$5)*H40-CJ40</f>
        <v>#NAME?</v>
      </c>
      <c r="CE40" s="253" t="e">
        <f aca="false">xSPRDOPT((VLOOKUP(G40,NGPREVPRICES,2,FALSE())+HLOOKUP(D40,PREVCURVES,VLOOKUP(G40,MOVE_DOWN2,2,FALSE()),FALSE())),VLOOKUP(G40,NGPREVPRICES,2,FALSE()),CK40,VLOOKUP(G40,NGPrices,4,FALSE()),HLOOKUP(D40,PREVVOLS,VLOOKUP(G40,MOVE_DOWN2,2,FALSE()),FALSE()),VLOOKUP(G40,NGPREVPRICES,3,FALSE()),HLOOKUP(D40,Correllate,VLOOKUP(G40,CorMove,2,FALSE()),FALSE()),Q40-$CD$3,R40,$CJ$5)*H40-CJ40</f>
        <v>#NAME?</v>
      </c>
      <c r="CF40" s="132" t="e">
        <f aca="false">(CJ40/VLOOKUP(CC40,discount,3,FALSE()))-(CJ40/VLOOKUP(CC40,discount,2,FALSE()))</f>
        <v>#NAME?</v>
      </c>
      <c r="CG40" s="253" t="e">
        <f aca="false">xSPRDOPT((VLOOKUP(G40,NGPREVPRICES,2,FALSE())+HLOOKUP(D40,PREVCURVES,VLOOKUP(G40,MOVE_DOWN2,2,FALSE()),FALSE())),VLOOKUP(G40,NGPREVPRICES,2,FALSE()),CK40,VLOOKUP(G40,NGPREVPRICES,4,FALSE()),HLOOKUP(D40,VOLS,VLOOKUP(G40,move_down,2,FALSE()),FALSE()),VLOOKUP(G40,NGPrices,3,FALSE()),HLOOKUP(D40,Correllate,VLOOKUP(G40,CorMove,2,FALSE()),FALSE()),Q40-$CD$3,R40,$CJ$5)*H40-CJ40</f>
        <v>#NAME?</v>
      </c>
      <c r="CH40" s="253" t="e">
        <f aca="false">xSPRDOPT((VLOOKUP(G40,NGPREVPRICES,2,FALSE())+HLOOKUP(D40,PREVCURVES,VLOOKUP(G40,MOVE_DOWN2,2,FALSE()),FALSE())),VLOOKUP(G40,NGPREVPRICES,2,FALSE()),CK40,VLOOKUP(G40,NGPREVPRICES,4,FALSE()),HLOOKUP(D40,PREVVOLS,VLOOKUP(G40,MOVE_DOWN2,2,FALSE()),FALSE()),VLOOKUP(G40,NGPREVPRICES,3,FALSE()),HLOOKUP(D40,Correllate,VLOOKUP(G40,CorMove,2,FALSE()),FALSE()),Q40-$C$3,R40,$CJ$5)*H40-CJ40</f>
        <v>#NAME?</v>
      </c>
      <c r="CI40" s="253" t="e">
        <f aca="false">SUM(CD40:CH40)</f>
        <v>#NAME?</v>
      </c>
      <c r="CJ40" s="253" t="e">
        <f aca="false">xSPRDOPT((VLOOKUP(G40,NGPREVPRICES,2,FALSE())+HLOOKUP(D40,PREVCURVES,VLOOKUP(G40,MOVE_DOWN2,2,FALSE()),FALSE())),VLOOKUP(G40,NGPREVPRICES,2,FALSE()),CK40,VLOOKUP(G40,NGPREVPRICES,4,FALSE()),HLOOKUP(D40,PREVVOLS,VLOOKUP(G40,MOVE_DOWN2,2,FALSE()),FALSE()),VLOOKUP(G40,NGPREVPRICES,3,FALSE()),HLOOKUP(D40,Correllate,VLOOKUP(G40,CorMove,2,FALSE()),FALSE()),Q40-$CD$3,R40,$CJ$5)*H40</f>
        <v>#NAME?</v>
      </c>
      <c r="CK40" s="254" t="n">
        <f aca="false">I40</f>
        <v>-0.32</v>
      </c>
      <c r="CM40" s="0" t="str">
        <f aca="false">CONCATENATE(CC40,$CD$6)</f>
        <v>36800Curve Shift/Gamma</v>
      </c>
      <c r="CN40" s="0" t="str">
        <f aca="false">CONCATENATE($CC40,$CE$6)</f>
        <v>36800Rho</v>
      </c>
      <c r="CO40" s="0" t="str">
        <f aca="false">CONCATENATE($CC40,$CF$6)</f>
        <v>36800Drift</v>
      </c>
      <c r="CP40" s="0" t="str">
        <f aca="false">CONCATENATE($CC40,$CG$6)</f>
        <v>36800Vega</v>
      </c>
      <c r="CQ40" s="0" t="str">
        <f aca="false">CONCATENATE($CC40,$CH$6)</f>
        <v>36800Theta</v>
      </c>
      <c r="CR40" s="255" t="n">
        <f aca="false">EOMONTH(CR39,0)+1</f>
        <v>37742</v>
      </c>
      <c r="CS40" s="261" t="n">
        <f aca="false">SUMIF($CM$7:$CM$631,CONCATENATE($CR40,$CS$6),$CD$7:$CD$631)</f>
        <v>0</v>
      </c>
      <c r="CT40" s="262" t="n">
        <f aca="false">SUMIF($CN$7:$CN$636,CONCATENATE($CR40,$CT$6),$CE$7:$CE$631)</f>
        <v>0</v>
      </c>
      <c r="CU40" s="262" t="n">
        <f aca="false">SUMIF($CO$7:$CO$636,CONCATENATE($CR40,$CU$6),$CF$7:$CF$631)</f>
        <v>0</v>
      </c>
      <c r="CV40" s="262" t="n">
        <f aca="false">SUMIF($CP$7:$CP$636,CONCATENATE($CR40,$CV$6),$CG$7:$CG$631)</f>
        <v>0</v>
      </c>
      <c r="CW40" s="263" t="n">
        <f aca="false">SUMIF($CQ$7:$CQ$636,CONCATENATE($CR40,$CW$6),$CH$7:$CH$631)</f>
        <v>0</v>
      </c>
      <c r="CX40" s="264" t="n">
        <f aca="false">SUM(CS40:CW40)</f>
        <v>0</v>
      </c>
      <c r="CZ40" s="255" t="n">
        <f aca="false">CR40</f>
        <v>37742</v>
      </c>
      <c r="DA40" s="261" t="n">
        <f aca="false">SUMIF($CC$7:$CC$1008,$CR40,$CD$7:$CD$1008)</f>
        <v>0</v>
      </c>
      <c r="DB40" s="262" t="n">
        <f aca="false">SUMIF($CC$7:$CC$1008,$CR40,$CE$7:$CE$1008)</f>
        <v>0</v>
      </c>
      <c r="DC40" s="262" t="n">
        <f aca="false">SUMIF($CC$7:$CC$1008,$CR40,$CF$7:$CF$1008)</f>
        <v>0</v>
      </c>
      <c r="DD40" s="262" t="n">
        <f aca="false">SUMIF($CC$7:$CC$1008,$CR40,$CG$7:$CG$1008)</f>
        <v>0</v>
      </c>
      <c r="DE40" s="263" t="n">
        <f aca="false">SUMIF($CC$7:$CC$1008,$CR40,$CH$7:$CH$1008)</f>
        <v>0</v>
      </c>
      <c r="DF40" s="264" t="n">
        <f aca="false">SUM(DA40:DE40)</f>
        <v>0</v>
      </c>
    </row>
    <row r="41" customFormat="false" ht="12" hidden="false" customHeight="true" outlineLevel="0" collapsed="false">
      <c r="A41" s="17" t="s">
        <v>218</v>
      </c>
      <c r="B41" s="0" t="s">
        <v>192</v>
      </c>
      <c r="C41" s="0" t="s">
        <v>219</v>
      </c>
      <c r="D41" s="7" t="s">
        <v>151</v>
      </c>
      <c r="E41" s="0" t="s">
        <v>131</v>
      </c>
      <c r="F41" s="0" t="s">
        <v>136</v>
      </c>
      <c r="G41" s="92" t="n">
        <v>36770</v>
      </c>
      <c r="H41" s="248" t="n">
        <v>300000</v>
      </c>
      <c r="I41" s="0" t="n">
        <v>-0.32</v>
      </c>
      <c r="J41" s="124" t="n">
        <f aca="false">VLOOKUP(G41,NGPrices,2,FALSE())</f>
        <v>4.685</v>
      </c>
      <c r="K41" s="125" t="n">
        <f aca="false">HLOOKUP(D41,Prices,VLOOKUP(G41,move_down,2,FALSE()),FALSE())+VLOOKUP(G41,CHANGE,HLOOKUP(D41,CHANGE,2,FALSE()),FALSE())</f>
        <v>-1.24</v>
      </c>
      <c r="L41" s="124" t="n">
        <f aca="false">K41+J41</f>
        <v>3.445</v>
      </c>
      <c r="M41" s="126" t="n">
        <f aca="false">VLOOKUP(G41,NGPrices,4,FALSE())</f>
        <v>0.067216196212185</v>
      </c>
      <c r="N41" s="7" t="n">
        <f aca="false">VLOOKUP(G41,NGPrices,3,FALSE())</f>
        <v>0.4</v>
      </c>
      <c r="O41" s="7" t="n">
        <f aca="false">HLOOKUP(D41,VOLS,VLOOKUP(G41,move_down,2,FALSE()),FALSE())</f>
        <v>0.384</v>
      </c>
      <c r="P41" s="249" t="n">
        <f aca="false">HLOOKUP(D41,Correllate,VLOOKUP(G41,CorMove,2,FALSE()),FALSE())</f>
        <v>0.84</v>
      </c>
      <c r="Q41" s="92" t="n">
        <f aca="false">WORKDAY(G41,-2)</f>
        <v>36768</v>
      </c>
      <c r="R41" s="7" t="n">
        <f aca="false">IF(F41="P",0,1)</f>
        <v>1</v>
      </c>
      <c r="S41" s="130" t="e">
        <f aca="false">xSPRDOPT($L41,$J41,$I41,$M41,$O41,$N41,$P41,$Q41-$C$3,$R41,0)</f>
        <v>#NAME?</v>
      </c>
      <c r="T41" s="250" t="e">
        <f aca="false">xSPRDOPT($L41,$J41,$I41,$M41,$O41,$N41,$P41,$Q41-$C$3,$R41,1)*H41</f>
        <v>#NAME?</v>
      </c>
      <c r="U41" s="43" t="e">
        <f aca="false">S41*H41</f>
        <v>#NAME?</v>
      </c>
      <c r="V41" s="250" t="e">
        <f aca="false">xSPRDOPT($L41,$J41,$I41,$M41,$O41,$N41,$P41,$Q41-$C$3,$R41,2)*H41</f>
        <v>#NAME?</v>
      </c>
      <c r="W41" s="250" t="e">
        <f aca="false">+V41+T41</f>
        <v>#NAME?</v>
      </c>
      <c r="X41" s="2" t="str">
        <f aca="false">CONCATENATE(G41,D41)</f>
        <v>36770IF-NWPL_ROCKY_M</v>
      </c>
      <c r="Y41" s="251" t="n">
        <f aca="false">H41/10000</f>
        <v>30</v>
      </c>
      <c r="Z41" s="226" t="e">
        <f aca="false">T41/H41</f>
        <v>#NAME?</v>
      </c>
      <c r="AA41" s="226" t="e">
        <f aca="false">xSPRDOPT($L41,$J41,$I41,$M41,$O41,$N41,$P41,$Q41-$C$3,$R41,3)</f>
        <v>#NAME?</v>
      </c>
      <c r="AB41" s="226" t="e">
        <f aca="false">((xSPRDOPT($L41+AB$5,$J41,$I41,$M41,$O41,$N41,$P41,$Q41-$C$3,$R41,3)*$H41)/10000)/100</f>
        <v>#NAME?</v>
      </c>
      <c r="AC41" s="226" t="e">
        <f aca="false">((xSPRDOPT($L41+$AB$5,$J41,$I41,$M41,$O41,$N41,$P41,$Q41-$C$3,$R41,7)*$H41)/100)</f>
        <v>#NAME?</v>
      </c>
      <c r="AD41" s="226" t="e">
        <f aca="false">(xSPRDOPT($L41+$AB$5,$J41,$I41,$M41,$O41,$N41,$P41,$Q41-$C$3,$R41,9)/365)*$H41</f>
        <v>#NAME?</v>
      </c>
      <c r="AE41" s="0" t="e">
        <f aca="false">CD41</f>
        <v>#NAME?</v>
      </c>
      <c r="AF41" s="226" t="e">
        <f aca="false">((O41/N41)*AH41)+AG41</f>
        <v>#NAME?</v>
      </c>
      <c r="AG41" s="226" t="e">
        <f aca="false">((xSPRDOPT($L41,$J41,$I41,$M41,$O41,$N41,$P41,$Q41-$C$3,$R41,6)*$H41)/100)</f>
        <v>#NAME?</v>
      </c>
      <c r="AH41" s="226" t="e">
        <f aca="false">((xSPRDOPT($L41,$J41,$I41,$M41,$O41,$N41,$P41,$Q41-$C$3,$R41,5)*$H41)/100)</f>
        <v>#NAME?</v>
      </c>
      <c r="AI41" s="226" t="e">
        <f aca="false">(((xSPRDOPT($L41,$J41,$I41,$M41,$O41,$N41,$P41,$Q41-$C$3,$R41,4)*$H41)/10000)/100)-AB41</f>
        <v>#NAME?</v>
      </c>
      <c r="AJ41" s="226"/>
      <c r="AK41" s="226"/>
      <c r="AL41" s="226"/>
      <c r="AM41" s="252"/>
      <c r="AN41" s="208" t="n">
        <f aca="false">EOMONTH(AN40,0)+1</f>
        <v>37773</v>
      </c>
      <c r="AO41" s="134" t="n">
        <f aca="false">SUMIF($X:$X,CONCATENATE($AN41,AO$6),$T:$T)/10000</f>
        <v>0</v>
      </c>
      <c r="AP41" s="134" t="n">
        <f aca="false">SUMIF($X:$X,CONCATENATE($AN41,AP$6),$T:$T)/10000</f>
        <v>0</v>
      </c>
      <c r="AQ41" s="134" t="n">
        <f aca="false">SUMIF($X:$X,CONCATENATE($AN41,AQ$6),$T:$T)/10000</f>
        <v>0</v>
      </c>
      <c r="AR41" s="134" t="n">
        <f aca="false">SUMIF($X:$X,CONCATENATE($AN41,AR$6),$T:$T)/10000</f>
        <v>0</v>
      </c>
      <c r="AS41" s="134" t="n">
        <f aca="false">SUMIF($X:$X,CONCATENATE($AN41,AS$6),$T:$T)/10000</f>
        <v>0</v>
      </c>
      <c r="AT41" s="134" t="n">
        <f aca="false">SUMIF($X:$X,CONCATENATE($AN41,AT$6),$T:$T)/10000</f>
        <v>0</v>
      </c>
      <c r="AU41" s="134" t="n">
        <f aca="false">SUMIF($X:$X,CONCATENATE($AN41,AU$6),$T:$T)/10000</f>
        <v>0</v>
      </c>
      <c r="AV41" s="134" t="n">
        <f aca="false">SUMIF($X:$X,CONCATENATE($AN41,AV$6),$T:$T)/10000</f>
        <v>0</v>
      </c>
      <c r="AW41" s="134" t="n">
        <f aca="false">SUMIF($X:$X,CONCATENATE($AN41,AW$6),$T:$T)/10000</f>
        <v>0</v>
      </c>
      <c r="AX41" s="134" t="n">
        <f aca="false">SUMIF($X:$X,CONCATENATE($AN41,AX$6),$T:$T)/10000</f>
        <v>0</v>
      </c>
      <c r="AY41" s="134" t="n">
        <f aca="false">SUMIF($X:$X,CONCATENATE($AN41,AY$6),$T:$T)/10000</f>
        <v>0</v>
      </c>
      <c r="AZ41" s="134" t="n">
        <f aca="false">SUMIF($X:$X,CONCATENATE($AN41,AZ$6),$T:$T)/10000</f>
        <v>0</v>
      </c>
      <c r="BA41" s="135" t="n">
        <f aca="false">SUMIF($X:$X,CONCATENATE($AN41,BA$6),$T:$T)/10000</f>
        <v>0</v>
      </c>
      <c r="BB41" s="208" t="n">
        <f aca="false">EOMONTH(BB40,0)+1</f>
        <v>37773</v>
      </c>
      <c r="BC41" s="135" t="n">
        <f aca="false">SUM(AO41:BA41)</f>
        <v>0</v>
      </c>
      <c r="BD41" s="2"/>
      <c r="BE41" s="208" t="n">
        <f aca="false">EOMONTH(BE40,0)+1</f>
        <v>37773</v>
      </c>
      <c r="BF41" s="134" t="n">
        <f aca="false">SUMIF($X:$X,CONCATENATE($AN41,BF$6),$W:$W)</f>
        <v>0</v>
      </c>
      <c r="BG41" s="134" t="n">
        <f aca="false">SUMIF($X:$X,CONCATENATE($AN41,BG$6),$W:$W)</f>
        <v>0</v>
      </c>
      <c r="BH41" s="134" t="n">
        <f aca="false">SUMIF($X:$X,CONCATENATE($AN41,BH$6),$W:$W)</f>
        <v>0</v>
      </c>
      <c r="BI41" s="134" t="n">
        <f aca="false">SUMIF($X:$X,CONCATENATE($AN41,BI$6),$W:$W)</f>
        <v>0</v>
      </c>
      <c r="BJ41" s="134" t="n">
        <f aca="false">SUMIF($X:$X,CONCATENATE($AN41,BJ$6),$W:$W)</f>
        <v>0</v>
      </c>
      <c r="BK41" s="134" t="n">
        <f aca="false">SUMIF($X:$X,CONCATENATE($AN41,BK$6),$W:$W)</f>
        <v>0</v>
      </c>
      <c r="BL41" s="134" t="n">
        <f aca="false">SUMIF($X:$X,CONCATENATE($AN41,BL$6),$W:$W)</f>
        <v>0</v>
      </c>
      <c r="BM41" s="134" t="n">
        <f aca="false">SUMIF($X:$X,CONCATENATE($AN41,BM$6),$W:$W)</f>
        <v>0</v>
      </c>
      <c r="BN41" s="134" t="n">
        <f aca="false">SUMIF($X:$X,CONCATENATE($AN41,BN$6),$W:$W)</f>
        <v>0</v>
      </c>
      <c r="BO41" s="134" t="n">
        <f aca="false">SUMIF($X:$X,CONCATENATE($AN41,BO$6),$W:$W)</f>
        <v>0</v>
      </c>
      <c r="BP41" s="134" t="n">
        <f aca="false">SUMIF($X:$X,CONCATENATE($AN41,BP$6),$W:$W)</f>
        <v>0</v>
      </c>
      <c r="BQ41" s="134" t="n">
        <f aca="false">SUMIF($X:$X,CONCATENATE($AN41,BQ$6),$W:$W)</f>
        <v>0</v>
      </c>
      <c r="BR41" s="135" t="n">
        <f aca="false">SUMIF($X:$X,CONCATENATE($AN41,BR$6),$W:$W)</f>
        <v>0</v>
      </c>
      <c r="BS41" s="208" t="n">
        <f aca="false">EOMONTH(BS40,0)+1</f>
        <v>37773</v>
      </c>
      <c r="BT41" s="135" t="n">
        <f aca="false">SUM(BF41:BR41)</f>
        <v>0</v>
      </c>
      <c r="BU41" s="2"/>
      <c r="BV41" s="2"/>
      <c r="BW41" s="2"/>
      <c r="BX41" s="2"/>
      <c r="BY41" s="2"/>
      <c r="BZ41" s="2"/>
      <c r="CA41" s="2"/>
      <c r="CB41" s="2"/>
      <c r="CC41" s="182" t="n">
        <f aca="false">G41</f>
        <v>36770</v>
      </c>
      <c r="CD41" s="253" t="e">
        <f aca="false">xSPRDOPT((VLOOKUP(G41,NGPrices,2,FALSE())+HLOOKUP(D41,Prices,VLOOKUP(G41,move_down,2,FALSE()),FALSE())),VLOOKUP(G41,NGPrices,2,FALSE()),I41,VLOOKUP(G41,NGPREVPRICES,4,FALSE()),HLOOKUP(D41,PREVVOLS,VLOOKUP(G41,MOVE_DOWN2,2,FALSE()),FALSE()),VLOOKUP(G41,NGPREVPRICES,3,FALSE()),HLOOKUP(D41,Correllate,VLOOKUP(G41,CorMove,2,FALSE()),FALSE()),Q41-$CD$3,R41,$CD$5)*H41-CJ41</f>
        <v>#NAME?</v>
      </c>
      <c r="CE41" s="253" t="e">
        <f aca="false">xSPRDOPT((VLOOKUP(G41,NGPREVPRICES,2,FALSE())+HLOOKUP(D41,PREVCURVES,VLOOKUP(G41,MOVE_DOWN2,2,FALSE()),FALSE())),VLOOKUP(G41,NGPREVPRICES,2,FALSE()),CK41,VLOOKUP(G41,NGPrices,4,FALSE()),HLOOKUP(D41,PREVVOLS,VLOOKUP(G41,MOVE_DOWN2,2,FALSE()),FALSE()),VLOOKUP(G41,NGPREVPRICES,3,FALSE()),HLOOKUP(D41,Correllate,VLOOKUP(G41,CorMove,2,FALSE()),FALSE()),Q41-$CD$3,R41,$CJ$5)*H41-CJ41</f>
        <v>#NAME?</v>
      </c>
      <c r="CF41" s="132" t="e">
        <f aca="false">(CJ41/VLOOKUP(CC41,discount,3,FALSE()))-(CJ41/VLOOKUP(CC41,discount,2,FALSE()))</f>
        <v>#NAME?</v>
      </c>
      <c r="CG41" s="253" t="e">
        <f aca="false">xSPRDOPT((VLOOKUP(G41,NGPREVPRICES,2,FALSE())+HLOOKUP(D41,PREVCURVES,VLOOKUP(G41,MOVE_DOWN2,2,FALSE()),FALSE())),VLOOKUP(G41,NGPREVPRICES,2,FALSE()),CK41,VLOOKUP(G41,NGPREVPRICES,4,FALSE()),HLOOKUP(D41,VOLS,VLOOKUP(G41,move_down,2,FALSE()),FALSE()),VLOOKUP(G41,NGPrices,3,FALSE()),HLOOKUP(D41,Correllate,VLOOKUP(G41,CorMove,2,FALSE()),FALSE()),Q41-$CD$3,R41,$CJ$5)*H41-CJ41</f>
        <v>#NAME?</v>
      </c>
      <c r="CH41" s="253" t="e">
        <f aca="false">xSPRDOPT((VLOOKUP(G41,NGPREVPRICES,2,FALSE())+HLOOKUP(D41,PREVCURVES,VLOOKUP(G41,MOVE_DOWN2,2,FALSE()),FALSE())),VLOOKUP(G41,NGPREVPRICES,2,FALSE()),CK41,VLOOKUP(G41,NGPREVPRICES,4,FALSE()),HLOOKUP(D41,PREVVOLS,VLOOKUP(G41,MOVE_DOWN2,2,FALSE()),FALSE()),VLOOKUP(G41,NGPREVPRICES,3,FALSE()),HLOOKUP(D41,Correllate,VLOOKUP(G41,CorMove,2,FALSE()),FALSE()),Q41-$C$3,R41,$CJ$5)*H41-CJ41</f>
        <v>#NAME?</v>
      </c>
      <c r="CI41" s="253" t="e">
        <f aca="false">SUM(CD41:CH41)</f>
        <v>#NAME?</v>
      </c>
      <c r="CJ41" s="253" t="e">
        <f aca="false">xSPRDOPT((VLOOKUP(G41,NGPREVPRICES,2,FALSE())+HLOOKUP(D41,PREVCURVES,VLOOKUP(G41,MOVE_DOWN2,2,FALSE()),FALSE())),VLOOKUP(G41,NGPREVPRICES,2,FALSE()),CK41,VLOOKUP(G41,NGPREVPRICES,4,FALSE()),HLOOKUP(D41,PREVVOLS,VLOOKUP(G41,MOVE_DOWN2,2,FALSE()),FALSE()),VLOOKUP(G41,NGPREVPRICES,3,FALSE()),HLOOKUP(D41,Correllate,VLOOKUP(G41,CorMove,2,FALSE()),FALSE()),Q41-$CD$3,R41,$CJ$5)*H41</f>
        <v>#NAME?</v>
      </c>
      <c r="CK41" s="254" t="n">
        <f aca="false">I41</f>
        <v>-0.32</v>
      </c>
      <c r="CM41" s="0" t="str">
        <f aca="false">CONCATENATE(CC41,$CD$6)</f>
        <v>36770Curve Shift/Gamma</v>
      </c>
      <c r="CN41" s="0" t="str">
        <f aca="false">CONCATENATE($CC41,$CE$6)</f>
        <v>36770Rho</v>
      </c>
      <c r="CO41" s="0" t="str">
        <f aca="false">CONCATENATE($CC41,$CF$6)</f>
        <v>36770Drift</v>
      </c>
      <c r="CP41" s="0" t="str">
        <f aca="false">CONCATENATE($CC41,$CG$6)</f>
        <v>36770Vega</v>
      </c>
      <c r="CQ41" s="0" t="str">
        <f aca="false">CONCATENATE($CC41,$CH$6)</f>
        <v>36770Theta</v>
      </c>
      <c r="CR41" s="255" t="n">
        <f aca="false">EOMONTH(CR40,0)+1</f>
        <v>37773</v>
      </c>
      <c r="CS41" s="261" t="n">
        <f aca="false">SUMIF($CM$7:$CM$631,CONCATENATE($CR41,$CS$6),$CD$7:$CD$631)</f>
        <v>0</v>
      </c>
      <c r="CT41" s="262" t="n">
        <f aca="false">SUMIF($CN$7:$CN$636,CONCATENATE($CR41,$CT$6),$CE$7:$CE$631)</f>
        <v>0</v>
      </c>
      <c r="CU41" s="262" t="n">
        <f aca="false">SUMIF($CO$7:$CO$636,CONCATENATE($CR41,$CU$6),$CF$7:$CF$631)</f>
        <v>0</v>
      </c>
      <c r="CV41" s="262" t="n">
        <f aca="false">SUMIF($CP$7:$CP$636,CONCATENATE($CR41,$CV$6),$CG$7:$CG$631)</f>
        <v>0</v>
      </c>
      <c r="CW41" s="263" t="n">
        <f aca="false">SUMIF($CQ$7:$CQ$636,CONCATENATE($CR41,$CW$6),$CH$7:$CH$631)</f>
        <v>0</v>
      </c>
      <c r="CX41" s="264" t="n">
        <f aca="false">SUM(CS41:CW41)</f>
        <v>0</v>
      </c>
      <c r="CZ41" s="255" t="n">
        <f aca="false">CR41</f>
        <v>37773</v>
      </c>
      <c r="DA41" s="261" t="n">
        <f aca="false">SUMIF($CC$7:$CC$1008,$CR41,$CD$7:$CD$1008)</f>
        <v>0</v>
      </c>
      <c r="DB41" s="262" t="n">
        <f aca="false">SUMIF($CC$7:$CC$1008,$CR41,$CE$7:$CE$1008)</f>
        <v>0</v>
      </c>
      <c r="DC41" s="262" t="n">
        <f aca="false">SUMIF($CC$7:$CC$1008,$CR41,$CF$7:$CF$1008)</f>
        <v>0</v>
      </c>
      <c r="DD41" s="262" t="n">
        <f aca="false">SUMIF($CC$7:$CC$1008,$CR41,$CG$7:$CG$1008)</f>
        <v>0</v>
      </c>
      <c r="DE41" s="263" t="n">
        <f aca="false">SUMIF($CC$7:$CC$1008,$CR41,$CH$7:$CH$1008)</f>
        <v>0</v>
      </c>
      <c r="DF41" s="264" t="n">
        <f aca="false">SUM(DA41:DE41)</f>
        <v>0</v>
      </c>
    </row>
    <row r="42" customFormat="false" ht="12" hidden="false" customHeight="true" outlineLevel="0" collapsed="false">
      <c r="A42" s="17" t="s">
        <v>218</v>
      </c>
      <c r="B42" s="0" t="s">
        <v>192</v>
      </c>
      <c r="C42" s="0" t="s">
        <v>220</v>
      </c>
      <c r="D42" s="7" t="s">
        <v>151</v>
      </c>
      <c r="E42" s="0" t="s">
        <v>131</v>
      </c>
      <c r="F42" s="0" t="s">
        <v>132</v>
      </c>
      <c r="G42" s="92" t="n">
        <v>36800</v>
      </c>
      <c r="H42" s="248" t="n">
        <v>310000</v>
      </c>
      <c r="I42" s="0" t="n">
        <v>-0.32</v>
      </c>
      <c r="J42" s="124" t="n">
        <f aca="false">VLOOKUP(G42,NGPrices,2,FALSE())</f>
        <v>4.692</v>
      </c>
      <c r="K42" s="125" t="n">
        <f aca="false">HLOOKUP(D42,Prices,VLOOKUP(G42,move_down,2,FALSE()),FALSE())+VLOOKUP(G42,CHANGE,HLOOKUP(D42,CHANGE,2,FALSE()),FALSE())</f>
        <v>-0.805</v>
      </c>
      <c r="L42" s="124" t="n">
        <f aca="false">K42+J42</f>
        <v>3.887</v>
      </c>
      <c r="M42" s="126" t="n">
        <f aca="false">VLOOKUP(G42,NGPrices,4,FALSE())</f>
        <v>0.068050789414654</v>
      </c>
      <c r="N42" s="7" t="n">
        <f aca="false">VLOOKUP(G42,NGPrices,3,FALSE())</f>
        <v>0.575</v>
      </c>
      <c r="O42" s="7" t="n">
        <f aca="false">HLOOKUP(D42,VOLS,VLOOKUP(G42,move_down,2,FALSE()),FALSE())</f>
        <v>0.552</v>
      </c>
      <c r="P42" s="249" t="n">
        <f aca="false">HLOOKUP(D42,Correllate,VLOOKUP(G42,CorMove,2,FALSE()),FALSE())</f>
        <v>0.84</v>
      </c>
      <c r="Q42" s="92" t="n">
        <f aca="false">WORKDAY(G42,-2)</f>
        <v>36797</v>
      </c>
      <c r="R42" s="7" t="n">
        <f aca="false">IF(F42="P",0,1)</f>
        <v>0</v>
      </c>
      <c r="S42" s="130" t="e">
        <f aca="false">xSPRDOPT($L42,$J42,$I42,$M42,$O42,$N42,$P42,$Q42-$C$3,$R42,0)</f>
        <v>#NAME?</v>
      </c>
      <c r="T42" s="250" t="e">
        <f aca="false">xSPRDOPT($L42,$J42,$I42,$M42,$O42,$N42,$P42,$Q42-$C$3,$R42,1)*H42</f>
        <v>#NAME?</v>
      </c>
      <c r="U42" s="43" t="e">
        <f aca="false">S42*H42</f>
        <v>#NAME?</v>
      </c>
      <c r="V42" s="250" t="e">
        <f aca="false">xSPRDOPT($L42,$J42,$I42,$M42,$O42,$N42,$P42,$Q42-$C$3,$R42,2)*H42</f>
        <v>#NAME?</v>
      </c>
      <c r="W42" s="250" t="e">
        <f aca="false">+V42+T42</f>
        <v>#NAME?</v>
      </c>
      <c r="X42" s="2" t="str">
        <f aca="false">CONCATENATE(G42,D42)</f>
        <v>36800IF-NWPL_ROCKY_M</v>
      </c>
      <c r="Y42" s="251" t="n">
        <f aca="false">H42/10000</f>
        <v>31</v>
      </c>
      <c r="Z42" s="226" t="e">
        <f aca="false">T42/H42</f>
        <v>#NAME?</v>
      </c>
      <c r="AA42" s="226" t="e">
        <f aca="false">xSPRDOPT($L42,$J42,$I42,$M42,$O42,$N42,$P42,$Q42-$C$3,$R42,3)</f>
        <v>#NAME?</v>
      </c>
      <c r="AB42" s="226" t="e">
        <f aca="false">((xSPRDOPT($L42+AB$5,$J42,$I42,$M42,$O42,$N42,$P42,$Q42-$C$3,$R42,3)*$H42)/10000)/100</f>
        <v>#NAME?</v>
      </c>
      <c r="AC42" s="226" t="e">
        <f aca="false">((xSPRDOPT($L42+$AB$5,$J42,$I42,$M42,$O42,$N42,$P42,$Q42-$C$3,$R42,7)*$H42)/100)</f>
        <v>#NAME?</v>
      </c>
      <c r="AD42" s="226" t="e">
        <f aca="false">(xSPRDOPT($L42+$AB$5,$J42,$I42,$M42,$O42,$N42,$P42,$Q42-$C$3,$R42,9)/365)*$H42</f>
        <v>#NAME?</v>
      </c>
      <c r="AE42" s="0" t="e">
        <f aca="false">CD42</f>
        <v>#NAME?</v>
      </c>
      <c r="AF42" s="226" t="e">
        <f aca="false">((O42/N42)*AH42)+AG42</f>
        <v>#NAME?</v>
      </c>
      <c r="AG42" s="226" t="e">
        <f aca="false">((xSPRDOPT($L42,$J42,$I42,$M42,$O42,$N42,$P42,$Q42-$C$3,$R42,6)*$H42)/100)</f>
        <v>#NAME?</v>
      </c>
      <c r="AH42" s="226" t="e">
        <f aca="false">((xSPRDOPT($L42,$J42,$I42,$M42,$O42,$N42,$P42,$Q42-$C$3,$R42,5)*$H42)/100)</f>
        <v>#NAME?</v>
      </c>
      <c r="AI42" s="226" t="e">
        <f aca="false">(((xSPRDOPT($L42,$J42,$I42,$M42,$O42,$N42,$P42,$Q42-$C$3,$R42,4)*$H42)/10000)/100)-AB42</f>
        <v>#NAME?</v>
      </c>
      <c r="AJ42" s="226"/>
      <c r="AK42" s="226"/>
      <c r="AL42" s="226"/>
      <c r="AM42" s="252"/>
      <c r="AN42" s="208" t="n">
        <f aca="false">EOMONTH(AN41,0)+1</f>
        <v>37803</v>
      </c>
      <c r="AO42" s="134" t="n">
        <f aca="false">SUMIF($X:$X,CONCATENATE($AN42,AO$6),$T:$T)/10000</f>
        <v>0</v>
      </c>
      <c r="AP42" s="134" t="n">
        <f aca="false">SUMIF($X:$X,CONCATENATE($AN42,AP$6),$T:$T)/10000</f>
        <v>0</v>
      </c>
      <c r="AQ42" s="134" t="n">
        <f aca="false">SUMIF($X:$X,CONCATENATE($AN42,AQ$6),$T:$T)/10000</f>
        <v>0</v>
      </c>
      <c r="AR42" s="134" t="n">
        <f aca="false">SUMIF($X:$X,CONCATENATE($AN42,AR$6),$T:$T)/10000</f>
        <v>0</v>
      </c>
      <c r="AS42" s="134" t="n">
        <f aca="false">SUMIF($X:$X,CONCATENATE($AN42,AS$6),$T:$T)/10000</f>
        <v>0</v>
      </c>
      <c r="AT42" s="134" t="n">
        <f aca="false">SUMIF($X:$X,CONCATENATE($AN42,AT$6),$T:$T)/10000</f>
        <v>0</v>
      </c>
      <c r="AU42" s="134" t="n">
        <f aca="false">SUMIF($X:$X,CONCATENATE($AN42,AU$6),$T:$T)/10000</f>
        <v>0</v>
      </c>
      <c r="AV42" s="134" t="n">
        <f aca="false">SUMIF($X:$X,CONCATENATE($AN42,AV$6),$T:$T)/10000</f>
        <v>0</v>
      </c>
      <c r="AW42" s="134" t="n">
        <f aca="false">SUMIF($X:$X,CONCATENATE($AN42,AW$6),$T:$T)/10000</f>
        <v>0</v>
      </c>
      <c r="AX42" s="134" t="n">
        <f aca="false">SUMIF($X:$X,CONCATENATE($AN42,AX$6),$T:$T)/10000</f>
        <v>0</v>
      </c>
      <c r="AY42" s="134" t="n">
        <f aca="false">SUMIF($X:$X,CONCATENATE($AN42,AY$6),$T:$T)/10000</f>
        <v>0</v>
      </c>
      <c r="AZ42" s="134" t="n">
        <f aca="false">SUMIF($X:$X,CONCATENATE($AN42,AZ$6),$T:$T)/10000</f>
        <v>0</v>
      </c>
      <c r="BA42" s="135" t="n">
        <f aca="false">SUMIF($X:$X,CONCATENATE($AN42,BA$6),$T:$T)/10000</f>
        <v>0</v>
      </c>
      <c r="BB42" s="208" t="n">
        <f aca="false">EOMONTH(BB41,0)+1</f>
        <v>37803</v>
      </c>
      <c r="BC42" s="135" t="n">
        <f aca="false">SUM(AO42:BA42)</f>
        <v>0</v>
      </c>
      <c r="BD42" s="2"/>
      <c r="BE42" s="208" t="n">
        <f aca="false">EOMONTH(BE41,0)+1</f>
        <v>37803</v>
      </c>
      <c r="BF42" s="134" t="n">
        <f aca="false">SUMIF($X:$X,CONCATENATE($AN42,BF$6),$W:$W)</f>
        <v>0</v>
      </c>
      <c r="BG42" s="134" t="n">
        <f aca="false">SUMIF($X:$X,CONCATENATE($AN42,BG$6),$W:$W)</f>
        <v>0</v>
      </c>
      <c r="BH42" s="134" t="n">
        <f aca="false">SUMIF($X:$X,CONCATENATE($AN42,BH$6),$W:$W)</f>
        <v>0</v>
      </c>
      <c r="BI42" s="134" t="n">
        <f aca="false">SUMIF($X:$X,CONCATENATE($AN42,BI$6),$W:$W)</f>
        <v>0</v>
      </c>
      <c r="BJ42" s="134" t="n">
        <f aca="false">SUMIF($X:$X,CONCATENATE($AN42,BJ$6),$W:$W)</f>
        <v>0</v>
      </c>
      <c r="BK42" s="134" t="n">
        <f aca="false">SUMIF($X:$X,CONCATENATE($AN42,BK$6),$W:$W)</f>
        <v>0</v>
      </c>
      <c r="BL42" s="134" t="n">
        <f aca="false">SUMIF($X:$X,CONCATENATE($AN42,BL$6),$W:$W)</f>
        <v>0</v>
      </c>
      <c r="BM42" s="134" t="n">
        <f aca="false">SUMIF($X:$X,CONCATENATE($AN42,BM$6),$W:$W)</f>
        <v>0</v>
      </c>
      <c r="BN42" s="134" t="n">
        <f aca="false">SUMIF($X:$X,CONCATENATE($AN42,BN$6),$W:$W)</f>
        <v>0</v>
      </c>
      <c r="BO42" s="134" t="n">
        <f aca="false">SUMIF($X:$X,CONCATENATE($AN42,BO$6),$W:$W)</f>
        <v>0</v>
      </c>
      <c r="BP42" s="134" t="n">
        <f aca="false">SUMIF($X:$X,CONCATENATE($AN42,BP$6),$W:$W)</f>
        <v>0</v>
      </c>
      <c r="BQ42" s="134" t="n">
        <f aca="false">SUMIF($X:$X,CONCATENATE($AN42,BQ$6),$W:$W)</f>
        <v>0</v>
      </c>
      <c r="BR42" s="135" t="n">
        <f aca="false">SUMIF($X:$X,CONCATENATE($AN42,BR$6),$W:$W)</f>
        <v>0</v>
      </c>
      <c r="BS42" s="208" t="n">
        <f aca="false">EOMONTH(BS41,0)+1</f>
        <v>37803</v>
      </c>
      <c r="BT42" s="135" t="n">
        <f aca="false">SUM(BF42:BR42)</f>
        <v>0</v>
      </c>
      <c r="BU42" s="2"/>
      <c r="BV42" s="2"/>
      <c r="BW42" s="2"/>
      <c r="BX42" s="2"/>
      <c r="BY42" s="2"/>
      <c r="BZ42" s="2"/>
      <c r="CA42" s="2"/>
      <c r="CB42" s="2"/>
      <c r="CC42" s="182" t="n">
        <f aca="false">G42</f>
        <v>36800</v>
      </c>
      <c r="CD42" s="253" t="e">
        <f aca="false">xSPRDOPT((VLOOKUP(G42,NGPrices,2,FALSE())+HLOOKUP(D42,Prices,VLOOKUP(G42,move_down,2,FALSE()),FALSE())),VLOOKUP(G42,NGPrices,2,FALSE()),I42,VLOOKUP(G42,NGPREVPRICES,4,FALSE()),HLOOKUP(D42,PREVVOLS,VLOOKUP(G42,MOVE_DOWN2,2,FALSE()),FALSE()),VLOOKUP(G42,NGPREVPRICES,3,FALSE()),HLOOKUP(D42,Correllate,VLOOKUP(G42,CorMove,2,FALSE()),FALSE()),Q42-$CD$3,R42,$CD$5)*H42-CJ42</f>
        <v>#NAME?</v>
      </c>
      <c r="CE42" s="253" t="e">
        <f aca="false">xSPRDOPT((VLOOKUP(G42,NGPREVPRICES,2,FALSE())+HLOOKUP(D42,PREVCURVES,VLOOKUP(G42,MOVE_DOWN2,2,FALSE()),FALSE())),VLOOKUP(G42,NGPREVPRICES,2,FALSE()),CK42,VLOOKUP(G42,NGPrices,4,FALSE()),HLOOKUP(D42,PREVVOLS,VLOOKUP(G42,MOVE_DOWN2,2,FALSE()),FALSE()),VLOOKUP(G42,NGPREVPRICES,3,FALSE()),HLOOKUP(D42,Correllate,VLOOKUP(G42,CorMove,2,FALSE()),FALSE()),Q42-$CD$3,R42,$CJ$5)*H42-CJ42</f>
        <v>#NAME?</v>
      </c>
      <c r="CF42" s="132" t="e">
        <f aca="false">(CJ42/VLOOKUP(CC42,discount,3,FALSE()))-(CJ42/VLOOKUP(CC42,discount,2,FALSE()))</f>
        <v>#NAME?</v>
      </c>
      <c r="CG42" s="253" t="e">
        <f aca="false">xSPRDOPT((VLOOKUP(G42,NGPREVPRICES,2,FALSE())+HLOOKUP(D42,PREVCURVES,VLOOKUP(G42,MOVE_DOWN2,2,FALSE()),FALSE())),VLOOKUP(G42,NGPREVPRICES,2,FALSE()),CK42,VLOOKUP(G42,NGPREVPRICES,4,FALSE()),HLOOKUP(D42,VOLS,VLOOKUP(G42,move_down,2,FALSE()),FALSE()),VLOOKUP(G42,NGPrices,3,FALSE()),HLOOKUP(D42,Correllate,VLOOKUP(G42,CorMove,2,FALSE()),FALSE()),Q42-$CD$3,R42,$CJ$5)*H42-CJ42</f>
        <v>#NAME?</v>
      </c>
      <c r="CH42" s="253" t="e">
        <f aca="false">xSPRDOPT((VLOOKUP(G42,NGPREVPRICES,2,FALSE())+HLOOKUP(D42,PREVCURVES,VLOOKUP(G42,MOVE_DOWN2,2,FALSE()),FALSE())),VLOOKUP(G42,NGPREVPRICES,2,FALSE()),CK42,VLOOKUP(G42,NGPREVPRICES,4,FALSE()),HLOOKUP(D42,PREVVOLS,VLOOKUP(G42,MOVE_DOWN2,2,FALSE()),FALSE()),VLOOKUP(G42,NGPREVPRICES,3,FALSE()),HLOOKUP(D42,Correllate,VLOOKUP(G42,CorMove,2,FALSE()),FALSE()),Q42-$C$3,R42,$CJ$5)*H42-CJ42</f>
        <v>#NAME?</v>
      </c>
      <c r="CI42" s="253" t="e">
        <f aca="false">SUM(CD42:CH42)</f>
        <v>#NAME?</v>
      </c>
      <c r="CJ42" s="253" t="e">
        <f aca="false">xSPRDOPT((VLOOKUP(G42,NGPREVPRICES,2,FALSE())+HLOOKUP(D42,PREVCURVES,VLOOKUP(G42,MOVE_DOWN2,2,FALSE()),FALSE())),VLOOKUP(G42,NGPREVPRICES,2,FALSE()),CK42,VLOOKUP(G42,NGPREVPRICES,4,FALSE()),HLOOKUP(D42,PREVVOLS,VLOOKUP(G42,MOVE_DOWN2,2,FALSE()),FALSE()),VLOOKUP(G42,NGPREVPRICES,3,FALSE()),HLOOKUP(D42,Correllate,VLOOKUP(G42,CorMove,2,FALSE()),FALSE()),Q42-$CD$3,R42,$CJ$5)*H42</f>
        <v>#NAME?</v>
      </c>
      <c r="CK42" s="254" t="n">
        <f aca="false">I42</f>
        <v>-0.32</v>
      </c>
      <c r="CM42" s="0" t="str">
        <f aca="false">CONCATENATE(CC42,$CD$6)</f>
        <v>36800Curve Shift/Gamma</v>
      </c>
      <c r="CN42" s="0" t="str">
        <f aca="false">CONCATENATE($CC42,$CE$6)</f>
        <v>36800Rho</v>
      </c>
      <c r="CO42" s="0" t="str">
        <f aca="false">CONCATENATE($CC42,$CF$6)</f>
        <v>36800Drift</v>
      </c>
      <c r="CP42" s="0" t="str">
        <f aca="false">CONCATENATE($CC42,$CG$6)</f>
        <v>36800Vega</v>
      </c>
      <c r="CQ42" s="0" t="str">
        <f aca="false">CONCATENATE($CC42,$CH$6)</f>
        <v>36800Theta</v>
      </c>
      <c r="CR42" s="255" t="n">
        <f aca="false">EOMONTH(CR41,0)+1</f>
        <v>37803</v>
      </c>
      <c r="CS42" s="261" t="n">
        <f aca="false">SUMIF($CM$7:$CM$631,CONCATENATE($CR42,$CS$6),$CD$7:$CD$631)</f>
        <v>0</v>
      </c>
      <c r="CT42" s="262" t="n">
        <f aca="false">SUMIF($CN$7:$CN$636,CONCATENATE($CR42,$CT$6),$CE$7:$CE$631)</f>
        <v>0</v>
      </c>
      <c r="CU42" s="262" t="n">
        <f aca="false">SUMIF($CO$7:$CO$636,CONCATENATE($CR42,$CU$6),$CF$7:$CF$631)</f>
        <v>0</v>
      </c>
      <c r="CV42" s="262" t="n">
        <f aca="false">SUMIF($CP$7:$CP$636,CONCATENATE($CR42,$CV$6),$CG$7:$CG$631)</f>
        <v>0</v>
      </c>
      <c r="CW42" s="263" t="n">
        <f aca="false">SUMIF($CQ$7:$CQ$636,CONCATENATE($CR42,$CW$6),$CH$7:$CH$631)</f>
        <v>0</v>
      </c>
      <c r="CX42" s="264" t="n">
        <f aca="false">SUM(CS42:CW42)</f>
        <v>0</v>
      </c>
      <c r="CZ42" s="255" t="n">
        <f aca="false">CR42</f>
        <v>37803</v>
      </c>
      <c r="DA42" s="261" t="n">
        <f aca="false">SUMIF($CC$7:$CC$1008,$CR42,$CD$7:$CD$1008)</f>
        <v>0</v>
      </c>
      <c r="DB42" s="262" t="n">
        <f aca="false">SUMIF($CC$7:$CC$1008,$CR42,$CE$7:$CE$1008)</f>
        <v>0</v>
      </c>
      <c r="DC42" s="262" t="n">
        <f aca="false">SUMIF($CC$7:$CC$1008,$CR42,$CF$7:$CF$1008)</f>
        <v>0</v>
      </c>
      <c r="DD42" s="262" t="n">
        <f aca="false">SUMIF($CC$7:$CC$1008,$CR42,$CG$7:$CG$1008)</f>
        <v>0</v>
      </c>
      <c r="DE42" s="263" t="n">
        <f aca="false">SUMIF($CC$7:$CC$1008,$CR42,$CH$7:$CH$1008)</f>
        <v>0</v>
      </c>
      <c r="DF42" s="264" t="n">
        <f aca="false">SUM(DA42:DE42)</f>
        <v>0</v>
      </c>
    </row>
    <row r="43" customFormat="false" ht="12" hidden="false" customHeight="true" outlineLevel="0" collapsed="false">
      <c r="A43" s="17" t="s">
        <v>218</v>
      </c>
      <c r="B43" s="0" t="s">
        <v>192</v>
      </c>
      <c r="C43" s="0" t="s">
        <v>220</v>
      </c>
      <c r="D43" s="7" t="s">
        <v>151</v>
      </c>
      <c r="E43" s="0" t="s">
        <v>131</v>
      </c>
      <c r="F43" s="0" t="s">
        <v>132</v>
      </c>
      <c r="G43" s="92" t="n">
        <v>36770</v>
      </c>
      <c r="H43" s="248" t="n">
        <v>300000</v>
      </c>
      <c r="I43" s="0" t="n">
        <v>-0.32</v>
      </c>
      <c r="J43" s="124" t="n">
        <f aca="false">VLOOKUP(G43,NGPrices,2,FALSE())</f>
        <v>4.685</v>
      </c>
      <c r="K43" s="125" t="n">
        <f aca="false">HLOOKUP(D43,Prices,VLOOKUP(G43,move_down,2,FALSE()),FALSE())+VLOOKUP(G43,CHANGE,HLOOKUP(D43,CHANGE,2,FALSE()),FALSE())</f>
        <v>-1.24</v>
      </c>
      <c r="L43" s="124" t="n">
        <f aca="false">K43+J43</f>
        <v>3.445</v>
      </c>
      <c r="M43" s="126" t="n">
        <f aca="false">VLOOKUP(G43,NGPrices,4,FALSE())</f>
        <v>0.067216196212185</v>
      </c>
      <c r="N43" s="7" t="n">
        <f aca="false">VLOOKUP(G43,NGPrices,3,FALSE())</f>
        <v>0.4</v>
      </c>
      <c r="O43" s="7" t="n">
        <f aca="false">HLOOKUP(D43,VOLS,VLOOKUP(G43,move_down,2,FALSE()),FALSE())</f>
        <v>0.384</v>
      </c>
      <c r="P43" s="249" t="n">
        <f aca="false">HLOOKUP(D43,Correllate,VLOOKUP(G43,CorMove,2,FALSE()),FALSE())</f>
        <v>0.84</v>
      </c>
      <c r="Q43" s="92" t="n">
        <f aca="false">WORKDAY(G43,-2)</f>
        <v>36768</v>
      </c>
      <c r="R43" s="7" t="n">
        <f aca="false">IF(F43="P",0,1)</f>
        <v>0</v>
      </c>
      <c r="S43" s="130" t="e">
        <f aca="false">xSPRDOPT($L43,$J43,$I43,$M43,$O43,$N43,$P43,$Q43-$C$3,$R43,0)</f>
        <v>#NAME?</v>
      </c>
      <c r="T43" s="250" t="e">
        <f aca="false">xSPRDOPT($L43,$J43,$I43,$M43,$O43,$N43,$P43,$Q43-$C$3,$R43,1)*H43</f>
        <v>#NAME?</v>
      </c>
      <c r="U43" s="43" t="e">
        <f aca="false">S43*H43</f>
        <v>#NAME?</v>
      </c>
      <c r="V43" s="250" t="e">
        <f aca="false">xSPRDOPT($L43,$J43,$I43,$M43,$O43,$N43,$P43,$Q43-$C$3,$R43,2)*H43</f>
        <v>#NAME?</v>
      </c>
      <c r="W43" s="250" t="e">
        <f aca="false">+V43+T43</f>
        <v>#NAME?</v>
      </c>
      <c r="X43" s="2" t="str">
        <f aca="false">CONCATENATE(G43,D43)</f>
        <v>36770IF-NWPL_ROCKY_M</v>
      </c>
      <c r="Y43" s="251" t="n">
        <f aca="false">H43/10000</f>
        <v>30</v>
      </c>
      <c r="Z43" s="226" t="e">
        <f aca="false">T43/H43</f>
        <v>#NAME?</v>
      </c>
      <c r="AA43" s="226" t="e">
        <f aca="false">xSPRDOPT($L43,$J43,$I43,$M43,$O43,$N43,$P43,$Q43-$C$3,$R43,3)</f>
        <v>#NAME?</v>
      </c>
      <c r="AB43" s="226" t="e">
        <f aca="false">((xSPRDOPT($L43+AB$5,$J43,$I43,$M43,$O43,$N43,$P43,$Q43-$C$3,$R43,3)*$H43)/10000)/100</f>
        <v>#NAME?</v>
      </c>
      <c r="AC43" s="226" t="e">
        <f aca="false">((xSPRDOPT($L43+$AB$5,$J43,$I43,$M43,$O43,$N43,$P43,$Q43-$C$3,$R43,7)*$H43)/100)</f>
        <v>#NAME?</v>
      </c>
      <c r="AD43" s="226" t="e">
        <f aca="false">(xSPRDOPT($L43+$AB$5,$J43,$I43,$M43,$O43,$N43,$P43,$Q43-$C$3,$R43,9)/365)*$H43</f>
        <v>#NAME?</v>
      </c>
      <c r="AE43" s="0" t="e">
        <f aca="false">CD43</f>
        <v>#NAME?</v>
      </c>
      <c r="AF43" s="226" t="e">
        <f aca="false">((O43/N43)*AH43)+AG43</f>
        <v>#NAME?</v>
      </c>
      <c r="AG43" s="226" t="e">
        <f aca="false">((xSPRDOPT($L43,$J43,$I43,$M43,$O43,$N43,$P43,$Q43-$C$3,$R43,6)*$H43)/100)</f>
        <v>#NAME?</v>
      </c>
      <c r="AH43" s="226" t="e">
        <f aca="false">((xSPRDOPT($L43,$J43,$I43,$M43,$O43,$N43,$P43,$Q43-$C$3,$R43,5)*$H43)/100)</f>
        <v>#NAME?</v>
      </c>
      <c r="AI43" s="226" t="e">
        <f aca="false">(((xSPRDOPT($L43,$J43,$I43,$M43,$O43,$N43,$P43,$Q43-$C$3,$R43,4)*$H43)/10000)/100)-AB43</f>
        <v>#NAME?</v>
      </c>
      <c r="AJ43" s="226"/>
      <c r="AK43" s="226"/>
      <c r="AL43" s="226"/>
      <c r="AM43" s="252"/>
      <c r="AN43" s="208" t="n">
        <f aca="false">EOMONTH(AN42,0)+1</f>
        <v>37834</v>
      </c>
      <c r="AO43" s="134" t="n">
        <f aca="false">SUMIF($X:$X,CONCATENATE($AN43,AO$6),$T:$T)/10000</f>
        <v>0</v>
      </c>
      <c r="AP43" s="134" t="n">
        <f aca="false">SUMIF($X:$X,CONCATENATE($AN43,AP$6),$T:$T)/10000</f>
        <v>0</v>
      </c>
      <c r="AQ43" s="134" t="n">
        <f aca="false">SUMIF($X:$X,CONCATENATE($AN43,AQ$6),$T:$T)/10000</f>
        <v>0</v>
      </c>
      <c r="AR43" s="134" t="n">
        <f aca="false">SUMIF($X:$X,CONCATENATE($AN43,AR$6),$T:$T)/10000</f>
        <v>0</v>
      </c>
      <c r="AS43" s="134" t="n">
        <f aca="false">SUMIF($X:$X,CONCATENATE($AN43,AS$6),$T:$T)/10000</f>
        <v>0</v>
      </c>
      <c r="AT43" s="134" t="n">
        <f aca="false">SUMIF($X:$X,CONCATENATE($AN43,AT$6),$T:$T)/10000</f>
        <v>0</v>
      </c>
      <c r="AU43" s="134" t="n">
        <f aca="false">SUMIF($X:$X,CONCATENATE($AN43,AU$6),$T:$T)/10000</f>
        <v>0</v>
      </c>
      <c r="AV43" s="134" t="n">
        <f aca="false">SUMIF($X:$X,CONCATENATE($AN43,AV$6),$T:$T)/10000</f>
        <v>0</v>
      </c>
      <c r="AW43" s="134" t="n">
        <f aca="false">SUMIF($X:$X,CONCATENATE($AN43,AW$6),$T:$T)/10000</f>
        <v>0</v>
      </c>
      <c r="AX43" s="134" t="n">
        <f aca="false">SUMIF($X:$X,CONCATENATE($AN43,AX$6),$T:$T)/10000</f>
        <v>0</v>
      </c>
      <c r="AY43" s="134" t="n">
        <f aca="false">SUMIF($X:$X,CONCATENATE($AN43,AY$6),$T:$T)/10000</f>
        <v>0</v>
      </c>
      <c r="AZ43" s="134" t="n">
        <f aca="false">SUMIF($X:$X,CONCATENATE($AN43,AZ$6),$T:$T)/10000</f>
        <v>0</v>
      </c>
      <c r="BA43" s="135" t="n">
        <f aca="false">SUMIF($X:$X,CONCATENATE($AN43,BA$6),$T:$T)/10000</f>
        <v>0</v>
      </c>
      <c r="BB43" s="208" t="n">
        <f aca="false">EOMONTH(BB42,0)+1</f>
        <v>37834</v>
      </c>
      <c r="BC43" s="135" t="n">
        <f aca="false">SUM(AO43:BA43)</f>
        <v>0</v>
      </c>
      <c r="BD43" s="2"/>
      <c r="BE43" s="208" t="n">
        <f aca="false">EOMONTH(BE42,0)+1</f>
        <v>37834</v>
      </c>
      <c r="BF43" s="134" t="n">
        <f aca="false">SUMIF($X:$X,CONCATENATE($AN43,BF$6),$W:$W)</f>
        <v>0</v>
      </c>
      <c r="BG43" s="134" t="n">
        <f aca="false">SUMIF($X:$X,CONCATENATE($AN43,BG$6),$W:$W)</f>
        <v>0</v>
      </c>
      <c r="BH43" s="134" t="n">
        <f aca="false">SUMIF($X:$X,CONCATENATE($AN43,BH$6),$W:$W)</f>
        <v>0</v>
      </c>
      <c r="BI43" s="134" t="n">
        <f aca="false">SUMIF($X:$X,CONCATENATE($AN43,BI$6),$W:$W)</f>
        <v>0</v>
      </c>
      <c r="BJ43" s="134" t="n">
        <f aca="false">SUMIF($X:$X,CONCATENATE($AN43,BJ$6),$W:$W)</f>
        <v>0</v>
      </c>
      <c r="BK43" s="134" t="n">
        <f aca="false">SUMIF($X:$X,CONCATENATE($AN43,BK$6),$W:$W)</f>
        <v>0</v>
      </c>
      <c r="BL43" s="134" t="n">
        <f aca="false">SUMIF($X:$X,CONCATENATE($AN43,BL$6),$W:$W)</f>
        <v>0</v>
      </c>
      <c r="BM43" s="134" t="n">
        <f aca="false">SUMIF($X:$X,CONCATENATE($AN43,BM$6),$W:$W)</f>
        <v>0</v>
      </c>
      <c r="BN43" s="134" t="n">
        <f aca="false">SUMIF($X:$X,CONCATENATE($AN43,BN$6),$W:$W)</f>
        <v>0</v>
      </c>
      <c r="BO43" s="134" t="n">
        <f aca="false">SUMIF($X:$X,CONCATENATE($AN43,BO$6),$W:$W)</f>
        <v>0</v>
      </c>
      <c r="BP43" s="134" t="n">
        <f aca="false">SUMIF($X:$X,CONCATENATE($AN43,BP$6),$W:$W)</f>
        <v>0</v>
      </c>
      <c r="BQ43" s="134" t="n">
        <f aca="false">SUMIF($X:$X,CONCATENATE($AN43,BQ$6),$W:$W)</f>
        <v>0</v>
      </c>
      <c r="BR43" s="135" t="n">
        <f aca="false">SUMIF($X:$X,CONCATENATE($AN43,BR$6),$W:$W)</f>
        <v>0</v>
      </c>
      <c r="BS43" s="208" t="n">
        <f aca="false">EOMONTH(BS42,0)+1</f>
        <v>37834</v>
      </c>
      <c r="BT43" s="135" t="n">
        <f aca="false">SUM(BF43:BR43)</f>
        <v>0</v>
      </c>
      <c r="BU43" s="2"/>
      <c r="BV43" s="2"/>
      <c r="BW43" s="2"/>
      <c r="BX43" s="2"/>
      <c r="BY43" s="2"/>
      <c r="BZ43" s="2"/>
      <c r="CA43" s="2"/>
      <c r="CB43" s="2"/>
      <c r="CC43" s="182" t="n">
        <f aca="false">G43</f>
        <v>36770</v>
      </c>
      <c r="CD43" s="253" t="e">
        <f aca="false">xSPRDOPT((VLOOKUP(G43,NGPrices,2,FALSE())+HLOOKUP(D43,Prices,VLOOKUP(G43,move_down,2,FALSE()),FALSE())),VLOOKUP(G43,NGPrices,2,FALSE()),I43,VLOOKUP(G43,NGPREVPRICES,4,FALSE()),HLOOKUP(D43,PREVVOLS,VLOOKUP(G43,MOVE_DOWN2,2,FALSE()),FALSE()),VLOOKUP(G43,NGPREVPRICES,3,FALSE()),HLOOKUP(D43,Correllate,VLOOKUP(G43,CorMove,2,FALSE()),FALSE()),Q43-$CD$3,R43,$CD$5)*H43-CJ43</f>
        <v>#NAME?</v>
      </c>
      <c r="CE43" s="253" t="e">
        <f aca="false">xSPRDOPT((VLOOKUP(G43,NGPREVPRICES,2,FALSE())+HLOOKUP(D43,PREVCURVES,VLOOKUP(G43,MOVE_DOWN2,2,FALSE()),FALSE())),VLOOKUP(G43,NGPREVPRICES,2,FALSE()),CK43,VLOOKUP(G43,NGPrices,4,FALSE()),HLOOKUP(D43,PREVVOLS,VLOOKUP(G43,MOVE_DOWN2,2,FALSE()),FALSE()),VLOOKUP(G43,NGPREVPRICES,3,FALSE()),HLOOKUP(D43,Correllate,VLOOKUP(G43,CorMove,2,FALSE()),FALSE()),Q43-$CD$3,R43,$CJ$5)*H43-CJ43</f>
        <v>#NAME?</v>
      </c>
      <c r="CF43" s="132" t="e">
        <f aca="false">(CJ43/VLOOKUP(CC43,discount,3,FALSE()))-(CJ43/VLOOKUP(CC43,discount,2,FALSE()))</f>
        <v>#NAME?</v>
      </c>
      <c r="CG43" s="253" t="e">
        <f aca="false">xSPRDOPT((VLOOKUP(G43,NGPREVPRICES,2,FALSE())+HLOOKUP(D43,PREVCURVES,VLOOKUP(G43,MOVE_DOWN2,2,FALSE()),FALSE())),VLOOKUP(G43,NGPREVPRICES,2,FALSE()),CK43,VLOOKUP(G43,NGPREVPRICES,4,FALSE()),HLOOKUP(D43,VOLS,VLOOKUP(G43,move_down,2,FALSE()),FALSE()),VLOOKUP(G43,NGPrices,3,FALSE()),HLOOKUP(D43,Correllate,VLOOKUP(G43,CorMove,2,FALSE()),FALSE()),Q43-$CD$3,R43,$CJ$5)*H43-CJ43</f>
        <v>#NAME?</v>
      </c>
      <c r="CH43" s="253" t="e">
        <f aca="false">xSPRDOPT((VLOOKUP(G43,NGPREVPRICES,2,FALSE())+HLOOKUP(D43,PREVCURVES,VLOOKUP(G43,MOVE_DOWN2,2,FALSE()),FALSE())),VLOOKUP(G43,NGPREVPRICES,2,FALSE()),CK43,VLOOKUP(G43,NGPREVPRICES,4,FALSE()),HLOOKUP(D43,PREVVOLS,VLOOKUP(G43,MOVE_DOWN2,2,FALSE()),FALSE()),VLOOKUP(G43,NGPREVPRICES,3,FALSE()),HLOOKUP(D43,Correllate,VLOOKUP(G43,CorMove,2,FALSE()),FALSE()),Q43-$C$3,R43,$CJ$5)*H43-CJ43</f>
        <v>#NAME?</v>
      </c>
      <c r="CI43" s="253" t="e">
        <f aca="false">SUM(CD43:CH43)</f>
        <v>#NAME?</v>
      </c>
      <c r="CJ43" s="253" t="e">
        <f aca="false">xSPRDOPT((VLOOKUP(G43,NGPREVPRICES,2,FALSE())+HLOOKUP(D43,PREVCURVES,VLOOKUP(G43,MOVE_DOWN2,2,FALSE()),FALSE())),VLOOKUP(G43,NGPREVPRICES,2,FALSE()),CK43,VLOOKUP(G43,NGPREVPRICES,4,FALSE()),HLOOKUP(D43,PREVVOLS,VLOOKUP(G43,MOVE_DOWN2,2,FALSE()),FALSE()),VLOOKUP(G43,NGPREVPRICES,3,FALSE()),HLOOKUP(D43,Correllate,VLOOKUP(G43,CorMove,2,FALSE()),FALSE()),Q43-$CD$3,R43,$CJ$5)*H43</f>
        <v>#NAME?</v>
      </c>
      <c r="CK43" s="254" t="n">
        <f aca="false">I43</f>
        <v>-0.32</v>
      </c>
      <c r="CM43" s="0" t="str">
        <f aca="false">CONCATENATE(CC43,$CD$6)</f>
        <v>36770Curve Shift/Gamma</v>
      </c>
      <c r="CN43" s="0" t="str">
        <f aca="false">CONCATENATE($CC43,$CE$6)</f>
        <v>36770Rho</v>
      </c>
      <c r="CO43" s="0" t="str">
        <f aca="false">CONCATENATE($CC43,$CF$6)</f>
        <v>36770Drift</v>
      </c>
      <c r="CP43" s="0" t="str">
        <f aca="false">CONCATENATE($CC43,$CG$6)</f>
        <v>36770Vega</v>
      </c>
      <c r="CQ43" s="0" t="str">
        <f aca="false">CONCATENATE($CC43,$CH$6)</f>
        <v>36770Theta</v>
      </c>
      <c r="CR43" s="255" t="n">
        <f aca="false">EOMONTH(CR42,0)+1</f>
        <v>37834</v>
      </c>
      <c r="CS43" s="261" t="n">
        <f aca="false">SUMIF($CM$7:$CM$631,CONCATENATE($CR43,$CS$6),$CD$7:$CD$631)</f>
        <v>0</v>
      </c>
      <c r="CT43" s="262" t="n">
        <f aca="false">SUMIF($CN$7:$CN$636,CONCATENATE($CR43,$CT$6),$CE$7:$CE$631)</f>
        <v>0</v>
      </c>
      <c r="CU43" s="262" t="n">
        <f aca="false">SUMIF($CO$7:$CO$636,CONCATENATE($CR43,$CU$6),$CF$7:$CF$631)</f>
        <v>0</v>
      </c>
      <c r="CV43" s="262" t="n">
        <f aca="false">SUMIF($CP$7:$CP$636,CONCATENATE($CR43,$CV$6),$CG$7:$CG$631)</f>
        <v>0</v>
      </c>
      <c r="CW43" s="263" t="n">
        <f aca="false">SUMIF($CQ$7:$CQ$636,CONCATENATE($CR43,$CW$6),$CH$7:$CH$631)</f>
        <v>0</v>
      </c>
      <c r="CX43" s="264" t="n">
        <f aca="false">SUM(CS43:CW43)</f>
        <v>0</v>
      </c>
      <c r="CZ43" s="255" t="n">
        <f aca="false">CR43</f>
        <v>37834</v>
      </c>
      <c r="DA43" s="261" t="n">
        <f aca="false">SUMIF($CC$7:$CC$1008,$CR43,$CD$7:$CD$1008)</f>
        <v>0</v>
      </c>
      <c r="DB43" s="262" t="n">
        <f aca="false">SUMIF($CC$7:$CC$1008,$CR43,$CE$7:$CE$1008)</f>
        <v>0</v>
      </c>
      <c r="DC43" s="262" t="n">
        <f aca="false">SUMIF($CC$7:$CC$1008,$CR43,$CF$7:$CF$1008)</f>
        <v>0</v>
      </c>
      <c r="DD43" s="262" t="n">
        <f aca="false">SUMIF($CC$7:$CC$1008,$CR43,$CG$7:$CG$1008)</f>
        <v>0</v>
      </c>
      <c r="DE43" s="263" t="n">
        <f aca="false">SUMIF($CC$7:$CC$1008,$CR43,$CH$7:$CH$1008)</f>
        <v>0</v>
      </c>
      <c r="DF43" s="264" t="n">
        <f aca="false">SUM(DA43:DE43)</f>
        <v>0</v>
      </c>
    </row>
    <row r="44" customFormat="false" ht="12" hidden="false" customHeight="true" outlineLevel="0" collapsed="false">
      <c r="A44" s="17" t="s">
        <v>218</v>
      </c>
      <c r="B44" s="0" t="s">
        <v>192</v>
      </c>
      <c r="C44" s="0" t="s">
        <v>221</v>
      </c>
      <c r="D44" s="7" t="s">
        <v>151</v>
      </c>
      <c r="E44" s="0" t="s">
        <v>131</v>
      </c>
      <c r="F44" s="0" t="s">
        <v>132</v>
      </c>
      <c r="G44" s="92" t="n">
        <v>36800</v>
      </c>
      <c r="H44" s="248" t="n">
        <v>620000</v>
      </c>
      <c r="I44" s="0" t="n">
        <v>-0.4</v>
      </c>
      <c r="J44" s="124" t="n">
        <f aca="false">VLOOKUP(G44,NGPrices,2,FALSE())</f>
        <v>4.692</v>
      </c>
      <c r="K44" s="125" t="n">
        <f aca="false">HLOOKUP(D44,Prices,VLOOKUP(G44,move_down,2,FALSE()),FALSE())+VLOOKUP(G44,CHANGE,HLOOKUP(D44,CHANGE,2,FALSE()),FALSE())</f>
        <v>-0.805</v>
      </c>
      <c r="L44" s="124" t="n">
        <f aca="false">K44+J44</f>
        <v>3.887</v>
      </c>
      <c r="M44" s="126" t="n">
        <f aca="false">VLOOKUP(G44,NGPrices,4,FALSE())</f>
        <v>0.068050789414654</v>
      </c>
      <c r="N44" s="7" t="n">
        <f aca="false">VLOOKUP(G44,NGPrices,3,FALSE())</f>
        <v>0.575</v>
      </c>
      <c r="O44" s="7" t="n">
        <f aca="false">HLOOKUP(D44,VOLS,VLOOKUP(G44,move_down,2,FALSE()),FALSE())</f>
        <v>0.552</v>
      </c>
      <c r="P44" s="249" t="n">
        <f aca="false">HLOOKUP(D44,Correllate,VLOOKUP(G44,CorMove,2,FALSE()),FALSE())</f>
        <v>0.84</v>
      </c>
      <c r="Q44" s="92" t="n">
        <f aca="false">WORKDAY(G44,-2)</f>
        <v>36797</v>
      </c>
      <c r="R44" s="7" t="n">
        <f aca="false">IF(F44="P",0,1)</f>
        <v>0</v>
      </c>
      <c r="S44" s="130" t="e">
        <f aca="false">xSPRDOPT($L44,$J44,$I44,$M44,$O44,$N44,$P44,$Q44-$C$3,$R44,0)</f>
        <v>#NAME?</v>
      </c>
      <c r="T44" s="250" t="e">
        <f aca="false">xSPRDOPT($L44,$J44,$I44,$M44,$O44,$N44,$P44,$Q44-$C$3,$R44,1)*H44</f>
        <v>#NAME?</v>
      </c>
      <c r="U44" s="43" t="e">
        <f aca="false">S44*H44</f>
        <v>#NAME?</v>
      </c>
      <c r="V44" s="250" t="e">
        <f aca="false">xSPRDOPT($L44,$J44,$I44,$M44,$O44,$N44,$P44,$Q44-$C$3,$R44,2)*H44</f>
        <v>#NAME?</v>
      </c>
      <c r="W44" s="250" t="e">
        <f aca="false">+V44+T44</f>
        <v>#NAME?</v>
      </c>
      <c r="X44" s="2" t="str">
        <f aca="false">CONCATENATE(G44,D44)</f>
        <v>36800IF-NWPL_ROCKY_M</v>
      </c>
      <c r="Y44" s="251" t="n">
        <f aca="false">H44/10000</f>
        <v>62</v>
      </c>
      <c r="Z44" s="226" t="e">
        <f aca="false">T44/H44</f>
        <v>#NAME?</v>
      </c>
      <c r="AA44" s="226" t="e">
        <f aca="false">xSPRDOPT($L44,$J44,$I44,$M44,$O44,$N44,$P44,$Q44-$C$3,$R44,3)</f>
        <v>#NAME?</v>
      </c>
      <c r="AB44" s="226" t="e">
        <f aca="false">((xSPRDOPT($L44+AB$5,$J44,$I44,$M44,$O44,$N44,$P44,$Q44-$C$3,$R44,3)*$H44)/10000)/100</f>
        <v>#NAME?</v>
      </c>
      <c r="AC44" s="226" t="e">
        <f aca="false">((xSPRDOPT($L44+$AB$5,$J44,$I44,$M44,$O44,$N44,$P44,$Q44-$C$3,$R44,7)*$H44)/100)</f>
        <v>#NAME?</v>
      </c>
      <c r="AD44" s="226" t="e">
        <f aca="false">(xSPRDOPT($L44+$AB$5,$J44,$I44,$M44,$O44,$N44,$P44,$Q44-$C$3,$R44,9)/365)*$H44</f>
        <v>#NAME?</v>
      </c>
      <c r="AE44" s="0" t="e">
        <f aca="false">CD44</f>
        <v>#NAME?</v>
      </c>
      <c r="AF44" s="226" t="e">
        <f aca="false">((O44/N44)*AH44)+AG44</f>
        <v>#NAME?</v>
      </c>
      <c r="AG44" s="226" t="e">
        <f aca="false">((xSPRDOPT($L44,$J44,$I44,$M44,$O44,$N44,$P44,$Q44-$C$3,$R44,6)*$H44)/100)</f>
        <v>#NAME?</v>
      </c>
      <c r="AH44" s="226" t="e">
        <f aca="false">((xSPRDOPT($L44,$J44,$I44,$M44,$O44,$N44,$P44,$Q44-$C$3,$R44,5)*$H44)/100)</f>
        <v>#NAME?</v>
      </c>
      <c r="AI44" s="226" t="e">
        <f aca="false">(((xSPRDOPT($L44,$J44,$I44,$M44,$O44,$N44,$P44,$Q44-$C$3,$R44,4)*$H44)/10000)/100)-AB44</f>
        <v>#NAME?</v>
      </c>
      <c r="AJ44" s="226"/>
      <c r="AK44" s="226"/>
      <c r="AL44" s="226"/>
      <c r="AM44" s="252"/>
      <c r="AN44" s="208" t="n">
        <f aca="false">EOMONTH(AN43,0)+1</f>
        <v>37865</v>
      </c>
      <c r="AO44" s="134" t="n">
        <f aca="false">SUMIF($X:$X,CONCATENATE($AN44,AO$6),$T:$T)/10000</f>
        <v>0</v>
      </c>
      <c r="AP44" s="134" t="n">
        <f aca="false">SUMIF($X:$X,CONCATENATE($AN44,AP$6),$T:$T)/10000</f>
        <v>0</v>
      </c>
      <c r="AQ44" s="134" t="n">
        <f aca="false">SUMIF($X:$X,CONCATENATE($AN44,AQ$6),$T:$T)/10000</f>
        <v>0</v>
      </c>
      <c r="AR44" s="134" t="n">
        <f aca="false">SUMIF($X:$X,CONCATENATE($AN44,AR$6),$T:$T)/10000</f>
        <v>0</v>
      </c>
      <c r="AS44" s="134" t="n">
        <f aca="false">SUMIF($X:$X,CONCATENATE($AN44,AS$6),$T:$T)/10000</f>
        <v>0</v>
      </c>
      <c r="AT44" s="134" t="n">
        <f aca="false">SUMIF($X:$X,CONCATENATE($AN44,AT$6),$T:$T)/10000</f>
        <v>0</v>
      </c>
      <c r="AU44" s="134" t="n">
        <f aca="false">SUMIF($X:$X,CONCATENATE($AN44,AU$6),$T:$T)/10000</f>
        <v>0</v>
      </c>
      <c r="AV44" s="134" t="n">
        <f aca="false">SUMIF($X:$X,CONCATENATE($AN44,AV$6),$T:$T)/10000</f>
        <v>0</v>
      </c>
      <c r="AW44" s="134" t="n">
        <f aca="false">SUMIF($X:$X,CONCATENATE($AN44,AW$6),$T:$T)/10000</f>
        <v>0</v>
      </c>
      <c r="AX44" s="134" t="n">
        <f aca="false">SUMIF($X:$X,CONCATENATE($AN44,AX$6),$T:$T)/10000</f>
        <v>0</v>
      </c>
      <c r="AY44" s="134" t="n">
        <f aca="false">SUMIF($X:$X,CONCATENATE($AN44,AY$6),$T:$T)/10000</f>
        <v>0</v>
      </c>
      <c r="AZ44" s="134" t="n">
        <f aca="false">SUMIF($X:$X,CONCATENATE($AN44,AZ$6),$T:$T)/10000</f>
        <v>0</v>
      </c>
      <c r="BA44" s="135" t="n">
        <f aca="false">SUMIF($X:$X,CONCATENATE($AN44,BA$6),$T:$T)/10000</f>
        <v>0</v>
      </c>
      <c r="BB44" s="208" t="n">
        <f aca="false">EOMONTH(BB43,0)+1</f>
        <v>37865</v>
      </c>
      <c r="BC44" s="135" t="n">
        <f aca="false">SUM(AO44:BA44)</f>
        <v>0</v>
      </c>
      <c r="BD44" s="2"/>
      <c r="BE44" s="208" t="n">
        <f aca="false">EOMONTH(BE43,0)+1</f>
        <v>37865</v>
      </c>
      <c r="BF44" s="134" t="n">
        <f aca="false">SUMIF($X:$X,CONCATENATE($AN44,BF$6),$W:$W)</f>
        <v>0</v>
      </c>
      <c r="BG44" s="134" t="n">
        <f aca="false">SUMIF($X:$X,CONCATENATE($AN44,BG$6),$W:$W)</f>
        <v>0</v>
      </c>
      <c r="BH44" s="134" t="n">
        <f aca="false">SUMIF($X:$X,CONCATENATE($AN44,BH$6),$W:$W)</f>
        <v>0</v>
      </c>
      <c r="BI44" s="134" t="n">
        <f aca="false">SUMIF($X:$X,CONCATENATE($AN44,BI$6),$W:$W)</f>
        <v>0</v>
      </c>
      <c r="BJ44" s="134" t="n">
        <f aca="false">SUMIF($X:$X,CONCATENATE($AN44,BJ$6),$W:$W)</f>
        <v>0</v>
      </c>
      <c r="BK44" s="134" t="n">
        <f aca="false">SUMIF($X:$X,CONCATENATE($AN44,BK$6),$W:$W)</f>
        <v>0</v>
      </c>
      <c r="BL44" s="134" t="n">
        <f aca="false">SUMIF($X:$X,CONCATENATE($AN44,BL$6),$W:$W)</f>
        <v>0</v>
      </c>
      <c r="BM44" s="134" t="n">
        <f aca="false">SUMIF($X:$X,CONCATENATE($AN44,BM$6),$W:$W)</f>
        <v>0</v>
      </c>
      <c r="BN44" s="134" t="n">
        <f aca="false">SUMIF($X:$X,CONCATENATE($AN44,BN$6),$W:$W)</f>
        <v>0</v>
      </c>
      <c r="BO44" s="134" t="n">
        <f aca="false">SUMIF($X:$X,CONCATENATE($AN44,BO$6),$W:$W)</f>
        <v>0</v>
      </c>
      <c r="BP44" s="134" t="n">
        <f aca="false">SUMIF($X:$X,CONCATENATE($AN44,BP$6),$W:$W)</f>
        <v>0</v>
      </c>
      <c r="BQ44" s="134" t="n">
        <f aca="false">SUMIF($X:$X,CONCATENATE($AN44,BQ$6),$W:$W)</f>
        <v>0</v>
      </c>
      <c r="BR44" s="135" t="n">
        <f aca="false">SUMIF($X:$X,CONCATENATE($AN44,BR$6),$W:$W)</f>
        <v>0</v>
      </c>
      <c r="BS44" s="208" t="n">
        <f aca="false">EOMONTH(BS43,0)+1</f>
        <v>37865</v>
      </c>
      <c r="BT44" s="135" t="n">
        <f aca="false">SUM(BF44:BR44)</f>
        <v>0</v>
      </c>
      <c r="BU44" s="2"/>
      <c r="BV44" s="2"/>
      <c r="BW44" s="2"/>
      <c r="BX44" s="2"/>
      <c r="BY44" s="2"/>
      <c r="BZ44" s="2"/>
      <c r="CA44" s="2"/>
      <c r="CB44" s="2"/>
      <c r="CC44" s="182" t="n">
        <f aca="false">G44</f>
        <v>36800</v>
      </c>
      <c r="CD44" s="253" t="e">
        <f aca="false">xSPRDOPT((VLOOKUP(G44,NGPrices,2,FALSE())+HLOOKUP(D44,Prices,VLOOKUP(G44,move_down,2,FALSE()),FALSE())),VLOOKUP(G44,NGPrices,2,FALSE()),I44,VLOOKUP(G44,NGPREVPRICES,4,FALSE()),HLOOKUP(D44,PREVVOLS,VLOOKUP(G44,MOVE_DOWN2,2,FALSE()),FALSE()),VLOOKUP(G44,NGPREVPRICES,3,FALSE()),HLOOKUP(D44,Correllate,VLOOKUP(G44,CorMove,2,FALSE()),FALSE()),Q44-$CD$3,R44,$CD$5)*H44-CJ44</f>
        <v>#NAME?</v>
      </c>
      <c r="CE44" s="253" t="e">
        <f aca="false">xSPRDOPT((VLOOKUP(G44,NGPREVPRICES,2,FALSE())+HLOOKUP(D44,PREVCURVES,VLOOKUP(G44,MOVE_DOWN2,2,FALSE()),FALSE())),VLOOKUP(G44,NGPREVPRICES,2,FALSE()),CK44,VLOOKUP(G44,NGPrices,4,FALSE()),HLOOKUP(D44,PREVVOLS,VLOOKUP(G44,MOVE_DOWN2,2,FALSE()),FALSE()),VLOOKUP(G44,NGPREVPRICES,3,FALSE()),HLOOKUP(D44,Correllate,VLOOKUP(G44,CorMove,2,FALSE()),FALSE()),Q44-$CD$3,R44,$CJ$5)*H44-CJ44</f>
        <v>#NAME?</v>
      </c>
      <c r="CF44" s="132" t="e">
        <f aca="false">(CJ44/VLOOKUP(CC44,discount,3,FALSE()))-(CJ44/VLOOKUP(CC44,discount,2,FALSE()))</f>
        <v>#NAME?</v>
      </c>
      <c r="CG44" s="253" t="e">
        <f aca="false">xSPRDOPT((VLOOKUP(G44,NGPREVPRICES,2,FALSE())+HLOOKUP(D44,PREVCURVES,VLOOKUP(G44,MOVE_DOWN2,2,FALSE()),FALSE())),VLOOKUP(G44,NGPREVPRICES,2,FALSE()),CK44,VLOOKUP(G44,NGPREVPRICES,4,FALSE()),HLOOKUP(D44,VOLS,VLOOKUP(G44,move_down,2,FALSE()),FALSE()),VLOOKUP(G44,NGPrices,3,FALSE()),HLOOKUP(D44,Correllate,VLOOKUP(G44,CorMove,2,FALSE()),FALSE()),Q44-$CD$3,R44,$CJ$5)*H44-CJ44</f>
        <v>#NAME?</v>
      </c>
      <c r="CH44" s="253" t="e">
        <f aca="false">xSPRDOPT((VLOOKUP(G44,NGPREVPRICES,2,FALSE())+HLOOKUP(D44,PREVCURVES,VLOOKUP(G44,MOVE_DOWN2,2,FALSE()),FALSE())),VLOOKUP(G44,NGPREVPRICES,2,FALSE()),CK44,VLOOKUP(G44,NGPREVPRICES,4,FALSE()),HLOOKUP(D44,PREVVOLS,VLOOKUP(G44,MOVE_DOWN2,2,FALSE()),FALSE()),VLOOKUP(G44,NGPREVPRICES,3,FALSE()),HLOOKUP(D44,Correllate,VLOOKUP(G44,CorMove,2,FALSE()),FALSE()),Q44-$C$3,R44,$CJ$5)*H44-CJ44</f>
        <v>#NAME?</v>
      </c>
      <c r="CI44" s="253" t="e">
        <f aca="false">SUM(CD44:CH44)</f>
        <v>#NAME?</v>
      </c>
      <c r="CJ44" s="253" t="e">
        <f aca="false">xSPRDOPT((VLOOKUP(G44,NGPREVPRICES,2,FALSE())+HLOOKUP(D44,PREVCURVES,VLOOKUP(G44,MOVE_DOWN2,2,FALSE()),FALSE())),VLOOKUP(G44,NGPREVPRICES,2,FALSE()),CK44,VLOOKUP(G44,NGPREVPRICES,4,FALSE()),HLOOKUP(D44,PREVVOLS,VLOOKUP(G44,MOVE_DOWN2,2,FALSE()),FALSE()),VLOOKUP(G44,NGPREVPRICES,3,FALSE()),HLOOKUP(D44,Correllate,VLOOKUP(G44,CorMove,2,FALSE()),FALSE()),Q44-$CD$3,R44,$CJ$5)*H44</f>
        <v>#NAME?</v>
      </c>
      <c r="CK44" s="254" t="n">
        <f aca="false">I44</f>
        <v>-0.4</v>
      </c>
      <c r="CM44" s="0" t="str">
        <f aca="false">CONCATENATE(CC44,$CD$6)</f>
        <v>36800Curve Shift/Gamma</v>
      </c>
      <c r="CN44" s="0" t="str">
        <f aca="false">CONCATENATE($CC44,$CE$6)</f>
        <v>36800Rho</v>
      </c>
      <c r="CO44" s="0" t="str">
        <f aca="false">CONCATENATE($CC44,$CF$6)</f>
        <v>36800Drift</v>
      </c>
      <c r="CP44" s="0" t="str">
        <f aca="false">CONCATENATE($CC44,$CG$6)</f>
        <v>36800Vega</v>
      </c>
      <c r="CQ44" s="0" t="str">
        <f aca="false">CONCATENATE($CC44,$CH$6)</f>
        <v>36800Theta</v>
      </c>
      <c r="CR44" s="255" t="n">
        <f aca="false">EOMONTH(CR43,0)+1</f>
        <v>37865</v>
      </c>
      <c r="CS44" s="261" t="n">
        <f aca="false">SUMIF($CM$7:$CM$631,CONCATENATE($CR44,$CS$6),$CD$7:$CD$631)</f>
        <v>0</v>
      </c>
      <c r="CT44" s="262" t="n">
        <f aca="false">SUMIF($CN$7:$CN$636,CONCATENATE($CR44,$CT$6),$CE$7:$CE$631)</f>
        <v>0</v>
      </c>
      <c r="CU44" s="262" t="n">
        <f aca="false">SUMIF($CO$7:$CO$636,CONCATENATE($CR44,$CU$6),$CF$7:$CF$631)</f>
        <v>0</v>
      </c>
      <c r="CV44" s="262" t="n">
        <f aca="false">SUMIF($CP$7:$CP$636,CONCATENATE($CR44,$CV$6),$CG$7:$CG$631)</f>
        <v>0</v>
      </c>
      <c r="CW44" s="263" t="n">
        <f aca="false">SUMIF($CQ$7:$CQ$636,CONCATENATE($CR44,$CW$6),$CH$7:$CH$631)</f>
        <v>0</v>
      </c>
      <c r="CX44" s="264" t="n">
        <f aca="false">SUM(CS44:CW44)</f>
        <v>0</v>
      </c>
      <c r="CZ44" s="255" t="n">
        <f aca="false">CR44</f>
        <v>37865</v>
      </c>
      <c r="DA44" s="261" t="n">
        <f aca="false">SUMIF($CC$7:$CC$1008,$CR44,$CD$7:$CD$1008)</f>
        <v>0</v>
      </c>
      <c r="DB44" s="262" t="n">
        <f aca="false">SUMIF($CC$7:$CC$1008,$CR44,$CE$7:$CE$1008)</f>
        <v>0</v>
      </c>
      <c r="DC44" s="262" t="n">
        <f aca="false">SUMIF($CC$7:$CC$1008,$CR44,$CF$7:$CF$1008)</f>
        <v>0</v>
      </c>
      <c r="DD44" s="262" t="n">
        <f aca="false">SUMIF($CC$7:$CC$1008,$CR44,$CG$7:$CG$1008)</f>
        <v>0</v>
      </c>
      <c r="DE44" s="263" t="n">
        <f aca="false">SUMIF($CC$7:$CC$1008,$CR44,$CH$7:$CH$1008)</f>
        <v>0</v>
      </c>
      <c r="DF44" s="264" t="n">
        <f aca="false">SUM(DA44:DE44)</f>
        <v>0</v>
      </c>
    </row>
    <row r="45" customFormat="false" ht="12" hidden="false" customHeight="true" outlineLevel="0" collapsed="false">
      <c r="A45" s="17" t="s">
        <v>218</v>
      </c>
      <c r="B45" s="0" t="s">
        <v>192</v>
      </c>
      <c r="C45" s="0" t="s">
        <v>221</v>
      </c>
      <c r="D45" s="7" t="s">
        <v>151</v>
      </c>
      <c r="E45" s="0" t="s">
        <v>131</v>
      </c>
      <c r="F45" s="0" t="s">
        <v>132</v>
      </c>
      <c r="G45" s="92" t="n">
        <v>36770</v>
      </c>
      <c r="H45" s="248" t="n">
        <v>600000</v>
      </c>
      <c r="I45" s="0" t="n">
        <v>-0.4</v>
      </c>
      <c r="J45" s="124" t="n">
        <f aca="false">VLOOKUP(G45,NGPrices,2,FALSE())</f>
        <v>4.685</v>
      </c>
      <c r="K45" s="125" t="n">
        <f aca="false">HLOOKUP(D45,Prices,VLOOKUP(G45,move_down,2,FALSE()),FALSE())+VLOOKUP(G45,CHANGE,HLOOKUP(D45,CHANGE,2,FALSE()),FALSE())</f>
        <v>-1.24</v>
      </c>
      <c r="L45" s="124" t="n">
        <f aca="false">K45+J45</f>
        <v>3.445</v>
      </c>
      <c r="M45" s="126" t="n">
        <f aca="false">VLOOKUP(G45,NGPrices,4,FALSE())</f>
        <v>0.067216196212185</v>
      </c>
      <c r="N45" s="7" t="n">
        <f aca="false">VLOOKUP(G45,NGPrices,3,FALSE())</f>
        <v>0.4</v>
      </c>
      <c r="O45" s="7" t="n">
        <f aca="false">HLOOKUP(D45,VOLS,VLOOKUP(G45,move_down,2,FALSE()),FALSE())</f>
        <v>0.384</v>
      </c>
      <c r="P45" s="249" t="n">
        <f aca="false">HLOOKUP(D45,Correllate,VLOOKUP(G45,CorMove,2,FALSE()),FALSE())</f>
        <v>0.84</v>
      </c>
      <c r="Q45" s="92" t="n">
        <f aca="false">WORKDAY(G45,-2)</f>
        <v>36768</v>
      </c>
      <c r="R45" s="7" t="n">
        <f aca="false">IF(F45="P",0,1)</f>
        <v>0</v>
      </c>
      <c r="S45" s="130" t="e">
        <f aca="false">xSPRDOPT($L45,$J45,$I45,$M45,$O45,$N45,$P45,$Q45-$C$3,$R45,0)</f>
        <v>#NAME?</v>
      </c>
      <c r="T45" s="250" t="e">
        <f aca="false">xSPRDOPT($L45,$J45,$I45,$M45,$O45,$N45,$P45,$Q45-$C$3,$R45,1)*H45</f>
        <v>#NAME?</v>
      </c>
      <c r="U45" s="43" t="e">
        <f aca="false">S45*H45</f>
        <v>#NAME?</v>
      </c>
      <c r="V45" s="250" t="e">
        <f aca="false">xSPRDOPT($L45,$J45,$I45,$M45,$O45,$N45,$P45,$Q45-$C$3,$R45,2)*H45</f>
        <v>#NAME?</v>
      </c>
      <c r="W45" s="250" t="e">
        <f aca="false">+V45+T45</f>
        <v>#NAME?</v>
      </c>
      <c r="X45" s="2" t="str">
        <f aca="false">CONCATENATE(G45,D45)</f>
        <v>36770IF-NWPL_ROCKY_M</v>
      </c>
      <c r="Y45" s="251" t="n">
        <f aca="false">H45/10000</f>
        <v>60</v>
      </c>
      <c r="Z45" s="226" t="e">
        <f aca="false">T45/H45</f>
        <v>#NAME?</v>
      </c>
      <c r="AA45" s="226" t="e">
        <f aca="false">xSPRDOPT($L45,$J45,$I45,$M45,$O45,$N45,$P45,$Q45-$C$3,$R45,3)</f>
        <v>#NAME?</v>
      </c>
      <c r="AB45" s="226" t="e">
        <f aca="false">((xSPRDOPT($L45+AB$5,$J45,$I45,$M45,$O45,$N45,$P45,$Q45-$C$3,$R45,3)*$H45)/10000)/100</f>
        <v>#NAME?</v>
      </c>
      <c r="AC45" s="226" t="e">
        <f aca="false">((xSPRDOPT($L45+$AB$5,$J45,$I45,$M45,$O45,$N45,$P45,$Q45-$C$3,$R45,7)*$H45)/100)</f>
        <v>#NAME?</v>
      </c>
      <c r="AD45" s="226" t="e">
        <f aca="false">(xSPRDOPT($L45+$AB$5,$J45,$I45,$M45,$O45,$N45,$P45,$Q45-$C$3,$R45,9)/365)*$H45</f>
        <v>#NAME?</v>
      </c>
      <c r="AE45" s="0" t="e">
        <f aca="false">CD45</f>
        <v>#NAME?</v>
      </c>
      <c r="AF45" s="226" t="e">
        <f aca="false">((O45/N45)*AH45)+AG45</f>
        <v>#NAME?</v>
      </c>
      <c r="AG45" s="226" t="e">
        <f aca="false">((xSPRDOPT($L45,$J45,$I45,$M45,$O45,$N45,$P45,$Q45-$C$3,$R45,6)*$H45)/100)</f>
        <v>#NAME?</v>
      </c>
      <c r="AH45" s="226" t="e">
        <f aca="false">((xSPRDOPT($L45,$J45,$I45,$M45,$O45,$N45,$P45,$Q45-$C$3,$R45,5)*$H45)/100)</f>
        <v>#NAME?</v>
      </c>
      <c r="AI45" s="226" t="e">
        <f aca="false">(((xSPRDOPT($L45,$J45,$I45,$M45,$O45,$N45,$P45,$Q45-$C$3,$R45,4)*$H45)/10000)/100)-AB45</f>
        <v>#NAME?</v>
      </c>
      <c r="AJ45" s="226"/>
      <c r="AK45" s="226"/>
      <c r="AL45" s="226"/>
      <c r="AM45" s="252"/>
      <c r="AN45" s="208" t="n">
        <f aca="false">EOMONTH(AN44,0)+1</f>
        <v>37895</v>
      </c>
      <c r="AO45" s="134" t="n">
        <f aca="false">SUMIF($X:$X,CONCATENATE($AN45,AO$6),$T:$T)/10000</f>
        <v>0</v>
      </c>
      <c r="AP45" s="134" t="n">
        <f aca="false">SUMIF($X:$X,CONCATENATE($AN45,AP$6),$T:$T)/10000</f>
        <v>0</v>
      </c>
      <c r="AQ45" s="134" t="n">
        <f aca="false">SUMIF($X:$X,CONCATENATE($AN45,AQ$6),$T:$T)/10000</f>
        <v>0</v>
      </c>
      <c r="AR45" s="134" t="n">
        <f aca="false">SUMIF($X:$X,CONCATENATE($AN45,AR$6),$T:$T)/10000</f>
        <v>0</v>
      </c>
      <c r="AS45" s="134" t="n">
        <f aca="false">SUMIF($X:$X,CONCATENATE($AN45,AS$6),$T:$T)/10000</f>
        <v>0</v>
      </c>
      <c r="AT45" s="134" t="n">
        <f aca="false">SUMIF($X:$X,CONCATENATE($AN45,AT$6),$T:$T)/10000</f>
        <v>0</v>
      </c>
      <c r="AU45" s="134" t="n">
        <f aca="false">SUMIF($X:$X,CONCATENATE($AN45,AU$6),$T:$T)/10000</f>
        <v>0</v>
      </c>
      <c r="AV45" s="134" t="n">
        <f aca="false">SUMIF($X:$X,CONCATENATE($AN45,AV$6),$T:$T)/10000</f>
        <v>0</v>
      </c>
      <c r="AW45" s="134" t="n">
        <f aca="false">SUMIF($X:$X,CONCATENATE($AN45,AW$6),$T:$T)/10000</f>
        <v>0</v>
      </c>
      <c r="AX45" s="134" t="n">
        <f aca="false">SUMIF($X:$X,CONCATENATE($AN45,AX$6),$T:$T)/10000</f>
        <v>0</v>
      </c>
      <c r="AY45" s="134" t="n">
        <f aca="false">SUMIF($X:$X,CONCATENATE($AN45,AY$6),$T:$T)/10000</f>
        <v>0</v>
      </c>
      <c r="AZ45" s="134" t="n">
        <f aca="false">SUMIF($X:$X,CONCATENATE($AN45,AZ$6),$T:$T)/10000</f>
        <v>0</v>
      </c>
      <c r="BA45" s="135" t="n">
        <f aca="false">SUMIF($X:$X,CONCATENATE($AN45,BA$6),$T:$T)/10000</f>
        <v>0</v>
      </c>
      <c r="BB45" s="208" t="n">
        <f aca="false">EOMONTH(BB44,0)+1</f>
        <v>37895</v>
      </c>
      <c r="BC45" s="135" t="n">
        <f aca="false">SUM(AO45:BA45)</f>
        <v>0</v>
      </c>
      <c r="BD45" s="2"/>
      <c r="BE45" s="208" t="n">
        <f aca="false">EOMONTH(BE44,0)+1</f>
        <v>37895</v>
      </c>
      <c r="BF45" s="134" t="n">
        <f aca="false">SUMIF($X:$X,CONCATENATE($AN45,BF$6),$W:$W)</f>
        <v>0</v>
      </c>
      <c r="BG45" s="134" t="n">
        <f aca="false">SUMIF($X:$X,CONCATENATE($AN45,BG$6),$W:$W)</f>
        <v>0</v>
      </c>
      <c r="BH45" s="134" t="n">
        <f aca="false">SUMIF($X:$X,CONCATENATE($AN45,BH$6),$W:$W)</f>
        <v>0</v>
      </c>
      <c r="BI45" s="134" t="n">
        <f aca="false">SUMIF($X:$X,CONCATENATE($AN45,BI$6),$W:$W)</f>
        <v>0</v>
      </c>
      <c r="BJ45" s="134" t="n">
        <f aca="false">SUMIF($X:$X,CONCATENATE($AN45,BJ$6),$W:$W)</f>
        <v>0</v>
      </c>
      <c r="BK45" s="134" t="n">
        <f aca="false">SUMIF($X:$X,CONCATENATE($AN45,BK$6),$W:$W)</f>
        <v>0</v>
      </c>
      <c r="BL45" s="134" t="n">
        <f aca="false">SUMIF($X:$X,CONCATENATE($AN45,BL$6),$W:$W)</f>
        <v>0</v>
      </c>
      <c r="BM45" s="134" t="n">
        <f aca="false">SUMIF($X:$X,CONCATENATE($AN45,BM$6),$W:$W)</f>
        <v>0</v>
      </c>
      <c r="BN45" s="134" t="n">
        <f aca="false">SUMIF($X:$X,CONCATENATE($AN45,BN$6),$W:$W)</f>
        <v>0</v>
      </c>
      <c r="BO45" s="134" t="n">
        <f aca="false">SUMIF($X:$X,CONCATENATE($AN45,BO$6),$W:$W)</f>
        <v>0</v>
      </c>
      <c r="BP45" s="134" t="n">
        <f aca="false">SUMIF($X:$X,CONCATENATE($AN45,BP$6),$W:$W)</f>
        <v>0</v>
      </c>
      <c r="BQ45" s="134" t="n">
        <f aca="false">SUMIF($X:$X,CONCATENATE($AN45,BQ$6),$W:$W)</f>
        <v>0</v>
      </c>
      <c r="BR45" s="135" t="n">
        <f aca="false">SUMIF($X:$X,CONCATENATE($AN45,BR$6),$W:$W)</f>
        <v>0</v>
      </c>
      <c r="BS45" s="208" t="n">
        <f aca="false">EOMONTH(BS44,0)+1</f>
        <v>37895</v>
      </c>
      <c r="BT45" s="135" t="n">
        <f aca="false">SUM(BF45:BR45)</f>
        <v>0</v>
      </c>
      <c r="BU45" s="2"/>
      <c r="BV45" s="2"/>
      <c r="BW45" s="2"/>
      <c r="BX45" s="2"/>
      <c r="BY45" s="2"/>
      <c r="BZ45" s="2"/>
      <c r="CA45" s="2"/>
      <c r="CB45" s="2"/>
      <c r="CC45" s="182" t="n">
        <f aca="false">G45</f>
        <v>36770</v>
      </c>
      <c r="CD45" s="253" t="e">
        <f aca="false">xSPRDOPT((VLOOKUP(G45,NGPrices,2,FALSE())+HLOOKUP(D45,Prices,VLOOKUP(G45,move_down,2,FALSE()),FALSE())),VLOOKUP(G45,NGPrices,2,FALSE()),I45,VLOOKUP(G45,NGPREVPRICES,4,FALSE()),HLOOKUP(D45,PREVVOLS,VLOOKUP(G45,MOVE_DOWN2,2,FALSE()),FALSE()),VLOOKUP(G45,NGPREVPRICES,3,FALSE()),HLOOKUP(D45,Correllate,VLOOKUP(G45,CorMove,2,FALSE()),FALSE()),Q45-$CD$3,R45,$CD$5)*H45-CJ45</f>
        <v>#NAME?</v>
      </c>
      <c r="CE45" s="253" t="e">
        <f aca="false">xSPRDOPT((VLOOKUP(G45,NGPREVPRICES,2,FALSE())+HLOOKUP(D45,PREVCURVES,VLOOKUP(G45,MOVE_DOWN2,2,FALSE()),FALSE())),VLOOKUP(G45,NGPREVPRICES,2,FALSE()),CK45,VLOOKUP(G45,NGPrices,4,FALSE()),HLOOKUP(D45,PREVVOLS,VLOOKUP(G45,MOVE_DOWN2,2,FALSE()),FALSE()),VLOOKUP(G45,NGPREVPRICES,3,FALSE()),HLOOKUP(D45,Correllate,VLOOKUP(G45,CorMove,2,FALSE()),FALSE()),Q45-$CD$3,R45,$CJ$5)*H45-CJ45</f>
        <v>#NAME?</v>
      </c>
      <c r="CF45" s="132" t="e">
        <f aca="false">(CJ45/VLOOKUP(CC45,discount,3,FALSE()))-(CJ45/VLOOKUP(CC45,discount,2,FALSE()))</f>
        <v>#NAME?</v>
      </c>
      <c r="CG45" s="253" t="e">
        <f aca="false">xSPRDOPT((VLOOKUP(G45,NGPREVPRICES,2,FALSE())+HLOOKUP(D45,PREVCURVES,VLOOKUP(G45,MOVE_DOWN2,2,FALSE()),FALSE())),VLOOKUP(G45,NGPREVPRICES,2,FALSE()),CK45,VLOOKUP(G45,NGPREVPRICES,4,FALSE()),HLOOKUP(D45,VOLS,VLOOKUP(G45,move_down,2,FALSE()),FALSE()),VLOOKUP(G45,NGPrices,3,FALSE()),HLOOKUP(D45,Correllate,VLOOKUP(G45,CorMove,2,FALSE()),FALSE()),Q45-$CD$3,R45,$CJ$5)*H45-CJ45</f>
        <v>#NAME?</v>
      </c>
      <c r="CH45" s="253" t="e">
        <f aca="false">xSPRDOPT((VLOOKUP(G45,NGPREVPRICES,2,FALSE())+HLOOKUP(D45,PREVCURVES,VLOOKUP(G45,MOVE_DOWN2,2,FALSE()),FALSE())),VLOOKUP(G45,NGPREVPRICES,2,FALSE()),CK45,VLOOKUP(G45,NGPREVPRICES,4,FALSE()),HLOOKUP(D45,PREVVOLS,VLOOKUP(G45,MOVE_DOWN2,2,FALSE()),FALSE()),VLOOKUP(G45,NGPREVPRICES,3,FALSE()),HLOOKUP(D45,Correllate,VLOOKUP(G45,CorMove,2,FALSE()),FALSE()),Q45-$C$3,R45,$CJ$5)*H45-CJ45</f>
        <v>#NAME?</v>
      </c>
      <c r="CI45" s="253" t="e">
        <f aca="false">SUM(CD45:CH45)</f>
        <v>#NAME?</v>
      </c>
      <c r="CJ45" s="253" t="e">
        <f aca="false">xSPRDOPT((VLOOKUP(G45,NGPREVPRICES,2,FALSE())+HLOOKUP(D45,PREVCURVES,VLOOKUP(G45,MOVE_DOWN2,2,FALSE()),FALSE())),VLOOKUP(G45,NGPREVPRICES,2,FALSE()),CK45,VLOOKUP(G45,NGPREVPRICES,4,FALSE()),HLOOKUP(D45,PREVVOLS,VLOOKUP(G45,MOVE_DOWN2,2,FALSE()),FALSE()),VLOOKUP(G45,NGPREVPRICES,3,FALSE()),HLOOKUP(D45,Correllate,VLOOKUP(G45,CorMove,2,FALSE()),FALSE()),Q45-$CD$3,R45,$CJ$5)*H45</f>
        <v>#NAME?</v>
      </c>
      <c r="CK45" s="254" t="n">
        <f aca="false">I45</f>
        <v>-0.4</v>
      </c>
      <c r="CM45" s="0" t="str">
        <f aca="false">CONCATENATE(CC45,$CD$6)</f>
        <v>36770Curve Shift/Gamma</v>
      </c>
      <c r="CN45" s="0" t="str">
        <f aca="false">CONCATENATE($CC45,$CE$6)</f>
        <v>36770Rho</v>
      </c>
      <c r="CO45" s="0" t="str">
        <f aca="false">CONCATENATE($CC45,$CF$6)</f>
        <v>36770Drift</v>
      </c>
      <c r="CP45" s="0" t="str">
        <f aca="false">CONCATENATE($CC45,$CG$6)</f>
        <v>36770Vega</v>
      </c>
      <c r="CQ45" s="0" t="str">
        <f aca="false">CONCATENATE($CC45,$CH$6)</f>
        <v>36770Theta</v>
      </c>
      <c r="CR45" s="255" t="n">
        <f aca="false">EOMONTH(CR44,0)+1</f>
        <v>37895</v>
      </c>
      <c r="CS45" s="261" t="n">
        <f aca="false">SUMIF($CM$7:$CM$631,CONCATENATE($CR45,$CS$6),$CD$7:$CD$631)</f>
        <v>0</v>
      </c>
      <c r="CT45" s="262" t="n">
        <f aca="false">SUMIF($CN$7:$CN$636,CONCATENATE($CR45,$CT$6),$CE$7:$CE$631)</f>
        <v>0</v>
      </c>
      <c r="CU45" s="262" t="n">
        <f aca="false">SUMIF($CO$7:$CO$636,CONCATENATE($CR45,$CU$6),$CF$7:$CF$631)</f>
        <v>0</v>
      </c>
      <c r="CV45" s="262" t="n">
        <f aca="false">SUMIF($CP$7:$CP$636,CONCATENATE($CR45,$CV$6),$CG$7:$CG$631)</f>
        <v>0</v>
      </c>
      <c r="CW45" s="263" t="n">
        <f aca="false">SUMIF($CQ$7:$CQ$636,CONCATENATE($CR45,$CW$6),$CH$7:$CH$631)</f>
        <v>0</v>
      </c>
      <c r="CX45" s="264" t="n">
        <f aca="false">SUM(CS45:CW45)</f>
        <v>0</v>
      </c>
      <c r="CZ45" s="255" t="n">
        <f aca="false">CR45</f>
        <v>37895</v>
      </c>
      <c r="DA45" s="261" t="n">
        <f aca="false">SUMIF($CC$7:$CC$1008,$CR45,$CD$7:$CD$1008)</f>
        <v>0</v>
      </c>
      <c r="DB45" s="262" t="n">
        <f aca="false">SUMIF($CC$7:$CC$1008,$CR45,$CE$7:$CE$1008)</f>
        <v>0</v>
      </c>
      <c r="DC45" s="262" t="n">
        <f aca="false">SUMIF($CC$7:$CC$1008,$CR45,$CF$7:$CF$1008)</f>
        <v>0</v>
      </c>
      <c r="DD45" s="262" t="n">
        <f aca="false">SUMIF($CC$7:$CC$1008,$CR45,$CG$7:$CG$1008)</f>
        <v>0</v>
      </c>
      <c r="DE45" s="263" t="n">
        <f aca="false">SUMIF($CC$7:$CC$1008,$CR45,$CH$7:$CH$1008)</f>
        <v>0</v>
      </c>
      <c r="DF45" s="264" t="n">
        <f aca="false">SUM(DA45:DE45)</f>
        <v>0</v>
      </c>
    </row>
    <row r="46" customFormat="false" ht="12" hidden="false" customHeight="true" outlineLevel="0" collapsed="false">
      <c r="A46" s="17" t="s">
        <v>196</v>
      </c>
      <c r="B46" s="0" t="s">
        <v>192</v>
      </c>
      <c r="C46" s="0" t="s">
        <v>222</v>
      </c>
      <c r="D46" s="7" t="s">
        <v>151</v>
      </c>
      <c r="E46" s="0" t="s">
        <v>131</v>
      </c>
      <c r="F46" s="0" t="s">
        <v>136</v>
      </c>
      <c r="G46" s="92" t="n">
        <v>36800</v>
      </c>
      <c r="H46" s="248" t="n">
        <v>310000</v>
      </c>
      <c r="I46" s="0" t="n">
        <v>-0.25</v>
      </c>
      <c r="J46" s="124" t="n">
        <f aca="false">VLOOKUP(G46,NGPrices,2,FALSE())</f>
        <v>4.692</v>
      </c>
      <c r="K46" s="125" t="n">
        <f aca="false">HLOOKUP(D46,Prices,VLOOKUP(G46,move_down,2,FALSE()),FALSE())+VLOOKUP(G46,CHANGE,HLOOKUP(D46,CHANGE,2,FALSE()),FALSE())</f>
        <v>-0.805</v>
      </c>
      <c r="L46" s="124" t="n">
        <f aca="false">K46+J46</f>
        <v>3.887</v>
      </c>
      <c r="M46" s="126" t="n">
        <f aca="false">VLOOKUP(G46,NGPrices,4,FALSE())</f>
        <v>0.068050789414654</v>
      </c>
      <c r="N46" s="7" t="n">
        <f aca="false">VLOOKUP(G46,NGPrices,3,FALSE())</f>
        <v>0.575</v>
      </c>
      <c r="O46" s="7" t="n">
        <f aca="false">HLOOKUP(D46,VOLS,VLOOKUP(G46,move_down,2,FALSE()),FALSE())</f>
        <v>0.552</v>
      </c>
      <c r="P46" s="249" t="n">
        <f aca="false">HLOOKUP(D46,Correllate,VLOOKUP(G46,CorMove,2,FALSE()),FALSE())</f>
        <v>0.84</v>
      </c>
      <c r="Q46" s="92" t="n">
        <f aca="false">WORKDAY(G46,-2)</f>
        <v>36797</v>
      </c>
      <c r="R46" s="7" t="n">
        <f aca="false">IF(F46="P",0,1)</f>
        <v>1</v>
      </c>
      <c r="S46" s="130" t="e">
        <f aca="false">xSPRDOPT($L46,$J46,$I46,$M46,$O46,$N46,$P46,$Q46-$C$3,$R46,0)</f>
        <v>#NAME?</v>
      </c>
      <c r="T46" s="250" t="e">
        <f aca="false">xSPRDOPT($L46,$J46,$I46,$M46,$O46,$N46,$P46,$Q46-$C$3,$R46,1)*H46</f>
        <v>#NAME?</v>
      </c>
      <c r="U46" s="43" t="e">
        <f aca="false">S46*H46</f>
        <v>#NAME?</v>
      </c>
      <c r="V46" s="250" t="e">
        <f aca="false">xSPRDOPT($L46,$J46,$I46,$M46,$O46,$N46,$P46,$Q46-$C$3,$R46,2)*H46</f>
        <v>#NAME?</v>
      </c>
      <c r="W46" s="250" t="e">
        <f aca="false">+V46+T46</f>
        <v>#NAME?</v>
      </c>
      <c r="X46" s="2" t="str">
        <f aca="false">CONCATENATE(G46,D46)</f>
        <v>36800IF-NWPL_ROCKY_M</v>
      </c>
      <c r="Y46" s="251" t="n">
        <f aca="false">H46/10000</f>
        <v>31</v>
      </c>
      <c r="Z46" s="226" t="e">
        <f aca="false">T46/H46</f>
        <v>#NAME?</v>
      </c>
      <c r="AA46" s="226" t="e">
        <f aca="false">xSPRDOPT($L46,$J46,$I46,$M46,$O46,$N46,$P46,$Q46-$C$3,$R46,3)</f>
        <v>#NAME?</v>
      </c>
      <c r="AB46" s="226" t="e">
        <f aca="false">((xSPRDOPT($L46+AB$5,$J46,$I46,$M46,$O46,$N46,$P46,$Q46-$C$3,$R46,3)*$H46)/10000)/100</f>
        <v>#NAME?</v>
      </c>
      <c r="AC46" s="226" t="e">
        <f aca="false">((xSPRDOPT($L46+$AB$5,$J46,$I46,$M46,$O46,$N46,$P46,$Q46-$C$3,$R46,7)*$H46)/100)</f>
        <v>#NAME?</v>
      </c>
      <c r="AD46" s="226" t="e">
        <f aca="false">(xSPRDOPT($L46+$AB$5,$J46,$I46,$M46,$O46,$N46,$P46,$Q46-$C$3,$R46,9)/365)*$H46</f>
        <v>#NAME?</v>
      </c>
      <c r="AE46" s="0" t="e">
        <f aca="false">CD46</f>
        <v>#NAME?</v>
      </c>
      <c r="AF46" s="226" t="e">
        <f aca="false">((O46/N46)*AH46)+AG46</f>
        <v>#NAME?</v>
      </c>
      <c r="AG46" s="226" t="e">
        <f aca="false">((xSPRDOPT($L46,$J46,$I46,$M46,$O46,$N46,$P46,$Q46-$C$3,$R46,6)*$H46)/100)</f>
        <v>#NAME?</v>
      </c>
      <c r="AH46" s="226" t="e">
        <f aca="false">((xSPRDOPT($L46,$J46,$I46,$M46,$O46,$N46,$P46,$Q46-$C$3,$R46,5)*$H46)/100)</f>
        <v>#NAME?</v>
      </c>
      <c r="AI46" s="226" t="e">
        <f aca="false">(((xSPRDOPT($L46,$J46,$I46,$M46,$O46,$N46,$P46,$Q46-$C$3,$R46,4)*$H46)/10000)/100)-AB46</f>
        <v>#NAME?</v>
      </c>
      <c r="AJ46" s="226"/>
      <c r="AK46" s="226"/>
      <c r="AL46" s="226"/>
      <c r="AM46" s="252"/>
      <c r="AN46" s="208" t="n">
        <f aca="false">EOMONTH(AN45,0)+1</f>
        <v>37926</v>
      </c>
      <c r="AO46" s="134" t="n">
        <f aca="false">SUMIF($X:$X,CONCATENATE($AN46,AO$6),$T:$T)/10000</f>
        <v>0</v>
      </c>
      <c r="AP46" s="134" t="n">
        <f aca="false">SUMIF($X:$X,CONCATENATE($AN46,AP$6),$T:$T)/10000</f>
        <v>0</v>
      </c>
      <c r="AQ46" s="134" t="n">
        <f aca="false">SUMIF($X:$X,CONCATENATE($AN46,AQ$6),$T:$T)/10000</f>
        <v>0</v>
      </c>
      <c r="AR46" s="134" t="n">
        <f aca="false">SUMIF($X:$X,CONCATENATE($AN46,AR$6),$T:$T)/10000</f>
        <v>0</v>
      </c>
      <c r="AS46" s="134" t="n">
        <f aca="false">SUMIF($X:$X,CONCATENATE($AN46,AS$6),$T:$T)/10000</f>
        <v>0</v>
      </c>
      <c r="AT46" s="134" t="n">
        <f aca="false">SUMIF($X:$X,CONCATENATE($AN46,AT$6),$T:$T)/10000</f>
        <v>0</v>
      </c>
      <c r="AU46" s="134" t="n">
        <f aca="false">SUMIF($X:$X,CONCATENATE($AN46,AU$6),$T:$T)/10000</f>
        <v>0</v>
      </c>
      <c r="AV46" s="134" t="n">
        <f aca="false">SUMIF($X:$X,CONCATENATE($AN46,AV$6),$T:$T)/10000</f>
        <v>0</v>
      </c>
      <c r="AW46" s="134" t="n">
        <f aca="false">SUMIF($X:$X,CONCATENATE($AN46,AW$6),$T:$T)/10000</f>
        <v>0</v>
      </c>
      <c r="AX46" s="134" t="n">
        <f aca="false">SUMIF($X:$X,CONCATENATE($AN46,AX$6),$T:$T)/10000</f>
        <v>0</v>
      </c>
      <c r="AY46" s="134" t="n">
        <f aca="false">SUMIF($X:$X,CONCATENATE($AN46,AY$6),$T:$T)/10000</f>
        <v>0</v>
      </c>
      <c r="AZ46" s="134" t="n">
        <f aca="false">SUMIF($X:$X,CONCATENATE($AN46,AZ$6),$T:$T)/10000</f>
        <v>0</v>
      </c>
      <c r="BA46" s="135" t="n">
        <f aca="false">SUMIF($X:$X,CONCATENATE($AN46,BA$6),$T:$T)/10000</f>
        <v>0</v>
      </c>
      <c r="BB46" s="208" t="n">
        <f aca="false">EOMONTH(BB45,0)+1</f>
        <v>37926</v>
      </c>
      <c r="BC46" s="135" t="n">
        <f aca="false">SUM(AO46:BA46)</f>
        <v>0</v>
      </c>
      <c r="BD46" s="2"/>
      <c r="BE46" s="208" t="n">
        <f aca="false">EOMONTH(BE45,0)+1</f>
        <v>37926</v>
      </c>
      <c r="BF46" s="134" t="n">
        <f aca="false">SUMIF($X:$X,CONCATENATE($AN46,BF$6),$W:$W)</f>
        <v>0</v>
      </c>
      <c r="BG46" s="134" t="n">
        <f aca="false">SUMIF($X:$X,CONCATENATE($AN46,BG$6),$W:$W)</f>
        <v>0</v>
      </c>
      <c r="BH46" s="134" t="n">
        <f aca="false">SUMIF($X:$X,CONCATENATE($AN46,BH$6),$W:$W)</f>
        <v>0</v>
      </c>
      <c r="BI46" s="134" t="n">
        <f aca="false">SUMIF($X:$X,CONCATENATE($AN46,BI$6),$W:$W)</f>
        <v>0</v>
      </c>
      <c r="BJ46" s="134" t="n">
        <f aca="false">SUMIF($X:$X,CONCATENATE($AN46,BJ$6),$W:$W)</f>
        <v>0</v>
      </c>
      <c r="BK46" s="134" t="n">
        <f aca="false">SUMIF($X:$X,CONCATENATE($AN46,BK$6),$W:$W)</f>
        <v>0</v>
      </c>
      <c r="BL46" s="134" t="n">
        <f aca="false">SUMIF($X:$X,CONCATENATE($AN46,BL$6),$W:$W)</f>
        <v>0</v>
      </c>
      <c r="BM46" s="134" t="n">
        <f aca="false">SUMIF($X:$X,CONCATENATE($AN46,BM$6),$W:$W)</f>
        <v>0</v>
      </c>
      <c r="BN46" s="134" t="n">
        <f aca="false">SUMIF($X:$X,CONCATENATE($AN46,BN$6),$W:$W)</f>
        <v>0</v>
      </c>
      <c r="BO46" s="134" t="n">
        <f aca="false">SUMIF($X:$X,CONCATENATE($AN46,BO$6),$W:$W)</f>
        <v>0</v>
      </c>
      <c r="BP46" s="134" t="n">
        <f aca="false">SUMIF($X:$X,CONCATENATE($AN46,BP$6),$W:$W)</f>
        <v>0</v>
      </c>
      <c r="BQ46" s="134" t="n">
        <f aca="false">SUMIF($X:$X,CONCATENATE($AN46,BQ$6),$W:$W)</f>
        <v>0</v>
      </c>
      <c r="BR46" s="135" t="n">
        <f aca="false">SUMIF($X:$X,CONCATENATE($AN46,BR$6),$W:$W)</f>
        <v>0</v>
      </c>
      <c r="BS46" s="208" t="n">
        <f aca="false">EOMONTH(BS45,0)+1</f>
        <v>37926</v>
      </c>
      <c r="BT46" s="135" t="n">
        <f aca="false">SUM(BF46:BR46)</f>
        <v>0</v>
      </c>
      <c r="BU46" s="2"/>
      <c r="BV46" s="2"/>
      <c r="BW46" s="2"/>
      <c r="BX46" s="2"/>
      <c r="BY46" s="2"/>
      <c r="BZ46" s="2"/>
      <c r="CA46" s="2"/>
      <c r="CB46" s="2"/>
      <c r="CC46" s="182" t="n">
        <f aca="false">G46</f>
        <v>36800</v>
      </c>
      <c r="CD46" s="253" t="e">
        <f aca="false">xSPRDOPT((VLOOKUP(G46,NGPrices,2,FALSE())+HLOOKUP(D46,Prices,VLOOKUP(G46,move_down,2,FALSE()),FALSE())),VLOOKUP(G46,NGPrices,2,FALSE()),I46,VLOOKUP(G46,NGPREVPRICES,4,FALSE()),HLOOKUP(D46,PREVVOLS,VLOOKUP(G46,MOVE_DOWN2,2,FALSE()),FALSE()),VLOOKUP(G46,NGPREVPRICES,3,FALSE()),HLOOKUP(D46,Correllate,VLOOKUP(G46,CorMove,2,FALSE()),FALSE()),Q46-$CD$3,R46,$CD$5)*H46-CJ46</f>
        <v>#NAME?</v>
      </c>
      <c r="CE46" s="253" t="e">
        <f aca="false">xSPRDOPT((VLOOKUP(G46,NGPREVPRICES,2,FALSE())+HLOOKUP(D46,PREVCURVES,VLOOKUP(G46,MOVE_DOWN2,2,FALSE()),FALSE())),VLOOKUP(G46,NGPREVPRICES,2,FALSE()),CK46,VLOOKUP(G46,NGPrices,4,FALSE()),HLOOKUP(D46,PREVVOLS,VLOOKUP(G46,MOVE_DOWN2,2,FALSE()),FALSE()),VLOOKUP(G46,NGPREVPRICES,3,FALSE()),HLOOKUP(D46,Correllate,VLOOKUP(G46,CorMove,2,FALSE()),FALSE()),Q46-$CD$3,R46,$CJ$5)*H46-CJ46</f>
        <v>#NAME?</v>
      </c>
      <c r="CF46" s="132" t="e">
        <f aca="false">(CJ46/VLOOKUP(CC46,discount,3,FALSE()))-(CJ46/VLOOKUP(CC46,discount,2,FALSE()))</f>
        <v>#NAME?</v>
      </c>
      <c r="CG46" s="253" t="e">
        <f aca="false">xSPRDOPT((VLOOKUP(G46,NGPREVPRICES,2,FALSE())+HLOOKUP(D46,PREVCURVES,VLOOKUP(G46,MOVE_DOWN2,2,FALSE()),FALSE())),VLOOKUP(G46,NGPREVPRICES,2,FALSE()),CK46,VLOOKUP(G46,NGPREVPRICES,4,FALSE()),HLOOKUP(D46,VOLS,VLOOKUP(G46,move_down,2,FALSE()),FALSE()),VLOOKUP(G46,NGPrices,3,FALSE()),HLOOKUP(D46,Correllate,VLOOKUP(G46,CorMove,2,FALSE()),FALSE()),Q46-$CD$3,R46,$CJ$5)*H46-CJ46</f>
        <v>#NAME?</v>
      </c>
      <c r="CH46" s="253" t="e">
        <f aca="false">xSPRDOPT((VLOOKUP(G46,NGPREVPRICES,2,FALSE())+HLOOKUP(D46,PREVCURVES,VLOOKUP(G46,MOVE_DOWN2,2,FALSE()),FALSE())),VLOOKUP(G46,NGPREVPRICES,2,FALSE()),CK46,VLOOKUP(G46,NGPREVPRICES,4,FALSE()),HLOOKUP(D46,PREVVOLS,VLOOKUP(G46,MOVE_DOWN2,2,FALSE()),FALSE()),VLOOKUP(G46,NGPREVPRICES,3,FALSE()),HLOOKUP(D46,Correllate,VLOOKUP(G46,CorMove,2,FALSE()),FALSE()),Q46-$C$3,R46,$CJ$5)*H46-CJ46</f>
        <v>#NAME?</v>
      </c>
      <c r="CI46" s="253" t="e">
        <f aca="false">SUM(CD46:CH46)</f>
        <v>#NAME?</v>
      </c>
      <c r="CJ46" s="253" t="e">
        <f aca="false">xSPRDOPT((VLOOKUP(G46,NGPREVPRICES,2,FALSE())+HLOOKUP(D46,PREVCURVES,VLOOKUP(G46,MOVE_DOWN2,2,FALSE()),FALSE())),VLOOKUP(G46,NGPREVPRICES,2,FALSE()),CK46,VLOOKUP(G46,NGPREVPRICES,4,FALSE()),HLOOKUP(D46,PREVVOLS,VLOOKUP(G46,MOVE_DOWN2,2,FALSE()),FALSE()),VLOOKUP(G46,NGPREVPRICES,3,FALSE()),HLOOKUP(D46,Correllate,VLOOKUP(G46,CorMove,2,FALSE()),FALSE()),Q46-$CD$3,R46,$CJ$5)*H46</f>
        <v>#NAME?</v>
      </c>
      <c r="CK46" s="254" t="n">
        <f aca="false">I46</f>
        <v>-0.25</v>
      </c>
      <c r="CM46" s="0" t="str">
        <f aca="false">CONCATENATE(CC46,$CD$6)</f>
        <v>36800Curve Shift/Gamma</v>
      </c>
      <c r="CN46" s="0" t="str">
        <f aca="false">CONCATENATE($CC46,$CE$6)</f>
        <v>36800Rho</v>
      </c>
      <c r="CO46" s="0" t="str">
        <f aca="false">CONCATENATE($CC46,$CF$6)</f>
        <v>36800Drift</v>
      </c>
      <c r="CP46" s="0" t="str">
        <f aca="false">CONCATENATE($CC46,$CG$6)</f>
        <v>36800Vega</v>
      </c>
      <c r="CQ46" s="0" t="str">
        <f aca="false">CONCATENATE($CC46,$CH$6)</f>
        <v>36800Theta</v>
      </c>
      <c r="CR46" s="255" t="n">
        <f aca="false">EOMONTH(CR45,0)+1</f>
        <v>37926</v>
      </c>
      <c r="CS46" s="261" t="n">
        <f aca="false">SUMIF($CM$7:$CM$631,CONCATENATE($CR46,$CS$6),$CD$7:$CD$631)</f>
        <v>0</v>
      </c>
      <c r="CT46" s="262" t="n">
        <f aca="false">SUMIF($CN$7:$CN$636,CONCATENATE($CR46,$CT$6),$CE$7:$CE$631)</f>
        <v>0</v>
      </c>
      <c r="CU46" s="262" t="n">
        <f aca="false">SUMIF($CO$7:$CO$636,CONCATENATE($CR46,$CU$6),$CF$7:$CF$631)</f>
        <v>0</v>
      </c>
      <c r="CV46" s="262" t="n">
        <f aca="false">SUMIF($CP$7:$CP$636,CONCATENATE($CR46,$CV$6),$CG$7:$CG$631)</f>
        <v>0</v>
      </c>
      <c r="CW46" s="263" t="n">
        <f aca="false">SUMIF($CQ$7:$CQ$636,CONCATENATE($CR46,$CW$6),$CH$7:$CH$631)</f>
        <v>0</v>
      </c>
      <c r="CX46" s="264" t="n">
        <f aca="false">SUM(CS46:CW46)</f>
        <v>0</v>
      </c>
      <c r="CZ46" s="255" t="n">
        <f aca="false">CR46</f>
        <v>37926</v>
      </c>
      <c r="DA46" s="261" t="n">
        <f aca="false">SUMIF($CC$7:$CC$1008,$CR46,$CD$7:$CD$1008)</f>
        <v>0</v>
      </c>
      <c r="DB46" s="262" t="n">
        <f aca="false">SUMIF($CC$7:$CC$1008,$CR46,$CE$7:$CE$1008)</f>
        <v>0</v>
      </c>
      <c r="DC46" s="262" t="n">
        <f aca="false">SUMIF($CC$7:$CC$1008,$CR46,$CF$7:$CF$1008)</f>
        <v>0</v>
      </c>
      <c r="DD46" s="262" t="n">
        <f aca="false">SUMIF($CC$7:$CC$1008,$CR46,$CG$7:$CG$1008)</f>
        <v>0</v>
      </c>
      <c r="DE46" s="263" t="n">
        <f aca="false">SUMIF($CC$7:$CC$1008,$CR46,$CH$7:$CH$1008)</f>
        <v>0</v>
      </c>
      <c r="DF46" s="264" t="n">
        <f aca="false">SUM(DA46:DE46)</f>
        <v>0</v>
      </c>
    </row>
    <row r="47" customFormat="false" ht="12" hidden="false" customHeight="true" outlineLevel="0" collapsed="false">
      <c r="A47" s="17" t="s">
        <v>196</v>
      </c>
      <c r="B47" s="0" t="s">
        <v>192</v>
      </c>
      <c r="C47" s="0" t="s">
        <v>222</v>
      </c>
      <c r="D47" s="7" t="s">
        <v>151</v>
      </c>
      <c r="E47" s="0" t="s">
        <v>131</v>
      </c>
      <c r="F47" s="0" t="s">
        <v>136</v>
      </c>
      <c r="G47" s="92" t="n">
        <v>36770</v>
      </c>
      <c r="H47" s="248" t="n">
        <v>300000</v>
      </c>
      <c r="I47" s="0" t="n">
        <v>-0.25</v>
      </c>
      <c r="J47" s="124" t="n">
        <f aca="false">VLOOKUP(G47,NGPrices,2,FALSE())</f>
        <v>4.685</v>
      </c>
      <c r="K47" s="125" t="n">
        <f aca="false">HLOOKUP(D47,Prices,VLOOKUP(G47,move_down,2,FALSE()),FALSE())+VLOOKUP(G47,CHANGE,HLOOKUP(D47,CHANGE,2,FALSE()),FALSE())</f>
        <v>-1.24</v>
      </c>
      <c r="L47" s="124" t="n">
        <f aca="false">K47+J47</f>
        <v>3.445</v>
      </c>
      <c r="M47" s="126" t="n">
        <f aca="false">VLOOKUP(G47,NGPrices,4,FALSE())</f>
        <v>0.067216196212185</v>
      </c>
      <c r="N47" s="7" t="n">
        <f aca="false">VLOOKUP(G47,NGPrices,3,FALSE())</f>
        <v>0.4</v>
      </c>
      <c r="O47" s="7" t="n">
        <f aca="false">HLOOKUP(D47,VOLS,VLOOKUP(G47,move_down,2,FALSE()),FALSE())</f>
        <v>0.384</v>
      </c>
      <c r="P47" s="249" t="n">
        <f aca="false">HLOOKUP(D47,Correllate,VLOOKUP(G47,CorMove,2,FALSE()),FALSE())</f>
        <v>0.84</v>
      </c>
      <c r="Q47" s="92" t="n">
        <f aca="false">WORKDAY(G47,-2)</f>
        <v>36768</v>
      </c>
      <c r="R47" s="7" t="n">
        <f aca="false">IF(F47="P",0,1)</f>
        <v>1</v>
      </c>
      <c r="S47" s="130" t="e">
        <f aca="false">xSPRDOPT($L47,$J47,$I47,$M47,$O47,$N47,$P47,$Q47-$C$3,$R47,0)</f>
        <v>#NAME?</v>
      </c>
      <c r="T47" s="250" t="e">
        <f aca="false">xSPRDOPT($L47,$J47,$I47,$M47,$O47,$N47,$P47,$Q47-$C$3,$R47,1)*H47</f>
        <v>#NAME?</v>
      </c>
      <c r="U47" s="43" t="e">
        <f aca="false">S47*H47</f>
        <v>#NAME?</v>
      </c>
      <c r="V47" s="250" t="e">
        <f aca="false">xSPRDOPT($L47,$J47,$I47,$M47,$O47,$N47,$P47,$Q47-$C$3,$R47,2)*H47</f>
        <v>#NAME?</v>
      </c>
      <c r="W47" s="250" t="e">
        <f aca="false">+V47+T47</f>
        <v>#NAME?</v>
      </c>
      <c r="X47" s="2" t="str">
        <f aca="false">CONCATENATE(G47,D47)</f>
        <v>36770IF-NWPL_ROCKY_M</v>
      </c>
      <c r="Y47" s="251" t="n">
        <f aca="false">H47/10000</f>
        <v>30</v>
      </c>
      <c r="Z47" s="226" t="e">
        <f aca="false">T47/H47</f>
        <v>#NAME?</v>
      </c>
      <c r="AA47" s="226" t="e">
        <f aca="false">xSPRDOPT($L47,$J47,$I47,$M47,$O47,$N47,$P47,$Q47-$C$3,$R47,3)</f>
        <v>#NAME?</v>
      </c>
      <c r="AB47" s="226" t="e">
        <f aca="false">((xSPRDOPT($L47+AB$5,$J47,$I47,$M47,$O47,$N47,$P47,$Q47-$C$3,$R47,3)*$H47)/10000)/100</f>
        <v>#NAME?</v>
      </c>
      <c r="AC47" s="226" t="e">
        <f aca="false">((xSPRDOPT($L47+$AB$5,$J47,$I47,$M47,$O47,$N47,$P47,$Q47-$C$3,$R47,7)*$H47)/100)</f>
        <v>#NAME?</v>
      </c>
      <c r="AD47" s="226" t="e">
        <f aca="false">(xSPRDOPT($L47+$AB$5,$J47,$I47,$M47,$O47,$N47,$P47,$Q47-$C$3,$R47,9)/365)*$H47</f>
        <v>#NAME?</v>
      </c>
      <c r="AE47" s="0" t="e">
        <f aca="false">CD47</f>
        <v>#NAME?</v>
      </c>
      <c r="AF47" s="226" t="e">
        <f aca="false">((O47/N47)*AH47)+AG47</f>
        <v>#NAME?</v>
      </c>
      <c r="AG47" s="226" t="e">
        <f aca="false">((xSPRDOPT($L47,$J47,$I47,$M47,$O47,$N47,$P47,$Q47-$C$3,$R47,6)*$H47)/100)</f>
        <v>#NAME?</v>
      </c>
      <c r="AH47" s="226" t="e">
        <f aca="false">((xSPRDOPT($L47,$J47,$I47,$M47,$O47,$N47,$P47,$Q47-$C$3,$R47,5)*$H47)/100)</f>
        <v>#NAME?</v>
      </c>
      <c r="AI47" s="226" t="e">
        <f aca="false">(((xSPRDOPT($L47,$J47,$I47,$M47,$O47,$N47,$P47,$Q47-$C$3,$R47,4)*$H47)/10000)/100)-AB47</f>
        <v>#NAME?</v>
      </c>
      <c r="AJ47" s="226"/>
      <c r="AK47" s="226"/>
      <c r="AL47" s="226"/>
      <c r="AM47" s="252"/>
      <c r="AN47" s="208" t="n">
        <f aca="false">EOMONTH(AN46,0)+1</f>
        <v>37956</v>
      </c>
      <c r="AO47" s="134" t="n">
        <f aca="false">SUMIF($X:$X,CONCATENATE($AN47,AO$6),$T:$T)/10000</f>
        <v>0</v>
      </c>
      <c r="AP47" s="134" t="n">
        <f aca="false">SUMIF($X:$X,CONCATENATE($AN47,AP$6),$T:$T)/10000</f>
        <v>0</v>
      </c>
      <c r="AQ47" s="134" t="n">
        <f aca="false">SUMIF($X:$X,CONCATENATE($AN47,AQ$6),$T:$T)/10000</f>
        <v>0</v>
      </c>
      <c r="AR47" s="134" t="n">
        <f aca="false">SUMIF($X:$X,CONCATENATE($AN47,AR$6),$T:$T)/10000</f>
        <v>0</v>
      </c>
      <c r="AS47" s="134" t="n">
        <f aca="false">SUMIF($X:$X,CONCATENATE($AN47,AS$6),$T:$T)/10000</f>
        <v>0</v>
      </c>
      <c r="AT47" s="134" t="n">
        <f aca="false">SUMIF($X:$X,CONCATENATE($AN47,AT$6),$T:$T)/10000</f>
        <v>0</v>
      </c>
      <c r="AU47" s="134" t="n">
        <f aca="false">SUMIF($X:$X,CONCATENATE($AN47,AU$6),$T:$T)/10000</f>
        <v>0</v>
      </c>
      <c r="AV47" s="134" t="n">
        <f aca="false">SUMIF($X:$X,CONCATENATE($AN47,AV$6),$T:$T)/10000</f>
        <v>0</v>
      </c>
      <c r="AW47" s="134" t="n">
        <f aca="false">SUMIF($X:$X,CONCATENATE($AN47,AW$6),$T:$T)/10000</f>
        <v>0</v>
      </c>
      <c r="AX47" s="134" t="n">
        <f aca="false">SUMIF($X:$X,CONCATENATE($AN47,AX$6),$T:$T)/10000</f>
        <v>0</v>
      </c>
      <c r="AY47" s="134" t="n">
        <f aca="false">SUMIF($X:$X,CONCATENATE($AN47,AY$6),$T:$T)/10000</f>
        <v>0</v>
      </c>
      <c r="AZ47" s="134" t="n">
        <f aca="false">SUMIF($X:$X,CONCATENATE($AN47,AZ$6),$T:$T)/10000</f>
        <v>0</v>
      </c>
      <c r="BA47" s="135" t="n">
        <f aca="false">SUMIF($X:$X,CONCATENATE($AN47,BA$6),$T:$T)/10000</f>
        <v>0</v>
      </c>
      <c r="BB47" s="208" t="n">
        <f aca="false">EOMONTH(BB46,0)+1</f>
        <v>37956</v>
      </c>
      <c r="BC47" s="135" t="n">
        <f aca="false">SUM(AO47:BA47)</f>
        <v>0</v>
      </c>
      <c r="BD47" s="2"/>
      <c r="BE47" s="208" t="n">
        <f aca="false">EOMONTH(BE46,0)+1</f>
        <v>37956</v>
      </c>
      <c r="BF47" s="134" t="n">
        <f aca="false">SUMIF($X:$X,CONCATENATE($AN47,BF$6),$W:$W)</f>
        <v>0</v>
      </c>
      <c r="BG47" s="134" t="n">
        <f aca="false">SUMIF($X:$X,CONCATENATE($AN47,BG$6),$W:$W)</f>
        <v>0</v>
      </c>
      <c r="BH47" s="134" t="n">
        <f aca="false">SUMIF($X:$X,CONCATENATE($AN47,BH$6),$W:$W)</f>
        <v>0</v>
      </c>
      <c r="BI47" s="134" t="n">
        <f aca="false">SUMIF($X:$X,CONCATENATE($AN47,BI$6),$W:$W)</f>
        <v>0</v>
      </c>
      <c r="BJ47" s="134" t="n">
        <f aca="false">SUMIF($X:$X,CONCATENATE($AN47,BJ$6),$W:$W)</f>
        <v>0</v>
      </c>
      <c r="BK47" s="134" t="n">
        <f aca="false">SUMIF($X:$X,CONCATENATE($AN47,BK$6),$W:$W)</f>
        <v>0</v>
      </c>
      <c r="BL47" s="134" t="n">
        <f aca="false">SUMIF($X:$X,CONCATENATE($AN47,BL$6),$W:$W)</f>
        <v>0</v>
      </c>
      <c r="BM47" s="134" t="n">
        <f aca="false">SUMIF($X:$X,CONCATENATE($AN47,BM$6),$W:$W)</f>
        <v>0</v>
      </c>
      <c r="BN47" s="134" t="n">
        <f aca="false">SUMIF($X:$X,CONCATENATE($AN47,BN$6),$W:$W)</f>
        <v>0</v>
      </c>
      <c r="BO47" s="134" t="n">
        <f aca="false">SUMIF($X:$X,CONCATENATE($AN47,BO$6),$W:$W)</f>
        <v>0</v>
      </c>
      <c r="BP47" s="134" t="n">
        <f aca="false">SUMIF($X:$X,CONCATENATE($AN47,BP$6),$W:$W)</f>
        <v>0</v>
      </c>
      <c r="BQ47" s="134" t="n">
        <f aca="false">SUMIF($X:$X,CONCATENATE($AN47,BQ$6),$W:$W)</f>
        <v>0</v>
      </c>
      <c r="BR47" s="135" t="n">
        <f aca="false">SUMIF($X:$X,CONCATENATE($AN47,BR$6),$W:$W)</f>
        <v>0</v>
      </c>
      <c r="BS47" s="208" t="n">
        <f aca="false">EOMONTH(BS46,0)+1</f>
        <v>37956</v>
      </c>
      <c r="BT47" s="135" t="n">
        <f aca="false">SUM(BF47:BR47)</f>
        <v>0</v>
      </c>
      <c r="BU47" s="2"/>
      <c r="BV47" s="2"/>
      <c r="BW47" s="2"/>
      <c r="BX47" s="2"/>
      <c r="BY47" s="2"/>
      <c r="BZ47" s="2"/>
      <c r="CA47" s="2"/>
      <c r="CB47" s="2"/>
      <c r="CC47" s="182" t="n">
        <f aca="false">G47</f>
        <v>36770</v>
      </c>
      <c r="CD47" s="253" t="e">
        <f aca="false">xSPRDOPT((VLOOKUP(G47,NGPrices,2,FALSE())+HLOOKUP(D47,Prices,VLOOKUP(G47,move_down,2,FALSE()),FALSE())),VLOOKUP(G47,NGPrices,2,FALSE()),I47,VLOOKUP(G47,NGPREVPRICES,4,FALSE()),HLOOKUP(D47,PREVVOLS,VLOOKUP(G47,MOVE_DOWN2,2,FALSE()),FALSE()),VLOOKUP(G47,NGPREVPRICES,3,FALSE()),HLOOKUP(D47,Correllate,VLOOKUP(G47,CorMove,2,FALSE()),FALSE()),Q47-$CD$3,R47,$CD$5)*H47-CJ47</f>
        <v>#NAME?</v>
      </c>
      <c r="CE47" s="253" t="e">
        <f aca="false">xSPRDOPT((VLOOKUP(G47,NGPREVPRICES,2,FALSE())+HLOOKUP(D47,PREVCURVES,VLOOKUP(G47,MOVE_DOWN2,2,FALSE()),FALSE())),VLOOKUP(G47,NGPREVPRICES,2,FALSE()),CK47,VLOOKUP(G47,NGPrices,4,FALSE()),HLOOKUP(D47,PREVVOLS,VLOOKUP(G47,MOVE_DOWN2,2,FALSE()),FALSE()),VLOOKUP(G47,NGPREVPRICES,3,FALSE()),HLOOKUP(D47,Correllate,VLOOKUP(G47,CorMove,2,FALSE()),FALSE()),Q47-$CD$3,R47,$CJ$5)*H47-CJ47</f>
        <v>#NAME?</v>
      </c>
      <c r="CF47" s="132" t="e">
        <f aca="false">(CJ47/VLOOKUP(CC47,discount,3,FALSE()))-(CJ47/VLOOKUP(CC47,discount,2,FALSE()))</f>
        <v>#NAME?</v>
      </c>
      <c r="CG47" s="253" t="e">
        <f aca="false">xSPRDOPT((VLOOKUP(G47,NGPREVPRICES,2,FALSE())+HLOOKUP(D47,PREVCURVES,VLOOKUP(G47,MOVE_DOWN2,2,FALSE()),FALSE())),VLOOKUP(G47,NGPREVPRICES,2,FALSE()),CK47,VLOOKUP(G47,NGPREVPRICES,4,FALSE()),HLOOKUP(D47,VOLS,VLOOKUP(G47,move_down,2,FALSE()),FALSE()),VLOOKUP(G47,NGPrices,3,FALSE()),HLOOKUP(D47,Correllate,VLOOKUP(G47,CorMove,2,FALSE()),FALSE()),Q47-$CD$3,R47,$CJ$5)*H47-CJ47</f>
        <v>#NAME?</v>
      </c>
      <c r="CH47" s="253" t="e">
        <f aca="false">xSPRDOPT((VLOOKUP(G47,NGPREVPRICES,2,FALSE())+HLOOKUP(D47,PREVCURVES,VLOOKUP(G47,MOVE_DOWN2,2,FALSE()),FALSE())),VLOOKUP(G47,NGPREVPRICES,2,FALSE()),CK47,VLOOKUP(G47,NGPREVPRICES,4,FALSE()),HLOOKUP(D47,PREVVOLS,VLOOKUP(G47,MOVE_DOWN2,2,FALSE()),FALSE()),VLOOKUP(G47,NGPREVPRICES,3,FALSE()),HLOOKUP(D47,Correllate,VLOOKUP(G47,CorMove,2,FALSE()),FALSE()),Q47-$C$3,R47,$CJ$5)*H47-CJ47</f>
        <v>#NAME?</v>
      </c>
      <c r="CI47" s="253" t="e">
        <f aca="false">SUM(CD47:CH47)</f>
        <v>#NAME?</v>
      </c>
      <c r="CJ47" s="253" t="e">
        <f aca="false">xSPRDOPT((VLOOKUP(G47,NGPREVPRICES,2,FALSE())+HLOOKUP(D47,PREVCURVES,VLOOKUP(G47,MOVE_DOWN2,2,FALSE()),FALSE())),VLOOKUP(G47,NGPREVPRICES,2,FALSE()),CK47,VLOOKUP(G47,NGPREVPRICES,4,FALSE()),HLOOKUP(D47,PREVVOLS,VLOOKUP(G47,MOVE_DOWN2,2,FALSE()),FALSE()),VLOOKUP(G47,NGPREVPRICES,3,FALSE()),HLOOKUP(D47,Correllate,VLOOKUP(G47,CorMove,2,FALSE()),FALSE()),Q47-$CD$3,R47,$CJ$5)*H47</f>
        <v>#NAME?</v>
      </c>
      <c r="CK47" s="254" t="n">
        <f aca="false">I47</f>
        <v>-0.25</v>
      </c>
      <c r="CM47" s="0" t="str">
        <f aca="false">CONCATENATE(CC47,$CD$6)</f>
        <v>36770Curve Shift/Gamma</v>
      </c>
      <c r="CN47" s="0" t="str">
        <f aca="false">CONCATENATE($CC47,$CE$6)</f>
        <v>36770Rho</v>
      </c>
      <c r="CO47" s="0" t="str">
        <f aca="false">CONCATENATE($CC47,$CF$6)</f>
        <v>36770Drift</v>
      </c>
      <c r="CP47" s="0" t="str">
        <f aca="false">CONCATENATE($CC47,$CG$6)</f>
        <v>36770Vega</v>
      </c>
      <c r="CQ47" s="0" t="str">
        <f aca="false">CONCATENATE($CC47,$CH$6)</f>
        <v>36770Theta</v>
      </c>
      <c r="CR47" s="255" t="n">
        <f aca="false">EOMONTH(CR46,0)+1</f>
        <v>37956</v>
      </c>
      <c r="CS47" s="273" t="n">
        <f aca="false">SUMIF($CM$7:$CM$631,CONCATENATE($CR47,$CS$6),$CD$7:$CD$631)</f>
        <v>0</v>
      </c>
      <c r="CT47" s="274" t="n">
        <f aca="false">SUMIF($CN$7:$CN$636,CONCATENATE($CR47,$CT$6),$CE$7:$CE$631)</f>
        <v>0</v>
      </c>
      <c r="CU47" s="274" t="n">
        <f aca="false">SUMIF($CO$7:$CO$636,CONCATENATE($CR47,$CU$6),$CF$7:$CF$631)</f>
        <v>0</v>
      </c>
      <c r="CV47" s="274" t="n">
        <f aca="false">SUMIF($CP$7:$CP$636,CONCATENATE($CR47,$CV$6),$CG$7:$CG$631)</f>
        <v>0</v>
      </c>
      <c r="CW47" s="275" t="n">
        <f aca="false">SUMIF($CQ$7:$CQ$636,CONCATENATE($CR47,$CW$6),$CH$7:$CH$631)</f>
        <v>0</v>
      </c>
      <c r="CX47" s="276" t="n">
        <f aca="false">SUM(CS47:CW47)</f>
        <v>0</v>
      </c>
      <c r="CZ47" s="255" t="n">
        <f aca="false">CR47</f>
        <v>37956</v>
      </c>
      <c r="DA47" s="273" t="n">
        <f aca="false">SUMIF($CC$7:$CC$1008,$CR47,$CD$7:$CD$1008)</f>
        <v>0</v>
      </c>
      <c r="DB47" s="274" t="n">
        <f aca="false">SUMIF($CC$7:$CC$1008,$CR47,$CE$7:$CE$1008)</f>
        <v>0</v>
      </c>
      <c r="DC47" s="274" t="n">
        <f aca="false">SUMIF($CC$7:$CC$1008,$CR47,$CF$7:$CF$1008)</f>
        <v>0</v>
      </c>
      <c r="DD47" s="274" t="n">
        <f aca="false">SUMIF($CC$7:$CC$1008,$CR47,$CG$7:$CG$1008)</f>
        <v>0</v>
      </c>
      <c r="DE47" s="275" t="n">
        <f aca="false">SUMIF($CC$7:$CC$1008,$CR47,$CH$7:$CH$1008)</f>
        <v>0</v>
      </c>
      <c r="DF47" s="276" t="n">
        <f aca="false">SUM(DA47:DE47)</f>
        <v>0</v>
      </c>
    </row>
    <row r="48" customFormat="false" ht="12" hidden="false" customHeight="true" outlineLevel="0" collapsed="false">
      <c r="A48" s="17" t="s">
        <v>212</v>
      </c>
      <c r="B48" s="0" t="s">
        <v>192</v>
      </c>
      <c r="C48" s="0" t="s">
        <v>223</v>
      </c>
      <c r="D48" s="7" t="s">
        <v>151</v>
      </c>
      <c r="E48" s="0" t="s">
        <v>131</v>
      </c>
      <c r="F48" s="0" t="s">
        <v>136</v>
      </c>
      <c r="G48" s="92" t="n">
        <v>36800</v>
      </c>
      <c r="H48" s="248" t="n">
        <v>310000</v>
      </c>
      <c r="I48" s="0" t="n">
        <v>-0.3</v>
      </c>
      <c r="J48" s="124" t="n">
        <f aca="false">VLOOKUP(G48,NGPrices,2,FALSE())</f>
        <v>4.692</v>
      </c>
      <c r="K48" s="125" t="n">
        <f aca="false">HLOOKUP(D48,Prices,VLOOKUP(G48,move_down,2,FALSE()),FALSE())+VLOOKUP(G48,CHANGE,HLOOKUP(D48,CHANGE,2,FALSE()),FALSE())</f>
        <v>-0.805</v>
      </c>
      <c r="L48" s="124" t="n">
        <f aca="false">K48+J48</f>
        <v>3.887</v>
      </c>
      <c r="M48" s="126" t="n">
        <f aca="false">VLOOKUP(G48,NGPrices,4,FALSE())</f>
        <v>0.068050789414654</v>
      </c>
      <c r="N48" s="7" t="n">
        <f aca="false">VLOOKUP(G48,NGPrices,3,FALSE())</f>
        <v>0.575</v>
      </c>
      <c r="O48" s="7" t="n">
        <f aca="false">HLOOKUP(D48,VOLS,VLOOKUP(G48,move_down,2,FALSE()),FALSE())</f>
        <v>0.552</v>
      </c>
      <c r="P48" s="249" t="n">
        <f aca="false">HLOOKUP(D48,Correllate,VLOOKUP(G48,CorMove,2,FALSE()),FALSE())</f>
        <v>0.84</v>
      </c>
      <c r="Q48" s="92" t="n">
        <f aca="false">WORKDAY(G48,-2)</f>
        <v>36797</v>
      </c>
      <c r="R48" s="7" t="n">
        <f aca="false">IF(F48="P",0,1)</f>
        <v>1</v>
      </c>
      <c r="S48" s="130" t="e">
        <f aca="false">xSPRDOPT($L48,$J48,$I48,$M48,$O48,$N48,$P48,$Q48-$C$3,$R48,0)</f>
        <v>#NAME?</v>
      </c>
      <c r="T48" s="250" t="e">
        <f aca="false">xSPRDOPT($L48,$J48,$I48,$M48,$O48,$N48,$P48,$Q48-$C$3,$R48,1)*H48</f>
        <v>#NAME?</v>
      </c>
      <c r="U48" s="43" t="e">
        <f aca="false">S48*H48</f>
        <v>#NAME?</v>
      </c>
      <c r="V48" s="250" t="e">
        <f aca="false">xSPRDOPT($L48,$J48,$I48,$M48,$O48,$N48,$P48,$Q48-$C$3,$R48,2)*H48</f>
        <v>#NAME?</v>
      </c>
      <c r="W48" s="250" t="e">
        <f aca="false">+V48+T48</f>
        <v>#NAME?</v>
      </c>
      <c r="X48" s="2" t="str">
        <f aca="false">CONCATENATE(G48,D48)</f>
        <v>36800IF-NWPL_ROCKY_M</v>
      </c>
      <c r="Y48" s="251" t="n">
        <f aca="false">H48/10000</f>
        <v>31</v>
      </c>
      <c r="Z48" s="226" t="e">
        <f aca="false">T48/H48</f>
        <v>#NAME?</v>
      </c>
      <c r="AA48" s="226" t="e">
        <f aca="false">xSPRDOPT($L48,$J48,$I48,$M48,$O48,$N48,$P48,$Q48-$C$3,$R48,3)</f>
        <v>#NAME?</v>
      </c>
      <c r="AB48" s="226" t="e">
        <f aca="false">((xSPRDOPT($L48+AB$5,$J48,$I48,$M48,$O48,$N48,$P48,$Q48-$C$3,$R48,3)*$H48)/10000)/100</f>
        <v>#NAME?</v>
      </c>
      <c r="AC48" s="226" t="e">
        <f aca="false">((xSPRDOPT($L48+$AB$5,$J48,$I48,$M48,$O48,$N48,$P48,$Q48-$C$3,$R48,7)*$H48)/100)</f>
        <v>#NAME?</v>
      </c>
      <c r="AD48" s="226" t="e">
        <f aca="false">(xSPRDOPT($L48+$AB$5,$J48,$I48,$M48,$O48,$N48,$P48,$Q48-$C$3,$R48,9)/365)*$H48</f>
        <v>#NAME?</v>
      </c>
      <c r="AE48" s="0" t="e">
        <f aca="false">CD48</f>
        <v>#NAME?</v>
      </c>
      <c r="AF48" s="226" t="e">
        <f aca="false">((O48/N48)*AH48)+AG48</f>
        <v>#NAME?</v>
      </c>
      <c r="AG48" s="226" t="e">
        <f aca="false">((xSPRDOPT($L48,$J48,$I48,$M48,$O48,$N48,$P48,$Q48-$C$3,$R48,6)*$H48)/100)</f>
        <v>#NAME?</v>
      </c>
      <c r="AH48" s="226" t="e">
        <f aca="false">((xSPRDOPT($L48,$J48,$I48,$M48,$O48,$N48,$P48,$Q48-$C$3,$R48,5)*$H48)/100)</f>
        <v>#NAME?</v>
      </c>
      <c r="AI48" s="226" t="e">
        <f aca="false">(((xSPRDOPT($L48,$J48,$I48,$M48,$O48,$N48,$P48,$Q48-$C$3,$R48,4)*$H48)/10000)/100)-AB48</f>
        <v>#NAME?</v>
      </c>
      <c r="AJ48" s="226"/>
      <c r="AK48" s="226"/>
      <c r="AL48" s="226"/>
      <c r="AM48" s="252"/>
      <c r="AN48" s="208" t="n">
        <f aca="false">EOMONTH(AN47,0)+1</f>
        <v>37987</v>
      </c>
      <c r="AO48" s="134" t="n">
        <f aca="false">SUMIF($X:$X,CONCATENATE($AN48,AO$6),$T:$T)/10000</f>
        <v>0</v>
      </c>
      <c r="AP48" s="134" t="n">
        <f aca="false">SUMIF($X:$X,CONCATENATE($AN48,AP$6),$T:$T)/10000</f>
        <v>0</v>
      </c>
      <c r="AQ48" s="134" t="n">
        <f aca="false">SUMIF($X:$X,CONCATENATE($AN48,AQ$6),$T:$T)/10000</f>
        <v>0</v>
      </c>
      <c r="AR48" s="134" t="n">
        <f aca="false">SUMIF($X:$X,CONCATENATE($AN48,AR$6),$T:$T)/10000</f>
        <v>0</v>
      </c>
      <c r="AS48" s="134" t="n">
        <f aca="false">SUMIF($X:$X,CONCATENATE($AN48,AS$6),$T:$T)/10000</f>
        <v>0</v>
      </c>
      <c r="AT48" s="134" t="n">
        <f aca="false">SUMIF($X:$X,CONCATENATE($AN48,AT$6),$T:$T)/10000</f>
        <v>0</v>
      </c>
      <c r="AU48" s="134" t="n">
        <f aca="false">SUMIF($X:$X,CONCATENATE($AN48,AU$6),$T:$T)/10000</f>
        <v>0</v>
      </c>
      <c r="AV48" s="134" t="n">
        <f aca="false">SUMIF($X:$X,CONCATENATE($AN48,AV$6),$T:$T)/10000</f>
        <v>0</v>
      </c>
      <c r="AW48" s="134" t="n">
        <f aca="false">SUMIF($X:$X,CONCATENATE($AN48,AW$6),$T:$T)/10000</f>
        <v>0</v>
      </c>
      <c r="AX48" s="134" t="n">
        <f aca="false">SUMIF($X:$X,CONCATENATE($AN48,AX$6),$T:$T)/10000</f>
        <v>0</v>
      </c>
      <c r="AY48" s="134" t="n">
        <f aca="false">SUMIF($X:$X,CONCATENATE($AN48,AY$6),$T:$T)/10000</f>
        <v>0</v>
      </c>
      <c r="AZ48" s="134" t="n">
        <f aca="false">SUMIF($X:$X,CONCATENATE($AN48,AZ$6),$T:$T)/10000</f>
        <v>0</v>
      </c>
      <c r="BA48" s="135" t="n">
        <f aca="false">SUMIF($X:$X,CONCATENATE($AN48,BA$6),$T:$T)/10000</f>
        <v>0</v>
      </c>
      <c r="BB48" s="208" t="n">
        <f aca="false">EOMONTH(BB47,0)+1</f>
        <v>37987</v>
      </c>
      <c r="BC48" s="135" t="n">
        <f aca="false">SUM(AO48:BA48)</f>
        <v>0</v>
      </c>
      <c r="BD48" s="2"/>
      <c r="BE48" s="208" t="n">
        <f aca="false">EOMONTH(BE47,0)+1</f>
        <v>37987</v>
      </c>
      <c r="BF48" s="134" t="n">
        <f aca="false">SUMIF($X:$X,CONCATENATE($AN48,BF$6),$W:$W)</f>
        <v>0</v>
      </c>
      <c r="BG48" s="134" t="n">
        <f aca="false">SUMIF($X:$X,CONCATENATE($AN48,BG$6),$W:$W)</f>
        <v>0</v>
      </c>
      <c r="BH48" s="134" t="n">
        <f aca="false">SUMIF($X:$X,CONCATENATE($AN48,BH$6),$W:$W)</f>
        <v>0</v>
      </c>
      <c r="BI48" s="134" t="n">
        <f aca="false">SUMIF($X:$X,CONCATENATE($AN48,BI$6),$W:$W)</f>
        <v>0</v>
      </c>
      <c r="BJ48" s="134" t="n">
        <f aca="false">SUMIF($X:$X,CONCATENATE($AN48,BJ$6),$W:$W)</f>
        <v>0</v>
      </c>
      <c r="BK48" s="134" t="n">
        <f aca="false">SUMIF($X:$X,CONCATENATE($AN48,BK$6),$W:$W)</f>
        <v>0</v>
      </c>
      <c r="BL48" s="134" t="n">
        <f aca="false">SUMIF($X:$X,CONCATENATE($AN48,BL$6),$W:$W)</f>
        <v>0</v>
      </c>
      <c r="BM48" s="134" t="n">
        <f aca="false">SUMIF($X:$X,CONCATENATE($AN48,BM$6),$W:$W)</f>
        <v>0</v>
      </c>
      <c r="BN48" s="134" t="n">
        <f aca="false">SUMIF($X:$X,CONCATENATE($AN48,BN$6),$W:$W)</f>
        <v>0</v>
      </c>
      <c r="BO48" s="134" t="n">
        <f aca="false">SUMIF($X:$X,CONCATENATE($AN48,BO$6),$W:$W)</f>
        <v>0</v>
      </c>
      <c r="BP48" s="134" t="n">
        <f aca="false">SUMIF($X:$X,CONCATENATE($AN48,BP$6),$W:$W)</f>
        <v>0</v>
      </c>
      <c r="BQ48" s="134" t="n">
        <f aca="false">SUMIF($X:$X,CONCATENATE($AN48,BQ$6),$W:$W)</f>
        <v>0</v>
      </c>
      <c r="BR48" s="135" t="n">
        <f aca="false">SUMIF($X:$X,CONCATENATE($AN48,BR$6),$W:$W)</f>
        <v>0</v>
      </c>
      <c r="BS48" s="208" t="n">
        <f aca="false">EOMONTH(BS47,0)+1</f>
        <v>37987</v>
      </c>
      <c r="BT48" s="135" t="n">
        <f aca="false">SUM(BF48:BR48)</f>
        <v>0</v>
      </c>
      <c r="BU48" s="2"/>
      <c r="BV48" s="2"/>
      <c r="BW48" s="2"/>
      <c r="BX48" s="2"/>
      <c r="BY48" s="2"/>
      <c r="BZ48" s="2"/>
      <c r="CA48" s="2"/>
      <c r="CB48" s="2"/>
      <c r="CC48" s="182" t="n">
        <f aca="false">G48</f>
        <v>36800</v>
      </c>
      <c r="CD48" s="253" t="e">
        <f aca="false">xSPRDOPT((VLOOKUP(G48,NGPrices,2,FALSE())+HLOOKUP(D48,Prices,VLOOKUP(G48,move_down,2,FALSE()),FALSE())),VLOOKUP(G48,NGPrices,2,FALSE()),I48,VLOOKUP(G48,NGPREVPRICES,4,FALSE()),HLOOKUP(D48,PREVVOLS,VLOOKUP(G48,MOVE_DOWN2,2,FALSE()),FALSE()),VLOOKUP(G48,NGPREVPRICES,3,FALSE()),HLOOKUP(D48,Correllate,VLOOKUP(G48,CorMove,2,FALSE()),FALSE()),Q48-$CD$3,R48,$CD$5)*H48-CJ48</f>
        <v>#NAME?</v>
      </c>
      <c r="CE48" s="253" t="e">
        <f aca="false">xSPRDOPT((VLOOKUP(G48,NGPREVPRICES,2,FALSE())+HLOOKUP(D48,PREVCURVES,VLOOKUP(G48,MOVE_DOWN2,2,FALSE()),FALSE())),VLOOKUP(G48,NGPREVPRICES,2,FALSE()),CK48,VLOOKUP(G48,NGPrices,4,FALSE()),HLOOKUP(D48,PREVVOLS,VLOOKUP(G48,MOVE_DOWN2,2,FALSE()),FALSE()),VLOOKUP(G48,NGPREVPRICES,3,FALSE()),HLOOKUP(D48,Correllate,VLOOKUP(G48,CorMove,2,FALSE()),FALSE()),Q48-$CD$3,R48,$CJ$5)*H48-CJ48</f>
        <v>#NAME?</v>
      </c>
      <c r="CF48" s="132" t="e">
        <f aca="false">(CJ48/VLOOKUP(CC48,discount,3,FALSE()))-(CJ48/VLOOKUP(CC48,discount,2,FALSE()))</f>
        <v>#NAME?</v>
      </c>
      <c r="CG48" s="253" t="e">
        <f aca="false">xSPRDOPT((VLOOKUP(G48,NGPREVPRICES,2,FALSE())+HLOOKUP(D48,PREVCURVES,VLOOKUP(G48,MOVE_DOWN2,2,FALSE()),FALSE())),VLOOKUP(G48,NGPREVPRICES,2,FALSE()),CK48,VLOOKUP(G48,NGPREVPRICES,4,FALSE()),HLOOKUP(D48,VOLS,VLOOKUP(G48,move_down,2,FALSE()),FALSE()),VLOOKUP(G48,NGPrices,3,FALSE()),HLOOKUP(D48,Correllate,VLOOKUP(G48,CorMove,2,FALSE()),FALSE()),Q48-$CD$3,R48,$CJ$5)*H48-CJ48</f>
        <v>#NAME?</v>
      </c>
      <c r="CH48" s="253" t="e">
        <f aca="false">xSPRDOPT((VLOOKUP(G48,NGPREVPRICES,2,FALSE())+HLOOKUP(D48,PREVCURVES,VLOOKUP(G48,MOVE_DOWN2,2,FALSE()),FALSE())),VLOOKUP(G48,NGPREVPRICES,2,FALSE()),CK48,VLOOKUP(G48,NGPREVPRICES,4,FALSE()),HLOOKUP(D48,PREVVOLS,VLOOKUP(G48,MOVE_DOWN2,2,FALSE()),FALSE()),VLOOKUP(G48,NGPREVPRICES,3,FALSE()),HLOOKUP(D48,Correllate,VLOOKUP(G48,CorMove,2,FALSE()),FALSE()),Q48-$C$3,R48,$CJ$5)*H48-CJ48</f>
        <v>#NAME?</v>
      </c>
      <c r="CI48" s="253" t="e">
        <f aca="false">SUM(CD48:CH48)</f>
        <v>#NAME?</v>
      </c>
      <c r="CJ48" s="253" t="e">
        <f aca="false">xSPRDOPT((VLOOKUP(G48,NGPREVPRICES,2,FALSE())+HLOOKUP(D48,PREVCURVES,VLOOKUP(G48,MOVE_DOWN2,2,FALSE()),FALSE())),VLOOKUP(G48,NGPREVPRICES,2,FALSE()),CK48,VLOOKUP(G48,NGPREVPRICES,4,FALSE()),HLOOKUP(D48,PREVVOLS,VLOOKUP(G48,MOVE_DOWN2,2,FALSE()),FALSE()),VLOOKUP(G48,NGPREVPRICES,3,FALSE()),HLOOKUP(D48,Correllate,VLOOKUP(G48,CorMove,2,FALSE()),FALSE()),Q48-$CD$3,R48,$CJ$5)*H48</f>
        <v>#NAME?</v>
      </c>
      <c r="CK48" s="254" t="n">
        <f aca="false">I48</f>
        <v>-0.3</v>
      </c>
      <c r="CL48" s="253"/>
      <c r="CM48" s="0" t="str">
        <f aca="false">CONCATENATE(CC48,$CD$6)</f>
        <v>36800Curve Shift/Gamma</v>
      </c>
      <c r="CN48" s="0" t="str">
        <f aca="false">CONCATENATE($CC48,$CE$6)</f>
        <v>36800Rho</v>
      </c>
      <c r="CO48" s="0" t="str">
        <f aca="false">CONCATENATE($CC48,$CF$6)</f>
        <v>36800Drift</v>
      </c>
      <c r="CP48" s="0" t="str">
        <f aca="false">CONCATENATE($CC48,$CG$6)</f>
        <v>36800Vega</v>
      </c>
      <c r="CQ48" s="0" t="str">
        <f aca="false">CONCATENATE($CC48,$CH$6)</f>
        <v>36800Theta</v>
      </c>
      <c r="CR48" s="106" t="s">
        <v>15</v>
      </c>
      <c r="CS48" s="277" t="e">
        <f aca="false">SUM(CS7:CS47)</f>
        <v>#NAME?</v>
      </c>
      <c r="CT48" s="278" t="e">
        <f aca="false">SUM(CT7:CT47)</f>
        <v>#NAME?</v>
      </c>
      <c r="CU48" s="278" t="e">
        <f aca="false">SUM(CU7:CU47)</f>
        <v>#NAME?</v>
      </c>
      <c r="CV48" s="278" t="e">
        <f aca="false">SUM(CV7:CV47)</f>
        <v>#NAME?</v>
      </c>
      <c r="CW48" s="278" t="e">
        <f aca="false">SUM(CW7:CW47)</f>
        <v>#NAME?</v>
      </c>
      <c r="CX48" s="279" t="e">
        <f aca="false">SUM(CX7:CX47)</f>
        <v>#NAME?</v>
      </c>
      <c r="CZ48" s="280" t="s">
        <v>15</v>
      </c>
      <c r="DA48" s="278" t="e">
        <f aca="false">SUM(DA7:DA47)</f>
        <v>#NAME?</v>
      </c>
      <c r="DB48" s="278" t="e">
        <f aca="false">SUM(DB7:DB47)</f>
        <v>#NAME?</v>
      </c>
      <c r="DC48" s="278" t="e">
        <f aca="false">SUM(DC7:DC47)</f>
        <v>#NAME?</v>
      </c>
      <c r="DD48" s="278" t="e">
        <f aca="false">SUM(DD7:DD47)</f>
        <v>#NAME?</v>
      </c>
      <c r="DE48" s="279" t="e">
        <f aca="false">SUM(DE7:DE47)</f>
        <v>#NAME?</v>
      </c>
      <c r="DF48" s="279" t="e">
        <f aca="false">SUM(DF7:DF47)</f>
        <v>#NAME?</v>
      </c>
    </row>
    <row r="49" customFormat="false" ht="12" hidden="false" customHeight="true" outlineLevel="0" collapsed="false">
      <c r="A49" s="17" t="s">
        <v>212</v>
      </c>
      <c r="B49" s="0" t="s">
        <v>192</v>
      </c>
      <c r="C49" s="0" t="s">
        <v>223</v>
      </c>
      <c r="D49" s="7" t="s">
        <v>151</v>
      </c>
      <c r="E49" s="0" t="s">
        <v>131</v>
      </c>
      <c r="F49" s="0" t="s">
        <v>132</v>
      </c>
      <c r="G49" s="92" t="n">
        <v>36800</v>
      </c>
      <c r="H49" s="248" t="n">
        <v>310000</v>
      </c>
      <c r="I49" s="0" t="n">
        <v>-0.3</v>
      </c>
      <c r="J49" s="124" t="n">
        <f aca="false">VLOOKUP(G49,NGPrices,2,FALSE())</f>
        <v>4.692</v>
      </c>
      <c r="K49" s="125" t="n">
        <f aca="false">HLOOKUP(D49,Prices,VLOOKUP(G49,move_down,2,FALSE()),FALSE())+VLOOKUP(G49,CHANGE,HLOOKUP(D49,CHANGE,2,FALSE()),FALSE())</f>
        <v>-0.805</v>
      </c>
      <c r="L49" s="124" t="n">
        <f aca="false">K49+J49</f>
        <v>3.887</v>
      </c>
      <c r="M49" s="126" t="n">
        <f aca="false">VLOOKUP(G49,NGPrices,4,FALSE())</f>
        <v>0.068050789414654</v>
      </c>
      <c r="N49" s="7" t="n">
        <f aca="false">VLOOKUP(G49,NGPrices,3,FALSE())</f>
        <v>0.575</v>
      </c>
      <c r="O49" s="7" t="n">
        <f aca="false">HLOOKUP(D49,VOLS,VLOOKUP(G49,move_down,2,FALSE()),FALSE())</f>
        <v>0.552</v>
      </c>
      <c r="P49" s="249" t="n">
        <f aca="false">HLOOKUP(D49,Correllate,VLOOKUP(G49,CorMove,2,FALSE()),FALSE())</f>
        <v>0.84</v>
      </c>
      <c r="Q49" s="92" t="n">
        <f aca="false">WORKDAY(G49,-2)</f>
        <v>36797</v>
      </c>
      <c r="R49" s="7" t="n">
        <f aca="false">IF(F49="P",0,1)</f>
        <v>0</v>
      </c>
      <c r="S49" s="130" t="e">
        <f aca="false">xSPRDOPT($L49,$J49,$I49,$M49,$O49,$N49,$P49,$Q49-$C$3,$R49,0)</f>
        <v>#NAME?</v>
      </c>
      <c r="T49" s="250" t="e">
        <f aca="false">xSPRDOPT($L49,$J49,$I49,$M49,$O49,$N49,$P49,$Q49-$C$3,$R49,1)*H49</f>
        <v>#NAME?</v>
      </c>
      <c r="U49" s="43" t="e">
        <f aca="false">S49*H49</f>
        <v>#NAME?</v>
      </c>
      <c r="V49" s="250" t="e">
        <f aca="false">xSPRDOPT($L49,$J49,$I49,$M49,$O49,$N49,$P49,$Q49-$C$3,$R49,2)*H49</f>
        <v>#NAME?</v>
      </c>
      <c r="W49" s="250" t="e">
        <f aca="false">+V49+T49</f>
        <v>#NAME?</v>
      </c>
      <c r="X49" s="2" t="str">
        <f aca="false">CONCATENATE(G49,D49)</f>
        <v>36800IF-NWPL_ROCKY_M</v>
      </c>
      <c r="Y49" s="251" t="n">
        <f aca="false">H49/10000</f>
        <v>31</v>
      </c>
      <c r="Z49" s="226" t="e">
        <f aca="false">T49/H49</f>
        <v>#NAME?</v>
      </c>
      <c r="AA49" s="226" t="e">
        <f aca="false">xSPRDOPT($L49,$J49,$I49,$M49,$O49,$N49,$P49,$Q49-$C$3,$R49,3)</f>
        <v>#NAME?</v>
      </c>
      <c r="AB49" s="226" t="e">
        <f aca="false">((xSPRDOPT($L49+AB$5,$J49,$I49,$M49,$O49,$N49,$P49,$Q49-$C$3,$R49,3)*$H49)/10000)/100</f>
        <v>#NAME?</v>
      </c>
      <c r="AC49" s="226" t="e">
        <f aca="false">((xSPRDOPT($L49+$AB$5,$J49,$I49,$M49,$O49,$N49,$P49,$Q49-$C$3,$R49,7)*$H49)/100)</f>
        <v>#NAME?</v>
      </c>
      <c r="AD49" s="226" t="e">
        <f aca="false">(xSPRDOPT($L49+$AB$5,$J49,$I49,$M49,$O49,$N49,$P49,$Q49-$C$3,$R49,9)/365)*$H49</f>
        <v>#NAME?</v>
      </c>
      <c r="AE49" s="0" t="e">
        <f aca="false">CD49</f>
        <v>#NAME?</v>
      </c>
      <c r="AF49" s="226" t="e">
        <f aca="false">((O49/N49)*AH49)+AG49</f>
        <v>#NAME?</v>
      </c>
      <c r="AG49" s="226" t="e">
        <f aca="false">((xSPRDOPT($L49,$J49,$I49,$M49,$O49,$N49,$P49,$Q49-$C$3,$R49,6)*$H49)/100)</f>
        <v>#NAME?</v>
      </c>
      <c r="AH49" s="226" t="e">
        <f aca="false">((xSPRDOPT($L49,$J49,$I49,$M49,$O49,$N49,$P49,$Q49-$C$3,$R49,5)*$H49)/100)</f>
        <v>#NAME?</v>
      </c>
      <c r="AI49" s="226" t="e">
        <f aca="false">(((xSPRDOPT($L49,$J49,$I49,$M49,$O49,$N49,$P49,$Q49-$C$3,$R49,4)*$H49)/10000)/100)-AB49</f>
        <v>#NAME?</v>
      </c>
      <c r="AJ49" s="226"/>
      <c r="AK49" s="226"/>
      <c r="AL49" s="226"/>
      <c r="AM49" s="252"/>
      <c r="AN49" s="208" t="n">
        <f aca="false">EOMONTH(AN48,0)+1</f>
        <v>38018</v>
      </c>
      <c r="AO49" s="134" t="n">
        <f aca="false">SUMIF($X:$X,CONCATENATE($AN49,AO$6),$T:$T)/10000</f>
        <v>0</v>
      </c>
      <c r="AP49" s="134" t="n">
        <f aca="false">SUMIF($X:$X,CONCATENATE($AN49,AP$6),$T:$T)/10000</f>
        <v>0</v>
      </c>
      <c r="AQ49" s="134" t="n">
        <f aca="false">SUMIF($X:$X,CONCATENATE($AN49,AQ$6),$T:$T)/10000</f>
        <v>0</v>
      </c>
      <c r="AR49" s="134" t="n">
        <f aca="false">SUMIF($X:$X,CONCATENATE($AN49,AR$6),$T:$T)/10000</f>
        <v>0</v>
      </c>
      <c r="AS49" s="134" t="n">
        <f aca="false">SUMIF($X:$X,CONCATENATE($AN49,AS$6),$T:$T)/10000</f>
        <v>0</v>
      </c>
      <c r="AT49" s="134" t="n">
        <f aca="false">SUMIF($X:$X,CONCATENATE($AN49,AT$6),$T:$T)/10000</f>
        <v>0</v>
      </c>
      <c r="AU49" s="134" t="n">
        <f aca="false">SUMIF($X:$X,CONCATENATE($AN49,AU$6),$T:$T)/10000</f>
        <v>0</v>
      </c>
      <c r="AV49" s="134" t="n">
        <f aca="false">SUMIF($X:$X,CONCATENATE($AN49,AV$6),$T:$T)/10000</f>
        <v>0</v>
      </c>
      <c r="AW49" s="134" t="n">
        <f aca="false">SUMIF($X:$X,CONCATENATE($AN49,AW$6),$T:$T)/10000</f>
        <v>0</v>
      </c>
      <c r="AX49" s="134" t="n">
        <f aca="false">SUMIF($X:$X,CONCATENATE($AN49,AX$6),$T:$T)/10000</f>
        <v>0</v>
      </c>
      <c r="AY49" s="134" t="n">
        <f aca="false">SUMIF($X:$X,CONCATENATE($AN49,AY$6),$T:$T)/10000</f>
        <v>0</v>
      </c>
      <c r="AZ49" s="134" t="n">
        <f aca="false">SUMIF($X:$X,CONCATENATE($AN49,AZ$6),$T:$T)/10000</f>
        <v>0</v>
      </c>
      <c r="BA49" s="135" t="n">
        <f aca="false">SUMIF($X:$X,CONCATENATE($AN49,BA$6),$T:$T)/10000</f>
        <v>0</v>
      </c>
      <c r="BB49" s="208" t="n">
        <f aca="false">EOMONTH(BB48,0)+1</f>
        <v>38018</v>
      </c>
      <c r="BC49" s="135" t="n">
        <f aca="false">SUM(AO49:BA49)</f>
        <v>0</v>
      </c>
      <c r="BD49" s="2"/>
      <c r="BE49" s="208" t="n">
        <f aca="false">EOMONTH(BE48,0)+1</f>
        <v>38018</v>
      </c>
      <c r="BF49" s="134" t="n">
        <f aca="false">SUMIF($X:$X,CONCATENATE($AN49,BF$6),$W:$W)</f>
        <v>0</v>
      </c>
      <c r="BG49" s="134" t="n">
        <f aca="false">SUMIF($X:$X,CONCATENATE($AN49,BG$6),$W:$W)</f>
        <v>0</v>
      </c>
      <c r="BH49" s="134" t="n">
        <f aca="false">SUMIF($X:$X,CONCATENATE($AN49,BH$6),$W:$W)</f>
        <v>0</v>
      </c>
      <c r="BI49" s="134" t="n">
        <f aca="false">SUMIF($X:$X,CONCATENATE($AN49,BI$6),$W:$W)</f>
        <v>0</v>
      </c>
      <c r="BJ49" s="134" t="n">
        <f aca="false">SUMIF($X:$X,CONCATENATE($AN49,BJ$6),$W:$W)</f>
        <v>0</v>
      </c>
      <c r="BK49" s="134" t="n">
        <f aca="false">SUMIF($X:$X,CONCATENATE($AN49,BK$6),$W:$W)</f>
        <v>0</v>
      </c>
      <c r="BL49" s="134" t="n">
        <f aca="false">SUMIF($X:$X,CONCATENATE($AN49,BL$6),$W:$W)</f>
        <v>0</v>
      </c>
      <c r="BM49" s="134" t="n">
        <f aca="false">SUMIF($X:$X,CONCATENATE($AN49,BM$6),$W:$W)</f>
        <v>0</v>
      </c>
      <c r="BN49" s="134" t="n">
        <f aca="false">SUMIF($X:$X,CONCATENATE($AN49,BN$6),$W:$W)</f>
        <v>0</v>
      </c>
      <c r="BO49" s="134" t="n">
        <f aca="false">SUMIF($X:$X,CONCATENATE($AN49,BO$6),$W:$W)</f>
        <v>0</v>
      </c>
      <c r="BP49" s="134" t="n">
        <f aca="false">SUMIF($X:$X,CONCATENATE($AN49,BP$6),$W:$W)</f>
        <v>0</v>
      </c>
      <c r="BQ49" s="134" t="n">
        <f aca="false">SUMIF($X:$X,CONCATENATE($AN49,BQ$6),$W:$W)</f>
        <v>0</v>
      </c>
      <c r="BR49" s="135" t="n">
        <f aca="false">SUMIF($X:$X,CONCATENATE($AN49,BR$6),$W:$W)</f>
        <v>0</v>
      </c>
      <c r="BS49" s="208" t="n">
        <f aca="false">EOMONTH(BS48,0)+1</f>
        <v>38018</v>
      </c>
      <c r="BT49" s="135" t="n">
        <f aca="false">SUM(BF49:BR49)</f>
        <v>0</v>
      </c>
      <c r="BU49" s="2"/>
      <c r="BV49" s="2"/>
      <c r="BW49" s="2"/>
      <c r="BX49" s="2"/>
      <c r="BY49" s="2"/>
      <c r="BZ49" s="2"/>
      <c r="CA49" s="2"/>
      <c r="CB49" s="2"/>
      <c r="CC49" s="182" t="n">
        <f aca="false">G49</f>
        <v>36800</v>
      </c>
      <c r="CD49" s="253" t="e">
        <f aca="false">xSPRDOPT((VLOOKUP(G49,NGPrices,2,FALSE())+HLOOKUP(D49,Prices,VLOOKUP(G49,move_down,2,FALSE()),FALSE())),VLOOKUP(G49,NGPrices,2,FALSE()),I49,VLOOKUP(G49,NGPREVPRICES,4,FALSE()),HLOOKUP(D49,PREVVOLS,VLOOKUP(G49,MOVE_DOWN2,2,FALSE()),FALSE()),VLOOKUP(G49,NGPREVPRICES,3,FALSE()),HLOOKUP(D49,Correllate,VLOOKUP(G49,CorMove,2,FALSE()),FALSE()),Q49-$CD$3,R49,$CD$5)*H49-CJ49</f>
        <v>#NAME?</v>
      </c>
      <c r="CE49" s="253" t="e">
        <f aca="false">xSPRDOPT((VLOOKUP(G49,NGPREVPRICES,2,FALSE())+HLOOKUP(D49,PREVCURVES,VLOOKUP(G49,MOVE_DOWN2,2,FALSE()),FALSE())),VLOOKUP(G49,NGPREVPRICES,2,FALSE()),CK49,VLOOKUP(G49,NGPrices,4,FALSE()),HLOOKUP(D49,PREVVOLS,VLOOKUP(G49,MOVE_DOWN2,2,FALSE()),FALSE()),VLOOKUP(G49,NGPREVPRICES,3,FALSE()),HLOOKUP(D49,Correllate,VLOOKUP(G49,CorMove,2,FALSE()),FALSE()),Q49-$CD$3,R49,$CJ$5)*H49-CJ49</f>
        <v>#NAME?</v>
      </c>
      <c r="CF49" s="132" t="e">
        <f aca="false">(CJ49/VLOOKUP(CC49,discount,3,FALSE()))-(CJ49/VLOOKUP(CC49,discount,2,FALSE()))</f>
        <v>#NAME?</v>
      </c>
      <c r="CG49" s="253" t="e">
        <f aca="false">xSPRDOPT((VLOOKUP(G49,NGPREVPRICES,2,FALSE())+HLOOKUP(D49,PREVCURVES,VLOOKUP(G49,MOVE_DOWN2,2,FALSE()),FALSE())),VLOOKUP(G49,NGPREVPRICES,2,FALSE()),CK49,VLOOKUP(G49,NGPREVPRICES,4,FALSE()),HLOOKUP(D49,VOLS,VLOOKUP(G49,move_down,2,FALSE()),FALSE()),VLOOKUP(G49,NGPrices,3,FALSE()),HLOOKUP(D49,Correllate,VLOOKUP(G49,CorMove,2,FALSE()),FALSE()),Q49-$CD$3,R49,$CJ$5)*H49-CJ49</f>
        <v>#NAME?</v>
      </c>
      <c r="CH49" s="253" t="e">
        <f aca="false">xSPRDOPT((VLOOKUP(G49,NGPREVPRICES,2,FALSE())+HLOOKUP(D49,PREVCURVES,VLOOKUP(G49,MOVE_DOWN2,2,FALSE()),FALSE())),VLOOKUP(G49,NGPREVPRICES,2,FALSE()),CK49,VLOOKUP(G49,NGPREVPRICES,4,FALSE()),HLOOKUP(D49,PREVVOLS,VLOOKUP(G49,MOVE_DOWN2,2,FALSE()),FALSE()),VLOOKUP(G49,NGPREVPRICES,3,FALSE()),HLOOKUP(D49,Correllate,VLOOKUP(G49,CorMove,2,FALSE()),FALSE()),Q49-$C$3,R49,$CJ$5)*H49-CJ49</f>
        <v>#NAME?</v>
      </c>
      <c r="CI49" s="253" t="e">
        <f aca="false">SUM(CD49:CH49)</f>
        <v>#NAME?</v>
      </c>
      <c r="CJ49" s="253" t="e">
        <f aca="false">xSPRDOPT((VLOOKUP(G49,NGPREVPRICES,2,FALSE())+HLOOKUP(D49,PREVCURVES,VLOOKUP(G49,MOVE_DOWN2,2,FALSE()),FALSE())),VLOOKUP(G49,NGPREVPRICES,2,FALSE()),CK49,VLOOKUP(G49,NGPREVPRICES,4,FALSE()),HLOOKUP(D49,PREVVOLS,VLOOKUP(G49,MOVE_DOWN2,2,FALSE()),FALSE()),VLOOKUP(G49,NGPREVPRICES,3,FALSE()),HLOOKUP(D49,Correllate,VLOOKUP(G49,CorMove,2,FALSE()),FALSE()),Q49-$CD$3,R49,$CJ$5)*H49</f>
        <v>#NAME?</v>
      </c>
      <c r="CK49" s="254" t="n">
        <f aca="false">I49</f>
        <v>-0.3</v>
      </c>
      <c r="CL49" s="253"/>
      <c r="CM49" s="0" t="str">
        <f aca="false">CONCATENATE(CC49,$CD$6)</f>
        <v>36800Curve Shift/Gamma</v>
      </c>
      <c r="CN49" s="0" t="str">
        <f aca="false">CONCATENATE($CC49,$CE$6)</f>
        <v>36800Rho</v>
      </c>
      <c r="CO49" s="0" t="str">
        <f aca="false">CONCATENATE($CC49,$CF$6)</f>
        <v>36800Drift</v>
      </c>
      <c r="CP49" s="0" t="str">
        <f aca="false">CONCATENATE($CC49,$CG$6)</f>
        <v>36800Vega</v>
      </c>
      <c r="CQ49" s="0" t="str">
        <f aca="false">CONCATENATE($CC49,$CH$6)</f>
        <v>36800Theta</v>
      </c>
    </row>
    <row r="50" customFormat="false" ht="12" hidden="false" customHeight="true" outlineLevel="0" collapsed="false">
      <c r="A50" s="0" t="s">
        <v>212</v>
      </c>
      <c r="B50" s="0" t="s">
        <v>192</v>
      </c>
      <c r="C50" s="0" t="s">
        <v>223</v>
      </c>
      <c r="D50" s="7" t="s">
        <v>151</v>
      </c>
      <c r="E50" s="0" t="s">
        <v>131</v>
      </c>
      <c r="F50" s="0" t="s">
        <v>136</v>
      </c>
      <c r="G50" s="92" t="n">
        <v>36770</v>
      </c>
      <c r="H50" s="248" t="n">
        <v>300000</v>
      </c>
      <c r="I50" s="0" t="n">
        <v>-0.3</v>
      </c>
      <c r="J50" s="124" t="n">
        <f aca="false">VLOOKUP(G50,NGPrices,2,FALSE())</f>
        <v>4.685</v>
      </c>
      <c r="K50" s="125" t="n">
        <f aca="false">HLOOKUP(D50,Prices,VLOOKUP(G50,move_down,2,FALSE()),FALSE())+VLOOKUP(G50,CHANGE,HLOOKUP(D50,CHANGE,2,FALSE()),FALSE())</f>
        <v>-1.24</v>
      </c>
      <c r="L50" s="124" t="n">
        <f aca="false">K50+J50</f>
        <v>3.445</v>
      </c>
      <c r="M50" s="126" t="n">
        <f aca="false">VLOOKUP(G50,NGPrices,4,FALSE())</f>
        <v>0.067216196212185</v>
      </c>
      <c r="N50" s="7" t="n">
        <f aca="false">VLOOKUP(G50,NGPrices,3,FALSE())</f>
        <v>0.4</v>
      </c>
      <c r="O50" s="7" t="n">
        <f aca="false">HLOOKUP(D50,VOLS,VLOOKUP(G50,move_down,2,FALSE()),FALSE())</f>
        <v>0.384</v>
      </c>
      <c r="P50" s="249" t="n">
        <f aca="false">HLOOKUP(D50,Correllate,VLOOKUP(G50,CorMove,2,FALSE()),FALSE())</f>
        <v>0.84</v>
      </c>
      <c r="Q50" s="92" t="n">
        <f aca="false">WORKDAY(G50,-2)</f>
        <v>36768</v>
      </c>
      <c r="R50" s="7" t="n">
        <f aca="false">IF(F50="P",0,1)</f>
        <v>1</v>
      </c>
      <c r="S50" s="130" t="e">
        <f aca="false">xSPRDOPT($L50,$J50,$I50,$M50,$O50,$N50,$P50,$Q50-$C$3,$R50,0)</f>
        <v>#NAME?</v>
      </c>
      <c r="T50" s="250" t="e">
        <f aca="false">xSPRDOPT($L50,$J50,$I50,$M50,$O50,$N50,$P50,$Q50-$C$3,$R50,1)*H50</f>
        <v>#NAME?</v>
      </c>
      <c r="U50" s="43" t="e">
        <f aca="false">S50*H50</f>
        <v>#NAME?</v>
      </c>
      <c r="V50" s="250" t="e">
        <f aca="false">xSPRDOPT($L50,$J50,$I50,$M50,$O50,$N50,$P50,$Q50-$C$3,$R50,2)*H50</f>
        <v>#NAME?</v>
      </c>
      <c r="W50" s="250" t="e">
        <f aca="false">+V50+T50</f>
        <v>#NAME?</v>
      </c>
      <c r="X50" s="2" t="str">
        <f aca="false">CONCATENATE(G50,D50)</f>
        <v>36770IF-NWPL_ROCKY_M</v>
      </c>
      <c r="Y50" s="251" t="n">
        <f aca="false">H50/10000</f>
        <v>30</v>
      </c>
      <c r="Z50" s="226" t="e">
        <f aca="false">T50/H50</f>
        <v>#NAME?</v>
      </c>
      <c r="AA50" s="226" t="e">
        <f aca="false">xSPRDOPT($L50,$J50,$I50,$M50,$O50,$N50,$P50,$Q50-$C$3,$R50,3)</f>
        <v>#NAME?</v>
      </c>
      <c r="AB50" s="226" t="e">
        <f aca="false">((xSPRDOPT($L50+AB$5,$J50,$I50,$M50,$O50,$N50,$P50,$Q50-$C$3,$R50,3)*$H50)/10000)/100</f>
        <v>#NAME?</v>
      </c>
      <c r="AC50" s="226" t="e">
        <f aca="false">((xSPRDOPT($L50+$AB$5,$J50,$I50,$M50,$O50,$N50,$P50,$Q50-$C$3,$R50,7)*$H50)/100)</f>
        <v>#NAME?</v>
      </c>
      <c r="AD50" s="226" t="e">
        <f aca="false">(xSPRDOPT($L50+$AB$5,$J50,$I50,$M50,$O50,$N50,$P50,$Q50-$C$3,$R50,9)/365)*$H50</f>
        <v>#NAME?</v>
      </c>
      <c r="AE50" s="0" t="e">
        <f aca="false">CD50</f>
        <v>#NAME?</v>
      </c>
      <c r="AF50" s="226" t="e">
        <f aca="false">((O50/N50)*AH50)+AG50</f>
        <v>#NAME?</v>
      </c>
      <c r="AG50" s="226" t="e">
        <f aca="false">((xSPRDOPT($L50,$J50,$I50,$M50,$O50,$N50,$P50,$Q50-$C$3,$R50,6)*$H50)/100)</f>
        <v>#NAME?</v>
      </c>
      <c r="AH50" s="226" t="e">
        <f aca="false">((xSPRDOPT($L50,$J50,$I50,$M50,$O50,$N50,$P50,$Q50-$C$3,$R50,5)*$H50)/100)</f>
        <v>#NAME?</v>
      </c>
      <c r="AI50" s="226" t="e">
        <f aca="false">(((xSPRDOPT($L50,$J50,$I50,$M50,$O50,$N50,$P50,$Q50-$C$3,$R50,4)*$H50)/10000)/100)-AB50</f>
        <v>#NAME?</v>
      </c>
      <c r="AJ50" s="226"/>
      <c r="AK50" s="226"/>
      <c r="AL50" s="226"/>
      <c r="AM50" s="252"/>
      <c r="AN50" s="208" t="n">
        <f aca="false">EOMONTH(AN49,0)+1</f>
        <v>38047</v>
      </c>
      <c r="AO50" s="134" t="n">
        <f aca="false">SUMIF($X:$X,CONCATENATE($AN50,AO$6),$T:$T)/10000</f>
        <v>0</v>
      </c>
      <c r="AP50" s="134" t="n">
        <f aca="false">SUMIF($X:$X,CONCATENATE($AN50,AP$6),$T:$T)/10000</f>
        <v>0</v>
      </c>
      <c r="AQ50" s="134" t="n">
        <f aca="false">SUMIF($X:$X,CONCATENATE($AN50,AQ$6),$T:$T)/10000</f>
        <v>0</v>
      </c>
      <c r="AR50" s="134" t="n">
        <f aca="false">SUMIF($X:$X,CONCATENATE($AN50,AR$6),$T:$T)/10000</f>
        <v>0</v>
      </c>
      <c r="AS50" s="134" t="n">
        <f aca="false">SUMIF($X:$X,CONCATENATE($AN50,AS$6),$T:$T)/10000</f>
        <v>0</v>
      </c>
      <c r="AT50" s="134" t="n">
        <f aca="false">SUMIF($X:$X,CONCATENATE($AN50,AT$6),$T:$T)/10000</f>
        <v>0</v>
      </c>
      <c r="AU50" s="134" t="n">
        <f aca="false">SUMIF($X:$X,CONCATENATE($AN50,AU$6),$T:$T)/10000</f>
        <v>0</v>
      </c>
      <c r="AV50" s="134" t="n">
        <f aca="false">SUMIF($X:$X,CONCATENATE($AN50,AV$6),$T:$T)/10000</f>
        <v>0</v>
      </c>
      <c r="AW50" s="134" t="n">
        <f aca="false">SUMIF($X:$X,CONCATENATE($AN50,AW$6),$T:$T)/10000</f>
        <v>0</v>
      </c>
      <c r="AX50" s="134" t="n">
        <f aca="false">SUMIF($X:$X,CONCATENATE($AN50,AX$6),$T:$T)/10000</f>
        <v>0</v>
      </c>
      <c r="AY50" s="134" t="n">
        <f aca="false">SUMIF($X:$X,CONCATENATE($AN50,AY$6),$T:$T)/10000</f>
        <v>0</v>
      </c>
      <c r="AZ50" s="134" t="n">
        <f aca="false">SUMIF($X:$X,CONCATENATE($AN50,AZ$6),$T:$T)/10000</f>
        <v>0</v>
      </c>
      <c r="BA50" s="135" t="n">
        <f aca="false">SUMIF($X:$X,CONCATENATE($AN50,BA$6),$T:$T)/10000</f>
        <v>0</v>
      </c>
      <c r="BB50" s="208" t="n">
        <f aca="false">EOMONTH(BB49,0)+1</f>
        <v>38047</v>
      </c>
      <c r="BC50" s="135" t="n">
        <f aca="false">SUM(AO50:BA50)</f>
        <v>0</v>
      </c>
      <c r="BD50" s="2"/>
      <c r="BE50" s="208" t="n">
        <f aca="false">EOMONTH(BE49,0)+1</f>
        <v>38047</v>
      </c>
      <c r="BF50" s="134" t="n">
        <f aca="false">SUMIF($X:$X,CONCATENATE($AN50,BF$6),$W:$W)</f>
        <v>0</v>
      </c>
      <c r="BG50" s="134" t="n">
        <f aca="false">SUMIF($X:$X,CONCATENATE($AN50,BG$6),$W:$W)</f>
        <v>0</v>
      </c>
      <c r="BH50" s="134" t="n">
        <f aca="false">SUMIF($X:$X,CONCATENATE($AN50,BH$6),$W:$W)</f>
        <v>0</v>
      </c>
      <c r="BI50" s="134" t="n">
        <f aca="false">SUMIF($X:$X,CONCATENATE($AN50,BI$6),$W:$W)</f>
        <v>0</v>
      </c>
      <c r="BJ50" s="134" t="n">
        <f aca="false">SUMIF($X:$X,CONCATENATE($AN50,BJ$6),$W:$W)</f>
        <v>0</v>
      </c>
      <c r="BK50" s="134" t="n">
        <f aca="false">SUMIF($X:$X,CONCATENATE($AN50,BK$6),$W:$W)</f>
        <v>0</v>
      </c>
      <c r="BL50" s="134" t="n">
        <f aca="false">SUMIF($X:$X,CONCATENATE($AN50,BL$6),$W:$W)</f>
        <v>0</v>
      </c>
      <c r="BM50" s="134" t="n">
        <f aca="false">SUMIF($X:$X,CONCATENATE($AN50,BM$6),$W:$W)</f>
        <v>0</v>
      </c>
      <c r="BN50" s="134" t="n">
        <f aca="false">SUMIF($X:$X,CONCATENATE($AN50,BN$6),$W:$W)</f>
        <v>0</v>
      </c>
      <c r="BO50" s="134" t="n">
        <f aca="false">SUMIF($X:$X,CONCATENATE($AN50,BO$6),$W:$W)</f>
        <v>0</v>
      </c>
      <c r="BP50" s="134" t="n">
        <f aca="false">SUMIF($X:$X,CONCATENATE($AN50,BP$6),$W:$W)</f>
        <v>0</v>
      </c>
      <c r="BQ50" s="134" t="n">
        <f aca="false">SUMIF($X:$X,CONCATENATE($AN50,BQ$6),$W:$W)</f>
        <v>0</v>
      </c>
      <c r="BR50" s="135" t="n">
        <f aca="false">SUMIF($X:$X,CONCATENATE($AN50,BR$6),$W:$W)</f>
        <v>0</v>
      </c>
      <c r="BS50" s="208" t="n">
        <f aca="false">EOMONTH(BS49,0)+1</f>
        <v>38047</v>
      </c>
      <c r="BT50" s="135" t="n">
        <f aca="false">SUM(BF50:BR50)</f>
        <v>0</v>
      </c>
      <c r="BU50" s="2"/>
      <c r="BV50" s="2"/>
      <c r="BW50" s="2"/>
      <c r="BX50" s="2"/>
      <c r="BY50" s="2"/>
      <c r="BZ50" s="2"/>
      <c r="CA50" s="2"/>
      <c r="CB50" s="2"/>
      <c r="CC50" s="182" t="n">
        <f aca="false">G50</f>
        <v>36770</v>
      </c>
      <c r="CD50" s="253" t="e">
        <f aca="false">xSPRDOPT((VLOOKUP(G50,NGPrices,2,FALSE())+HLOOKUP(D50,Prices,VLOOKUP(G50,move_down,2,FALSE()),FALSE())),VLOOKUP(G50,NGPrices,2,FALSE()),I50,VLOOKUP(G50,NGPREVPRICES,4,FALSE()),HLOOKUP(D50,PREVVOLS,VLOOKUP(G50,MOVE_DOWN2,2,FALSE()),FALSE()),VLOOKUP(G50,NGPREVPRICES,3,FALSE()),HLOOKUP(D50,Correllate,VLOOKUP(G50,CorMove,2,FALSE()),FALSE()),Q50-$CD$3,R50,$CD$5)*H50-CJ50</f>
        <v>#NAME?</v>
      </c>
      <c r="CE50" s="253" t="e">
        <f aca="false">xSPRDOPT((VLOOKUP(G50,NGPREVPRICES,2,FALSE())+HLOOKUP(D50,PREVCURVES,VLOOKUP(G50,MOVE_DOWN2,2,FALSE()),FALSE())),VLOOKUP(G50,NGPREVPRICES,2,FALSE()),CK50,VLOOKUP(G50,NGPrices,4,FALSE()),HLOOKUP(D50,PREVVOLS,VLOOKUP(G50,MOVE_DOWN2,2,FALSE()),FALSE()),VLOOKUP(G50,NGPREVPRICES,3,FALSE()),HLOOKUP(D50,Correllate,VLOOKUP(G50,CorMove,2,FALSE()),FALSE()),Q50-$CD$3,R50,$CJ$5)*H50-CJ50</f>
        <v>#NAME?</v>
      </c>
      <c r="CF50" s="132" t="e">
        <f aca="false">(CJ50/VLOOKUP(CC50,discount,3,FALSE()))-(CJ50/VLOOKUP(CC50,discount,2,FALSE()))</f>
        <v>#NAME?</v>
      </c>
      <c r="CG50" s="253" t="e">
        <f aca="false">xSPRDOPT((VLOOKUP(G50,NGPREVPRICES,2,FALSE())+HLOOKUP(D50,PREVCURVES,VLOOKUP(G50,MOVE_DOWN2,2,FALSE()),FALSE())),VLOOKUP(G50,NGPREVPRICES,2,FALSE()),CK50,VLOOKUP(G50,NGPREVPRICES,4,FALSE()),HLOOKUP(D50,VOLS,VLOOKUP(G50,move_down,2,FALSE()),FALSE()),VLOOKUP(G50,NGPrices,3,FALSE()),HLOOKUP(D50,Correllate,VLOOKUP(G50,CorMove,2,FALSE()),FALSE()),Q50-$CD$3,R50,$CJ$5)*H50-CJ50</f>
        <v>#NAME?</v>
      </c>
      <c r="CH50" s="253" t="e">
        <f aca="false">xSPRDOPT((VLOOKUP(G50,NGPREVPRICES,2,FALSE())+HLOOKUP(D50,PREVCURVES,VLOOKUP(G50,MOVE_DOWN2,2,FALSE()),FALSE())),VLOOKUP(G50,NGPREVPRICES,2,FALSE()),CK50,VLOOKUP(G50,NGPREVPRICES,4,FALSE()),HLOOKUP(D50,PREVVOLS,VLOOKUP(G50,MOVE_DOWN2,2,FALSE()),FALSE()),VLOOKUP(G50,NGPREVPRICES,3,FALSE()),HLOOKUP(D50,Correllate,VLOOKUP(G50,CorMove,2,FALSE()),FALSE()),Q50-$C$3,R50,$CJ$5)*H50-CJ50</f>
        <v>#NAME?</v>
      </c>
      <c r="CI50" s="253" t="e">
        <f aca="false">SUM(CD50:CH50)</f>
        <v>#NAME?</v>
      </c>
      <c r="CJ50" s="253" t="e">
        <f aca="false">xSPRDOPT((VLOOKUP(G50,NGPREVPRICES,2,FALSE())+HLOOKUP(D50,PREVCURVES,VLOOKUP(G50,MOVE_DOWN2,2,FALSE()),FALSE())),VLOOKUP(G50,NGPREVPRICES,2,FALSE()),CK50,VLOOKUP(G50,NGPREVPRICES,4,FALSE()),HLOOKUP(D50,PREVVOLS,VLOOKUP(G50,MOVE_DOWN2,2,FALSE()),FALSE()),VLOOKUP(G50,NGPREVPRICES,3,FALSE()),HLOOKUP(D50,Correllate,VLOOKUP(G50,CorMove,2,FALSE()),FALSE()),Q50-$CD$3,R50,$CJ$5)*H50</f>
        <v>#NAME?</v>
      </c>
      <c r="CK50" s="254" t="n">
        <f aca="false">I50</f>
        <v>-0.3</v>
      </c>
      <c r="CL50" s="253"/>
      <c r="CM50" s="0" t="str">
        <f aca="false">CONCATENATE(CC50,$CD$6)</f>
        <v>36770Curve Shift/Gamma</v>
      </c>
      <c r="CN50" s="0" t="str">
        <f aca="false">CONCATENATE($CC50,$CE$6)</f>
        <v>36770Rho</v>
      </c>
      <c r="CO50" s="0" t="str">
        <f aca="false">CONCATENATE($CC50,$CF$6)</f>
        <v>36770Drift</v>
      </c>
      <c r="CP50" s="0" t="str">
        <f aca="false">CONCATENATE($CC50,$CG$6)</f>
        <v>36770Vega</v>
      </c>
      <c r="CQ50" s="0" t="str">
        <f aca="false">CONCATENATE($CC50,$CH$6)</f>
        <v>36770Theta</v>
      </c>
    </row>
    <row r="51" customFormat="false" ht="12" hidden="false" customHeight="true" outlineLevel="0" collapsed="false">
      <c r="A51" s="17" t="s">
        <v>212</v>
      </c>
      <c r="B51" s="0" t="s">
        <v>192</v>
      </c>
      <c r="C51" s="0" t="s">
        <v>223</v>
      </c>
      <c r="D51" s="7" t="s">
        <v>151</v>
      </c>
      <c r="E51" s="0" t="s">
        <v>131</v>
      </c>
      <c r="F51" s="0" t="s">
        <v>132</v>
      </c>
      <c r="G51" s="92" t="n">
        <v>36770</v>
      </c>
      <c r="H51" s="248" t="n">
        <v>300000</v>
      </c>
      <c r="I51" s="0" t="n">
        <v>-0.3</v>
      </c>
      <c r="J51" s="124" t="n">
        <f aca="false">VLOOKUP(G51,NGPrices,2,FALSE())</f>
        <v>4.685</v>
      </c>
      <c r="K51" s="125" t="n">
        <f aca="false">HLOOKUP(D51,Prices,VLOOKUP(G51,move_down,2,FALSE()),FALSE())+VLOOKUP(G51,CHANGE,HLOOKUP(D51,CHANGE,2,FALSE()),FALSE())</f>
        <v>-1.24</v>
      </c>
      <c r="L51" s="124" t="n">
        <f aca="false">K51+J51</f>
        <v>3.445</v>
      </c>
      <c r="M51" s="126" t="n">
        <f aca="false">VLOOKUP(G51,NGPrices,4,FALSE())</f>
        <v>0.067216196212185</v>
      </c>
      <c r="N51" s="7" t="n">
        <f aca="false">VLOOKUP(G51,NGPrices,3,FALSE())</f>
        <v>0.4</v>
      </c>
      <c r="O51" s="7" t="n">
        <f aca="false">HLOOKUP(D51,VOLS,VLOOKUP(G51,move_down,2,FALSE()),FALSE())</f>
        <v>0.384</v>
      </c>
      <c r="P51" s="249" t="n">
        <f aca="false">HLOOKUP(D51,Correllate,VLOOKUP(G51,CorMove,2,FALSE()),FALSE())</f>
        <v>0.84</v>
      </c>
      <c r="Q51" s="92" t="n">
        <f aca="false">WORKDAY(G51,-2)</f>
        <v>36768</v>
      </c>
      <c r="R51" s="7" t="n">
        <f aca="false">IF(F51="P",0,1)</f>
        <v>0</v>
      </c>
      <c r="S51" s="130" t="e">
        <f aca="false">xSPRDOPT($L51,$J51,$I51,$M51,$O51,$N51,$P51,$Q51-$C$3,$R51,0)</f>
        <v>#NAME?</v>
      </c>
      <c r="T51" s="250" t="e">
        <f aca="false">xSPRDOPT($L51,$J51,$I51,$M51,$O51,$N51,$P51,$Q51-$C$3,$R51,1)*H51</f>
        <v>#NAME?</v>
      </c>
      <c r="U51" s="43" t="e">
        <f aca="false">S51*H51</f>
        <v>#NAME?</v>
      </c>
      <c r="V51" s="250" t="e">
        <f aca="false">xSPRDOPT($L51,$J51,$I51,$M51,$O51,$N51,$P51,$Q51-$C$3,$R51,2)*H51</f>
        <v>#NAME?</v>
      </c>
      <c r="W51" s="250" t="e">
        <f aca="false">+V51+T51</f>
        <v>#NAME?</v>
      </c>
      <c r="X51" s="2" t="str">
        <f aca="false">CONCATENATE(G51,D51)</f>
        <v>36770IF-NWPL_ROCKY_M</v>
      </c>
      <c r="Y51" s="251" t="n">
        <f aca="false">H51/10000</f>
        <v>30</v>
      </c>
      <c r="Z51" s="226" t="e">
        <f aca="false">T51/H51</f>
        <v>#NAME?</v>
      </c>
      <c r="AA51" s="226" t="e">
        <f aca="false">xSPRDOPT($L51,$J51,$I51,$M51,$O51,$N51,$P51,$Q51-$C$3,$R51,3)</f>
        <v>#NAME?</v>
      </c>
      <c r="AB51" s="226" t="e">
        <f aca="false">((xSPRDOPT($L51+AB$5,$J51,$I51,$M51,$O51,$N51,$P51,$Q51-$C$3,$R51,3)*$H51)/10000)/100</f>
        <v>#NAME?</v>
      </c>
      <c r="AC51" s="226" t="e">
        <f aca="false">((xSPRDOPT($L51+$AB$5,$J51,$I51,$M51,$O51,$N51,$P51,$Q51-$C$3,$R51,7)*$H51)/100)</f>
        <v>#NAME?</v>
      </c>
      <c r="AD51" s="226" t="e">
        <f aca="false">(xSPRDOPT($L51+$AB$5,$J51,$I51,$M51,$O51,$N51,$P51,$Q51-$C$3,$R51,9)/365)*$H51</f>
        <v>#NAME?</v>
      </c>
      <c r="AE51" s="0" t="e">
        <f aca="false">CD51</f>
        <v>#NAME?</v>
      </c>
      <c r="AF51" s="226" t="e">
        <f aca="false">((O51/N51)*AH51)+AG51</f>
        <v>#NAME?</v>
      </c>
      <c r="AG51" s="226" t="e">
        <f aca="false">((xSPRDOPT($L51,$J51,$I51,$M51,$O51,$N51,$P51,$Q51-$C$3,$R51,6)*$H51)/100)</f>
        <v>#NAME?</v>
      </c>
      <c r="AH51" s="226" t="e">
        <f aca="false">((xSPRDOPT($L51,$J51,$I51,$M51,$O51,$N51,$P51,$Q51-$C$3,$R51,5)*$H51)/100)</f>
        <v>#NAME?</v>
      </c>
      <c r="AI51" s="226" t="e">
        <f aca="false">(((xSPRDOPT($L51,$J51,$I51,$M51,$O51,$N51,$P51,$Q51-$C$3,$R51,4)*$H51)/10000)/100)-AB51</f>
        <v>#NAME?</v>
      </c>
      <c r="AJ51" s="226"/>
      <c r="AK51" s="226"/>
      <c r="AL51" s="226"/>
      <c r="AM51" s="252"/>
      <c r="AN51" s="208" t="n">
        <f aca="false">EOMONTH(AN50,0)+1</f>
        <v>38078</v>
      </c>
      <c r="AO51" s="134" t="n">
        <f aca="false">SUMIF($X:$X,CONCATENATE($AN51,AO$6),$T:$T)/10000</f>
        <v>0</v>
      </c>
      <c r="AP51" s="134" t="n">
        <f aca="false">SUMIF($X:$X,CONCATENATE($AN51,AP$6),$T:$T)/10000</f>
        <v>0</v>
      </c>
      <c r="AQ51" s="134" t="n">
        <f aca="false">SUMIF($X:$X,CONCATENATE($AN51,AQ$6),$T:$T)/10000</f>
        <v>0</v>
      </c>
      <c r="AR51" s="134" t="n">
        <f aca="false">SUMIF($X:$X,CONCATENATE($AN51,AR$6),$T:$T)/10000</f>
        <v>0</v>
      </c>
      <c r="AS51" s="134" t="n">
        <f aca="false">SUMIF($X:$X,CONCATENATE($AN51,AS$6),$T:$T)/10000</f>
        <v>0</v>
      </c>
      <c r="AT51" s="134" t="n">
        <f aca="false">SUMIF($X:$X,CONCATENATE($AN51,AT$6),$T:$T)/10000</f>
        <v>0</v>
      </c>
      <c r="AU51" s="134" t="n">
        <f aca="false">SUMIF($X:$X,CONCATENATE($AN51,AU$6),$T:$T)/10000</f>
        <v>0</v>
      </c>
      <c r="AV51" s="134" t="n">
        <f aca="false">SUMIF($X:$X,CONCATENATE($AN51,AV$6),$T:$T)/10000</f>
        <v>0</v>
      </c>
      <c r="AW51" s="134" t="n">
        <f aca="false">SUMIF($X:$X,CONCATENATE($AN51,AW$6),$T:$T)/10000</f>
        <v>0</v>
      </c>
      <c r="AX51" s="134" t="n">
        <f aca="false">SUMIF($X:$X,CONCATENATE($AN51,AX$6),$T:$T)/10000</f>
        <v>0</v>
      </c>
      <c r="AY51" s="134" t="n">
        <f aca="false">SUMIF($X:$X,CONCATENATE($AN51,AY$6),$T:$T)/10000</f>
        <v>0</v>
      </c>
      <c r="AZ51" s="134" t="n">
        <f aca="false">SUMIF($X:$X,CONCATENATE($AN51,AZ$6),$T:$T)/10000</f>
        <v>0</v>
      </c>
      <c r="BA51" s="135" t="n">
        <f aca="false">SUMIF($X:$X,CONCATENATE($AN51,BA$6),$T:$T)/10000</f>
        <v>0</v>
      </c>
      <c r="BB51" s="208" t="n">
        <f aca="false">EOMONTH(BB50,0)+1</f>
        <v>38078</v>
      </c>
      <c r="BC51" s="135" t="n">
        <f aca="false">SUM(AO51:BA51)</f>
        <v>0</v>
      </c>
      <c r="BD51" s="2"/>
      <c r="BE51" s="208" t="n">
        <f aca="false">EOMONTH(BE50,0)+1</f>
        <v>38078</v>
      </c>
      <c r="BF51" s="134" t="n">
        <f aca="false">SUMIF($X:$X,CONCATENATE($AN51,BF$6),$W:$W)</f>
        <v>0</v>
      </c>
      <c r="BG51" s="134" t="n">
        <f aca="false">SUMIF($X:$X,CONCATENATE($AN51,BG$6),$W:$W)</f>
        <v>0</v>
      </c>
      <c r="BH51" s="134" t="n">
        <f aca="false">SUMIF($X:$X,CONCATENATE($AN51,BH$6),$W:$W)</f>
        <v>0</v>
      </c>
      <c r="BI51" s="134" t="n">
        <f aca="false">SUMIF($X:$X,CONCATENATE($AN51,BI$6),$W:$W)</f>
        <v>0</v>
      </c>
      <c r="BJ51" s="134" t="n">
        <f aca="false">SUMIF($X:$X,CONCATENATE($AN51,BJ$6),$W:$W)</f>
        <v>0</v>
      </c>
      <c r="BK51" s="134" t="n">
        <f aca="false">SUMIF($X:$X,CONCATENATE($AN51,BK$6),$W:$W)</f>
        <v>0</v>
      </c>
      <c r="BL51" s="134" t="n">
        <f aca="false">SUMIF($X:$X,CONCATENATE($AN51,BL$6),$W:$W)</f>
        <v>0</v>
      </c>
      <c r="BM51" s="134" t="n">
        <f aca="false">SUMIF($X:$X,CONCATENATE($AN51,BM$6),$W:$W)</f>
        <v>0</v>
      </c>
      <c r="BN51" s="134" t="n">
        <f aca="false">SUMIF($X:$X,CONCATENATE($AN51,BN$6),$W:$W)</f>
        <v>0</v>
      </c>
      <c r="BO51" s="134" t="n">
        <f aca="false">SUMIF($X:$X,CONCATENATE($AN51,BO$6),$W:$W)</f>
        <v>0</v>
      </c>
      <c r="BP51" s="134" t="n">
        <f aca="false">SUMIF($X:$X,CONCATENATE($AN51,BP$6),$W:$W)</f>
        <v>0</v>
      </c>
      <c r="BQ51" s="134" t="n">
        <f aca="false">SUMIF($X:$X,CONCATENATE($AN51,BQ$6),$W:$W)</f>
        <v>0</v>
      </c>
      <c r="BR51" s="135" t="n">
        <f aca="false">SUMIF($X:$X,CONCATENATE($AN51,BR$6),$W:$W)</f>
        <v>0</v>
      </c>
      <c r="BS51" s="208" t="n">
        <f aca="false">EOMONTH(BS50,0)+1</f>
        <v>38078</v>
      </c>
      <c r="BT51" s="135" t="n">
        <f aca="false">SUM(BF51:BR51)</f>
        <v>0</v>
      </c>
      <c r="BU51" s="2"/>
      <c r="BV51" s="2"/>
      <c r="BW51" s="2"/>
      <c r="BX51" s="2"/>
      <c r="BY51" s="2"/>
      <c r="BZ51" s="2"/>
      <c r="CA51" s="2"/>
      <c r="CB51" s="2"/>
      <c r="CC51" s="182" t="n">
        <f aca="false">G51</f>
        <v>36770</v>
      </c>
      <c r="CD51" s="253" t="e">
        <f aca="false">xSPRDOPT((VLOOKUP(G51,NGPrices,2,FALSE())+HLOOKUP(D51,Prices,VLOOKUP(G51,move_down,2,FALSE()),FALSE())),VLOOKUP(G51,NGPrices,2,FALSE()),I51,VLOOKUP(G51,NGPREVPRICES,4,FALSE()),HLOOKUP(D51,PREVVOLS,VLOOKUP(G51,MOVE_DOWN2,2,FALSE()),FALSE()),VLOOKUP(G51,NGPREVPRICES,3,FALSE()),HLOOKUP(D51,Correllate,VLOOKUP(G51,CorMove,2,FALSE()),FALSE()),Q51-$CD$3,R51,$CD$5)*H51-CJ51</f>
        <v>#NAME?</v>
      </c>
      <c r="CE51" s="253" t="e">
        <f aca="false">xSPRDOPT((VLOOKUP(G51,NGPREVPRICES,2,FALSE())+HLOOKUP(D51,PREVCURVES,VLOOKUP(G51,MOVE_DOWN2,2,FALSE()),FALSE())),VLOOKUP(G51,NGPREVPRICES,2,FALSE()),CK51,VLOOKUP(G51,NGPrices,4,FALSE()),HLOOKUP(D51,PREVVOLS,VLOOKUP(G51,MOVE_DOWN2,2,FALSE()),FALSE()),VLOOKUP(G51,NGPREVPRICES,3,FALSE()),HLOOKUP(D51,Correllate,VLOOKUP(G51,CorMove,2,FALSE()),FALSE()),Q51-$CD$3,R51,$CJ$5)*H51-CJ51</f>
        <v>#NAME?</v>
      </c>
      <c r="CF51" s="132" t="e">
        <f aca="false">(CJ51/VLOOKUP(CC51,discount,3,FALSE()))-(CJ51/VLOOKUP(CC51,discount,2,FALSE()))</f>
        <v>#NAME?</v>
      </c>
      <c r="CG51" s="253" t="e">
        <f aca="false">xSPRDOPT((VLOOKUP(G51,NGPREVPRICES,2,FALSE())+HLOOKUP(D51,PREVCURVES,VLOOKUP(G51,MOVE_DOWN2,2,FALSE()),FALSE())),VLOOKUP(G51,NGPREVPRICES,2,FALSE()),CK51,VLOOKUP(G51,NGPREVPRICES,4,FALSE()),HLOOKUP(D51,VOLS,VLOOKUP(G51,move_down,2,FALSE()),FALSE()),VLOOKUP(G51,NGPrices,3,FALSE()),HLOOKUP(D51,Correllate,VLOOKUP(G51,CorMove,2,FALSE()),FALSE()),Q51-$CD$3,R51,$CJ$5)*H51-CJ51</f>
        <v>#NAME?</v>
      </c>
      <c r="CH51" s="253" t="e">
        <f aca="false">xSPRDOPT((VLOOKUP(G51,NGPREVPRICES,2,FALSE())+HLOOKUP(D51,PREVCURVES,VLOOKUP(G51,MOVE_DOWN2,2,FALSE()),FALSE())),VLOOKUP(G51,NGPREVPRICES,2,FALSE()),CK51,VLOOKUP(G51,NGPREVPRICES,4,FALSE()),HLOOKUP(D51,PREVVOLS,VLOOKUP(G51,MOVE_DOWN2,2,FALSE()),FALSE()),VLOOKUP(G51,NGPREVPRICES,3,FALSE()),HLOOKUP(D51,Correllate,VLOOKUP(G51,CorMove,2,FALSE()),FALSE()),Q51-$C$3,R51,$CJ$5)*H51-CJ51</f>
        <v>#NAME?</v>
      </c>
      <c r="CI51" s="253" t="e">
        <f aca="false">SUM(CD51:CH51)</f>
        <v>#NAME?</v>
      </c>
      <c r="CJ51" s="253" t="e">
        <f aca="false">xSPRDOPT((VLOOKUP(G51,NGPREVPRICES,2,FALSE())+HLOOKUP(D51,PREVCURVES,VLOOKUP(G51,MOVE_DOWN2,2,FALSE()),FALSE())),VLOOKUP(G51,NGPREVPRICES,2,FALSE()),CK51,VLOOKUP(G51,NGPREVPRICES,4,FALSE()),HLOOKUP(D51,PREVVOLS,VLOOKUP(G51,MOVE_DOWN2,2,FALSE()),FALSE()),VLOOKUP(G51,NGPREVPRICES,3,FALSE()),HLOOKUP(D51,Correllate,VLOOKUP(G51,CorMove,2,FALSE()),FALSE()),Q51-$CD$3,R51,$CJ$5)*H51</f>
        <v>#NAME?</v>
      </c>
      <c r="CK51" s="254" t="n">
        <f aca="false">I51</f>
        <v>-0.3</v>
      </c>
      <c r="CL51" s="253"/>
      <c r="CM51" s="0" t="str">
        <f aca="false">CONCATENATE(CC51,$CD$6)</f>
        <v>36770Curve Shift/Gamma</v>
      </c>
      <c r="CN51" s="0" t="str">
        <f aca="false">CONCATENATE($CC51,$CE$6)</f>
        <v>36770Rho</v>
      </c>
      <c r="CO51" s="0" t="str">
        <f aca="false">CONCATENATE($CC51,$CF$6)</f>
        <v>36770Drift</v>
      </c>
      <c r="CP51" s="0" t="str">
        <f aca="false">CONCATENATE($CC51,$CG$6)</f>
        <v>36770Vega</v>
      </c>
      <c r="CQ51" s="0" t="str">
        <f aca="false">CONCATENATE($CC51,$CH$6)</f>
        <v>36770Theta</v>
      </c>
    </row>
    <row r="52" customFormat="false" ht="12" hidden="false" customHeight="true" outlineLevel="0" collapsed="false">
      <c r="A52" s="265" t="s">
        <v>198</v>
      </c>
      <c r="B52" s="0" t="s">
        <v>192</v>
      </c>
      <c r="C52" s="0" t="s">
        <v>224</v>
      </c>
      <c r="D52" s="7" t="s">
        <v>149</v>
      </c>
      <c r="E52" s="0" t="s">
        <v>131</v>
      </c>
      <c r="F52" s="0" t="s">
        <v>132</v>
      </c>
      <c r="G52" s="92" t="n">
        <v>36923</v>
      </c>
      <c r="H52" s="248" t="n">
        <v>500000</v>
      </c>
      <c r="I52" s="0" t="n">
        <v>1</v>
      </c>
      <c r="J52" s="124" t="n">
        <f aca="false">VLOOKUP(G52,NGPrices,2,FALSE())</f>
        <v>4.48</v>
      </c>
      <c r="K52" s="125" t="n">
        <f aca="false">HLOOKUP(D52,Prices,VLOOKUP(G52,move_down,2,FALSE()),FALSE())+VLOOKUP(G52,CHANGE,HLOOKUP(D52,CHANGE,2,FALSE()),FALSE())</f>
        <v>2.09</v>
      </c>
      <c r="L52" s="124" t="n">
        <f aca="false">K52+J52</f>
        <v>6.57</v>
      </c>
      <c r="M52" s="126" t="n">
        <f aca="false">VLOOKUP(G52,NGPrices,4,FALSE())</f>
        <v>0.068640161611372</v>
      </c>
      <c r="N52" s="7" t="n">
        <f aca="false">VLOOKUP(G52,NGPrices,3,FALSE())</f>
        <v>0.5925</v>
      </c>
      <c r="O52" s="7" t="n">
        <f aca="false">HLOOKUP(D52,VOLS,VLOOKUP(G52,move_down,2,FALSE()),FALSE())</f>
        <v>0.681</v>
      </c>
      <c r="P52" s="249" t="n">
        <f aca="false">HLOOKUP(D52,Correllate,VLOOKUP(G52,CorMove,2,FALSE()),FALSE())</f>
        <v>0.83</v>
      </c>
      <c r="Q52" s="92" t="n">
        <f aca="false">WORKDAY(G52,-2)</f>
        <v>36921</v>
      </c>
      <c r="R52" s="7" t="n">
        <f aca="false">IF(F52="P",0,1)</f>
        <v>0</v>
      </c>
      <c r="S52" s="130" t="e">
        <f aca="false">xSPRDOPT($L52,$J52,$I52,$M52,$O52,$N52,$P52,$Q52-$C$3,$R52,0)</f>
        <v>#NAME?</v>
      </c>
      <c r="T52" s="250" t="e">
        <f aca="false">xSPRDOPT($L52,$J52,$I52,$M52,$O52,$N52,$P52,$Q52-$C$3,$R52,1)*H52</f>
        <v>#NAME?</v>
      </c>
      <c r="U52" s="43" t="e">
        <f aca="false">S52*H52</f>
        <v>#NAME?</v>
      </c>
      <c r="V52" s="250" t="e">
        <f aca="false">xSPRDOPT($L52,$J52,$I52,$M52,$O52,$N52,$P52,$Q52-$C$3,$R52,2)*H52</f>
        <v>#NAME?</v>
      </c>
      <c r="W52" s="250" t="e">
        <f aca="false">+V52+T52</f>
        <v>#NAME?</v>
      </c>
      <c r="X52" s="2" t="str">
        <f aca="false">CONCATENATE(G52,D52)</f>
        <v>36923IF-TRANSCO/Z6</v>
      </c>
      <c r="Y52" s="251" t="n">
        <f aca="false">H52/10000</f>
        <v>50</v>
      </c>
      <c r="Z52" s="226" t="e">
        <f aca="false">T52/H52</f>
        <v>#NAME?</v>
      </c>
      <c r="AA52" s="226" t="e">
        <f aca="false">xSPRDOPT($L52,$J52,$I52,$M52,$O52,$N52,$P52,$Q52-$C$3,$R52,3)</f>
        <v>#NAME?</v>
      </c>
      <c r="AB52" s="226" t="e">
        <f aca="false">((xSPRDOPT($L52+AB$5,$J52,$I52,$M52,$O52,$N52,$P52,$Q52-$C$3,$R52,3)*$H52)/10000)/100</f>
        <v>#NAME?</v>
      </c>
      <c r="AC52" s="226" t="e">
        <f aca="false">((xSPRDOPT($L52+$AB$5,$J52,$I52,$M52,$O52,$N52,$P52,$Q52-$C$3,$R52,7)*$H52)/100)</f>
        <v>#NAME?</v>
      </c>
      <c r="AD52" s="226" t="e">
        <f aca="false">(xSPRDOPT($L52+$AB$5,$J52,$I52,$M52,$O52,$N52,$P52,$Q52-$C$3,$R52,9)/365)*$H52</f>
        <v>#NAME?</v>
      </c>
      <c r="AE52" s="0" t="e">
        <f aca="false">CD52</f>
        <v>#NAME?</v>
      </c>
      <c r="AF52" s="226" t="e">
        <f aca="false">((O52/N52)*AH52)+AG52</f>
        <v>#NAME?</v>
      </c>
      <c r="AG52" s="226" t="e">
        <f aca="false">((xSPRDOPT($L52,$J52,$I52,$M52,$O52,$N52,$P52,$Q52-$C$3,$R52,6)*$H52)/100)</f>
        <v>#NAME?</v>
      </c>
      <c r="AH52" s="226" t="e">
        <f aca="false">((xSPRDOPT($L52,$J52,$I52,$M52,$O52,$N52,$P52,$Q52-$C$3,$R52,5)*$H52)/100)</f>
        <v>#NAME?</v>
      </c>
      <c r="AI52" s="226" t="e">
        <f aca="false">(((xSPRDOPT($L52,$J52,$I52,$M52,$O52,$N52,$P52,$Q52-$C$3,$R52,4)*$H52)/10000)/100)-AB52</f>
        <v>#NAME?</v>
      </c>
      <c r="AJ52" s="226"/>
      <c r="AK52" s="226"/>
      <c r="AL52" s="226"/>
      <c r="AM52" s="252"/>
      <c r="AN52" s="208" t="n">
        <f aca="false">EOMONTH(AN51,0)+1</f>
        <v>38108</v>
      </c>
      <c r="AO52" s="134" t="n">
        <f aca="false">SUMIF($X:$X,CONCATENATE($AN52,AO$6),$T:$T)/10000</f>
        <v>0</v>
      </c>
      <c r="AP52" s="134" t="n">
        <f aca="false">SUMIF($X:$X,CONCATENATE($AN52,AP$6),$T:$T)/10000</f>
        <v>0</v>
      </c>
      <c r="AQ52" s="134" t="n">
        <f aca="false">SUMIF($X:$X,CONCATENATE($AN52,AQ$6),$T:$T)/10000</f>
        <v>0</v>
      </c>
      <c r="AR52" s="134" t="n">
        <f aca="false">SUMIF($X:$X,CONCATENATE($AN52,AR$6),$T:$T)/10000</f>
        <v>0</v>
      </c>
      <c r="AS52" s="134" t="n">
        <f aca="false">SUMIF($X:$X,CONCATENATE($AN52,AS$6),$T:$T)/10000</f>
        <v>0</v>
      </c>
      <c r="AT52" s="134" t="n">
        <f aca="false">SUMIF($X:$X,CONCATENATE($AN52,AT$6),$T:$T)/10000</f>
        <v>0</v>
      </c>
      <c r="AU52" s="134" t="n">
        <f aca="false">SUMIF($X:$X,CONCATENATE($AN52,AU$6),$T:$T)/10000</f>
        <v>0</v>
      </c>
      <c r="AV52" s="134" t="n">
        <f aca="false">SUMIF($X:$X,CONCATENATE($AN52,AV$6),$T:$T)/10000</f>
        <v>0</v>
      </c>
      <c r="AW52" s="134" t="n">
        <f aca="false">SUMIF($X:$X,CONCATENATE($AN52,AW$6),$T:$T)/10000</f>
        <v>0</v>
      </c>
      <c r="AX52" s="134" t="n">
        <f aca="false">SUMIF($X:$X,CONCATENATE($AN52,AX$6),$T:$T)/10000</f>
        <v>0</v>
      </c>
      <c r="AY52" s="134" t="n">
        <f aca="false">SUMIF($X:$X,CONCATENATE($AN52,AY$6),$T:$T)/10000</f>
        <v>0</v>
      </c>
      <c r="AZ52" s="134" t="n">
        <f aca="false">SUMIF($X:$X,CONCATENATE($AN52,AZ$6),$T:$T)/10000</f>
        <v>0</v>
      </c>
      <c r="BA52" s="135" t="n">
        <f aca="false">SUMIF($X:$X,CONCATENATE($AN52,BA$6),$T:$T)/10000</f>
        <v>0</v>
      </c>
      <c r="BB52" s="208" t="n">
        <f aca="false">EOMONTH(BB51,0)+1</f>
        <v>38108</v>
      </c>
      <c r="BC52" s="135" t="n">
        <f aca="false">SUM(AO52:BA52)</f>
        <v>0</v>
      </c>
      <c r="BD52" s="2"/>
      <c r="BE52" s="208" t="n">
        <f aca="false">EOMONTH(BE51,0)+1</f>
        <v>38108</v>
      </c>
      <c r="BF52" s="134" t="n">
        <f aca="false">SUMIF($X:$X,CONCATENATE($AN52,BF$6),$W:$W)</f>
        <v>0</v>
      </c>
      <c r="BG52" s="134" t="n">
        <f aca="false">SUMIF($X:$X,CONCATENATE($AN52,BG$6),$W:$W)</f>
        <v>0</v>
      </c>
      <c r="BH52" s="134" t="n">
        <f aca="false">SUMIF($X:$X,CONCATENATE($AN52,BH$6),$W:$W)</f>
        <v>0</v>
      </c>
      <c r="BI52" s="134" t="n">
        <f aca="false">SUMIF($X:$X,CONCATENATE($AN52,BI$6),$W:$W)</f>
        <v>0</v>
      </c>
      <c r="BJ52" s="134" t="n">
        <f aca="false">SUMIF($X:$X,CONCATENATE($AN52,BJ$6),$W:$W)</f>
        <v>0</v>
      </c>
      <c r="BK52" s="134" t="n">
        <f aca="false">SUMIF($X:$X,CONCATENATE($AN52,BK$6),$W:$W)</f>
        <v>0</v>
      </c>
      <c r="BL52" s="134" t="n">
        <f aca="false">SUMIF($X:$X,CONCATENATE($AN52,BL$6),$W:$W)</f>
        <v>0</v>
      </c>
      <c r="BM52" s="134" t="n">
        <f aca="false">SUMIF($X:$X,CONCATENATE($AN52,BM$6),$W:$W)</f>
        <v>0</v>
      </c>
      <c r="BN52" s="134" t="n">
        <f aca="false">SUMIF($X:$X,CONCATENATE($AN52,BN$6),$W:$W)</f>
        <v>0</v>
      </c>
      <c r="BO52" s="134" t="n">
        <f aca="false">SUMIF($X:$X,CONCATENATE($AN52,BO$6),$W:$W)</f>
        <v>0</v>
      </c>
      <c r="BP52" s="134" t="n">
        <f aca="false">SUMIF($X:$X,CONCATENATE($AN52,BP$6),$W:$W)</f>
        <v>0</v>
      </c>
      <c r="BQ52" s="134" t="n">
        <f aca="false">SUMIF($X:$X,CONCATENATE($AN52,BQ$6),$W:$W)</f>
        <v>0</v>
      </c>
      <c r="BR52" s="135" t="n">
        <f aca="false">SUMIF($X:$X,CONCATENATE($AN52,BR$6),$W:$W)</f>
        <v>0</v>
      </c>
      <c r="BS52" s="208" t="n">
        <f aca="false">EOMONTH(BS51,0)+1</f>
        <v>38108</v>
      </c>
      <c r="BT52" s="135" t="n">
        <f aca="false">SUM(BF52:BR52)</f>
        <v>0</v>
      </c>
      <c r="BU52" s="2"/>
      <c r="BV52" s="2"/>
      <c r="BW52" s="2"/>
      <c r="BX52" s="2"/>
      <c r="BY52" s="2"/>
      <c r="BZ52" s="2"/>
      <c r="CA52" s="2"/>
      <c r="CB52" s="2"/>
      <c r="CC52" s="182" t="n">
        <f aca="false">G52</f>
        <v>36923</v>
      </c>
      <c r="CD52" s="253" t="e">
        <f aca="false">xSPRDOPT((VLOOKUP(G52,NGPrices,2,FALSE())+HLOOKUP(D52,Prices,VLOOKUP(G52,move_down,2,FALSE()),FALSE())),VLOOKUP(G52,NGPrices,2,FALSE()),I52,VLOOKUP(G52,NGPREVPRICES,4,FALSE()),HLOOKUP(D52,PREVVOLS,VLOOKUP(G52,MOVE_DOWN2,2,FALSE()),FALSE()),VLOOKUP(G52,NGPREVPRICES,3,FALSE()),HLOOKUP(D52,Correllate,VLOOKUP(G52,CorMove,2,FALSE()),FALSE()),Q52-$CD$3,R52,$CD$5)*H52-CJ52</f>
        <v>#NAME?</v>
      </c>
      <c r="CE52" s="253" t="e">
        <f aca="false">xSPRDOPT((VLOOKUP(G52,NGPREVPRICES,2,FALSE())+HLOOKUP(D52,PREVCURVES,VLOOKUP(G52,MOVE_DOWN2,2,FALSE()),FALSE())),VLOOKUP(G52,NGPREVPRICES,2,FALSE()),CK52,VLOOKUP(G52,NGPrices,4,FALSE()),HLOOKUP(D52,PREVVOLS,VLOOKUP(G52,MOVE_DOWN2,2,FALSE()),FALSE()),VLOOKUP(G52,NGPREVPRICES,3,FALSE()),HLOOKUP(D52,Correllate,VLOOKUP(G52,CorMove,2,FALSE()),FALSE()),Q52-$CD$3,R52,$CJ$5)*H52-CJ52</f>
        <v>#NAME?</v>
      </c>
      <c r="CF52" s="132" t="e">
        <f aca="false">(CJ52/VLOOKUP(CC52,discount,3,FALSE()))-(CJ52/VLOOKUP(CC52,discount,2,FALSE()))</f>
        <v>#NAME?</v>
      </c>
      <c r="CG52" s="253" t="e">
        <f aca="false">xSPRDOPT((VLOOKUP(G52,NGPREVPRICES,2,FALSE())+HLOOKUP(D52,PREVCURVES,VLOOKUP(G52,MOVE_DOWN2,2,FALSE()),FALSE())),VLOOKUP(G52,NGPREVPRICES,2,FALSE()),CK52,VLOOKUP(G52,NGPREVPRICES,4,FALSE()),HLOOKUP(D52,VOLS,VLOOKUP(G52,move_down,2,FALSE()),FALSE()),VLOOKUP(G52,NGPrices,3,FALSE()),HLOOKUP(D52,Correllate,VLOOKUP(G52,CorMove,2,FALSE()),FALSE()),Q52-$CD$3,R52,$CJ$5)*H52-CJ52</f>
        <v>#NAME?</v>
      </c>
      <c r="CH52" s="253" t="e">
        <f aca="false">xSPRDOPT((VLOOKUP(G52,NGPREVPRICES,2,FALSE())+HLOOKUP(D52,PREVCURVES,VLOOKUP(G52,MOVE_DOWN2,2,FALSE()),FALSE())),VLOOKUP(G52,NGPREVPRICES,2,FALSE()),CK52,VLOOKUP(G52,NGPREVPRICES,4,FALSE()),HLOOKUP(D52,PREVVOLS,VLOOKUP(G52,MOVE_DOWN2,2,FALSE()),FALSE()),VLOOKUP(G52,NGPREVPRICES,3,FALSE()),HLOOKUP(D52,Correllate,VLOOKUP(G52,CorMove,2,FALSE()),FALSE()),Q52-$C$3,R52,$CJ$5)*H52-CJ52</f>
        <v>#NAME?</v>
      </c>
      <c r="CI52" s="253" t="e">
        <f aca="false">SUM(CD52:CH52)</f>
        <v>#NAME?</v>
      </c>
      <c r="CJ52" s="253" t="e">
        <f aca="false">xSPRDOPT((VLOOKUP(G52,NGPREVPRICES,2,FALSE())+HLOOKUP(D52,PREVCURVES,VLOOKUP(G52,MOVE_DOWN2,2,FALSE()),FALSE())),VLOOKUP(G52,NGPREVPRICES,2,FALSE()),CK52,VLOOKUP(G52,NGPREVPRICES,4,FALSE()),HLOOKUP(D52,PREVVOLS,VLOOKUP(G52,MOVE_DOWN2,2,FALSE()),FALSE()),VLOOKUP(G52,NGPREVPRICES,3,FALSE()),HLOOKUP(D52,Correllate,VLOOKUP(G52,CorMove,2,FALSE()),FALSE()),Q52-$CD$3,R52,$CJ$5)*H52</f>
        <v>#NAME?</v>
      </c>
      <c r="CK52" s="254" t="n">
        <f aca="false">I52</f>
        <v>1</v>
      </c>
      <c r="CL52" s="253"/>
      <c r="CM52" s="0" t="str">
        <f aca="false">CONCATENATE(CC52,$CD$6)</f>
        <v>36923Curve Shift/Gamma</v>
      </c>
      <c r="CN52" s="0" t="str">
        <f aca="false">CONCATENATE($CC52,$CE$6)</f>
        <v>36923Rho</v>
      </c>
      <c r="CO52" s="0" t="str">
        <f aca="false">CONCATENATE($CC52,$CF$6)</f>
        <v>36923Drift</v>
      </c>
      <c r="CP52" s="0" t="str">
        <f aca="false">CONCATENATE($CC52,$CG$6)</f>
        <v>36923Vega</v>
      </c>
      <c r="CQ52" s="0" t="str">
        <f aca="false">CONCATENATE($CC52,$CH$6)</f>
        <v>36923Theta</v>
      </c>
    </row>
    <row r="53" customFormat="false" ht="12" hidden="false" customHeight="true" outlineLevel="0" collapsed="false">
      <c r="A53" s="265" t="s">
        <v>198</v>
      </c>
      <c r="B53" s="0" t="s">
        <v>192</v>
      </c>
      <c r="C53" s="0" t="s">
        <v>224</v>
      </c>
      <c r="D53" s="7" t="s">
        <v>149</v>
      </c>
      <c r="E53" s="0" t="s">
        <v>131</v>
      </c>
      <c r="F53" s="0" t="s">
        <v>132</v>
      </c>
      <c r="G53" s="92" t="n">
        <v>36892</v>
      </c>
      <c r="H53" s="248" t="n">
        <v>500000</v>
      </c>
      <c r="I53" s="0" t="n">
        <v>1</v>
      </c>
      <c r="J53" s="124" t="n">
        <f aca="false">VLOOKUP(G53,NGPrices,2,FALSE())</f>
        <v>4.744</v>
      </c>
      <c r="K53" s="125" t="n">
        <f aca="false">HLOOKUP(D53,Prices,VLOOKUP(G53,move_down,2,FALSE()),FALSE())+VLOOKUP(G53,CHANGE,HLOOKUP(D53,CHANGE,2,FALSE()),FALSE())</f>
        <v>2.17</v>
      </c>
      <c r="L53" s="124" t="n">
        <f aca="false">K53+J53</f>
        <v>6.914</v>
      </c>
      <c r="M53" s="126" t="n">
        <f aca="false">VLOOKUP(G53,NGPrices,4,FALSE())</f>
        <v>0.068374831148491</v>
      </c>
      <c r="N53" s="7" t="n">
        <f aca="false">VLOOKUP(G53,NGPrices,3,FALSE())</f>
        <v>0.605</v>
      </c>
      <c r="O53" s="7" t="n">
        <f aca="false">HLOOKUP(D53,VOLS,VLOOKUP(G53,move_down,2,FALSE()),FALSE())</f>
        <v>0.696</v>
      </c>
      <c r="P53" s="249" t="n">
        <f aca="false">HLOOKUP(D53,Correllate,VLOOKUP(G53,CorMove,2,FALSE()),FALSE())</f>
        <v>0.83</v>
      </c>
      <c r="Q53" s="92" t="n">
        <f aca="false">WORKDAY(G53,-2)</f>
        <v>36888</v>
      </c>
      <c r="R53" s="7" t="n">
        <f aca="false">IF(F53="P",0,1)</f>
        <v>0</v>
      </c>
      <c r="S53" s="130" t="e">
        <f aca="false">xSPRDOPT($L53,$J53,$I53,$M53,$O53,$N53,$P53,$Q53-$C$3,$R53,0)</f>
        <v>#NAME?</v>
      </c>
      <c r="T53" s="250" t="e">
        <f aca="false">xSPRDOPT($L53,$J53,$I53,$M53,$O53,$N53,$P53,$Q53-$C$3,$R53,1)*H53</f>
        <v>#NAME?</v>
      </c>
      <c r="U53" s="43" t="e">
        <f aca="false">S53*H53</f>
        <v>#NAME?</v>
      </c>
      <c r="V53" s="250" t="e">
        <f aca="false">xSPRDOPT($L53,$J53,$I53,$M53,$O53,$N53,$P53,$Q53-$C$3,$R53,2)*H53</f>
        <v>#NAME?</v>
      </c>
      <c r="W53" s="250" t="e">
        <f aca="false">+V53+T53</f>
        <v>#NAME?</v>
      </c>
      <c r="X53" s="2" t="str">
        <f aca="false">CONCATENATE(G53,D53)</f>
        <v>36892IF-TRANSCO/Z6</v>
      </c>
      <c r="Y53" s="251" t="n">
        <f aca="false">H53/10000</f>
        <v>50</v>
      </c>
      <c r="Z53" s="226" t="e">
        <f aca="false">T53/H53</f>
        <v>#NAME?</v>
      </c>
      <c r="AA53" s="226" t="e">
        <f aca="false">xSPRDOPT($L53,$J53,$I53,$M53,$O53,$N53,$P53,$Q53-$C$3,$R53,3)</f>
        <v>#NAME?</v>
      </c>
      <c r="AB53" s="226" t="e">
        <f aca="false">((xSPRDOPT($L53+AB$5,$J53,$I53,$M53,$O53,$N53,$P53,$Q53-$C$3,$R53,3)*$H53)/10000)/100</f>
        <v>#NAME?</v>
      </c>
      <c r="AC53" s="226" t="e">
        <f aca="false">((xSPRDOPT($L53+$AB$5,$J53,$I53,$M53,$O53,$N53,$P53,$Q53-$C$3,$R53,7)*$H53)/100)</f>
        <v>#NAME?</v>
      </c>
      <c r="AD53" s="226" t="e">
        <f aca="false">(xSPRDOPT($L53+$AB$5,$J53,$I53,$M53,$O53,$N53,$P53,$Q53-$C$3,$R53,9)/365)*$H53</f>
        <v>#NAME?</v>
      </c>
      <c r="AE53" s="0" t="e">
        <f aca="false">CD53</f>
        <v>#NAME?</v>
      </c>
      <c r="AF53" s="226" t="e">
        <f aca="false">((O53/N53)*AH53)+AG53</f>
        <v>#NAME?</v>
      </c>
      <c r="AG53" s="226" t="e">
        <f aca="false">((xSPRDOPT($L53,$J53,$I53,$M53,$O53,$N53,$P53,$Q53-$C$3,$R53,6)*$H53)/100)</f>
        <v>#NAME?</v>
      </c>
      <c r="AH53" s="226" t="e">
        <f aca="false">((xSPRDOPT($L53,$J53,$I53,$M53,$O53,$N53,$P53,$Q53-$C$3,$R53,5)*$H53)/100)</f>
        <v>#NAME?</v>
      </c>
      <c r="AI53" s="226" t="e">
        <f aca="false">(((xSPRDOPT($L53,$J53,$I53,$M53,$O53,$N53,$P53,$Q53-$C$3,$R53,4)*$H53)/10000)/100)-AB53</f>
        <v>#NAME?</v>
      </c>
      <c r="AJ53" s="226"/>
      <c r="AK53" s="226"/>
      <c r="AL53" s="226"/>
      <c r="AM53" s="252"/>
      <c r="AN53" s="208" t="n">
        <f aca="false">EOMONTH(AN52,0)+1</f>
        <v>38139</v>
      </c>
      <c r="AO53" s="134" t="n">
        <f aca="false">SUMIF($X:$X,CONCATENATE($AN53,AO$6),$T:$T)/10000</f>
        <v>0</v>
      </c>
      <c r="AP53" s="134" t="n">
        <f aca="false">SUMIF($X:$X,CONCATENATE($AN53,AP$6),$T:$T)/10000</f>
        <v>0</v>
      </c>
      <c r="AQ53" s="134" t="n">
        <f aca="false">SUMIF($X:$X,CONCATENATE($AN53,AQ$6),$T:$T)/10000</f>
        <v>0</v>
      </c>
      <c r="AR53" s="134" t="n">
        <f aca="false">SUMIF($X:$X,CONCATENATE($AN53,AR$6),$T:$T)/10000</f>
        <v>0</v>
      </c>
      <c r="AS53" s="134" t="n">
        <f aca="false">SUMIF($X:$X,CONCATENATE($AN53,AS$6),$T:$T)/10000</f>
        <v>0</v>
      </c>
      <c r="AT53" s="134" t="n">
        <f aca="false">SUMIF($X:$X,CONCATENATE($AN53,AT$6),$T:$T)/10000</f>
        <v>0</v>
      </c>
      <c r="AU53" s="134" t="n">
        <f aca="false">SUMIF($X:$X,CONCATENATE($AN53,AU$6),$T:$T)/10000</f>
        <v>0</v>
      </c>
      <c r="AV53" s="134" t="n">
        <f aca="false">SUMIF($X:$X,CONCATENATE($AN53,AV$6),$T:$T)/10000</f>
        <v>0</v>
      </c>
      <c r="AW53" s="134" t="n">
        <f aca="false">SUMIF($X:$X,CONCATENATE($AN53,AW$6),$T:$T)/10000</f>
        <v>0</v>
      </c>
      <c r="AX53" s="134" t="n">
        <f aca="false">SUMIF($X:$X,CONCATENATE($AN53,AX$6),$T:$T)/10000</f>
        <v>0</v>
      </c>
      <c r="AY53" s="134" t="n">
        <f aca="false">SUMIF($X:$X,CONCATENATE($AN53,AY$6),$T:$T)/10000</f>
        <v>0</v>
      </c>
      <c r="AZ53" s="134" t="n">
        <f aca="false">SUMIF($X:$X,CONCATENATE($AN53,AZ$6),$T:$T)/10000</f>
        <v>0</v>
      </c>
      <c r="BA53" s="135" t="n">
        <f aca="false">SUMIF($X:$X,CONCATENATE($AN53,BA$6),$T:$T)/10000</f>
        <v>0</v>
      </c>
      <c r="BB53" s="208" t="n">
        <f aca="false">EOMONTH(BB52,0)+1</f>
        <v>38139</v>
      </c>
      <c r="BC53" s="135" t="n">
        <f aca="false">SUM(AO53:BA53)</f>
        <v>0</v>
      </c>
      <c r="BD53" s="2"/>
      <c r="BE53" s="208" t="n">
        <f aca="false">EOMONTH(BE52,0)+1</f>
        <v>38139</v>
      </c>
      <c r="BF53" s="134" t="n">
        <f aca="false">SUMIF($X:$X,CONCATENATE($AN53,BF$6),$W:$W)</f>
        <v>0</v>
      </c>
      <c r="BG53" s="134" t="n">
        <f aca="false">SUMIF($X:$X,CONCATENATE($AN53,BG$6),$W:$W)</f>
        <v>0</v>
      </c>
      <c r="BH53" s="134" t="n">
        <f aca="false">SUMIF($X:$X,CONCATENATE($AN53,BH$6),$W:$W)</f>
        <v>0</v>
      </c>
      <c r="BI53" s="134" t="n">
        <f aca="false">SUMIF($X:$X,CONCATENATE($AN53,BI$6),$W:$W)</f>
        <v>0</v>
      </c>
      <c r="BJ53" s="134" t="n">
        <f aca="false">SUMIF($X:$X,CONCATENATE($AN53,BJ$6),$W:$W)</f>
        <v>0</v>
      </c>
      <c r="BK53" s="134" t="n">
        <f aca="false">SUMIF($X:$X,CONCATENATE($AN53,BK$6),$W:$W)</f>
        <v>0</v>
      </c>
      <c r="BL53" s="134" t="n">
        <f aca="false">SUMIF($X:$X,CONCATENATE($AN53,BL$6),$W:$W)</f>
        <v>0</v>
      </c>
      <c r="BM53" s="134" t="n">
        <f aca="false">SUMIF($X:$X,CONCATENATE($AN53,BM$6),$W:$W)</f>
        <v>0</v>
      </c>
      <c r="BN53" s="134" t="n">
        <f aca="false">SUMIF($X:$X,CONCATENATE($AN53,BN$6),$W:$W)</f>
        <v>0</v>
      </c>
      <c r="BO53" s="134" t="n">
        <f aca="false">SUMIF($X:$X,CONCATENATE($AN53,BO$6),$W:$W)</f>
        <v>0</v>
      </c>
      <c r="BP53" s="134" t="n">
        <f aca="false">SUMIF($X:$X,CONCATENATE($AN53,BP$6),$W:$W)</f>
        <v>0</v>
      </c>
      <c r="BQ53" s="134" t="n">
        <f aca="false">SUMIF($X:$X,CONCATENATE($AN53,BQ$6),$W:$W)</f>
        <v>0</v>
      </c>
      <c r="BR53" s="135" t="n">
        <f aca="false">SUMIF($X:$X,CONCATENATE($AN53,BR$6),$W:$W)</f>
        <v>0</v>
      </c>
      <c r="BS53" s="208" t="n">
        <f aca="false">EOMONTH(BS52,0)+1</f>
        <v>38139</v>
      </c>
      <c r="BT53" s="135" t="n">
        <f aca="false">SUM(BF53:BR53)</f>
        <v>0</v>
      </c>
      <c r="BU53" s="2"/>
      <c r="BV53" s="2"/>
      <c r="BW53" s="2"/>
      <c r="BX53" s="2"/>
      <c r="BY53" s="2"/>
      <c r="BZ53" s="2"/>
      <c r="CA53" s="2"/>
      <c r="CB53" s="2"/>
      <c r="CC53" s="182" t="n">
        <f aca="false">G53</f>
        <v>36892</v>
      </c>
      <c r="CD53" s="253" t="e">
        <f aca="false">xSPRDOPT((VLOOKUP(G53,NGPrices,2,FALSE())+HLOOKUP(D53,Prices,VLOOKUP(G53,move_down,2,FALSE()),FALSE())),VLOOKUP(G53,NGPrices,2,FALSE()),I53,VLOOKUP(G53,NGPREVPRICES,4,FALSE()),HLOOKUP(D53,PREVVOLS,VLOOKUP(G53,MOVE_DOWN2,2,FALSE()),FALSE()),VLOOKUP(G53,NGPREVPRICES,3,FALSE()),HLOOKUP(D53,Correllate,VLOOKUP(G53,CorMove,2,FALSE()),FALSE()),Q53-$CD$3,R53,$CD$5)*H53-CJ53</f>
        <v>#NAME?</v>
      </c>
      <c r="CE53" s="253" t="e">
        <f aca="false">xSPRDOPT((VLOOKUP(G53,NGPREVPRICES,2,FALSE())+HLOOKUP(D53,PREVCURVES,VLOOKUP(G53,MOVE_DOWN2,2,FALSE()),FALSE())),VLOOKUP(G53,NGPREVPRICES,2,FALSE()),CK53,VLOOKUP(G53,NGPrices,4,FALSE()),HLOOKUP(D53,PREVVOLS,VLOOKUP(G53,MOVE_DOWN2,2,FALSE()),FALSE()),VLOOKUP(G53,NGPREVPRICES,3,FALSE()),HLOOKUP(D53,Correllate,VLOOKUP(G53,CorMove,2,FALSE()),FALSE()),Q53-$CD$3,R53,$CJ$5)*H53-CJ53</f>
        <v>#NAME?</v>
      </c>
      <c r="CF53" s="132" t="e">
        <f aca="false">(CJ53/VLOOKUP(CC53,discount,3,FALSE()))-(CJ53/VLOOKUP(CC53,discount,2,FALSE()))</f>
        <v>#NAME?</v>
      </c>
      <c r="CG53" s="253" t="e">
        <f aca="false">xSPRDOPT((VLOOKUP(G53,NGPREVPRICES,2,FALSE())+HLOOKUP(D53,PREVCURVES,VLOOKUP(G53,MOVE_DOWN2,2,FALSE()),FALSE())),VLOOKUP(G53,NGPREVPRICES,2,FALSE()),CK53,VLOOKUP(G53,NGPREVPRICES,4,FALSE()),HLOOKUP(D53,VOLS,VLOOKUP(G53,move_down,2,FALSE()),FALSE()),VLOOKUP(G53,NGPrices,3,FALSE()),HLOOKUP(D53,Correllate,VLOOKUP(G53,CorMove,2,FALSE()),FALSE()),Q53-$CD$3,R53,$CJ$5)*H53-CJ53</f>
        <v>#NAME?</v>
      </c>
      <c r="CH53" s="253" t="e">
        <f aca="false">xSPRDOPT((VLOOKUP(G53,NGPREVPRICES,2,FALSE())+HLOOKUP(D53,PREVCURVES,VLOOKUP(G53,MOVE_DOWN2,2,FALSE()),FALSE())),VLOOKUP(G53,NGPREVPRICES,2,FALSE()),CK53,VLOOKUP(G53,NGPREVPRICES,4,FALSE()),HLOOKUP(D53,PREVVOLS,VLOOKUP(G53,MOVE_DOWN2,2,FALSE()),FALSE()),VLOOKUP(G53,NGPREVPRICES,3,FALSE()),HLOOKUP(D53,Correllate,VLOOKUP(G53,CorMove,2,FALSE()),FALSE()),Q53-$C$3,R53,$CJ$5)*H53-CJ53</f>
        <v>#NAME?</v>
      </c>
      <c r="CI53" s="253" t="e">
        <f aca="false">SUM(CD53:CH53)</f>
        <v>#NAME?</v>
      </c>
      <c r="CJ53" s="253" t="e">
        <f aca="false">xSPRDOPT((VLOOKUP(G53,NGPREVPRICES,2,FALSE())+HLOOKUP(D53,PREVCURVES,VLOOKUP(G53,MOVE_DOWN2,2,FALSE()),FALSE())),VLOOKUP(G53,NGPREVPRICES,2,FALSE()),CK53,VLOOKUP(G53,NGPREVPRICES,4,FALSE()),HLOOKUP(D53,PREVVOLS,VLOOKUP(G53,MOVE_DOWN2,2,FALSE()),FALSE()),VLOOKUP(G53,NGPREVPRICES,3,FALSE()),HLOOKUP(D53,Correllate,VLOOKUP(G53,CorMove,2,FALSE()),FALSE()),Q53-$CD$3,R53,$CJ$5)*H53</f>
        <v>#NAME?</v>
      </c>
      <c r="CK53" s="254" t="n">
        <f aca="false">I53</f>
        <v>1</v>
      </c>
      <c r="CL53" s="253"/>
      <c r="CM53" s="0" t="str">
        <f aca="false">CONCATENATE(CC53,$CD$6)</f>
        <v>36892Curve Shift/Gamma</v>
      </c>
      <c r="CN53" s="0" t="str">
        <f aca="false">CONCATENATE($CC53,$CE$6)</f>
        <v>36892Rho</v>
      </c>
      <c r="CO53" s="0" t="str">
        <f aca="false">CONCATENATE($CC53,$CF$6)</f>
        <v>36892Drift</v>
      </c>
      <c r="CP53" s="0" t="str">
        <f aca="false">CONCATENATE($CC53,$CG$6)</f>
        <v>36892Vega</v>
      </c>
      <c r="CQ53" s="0" t="str">
        <f aca="false">CONCATENATE($CC53,$CH$6)</f>
        <v>36892Theta</v>
      </c>
    </row>
    <row r="54" customFormat="false" ht="12" hidden="false" customHeight="true" outlineLevel="0" collapsed="false">
      <c r="A54" s="265" t="s">
        <v>198</v>
      </c>
      <c r="B54" s="0" t="s">
        <v>192</v>
      </c>
      <c r="C54" s="0" t="s">
        <v>224</v>
      </c>
      <c r="D54" s="7" t="s">
        <v>149</v>
      </c>
      <c r="E54" s="0" t="s">
        <v>131</v>
      </c>
      <c r="F54" s="0" t="s">
        <v>132</v>
      </c>
      <c r="G54" s="92" t="n">
        <v>36861</v>
      </c>
      <c r="H54" s="248" t="n">
        <v>500000</v>
      </c>
      <c r="I54" s="0" t="n">
        <v>1</v>
      </c>
      <c r="J54" s="124" t="n">
        <f aca="false">VLOOKUP(G54,NGPrices,2,FALSE())</f>
        <v>4.8</v>
      </c>
      <c r="K54" s="125" t="n">
        <f aca="false">HLOOKUP(D54,Prices,VLOOKUP(G54,move_down,2,FALSE()),FALSE())+VLOOKUP(G54,CHANGE,HLOOKUP(D54,CHANGE,2,FALSE()),FALSE())</f>
        <v>1.645</v>
      </c>
      <c r="L54" s="124" t="n">
        <f aca="false">K54+J54</f>
        <v>6.445</v>
      </c>
      <c r="M54" s="126" t="n">
        <f aca="false">VLOOKUP(G54,NGPrices,4,FALSE())</f>
        <v>0.068314027999354</v>
      </c>
      <c r="N54" s="7" t="n">
        <f aca="false">VLOOKUP(G54,NGPrices,3,FALSE())</f>
        <v>0.6</v>
      </c>
      <c r="O54" s="7" t="n">
        <f aca="false">HLOOKUP(D54,VOLS,VLOOKUP(G54,move_down,2,FALSE()),FALSE())</f>
        <v>0.69</v>
      </c>
      <c r="P54" s="249" t="n">
        <f aca="false">HLOOKUP(D54,Correllate,VLOOKUP(G54,CorMove,2,FALSE()),FALSE())</f>
        <v>0.83</v>
      </c>
      <c r="Q54" s="92" t="n">
        <f aca="false">WORKDAY(G54,-2)</f>
        <v>36859</v>
      </c>
      <c r="R54" s="7" t="n">
        <f aca="false">IF(F54="P",0,1)</f>
        <v>0</v>
      </c>
      <c r="S54" s="130" t="e">
        <f aca="false">xSPRDOPT($L54,$J54,$I54,$M54,$O54,$N54,$P54,$Q54-$C$3,$R54,0)</f>
        <v>#NAME?</v>
      </c>
      <c r="T54" s="250" t="e">
        <f aca="false">xSPRDOPT($L54,$J54,$I54,$M54,$O54,$N54,$P54,$Q54-$C$3,$R54,1)*H54</f>
        <v>#NAME?</v>
      </c>
      <c r="U54" s="43" t="e">
        <f aca="false">S54*H54</f>
        <v>#NAME?</v>
      </c>
      <c r="V54" s="250" t="e">
        <f aca="false">xSPRDOPT($L54,$J54,$I54,$M54,$O54,$N54,$P54,$Q54-$C$3,$R54,2)*H54</f>
        <v>#NAME?</v>
      </c>
      <c r="W54" s="250" t="e">
        <f aca="false">+V54+T54</f>
        <v>#NAME?</v>
      </c>
      <c r="X54" s="2" t="str">
        <f aca="false">CONCATENATE(G54,D54)</f>
        <v>36861IF-TRANSCO/Z6</v>
      </c>
      <c r="Y54" s="251" t="n">
        <f aca="false">H54/10000</f>
        <v>50</v>
      </c>
      <c r="Z54" s="226" t="e">
        <f aca="false">T54/H54</f>
        <v>#NAME?</v>
      </c>
      <c r="AA54" s="226" t="e">
        <f aca="false">xSPRDOPT($L54,$J54,$I54,$M54,$O54,$N54,$P54,$Q54-$C$3,$R54,3)</f>
        <v>#NAME?</v>
      </c>
      <c r="AB54" s="226" t="e">
        <f aca="false">((xSPRDOPT($L54+AB$5,$J54,$I54,$M54,$O54,$N54,$P54,$Q54-$C$3,$R54,3)*$H54)/10000)/100</f>
        <v>#NAME?</v>
      </c>
      <c r="AC54" s="226" t="e">
        <f aca="false">((xSPRDOPT($L54+$AB$5,$J54,$I54,$M54,$O54,$N54,$P54,$Q54-$C$3,$R54,7)*$H54)/100)</f>
        <v>#NAME?</v>
      </c>
      <c r="AD54" s="226" t="e">
        <f aca="false">(xSPRDOPT($L54+$AB$5,$J54,$I54,$M54,$O54,$N54,$P54,$Q54-$C$3,$R54,9)/365)*$H54</f>
        <v>#NAME?</v>
      </c>
      <c r="AE54" s="0" t="e">
        <f aca="false">CD54</f>
        <v>#NAME?</v>
      </c>
      <c r="AF54" s="226" t="e">
        <f aca="false">((O54/N54)*AH54)+AG54</f>
        <v>#NAME?</v>
      </c>
      <c r="AG54" s="226" t="e">
        <f aca="false">((xSPRDOPT($L54,$J54,$I54,$M54,$O54,$N54,$P54,$Q54-$C$3,$R54,6)*$H54)/100)</f>
        <v>#NAME?</v>
      </c>
      <c r="AH54" s="226" t="e">
        <f aca="false">((xSPRDOPT($L54,$J54,$I54,$M54,$O54,$N54,$P54,$Q54-$C$3,$R54,5)*$H54)/100)</f>
        <v>#NAME?</v>
      </c>
      <c r="AI54" s="226" t="e">
        <f aca="false">(((xSPRDOPT($L54,$J54,$I54,$M54,$O54,$N54,$P54,$Q54-$C$3,$R54,4)*$H54)/10000)/100)-AB54</f>
        <v>#NAME?</v>
      </c>
      <c r="AJ54" s="226"/>
      <c r="AK54" s="226"/>
      <c r="AL54" s="226"/>
      <c r="AM54" s="252"/>
      <c r="AN54" s="208" t="n">
        <f aca="false">EOMONTH(AN53,0)+1</f>
        <v>38169</v>
      </c>
      <c r="AO54" s="134" t="n">
        <f aca="false">SUMIF($X:$X,CONCATENATE($AN54,AO$6),$T:$T)/10000</f>
        <v>0</v>
      </c>
      <c r="AP54" s="134" t="n">
        <f aca="false">SUMIF($X:$X,CONCATENATE($AN54,AP$6),$T:$T)/10000</f>
        <v>0</v>
      </c>
      <c r="AQ54" s="134" t="n">
        <f aca="false">SUMIF($X:$X,CONCATENATE($AN54,AQ$6),$T:$T)/10000</f>
        <v>0</v>
      </c>
      <c r="AR54" s="134" t="n">
        <f aca="false">SUMIF($X:$X,CONCATENATE($AN54,AR$6),$T:$T)/10000</f>
        <v>0</v>
      </c>
      <c r="AS54" s="134" t="n">
        <f aca="false">SUMIF($X:$X,CONCATENATE($AN54,AS$6),$T:$T)/10000</f>
        <v>0</v>
      </c>
      <c r="AT54" s="134" t="n">
        <f aca="false">SUMIF($X:$X,CONCATENATE($AN54,AT$6),$T:$T)/10000</f>
        <v>0</v>
      </c>
      <c r="AU54" s="134" t="n">
        <f aca="false">SUMIF($X:$X,CONCATENATE($AN54,AU$6),$T:$T)/10000</f>
        <v>0</v>
      </c>
      <c r="AV54" s="134" t="n">
        <f aca="false">SUMIF($X:$X,CONCATENATE($AN54,AV$6),$T:$T)/10000</f>
        <v>0</v>
      </c>
      <c r="AW54" s="134" t="n">
        <f aca="false">SUMIF($X:$X,CONCATENATE($AN54,AW$6),$T:$T)/10000</f>
        <v>0</v>
      </c>
      <c r="AX54" s="134" t="n">
        <f aca="false">SUMIF($X:$X,CONCATENATE($AN54,AX$6),$T:$T)/10000</f>
        <v>0</v>
      </c>
      <c r="AY54" s="134" t="n">
        <f aca="false">SUMIF($X:$X,CONCATENATE($AN54,AY$6),$T:$T)/10000</f>
        <v>0</v>
      </c>
      <c r="AZ54" s="134" t="n">
        <f aca="false">SUMIF($X:$X,CONCATENATE($AN54,AZ$6),$T:$T)/10000</f>
        <v>0</v>
      </c>
      <c r="BA54" s="135" t="n">
        <f aca="false">SUMIF($X:$X,CONCATENATE($AN54,BA$6),$T:$T)/10000</f>
        <v>0</v>
      </c>
      <c r="BB54" s="208" t="n">
        <f aca="false">EOMONTH(BB53,0)+1</f>
        <v>38169</v>
      </c>
      <c r="BC54" s="135" t="n">
        <f aca="false">SUM(AO54:BA54)</f>
        <v>0</v>
      </c>
      <c r="BD54" s="2"/>
      <c r="BE54" s="208" t="n">
        <f aca="false">EOMONTH(BE53,0)+1</f>
        <v>38169</v>
      </c>
      <c r="BF54" s="134" t="n">
        <f aca="false">SUMIF($X:$X,CONCATENATE($AN54,BF$6),$W:$W)</f>
        <v>0</v>
      </c>
      <c r="BG54" s="134" t="n">
        <f aca="false">SUMIF($X:$X,CONCATENATE($AN54,BG$6),$W:$W)</f>
        <v>0</v>
      </c>
      <c r="BH54" s="134" t="n">
        <f aca="false">SUMIF($X:$X,CONCATENATE($AN54,BH$6),$W:$W)</f>
        <v>0</v>
      </c>
      <c r="BI54" s="134" t="n">
        <f aca="false">SUMIF($X:$X,CONCATENATE($AN54,BI$6),$W:$W)</f>
        <v>0</v>
      </c>
      <c r="BJ54" s="134" t="n">
        <f aca="false">SUMIF($X:$X,CONCATENATE($AN54,BJ$6),$W:$W)</f>
        <v>0</v>
      </c>
      <c r="BK54" s="134" t="n">
        <f aca="false">SUMIF($X:$X,CONCATENATE($AN54,BK$6),$W:$W)</f>
        <v>0</v>
      </c>
      <c r="BL54" s="134" t="n">
        <f aca="false">SUMIF($X:$X,CONCATENATE($AN54,BL$6),$W:$W)</f>
        <v>0</v>
      </c>
      <c r="BM54" s="134" t="n">
        <f aca="false">SUMIF($X:$X,CONCATENATE($AN54,BM$6),$W:$W)</f>
        <v>0</v>
      </c>
      <c r="BN54" s="134" t="n">
        <f aca="false">SUMIF($X:$X,CONCATENATE($AN54,BN$6),$W:$W)</f>
        <v>0</v>
      </c>
      <c r="BO54" s="134" t="n">
        <f aca="false">SUMIF($X:$X,CONCATENATE($AN54,BO$6),$W:$W)</f>
        <v>0</v>
      </c>
      <c r="BP54" s="134" t="n">
        <f aca="false">SUMIF($X:$X,CONCATENATE($AN54,BP$6),$W:$W)</f>
        <v>0</v>
      </c>
      <c r="BQ54" s="134" t="n">
        <f aca="false">SUMIF($X:$X,CONCATENATE($AN54,BQ$6),$W:$W)</f>
        <v>0</v>
      </c>
      <c r="BR54" s="135" t="n">
        <f aca="false">SUMIF($X:$X,CONCATENATE($AN54,BR$6),$W:$W)</f>
        <v>0</v>
      </c>
      <c r="BS54" s="208" t="n">
        <f aca="false">EOMONTH(BS53,0)+1</f>
        <v>38169</v>
      </c>
      <c r="BT54" s="135" t="n">
        <f aca="false">SUM(BF54:BR54)</f>
        <v>0</v>
      </c>
      <c r="BU54" s="2"/>
      <c r="BV54" s="2"/>
      <c r="BW54" s="2"/>
      <c r="BX54" s="2"/>
      <c r="BY54" s="2"/>
      <c r="BZ54" s="2"/>
      <c r="CA54" s="2"/>
      <c r="CB54" s="2"/>
      <c r="CC54" s="182" t="n">
        <f aca="false">G54</f>
        <v>36861</v>
      </c>
      <c r="CD54" s="253" t="e">
        <f aca="false">xSPRDOPT((VLOOKUP(G54,NGPrices,2,FALSE())+HLOOKUP(D54,Prices,VLOOKUP(G54,move_down,2,FALSE()),FALSE())),VLOOKUP(G54,NGPrices,2,FALSE()),I54,VLOOKUP(G54,NGPREVPRICES,4,FALSE()),HLOOKUP(D54,PREVVOLS,VLOOKUP(G54,MOVE_DOWN2,2,FALSE()),FALSE()),VLOOKUP(G54,NGPREVPRICES,3,FALSE()),HLOOKUP(D54,Correllate,VLOOKUP(G54,CorMove,2,FALSE()),FALSE()),Q54-$CD$3,R54,$CD$5)*H54-CJ54</f>
        <v>#NAME?</v>
      </c>
      <c r="CE54" s="253" t="e">
        <f aca="false">xSPRDOPT((VLOOKUP(G54,NGPREVPRICES,2,FALSE())+HLOOKUP(D54,PREVCURVES,VLOOKUP(G54,MOVE_DOWN2,2,FALSE()),FALSE())),VLOOKUP(G54,NGPREVPRICES,2,FALSE()),CK54,VLOOKUP(G54,NGPrices,4,FALSE()),HLOOKUP(D54,PREVVOLS,VLOOKUP(G54,MOVE_DOWN2,2,FALSE()),FALSE()),VLOOKUP(G54,NGPREVPRICES,3,FALSE()),HLOOKUP(D54,Correllate,VLOOKUP(G54,CorMove,2,FALSE()),FALSE()),Q54-$CD$3,R54,$CJ$5)*H54-CJ54</f>
        <v>#NAME?</v>
      </c>
      <c r="CF54" s="132" t="e">
        <f aca="false">(CJ54/VLOOKUP(CC54,discount,3,FALSE()))-(CJ54/VLOOKUP(CC54,discount,2,FALSE()))</f>
        <v>#NAME?</v>
      </c>
      <c r="CG54" s="253" t="e">
        <f aca="false">xSPRDOPT((VLOOKUP(G54,NGPREVPRICES,2,FALSE())+HLOOKUP(D54,PREVCURVES,VLOOKUP(G54,MOVE_DOWN2,2,FALSE()),FALSE())),VLOOKUP(G54,NGPREVPRICES,2,FALSE()),CK54,VLOOKUP(G54,NGPREVPRICES,4,FALSE()),HLOOKUP(D54,VOLS,VLOOKUP(G54,move_down,2,FALSE()),FALSE()),VLOOKUP(G54,NGPrices,3,FALSE()),HLOOKUP(D54,Correllate,VLOOKUP(G54,CorMove,2,FALSE()),FALSE()),Q54-$CD$3,R54,$CJ$5)*H54-CJ54</f>
        <v>#NAME?</v>
      </c>
      <c r="CH54" s="253" t="e">
        <f aca="false">xSPRDOPT((VLOOKUP(G54,NGPREVPRICES,2,FALSE())+HLOOKUP(D54,PREVCURVES,VLOOKUP(G54,MOVE_DOWN2,2,FALSE()),FALSE())),VLOOKUP(G54,NGPREVPRICES,2,FALSE()),CK54,VLOOKUP(G54,NGPREVPRICES,4,FALSE()),HLOOKUP(D54,PREVVOLS,VLOOKUP(G54,MOVE_DOWN2,2,FALSE()),FALSE()),VLOOKUP(G54,NGPREVPRICES,3,FALSE()),HLOOKUP(D54,Correllate,VLOOKUP(G54,CorMove,2,FALSE()),FALSE()),Q54-$C$3,R54,$CJ$5)*H54-CJ54</f>
        <v>#NAME?</v>
      </c>
      <c r="CI54" s="253" t="e">
        <f aca="false">SUM(CD54:CH54)</f>
        <v>#NAME?</v>
      </c>
      <c r="CJ54" s="253" t="e">
        <f aca="false">xSPRDOPT((VLOOKUP(G54,NGPREVPRICES,2,FALSE())+HLOOKUP(D54,PREVCURVES,VLOOKUP(G54,MOVE_DOWN2,2,FALSE()),FALSE())),VLOOKUP(G54,NGPREVPRICES,2,FALSE()),CK54,VLOOKUP(G54,NGPREVPRICES,4,FALSE()),HLOOKUP(D54,PREVVOLS,VLOOKUP(G54,MOVE_DOWN2,2,FALSE()),FALSE()),VLOOKUP(G54,NGPREVPRICES,3,FALSE()),HLOOKUP(D54,Correllate,VLOOKUP(G54,CorMove,2,FALSE()),FALSE()),Q54-$CD$3,R54,$CJ$5)*H54</f>
        <v>#NAME?</v>
      </c>
      <c r="CK54" s="254" t="n">
        <f aca="false">I54</f>
        <v>1</v>
      </c>
      <c r="CL54" s="253"/>
      <c r="CM54" s="0" t="str">
        <f aca="false">CONCATENATE(CC54,$CD$6)</f>
        <v>36861Curve Shift/Gamma</v>
      </c>
      <c r="CN54" s="0" t="str">
        <f aca="false">CONCATENATE($CC54,$CE$6)</f>
        <v>36861Rho</v>
      </c>
      <c r="CO54" s="0" t="str">
        <f aca="false">CONCATENATE($CC54,$CF$6)</f>
        <v>36861Drift</v>
      </c>
      <c r="CP54" s="0" t="str">
        <f aca="false">CONCATENATE($CC54,$CG$6)</f>
        <v>36861Vega</v>
      </c>
      <c r="CQ54" s="0" t="str">
        <f aca="false">CONCATENATE($CC54,$CH$6)</f>
        <v>36861Theta</v>
      </c>
    </row>
    <row r="55" customFormat="false" ht="12" hidden="false" customHeight="true" outlineLevel="0" collapsed="false">
      <c r="A55" s="17" t="s">
        <v>218</v>
      </c>
      <c r="B55" s="0" t="s">
        <v>192</v>
      </c>
      <c r="C55" s="0" t="s">
        <v>225</v>
      </c>
      <c r="D55" s="7" t="s">
        <v>149</v>
      </c>
      <c r="E55" s="0" t="s">
        <v>131</v>
      </c>
      <c r="F55" s="0" t="s">
        <v>132</v>
      </c>
      <c r="G55" s="92" t="n">
        <v>36951</v>
      </c>
      <c r="H55" s="248" t="n">
        <v>500000</v>
      </c>
      <c r="I55" s="0" t="n">
        <v>0.75</v>
      </c>
      <c r="J55" s="124" t="n">
        <f aca="false">VLOOKUP(G55,NGPrices,2,FALSE())</f>
        <v>4.213</v>
      </c>
      <c r="K55" s="125" t="n">
        <f aca="false">HLOOKUP(D55,Prices,VLOOKUP(G55,move_down,2,FALSE()),FALSE())+VLOOKUP(G55,CHANGE,HLOOKUP(D55,CHANGE,2,FALSE()),FALSE())</f>
        <v>1.075</v>
      </c>
      <c r="L55" s="124" t="n">
        <f aca="false">K55+J55</f>
        <v>5.288</v>
      </c>
      <c r="M55" s="126" t="n">
        <f aca="false">VLOOKUP(G55,NGPrices,4,FALSE())</f>
        <v>0.068879814952707</v>
      </c>
      <c r="N55" s="7" t="n">
        <f aca="false">VLOOKUP(G55,NGPrices,3,FALSE())</f>
        <v>0.5325</v>
      </c>
      <c r="O55" s="7" t="n">
        <f aca="false">HLOOKUP(D55,VOLS,VLOOKUP(G55,move_down,2,FALSE()),FALSE())</f>
        <v>0.612</v>
      </c>
      <c r="P55" s="249" t="n">
        <f aca="false">HLOOKUP(D55,Correllate,VLOOKUP(G55,CorMove,2,FALSE()),FALSE())</f>
        <v>0.83</v>
      </c>
      <c r="Q55" s="92" t="n">
        <f aca="false">WORKDAY(G55,-2)</f>
        <v>36949</v>
      </c>
      <c r="R55" s="7" t="n">
        <f aca="false">IF(F55="P",0,1)</f>
        <v>0</v>
      </c>
      <c r="S55" s="130" t="e">
        <f aca="false">xSPRDOPT($L55,$J55,$I55,$M55,$O55,$N55,$P55,$Q55-$C$3,$R55,0)</f>
        <v>#NAME?</v>
      </c>
      <c r="T55" s="250" t="e">
        <f aca="false">xSPRDOPT($L55,$J55,$I55,$M55,$O55,$N55,$P55,$Q55-$C$3,$R55,1)*H55</f>
        <v>#NAME?</v>
      </c>
      <c r="U55" s="43" t="e">
        <f aca="false">S55*H55</f>
        <v>#NAME?</v>
      </c>
      <c r="V55" s="250" t="e">
        <f aca="false">xSPRDOPT($L55,$J55,$I55,$M55,$O55,$N55,$P55,$Q55-$C$3,$R55,2)*H55</f>
        <v>#NAME?</v>
      </c>
      <c r="W55" s="250" t="e">
        <f aca="false">+V55+T55</f>
        <v>#NAME?</v>
      </c>
      <c r="X55" s="2" t="str">
        <f aca="false">CONCATENATE(G55,D55)</f>
        <v>36951IF-TRANSCO/Z6</v>
      </c>
      <c r="Y55" s="251" t="n">
        <f aca="false">H55/10000</f>
        <v>50</v>
      </c>
      <c r="Z55" s="226" t="e">
        <f aca="false">T55/H55</f>
        <v>#NAME?</v>
      </c>
      <c r="AA55" s="226" t="e">
        <f aca="false">xSPRDOPT($L55,$J55,$I55,$M55,$O55,$N55,$P55,$Q55-$C$3,$R55,3)</f>
        <v>#NAME?</v>
      </c>
      <c r="AB55" s="226" t="e">
        <f aca="false">((xSPRDOPT($L55+AB$5,$J55,$I55,$M55,$O55,$N55,$P55,$Q55-$C$3,$R55,3)*$H55)/10000)/100</f>
        <v>#NAME?</v>
      </c>
      <c r="AC55" s="226" t="e">
        <f aca="false">((xSPRDOPT($L55+$AB$5,$J55,$I55,$M55,$O55,$N55,$P55,$Q55-$C$3,$R55,7)*$H55)/100)</f>
        <v>#NAME?</v>
      </c>
      <c r="AD55" s="226" t="e">
        <f aca="false">(xSPRDOPT($L55+$AB$5,$J55,$I55,$M55,$O55,$N55,$P55,$Q55-$C$3,$R55,9)/365)*$H55</f>
        <v>#NAME?</v>
      </c>
      <c r="AE55" s="0" t="e">
        <f aca="false">CD55</f>
        <v>#NAME?</v>
      </c>
      <c r="AF55" s="226" t="e">
        <f aca="false">((O55/N55)*AH55)+AG55</f>
        <v>#NAME?</v>
      </c>
      <c r="AG55" s="226" t="e">
        <f aca="false">((xSPRDOPT($L55,$J55,$I55,$M55,$O55,$N55,$P55,$Q55-$C$3,$R55,6)*$H55)/100)</f>
        <v>#NAME?</v>
      </c>
      <c r="AH55" s="226" t="e">
        <f aca="false">((xSPRDOPT($L55,$J55,$I55,$M55,$O55,$N55,$P55,$Q55-$C$3,$R55,5)*$H55)/100)</f>
        <v>#NAME?</v>
      </c>
      <c r="AI55" s="226" t="e">
        <f aca="false">(((xSPRDOPT($L55,$J55,$I55,$M55,$O55,$N55,$P55,$Q55-$C$3,$R55,4)*$H55)/10000)/100)-AB55</f>
        <v>#NAME?</v>
      </c>
      <c r="AJ55" s="226"/>
      <c r="AK55" s="226"/>
      <c r="AL55" s="226"/>
      <c r="AM55" s="252"/>
      <c r="AN55" s="208" t="n">
        <f aca="false">EOMONTH(AN54,0)+1</f>
        <v>38200</v>
      </c>
      <c r="AO55" s="134" t="n">
        <f aca="false">SUMIF($X:$X,CONCATENATE($AN55,AO$6),$T:$T)/10000</f>
        <v>0</v>
      </c>
      <c r="AP55" s="134" t="n">
        <f aca="false">SUMIF($X:$X,CONCATENATE($AN55,AP$6),$T:$T)/10000</f>
        <v>0</v>
      </c>
      <c r="AQ55" s="134" t="n">
        <f aca="false">SUMIF($X:$X,CONCATENATE($AN55,AQ$6),$T:$T)/10000</f>
        <v>0</v>
      </c>
      <c r="AR55" s="134" t="n">
        <f aca="false">SUMIF($X:$X,CONCATENATE($AN55,AR$6),$T:$T)/10000</f>
        <v>0</v>
      </c>
      <c r="AS55" s="134" t="n">
        <f aca="false">SUMIF($X:$X,CONCATENATE($AN55,AS$6),$T:$T)/10000</f>
        <v>0</v>
      </c>
      <c r="AT55" s="134" t="n">
        <f aca="false">SUMIF($X:$X,CONCATENATE($AN55,AT$6),$T:$T)/10000</f>
        <v>0</v>
      </c>
      <c r="AU55" s="134" t="n">
        <f aca="false">SUMIF($X:$X,CONCATENATE($AN55,AU$6),$T:$T)/10000</f>
        <v>0</v>
      </c>
      <c r="AV55" s="134" t="n">
        <f aca="false">SUMIF($X:$X,CONCATENATE($AN55,AV$6),$T:$T)/10000</f>
        <v>0</v>
      </c>
      <c r="AW55" s="134" t="n">
        <f aca="false">SUMIF($X:$X,CONCATENATE($AN55,AW$6),$T:$T)/10000</f>
        <v>0</v>
      </c>
      <c r="AX55" s="134" t="n">
        <f aca="false">SUMIF($X:$X,CONCATENATE($AN55,AX$6),$T:$T)/10000</f>
        <v>0</v>
      </c>
      <c r="AY55" s="134" t="n">
        <f aca="false">SUMIF($X:$X,CONCATENATE($AN55,AY$6),$T:$T)/10000</f>
        <v>0</v>
      </c>
      <c r="AZ55" s="134" t="n">
        <f aca="false">SUMIF($X:$X,CONCATENATE($AN55,AZ$6),$T:$T)/10000</f>
        <v>0</v>
      </c>
      <c r="BA55" s="135" t="n">
        <f aca="false">SUMIF($X:$X,CONCATENATE($AN55,BA$6),$T:$T)/10000</f>
        <v>0</v>
      </c>
      <c r="BB55" s="208" t="n">
        <f aca="false">EOMONTH(BB54,0)+1</f>
        <v>38200</v>
      </c>
      <c r="BC55" s="135" t="n">
        <f aca="false">SUM(AO55:BA55)</f>
        <v>0</v>
      </c>
      <c r="BD55" s="2"/>
      <c r="BE55" s="208" t="n">
        <f aca="false">EOMONTH(BE54,0)+1</f>
        <v>38200</v>
      </c>
      <c r="BF55" s="134" t="n">
        <f aca="false">SUMIF($X:$X,CONCATENATE($AN55,BF$6),$W:$W)</f>
        <v>0</v>
      </c>
      <c r="BG55" s="134" t="n">
        <f aca="false">SUMIF($X:$X,CONCATENATE($AN55,BG$6),$W:$W)</f>
        <v>0</v>
      </c>
      <c r="BH55" s="134" t="n">
        <f aca="false">SUMIF($X:$X,CONCATENATE($AN55,BH$6),$W:$W)</f>
        <v>0</v>
      </c>
      <c r="BI55" s="134" t="n">
        <f aca="false">SUMIF($X:$X,CONCATENATE($AN55,BI$6),$W:$W)</f>
        <v>0</v>
      </c>
      <c r="BJ55" s="134" t="n">
        <f aca="false">SUMIF($X:$X,CONCATENATE($AN55,BJ$6),$W:$W)</f>
        <v>0</v>
      </c>
      <c r="BK55" s="134" t="n">
        <f aca="false">SUMIF($X:$X,CONCATENATE($AN55,BK$6),$W:$W)</f>
        <v>0</v>
      </c>
      <c r="BL55" s="134" t="n">
        <f aca="false">SUMIF($X:$X,CONCATENATE($AN55,BL$6),$W:$W)</f>
        <v>0</v>
      </c>
      <c r="BM55" s="134" t="n">
        <f aca="false">SUMIF($X:$X,CONCATENATE($AN55,BM$6),$W:$W)</f>
        <v>0</v>
      </c>
      <c r="BN55" s="134" t="n">
        <f aca="false">SUMIF($X:$X,CONCATENATE($AN55,BN$6),$W:$W)</f>
        <v>0</v>
      </c>
      <c r="BO55" s="134" t="n">
        <f aca="false">SUMIF($X:$X,CONCATENATE($AN55,BO$6),$W:$W)</f>
        <v>0</v>
      </c>
      <c r="BP55" s="134" t="n">
        <f aca="false">SUMIF($X:$X,CONCATENATE($AN55,BP$6),$W:$W)</f>
        <v>0</v>
      </c>
      <c r="BQ55" s="134" t="n">
        <f aca="false">SUMIF($X:$X,CONCATENATE($AN55,BQ$6),$W:$W)</f>
        <v>0</v>
      </c>
      <c r="BR55" s="135" t="n">
        <f aca="false">SUMIF($X:$X,CONCATENATE($AN55,BR$6),$W:$W)</f>
        <v>0</v>
      </c>
      <c r="BS55" s="208" t="n">
        <f aca="false">EOMONTH(BS54,0)+1</f>
        <v>38200</v>
      </c>
      <c r="BT55" s="135" t="n">
        <f aca="false">SUM(BF55:BR55)</f>
        <v>0</v>
      </c>
      <c r="BU55" s="2"/>
      <c r="BV55" s="2"/>
      <c r="BW55" s="2"/>
      <c r="BX55" s="2"/>
      <c r="BY55" s="2"/>
      <c r="BZ55" s="2"/>
      <c r="CA55" s="2"/>
      <c r="CB55" s="2"/>
      <c r="CC55" s="182" t="n">
        <f aca="false">G55</f>
        <v>36951</v>
      </c>
      <c r="CD55" s="253" t="e">
        <f aca="false">xSPRDOPT((VLOOKUP(G55,NGPrices,2,FALSE())+HLOOKUP(D55,Prices,VLOOKUP(G55,move_down,2,FALSE()),FALSE())),VLOOKUP(G55,NGPrices,2,FALSE()),I55,VLOOKUP(G55,NGPREVPRICES,4,FALSE()),HLOOKUP(D55,PREVVOLS,VLOOKUP(G55,MOVE_DOWN2,2,FALSE()),FALSE()),VLOOKUP(G55,NGPREVPRICES,3,FALSE()),HLOOKUP(D55,Correllate,VLOOKUP(G55,CorMove,2,FALSE()),FALSE()),Q55-$CD$3,R55,$CD$5)*H55-CJ55</f>
        <v>#NAME?</v>
      </c>
      <c r="CE55" s="253" t="e">
        <f aca="false">xSPRDOPT((VLOOKUP(G55,NGPREVPRICES,2,FALSE())+HLOOKUP(D55,PREVCURVES,VLOOKUP(G55,MOVE_DOWN2,2,FALSE()),FALSE())),VLOOKUP(G55,NGPREVPRICES,2,FALSE()),CK55,VLOOKUP(G55,NGPrices,4,FALSE()),HLOOKUP(D55,PREVVOLS,VLOOKUP(G55,MOVE_DOWN2,2,FALSE()),FALSE()),VLOOKUP(G55,NGPREVPRICES,3,FALSE()),HLOOKUP(D55,Correllate,VLOOKUP(G55,CorMove,2,FALSE()),FALSE()),Q55-$CD$3,R55,$CJ$5)*H55-CJ55</f>
        <v>#NAME?</v>
      </c>
      <c r="CF55" s="132" t="e">
        <f aca="false">(CJ55/VLOOKUP(CC55,discount,3,FALSE()))-(CJ55/VLOOKUP(CC55,discount,2,FALSE()))</f>
        <v>#NAME?</v>
      </c>
      <c r="CG55" s="253" t="e">
        <f aca="false">xSPRDOPT((VLOOKUP(G55,NGPREVPRICES,2,FALSE())+HLOOKUP(D55,PREVCURVES,VLOOKUP(G55,MOVE_DOWN2,2,FALSE()),FALSE())),VLOOKUP(G55,NGPREVPRICES,2,FALSE()),CK55,VLOOKUP(G55,NGPREVPRICES,4,FALSE()),HLOOKUP(D55,VOLS,VLOOKUP(G55,move_down,2,FALSE()),FALSE()),VLOOKUP(G55,NGPrices,3,FALSE()),HLOOKUP(D55,Correllate,VLOOKUP(G55,CorMove,2,FALSE()),FALSE()),Q55-$CD$3,R55,$CJ$5)*H55-CJ55</f>
        <v>#NAME?</v>
      </c>
      <c r="CH55" s="253" t="e">
        <f aca="false">xSPRDOPT((VLOOKUP(G55,NGPREVPRICES,2,FALSE())+HLOOKUP(D55,PREVCURVES,VLOOKUP(G55,MOVE_DOWN2,2,FALSE()),FALSE())),VLOOKUP(G55,NGPREVPRICES,2,FALSE()),CK55,VLOOKUP(G55,NGPREVPRICES,4,FALSE()),HLOOKUP(D55,PREVVOLS,VLOOKUP(G55,MOVE_DOWN2,2,FALSE()),FALSE()),VLOOKUP(G55,NGPREVPRICES,3,FALSE()),HLOOKUP(D55,Correllate,VLOOKUP(G55,CorMove,2,FALSE()),FALSE()),Q55-$C$3,R55,$CJ$5)*H55-CJ55</f>
        <v>#NAME?</v>
      </c>
      <c r="CI55" s="253" t="e">
        <f aca="false">SUM(CD55:CH55)</f>
        <v>#NAME?</v>
      </c>
      <c r="CJ55" s="253" t="e">
        <f aca="false">xSPRDOPT((VLOOKUP(G55,NGPREVPRICES,2,FALSE())+HLOOKUP(D55,PREVCURVES,VLOOKUP(G55,MOVE_DOWN2,2,FALSE()),FALSE())),VLOOKUP(G55,NGPREVPRICES,2,FALSE()),CK55,VLOOKUP(G55,NGPREVPRICES,4,FALSE()),HLOOKUP(D55,PREVVOLS,VLOOKUP(G55,MOVE_DOWN2,2,FALSE()),FALSE()),VLOOKUP(G55,NGPREVPRICES,3,FALSE()),HLOOKUP(D55,Correllate,VLOOKUP(G55,CorMove,2,FALSE()),FALSE()),Q55-$CD$3,R55,$CJ$5)*H55</f>
        <v>#NAME?</v>
      </c>
      <c r="CK55" s="254" t="n">
        <f aca="false">I55</f>
        <v>0.75</v>
      </c>
      <c r="CL55" s="253"/>
      <c r="CM55" s="0" t="str">
        <f aca="false">CONCATENATE(CC55,$CD$6)</f>
        <v>36951Curve Shift/Gamma</v>
      </c>
      <c r="CN55" s="0" t="str">
        <f aca="false">CONCATENATE($CC55,$CE$6)</f>
        <v>36951Rho</v>
      </c>
      <c r="CO55" s="0" t="str">
        <f aca="false">CONCATENATE($CC55,$CF$6)</f>
        <v>36951Drift</v>
      </c>
      <c r="CP55" s="0" t="str">
        <f aca="false">CONCATENATE($CC55,$CG$6)</f>
        <v>36951Vega</v>
      </c>
      <c r="CQ55" s="0" t="str">
        <f aca="false">CONCATENATE($CC55,$CH$6)</f>
        <v>36951Theta</v>
      </c>
    </row>
    <row r="56" customFormat="false" ht="12" hidden="false" customHeight="true" outlineLevel="0" collapsed="false">
      <c r="A56" s="17" t="s">
        <v>218</v>
      </c>
      <c r="B56" s="0" t="s">
        <v>192</v>
      </c>
      <c r="C56" s="0" t="s">
        <v>225</v>
      </c>
      <c r="D56" s="7" t="s">
        <v>149</v>
      </c>
      <c r="E56" s="0" t="s">
        <v>131</v>
      </c>
      <c r="F56" s="0" t="s">
        <v>132</v>
      </c>
      <c r="G56" s="92" t="n">
        <v>36923</v>
      </c>
      <c r="H56" s="248" t="n">
        <v>500000</v>
      </c>
      <c r="I56" s="0" t="n">
        <v>0.75</v>
      </c>
      <c r="J56" s="124" t="n">
        <f aca="false">VLOOKUP(G56,NGPrices,2,FALSE())</f>
        <v>4.48</v>
      </c>
      <c r="K56" s="125" t="n">
        <f aca="false">HLOOKUP(D56,Prices,VLOOKUP(G56,move_down,2,FALSE()),FALSE())+VLOOKUP(G56,CHANGE,HLOOKUP(D56,CHANGE,2,FALSE()),FALSE())</f>
        <v>2.09</v>
      </c>
      <c r="L56" s="124" t="n">
        <f aca="false">K56+J56</f>
        <v>6.57</v>
      </c>
      <c r="M56" s="126" t="n">
        <f aca="false">VLOOKUP(G56,NGPrices,4,FALSE())</f>
        <v>0.068640161611372</v>
      </c>
      <c r="N56" s="7" t="n">
        <f aca="false">VLOOKUP(G56,NGPrices,3,FALSE())</f>
        <v>0.5925</v>
      </c>
      <c r="O56" s="7" t="n">
        <f aca="false">HLOOKUP(D56,VOLS,VLOOKUP(G56,move_down,2,FALSE()),FALSE())</f>
        <v>0.681</v>
      </c>
      <c r="P56" s="249" t="n">
        <f aca="false">HLOOKUP(D56,Correllate,VLOOKUP(G56,CorMove,2,FALSE()),FALSE())</f>
        <v>0.83</v>
      </c>
      <c r="Q56" s="92" t="n">
        <f aca="false">WORKDAY(G56,-2)</f>
        <v>36921</v>
      </c>
      <c r="R56" s="7" t="n">
        <f aca="false">IF(F56="P",0,1)</f>
        <v>0</v>
      </c>
      <c r="S56" s="130" t="e">
        <f aca="false">xSPRDOPT($L56,$J56,$I56,$M56,$O56,$N56,$P56,$Q56-$C$3,$R56,0)</f>
        <v>#NAME?</v>
      </c>
      <c r="T56" s="250" t="e">
        <f aca="false">xSPRDOPT($L56,$J56,$I56,$M56,$O56,$N56,$P56,$Q56-$C$3,$R56,1)*H56</f>
        <v>#NAME?</v>
      </c>
      <c r="U56" s="43" t="e">
        <f aca="false">S56*H56</f>
        <v>#NAME?</v>
      </c>
      <c r="V56" s="250" t="e">
        <f aca="false">xSPRDOPT($L56,$J56,$I56,$M56,$O56,$N56,$P56,$Q56-$C$3,$R56,2)*H56</f>
        <v>#NAME?</v>
      </c>
      <c r="W56" s="250" t="e">
        <f aca="false">+V56+T56</f>
        <v>#NAME?</v>
      </c>
      <c r="X56" s="2" t="str">
        <f aca="false">CONCATENATE(G56,D56)</f>
        <v>36923IF-TRANSCO/Z6</v>
      </c>
      <c r="Y56" s="251" t="n">
        <f aca="false">H56/10000</f>
        <v>50</v>
      </c>
      <c r="Z56" s="226" t="e">
        <f aca="false">T56/H56</f>
        <v>#NAME?</v>
      </c>
      <c r="AA56" s="226" t="e">
        <f aca="false">xSPRDOPT($L56,$J56,$I56,$M56,$O56,$N56,$P56,$Q56-$C$3,$R56,3)</f>
        <v>#NAME?</v>
      </c>
      <c r="AB56" s="226" t="e">
        <f aca="false">((xSPRDOPT($L56+AB$5,$J56,$I56,$M56,$O56,$N56,$P56,$Q56-$C$3,$R56,3)*$H56)/10000)/100</f>
        <v>#NAME?</v>
      </c>
      <c r="AC56" s="226" t="e">
        <f aca="false">((xSPRDOPT($L56+$AB$5,$J56,$I56,$M56,$O56,$N56,$P56,$Q56-$C$3,$R56,7)*$H56)/100)</f>
        <v>#NAME?</v>
      </c>
      <c r="AD56" s="226" t="e">
        <f aca="false">(xSPRDOPT($L56+$AB$5,$J56,$I56,$M56,$O56,$N56,$P56,$Q56-$C$3,$R56,9)/365)*$H56</f>
        <v>#NAME?</v>
      </c>
      <c r="AE56" s="0" t="e">
        <f aca="false">CD56</f>
        <v>#NAME?</v>
      </c>
      <c r="AF56" s="226" t="e">
        <f aca="false">((O56/N56)*AH56)+AG56</f>
        <v>#NAME?</v>
      </c>
      <c r="AG56" s="226" t="e">
        <f aca="false">((xSPRDOPT($L56,$J56,$I56,$M56,$O56,$N56,$P56,$Q56-$C$3,$R56,6)*$H56)/100)</f>
        <v>#NAME?</v>
      </c>
      <c r="AH56" s="226" t="e">
        <f aca="false">((xSPRDOPT($L56,$J56,$I56,$M56,$O56,$N56,$P56,$Q56-$C$3,$R56,5)*$H56)/100)</f>
        <v>#NAME?</v>
      </c>
      <c r="AI56" s="226" t="e">
        <f aca="false">(((xSPRDOPT($L56,$J56,$I56,$M56,$O56,$N56,$P56,$Q56-$C$3,$R56,4)*$H56)/10000)/100)-AB56</f>
        <v>#NAME?</v>
      </c>
      <c r="AJ56" s="226"/>
      <c r="AK56" s="226"/>
      <c r="AL56" s="226"/>
      <c r="AM56" s="252"/>
      <c r="AN56" s="208" t="n">
        <f aca="false">EOMONTH(AN55,0)+1</f>
        <v>38231</v>
      </c>
      <c r="AO56" s="134" t="n">
        <f aca="false">SUMIF($X:$X,CONCATENATE($AN56,AO$6),$T:$T)/10000</f>
        <v>0</v>
      </c>
      <c r="AP56" s="134" t="n">
        <f aca="false">SUMIF($X:$X,CONCATENATE($AN56,AP$6),$T:$T)/10000</f>
        <v>0</v>
      </c>
      <c r="AQ56" s="134" t="n">
        <f aca="false">SUMIF($X:$X,CONCATENATE($AN56,AQ$6),$T:$T)/10000</f>
        <v>0</v>
      </c>
      <c r="AR56" s="134" t="n">
        <f aca="false">SUMIF($X:$X,CONCATENATE($AN56,AR$6),$T:$T)/10000</f>
        <v>0</v>
      </c>
      <c r="AS56" s="134" t="n">
        <f aca="false">SUMIF($X:$X,CONCATENATE($AN56,AS$6),$T:$T)/10000</f>
        <v>0</v>
      </c>
      <c r="AT56" s="134" t="n">
        <f aca="false">SUMIF($X:$X,CONCATENATE($AN56,AT$6),$T:$T)/10000</f>
        <v>0</v>
      </c>
      <c r="AU56" s="134" t="n">
        <f aca="false">SUMIF($X:$X,CONCATENATE($AN56,AU$6),$T:$T)/10000</f>
        <v>0</v>
      </c>
      <c r="AV56" s="134" t="n">
        <f aca="false">SUMIF($X:$X,CONCATENATE($AN56,AV$6),$T:$T)/10000</f>
        <v>0</v>
      </c>
      <c r="AW56" s="134" t="n">
        <f aca="false">SUMIF($X:$X,CONCATENATE($AN56,AW$6),$T:$T)/10000</f>
        <v>0</v>
      </c>
      <c r="AX56" s="134" t="n">
        <f aca="false">SUMIF($X:$X,CONCATENATE($AN56,AX$6),$T:$T)/10000</f>
        <v>0</v>
      </c>
      <c r="AY56" s="134" t="n">
        <f aca="false">SUMIF($X:$X,CONCATENATE($AN56,AY$6),$T:$T)/10000</f>
        <v>0</v>
      </c>
      <c r="AZ56" s="134" t="n">
        <f aca="false">SUMIF($X:$X,CONCATENATE($AN56,AZ$6),$T:$T)/10000</f>
        <v>0</v>
      </c>
      <c r="BA56" s="135" t="n">
        <f aca="false">SUMIF($X:$X,CONCATENATE($AN56,BA$6),$T:$T)/10000</f>
        <v>0</v>
      </c>
      <c r="BB56" s="208" t="n">
        <f aca="false">EOMONTH(BB55,0)+1</f>
        <v>38231</v>
      </c>
      <c r="BC56" s="135" t="n">
        <f aca="false">SUM(AO56:BA56)</f>
        <v>0</v>
      </c>
      <c r="BD56" s="2"/>
      <c r="BE56" s="208" t="n">
        <f aca="false">EOMONTH(BE55,0)+1</f>
        <v>38231</v>
      </c>
      <c r="BF56" s="134" t="n">
        <f aca="false">SUMIF($X:$X,CONCATENATE($AN56,BF$6),$W:$W)</f>
        <v>0</v>
      </c>
      <c r="BG56" s="134" t="n">
        <f aca="false">SUMIF($X:$X,CONCATENATE($AN56,BG$6),$W:$W)</f>
        <v>0</v>
      </c>
      <c r="BH56" s="134" t="n">
        <f aca="false">SUMIF($X:$X,CONCATENATE($AN56,BH$6),$W:$W)</f>
        <v>0</v>
      </c>
      <c r="BI56" s="134" t="n">
        <f aca="false">SUMIF($X:$X,CONCATENATE($AN56,BI$6),$W:$W)</f>
        <v>0</v>
      </c>
      <c r="BJ56" s="134" t="n">
        <f aca="false">SUMIF($X:$X,CONCATENATE($AN56,BJ$6),$W:$W)</f>
        <v>0</v>
      </c>
      <c r="BK56" s="134" t="n">
        <f aca="false">SUMIF($X:$X,CONCATENATE($AN56,BK$6),$W:$W)</f>
        <v>0</v>
      </c>
      <c r="BL56" s="134" t="n">
        <f aca="false">SUMIF($X:$X,CONCATENATE($AN56,BL$6),$W:$W)</f>
        <v>0</v>
      </c>
      <c r="BM56" s="134" t="n">
        <f aca="false">SUMIF($X:$X,CONCATENATE($AN56,BM$6),$W:$W)</f>
        <v>0</v>
      </c>
      <c r="BN56" s="134" t="n">
        <f aca="false">SUMIF($X:$X,CONCATENATE($AN56,BN$6),$W:$W)</f>
        <v>0</v>
      </c>
      <c r="BO56" s="134" t="n">
        <f aca="false">SUMIF($X:$X,CONCATENATE($AN56,BO$6),$W:$W)</f>
        <v>0</v>
      </c>
      <c r="BP56" s="134" t="n">
        <f aca="false">SUMIF($X:$X,CONCATENATE($AN56,BP$6),$W:$W)</f>
        <v>0</v>
      </c>
      <c r="BQ56" s="134" t="n">
        <f aca="false">SUMIF($X:$X,CONCATENATE($AN56,BQ$6),$W:$W)</f>
        <v>0</v>
      </c>
      <c r="BR56" s="135" t="n">
        <f aca="false">SUMIF($X:$X,CONCATENATE($AN56,BR$6),$W:$W)</f>
        <v>0</v>
      </c>
      <c r="BS56" s="208" t="n">
        <f aca="false">EOMONTH(BS55,0)+1</f>
        <v>38231</v>
      </c>
      <c r="BT56" s="135" t="n">
        <f aca="false">SUM(BF56:BR56)</f>
        <v>0</v>
      </c>
      <c r="BU56" s="2"/>
      <c r="BV56" s="2"/>
      <c r="BW56" s="2"/>
      <c r="BX56" s="2"/>
      <c r="BY56" s="2"/>
      <c r="BZ56" s="2"/>
      <c r="CA56" s="2"/>
      <c r="CB56" s="2"/>
      <c r="CC56" s="182" t="n">
        <f aca="false">G56</f>
        <v>36923</v>
      </c>
      <c r="CD56" s="253" t="e">
        <f aca="false">xSPRDOPT((VLOOKUP(G56,NGPrices,2,FALSE())+HLOOKUP(D56,Prices,VLOOKUP(G56,move_down,2,FALSE()),FALSE())),VLOOKUP(G56,NGPrices,2,FALSE()),I56,VLOOKUP(G56,NGPREVPRICES,4,FALSE()),HLOOKUP(D56,PREVVOLS,VLOOKUP(G56,MOVE_DOWN2,2,FALSE()),FALSE()),VLOOKUP(G56,NGPREVPRICES,3,FALSE()),HLOOKUP(D56,Correllate,VLOOKUP(G56,CorMove,2,FALSE()),FALSE()),Q56-$CD$3,R56,$CD$5)*H56-CJ56</f>
        <v>#NAME?</v>
      </c>
      <c r="CE56" s="253" t="e">
        <f aca="false">xSPRDOPT((VLOOKUP(G56,NGPREVPRICES,2,FALSE())+HLOOKUP(D56,PREVCURVES,VLOOKUP(G56,MOVE_DOWN2,2,FALSE()),FALSE())),VLOOKUP(G56,NGPREVPRICES,2,FALSE()),CK56,VLOOKUP(G56,NGPrices,4,FALSE()),HLOOKUP(D56,PREVVOLS,VLOOKUP(G56,MOVE_DOWN2,2,FALSE()),FALSE()),VLOOKUP(G56,NGPREVPRICES,3,FALSE()),HLOOKUP(D56,Correllate,VLOOKUP(G56,CorMove,2,FALSE()),FALSE()),Q56-$CD$3,R56,$CJ$5)*H56-CJ56</f>
        <v>#NAME?</v>
      </c>
      <c r="CF56" s="132" t="e">
        <f aca="false">(CJ56/VLOOKUP(CC56,discount,3,FALSE()))-(CJ56/VLOOKUP(CC56,discount,2,FALSE()))</f>
        <v>#NAME?</v>
      </c>
      <c r="CG56" s="253" t="e">
        <f aca="false">xSPRDOPT((VLOOKUP(G56,NGPREVPRICES,2,FALSE())+HLOOKUP(D56,PREVCURVES,VLOOKUP(G56,MOVE_DOWN2,2,FALSE()),FALSE())),VLOOKUP(G56,NGPREVPRICES,2,FALSE()),CK56,VLOOKUP(G56,NGPREVPRICES,4,FALSE()),HLOOKUP(D56,VOLS,VLOOKUP(G56,move_down,2,FALSE()),FALSE()),VLOOKUP(G56,NGPrices,3,FALSE()),HLOOKUP(D56,Correllate,VLOOKUP(G56,CorMove,2,FALSE()),FALSE()),Q56-$CD$3,R56,$CJ$5)*H56-CJ56</f>
        <v>#NAME?</v>
      </c>
      <c r="CH56" s="253" t="e">
        <f aca="false">xSPRDOPT((VLOOKUP(G56,NGPREVPRICES,2,FALSE())+HLOOKUP(D56,PREVCURVES,VLOOKUP(G56,MOVE_DOWN2,2,FALSE()),FALSE())),VLOOKUP(G56,NGPREVPRICES,2,FALSE()),CK56,VLOOKUP(G56,NGPREVPRICES,4,FALSE()),HLOOKUP(D56,PREVVOLS,VLOOKUP(G56,MOVE_DOWN2,2,FALSE()),FALSE()),VLOOKUP(G56,NGPREVPRICES,3,FALSE()),HLOOKUP(D56,Correllate,VLOOKUP(G56,CorMove,2,FALSE()),FALSE()),Q56-$C$3,R56,$CJ$5)*H56-CJ56</f>
        <v>#NAME?</v>
      </c>
      <c r="CI56" s="253" t="e">
        <f aca="false">SUM(CD56:CH56)</f>
        <v>#NAME?</v>
      </c>
      <c r="CJ56" s="253" t="e">
        <f aca="false">xSPRDOPT((VLOOKUP(G56,NGPREVPRICES,2,FALSE())+HLOOKUP(D56,PREVCURVES,VLOOKUP(G56,MOVE_DOWN2,2,FALSE()),FALSE())),VLOOKUP(G56,NGPREVPRICES,2,FALSE()),CK56,VLOOKUP(G56,NGPREVPRICES,4,FALSE()),HLOOKUP(D56,PREVVOLS,VLOOKUP(G56,MOVE_DOWN2,2,FALSE()),FALSE()),VLOOKUP(G56,NGPREVPRICES,3,FALSE()),HLOOKUP(D56,Correllate,VLOOKUP(G56,CorMove,2,FALSE()),FALSE()),Q56-$CD$3,R56,$CJ$5)*H56</f>
        <v>#NAME?</v>
      </c>
      <c r="CK56" s="254" t="n">
        <f aca="false">I56</f>
        <v>0.75</v>
      </c>
      <c r="CL56" s="253"/>
      <c r="CM56" s="0" t="str">
        <f aca="false">CONCATENATE(CC56,$CD$6)</f>
        <v>36923Curve Shift/Gamma</v>
      </c>
      <c r="CN56" s="0" t="str">
        <f aca="false">CONCATENATE($CC56,$CE$6)</f>
        <v>36923Rho</v>
      </c>
      <c r="CO56" s="0" t="str">
        <f aca="false">CONCATENATE($CC56,$CF$6)</f>
        <v>36923Drift</v>
      </c>
      <c r="CP56" s="0" t="str">
        <f aca="false">CONCATENATE($CC56,$CG$6)</f>
        <v>36923Vega</v>
      </c>
      <c r="CQ56" s="0" t="str">
        <f aca="false">CONCATENATE($CC56,$CH$6)</f>
        <v>36923Theta</v>
      </c>
    </row>
    <row r="57" customFormat="false" ht="12" hidden="false" customHeight="true" outlineLevel="0" collapsed="false">
      <c r="A57" s="17" t="s">
        <v>218</v>
      </c>
      <c r="B57" s="0" t="s">
        <v>192</v>
      </c>
      <c r="C57" s="0" t="s">
        <v>225</v>
      </c>
      <c r="D57" s="7" t="s">
        <v>149</v>
      </c>
      <c r="E57" s="0" t="s">
        <v>131</v>
      </c>
      <c r="F57" s="0" t="s">
        <v>132</v>
      </c>
      <c r="G57" s="92" t="n">
        <v>36892</v>
      </c>
      <c r="H57" s="248" t="n">
        <v>500000</v>
      </c>
      <c r="I57" s="0" t="n">
        <v>0.75</v>
      </c>
      <c r="J57" s="124" t="n">
        <f aca="false">VLOOKUP(G57,NGPrices,2,FALSE())</f>
        <v>4.744</v>
      </c>
      <c r="K57" s="125" t="n">
        <f aca="false">HLOOKUP(D57,Prices,VLOOKUP(G57,move_down,2,FALSE()),FALSE())+VLOOKUP(G57,CHANGE,HLOOKUP(D57,CHANGE,2,FALSE()),FALSE())</f>
        <v>2.17</v>
      </c>
      <c r="L57" s="124" t="n">
        <f aca="false">K57+J57</f>
        <v>6.914</v>
      </c>
      <c r="M57" s="126" t="n">
        <f aca="false">VLOOKUP(G57,NGPrices,4,FALSE())</f>
        <v>0.068374831148491</v>
      </c>
      <c r="N57" s="7" t="n">
        <f aca="false">VLOOKUP(G57,NGPrices,3,FALSE())</f>
        <v>0.605</v>
      </c>
      <c r="O57" s="7" t="n">
        <f aca="false">HLOOKUP(D57,VOLS,VLOOKUP(G57,move_down,2,FALSE()),FALSE())</f>
        <v>0.696</v>
      </c>
      <c r="P57" s="249" t="n">
        <f aca="false">HLOOKUP(D57,Correllate,VLOOKUP(G57,CorMove,2,FALSE()),FALSE())</f>
        <v>0.83</v>
      </c>
      <c r="Q57" s="92" t="n">
        <f aca="false">WORKDAY(G57,-2)</f>
        <v>36888</v>
      </c>
      <c r="R57" s="7" t="n">
        <f aca="false">IF(F57="P",0,1)</f>
        <v>0</v>
      </c>
      <c r="S57" s="130" t="e">
        <f aca="false">xSPRDOPT($L57,$J57,$I57,$M57,$O57,$N57,$P57,$Q57-$C$3,$R57,0)</f>
        <v>#NAME?</v>
      </c>
      <c r="T57" s="250" t="e">
        <f aca="false">xSPRDOPT($L57,$J57,$I57,$M57,$O57,$N57,$P57,$Q57-$C$3,$R57,1)*H57</f>
        <v>#NAME?</v>
      </c>
      <c r="U57" s="43" t="e">
        <f aca="false">S57*H57</f>
        <v>#NAME?</v>
      </c>
      <c r="V57" s="250" t="e">
        <f aca="false">xSPRDOPT($L57,$J57,$I57,$M57,$O57,$N57,$P57,$Q57-$C$3,$R57,2)*H57</f>
        <v>#NAME?</v>
      </c>
      <c r="W57" s="250" t="e">
        <f aca="false">+V57+T57</f>
        <v>#NAME?</v>
      </c>
      <c r="X57" s="2" t="str">
        <f aca="false">CONCATENATE(G57,D57)</f>
        <v>36892IF-TRANSCO/Z6</v>
      </c>
      <c r="Y57" s="251" t="n">
        <f aca="false">H57/10000</f>
        <v>50</v>
      </c>
      <c r="Z57" s="226" t="e">
        <f aca="false">T57/H57</f>
        <v>#NAME?</v>
      </c>
      <c r="AA57" s="226" t="e">
        <f aca="false">xSPRDOPT($L57,$J57,$I57,$M57,$O57,$N57,$P57,$Q57-$C$3,$R57,3)</f>
        <v>#NAME?</v>
      </c>
      <c r="AB57" s="226" t="e">
        <f aca="false">((xSPRDOPT($L57+AB$5,$J57,$I57,$M57,$O57,$N57,$P57,$Q57-$C$3,$R57,3)*$H57)/10000)/100</f>
        <v>#NAME?</v>
      </c>
      <c r="AC57" s="226" t="e">
        <f aca="false">((xSPRDOPT($L57+$AB$5,$J57,$I57,$M57,$O57,$N57,$P57,$Q57-$C$3,$R57,7)*$H57)/100)</f>
        <v>#NAME?</v>
      </c>
      <c r="AD57" s="226" t="e">
        <f aca="false">(xSPRDOPT($L57+$AB$5,$J57,$I57,$M57,$O57,$N57,$P57,$Q57-$C$3,$R57,9)/365)*$H57</f>
        <v>#NAME?</v>
      </c>
      <c r="AE57" s="0" t="e">
        <f aca="false">CD57</f>
        <v>#NAME?</v>
      </c>
      <c r="AF57" s="226" t="e">
        <f aca="false">((O57/N57)*AH57)+AG57</f>
        <v>#NAME?</v>
      </c>
      <c r="AG57" s="226" t="e">
        <f aca="false">((xSPRDOPT($L57,$J57,$I57,$M57,$O57,$N57,$P57,$Q57-$C$3,$R57,6)*$H57)/100)</f>
        <v>#NAME?</v>
      </c>
      <c r="AH57" s="226" t="e">
        <f aca="false">((xSPRDOPT($L57,$J57,$I57,$M57,$O57,$N57,$P57,$Q57-$C$3,$R57,5)*$H57)/100)</f>
        <v>#NAME?</v>
      </c>
      <c r="AI57" s="226" t="e">
        <f aca="false">(((xSPRDOPT($L57,$J57,$I57,$M57,$O57,$N57,$P57,$Q57-$C$3,$R57,4)*$H57)/10000)/100)-AB57</f>
        <v>#NAME?</v>
      </c>
      <c r="AJ57" s="226"/>
      <c r="AK57" s="226"/>
      <c r="AL57" s="226"/>
      <c r="AM57" s="252"/>
      <c r="AN57" s="208" t="n">
        <f aca="false">EOMONTH(AN56,0)+1</f>
        <v>38261</v>
      </c>
      <c r="AO57" s="134" t="n">
        <f aca="false">SUMIF($X:$X,CONCATENATE($AN57,AO$6),$T:$T)/10000</f>
        <v>0</v>
      </c>
      <c r="AP57" s="134" t="n">
        <f aca="false">SUMIF($X:$X,CONCATENATE($AN57,AP$6),$T:$T)/10000</f>
        <v>0</v>
      </c>
      <c r="AQ57" s="134" t="n">
        <f aca="false">SUMIF($X:$X,CONCATENATE($AN57,AQ$6),$T:$T)/10000</f>
        <v>0</v>
      </c>
      <c r="AR57" s="134" t="n">
        <f aca="false">SUMIF($X:$X,CONCATENATE($AN57,AR$6),$T:$T)/10000</f>
        <v>0</v>
      </c>
      <c r="AS57" s="134" t="n">
        <f aca="false">SUMIF($X:$X,CONCATENATE($AN57,AS$6),$T:$T)/10000</f>
        <v>0</v>
      </c>
      <c r="AT57" s="134" t="n">
        <f aca="false">SUMIF($X:$X,CONCATENATE($AN57,AT$6),$T:$T)/10000</f>
        <v>0</v>
      </c>
      <c r="AU57" s="134" t="n">
        <f aca="false">SUMIF($X:$X,CONCATENATE($AN57,AU$6),$T:$T)/10000</f>
        <v>0</v>
      </c>
      <c r="AV57" s="134" t="n">
        <f aca="false">SUMIF($X:$X,CONCATENATE($AN57,AV$6),$T:$T)/10000</f>
        <v>0</v>
      </c>
      <c r="AW57" s="134" t="n">
        <f aca="false">SUMIF($X:$X,CONCATENATE($AN57,AW$6),$T:$T)/10000</f>
        <v>0</v>
      </c>
      <c r="AX57" s="134" t="n">
        <f aca="false">SUMIF($X:$X,CONCATENATE($AN57,AX$6),$T:$T)/10000</f>
        <v>0</v>
      </c>
      <c r="AY57" s="134" t="n">
        <f aca="false">SUMIF($X:$X,CONCATENATE($AN57,AY$6),$T:$T)/10000</f>
        <v>0</v>
      </c>
      <c r="AZ57" s="134" t="n">
        <f aca="false">SUMIF($X:$X,CONCATENATE($AN57,AZ$6),$T:$T)/10000</f>
        <v>0</v>
      </c>
      <c r="BA57" s="135" t="n">
        <f aca="false">SUMIF($X:$X,CONCATENATE($AN57,BA$6),$T:$T)/10000</f>
        <v>0</v>
      </c>
      <c r="BB57" s="208" t="n">
        <f aca="false">EOMONTH(BB56,0)+1</f>
        <v>38261</v>
      </c>
      <c r="BC57" s="135" t="n">
        <f aca="false">SUM(AO57:BA57)</f>
        <v>0</v>
      </c>
      <c r="BD57" s="2"/>
      <c r="BE57" s="208" t="n">
        <f aca="false">EOMONTH(BE56,0)+1</f>
        <v>38261</v>
      </c>
      <c r="BF57" s="134" t="n">
        <f aca="false">SUMIF($X:$X,CONCATENATE($AN57,BF$6),$W:$W)</f>
        <v>0</v>
      </c>
      <c r="BG57" s="134" t="n">
        <f aca="false">SUMIF($X:$X,CONCATENATE($AN57,BG$6),$W:$W)</f>
        <v>0</v>
      </c>
      <c r="BH57" s="134" t="n">
        <f aca="false">SUMIF($X:$X,CONCATENATE($AN57,BH$6),$W:$W)</f>
        <v>0</v>
      </c>
      <c r="BI57" s="134" t="n">
        <f aca="false">SUMIF($X:$X,CONCATENATE($AN57,BI$6),$W:$W)</f>
        <v>0</v>
      </c>
      <c r="BJ57" s="134" t="n">
        <f aca="false">SUMIF($X:$X,CONCATENATE($AN57,BJ$6),$W:$W)</f>
        <v>0</v>
      </c>
      <c r="BK57" s="134" t="n">
        <f aca="false">SUMIF($X:$X,CONCATENATE($AN57,BK$6),$W:$W)</f>
        <v>0</v>
      </c>
      <c r="BL57" s="134" t="n">
        <f aca="false">SUMIF($X:$X,CONCATENATE($AN57,BL$6),$W:$W)</f>
        <v>0</v>
      </c>
      <c r="BM57" s="134" t="n">
        <f aca="false">SUMIF($X:$X,CONCATENATE($AN57,BM$6),$W:$W)</f>
        <v>0</v>
      </c>
      <c r="BN57" s="134" t="n">
        <f aca="false">SUMIF($X:$X,CONCATENATE($AN57,BN$6),$W:$W)</f>
        <v>0</v>
      </c>
      <c r="BO57" s="134" t="n">
        <f aca="false">SUMIF($X:$X,CONCATENATE($AN57,BO$6),$W:$W)</f>
        <v>0</v>
      </c>
      <c r="BP57" s="134" t="n">
        <f aca="false">SUMIF($X:$X,CONCATENATE($AN57,BP$6),$W:$W)</f>
        <v>0</v>
      </c>
      <c r="BQ57" s="134" t="n">
        <f aca="false">SUMIF($X:$X,CONCATENATE($AN57,BQ$6),$W:$W)</f>
        <v>0</v>
      </c>
      <c r="BR57" s="135" t="n">
        <f aca="false">SUMIF($X:$X,CONCATENATE($AN57,BR$6),$W:$W)</f>
        <v>0</v>
      </c>
      <c r="BS57" s="208" t="n">
        <f aca="false">EOMONTH(BS56,0)+1</f>
        <v>38261</v>
      </c>
      <c r="BT57" s="135" t="n">
        <f aca="false">SUM(BF57:BR57)</f>
        <v>0</v>
      </c>
      <c r="BU57" s="2"/>
      <c r="BV57" s="2"/>
      <c r="BW57" s="2"/>
      <c r="BX57" s="2"/>
      <c r="BY57" s="2"/>
      <c r="BZ57" s="2"/>
      <c r="CA57" s="2"/>
      <c r="CB57" s="2"/>
      <c r="CC57" s="182" t="n">
        <f aca="false">G57</f>
        <v>36892</v>
      </c>
      <c r="CD57" s="253" t="e">
        <f aca="false">xSPRDOPT((VLOOKUP(G57,NGPrices,2,FALSE())+HLOOKUP(D57,Prices,VLOOKUP(G57,move_down,2,FALSE()),FALSE())),VLOOKUP(G57,NGPrices,2,FALSE()),I57,VLOOKUP(G57,NGPREVPRICES,4,FALSE()),HLOOKUP(D57,PREVVOLS,VLOOKUP(G57,MOVE_DOWN2,2,FALSE()),FALSE()),VLOOKUP(G57,NGPREVPRICES,3,FALSE()),HLOOKUP(D57,Correllate,VLOOKUP(G57,CorMove,2,FALSE()),FALSE()),Q57-$CD$3,R57,$CD$5)*H57-CJ57</f>
        <v>#NAME?</v>
      </c>
      <c r="CE57" s="253" t="e">
        <f aca="false">xSPRDOPT((VLOOKUP(G57,NGPREVPRICES,2,FALSE())+HLOOKUP(D57,PREVCURVES,VLOOKUP(G57,MOVE_DOWN2,2,FALSE()),FALSE())),VLOOKUP(G57,NGPREVPRICES,2,FALSE()),CK57,VLOOKUP(G57,NGPrices,4,FALSE()),HLOOKUP(D57,PREVVOLS,VLOOKUP(G57,MOVE_DOWN2,2,FALSE()),FALSE()),VLOOKUP(G57,NGPREVPRICES,3,FALSE()),HLOOKUP(D57,Correllate,VLOOKUP(G57,CorMove,2,FALSE()),FALSE()),Q57-$CD$3,R57,$CJ$5)*H57-CJ57</f>
        <v>#NAME?</v>
      </c>
      <c r="CF57" s="132" t="e">
        <f aca="false">(CJ57/VLOOKUP(CC57,discount,3,FALSE()))-(CJ57/VLOOKUP(CC57,discount,2,FALSE()))</f>
        <v>#NAME?</v>
      </c>
      <c r="CG57" s="253" t="e">
        <f aca="false">xSPRDOPT((VLOOKUP(G57,NGPREVPRICES,2,FALSE())+HLOOKUP(D57,PREVCURVES,VLOOKUP(G57,MOVE_DOWN2,2,FALSE()),FALSE())),VLOOKUP(G57,NGPREVPRICES,2,FALSE()),CK57,VLOOKUP(G57,NGPREVPRICES,4,FALSE()),HLOOKUP(D57,VOLS,VLOOKUP(G57,move_down,2,FALSE()),FALSE()),VLOOKUP(G57,NGPrices,3,FALSE()),HLOOKUP(D57,Correllate,VLOOKUP(G57,CorMove,2,FALSE()),FALSE()),Q57-$CD$3,R57,$CJ$5)*H57-CJ57</f>
        <v>#NAME?</v>
      </c>
      <c r="CH57" s="253" t="e">
        <f aca="false">xSPRDOPT((VLOOKUP(G57,NGPREVPRICES,2,FALSE())+HLOOKUP(D57,PREVCURVES,VLOOKUP(G57,MOVE_DOWN2,2,FALSE()),FALSE())),VLOOKUP(G57,NGPREVPRICES,2,FALSE()),CK57,VLOOKUP(G57,NGPREVPRICES,4,FALSE()),HLOOKUP(D57,PREVVOLS,VLOOKUP(G57,MOVE_DOWN2,2,FALSE()),FALSE()),VLOOKUP(G57,NGPREVPRICES,3,FALSE()),HLOOKUP(D57,Correllate,VLOOKUP(G57,CorMove,2,FALSE()),FALSE()),Q57-$C$3,R57,$CJ$5)*H57-CJ57</f>
        <v>#NAME?</v>
      </c>
      <c r="CI57" s="253" t="e">
        <f aca="false">SUM(CD57:CH57)</f>
        <v>#NAME?</v>
      </c>
      <c r="CJ57" s="253" t="e">
        <f aca="false">xSPRDOPT((VLOOKUP(G57,NGPREVPRICES,2,FALSE())+HLOOKUP(D57,PREVCURVES,VLOOKUP(G57,MOVE_DOWN2,2,FALSE()),FALSE())),VLOOKUP(G57,NGPREVPRICES,2,FALSE()),CK57,VLOOKUP(G57,NGPREVPRICES,4,FALSE()),HLOOKUP(D57,PREVVOLS,VLOOKUP(G57,MOVE_DOWN2,2,FALSE()),FALSE()),VLOOKUP(G57,NGPREVPRICES,3,FALSE()),HLOOKUP(D57,Correllate,VLOOKUP(G57,CorMove,2,FALSE()),FALSE()),Q57-$CD$3,R57,$CJ$5)*H57</f>
        <v>#NAME?</v>
      </c>
      <c r="CK57" s="254" t="n">
        <f aca="false">I57</f>
        <v>0.75</v>
      </c>
      <c r="CL57" s="253"/>
      <c r="CM57" s="0" t="str">
        <f aca="false">CONCATENATE(CC57,$CD$6)</f>
        <v>36892Curve Shift/Gamma</v>
      </c>
      <c r="CN57" s="0" t="str">
        <f aca="false">CONCATENATE($CC57,$CE$6)</f>
        <v>36892Rho</v>
      </c>
      <c r="CO57" s="0" t="str">
        <f aca="false">CONCATENATE($CC57,$CF$6)</f>
        <v>36892Drift</v>
      </c>
      <c r="CP57" s="0" t="str">
        <f aca="false">CONCATENATE($CC57,$CG$6)</f>
        <v>36892Vega</v>
      </c>
      <c r="CQ57" s="0" t="str">
        <f aca="false">CONCATENATE($CC57,$CH$6)</f>
        <v>36892Theta</v>
      </c>
    </row>
    <row r="58" customFormat="false" ht="12" hidden="false" customHeight="true" outlineLevel="0" collapsed="false">
      <c r="A58" s="17" t="s">
        <v>218</v>
      </c>
      <c r="B58" s="0" t="s">
        <v>192</v>
      </c>
      <c r="C58" s="0" t="s">
        <v>225</v>
      </c>
      <c r="D58" s="7" t="s">
        <v>149</v>
      </c>
      <c r="E58" s="0" t="s">
        <v>131</v>
      </c>
      <c r="F58" s="0" t="s">
        <v>132</v>
      </c>
      <c r="G58" s="92" t="n">
        <v>36861</v>
      </c>
      <c r="H58" s="248" t="n">
        <v>500000</v>
      </c>
      <c r="I58" s="0" t="n">
        <v>0.75</v>
      </c>
      <c r="J58" s="124" t="n">
        <f aca="false">VLOOKUP(G58,NGPrices,2,FALSE())</f>
        <v>4.8</v>
      </c>
      <c r="K58" s="125" t="n">
        <f aca="false">HLOOKUP(D58,Prices,VLOOKUP(G58,move_down,2,FALSE()),FALSE())+VLOOKUP(G58,CHANGE,HLOOKUP(D58,CHANGE,2,FALSE()),FALSE())</f>
        <v>1.645</v>
      </c>
      <c r="L58" s="124" t="n">
        <f aca="false">K58+J58</f>
        <v>6.445</v>
      </c>
      <c r="M58" s="126" t="n">
        <f aca="false">VLOOKUP(G58,NGPrices,4,FALSE())</f>
        <v>0.068314027999354</v>
      </c>
      <c r="N58" s="7" t="n">
        <f aca="false">VLOOKUP(G58,NGPrices,3,FALSE())</f>
        <v>0.6</v>
      </c>
      <c r="O58" s="7" t="n">
        <f aca="false">HLOOKUP(D58,VOLS,VLOOKUP(G58,move_down,2,FALSE()),FALSE())</f>
        <v>0.69</v>
      </c>
      <c r="P58" s="249" t="n">
        <f aca="false">HLOOKUP(D58,Correllate,VLOOKUP(G58,CorMove,2,FALSE()),FALSE())</f>
        <v>0.83</v>
      </c>
      <c r="Q58" s="92" t="n">
        <f aca="false">WORKDAY(G58,-2)</f>
        <v>36859</v>
      </c>
      <c r="R58" s="7" t="n">
        <f aca="false">IF(F58="P",0,1)</f>
        <v>0</v>
      </c>
      <c r="S58" s="130" t="e">
        <f aca="false">xSPRDOPT($L58,$J58,$I58,$M58,$O58,$N58,$P58,$Q58-$C$3,$R58,0)</f>
        <v>#NAME?</v>
      </c>
      <c r="T58" s="250" t="e">
        <f aca="false">xSPRDOPT($L58,$J58,$I58,$M58,$O58,$N58,$P58,$Q58-$C$3,$R58,1)*H58</f>
        <v>#NAME?</v>
      </c>
      <c r="U58" s="43" t="e">
        <f aca="false">S58*H58</f>
        <v>#NAME?</v>
      </c>
      <c r="V58" s="250" t="e">
        <f aca="false">xSPRDOPT($L58,$J58,$I58,$M58,$O58,$N58,$P58,$Q58-$C$3,$R58,2)*H58</f>
        <v>#NAME?</v>
      </c>
      <c r="W58" s="250" t="e">
        <f aca="false">+V58+T58</f>
        <v>#NAME?</v>
      </c>
      <c r="X58" s="2" t="str">
        <f aca="false">CONCATENATE(G58,D58)</f>
        <v>36861IF-TRANSCO/Z6</v>
      </c>
      <c r="Y58" s="251" t="n">
        <f aca="false">H58/10000</f>
        <v>50</v>
      </c>
      <c r="Z58" s="226" t="e">
        <f aca="false">T58/H58</f>
        <v>#NAME?</v>
      </c>
      <c r="AA58" s="226" t="e">
        <f aca="false">xSPRDOPT($L58,$J58,$I58,$M58,$O58,$N58,$P58,$Q58-$C$3,$R58,3)</f>
        <v>#NAME?</v>
      </c>
      <c r="AB58" s="226" t="e">
        <f aca="false">((xSPRDOPT($L58+AB$5,$J58,$I58,$M58,$O58,$N58,$P58,$Q58-$C$3,$R58,3)*$H58)/10000)/100</f>
        <v>#NAME?</v>
      </c>
      <c r="AC58" s="226" t="e">
        <f aca="false">((xSPRDOPT($L58+$AB$5,$J58,$I58,$M58,$O58,$N58,$P58,$Q58-$C$3,$R58,7)*$H58)/100)</f>
        <v>#NAME?</v>
      </c>
      <c r="AD58" s="226" t="e">
        <f aca="false">(xSPRDOPT($L58+$AB$5,$J58,$I58,$M58,$O58,$N58,$P58,$Q58-$C$3,$R58,9)/365)*$H58</f>
        <v>#NAME?</v>
      </c>
      <c r="AE58" s="0" t="e">
        <f aca="false">CD58</f>
        <v>#NAME?</v>
      </c>
      <c r="AF58" s="226" t="e">
        <f aca="false">((O58/N58)*AH58)+AG58</f>
        <v>#NAME?</v>
      </c>
      <c r="AG58" s="226" t="e">
        <f aca="false">((xSPRDOPT($L58,$J58,$I58,$M58,$O58,$N58,$P58,$Q58-$C$3,$R58,6)*$H58)/100)</f>
        <v>#NAME?</v>
      </c>
      <c r="AH58" s="226" t="e">
        <f aca="false">((xSPRDOPT($L58,$J58,$I58,$M58,$O58,$N58,$P58,$Q58-$C$3,$R58,5)*$H58)/100)</f>
        <v>#NAME?</v>
      </c>
      <c r="AI58" s="226" t="e">
        <f aca="false">(((xSPRDOPT($L58,$J58,$I58,$M58,$O58,$N58,$P58,$Q58-$C$3,$R58,4)*$H58)/10000)/100)-AB58</f>
        <v>#NAME?</v>
      </c>
      <c r="AJ58" s="226"/>
      <c r="AK58" s="226"/>
      <c r="AL58" s="226"/>
      <c r="AM58" s="252"/>
      <c r="AN58" s="208" t="n">
        <f aca="false">EOMONTH(AN57,0)+1</f>
        <v>38292</v>
      </c>
      <c r="AO58" s="134" t="n">
        <f aca="false">SUMIF($X:$X,CONCATENATE($AN58,AO$6),$T:$T)/10000</f>
        <v>0</v>
      </c>
      <c r="AP58" s="134" t="n">
        <f aca="false">SUMIF($X:$X,CONCATENATE($AN58,AP$6),$T:$T)/10000</f>
        <v>0</v>
      </c>
      <c r="AQ58" s="134" t="n">
        <f aca="false">SUMIF($X:$X,CONCATENATE($AN58,AQ$6),$T:$T)/10000</f>
        <v>0</v>
      </c>
      <c r="AR58" s="134" t="n">
        <f aca="false">SUMIF($X:$X,CONCATENATE($AN58,AR$6),$T:$T)/10000</f>
        <v>0</v>
      </c>
      <c r="AS58" s="134" t="n">
        <f aca="false">SUMIF($X:$X,CONCATENATE($AN58,AS$6),$T:$T)/10000</f>
        <v>0</v>
      </c>
      <c r="AT58" s="134" t="n">
        <f aca="false">SUMIF($X:$X,CONCATENATE($AN58,AT$6),$T:$T)/10000</f>
        <v>0</v>
      </c>
      <c r="AU58" s="134" t="n">
        <f aca="false">SUMIF($X:$X,CONCATENATE($AN58,AU$6),$T:$T)/10000</f>
        <v>0</v>
      </c>
      <c r="AV58" s="134" t="n">
        <f aca="false">SUMIF($X:$X,CONCATENATE($AN58,AV$6),$T:$T)/10000</f>
        <v>0</v>
      </c>
      <c r="AW58" s="134" t="n">
        <f aca="false">SUMIF($X:$X,CONCATENATE($AN58,AW$6),$T:$T)/10000</f>
        <v>0</v>
      </c>
      <c r="AX58" s="134" t="n">
        <f aca="false">SUMIF($X:$X,CONCATENATE($AN58,AX$6),$T:$T)/10000</f>
        <v>0</v>
      </c>
      <c r="AY58" s="134" t="n">
        <f aca="false">SUMIF($X:$X,CONCATENATE($AN58,AY$6),$T:$T)/10000</f>
        <v>0</v>
      </c>
      <c r="AZ58" s="134" t="n">
        <f aca="false">SUMIF($X:$X,CONCATENATE($AN58,AZ$6),$T:$T)/10000</f>
        <v>0</v>
      </c>
      <c r="BA58" s="135" t="n">
        <f aca="false">SUMIF($X:$X,CONCATENATE($AN58,BA$6),$T:$T)/10000</f>
        <v>0</v>
      </c>
      <c r="BB58" s="208" t="n">
        <f aca="false">EOMONTH(BB57,0)+1</f>
        <v>38292</v>
      </c>
      <c r="BC58" s="135" t="n">
        <f aca="false">SUM(AO58:BA58)</f>
        <v>0</v>
      </c>
      <c r="BD58" s="2"/>
      <c r="BE58" s="208" t="n">
        <f aca="false">EOMONTH(BE57,0)+1</f>
        <v>38292</v>
      </c>
      <c r="BF58" s="134" t="n">
        <f aca="false">SUMIF($X:$X,CONCATENATE($AN58,BF$6),$W:$W)</f>
        <v>0</v>
      </c>
      <c r="BG58" s="134" t="n">
        <f aca="false">SUMIF($X:$X,CONCATENATE($AN58,BG$6),$W:$W)</f>
        <v>0</v>
      </c>
      <c r="BH58" s="134" t="n">
        <f aca="false">SUMIF($X:$X,CONCATENATE($AN58,BH$6),$W:$W)</f>
        <v>0</v>
      </c>
      <c r="BI58" s="134" t="n">
        <f aca="false">SUMIF($X:$X,CONCATENATE($AN58,BI$6),$W:$W)</f>
        <v>0</v>
      </c>
      <c r="BJ58" s="134" t="n">
        <f aca="false">SUMIF($X:$X,CONCATENATE($AN58,BJ$6),$W:$W)</f>
        <v>0</v>
      </c>
      <c r="BK58" s="134" t="n">
        <f aca="false">SUMIF($X:$X,CONCATENATE($AN58,BK$6),$W:$W)</f>
        <v>0</v>
      </c>
      <c r="BL58" s="134" t="n">
        <f aca="false">SUMIF($X:$X,CONCATENATE($AN58,BL$6),$W:$W)</f>
        <v>0</v>
      </c>
      <c r="BM58" s="134" t="n">
        <f aca="false">SUMIF($X:$X,CONCATENATE($AN58,BM$6),$W:$W)</f>
        <v>0</v>
      </c>
      <c r="BN58" s="134" t="n">
        <f aca="false">SUMIF($X:$X,CONCATENATE($AN58,BN$6),$W:$W)</f>
        <v>0</v>
      </c>
      <c r="BO58" s="134" t="n">
        <f aca="false">SUMIF($X:$X,CONCATENATE($AN58,BO$6),$W:$W)</f>
        <v>0</v>
      </c>
      <c r="BP58" s="134" t="n">
        <f aca="false">SUMIF($X:$X,CONCATENATE($AN58,BP$6),$W:$W)</f>
        <v>0</v>
      </c>
      <c r="BQ58" s="134" t="n">
        <f aca="false">SUMIF($X:$X,CONCATENATE($AN58,BQ$6),$W:$W)</f>
        <v>0</v>
      </c>
      <c r="BR58" s="135" t="n">
        <f aca="false">SUMIF($X:$X,CONCATENATE($AN58,BR$6),$W:$W)</f>
        <v>0</v>
      </c>
      <c r="BS58" s="208" t="n">
        <f aca="false">EOMONTH(BS57,0)+1</f>
        <v>38292</v>
      </c>
      <c r="BT58" s="135" t="n">
        <f aca="false">SUM(BF58:BR58)</f>
        <v>0</v>
      </c>
      <c r="BU58" s="2"/>
      <c r="BV58" s="2"/>
      <c r="BW58" s="2"/>
      <c r="BX58" s="2"/>
      <c r="BY58" s="2"/>
      <c r="BZ58" s="2"/>
      <c r="CA58" s="2"/>
      <c r="CB58" s="2"/>
      <c r="CC58" s="182" t="n">
        <f aca="false">G58</f>
        <v>36861</v>
      </c>
      <c r="CD58" s="253" t="e">
        <f aca="false">xSPRDOPT((VLOOKUP(G58,NGPrices,2,FALSE())+HLOOKUP(D58,Prices,VLOOKUP(G58,move_down,2,FALSE()),FALSE())),VLOOKUP(G58,NGPrices,2,FALSE()),I58,VLOOKUP(G58,NGPREVPRICES,4,FALSE()),HLOOKUP(D58,PREVVOLS,VLOOKUP(G58,MOVE_DOWN2,2,FALSE()),FALSE()),VLOOKUP(G58,NGPREVPRICES,3,FALSE()),HLOOKUP(D58,Correllate,VLOOKUP(G58,CorMove,2,FALSE()),FALSE()),Q58-$CD$3,R58,$CD$5)*H58-CJ58</f>
        <v>#NAME?</v>
      </c>
      <c r="CE58" s="253" t="e">
        <f aca="false">xSPRDOPT((VLOOKUP(G58,NGPREVPRICES,2,FALSE())+HLOOKUP(D58,PREVCURVES,VLOOKUP(G58,MOVE_DOWN2,2,FALSE()),FALSE())),VLOOKUP(G58,NGPREVPRICES,2,FALSE()),CK58,VLOOKUP(G58,NGPrices,4,FALSE()),HLOOKUP(D58,PREVVOLS,VLOOKUP(G58,MOVE_DOWN2,2,FALSE()),FALSE()),VLOOKUP(G58,NGPREVPRICES,3,FALSE()),HLOOKUP(D58,Correllate,VLOOKUP(G58,CorMove,2,FALSE()),FALSE()),Q58-$CD$3,R58,$CJ$5)*H58-CJ58</f>
        <v>#NAME?</v>
      </c>
      <c r="CF58" s="132" t="e">
        <f aca="false">(CJ58/VLOOKUP(CC58,discount,3,FALSE()))-(CJ58/VLOOKUP(CC58,discount,2,FALSE()))</f>
        <v>#NAME?</v>
      </c>
      <c r="CG58" s="253" t="e">
        <f aca="false">xSPRDOPT((VLOOKUP(G58,NGPREVPRICES,2,FALSE())+HLOOKUP(D58,PREVCURVES,VLOOKUP(G58,MOVE_DOWN2,2,FALSE()),FALSE())),VLOOKUP(G58,NGPREVPRICES,2,FALSE()),CK58,VLOOKUP(G58,NGPREVPRICES,4,FALSE()),HLOOKUP(D58,VOLS,VLOOKUP(G58,move_down,2,FALSE()),FALSE()),VLOOKUP(G58,NGPrices,3,FALSE()),HLOOKUP(D58,Correllate,VLOOKUP(G58,CorMove,2,FALSE()),FALSE()),Q58-$CD$3,R58,$CJ$5)*H58-CJ58</f>
        <v>#NAME?</v>
      </c>
      <c r="CH58" s="253" t="e">
        <f aca="false">xSPRDOPT((VLOOKUP(G58,NGPREVPRICES,2,FALSE())+HLOOKUP(D58,PREVCURVES,VLOOKUP(G58,MOVE_DOWN2,2,FALSE()),FALSE())),VLOOKUP(G58,NGPREVPRICES,2,FALSE()),CK58,VLOOKUP(G58,NGPREVPRICES,4,FALSE()),HLOOKUP(D58,PREVVOLS,VLOOKUP(G58,MOVE_DOWN2,2,FALSE()),FALSE()),VLOOKUP(G58,NGPREVPRICES,3,FALSE()),HLOOKUP(D58,Correllate,VLOOKUP(G58,CorMove,2,FALSE()),FALSE()),Q58-$C$3,R58,$CJ$5)*H58-CJ58</f>
        <v>#NAME?</v>
      </c>
      <c r="CI58" s="253" t="e">
        <f aca="false">SUM(CD58:CH58)</f>
        <v>#NAME?</v>
      </c>
      <c r="CJ58" s="253" t="e">
        <f aca="false">xSPRDOPT((VLOOKUP(G58,NGPREVPRICES,2,FALSE())+HLOOKUP(D58,PREVCURVES,VLOOKUP(G58,MOVE_DOWN2,2,FALSE()),FALSE())),VLOOKUP(G58,NGPREVPRICES,2,FALSE()),CK58,VLOOKUP(G58,NGPREVPRICES,4,FALSE()),HLOOKUP(D58,PREVVOLS,VLOOKUP(G58,MOVE_DOWN2,2,FALSE()),FALSE()),VLOOKUP(G58,NGPREVPRICES,3,FALSE()),HLOOKUP(D58,Correllate,VLOOKUP(G58,CorMove,2,FALSE()),FALSE()),Q58-$CD$3,R58,$CJ$5)*H58</f>
        <v>#NAME?</v>
      </c>
      <c r="CK58" s="254" t="n">
        <f aca="false">I58</f>
        <v>0.75</v>
      </c>
      <c r="CL58" s="253"/>
      <c r="CM58" s="0" t="str">
        <f aca="false">CONCATENATE(CC58,$CD$6)</f>
        <v>36861Curve Shift/Gamma</v>
      </c>
      <c r="CN58" s="0" t="str">
        <f aca="false">CONCATENATE($CC58,$CE$6)</f>
        <v>36861Rho</v>
      </c>
      <c r="CO58" s="0" t="str">
        <f aca="false">CONCATENATE($CC58,$CF$6)</f>
        <v>36861Drift</v>
      </c>
      <c r="CP58" s="0" t="str">
        <f aca="false">CONCATENATE($CC58,$CG$6)</f>
        <v>36861Vega</v>
      </c>
      <c r="CQ58" s="0" t="str">
        <f aca="false">CONCATENATE($CC58,$CH$6)</f>
        <v>36861Theta</v>
      </c>
    </row>
    <row r="59" customFormat="false" ht="12" hidden="false" customHeight="true" outlineLevel="0" collapsed="false">
      <c r="A59" s="17" t="s">
        <v>218</v>
      </c>
      <c r="B59" s="0" t="s">
        <v>192</v>
      </c>
      <c r="C59" s="0" t="s">
        <v>225</v>
      </c>
      <c r="D59" s="7" t="s">
        <v>149</v>
      </c>
      <c r="E59" s="0" t="s">
        <v>131</v>
      </c>
      <c r="F59" s="0" t="s">
        <v>132</v>
      </c>
      <c r="G59" s="92" t="n">
        <v>36831</v>
      </c>
      <c r="H59" s="248" t="n">
        <v>500000</v>
      </c>
      <c r="I59" s="0" t="n">
        <v>0.75</v>
      </c>
      <c r="J59" s="124" t="n">
        <f aca="false">VLOOKUP(G59,NGPrices,2,FALSE())</f>
        <v>4.736</v>
      </c>
      <c r="K59" s="125" t="n">
        <f aca="false">HLOOKUP(D59,Prices,VLOOKUP(G59,move_down,2,FALSE()),FALSE())+VLOOKUP(G59,CHANGE,HLOOKUP(D59,CHANGE,2,FALSE()),FALSE())</f>
        <v>0.77</v>
      </c>
      <c r="L59" s="124" t="n">
        <f aca="false">K59+J59</f>
        <v>5.506</v>
      </c>
      <c r="M59" s="126" t="n">
        <f aca="false">VLOOKUP(G59,NGPrices,4,FALSE())</f>
        <v>0.06810675983792</v>
      </c>
      <c r="N59" s="7" t="n">
        <f aca="false">VLOOKUP(G59,NGPrices,3,FALSE())</f>
        <v>0.595</v>
      </c>
      <c r="O59" s="7" t="n">
        <f aca="false">HLOOKUP(D59,VOLS,VLOOKUP(G59,move_down,2,FALSE()),FALSE())</f>
        <v>0.625</v>
      </c>
      <c r="P59" s="249" t="n">
        <f aca="false">HLOOKUP(D59,Correllate,VLOOKUP(G59,CorMove,2,FALSE()),FALSE())</f>
        <v>0.89</v>
      </c>
      <c r="Q59" s="92" t="n">
        <f aca="false">WORKDAY(G59,-2)</f>
        <v>36829</v>
      </c>
      <c r="R59" s="7" t="n">
        <f aca="false">IF(F59="P",0,1)</f>
        <v>0</v>
      </c>
      <c r="S59" s="130" t="e">
        <f aca="false">xSPRDOPT($L59,$J59,$I59,$M59,$O59,$N59,$P59,$Q59-$C$3,$R59,0)</f>
        <v>#NAME?</v>
      </c>
      <c r="T59" s="250" t="e">
        <f aca="false">xSPRDOPT($L59,$J59,$I59,$M59,$O59,$N59,$P59,$Q59-$C$3,$R59,1)*H59</f>
        <v>#NAME?</v>
      </c>
      <c r="U59" s="43" t="e">
        <f aca="false">S59*H59</f>
        <v>#NAME?</v>
      </c>
      <c r="V59" s="250" t="e">
        <f aca="false">xSPRDOPT($L59,$J59,$I59,$M59,$O59,$N59,$P59,$Q59-$C$3,$R59,2)*H59</f>
        <v>#NAME?</v>
      </c>
      <c r="W59" s="250" t="e">
        <f aca="false">+V59+T59</f>
        <v>#NAME?</v>
      </c>
      <c r="X59" s="2" t="str">
        <f aca="false">CONCATENATE(G59,D59)</f>
        <v>36831IF-TRANSCO/Z6</v>
      </c>
      <c r="Y59" s="251" t="n">
        <f aca="false">H59/10000</f>
        <v>50</v>
      </c>
      <c r="Z59" s="226" t="e">
        <f aca="false">T59/H59</f>
        <v>#NAME?</v>
      </c>
      <c r="AA59" s="226" t="e">
        <f aca="false">xSPRDOPT($L59,$J59,$I59,$M59,$O59,$N59,$P59,$Q59-$C$3,$R59,3)</f>
        <v>#NAME?</v>
      </c>
      <c r="AB59" s="226" t="e">
        <f aca="false">((xSPRDOPT($L59+AB$5,$J59,$I59,$M59,$O59,$N59,$P59,$Q59-$C$3,$R59,3)*$H59)/10000)/100</f>
        <v>#NAME?</v>
      </c>
      <c r="AC59" s="226" t="e">
        <f aca="false">((xSPRDOPT($L59+$AB$5,$J59,$I59,$M59,$O59,$N59,$P59,$Q59-$C$3,$R59,7)*$H59)/100)</f>
        <v>#NAME?</v>
      </c>
      <c r="AD59" s="226" t="e">
        <f aca="false">(xSPRDOPT($L59+$AB$5,$J59,$I59,$M59,$O59,$N59,$P59,$Q59-$C$3,$R59,9)/365)*$H59</f>
        <v>#NAME?</v>
      </c>
      <c r="AE59" s="0" t="e">
        <f aca="false">CD59</f>
        <v>#NAME?</v>
      </c>
      <c r="AF59" s="226" t="e">
        <f aca="false">((O59/N59)*AH59)+AG59</f>
        <v>#NAME?</v>
      </c>
      <c r="AG59" s="226" t="e">
        <f aca="false">((xSPRDOPT($L59,$J59,$I59,$M59,$O59,$N59,$P59,$Q59-$C$3,$R59,6)*$H59)/100)</f>
        <v>#NAME?</v>
      </c>
      <c r="AH59" s="226" t="e">
        <f aca="false">((xSPRDOPT($L59,$J59,$I59,$M59,$O59,$N59,$P59,$Q59-$C$3,$R59,5)*$H59)/100)</f>
        <v>#NAME?</v>
      </c>
      <c r="AI59" s="226" t="e">
        <f aca="false">(((xSPRDOPT($L59,$J59,$I59,$M59,$O59,$N59,$P59,$Q59-$C$3,$R59,4)*$H59)/10000)/100)-AB59</f>
        <v>#NAME?</v>
      </c>
      <c r="AJ59" s="226"/>
      <c r="AK59" s="226"/>
      <c r="AL59" s="226"/>
      <c r="AM59" s="252"/>
      <c r="AN59" s="208" t="n">
        <f aca="false">EOMONTH(AN58,0)+1</f>
        <v>38322</v>
      </c>
      <c r="AO59" s="134" t="n">
        <f aca="false">SUMIF($X:$X,CONCATENATE($AN59,AO$6),$T:$T)/10000</f>
        <v>0</v>
      </c>
      <c r="AP59" s="134" t="n">
        <f aca="false">SUMIF($X:$X,CONCATENATE($AN59,AP$6),$T:$T)/10000</f>
        <v>0</v>
      </c>
      <c r="AQ59" s="134" t="n">
        <f aca="false">SUMIF($X:$X,CONCATENATE($AN59,AQ$6),$T:$T)/10000</f>
        <v>0</v>
      </c>
      <c r="AR59" s="134" t="n">
        <f aca="false">SUMIF($X:$X,CONCATENATE($AN59,AR$6),$T:$T)/10000</f>
        <v>0</v>
      </c>
      <c r="AS59" s="134" t="n">
        <f aca="false">SUMIF($X:$X,CONCATENATE($AN59,AS$6),$T:$T)/10000</f>
        <v>0</v>
      </c>
      <c r="AT59" s="134" t="n">
        <f aca="false">SUMIF($X:$X,CONCATENATE($AN59,AT$6),$T:$T)/10000</f>
        <v>0</v>
      </c>
      <c r="AU59" s="134" t="n">
        <f aca="false">SUMIF($X:$X,CONCATENATE($AN59,AU$6),$T:$T)/10000</f>
        <v>0</v>
      </c>
      <c r="AV59" s="134" t="n">
        <f aca="false">SUMIF($X:$X,CONCATENATE($AN59,AV$6),$T:$T)/10000</f>
        <v>0</v>
      </c>
      <c r="AW59" s="134" t="n">
        <f aca="false">SUMIF($X:$X,CONCATENATE($AN59,AW$6),$T:$T)/10000</f>
        <v>0</v>
      </c>
      <c r="AX59" s="134" t="n">
        <f aca="false">SUMIF($X:$X,CONCATENATE($AN59,AX$6),$T:$T)/10000</f>
        <v>0</v>
      </c>
      <c r="AY59" s="134" t="n">
        <f aca="false">SUMIF($X:$X,CONCATENATE($AN59,AY$6),$T:$T)/10000</f>
        <v>0</v>
      </c>
      <c r="AZ59" s="134" t="n">
        <f aca="false">SUMIF($X:$X,CONCATENATE($AN59,AZ$6),$T:$T)/10000</f>
        <v>0</v>
      </c>
      <c r="BA59" s="135" t="n">
        <f aca="false">SUMIF($X:$X,CONCATENATE($AN59,BA$6),$T:$T)/10000</f>
        <v>0</v>
      </c>
      <c r="BB59" s="208" t="n">
        <f aca="false">EOMONTH(BB58,0)+1</f>
        <v>38322</v>
      </c>
      <c r="BC59" s="135" t="n">
        <f aca="false">SUM(AO59:BA59)</f>
        <v>0</v>
      </c>
      <c r="BD59" s="2"/>
      <c r="BE59" s="208" t="n">
        <f aca="false">EOMONTH(BE58,0)+1</f>
        <v>38322</v>
      </c>
      <c r="BF59" s="134" t="n">
        <f aca="false">SUMIF($X:$X,CONCATENATE($AN59,BF$6),$W:$W)</f>
        <v>0</v>
      </c>
      <c r="BG59" s="134" t="n">
        <f aca="false">SUMIF($X:$X,CONCATENATE($AN59,BG$6),$W:$W)</f>
        <v>0</v>
      </c>
      <c r="BH59" s="134" t="n">
        <f aca="false">SUMIF($X:$X,CONCATENATE($AN59,BH$6),$W:$W)</f>
        <v>0</v>
      </c>
      <c r="BI59" s="134" t="n">
        <f aca="false">SUMIF($X:$X,CONCATENATE($AN59,BI$6),$W:$W)</f>
        <v>0</v>
      </c>
      <c r="BJ59" s="134" t="n">
        <f aca="false">SUMIF($X:$X,CONCATENATE($AN59,BJ$6),$W:$W)</f>
        <v>0</v>
      </c>
      <c r="BK59" s="134" t="n">
        <f aca="false">SUMIF($X:$X,CONCATENATE($AN59,BK$6),$W:$W)</f>
        <v>0</v>
      </c>
      <c r="BL59" s="134" t="n">
        <f aca="false">SUMIF($X:$X,CONCATENATE($AN59,BL$6),$W:$W)</f>
        <v>0</v>
      </c>
      <c r="BM59" s="134" t="n">
        <f aca="false">SUMIF($X:$X,CONCATENATE($AN59,BM$6),$W:$W)</f>
        <v>0</v>
      </c>
      <c r="BN59" s="134" t="n">
        <f aca="false">SUMIF($X:$X,CONCATENATE($AN59,BN$6),$W:$W)</f>
        <v>0</v>
      </c>
      <c r="BO59" s="134" t="n">
        <f aca="false">SUMIF($X:$X,CONCATENATE($AN59,BO$6),$W:$W)</f>
        <v>0</v>
      </c>
      <c r="BP59" s="134" t="n">
        <f aca="false">SUMIF($X:$X,CONCATENATE($AN59,BP$6),$W:$W)</f>
        <v>0</v>
      </c>
      <c r="BQ59" s="134" t="n">
        <f aca="false">SUMIF($X:$X,CONCATENATE($AN59,BQ$6),$W:$W)</f>
        <v>0</v>
      </c>
      <c r="BR59" s="135" t="n">
        <f aca="false">SUMIF($X:$X,CONCATENATE($AN59,BR$6),$W:$W)</f>
        <v>0</v>
      </c>
      <c r="BS59" s="208" t="n">
        <f aca="false">EOMONTH(BS58,0)+1</f>
        <v>38322</v>
      </c>
      <c r="BT59" s="135" t="n">
        <f aca="false">SUM(BF59:BR59)</f>
        <v>0</v>
      </c>
      <c r="BU59" s="2"/>
      <c r="BV59" s="2"/>
      <c r="BW59" s="2"/>
      <c r="BX59" s="2"/>
      <c r="BY59" s="2"/>
      <c r="BZ59" s="2"/>
      <c r="CA59" s="2"/>
      <c r="CB59" s="2"/>
      <c r="CC59" s="182" t="n">
        <f aca="false">G59</f>
        <v>36831</v>
      </c>
      <c r="CD59" s="253" t="e">
        <f aca="false">xSPRDOPT((VLOOKUP(G59,NGPrices,2,FALSE())+HLOOKUP(D59,Prices,VLOOKUP(G59,move_down,2,FALSE()),FALSE())),VLOOKUP(G59,NGPrices,2,FALSE()),I59,VLOOKUP(G59,NGPREVPRICES,4,FALSE()),HLOOKUP(D59,PREVVOLS,VLOOKUP(G59,MOVE_DOWN2,2,FALSE()),FALSE()),VLOOKUP(G59,NGPREVPRICES,3,FALSE()),HLOOKUP(D59,Correllate,VLOOKUP(G59,CorMove,2,FALSE()),FALSE()),Q59-$CD$3,R59,$CD$5)*H59-CJ59</f>
        <v>#NAME?</v>
      </c>
      <c r="CE59" s="253" t="e">
        <f aca="false">xSPRDOPT((VLOOKUP(G59,NGPREVPRICES,2,FALSE())+HLOOKUP(D59,PREVCURVES,VLOOKUP(G59,MOVE_DOWN2,2,FALSE()),FALSE())),VLOOKUP(G59,NGPREVPRICES,2,FALSE()),CK59,VLOOKUP(G59,NGPrices,4,FALSE()),HLOOKUP(D59,PREVVOLS,VLOOKUP(G59,MOVE_DOWN2,2,FALSE()),FALSE()),VLOOKUP(G59,NGPREVPRICES,3,FALSE()),HLOOKUP(D59,Correllate,VLOOKUP(G59,CorMove,2,FALSE()),FALSE()),Q59-$CD$3,R59,$CJ$5)*H59-CJ59</f>
        <v>#NAME?</v>
      </c>
      <c r="CF59" s="132" t="e">
        <f aca="false">(CJ59/VLOOKUP(CC59,discount,3,FALSE()))-(CJ59/VLOOKUP(CC59,discount,2,FALSE()))</f>
        <v>#NAME?</v>
      </c>
      <c r="CG59" s="253" t="e">
        <f aca="false">xSPRDOPT((VLOOKUP(G59,NGPREVPRICES,2,FALSE())+HLOOKUP(D59,PREVCURVES,VLOOKUP(G59,MOVE_DOWN2,2,FALSE()),FALSE())),VLOOKUP(G59,NGPREVPRICES,2,FALSE()),CK59,VLOOKUP(G59,NGPREVPRICES,4,FALSE()),HLOOKUP(D59,VOLS,VLOOKUP(G59,move_down,2,FALSE()),FALSE()),VLOOKUP(G59,NGPrices,3,FALSE()),HLOOKUP(D59,Correllate,VLOOKUP(G59,CorMove,2,FALSE()),FALSE()),Q59-$CD$3,R59,$CJ$5)*H59-CJ59</f>
        <v>#NAME?</v>
      </c>
      <c r="CH59" s="253" t="e">
        <f aca="false">xSPRDOPT((VLOOKUP(G59,NGPREVPRICES,2,FALSE())+HLOOKUP(D59,PREVCURVES,VLOOKUP(G59,MOVE_DOWN2,2,FALSE()),FALSE())),VLOOKUP(G59,NGPREVPRICES,2,FALSE()),CK59,VLOOKUP(G59,NGPREVPRICES,4,FALSE()),HLOOKUP(D59,PREVVOLS,VLOOKUP(G59,MOVE_DOWN2,2,FALSE()),FALSE()),VLOOKUP(G59,NGPREVPRICES,3,FALSE()),HLOOKUP(D59,Correllate,VLOOKUP(G59,CorMove,2,FALSE()),FALSE()),Q59-$C$3,R59,$CJ$5)*H59-CJ59</f>
        <v>#NAME?</v>
      </c>
      <c r="CI59" s="253" t="e">
        <f aca="false">SUM(CD59:CH59)</f>
        <v>#NAME?</v>
      </c>
      <c r="CJ59" s="253" t="e">
        <f aca="false">xSPRDOPT((VLOOKUP(G59,NGPREVPRICES,2,FALSE())+HLOOKUP(D59,PREVCURVES,VLOOKUP(G59,MOVE_DOWN2,2,FALSE()),FALSE())),VLOOKUP(G59,NGPREVPRICES,2,FALSE()),CK59,VLOOKUP(G59,NGPREVPRICES,4,FALSE()),HLOOKUP(D59,PREVVOLS,VLOOKUP(G59,MOVE_DOWN2,2,FALSE()),FALSE()),VLOOKUP(G59,NGPREVPRICES,3,FALSE()),HLOOKUP(D59,Correllate,VLOOKUP(G59,CorMove,2,FALSE()),FALSE()),Q59-$CD$3,R59,$CJ$5)*H59</f>
        <v>#NAME?</v>
      </c>
      <c r="CK59" s="254" t="n">
        <f aca="false">I59</f>
        <v>0.75</v>
      </c>
      <c r="CL59" s="253"/>
      <c r="CM59" s="0" t="str">
        <f aca="false">CONCATENATE(CC59,$CD$6)</f>
        <v>36831Curve Shift/Gamma</v>
      </c>
      <c r="CN59" s="0" t="str">
        <f aca="false">CONCATENATE($CC59,$CE$6)</f>
        <v>36831Rho</v>
      </c>
      <c r="CO59" s="0" t="str">
        <f aca="false">CONCATENATE($CC59,$CF$6)</f>
        <v>36831Drift</v>
      </c>
      <c r="CP59" s="0" t="str">
        <f aca="false">CONCATENATE($CC59,$CG$6)</f>
        <v>36831Vega</v>
      </c>
      <c r="CQ59" s="0" t="str">
        <f aca="false">CONCATENATE($CC59,$CH$6)</f>
        <v>36831Theta</v>
      </c>
    </row>
    <row r="60" customFormat="false" ht="12" hidden="false" customHeight="true" outlineLevel="0" collapsed="false">
      <c r="A60" s="265" t="s">
        <v>198</v>
      </c>
      <c r="B60" s="0" t="s">
        <v>192</v>
      </c>
      <c r="C60" s="0" t="s">
        <v>226</v>
      </c>
      <c r="D60" s="7" t="s">
        <v>149</v>
      </c>
      <c r="E60" s="0" t="s">
        <v>131</v>
      </c>
      <c r="F60" s="0" t="s">
        <v>136</v>
      </c>
      <c r="G60" s="92" t="n">
        <v>36951</v>
      </c>
      <c r="H60" s="248" t="n">
        <v>-500000</v>
      </c>
      <c r="I60" s="0" t="n">
        <v>1.15</v>
      </c>
      <c r="J60" s="124" t="n">
        <f aca="false">VLOOKUP(G60,NGPrices,2,FALSE())</f>
        <v>4.213</v>
      </c>
      <c r="K60" s="125" t="n">
        <f aca="false">HLOOKUP(D60,Prices,VLOOKUP(G60,move_down,2,FALSE()),FALSE())+VLOOKUP(G60,CHANGE,HLOOKUP(D60,CHANGE,2,FALSE()),FALSE())</f>
        <v>1.075</v>
      </c>
      <c r="L60" s="124" t="n">
        <f aca="false">K60+J60</f>
        <v>5.288</v>
      </c>
      <c r="M60" s="126" t="n">
        <f aca="false">VLOOKUP(G60,NGPrices,4,FALSE())</f>
        <v>0.068879814952707</v>
      </c>
      <c r="N60" s="7" t="n">
        <f aca="false">VLOOKUP(G60,NGPrices,3,FALSE())</f>
        <v>0.5325</v>
      </c>
      <c r="O60" s="7" t="n">
        <f aca="false">HLOOKUP(D60,VOLS,VLOOKUP(G60,move_down,2,FALSE()),FALSE())</f>
        <v>0.612</v>
      </c>
      <c r="P60" s="249" t="n">
        <f aca="false">HLOOKUP(D60,Correllate,VLOOKUP(G60,CorMove,2,FALSE()),FALSE())</f>
        <v>0.83</v>
      </c>
      <c r="Q60" s="92" t="n">
        <f aca="false">WORKDAY(G60,-2)</f>
        <v>36949</v>
      </c>
      <c r="R60" s="7" t="n">
        <f aca="false">IF(F60="P",0,1)</f>
        <v>1</v>
      </c>
      <c r="S60" s="130" t="e">
        <f aca="false">xSPRDOPT($L60,$J60,$I60,$M60,$O60,$N60,$P60,$Q60-$C$3,$R60,0)</f>
        <v>#NAME?</v>
      </c>
      <c r="T60" s="250" t="e">
        <f aca="false">xSPRDOPT($L60,$J60,$I60,$M60,$O60,$N60,$P60,$Q60-$C$3,$R60,1)*H60</f>
        <v>#NAME?</v>
      </c>
      <c r="U60" s="43" t="e">
        <f aca="false">S60*H60</f>
        <v>#NAME?</v>
      </c>
      <c r="V60" s="250" t="e">
        <f aca="false">xSPRDOPT($L60,$J60,$I60,$M60,$O60,$N60,$P60,$Q60-$C$3,$R60,2)*H60</f>
        <v>#NAME?</v>
      </c>
      <c r="W60" s="250" t="e">
        <f aca="false">+V60+T60</f>
        <v>#NAME?</v>
      </c>
      <c r="X60" s="2" t="str">
        <f aca="false">CONCATENATE(G60,D60)</f>
        <v>36951IF-TRANSCO/Z6</v>
      </c>
      <c r="Y60" s="251" t="n">
        <f aca="false">H60/10000</f>
        <v>-50</v>
      </c>
      <c r="Z60" s="226" t="e">
        <f aca="false">T60/H60</f>
        <v>#NAME?</v>
      </c>
      <c r="AA60" s="226" t="e">
        <f aca="false">xSPRDOPT($L60,$J60,$I60,$M60,$O60,$N60,$P60,$Q60-$C$3,$R60,3)</f>
        <v>#NAME?</v>
      </c>
      <c r="AB60" s="226" t="e">
        <f aca="false">((xSPRDOPT($L60+AB$5,$J60,$I60,$M60,$O60,$N60,$P60,$Q60-$C$3,$R60,3)*$H60)/10000)/100</f>
        <v>#NAME?</v>
      </c>
      <c r="AC60" s="226" t="e">
        <f aca="false">((xSPRDOPT($L60+$AB$5,$J60,$I60,$M60,$O60,$N60,$P60,$Q60-$C$3,$R60,7)*$H60)/100)</f>
        <v>#NAME?</v>
      </c>
      <c r="AD60" s="226" t="e">
        <f aca="false">(xSPRDOPT($L60+$AB$5,$J60,$I60,$M60,$O60,$N60,$P60,$Q60-$C$3,$R60,9)/365)*$H60</f>
        <v>#NAME?</v>
      </c>
      <c r="AE60" s="0" t="e">
        <f aca="false">CD60</f>
        <v>#NAME?</v>
      </c>
      <c r="AF60" s="226" t="e">
        <f aca="false">((O60/N60)*AH60)+AG60</f>
        <v>#NAME?</v>
      </c>
      <c r="AG60" s="226" t="e">
        <f aca="false">((xSPRDOPT($L60,$J60,$I60,$M60,$O60,$N60,$P60,$Q60-$C$3,$R60,6)*$H60)/100)</f>
        <v>#NAME?</v>
      </c>
      <c r="AH60" s="226" t="e">
        <f aca="false">((xSPRDOPT($L60,$J60,$I60,$M60,$O60,$N60,$P60,$Q60-$C$3,$R60,5)*$H60)/100)</f>
        <v>#NAME?</v>
      </c>
      <c r="AI60" s="226" t="e">
        <f aca="false">(((xSPRDOPT($L60,$J60,$I60,$M60,$O60,$N60,$P60,$Q60-$C$3,$R60,4)*$H60)/10000)/100)-AB60</f>
        <v>#NAME?</v>
      </c>
      <c r="AJ60" s="226"/>
      <c r="AK60" s="226"/>
      <c r="AL60" s="226"/>
      <c r="AM60" s="252"/>
      <c r="AN60" s="208" t="n">
        <f aca="false">EOMONTH(AN59,0)+1</f>
        <v>38353</v>
      </c>
      <c r="AO60" s="134" t="n">
        <f aca="false">SUMIF($X:$X,CONCATENATE($AN60,AO$6),$T:$T)/10000</f>
        <v>0</v>
      </c>
      <c r="AP60" s="134" t="n">
        <f aca="false">SUMIF($X:$X,CONCATENATE($AN60,AP$6),$T:$T)/10000</f>
        <v>0</v>
      </c>
      <c r="AQ60" s="134" t="n">
        <f aca="false">SUMIF($X:$X,CONCATENATE($AN60,AQ$6),$T:$T)/10000</f>
        <v>0</v>
      </c>
      <c r="AR60" s="134" t="n">
        <f aca="false">SUMIF($X:$X,CONCATENATE($AN60,AR$6),$T:$T)/10000</f>
        <v>0</v>
      </c>
      <c r="AS60" s="134" t="n">
        <f aca="false">SUMIF($X:$X,CONCATENATE($AN60,AS$6),$T:$T)/10000</f>
        <v>0</v>
      </c>
      <c r="AT60" s="134" t="n">
        <f aca="false">SUMIF($X:$X,CONCATENATE($AN60,AT$6),$T:$T)/10000</f>
        <v>0</v>
      </c>
      <c r="AU60" s="134" t="n">
        <f aca="false">SUMIF($X:$X,CONCATENATE($AN60,AU$6),$T:$T)/10000</f>
        <v>0</v>
      </c>
      <c r="AV60" s="134" t="n">
        <f aca="false">SUMIF($X:$X,CONCATENATE($AN60,AV$6),$T:$T)/10000</f>
        <v>0</v>
      </c>
      <c r="AW60" s="134" t="n">
        <f aca="false">SUMIF($X:$X,CONCATENATE($AN60,AW$6),$T:$T)/10000</f>
        <v>0</v>
      </c>
      <c r="AX60" s="134" t="n">
        <f aca="false">SUMIF($X:$X,CONCATENATE($AN60,AX$6),$T:$T)/10000</f>
        <v>0</v>
      </c>
      <c r="AY60" s="134" t="n">
        <f aca="false">SUMIF($X:$X,CONCATENATE($AN60,AY$6),$T:$T)/10000</f>
        <v>0</v>
      </c>
      <c r="AZ60" s="134" t="n">
        <f aca="false">SUMIF($X:$X,CONCATENATE($AN60,AZ$6),$T:$T)/10000</f>
        <v>0</v>
      </c>
      <c r="BA60" s="135" t="n">
        <f aca="false">SUMIF($X:$X,CONCATENATE($AN60,BA$6),$T:$T)/10000</f>
        <v>0</v>
      </c>
      <c r="BB60" s="208" t="n">
        <f aca="false">EOMONTH(BB59,0)+1</f>
        <v>38353</v>
      </c>
      <c r="BC60" s="135" t="n">
        <f aca="false">SUM(AO60:BA60)</f>
        <v>0</v>
      </c>
      <c r="BD60" s="2"/>
      <c r="BE60" s="208" t="n">
        <f aca="false">EOMONTH(BE59,0)+1</f>
        <v>38353</v>
      </c>
      <c r="BF60" s="134" t="n">
        <f aca="false">SUMIF($X:$X,CONCATENATE($AN60,BF$6),$W:$W)</f>
        <v>0</v>
      </c>
      <c r="BG60" s="134" t="n">
        <f aca="false">SUMIF($X:$X,CONCATENATE($AN60,BG$6),$W:$W)</f>
        <v>0</v>
      </c>
      <c r="BH60" s="134" t="n">
        <f aca="false">SUMIF($X:$X,CONCATENATE($AN60,BH$6),$W:$W)</f>
        <v>0</v>
      </c>
      <c r="BI60" s="134" t="n">
        <f aca="false">SUMIF($X:$X,CONCATENATE($AN60,BI$6),$W:$W)</f>
        <v>0</v>
      </c>
      <c r="BJ60" s="134" t="n">
        <f aca="false">SUMIF($X:$X,CONCATENATE($AN60,BJ$6),$W:$W)</f>
        <v>0</v>
      </c>
      <c r="BK60" s="134" t="n">
        <f aca="false">SUMIF($X:$X,CONCATENATE($AN60,BK$6),$W:$W)</f>
        <v>0</v>
      </c>
      <c r="BL60" s="134" t="n">
        <f aca="false">SUMIF($X:$X,CONCATENATE($AN60,BL$6),$W:$W)</f>
        <v>0</v>
      </c>
      <c r="BM60" s="134" t="n">
        <f aca="false">SUMIF($X:$X,CONCATENATE($AN60,BM$6),$W:$W)</f>
        <v>0</v>
      </c>
      <c r="BN60" s="134" t="n">
        <f aca="false">SUMIF($X:$X,CONCATENATE($AN60,BN$6),$W:$W)</f>
        <v>0</v>
      </c>
      <c r="BO60" s="134" t="n">
        <f aca="false">SUMIF($X:$X,CONCATENATE($AN60,BO$6),$W:$W)</f>
        <v>0</v>
      </c>
      <c r="BP60" s="134" t="n">
        <f aca="false">SUMIF($X:$X,CONCATENATE($AN60,BP$6),$W:$W)</f>
        <v>0</v>
      </c>
      <c r="BQ60" s="134" t="n">
        <f aca="false">SUMIF($X:$X,CONCATENATE($AN60,BQ$6),$W:$W)</f>
        <v>0</v>
      </c>
      <c r="BR60" s="135" t="n">
        <f aca="false">SUMIF($X:$X,CONCATENATE($AN60,BR$6),$W:$W)</f>
        <v>0</v>
      </c>
      <c r="BS60" s="208" t="n">
        <f aca="false">EOMONTH(BS59,0)+1</f>
        <v>38353</v>
      </c>
      <c r="BT60" s="135" t="n">
        <f aca="false">SUM(BF60:BR60)</f>
        <v>0</v>
      </c>
      <c r="BU60" s="2"/>
      <c r="BV60" s="2"/>
      <c r="BW60" s="2"/>
      <c r="BX60" s="2"/>
      <c r="BY60" s="2"/>
      <c r="BZ60" s="2"/>
      <c r="CA60" s="2"/>
      <c r="CB60" s="2"/>
      <c r="CC60" s="182" t="n">
        <f aca="false">G60</f>
        <v>36951</v>
      </c>
      <c r="CD60" s="253" t="e">
        <f aca="false">xSPRDOPT((VLOOKUP(G60,NGPrices,2,FALSE())+HLOOKUP(D60,Prices,VLOOKUP(G60,move_down,2,FALSE()),FALSE())),VLOOKUP(G60,NGPrices,2,FALSE()),I60,VLOOKUP(G60,NGPREVPRICES,4,FALSE()),HLOOKUP(D60,PREVVOLS,VLOOKUP(G60,MOVE_DOWN2,2,FALSE()),FALSE()),VLOOKUP(G60,NGPREVPRICES,3,FALSE()),HLOOKUP(D60,Correllate,VLOOKUP(G60,CorMove,2,FALSE()),FALSE()),Q60-$CD$3,R60,$CD$5)*H60-CJ60</f>
        <v>#NAME?</v>
      </c>
      <c r="CE60" s="253" t="e">
        <f aca="false">xSPRDOPT((VLOOKUP(G60,NGPREVPRICES,2,FALSE())+HLOOKUP(D60,PREVCURVES,VLOOKUP(G60,MOVE_DOWN2,2,FALSE()),FALSE())),VLOOKUP(G60,NGPREVPRICES,2,FALSE()),CK60,VLOOKUP(G60,NGPrices,4,FALSE()),HLOOKUP(D60,PREVVOLS,VLOOKUP(G60,MOVE_DOWN2,2,FALSE()),FALSE()),VLOOKUP(G60,NGPREVPRICES,3,FALSE()),HLOOKUP(D60,Correllate,VLOOKUP(G60,CorMove,2,FALSE()),FALSE()),Q60-$CD$3,R60,$CJ$5)*H60-CJ60</f>
        <v>#NAME?</v>
      </c>
      <c r="CF60" s="132" t="e">
        <f aca="false">(CJ60/VLOOKUP(CC60,discount,3,FALSE()))-(CJ60/VLOOKUP(CC60,discount,2,FALSE()))</f>
        <v>#NAME?</v>
      </c>
      <c r="CG60" s="253" t="e">
        <f aca="false">xSPRDOPT((VLOOKUP(G60,NGPREVPRICES,2,FALSE())+HLOOKUP(D60,PREVCURVES,VLOOKUP(G60,MOVE_DOWN2,2,FALSE()),FALSE())),VLOOKUP(G60,NGPREVPRICES,2,FALSE()),CK60,VLOOKUP(G60,NGPREVPRICES,4,FALSE()),HLOOKUP(D60,VOLS,VLOOKUP(G60,move_down,2,FALSE()),FALSE()),VLOOKUP(G60,NGPrices,3,FALSE()),HLOOKUP(D60,Correllate,VLOOKUP(G60,CorMove,2,FALSE()),FALSE()),Q60-$CD$3,R60,$CJ$5)*H60-CJ60</f>
        <v>#NAME?</v>
      </c>
      <c r="CH60" s="253" t="e">
        <f aca="false">xSPRDOPT((VLOOKUP(G60,NGPREVPRICES,2,FALSE())+HLOOKUP(D60,PREVCURVES,VLOOKUP(G60,MOVE_DOWN2,2,FALSE()),FALSE())),VLOOKUP(G60,NGPREVPRICES,2,FALSE()),CK60,VLOOKUP(G60,NGPREVPRICES,4,FALSE()),HLOOKUP(D60,PREVVOLS,VLOOKUP(G60,MOVE_DOWN2,2,FALSE()),FALSE()),VLOOKUP(G60,NGPREVPRICES,3,FALSE()),HLOOKUP(D60,Correllate,VLOOKUP(G60,CorMove,2,FALSE()),FALSE()),Q60-$C$3,R60,$CJ$5)*H60-CJ60</f>
        <v>#NAME?</v>
      </c>
      <c r="CI60" s="253" t="e">
        <f aca="false">SUM(CD60:CH60)</f>
        <v>#NAME?</v>
      </c>
      <c r="CJ60" s="253" t="e">
        <f aca="false">xSPRDOPT((VLOOKUP(G60,NGPREVPRICES,2,FALSE())+HLOOKUP(D60,PREVCURVES,VLOOKUP(G60,MOVE_DOWN2,2,FALSE()),FALSE())),VLOOKUP(G60,NGPREVPRICES,2,FALSE()),CK60,VLOOKUP(G60,NGPREVPRICES,4,FALSE()),HLOOKUP(D60,PREVVOLS,VLOOKUP(G60,MOVE_DOWN2,2,FALSE()),FALSE()),VLOOKUP(G60,NGPREVPRICES,3,FALSE()),HLOOKUP(D60,Correllate,VLOOKUP(G60,CorMove,2,FALSE()),FALSE()),Q60-$CD$3,R60,$CJ$5)*H60</f>
        <v>#NAME?</v>
      </c>
      <c r="CK60" s="254" t="n">
        <f aca="false">I60</f>
        <v>1.15</v>
      </c>
      <c r="CL60" s="253"/>
      <c r="CM60" s="0" t="str">
        <f aca="false">CONCATENATE(CC60,$CD$6)</f>
        <v>36951Curve Shift/Gamma</v>
      </c>
      <c r="CN60" s="0" t="str">
        <f aca="false">CONCATENATE($CC60,$CE$6)</f>
        <v>36951Rho</v>
      </c>
      <c r="CO60" s="0" t="str">
        <f aca="false">CONCATENATE($CC60,$CF$6)</f>
        <v>36951Drift</v>
      </c>
      <c r="CP60" s="0" t="str">
        <f aca="false">CONCATENATE($CC60,$CG$6)</f>
        <v>36951Vega</v>
      </c>
      <c r="CQ60" s="0" t="str">
        <f aca="false">CONCATENATE($CC60,$CH$6)</f>
        <v>36951Theta</v>
      </c>
    </row>
    <row r="61" customFormat="false" ht="12" hidden="false" customHeight="true" outlineLevel="0" collapsed="false">
      <c r="A61" s="265" t="s">
        <v>198</v>
      </c>
      <c r="B61" s="0" t="s">
        <v>192</v>
      </c>
      <c r="C61" s="0" t="s">
        <v>226</v>
      </c>
      <c r="D61" s="7" t="s">
        <v>149</v>
      </c>
      <c r="E61" s="0" t="s">
        <v>131</v>
      </c>
      <c r="F61" s="0" t="s">
        <v>136</v>
      </c>
      <c r="G61" s="92" t="n">
        <v>36923</v>
      </c>
      <c r="H61" s="248" t="n">
        <v>-500000</v>
      </c>
      <c r="I61" s="0" t="n">
        <v>1.15</v>
      </c>
      <c r="J61" s="124" t="n">
        <f aca="false">VLOOKUP(G61,NGPrices,2,FALSE())</f>
        <v>4.48</v>
      </c>
      <c r="K61" s="125" t="n">
        <f aca="false">HLOOKUP(D61,Prices,VLOOKUP(G61,move_down,2,FALSE()),FALSE())+VLOOKUP(G61,CHANGE,HLOOKUP(D61,CHANGE,2,FALSE()),FALSE())</f>
        <v>2.09</v>
      </c>
      <c r="L61" s="124" t="n">
        <f aca="false">K61+J61</f>
        <v>6.57</v>
      </c>
      <c r="M61" s="126" t="n">
        <f aca="false">VLOOKUP(G61,NGPrices,4,FALSE())</f>
        <v>0.068640161611372</v>
      </c>
      <c r="N61" s="7" t="n">
        <f aca="false">VLOOKUP(G61,NGPrices,3,FALSE())</f>
        <v>0.5925</v>
      </c>
      <c r="O61" s="7" t="n">
        <f aca="false">HLOOKUP(D61,VOLS,VLOOKUP(G61,move_down,2,FALSE()),FALSE())</f>
        <v>0.681</v>
      </c>
      <c r="P61" s="249" t="n">
        <f aca="false">HLOOKUP(D61,Correllate,VLOOKUP(G61,CorMove,2,FALSE()),FALSE())</f>
        <v>0.83</v>
      </c>
      <c r="Q61" s="92" t="n">
        <f aca="false">WORKDAY(G61,-2)</f>
        <v>36921</v>
      </c>
      <c r="R61" s="7" t="n">
        <f aca="false">IF(F61="P",0,1)</f>
        <v>1</v>
      </c>
      <c r="S61" s="130" t="e">
        <f aca="false">xSPRDOPT($L61,$J61,$I61,$M61,$O61,$N61,$P61,$Q61-$C$3,$R61,0)</f>
        <v>#NAME?</v>
      </c>
      <c r="T61" s="250" t="e">
        <f aca="false">xSPRDOPT($L61,$J61,$I61,$M61,$O61,$N61,$P61,$Q61-$C$3,$R61,1)*H61</f>
        <v>#NAME?</v>
      </c>
      <c r="U61" s="43" t="e">
        <f aca="false">S61*H61</f>
        <v>#NAME?</v>
      </c>
      <c r="V61" s="250" t="e">
        <f aca="false">xSPRDOPT($L61,$J61,$I61,$M61,$O61,$N61,$P61,$Q61-$C$3,$R61,2)*H61</f>
        <v>#NAME?</v>
      </c>
      <c r="W61" s="250" t="e">
        <f aca="false">+V61+T61</f>
        <v>#NAME?</v>
      </c>
      <c r="X61" s="2" t="str">
        <f aca="false">CONCATENATE(G61,D61)</f>
        <v>36923IF-TRANSCO/Z6</v>
      </c>
      <c r="Y61" s="251" t="n">
        <f aca="false">H61/10000</f>
        <v>-50</v>
      </c>
      <c r="Z61" s="226" t="e">
        <f aca="false">T61/H61</f>
        <v>#NAME?</v>
      </c>
      <c r="AA61" s="226" t="e">
        <f aca="false">xSPRDOPT($L61,$J61,$I61,$M61,$O61,$N61,$P61,$Q61-$C$3,$R61,3)</f>
        <v>#NAME?</v>
      </c>
      <c r="AB61" s="226" t="e">
        <f aca="false">((xSPRDOPT($L61+AB$5,$J61,$I61,$M61,$O61,$N61,$P61,$Q61-$C$3,$R61,3)*$H61)/10000)/100</f>
        <v>#NAME?</v>
      </c>
      <c r="AC61" s="226" t="e">
        <f aca="false">((xSPRDOPT($L61+$AB$5,$J61,$I61,$M61,$O61,$N61,$P61,$Q61-$C$3,$R61,7)*$H61)/100)</f>
        <v>#NAME?</v>
      </c>
      <c r="AD61" s="226" t="e">
        <f aca="false">(xSPRDOPT($L61+$AB$5,$J61,$I61,$M61,$O61,$N61,$P61,$Q61-$C$3,$R61,9)/365)*$H61</f>
        <v>#NAME?</v>
      </c>
      <c r="AE61" s="0" t="e">
        <f aca="false">CD61</f>
        <v>#NAME?</v>
      </c>
      <c r="AF61" s="226" t="e">
        <f aca="false">((O61/N61)*AH61)+AG61</f>
        <v>#NAME?</v>
      </c>
      <c r="AG61" s="226" t="e">
        <f aca="false">((xSPRDOPT($L61,$J61,$I61,$M61,$O61,$N61,$P61,$Q61-$C$3,$R61,6)*$H61)/100)</f>
        <v>#NAME?</v>
      </c>
      <c r="AH61" s="226" t="e">
        <f aca="false">((xSPRDOPT($L61,$J61,$I61,$M61,$O61,$N61,$P61,$Q61-$C$3,$R61,5)*$H61)/100)</f>
        <v>#NAME?</v>
      </c>
      <c r="AI61" s="226" t="e">
        <f aca="false">(((xSPRDOPT($L61,$J61,$I61,$M61,$O61,$N61,$P61,$Q61-$C$3,$R61,4)*$H61)/10000)/100)-AB61</f>
        <v>#NAME?</v>
      </c>
      <c r="AJ61" s="226"/>
      <c r="AK61" s="226"/>
      <c r="AL61" s="226"/>
      <c r="AM61" s="252"/>
      <c r="AN61" s="208" t="n">
        <f aca="false">EOMONTH(AN60,0)+1</f>
        <v>38384</v>
      </c>
      <c r="AO61" s="134" t="n">
        <f aca="false">SUMIF($X:$X,CONCATENATE($AN61,AO$6),$T:$T)/10000</f>
        <v>0</v>
      </c>
      <c r="AP61" s="134" t="n">
        <f aca="false">SUMIF($X:$X,CONCATENATE($AN61,AP$6),$T:$T)/10000</f>
        <v>0</v>
      </c>
      <c r="AQ61" s="134" t="n">
        <f aca="false">SUMIF($X:$X,CONCATENATE($AN61,AQ$6),$T:$T)/10000</f>
        <v>0</v>
      </c>
      <c r="AR61" s="134" t="n">
        <f aca="false">SUMIF($X:$X,CONCATENATE($AN61,AR$6),$T:$T)/10000</f>
        <v>0</v>
      </c>
      <c r="AS61" s="134" t="n">
        <f aca="false">SUMIF($X:$X,CONCATENATE($AN61,AS$6),$T:$T)/10000</f>
        <v>0</v>
      </c>
      <c r="AT61" s="134" t="n">
        <f aca="false">SUMIF($X:$X,CONCATENATE($AN61,AT$6),$T:$T)/10000</f>
        <v>0</v>
      </c>
      <c r="AU61" s="134" t="n">
        <f aca="false">SUMIF($X:$X,CONCATENATE($AN61,AU$6),$T:$T)/10000</f>
        <v>0</v>
      </c>
      <c r="AV61" s="134" t="n">
        <f aca="false">SUMIF($X:$X,CONCATENATE($AN61,AV$6),$T:$T)/10000</f>
        <v>0</v>
      </c>
      <c r="AW61" s="134" t="n">
        <f aca="false">SUMIF($X:$X,CONCATENATE($AN61,AW$6),$T:$T)/10000</f>
        <v>0</v>
      </c>
      <c r="AX61" s="134" t="n">
        <f aca="false">SUMIF($X:$X,CONCATENATE($AN61,AX$6),$T:$T)/10000</f>
        <v>0</v>
      </c>
      <c r="AY61" s="134" t="n">
        <f aca="false">SUMIF($X:$X,CONCATENATE($AN61,AY$6),$T:$T)/10000</f>
        <v>0</v>
      </c>
      <c r="AZ61" s="134" t="n">
        <f aca="false">SUMIF($X:$X,CONCATENATE($AN61,AZ$6),$T:$T)/10000</f>
        <v>0</v>
      </c>
      <c r="BA61" s="135" t="n">
        <f aca="false">SUMIF($X:$X,CONCATENATE($AN61,BA$6),$T:$T)/10000</f>
        <v>0</v>
      </c>
      <c r="BB61" s="208" t="n">
        <f aca="false">EOMONTH(BB60,0)+1</f>
        <v>38384</v>
      </c>
      <c r="BC61" s="135" t="n">
        <f aca="false">SUM(AO61:BA61)</f>
        <v>0</v>
      </c>
      <c r="BD61" s="2"/>
      <c r="BE61" s="208" t="n">
        <f aca="false">EOMONTH(BE60,0)+1</f>
        <v>38384</v>
      </c>
      <c r="BF61" s="134" t="n">
        <f aca="false">SUMIF($X:$X,CONCATENATE($AN61,BF$6),$W:$W)</f>
        <v>0</v>
      </c>
      <c r="BG61" s="134" t="n">
        <f aca="false">SUMIF($X:$X,CONCATENATE($AN61,BG$6),$W:$W)</f>
        <v>0</v>
      </c>
      <c r="BH61" s="134" t="n">
        <f aca="false">SUMIF($X:$X,CONCATENATE($AN61,BH$6),$W:$W)</f>
        <v>0</v>
      </c>
      <c r="BI61" s="134" t="n">
        <f aca="false">SUMIF($X:$X,CONCATENATE($AN61,BI$6),$W:$W)</f>
        <v>0</v>
      </c>
      <c r="BJ61" s="134" t="n">
        <f aca="false">SUMIF($X:$X,CONCATENATE($AN61,BJ$6),$W:$W)</f>
        <v>0</v>
      </c>
      <c r="BK61" s="134" t="n">
        <f aca="false">SUMIF($X:$X,CONCATENATE($AN61,BK$6),$W:$W)</f>
        <v>0</v>
      </c>
      <c r="BL61" s="134" t="n">
        <f aca="false">SUMIF($X:$X,CONCATENATE($AN61,BL$6),$W:$W)</f>
        <v>0</v>
      </c>
      <c r="BM61" s="134" t="n">
        <f aca="false">SUMIF($X:$X,CONCATENATE($AN61,BM$6),$W:$W)</f>
        <v>0</v>
      </c>
      <c r="BN61" s="134" t="n">
        <f aca="false">SUMIF($X:$X,CONCATENATE($AN61,BN$6),$W:$W)</f>
        <v>0</v>
      </c>
      <c r="BO61" s="134" t="n">
        <f aca="false">SUMIF($X:$X,CONCATENATE($AN61,BO$6),$W:$W)</f>
        <v>0</v>
      </c>
      <c r="BP61" s="134" t="n">
        <f aca="false">SUMIF($X:$X,CONCATENATE($AN61,BP$6),$W:$W)</f>
        <v>0</v>
      </c>
      <c r="BQ61" s="134" t="n">
        <f aca="false">SUMIF($X:$X,CONCATENATE($AN61,BQ$6),$W:$W)</f>
        <v>0</v>
      </c>
      <c r="BR61" s="135" t="n">
        <f aca="false">SUMIF($X:$X,CONCATENATE($AN61,BR$6),$W:$W)</f>
        <v>0</v>
      </c>
      <c r="BS61" s="208" t="n">
        <f aca="false">EOMONTH(BS60,0)+1</f>
        <v>38384</v>
      </c>
      <c r="BT61" s="135" t="n">
        <f aca="false">SUM(BF61:BR61)</f>
        <v>0</v>
      </c>
      <c r="BU61" s="2"/>
      <c r="BV61" s="2"/>
      <c r="BW61" s="2"/>
      <c r="BX61" s="2"/>
      <c r="BY61" s="2"/>
      <c r="BZ61" s="2"/>
      <c r="CA61" s="2"/>
      <c r="CB61" s="2"/>
      <c r="CC61" s="182" t="n">
        <f aca="false">G61</f>
        <v>36923</v>
      </c>
      <c r="CD61" s="253" t="e">
        <f aca="false">xSPRDOPT((VLOOKUP(G61,NGPrices,2,FALSE())+HLOOKUP(D61,Prices,VLOOKUP(G61,move_down,2,FALSE()),FALSE())),VLOOKUP(G61,NGPrices,2,FALSE()),I61,VLOOKUP(G61,NGPREVPRICES,4,FALSE()),HLOOKUP(D61,PREVVOLS,VLOOKUP(G61,MOVE_DOWN2,2,FALSE()),FALSE()),VLOOKUP(G61,NGPREVPRICES,3,FALSE()),HLOOKUP(D61,Correllate,VLOOKUP(G61,CorMove,2,FALSE()),FALSE()),Q61-$CD$3,R61,$CD$5)*H61-CJ61</f>
        <v>#NAME?</v>
      </c>
      <c r="CE61" s="253" t="e">
        <f aca="false">xSPRDOPT((VLOOKUP(G61,NGPREVPRICES,2,FALSE())+HLOOKUP(D61,PREVCURVES,VLOOKUP(G61,MOVE_DOWN2,2,FALSE()),FALSE())),VLOOKUP(G61,NGPREVPRICES,2,FALSE()),CK61,VLOOKUP(G61,NGPrices,4,FALSE()),HLOOKUP(D61,PREVVOLS,VLOOKUP(G61,MOVE_DOWN2,2,FALSE()),FALSE()),VLOOKUP(G61,NGPREVPRICES,3,FALSE()),HLOOKUP(D61,Correllate,VLOOKUP(G61,CorMove,2,FALSE()),FALSE()),Q61-$CD$3,R61,$CJ$5)*H61-CJ61</f>
        <v>#NAME?</v>
      </c>
      <c r="CF61" s="132" t="e">
        <f aca="false">(CJ61/VLOOKUP(CC61,discount,3,FALSE()))-(CJ61/VLOOKUP(CC61,discount,2,FALSE()))</f>
        <v>#NAME?</v>
      </c>
      <c r="CG61" s="253" t="e">
        <f aca="false">xSPRDOPT((VLOOKUP(G61,NGPREVPRICES,2,FALSE())+HLOOKUP(D61,PREVCURVES,VLOOKUP(G61,MOVE_DOWN2,2,FALSE()),FALSE())),VLOOKUP(G61,NGPREVPRICES,2,FALSE()),CK61,VLOOKUP(G61,NGPREVPRICES,4,FALSE()),HLOOKUP(D61,VOLS,VLOOKUP(G61,move_down,2,FALSE()),FALSE()),VLOOKUP(G61,NGPrices,3,FALSE()),HLOOKUP(D61,Correllate,VLOOKUP(G61,CorMove,2,FALSE()),FALSE()),Q61-$CD$3,R61,$CJ$5)*H61-CJ61</f>
        <v>#NAME?</v>
      </c>
      <c r="CH61" s="253" t="e">
        <f aca="false">xSPRDOPT((VLOOKUP(G61,NGPREVPRICES,2,FALSE())+HLOOKUP(D61,PREVCURVES,VLOOKUP(G61,MOVE_DOWN2,2,FALSE()),FALSE())),VLOOKUP(G61,NGPREVPRICES,2,FALSE()),CK61,VLOOKUP(G61,NGPREVPRICES,4,FALSE()),HLOOKUP(D61,PREVVOLS,VLOOKUP(G61,MOVE_DOWN2,2,FALSE()),FALSE()),VLOOKUP(G61,NGPREVPRICES,3,FALSE()),HLOOKUP(D61,Correllate,VLOOKUP(G61,CorMove,2,FALSE()),FALSE()),Q61-$C$3,R61,$CJ$5)*H61-CJ61</f>
        <v>#NAME?</v>
      </c>
      <c r="CI61" s="253" t="e">
        <f aca="false">SUM(CD61:CH61)</f>
        <v>#NAME?</v>
      </c>
      <c r="CJ61" s="253" t="e">
        <f aca="false">xSPRDOPT((VLOOKUP(G61,NGPREVPRICES,2,FALSE())+HLOOKUP(D61,PREVCURVES,VLOOKUP(G61,MOVE_DOWN2,2,FALSE()),FALSE())),VLOOKUP(G61,NGPREVPRICES,2,FALSE()),CK61,VLOOKUP(G61,NGPREVPRICES,4,FALSE()),HLOOKUP(D61,PREVVOLS,VLOOKUP(G61,MOVE_DOWN2,2,FALSE()),FALSE()),VLOOKUP(G61,NGPREVPRICES,3,FALSE()),HLOOKUP(D61,Correllate,VLOOKUP(G61,CorMove,2,FALSE()),FALSE()),Q61-$CD$3,R61,$CJ$5)*H61</f>
        <v>#NAME?</v>
      </c>
      <c r="CK61" s="254" t="n">
        <f aca="false">I61</f>
        <v>1.15</v>
      </c>
      <c r="CL61" s="253"/>
      <c r="CM61" s="0" t="str">
        <f aca="false">CONCATENATE(CC61,$CD$6)</f>
        <v>36923Curve Shift/Gamma</v>
      </c>
      <c r="CN61" s="0" t="str">
        <f aca="false">CONCATENATE($CC61,$CE$6)</f>
        <v>36923Rho</v>
      </c>
      <c r="CO61" s="0" t="str">
        <f aca="false">CONCATENATE($CC61,$CF$6)</f>
        <v>36923Drift</v>
      </c>
      <c r="CP61" s="0" t="str">
        <f aca="false">CONCATENATE($CC61,$CG$6)</f>
        <v>36923Vega</v>
      </c>
      <c r="CQ61" s="0" t="str">
        <f aca="false">CONCATENATE($CC61,$CH$6)</f>
        <v>36923Theta</v>
      </c>
    </row>
    <row r="62" customFormat="false" ht="12" hidden="false" customHeight="true" outlineLevel="0" collapsed="false">
      <c r="A62" s="265" t="s">
        <v>198</v>
      </c>
      <c r="B62" s="0" t="s">
        <v>192</v>
      </c>
      <c r="C62" s="0" t="s">
        <v>226</v>
      </c>
      <c r="D62" s="7" t="s">
        <v>149</v>
      </c>
      <c r="E62" s="0" t="s">
        <v>131</v>
      </c>
      <c r="F62" s="0" t="s">
        <v>136</v>
      </c>
      <c r="G62" s="92" t="n">
        <v>36892</v>
      </c>
      <c r="H62" s="248" t="n">
        <v>-500000</v>
      </c>
      <c r="I62" s="0" t="n">
        <v>1.15</v>
      </c>
      <c r="J62" s="124" t="n">
        <f aca="false">VLOOKUP(G62,NGPrices,2,FALSE())</f>
        <v>4.744</v>
      </c>
      <c r="K62" s="125" t="n">
        <f aca="false">HLOOKUP(D62,Prices,VLOOKUP(G62,move_down,2,FALSE()),FALSE())+VLOOKUP(G62,CHANGE,HLOOKUP(D62,CHANGE,2,FALSE()),FALSE())</f>
        <v>2.17</v>
      </c>
      <c r="L62" s="124" t="n">
        <f aca="false">K62+J62</f>
        <v>6.914</v>
      </c>
      <c r="M62" s="126" t="n">
        <f aca="false">VLOOKUP(G62,NGPrices,4,FALSE())</f>
        <v>0.068374831148491</v>
      </c>
      <c r="N62" s="7" t="n">
        <f aca="false">VLOOKUP(G62,NGPrices,3,FALSE())</f>
        <v>0.605</v>
      </c>
      <c r="O62" s="7" t="n">
        <f aca="false">HLOOKUP(D62,VOLS,VLOOKUP(G62,move_down,2,FALSE()),FALSE())</f>
        <v>0.696</v>
      </c>
      <c r="P62" s="249" t="n">
        <f aca="false">HLOOKUP(D62,Correllate,VLOOKUP(G62,CorMove,2,FALSE()),FALSE())</f>
        <v>0.83</v>
      </c>
      <c r="Q62" s="92" t="n">
        <f aca="false">WORKDAY(G62,-2)</f>
        <v>36888</v>
      </c>
      <c r="R62" s="7" t="n">
        <f aca="false">IF(F62="P",0,1)</f>
        <v>1</v>
      </c>
      <c r="S62" s="130" t="e">
        <f aca="false">xSPRDOPT($L62,$J62,$I62,$M62,$O62,$N62,$P62,$Q62-$C$3,$R62,0)</f>
        <v>#NAME?</v>
      </c>
      <c r="T62" s="250" t="e">
        <f aca="false">xSPRDOPT($L62,$J62,$I62,$M62,$O62,$N62,$P62,$Q62-$C$3,$R62,1)*H62</f>
        <v>#NAME?</v>
      </c>
      <c r="U62" s="43" t="e">
        <f aca="false">S62*H62</f>
        <v>#NAME?</v>
      </c>
      <c r="V62" s="250" t="e">
        <f aca="false">xSPRDOPT($L62,$J62,$I62,$M62,$O62,$N62,$P62,$Q62-$C$3,$R62,2)*H62</f>
        <v>#NAME?</v>
      </c>
      <c r="W62" s="250" t="e">
        <f aca="false">+V62+T62</f>
        <v>#NAME?</v>
      </c>
      <c r="X62" s="2" t="str">
        <f aca="false">CONCATENATE(G62,D62)</f>
        <v>36892IF-TRANSCO/Z6</v>
      </c>
      <c r="Y62" s="251" t="n">
        <f aca="false">H62/10000</f>
        <v>-50</v>
      </c>
      <c r="Z62" s="226" t="e">
        <f aca="false">T62/H62</f>
        <v>#NAME?</v>
      </c>
      <c r="AA62" s="226" t="e">
        <f aca="false">xSPRDOPT($L62,$J62,$I62,$M62,$O62,$N62,$P62,$Q62-$C$3,$R62,3)</f>
        <v>#NAME?</v>
      </c>
      <c r="AB62" s="226" t="e">
        <f aca="false">((xSPRDOPT($L62+AB$5,$J62,$I62,$M62,$O62,$N62,$P62,$Q62-$C$3,$R62,3)*$H62)/10000)/100</f>
        <v>#NAME?</v>
      </c>
      <c r="AC62" s="226" t="e">
        <f aca="false">((xSPRDOPT($L62+$AB$5,$J62,$I62,$M62,$O62,$N62,$P62,$Q62-$C$3,$R62,7)*$H62)/100)</f>
        <v>#NAME?</v>
      </c>
      <c r="AD62" s="226" t="e">
        <f aca="false">(xSPRDOPT($L62+$AB$5,$J62,$I62,$M62,$O62,$N62,$P62,$Q62-$C$3,$R62,9)/365)*$H62</f>
        <v>#NAME?</v>
      </c>
      <c r="AE62" s="0" t="e">
        <f aca="false">CD62</f>
        <v>#NAME?</v>
      </c>
      <c r="AF62" s="226" t="e">
        <f aca="false">((O62/N62)*AH62)+AG62</f>
        <v>#NAME?</v>
      </c>
      <c r="AG62" s="226" t="e">
        <f aca="false">((xSPRDOPT($L62,$J62,$I62,$M62,$O62,$N62,$P62,$Q62-$C$3,$R62,6)*$H62)/100)</f>
        <v>#NAME?</v>
      </c>
      <c r="AH62" s="226" t="e">
        <f aca="false">((xSPRDOPT($L62,$J62,$I62,$M62,$O62,$N62,$P62,$Q62-$C$3,$R62,5)*$H62)/100)</f>
        <v>#NAME?</v>
      </c>
      <c r="AI62" s="226" t="e">
        <f aca="false">(((xSPRDOPT($L62,$J62,$I62,$M62,$O62,$N62,$P62,$Q62-$C$3,$R62,4)*$H62)/10000)/100)-AB62</f>
        <v>#NAME?</v>
      </c>
      <c r="AJ62" s="226"/>
      <c r="AK62" s="226"/>
      <c r="AL62" s="226"/>
      <c r="AM62" s="252"/>
      <c r="AN62" s="208" t="n">
        <f aca="false">EOMONTH(AN61,0)+1</f>
        <v>38412</v>
      </c>
      <c r="AO62" s="134" t="n">
        <f aca="false">SUMIF($X:$X,CONCATENATE($AN62,AO$6),$T:$T)/10000</f>
        <v>0</v>
      </c>
      <c r="AP62" s="134" t="n">
        <f aca="false">SUMIF($X:$X,CONCATENATE($AN62,AP$6),$T:$T)/10000</f>
        <v>0</v>
      </c>
      <c r="AQ62" s="134" t="n">
        <f aca="false">SUMIF($X:$X,CONCATENATE($AN62,AQ$6),$T:$T)/10000</f>
        <v>0</v>
      </c>
      <c r="AR62" s="134" t="n">
        <f aca="false">SUMIF($X:$X,CONCATENATE($AN62,AR$6),$T:$T)/10000</f>
        <v>0</v>
      </c>
      <c r="AS62" s="134" t="n">
        <f aca="false">SUMIF($X:$X,CONCATENATE($AN62,AS$6),$T:$T)/10000</f>
        <v>0</v>
      </c>
      <c r="AT62" s="134" t="n">
        <f aca="false">SUMIF($X:$X,CONCATENATE($AN62,AT$6),$T:$T)/10000</f>
        <v>0</v>
      </c>
      <c r="AU62" s="134" t="n">
        <f aca="false">SUMIF($X:$X,CONCATENATE($AN62,AU$6),$T:$T)/10000</f>
        <v>0</v>
      </c>
      <c r="AV62" s="134" t="n">
        <f aca="false">SUMIF($X:$X,CONCATENATE($AN62,AV$6),$T:$T)/10000</f>
        <v>0</v>
      </c>
      <c r="AW62" s="134" t="n">
        <f aca="false">SUMIF($X:$X,CONCATENATE($AN62,AW$6),$T:$T)/10000</f>
        <v>0</v>
      </c>
      <c r="AX62" s="134" t="n">
        <f aca="false">SUMIF($X:$X,CONCATENATE($AN62,AX$6),$T:$T)/10000</f>
        <v>0</v>
      </c>
      <c r="AY62" s="134" t="n">
        <f aca="false">SUMIF($X:$X,CONCATENATE($AN62,AY$6),$T:$T)/10000</f>
        <v>0</v>
      </c>
      <c r="AZ62" s="134" t="n">
        <f aca="false">SUMIF($X:$X,CONCATENATE($AN62,AZ$6),$T:$T)/10000</f>
        <v>0</v>
      </c>
      <c r="BA62" s="135" t="n">
        <f aca="false">SUMIF($X:$X,CONCATENATE($AN62,BA$6),$T:$T)/10000</f>
        <v>0</v>
      </c>
      <c r="BB62" s="208" t="n">
        <f aca="false">EOMONTH(BB61,0)+1</f>
        <v>38412</v>
      </c>
      <c r="BC62" s="135" t="n">
        <f aca="false">SUM(AO62:BA62)</f>
        <v>0</v>
      </c>
      <c r="BD62" s="2"/>
      <c r="BE62" s="208" t="n">
        <f aca="false">EOMONTH(BE61,0)+1</f>
        <v>38412</v>
      </c>
      <c r="BF62" s="134" t="n">
        <f aca="false">SUMIF($X:$X,CONCATENATE($AN62,BF$6),$W:$W)</f>
        <v>0</v>
      </c>
      <c r="BG62" s="134" t="n">
        <f aca="false">SUMIF($X:$X,CONCATENATE($AN62,BG$6),$W:$W)</f>
        <v>0</v>
      </c>
      <c r="BH62" s="134" t="n">
        <f aca="false">SUMIF($X:$X,CONCATENATE($AN62,BH$6),$W:$W)</f>
        <v>0</v>
      </c>
      <c r="BI62" s="134" t="n">
        <f aca="false">SUMIF($X:$X,CONCATENATE($AN62,BI$6),$W:$W)</f>
        <v>0</v>
      </c>
      <c r="BJ62" s="134" t="n">
        <f aca="false">SUMIF($X:$X,CONCATENATE($AN62,BJ$6),$W:$W)</f>
        <v>0</v>
      </c>
      <c r="BK62" s="134" t="n">
        <f aca="false">SUMIF($X:$X,CONCATENATE($AN62,BK$6),$W:$W)</f>
        <v>0</v>
      </c>
      <c r="BL62" s="134" t="n">
        <f aca="false">SUMIF($X:$X,CONCATENATE($AN62,BL$6),$W:$W)</f>
        <v>0</v>
      </c>
      <c r="BM62" s="134" t="n">
        <f aca="false">SUMIF($X:$X,CONCATENATE($AN62,BM$6),$W:$W)</f>
        <v>0</v>
      </c>
      <c r="BN62" s="134" t="n">
        <f aca="false">SUMIF($X:$X,CONCATENATE($AN62,BN$6),$W:$W)</f>
        <v>0</v>
      </c>
      <c r="BO62" s="134" t="n">
        <f aca="false">SUMIF($X:$X,CONCATENATE($AN62,BO$6),$W:$W)</f>
        <v>0</v>
      </c>
      <c r="BP62" s="134" t="n">
        <f aca="false">SUMIF($X:$X,CONCATENATE($AN62,BP$6),$W:$W)</f>
        <v>0</v>
      </c>
      <c r="BQ62" s="134" t="n">
        <f aca="false">SUMIF($X:$X,CONCATENATE($AN62,BQ$6),$W:$W)</f>
        <v>0</v>
      </c>
      <c r="BR62" s="135" t="n">
        <f aca="false">SUMIF($X:$X,CONCATENATE($AN62,BR$6),$W:$W)</f>
        <v>0</v>
      </c>
      <c r="BS62" s="208" t="n">
        <f aca="false">EOMONTH(BS61,0)+1</f>
        <v>38412</v>
      </c>
      <c r="BT62" s="135" t="n">
        <f aca="false">SUM(BF62:BR62)</f>
        <v>0</v>
      </c>
      <c r="BU62" s="2"/>
      <c r="BV62" s="2"/>
      <c r="BW62" s="2"/>
      <c r="BX62" s="2"/>
      <c r="BY62" s="2"/>
      <c r="BZ62" s="2"/>
      <c r="CA62" s="2"/>
      <c r="CB62" s="2"/>
      <c r="CC62" s="182" t="n">
        <f aca="false">G62</f>
        <v>36892</v>
      </c>
      <c r="CD62" s="253" t="e">
        <f aca="false">xSPRDOPT((VLOOKUP(G62,NGPrices,2,FALSE())+HLOOKUP(D62,Prices,VLOOKUP(G62,move_down,2,FALSE()),FALSE())),VLOOKUP(G62,NGPrices,2,FALSE()),I62,VLOOKUP(G62,NGPREVPRICES,4,FALSE()),HLOOKUP(D62,PREVVOLS,VLOOKUP(G62,MOVE_DOWN2,2,FALSE()),FALSE()),VLOOKUP(G62,NGPREVPRICES,3,FALSE()),HLOOKUP(D62,Correllate,VLOOKUP(G62,CorMove,2,FALSE()),FALSE()),Q62-$CD$3,R62,$CD$5)*H62-CJ62</f>
        <v>#NAME?</v>
      </c>
      <c r="CE62" s="253" t="e">
        <f aca="false">xSPRDOPT((VLOOKUP(G62,NGPREVPRICES,2,FALSE())+HLOOKUP(D62,PREVCURVES,VLOOKUP(G62,MOVE_DOWN2,2,FALSE()),FALSE())),VLOOKUP(G62,NGPREVPRICES,2,FALSE()),CK62,VLOOKUP(G62,NGPrices,4,FALSE()),HLOOKUP(D62,PREVVOLS,VLOOKUP(G62,MOVE_DOWN2,2,FALSE()),FALSE()),VLOOKUP(G62,NGPREVPRICES,3,FALSE()),HLOOKUP(D62,Correllate,VLOOKUP(G62,CorMove,2,FALSE()),FALSE()),Q62-$CD$3,R62,$CJ$5)*H62-CJ62</f>
        <v>#NAME?</v>
      </c>
      <c r="CF62" s="132" t="e">
        <f aca="false">(CJ62/VLOOKUP(CC62,discount,3,FALSE()))-(CJ62/VLOOKUP(CC62,discount,2,FALSE()))</f>
        <v>#NAME?</v>
      </c>
      <c r="CG62" s="253" t="e">
        <f aca="false">xSPRDOPT((VLOOKUP(G62,NGPREVPRICES,2,FALSE())+HLOOKUP(D62,PREVCURVES,VLOOKUP(G62,MOVE_DOWN2,2,FALSE()),FALSE())),VLOOKUP(G62,NGPREVPRICES,2,FALSE()),CK62,VLOOKUP(G62,NGPREVPRICES,4,FALSE()),HLOOKUP(D62,VOLS,VLOOKUP(G62,move_down,2,FALSE()),FALSE()),VLOOKUP(G62,NGPrices,3,FALSE()),HLOOKUP(D62,Correllate,VLOOKUP(G62,CorMove,2,FALSE()),FALSE()),Q62-$CD$3,R62,$CJ$5)*H62-CJ62</f>
        <v>#NAME?</v>
      </c>
      <c r="CH62" s="253" t="e">
        <f aca="false">xSPRDOPT((VLOOKUP(G62,NGPREVPRICES,2,FALSE())+HLOOKUP(D62,PREVCURVES,VLOOKUP(G62,MOVE_DOWN2,2,FALSE()),FALSE())),VLOOKUP(G62,NGPREVPRICES,2,FALSE()),CK62,VLOOKUP(G62,NGPREVPRICES,4,FALSE()),HLOOKUP(D62,PREVVOLS,VLOOKUP(G62,MOVE_DOWN2,2,FALSE()),FALSE()),VLOOKUP(G62,NGPREVPRICES,3,FALSE()),HLOOKUP(D62,Correllate,VLOOKUP(G62,CorMove,2,FALSE()),FALSE()),Q62-$C$3,R62,$CJ$5)*H62-CJ62</f>
        <v>#NAME?</v>
      </c>
      <c r="CI62" s="253" t="e">
        <f aca="false">SUM(CD62:CH62)</f>
        <v>#NAME?</v>
      </c>
      <c r="CJ62" s="253" t="e">
        <f aca="false">xSPRDOPT((VLOOKUP(G62,NGPREVPRICES,2,FALSE())+HLOOKUP(D62,PREVCURVES,VLOOKUP(G62,MOVE_DOWN2,2,FALSE()),FALSE())),VLOOKUP(G62,NGPREVPRICES,2,FALSE()),CK62,VLOOKUP(G62,NGPREVPRICES,4,FALSE()),HLOOKUP(D62,PREVVOLS,VLOOKUP(G62,MOVE_DOWN2,2,FALSE()),FALSE()),VLOOKUP(G62,NGPREVPRICES,3,FALSE()),HLOOKUP(D62,Correllate,VLOOKUP(G62,CorMove,2,FALSE()),FALSE()),Q62-$CD$3,R62,$CJ$5)*H62</f>
        <v>#NAME?</v>
      </c>
      <c r="CK62" s="254" t="n">
        <f aca="false">I62</f>
        <v>1.15</v>
      </c>
      <c r="CL62" s="253"/>
      <c r="CM62" s="0" t="str">
        <f aca="false">CONCATENATE(CC62,$CD$6)</f>
        <v>36892Curve Shift/Gamma</v>
      </c>
      <c r="CN62" s="0" t="str">
        <f aca="false">CONCATENATE($CC62,$CE$6)</f>
        <v>36892Rho</v>
      </c>
      <c r="CO62" s="0" t="str">
        <f aca="false">CONCATENATE($CC62,$CF$6)</f>
        <v>36892Drift</v>
      </c>
      <c r="CP62" s="0" t="str">
        <f aca="false">CONCATENATE($CC62,$CG$6)</f>
        <v>36892Vega</v>
      </c>
      <c r="CQ62" s="0" t="str">
        <f aca="false">CONCATENATE($CC62,$CH$6)</f>
        <v>36892Theta</v>
      </c>
    </row>
    <row r="63" customFormat="false" ht="12" hidden="false" customHeight="true" outlineLevel="0" collapsed="false">
      <c r="A63" s="265" t="s">
        <v>198</v>
      </c>
      <c r="B63" s="0" t="s">
        <v>192</v>
      </c>
      <c r="C63" s="0" t="s">
        <v>226</v>
      </c>
      <c r="D63" s="7" t="s">
        <v>149</v>
      </c>
      <c r="E63" s="0" t="s">
        <v>131</v>
      </c>
      <c r="F63" s="0" t="s">
        <v>136</v>
      </c>
      <c r="G63" s="92" t="n">
        <v>36861</v>
      </c>
      <c r="H63" s="248" t="n">
        <v>-500000</v>
      </c>
      <c r="I63" s="0" t="n">
        <v>1.15</v>
      </c>
      <c r="J63" s="124" t="n">
        <f aca="false">VLOOKUP(G63,NGPrices,2,FALSE())</f>
        <v>4.8</v>
      </c>
      <c r="K63" s="125" t="n">
        <f aca="false">HLOOKUP(D63,Prices,VLOOKUP(G63,move_down,2,FALSE()),FALSE())+VLOOKUP(G63,CHANGE,HLOOKUP(D63,CHANGE,2,FALSE()),FALSE())</f>
        <v>1.645</v>
      </c>
      <c r="L63" s="124" t="n">
        <f aca="false">K63+J63</f>
        <v>6.445</v>
      </c>
      <c r="M63" s="126" t="n">
        <f aca="false">VLOOKUP(G63,NGPrices,4,FALSE())</f>
        <v>0.068314027999354</v>
      </c>
      <c r="N63" s="7" t="n">
        <f aca="false">VLOOKUP(G63,NGPrices,3,FALSE())</f>
        <v>0.6</v>
      </c>
      <c r="O63" s="7" t="n">
        <f aca="false">HLOOKUP(D63,VOLS,VLOOKUP(G63,move_down,2,FALSE()),FALSE())</f>
        <v>0.69</v>
      </c>
      <c r="P63" s="249" t="n">
        <f aca="false">HLOOKUP(D63,Correllate,VLOOKUP(G63,CorMove,2,FALSE()),FALSE())</f>
        <v>0.83</v>
      </c>
      <c r="Q63" s="92" t="n">
        <f aca="false">WORKDAY(G63,-2)</f>
        <v>36859</v>
      </c>
      <c r="R63" s="7" t="n">
        <f aca="false">IF(F63="P",0,1)</f>
        <v>1</v>
      </c>
      <c r="S63" s="130" t="e">
        <f aca="false">xSPRDOPT($L63,$J63,$I63,$M63,$O63,$N63,$P63,$Q63-$C$3,$R63,0)</f>
        <v>#NAME?</v>
      </c>
      <c r="T63" s="250" t="e">
        <f aca="false">xSPRDOPT($L63,$J63,$I63,$M63,$O63,$N63,$P63,$Q63-$C$3,$R63,1)*H63</f>
        <v>#NAME?</v>
      </c>
      <c r="U63" s="43" t="e">
        <f aca="false">S63*H63</f>
        <v>#NAME?</v>
      </c>
      <c r="V63" s="250" t="e">
        <f aca="false">xSPRDOPT($L63,$J63,$I63,$M63,$O63,$N63,$P63,$Q63-$C$3,$R63,2)*H63</f>
        <v>#NAME?</v>
      </c>
      <c r="W63" s="250" t="e">
        <f aca="false">+V63+T63</f>
        <v>#NAME?</v>
      </c>
      <c r="X63" s="2" t="str">
        <f aca="false">CONCATENATE(G63,D63)</f>
        <v>36861IF-TRANSCO/Z6</v>
      </c>
      <c r="Y63" s="251" t="n">
        <f aca="false">H63/10000</f>
        <v>-50</v>
      </c>
      <c r="Z63" s="226" t="e">
        <f aca="false">T63/H63</f>
        <v>#NAME?</v>
      </c>
      <c r="AA63" s="226" t="e">
        <f aca="false">xSPRDOPT($L63,$J63,$I63,$M63,$O63,$N63,$P63,$Q63-$C$3,$R63,3)</f>
        <v>#NAME?</v>
      </c>
      <c r="AB63" s="226" t="e">
        <f aca="false">((xSPRDOPT($L63+AB$5,$J63,$I63,$M63,$O63,$N63,$P63,$Q63-$C$3,$R63,3)*$H63)/10000)/100</f>
        <v>#NAME?</v>
      </c>
      <c r="AC63" s="226" t="e">
        <f aca="false">((xSPRDOPT($L63+$AB$5,$J63,$I63,$M63,$O63,$N63,$P63,$Q63-$C$3,$R63,7)*$H63)/100)</f>
        <v>#NAME?</v>
      </c>
      <c r="AD63" s="226" t="e">
        <f aca="false">(xSPRDOPT($L63+$AB$5,$J63,$I63,$M63,$O63,$N63,$P63,$Q63-$C$3,$R63,9)/365)*$H63</f>
        <v>#NAME?</v>
      </c>
      <c r="AE63" s="0" t="e">
        <f aca="false">CD63</f>
        <v>#NAME?</v>
      </c>
      <c r="AF63" s="226" t="e">
        <f aca="false">((O63/N63)*AH63)+AG63</f>
        <v>#NAME?</v>
      </c>
      <c r="AG63" s="226" t="e">
        <f aca="false">((xSPRDOPT($L63,$J63,$I63,$M63,$O63,$N63,$P63,$Q63-$C$3,$R63,6)*$H63)/100)</f>
        <v>#NAME?</v>
      </c>
      <c r="AH63" s="226" t="e">
        <f aca="false">((xSPRDOPT($L63,$J63,$I63,$M63,$O63,$N63,$P63,$Q63-$C$3,$R63,5)*$H63)/100)</f>
        <v>#NAME?</v>
      </c>
      <c r="AI63" s="226" t="e">
        <f aca="false">(((xSPRDOPT($L63,$J63,$I63,$M63,$O63,$N63,$P63,$Q63-$C$3,$R63,4)*$H63)/10000)/100)-AB63</f>
        <v>#NAME?</v>
      </c>
      <c r="AJ63" s="226"/>
      <c r="AK63" s="226"/>
      <c r="AL63" s="226"/>
      <c r="AM63" s="252"/>
      <c r="AN63" s="208" t="n">
        <f aca="false">EOMONTH(AN62,0)+1</f>
        <v>38443</v>
      </c>
      <c r="AO63" s="134" t="n">
        <f aca="false">SUMIF($X:$X,CONCATENATE($AN63,AO$6),$T:$T)/10000</f>
        <v>0</v>
      </c>
      <c r="AP63" s="134" t="n">
        <f aca="false">SUMIF($X:$X,CONCATENATE($AN63,AP$6),$T:$T)/10000</f>
        <v>0</v>
      </c>
      <c r="AQ63" s="134" t="n">
        <f aca="false">SUMIF($X:$X,CONCATENATE($AN63,AQ$6),$T:$T)/10000</f>
        <v>0</v>
      </c>
      <c r="AR63" s="134" t="n">
        <f aca="false">SUMIF($X:$X,CONCATENATE($AN63,AR$6),$T:$T)/10000</f>
        <v>0</v>
      </c>
      <c r="AS63" s="134" t="n">
        <f aca="false">SUMIF($X:$X,CONCATENATE($AN63,AS$6),$T:$T)/10000</f>
        <v>0</v>
      </c>
      <c r="AT63" s="134" t="n">
        <f aca="false">SUMIF($X:$X,CONCATENATE($AN63,AT$6),$T:$T)/10000</f>
        <v>0</v>
      </c>
      <c r="AU63" s="134" t="n">
        <f aca="false">SUMIF($X:$X,CONCATENATE($AN63,AU$6),$T:$T)/10000</f>
        <v>0</v>
      </c>
      <c r="AV63" s="134" t="n">
        <f aca="false">SUMIF($X:$X,CONCATENATE($AN63,AV$6),$T:$T)/10000</f>
        <v>0</v>
      </c>
      <c r="AW63" s="134" t="n">
        <f aca="false">SUMIF($X:$X,CONCATENATE($AN63,AW$6),$T:$T)/10000</f>
        <v>0</v>
      </c>
      <c r="AX63" s="134" t="n">
        <f aca="false">SUMIF($X:$X,CONCATENATE($AN63,AX$6),$T:$T)/10000</f>
        <v>0</v>
      </c>
      <c r="AY63" s="134" t="n">
        <f aca="false">SUMIF($X:$X,CONCATENATE($AN63,AY$6),$T:$T)/10000</f>
        <v>0</v>
      </c>
      <c r="AZ63" s="134" t="n">
        <f aca="false">SUMIF($X:$X,CONCATENATE($AN63,AZ$6),$T:$T)/10000</f>
        <v>0</v>
      </c>
      <c r="BA63" s="135" t="n">
        <f aca="false">SUMIF($X:$X,CONCATENATE($AN63,BA$6),$T:$T)/10000</f>
        <v>0</v>
      </c>
      <c r="BB63" s="208" t="n">
        <f aca="false">EOMONTH(BB62,0)+1</f>
        <v>38443</v>
      </c>
      <c r="BC63" s="135" t="n">
        <f aca="false">SUM(AO63:BA63)</f>
        <v>0</v>
      </c>
      <c r="BD63" s="2"/>
      <c r="BE63" s="208" t="n">
        <f aca="false">EOMONTH(BE62,0)+1</f>
        <v>38443</v>
      </c>
      <c r="BF63" s="134" t="n">
        <f aca="false">SUMIF($X:$X,CONCATENATE($AN63,BF$6),$W:$W)</f>
        <v>0</v>
      </c>
      <c r="BG63" s="134" t="n">
        <f aca="false">SUMIF($X:$X,CONCATENATE($AN63,BG$6),$W:$W)</f>
        <v>0</v>
      </c>
      <c r="BH63" s="134" t="n">
        <f aca="false">SUMIF($X:$X,CONCATENATE($AN63,BH$6),$W:$W)</f>
        <v>0</v>
      </c>
      <c r="BI63" s="134" t="n">
        <f aca="false">SUMIF($X:$X,CONCATENATE($AN63,BI$6),$W:$W)</f>
        <v>0</v>
      </c>
      <c r="BJ63" s="134" t="n">
        <f aca="false">SUMIF($X:$X,CONCATENATE($AN63,BJ$6),$W:$W)</f>
        <v>0</v>
      </c>
      <c r="BK63" s="134" t="n">
        <f aca="false">SUMIF($X:$X,CONCATENATE($AN63,BK$6),$W:$W)</f>
        <v>0</v>
      </c>
      <c r="BL63" s="134" t="n">
        <f aca="false">SUMIF($X:$X,CONCATENATE($AN63,BL$6),$W:$W)</f>
        <v>0</v>
      </c>
      <c r="BM63" s="134" t="n">
        <f aca="false">SUMIF($X:$X,CONCATENATE($AN63,BM$6),$W:$W)</f>
        <v>0</v>
      </c>
      <c r="BN63" s="134" t="n">
        <f aca="false">SUMIF($X:$X,CONCATENATE($AN63,BN$6),$W:$W)</f>
        <v>0</v>
      </c>
      <c r="BO63" s="134" t="n">
        <f aca="false">SUMIF($X:$X,CONCATENATE($AN63,BO$6),$W:$W)</f>
        <v>0</v>
      </c>
      <c r="BP63" s="134" t="n">
        <f aca="false">SUMIF($X:$X,CONCATENATE($AN63,BP$6),$W:$W)</f>
        <v>0</v>
      </c>
      <c r="BQ63" s="134" t="n">
        <f aca="false">SUMIF($X:$X,CONCATENATE($AN63,BQ$6),$W:$W)</f>
        <v>0</v>
      </c>
      <c r="BR63" s="135" t="n">
        <f aca="false">SUMIF($X:$X,CONCATENATE($AN63,BR$6),$W:$W)</f>
        <v>0</v>
      </c>
      <c r="BS63" s="208" t="n">
        <f aca="false">EOMONTH(BS62,0)+1</f>
        <v>38443</v>
      </c>
      <c r="BT63" s="135" t="n">
        <f aca="false">SUM(BF63:BR63)</f>
        <v>0</v>
      </c>
      <c r="BU63" s="2"/>
      <c r="BV63" s="2"/>
      <c r="BW63" s="2"/>
      <c r="BX63" s="2"/>
      <c r="BY63" s="2"/>
      <c r="BZ63" s="2"/>
      <c r="CA63" s="2"/>
      <c r="CB63" s="2"/>
      <c r="CC63" s="182" t="n">
        <f aca="false">G63</f>
        <v>36861</v>
      </c>
      <c r="CD63" s="253" t="e">
        <f aca="false">xSPRDOPT((VLOOKUP(G63,NGPrices,2,FALSE())+HLOOKUP(D63,Prices,VLOOKUP(G63,move_down,2,FALSE()),FALSE())),VLOOKUP(G63,NGPrices,2,FALSE()),I63,VLOOKUP(G63,NGPREVPRICES,4,FALSE()),HLOOKUP(D63,PREVVOLS,VLOOKUP(G63,MOVE_DOWN2,2,FALSE()),FALSE()),VLOOKUP(G63,NGPREVPRICES,3,FALSE()),HLOOKUP(D63,Correllate,VLOOKUP(G63,CorMove,2,FALSE()),FALSE()),Q63-$CD$3,R63,$CD$5)*H63-CJ63</f>
        <v>#NAME?</v>
      </c>
      <c r="CE63" s="253" t="e">
        <f aca="false">xSPRDOPT((VLOOKUP(G63,NGPREVPRICES,2,FALSE())+HLOOKUP(D63,PREVCURVES,VLOOKUP(G63,MOVE_DOWN2,2,FALSE()),FALSE())),VLOOKUP(G63,NGPREVPRICES,2,FALSE()),CK63,VLOOKUP(G63,NGPrices,4,FALSE()),HLOOKUP(D63,PREVVOLS,VLOOKUP(G63,MOVE_DOWN2,2,FALSE()),FALSE()),VLOOKUP(G63,NGPREVPRICES,3,FALSE()),HLOOKUP(D63,Correllate,VLOOKUP(G63,CorMove,2,FALSE()),FALSE()),Q63-$CD$3,R63,$CJ$5)*H63-CJ63</f>
        <v>#NAME?</v>
      </c>
      <c r="CF63" s="132" t="e">
        <f aca="false">(CJ63/VLOOKUP(CC63,discount,3,FALSE()))-(CJ63/VLOOKUP(CC63,discount,2,FALSE()))</f>
        <v>#NAME?</v>
      </c>
      <c r="CG63" s="253" t="e">
        <f aca="false">xSPRDOPT((VLOOKUP(G63,NGPREVPRICES,2,FALSE())+HLOOKUP(D63,PREVCURVES,VLOOKUP(G63,MOVE_DOWN2,2,FALSE()),FALSE())),VLOOKUP(G63,NGPREVPRICES,2,FALSE()),CK63,VLOOKUP(G63,NGPREVPRICES,4,FALSE()),HLOOKUP(D63,VOLS,VLOOKUP(G63,move_down,2,FALSE()),FALSE()),VLOOKUP(G63,NGPrices,3,FALSE()),HLOOKUP(D63,Correllate,VLOOKUP(G63,CorMove,2,FALSE()),FALSE()),Q63-$CD$3,R63,$CJ$5)*H63-CJ63</f>
        <v>#NAME?</v>
      </c>
      <c r="CH63" s="253" t="e">
        <f aca="false">xSPRDOPT((VLOOKUP(G63,NGPREVPRICES,2,FALSE())+HLOOKUP(D63,PREVCURVES,VLOOKUP(G63,MOVE_DOWN2,2,FALSE()),FALSE())),VLOOKUP(G63,NGPREVPRICES,2,FALSE()),CK63,VLOOKUP(G63,NGPREVPRICES,4,FALSE()),HLOOKUP(D63,PREVVOLS,VLOOKUP(G63,MOVE_DOWN2,2,FALSE()),FALSE()),VLOOKUP(G63,NGPREVPRICES,3,FALSE()),HLOOKUP(D63,Correllate,VLOOKUP(G63,CorMove,2,FALSE()),FALSE()),Q63-$C$3,R63,$CJ$5)*H63-CJ63</f>
        <v>#NAME?</v>
      </c>
      <c r="CI63" s="253" t="e">
        <f aca="false">SUM(CD63:CH63)</f>
        <v>#NAME?</v>
      </c>
      <c r="CJ63" s="253" t="e">
        <f aca="false">xSPRDOPT((VLOOKUP(G63,NGPREVPRICES,2,FALSE())+HLOOKUP(D63,PREVCURVES,VLOOKUP(G63,MOVE_DOWN2,2,FALSE()),FALSE())),VLOOKUP(G63,NGPREVPRICES,2,FALSE()),CK63,VLOOKUP(G63,NGPREVPRICES,4,FALSE()),HLOOKUP(D63,PREVVOLS,VLOOKUP(G63,MOVE_DOWN2,2,FALSE()),FALSE()),VLOOKUP(G63,NGPREVPRICES,3,FALSE()),HLOOKUP(D63,Correllate,VLOOKUP(G63,CorMove,2,FALSE()),FALSE()),Q63-$CD$3,R63,$CJ$5)*H63</f>
        <v>#NAME?</v>
      </c>
      <c r="CK63" s="254" t="n">
        <f aca="false">I63</f>
        <v>1.15</v>
      </c>
      <c r="CL63" s="253"/>
      <c r="CM63" s="0" t="str">
        <f aca="false">CONCATENATE(CC63,$CD$6)</f>
        <v>36861Curve Shift/Gamma</v>
      </c>
      <c r="CN63" s="0" t="str">
        <f aca="false">CONCATENATE($CC63,$CE$6)</f>
        <v>36861Rho</v>
      </c>
      <c r="CO63" s="0" t="str">
        <f aca="false">CONCATENATE($CC63,$CF$6)</f>
        <v>36861Drift</v>
      </c>
      <c r="CP63" s="0" t="str">
        <f aca="false">CONCATENATE($CC63,$CG$6)</f>
        <v>36861Vega</v>
      </c>
      <c r="CQ63" s="0" t="str">
        <f aca="false">CONCATENATE($CC63,$CH$6)</f>
        <v>36861Theta</v>
      </c>
    </row>
    <row r="64" customFormat="false" ht="12" hidden="false" customHeight="true" outlineLevel="0" collapsed="false">
      <c r="A64" s="265" t="s">
        <v>198</v>
      </c>
      <c r="B64" s="0" t="s">
        <v>192</v>
      </c>
      <c r="C64" s="0" t="s">
        <v>226</v>
      </c>
      <c r="D64" s="7" t="s">
        <v>149</v>
      </c>
      <c r="E64" s="0" t="s">
        <v>131</v>
      </c>
      <c r="F64" s="0" t="s">
        <v>136</v>
      </c>
      <c r="G64" s="92" t="n">
        <v>36831</v>
      </c>
      <c r="H64" s="248" t="n">
        <v>-500000</v>
      </c>
      <c r="I64" s="0" t="n">
        <v>1.15</v>
      </c>
      <c r="J64" s="124" t="n">
        <f aca="false">VLOOKUP(G64,NGPrices,2,FALSE())</f>
        <v>4.736</v>
      </c>
      <c r="K64" s="125" t="n">
        <f aca="false">HLOOKUP(D64,Prices,VLOOKUP(G64,move_down,2,FALSE()),FALSE())+VLOOKUP(G64,CHANGE,HLOOKUP(D64,CHANGE,2,FALSE()),FALSE())</f>
        <v>0.77</v>
      </c>
      <c r="L64" s="124" t="n">
        <f aca="false">K64+J64</f>
        <v>5.506</v>
      </c>
      <c r="M64" s="126" t="n">
        <f aca="false">VLOOKUP(G64,NGPrices,4,FALSE())</f>
        <v>0.06810675983792</v>
      </c>
      <c r="N64" s="7" t="n">
        <f aca="false">VLOOKUP(G64,NGPrices,3,FALSE())</f>
        <v>0.595</v>
      </c>
      <c r="O64" s="7" t="n">
        <f aca="false">HLOOKUP(D64,VOLS,VLOOKUP(G64,move_down,2,FALSE()),FALSE())</f>
        <v>0.625</v>
      </c>
      <c r="P64" s="249" t="n">
        <f aca="false">HLOOKUP(D64,Correllate,VLOOKUP(G64,CorMove,2,FALSE()),FALSE())</f>
        <v>0.89</v>
      </c>
      <c r="Q64" s="92" t="n">
        <f aca="false">WORKDAY(G64,-2)</f>
        <v>36829</v>
      </c>
      <c r="R64" s="7" t="n">
        <f aca="false">IF(F64="P",0,1)</f>
        <v>1</v>
      </c>
      <c r="S64" s="130" t="e">
        <f aca="false">xSPRDOPT($L64,$J64,$I64,$M64,$O64,$N64,$P64,$Q64-$C$3,$R64,0)</f>
        <v>#NAME?</v>
      </c>
      <c r="T64" s="250" t="e">
        <f aca="false">xSPRDOPT($L64,$J64,$I64,$M64,$O64,$N64,$P64,$Q64-$C$3,$R64,1)*H64</f>
        <v>#NAME?</v>
      </c>
      <c r="U64" s="43" t="e">
        <f aca="false">S64*H64</f>
        <v>#NAME?</v>
      </c>
      <c r="V64" s="250" t="e">
        <f aca="false">xSPRDOPT($L64,$J64,$I64,$M64,$O64,$N64,$P64,$Q64-$C$3,$R64,2)*H64</f>
        <v>#NAME?</v>
      </c>
      <c r="W64" s="250" t="e">
        <f aca="false">+V64+T64</f>
        <v>#NAME?</v>
      </c>
      <c r="X64" s="2" t="str">
        <f aca="false">CONCATENATE(G64,D64)</f>
        <v>36831IF-TRANSCO/Z6</v>
      </c>
      <c r="Y64" s="251" t="n">
        <f aca="false">H64/10000</f>
        <v>-50</v>
      </c>
      <c r="Z64" s="226" t="e">
        <f aca="false">T64/H64</f>
        <v>#NAME?</v>
      </c>
      <c r="AA64" s="226" t="e">
        <f aca="false">xSPRDOPT($L64,$J64,$I64,$M64,$O64,$N64,$P64,$Q64-$C$3,$R64,3)</f>
        <v>#NAME?</v>
      </c>
      <c r="AB64" s="226" t="e">
        <f aca="false">((xSPRDOPT($L64+AB$5,$J64,$I64,$M64,$O64,$N64,$P64,$Q64-$C$3,$R64,3)*$H64)/10000)/100</f>
        <v>#NAME?</v>
      </c>
      <c r="AC64" s="226" t="e">
        <f aca="false">((xSPRDOPT($L64+$AB$5,$J64,$I64,$M64,$O64,$N64,$P64,$Q64-$C$3,$R64,7)*$H64)/100)</f>
        <v>#NAME?</v>
      </c>
      <c r="AD64" s="226" t="e">
        <f aca="false">(xSPRDOPT($L64+$AB$5,$J64,$I64,$M64,$O64,$N64,$P64,$Q64-$C$3,$R64,9)/365)*$H64</f>
        <v>#NAME?</v>
      </c>
      <c r="AE64" s="0" t="e">
        <f aca="false">CD64</f>
        <v>#NAME?</v>
      </c>
      <c r="AF64" s="226" t="e">
        <f aca="false">((O64/N64)*AH64)+AG64</f>
        <v>#NAME?</v>
      </c>
      <c r="AG64" s="226" t="e">
        <f aca="false">((xSPRDOPT($L64,$J64,$I64,$M64,$O64,$N64,$P64,$Q64-$C$3,$R64,6)*$H64)/100)</f>
        <v>#NAME?</v>
      </c>
      <c r="AH64" s="226" t="e">
        <f aca="false">((xSPRDOPT($L64,$J64,$I64,$M64,$O64,$N64,$P64,$Q64-$C$3,$R64,5)*$H64)/100)</f>
        <v>#NAME?</v>
      </c>
      <c r="AI64" s="226" t="e">
        <f aca="false">(((xSPRDOPT($L64,$J64,$I64,$M64,$O64,$N64,$P64,$Q64-$C$3,$R64,4)*$H64)/10000)/100)-AB64</f>
        <v>#NAME?</v>
      </c>
      <c r="AJ64" s="226"/>
      <c r="AK64" s="226"/>
      <c r="AL64" s="226"/>
      <c r="AM64" s="252"/>
      <c r="AN64" s="208" t="n">
        <f aca="false">EOMONTH(AN63,0)+1</f>
        <v>38473</v>
      </c>
      <c r="AO64" s="134" t="n">
        <f aca="false">SUMIF($X:$X,CONCATENATE($AN64,AO$6),$T:$T)/10000</f>
        <v>0</v>
      </c>
      <c r="AP64" s="134" t="n">
        <f aca="false">SUMIF($X:$X,CONCATENATE($AN64,AP$6),$T:$T)/10000</f>
        <v>0</v>
      </c>
      <c r="AQ64" s="134" t="n">
        <f aca="false">SUMIF($X:$X,CONCATENATE($AN64,AQ$6),$T:$T)/10000</f>
        <v>0</v>
      </c>
      <c r="AR64" s="134" t="n">
        <f aca="false">SUMIF($X:$X,CONCATENATE($AN64,AR$6),$T:$T)/10000</f>
        <v>0</v>
      </c>
      <c r="AS64" s="134" t="n">
        <f aca="false">SUMIF($X:$X,CONCATENATE($AN64,AS$6),$T:$T)/10000</f>
        <v>0</v>
      </c>
      <c r="AT64" s="134" t="n">
        <f aca="false">SUMIF($X:$X,CONCATENATE($AN64,AT$6),$T:$T)/10000</f>
        <v>0</v>
      </c>
      <c r="AU64" s="134" t="n">
        <f aca="false">SUMIF($X:$X,CONCATENATE($AN64,AU$6),$T:$T)/10000</f>
        <v>0</v>
      </c>
      <c r="AV64" s="134" t="n">
        <f aca="false">SUMIF($X:$X,CONCATENATE($AN64,AV$6),$T:$T)/10000</f>
        <v>0</v>
      </c>
      <c r="AW64" s="134" t="n">
        <f aca="false">SUMIF($X:$X,CONCATENATE($AN64,AW$6),$T:$T)/10000</f>
        <v>0</v>
      </c>
      <c r="AX64" s="134" t="n">
        <f aca="false">SUMIF($X:$X,CONCATENATE($AN64,AX$6),$T:$T)/10000</f>
        <v>0</v>
      </c>
      <c r="AY64" s="134" t="n">
        <f aca="false">SUMIF($X:$X,CONCATENATE($AN64,AY$6),$T:$T)/10000</f>
        <v>0</v>
      </c>
      <c r="AZ64" s="134" t="n">
        <f aca="false">SUMIF($X:$X,CONCATENATE($AN64,AZ$6),$T:$T)/10000</f>
        <v>0</v>
      </c>
      <c r="BA64" s="135" t="n">
        <f aca="false">SUMIF($X:$X,CONCATENATE($AN64,BA$6),$T:$T)/10000</f>
        <v>0</v>
      </c>
      <c r="BB64" s="208" t="n">
        <f aca="false">EOMONTH(BB63,0)+1</f>
        <v>38473</v>
      </c>
      <c r="BC64" s="135" t="n">
        <f aca="false">SUM(AO64:BA64)</f>
        <v>0</v>
      </c>
      <c r="BD64" s="2"/>
      <c r="BE64" s="208" t="n">
        <f aca="false">EOMONTH(BE63,0)+1</f>
        <v>38473</v>
      </c>
      <c r="BF64" s="134" t="n">
        <f aca="false">SUMIF($X:$X,CONCATENATE($AN64,BF$6),$W:$W)</f>
        <v>0</v>
      </c>
      <c r="BG64" s="134" t="n">
        <f aca="false">SUMIF($X:$X,CONCATENATE($AN64,BG$6),$W:$W)</f>
        <v>0</v>
      </c>
      <c r="BH64" s="134" t="n">
        <f aca="false">SUMIF($X:$X,CONCATENATE($AN64,BH$6),$W:$W)</f>
        <v>0</v>
      </c>
      <c r="BI64" s="134" t="n">
        <f aca="false">SUMIF($X:$X,CONCATENATE($AN64,BI$6),$W:$W)</f>
        <v>0</v>
      </c>
      <c r="BJ64" s="134" t="n">
        <f aca="false">SUMIF($X:$X,CONCATENATE($AN64,BJ$6),$W:$W)</f>
        <v>0</v>
      </c>
      <c r="BK64" s="134" t="n">
        <f aca="false">SUMIF($X:$X,CONCATENATE($AN64,BK$6),$W:$W)</f>
        <v>0</v>
      </c>
      <c r="BL64" s="134" t="n">
        <f aca="false">SUMIF($X:$X,CONCATENATE($AN64,BL$6),$W:$W)</f>
        <v>0</v>
      </c>
      <c r="BM64" s="134" t="n">
        <f aca="false">SUMIF($X:$X,CONCATENATE($AN64,BM$6),$W:$W)</f>
        <v>0</v>
      </c>
      <c r="BN64" s="134" t="n">
        <f aca="false">SUMIF($X:$X,CONCATENATE($AN64,BN$6),$W:$W)</f>
        <v>0</v>
      </c>
      <c r="BO64" s="134" t="n">
        <f aca="false">SUMIF($X:$X,CONCATENATE($AN64,BO$6),$W:$W)</f>
        <v>0</v>
      </c>
      <c r="BP64" s="134" t="n">
        <f aca="false">SUMIF($X:$X,CONCATENATE($AN64,BP$6),$W:$W)</f>
        <v>0</v>
      </c>
      <c r="BQ64" s="134" t="n">
        <f aca="false">SUMIF($X:$X,CONCATENATE($AN64,BQ$6),$W:$W)</f>
        <v>0</v>
      </c>
      <c r="BR64" s="135" t="n">
        <f aca="false">SUMIF($X:$X,CONCATENATE($AN64,BR$6),$W:$W)</f>
        <v>0</v>
      </c>
      <c r="BS64" s="208" t="n">
        <f aca="false">EOMONTH(BS63,0)+1</f>
        <v>38473</v>
      </c>
      <c r="BT64" s="135" t="n">
        <f aca="false">SUM(BF64:BR64)</f>
        <v>0</v>
      </c>
      <c r="BU64" s="2"/>
      <c r="BV64" s="2"/>
      <c r="BW64" s="2"/>
      <c r="BX64" s="2"/>
      <c r="BY64" s="2"/>
      <c r="BZ64" s="2"/>
      <c r="CA64" s="2"/>
      <c r="CB64" s="2"/>
      <c r="CC64" s="182" t="n">
        <f aca="false">G64</f>
        <v>36831</v>
      </c>
      <c r="CD64" s="253" t="e">
        <f aca="false">xSPRDOPT((VLOOKUP(G64,NGPrices,2,FALSE())+HLOOKUP(D64,Prices,VLOOKUP(G64,move_down,2,FALSE()),FALSE())),VLOOKUP(G64,NGPrices,2,FALSE()),I64,VLOOKUP(G64,NGPREVPRICES,4,FALSE()),HLOOKUP(D64,PREVVOLS,VLOOKUP(G64,MOVE_DOWN2,2,FALSE()),FALSE()),VLOOKUP(G64,NGPREVPRICES,3,FALSE()),HLOOKUP(D64,Correllate,VLOOKUP(G64,CorMove,2,FALSE()),FALSE()),Q64-$CD$3,R64,$CD$5)*H64-CJ64</f>
        <v>#NAME?</v>
      </c>
      <c r="CE64" s="253" t="e">
        <f aca="false">xSPRDOPT((VLOOKUP(G64,NGPREVPRICES,2,FALSE())+HLOOKUP(D64,PREVCURVES,VLOOKUP(G64,MOVE_DOWN2,2,FALSE()),FALSE())),VLOOKUP(G64,NGPREVPRICES,2,FALSE()),CK64,VLOOKUP(G64,NGPrices,4,FALSE()),HLOOKUP(D64,PREVVOLS,VLOOKUP(G64,MOVE_DOWN2,2,FALSE()),FALSE()),VLOOKUP(G64,NGPREVPRICES,3,FALSE()),HLOOKUP(D64,Correllate,VLOOKUP(G64,CorMove,2,FALSE()),FALSE()),Q64-$CD$3,R64,$CJ$5)*H64-CJ64</f>
        <v>#NAME?</v>
      </c>
      <c r="CF64" s="132" t="e">
        <f aca="false">(CJ64/VLOOKUP(CC64,discount,3,FALSE()))-(CJ64/VLOOKUP(CC64,discount,2,FALSE()))</f>
        <v>#NAME?</v>
      </c>
      <c r="CG64" s="253" t="e">
        <f aca="false">xSPRDOPT((VLOOKUP(G64,NGPREVPRICES,2,FALSE())+HLOOKUP(D64,PREVCURVES,VLOOKUP(G64,MOVE_DOWN2,2,FALSE()),FALSE())),VLOOKUP(G64,NGPREVPRICES,2,FALSE()),CK64,VLOOKUP(G64,NGPREVPRICES,4,FALSE()),HLOOKUP(D64,VOLS,VLOOKUP(G64,move_down,2,FALSE()),FALSE()),VLOOKUP(G64,NGPrices,3,FALSE()),HLOOKUP(D64,Correllate,VLOOKUP(G64,CorMove,2,FALSE()),FALSE()),Q64-$CD$3,R64,$CJ$5)*H64-CJ64</f>
        <v>#NAME?</v>
      </c>
      <c r="CH64" s="253" t="e">
        <f aca="false">xSPRDOPT((VLOOKUP(G64,NGPREVPRICES,2,FALSE())+HLOOKUP(D64,PREVCURVES,VLOOKUP(G64,MOVE_DOWN2,2,FALSE()),FALSE())),VLOOKUP(G64,NGPREVPRICES,2,FALSE()),CK64,VLOOKUP(G64,NGPREVPRICES,4,FALSE()),HLOOKUP(D64,PREVVOLS,VLOOKUP(G64,MOVE_DOWN2,2,FALSE()),FALSE()),VLOOKUP(G64,NGPREVPRICES,3,FALSE()),HLOOKUP(D64,Correllate,VLOOKUP(G64,CorMove,2,FALSE()),FALSE()),Q64-$C$3,R64,$CJ$5)*H64-CJ64</f>
        <v>#NAME?</v>
      </c>
      <c r="CI64" s="253" t="e">
        <f aca="false">SUM(CD64:CH64)</f>
        <v>#NAME?</v>
      </c>
      <c r="CJ64" s="253" t="e">
        <f aca="false">xSPRDOPT((VLOOKUP(G64,NGPREVPRICES,2,FALSE())+HLOOKUP(D64,PREVCURVES,VLOOKUP(G64,MOVE_DOWN2,2,FALSE()),FALSE())),VLOOKUP(G64,NGPREVPRICES,2,FALSE()),CK64,VLOOKUP(G64,NGPREVPRICES,4,FALSE()),HLOOKUP(D64,PREVVOLS,VLOOKUP(G64,MOVE_DOWN2,2,FALSE()),FALSE()),VLOOKUP(G64,NGPREVPRICES,3,FALSE()),HLOOKUP(D64,Correllate,VLOOKUP(G64,CorMove,2,FALSE()),FALSE()),Q64-$CD$3,R64,$CJ$5)*H64</f>
        <v>#NAME?</v>
      </c>
      <c r="CK64" s="254" t="n">
        <f aca="false">I64</f>
        <v>1.15</v>
      </c>
      <c r="CL64" s="253"/>
      <c r="CM64" s="0" t="str">
        <f aca="false">CONCATENATE(CC64,$CD$6)</f>
        <v>36831Curve Shift/Gamma</v>
      </c>
      <c r="CN64" s="0" t="str">
        <f aca="false">CONCATENATE($CC64,$CE$6)</f>
        <v>36831Rho</v>
      </c>
      <c r="CO64" s="0" t="str">
        <f aca="false">CONCATENATE($CC64,$CF$6)</f>
        <v>36831Drift</v>
      </c>
      <c r="CP64" s="0" t="str">
        <f aca="false">CONCATENATE($CC64,$CG$6)</f>
        <v>36831Vega</v>
      </c>
      <c r="CQ64" s="0" t="str">
        <f aca="false">CONCATENATE($CC64,$CH$6)</f>
        <v>36831Theta</v>
      </c>
    </row>
    <row r="65" customFormat="false" ht="12" hidden="false" customHeight="true" outlineLevel="0" collapsed="false">
      <c r="A65" s="17" t="s">
        <v>218</v>
      </c>
      <c r="B65" s="0" t="s">
        <v>192</v>
      </c>
      <c r="C65" s="0" t="s">
        <v>227</v>
      </c>
      <c r="D65" s="7" t="s">
        <v>149</v>
      </c>
      <c r="E65" s="0" t="s">
        <v>131</v>
      </c>
      <c r="F65" s="0" t="s">
        <v>136</v>
      </c>
      <c r="G65" s="92" t="n">
        <v>36800</v>
      </c>
      <c r="H65" s="248" t="n">
        <v>-250000</v>
      </c>
      <c r="I65" s="0" t="n">
        <v>0.3</v>
      </c>
      <c r="J65" s="124" t="n">
        <f aca="false">VLOOKUP(G65,NGPrices,2,FALSE())</f>
        <v>4.692</v>
      </c>
      <c r="K65" s="125" t="n">
        <f aca="false">HLOOKUP(D65,Prices,VLOOKUP(G65,move_down,2,FALSE()),FALSE())+VLOOKUP(G65,CHANGE,HLOOKUP(D65,CHANGE,2,FALSE()),FALSE())</f>
        <v>0.415</v>
      </c>
      <c r="L65" s="124" t="n">
        <f aca="false">K65+J65</f>
        <v>5.107</v>
      </c>
      <c r="M65" s="126" t="n">
        <f aca="false">VLOOKUP(G65,NGPrices,4,FALSE())</f>
        <v>0.068050789414654</v>
      </c>
      <c r="N65" s="7" t="n">
        <f aca="false">VLOOKUP(G65,NGPrices,3,FALSE())</f>
        <v>0.575</v>
      </c>
      <c r="O65" s="7" t="n">
        <f aca="false">HLOOKUP(D65,VOLS,VLOOKUP(G65,move_down,2,FALSE()),FALSE())</f>
        <v>0.564</v>
      </c>
      <c r="P65" s="249" t="n">
        <f aca="false">HLOOKUP(D65,Correllate,VLOOKUP(G65,CorMove,2,FALSE()),FALSE())</f>
        <v>0.9925</v>
      </c>
      <c r="Q65" s="92" t="n">
        <f aca="false">WORKDAY(G65,-2)</f>
        <v>36797</v>
      </c>
      <c r="R65" s="7" t="n">
        <f aca="false">IF(F65="P",0,1)</f>
        <v>1</v>
      </c>
      <c r="S65" s="130" t="e">
        <f aca="false">xSPRDOPT($L65,$J65,$I65,$M65,$O65,$N65,$P65,$Q65-$C$3,$R65,0)</f>
        <v>#NAME?</v>
      </c>
      <c r="T65" s="250" t="e">
        <f aca="false">xSPRDOPT($L65,$J65,$I65,$M65,$O65,$N65,$P65,$Q65-$C$3,$R65,1)*H65</f>
        <v>#NAME?</v>
      </c>
      <c r="U65" s="43" t="e">
        <f aca="false">S65*H65</f>
        <v>#NAME?</v>
      </c>
      <c r="V65" s="250" t="e">
        <f aca="false">xSPRDOPT($L65,$J65,$I65,$M65,$O65,$N65,$P65,$Q65-$C$3,$R65,2)*H65</f>
        <v>#NAME?</v>
      </c>
      <c r="W65" s="250" t="e">
        <f aca="false">+V65+T65</f>
        <v>#NAME?</v>
      </c>
      <c r="X65" s="2" t="str">
        <f aca="false">CONCATENATE(G65,D65)</f>
        <v>36800IF-TRANSCO/Z6</v>
      </c>
      <c r="Y65" s="251" t="n">
        <f aca="false">H65/10000</f>
        <v>-25</v>
      </c>
      <c r="Z65" s="226" t="e">
        <f aca="false">T65/H65</f>
        <v>#NAME?</v>
      </c>
      <c r="AA65" s="226" t="e">
        <f aca="false">xSPRDOPT($L65,$J65,$I65,$M65,$O65,$N65,$P65,$Q65-$C$3,$R65,3)</f>
        <v>#NAME?</v>
      </c>
      <c r="AB65" s="226" t="e">
        <f aca="false">((xSPRDOPT($L65+AB$5,$J65,$I65,$M65,$O65,$N65,$P65,$Q65-$C$3,$R65,3)*$H65)/10000)/100</f>
        <v>#NAME?</v>
      </c>
      <c r="AC65" s="226" t="e">
        <f aca="false">((xSPRDOPT($L65+$AB$5,$J65,$I65,$M65,$O65,$N65,$P65,$Q65-$C$3,$R65,7)*$H65)/100)</f>
        <v>#NAME?</v>
      </c>
      <c r="AD65" s="226" t="e">
        <f aca="false">(xSPRDOPT($L65+$AB$5,$J65,$I65,$M65,$O65,$N65,$P65,$Q65-$C$3,$R65,9)/365)*$H65</f>
        <v>#NAME?</v>
      </c>
      <c r="AE65" s="0" t="e">
        <f aca="false">CD65</f>
        <v>#NAME?</v>
      </c>
      <c r="AF65" s="226" t="e">
        <f aca="false">((O65/N65)*AH65)+AG65</f>
        <v>#NAME?</v>
      </c>
      <c r="AG65" s="226" t="e">
        <f aca="false">((xSPRDOPT($L65,$J65,$I65,$M65,$O65,$N65,$P65,$Q65-$C$3,$R65,6)*$H65)/100)</f>
        <v>#NAME?</v>
      </c>
      <c r="AH65" s="226" t="e">
        <f aca="false">((xSPRDOPT($L65,$J65,$I65,$M65,$O65,$N65,$P65,$Q65-$C$3,$R65,5)*$H65)/100)</f>
        <v>#NAME?</v>
      </c>
      <c r="AI65" s="226" t="e">
        <f aca="false">(((xSPRDOPT($L65,$J65,$I65,$M65,$O65,$N65,$P65,$Q65-$C$3,$R65,4)*$H65)/10000)/100)-AB65</f>
        <v>#NAME?</v>
      </c>
      <c r="AJ65" s="226"/>
      <c r="AK65" s="226"/>
      <c r="AL65" s="226"/>
      <c r="AM65" s="252"/>
      <c r="AN65" s="208" t="n">
        <f aca="false">EOMONTH(AN64,0)+1</f>
        <v>38504</v>
      </c>
      <c r="AO65" s="134" t="n">
        <f aca="false">SUMIF($X:$X,CONCATENATE($AN65,AO$6),$T:$T)/10000</f>
        <v>0</v>
      </c>
      <c r="AP65" s="134" t="n">
        <f aca="false">SUMIF($X:$X,CONCATENATE($AN65,AP$6),$T:$T)/10000</f>
        <v>0</v>
      </c>
      <c r="AQ65" s="134" t="n">
        <f aca="false">SUMIF($X:$X,CONCATENATE($AN65,AQ$6),$T:$T)/10000</f>
        <v>0</v>
      </c>
      <c r="AR65" s="134" t="n">
        <f aca="false">SUMIF($X:$X,CONCATENATE($AN65,AR$6),$T:$T)/10000</f>
        <v>0</v>
      </c>
      <c r="AS65" s="134" t="n">
        <f aca="false">SUMIF($X:$X,CONCATENATE($AN65,AS$6),$T:$T)/10000</f>
        <v>0</v>
      </c>
      <c r="AT65" s="134" t="n">
        <f aca="false">SUMIF($X:$X,CONCATENATE($AN65,AT$6),$T:$T)/10000</f>
        <v>0</v>
      </c>
      <c r="AU65" s="134" t="n">
        <f aca="false">SUMIF($X:$X,CONCATENATE($AN65,AU$6),$T:$T)/10000</f>
        <v>0</v>
      </c>
      <c r="AV65" s="134" t="n">
        <f aca="false">SUMIF($X:$X,CONCATENATE($AN65,AV$6),$T:$T)/10000</f>
        <v>0</v>
      </c>
      <c r="AW65" s="134" t="n">
        <f aca="false">SUMIF($X:$X,CONCATENATE($AN65,AW$6),$T:$T)/10000</f>
        <v>0</v>
      </c>
      <c r="AX65" s="134" t="n">
        <f aca="false">SUMIF($X:$X,CONCATENATE($AN65,AX$6),$T:$T)/10000</f>
        <v>0</v>
      </c>
      <c r="AY65" s="134" t="n">
        <f aca="false">SUMIF($X:$X,CONCATENATE($AN65,AY$6),$T:$T)/10000</f>
        <v>0</v>
      </c>
      <c r="AZ65" s="134" t="n">
        <f aca="false">SUMIF($X:$X,CONCATENATE($AN65,AZ$6),$T:$T)/10000</f>
        <v>0</v>
      </c>
      <c r="BA65" s="135" t="n">
        <f aca="false">SUMIF($X:$X,CONCATENATE($AN65,BA$6),$T:$T)/10000</f>
        <v>0</v>
      </c>
      <c r="BB65" s="208" t="n">
        <f aca="false">EOMONTH(BB64,0)+1</f>
        <v>38504</v>
      </c>
      <c r="BC65" s="135" t="n">
        <f aca="false">SUM(AO65:BA65)</f>
        <v>0</v>
      </c>
      <c r="BD65" s="2"/>
      <c r="BE65" s="208" t="n">
        <f aca="false">EOMONTH(BE64,0)+1</f>
        <v>38504</v>
      </c>
      <c r="BF65" s="134" t="n">
        <f aca="false">SUMIF($X:$X,CONCATENATE($AN65,BF$6),$W:$W)</f>
        <v>0</v>
      </c>
      <c r="BG65" s="134" t="n">
        <f aca="false">SUMIF($X:$X,CONCATENATE($AN65,BG$6),$W:$W)</f>
        <v>0</v>
      </c>
      <c r="BH65" s="134" t="n">
        <f aca="false">SUMIF($X:$X,CONCATENATE($AN65,BH$6),$W:$W)</f>
        <v>0</v>
      </c>
      <c r="BI65" s="134" t="n">
        <f aca="false">SUMIF($X:$X,CONCATENATE($AN65,BI$6),$W:$W)</f>
        <v>0</v>
      </c>
      <c r="BJ65" s="134" t="n">
        <f aca="false">SUMIF($X:$X,CONCATENATE($AN65,BJ$6),$W:$W)</f>
        <v>0</v>
      </c>
      <c r="BK65" s="134" t="n">
        <f aca="false">SUMIF($X:$X,CONCATENATE($AN65,BK$6),$W:$W)</f>
        <v>0</v>
      </c>
      <c r="BL65" s="134" t="n">
        <f aca="false">SUMIF($X:$X,CONCATENATE($AN65,BL$6),$W:$W)</f>
        <v>0</v>
      </c>
      <c r="BM65" s="134" t="n">
        <f aca="false">SUMIF($X:$X,CONCATENATE($AN65,BM$6),$W:$W)</f>
        <v>0</v>
      </c>
      <c r="BN65" s="134" t="n">
        <f aca="false">SUMIF($X:$X,CONCATENATE($AN65,BN$6),$W:$W)</f>
        <v>0</v>
      </c>
      <c r="BO65" s="134" t="n">
        <f aca="false">SUMIF($X:$X,CONCATENATE($AN65,BO$6),$W:$W)</f>
        <v>0</v>
      </c>
      <c r="BP65" s="134" t="n">
        <f aca="false">SUMIF($X:$X,CONCATENATE($AN65,BP$6),$W:$W)</f>
        <v>0</v>
      </c>
      <c r="BQ65" s="134" t="n">
        <f aca="false">SUMIF($X:$X,CONCATENATE($AN65,BQ$6),$W:$W)</f>
        <v>0</v>
      </c>
      <c r="BR65" s="135" t="n">
        <f aca="false">SUMIF($X:$X,CONCATENATE($AN65,BR$6),$W:$W)</f>
        <v>0</v>
      </c>
      <c r="BS65" s="208" t="n">
        <f aca="false">EOMONTH(BS64,0)+1</f>
        <v>38504</v>
      </c>
      <c r="BT65" s="135" t="n">
        <f aca="false">SUM(BF65:BR65)</f>
        <v>0</v>
      </c>
      <c r="BU65" s="2"/>
      <c r="BV65" s="2"/>
      <c r="BW65" s="2"/>
      <c r="BX65" s="2"/>
      <c r="BY65" s="2"/>
      <c r="BZ65" s="2"/>
      <c r="CA65" s="2"/>
      <c r="CB65" s="2"/>
      <c r="CC65" s="182" t="n">
        <f aca="false">G65</f>
        <v>36800</v>
      </c>
      <c r="CD65" s="253" t="e">
        <f aca="false">xSPRDOPT((VLOOKUP(G65,NGPrices,2,FALSE())+HLOOKUP(D65,Prices,VLOOKUP(G65,move_down,2,FALSE()),FALSE())),VLOOKUP(G65,NGPrices,2,FALSE()),I65,VLOOKUP(G65,NGPREVPRICES,4,FALSE()),HLOOKUP(D65,PREVVOLS,VLOOKUP(G65,MOVE_DOWN2,2,FALSE()),FALSE()),VLOOKUP(G65,NGPREVPRICES,3,FALSE()),HLOOKUP(D65,Correllate,VLOOKUP(G65,CorMove,2,FALSE()),FALSE()),Q65-$CD$3,R65,$CD$5)*H65-CJ65</f>
        <v>#NAME?</v>
      </c>
      <c r="CE65" s="253" t="e">
        <f aca="false">xSPRDOPT((VLOOKUP(G65,NGPREVPRICES,2,FALSE())+HLOOKUP(D65,PREVCURVES,VLOOKUP(G65,MOVE_DOWN2,2,FALSE()),FALSE())),VLOOKUP(G65,NGPREVPRICES,2,FALSE()),CK65,VLOOKUP(G65,NGPrices,4,FALSE()),HLOOKUP(D65,PREVVOLS,VLOOKUP(G65,MOVE_DOWN2,2,FALSE()),FALSE()),VLOOKUP(G65,NGPREVPRICES,3,FALSE()),HLOOKUP(D65,Correllate,VLOOKUP(G65,CorMove,2,FALSE()),FALSE()),Q65-$CD$3,R65,$CJ$5)*H65-CJ65</f>
        <v>#NAME?</v>
      </c>
      <c r="CF65" s="132" t="e">
        <f aca="false">(CJ65/VLOOKUP(CC65,discount,3,FALSE()))-(CJ65/VLOOKUP(CC65,discount,2,FALSE()))</f>
        <v>#NAME?</v>
      </c>
      <c r="CG65" s="253" t="e">
        <f aca="false">xSPRDOPT((VLOOKUP(G65,NGPREVPRICES,2,FALSE())+HLOOKUP(D65,PREVCURVES,VLOOKUP(G65,MOVE_DOWN2,2,FALSE()),FALSE())),VLOOKUP(G65,NGPREVPRICES,2,FALSE()),CK65,VLOOKUP(G65,NGPREVPRICES,4,FALSE()),HLOOKUP(D65,VOLS,VLOOKUP(G65,move_down,2,FALSE()),FALSE()),VLOOKUP(G65,NGPrices,3,FALSE()),HLOOKUP(D65,Correllate,VLOOKUP(G65,CorMove,2,FALSE()),FALSE()),Q65-$CD$3,R65,$CJ$5)*H65-CJ65</f>
        <v>#NAME?</v>
      </c>
      <c r="CH65" s="253" t="e">
        <f aca="false">xSPRDOPT((VLOOKUP(G65,NGPREVPRICES,2,FALSE())+HLOOKUP(D65,PREVCURVES,VLOOKUP(G65,MOVE_DOWN2,2,FALSE()),FALSE())),VLOOKUP(G65,NGPREVPRICES,2,FALSE()),CK65,VLOOKUP(G65,NGPREVPRICES,4,FALSE()),HLOOKUP(D65,PREVVOLS,VLOOKUP(G65,MOVE_DOWN2,2,FALSE()),FALSE()),VLOOKUP(G65,NGPREVPRICES,3,FALSE()),HLOOKUP(D65,Correllate,VLOOKUP(G65,CorMove,2,FALSE()),FALSE()),Q65-$C$3,R65,$CJ$5)*H65-CJ65</f>
        <v>#NAME?</v>
      </c>
      <c r="CI65" s="253" t="e">
        <f aca="false">SUM(CD65:CH65)</f>
        <v>#NAME?</v>
      </c>
      <c r="CJ65" s="253" t="e">
        <f aca="false">xSPRDOPT((VLOOKUP(G65,NGPREVPRICES,2,FALSE())+HLOOKUP(D65,PREVCURVES,VLOOKUP(G65,MOVE_DOWN2,2,FALSE()),FALSE())),VLOOKUP(G65,NGPREVPRICES,2,FALSE()),CK65,VLOOKUP(G65,NGPREVPRICES,4,FALSE()),HLOOKUP(D65,PREVVOLS,VLOOKUP(G65,MOVE_DOWN2,2,FALSE()),FALSE()),VLOOKUP(G65,NGPREVPRICES,3,FALSE()),HLOOKUP(D65,Correllate,VLOOKUP(G65,CorMove,2,FALSE()),FALSE()),Q65-$CD$3,R65,$CJ$5)*H65</f>
        <v>#NAME?</v>
      </c>
      <c r="CK65" s="254" t="n">
        <f aca="false">I65</f>
        <v>0.3</v>
      </c>
      <c r="CL65" s="253"/>
      <c r="CM65" s="0" t="str">
        <f aca="false">CONCATENATE(CC65,$CD$6)</f>
        <v>36800Curve Shift/Gamma</v>
      </c>
      <c r="CN65" s="0" t="str">
        <f aca="false">CONCATENATE($CC65,$CE$6)</f>
        <v>36800Rho</v>
      </c>
      <c r="CO65" s="0" t="str">
        <f aca="false">CONCATENATE($CC65,$CF$6)</f>
        <v>36800Drift</v>
      </c>
      <c r="CP65" s="0" t="str">
        <f aca="false">CONCATENATE($CC65,$CG$6)</f>
        <v>36800Vega</v>
      </c>
      <c r="CQ65" s="0" t="str">
        <f aca="false">CONCATENATE($CC65,$CH$6)</f>
        <v>36800Theta</v>
      </c>
    </row>
    <row r="66" customFormat="false" ht="12" hidden="false" customHeight="true" outlineLevel="0" collapsed="false">
      <c r="A66" s="17" t="s">
        <v>218</v>
      </c>
      <c r="B66" s="0" t="s">
        <v>192</v>
      </c>
      <c r="C66" s="0" t="s">
        <v>227</v>
      </c>
      <c r="D66" s="7" t="s">
        <v>149</v>
      </c>
      <c r="E66" s="0" t="s">
        <v>131</v>
      </c>
      <c r="F66" s="0" t="s">
        <v>136</v>
      </c>
      <c r="G66" s="92" t="n">
        <v>36770</v>
      </c>
      <c r="H66" s="248" t="n">
        <v>-250000</v>
      </c>
      <c r="I66" s="0" t="n">
        <v>0.3</v>
      </c>
      <c r="J66" s="124" t="n">
        <f aca="false">VLOOKUP(G66,NGPrices,2,FALSE())</f>
        <v>4.685</v>
      </c>
      <c r="K66" s="125" t="n">
        <f aca="false">HLOOKUP(D66,Prices,VLOOKUP(G66,move_down,2,FALSE()),FALSE())+VLOOKUP(G66,CHANGE,HLOOKUP(D66,CHANGE,2,FALSE()),FALSE())</f>
        <v>0.315</v>
      </c>
      <c r="L66" s="124" t="n">
        <f aca="false">K66+J66</f>
        <v>5</v>
      </c>
      <c r="M66" s="126" t="n">
        <f aca="false">VLOOKUP(G66,NGPrices,4,FALSE())</f>
        <v>0.067216196212185</v>
      </c>
      <c r="N66" s="7" t="n">
        <f aca="false">VLOOKUP(G66,NGPrices,3,FALSE())</f>
        <v>0.4</v>
      </c>
      <c r="O66" s="7" t="n">
        <f aca="false">HLOOKUP(D66,VOLS,VLOOKUP(G66,move_down,2,FALSE()),FALSE())</f>
        <v>0.392</v>
      </c>
      <c r="P66" s="249" t="n">
        <f aca="false">HLOOKUP(D66,Correllate,VLOOKUP(G66,CorMove,2,FALSE()),FALSE())</f>
        <v>0.9925</v>
      </c>
      <c r="Q66" s="92" t="n">
        <f aca="false">WORKDAY(G66,-2)</f>
        <v>36768</v>
      </c>
      <c r="R66" s="7" t="n">
        <f aca="false">IF(F66="P",0,1)</f>
        <v>1</v>
      </c>
      <c r="S66" s="130" t="e">
        <f aca="false">xSPRDOPT($L66,$J66,$I66,$M66,$O66,$N66,$P66,$Q66-$C$3,$R66,0)</f>
        <v>#NAME?</v>
      </c>
      <c r="T66" s="250" t="e">
        <f aca="false">xSPRDOPT($L66,$J66,$I66,$M66,$O66,$N66,$P66,$Q66-$C$3,$R66,1)*H66</f>
        <v>#NAME?</v>
      </c>
      <c r="U66" s="43" t="e">
        <f aca="false">S66*H66</f>
        <v>#NAME?</v>
      </c>
      <c r="V66" s="250" t="e">
        <f aca="false">xSPRDOPT($L66,$J66,$I66,$M66,$O66,$N66,$P66,$Q66-$C$3,$R66,2)*H66</f>
        <v>#NAME?</v>
      </c>
      <c r="W66" s="250" t="e">
        <f aca="false">+V66+T66</f>
        <v>#NAME?</v>
      </c>
      <c r="X66" s="2" t="str">
        <f aca="false">CONCATENATE(G66,D66)</f>
        <v>36770IF-TRANSCO/Z6</v>
      </c>
      <c r="Y66" s="251" t="n">
        <f aca="false">H66/10000</f>
        <v>-25</v>
      </c>
      <c r="Z66" s="226" t="e">
        <f aca="false">T66/H66</f>
        <v>#NAME?</v>
      </c>
      <c r="AA66" s="226" t="e">
        <f aca="false">xSPRDOPT($L66,$J66,$I66,$M66,$O66,$N66,$P66,$Q66-$C$3,$R66,3)</f>
        <v>#NAME?</v>
      </c>
      <c r="AB66" s="226" t="e">
        <f aca="false">((xSPRDOPT($L66+AB$5,$J66,$I66,$M66,$O66,$N66,$P66,$Q66-$C$3,$R66,3)*$H66)/10000)/100</f>
        <v>#NAME?</v>
      </c>
      <c r="AC66" s="226" t="e">
        <f aca="false">((xSPRDOPT($L66+$AB$5,$J66,$I66,$M66,$O66,$N66,$P66,$Q66-$C$3,$R66,7)*$H66)/100)</f>
        <v>#NAME?</v>
      </c>
      <c r="AD66" s="226" t="e">
        <f aca="false">(xSPRDOPT($L66+$AB$5,$J66,$I66,$M66,$O66,$N66,$P66,$Q66-$C$3,$R66,9)/365)*$H66</f>
        <v>#NAME?</v>
      </c>
      <c r="AE66" s="0" t="e">
        <f aca="false">CD66</f>
        <v>#NAME?</v>
      </c>
      <c r="AF66" s="226" t="e">
        <f aca="false">((O66/N66)*AH66)+AG66</f>
        <v>#NAME?</v>
      </c>
      <c r="AG66" s="226" t="e">
        <f aca="false">((xSPRDOPT($L66,$J66,$I66,$M66,$O66,$N66,$P66,$Q66-$C$3,$R66,6)*$H66)/100)</f>
        <v>#NAME?</v>
      </c>
      <c r="AH66" s="226" t="e">
        <f aca="false">((xSPRDOPT($L66,$J66,$I66,$M66,$O66,$N66,$P66,$Q66-$C$3,$R66,5)*$H66)/100)</f>
        <v>#NAME?</v>
      </c>
      <c r="AI66" s="226" t="e">
        <f aca="false">(((xSPRDOPT($L66,$J66,$I66,$M66,$O66,$N66,$P66,$Q66-$C$3,$R66,4)*$H66)/10000)/100)-AB66</f>
        <v>#NAME?</v>
      </c>
      <c r="AJ66" s="226"/>
      <c r="AK66" s="226"/>
      <c r="AL66" s="226"/>
      <c r="AM66" s="252"/>
      <c r="AN66" s="208" t="n">
        <f aca="false">EOMONTH(AN65,0)+1</f>
        <v>38534</v>
      </c>
      <c r="AO66" s="134" t="n">
        <f aca="false">SUMIF($X:$X,CONCATENATE($AN66,AO$6),$T:$T)/10000</f>
        <v>0</v>
      </c>
      <c r="AP66" s="134" t="n">
        <f aca="false">SUMIF($X:$X,CONCATENATE($AN66,AP$6),$T:$T)/10000</f>
        <v>0</v>
      </c>
      <c r="AQ66" s="134" t="n">
        <f aca="false">SUMIF($X:$X,CONCATENATE($AN66,AQ$6),$T:$T)/10000</f>
        <v>0</v>
      </c>
      <c r="AR66" s="134" t="n">
        <f aca="false">SUMIF($X:$X,CONCATENATE($AN66,AR$6),$T:$T)/10000</f>
        <v>0</v>
      </c>
      <c r="AS66" s="134" t="n">
        <f aca="false">SUMIF($X:$X,CONCATENATE($AN66,AS$6),$T:$T)/10000</f>
        <v>0</v>
      </c>
      <c r="AT66" s="134" t="n">
        <f aca="false">SUMIF($X:$X,CONCATENATE($AN66,AT$6),$T:$T)/10000</f>
        <v>0</v>
      </c>
      <c r="AU66" s="134" t="n">
        <f aca="false">SUMIF($X:$X,CONCATENATE($AN66,AU$6),$T:$T)/10000</f>
        <v>0</v>
      </c>
      <c r="AV66" s="134" t="n">
        <f aca="false">SUMIF($X:$X,CONCATENATE($AN66,AV$6),$T:$T)/10000</f>
        <v>0</v>
      </c>
      <c r="AW66" s="134" t="n">
        <f aca="false">SUMIF($X:$X,CONCATENATE($AN66,AW$6),$T:$T)/10000</f>
        <v>0</v>
      </c>
      <c r="AX66" s="134" t="n">
        <f aca="false">SUMIF($X:$X,CONCATENATE($AN66,AX$6),$T:$T)/10000</f>
        <v>0</v>
      </c>
      <c r="AY66" s="134" t="n">
        <f aca="false">SUMIF($X:$X,CONCATENATE($AN66,AY$6),$T:$T)/10000</f>
        <v>0</v>
      </c>
      <c r="AZ66" s="134" t="n">
        <f aca="false">SUMIF($X:$X,CONCATENATE($AN66,AZ$6),$T:$T)/10000</f>
        <v>0</v>
      </c>
      <c r="BA66" s="135" t="n">
        <f aca="false">SUMIF($X:$X,CONCATENATE($AN66,BA$6),$T:$T)/10000</f>
        <v>0</v>
      </c>
      <c r="BB66" s="208" t="n">
        <f aca="false">EOMONTH(BB65,0)+1</f>
        <v>38534</v>
      </c>
      <c r="BC66" s="135" t="n">
        <f aca="false">SUM(AO66:BA66)</f>
        <v>0</v>
      </c>
      <c r="BD66" s="2"/>
      <c r="BE66" s="208" t="n">
        <f aca="false">EOMONTH(BE65,0)+1</f>
        <v>38534</v>
      </c>
      <c r="BF66" s="134" t="n">
        <f aca="false">SUMIF($X:$X,CONCATENATE($AN66,BF$6),$W:$W)</f>
        <v>0</v>
      </c>
      <c r="BG66" s="134" t="n">
        <f aca="false">SUMIF($X:$X,CONCATENATE($AN66,BG$6),$W:$W)</f>
        <v>0</v>
      </c>
      <c r="BH66" s="134" t="n">
        <f aca="false">SUMIF($X:$X,CONCATENATE($AN66,BH$6),$W:$W)</f>
        <v>0</v>
      </c>
      <c r="BI66" s="134" t="n">
        <f aca="false">SUMIF($X:$X,CONCATENATE($AN66,BI$6),$W:$W)</f>
        <v>0</v>
      </c>
      <c r="BJ66" s="134" t="n">
        <f aca="false">SUMIF($X:$X,CONCATENATE($AN66,BJ$6),$W:$W)</f>
        <v>0</v>
      </c>
      <c r="BK66" s="134" t="n">
        <f aca="false">SUMIF($X:$X,CONCATENATE($AN66,BK$6),$W:$W)</f>
        <v>0</v>
      </c>
      <c r="BL66" s="134" t="n">
        <f aca="false">SUMIF($X:$X,CONCATENATE($AN66,BL$6),$W:$W)</f>
        <v>0</v>
      </c>
      <c r="BM66" s="134" t="n">
        <f aca="false">SUMIF($X:$X,CONCATENATE($AN66,BM$6),$W:$W)</f>
        <v>0</v>
      </c>
      <c r="BN66" s="134" t="n">
        <f aca="false">SUMIF($X:$X,CONCATENATE($AN66,BN$6),$W:$W)</f>
        <v>0</v>
      </c>
      <c r="BO66" s="134" t="n">
        <f aca="false">SUMIF($X:$X,CONCATENATE($AN66,BO$6),$W:$W)</f>
        <v>0</v>
      </c>
      <c r="BP66" s="134" t="n">
        <f aca="false">SUMIF($X:$X,CONCATENATE($AN66,BP$6),$W:$W)</f>
        <v>0</v>
      </c>
      <c r="BQ66" s="134" t="n">
        <f aca="false">SUMIF($X:$X,CONCATENATE($AN66,BQ$6),$W:$W)</f>
        <v>0</v>
      </c>
      <c r="BR66" s="135" t="n">
        <f aca="false">SUMIF($X:$X,CONCATENATE($AN66,BR$6),$W:$W)</f>
        <v>0</v>
      </c>
      <c r="BS66" s="208" t="n">
        <f aca="false">EOMONTH(BS65,0)+1</f>
        <v>38534</v>
      </c>
      <c r="BT66" s="135" t="n">
        <f aca="false">SUM(BF66:BR66)</f>
        <v>0</v>
      </c>
      <c r="BU66" s="2"/>
      <c r="BV66" s="2"/>
      <c r="BW66" s="2"/>
      <c r="BX66" s="2"/>
      <c r="BY66" s="2"/>
      <c r="BZ66" s="2"/>
      <c r="CA66" s="2"/>
      <c r="CB66" s="2"/>
      <c r="CC66" s="182" t="n">
        <f aca="false">G66</f>
        <v>36770</v>
      </c>
      <c r="CD66" s="253" t="e">
        <f aca="false">xSPRDOPT((VLOOKUP(G66,NGPrices,2,FALSE())+HLOOKUP(D66,Prices,VLOOKUP(G66,move_down,2,FALSE()),FALSE())),VLOOKUP(G66,NGPrices,2,FALSE()),I66,VLOOKUP(G66,NGPREVPRICES,4,FALSE()),HLOOKUP(D66,PREVVOLS,VLOOKUP(G66,MOVE_DOWN2,2,FALSE()),FALSE()),VLOOKUP(G66,NGPREVPRICES,3,FALSE()),HLOOKUP(D66,Correllate,VLOOKUP(G66,CorMove,2,FALSE()),FALSE()),Q66-$CD$3,R66,$CD$5)*H66-CJ66</f>
        <v>#NAME?</v>
      </c>
      <c r="CE66" s="253" t="e">
        <f aca="false">xSPRDOPT((VLOOKUP(G66,NGPREVPRICES,2,FALSE())+HLOOKUP(D66,PREVCURVES,VLOOKUP(G66,MOVE_DOWN2,2,FALSE()),FALSE())),VLOOKUP(G66,NGPREVPRICES,2,FALSE()),CK66,VLOOKUP(G66,NGPrices,4,FALSE()),HLOOKUP(D66,PREVVOLS,VLOOKUP(G66,MOVE_DOWN2,2,FALSE()),FALSE()),VLOOKUP(G66,NGPREVPRICES,3,FALSE()),HLOOKUP(D66,Correllate,VLOOKUP(G66,CorMove,2,FALSE()),FALSE()),Q66-$CD$3,R66,$CJ$5)*H66-CJ66</f>
        <v>#NAME?</v>
      </c>
      <c r="CF66" s="132" t="e">
        <f aca="false">(CJ66/VLOOKUP(CC66,discount,3,FALSE()))-(CJ66/VLOOKUP(CC66,discount,2,FALSE()))</f>
        <v>#NAME?</v>
      </c>
      <c r="CG66" s="253" t="e">
        <f aca="false">xSPRDOPT((VLOOKUP(G66,NGPREVPRICES,2,FALSE())+HLOOKUP(D66,PREVCURVES,VLOOKUP(G66,MOVE_DOWN2,2,FALSE()),FALSE())),VLOOKUP(G66,NGPREVPRICES,2,FALSE()),CK66,VLOOKUP(G66,NGPREVPRICES,4,FALSE()),HLOOKUP(D66,VOLS,VLOOKUP(G66,move_down,2,FALSE()),FALSE()),VLOOKUP(G66,NGPrices,3,FALSE()),HLOOKUP(D66,Correllate,VLOOKUP(G66,CorMove,2,FALSE()),FALSE()),Q66-$CD$3,R66,$CJ$5)*H66-CJ66</f>
        <v>#NAME?</v>
      </c>
      <c r="CH66" s="253" t="e">
        <f aca="false">xSPRDOPT((VLOOKUP(G66,NGPREVPRICES,2,FALSE())+HLOOKUP(D66,PREVCURVES,VLOOKUP(G66,MOVE_DOWN2,2,FALSE()),FALSE())),VLOOKUP(G66,NGPREVPRICES,2,FALSE()),CK66,VLOOKUP(G66,NGPREVPRICES,4,FALSE()),HLOOKUP(D66,PREVVOLS,VLOOKUP(G66,MOVE_DOWN2,2,FALSE()),FALSE()),VLOOKUP(G66,NGPREVPRICES,3,FALSE()),HLOOKUP(D66,Correllate,VLOOKUP(G66,CorMove,2,FALSE()),FALSE()),Q66-$C$3,R66,$CJ$5)*H66-CJ66</f>
        <v>#NAME?</v>
      </c>
      <c r="CI66" s="253" t="e">
        <f aca="false">SUM(CD66:CH66)</f>
        <v>#NAME?</v>
      </c>
      <c r="CJ66" s="253" t="e">
        <f aca="false">xSPRDOPT((VLOOKUP(G66,NGPREVPRICES,2,FALSE())+HLOOKUP(D66,PREVCURVES,VLOOKUP(G66,MOVE_DOWN2,2,FALSE()),FALSE())),VLOOKUP(G66,NGPREVPRICES,2,FALSE()),CK66,VLOOKUP(G66,NGPREVPRICES,4,FALSE()),HLOOKUP(D66,PREVVOLS,VLOOKUP(G66,MOVE_DOWN2,2,FALSE()),FALSE()),VLOOKUP(G66,NGPREVPRICES,3,FALSE()),HLOOKUP(D66,Correllate,VLOOKUP(G66,CorMove,2,FALSE()),FALSE()),Q66-$CD$3,R66,$CJ$5)*H66</f>
        <v>#NAME?</v>
      </c>
      <c r="CK66" s="254" t="n">
        <f aca="false">I66</f>
        <v>0.3</v>
      </c>
      <c r="CL66" s="253"/>
      <c r="CM66" s="0" t="str">
        <f aca="false">CONCATENATE(CC66,$CD$6)</f>
        <v>36770Curve Shift/Gamma</v>
      </c>
      <c r="CN66" s="0" t="str">
        <f aca="false">CONCATENATE($CC66,$CE$6)</f>
        <v>36770Rho</v>
      </c>
      <c r="CO66" s="0" t="str">
        <f aca="false">CONCATENATE($CC66,$CF$6)</f>
        <v>36770Drift</v>
      </c>
      <c r="CP66" s="0" t="str">
        <f aca="false">CONCATENATE($CC66,$CG$6)</f>
        <v>36770Vega</v>
      </c>
      <c r="CQ66" s="0" t="str">
        <f aca="false">CONCATENATE($CC66,$CH$6)</f>
        <v>36770Theta</v>
      </c>
    </row>
    <row r="67" customFormat="false" ht="12" hidden="false" customHeight="true" outlineLevel="0" collapsed="false">
      <c r="A67" s="17" t="s">
        <v>218</v>
      </c>
      <c r="B67" s="0" t="s">
        <v>192</v>
      </c>
      <c r="C67" s="0" t="s">
        <v>228</v>
      </c>
      <c r="D67" s="7" t="s">
        <v>149</v>
      </c>
      <c r="E67" s="0" t="s">
        <v>131</v>
      </c>
      <c r="F67" s="0" t="s">
        <v>132</v>
      </c>
      <c r="G67" s="92" t="n">
        <v>36800</v>
      </c>
      <c r="H67" s="248" t="n">
        <v>-250000</v>
      </c>
      <c r="I67" s="0" t="n">
        <v>0.3</v>
      </c>
      <c r="J67" s="124" t="n">
        <f aca="false">VLOOKUP(G67,NGPrices,2,FALSE())</f>
        <v>4.692</v>
      </c>
      <c r="K67" s="125" t="n">
        <f aca="false">HLOOKUP(D67,Prices,VLOOKUP(G67,move_down,2,FALSE()),FALSE())+VLOOKUP(G67,CHANGE,HLOOKUP(D67,CHANGE,2,FALSE()),FALSE())</f>
        <v>0.415</v>
      </c>
      <c r="L67" s="124" t="n">
        <f aca="false">K67+J67</f>
        <v>5.107</v>
      </c>
      <c r="M67" s="126" t="n">
        <f aca="false">VLOOKUP(G67,NGPrices,4,FALSE())</f>
        <v>0.068050789414654</v>
      </c>
      <c r="N67" s="7" t="n">
        <f aca="false">VLOOKUP(G67,NGPrices,3,FALSE())</f>
        <v>0.575</v>
      </c>
      <c r="O67" s="7" t="n">
        <f aca="false">HLOOKUP(D67,VOLS,VLOOKUP(G67,move_down,2,FALSE()),FALSE())</f>
        <v>0.564</v>
      </c>
      <c r="P67" s="249" t="n">
        <f aca="false">HLOOKUP(D67,Correllate,VLOOKUP(G67,CorMove,2,FALSE()),FALSE())</f>
        <v>0.9925</v>
      </c>
      <c r="Q67" s="92" t="n">
        <f aca="false">WORKDAY(G67,-2)</f>
        <v>36797</v>
      </c>
      <c r="R67" s="7" t="n">
        <f aca="false">IF(F67="P",0,1)</f>
        <v>0</v>
      </c>
      <c r="S67" s="130" t="e">
        <f aca="false">xSPRDOPT($L67,$J67,$I67,$M67,$O67,$N67,$P67,$Q67-$C$3,$R67,0)</f>
        <v>#NAME?</v>
      </c>
      <c r="T67" s="250" t="e">
        <f aca="false">xSPRDOPT($L67,$J67,$I67,$M67,$O67,$N67,$P67,$Q67-$C$3,$R67,1)*H67</f>
        <v>#NAME?</v>
      </c>
      <c r="U67" s="43" t="e">
        <f aca="false">S67*H67</f>
        <v>#NAME?</v>
      </c>
      <c r="V67" s="250" t="e">
        <f aca="false">xSPRDOPT($L67,$J67,$I67,$M67,$O67,$N67,$P67,$Q67-$C$3,$R67,2)*H67</f>
        <v>#NAME?</v>
      </c>
      <c r="W67" s="250" t="e">
        <f aca="false">+V67+T67</f>
        <v>#NAME?</v>
      </c>
      <c r="X67" s="2" t="str">
        <f aca="false">CONCATENATE(G67,D67)</f>
        <v>36800IF-TRANSCO/Z6</v>
      </c>
      <c r="Y67" s="251" t="n">
        <f aca="false">H67/10000</f>
        <v>-25</v>
      </c>
      <c r="Z67" s="226" t="e">
        <f aca="false">T67/H67</f>
        <v>#NAME?</v>
      </c>
      <c r="AA67" s="226" t="e">
        <f aca="false">xSPRDOPT($L67,$J67,$I67,$M67,$O67,$N67,$P67,$Q67-$C$3,$R67,3)</f>
        <v>#NAME?</v>
      </c>
      <c r="AB67" s="226" t="e">
        <f aca="false">((xSPRDOPT($L67+AB$5,$J67,$I67,$M67,$O67,$N67,$P67,$Q67-$C$3,$R67,3)*$H67)/10000)/100</f>
        <v>#NAME?</v>
      </c>
      <c r="AC67" s="226" t="e">
        <f aca="false">((xSPRDOPT($L67+$AB$5,$J67,$I67,$M67,$O67,$N67,$P67,$Q67-$C$3,$R67,7)*$H67)/100)</f>
        <v>#NAME?</v>
      </c>
      <c r="AD67" s="226" t="e">
        <f aca="false">(xSPRDOPT($L67+$AB$5,$J67,$I67,$M67,$O67,$N67,$P67,$Q67-$C$3,$R67,9)/365)*$H67</f>
        <v>#NAME?</v>
      </c>
      <c r="AE67" s="0" t="e">
        <f aca="false">CD67</f>
        <v>#NAME?</v>
      </c>
      <c r="AF67" s="226" t="e">
        <f aca="false">((O67/N67)*AH67)+AG67</f>
        <v>#NAME?</v>
      </c>
      <c r="AG67" s="226" t="e">
        <f aca="false">((xSPRDOPT($L67,$J67,$I67,$M67,$O67,$N67,$P67,$Q67-$C$3,$R67,6)*$H67)/100)</f>
        <v>#NAME?</v>
      </c>
      <c r="AH67" s="226" t="e">
        <f aca="false">((xSPRDOPT($L67,$J67,$I67,$M67,$O67,$N67,$P67,$Q67-$C$3,$R67,5)*$H67)/100)</f>
        <v>#NAME?</v>
      </c>
      <c r="AI67" s="226" t="e">
        <f aca="false">(((xSPRDOPT($L67,$J67,$I67,$M67,$O67,$N67,$P67,$Q67-$C$3,$R67,4)*$H67)/10000)/100)-AB67</f>
        <v>#NAME?</v>
      </c>
      <c r="AJ67" s="226"/>
      <c r="AK67" s="226"/>
      <c r="AL67" s="226"/>
      <c r="AM67" s="252"/>
      <c r="AN67" s="208" t="n">
        <f aca="false">EOMONTH(AN66,0)+1</f>
        <v>38565</v>
      </c>
      <c r="AO67" s="134" t="n">
        <f aca="false">SUMIF($X:$X,CONCATENATE($AN67,AO$6),$T:$T)/10000</f>
        <v>0</v>
      </c>
      <c r="AP67" s="134" t="n">
        <f aca="false">SUMIF($X:$X,CONCATENATE($AN67,AP$6),$T:$T)/10000</f>
        <v>0</v>
      </c>
      <c r="AQ67" s="134" t="n">
        <f aca="false">SUMIF($X:$X,CONCATENATE($AN67,AQ$6),$T:$T)/10000</f>
        <v>0</v>
      </c>
      <c r="AR67" s="134" t="n">
        <f aca="false">SUMIF($X:$X,CONCATENATE($AN67,AR$6),$T:$T)/10000</f>
        <v>0</v>
      </c>
      <c r="AS67" s="134" t="n">
        <f aca="false">SUMIF($X:$X,CONCATENATE($AN67,AS$6),$T:$T)/10000</f>
        <v>0</v>
      </c>
      <c r="AT67" s="134" t="n">
        <f aca="false">SUMIF($X:$X,CONCATENATE($AN67,AT$6),$T:$T)/10000</f>
        <v>0</v>
      </c>
      <c r="AU67" s="134" t="n">
        <f aca="false">SUMIF($X:$X,CONCATENATE($AN67,AU$6),$T:$T)/10000</f>
        <v>0</v>
      </c>
      <c r="AV67" s="134" t="n">
        <f aca="false">SUMIF($X:$X,CONCATENATE($AN67,AV$6),$T:$T)/10000</f>
        <v>0</v>
      </c>
      <c r="AW67" s="134" t="n">
        <f aca="false">SUMIF($X:$X,CONCATENATE($AN67,AW$6),$T:$T)/10000</f>
        <v>0</v>
      </c>
      <c r="AX67" s="134" t="n">
        <f aca="false">SUMIF($X:$X,CONCATENATE($AN67,AX$6),$T:$T)/10000</f>
        <v>0</v>
      </c>
      <c r="AY67" s="134" t="n">
        <f aca="false">SUMIF($X:$X,CONCATENATE($AN67,AY$6),$T:$T)/10000</f>
        <v>0</v>
      </c>
      <c r="AZ67" s="134" t="n">
        <f aca="false">SUMIF($X:$X,CONCATENATE($AN67,AZ$6),$T:$T)/10000</f>
        <v>0</v>
      </c>
      <c r="BA67" s="135" t="n">
        <f aca="false">SUMIF($X:$X,CONCATENATE($AN67,BA$6),$T:$T)/10000</f>
        <v>0</v>
      </c>
      <c r="BB67" s="208" t="n">
        <f aca="false">EOMONTH(BB66,0)+1</f>
        <v>38565</v>
      </c>
      <c r="BC67" s="135" t="n">
        <f aca="false">SUM(AO67:BA67)</f>
        <v>0</v>
      </c>
      <c r="BD67" s="2"/>
      <c r="BE67" s="208" t="n">
        <f aca="false">EOMONTH(BE66,0)+1</f>
        <v>38565</v>
      </c>
      <c r="BF67" s="134" t="n">
        <f aca="false">SUMIF($X:$X,CONCATENATE($AN67,BF$6),$W:$W)</f>
        <v>0</v>
      </c>
      <c r="BG67" s="134" t="n">
        <f aca="false">SUMIF($X:$X,CONCATENATE($AN67,BG$6),$W:$W)</f>
        <v>0</v>
      </c>
      <c r="BH67" s="134" t="n">
        <f aca="false">SUMIF($X:$X,CONCATENATE($AN67,BH$6),$W:$W)</f>
        <v>0</v>
      </c>
      <c r="BI67" s="134" t="n">
        <f aca="false">SUMIF($X:$X,CONCATENATE($AN67,BI$6),$W:$W)</f>
        <v>0</v>
      </c>
      <c r="BJ67" s="134" t="n">
        <f aca="false">SUMIF($X:$X,CONCATENATE($AN67,BJ$6),$W:$W)</f>
        <v>0</v>
      </c>
      <c r="BK67" s="134" t="n">
        <f aca="false">SUMIF($X:$X,CONCATENATE($AN67,BK$6),$W:$W)</f>
        <v>0</v>
      </c>
      <c r="BL67" s="134" t="n">
        <f aca="false">SUMIF($X:$X,CONCATENATE($AN67,BL$6),$W:$W)</f>
        <v>0</v>
      </c>
      <c r="BM67" s="134" t="n">
        <f aca="false">SUMIF($X:$X,CONCATENATE($AN67,BM$6),$W:$W)</f>
        <v>0</v>
      </c>
      <c r="BN67" s="134" t="n">
        <f aca="false">SUMIF($X:$X,CONCATENATE($AN67,BN$6),$W:$W)</f>
        <v>0</v>
      </c>
      <c r="BO67" s="134" t="n">
        <f aca="false">SUMIF($X:$X,CONCATENATE($AN67,BO$6),$W:$W)</f>
        <v>0</v>
      </c>
      <c r="BP67" s="134" t="n">
        <f aca="false">SUMIF($X:$X,CONCATENATE($AN67,BP$6),$W:$W)</f>
        <v>0</v>
      </c>
      <c r="BQ67" s="134" t="n">
        <f aca="false">SUMIF($X:$X,CONCATENATE($AN67,BQ$6),$W:$W)</f>
        <v>0</v>
      </c>
      <c r="BR67" s="135" t="n">
        <f aca="false">SUMIF($X:$X,CONCATENATE($AN67,BR$6),$W:$W)</f>
        <v>0</v>
      </c>
      <c r="BS67" s="208" t="n">
        <f aca="false">EOMONTH(BS66,0)+1</f>
        <v>38565</v>
      </c>
      <c r="BT67" s="135" t="n">
        <f aca="false">SUM(BF67:BR67)</f>
        <v>0</v>
      </c>
      <c r="BU67" s="2"/>
      <c r="BV67" s="2"/>
      <c r="BW67" s="2"/>
      <c r="BX67" s="2"/>
      <c r="BY67" s="2"/>
      <c r="BZ67" s="2"/>
      <c r="CA67" s="2"/>
      <c r="CB67" s="2"/>
      <c r="CC67" s="182" t="n">
        <f aca="false">G67</f>
        <v>36800</v>
      </c>
      <c r="CD67" s="253" t="e">
        <f aca="false">xSPRDOPT((VLOOKUP(G67,NGPrices,2,FALSE())+HLOOKUP(D67,Prices,VLOOKUP(G67,move_down,2,FALSE()),FALSE())),VLOOKUP(G67,NGPrices,2,FALSE()),I67,VLOOKUP(G67,NGPREVPRICES,4,FALSE()),HLOOKUP(D67,PREVVOLS,VLOOKUP(G67,MOVE_DOWN2,2,FALSE()),FALSE()),VLOOKUP(G67,NGPREVPRICES,3,FALSE()),HLOOKUP(D67,Correllate,VLOOKUP(G67,CorMove,2,FALSE()),FALSE()),Q67-$CD$3,R67,$CD$5)*H67-CJ67</f>
        <v>#NAME?</v>
      </c>
      <c r="CE67" s="253" t="e">
        <f aca="false">xSPRDOPT((VLOOKUP(G67,NGPREVPRICES,2,FALSE())+HLOOKUP(D67,PREVCURVES,VLOOKUP(G67,MOVE_DOWN2,2,FALSE()),FALSE())),VLOOKUP(G67,NGPREVPRICES,2,FALSE()),CK67,VLOOKUP(G67,NGPrices,4,FALSE()),HLOOKUP(D67,PREVVOLS,VLOOKUP(G67,MOVE_DOWN2,2,FALSE()),FALSE()),VLOOKUP(G67,NGPREVPRICES,3,FALSE()),HLOOKUP(D67,Correllate,VLOOKUP(G67,CorMove,2,FALSE()),FALSE()),Q67-$CD$3,R67,$CJ$5)*H67-CJ67</f>
        <v>#NAME?</v>
      </c>
      <c r="CF67" s="132" t="e">
        <f aca="false">(CJ67/VLOOKUP(CC67,discount,3,FALSE()))-(CJ67/VLOOKUP(CC67,discount,2,FALSE()))</f>
        <v>#NAME?</v>
      </c>
      <c r="CG67" s="253" t="e">
        <f aca="false">xSPRDOPT((VLOOKUP(G67,NGPREVPRICES,2,FALSE())+HLOOKUP(D67,PREVCURVES,VLOOKUP(G67,MOVE_DOWN2,2,FALSE()),FALSE())),VLOOKUP(G67,NGPREVPRICES,2,FALSE()),CK67,VLOOKUP(G67,NGPREVPRICES,4,FALSE()),HLOOKUP(D67,VOLS,VLOOKUP(G67,move_down,2,FALSE()),FALSE()),VLOOKUP(G67,NGPrices,3,FALSE()),HLOOKUP(D67,Correllate,VLOOKUP(G67,CorMove,2,FALSE()),FALSE()),Q67-$CD$3,R67,$CJ$5)*H67-CJ67</f>
        <v>#NAME?</v>
      </c>
      <c r="CH67" s="253" t="e">
        <f aca="false">xSPRDOPT((VLOOKUP(G67,NGPREVPRICES,2,FALSE())+HLOOKUP(D67,PREVCURVES,VLOOKUP(G67,MOVE_DOWN2,2,FALSE()),FALSE())),VLOOKUP(G67,NGPREVPRICES,2,FALSE()),CK67,VLOOKUP(G67,NGPREVPRICES,4,FALSE()),HLOOKUP(D67,PREVVOLS,VLOOKUP(G67,MOVE_DOWN2,2,FALSE()),FALSE()),VLOOKUP(G67,NGPREVPRICES,3,FALSE()),HLOOKUP(D67,Correllate,VLOOKUP(G67,CorMove,2,FALSE()),FALSE()),Q67-$C$3,R67,$CJ$5)*H67-CJ67</f>
        <v>#NAME?</v>
      </c>
      <c r="CI67" s="253" t="e">
        <f aca="false">SUM(CD67:CH67)</f>
        <v>#NAME?</v>
      </c>
      <c r="CJ67" s="253" t="e">
        <f aca="false">xSPRDOPT((VLOOKUP(G67,NGPREVPRICES,2,FALSE())+HLOOKUP(D67,PREVCURVES,VLOOKUP(G67,MOVE_DOWN2,2,FALSE()),FALSE())),VLOOKUP(G67,NGPREVPRICES,2,FALSE()),CK67,VLOOKUP(G67,NGPREVPRICES,4,FALSE()),HLOOKUP(D67,PREVVOLS,VLOOKUP(G67,MOVE_DOWN2,2,FALSE()),FALSE()),VLOOKUP(G67,NGPREVPRICES,3,FALSE()),HLOOKUP(D67,Correllate,VLOOKUP(G67,CorMove,2,FALSE()),FALSE()),Q67-$CD$3,R67,$CJ$5)*H67</f>
        <v>#NAME?</v>
      </c>
      <c r="CK67" s="254" t="n">
        <f aca="false">I67</f>
        <v>0.3</v>
      </c>
      <c r="CL67" s="253"/>
      <c r="CM67" s="0" t="str">
        <f aca="false">CONCATENATE(CC67,$CD$6)</f>
        <v>36800Curve Shift/Gamma</v>
      </c>
      <c r="CN67" s="0" t="str">
        <f aca="false">CONCATENATE($CC67,$CE$6)</f>
        <v>36800Rho</v>
      </c>
      <c r="CO67" s="0" t="str">
        <f aca="false">CONCATENATE($CC67,$CF$6)</f>
        <v>36800Drift</v>
      </c>
      <c r="CP67" s="0" t="str">
        <f aca="false">CONCATENATE($CC67,$CG$6)</f>
        <v>36800Vega</v>
      </c>
      <c r="CQ67" s="0" t="str">
        <f aca="false">CONCATENATE($CC67,$CH$6)</f>
        <v>36800Theta</v>
      </c>
    </row>
    <row r="68" customFormat="false" ht="12" hidden="false" customHeight="true" outlineLevel="0" collapsed="false">
      <c r="A68" s="17" t="s">
        <v>218</v>
      </c>
      <c r="B68" s="0" t="s">
        <v>192</v>
      </c>
      <c r="C68" s="0" t="s">
        <v>228</v>
      </c>
      <c r="D68" s="7" t="s">
        <v>149</v>
      </c>
      <c r="E68" s="0" t="s">
        <v>131</v>
      </c>
      <c r="F68" s="0" t="s">
        <v>132</v>
      </c>
      <c r="G68" s="92" t="n">
        <v>36770</v>
      </c>
      <c r="H68" s="248" t="n">
        <v>-250000</v>
      </c>
      <c r="I68" s="0" t="n">
        <v>0.3</v>
      </c>
      <c r="J68" s="124" t="n">
        <f aca="false">VLOOKUP(G68,NGPrices,2,FALSE())</f>
        <v>4.685</v>
      </c>
      <c r="K68" s="125" t="n">
        <f aca="false">HLOOKUP(D68,Prices,VLOOKUP(G68,move_down,2,FALSE()),FALSE())+VLOOKUP(G68,CHANGE,HLOOKUP(D68,CHANGE,2,FALSE()),FALSE())</f>
        <v>0.315</v>
      </c>
      <c r="L68" s="124" t="n">
        <f aca="false">K68+J68</f>
        <v>5</v>
      </c>
      <c r="M68" s="126" t="n">
        <f aca="false">VLOOKUP(G68,NGPrices,4,FALSE())</f>
        <v>0.067216196212185</v>
      </c>
      <c r="N68" s="7" t="n">
        <f aca="false">VLOOKUP(G68,NGPrices,3,FALSE())</f>
        <v>0.4</v>
      </c>
      <c r="O68" s="7" t="n">
        <f aca="false">HLOOKUP(D68,VOLS,VLOOKUP(G68,move_down,2,FALSE()),FALSE())</f>
        <v>0.392</v>
      </c>
      <c r="P68" s="249" t="n">
        <f aca="false">HLOOKUP(D68,Correllate,VLOOKUP(G68,CorMove,2,FALSE()),FALSE())</f>
        <v>0.9925</v>
      </c>
      <c r="Q68" s="92" t="n">
        <f aca="false">WORKDAY(G68,-2)</f>
        <v>36768</v>
      </c>
      <c r="R68" s="7" t="n">
        <f aca="false">IF(F68="P",0,1)</f>
        <v>0</v>
      </c>
      <c r="S68" s="130" t="e">
        <f aca="false">xSPRDOPT($L68,$J68,$I68,$M68,$O68,$N68,$P68,$Q68-$C$3,$R68,0)</f>
        <v>#NAME?</v>
      </c>
      <c r="T68" s="250" t="e">
        <f aca="false">xSPRDOPT($L68,$J68,$I68,$M68,$O68,$N68,$P68,$Q68-$C$3,$R68,1)*H68</f>
        <v>#NAME?</v>
      </c>
      <c r="U68" s="43" t="e">
        <f aca="false">S68*H68</f>
        <v>#NAME?</v>
      </c>
      <c r="V68" s="250" t="e">
        <f aca="false">xSPRDOPT($L68,$J68,$I68,$M68,$O68,$N68,$P68,$Q68-$C$3,$R68,2)*H68</f>
        <v>#NAME?</v>
      </c>
      <c r="W68" s="250" t="e">
        <f aca="false">+V68+T68</f>
        <v>#NAME?</v>
      </c>
      <c r="X68" s="2" t="str">
        <f aca="false">CONCATENATE(G68,D68)</f>
        <v>36770IF-TRANSCO/Z6</v>
      </c>
      <c r="Y68" s="251" t="n">
        <f aca="false">H68/10000</f>
        <v>-25</v>
      </c>
      <c r="Z68" s="226" t="e">
        <f aca="false">T68/H68</f>
        <v>#NAME?</v>
      </c>
      <c r="AA68" s="226" t="e">
        <f aca="false">xSPRDOPT($L68,$J68,$I68,$M68,$O68,$N68,$P68,$Q68-$C$3,$R68,3)</f>
        <v>#NAME?</v>
      </c>
      <c r="AB68" s="226" t="e">
        <f aca="false">((xSPRDOPT($L68+AB$5,$J68,$I68,$M68,$O68,$N68,$P68,$Q68-$C$3,$R68,3)*$H68)/10000)/100</f>
        <v>#NAME?</v>
      </c>
      <c r="AC68" s="226" t="e">
        <f aca="false">((xSPRDOPT($L68+$AB$5,$J68,$I68,$M68,$O68,$N68,$P68,$Q68-$C$3,$R68,7)*$H68)/100)</f>
        <v>#NAME?</v>
      </c>
      <c r="AD68" s="226" t="e">
        <f aca="false">(xSPRDOPT($L68+$AB$5,$J68,$I68,$M68,$O68,$N68,$P68,$Q68-$C$3,$R68,9)/365)*$H68</f>
        <v>#NAME?</v>
      </c>
      <c r="AE68" s="0" t="e">
        <f aca="false">CD68</f>
        <v>#NAME?</v>
      </c>
      <c r="AF68" s="226" t="e">
        <f aca="false">((O68/N68)*AH68)+AG68</f>
        <v>#NAME?</v>
      </c>
      <c r="AG68" s="226" t="e">
        <f aca="false">((xSPRDOPT($L68,$J68,$I68,$M68,$O68,$N68,$P68,$Q68-$C$3,$R68,6)*$H68)/100)</f>
        <v>#NAME?</v>
      </c>
      <c r="AH68" s="226" t="e">
        <f aca="false">((xSPRDOPT($L68,$J68,$I68,$M68,$O68,$N68,$P68,$Q68-$C$3,$R68,5)*$H68)/100)</f>
        <v>#NAME?</v>
      </c>
      <c r="AI68" s="226" t="e">
        <f aca="false">(((xSPRDOPT($L68,$J68,$I68,$M68,$O68,$N68,$P68,$Q68-$C$3,$R68,4)*$H68)/10000)/100)-AB68</f>
        <v>#NAME?</v>
      </c>
      <c r="AJ68" s="226"/>
      <c r="AK68" s="226"/>
      <c r="AL68" s="226"/>
      <c r="AM68" s="252"/>
      <c r="AN68" s="208" t="n">
        <f aca="false">EOMONTH(AN67,0)+1</f>
        <v>38596</v>
      </c>
      <c r="AO68" s="134" t="n">
        <f aca="false">SUMIF($X:$X,CONCATENATE($AN68,AO$6),$T:$T)/10000</f>
        <v>0</v>
      </c>
      <c r="AP68" s="134" t="n">
        <f aca="false">SUMIF($X:$X,CONCATENATE($AN68,AP$6),$T:$T)/10000</f>
        <v>0</v>
      </c>
      <c r="AQ68" s="134" t="n">
        <f aca="false">SUMIF($X:$X,CONCATENATE($AN68,AQ$6),$T:$T)/10000</f>
        <v>0</v>
      </c>
      <c r="AR68" s="134" t="n">
        <f aca="false">SUMIF($X:$X,CONCATENATE($AN68,AR$6),$T:$T)/10000</f>
        <v>0</v>
      </c>
      <c r="AS68" s="134" t="n">
        <f aca="false">SUMIF($X:$X,CONCATENATE($AN68,AS$6),$T:$T)/10000</f>
        <v>0</v>
      </c>
      <c r="AT68" s="134" t="n">
        <f aca="false">SUMIF($X:$X,CONCATENATE($AN68,AT$6),$T:$T)/10000</f>
        <v>0</v>
      </c>
      <c r="AU68" s="134" t="n">
        <f aca="false">SUMIF($X:$X,CONCATENATE($AN68,AU$6),$T:$T)/10000</f>
        <v>0</v>
      </c>
      <c r="AV68" s="134" t="n">
        <f aca="false">SUMIF($X:$X,CONCATENATE($AN68,AV$6),$T:$T)/10000</f>
        <v>0</v>
      </c>
      <c r="AW68" s="134" t="n">
        <f aca="false">SUMIF($X:$X,CONCATENATE($AN68,AW$6),$T:$T)/10000</f>
        <v>0</v>
      </c>
      <c r="AX68" s="134" t="n">
        <f aca="false">SUMIF($X:$X,CONCATENATE($AN68,AX$6),$T:$T)/10000</f>
        <v>0</v>
      </c>
      <c r="AY68" s="134" t="n">
        <f aca="false">SUMIF($X:$X,CONCATENATE($AN68,AY$6),$T:$T)/10000</f>
        <v>0</v>
      </c>
      <c r="AZ68" s="134" t="n">
        <f aca="false">SUMIF($X:$X,CONCATENATE($AN68,AZ$6),$T:$T)/10000</f>
        <v>0</v>
      </c>
      <c r="BA68" s="135" t="n">
        <f aca="false">SUMIF($X:$X,CONCATENATE($AN68,BA$6),$T:$T)/10000</f>
        <v>0</v>
      </c>
      <c r="BB68" s="208" t="n">
        <f aca="false">EOMONTH(BB67,0)+1</f>
        <v>38596</v>
      </c>
      <c r="BC68" s="135" t="n">
        <f aca="false">SUM(AO68:BA68)</f>
        <v>0</v>
      </c>
      <c r="BD68" s="2"/>
      <c r="BE68" s="208" t="n">
        <f aca="false">EOMONTH(BE67,0)+1</f>
        <v>38596</v>
      </c>
      <c r="BF68" s="134" t="n">
        <f aca="false">SUMIF($X:$X,CONCATENATE($AN68,BF$6),$W:$W)</f>
        <v>0</v>
      </c>
      <c r="BG68" s="134" t="n">
        <f aca="false">SUMIF($X:$X,CONCATENATE($AN68,BG$6),$W:$W)</f>
        <v>0</v>
      </c>
      <c r="BH68" s="134" t="n">
        <f aca="false">SUMIF($X:$X,CONCATENATE($AN68,BH$6),$W:$W)</f>
        <v>0</v>
      </c>
      <c r="BI68" s="134" t="n">
        <f aca="false">SUMIF($X:$X,CONCATENATE($AN68,BI$6),$W:$W)</f>
        <v>0</v>
      </c>
      <c r="BJ68" s="134" t="n">
        <f aca="false">SUMIF($X:$X,CONCATENATE($AN68,BJ$6),$W:$W)</f>
        <v>0</v>
      </c>
      <c r="BK68" s="134" t="n">
        <f aca="false">SUMIF($X:$X,CONCATENATE($AN68,BK$6),$W:$W)</f>
        <v>0</v>
      </c>
      <c r="BL68" s="134" t="n">
        <f aca="false">SUMIF($X:$X,CONCATENATE($AN68,BL$6),$W:$W)</f>
        <v>0</v>
      </c>
      <c r="BM68" s="134" t="n">
        <f aca="false">SUMIF($X:$X,CONCATENATE($AN68,BM$6),$W:$W)</f>
        <v>0</v>
      </c>
      <c r="BN68" s="134" t="n">
        <f aca="false">SUMIF($X:$X,CONCATENATE($AN68,BN$6),$W:$W)</f>
        <v>0</v>
      </c>
      <c r="BO68" s="134" t="n">
        <f aca="false">SUMIF($X:$X,CONCATENATE($AN68,BO$6),$W:$W)</f>
        <v>0</v>
      </c>
      <c r="BP68" s="134" t="n">
        <f aca="false">SUMIF($X:$X,CONCATENATE($AN68,BP$6),$W:$W)</f>
        <v>0</v>
      </c>
      <c r="BQ68" s="134" t="n">
        <f aca="false">SUMIF($X:$X,CONCATENATE($AN68,BQ$6),$W:$W)</f>
        <v>0</v>
      </c>
      <c r="BR68" s="135" t="n">
        <f aca="false">SUMIF($X:$X,CONCATENATE($AN68,BR$6),$W:$W)</f>
        <v>0</v>
      </c>
      <c r="BS68" s="208" t="n">
        <f aca="false">EOMONTH(BS67,0)+1</f>
        <v>38596</v>
      </c>
      <c r="BT68" s="135" t="n">
        <f aca="false">SUM(BF68:BR68)</f>
        <v>0</v>
      </c>
      <c r="BU68" s="2"/>
      <c r="BV68" s="2"/>
      <c r="BW68" s="2"/>
      <c r="BX68" s="2"/>
      <c r="BY68" s="2"/>
      <c r="BZ68" s="2"/>
      <c r="CA68" s="2"/>
      <c r="CB68" s="2"/>
      <c r="CC68" s="182" t="n">
        <f aca="false">G68</f>
        <v>36770</v>
      </c>
      <c r="CD68" s="253" t="e">
        <f aca="false">xSPRDOPT((VLOOKUP(G68,NGPrices,2,FALSE())+HLOOKUP(D68,Prices,VLOOKUP(G68,move_down,2,FALSE()),FALSE())),VLOOKUP(G68,NGPrices,2,FALSE()),I68,VLOOKUP(G68,NGPREVPRICES,4,FALSE()),HLOOKUP(D68,PREVVOLS,VLOOKUP(G68,MOVE_DOWN2,2,FALSE()),FALSE()),VLOOKUP(G68,NGPREVPRICES,3,FALSE()),HLOOKUP(D68,Correllate,VLOOKUP(G68,CorMove,2,FALSE()),FALSE()),Q68-$CD$3,R68,$CD$5)*H68-CJ68</f>
        <v>#NAME?</v>
      </c>
      <c r="CE68" s="253" t="e">
        <f aca="false">xSPRDOPT((VLOOKUP(G68,NGPREVPRICES,2,FALSE())+HLOOKUP(D68,PREVCURVES,VLOOKUP(G68,MOVE_DOWN2,2,FALSE()),FALSE())),VLOOKUP(G68,NGPREVPRICES,2,FALSE()),CK68,VLOOKUP(G68,NGPrices,4,FALSE()),HLOOKUP(D68,PREVVOLS,VLOOKUP(G68,MOVE_DOWN2,2,FALSE()),FALSE()),VLOOKUP(G68,NGPREVPRICES,3,FALSE()),HLOOKUP(D68,Correllate,VLOOKUP(G68,CorMove,2,FALSE()),FALSE()),Q68-$CD$3,R68,$CJ$5)*H68-CJ68</f>
        <v>#NAME?</v>
      </c>
      <c r="CF68" s="132" t="e">
        <f aca="false">(CJ68/VLOOKUP(CC68,discount,3,FALSE()))-(CJ68/VLOOKUP(CC68,discount,2,FALSE()))</f>
        <v>#NAME?</v>
      </c>
      <c r="CG68" s="253" t="e">
        <f aca="false">xSPRDOPT((VLOOKUP(G68,NGPREVPRICES,2,FALSE())+HLOOKUP(D68,PREVCURVES,VLOOKUP(G68,MOVE_DOWN2,2,FALSE()),FALSE())),VLOOKUP(G68,NGPREVPRICES,2,FALSE()),CK68,VLOOKUP(G68,NGPREVPRICES,4,FALSE()),HLOOKUP(D68,VOLS,VLOOKUP(G68,move_down,2,FALSE()),FALSE()),VLOOKUP(G68,NGPrices,3,FALSE()),HLOOKUP(D68,Correllate,VLOOKUP(G68,CorMove,2,FALSE()),FALSE()),Q68-$CD$3,R68,$CJ$5)*H68-CJ68</f>
        <v>#NAME?</v>
      </c>
      <c r="CH68" s="253" t="e">
        <f aca="false">xSPRDOPT((VLOOKUP(G68,NGPREVPRICES,2,FALSE())+HLOOKUP(D68,PREVCURVES,VLOOKUP(G68,MOVE_DOWN2,2,FALSE()),FALSE())),VLOOKUP(G68,NGPREVPRICES,2,FALSE()),CK68,VLOOKUP(G68,NGPREVPRICES,4,FALSE()),HLOOKUP(D68,PREVVOLS,VLOOKUP(G68,MOVE_DOWN2,2,FALSE()),FALSE()),VLOOKUP(G68,NGPREVPRICES,3,FALSE()),HLOOKUP(D68,Correllate,VLOOKUP(G68,CorMove,2,FALSE()),FALSE()),Q68-$C$3,R68,$CJ$5)*H68-CJ68</f>
        <v>#NAME?</v>
      </c>
      <c r="CI68" s="253" t="e">
        <f aca="false">SUM(CD68:CH68)</f>
        <v>#NAME?</v>
      </c>
      <c r="CJ68" s="253" t="e">
        <f aca="false">xSPRDOPT((VLOOKUP(G68,NGPREVPRICES,2,FALSE())+HLOOKUP(D68,PREVCURVES,VLOOKUP(G68,MOVE_DOWN2,2,FALSE()),FALSE())),VLOOKUP(G68,NGPREVPRICES,2,FALSE()),CK68,VLOOKUP(G68,NGPREVPRICES,4,FALSE()),HLOOKUP(D68,PREVVOLS,VLOOKUP(G68,MOVE_DOWN2,2,FALSE()),FALSE()),VLOOKUP(G68,NGPREVPRICES,3,FALSE()),HLOOKUP(D68,Correllate,VLOOKUP(G68,CorMove,2,FALSE()),FALSE()),Q68-$CD$3,R68,$CJ$5)*H68</f>
        <v>#NAME?</v>
      </c>
      <c r="CK68" s="254" t="n">
        <f aca="false">I68</f>
        <v>0.3</v>
      </c>
      <c r="CL68" s="253"/>
      <c r="CM68" s="0" t="str">
        <f aca="false">CONCATENATE(CC68,$CD$6)</f>
        <v>36770Curve Shift/Gamma</v>
      </c>
      <c r="CN68" s="0" t="str">
        <f aca="false">CONCATENATE($CC68,$CE$6)</f>
        <v>36770Rho</v>
      </c>
      <c r="CO68" s="0" t="str">
        <f aca="false">CONCATENATE($CC68,$CF$6)</f>
        <v>36770Drift</v>
      </c>
      <c r="CP68" s="0" t="str">
        <f aca="false">CONCATENATE($CC68,$CG$6)</f>
        <v>36770Vega</v>
      </c>
      <c r="CQ68" s="0" t="str">
        <f aca="false">CONCATENATE($CC68,$CH$6)</f>
        <v>36770Theta</v>
      </c>
    </row>
    <row r="69" customFormat="false" ht="12" hidden="false" customHeight="true" outlineLevel="0" collapsed="false">
      <c r="A69" s="265" t="s">
        <v>198</v>
      </c>
      <c r="B69" s="0" t="s">
        <v>192</v>
      </c>
      <c r="C69" s="0" t="s">
        <v>229</v>
      </c>
      <c r="D69" s="7" t="s">
        <v>149</v>
      </c>
      <c r="E69" s="0" t="s">
        <v>131</v>
      </c>
      <c r="F69" s="0" t="s">
        <v>136</v>
      </c>
      <c r="G69" s="92" t="n">
        <v>36800</v>
      </c>
      <c r="H69" s="248" t="n">
        <v>-250000</v>
      </c>
      <c r="I69" s="0" t="n">
        <v>0.3</v>
      </c>
      <c r="J69" s="124" t="n">
        <f aca="false">VLOOKUP(G69,NGPrices,2,FALSE())</f>
        <v>4.692</v>
      </c>
      <c r="K69" s="125" t="n">
        <f aca="false">HLOOKUP(D69,Prices,VLOOKUP(G69,move_down,2,FALSE()),FALSE())+VLOOKUP(G69,CHANGE,HLOOKUP(D69,CHANGE,2,FALSE()),FALSE())</f>
        <v>0.415</v>
      </c>
      <c r="L69" s="124" t="n">
        <f aca="false">K69+J69</f>
        <v>5.107</v>
      </c>
      <c r="M69" s="126" t="n">
        <f aca="false">VLOOKUP(G69,NGPrices,4,FALSE())</f>
        <v>0.068050789414654</v>
      </c>
      <c r="N69" s="7" t="n">
        <f aca="false">VLOOKUP(G69,NGPrices,3,FALSE())</f>
        <v>0.575</v>
      </c>
      <c r="O69" s="7" t="n">
        <f aca="false">HLOOKUP(D69,VOLS,VLOOKUP(G69,move_down,2,FALSE()),FALSE())</f>
        <v>0.564</v>
      </c>
      <c r="P69" s="249" t="n">
        <f aca="false">HLOOKUP(D69,Correllate,VLOOKUP(G69,CorMove,2,FALSE()),FALSE())</f>
        <v>0.9925</v>
      </c>
      <c r="Q69" s="92" t="n">
        <f aca="false">WORKDAY(G69,-2)</f>
        <v>36797</v>
      </c>
      <c r="R69" s="7" t="n">
        <f aca="false">IF(F69="P",0,1)</f>
        <v>1</v>
      </c>
      <c r="S69" s="130" t="e">
        <f aca="false">xSPRDOPT($L69,$J69,$I69,$M69,$O69,$N69,$P69,$Q69-$C$3,$R69,0)</f>
        <v>#NAME?</v>
      </c>
      <c r="T69" s="250" t="e">
        <f aca="false">xSPRDOPT($L69,$J69,$I69,$M69,$O69,$N69,$P69,$Q69-$C$3,$R69,1)*H69</f>
        <v>#NAME?</v>
      </c>
      <c r="U69" s="43" t="e">
        <f aca="false">S69*H69</f>
        <v>#NAME?</v>
      </c>
      <c r="V69" s="250" t="e">
        <f aca="false">xSPRDOPT($L69,$J69,$I69,$M69,$O69,$N69,$P69,$Q69-$C$3,$R69,2)*H69</f>
        <v>#NAME?</v>
      </c>
      <c r="W69" s="250" t="e">
        <f aca="false">+V69+T69</f>
        <v>#NAME?</v>
      </c>
      <c r="X69" s="2" t="str">
        <f aca="false">CONCATENATE(G69,D69)</f>
        <v>36800IF-TRANSCO/Z6</v>
      </c>
      <c r="Y69" s="251" t="n">
        <f aca="false">H69/10000</f>
        <v>-25</v>
      </c>
      <c r="Z69" s="226" t="e">
        <f aca="false">T69/H69</f>
        <v>#NAME?</v>
      </c>
      <c r="AA69" s="226" t="e">
        <f aca="false">xSPRDOPT($L69,$J69,$I69,$M69,$O69,$N69,$P69,$Q69-$C$3,$R69,3)</f>
        <v>#NAME?</v>
      </c>
      <c r="AB69" s="226" t="e">
        <f aca="false">((xSPRDOPT($L69+AB$5,$J69,$I69,$M69,$O69,$N69,$P69,$Q69-$C$3,$R69,3)*$H69)/10000)/100</f>
        <v>#NAME?</v>
      </c>
      <c r="AC69" s="226" t="e">
        <f aca="false">((xSPRDOPT($L69+$AB$5,$J69,$I69,$M69,$O69,$N69,$P69,$Q69-$C$3,$R69,7)*$H69)/100)</f>
        <v>#NAME?</v>
      </c>
      <c r="AD69" s="226" t="e">
        <f aca="false">(xSPRDOPT($L69+$AB$5,$J69,$I69,$M69,$O69,$N69,$P69,$Q69-$C$3,$R69,9)/365)*$H69</f>
        <v>#NAME?</v>
      </c>
      <c r="AE69" s="0" t="e">
        <f aca="false">CD69</f>
        <v>#NAME?</v>
      </c>
      <c r="AF69" s="226" t="e">
        <f aca="false">((O69/N69)*AH69)+AG69</f>
        <v>#NAME?</v>
      </c>
      <c r="AG69" s="226" t="e">
        <f aca="false">((xSPRDOPT($L69,$J69,$I69,$M69,$O69,$N69,$P69,$Q69-$C$3,$R69,6)*$H69)/100)</f>
        <v>#NAME?</v>
      </c>
      <c r="AH69" s="226" t="e">
        <f aca="false">((xSPRDOPT($L69,$J69,$I69,$M69,$O69,$N69,$P69,$Q69-$C$3,$R69,5)*$H69)/100)</f>
        <v>#NAME?</v>
      </c>
      <c r="AI69" s="226" t="e">
        <f aca="false">(((xSPRDOPT($L69,$J69,$I69,$M69,$O69,$N69,$P69,$Q69-$C$3,$R69,4)*$H69)/10000)/100)-AB69</f>
        <v>#NAME?</v>
      </c>
      <c r="AJ69" s="226"/>
      <c r="AK69" s="226"/>
      <c r="AL69" s="226"/>
      <c r="AM69" s="252"/>
      <c r="AN69" s="208" t="n">
        <f aca="false">EOMONTH(AN68,0)+1</f>
        <v>38626</v>
      </c>
      <c r="AO69" s="134" t="n">
        <f aca="false">SUMIF($X:$X,CONCATENATE($AN69,AO$6),$T:$T)/10000</f>
        <v>0</v>
      </c>
      <c r="AP69" s="134" t="n">
        <f aca="false">SUMIF($X:$X,CONCATENATE($AN69,AP$6),$T:$T)/10000</f>
        <v>0</v>
      </c>
      <c r="AQ69" s="134" t="n">
        <f aca="false">SUMIF($X:$X,CONCATENATE($AN69,AQ$6),$T:$T)/10000</f>
        <v>0</v>
      </c>
      <c r="AR69" s="134" t="n">
        <f aca="false">SUMIF($X:$X,CONCATENATE($AN69,AR$6),$T:$T)/10000</f>
        <v>0</v>
      </c>
      <c r="AS69" s="134" t="n">
        <f aca="false">SUMIF($X:$X,CONCATENATE($AN69,AS$6),$T:$T)/10000</f>
        <v>0</v>
      </c>
      <c r="AT69" s="134" t="n">
        <f aca="false">SUMIF($X:$X,CONCATENATE($AN69,AT$6),$T:$T)/10000</f>
        <v>0</v>
      </c>
      <c r="AU69" s="134" t="n">
        <f aca="false">SUMIF($X:$X,CONCATENATE($AN69,AU$6),$T:$T)/10000</f>
        <v>0</v>
      </c>
      <c r="AV69" s="134" t="n">
        <f aca="false">SUMIF($X:$X,CONCATENATE($AN69,AV$6),$T:$T)/10000</f>
        <v>0</v>
      </c>
      <c r="AW69" s="134" t="n">
        <f aca="false">SUMIF($X:$X,CONCATENATE($AN69,AW$6),$T:$T)/10000</f>
        <v>0</v>
      </c>
      <c r="AX69" s="134" t="n">
        <f aca="false">SUMIF($X:$X,CONCATENATE($AN69,AX$6),$T:$T)/10000</f>
        <v>0</v>
      </c>
      <c r="AY69" s="134" t="n">
        <f aca="false">SUMIF($X:$X,CONCATENATE($AN69,AY$6),$T:$T)/10000</f>
        <v>0</v>
      </c>
      <c r="AZ69" s="134" t="n">
        <f aca="false">SUMIF($X:$X,CONCATENATE($AN69,AZ$6),$T:$T)/10000</f>
        <v>0</v>
      </c>
      <c r="BA69" s="135" t="n">
        <f aca="false">SUMIF($X:$X,CONCATENATE($AN69,BA$6),$T:$T)/10000</f>
        <v>0</v>
      </c>
      <c r="BB69" s="208" t="n">
        <f aca="false">EOMONTH(BB68,0)+1</f>
        <v>38626</v>
      </c>
      <c r="BC69" s="135" t="n">
        <f aca="false">SUM(AO69:BA69)</f>
        <v>0</v>
      </c>
      <c r="BD69" s="2"/>
      <c r="BE69" s="208" t="n">
        <f aca="false">EOMONTH(BE68,0)+1</f>
        <v>38626</v>
      </c>
      <c r="BF69" s="134" t="n">
        <f aca="false">SUMIF($X:$X,CONCATENATE($AN69,BF$6),$W:$W)</f>
        <v>0</v>
      </c>
      <c r="BG69" s="134" t="n">
        <f aca="false">SUMIF($X:$X,CONCATENATE($AN69,BG$6),$W:$W)</f>
        <v>0</v>
      </c>
      <c r="BH69" s="134" t="n">
        <f aca="false">SUMIF($X:$X,CONCATENATE($AN69,BH$6),$W:$W)</f>
        <v>0</v>
      </c>
      <c r="BI69" s="134" t="n">
        <f aca="false">SUMIF($X:$X,CONCATENATE($AN69,BI$6),$W:$W)</f>
        <v>0</v>
      </c>
      <c r="BJ69" s="134" t="n">
        <f aca="false">SUMIF($X:$X,CONCATENATE($AN69,BJ$6),$W:$W)</f>
        <v>0</v>
      </c>
      <c r="BK69" s="134" t="n">
        <f aca="false">SUMIF($X:$X,CONCATENATE($AN69,BK$6),$W:$W)</f>
        <v>0</v>
      </c>
      <c r="BL69" s="134" t="n">
        <f aca="false">SUMIF($X:$X,CONCATENATE($AN69,BL$6),$W:$W)</f>
        <v>0</v>
      </c>
      <c r="BM69" s="134" t="n">
        <f aca="false">SUMIF($X:$X,CONCATENATE($AN69,BM$6),$W:$W)</f>
        <v>0</v>
      </c>
      <c r="BN69" s="134" t="n">
        <f aca="false">SUMIF($X:$X,CONCATENATE($AN69,BN$6),$W:$W)</f>
        <v>0</v>
      </c>
      <c r="BO69" s="134" t="n">
        <f aca="false">SUMIF($X:$X,CONCATENATE($AN69,BO$6),$W:$W)</f>
        <v>0</v>
      </c>
      <c r="BP69" s="134" t="n">
        <f aca="false">SUMIF($X:$X,CONCATENATE($AN69,BP$6),$W:$W)</f>
        <v>0</v>
      </c>
      <c r="BQ69" s="134" t="n">
        <f aca="false">SUMIF($X:$X,CONCATENATE($AN69,BQ$6),$W:$W)</f>
        <v>0</v>
      </c>
      <c r="BR69" s="135" t="n">
        <f aca="false">SUMIF($X:$X,CONCATENATE($AN69,BR$6),$W:$W)</f>
        <v>0</v>
      </c>
      <c r="BS69" s="208" t="n">
        <f aca="false">EOMONTH(BS68,0)+1</f>
        <v>38626</v>
      </c>
      <c r="BT69" s="135" t="n">
        <f aca="false">SUM(BF69:BR69)</f>
        <v>0</v>
      </c>
      <c r="BU69" s="2"/>
      <c r="BV69" s="2"/>
      <c r="BW69" s="2"/>
      <c r="BX69" s="2"/>
      <c r="BY69" s="2"/>
      <c r="BZ69" s="2"/>
      <c r="CA69" s="2"/>
      <c r="CB69" s="2"/>
      <c r="CC69" s="182" t="n">
        <f aca="false">G69</f>
        <v>36800</v>
      </c>
      <c r="CD69" s="253" t="e">
        <f aca="false">xSPRDOPT((VLOOKUP(G69,NGPrices,2,FALSE())+HLOOKUP(D69,Prices,VLOOKUP(G69,move_down,2,FALSE()),FALSE())),VLOOKUP(G69,NGPrices,2,FALSE()),I69,VLOOKUP(G69,NGPREVPRICES,4,FALSE()),HLOOKUP(D69,PREVVOLS,VLOOKUP(G69,MOVE_DOWN2,2,FALSE()),FALSE()),VLOOKUP(G69,NGPREVPRICES,3,FALSE()),HLOOKUP(D69,Correllate,VLOOKUP(G69,CorMove,2,FALSE()),FALSE()),Q69-$CD$3,R69,$CD$5)*H69-CJ69</f>
        <v>#NAME?</v>
      </c>
      <c r="CE69" s="253" t="e">
        <f aca="false">xSPRDOPT((VLOOKUP(G69,NGPREVPRICES,2,FALSE())+HLOOKUP(D69,PREVCURVES,VLOOKUP(G69,MOVE_DOWN2,2,FALSE()),FALSE())),VLOOKUP(G69,NGPREVPRICES,2,FALSE()),CK69,VLOOKUP(G69,NGPrices,4,FALSE()),HLOOKUP(D69,PREVVOLS,VLOOKUP(G69,MOVE_DOWN2,2,FALSE()),FALSE()),VLOOKUP(G69,NGPREVPRICES,3,FALSE()),HLOOKUP(D69,Correllate,VLOOKUP(G69,CorMove,2,FALSE()),FALSE()),Q69-$CD$3,R69,$CJ$5)*H69-CJ69</f>
        <v>#NAME?</v>
      </c>
      <c r="CF69" s="132" t="e">
        <f aca="false">(CJ69/VLOOKUP(CC69,discount,3,FALSE()))-(CJ69/VLOOKUP(CC69,discount,2,FALSE()))</f>
        <v>#NAME?</v>
      </c>
      <c r="CG69" s="253" t="e">
        <f aca="false">xSPRDOPT((VLOOKUP(G69,NGPREVPRICES,2,FALSE())+HLOOKUP(D69,PREVCURVES,VLOOKUP(G69,MOVE_DOWN2,2,FALSE()),FALSE())),VLOOKUP(G69,NGPREVPRICES,2,FALSE()),CK69,VLOOKUP(G69,NGPREVPRICES,4,FALSE()),HLOOKUP(D69,VOLS,VLOOKUP(G69,move_down,2,FALSE()),FALSE()),VLOOKUP(G69,NGPrices,3,FALSE()),HLOOKUP(D69,Correllate,VLOOKUP(G69,CorMove,2,FALSE()),FALSE()),Q69-$CD$3,R69,$CJ$5)*H69-CJ69</f>
        <v>#NAME?</v>
      </c>
      <c r="CH69" s="253" t="e">
        <f aca="false">xSPRDOPT((VLOOKUP(G69,NGPREVPRICES,2,FALSE())+HLOOKUP(D69,PREVCURVES,VLOOKUP(G69,MOVE_DOWN2,2,FALSE()),FALSE())),VLOOKUP(G69,NGPREVPRICES,2,FALSE()),CK69,VLOOKUP(G69,NGPREVPRICES,4,FALSE()),HLOOKUP(D69,PREVVOLS,VLOOKUP(G69,MOVE_DOWN2,2,FALSE()),FALSE()),VLOOKUP(G69,NGPREVPRICES,3,FALSE()),HLOOKUP(D69,Correllate,VLOOKUP(G69,CorMove,2,FALSE()),FALSE()),Q69-$C$3,R69,$CJ$5)*H69-CJ69</f>
        <v>#NAME?</v>
      </c>
      <c r="CI69" s="253" t="e">
        <f aca="false">SUM(CD69:CH69)</f>
        <v>#NAME?</v>
      </c>
      <c r="CJ69" s="253" t="e">
        <f aca="false">xSPRDOPT((VLOOKUP(G69,NGPREVPRICES,2,FALSE())+HLOOKUP(D69,PREVCURVES,VLOOKUP(G69,MOVE_DOWN2,2,FALSE()),FALSE())),VLOOKUP(G69,NGPREVPRICES,2,FALSE()),CK69,VLOOKUP(G69,NGPREVPRICES,4,FALSE()),HLOOKUP(D69,PREVVOLS,VLOOKUP(G69,MOVE_DOWN2,2,FALSE()),FALSE()),VLOOKUP(G69,NGPREVPRICES,3,FALSE()),HLOOKUP(D69,Correllate,VLOOKUP(G69,CorMove,2,FALSE()),FALSE()),Q69-$CD$3,R69,$CJ$5)*H69</f>
        <v>#NAME?</v>
      </c>
      <c r="CK69" s="254" t="n">
        <f aca="false">I69</f>
        <v>0.3</v>
      </c>
      <c r="CL69" s="253"/>
      <c r="CM69" s="0" t="str">
        <f aca="false">CONCATENATE(CC69,$CD$6)</f>
        <v>36800Curve Shift/Gamma</v>
      </c>
      <c r="CN69" s="0" t="str">
        <f aca="false">CONCATENATE($CC69,$CE$6)</f>
        <v>36800Rho</v>
      </c>
      <c r="CO69" s="0" t="str">
        <f aca="false">CONCATENATE($CC69,$CF$6)</f>
        <v>36800Drift</v>
      </c>
      <c r="CP69" s="0" t="str">
        <f aca="false">CONCATENATE($CC69,$CG$6)</f>
        <v>36800Vega</v>
      </c>
      <c r="CQ69" s="0" t="str">
        <f aca="false">CONCATENATE($CC69,$CH$6)</f>
        <v>36800Theta</v>
      </c>
    </row>
    <row r="70" customFormat="false" ht="12" hidden="false" customHeight="true" outlineLevel="0" collapsed="false">
      <c r="A70" s="265" t="s">
        <v>198</v>
      </c>
      <c r="B70" s="0" t="s">
        <v>192</v>
      </c>
      <c r="C70" s="0" t="s">
        <v>229</v>
      </c>
      <c r="D70" s="7" t="s">
        <v>149</v>
      </c>
      <c r="E70" s="0" t="s">
        <v>131</v>
      </c>
      <c r="F70" s="0" t="s">
        <v>136</v>
      </c>
      <c r="G70" s="92" t="n">
        <v>36800</v>
      </c>
      <c r="H70" s="248" t="n">
        <v>-500000</v>
      </c>
      <c r="I70" s="0" t="n">
        <v>0.3</v>
      </c>
      <c r="J70" s="124" t="n">
        <f aca="false">VLOOKUP(G70,NGPrices,2,FALSE())</f>
        <v>4.692</v>
      </c>
      <c r="K70" s="125" t="n">
        <f aca="false">HLOOKUP(D70,Prices,VLOOKUP(G70,move_down,2,FALSE()),FALSE())+VLOOKUP(G70,CHANGE,HLOOKUP(D70,CHANGE,2,FALSE()),FALSE())</f>
        <v>0.415</v>
      </c>
      <c r="L70" s="124" t="n">
        <f aca="false">K70+J70</f>
        <v>5.107</v>
      </c>
      <c r="M70" s="126" t="n">
        <f aca="false">VLOOKUP(G70,NGPrices,4,FALSE())</f>
        <v>0.068050789414654</v>
      </c>
      <c r="N70" s="7" t="n">
        <f aca="false">VLOOKUP(G70,NGPrices,3,FALSE())</f>
        <v>0.575</v>
      </c>
      <c r="O70" s="7" t="n">
        <f aca="false">HLOOKUP(D70,VOLS,VLOOKUP(G70,move_down,2,FALSE()),FALSE())</f>
        <v>0.564</v>
      </c>
      <c r="P70" s="249" t="n">
        <f aca="false">HLOOKUP(D70,Correllate,VLOOKUP(G70,CorMove,2,FALSE()),FALSE())</f>
        <v>0.9925</v>
      </c>
      <c r="Q70" s="92" t="n">
        <f aca="false">WORKDAY(G70,-2)</f>
        <v>36797</v>
      </c>
      <c r="R70" s="7" t="n">
        <f aca="false">IF(F70="P",0,1)</f>
        <v>1</v>
      </c>
      <c r="S70" s="130" t="e">
        <f aca="false">xSPRDOPT($L70,$J70,$I70,$M70,$O70,$N70,$P70,$Q70-$C$3,$R70,0)</f>
        <v>#NAME?</v>
      </c>
      <c r="T70" s="250" t="e">
        <f aca="false">xSPRDOPT($L70,$J70,$I70,$M70,$O70,$N70,$P70,$Q70-$C$3,$R70,1)*H70</f>
        <v>#NAME?</v>
      </c>
      <c r="U70" s="43" t="e">
        <f aca="false">S70*H70</f>
        <v>#NAME?</v>
      </c>
      <c r="V70" s="250" t="e">
        <f aca="false">xSPRDOPT($L70,$J70,$I70,$M70,$O70,$N70,$P70,$Q70-$C$3,$R70,2)*H70</f>
        <v>#NAME?</v>
      </c>
      <c r="W70" s="250" t="e">
        <f aca="false">+V70+T70</f>
        <v>#NAME?</v>
      </c>
      <c r="X70" s="2" t="str">
        <f aca="false">CONCATENATE(G70,D70)</f>
        <v>36800IF-TRANSCO/Z6</v>
      </c>
      <c r="Y70" s="251" t="n">
        <f aca="false">H70/10000</f>
        <v>-50</v>
      </c>
      <c r="Z70" s="226" t="e">
        <f aca="false">T70/H70</f>
        <v>#NAME?</v>
      </c>
      <c r="AA70" s="226" t="e">
        <f aca="false">xSPRDOPT($L70,$J70,$I70,$M70,$O70,$N70,$P70,$Q70-$C$3,$R70,3)</f>
        <v>#NAME?</v>
      </c>
      <c r="AB70" s="226" t="e">
        <f aca="false">((xSPRDOPT($L70+AB$5,$J70,$I70,$M70,$O70,$N70,$P70,$Q70-$C$3,$R70,3)*$H70)/10000)/100</f>
        <v>#NAME?</v>
      </c>
      <c r="AC70" s="226" t="e">
        <f aca="false">((xSPRDOPT($L70+$AB$5,$J70,$I70,$M70,$O70,$N70,$P70,$Q70-$C$3,$R70,7)*$H70)/100)</f>
        <v>#NAME?</v>
      </c>
      <c r="AD70" s="226" t="e">
        <f aca="false">(xSPRDOPT($L70+$AB$5,$J70,$I70,$M70,$O70,$N70,$P70,$Q70-$C$3,$R70,9)/365)*$H70</f>
        <v>#NAME?</v>
      </c>
      <c r="AE70" s="0" t="e">
        <f aca="false">CD70</f>
        <v>#NAME?</v>
      </c>
      <c r="AF70" s="226" t="e">
        <f aca="false">((O70/N70)*AH70)+AG70</f>
        <v>#NAME?</v>
      </c>
      <c r="AG70" s="226" t="e">
        <f aca="false">((xSPRDOPT($L70,$J70,$I70,$M70,$O70,$N70,$P70,$Q70-$C$3,$R70,6)*$H70)/100)</f>
        <v>#NAME?</v>
      </c>
      <c r="AH70" s="226" t="e">
        <f aca="false">((xSPRDOPT($L70,$J70,$I70,$M70,$O70,$N70,$P70,$Q70-$C$3,$R70,5)*$H70)/100)</f>
        <v>#NAME?</v>
      </c>
      <c r="AI70" s="226" t="e">
        <f aca="false">(((xSPRDOPT($L70,$J70,$I70,$M70,$O70,$N70,$P70,$Q70-$C$3,$R70,4)*$H70)/10000)/100)-AB70</f>
        <v>#NAME?</v>
      </c>
      <c r="AJ70" s="226"/>
      <c r="AK70" s="226"/>
      <c r="AL70" s="226"/>
      <c r="AM70" s="252"/>
      <c r="AN70" s="208" t="n">
        <f aca="false">EOMONTH(AN69,0)+1</f>
        <v>38657</v>
      </c>
      <c r="AO70" s="134" t="n">
        <f aca="false">SUMIF($X:$X,CONCATENATE($AN70,AO$6),$T:$T)/10000</f>
        <v>0</v>
      </c>
      <c r="AP70" s="134" t="n">
        <f aca="false">SUMIF($X:$X,CONCATENATE($AN70,AP$6),$T:$T)/10000</f>
        <v>0</v>
      </c>
      <c r="AQ70" s="134" t="n">
        <f aca="false">SUMIF($X:$X,CONCATENATE($AN70,AQ$6),$T:$T)/10000</f>
        <v>0</v>
      </c>
      <c r="AR70" s="134" t="n">
        <f aca="false">SUMIF($X:$X,CONCATENATE($AN70,AR$6),$T:$T)/10000</f>
        <v>0</v>
      </c>
      <c r="AS70" s="134" t="n">
        <f aca="false">SUMIF($X:$X,CONCATENATE($AN70,AS$6),$T:$T)/10000</f>
        <v>0</v>
      </c>
      <c r="AT70" s="134" t="n">
        <f aca="false">SUMIF($X:$X,CONCATENATE($AN70,AT$6),$T:$T)/10000</f>
        <v>0</v>
      </c>
      <c r="AU70" s="134" t="n">
        <f aca="false">SUMIF($X:$X,CONCATENATE($AN70,AU$6),$T:$T)/10000</f>
        <v>0</v>
      </c>
      <c r="AV70" s="134" t="n">
        <f aca="false">SUMIF($X:$X,CONCATENATE($AN70,AV$6),$T:$T)/10000</f>
        <v>0</v>
      </c>
      <c r="AW70" s="134" t="n">
        <f aca="false">SUMIF($X:$X,CONCATENATE($AN70,AW$6),$T:$T)/10000</f>
        <v>0</v>
      </c>
      <c r="AX70" s="134" t="n">
        <f aca="false">SUMIF($X:$X,CONCATENATE($AN70,AX$6),$T:$T)/10000</f>
        <v>0</v>
      </c>
      <c r="AY70" s="134" t="n">
        <f aca="false">SUMIF($X:$X,CONCATENATE($AN70,AY$6),$T:$T)/10000</f>
        <v>0</v>
      </c>
      <c r="AZ70" s="134" t="n">
        <f aca="false">SUMIF($X:$X,CONCATENATE($AN70,AZ$6),$T:$T)/10000</f>
        <v>0</v>
      </c>
      <c r="BA70" s="135" t="n">
        <f aca="false">SUMIF($X:$X,CONCATENATE($AN70,BA$6),$T:$T)/10000</f>
        <v>0</v>
      </c>
      <c r="BB70" s="208" t="n">
        <f aca="false">EOMONTH(BB69,0)+1</f>
        <v>38657</v>
      </c>
      <c r="BC70" s="135" t="n">
        <f aca="false">SUM(AO70:BA70)</f>
        <v>0</v>
      </c>
      <c r="BD70" s="2"/>
      <c r="BE70" s="208" t="n">
        <f aca="false">EOMONTH(BE69,0)+1</f>
        <v>38657</v>
      </c>
      <c r="BF70" s="134" t="n">
        <f aca="false">SUMIF($X:$X,CONCATENATE($AN70,BF$6),$W:$W)</f>
        <v>0</v>
      </c>
      <c r="BG70" s="134" t="n">
        <f aca="false">SUMIF($X:$X,CONCATENATE($AN70,BG$6),$W:$W)</f>
        <v>0</v>
      </c>
      <c r="BH70" s="134" t="n">
        <f aca="false">SUMIF($X:$X,CONCATENATE($AN70,BH$6),$W:$W)</f>
        <v>0</v>
      </c>
      <c r="BI70" s="134" t="n">
        <f aca="false">SUMIF($X:$X,CONCATENATE($AN70,BI$6),$W:$W)</f>
        <v>0</v>
      </c>
      <c r="BJ70" s="134" t="n">
        <f aca="false">SUMIF($X:$X,CONCATENATE($AN70,BJ$6),$W:$W)</f>
        <v>0</v>
      </c>
      <c r="BK70" s="134" t="n">
        <f aca="false">SUMIF($X:$X,CONCATENATE($AN70,BK$6),$W:$W)</f>
        <v>0</v>
      </c>
      <c r="BL70" s="134" t="n">
        <f aca="false">SUMIF($X:$X,CONCATENATE($AN70,BL$6),$W:$W)</f>
        <v>0</v>
      </c>
      <c r="BM70" s="134" t="n">
        <f aca="false">SUMIF($X:$X,CONCATENATE($AN70,BM$6),$W:$W)</f>
        <v>0</v>
      </c>
      <c r="BN70" s="134" t="n">
        <f aca="false">SUMIF($X:$X,CONCATENATE($AN70,BN$6),$W:$W)</f>
        <v>0</v>
      </c>
      <c r="BO70" s="134" t="n">
        <f aca="false">SUMIF($X:$X,CONCATENATE($AN70,BO$6),$W:$W)</f>
        <v>0</v>
      </c>
      <c r="BP70" s="134" t="n">
        <f aca="false">SUMIF($X:$X,CONCATENATE($AN70,BP$6),$W:$W)</f>
        <v>0</v>
      </c>
      <c r="BQ70" s="134" t="n">
        <f aca="false">SUMIF($X:$X,CONCATENATE($AN70,BQ$6),$W:$W)</f>
        <v>0</v>
      </c>
      <c r="BR70" s="135" t="n">
        <f aca="false">SUMIF($X:$X,CONCATENATE($AN70,BR$6),$W:$W)</f>
        <v>0</v>
      </c>
      <c r="BS70" s="208" t="n">
        <f aca="false">EOMONTH(BS69,0)+1</f>
        <v>38657</v>
      </c>
      <c r="BT70" s="135" t="n">
        <f aca="false">SUM(BF70:BR70)</f>
        <v>0</v>
      </c>
      <c r="BU70" s="2"/>
      <c r="BV70" s="2"/>
      <c r="BW70" s="2"/>
      <c r="BX70" s="2"/>
      <c r="BY70" s="2"/>
      <c r="BZ70" s="2"/>
      <c r="CA70" s="2"/>
      <c r="CB70" s="2"/>
      <c r="CC70" s="182" t="n">
        <f aca="false">G70</f>
        <v>36800</v>
      </c>
      <c r="CD70" s="253" t="e">
        <f aca="false">xSPRDOPT((VLOOKUP(G70,NGPrices,2,FALSE())+HLOOKUP(D70,Prices,VLOOKUP(G70,move_down,2,FALSE()),FALSE())),VLOOKUP(G70,NGPrices,2,FALSE()),I70,VLOOKUP(G70,NGPREVPRICES,4,FALSE()),HLOOKUP(D70,PREVVOLS,VLOOKUP(G70,MOVE_DOWN2,2,FALSE()),FALSE()),VLOOKUP(G70,NGPREVPRICES,3,FALSE()),HLOOKUP(D70,Correllate,VLOOKUP(G70,CorMove,2,FALSE()),FALSE()),Q70-$CD$3,R70,$CD$5)*H70-CJ70</f>
        <v>#NAME?</v>
      </c>
      <c r="CE70" s="253" t="e">
        <f aca="false">xSPRDOPT((VLOOKUP(G70,NGPREVPRICES,2,FALSE())+HLOOKUP(D70,PREVCURVES,VLOOKUP(G70,MOVE_DOWN2,2,FALSE()),FALSE())),VLOOKUP(G70,NGPREVPRICES,2,FALSE()),CK70,VLOOKUP(G70,NGPrices,4,FALSE()),HLOOKUP(D70,PREVVOLS,VLOOKUP(G70,MOVE_DOWN2,2,FALSE()),FALSE()),VLOOKUP(G70,NGPREVPRICES,3,FALSE()),HLOOKUP(D70,Correllate,VLOOKUP(G70,CorMove,2,FALSE()),FALSE()),Q70-$CD$3,R70,$CJ$5)*H70-CJ70</f>
        <v>#NAME?</v>
      </c>
      <c r="CF70" s="132" t="e">
        <f aca="false">(CJ70/VLOOKUP(CC70,discount,3,FALSE()))-(CJ70/VLOOKUP(CC70,discount,2,FALSE()))</f>
        <v>#NAME?</v>
      </c>
      <c r="CG70" s="253" t="e">
        <f aca="false">xSPRDOPT((VLOOKUP(G70,NGPREVPRICES,2,FALSE())+HLOOKUP(D70,PREVCURVES,VLOOKUP(G70,MOVE_DOWN2,2,FALSE()),FALSE())),VLOOKUP(G70,NGPREVPRICES,2,FALSE()),CK70,VLOOKUP(G70,NGPREVPRICES,4,FALSE()),HLOOKUP(D70,VOLS,VLOOKUP(G70,move_down,2,FALSE()),FALSE()),VLOOKUP(G70,NGPrices,3,FALSE()),HLOOKUP(D70,Correllate,VLOOKUP(G70,CorMove,2,FALSE()),FALSE()),Q70-$CD$3,R70,$CJ$5)*H70-CJ70</f>
        <v>#NAME?</v>
      </c>
      <c r="CH70" s="253" t="e">
        <f aca="false">xSPRDOPT((VLOOKUP(G70,NGPREVPRICES,2,FALSE())+HLOOKUP(D70,PREVCURVES,VLOOKUP(G70,MOVE_DOWN2,2,FALSE()),FALSE())),VLOOKUP(G70,NGPREVPRICES,2,FALSE()),CK70,VLOOKUP(G70,NGPREVPRICES,4,FALSE()),HLOOKUP(D70,PREVVOLS,VLOOKUP(G70,MOVE_DOWN2,2,FALSE()),FALSE()),VLOOKUP(G70,NGPREVPRICES,3,FALSE()),HLOOKUP(D70,Correllate,VLOOKUP(G70,CorMove,2,FALSE()),FALSE()),Q70-$C$3,R70,$CJ$5)*H70-CJ70</f>
        <v>#NAME?</v>
      </c>
      <c r="CI70" s="253" t="e">
        <f aca="false">SUM(CD70:CH70)</f>
        <v>#NAME?</v>
      </c>
      <c r="CJ70" s="253" t="e">
        <f aca="false">xSPRDOPT((VLOOKUP(G70,NGPREVPRICES,2,FALSE())+HLOOKUP(D70,PREVCURVES,VLOOKUP(G70,MOVE_DOWN2,2,FALSE()),FALSE())),VLOOKUP(G70,NGPREVPRICES,2,FALSE()),CK70,VLOOKUP(G70,NGPREVPRICES,4,FALSE()),HLOOKUP(D70,PREVVOLS,VLOOKUP(G70,MOVE_DOWN2,2,FALSE()),FALSE()),VLOOKUP(G70,NGPREVPRICES,3,FALSE()),HLOOKUP(D70,Correllate,VLOOKUP(G70,CorMove,2,FALSE()),FALSE()),Q70-$CD$3,R70,$CJ$5)*H70</f>
        <v>#NAME?</v>
      </c>
      <c r="CK70" s="254" t="n">
        <f aca="false">I70</f>
        <v>0.3</v>
      </c>
      <c r="CL70" s="253"/>
      <c r="CM70" s="0" t="str">
        <f aca="false">CONCATENATE(CC70,$CD$6)</f>
        <v>36800Curve Shift/Gamma</v>
      </c>
      <c r="CN70" s="0" t="str">
        <f aca="false">CONCATENATE($CC70,$CE$6)</f>
        <v>36800Rho</v>
      </c>
      <c r="CO70" s="0" t="str">
        <f aca="false">CONCATENATE($CC70,$CF$6)</f>
        <v>36800Drift</v>
      </c>
      <c r="CP70" s="0" t="str">
        <f aca="false">CONCATENATE($CC70,$CG$6)</f>
        <v>36800Vega</v>
      </c>
      <c r="CQ70" s="0" t="str">
        <f aca="false">CONCATENATE($CC70,$CH$6)</f>
        <v>36800Theta</v>
      </c>
    </row>
    <row r="71" customFormat="false" ht="12" hidden="false" customHeight="true" outlineLevel="0" collapsed="false">
      <c r="A71" s="265" t="s">
        <v>198</v>
      </c>
      <c r="B71" s="0" t="s">
        <v>192</v>
      </c>
      <c r="C71" s="0" t="s">
        <v>229</v>
      </c>
      <c r="D71" s="7" t="s">
        <v>149</v>
      </c>
      <c r="E71" s="0" t="s">
        <v>131</v>
      </c>
      <c r="F71" s="0" t="s">
        <v>136</v>
      </c>
      <c r="G71" s="92" t="n">
        <v>36770</v>
      </c>
      <c r="H71" s="248" t="n">
        <v>-250000</v>
      </c>
      <c r="I71" s="0" t="n">
        <v>0.3</v>
      </c>
      <c r="J71" s="124" t="n">
        <f aca="false">VLOOKUP(G71,NGPrices,2,FALSE())</f>
        <v>4.685</v>
      </c>
      <c r="K71" s="125" t="n">
        <f aca="false">HLOOKUP(D71,Prices,VLOOKUP(G71,move_down,2,FALSE()),FALSE())+VLOOKUP(G71,CHANGE,HLOOKUP(D71,CHANGE,2,FALSE()),FALSE())</f>
        <v>0.315</v>
      </c>
      <c r="L71" s="124" t="n">
        <f aca="false">K71+J71</f>
        <v>5</v>
      </c>
      <c r="M71" s="126" t="n">
        <f aca="false">VLOOKUP(G71,NGPrices,4,FALSE())</f>
        <v>0.067216196212185</v>
      </c>
      <c r="N71" s="7" t="n">
        <f aca="false">VLOOKUP(G71,NGPrices,3,FALSE())</f>
        <v>0.4</v>
      </c>
      <c r="O71" s="7" t="n">
        <f aca="false">HLOOKUP(D71,VOLS,VLOOKUP(G71,move_down,2,FALSE()),FALSE())</f>
        <v>0.392</v>
      </c>
      <c r="P71" s="249" t="n">
        <f aca="false">HLOOKUP(D71,Correllate,VLOOKUP(G71,CorMove,2,FALSE()),FALSE())</f>
        <v>0.9925</v>
      </c>
      <c r="Q71" s="92" t="n">
        <f aca="false">WORKDAY(G71,-2)</f>
        <v>36768</v>
      </c>
      <c r="R71" s="7" t="n">
        <f aca="false">IF(F71="P",0,1)</f>
        <v>1</v>
      </c>
      <c r="S71" s="130" t="e">
        <f aca="false">xSPRDOPT($L71,$J71,$I71,$M71,$O71,$N71,$P71,$Q71-$C$3,$R71,0)</f>
        <v>#NAME?</v>
      </c>
      <c r="T71" s="250" t="e">
        <f aca="false">xSPRDOPT($L71,$J71,$I71,$M71,$O71,$N71,$P71,$Q71-$C$3,$R71,1)*H71</f>
        <v>#NAME?</v>
      </c>
      <c r="U71" s="43" t="e">
        <f aca="false">S71*H71</f>
        <v>#NAME?</v>
      </c>
      <c r="V71" s="250" t="e">
        <f aca="false">xSPRDOPT($L71,$J71,$I71,$M71,$O71,$N71,$P71,$Q71-$C$3,$R71,2)*H71</f>
        <v>#NAME?</v>
      </c>
      <c r="W71" s="250" t="e">
        <f aca="false">+V71+T71</f>
        <v>#NAME?</v>
      </c>
      <c r="X71" s="2" t="str">
        <f aca="false">CONCATENATE(G71,D71)</f>
        <v>36770IF-TRANSCO/Z6</v>
      </c>
      <c r="Y71" s="251" t="n">
        <f aca="false">H71/10000</f>
        <v>-25</v>
      </c>
      <c r="Z71" s="226" t="e">
        <f aca="false">T71/H71</f>
        <v>#NAME?</v>
      </c>
      <c r="AA71" s="226" t="e">
        <f aca="false">xSPRDOPT($L71,$J71,$I71,$M71,$O71,$N71,$P71,$Q71-$C$3,$R71,3)</f>
        <v>#NAME?</v>
      </c>
      <c r="AB71" s="226" t="e">
        <f aca="false">((xSPRDOPT($L71+AB$5,$J71,$I71,$M71,$O71,$N71,$P71,$Q71-$C$3,$R71,3)*$H71)/10000)/100</f>
        <v>#NAME?</v>
      </c>
      <c r="AC71" s="226" t="e">
        <f aca="false">((xSPRDOPT($L71+$AB$5,$J71,$I71,$M71,$O71,$N71,$P71,$Q71-$C$3,$R71,7)*$H71)/100)</f>
        <v>#NAME?</v>
      </c>
      <c r="AD71" s="226" t="e">
        <f aca="false">(xSPRDOPT($L71+$AB$5,$J71,$I71,$M71,$O71,$N71,$P71,$Q71-$C$3,$R71,9)/365)*$H71</f>
        <v>#NAME?</v>
      </c>
      <c r="AE71" s="0" t="e">
        <f aca="false">CD71</f>
        <v>#NAME?</v>
      </c>
      <c r="AF71" s="226" t="e">
        <f aca="false">((O71/N71)*AH71)+AG71</f>
        <v>#NAME?</v>
      </c>
      <c r="AG71" s="226" t="e">
        <f aca="false">((xSPRDOPT($L71,$J71,$I71,$M71,$O71,$N71,$P71,$Q71-$C$3,$R71,6)*$H71)/100)</f>
        <v>#NAME?</v>
      </c>
      <c r="AH71" s="226" t="e">
        <f aca="false">((xSPRDOPT($L71,$J71,$I71,$M71,$O71,$N71,$P71,$Q71-$C$3,$R71,5)*$H71)/100)</f>
        <v>#NAME?</v>
      </c>
      <c r="AI71" s="226" t="e">
        <f aca="false">(((xSPRDOPT($L71,$J71,$I71,$M71,$O71,$N71,$P71,$Q71-$C$3,$R71,4)*$H71)/10000)/100)-AB71</f>
        <v>#NAME?</v>
      </c>
      <c r="AJ71" s="226"/>
      <c r="AK71" s="226"/>
      <c r="AL71" s="226"/>
      <c r="AM71" s="252"/>
      <c r="AN71" s="208" t="n">
        <f aca="false">EOMONTH(AN70,0)+1</f>
        <v>38687</v>
      </c>
      <c r="AO71" s="134" t="n">
        <f aca="false">SUMIF($X:$X,CONCATENATE($AN71,AO$6),$T:$T)/10000</f>
        <v>0</v>
      </c>
      <c r="AP71" s="134" t="n">
        <f aca="false">SUMIF($X:$X,CONCATENATE($AN71,AP$6),$T:$T)/10000</f>
        <v>0</v>
      </c>
      <c r="AQ71" s="134" t="n">
        <f aca="false">SUMIF($X:$X,CONCATENATE($AN71,AQ$6),$T:$T)/10000</f>
        <v>0</v>
      </c>
      <c r="AR71" s="134" t="n">
        <f aca="false">SUMIF($X:$X,CONCATENATE($AN71,AR$6),$T:$T)/10000</f>
        <v>0</v>
      </c>
      <c r="AS71" s="134" t="n">
        <f aca="false">SUMIF($X:$X,CONCATENATE($AN71,AS$6),$T:$T)/10000</f>
        <v>0</v>
      </c>
      <c r="AT71" s="134" t="n">
        <f aca="false">SUMIF($X:$X,CONCATENATE($AN71,AT$6),$T:$T)/10000</f>
        <v>0</v>
      </c>
      <c r="AU71" s="134" t="n">
        <f aca="false">SUMIF($X:$X,CONCATENATE($AN71,AU$6),$T:$T)/10000</f>
        <v>0</v>
      </c>
      <c r="AV71" s="134" t="n">
        <f aca="false">SUMIF($X:$X,CONCATENATE($AN71,AV$6),$T:$T)/10000</f>
        <v>0</v>
      </c>
      <c r="AW71" s="134" t="n">
        <f aca="false">SUMIF($X:$X,CONCATENATE($AN71,AW$6),$T:$T)/10000</f>
        <v>0</v>
      </c>
      <c r="AX71" s="134" t="n">
        <f aca="false">SUMIF($X:$X,CONCATENATE($AN71,AX$6),$T:$T)/10000</f>
        <v>0</v>
      </c>
      <c r="AY71" s="134" t="n">
        <f aca="false">SUMIF($X:$X,CONCATENATE($AN71,AY$6),$T:$T)/10000</f>
        <v>0</v>
      </c>
      <c r="AZ71" s="134" t="n">
        <f aca="false">SUMIF($X:$X,CONCATENATE($AN71,AZ$6),$T:$T)/10000</f>
        <v>0</v>
      </c>
      <c r="BA71" s="135" t="n">
        <f aca="false">SUMIF($X:$X,CONCATENATE($AN71,BA$6),$T:$T)/10000</f>
        <v>0</v>
      </c>
      <c r="BB71" s="208" t="n">
        <f aca="false">EOMONTH(BB70,0)+1</f>
        <v>38687</v>
      </c>
      <c r="BC71" s="135" t="n">
        <f aca="false">SUM(AO71:BA71)</f>
        <v>0</v>
      </c>
      <c r="BD71" s="2"/>
      <c r="BE71" s="208" t="n">
        <f aca="false">EOMONTH(BE70,0)+1</f>
        <v>38687</v>
      </c>
      <c r="BF71" s="134" t="n">
        <f aca="false">SUMIF($X:$X,CONCATENATE($AN71,BF$6),$W:$W)</f>
        <v>0</v>
      </c>
      <c r="BG71" s="134" t="n">
        <f aca="false">SUMIF($X:$X,CONCATENATE($AN71,BG$6),$W:$W)</f>
        <v>0</v>
      </c>
      <c r="BH71" s="134" t="n">
        <f aca="false">SUMIF($X:$X,CONCATENATE($AN71,BH$6),$W:$W)</f>
        <v>0</v>
      </c>
      <c r="BI71" s="134" t="n">
        <f aca="false">SUMIF($X:$X,CONCATENATE($AN71,BI$6),$W:$W)</f>
        <v>0</v>
      </c>
      <c r="BJ71" s="134" t="n">
        <f aca="false">SUMIF($X:$X,CONCATENATE($AN71,BJ$6),$W:$W)</f>
        <v>0</v>
      </c>
      <c r="BK71" s="134" t="n">
        <f aca="false">SUMIF($X:$X,CONCATENATE($AN71,BK$6),$W:$W)</f>
        <v>0</v>
      </c>
      <c r="BL71" s="134" t="n">
        <f aca="false">SUMIF($X:$X,CONCATENATE($AN71,BL$6),$W:$W)</f>
        <v>0</v>
      </c>
      <c r="BM71" s="134" t="n">
        <f aca="false">SUMIF($X:$X,CONCATENATE($AN71,BM$6),$W:$W)</f>
        <v>0</v>
      </c>
      <c r="BN71" s="134" t="n">
        <f aca="false">SUMIF($X:$X,CONCATENATE($AN71,BN$6),$W:$W)</f>
        <v>0</v>
      </c>
      <c r="BO71" s="134" t="n">
        <f aca="false">SUMIF($X:$X,CONCATENATE($AN71,BO$6),$W:$W)</f>
        <v>0</v>
      </c>
      <c r="BP71" s="134" t="n">
        <f aca="false">SUMIF($X:$X,CONCATENATE($AN71,BP$6),$W:$W)</f>
        <v>0</v>
      </c>
      <c r="BQ71" s="134" t="n">
        <f aca="false">SUMIF($X:$X,CONCATENATE($AN71,BQ$6),$W:$W)</f>
        <v>0</v>
      </c>
      <c r="BR71" s="135" t="n">
        <f aca="false">SUMIF($X:$X,CONCATENATE($AN71,BR$6),$W:$W)</f>
        <v>0</v>
      </c>
      <c r="BS71" s="208" t="n">
        <f aca="false">EOMONTH(BS70,0)+1</f>
        <v>38687</v>
      </c>
      <c r="BT71" s="135" t="n">
        <f aca="false">SUM(BF71:BR71)</f>
        <v>0</v>
      </c>
      <c r="BU71" s="2"/>
      <c r="BV71" s="2"/>
      <c r="BW71" s="2"/>
      <c r="BX71" s="2"/>
      <c r="BY71" s="2"/>
      <c r="BZ71" s="2"/>
      <c r="CA71" s="2"/>
      <c r="CB71" s="2"/>
      <c r="CC71" s="182" t="n">
        <f aca="false">G71</f>
        <v>36770</v>
      </c>
      <c r="CD71" s="253" t="e">
        <f aca="false">xSPRDOPT((VLOOKUP(G71,NGPrices,2,FALSE())+HLOOKUP(D71,Prices,VLOOKUP(G71,move_down,2,FALSE()),FALSE())),VLOOKUP(G71,NGPrices,2,FALSE()),I71,VLOOKUP(G71,NGPREVPRICES,4,FALSE()),HLOOKUP(D71,PREVVOLS,VLOOKUP(G71,MOVE_DOWN2,2,FALSE()),FALSE()),VLOOKUP(G71,NGPREVPRICES,3,FALSE()),HLOOKUP(D71,Correllate,VLOOKUP(G71,CorMove,2,FALSE()),FALSE()),Q71-$CD$3,R71,$CD$5)*H71-CJ71</f>
        <v>#NAME?</v>
      </c>
      <c r="CE71" s="253" t="e">
        <f aca="false">xSPRDOPT((VLOOKUP(G71,NGPREVPRICES,2,FALSE())+HLOOKUP(D71,PREVCURVES,VLOOKUP(G71,MOVE_DOWN2,2,FALSE()),FALSE())),VLOOKUP(G71,NGPREVPRICES,2,FALSE()),CK71,VLOOKUP(G71,NGPrices,4,FALSE()),HLOOKUP(D71,PREVVOLS,VLOOKUP(G71,MOVE_DOWN2,2,FALSE()),FALSE()),VLOOKUP(G71,NGPREVPRICES,3,FALSE()),HLOOKUP(D71,Correllate,VLOOKUP(G71,CorMove,2,FALSE()),FALSE()),Q71-$CD$3,R71,$CJ$5)*H71-CJ71</f>
        <v>#NAME?</v>
      </c>
      <c r="CF71" s="132" t="e">
        <f aca="false">(CJ71/VLOOKUP(CC71,discount,3,FALSE()))-(CJ71/VLOOKUP(CC71,discount,2,FALSE()))</f>
        <v>#NAME?</v>
      </c>
      <c r="CG71" s="253" t="e">
        <f aca="false">xSPRDOPT((VLOOKUP(G71,NGPREVPRICES,2,FALSE())+HLOOKUP(D71,PREVCURVES,VLOOKUP(G71,MOVE_DOWN2,2,FALSE()),FALSE())),VLOOKUP(G71,NGPREVPRICES,2,FALSE()),CK71,VLOOKUP(G71,NGPREVPRICES,4,FALSE()),HLOOKUP(D71,VOLS,VLOOKUP(G71,move_down,2,FALSE()),FALSE()),VLOOKUP(G71,NGPrices,3,FALSE()),HLOOKUP(D71,Correllate,VLOOKUP(G71,CorMove,2,FALSE()),FALSE()),Q71-$CD$3,R71,$CJ$5)*H71-CJ71</f>
        <v>#NAME?</v>
      </c>
      <c r="CH71" s="253" t="e">
        <f aca="false">xSPRDOPT((VLOOKUP(G71,NGPREVPRICES,2,FALSE())+HLOOKUP(D71,PREVCURVES,VLOOKUP(G71,MOVE_DOWN2,2,FALSE()),FALSE())),VLOOKUP(G71,NGPREVPRICES,2,FALSE()),CK71,VLOOKUP(G71,NGPREVPRICES,4,FALSE()),HLOOKUP(D71,PREVVOLS,VLOOKUP(G71,MOVE_DOWN2,2,FALSE()),FALSE()),VLOOKUP(G71,NGPREVPRICES,3,FALSE()),HLOOKUP(D71,Correllate,VLOOKUP(G71,CorMove,2,FALSE()),FALSE()),Q71-$C$3,R71,$CJ$5)*H71-CJ71</f>
        <v>#NAME?</v>
      </c>
      <c r="CI71" s="253" t="e">
        <f aca="false">SUM(CD71:CH71)</f>
        <v>#NAME?</v>
      </c>
      <c r="CJ71" s="253" t="e">
        <f aca="false">xSPRDOPT((VLOOKUP(G71,NGPREVPRICES,2,FALSE())+HLOOKUP(D71,PREVCURVES,VLOOKUP(G71,MOVE_DOWN2,2,FALSE()),FALSE())),VLOOKUP(G71,NGPREVPRICES,2,FALSE()),CK71,VLOOKUP(G71,NGPREVPRICES,4,FALSE()),HLOOKUP(D71,PREVVOLS,VLOOKUP(G71,MOVE_DOWN2,2,FALSE()),FALSE()),VLOOKUP(G71,NGPREVPRICES,3,FALSE()),HLOOKUP(D71,Correllate,VLOOKUP(G71,CorMove,2,FALSE()),FALSE()),Q71-$CD$3,R71,$CJ$5)*H71</f>
        <v>#NAME?</v>
      </c>
      <c r="CK71" s="254" t="n">
        <f aca="false">I71</f>
        <v>0.3</v>
      </c>
      <c r="CL71" s="253"/>
      <c r="CM71" s="0" t="str">
        <f aca="false">CONCATENATE(CC71,$CD$6)</f>
        <v>36770Curve Shift/Gamma</v>
      </c>
      <c r="CN71" s="0" t="str">
        <f aca="false">CONCATENATE($CC71,$CE$6)</f>
        <v>36770Rho</v>
      </c>
      <c r="CO71" s="0" t="str">
        <f aca="false">CONCATENATE($CC71,$CF$6)</f>
        <v>36770Drift</v>
      </c>
      <c r="CP71" s="0" t="str">
        <f aca="false">CONCATENATE($CC71,$CG$6)</f>
        <v>36770Vega</v>
      </c>
      <c r="CQ71" s="0" t="str">
        <f aca="false">CONCATENATE($CC71,$CH$6)</f>
        <v>36770Theta</v>
      </c>
    </row>
    <row r="72" customFormat="false" ht="12" hidden="false" customHeight="true" outlineLevel="0" collapsed="false">
      <c r="A72" s="265" t="s">
        <v>198</v>
      </c>
      <c r="B72" s="0" t="s">
        <v>192</v>
      </c>
      <c r="C72" s="0" t="s">
        <v>229</v>
      </c>
      <c r="D72" s="7" t="s">
        <v>149</v>
      </c>
      <c r="E72" s="0" t="s">
        <v>131</v>
      </c>
      <c r="F72" s="0" t="s">
        <v>136</v>
      </c>
      <c r="G72" s="92" t="n">
        <v>36770</v>
      </c>
      <c r="H72" s="248" t="n">
        <v>-500000</v>
      </c>
      <c r="I72" s="0" t="n">
        <v>0.3</v>
      </c>
      <c r="J72" s="124" t="n">
        <f aca="false">VLOOKUP(G72,NGPrices,2,FALSE())</f>
        <v>4.685</v>
      </c>
      <c r="K72" s="125" t="n">
        <f aca="false">HLOOKUP(D72,Prices,VLOOKUP(G72,move_down,2,FALSE()),FALSE())+VLOOKUP(G72,CHANGE,HLOOKUP(D72,CHANGE,2,FALSE()),FALSE())</f>
        <v>0.315</v>
      </c>
      <c r="L72" s="124" t="n">
        <f aca="false">K72+J72</f>
        <v>5</v>
      </c>
      <c r="M72" s="126" t="n">
        <f aca="false">VLOOKUP(G72,NGPrices,4,FALSE())</f>
        <v>0.067216196212185</v>
      </c>
      <c r="N72" s="7" t="n">
        <f aca="false">VLOOKUP(G72,NGPrices,3,FALSE())</f>
        <v>0.4</v>
      </c>
      <c r="O72" s="7" t="n">
        <f aca="false">HLOOKUP(D72,VOLS,VLOOKUP(G72,move_down,2,FALSE()),FALSE())</f>
        <v>0.392</v>
      </c>
      <c r="P72" s="249" t="n">
        <f aca="false">HLOOKUP(D72,Correllate,VLOOKUP(G72,CorMove,2,FALSE()),FALSE())</f>
        <v>0.9925</v>
      </c>
      <c r="Q72" s="92" t="n">
        <f aca="false">WORKDAY(G72,-2)</f>
        <v>36768</v>
      </c>
      <c r="R72" s="7" t="n">
        <f aca="false">IF(F72="P",0,1)</f>
        <v>1</v>
      </c>
      <c r="S72" s="130" t="e">
        <f aca="false">xSPRDOPT($L72,$J72,$I72,$M72,$O72,$N72,$P72,$Q72-$C$3,$R72,0)</f>
        <v>#NAME?</v>
      </c>
      <c r="T72" s="250" t="e">
        <f aca="false">xSPRDOPT($L72,$J72,$I72,$M72,$O72,$N72,$P72,$Q72-$C$3,$R72,1)*H72</f>
        <v>#NAME?</v>
      </c>
      <c r="U72" s="43" t="e">
        <f aca="false">S72*H72</f>
        <v>#NAME?</v>
      </c>
      <c r="V72" s="250" t="e">
        <f aca="false">xSPRDOPT($L72,$J72,$I72,$M72,$O72,$N72,$P72,$Q72-$C$3,$R72,2)*H72</f>
        <v>#NAME?</v>
      </c>
      <c r="W72" s="250" t="e">
        <f aca="false">+V72+T72</f>
        <v>#NAME?</v>
      </c>
      <c r="X72" s="2" t="str">
        <f aca="false">CONCATENATE(G72,D72)</f>
        <v>36770IF-TRANSCO/Z6</v>
      </c>
      <c r="Y72" s="251" t="n">
        <f aca="false">H72/10000</f>
        <v>-50</v>
      </c>
      <c r="Z72" s="226" t="e">
        <f aca="false">T72/H72</f>
        <v>#NAME?</v>
      </c>
      <c r="AA72" s="226" t="e">
        <f aca="false">xSPRDOPT($L72,$J72,$I72,$M72,$O72,$N72,$P72,$Q72-$C$3,$R72,3)</f>
        <v>#NAME?</v>
      </c>
      <c r="AB72" s="226" t="e">
        <f aca="false">((xSPRDOPT($L72+AB$5,$J72,$I72,$M72,$O72,$N72,$P72,$Q72-$C$3,$R72,3)*$H72)/10000)/100</f>
        <v>#NAME?</v>
      </c>
      <c r="AC72" s="226" t="e">
        <f aca="false">((xSPRDOPT($L72+$AB$5,$J72,$I72,$M72,$O72,$N72,$P72,$Q72-$C$3,$R72,7)*$H72)/100)</f>
        <v>#NAME?</v>
      </c>
      <c r="AD72" s="226" t="e">
        <f aca="false">(xSPRDOPT($L72+$AB$5,$J72,$I72,$M72,$O72,$N72,$P72,$Q72-$C$3,$R72,9)/365)*$H72</f>
        <v>#NAME?</v>
      </c>
      <c r="AE72" s="0" t="e">
        <f aca="false">CD72</f>
        <v>#NAME?</v>
      </c>
      <c r="AF72" s="226" t="e">
        <f aca="false">((O72/N72)*AH72)+AG72</f>
        <v>#NAME?</v>
      </c>
      <c r="AG72" s="226" t="e">
        <f aca="false">((xSPRDOPT($L72,$J72,$I72,$M72,$O72,$N72,$P72,$Q72-$C$3,$R72,6)*$H72)/100)</f>
        <v>#NAME?</v>
      </c>
      <c r="AH72" s="226" t="e">
        <f aca="false">((xSPRDOPT($L72,$J72,$I72,$M72,$O72,$N72,$P72,$Q72-$C$3,$R72,5)*$H72)/100)</f>
        <v>#NAME?</v>
      </c>
      <c r="AI72" s="226" t="e">
        <f aca="false">(((xSPRDOPT($L72,$J72,$I72,$M72,$O72,$N72,$P72,$Q72-$C$3,$R72,4)*$H72)/10000)/100)-AB72</f>
        <v>#NAME?</v>
      </c>
      <c r="AJ72" s="226"/>
      <c r="AK72" s="226"/>
      <c r="AL72" s="226"/>
      <c r="AM72" s="252"/>
      <c r="AN72" s="208" t="n">
        <f aca="false">EOMONTH(AN71,0)+1</f>
        <v>38718</v>
      </c>
      <c r="AO72" s="134" t="n">
        <f aca="false">SUMIF($X:$X,CONCATENATE($AN72,AO$6),$T:$T)/10000</f>
        <v>0</v>
      </c>
      <c r="AP72" s="134" t="n">
        <f aca="false">SUMIF($X:$X,CONCATENATE($AN72,AP$6),$T:$T)/10000</f>
        <v>0</v>
      </c>
      <c r="AQ72" s="134" t="n">
        <f aca="false">SUMIF($X:$X,CONCATENATE($AN72,AQ$6),$T:$T)/10000</f>
        <v>0</v>
      </c>
      <c r="AR72" s="134" t="n">
        <f aca="false">SUMIF($X:$X,CONCATENATE($AN72,AR$6),$T:$T)/10000</f>
        <v>0</v>
      </c>
      <c r="AS72" s="134" t="n">
        <f aca="false">SUMIF($X:$X,CONCATENATE($AN72,AS$6),$T:$T)/10000</f>
        <v>0</v>
      </c>
      <c r="AT72" s="134" t="n">
        <f aca="false">SUMIF($X:$X,CONCATENATE($AN72,AT$6),$T:$T)/10000</f>
        <v>0</v>
      </c>
      <c r="AU72" s="134" t="n">
        <f aca="false">SUMIF($X:$X,CONCATENATE($AN72,AU$6),$T:$T)/10000</f>
        <v>0</v>
      </c>
      <c r="AV72" s="134" t="n">
        <f aca="false">SUMIF($X:$X,CONCATENATE($AN72,AV$6),$T:$T)/10000</f>
        <v>0</v>
      </c>
      <c r="AW72" s="134" t="n">
        <f aca="false">SUMIF($X:$X,CONCATENATE($AN72,AW$6),$T:$T)/10000</f>
        <v>0</v>
      </c>
      <c r="AX72" s="134" t="n">
        <f aca="false">SUMIF($X:$X,CONCATENATE($AN72,AX$6),$T:$T)/10000</f>
        <v>0</v>
      </c>
      <c r="AY72" s="134" t="n">
        <f aca="false">SUMIF($X:$X,CONCATENATE($AN72,AY$6),$T:$T)/10000</f>
        <v>0</v>
      </c>
      <c r="AZ72" s="134" t="n">
        <f aca="false">SUMIF($X:$X,CONCATENATE($AN72,AZ$6),$T:$T)/10000</f>
        <v>0</v>
      </c>
      <c r="BA72" s="135" t="n">
        <f aca="false">SUMIF($X:$X,CONCATENATE($AN72,BA$6),$T:$T)/10000</f>
        <v>0</v>
      </c>
      <c r="BB72" s="208" t="n">
        <f aca="false">EOMONTH(BB71,0)+1</f>
        <v>38718</v>
      </c>
      <c r="BC72" s="135" t="n">
        <f aca="false">SUM(AO72:BA72)</f>
        <v>0</v>
      </c>
      <c r="BD72" s="2"/>
      <c r="BE72" s="208" t="n">
        <f aca="false">EOMONTH(BE71,0)+1</f>
        <v>38718</v>
      </c>
      <c r="BF72" s="134" t="n">
        <f aca="false">SUMIF($X:$X,CONCATENATE($AN72,BF$6),$W:$W)</f>
        <v>0</v>
      </c>
      <c r="BG72" s="134" t="n">
        <f aca="false">SUMIF($X:$X,CONCATENATE($AN72,BG$6),$W:$W)</f>
        <v>0</v>
      </c>
      <c r="BH72" s="134" t="n">
        <f aca="false">SUMIF($X:$X,CONCATENATE($AN72,BH$6),$W:$W)</f>
        <v>0</v>
      </c>
      <c r="BI72" s="134" t="n">
        <f aca="false">SUMIF($X:$X,CONCATENATE($AN72,BI$6),$W:$W)</f>
        <v>0</v>
      </c>
      <c r="BJ72" s="134" t="n">
        <f aca="false">SUMIF($X:$X,CONCATENATE($AN72,BJ$6),$W:$W)</f>
        <v>0</v>
      </c>
      <c r="BK72" s="134" t="n">
        <f aca="false">SUMIF($X:$X,CONCATENATE($AN72,BK$6),$W:$W)</f>
        <v>0</v>
      </c>
      <c r="BL72" s="134" t="n">
        <f aca="false">SUMIF($X:$X,CONCATENATE($AN72,BL$6),$W:$W)</f>
        <v>0</v>
      </c>
      <c r="BM72" s="134" t="n">
        <f aca="false">SUMIF($X:$X,CONCATENATE($AN72,BM$6),$W:$W)</f>
        <v>0</v>
      </c>
      <c r="BN72" s="134" t="n">
        <f aca="false">SUMIF($X:$X,CONCATENATE($AN72,BN$6),$W:$W)</f>
        <v>0</v>
      </c>
      <c r="BO72" s="134" t="n">
        <f aca="false">SUMIF($X:$X,CONCATENATE($AN72,BO$6),$W:$W)</f>
        <v>0</v>
      </c>
      <c r="BP72" s="134" t="n">
        <f aca="false">SUMIF($X:$X,CONCATENATE($AN72,BP$6),$W:$W)</f>
        <v>0</v>
      </c>
      <c r="BQ72" s="134" t="n">
        <f aca="false">SUMIF($X:$X,CONCATENATE($AN72,BQ$6),$W:$W)</f>
        <v>0</v>
      </c>
      <c r="BR72" s="135" t="n">
        <f aca="false">SUMIF($X:$X,CONCATENATE($AN72,BR$6),$W:$W)</f>
        <v>0</v>
      </c>
      <c r="BS72" s="208" t="n">
        <f aca="false">EOMONTH(BS71,0)+1</f>
        <v>38718</v>
      </c>
      <c r="BT72" s="135" t="n">
        <f aca="false">SUM(BF72:BR72)</f>
        <v>0</v>
      </c>
      <c r="BU72" s="2"/>
      <c r="BV72" s="2"/>
      <c r="BW72" s="2"/>
      <c r="BX72" s="2"/>
      <c r="BY72" s="2"/>
      <c r="BZ72" s="2"/>
      <c r="CA72" s="2"/>
      <c r="CB72" s="2"/>
      <c r="CC72" s="182" t="n">
        <f aca="false">G72</f>
        <v>36770</v>
      </c>
      <c r="CD72" s="253" t="e">
        <f aca="false">xSPRDOPT((VLOOKUP(G72,NGPrices,2,FALSE())+HLOOKUP(D72,Prices,VLOOKUP(G72,move_down,2,FALSE()),FALSE())),VLOOKUP(G72,NGPrices,2,FALSE()),I72,VLOOKUP(G72,NGPREVPRICES,4,FALSE()),HLOOKUP(D72,PREVVOLS,VLOOKUP(G72,MOVE_DOWN2,2,FALSE()),FALSE()),VLOOKUP(G72,NGPREVPRICES,3,FALSE()),HLOOKUP(D72,Correllate,VLOOKUP(G72,CorMove,2,FALSE()),FALSE()),Q72-$CD$3,R72,$CD$5)*H72-CJ72</f>
        <v>#NAME?</v>
      </c>
      <c r="CE72" s="253" t="e">
        <f aca="false">xSPRDOPT((VLOOKUP(G72,NGPREVPRICES,2,FALSE())+HLOOKUP(D72,PREVCURVES,VLOOKUP(G72,MOVE_DOWN2,2,FALSE()),FALSE())),VLOOKUP(G72,NGPREVPRICES,2,FALSE()),CK72,VLOOKUP(G72,NGPrices,4,FALSE()),HLOOKUP(D72,PREVVOLS,VLOOKUP(G72,MOVE_DOWN2,2,FALSE()),FALSE()),VLOOKUP(G72,NGPREVPRICES,3,FALSE()),HLOOKUP(D72,Correllate,VLOOKUP(G72,CorMove,2,FALSE()),FALSE()),Q72-$CD$3,R72,$CJ$5)*H72-CJ72</f>
        <v>#NAME?</v>
      </c>
      <c r="CF72" s="132" t="e">
        <f aca="false">(CJ72/VLOOKUP(CC72,discount,3,FALSE()))-(CJ72/VLOOKUP(CC72,discount,2,FALSE()))</f>
        <v>#NAME?</v>
      </c>
      <c r="CG72" s="253" t="e">
        <f aca="false">xSPRDOPT((VLOOKUP(G72,NGPREVPRICES,2,FALSE())+HLOOKUP(D72,PREVCURVES,VLOOKUP(G72,MOVE_DOWN2,2,FALSE()),FALSE())),VLOOKUP(G72,NGPREVPRICES,2,FALSE()),CK72,VLOOKUP(G72,NGPREVPRICES,4,FALSE()),HLOOKUP(D72,VOLS,VLOOKUP(G72,move_down,2,FALSE()),FALSE()),VLOOKUP(G72,NGPrices,3,FALSE()),HLOOKUP(D72,Correllate,VLOOKUP(G72,CorMove,2,FALSE()),FALSE()),Q72-$CD$3,R72,$CJ$5)*H72-CJ72</f>
        <v>#NAME?</v>
      </c>
      <c r="CH72" s="253" t="e">
        <f aca="false">xSPRDOPT((VLOOKUP(G72,NGPREVPRICES,2,FALSE())+HLOOKUP(D72,PREVCURVES,VLOOKUP(G72,MOVE_DOWN2,2,FALSE()),FALSE())),VLOOKUP(G72,NGPREVPRICES,2,FALSE()),CK72,VLOOKUP(G72,NGPREVPRICES,4,FALSE()),HLOOKUP(D72,PREVVOLS,VLOOKUP(G72,MOVE_DOWN2,2,FALSE()),FALSE()),VLOOKUP(G72,NGPREVPRICES,3,FALSE()),HLOOKUP(D72,Correllate,VLOOKUP(G72,CorMove,2,FALSE()),FALSE()),Q72-$C$3,R72,$CJ$5)*H72-CJ72</f>
        <v>#NAME?</v>
      </c>
      <c r="CI72" s="253" t="e">
        <f aca="false">SUM(CD72:CH72)</f>
        <v>#NAME?</v>
      </c>
      <c r="CJ72" s="253" t="e">
        <f aca="false">xSPRDOPT((VLOOKUP(G72,NGPREVPRICES,2,FALSE())+HLOOKUP(D72,PREVCURVES,VLOOKUP(G72,MOVE_DOWN2,2,FALSE()),FALSE())),VLOOKUP(G72,NGPREVPRICES,2,FALSE()),CK72,VLOOKUP(G72,NGPREVPRICES,4,FALSE()),HLOOKUP(D72,PREVVOLS,VLOOKUP(G72,MOVE_DOWN2,2,FALSE()),FALSE()),VLOOKUP(G72,NGPREVPRICES,3,FALSE()),HLOOKUP(D72,Correllate,VLOOKUP(G72,CorMove,2,FALSE()),FALSE()),Q72-$CD$3,R72,$CJ$5)*H72</f>
        <v>#NAME?</v>
      </c>
      <c r="CK72" s="254" t="n">
        <f aca="false">I72</f>
        <v>0.3</v>
      </c>
      <c r="CL72" s="253"/>
      <c r="CM72" s="0" t="str">
        <f aca="false">CONCATENATE(CC72,$CD$6)</f>
        <v>36770Curve Shift/Gamma</v>
      </c>
      <c r="CN72" s="0" t="str">
        <f aca="false">CONCATENATE($CC72,$CE$6)</f>
        <v>36770Rho</v>
      </c>
      <c r="CO72" s="0" t="str">
        <f aca="false">CONCATENATE($CC72,$CF$6)</f>
        <v>36770Drift</v>
      </c>
      <c r="CP72" s="0" t="str">
        <f aca="false">CONCATENATE($CC72,$CG$6)</f>
        <v>36770Vega</v>
      </c>
      <c r="CQ72" s="0" t="str">
        <f aca="false">CONCATENATE($CC72,$CH$6)</f>
        <v>36770Theta</v>
      </c>
    </row>
    <row r="73" customFormat="false" ht="12" hidden="false" customHeight="true" outlineLevel="0" collapsed="false">
      <c r="A73" s="265" t="s">
        <v>198</v>
      </c>
      <c r="B73" s="0" t="s">
        <v>192</v>
      </c>
      <c r="C73" s="0" t="s">
        <v>230</v>
      </c>
      <c r="D73" s="7" t="s">
        <v>149</v>
      </c>
      <c r="E73" s="0" t="s">
        <v>131</v>
      </c>
      <c r="F73" s="0" t="s">
        <v>132</v>
      </c>
      <c r="G73" s="92" t="n">
        <v>36800</v>
      </c>
      <c r="H73" s="248" t="n">
        <v>-250000</v>
      </c>
      <c r="I73" s="0" t="n">
        <v>0.3</v>
      </c>
      <c r="J73" s="124" t="n">
        <f aca="false">VLOOKUP(G73,NGPrices,2,FALSE())</f>
        <v>4.692</v>
      </c>
      <c r="K73" s="125" t="n">
        <f aca="false">HLOOKUP(D73,Prices,VLOOKUP(G73,move_down,2,FALSE()),FALSE())+VLOOKUP(G73,CHANGE,HLOOKUP(D73,CHANGE,2,FALSE()),FALSE())</f>
        <v>0.415</v>
      </c>
      <c r="L73" s="124" t="n">
        <f aca="false">K73+J73</f>
        <v>5.107</v>
      </c>
      <c r="M73" s="126" t="n">
        <f aca="false">VLOOKUP(G73,NGPrices,4,FALSE())</f>
        <v>0.068050789414654</v>
      </c>
      <c r="N73" s="7" t="n">
        <f aca="false">VLOOKUP(G73,NGPrices,3,FALSE())</f>
        <v>0.575</v>
      </c>
      <c r="O73" s="7" t="n">
        <f aca="false">HLOOKUP(D73,VOLS,VLOOKUP(G73,move_down,2,FALSE()),FALSE())</f>
        <v>0.564</v>
      </c>
      <c r="P73" s="249" t="n">
        <f aca="false">HLOOKUP(D73,Correllate,VLOOKUP(G73,CorMove,2,FALSE()),FALSE())</f>
        <v>0.9925</v>
      </c>
      <c r="Q73" s="92" t="n">
        <f aca="false">WORKDAY(G73,-2)</f>
        <v>36797</v>
      </c>
      <c r="R73" s="7" t="n">
        <f aca="false">IF(F73="P",0,1)</f>
        <v>0</v>
      </c>
      <c r="S73" s="130" t="e">
        <f aca="false">xSPRDOPT($L73,$J73,$I73,$M73,$O73,$N73,$P73,$Q73-$C$3,$R73,0)</f>
        <v>#NAME?</v>
      </c>
      <c r="T73" s="250" t="e">
        <f aca="false">xSPRDOPT($L73,$J73,$I73,$M73,$O73,$N73,$P73,$Q73-$C$3,$R73,1)*H73</f>
        <v>#NAME?</v>
      </c>
      <c r="U73" s="43" t="e">
        <f aca="false">S73*H73</f>
        <v>#NAME?</v>
      </c>
      <c r="V73" s="250" t="e">
        <f aca="false">xSPRDOPT($L73,$J73,$I73,$M73,$O73,$N73,$P73,$Q73-$C$3,$R73,2)*H73</f>
        <v>#NAME?</v>
      </c>
      <c r="W73" s="250" t="e">
        <f aca="false">+V73+T73</f>
        <v>#NAME?</v>
      </c>
      <c r="X73" s="2" t="str">
        <f aca="false">CONCATENATE(G73,D73)</f>
        <v>36800IF-TRANSCO/Z6</v>
      </c>
      <c r="Y73" s="251" t="n">
        <f aca="false">H73/10000</f>
        <v>-25</v>
      </c>
      <c r="Z73" s="226" t="e">
        <f aca="false">T73/H73</f>
        <v>#NAME?</v>
      </c>
      <c r="AA73" s="226" t="e">
        <f aca="false">xSPRDOPT($L73,$J73,$I73,$M73,$O73,$N73,$P73,$Q73-$C$3,$R73,3)</f>
        <v>#NAME?</v>
      </c>
      <c r="AB73" s="226" t="e">
        <f aca="false">((xSPRDOPT($L73+AB$5,$J73,$I73,$M73,$O73,$N73,$P73,$Q73-$C$3,$R73,3)*$H73)/10000)/100</f>
        <v>#NAME?</v>
      </c>
      <c r="AC73" s="226" t="e">
        <f aca="false">((xSPRDOPT($L73+$AB$5,$J73,$I73,$M73,$O73,$N73,$P73,$Q73-$C$3,$R73,7)*$H73)/100)</f>
        <v>#NAME?</v>
      </c>
      <c r="AD73" s="226" t="e">
        <f aca="false">(xSPRDOPT($L73+$AB$5,$J73,$I73,$M73,$O73,$N73,$P73,$Q73-$C$3,$R73,9)/365)*$H73</f>
        <v>#NAME?</v>
      </c>
      <c r="AE73" s="0" t="e">
        <f aca="false">CD73</f>
        <v>#NAME?</v>
      </c>
      <c r="AF73" s="226" t="e">
        <f aca="false">((O73/N73)*AH73)+AG73</f>
        <v>#NAME?</v>
      </c>
      <c r="AG73" s="226" t="e">
        <f aca="false">((xSPRDOPT($L73,$J73,$I73,$M73,$O73,$N73,$P73,$Q73-$C$3,$R73,6)*$H73)/100)</f>
        <v>#NAME?</v>
      </c>
      <c r="AH73" s="226" t="e">
        <f aca="false">((xSPRDOPT($L73,$J73,$I73,$M73,$O73,$N73,$P73,$Q73-$C$3,$R73,5)*$H73)/100)</f>
        <v>#NAME?</v>
      </c>
      <c r="AI73" s="226" t="e">
        <f aca="false">(((xSPRDOPT($L73,$J73,$I73,$M73,$O73,$N73,$P73,$Q73-$C$3,$R73,4)*$H73)/10000)/100)-AB73</f>
        <v>#NAME?</v>
      </c>
      <c r="AJ73" s="226"/>
      <c r="AK73" s="226"/>
      <c r="AL73" s="226"/>
      <c r="AM73" s="252"/>
      <c r="AN73" s="208" t="n">
        <f aca="false">EOMONTH(AN72,0)+1</f>
        <v>38749</v>
      </c>
      <c r="AO73" s="134" t="n">
        <f aca="false">SUMIF($X:$X,CONCATENATE($AN73,AO$6),$T:$T)/10000</f>
        <v>0</v>
      </c>
      <c r="AP73" s="134" t="n">
        <f aca="false">SUMIF($X:$X,CONCATENATE($AN73,AP$6),$T:$T)/10000</f>
        <v>0</v>
      </c>
      <c r="AQ73" s="134" t="n">
        <f aca="false">SUMIF($X:$X,CONCATENATE($AN73,AQ$6),$T:$T)/10000</f>
        <v>0</v>
      </c>
      <c r="AR73" s="134" t="n">
        <f aca="false">SUMIF($X:$X,CONCATENATE($AN73,AR$6),$T:$T)/10000</f>
        <v>0</v>
      </c>
      <c r="AS73" s="134" t="n">
        <f aca="false">SUMIF($X:$X,CONCATENATE($AN73,AS$6),$T:$T)/10000</f>
        <v>0</v>
      </c>
      <c r="AT73" s="134" t="n">
        <f aca="false">SUMIF($X:$X,CONCATENATE($AN73,AT$6),$T:$T)/10000</f>
        <v>0</v>
      </c>
      <c r="AU73" s="134" t="n">
        <f aca="false">SUMIF($X:$X,CONCATENATE($AN73,AU$6),$T:$T)/10000</f>
        <v>0</v>
      </c>
      <c r="AV73" s="134" t="n">
        <f aca="false">SUMIF($X:$X,CONCATENATE($AN73,AV$6),$T:$T)/10000</f>
        <v>0</v>
      </c>
      <c r="AW73" s="134" t="n">
        <f aca="false">SUMIF($X:$X,CONCATENATE($AN73,AW$6),$T:$T)/10000</f>
        <v>0</v>
      </c>
      <c r="AX73" s="134" t="n">
        <f aca="false">SUMIF($X:$X,CONCATENATE($AN73,AX$6),$T:$T)/10000</f>
        <v>0</v>
      </c>
      <c r="AY73" s="134" t="n">
        <f aca="false">SUMIF($X:$X,CONCATENATE($AN73,AY$6),$T:$T)/10000</f>
        <v>0</v>
      </c>
      <c r="AZ73" s="134" t="n">
        <f aca="false">SUMIF($X:$X,CONCATENATE($AN73,AZ$6),$T:$T)/10000</f>
        <v>0</v>
      </c>
      <c r="BA73" s="135" t="n">
        <f aca="false">SUMIF($X:$X,CONCATENATE($AN73,BA$6),$T:$T)/10000</f>
        <v>0</v>
      </c>
      <c r="BB73" s="208" t="n">
        <f aca="false">EOMONTH(BB72,0)+1</f>
        <v>38749</v>
      </c>
      <c r="BC73" s="135" t="n">
        <f aca="false">SUM(AO73:BA73)</f>
        <v>0</v>
      </c>
      <c r="BD73" s="2"/>
      <c r="BE73" s="208" t="n">
        <f aca="false">EOMONTH(BE72,0)+1</f>
        <v>38749</v>
      </c>
      <c r="BF73" s="134" t="n">
        <f aca="false">SUMIF($X:$X,CONCATENATE($AN73,BF$6),$W:$W)</f>
        <v>0</v>
      </c>
      <c r="BG73" s="134" t="n">
        <f aca="false">SUMIF($X:$X,CONCATENATE($AN73,BG$6),$W:$W)</f>
        <v>0</v>
      </c>
      <c r="BH73" s="134" t="n">
        <f aca="false">SUMIF($X:$X,CONCATENATE($AN73,BH$6),$W:$W)</f>
        <v>0</v>
      </c>
      <c r="BI73" s="134" t="n">
        <f aca="false">SUMIF($X:$X,CONCATENATE($AN73,BI$6),$W:$W)</f>
        <v>0</v>
      </c>
      <c r="BJ73" s="134" t="n">
        <f aca="false">SUMIF($X:$X,CONCATENATE($AN73,BJ$6),$W:$W)</f>
        <v>0</v>
      </c>
      <c r="BK73" s="134" t="n">
        <f aca="false">SUMIF($X:$X,CONCATENATE($AN73,BK$6),$W:$W)</f>
        <v>0</v>
      </c>
      <c r="BL73" s="134" t="n">
        <f aca="false">SUMIF($X:$X,CONCATENATE($AN73,BL$6),$W:$W)</f>
        <v>0</v>
      </c>
      <c r="BM73" s="134" t="n">
        <f aca="false">SUMIF($X:$X,CONCATENATE($AN73,BM$6),$W:$W)</f>
        <v>0</v>
      </c>
      <c r="BN73" s="134" t="n">
        <f aca="false">SUMIF($X:$X,CONCATENATE($AN73,BN$6),$W:$W)</f>
        <v>0</v>
      </c>
      <c r="BO73" s="134" t="n">
        <f aca="false">SUMIF($X:$X,CONCATENATE($AN73,BO$6),$W:$W)</f>
        <v>0</v>
      </c>
      <c r="BP73" s="134" t="n">
        <f aca="false">SUMIF($X:$X,CONCATENATE($AN73,BP$6),$W:$W)</f>
        <v>0</v>
      </c>
      <c r="BQ73" s="134" t="n">
        <f aca="false">SUMIF($X:$X,CONCATENATE($AN73,BQ$6),$W:$W)</f>
        <v>0</v>
      </c>
      <c r="BR73" s="135" t="n">
        <f aca="false">SUMIF($X:$X,CONCATENATE($AN73,BR$6),$W:$W)</f>
        <v>0</v>
      </c>
      <c r="BS73" s="208" t="n">
        <f aca="false">EOMONTH(BS72,0)+1</f>
        <v>38749</v>
      </c>
      <c r="BT73" s="135" t="n">
        <f aca="false">SUM(BF73:BR73)</f>
        <v>0</v>
      </c>
      <c r="BU73" s="2"/>
      <c r="BV73" s="2"/>
      <c r="BW73" s="2"/>
      <c r="BX73" s="2"/>
      <c r="BY73" s="2"/>
      <c r="BZ73" s="2"/>
      <c r="CA73" s="2"/>
      <c r="CB73" s="2"/>
      <c r="CC73" s="182" t="n">
        <f aca="false">G73</f>
        <v>36800</v>
      </c>
      <c r="CD73" s="253" t="e">
        <f aca="false">xSPRDOPT((VLOOKUP(G73,NGPrices,2,FALSE())+HLOOKUP(D73,Prices,VLOOKUP(G73,move_down,2,FALSE()),FALSE())),VLOOKUP(G73,NGPrices,2,FALSE()),I73,VLOOKUP(G73,NGPREVPRICES,4,FALSE()),HLOOKUP(D73,PREVVOLS,VLOOKUP(G73,MOVE_DOWN2,2,FALSE()),FALSE()),VLOOKUP(G73,NGPREVPRICES,3,FALSE()),HLOOKUP(D73,Correllate,VLOOKUP(G73,CorMove,2,FALSE()),FALSE()),Q73-$CD$3,R73,$CD$5)*H73-CJ73</f>
        <v>#NAME?</v>
      </c>
      <c r="CE73" s="253" t="e">
        <f aca="false">xSPRDOPT((VLOOKUP(G73,NGPREVPRICES,2,FALSE())+HLOOKUP(D73,PREVCURVES,VLOOKUP(G73,MOVE_DOWN2,2,FALSE()),FALSE())),VLOOKUP(G73,NGPREVPRICES,2,FALSE()),CK73,VLOOKUP(G73,NGPrices,4,FALSE()),HLOOKUP(D73,PREVVOLS,VLOOKUP(G73,MOVE_DOWN2,2,FALSE()),FALSE()),VLOOKUP(G73,NGPREVPRICES,3,FALSE()),HLOOKUP(D73,Correllate,VLOOKUP(G73,CorMove,2,FALSE()),FALSE()),Q73-$CD$3,R73,$CJ$5)*H73-CJ73</f>
        <v>#NAME?</v>
      </c>
      <c r="CF73" s="132" t="e">
        <f aca="false">(CJ73/VLOOKUP(CC73,discount,3,FALSE()))-(CJ73/VLOOKUP(CC73,discount,2,FALSE()))</f>
        <v>#NAME?</v>
      </c>
      <c r="CG73" s="253" t="e">
        <f aca="false">xSPRDOPT((VLOOKUP(G73,NGPREVPRICES,2,FALSE())+HLOOKUP(D73,PREVCURVES,VLOOKUP(G73,MOVE_DOWN2,2,FALSE()),FALSE())),VLOOKUP(G73,NGPREVPRICES,2,FALSE()),CK73,VLOOKUP(G73,NGPREVPRICES,4,FALSE()),HLOOKUP(D73,VOLS,VLOOKUP(G73,move_down,2,FALSE()),FALSE()),VLOOKUP(G73,NGPrices,3,FALSE()),HLOOKUP(D73,Correllate,VLOOKUP(G73,CorMove,2,FALSE()),FALSE()),Q73-$CD$3,R73,$CJ$5)*H73-CJ73</f>
        <v>#NAME?</v>
      </c>
      <c r="CH73" s="253" t="e">
        <f aca="false">xSPRDOPT((VLOOKUP(G73,NGPREVPRICES,2,FALSE())+HLOOKUP(D73,PREVCURVES,VLOOKUP(G73,MOVE_DOWN2,2,FALSE()),FALSE())),VLOOKUP(G73,NGPREVPRICES,2,FALSE()),CK73,VLOOKUP(G73,NGPREVPRICES,4,FALSE()),HLOOKUP(D73,PREVVOLS,VLOOKUP(G73,MOVE_DOWN2,2,FALSE()),FALSE()),VLOOKUP(G73,NGPREVPRICES,3,FALSE()),HLOOKUP(D73,Correllate,VLOOKUP(G73,CorMove,2,FALSE()),FALSE()),Q73-$C$3,R73,$CJ$5)*H73-CJ73</f>
        <v>#NAME?</v>
      </c>
      <c r="CI73" s="253" t="e">
        <f aca="false">SUM(CD73:CH73)</f>
        <v>#NAME?</v>
      </c>
      <c r="CJ73" s="253" t="e">
        <f aca="false">xSPRDOPT((VLOOKUP(G73,NGPREVPRICES,2,FALSE())+HLOOKUP(D73,PREVCURVES,VLOOKUP(G73,MOVE_DOWN2,2,FALSE()),FALSE())),VLOOKUP(G73,NGPREVPRICES,2,FALSE()),CK73,VLOOKUP(G73,NGPREVPRICES,4,FALSE()),HLOOKUP(D73,PREVVOLS,VLOOKUP(G73,MOVE_DOWN2,2,FALSE()),FALSE()),VLOOKUP(G73,NGPREVPRICES,3,FALSE()),HLOOKUP(D73,Correllate,VLOOKUP(G73,CorMove,2,FALSE()),FALSE()),Q73-$CD$3,R73,$CJ$5)*H73</f>
        <v>#NAME?</v>
      </c>
      <c r="CK73" s="254" t="n">
        <f aca="false">I73</f>
        <v>0.3</v>
      </c>
      <c r="CL73" s="253"/>
      <c r="CM73" s="0" t="str">
        <f aca="false">CONCATENATE(CC73,$CD$6)</f>
        <v>36800Curve Shift/Gamma</v>
      </c>
      <c r="CN73" s="0" t="str">
        <f aca="false">CONCATENATE($CC73,$CE$6)</f>
        <v>36800Rho</v>
      </c>
      <c r="CO73" s="0" t="str">
        <f aca="false">CONCATENATE($CC73,$CF$6)</f>
        <v>36800Drift</v>
      </c>
      <c r="CP73" s="0" t="str">
        <f aca="false">CONCATENATE($CC73,$CG$6)</f>
        <v>36800Vega</v>
      </c>
      <c r="CQ73" s="0" t="str">
        <f aca="false">CONCATENATE($CC73,$CH$6)</f>
        <v>36800Theta</v>
      </c>
    </row>
    <row r="74" customFormat="false" ht="12" hidden="false" customHeight="true" outlineLevel="0" collapsed="false">
      <c r="A74" s="265" t="s">
        <v>198</v>
      </c>
      <c r="B74" s="0" t="s">
        <v>192</v>
      </c>
      <c r="C74" s="0" t="s">
        <v>230</v>
      </c>
      <c r="D74" s="7" t="s">
        <v>149</v>
      </c>
      <c r="E74" s="0" t="s">
        <v>131</v>
      </c>
      <c r="F74" s="0" t="s">
        <v>132</v>
      </c>
      <c r="G74" s="92" t="n">
        <v>36800</v>
      </c>
      <c r="H74" s="248" t="n">
        <v>-500000</v>
      </c>
      <c r="I74" s="0" t="n">
        <v>0.3</v>
      </c>
      <c r="J74" s="124" t="n">
        <f aca="false">VLOOKUP(G74,NGPrices,2,FALSE())</f>
        <v>4.692</v>
      </c>
      <c r="K74" s="125" t="n">
        <f aca="false">HLOOKUP(D74,Prices,VLOOKUP(G74,move_down,2,FALSE()),FALSE())+VLOOKUP(G74,CHANGE,HLOOKUP(D74,CHANGE,2,FALSE()),FALSE())</f>
        <v>0.415</v>
      </c>
      <c r="L74" s="124" t="n">
        <f aca="false">K74+J74</f>
        <v>5.107</v>
      </c>
      <c r="M74" s="126" t="n">
        <f aca="false">VLOOKUP(G74,NGPrices,4,FALSE())</f>
        <v>0.068050789414654</v>
      </c>
      <c r="N74" s="7" t="n">
        <f aca="false">VLOOKUP(G74,NGPrices,3,FALSE())</f>
        <v>0.575</v>
      </c>
      <c r="O74" s="7" t="n">
        <f aca="false">HLOOKUP(D74,VOLS,VLOOKUP(G74,move_down,2,FALSE()),FALSE())</f>
        <v>0.564</v>
      </c>
      <c r="P74" s="249" t="n">
        <f aca="false">HLOOKUP(D74,Correllate,VLOOKUP(G74,CorMove,2,FALSE()),FALSE())</f>
        <v>0.9925</v>
      </c>
      <c r="Q74" s="92" t="n">
        <f aca="false">WORKDAY(G74,-2)</f>
        <v>36797</v>
      </c>
      <c r="R74" s="7" t="n">
        <f aca="false">IF(F74="P",0,1)</f>
        <v>0</v>
      </c>
      <c r="S74" s="130" t="e">
        <f aca="false">xSPRDOPT($L74,$J74,$I74,$M74,$O74,$N74,$P74,$Q74-$C$3,$R74,0)</f>
        <v>#NAME?</v>
      </c>
      <c r="T74" s="250" t="e">
        <f aca="false">xSPRDOPT($L74,$J74,$I74,$M74,$O74,$N74,$P74,$Q74-$C$3,$R74,1)*H74</f>
        <v>#NAME?</v>
      </c>
      <c r="U74" s="43" t="e">
        <f aca="false">S74*H74</f>
        <v>#NAME?</v>
      </c>
      <c r="V74" s="250" t="e">
        <f aca="false">xSPRDOPT($L74,$J74,$I74,$M74,$O74,$N74,$P74,$Q74-$C$3,$R74,2)*H74</f>
        <v>#NAME?</v>
      </c>
      <c r="W74" s="250" t="e">
        <f aca="false">+V74+T74</f>
        <v>#NAME?</v>
      </c>
      <c r="X74" s="2" t="str">
        <f aca="false">CONCATENATE(G74,D74)</f>
        <v>36800IF-TRANSCO/Z6</v>
      </c>
      <c r="Y74" s="251" t="n">
        <f aca="false">H74/10000</f>
        <v>-50</v>
      </c>
      <c r="Z74" s="226" t="e">
        <f aca="false">T74/H74</f>
        <v>#NAME?</v>
      </c>
      <c r="AA74" s="226" t="e">
        <f aca="false">xSPRDOPT($L74,$J74,$I74,$M74,$O74,$N74,$P74,$Q74-$C$3,$R74,3)</f>
        <v>#NAME?</v>
      </c>
      <c r="AB74" s="226" t="e">
        <f aca="false">((xSPRDOPT($L74+AB$5,$J74,$I74,$M74,$O74,$N74,$P74,$Q74-$C$3,$R74,3)*$H74)/10000)/100</f>
        <v>#NAME?</v>
      </c>
      <c r="AC74" s="226" t="e">
        <f aca="false">((xSPRDOPT($L74+$AB$5,$J74,$I74,$M74,$O74,$N74,$P74,$Q74-$C$3,$R74,7)*$H74)/100)</f>
        <v>#NAME?</v>
      </c>
      <c r="AD74" s="226" t="e">
        <f aca="false">(xSPRDOPT($L74+$AB$5,$J74,$I74,$M74,$O74,$N74,$P74,$Q74-$C$3,$R74,9)/365)*$H74</f>
        <v>#NAME?</v>
      </c>
      <c r="AE74" s="0" t="e">
        <f aca="false">CD74</f>
        <v>#NAME?</v>
      </c>
      <c r="AF74" s="226" t="e">
        <f aca="false">((O74/N74)*AH74)+AG74</f>
        <v>#NAME?</v>
      </c>
      <c r="AG74" s="226" t="e">
        <f aca="false">((xSPRDOPT($L74,$J74,$I74,$M74,$O74,$N74,$P74,$Q74-$C$3,$R74,6)*$H74)/100)</f>
        <v>#NAME?</v>
      </c>
      <c r="AH74" s="226" t="e">
        <f aca="false">((xSPRDOPT($L74,$J74,$I74,$M74,$O74,$N74,$P74,$Q74-$C$3,$R74,5)*$H74)/100)</f>
        <v>#NAME?</v>
      </c>
      <c r="AI74" s="226" t="e">
        <f aca="false">(((xSPRDOPT($L74,$J74,$I74,$M74,$O74,$N74,$P74,$Q74-$C$3,$R74,4)*$H74)/10000)/100)-AB74</f>
        <v>#NAME?</v>
      </c>
      <c r="AJ74" s="226"/>
      <c r="AK74" s="226"/>
      <c r="AL74" s="226"/>
      <c r="AM74" s="252"/>
      <c r="AN74" s="208" t="n">
        <f aca="false">EOMONTH(AN73,0)+1</f>
        <v>38777</v>
      </c>
      <c r="AO74" s="134" t="n">
        <f aca="false">SUMIF($X:$X,CONCATENATE($AN74,AO$6),$T:$T)/10000</f>
        <v>0</v>
      </c>
      <c r="AP74" s="134" t="n">
        <f aca="false">SUMIF($X:$X,CONCATENATE($AN74,AP$6),$T:$T)/10000</f>
        <v>0</v>
      </c>
      <c r="AQ74" s="134" t="n">
        <f aca="false">SUMIF($X:$X,CONCATENATE($AN74,AQ$6),$T:$T)/10000</f>
        <v>0</v>
      </c>
      <c r="AR74" s="134" t="n">
        <f aca="false">SUMIF($X:$X,CONCATENATE($AN74,AR$6),$T:$T)/10000</f>
        <v>0</v>
      </c>
      <c r="AS74" s="134" t="n">
        <f aca="false">SUMIF($X:$X,CONCATENATE($AN74,AS$6),$T:$T)/10000</f>
        <v>0</v>
      </c>
      <c r="AT74" s="134" t="n">
        <f aca="false">SUMIF($X:$X,CONCATENATE($AN74,AT$6),$T:$T)/10000</f>
        <v>0</v>
      </c>
      <c r="AU74" s="134" t="n">
        <f aca="false">SUMIF($X:$X,CONCATENATE($AN74,AU$6),$T:$T)/10000</f>
        <v>0</v>
      </c>
      <c r="AV74" s="134" t="n">
        <f aca="false">SUMIF($X:$X,CONCATENATE($AN74,AV$6),$T:$T)/10000</f>
        <v>0</v>
      </c>
      <c r="AW74" s="134" t="n">
        <f aca="false">SUMIF($X:$X,CONCATENATE($AN74,AW$6),$T:$T)/10000</f>
        <v>0</v>
      </c>
      <c r="AX74" s="134" t="n">
        <f aca="false">SUMIF($X:$X,CONCATENATE($AN74,AX$6),$T:$T)/10000</f>
        <v>0</v>
      </c>
      <c r="AY74" s="134" t="n">
        <f aca="false">SUMIF($X:$X,CONCATENATE($AN74,AY$6),$T:$T)/10000</f>
        <v>0</v>
      </c>
      <c r="AZ74" s="134" t="n">
        <f aca="false">SUMIF($X:$X,CONCATENATE($AN74,AZ$6),$T:$T)/10000</f>
        <v>0</v>
      </c>
      <c r="BA74" s="135" t="n">
        <f aca="false">SUMIF($X:$X,CONCATENATE($AN74,BA$6),$T:$T)/10000</f>
        <v>0</v>
      </c>
      <c r="BB74" s="208" t="n">
        <f aca="false">EOMONTH(BB73,0)+1</f>
        <v>38777</v>
      </c>
      <c r="BC74" s="135" t="n">
        <f aca="false">SUM(AO74:BA74)</f>
        <v>0</v>
      </c>
      <c r="BD74" s="2"/>
      <c r="BE74" s="208" t="n">
        <f aca="false">EOMONTH(BE73,0)+1</f>
        <v>38777</v>
      </c>
      <c r="BF74" s="134" t="n">
        <f aca="false">SUMIF($X:$X,CONCATENATE($AN74,BF$6),$W:$W)</f>
        <v>0</v>
      </c>
      <c r="BG74" s="134" t="n">
        <f aca="false">SUMIF($X:$X,CONCATENATE($AN74,BG$6),$W:$W)</f>
        <v>0</v>
      </c>
      <c r="BH74" s="134" t="n">
        <f aca="false">SUMIF($X:$X,CONCATENATE($AN74,BH$6),$W:$W)</f>
        <v>0</v>
      </c>
      <c r="BI74" s="134" t="n">
        <f aca="false">SUMIF($X:$X,CONCATENATE($AN74,BI$6),$W:$W)</f>
        <v>0</v>
      </c>
      <c r="BJ74" s="134" t="n">
        <f aca="false">SUMIF($X:$X,CONCATENATE($AN74,BJ$6),$W:$W)</f>
        <v>0</v>
      </c>
      <c r="BK74" s="134" t="n">
        <f aca="false">SUMIF($X:$X,CONCATENATE($AN74,BK$6),$W:$W)</f>
        <v>0</v>
      </c>
      <c r="BL74" s="134" t="n">
        <f aca="false">SUMIF($X:$X,CONCATENATE($AN74,BL$6),$W:$W)</f>
        <v>0</v>
      </c>
      <c r="BM74" s="134" t="n">
        <f aca="false">SUMIF($X:$X,CONCATENATE($AN74,BM$6),$W:$W)</f>
        <v>0</v>
      </c>
      <c r="BN74" s="134" t="n">
        <f aca="false">SUMIF($X:$X,CONCATENATE($AN74,BN$6),$W:$W)</f>
        <v>0</v>
      </c>
      <c r="BO74" s="134" t="n">
        <f aca="false">SUMIF($X:$X,CONCATENATE($AN74,BO$6),$W:$W)</f>
        <v>0</v>
      </c>
      <c r="BP74" s="134" t="n">
        <f aca="false">SUMIF($X:$X,CONCATENATE($AN74,BP$6),$W:$W)</f>
        <v>0</v>
      </c>
      <c r="BQ74" s="134" t="n">
        <f aca="false">SUMIF($X:$X,CONCATENATE($AN74,BQ$6),$W:$W)</f>
        <v>0</v>
      </c>
      <c r="BR74" s="135" t="n">
        <f aca="false">SUMIF($X:$X,CONCATENATE($AN74,BR$6),$W:$W)</f>
        <v>0</v>
      </c>
      <c r="BS74" s="208" t="n">
        <f aca="false">EOMONTH(BS73,0)+1</f>
        <v>38777</v>
      </c>
      <c r="BT74" s="135" t="n">
        <f aca="false">SUM(BF74:BR74)</f>
        <v>0</v>
      </c>
      <c r="BU74" s="2"/>
      <c r="BV74" s="2"/>
      <c r="BW74" s="2"/>
      <c r="BX74" s="2"/>
      <c r="BY74" s="2"/>
      <c r="BZ74" s="2"/>
      <c r="CA74" s="2"/>
      <c r="CB74" s="2"/>
      <c r="CC74" s="182" t="n">
        <f aca="false">G74</f>
        <v>36800</v>
      </c>
      <c r="CD74" s="253" t="e">
        <f aca="false">xSPRDOPT((VLOOKUP(G74,NGPrices,2,FALSE())+HLOOKUP(D74,Prices,VLOOKUP(G74,move_down,2,FALSE()),FALSE())),VLOOKUP(G74,NGPrices,2,FALSE()),I74,VLOOKUP(G74,NGPREVPRICES,4,FALSE()),HLOOKUP(D74,PREVVOLS,VLOOKUP(G74,MOVE_DOWN2,2,FALSE()),FALSE()),VLOOKUP(G74,NGPREVPRICES,3,FALSE()),HLOOKUP(D74,Correllate,VLOOKUP(G74,CorMove,2,FALSE()),FALSE()),Q74-$CD$3,R74,$CD$5)*H74-CJ74</f>
        <v>#NAME?</v>
      </c>
      <c r="CE74" s="253" t="e">
        <f aca="false">xSPRDOPT((VLOOKUP(G74,NGPREVPRICES,2,FALSE())+HLOOKUP(D74,PREVCURVES,VLOOKUP(G74,MOVE_DOWN2,2,FALSE()),FALSE())),VLOOKUP(G74,NGPREVPRICES,2,FALSE()),CK74,VLOOKUP(G74,NGPrices,4,FALSE()),HLOOKUP(D74,PREVVOLS,VLOOKUP(G74,MOVE_DOWN2,2,FALSE()),FALSE()),VLOOKUP(G74,NGPREVPRICES,3,FALSE()),HLOOKUP(D74,Correllate,VLOOKUP(G74,CorMove,2,FALSE()),FALSE()),Q74-$CD$3,R74,$CJ$5)*H74-CJ74</f>
        <v>#NAME?</v>
      </c>
      <c r="CF74" s="132" t="e">
        <f aca="false">(CJ74/VLOOKUP(CC74,discount,3,FALSE()))-(CJ74/VLOOKUP(CC74,discount,2,FALSE()))</f>
        <v>#NAME?</v>
      </c>
      <c r="CG74" s="253" t="e">
        <f aca="false">xSPRDOPT((VLOOKUP(G74,NGPREVPRICES,2,FALSE())+HLOOKUP(D74,PREVCURVES,VLOOKUP(G74,MOVE_DOWN2,2,FALSE()),FALSE())),VLOOKUP(G74,NGPREVPRICES,2,FALSE()),CK74,VLOOKUP(G74,NGPREVPRICES,4,FALSE()),HLOOKUP(D74,VOLS,VLOOKUP(G74,move_down,2,FALSE()),FALSE()),VLOOKUP(G74,NGPrices,3,FALSE()),HLOOKUP(D74,Correllate,VLOOKUP(G74,CorMove,2,FALSE()),FALSE()),Q74-$CD$3,R74,$CJ$5)*H74-CJ74</f>
        <v>#NAME?</v>
      </c>
      <c r="CH74" s="253" t="e">
        <f aca="false">xSPRDOPT((VLOOKUP(G74,NGPREVPRICES,2,FALSE())+HLOOKUP(D74,PREVCURVES,VLOOKUP(G74,MOVE_DOWN2,2,FALSE()),FALSE())),VLOOKUP(G74,NGPREVPRICES,2,FALSE()),CK74,VLOOKUP(G74,NGPREVPRICES,4,FALSE()),HLOOKUP(D74,PREVVOLS,VLOOKUP(G74,MOVE_DOWN2,2,FALSE()),FALSE()),VLOOKUP(G74,NGPREVPRICES,3,FALSE()),HLOOKUP(D74,Correllate,VLOOKUP(G74,CorMove,2,FALSE()),FALSE()),Q74-$C$3,R74,$CJ$5)*H74-CJ74</f>
        <v>#NAME?</v>
      </c>
      <c r="CI74" s="253" t="e">
        <f aca="false">SUM(CD74:CH74)</f>
        <v>#NAME?</v>
      </c>
      <c r="CJ74" s="253" t="e">
        <f aca="false">xSPRDOPT((VLOOKUP(G74,NGPREVPRICES,2,FALSE())+HLOOKUP(D74,PREVCURVES,VLOOKUP(G74,MOVE_DOWN2,2,FALSE()),FALSE())),VLOOKUP(G74,NGPREVPRICES,2,FALSE()),CK74,VLOOKUP(G74,NGPREVPRICES,4,FALSE()),HLOOKUP(D74,PREVVOLS,VLOOKUP(G74,MOVE_DOWN2,2,FALSE()),FALSE()),VLOOKUP(G74,NGPREVPRICES,3,FALSE()),HLOOKUP(D74,Correllate,VLOOKUP(G74,CorMove,2,FALSE()),FALSE()),Q74-$CD$3,R74,$CJ$5)*H74</f>
        <v>#NAME?</v>
      </c>
      <c r="CK74" s="254" t="n">
        <f aca="false">I74</f>
        <v>0.3</v>
      </c>
      <c r="CL74" s="253"/>
      <c r="CM74" s="0" t="str">
        <f aca="false">CONCATENATE(CC74,$CD$6)</f>
        <v>36800Curve Shift/Gamma</v>
      </c>
      <c r="CN74" s="0" t="str">
        <f aca="false">CONCATENATE($CC74,$CE$6)</f>
        <v>36800Rho</v>
      </c>
      <c r="CO74" s="0" t="str">
        <f aca="false">CONCATENATE($CC74,$CF$6)</f>
        <v>36800Drift</v>
      </c>
      <c r="CP74" s="0" t="str">
        <f aca="false">CONCATENATE($CC74,$CG$6)</f>
        <v>36800Vega</v>
      </c>
      <c r="CQ74" s="0" t="str">
        <f aca="false">CONCATENATE($CC74,$CH$6)</f>
        <v>36800Theta</v>
      </c>
    </row>
    <row r="75" customFormat="false" ht="12" hidden="false" customHeight="true" outlineLevel="0" collapsed="false">
      <c r="A75" s="265" t="s">
        <v>198</v>
      </c>
      <c r="B75" s="0" t="s">
        <v>192</v>
      </c>
      <c r="C75" s="0" t="s">
        <v>230</v>
      </c>
      <c r="D75" s="7" t="s">
        <v>149</v>
      </c>
      <c r="E75" s="0" t="s">
        <v>131</v>
      </c>
      <c r="F75" s="0" t="s">
        <v>132</v>
      </c>
      <c r="G75" s="92" t="n">
        <v>36770</v>
      </c>
      <c r="H75" s="248" t="n">
        <v>-250000</v>
      </c>
      <c r="I75" s="0" t="n">
        <v>0.3</v>
      </c>
      <c r="J75" s="124" t="n">
        <f aca="false">VLOOKUP(G75,NGPrices,2,FALSE())</f>
        <v>4.685</v>
      </c>
      <c r="K75" s="125" t="n">
        <f aca="false">HLOOKUP(D75,Prices,VLOOKUP(G75,move_down,2,FALSE()),FALSE())+VLOOKUP(G75,CHANGE,HLOOKUP(D75,CHANGE,2,FALSE()),FALSE())</f>
        <v>0.315</v>
      </c>
      <c r="L75" s="124" t="n">
        <f aca="false">K75+J75</f>
        <v>5</v>
      </c>
      <c r="M75" s="126" t="n">
        <f aca="false">VLOOKUP(G75,NGPrices,4,FALSE())</f>
        <v>0.067216196212185</v>
      </c>
      <c r="N75" s="7" t="n">
        <f aca="false">VLOOKUP(G75,NGPrices,3,FALSE())</f>
        <v>0.4</v>
      </c>
      <c r="O75" s="7" t="n">
        <f aca="false">HLOOKUP(D75,VOLS,VLOOKUP(G75,move_down,2,FALSE()),FALSE())</f>
        <v>0.392</v>
      </c>
      <c r="P75" s="249" t="n">
        <f aca="false">HLOOKUP(D75,Correllate,VLOOKUP(G75,CorMove,2,FALSE()),FALSE())</f>
        <v>0.9925</v>
      </c>
      <c r="Q75" s="92" t="n">
        <f aca="false">WORKDAY(G75,-2)</f>
        <v>36768</v>
      </c>
      <c r="R75" s="7" t="n">
        <f aca="false">IF(F75="P",0,1)</f>
        <v>0</v>
      </c>
      <c r="S75" s="130" t="e">
        <f aca="false">xSPRDOPT($L75,$J75,$I75,$M75,$O75,$N75,$P75,$Q75-$C$3,$R75,0)</f>
        <v>#NAME?</v>
      </c>
      <c r="T75" s="250" t="e">
        <f aca="false">xSPRDOPT($L75,$J75,$I75,$M75,$O75,$N75,$P75,$Q75-$C$3,$R75,1)*H75</f>
        <v>#NAME?</v>
      </c>
      <c r="U75" s="43" t="e">
        <f aca="false">S75*H75</f>
        <v>#NAME?</v>
      </c>
      <c r="V75" s="250" t="e">
        <f aca="false">xSPRDOPT($L75,$J75,$I75,$M75,$O75,$N75,$P75,$Q75-$C$3,$R75,2)*H75</f>
        <v>#NAME?</v>
      </c>
      <c r="W75" s="250" t="e">
        <f aca="false">+V75+T75</f>
        <v>#NAME?</v>
      </c>
      <c r="X75" s="2" t="str">
        <f aca="false">CONCATENATE(G75,D75)</f>
        <v>36770IF-TRANSCO/Z6</v>
      </c>
      <c r="Y75" s="251" t="n">
        <f aca="false">H75/10000</f>
        <v>-25</v>
      </c>
      <c r="Z75" s="226" t="e">
        <f aca="false">T75/H75</f>
        <v>#NAME?</v>
      </c>
      <c r="AA75" s="226" t="e">
        <f aca="false">xSPRDOPT($L75,$J75,$I75,$M75,$O75,$N75,$P75,$Q75-$C$3,$R75,3)</f>
        <v>#NAME?</v>
      </c>
      <c r="AB75" s="226" t="e">
        <f aca="false">((xSPRDOPT($L75+AB$5,$J75,$I75,$M75,$O75,$N75,$P75,$Q75-$C$3,$R75,3)*$H75)/10000)/100</f>
        <v>#NAME?</v>
      </c>
      <c r="AC75" s="226" t="e">
        <f aca="false">((xSPRDOPT($L75+$AB$5,$J75,$I75,$M75,$O75,$N75,$P75,$Q75-$C$3,$R75,7)*$H75)/100)</f>
        <v>#NAME?</v>
      </c>
      <c r="AD75" s="226" t="e">
        <f aca="false">(xSPRDOPT($L75+$AB$5,$J75,$I75,$M75,$O75,$N75,$P75,$Q75-$C$3,$R75,9)/365)*$H75</f>
        <v>#NAME?</v>
      </c>
      <c r="AE75" s="0" t="e">
        <f aca="false">CD75</f>
        <v>#NAME?</v>
      </c>
      <c r="AF75" s="226" t="e">
        <f aca="false">((O75/N75)*AH75)+AG75</f>
        <v>#NAME?</v>
      </c>
      <c r="AG75" s="226" t="e">
        <f aca="false">((xSPRDOPT($L75,$J75,$I75,$M75,$O75,$N75,$P75,$Q75-$C$3,$R75,6)*$H75)/100)</f>
        <v>#NAME?</v>
      </c>
      <c r="AH75" s="226" t="e">
        <f aca="false">((xSPRDOPT($L75,$J75,$I75,$M75,$O75,$N75,$P75,$Q75-$C$3,$R75,5)*$H75)/100)</f>
        <v>#NAME?</v>
      </c>
      <c r="AI75" s="226" t="e">
        <f aca="false">(((xSPRDOPT($L75,$J75,$I75,$M75,$O75,$N75,$P75,$Q75-$C$3,$R75,4)*$H75)/10000)/100)-AB75</f>
        <v>#NAME?</v>
      </c>
      <c r="AJ75" s="226"/>
      <c r="AK75" s="226"/>
      <c r="AL75" s="226"/>
      <c r="AM75" s="252"/>
      <c r="AN75" s="208" t="n">
        <f aca="false">EOMONTH(AN74,0)+1</f>
        <v>38808</v>
      </c>
      <c r="AO75" s="134" t="n">
        <f aca="false">SUMIF($X:$X,CONCATENATE($AN75,AO$6),$T:$T)/10000</f>
        <v>0</v>
      </c>
      <c r="AP75" s="134" t="n">
        <f aca="false">SUMIF($X:$X,CONCATENATE($AN75,AP$6),$T:$T)/10000</f>
        <v>0</v>
      </c>
      <c r="AQ75" s="134" t="n">
        <f aca="false">SUMIF($X:$X,CONCATENATE($AN75,AQ$6),$T:$T)/10000</f>
        <v>0</v>
      </c>
      <c r="AR75" s="134" t="n">
        <f aca="false">SUMIF($X:$X,CONCATENATE($AN75,AR$6),$T:$T)/10000</f>
        <v>0</v>
      </c>
      <c r="AS75" s="134" t="n">
        <f aca="false">SUMIF($X:$X,CONCATENATE($AN75,AS$6),$T:$T)/10000</f>
        <v>0</v>
      </c>
      <c r="AT75" s="134" t="n">
        <f aca="false">SUMIF($X:$X,CONCATENATE($AN75,AT$6),$T:$T)/10000</f>
        <v>0</v>
      </c>
      <c r="AU75" s="134" t="n">
        <f aca="false">SUMIF($X:$X,CONCATENATE($AN75,AU$6),$T:$T)/10000</f>
        <v>0</v>
      </c>
      <c r="AV75" s="134" t="n">
        <f aca="false">SUMIF($X:$X,CONCATENATE($AN75,AV$6),$T:$T)/10000</f>
        <v>0</v>
      </c>
      <c r="AW75" s="134" t="n">
        <f aca="false">SUMIF($X:$X,CONCATENATE($AN75,AW$6),$T:$T)/10000</f>
        <v>0</v>
      </c>
      <c r="AX75" s="134" t="n">
        <f aca="false">SUMIF($X:$X,CONCATENATE($AN75,AX$6),$T:$T)/10000</f>
        <v>0</v>
      </c>
      <c r="AY75" s="134" t="n">
        <f aca="false">SUMIF($X:$X,CONCATENATE($AN75,AY$6),$T:$T)/10000</f>
        <v>0</v>
      </c>
      <c r="AZ75" s="134" t="n">
        <f aca="false">SUMIF($X:$X,CONCATENATE($AN75,AZ$6),$T:$T)/10000</f>
        <v>0</v>
      </c>
      <c r="BA75" s="135" t="n">
        <f aca="false">SUMIF($X:$X,CONCATENATE($AN75,BA$6),$T:$T)/10000</f>
        <v>0</v>
      </c>
      <c r="BB75" s="208" t="n">
        <f aca="false">EOMONTH(BB74,0)+1</f>
        <v>38808</v>
      </c>
      <c r="BC75" s="135" t="n">
        <f aca="false">SUM(AO75:BA75)</f>
        <v>0</v>
      </c>
      <c r="BD75" s="2"/>
      <c r="BE75" s="208" t="n">
        <f aca="false">EOMONTH(BE74,0)+1</f>
        <v>38808</v>
      </c>
      <c r="BF75" s="134" t="n">
        <f aca="false">SUMIF($X:$X,CONCATENATE($AN75,BF$6),$W:$W)</f>
        <v>0</v>
      </c>
      <c r="BG75" s="134" t="n">
        <f aca="false">SUMIF($X:$X,CONCATENATE($AN75,BG$6),$W:$W)</f>
        <v>0</v>
      </c>
      <c r="BH75" s="134" t="n">
        <f aca="false">SUMIF($X:$X,CONCATENATE($AN75,BH$6),$W:$W)</f>
        <v>0</v>
      </c>
      <c r="BI75" s="134" t="n">
        <f aca="false">SUMIF($X:$X,CONCATENATE($AN75,BI$6),$W:$W)</f>
        <v>0</v>
      </c>
      <c r="BJ75" s="134" t="n">
        <f aca="false">SUMIF($X:$X,CONCATENATE($AN75,BJ$6),$W:$W)</f>
        <v>0</v>
      </c>
      <c r="BK75" s="134" t="n">
        <f aca="false">SUMIF($X:$X,CONCATENATE($AN75,BK$6),$W:$W)</f>
        <v>0</v>
      </c>
      <c r="BL75" s="134" t="n">
        <f aca="false">SUMIF($X:$X,CONCATENATE($AN75,BL$6),$W:$W)</f>
        <v>0</v>
      </c>
      <c r="BM75" s="134" t="n">
        <f aca="false">SUMIF($X:$X,CONCATENATE($AN75,BM$6),$W:$W)</f>
        <v>0</v>
      </c>
      <c r="BN75" s="134" t="n">
        <f aca="false">SUMIF($X:$X,CONCATENATE($AN75,BN$6),$W:$W)</f>
        <v>0</v>
      </c>
      <c r="BO75" s="134" t="n">
        <f aca="false">SUMIF($X:$X,CONCATENATE($AN75,BO$6),$W:$W)</f>
        <v>0</v>
      </c>
      <c r="BP75" s="134" t="n">
        <f aca="false">SUMIF($X:$X,CONCATENATE($AN75,BP$6),$W:$W)</f>
        <v>0</v>
      </c>
      <c r="BQ75" s="134" t="n">
        <f aca="false">SUMIF($X:$X,CONCATENATE($AN75,BQ$6),$W:$W)</f>
        <v>0</v>
      </c>
      <c r="BR75" s="135" t="n">
        <f aca="false">SUMIF($X:$X,CONCATENATE($AN75,BR$6),$W:$W)</f>
        <v>0</v>
      </c>
      <c r="BS75" s="208" t="n">
        <f aca="false">EOMONTH(BS74,0)+1</f>
        <v>38808</v>
      </c>
      <c r="BT75" s="135" t="n">
        <f aca="false">SUM(BF75:BR75)</f>
        <v>0</v>
      </c>
      <c r="BU75" s="2"/>
      <c r="BV75" s="2"/>
      <c r="BW75" s="2"/>
      <c r="BX75" s="2"/>
      <c r="BY75" s="2"/>
      <c r="BZ75" s="2"/>
      <c r="CA75" s="2"/>
      <c r="CB75" s="2"/>
      <c r="CC75" s="182" t="n">
        <f aca="false">G75</f>
        <v>36770</v>
      </c>
      <c r="CD75" s="253" t="e">
        <f aca="false">xSPRDOPT((VLOOKUP(G75,NGPrices,2,FALSE())+HLOOKUP(D75,Prices,VLOOKUP(G75,move_down,2,FALSE()),FALSE())),VLOOKUP(G75,NGPrices,2,FALSE()),I75,VLOOKUP(G75,NGPREVPRICES,4,FALSE()),HLOOKUP(D75,PREVVOLS,VLOOKUP(G75,MOVE_DOWN2,2,FALSE()),FALSE()),VLOOKUP(G75,NGPREVPRICES,3,FALSE()),HLOOKUP(D75,Correllate,VLOOKUP(G75,CorMove,2,FALSE()),FALSE()),Q75-$CD$3,R75,$CD$5)*H75-CJ75</f>
        <v>#NAME?</v>
      </c>
      <c r="CE75" s="253" t="e">
        <f aca="false">xSPRDOPT((VLOOKUP(G75,NGPREVPRICES,2,FALSE())+HLOOKUP(D75,PREVCURVES,VLOOKUP(G75,MOVE_DOWN2,2,FALSE()),FALSE())),VLOOKUP(G75,NGPREVPRICES,2,FALSE()),CK75,VLOOKUP(G75,NGPrices,4,FALSE()),HLOOKUP(D75,PREVVOLS,VLOOKUP(G75,MOVE_DOWN2,2,FALSE()),FALSE()),VLOOKUP(G75,NGPREVPRICES,3,FALSE()),HLOOKUP(D75,Correllate,VLOOKUP(G75,CorMove,2,FALSE()),FALSE()),Q75-$CD$3,R75,$CJ$5)*H75-CJ75</f>
        <v>#NAME?</v>
      </c>
      <c r="CF75" s="132" t="e">
        <f aca="false">(CJ75/VLOOKUP(CC75,discount,3,FALSE()))-(CJ75/VLOOKUP(CC75,discount,2,FALSE()))</f>
        <v>#NAME?</v>
      </c>
      <c r="CG75" s="253" t="e">
        <f aca="false">xSPRDOPT((VLOOKUP(G75,NGPREVPRICES,2,FALSE())+HLOOKUP(D75,PREVCURVES,VLOOKUP(G75,MOVE_DOWN2,2,FALSE()),FALSE())),VLOOKUP(G75,NGPREVPRICES,2,FALSE()),CK75,VLOOKUP(G75,NGPREVPRICES,4,FALSE()),HLOOKUP(D75,VOLS,VLOOKUP(G75,move_down,2,FALSE()),FALSE()),VLOOKUP(G75,NGPrices,3,FALSE()),HLOOKUP(D75,Correllate,VLOOKUP(G75,CorMove,2,FALSE()),FALSE()),Q75-$CD$3,R75,$CJ$5)*H75-CJ75</f>
        <v>#NAME?</v>
      </c>
      <c r="CH75" s="253" t="e">
        <f aca="false">xSPRDOPT((VLOOKUP(G75,NGPREVPRICES,2,FALSE())+HLOOKUP(D75,PREVCURVES,VLOOKUP(G75,MOVE_DOWN2,2,FALSE()),FALSE())),VLOOKUP(G75,NGPREVPRICES,2,FALSE()),CK75,VLOOKUP(G75,NGPREVPRICES,4,FALSE()),HLOOKUP(D75,PREVVOLS,VLOOKUP(G75,MOVE_DOWN2,2,FALSE()),FALSE()),VLOOKUP(G75,NGPREVPRICES,3,FALSE()),HLOOKUP(D75,Correllate,VLOOKUP(G75,CorMove,2,FALSE()),FALSE()),Q75-$C$3,R75,$CJ$5)*H75-CJ75</f>
        <v>#NAME?</v>
      </c>
      <c r="CI75" s="253" t="e">
        <f aca="false">SUM(CD75:CH75)</f>
        <v>#NAME?</v>
      </c>
      <c r="CJ75" s="253" t="e">
        <f aca="false">xSPRDOPT((VLOOKUP(G75,NGPREVPRICES,2,FALSE())+HLOOKUP(D75,PREVCURVES,VLOOKUP(G75,MOVE_DOWN2,2,FALSE()),FALSE())),VLOOKUP(G75,NGPREVPRICES,2,FALSE()),CK75,VLOOKUP(G75,NGPREVPRICES,4,FALSE()),HLOOKUP(D75,PREVVOLS,VLOOKUP(G75,MOVE_DOWN2,2,FALSE()),FALSE()),VLOOKUP(G75,NGPREVPRICES,3,FALSE()),HLOOKUP(D75,Correllate,VLOOKUP(G75,CorMove,2,FALSE()),FALSE()),Q75-$CD$3,R75,$CJ$5)*H75</f>
        <v>#NAME?</v>
      </c>
      <c r="CK75" s="254" t="n">
        <f aca="false">I75</f>
        <v>0.3</v>
      </c>
      <c r="CL75" s="253"/>
      <c r="CM75" s="0" t="str">
        <f aca="false">CONCATENATE(CC75,$CD$6)</f>
        <v>36770Curve Shift/Gamma</v>
      </c>
      <c r="CN75" s="0" t="str">
        <f aca="false">CONCATENATE($CC75,$CE$6)</f>
        <v>36770Rho</v>
      </c>
      <c r="CO75" s="0" t="str">
        <f aca="false">CONCATENATE($CC75,$CF$6)</f>
        <v>36770Drift</v>
      </c>
      <c r="CP75" s="0" t="str">
        <f aca="false">CONCATENATE($CC75,$CG$6)</f>
        <v>36770Vega</v>
      </c>
      <c r="CQ75" s="0" t="str">
        <f aca="false">CONCATENATE($CC75,$CH$6)</f>
        <v>36770Theta</v>
      </c>
    </row>
    <row r="76" customFormat="false" ht="12" hidden="false" customHeight="true" outlineLevel="0" collapsed="false">
      <c r="A76" s="265" t="s">
        <v>198</v>
      </c>
      <c r="B76" s="0" t="s">
        <v>192</v>
      </c>
      <c r="C76" s="0" t="s">
        <v>230</v>
      </c>
      <c r="D76" s="7" t="s">
        <v>149</v>
      </c>
      <c r="E76" s="0" t="s">
        <v>131</v>
      </c>
      <c r="F76" s="0" t="s">
        <v>132</v>
      </c>
      <c r="G76" s="92" t="n">
        <v>36770</v>
      </c>
      <c r="H76" s="248" t="n">
        <v>-500000</v>
      </c>
      <c r="I76" s="0" t="n">
        <v>0.3</v>
      </c>
      <c r="J76" s="124" t="n">
        <f aca="false">VLOOKUP(G76,NGPrices,2,FALSE())</f>
        <v>4.685</v>
      </c>
      <c r="K76" s="125" t="n">
        <f aca="false">HLOOKUP(D76,Prices,VLOOKUP(G76,move_down,2,FALSE()),FALSE())+VLOOKUP(G76,CHANGE,HLOOKUP(D76,CHANGE,2,FALSE()),FALSE())</f>
        <v>0.315</v>
      </c>
      <c r="L76" s="124" t="n">
        <f aca="false">K76+J76</f>
        <v>5</v>
      </c>
      <c r="M76" s="126" t="n">
        <f aca="false">VLOOKUP(G76,NGPrices,4,FALSE())</f>
        <v>0.067216196212185</v>
      </c>
      <c r="N76" s="7" t="n">
        <f aca="false">VLOOKUP(G76,NGPrices,3,FALSE())</f>
        <v>0.4</v>
      </c>
      <c r="O76" s="7" t="n">
        <f aca="false">HLOOKUP(D76,VOLS,VLOOKUP(G76,move_down,2,FALSE()),FALSE())</f>
        <v>0.392</v>
      </c>
      <c r="P76" s="249" t="n">
        <f aca="false">HLOOKUP(D76,Correllate,VLOOKUP(G76,CorMove,2,FALSE()),FALSE())</f>
        <v>0.9925</v>
      </c>
      <c r="Q76" s="92" t="n">
        <f aca="false">WORKDAY(G76,-2)</f>
        <v>36768</v>
      </c>
      <c r="R76" s="7" t="n">
        <f aca="false">IF(F76="P",0,1)</f>
        <v>0</v>
      </c>
      <c r="S76" s="130" t="e">
        <f aca="false">xSPRDOPT($L76,$J76,$I76,$M76,$O76,$N76,$P76,$Q76-$C$3,$R76,0)</f>
        <v>#NAME?</v>
      </c>
      <c r="T76" s="250" t="e">
        <f aca="false">xSPRDOPT($L76,$J76,$I76,$M76,$O76,$N76,$P76,$Q76-$C$3,$R76,1)*H76</f>
        <v>#NAME?</v>
      </c>
      <c r="U76" s="43" t="e">
        <f aca="false">S76*H76</f>
        <v>#NAME?</v>
      </c>
      <c r="V76" s="250" t="e">
        <f aca="false">xSPRDOPT($L76,$J76,$I76,$M76,$O76,$N76,$P76,$Q76-$C$3,$R76,2)*H76</f>
        <v>#NAME?</v>
      </c>
      <c r="W76" s="250" t="e">
        <f aca="false">+V76+T76</f>
        <v>#NAME?</v>
      </c>
      <c r="X76" s="2" t="str">
        <f aca="false">CONCATENATE(G76,D76)</f>
        <v>36770IF-TRANSCO/Z6</v>
      </c>
      <c r="Y76" s="251" t="n">
        <f aca="false">H76/10000</f>
        <v>-50</v>
      </c>
      <c r="Z76" s="226" t="e">
        <f aca="false">T76/H76</f>
        <v>#NAME?</v>
      </c>
      <c r="AA76" s="226" t="e">
        <f aca="false">xSPRDOPT($L76,$J76,$I76,$M76,$O76,$N76,$P76,$Q76-$C$3,$R76,3)</f>
        <v>#NAME?</v>
      </c>
      <c r="AB76" s="226" t="e">
        <f aca="false">((xSPRDOPT($L76+AB$5,$J76,$I76,$M76,$O76,$N76,$P76,$Q76-$C$3,$R76,3)*$H76)/10000)/100</f>
        <v>#NAME?</v>
      </c>
      <c r="AC76" s="226" t="e">
        <f aca="false">((xSPRDOPT($L76+$AB$5,$J76,$I76,$M76,$O76,$N76,$P76,$Q76-$C$3,$R76,7)*$H76)/100)</f>
        <v>#NAME?</v>
      </c>
      <c r="AD76" s="226" t="e">
        <f aca="false">(xSPRDOPT($L76+$AB$5,$J76,$I76,$M76,$O76,$N76,$P76,$Q76-$C$3,$R76,9)/365)*$H76</f>
        <v>#NAME?</v>
      </c>
      <c r="AE76" s="0" t="e">
        <f aca="false">CD76</f>
        <v>#NAME?</v>
      </c>
      <c r="AF76" s="226" t="e">
        <f aca="false">((O76/N76)*AH76)+AG76</f>
        <v>#NAME?</v>
      </c>
      <c r="AG76" s="226" t="e">
        <f aca="false">((xSPRDOPT($L76,$J76,$I76,$M76,$O76,$N76,$P76,$Q76-$C$3,$R76,6)*$H76)/100)</f>
        <v>#NAME?</v>
      </c>
      <c r="AH76" s="226" t="e">
        <f aca="false">((xSPRDOPT($L76,$J76,$I76,$M76,$O76,$N76,$P76,$Q76-$C$3,$R76,5)*$H76)/100)</f>
        <v>#NAME?</v>
      </c>
      <c r="AI76" s="226" t="e">
        <f aca="false">(((xSPRDOPT($L76,$J76,$I76,$M76,$O76,$N76,$P76,$Q76-$C$3,$R76,4)*$H76)/10000)/100)-AB76</f>
        <v>#NAME?</v>
      </c>
      <c r="AJ76" s="226"/>
      <c r="AK76" s="226"/>
      <c r="AL76" s="226"/>
      <c r="AM76" s="252"/>
      <c r="AN76" s="208" t="n">
        <f aca="false">EOMONTH(AN75,0)+1</f>
        <v>38838</v>
      </c>
      <c r="AO76" s="134" t="n">
        <f aca="false">SUMIF($X:$X,CONCATENATE($AN76,AO$6),$T:$T)/10000</f>
        <v>0</v>
      </c>
      <c r="AP76" s="134" t="n">
        <f aca="false">SUMIF($X:$X,CONCATENATE($AN76,AP$6),$T:$T)/10000</f>
        <v>0</v>
      </c>
      <c r="AQ76" s="134" t="n">
        <f aca="false">SUMIF($X:$X,CONCATENATE($AN76,AQ$6),$T:$T)/10000</f>
        <v>0</v>
      </c>
      <c r="AR76" s="134" t="n">
        <f aca="false">SUMIF($X:$X,CONCATENATE($AN76,AR$6),$T:$T)/10000</f>
        <v>0</v>
      </c>
      <c r="AS76" s="134" t="n">
        <f aca="false">SUMIF($X:$X,CONCATENATE($AN76,AS$6),$T:$T)/10000</f>
        <v>0</v>
      </c>
      <c r="AT76" s="134" t="n">
        <f aca="false">SUMIF($X:$X,CONCATENATE($AN76,AT$6),$T:$T)/10000</f>
        <v>0</v>
      </c>
      <c r="AU76" s="134" t="n">
        <f aca="false">SUMIF($X:$X,CONCATENATE($AN76,AU$6),$T:$T)/10000</f>
        <v>0</v>
      </c>
      <c r="AV76" s="134" t="n">
        <f aca="false">SUMIF($X:$X,CONCATENATE($AN76,AV$6),$T:$T)/10000</f>
        <v>0</v>
      </c>
      <c r="AW76" s="134" t="n">
        <f aca="false">SUMIF($X:$X,CONCATENATE($AN76,AW$6),$T:$T)/10000</f>
        <v>0</v>
      </c>
      <c r="AX76" s="134" t="n">
        <f aca="false">SUMIF($X:$X,CONCATENATE($AN76,AX$6),$T:$T)/10000</f>
        <v>0</v>
      </c>
      <c r="AY76" s="134" t="n">
        <f aca="false">SUMIF($X:$X,CONCATENATE($AN76,AY$6),$T:$T)/10000</f>
        <v>0</v>
      </c>
      <c r="AZ76" s="134" t="n">
        <f aca="false">SUMIF($X:$X,CONCATENATE($AN76,AZ$6),$T:$T)/10000</f>
        <v>0</v>
      </c>
      <c r="BA76" s="135" t="n">
        <f aca="false">SUMIF($X:$X,CONCATENATE($AN76,BA$6),$T:$T)/10000</f>
        <v>0</v>
      </c>
      <c r="BB76" s="208" t="n">
        <f aca="false">EOMONTH(BB75,0)+1</f>
        <v>38838</v>
      </c>
      <c r="BC76" s="135" t="n">
        <f aca="false">SUM(AO76:BA76)</f>
        <v>0</v>
      </c>
      <c r="BD76" s="2"/>
      <c r="BE76" s="208" t="n">
        <f aca="false">EOMONTH(BE75,0)+1</f>
        <v>38838</v>
      </c>
      <c r="BF76" s="134" t="n">
        <f aca="false">SUMIF($X:$X,CONCATENATE($AN76,BF$6),$W:$W)</f>
        <v>0</v>
      </c>
      <c r="BG76" s="134" t="n">
        <f aca="false">SUMIF($X:$X,CONCATENATE($AN76,BG$6),$W:$W)</f>
        <v>0</v>
      </c>
      <c r="BH76" s="134" t="n">
        <f aca="false">SUMIF($X:$X,CONCATENATE($AN76,BH$6),$W:$W)</f>
        <v>0</v>
      </c>
      <c r="BI76" s="134" t="n">
        <f aca="false">SUMIF($X:$X,CONCATENATE($AN76,BI$6),$W:$W)</f>
        <v>0</v>
      </c>
      <c r="BJ76" s="134" t="n">
        <f aca="false">SUMIF($X:$X,CONCATENATE($AN76,BJ$6),$W:$W)</f>
        <v>0</v>
      </c>
      <c r="BK76" s="134" t="n">
        <f aca="false">SUMIF($X:$X,CONCATENATE($AN76,BK$6),$W:$W)</f>
        <v>0</v>
      </c>
      <c r="BL76" s="134" t="n">
        <f aca="false">SUMIF($X:$X,CONCATENATE($AN76,BL$6),$W:$W)</f>
        <v>0</v>
      </c>
      <c r="BM76" s="134" t="n">
        <f aca="false">SUMIF($X:$X,CONCATENATE($AN76,BM$6),$W:$W)</f>
        <v>0</v>
      </c>
      <c r="BN76" s="134" t="n">
        <f aca="false">SUMIF($X:$X,CONCATENATE($AN76,BN$6),$W:$W)</f>
        <v>0</v>
      </c>
      <c r="BO76" s="134" t="n">
        <f aca="false">SUMIF($X:$X,CONCATENATE($AN76,BO$6),$W:$W)</f>
        <v>0</v>
      </c>
      <c r="BP76" s="134" t="n">
        <f aca="false">SUMIF($X:$X,CONCATENATE($AN76,BP$6),$W:$W)</f>
        <v>0</v>
      </c>
      <c r="BQ76" s="134" t="n">
        <f aca="false">SUMIF($X:$X,CONCATENATE($AN76,BQ$6),$W:$W)</f>
        <v>0</v>
      </c>
      <c r="BR76" s="135" t="n">
        <f aca="false">SUMIF($X:$X,CONCATENATE($AN76,BR$6),$W:$W)</f>
        <v>0</v>
      </c>
      <c r="BS76" s="208" t="n">
        <f aca="false">EOMONTH(BS75,0)+1</f>
        <v>38838</v>
      </c>
      <c r="BT76" s="135" t="n">
        <f aca="false">SUM(BF76:BR76)</f>
        <v>0</v>
      </c>
      <c r="BU76" s="2"/>
      <c r="BV76" s="2"/>
      <c r="BW76" s="2"/>
      <c r="BX76" s="2"/>
      <c r="BY76" s="2"/>
      <c r="BZ76" s="2"/>
      <c r="CA76" s="2"/>
      <c r="CB76" s="2"/>
      <c r="CC76" s="182" t="n">
        <f aca="false">G76</f>
        <v>36770</v>
      </c>
      <c r="CD76" s="253" t="e">
        <f aca="false">xSPRDOPT((VLOOKUP(G76,NGPrices,2,FALSE())+HLOOKUP(D76,Prices,VLOOKUP(G76,move_down,2,FALSE()),FALSE())),VLOOKUP(G76,NGPrices,2,FALSE()),I76,VLOOKUP(G76,NGPREVPRICES,4,FALSE()),HLOOKUP(D76,PREVVOLS,VLOOKUP(G76,MOVE_DOWN2,2,FALSE()),FALSE()),VLOOKUP(G76,NGPREVPRICES,3,FALSE()),HLOOKUP(D76,Correllate,VLOOKUP(G76,CorMove,2,FALSE()),FALSE()),Q76-$CD$3,R76,$CD$5)*H76-CJ76</f>
        <v>#NAME?</v>
      </c>
      <c r="CE76" s="253" t="e">
        <f aca="false">xSPRDOPT((VLOOKUP(G76,NGPREVPRICES,2,FALSE())+HLOOKUP(D76,PREVCURVES,VLOOKUP(G76,MOVE_DOWN2,2,FALSE()),FALSE())),VLOOKUP(G76,NGPREVPRICES,2,FALSE()),CK76,VLOOKUP(G76,NGPrices,4,FALSE()),HLOOKUP(D76,PREVVOLS,VLOOKUP(G76,MOVE_DOWN2,2,FALSE()),FALSE()),VLOOKUP(G76,NGPREVPRICES,3,FALSE()),HLOOKUP(D76,Correllate,VLOOKUP(G76,CorMove,2,FALSE()),FALSE()),Q76-$CD$3,R76,$CJ$5)*H76-CJ76</f>
        <v>#NAME?</v>
      </c>
      <c r="CF76" s="132" t="e">
        <f aca="false">(CJ76/VLOOKUP(CC76,discount,3,FALSE()))-(CJ76/VLOOKUP(CC76,discount,2,FALSE()))</f>
        <v>#NAME?</v>
      </c>
      <c r="CG76" s="253" t="e">
        <f aca="false">xSPRDOPT((VLOOKUP(G76,NGPREVPRICES,2,FALSE())+HLOOKUP(D76,PREVCURVES,VLOOKUP(G76,MOVE_DOWN2,2,FALSE()),FALSE())),VLOOKUP(G76,NGPREVPRICES,2,FALSE()),CK76,VLOOKUP(G76,NGPREVPRICES,4,FALSE()),HLOOKUP(D76,VOLS,VLOOKUP(G76,move_down,2,FALSE()),FALSE()),VLOOKUP(G76,NGPrices,3,FALSE()),HLOOKUP(D76,Correllate,VLOOKUP(G76,CorMove,2,FALSE()),FALSE()),Q76-$CD$3,R76,$CJ$5)*H76-CJ76</f>
        <v>#NAME?</v>
      </c>
      <c r="CH76" s="253" t="e">
        <f aca="false">xSPRDOPT((VLOOKUP(G76,NGPREVPRICES,2,FALSE())+HLOOKUP(D76,PREVCURVES,VLOOKUP(G76,MOVE_DOWN2,2,FALSE()),FALSE())),VLOOKUP(G76,NGPREVPRICES,2,FALSE()),CK76,VLOOKUP(G76,NGPREVPRICES,4,FALSE()),HLOOKUP(D76,PREVVOLS,VLOOKUP(G76,MOVE_DOWN2,2,FALSE()),FALSE()),VLOOKUP(G76,NGPREVPRICES,3,FALSE()),HLOOKUP(D76,Correllate,VLOOKUP(G76,CorMove,2,FALSE()),FALSE()),Q76-$C$3,R76,$CJ$5)*H76-CJ76</f>
        <v>#NAME?</v>
      </c>
      <c r="CI76" s="253" t="e">
        <f aca="false">SUM(CD76:CH76)</f>
        <v>#NAME?</v>
      </c>
      <c r="CJ76" s="253" t="e">
        <f aca="false">xSPRDOPT((VLOOKUP(G76,NGPREVPRICES,2,FALSE())+HLOOKUP(D76,PREVCURVES,VLOOKUP(G76,MOVE_DOWN2,2,FALSE()),FALSE())),VLOOKUP(G76,NGPREVPRICES,2,FALSE()),CK76,VLOOKUP(G76,NGPREVPRICES,4,FALSE()),HLOOKUP(D76,PREVVOLS,VLOOKUP(G76,MOVE_DOWN2,2,FALSE()),FALSE()),VLOOKUP(G76,NGPREVPRICES,3,FALSE()),HLOOKUP(D76,Correllate,VLOOKUP(G76,CorMove,2,FALSE()),FALSE()),Q76-$CD$3,R76,$CJ$5)*H76</f>
        <v>#NAME?</v>
      </c>
      <c r="CK76" s="254" t="n">
        <f aca="false">I76</f>
        <v>0.3</v>
      </c>
      <c r="CL76" s="253"/>
      <c r="CM76" s="0" t="str">
        <f aca="false">CONCATENATE(CC76,$CD$6)</f>
        <v>36770Curve Shift/Gamma</v>
      </c>
      <c r="CN76" s="0" t="str">
        <f aca="false">CONCATENATE($CC76,$CE$6)</f>
        <v>36770Rho</v>
      </c>
      <c r="CO76" s="0" t="str">
        <f aca="false">CONCATENATE($CC76,$CF$6)</f>
        <v>36770Drift</v>
      </c>
      <c r="CP76" s="0" t="str">
        <f aca="false">CONCATENATE($CC76,$CG$6)</f>
        <v>36770Vega</v>
      </c>
      <c r="CQ76" s="0" t="str">
        <f aca="false">CONCATENATE($CC76,$CH$6)</f>
        <v>36770Theta</v>
      </c>
    </row>
    <row r="77" customFormat="false" ht="12" hidden="false" customHeight="true" outlineLevel="0" collapsed="false">
      <c r="A77" s="265" t="s">
        <v>198</v>
      </c>
      <c r="B77" s="0" t="s">
        <v>192</v>
      </c>
      <c r="C77" s="0" t="s">
        <v>231</v>
      </c>
      <c r="D77" s="7" t="s">
        <v>151</v>
      </c>
      <c r="E77" s="0" t="s">
        <v>131</v>
      </c>
      <c r="F77" s="0" t="s">
        <v>136</v>
      </c>
      <c r="G77" s="92" t="n">
        <v>36800</v>
      </c>
      <c r="H77" s="248" t="n">
        <v>-1000000</v>
      </c>
      <c r="I77" s="0" t="n">
        <v>-0.25</v>
      </c>
      <c r="J77" s="124" t="n">
        <f aca="false">VLOOKUP(G77,NGPrices,2,FALSE())</f>
        <v>4.692</v>
      </c>
      <c r="K77" s="125" t="n">
        <f aca="false">HLOOKUP(D77,Prices,VLOOKUP(G77,move_down,2,FALSE()),FALSE())+VLOOKUP(G77,CHANGE,HLOOKUP(D77,CHANGE,2,FALSE()),FALSE())</f>
        <v>-0.805</v>
      </c>
      <c r="L77" s="124" t="n">
        <f aca="false">K77+J77</f>
        <v>3.887</v>
      </c>
      <c r="M77" s="126" t="n">
        <f aca="false">VLOOKUP(G77,NGPrices,4,FALSE())</f>
        <v>0.068050789414654</v>
      </c>
      <c r="N77" s="7" t="n">
        <f aca="false">VLOOKUP(G77,NGPrices,3,FALSE())</f>
        <v>0.575</v>
      </c>
      <c r="O77" s="7" t="n">
        <f aca="false">HLOOKUP(D77,VOLS,VLOOKUP(G77,move_down,2,FALSE()),FALSE())</f>
        <v>0.552</v>
      </c>
      <c r="P77" s="249" t="n">
        <f aca="false">HLOOKUP(D77,Correllate,VLOOKUP(G77,CorMove,2,FALSE()),FALSE())</f>
        <v>0.84</v>
      </c>
      <c r="Q77" s="92" t="n">
        <f aca="false">WORKDAY(G77,-2)</f>
        <v>36797</v>
      </c>
      <c r="R77" s="7" t="n">
        <f aca="false">IF(F77="P",0,1)</f>
        <v>1</v>
      </c>
      <c r="S77" s="130" t="e">
        <f aca="false">xSPRDOPT($L77,$J77,$I77,$M77,$O77,$N77,$P77,$Q77-$C$3,$R77,0)</f>
        <v>#NAME?</v>
      </c>
      <c r="T77" s="250" t="e">
        <f aca="false">xSPRDOPT($L77,$J77,$I77,$M77,$O77,$N77,$P77,$Q77-$C$3,$R77,1)*H77</f>
        <v>#NAME?</v>
      </c>
      <c r="U77" s="43" t="e">
        <f aca="false">S77*H77</f>
        <v>#NAME?</v>
      </c>
      <c r="V77" s="250" t="e">
        <f aca="false">xSPRDOPT($L77,$J77,$I77,$M77,$O77,$N77,$P77,$Q77-$C$3,$R77,2)*H77</f>
        <v>#NAME?</v>
      </c>
      <c r="W77" s="250" t="e">
        <f aca="false">+V77+T77</f>
        <v>#NAME?</v>
      </c>
      <c r="X77" s="2" t="str">
        <f aca="false">CONCATENATE(G77,D77)</f>
        <v>36800IF-NWPL_ROCKY_M</v>
      </c>
      <c r="Y77" s="251" t="n">
        <f aca="false">H77/10000</f>
        <v>-100</v>
      </c>
      <c r="Z77" s="226" t="e">
        <f aca="false">T77/H77</f>
        <v>#NAME?</v>
      </c>
      <c r="AA77" s="226" t="e">
        <f aca="false">xSPRDOPT($L77,$J77,$I77,$M77,$O77,$N77,$P77,$Q77-$C$3,$R77,3)</f>
        <v>#NAME?</v>
      </c>
      <c r="AB77" s="226" t="e">
        <f aca="false">((xSPRDOPT($L77+AB$5,$J77,$I77,$M77,$O77,$N77,$P77,$Q77-$C$3,$R77,3)*$H77)/10000)/100</f>
        <v>#NAME?</v>
      </c>
      <c r="AC77" s="226" t="e">
        <f aca="false">((xSPRDOPT($L77+$AB$5,$J77,$I77,$M77,$O77,$N77,$P77,$Q77-$C$3,$R77,7)*$H77)/100)</f>
        <v>#NAME?</v>
      </c>
      <c r="AD77" s="226" t="e">
        <f aca="false">(xSPRDOPT($L77+$AB$5,$J77,$I77,$M77,$O77,$N77,$P77,$Q77-$C$3,$R77,9)/365)*$H77</f>
        <v>#NAME?</v>
      </c>
      <c r="AE77" s="0" t="e">
        <f aca="false">CD77</f>
        <v>#NAME?</v>
      </c>
      <c r="AF77" s="226" t="e">
        <f aca="false">((O77/N77)*AH77)+AG77</f>
        <v>#NAME?</v>
      </c>
      <c r="AG77" s="226" t="e">
        <f aca="false">((xSPRDOPT($L77,$J77,$I77,$M77,$O77,$N77,$P77,$Q77-$C$3,$R77,6)*$H77)/100)</f>
        <v>#NAME?</v>
      </c>
      <c r="AH77" s="226" t="e">
        <f aca="false">((xSPRDOPT($L77,$J77,$I77,$M77,$O77,$N77,$P77,$Q77-$C$3,$R77,5)*$H77)/100)</f>
        <v>#NAME?</v>
      </c>
      <c r="AI77" s="226" t="e">
        <f aca="false">(((xSPRDOPT($L77,$J77,$I77,$M77,$O77,$N77,$P77,$Q77-$C$3,$R77,4)*$H77)/10000)/100)-AB77</f>
        <v>#NAME?</v>
      </c>
      <c r="AJ77" s="226"/>
      <c r="AK77" s="226"/>
      <c r="AL77" s="226"/>
      <c r="AM77" s="252"/>
      <c r="AN77" s="208" t="n">
        <f aca="false">EOMONTH(AN76,0)+1</f>
        <v>38869</v>
      </c>
      <c r="AO77" s="134" t="n">
        <f aca="false">SUMIF($X:$X,CONCATENATE($AN77,AO$6),$T:$T)/10000</f>
        <v>0</v>
      </c>
      <c r="AP77" s="134" t="n">
        <f aca="false">SUMIF($X:$X,CONCATENATE($AN77,AP$6),$T:$T)/10000</f>
        <v>0</v>
      </c>
      <c r="AQ77" s="134" t="n">
        <f aca="false">SUMIF($X:$X,CONCATENATE($AN77,AQ$6),$T:$T)/10000</f>
        <v>0</v>
      </c>
      <c r="AR77" s="134" t="n">
        <f aca="false">SUMIF($X:$X,CONCATENATE($AN77,AR$6),$T:$T)/10000</f>
        <v>0</v>
      </c>
      <c r="AS77" s="134" t="n">
        <f aca="false">SUMIF($X:$X,CONCATENATE($AN77,AS$6),$T:$T)/10000</f>
        <v>0</v>
      </c>
      <c r="AT77" s="134" t="n">
        <f aca="false">SUMIF($X:$X,CONCATENATE($AN77,AT$6),$T:$T)/10000</f>
        <v>0</v>
      </c>
      <c r="AU77" s="134" t="n">
        <f aca="false">SUMIF($X:$X,CONCATENATE($AN77,AU$6),$T:$T)/10000</f>
        <v>0</v>
      </c>
      <c r="AV77" s="134" t="n">
        <f aca="false">SUMIF($X:$X,CONCATENATE($AN77,AV$6),$T:$T)/10000</f>
        <v>0</v>
      </c>
      <c r="AW77" s="134" t="n">
        <f aca="false">SUMIF($X:$X,CONCATENATE($AN77,AW$6),$T:$T)/10000</f>
        <v>0</v>
      </c>
      <c r="AX77" s="134" t="n">
        <f aca="false">SUMIF($X:$X,CONCATENATE($AN77,AX$6),$T:$T)/10000</f>
        <v>0</v>
      </c>
      <c r="AY77" s="134" t="n">
        <f aca="false">SUMIF($X:$X,CONCATENATE($AN77,AY$6),$T:$T)/10000</f>
        <v>0</v>
      </c>
      <c r="AZ77" s="134" t="n">
        <f aca="false">SUMIF($X:$X,CONCATENATE($AN77,AZ$6),$T:$T)/10000</f>
        <v>0</v>
      </c>
      <c r="BA77" s="135" t="n">
        <f aca="false">SUMIF($X:$X,CONCATENATE($AN77,BA$6),$T:$T)/10000</f>
        <v>0</v>
      </c>
      <c r="BB77" s="208" t="n">
        <f aca="false">EOMONTH(BB76,0)+1</f>
        <v>38869</v>
      </c>
      <c r="BC77" s="135" t="n">
        <f aca="false">SUM(AO77:BA77)</f>
        <v>0</v>
      </c>
      <c r="BD77" s="2"/>
      <c r="BE77" s="208" t="n">
        <f aca="false">EOMONTH(BE76,0)+1</f>
        <v>38869</v>
      </c>
      <c r="BF77" s="134" t="n">
        <f aca="false">SUMIF($X:$X,CONCATENATE($AN77,BF$6),$W:$W)</f>
        <v>0</v>
      </c>
      <c r="BG77" s="134" t="n">
        <f aca="false">SUMIF($X:$X,CONCATENATE($AN77,BG$6),$W:$W)</f>
        <v>0</v>
      </c>
      <c r="BH77" s="134" t="n">
        <f aca="false">SUMIF($X:$X,CONCATENATE($AN77,BH$6),$W:$W)</f>
        <v>0</v>
      </c>
      <c r="BI77" s="134" t="n">
        <f aca="false">SUMIF($X:$X,CONCATENATE($AN77,BI$6),$W:$W)</f>
        <v>0</v>
      </c>
      <c r="BJ77" s="134" t="n">
        <f aca="false">SUMIF($X:$X,CONCATENATE($AN77,BJ$6),$W:$W)</f>
        <v>0</v>
      </c>
      <c r="BK77" s="134" t="n">
        <f aca="false">SUMIF($X:$X,CONCATENATE($AN77,BK$6),$W:$W)</f>
        <v>0</v>
      </c>
      <c r="BL77" s="134" t="n">
        <f aca="false">SUMIF($X:$X,CONCATENATE($AN77,BL$6),$W:$W)</f>
        <v>0</v>
      </c>
      <c r="BM77" s="134" t="n">
        <f aca="false">SUMIF($X:$X,CONCATENATE($AN77,BM$6),$W:$W)</f>
        <v>0</v>
      </c>
      <c r="BN77" s="134" t="n">
        <f aca="false">SUMIF($X:$X,CONCATENATE($AN77,BN$6),$W:$W)</f>
        <v>0</v>
      </c>
      <c r="BO77" s="134" t="n">
        <f aca="false">SUMIF($X:$X,CONCATENATE($AN77,BO$6),$W:$W)</f>
        <v>0</v>
      </c>
      <c r="BP77" s="134" t="n">
        <f aca="false">SUMIF($X:$X,CONCATENATE($AN77,BP$6),$W:$W)</f>
        <v>0</v>
      </c>
      <c r="BQ77" s="134" t="n">
        <f aca="false">SUMIF($X:$X,CONCATENATE($AN77,BQ$6),$W:$W)</f>
        <v>0</v>
      </c>
      <c r="BR77" s="135" t="n">
        <f aca="false">SUMIF($X:$X,CONCATENATE($AN77,BR$6),$W:$W)</f>
        <v>0</v>
      </c>
      <c r="BS77" s="208" t="n">
        <f aca="false">EOMONTH(BS76,0)+1</f>
        <v>38869</v>
      </c>
      <c r="BT77" s="135" t="n">
        <f aca="false">SUM(BF77:BR77)</f>
        <v>0</v>
      </c>
      <c r="BU77" s="2"/>
      <c r="BV77" s="2"/>
      <c r="BW77" s="2"/>
      <c r="BX77" s="2"/>
      <c r="BY77" s="2"/>
      <c r="BZ77" s="2"/>
      <c r="CA77" s="2"/>
      <c r="CB77" s="2"/>
      <c r="CC77" s="182" t="n">
        <f aca="false">G77</f>
        <v>36800</v>
      </c>
      <c r="CD77" s="253" t="e">
        <f aca="false">xSPRDOPT((VLOOKUP(G77,NGPrices,2,FALSE())+HLOOKUP(D77,Prices,VLOOKUP(G77,move_down,2,FALSE()),FALSE())),VLOOKUP(G77,NGPrices,2,FALSE()),I77,VLOOKUP(G77,NGPREVPRICES,4,FALSE()),HLOOKUP(D77,PREVVOLS,VLOOKUP(G77,MOVE_DOWN2,2,FALSE()),FALSE()),VLOOKUP(G77,NGPREVPRICES,3,FALSE()),HLOOKUP(D77,Correllate,VLOOKUP(G77,CorMove,2,FALSE()),FALSE()),Q77-$CD$3,R77,$CD$5)*H77-CJ77</f>
        <v>#NAME?</v>
      </c>
      <c r="CE77" s="253" t="e">
        <f aca="false">xSPRDOPT((VLOOKUP(G77,NGPREVPRICES,2,FALSE())+HLOOKUP(D77,PREVCURVES,VLOOKUP(G77,MOVE_DOWN2,2,FALSE()),FALSE())),VLOOKUP(G77,NGPREVPRICES,2,FALSE()),CK77,VLOOKUP(G77,NGPrices,4,FALSE()),HLOOKUP(D77,PREVVOLS,VLOOKUP(G77,MOVE_DOWN2,2,FALSE()),FALSE()),VLOOKUP(G77,NGPREVPRICES,3,FALSE()),HLOOKUP(D77,Correllate,VLOOKUP(G77,CorMove,2,FALSE()),FALSE()),Q77-$CD$3,R77,$CJ$5)*H77-CJ77</f>
        <v>#NAME?</v>
      </c>
      <c r="CF77" s="132" t="e">
        <f aca="false">(CJ77/VLOOKUP(CC77,discount,3,FALSE()))-(CJ77/VLOOKUP(CC77,discount,2,FALSE()))</f>
        <v>#NAME?</v>
      </c>
      <c r="CG77" s="253" t="e">
        <f aca="false">xSPRDOPT((VLOOKUP(G77,NGPREVPRICES,2,FALSE())+HLOOKUP(D77,PREVCURVES,VLOOKUP(G77,MOVE_DOWN2,2,FALSE()),FALSE())),VLOOKUP(G77,NGPREVPRICES,2,FALSE()),CK77,VLOOKUP(G77,NGPREVPRICES,4,FALSE()),HLOOKUP(D77,VOLS,VLOOKUP(G77,move_down,2,FALSE()),FALSE()),VLOOKUP(G77,NGPrices,3,FALSE()),HLOOKUP(D77,Correllate,VLOOKUP(G77,CorMove,2,FALSE()),FALSE()),Q77-$CD$3,R77,$CJ$5)*H77-CJ77</f>
        <v>#NAME?</v>
      </c>
      <c r="CH77" s="253" t="e">
        <f aca="false">xSPRDOPT((VLOOKUP(G77,NGPREVPRICES,2,FALSE())+HLOOKUP(D77,PREVCURVES,VLOOKUP(G77,MOVE_DOWN2,2,FALSE()),FALSE())),VLOOKUP(G77,NGPREVPRICES,2,FALSE()),CK77,VLOOKUP(G77,NGPREVPRICES,4,FALSE()),HLOOKUP(D77,PREVVOLS,VLOOKUP(G77,MOVE_DOWN2,2,FALSE()),FALSE()),VLOOKUP(G77,NGPREVPRICES,3,FALSE()),HLOOKUP(D77,Correllate,VLOOKUP(G77,CorMove,2,FALSE()),FALSE()),Q77-$C$3,R77,$CJ$5)*H77-CJ77</f>
        <v>#NAME?</v>
      </c>
      <c r="CI77" s="253" t="e">
        <f aca="false">SUM(CD77:CH77)</f>
        <v>#NAME?</v>
      </c>
      <c r="CJ77" s="253" t="e">
        <f aca="false">xSPRDOPT((VLOOKUP(G77,NGPREVPRICES,2,FALSE())+HLOOKUP(D77,PREVCURVES,VLOOKUP(G77,MOVE_DOWN2,2,FALSE()),FALSE())),VLOOKUP(G77,NGPREVPRICES,2,FALSE()),CK77,VLOOKUP(G77,NGPREVPRICES,4,FALSE()),HLOOKUP(D77,PREVVOLS,VLOOKUP(G77,MOVE_DOWN2,2,FALSE()),FALSE()),VLOOKUP(G77,NGPREVPRICES,3,FALSE()),HLOOKUP(D77,Correllate,VLOOKUP(G77,CorMove,2,FALSE()),FALSE()),Q77-$CD$3,R77,$CJ$5)*H77</f>
        <v>#NAME?</v>
      </c>
      <c r="CK77" s="254" t="n">
        <f aca="false">I77</f>
        <v>-0.25</v>
      </c>
      <c r="CL77" s="253"/>
      <c r="CM77" s="0" t="str">
        <f aca="false">CONCATENATE(CC77,$CD$6)</f>
        <v>36800Curve Shift/Gamma</v>
      </c>
      <c r="CN77" s="0" t="str">
        <f aca="false">CONCATENATE($CC77,$CE$6)</f>
        <v>36800Rho</v>
      </c>
      <c r="CO77" s="0" t="str">
        <f aca="false">CONCATENATE($CC77,$CF$6)</f>
        <v>36800Drift</v>
      </c>
      <c r="CP77" s="0" t="str">
        <f aca="false">CONCATENATE($CC77,$CG$6)</f>
        <v>36800Vega</v>
      </c>
      <c r="CQ77" s="0" t="str">
        <f aca="false">CONCATENATE($CC77,$CH$6)</f>
        <v>36800Theta</v>
      </c>
    </row>
    <row r="78" customFormat="false" ht="12" hidden="false" customHeight="true" outlineLevel="0" collapsed="false">
      <c r="A78" s="265" t="s">
        <v>198</v>
      </c>
      <c r="B78" s="0" t="s">
        <v>192</v>
      </c>
      <c r="C78" s="0" t="s">
        <v>231</v>
      </c>
      <c r="D78" s="7" t="s">
        <v>151</v>
      </c>
      <c r="E78" s="0" t="s">
        <v>131</v>
      </c>
      <c r="F78" s="0" t="s">
        <v>136</v>
      </c>
      <c r="G78" s="92" t="n">
        <v>36770</v>
      </c>
      <c r="H78" s="248" t="n">
        <v>-1000000</v>
      </c>
      <c r="I78" s="0" t="n">
        <v>-0.25</v>
      </c>
      <c r="J78" s="124" t="n">
        <f aca="false">VLOOKUP(G78,NGPrices,2,FALSE())</f>
        <v>4.685</v>
      </c>
      <c r="K78" s="125" t="n">
        <f aca="false">HLOOKUP(D78,Prices,VLOOKUP(G78,move_down,2,FALSE()),FALSE())+VLOOKUP(G78,CHANGE,HLOOKUP(D78,CHANGE,2,FALSE()),FALSE())</f>
        <v>-1.24</v>
      </c>
      <c r="L78" s="124" t="n">
        <f aca="false">K78+J78</f>
        <v>3.445</v>
      </c>
      <c r="M78" s="126" t="n">
        <f aca="false">VLOOKUP(G78,NGPrices,4,FALSE())</f>
        <v>0.067216196212185</v>
      </c>
      <c r="N78" s="7" t="n">
        <f aca="false">VLOOKUP(G78,NGPrices,3,FALSE())</f>
        <v>0.4</v>
      </c>
      <c r="O78" s="7" t="n">
        <f aca="false">HLOOKUP(D78,VOLS,VLOOKUP(G78,move_down,2,FALSE()),FALSE())</f>
        <v>0.384</v>
      </c>
      <c r="P78" s="249" t="n">
        <f aca="false">HLOOKUP(D78,Correllate,VLOOKUP(G78,CorMove,2,FALSE()),FALSE())</f>
        <v>0.84</v>
      </c>
      <c r="Q78" s="92" t="n">
        <f aca="false">WORKDAY(G78,-2)</f>
        <v>36768</v>
      </c>
      <c r="R78" s="7" t="n">
        <f aca="false">IF(F78="P",0,1)</f>
        <v>1</v>
      </c>
      <c r="S78" s="130" t="e">
        <f aca="false">xSPRDOPT($L78,$J78,$I78,$M78,$O78,$N78,$P78,$Q78-$C$3,$R78,0)</f>
        <v>#NAME?</v>
      </c>
      <c r="T78" s="250" t="e">
        <f aca="false">xSPRDOPT($L78,$J78,$I78,$M78,$O78,$N78,$P78,$Q78-$C$3,$R78,1)*H78</f>
        <v>#NAME?</v>
      </c>
      <c r="U78" s="43" t="e">
        <f aca="false">S78*H78</f>
        <v>#NAME?</v>
      </c>
      <c r="V78" s="250" t="e">
        <f aca="false">xSPRDOPT($L78,$J78,$I78,$M78,$O78,$N78,$P78,$Q78-$C$3,$R78,2)*H78</f>
        <v>#NAME?</v>
      </c>
      <c r="W78" s="250" t="e">
        <f aca="false">+V78+T78</f>
        <v>#NAME?</v>
      </c>
      <c r="X78" s="2" t="str">
        <f aca="false">CONCATENATE(G78,D78)</f>
        <v>36770IF-NWPL_ROCKY_M</v>
      </c>
      <c r="Y78" s="251" t="n">
        <f aca="false">H78/10000</f>
        <v>-100</v>
      </c>
      <c r="Z78" s="226" t="e">
        <f aca="false">T78/H78</f>
        <v>#NAME?</v>
      </c>
      <c r="AA78" s="226" t="e">
        <f aca="false">xSPRDOPT($L78,$J78,$I78,$M78,$O78,$N78,$P78,$Q78-$C$3,$R78,3)</f>
        <v>#NAME?</v>
      </c>
      <c r="AB78" s="226" t="e">
        <f aca="false">((xSPRDOPT($L78+AB$5,$J78,$I78,$M78,$O78,$N78,$P78,$Q78-$C$3,$R78,3)*$H78)/10000)/100</f>
        <v>#NAME?</v>
      </c>
      <c r="AC78" s="226" t="e">
        <f aca="false">((xSPRDOPT($L78+$AB$5,$J78,$I78,$M78,$O78,$N78,$P78,$Q78-$C$3,$R78,7)*$H78)/100)</f>
        <v>#NAME?</v>
      </c>
      <c r="AD78" s="226" t="e">
        <f aca="false">(xSPRDOPT($L78+$AB$5,$J78,$I78,$M78,$O78,$N78,$P78,$Q78-$C$3,$R78,9)/365)*$H78</f>
        <v>#NAME?</v>
      </c>
      <c r="AE78" s="0" t="e">
        <f aca="false">CD78</f>
        <v>#NAME?</v>
      </c>
      <c r="AF78" s="226" t="e">
        <f aca="false">((O78/N78)*AH78)+AG78</f>
        <v>#NAME?</v>
      </c>
      <c r="AG78" s="226" t="e">
        <f aca="false">((xSPRDOPT($L78,$J78,$I78,$M78,$O78,$N78,$P78,$Q78-$C$3,$R78,6)*$H78)/100)</f>
        <v>#NAME?</v>
      </c>
      <c r="AH78" s="226" t="e">
        <f aca="false">((xSPRDOPT($L78,$J78,$I78,$M78,$O78,$N78,$P78,$Q78-$C$3,$R78,5)*$H78)/100)</f>
        <v>#NAME?</v>
      </c>
      <c r="AI78" s="226" t="e">
        <f aca="false">(((xSPRDOPT($L78,$J78,$I78,$M78,$O78,$N78,$P78,$Q78-$C$3,$R78,4)*$H78)/10000)/100)-AB78</f>
        <v>#NAME?</v>
      </c>
      <c r="AJ78" s="226"/>
      <c r="AK78" s="226"/>
      <c r="AL78" s="226"/>
      <c r="AM78" s="252"/>
      <c r="AN78" s="208" t="n">
        <f aca="false">EOMONTH(AN77,0)+1</f>
        <v>38899</v>
      </c>
      <c r="AO78" s="134" t="n">
        <f aca="false">SUMIF($X:$X,CONCATENATE($AN78,AO$6),$T:$T)/10000</f>
        <v>0</v>
      </c>
      <c r="AP78" s="134" t="n">
        <f aca="false">SUMIF($X:$X,CONCATENATE($AN78,AP$6),$T:$T)/10000</f>
        <v>0</v>
      </c>
      <c r="AQ78" s="134" t="n">
        <f aca="false">SUMIF($X:$X,CONCATENATE($AN78,AQ$6),$T:$T)/10000</f>
        <v>0</v>
      </c>
      <c r="AR78" s="134" t="n">
        <f aca="false">SUMIF($X:$X,CONCATENATE($AN78,AR$6),$T:$T)/10000</f>
        <v>0</v>
      </c>
      <c r="AS78" s="134" t="n">
        <f aca="false">SUMIF($X:$X,CONCATENATE($AN78,AS$6),$T:$T)/10000</f>
        <v>0</v>
      </c>
      <c r="AT78" s="134" t="n">
        <f aca="false">SUMIF($X:$X,CONCATENATE($AN78,AT$6),$T:$T)/10000</f>
        <v>0</v>
      </c>
      <c r="AU78" s="134" t="n">
        <f aca="false">SUMIF($X:$X,CONCATENATE($AN78,AU$6),$T:$T)/10000</f>
        <v>0</v>
      </c>
      <c r="AV78" s="134" t="n">
        <f aca="false">SUMIF($X:$X,CONCATENATE($AN78,AV$6),$T:$T)/10000</f>
        <v>0</v>
      </c>
      <c r="AW78" s="134" t="n">
        <f aca="false">SUMIF($X:$X,CONCATENATE($AN78,AW$6),$T:$T)/10000</f>
        <v>0</v>
      </c>
      <c r="AX78" s="134" t="n">
        <f aca="false">SUMIF($X:$X,CONCATENATE($AN78,AX$6),$T:$T)/10000</f>
        <v>0</v>
      </c>
      <c r="AY78" s="134" t="n">
        <f aca="false">SUMIF($X:$X,CONCATENATE($AN78,AY$6),$T:$T)/10000</f>
        <v>0</v>
      </c>
      <c r="AZ78" s="134" t="n">
        <f aca="false">SUMIF($X:$X,CONCATENATE($AN78,AZ$6),$T:$T)/10000</f>
        <v>0</v>
      </c>
      <c r="BA78" s="135" t="n">
        <f aca="false">SUMIF($X:$X,CONCATENATE($AN78,BA$6),$T:$T)/10000</f>
        <v>0</v>
      </c>
      <c r="BB78" s="208" t="n">
        <f aca="false">EOMONTH(BB77,0)+1</f>
        <v>38899</v>
      </c>
      <c r="BC78" s="135" t="n">
        <f aca="false">SUM(AO78:BA78)</f>
        <v>0</v>
      </c>
      <c r="BD78" s="2"/>
      <c r="BE78" s="208" t="n">
        <f aca="false">EOMONTH(BE77,0)+1</f>
        <v>38899</v>
      </c>
      <c r="BF78" s="134" t="n">
        <f aca="false">SUMIF($X:$X,CONCATENATE($AN78,BF$6),$W:$W)</f>
        <v>0</v>
      </c>
      <c r="BG78" s="134" t="n">
        <f aca="false">SUMIF($X:$X,CONCATENATE($AN78,BG$6),$W:$W)</f>
        <v>0</v>
      </c>
      <c r="BH78" s="134" t="n">
        <f aca="false">SUMIF($X:$X,CONCATENATE($AN78,BH$6),$W:$W)</f>
        <v>0</v>
      </c>
      <c r="BI78" s="134" t="n">
        <f aca="false">SUMIF($X:$X,CONCATENATE($AN78,BI$6),$W:$W)</f>
        <v>0</v>
      </c>
      <c r="BJ78" s="134" t="n">
        <f aca="false">SUMIF($X:$X,CONCATENATE($AN78,BJ$6),$W:$W)</f>
        <v>0</v>
      </c>
      <c r="BK78" s="134" t="n">
        <f aca="false">SUMIF($X:$X,CONCATENATE($AN78,BK$6),$W:$W)</f>
        <v>0</v>
      </c>
      <c r="BL78" s="134" t="n">
        <f aca="false">SUMIF($X:$X,CONCATENATE($AN78,BL$6),$W:$W)</f>
        <v>0</v>
      </c>
      <c r="BM78" s="134" t="n">
        <f aca="false">SUMIF($X:$X,CONCATENATE($AN78,BM$6),$W:$W)</f>
        <v>0</v>
      </c>
      <c r="BN78" s="134" t="n">
        <f aca="false">SUMIF($X:$X,CONCATENATE($AN78,BN$6),$W:$W)</f>
        <v>0</v>
      </c>
      <c r="BO78" s="134" t="n">
        <f aca="false">SUMIF($X:$X,CONCATENATE($AN78,BO$6),$W:$W)</f>
        <v>0</v>
      </c>
      <c r="BP78" s="134" t="n">
        <f aca="false">SUMIF($X:$X,CONCATENATE($AN78,BP$6),$W:$W)</f>
        <v>0</v>
      </c>
      <c r="BQ78" s="134" t="n">
        <f aca="false">SUMIF($X:$X,CONCATENATE($AN78,BQ$6),$W:$W)</f>
        <v>0</v>
      </c>
      <c r="BR78" s="135" t="n">
        <f aca="false">SUMIF($X:$X,CONCATENATE($AN78,BR$6),$W:$W)</f>
        <v>0</v>
      </c>
      <c r="BS78" s="208" t="n">
        <f aca="false">EOMONTH(BS77,0)+1</f>
        <v>38899</v>
      </c>
      <c r="BT78" s="135" t="n">
        <f aca="false">SUM(BF78:BR78)</f>
        <v>0</v>
      </c>
      <c r="BU78" s="2"/>
      <c r="BV78" s="2"/>
      <c r="BW78" s="2"/>
      <c r="BX78" s="2"/>
      <c r="BY78" s="2"/>
      <c r="BZ78" s="2"/>
      <c r="CA78" s="2"/>
      <c r="CB78" s="2"/>
      <c r="CC78" s="182" t="n">
        <f aca="false">G78</f>
        <v>36770</v>
      </c>
      <c r="CD78" s="253" t="e">
        <f aca="false">xSPRDOPT((VLOOKUP(G78,NGPrices,2,FALSE())+HLOOKUP(D78,Prices,VLOOKUP(G78,move_down,2,FALSE()),FALSE())),VLOOKUP(G78,NGPrices,2,FALSE()),I78,VLOOKUP(G78,NGPREVPRICES,4,FALSE()),HLOOKUP(D78,PREVVOLS,VLOOKUP(G78,MOVE_DOWN2,2,FALSE()),FALSE()),VLOOKUP(G78,NGPREVPRICES,3,FALSE()),HLOOKUP(D78,Correllate,VLOOKUP(G78,CorMove,2,FALSE()),FALSE()),Q78-$CD$3,R78,$CD$5)*H78-CJ78</f>
        <v>#NAME?</v>
      </c>
      <c r="CE78" s="253" t="e">
        <f aca="false">xSPRDOPT((VLOOKUP(G78,NGPREVPRICES,2,FALSE())+HLOOKUP(D78,PREVCURVES,VLOOKUP(G78,MOVE_DOWN2,2,FALSE()),FALSE())),VLOOKUP(G78,NGPREVPRICES,2,FALSE()),CK78,VLOOKUP(G78,NGPrices,4,FALSE()),HLOOKUP(D78,PREVVOLS,VLOOKUP(G78,MOVE_DOWN2,2,FALSE()),FALSE()),VLOOKUP(G78,NGPREVPRICES,3,FALSE()),HLOOKUP(D78,Correllate,VLOOKUP(G78,CorMove,2,FALSE()),FALSE()),Q78-$CD$3,R78,$CJ$5)*H78-CJ78</f>
        <v>#NAME?</v>
      </c>
      <c r="CF78" s="132" t="e">
        <f aca="false">(CJ78/VLOOKUP(CC78,discount,3,FALSE()))-(CJ78/VLOOKUP(CC78,discount,2,FALSE()))</f>
        <v>#NAME?</v>
      </c>
      <c r="CG78" s="253" t="e">
        <f aca="false">xSPRDOPT((VLOOKUP(G78,NGPREVPRICES,2,FALSE())+HLOOKUP(D78,PREVCURVES,VLOOKUP(G78,MOVE_DOWN2,2,FALSE()),FALSE())),VLOOKUP(G78,NGPREVPRICES,2,FALSE()),CK78,VLOOKUP(G78,NGPREVPRICES,4,FALSE()),HLOOKUP(D78,VOLS,VLOOKUP(G78,move_down,2,FALSE()),FALSE()),VLOOKUP(G78,NGPrices,3,FALSE()),HLOOKUP(D78,Correllate,VLOOKUP(G78,CorMove,2,FALSE()),FALSE()),Q78-$CD$3,R78,$CJ$5)*H78-CJ78</f>
        <v>#NAME?</v>
      </c>
      <c r="CH78" s="253" t="e">
        <f aca="false">xSPRDOPT((VLOOKUP(G78,NGPREVPRICES,2,FALSE())+HLOOKUP(D78,PREVCURVES,VLOOKUP(G78,MOVE_DOWN2,2,FALSE()),FALSE())),VLOOKUP(G78,NGPREVPRICES,2,FALSE()),CK78,VLOOKUP(G78,NGPREVPRICES,4,FALSE()),HLOOKUP(D78,PREVVOLS,VLOOKUP(G78,MOVE_DOWN2,2,FALSE()),FALSE()),VLOOKUP(G78,NGPREVPRICES,3,FALSE()),HLOOKUP(D78,Correllate,VLOOKUP(G78,CorMove,2,FALSE()),FALSE()),Q78-$C$3,R78,$CJ$5)*H78-CJ78</f>
        <v>#NAME?</v>
      </c>
      <c r="CI78" s="253" t="e">
        <f aca="false">SUM(CD78:CH78)</f>
        <v>#NAME?</v>
      </c>
      <c r="CJ78" s="253" t="e">
        <f aca="false">xSPRDOPT((VLOOKUP(G78,NGPREVPRICES,2,FALSE())+HLOOKUP(D78,PREVCURVES,VLOOKUP(G78,MOVE_DOWN2,2,FALSE()),FALSE())),VLOOKUP(G78,NGPREVPRICES,2,FALSE()),CK78,VLOOKUP(G78,NGPREVPRICES,4,FALSE()),HLOOKUP(D78,PREVVOLS,VLOOKUP(G78,MOVE_DOWN2,2,FALSE()),FALSE()),VLOOKUP(G78,NGPREVPRICES,3,FALSE()),HLOOKUP(D78,Correllate,VLOOKUP(G78,CorMove,2,FALSE()),FALSE()),Q78-$CD$3,R78,$CJ$5)*H78</f>
        <v>#NAME?</v>
      </c>
      <c r="CK78" s="254" t="n">
        <f aca="false">I78</f>
        <v>-0.25</v>
      </c>
      <c r="CL78" s="253"/>
      <c r="CM78" s="0" t="str">
        <f aca="false">CONCATENATE(CC78,$CD$6)</f>
        <v>36770Curve Shift/Gamma</v>
      </c>
      <c r="CN78" s="0" t="str">
        <f aca="false">CONCATENATE($CC78,$CE$6)</f>
        <v>36770Rho</v>
      </c>
      <c r="CO78" s="0" t="str">
        <f aca="false">CONCATENATE($CC78,$CF$6)</f>
        <v>36770Drift</v>
      </c>
      <c r="CP78" s="0" t="str">
        <f aca="false">CONCATENATE($CC78,$CG$6)</f>
        <v>36770Vega</v>
      </c>
      <c r="CQ78" s="0" t="str">
        <f aca="false">CONCATENATE($CC78,$CH$6)</f>
        <v>36770Theta</v>
      </c>
    </row>
    <row r="79" customFormat="false" ht="12" hidden="false" customHeight="true" outlineLevel="0" collapsed="false">
      <c r="A79" s="265" t="s">
        <v>198</v>
      </c>
      <c r="B79" s="0" t="s">
        <v>192</v>
      </c>
      <c r="C79" s="0" t="s">
        <v>232</v>
      </c>
      <c r="D79" s="7" t="s">
        <v>151</v>
      </c>
      <c r="E79" s="0" t="s">
        <v>131</v>
      </c>
      <c r="F79" s="0" t="s">
        <v>132</v>
      </c>
      <c r="G79" s="92" t="n">
        <v>36800</v>
      </c>
      <c r="H79" s="248" t="n">
        <v>1000000</v>
      </c>
      <c r="I79" s="0" t="n">
        <v>-0.4</v>
      </c>
      <c r="J79" s="124" t="n">
        <f aca="false">VLOOKUP(G79,NGPrices,2,FALSE())</f>
        <v>4.692</v>
      </c>
      <c r="K79" s="125" t="n">
        <f aca="false">HLOOKUP(D79,Prices,VLOOKUP(G79,move_down,2,FALSE()),FALSE())+VLOOKUP(G79,CHANGE,HLOOKUP(D79,CHANGE,2,FALSE()),FALSE())</f>
        <v>-0.805</v>
      </c>
      <c r="L79" s="124" t="n">
        <f aca="false">K79+J79</f>
        <v>3.887</v>
      </c>
      <c r="M79" s="126" t="n">
        <f aca="false">VLOOKUP(G79,NGPrices,4,FALSE())</f>
        <v>0.068050789414654</v>
      </c>
      <c r="N79" s="7" t="n">
        <f aca="false">VLOOKUP(G79,NGPrices,3,FALSE())</f>
        <v>0.575</v>
      </c>
      <c r="O79" s="7" t="n">
        <f aca="false">HLOOKUP(D79,VOLS,VLOOKUP(G79,move_down,2,FALSE()),FALSE())</f>
        <v>0.552</v>
      </c>
      <c r="P79" s="249" t="n">
        <f aca="false">HLOOKUP(D79,Correllate,VLOOKUP(G79,CorMove,2,FALSE()),FALSE())</f>
        <v>0.84</v>
      </c>
      <c r="Q79" s="92" t="n">
        <f aca="false">WORKDAY(G79,-2)</f>
        <v>36797</v>
      </c>
      <c r="R79" s="7" t="n">
        <f aca="false">IF(F79="P",0,1)</f>
        <v>0</v>
      </c>
      <c r="S79" s="130" t="e">
        <f aca="false">xSPRDOPT($L79,$J79,$I79,$M79,$O79,$N79,$P79,$Q79-$C$3,$R79,0)</f>
        <v>#NAME?</v>
      </c>
      <c r="T79" s="250" t="e">
        <f aca="false">xSPRDOPT($L79,$J79,$I79,$M79,$O79,$N79,$P79,$Q79-$C$3,$R79,1)*H79</f>
        <v>#NAME?</v>
      </c>
      <c r="U79" s="43" t="e">
        <f aca="false">S79*H79</f>
        <v>#NAME?</v>
      </c>
      <c r="V79" s="250" t="e">
        <f aca="false">xSPRDOPT($L79,$J79,$I79,$M79,$O79,$N79,$P79,$Q79-$C$3,$R79,2)*H79</f>
        <v>#NAME?</v>
      </c>
      <c r="W79" s="250" t="e">
        <f aca="false">+V79+T79</f>
        <v>#NAME?</v>
      </c>
      <c r="X79" s="2" t="str">
        <f aca="false">CONCATENATE(G79,D79)</f>
        <v>36800IF-NWPL_ROCKY_M</v>
      </c>
      <c r="Y79" s="251" t="n">
        <f aca="false">H79/10000</f>
        <v>100</v>
      </c>
      <c r="Z79" s="226" t="e">
        <f aca="false">T79/H79</f>
        <v>#NAME?</v>
      </c>
      <c r="AA79" s="226" t="e">
        <f aca="false">xSPRDOPT($L79,$J79,$I79,$M79,$O79,$N79,$P79,$Q79-$C$3,$R79,3)</f>
        <v>#NAME?</v>
      </c>
      <c r="AB79" s="226" t="e">
        <f aca="false">((xSPRDOPT($L79+AB$5,$J79,$I79,$M79,$O79,$N79,$P79,$Q79-$C$3,$R79,3)*$H79)/10000)/100</f>
        <v>#NAME?</v>
      </c>
      <c r="AC79" s="226" t="e">
        <f aca="false">((xSPRDOPT($L79+$AB$5,$J79,$I79,$M79,$O79,$N79,$P79,$Q79-$C$3,$R79,7)*$H79)/100)</f>
        <v>#NAME?</v>
      </c>
      <c r="AD79" s="226" t="e">
        <f aca="false">(xSPRDOPT($L79+$AB$5,$J79,$I79,$M79,$O79,$N79,$P79,$Q79-$C$3,$R79,9)/365)*$H79</f>
        <v>#NAME?</v>
      </c>
      <c r="AE79" s="0" t="e">
        <f aca="false">CD79</f>
        <v>#NAME?</v>
      </c>
      <c r="AF79" s="226" t="e">
        <f aca="false">((O79/N79)*AH79)+AG79</f>
        <v>#NAME?</v>
      </c>
      <c r="AG79" s="226" t="e">
        <f aca="false">((xSPRDOPT($L79,$J79,$I79,$M79,$O79,$N79,$P79,$Q79-$C$3,$R79,6)*$H79)/100)</f>
        <v>#NAME?</v>
      </c>
      <c r="AH79" s="226" t="e">
        <f aca="false">((xSPRDOPT($L79,$J79,$I79,$M79,$O79,$N79,$P79,$Q79-$C$3,$R79,5)*$H79)/100)</f>
        <v>#NAME?</v>
      </c>
      <c r="AI79" s="226" t="e">
        <f aca="false">(((xSPRDOPT($L79,$J79,$I79,$M79,$O79,$N79,$P79,$Q79-$C$3,$R79,4)*$H79)/10000)/100)-AB79</f>
        <v>#NAME?</v>
      </c>
      <c r="AJ79" s="226"/>
      <c r="AK79" s="226"/>
      <c r="AL79" s="226"/>
      <c r="AM79" s="252"/>
      <c r="AN79" s="208" t="n">
        <f aca="false">EOMONTH(AN78,0)+1</f>
        <v>38930</v>
      </c>
      <c r="AO79" s="134" t="n">
        <f aca="false">SUMIF($X:$X,CONCATENATE($AN79,AO$6),$T:$T)/10000</f>
        <v>0</v>
      </c>
      <c r="AP79" s="134" t="n">
        <f aca="false">SUMIF($X:$X,CONCATENATE($AN79,AP$6),$T:$T)/10000</f>
        <v>0</v>
      </c>
      <c r="AQ79" s="134" t="n">
        <f aca="false">SUMIF($X:$X,CONCATENATE($AN79,AQ$6),$T:$T)/10000</f>
        <v>0</v>
      </c>
      <c r="AR79" s="134" t="n">
        <f aca="false">SUMIF($X:$X,CONCATENATE($AN79,AR$6),$T:$T)/10000</f>
        <v>0</v>
      </c>
      <c r="AS79" s="134" t="n">
        <f aca="false">SUMIF($X:$X,CONCATENATE($AN79,AS$6),$T:$T)/10000</f>
        <v>0</v>
      </c>
      <c r="AT79" s="134" t="n">
        <f aca="false">SUMIF($X:$X,CONCATENATE($AN79,AT$6),$T:$T)/10000</f>
        <v>0</v>
      </c>
      <c r="AU79" s="134" t="n">
        <f aca="false">SUMIF($X:$X,CONCATENATE($AN79,AU$6),$T:$T)/10000</f>
        <v>0</v>
      </c>
      <c r="AV79" s="134" t="n">
        <f aca="false">SUMIF($X:$X,CONCATENATE($AN79,AV$6),$T:$T)/10000</f>
        <v>0</v>
      </c>
      <c r="AW79" s="134" t="n">
        <f aca="false">SUMIF($X:$X,CONCATENATE($AN79,AW$6),$T:$T)/10000</f>
        <v>0</v>
      </c>
      <c r="AX79" s="134" t="n">
        <f aca="false">SUMIF($X:$X,CONCATENATE($AN79,AX$6),$T:$T)/10000</f>
        <v>0</v>
      </c>
      <c r="AY79" s="134" t="n">
        <f aca="false">SUMIF($X:$X,CONCATENATE($AN79,AY$6),$T:$T)/10000</f>
        <v>0</v>
      </c>
      <c r="AZ79" s="134" t="n">
        <f aca="false">SUMIF($X:$X,CONCATENATE($AN79,AZ$6),$T:$T)/10000</f>
        <v>0</v>
      </c>
      <c r="BA79" s="135" t="n">
        <f aca="false">SUMIF($X:$X,CONCATENATE($AN79,BA$6),$T:$T)/10000</f>
        <v>0</v>
      </c>
      <c r="BB79" s="208" t="n">
        <f aca="false">EOMONTH(BB78,0)+1</f>
        <v>38930</v>
      </c>
      <c r="BC79" s="135" t="n">
        <f aca="false">SUM(AO79:BA79)</f>
        <v>0</v>
      </c>
      <c r="BD79" s="2"/>
      <c r="BE79" s="208" t="n">
        <f aca="false">EOMONTH(BE78,0)+1</f>
        <v>38930</v>
      </c>
      <c r="BF79" s="134" t="n">
        <f aca="false">SUMIF($X:$X,CONCATENATE($AN79,BF$6),$W:$W)</f>
        <v>0</v>
      </c>
      <c r="BG79" s="134" t="n">
        <f aca="false">SUMIF($X:$X,CONCATENATE($AN79,BG$6),$W:$W)</f>
        <v>0</v>
      </c>
      <c r="BH79" s="134" t="n">
        <f aca="false">SUMIF($X:$X,CONCATENATE($AN79,BH$6),$W:$W)</f>
        <v>0</v>
      </c>
      <c r="BI79" s="134" t="n">
        <f aca="false">SUMIF($X:$X,CONCATENATE($AN79,BI$6),$W:$W)</f>
        <v>0</v>
      </c>
      <c r="BJ79" s="134" t="n">
        <f aca="false">SUMIF($X:$X,CONCATENATE($AN79,BJ$6),$W:$W)</f>
        <v>0</v>
      </c>
      <c r="BK79" s="134" t="n">
        <f aca="false">SUMIF($X:$X,CONCATENATE($AN79,BK$6),$W:$W)</f>
        <v>0</v>
      </c>
      <c r="BL79" s="134" t="n">
        <f aca="false">SUMIF($X:$X,CONCATENATE($AN79,BL$6),$W:$W)</f>
        <v>0</v>
      </c>
      <c r="BM79" s="134" t="n">
        <f aca="false">SUMIF($X:$X,CONCATENATE($AN79,BM$6),$W:$W)</f>
        <v>0</v>
      </c>
      <c r="BN79" s="134" t="n">
        <f aca="false">SUMIF($X:$X,CONCATENATE($AN79,BN$6),$W:$W)</f>
        <v>0</v>
      </c>
      <c r="BO79" s="134" t="n">
        <f aca="false">SUMIF($X:$X,CONCATENATE($AN79,BO$6),$W:$W)</f>
        <v>0</v>
      </c>
      <c r="BP79" s="134" t="n">
        <f aca="false">SUMIF($X:$X,CONCATENATE($AN79,BP$6),$W:$W)</f>
        <v>0</v>
      </c>
      <c r="BQ79" s="134" t="n">
        <f aca="false">SUMIF($X:$X,CONCATENATE($AN79,BQ$6),$W:$W)</f>
        <v>0</v>
      </c>
      <c r="BR79" s="135" t="n">
        <f aca="false">SUMIF($X:$X,CONCATENATE($AN79,BR$6),$W:$W)</f>
        <v>0</v>
      </c>
      <c r="BS79" s="208" t="n">
        <f aca="false">EOMONTH(BS78,0)+1</f>
        <v>38930</v>
      </c>
      <c r="BT79" s="135" t="n">
        <f aca="false">SUM(BF79:BR79)</f>
        <v>0</v>
      </c>
      <c r="BU79" s="2"/>
      <c r="BV79" s="2"/>
      <c r="BW79" s="2"/>
      <c r="BX79" s="2"/>
      <c r="BY79" s="2"/>
      <c r="BZ79" s="2"/>
      <c r="CA79" s="2"/>
      <c r="CB79" s="2"/>
      <c r="CC79" s="182" t="n">
        <f aca="false">G79</f>
        <v>36800</v>
      </c>
      <c r="CD79" s="253" t="e">
        <f aca="false">xSPRDOPT((VLOOKUP(G79,NGPrices,2,FALSE())+HLOOKUP(D79,Prices,VLOOKUP(G79,move_down,2,FALSE()),FALSE())),VLOOKUP(G79,NGPrices,2,FALSE()),I79,VLOOKUP(G79,NGPREVPRICES,4,FALSE()),HLOOKUP(D79,PREVVOLS,VLOOKUP(G79,MOVE_DOWN2,2,FALSE()),FALSE()),VLOOKUP(G79,NGPREVPRICES,3,FALSE()),HLOOKUP(D79,Correllate,VLOOKUP(G79,CorMove,2,FALSE()),FALSE()),Q79-$CD$3,R79,$CD$5)*H79-CJ79</f>
        <v>#NAME?</v>
      </c>
      <c r="CE79" s="253" t="e">
        <f aca="false">xSPRDOPT((VLOOKUP(G79,NGPREVPRICES,2,FALSE())+HLOOKUP(D79,PREVCURVES,VLOOKUP(G79,MOVE_DOWN2,2,FALSE()),FALSE())),VLOOKUP(G79,NGPREVPRICES,2,FALSE()),CK79,VLOOKUP(G79,NGPrices,4,FALSE()),HLOOKUP(D79,PREVVOLS,VLOOKUP(G79,MOVE_DOWN2,2,FALSE()),FALSE()),VLOOKUP(G79,NGPREVPRICES,3,FALSE()),HLOOKUP(D79,Correllate,VLOOKUP(G79,CorMove,2,FALSE()),FALSE()),Q79-$CD$3,R79,$CJ$5)*H79-CJ79</f>
        <v>#NAME?</v>
      </c>
      <c r="CF79" s="132" t="e">
        <f aca="false">(CJ79/VLOOKUP(CC79,discount,3,FALSE()))-(CJ79/VLOOKUP(CC79,discount,2,FALSE()))</f>
        <v>#NAME?</v>
      </c>
      <c r="CG79" s="253" t="e">
        <f aca="false">xSPRDOPT((VLOOKUP(G79,NGPREVPRICES,2,FALSE())+HLOOKUP(D79,PREVCURVES,VLOOKUP(G79,MOVE_DOWN2,2,FALSE()),FALSE())),VLOOKUP(G79,NGPREVPRICES,2,FALSE()),CK79,VLOOKUP(G79,NGPREVPRICES,4,FALSE()),HLOOKUP(D79,VOLS,VLOOKUP(G79,move_down,2,FALSE()),FALSE()),VLOOKUP(G79,NGPrices,3,FALSE()),HLOOKUP(D79,Correllate,VLOOKUP(G79,CorMove,2,FALSE()),FALSE()),Q79-$CD$3,R79,$CJ$5)*H79-CJ79</f>
        <v>#NAME?</v>
      </c>
      <c r="CH79" s="253" t="e">
        <f aca="false">xSPRDOPT((VLOOKUP(G79,NGPREVPRICES,2,FALSE())+HLOOKUP(D79,PREVCURVES,VLOOKUP(G79,MOVE_DOWN2,2,FALSE()),FALSE())),VLOOKUP(G79,NGPREVPRICES,2,FALSE()),CK79,VLOOKUP(G79,NGPREVPRICES,4,FALSE()),HLOOKUP(D79,PREVVOLS,VLOOKUP(G79,MOVE_DOWN2,2,FALSE()),FALSE()),VLOOKUP(G79,NGPREVPRICES,3,FALSE()),HLOOKUP(D79,Correllate,VLOOKUP(G79,CorMove,2,FALSE()),FALSE()),Q79-$C$3,R79,$CJ$5)*H79-CJ79</f>
        <v>#NAME?</v>
      </c>
      <c r="CI79" s="253" t="e">
        <f aca="false">SUM(CD79:CH79)</f>
        <v>#NAME?</v>
      </c>
      <c r="CJ79" s="253" t="e">
        <f aca="false">xSPRDOPT((VLOOKUP(G79,NGPREVPRICES,2,FALSE())+HLOOKUP(D79,PREVCURVES,VLOOKUP(G79,MOVE_DOWN2,2,FALSE()),FALSE())),VLOOKUP(G79,NGPREVPRICES,2,FALSE()),CK79,VLOOKUP(G79,NGPREVPRICES,4,FALSE()),HLOOKUP(D79,PREVVOLS,VLOOKUP(G79,MOVE_DOWN2,2,FALSE()),FALSE()),VLOOKUP(G79,NGPREVPRICES,3,FALSE()),HLOOKUP(D79,Correllate,VLOOKUP(G79,CorMove,2,FALSE()),FALSE()),Q79-$CD$3,R79,$CJ$5)*H79</f>
        <v>#NAME?</v>
      </c>
      <c r="CK79" s="254" t="n">
        <f aca="false">I79</f>
        <v>-0.4</v>
      </c>
      <c r="CL79" s="253"/>
      <c r="CM79" s="0" t="str">
        <f aca="false">CONCATENATE(CC79,$CD$6)</f>
        <v>36800Curve Shift/Gamma</v>
      </c>
      <c r="CN79" s="0" t="str">
        <f aca="false">CONCATENATE($CC79,$CE$6)</f>
        <v>36800Rho</v>
      </c>
      <c r="CO79" s="0" t="str">
        <f aca="false">CONCATENATE($CC79,$CF$6)</f>
        <v>36800Drift</v>
      </c>
      <c r="CP79" s="0" t="str">
        <f aca="false">CONCATENATE($CC79,$CG$6)</f>
        <v>36800Vega</v>
      </c>
      <c r="CQ79" s="0" t="str">
        <f aca="false">CONCATENATE($CC79,$CH$6)</f>
        <v>36800Theta</v>
      </c>
    </row>
    <row r="80" customFormat="false" ht="12" hidden="false" customHeight="true" outlineLevel="0" collapsed="false">
      <c r="A80" s="265" t="s">
        <v>198</v>
      </c>
      <c r="B80" s="0" t="s">
        <v>192</v>
      </c>
      <c r="C80" s="0" t="s">
        <v>232</v>
      </c>
      <c r="D80" s="7" t="s">
        <v>151</v>
      </c>
      <c r="E80" s="0" t="s">
        <v>131</v>
      </c>
      <c r="F80" s="0" t="s">
        <v>132</v>
      </c>
      <c r="G80" s="92" t="n">
        <v>36770</v>
      </c>
      <c r="H80" s="248" t="n">
        <v>1000000</v>
      </c>
      <c r="I80" s="0" t="n">
        <v>-0.4</v>
      </c>
      <c r="J80" s="124" t="n">
        <f aca="false">VLOOKUP(G80,NGPrices,2,FALSE())</f>
        <v>4.685</v>
      </c>
      <c r="K80" s="125" t="n">
        <f aca="false">HLOOKUP(D80,Prices,VLOOKUP(G80,move_down,2,FALSE()),FALSE())+VLOOKUP(G80,CHANGE,HLOOKUP(D80,CHANGE,2,FALSE()),FALSE())</f>
        <v>-1.24</v>
      </c>
      <c r="L80" s="124" t="n">
        <f aca="false">K80+J80</f>
        <v>3.445</v>
      </c>
      <c r="M80" s="126" t="n">
        <f aca="false">VLOOKUP(G80,NGPrices,4,FALSE())</f>
        <v>0.067216196212185</v>
      </c>
      <c r="N80" s="7" t="n">
        <f aca="false">VLOOKUP(G80,NGPrices,3,FALSE())</f>
        <v>0.4</v>
      </c>
      <c r="O80" s="7" t="n">
        <f aca="false">HLOOKUP(D80,VOLS,VLOOKUP(G80,move_down,2,FALSE()),FALSE())</f>
        <v>0.384</v>
      </c>
      <c r="P80" s="249" t="n">
        <f aca="false">HLOOKUP(D80,Correllate,VLOOKUP(G80,CorMove,2,FALSE()),FALSE())</f>
        <v>0.84</v>
      </c>
      <c r="Q80" s="92" t="n">
        <f aca="false">WORKDAY(G80,-2)</f>
        <v>36768</v>
      </c>
      <c r="R80" s="7" t="n">
        <f aca="false">IF(F80="P",0,1)</f>
        <v>0</v>
      </c>
      <c r="S80" s="130" t="e">
        <f aca="false">xSPRDOPT($L80,$J80,$I80,$M80,$O80,$N80,$P80,$Q80-$C$3,$R80,0)</f>
        <v>#NAME?</v>
      </c>
      <c r="T80" s="250" t="e">
        <f aca="false">xSPRDOPT($L80,$J80,$I80,$M80,$O80,$N80,$P80,$Q80-$C$3,$R80,1)*H80</f>
        <v>#NAME?</v>
      </c>
      <c r="U80" s="43" t="e">
        <f aca="false">S80*H80</f>
        <v>#NAME?</v>
      </c>
      <c r="V80" s="250" t="e">
        <f aca="false">xSPRDOPT($L80,$J80,$I80,$M80,$O80,$N80,$P80,$Q80-$C$3,$R80,2)*H80</f>
        <v>#NAME?</v>
      </c>
      <c r="W80" s="250" t="e">
        <f aca="false">+V80+T80</f>
        <v>#NAME?</v>
      </c>
      <c r="X80" s="2" t="str">
        <f aca="false">CONCATENATE(G80,D80)</f>
        <v>36770IF-NWPL_ROCKY_M</v>
      </c>
      <c r="Y80" s="251" t="n">
        <f aca="false">H80/10000</f>
        <v>100</v>
      </c>
      <c r="Z80" s="226" t="e">
        <f aca="false">T80/H80</f>
        <v>#NAME?</v>
      </c>
      <c r="AA80" s="226" t="e">
        <f aca="false">xSPRDOPT($L80,$J80,$I80,$M80,$O80,$N80,$P80,$Q80-$C$3,$R80,3)</f>
        <v>#NAME?</v>
      </c>
      <c r="AB80" s="226" t="e">
        <f aca="false">((xSPRDOPT($L80+AB$5,$J80,$I80,$M80,$O80,$N80,$P80,$Q80-$C$3,$R80,3)*$H80)/10000)/100</f>
        <v>#NAME?</v>
      </c>
      <c r="AC80" s="226" t="e">
        <f aca="false">((xSPRDOPT($L80+$AB$5,$J80,$I80,$M80,$O80,$N80,$P80,$Q80-$C$3,$R80,7)*$H80)/100)</f>
        <v>#NAME?</v>
      </c>
      <c r="AD80" s="226" t="e">
        <f aca="false">(xSPRDOPT($L80+$AB$5,$J80,$I80,$M80,$O80,$N80,$P80,$Q80-$C$3,$R80,9)/365)*$H80</f>
        <v>#NAME?</v>
      </c>
      <c r="AE80" s="0" t="e">
        <f aca="false">CD80</f>
        <v>#NAME?</v>
      </c>
      <c r="AF80" s="226" t="e">
        <f aca="false">((O80/N80)*AH80)+AG80</f>
        <v>#NAME?</v>
      </c>
      <c r="AG80" s="226" t="e">
        <f aca="false">((xSPRDOPT($L80,$J80,$I80,$M80,$O80,$N80,$P80,$Q80-$C$3,$R80,6)*$H80)/100)</f>
        <v>#NAME?</v>
      </c>
      <c r="AH80" s="226" t="e">
        <f aca="false">((xSPRDOPT($L80,$J80,$I80,$M80,$O80,$N80,$P80,$Q80-$C$3,$R80,5)*$H80)/100)</f>
        <v>#NAME?</v>
      </c>
      <c r="AI80" s="226" t="e">
        <f aca="false">(((xSPRDOPT($L80,$J80,$I80,$M80,$O80,$N80,$P80,$Q80-$C$3,$R80,4)*$H80)/10000)/100)-AB80</f>
        <v>#NAME?</v>
      </c>
      <c r="AJ80" s="226"/>
      <c r="AK80" s="226"/>
      <c r="AL80" s="226"/>
      <c r="AM80" s="252"/>
      <c r="AN80" s="208" t="n">
        <f aca="false">EOMONTH(AN79,0)+1</f>
        <v>38961</v>
      </c>
      <c r="AO80" s="134" t="n">
        <f aca="false">SUMIF($X:$X,CONCATENATE($AN80,AO$6),$T:$T)/10000</f>
        <v>0</v>
      </c>
      <c r="AP80" s="134" t="n">
        <f aca="false">SUMIF($X:$X,CONCATENATE($AN80,AP$6),$T:$T)/10000</f>
        <v>0</v>
      </c>
      <c r="AQ80" s="134" t="n">
        <f aca="false">SUMIF($X:$X,CONCATENATE($AN80,AQ$6),$T:$T)/10000</f>
        <v>0</v>
      </c>
      <c r="AR80" s="134" t="n">
        <f aca="false">SUMIF($X:$X,CONCATENATE($AN80,AR$6),$T:$T)/10000</f>
        <v>0</v>
      </c>
      <c r="AS80" s="134" t="n">
        <f aca="false">SUMIF($X:$X,CONCATENATE($AN80,AS$6),$T:$T)/10000</f>
        <v>0</v>
      </c>
      <c r="AT80" s="134" t="n">
        <f aca="false">SUMIF($X:$X,CONCATENATE($AN80,AT$6),$T:$T)/10000</f>
        <v>0</v>
      </c>
      <c r="AU80" s="134" t="n">
        <f aca="false">SUMIF($X:$X,CONCATENATE($AN80,AU$6),$T:$T)/10000</f>
        <v>0</v>
      </c>
      <c r="AV80" s="134" t="n">
        <f aca="false">SUMIF($X:$X,CONCATENATE($AN80,AV$6),$T:$T)/10000</f>
        <v>0</v>
      </c>
      <c r="AW80" s="134" t="n">
        <f aca="false">SUMIF($X:$X,CONCATENATE($AN80,AW$6),$T:$T)/10000</f>
        <v>0</v>
      </c>
      <c r="AX80" s="134" t="n">
        <f aca="false">SUMIF($X:$X,CONCATENATE($AN80,AX$6),$T:$T)/10000</f>
        <v>0</v>
      </c>
      <c r="AY80" s="134" t="n">
        <f aca="false">SUMIF($X:$X,CONCATENATE($AN80,AY$6),$T:$T)/10000</f>
        <v>0</v>
      </c>
      <c r="AZ80" s="134" t="n">
        <f aca="false">SUMIF($X:$X,CONCATENATE($AN80,AZ$6),$T:$T)/10000</f>
        <v>0</v>
      </c>
      <c r="BA80" s="135" t="n">
        <f aca="false">SUMIF($X:$X,CONCATENATE($AN80,BA$6),$T:$T)/10000</f>
        <v>0</v>
      </c>
      <c r="BB80" s="208" t="n">
        <f aca="false">EOMONTH(BB79,0)+1</f>
        <v>38961</v>
      </c>
      <c r="BC80" s="135" t="n">
        <f aca="false">SUM(AO80:BA80)</f>
        <v>0</v>
      </c>
      <c r="BD80" s="2"/>
      <c r="BE80" s="208" t="n">
        <f aca="false">EOMONTH(BE79,0)+1</f>
        <v>38961</v>
      </c>
      <c r="BF80" s="134" t="n">
        <f aca="false">SUMIF($X:$X,CONCATENATE($AN80,BF$6),$W:$W)</f>
        <v>0</v>
      </c>
      <c r="BG80" s="134" t="n">
        <f aca="false">SUMIF($X:$X,CONCATENATE($AN80,BG$6),$W:$W)</f>
        <v>0</v>
      </c>
      <c r="BH80" s="134" t="n">
        <f aca="false">SUMIF($X:$X,CONCATENATE($AN80,BH$6),$W:$W)</f>
        <v>0</v>
      </c>
      <c r="BI80" s="134" t="n">
        <f aca="false">SUMIF($X:$X,CONCATENATE($AN80,BI$6),$W:$W)</f>
        <v>0</v>
      </c>
      <c r="BJ80" s="134" t="n">
        <f aca="false">SUMIF($X:$X,CONCATENATE($AN80,BJ$6),$W:$W)</f>
        <v>0</v>
      </c>
      <c r="BK80" s="134" t="n">
        <f aca="false">SUMIF($X:$X,CONCATENATE($AN80,BK$6),$W:$W)</f>
        <v>0</v>
      </c>
      <c r="BL80" s="134" t="n">
        <f aca="false">SUMIF($X:$X,CONCATENATE($AN80,BL$6),$W:$W)</f>
        <v>0</v>
      </c>
      <c r="BM80" s="134" t="n">
        <f aca="false">SUMIF($X:$X,CONCATENATE($AN80,BM$6),$W:$W)</f>
        <v>0</v>
      </c>
      <c r="BN80" s="134" t="n">
        <f aca="false">SUMIF($X:$X,CONCATENATE($AN80,BN$6),$W:$W)</f>
        <v>0</v>
      </c>
      <c r="BO80" s="134" t="n">
        <f aca="false">SUMIF($X:$X,CONCATENATE($AN80,BO$6),$W:$W)</f>
        <v>0</v>
      </c>
      <c r="BP80" s="134" t="n">
        <f aca="false">SUMIF($X:$X,CONCATENATE($AN80,BP$6),$W:$W)</f>
        <v>0</v>
      </c>
      <c r="BQ80" s="134" t="n">
        <f aca="false">SUMIF($X:$X,CONCATENATE($AN80,BQ$6),$W:$W)</f>
        <v>0</v>
      </c>
      <c r="BR80" s="135" t="n">
        <f aca="false">SUMIF($X:$X,CONCATENATE($AN80,BR$6),$W:$W)</f>
        <v>0</v>
      </c>
      <c r="BS80" s="208" t="n">
        <f aca="false">EOMONTH(BS79,0)+1</f>
        <v>38961</v>
      </c>
      <c r="BT80" s="135" t="n">
        <f aca="false">SUM(BF80:BR80)</f>
        <v>0</v>
      </c>
      <c r="BU80" s="2"/>
      <c r="BV80" s="2"/>
      <c r="BW80" s="2"/>
      <c r="BX80" s="2"/>
      <c r="BY80" s="2"/>
      <c r="BZ80" s="2"/>
      <c r="CA80" s="2"/>
      <c r="CB80" s="2"/>
      <c r="CC80" s="182" t="n">
        <f aca="false">G80</f>
        <v>36770</v>
      </c>
      <c r="CD80" s="253" t="e">
        <f aca="false">xSPRDOPT((VLOOKUP(G80,NGPrices,2,FALSE())+HLOOKUP(D80,Prices,VLOOKUP(G80,move_down,2,FALSE()),FALSE())),VLOOKUP(G80,NGPrices,2,FALSE()),I80,VLOOKUP(G80,NGPREVPRICES,4,FALSE()),HLOOKUP(D80,PREVVOLS,VLOOKUP(G80,MOVE_DOWN2,2,FALSE()),FALSE()),VLOOKUP(G80,NGPREVPRICES,3,FALSE()),HLOOKUP(D80,Correllate,VLOOKUP(G80,CorMove,2,FALSE()),FALSE()),Q80-$CD$3,R80,$CD$5)*H80-CJ80</f>
        <v>#NAME?</v>
      </c>
      <c r="CE80" s="253" t="e">
        <f aca="false">xSPRDOPT((VLOOKUP(G80,NGPREVPRICES,2,FALSE())+HLOOKUP(D80,PREVCURVES,VLOOKUP(G80,MOVE_DOWN2,2,FALSE()),FALSE())),VLOOKUP(G80,NGPREVPRICES,2,FALSE()),CK80,VLOOKUP(G80,NGPrices,4,FALSE()),HLOOKUP(D80,PREVVOLS,VLOOKUP(G80,MOVE_DOWN2,2,FALSE()),FALSE()),VLOOKUP(G80,NGPREVPRICES,3,FALSE()),HLOOKUP(D80,Correllate,VLOOKUP(G80,CorMove,2,FALSE()),FALSE()),Q80-$CD$3,R80,$CJ$5)*H80-CJ80</f>
        <v>#NAME?</v>
      </c>
      <c r="CF80" s="132" t="e">
        <f aca="false">(CJ80/VLOOKUP(CC80,discount,3,FALSE()))-(CJ80/VLOOKUP(CC80,discount,2,FALSE()))</f>
        <v>#NAME?</v>
      </c>
      <c r="CG80" s="253" t="e">
        <f aca="false">xSPRDOPT((VLOOKUP(G80,NGPREVPRICES,2,FALSE())+HLOOKUP(D80,PREVCURVES,VLOOKUP(G80,MOVE_DOWN2,2,FALSE()),FALSE())),VLOOKUP(G80,NGPREVPRICES,2,FALSE()),CK80,VLOOKUP(G80,NGPREVPRICES,4,FALSE()),HLOOKUP(D80,VOLS,VLOOKUP(G80,move_down,2,FALSE()),FALSE()),VLOOKUP(G80,NGPrices,3,FALSE()),HLOOKUP(D80,Correllate,VLOOKUP(G80,CorMove,2,FALSE()),FALSE()),Q80-$CD$3,R80,$CJ$5)*H80-CJ80</f>
        <v>#NAME?</v>
      </c>
      <c r="CH80" s="253" t="e">
        <f aca="false">xSPRDOPT((VLOOKUP(G80,NGPREVPRICES,2,FALSE())+HLOOKUP(D80,PREVCURVES,VLOOKUP(G80,MOVE_DOWN2,2,FALSE()),FALSE())),VLOOKUP(G80,NGPREVPRICES,2,FALSE()),CK80,VLOOKUP(G80,NGPREVPRICES,4,FALSE()),HLOOKUP(D80,PREVVOLS,VLOOKUP(G80,MOVE_DOWN2,2,FALSE()),FALSE()),VLOOKUP(G80,NGPREVPRICES,3,FALSE()),HLOOKUP(D80,Correllate,VLOOKUP(G80,CorMove,2,FALSE()),FALSE()),Q80-$C$3,R80,$CJ$5)*H80-CJ80</f>
        <v>#NAME?</v>
      </c>
      <c r="CI80" s="253" t="e">
        <f aca="false">SUM(CD80:CH80)</f>
        <v>#NAME?</v>
      </c>
      <c r="CJ80" s="253" t="e">
        <f aca="false">xSPRDOPT((VLOOKUP(G80,NGPREVPRICES,2,FALSE())+HLOOKUP(D80,PREVCURVES,VLOOKUP(G80,MOVE_DOWN2,2,FALSE()),FALSE())),VLOOKUP(G80,NGPREVPRICES,2,FALSE()),CK80,VLOOKUP(G80,NGPREVPRICES,4,FALSE()),HLOOKUP(D80,PREVVOLS,VLOOKUP(G80,MOVE_DOWN2,2,FALSE()),FALSE()),VLOOKUP(G80,NGPREVPRICES,3,FALSE()),HLOOKUP(D80,Correllate,VLOOKUP(G80,CorMove,2,FALSE()),FALSE()),Q80-$CD$3,R80,$CJ$5)*H80</f>
        <v>#NAME?</v>
      </c>
      <c r="CK80" s="254" t="n">
        <f aca="false">I80</f>
        <v>-0.4</v>
      </c>
      <c r="CL80" s="253"/>
      <c r="CM80" s="0" t="str">
        <f aca="false">CONCATENATE(CC80,$CD$6)</f>
        <v>36770Curve Shift/Gamma</v>
      </c>
      <c r="CN80" s="0" t="str">
        <f aca="false">CONCATENATE($CC80,$CE$6)</f>
        <v>36770Rho</v>
      </c>
      <c r="CO80" s="0" t="str">
        <f aca="false">CONCATENATE($CC80,$CF$6)</f>
        <v>36770Drift</v>
      </c>
      <c r="CP80" s="0" t="str">
        <f aca="false">CONCATENATE($CC80,$CG$6)</f>
        <v>36770Vega</v>
      </c>
      <c r="CQ80" s="0" t="str">
        <f aca="false">CONCATENATE($CC80,$CH$6)</f>
        <v>36770Theta</v>
      </c>
    </row>
    <row r="81" customFormat="false" ht="12" hidden="false" customHeight="true" outlineLevel="0" collapsed="false">
      <c r="A81" s="265" t="s">
        <v>198</v>
      </c>
      <c r="B81" s="0" t="s">
        <v>192</v>
      </c>
      <c r="C81" s="0" t="s">
        <v>233</v>
      </c>
      <c r="D81" s="7" t="s">
        <v>149</v>
      </c>
      <c r="E81" s="0" t="s">
        <v>131</v>
      </c>
      <c r="F81" s="0" t="s">
        <v>136</v>
      </c>
      <c r="G81" s="92" t="n">
        <v>36951</v>
      </c>
      <c r="H81" s="248" t="n">
        <v>-250000</v>
      </c>
      <c r="I81" s="0" t="n">
        <v>1.15</v>
      </c>
      <c r="J81" s="124" t="n">
        <f aca="false">VLOOKUP(G81,NGPrices,2,FALSE())</f>
        <v>4.213</v>
      </c>
      <c r="K81" s="125" t="n">
        <f aca="false">HLOOKUP(D81,Prices,VLOOKUP(G81,move_down,2,FALSE()),FALSE())+VLOOKUP(G81,CHANGE,HLOOKUP(D81,CHANGE,2,FALSE()),FALSE())</f>
        <v>1.075</v>
      </c>
      <c r="L81" s="124" t="n">
        <f aca="false">K81+J81</f>
        <v>5.288</v>
      </c>
      <c r="M81" s="126" t="n">
        <f aca="false">VLOOKUP(G81,NGPrices,4,FALSE())</f>
        <v>0.068879814952707</v>
      </c>
      <c r="N81" s="7" t="n">
        <f aca="false">VLOOKUP(G81,NGPrices,3,FALSE())</f>
        <v>0.5325</v>
      </c>
      <c r="O81" s="7" t="n">
        <f aca="false">HLOOKUP(D81,VOLS,VLOOKUP(G81,move_down,2,FALSE()),FALSE())</f>
        <v>0.612</v>
      </c>
      <c r="P81" s="249" t="n">
        <f aca="false">HLOOKUP(D81,Correllate,VLOOKUP(G81,CorMove,2,FALSE()),FALSE())</f>
        <v>0.83</v>
      </c>
      <c r="Q81" s="92" t="n">
        <f aca="false">WORKDAY(G81,-2)</f>
        <v>36949</v>
      </c>
      <c r="R81" s="7" t="n">
        <f aca="false">IF(F81="P",0,1)</f>
        <v>1</v>
      </c>
      <c r="S81" s="130" t="e">
        <f aca="false">xSPRDOPT($L81,$J81,$I81,$M81,$O81,$N81,$P81,$Q81-$C$3,$R81,0)</f>
        <v>#NAME?</v>
      </c>
      <c r="T81" s="250" t="e">
        <f aca="false">xSPRDOPT($L81,$J81,$I81,$M81,$O81,$N81,$P81,$Q81-$C$3,$R81,1)*H81</f>
        <v>#NAME?</v>
      </c>
      <c r="U81" s="43" t="e">
        <f aca="false">S81*H81</f>
        <v>#NAME?</v>
      </c>
      <c r="V81" s="250" t="e">
        <f aca="false">xSPRDOPT($L81,$J81,$I81,$M81,$O81,$N81,$P81,$Q81-$C$3,$R81,2)*H81</f>
        <v>#NAME?</v>
      </c>
      <c r="W81" s="250" t="e">
        <f aca="false">+V81+T81</f>
        <v>#NAME?</v>
      </c>
      <c r="X81" s="2" t="str">
        <f aca="false">CONCATENATE(G81,D81)</f>
        <v>36951IF-TRANSCO/Z6</v>
      </c>
      <c r="Y81" s="251" t="n">
        <f aca="false">H81/10000</f>
        <v>-25</v>
      </c>
      <c r="Z81" s="226" t="e">
        <f aca="false">T81/H81</f>
        <v>#NAME?</v>
      </c>
      <c r="AA81" s="226" t="e">
        <f aca="false">xSPRDOPT($L81,$J81,$I81,$M81,$O81,$N81,$P81,$Q81-$C$3,$R81,3)</f>
        <v>#NAME?</v>
      </c>
      <c r="AB81" s="226" t="e">
        <f aca="false">((xSPRDOPT($L81+AB$5,$J81,$I81,$M81,$O81,$N81,$P81,$Q81-$C$3,$R81,3)*$H81)/10000)/100</f>
        <v>#NAME?</v>
      </c>
      <c r="AC81" s="226" t="e">
        <f aca="false">((xSPRDOPT($L81+$AB$5,$J81,$I81,$M81,$O81,$N81,$P81,$Q81-$C$3,$R81,7)*$H81)/100)</f>
        <v>#NAME?</v>
      </c>
      <c r="AD81" s="226" t="e">
        <f aca="false">(xSPRDOPT($L81+$AB$5,$J81,$I81,$M81,$O81,$N81,$P81,$Q81-$C$3,$R81,9)/365)*$H81</f>
        <v>#NAME?</v>
      </c>
      <c r="AE81" s="0" t="e">
        <f aca="false">CD81</f>
        <v>#NAME?</v>
      </c>
      <c r="AF81" s="226" t="e">
        <f aca="false">((O81/N81)*AH81)+AG81</f>
        <v>#NAME?</v>
      </c>
      <c r="AG81" s="226" t="e">
        <f aca="false">((xSPRDOPT($L81,$J81,$I81,$M81,$O81,$N81,$P81,$Q81-$C$3,$R81,6)*$H81)/100)</f>
        <v>#NAME?</v>
      </c>
      <c r="AH81" s="226" t="e">
        <f aca="false">((xSPRDOPT($L81,$J81,$I81,$M81,$O81,$N81,$P81,$Q81-$C$3,$R81,5)*$H81)/100)</f>
        <v>#NAME?</v>
      </c>
      <c r="AI81" s="226" t="e">
        <f aca="false">(((xSPRDOPT($L81,$J81,$I81,$M81,$O81,$N81,$P81,$Q81-$C$3,$R81,4)*$H81)/10000)/100)-AB81</f>
        <v>#NAME?</v>
      </c>
      <c r="AJ81" s="226"/>
      <c r="AK81" s="226"/>
      <c r="AL81" s="226"/>
      <c r="AM81" s="252"/>
      <c r="AN81" s="208" t="n">
        <f aca="false">EOMONTH(AN80,0)+1</f>
        <v>38991</v>
      </c>
      <c r="AO81" s="134" t="n">
        <f aca="false">SUMIF($X:$X,CONCATENATE($AN81,AO$6),$T:$T)/10000</f>
        <v>0</v>
      </c>
      <c r="AP81" s="134" t="n">
        <f aca="false">SUMIF($X:$X,CONCATENATE($AN81,AP$6),$T:$T)/10000</f>
        <v>0</v>
      </c>
      <c r="AQ81" s="134" t="n">
        <f aca="false">SUMIF($X:$X,CONCATENATE($AN81,AQ$6),$T:$T)/10000</f>
        <v>0</v>
      </c>
      <c r="AR81" s="134" t="n">
        <f aca="false">SUMIF($X:$X,CONCATENATE($AN81,AR$6),$T:$T)/10000</f>
        <v>0</v>
      </c>
      <c r="AS81" s="134" t="n">
        <f aca="false">SUMIF($X:$X,CONCATENATE($AN81,AS$6),$T:$T)/10000</f>
        <v>0</v>
      </c>
      <c r="AT81" s="134" t="n">
        <f aca="false">SUMIF($X:$X,CONCATENATE($AN81,AT$6),$T:$T)/10000</f>
        <v>0</v>
      </c>
      <c r="AU81" s="134" t="n">
        <f aca="false">SUMIF($X:$X,CONCATENATE($AN81,AU$6),$T:$T)/10000</f>
        <v>0</v>
      </c>
      <c r="AV81" s="134" t="n">
        <f aca="false">SUMIF($X:$X,CONCATENATE($AN81,AV$6),$T:$T)/10000</f>
        <v>0</v>
      </c>
      <c r="AW81" s="134" t="n">
        <f aca="false">SUMIF($X:$X,CONCATENATE($AN81,AW$6),$T:$T)/10000</f>
        <v>0</v>
      </c>
      <c r="AX81" s="134" t="n">
        <f aca="false">SUMIF($X:$X,CONCATENATE($AN81,AX$6),$T:$T)/10000</f>
        <v>0</v>
      </c>
      <c r="AY81" s="134" t="n">
        <f aca="false">SUMIF($X:$X,CONCATENATE($AN81,AY$6),$T:$T)/10000</f>
        <v>0</v>
      </c>
      <c r="AZ81" s="134" t="n">
        <f aca="false">SUMIF($X:$X,CONCATENATE($AN81,AZ$6),$T:$T)/10000</f>
        <v>0</v>
      </c>
      <c r="BA81" s="135" t="n">
        <f aca="false">SUMIF($X:$X,CONCATENATE($AN81,BA$6),$T:$T)/10000</f>
        <v>0</v>
      </c>
      <c r="BB81" s="208" t="n">
        <f aca="false">EOMONTH(BB80,0)+1</f>
        <v>38991</v>
      </c>
      <c r="BC81" s="135" t="n">
        <f aca="false">SUM(AO81:BA81)</f>
        <v>0</v>
      </c>
      <c r="BD81" s="2"/>
      <c r="BE81" s="208" t="n">
        <f aca="false">EOMONTH(BE80,0)+1</f>
        <v>38991</v>
      </c>
      <c r="BF81" s="134" t="n">
        <f aca="false">SUMIF($X:$X,CONCATENATE($AN81,BF$6),$W:$W)</f>
        <v>0</v>
      </c>
      <c r="BG81" s="134" t="n">
        <f aca="false">SUMIF($X:$X,CONCATENATE($AN81,BG$6),$W:$W)</f>
        <v>0</v>
      </c>
      <c r="BH81" s="134" t="n">
        <f aca="false">SUMIF($X:$X,CONCATENATE($AN81,BH$6),$W:$W)</f>
        <v>0</v>
      </c>
      <c r="BI81" s="134" t="n">
        <f aca="false">SUMIF($X:$X,CONCATENATE($AN81,BI$6),$W:$W)</f>
        <v>0</v>
      </c>
      <c r="BJ81" s="134" t="n">
        <f aca="false">SUMIF($X:$X,CONCATENATE($AN81,BJ$6),$W:$W)</f>
        <v>0</v>
      </c>
      <c r="BK81" s="134" t="n">
        <f aca="false">SUMIF($X:$X,CONCATENATE($AN81,BK$6),$W:$W)</f>
        <v>0</v>
      </c>
      <c r="BL81" s="134" t="n">
        <f aca="false">SUMIF($X:$X,CONCATENATE($AN81,BL$6),$W:$W)</f>
        <v>0</v>
      </c>
      <c r="BM81" s="134" t="n">
        <f aca="false">SUMIF($X:$X,CONCATENATE($AN81,BM$6),$W:$W)</f>
        <v>0</v>
      </c>
      <c r="BN81" s="134" t="n">
        <f aca="false">SUMIF($X:$X,CONCATENATE($AN81,BN$6),$W:$W)</f>
        <v>0</v>
      </c>
      <c r="BO81" s="134" t="n">
        <f aca="false">SUMIF($X:$X,CONCATENATE($AN81,BO$6),$W:$W)</f>
        <v>0</v>
      </c>
      <c r="BP81" s="134" t="n">
        <f aca="false">SUMIF($X:$X,CONCATENATE($AN81,BP$6),$W:$W)</f>
        <v>0</v>
      </c>
      <c r="BQ81" s="134" t="n">
        <f aca="false">SUMIF($X:$X,CONCATENATE($AN81,BQ$6),$W:$W)</f>
        <v>0</v>
      </c>
      <c r="BR81" s="135" t="n">
        <f aca="false">SUMIF($X:$X,CONCATENATE($AN81,BR$6),$W:$W)</f>
        <v>0</v>
      </c>
      <c r="BS81" s="208" t="n">
        <f aca="false">EOMONTH(BS80,0)+1</f>
        <v>38991</v>
      </c>
      <c r="BT81" s="135" t="n">
        <f aca="false">SUM(BF81:BR81)</f>
        <v>0</v>
      </c>
      <c r="BU81" s="2"/>
      <c r="BV81" s="2"/>
      <c r="BW81" s="2"/>
      <c r="BX81" s="2"/>
      <c r="BY81" s="2"/>
      <c r="BZ81" s="2"/>
      <c r="CA81" s="2"/>
      <c r="CB81" s="2"/>
      <c r="CC81" s="182" t="n">
        <f aca="false">G81</f>
        <v>36951</v>
      </c>
      <c r="CD81" s="253" t="e">
        <f aca="false">xSPRDOPT((VLOOKUP(G81,NGPrices,2,FALSE())+HLOOKUP(D81,Prices,VLOOKUP(G81,move_down,2,FALSE()),FALSE())),VLOOKUP(G81,NGPrices,2,FALSE()),I81,VLOOKUP(G81,NGPREVPRICES,4,FALSE()),HLOOKUP(D81,PREVVOLS,VLOOKUP(G81,MOVE_DOWN2,2,FALSE()),FALSE()),VLOOKUP(G81,NGPREVPRICES,3,FALSE()),HLOOKUP(D81,Correllate,VLOOKUP(G81,CorMove,2,FALSE()),FALSE()),Q81-$CD$3,R81,$CD$5)*H81-CJ81</f>
        <v>#NAME?</v>
      </c>
      <c r="CE81" s="253" t="e">
        <f aca="false">xSPRDOPT((VLOOKUP(G81,NGPREVPRICES,2,FALSE())+HLOOKUP(D81,PREVCURVES,VLOOKUP(G81,MOVE_DOWN2,2,FALSE()),FALSE())),VLOOKUP(G81,NGPREVPRICES,2,FALSE()),CK81,VLOOKUP(G81,NGPrices,4,FALSE()),HLOOKUP(D81,PREVVOLS,VLOOKUP(G81,MOVE_DOWN2,2,FALSE()),FALSE()),VLOOKUP(G81,NGPREVPRICES,3,FALSE()),HLOOKUP(D81,Correllate,VLOOKUP(G81,CorMove,2,FALSE()),FALSE()),Q81-$CD$3,R81,$CJ$5)*H81-CJ81</f>
        <v>#NAME?</v>
      </c>
      <c r="CF81" s="132" t="e">
        <f aca="false">(CJ81/VLOOKUP(CC81,discount,3,FALSE()))-(CJ81/VLOOKUP(CC81,discount,2,FALSE()))</f>
        <v>#NAME?</v>
      </c>
      <c r="CG81" s="253" t="e">
        <f aca="false">xSPRDOPT((VLOOKUP(G81,NGPREVPRICES,2,FALSE())+HLOOKUP(D81,PREVCURVES,VLOOKUP(G81,MOVE_DOWN2,2,FALSE()),FALSE())),VLOOKUP(G81,NGPREVPRICES,2,FALSE()),CK81,VLOOKUP(G81,NGPREVPRICES,4,FALSE()),HLOOKUP(D81,VOLS,VLOOKUP(G81,move_down,2,FALSE()),FALSE()),VLOOKUP(G81,NGPrices,3,FALSE()),HLOOKUP(D81,Correllate,VLOOKUP(G81,CorMove,2,FALSE()),FALSE()),Q81-$CD$3,R81,$CJ$5)*H81-CJ81</f>
        <v>#NAME?</v>
      </c>
      <c r="CH81" s="253" t="e">
        <f aca="false">xSPRDOPT((VLOOKUP(G81,NGPREVPRICES,2,FALSE())+HLOOKUP(D81,PREVCURVES,VLOOKUP(G81,MOVE_DOWN2,2,FALSE()),FALSE())),VLOOKUP(G81,NGPREVPRICES,2,FALSE()),CK81,VLOOKUP(G81,NGPREVPRICES,4,FALSE()),HLOOKUP(D81,PREVVOLS,VLOOKUP(G81,MOVE_DOWN2,2,FALSE()),FALSE()),VLOOKUP(G81,NGPREVPRICES,3,FALSE()),HLOOKUP(D81,Correllate,VLOOKUP(G81,CorMove,2,FALSE()),FALSE()),Q81-$C$3,R81,$CJ$5)*H81-CJ81</f>
        <v>#NAME?</v>
      </c>
      <c r="CI81" s="253" t="e">
        <f aca="false">SUM(CD81:CH81)</f>
        <v>#NAME?</v>
      </c>
      <c r="CJ81" s="253" t="e">
        <f aca="false">xSPRDOPT((VLOOKUP(G81,NGPREVPRICES,2,FALSE())+HLOOKUP(D81,PREVCURVES,VLOOKUP(G81,MOVE_DOWN2,2,FALSE()),FALSE())),VLOOKUP(G81,NGPREVPRICES,2,FALSE()),CK81,VLOOKUP(G81,NGPREVPRICES,4,FALSE()),HLOOKUP(D81,PREVVOLS,VLOOKUP(G81,MOVE_DOWN2,2,FALSE()),FALSE()),VLOOKUP(G81,NGPREVPRICES,3,FALSE()),HLOOKUP(D81,Correllate,VLOOKUP(G81,CorMove,2,FALSE()),FALSE()),Q81-$CD$3,R81,$CJ$5)*H81</f>
        <v>#NAME?</v>
      </c>
      <c r="CK81" s="254" t="n">
        <f aca="false">I81</f>
        <v>1.15</v>
      </c>
      <c r="CL81" s="253"/>
      <c r="CM81" s="0" t="str">
        <f aca="false">CONCATENATE(CC81,$CD$6)</f>
        <v>36951Curve Shift/Gamma</v>
      </c>
      <c r="CN81" s="0" t="str">
        <f aca="false">CONCATENATE($CC81,$CE$6)</f>
        <v>36951Rho</v>
      </c>
      <c r="CO81" s="0" t="str">
        <f aca="false">CONCATENATE($CC81,$CF$6)</f>
        <v>36951Drift</v>
      </c>
      <c r="CP81" s="0" t="str">
        <f aca="false">CONCATENATE($CC81,$CG$6)</f>
        <v>36951Vega</v>
      </c>
      <c r="CQ81" s="0" t="str">
        <f aca="false">CONCATENATE($CC81,$CH$6)</f>
        <v>36951Theta</v>
      </c>
    </row>
    <row r="82" customFormat="false" ht="12" hidden="false" customHeight="true" outlineLevel="0" collapsed="false">
      <c r="A82" s="265" t="s">
        <v>198</v>
      </c>
      <c r="B82" s="0" t="s">
        <v>192</v>
      </c>
      <c r="C82" s="0" t="s">
        <v>233</v>
      </c>
      <c r="D82" s="7" t="s">
        <v>149</v>
      </c>
      <c r="E82" s="0" t="s">
        <v>131</v>
      </c>
      <c r="F82" s="0" t="s">
        <v>136</v>
      </c>
      <c r="G82" s="92" t="n">
        <v>36923</v>
      </c>
      <c r="H82" s="248" t="n">
        <v>-250000</v>
      </c>
      <c r="I82" s="0" t="n">
        <v>1.15</v>
      </c>
      <c r="J82" s="124" t="n">
        <f aca="false">VLOOKUP(G82,NGPrices,2,FALSE())</f>
        <v>4.48</v>
      </c>
      <c r="K82" s="125" t="n">
        <f aca="false">HLOOKUP(D82,Prices,VLOOKUP(G82,move_down,2,FALSE()),FALSE())+VLOOKUP(G82,CHANGE,HLOOKUP(D82,CHANGE,2,FALSE()),FALSE())</f>
        <v>2.09</v>
      </c>
      <c r="L82" s="124" t="n">
        <f aca="false">K82+J82</f>
        <v>6.57</v>
      </c>
      <c r="M82" s="126" t="n">
        <f aca="false">VLOOKUP(G82,NGPrices,4,FALSE())</f>
        <v>0.068640161611372</v>
      </c>
      <c r="N82" s="7" t="n">
        <f aca="false">VLOOKUP(G82,NGPrices,3,FALSE())</f>
        <v>0.5925</v>
      </c>
      <c r="O82" s="7" t="n">
        <f aca="false">HLOOKUP(D82,VOLS,VLOOKUP(G82,move_down,2,FALSE()),FALSE())</f>
        <v>0.681</v>
      </c>
      <c r="P82" s="249" t="n">
        <f aca="false">HLOOKUP(D82,Correllate,VLOOKUP(G82,CorMove,2,FALSE()),FALSE())</f>
        <v>0.83</v>
      </c>
      <c r="Q82" s="92" t="n">
        <f aca="false">WORKDAY(G82,-2)</f>
        <v>36921</v>
      </c>
      <c r="R82" s="7" t="n">
        <f aca="false">IF(F82="P",0,1)</f>
        <v>1</v>
      </c>
      <c r="S82" s="130" t="e">
        <f aca="false">xSPRDOPT($L82,$J82,$I82,$M82,$O82,$N82,$P82,$Q82-$C$3,$R82,0)</f>
        <v>#NAME?</v>
      </c>
      <c r="T82" s="250" t="e">
        <f aca="false">xSPRDOPT($L82,$J82,$I82,$M82,$O82,$N82,$P82,$Q82-$C$3,$R82,1)*H82</f>
        <v>#NAME?</v>
      </c>
      <c r="U82" s="43" t="e">
        <f aca="false">S82*H82</f>
        <v>#NAME?</v>
      </c>
      <c r="V82" s="250" t="e">
        <f aca="false">xSPRDOPT($L82,$J82,$I82,$M82,$O82,$N82,$P82,$Q82-$C$3,$R82,2)*H82</f>
        <v>#NAME?</v>
      </c>
      <c r="W82" s="250" t="e">
        <f aca="false">+V82+T82</f>
        <v>#NAME?</v>
      </c>
      <c r="X82" s="2" t="str">
        <f aca="false">CONCATENATE(G82,D82)</f>
        <v>36923IF-TRANSCO/Z6</v>
      </c>
      <c r="Y82" s="251" t="n">
        <f aca="false">H82/10000</f>
        <v>-25</v>
      </c>
      <c r="Z82" s="226" t="e">
        <f aca="false">T82/H82</f>
        <v>#NAME?</v>
      </c>
      <c r="AA82" s="226" t="e">
        <f aca="false">xSPRDOPT($L82,$J82,$I82,$M82,$O82,$N82,$P82,$Q82-$C$3,$R82,3)</f>
        <v>#NAME?</v>
      </c>
      <c r="AB82" s="226" t="e">
        <f aca="false">((xSPRDOPT($L82+AB$5,$J82,$I82,$M82,$O82,$N82,$P82,$Q82-$C$3,$R82,3)*$H82)/10000)/100</f>
        <v>#NAME?</v>
      </c>
      <c r="AC82" s="226" t="e">
        <f aca="false">((xSPRDOPT($L82+$AB$5,$J82,$I82,$M82,$O82,$N82,$P82,$Q82-$C$3,$R82,7)*$H82)/100)</f>
        <v>#NAME?</v>
      </c>
      <c r="AD82" s="226" t="e">
        <f aca="false">(xSPRDOPT($L82+$AB$5,$J82,$I82,$M82,$O82,$N82,$P82,$Q82-$C$3,$R82,9)/365)*$H82</f>
        <v>#NAME?</v>
      </c>
      <c r="AE82" s="0" t="e">
        <f aca="false">CD82</f>
        <v>#NAME?</v>
      </c>
      <c r="AF82" s="226" t="e">
        <f aca="false">((O82/N82)*AH82)+AG82</f>
        <v>#NAME?</v>
      </c>
      <c r="AG82" s="226" t="e">
        <f aca="false">((xSPRDOPT($L82,$J82,$I82,$M82,$O82,$N82,$P82,$Q82-$C$3,$R82,6)*$H82)/100)</f>
        <v>#NAME?</v>
      </c>
      <c r="AH82" s="226" t="e">
        <f aca="false">((xSPRDOPT($L82,$J82,$I82,$M82,$O82,$N82,$P82,$Q82-$C$3,$R82,5)*$H82)/100)</f>
        <v>#NAME?</v>
      </c>
      <c r="AI82" s="226" t="e">
        <f aca="false">(((xSPRDOPT($L82,$J82,$I82,$M82,$O82,$N82,$P82,$Q82-$C$3,$R82,4)*$H82)/10000)/100)-AB82</f>
        <v>#NAME?</v>
      </c>
      <c r="AJ82" s="226"/>
      <c r="AK82" s="226"/>
      <c r="AL82" s="226"/>
      <c r="AM82" s="252"/>
      <c r="AN82" s="208" t="n">
        <f aca="false">EOMONTH(AN81,0)+1</f>
        <v>39022</v>
      </c>
      <c r="AO82" s="134" t="n">
        <f aca="false">SUMIF($X:$X,CONCATENATE($AN82,AO$6),$T:$T)/10000</f>
        <v>0</v>
      </c>
      <c r="AP82" s="134" t="n">
        <f aca="false">SUMIF($X:$X,CONCATENATE($AN82,AP$6),$T:$T)/10000</f>
        <v>0</v>
      </c>
      <c r="AQ82" s="134" t="n">
        <f aca="false">SUMIF($X:$X,CONCATENATE($AN82,AQ$6),$T:$T)/10000</f>
        <v>0</v>
      </c>
      <c r="AR82" s="134" t="n">
        <f aca="false">SUMIF($X:$X,CONCATENATE($AN82,AR$6),$T:$T)/10000</f>
        <v>0</v>
      </c>
      <c r="AS82" s="134" t="n">
        <f aca="false">SUMIF($X:$X,CONCATENATE($AN82,AS$6),$T:$T)/10000</f>
        <v>0</v>
      </c>
      <c r="AT82" s="134" t="n">
        <f aca="false">SUMIF($X:$X,CONCATENATE($AN82,AT$6),$T:$T)/10000</f>
        <v>0</v>
      </c>
      <c r="AU82" s="134" t="n">
        <f aca="false">SUMIF($X:$X,CONCATENATE($AN82,AU$6),$T:$T)/10000</f>
        <v>0</v>
      </c>
      <c r="AV82" s="134" t="n">
        <f aca="false">SUMIF($X:$X,CONCATENATE($AN82,AV$6),$T:$T)/10000</f>
        <v>0</v>
      </c>
      <c r="AW82" s="134" t="n">
        <f aca="false">SUMIF($X:$X,CONCATENATE($AN82,AW$6),$T:$T)/10000</f>
        <v>0</v>
      </c>
      <c r="AX82" s="134" t="n">
        <f aca="false">SUMIF($X:$X,CONCATENATE($AN82,AX$6),$T:$T)/10000</f>
        <v>0</v>
      </c>
      <c r="AY82" s="134" t="n">
        <f aca="false">SUMIF($X:$X,CONCATENATE($AN82,AY$6),$T:$T)/10000</f>
        <v>0</v>
      </c>
      <c r="AZ82" s="134" t="n">
        <f aca="false">SUMIF($X:$X,CONCATENATE($AN82,AZ$6),$T:$T)/10000</f>
        <v>0</v>
      </c>
      <c r="BA82" s="135" t="n">
        <f aca="false">SUMIF($X:$X,CONCATENATE($AN82,BA$6),$T:$T)/10000</f>
        <v>0</v>
      </c>
      <c r="BB82" s="208" t="n">
        <f aca="false">EOMONTH(BB81,0)+1</f>
        <v>39022</v>
      </c>
      <c r="BC82" s="135" t="n">
        <f aca="false">SUM(AO82:BA82)</f>
        <v>0</v>
      </c>
      <c r="BD82" s="2"/>
      <c r="BE82" s="208" t="n">
        <f aca="false">EOMONTH(BE81,0)+1</f>
        <v>39022</v>
      </c>
      <c r="BF82" s="134" t="n">
        <f aca="false">SUMIF($X:$X,CONCATENATE($AN82,BF$6),$W:$W)</f>
        <v>0</v>
      </c>
      <c r="BG82" s="134" t="n">
        <f aca="false">SUMIF($X:$X,CONCATENATE($AN82,BG$6),$W:$W)</f>
        <v>0</v>
      </c>
      <c r="BH82" s="134" t="n">
        <f aca="false">SUMIF($X:$X,CONCATENATE($AN82,BH$6),$W:$W)</f>
        <v>0</v>
      </c>
      <c r="BI82" s="134" t="n">
        <f aca="false">SUMIF($X:$X,CONCATENATE($AN82,BI$6),$W:$W)</f>
        <v>0</v>
      </c>
      <c r="BJ82" s="134" t="n">
        <f aca="false">SUMIF($X:$X,CONCATENATE($AN82,BJ$6),$W:$W)</f>
        <v>0</v>
      </c>
      <c r="BK82" s="134" t="n">
        <f aca="false">SUMIF($X:$X,CONCATENATE($AN82,BK$6),$W:$W)</f>
        <v>0</v>
      </c>
      <c r="BL82" s="134" t="n">
        <f aca="false">SUMIF($X:$X,CONCATENATE($AN82,BL$6),$W:$W)</f>
        <v>0</v>
      </c>
      <c r="BM82" s="134" t="n">
        <f aca="false">SUMIF($X:$X,CONCATENATE($AN82,BM$6),$W:$W)</f>
        <v>0</v>
      </c>
      <c r="BN82" s="134" t="n">
        <f aca="false">SUMIF($X:$X,CONCATENATE($AN82,BN$6),$W:$W)</f>
        <v>0</v>
      </c>
      <c r="BO82" s="134" t="n">
        <f aca="false">SUMIF($X:$X,CONCATENATE($AN82,BO$6),$W:$W)</f>
        <v>0</v>
      </c>
      <c r="BP82" s="134" t="n">
        <f aca="false">SUMIF($X:$X,CONCATENATE($AN82,BP$6),$W:$W)</f>
        <v>0</v>
      </c>
      <c r="BQ82" s="134" t="n">
        <f aca="false">SUMIF($X:$X,CONCATENATE($AN82,BQ$6),$W:$W)</f>
        <v>0</v>
      </c>
      <c r="BR82" s="135" t="n">
        <f aca="false">SUMIF($X:$X,CONCATENATE($AN82,BR$6),$W:$W)</f>
        <v>0</v>
      </c>
      <c r="BS82" s="208" t="n">
        <f aca="false">EOMONTH(BS81,0)+1</f>
        <v>39022</v>
      </c>
      <c r="BT82" s="135" t="n">
        <f aca="false">SUM(BF82:BR82)</f>
        <v>0</v>
      </c>
      <c r="BU82" s="2"/>
      <c r="BV82" s="2"/>
      <c r="BW82" s="2"/>
      <c r="BX82" s="2"/>
      <c r="BY82" s="2"/>
      <c r="BZ82" s="2"/>
      <c r="CA82" s="2"/>
      <c r="CB82" s="2"/>
      <c r="CC82" s="182" t="n">
        <f aca="false">G82</f>
        <v>36923</v>
      </c>
      <c r="CD82" s="253" t="e">
        <f aca="false">xSPRDOPT((VLOOKUP(G82,NGPrices,2,FALSE())+HLOOKUP(D82,Prices,VLOOKUP(G82,move_down,2,FALSE()),FALSE())),VLOOKUP(G82,NGPrices,2,FALSE()),I82,VLOOKUP(G82,NGPREVPRICES,4,FALSE()),HLOOKUP(D82,PREVVOLS,VLOOKUP(G82,MOVE_DOWN2,2,FALSE()),FALSE()),VLOOKUP(G82,NGPREVPRICES,3,FALSE()),HLOOKUP(D82,Correllate,VLOOKUP(G82,CorMove,2,FALSE()),FALSE()),Q82-$CD$3,R82,$CD$5)*H82-CJ82</f>
        <v>#NAME?</v>
      </c>
      <c r="CE82" s="253" t="e">
        <f aca="false">xSPRDOPT((VLOOKUP(G82,NGPREVPRICES,2,FALSE())+HLOOKUP(D82,PREVCURVES,VLOOKUP(G82,MOVE_DOWN2,2,FALSE()),FALSE())),VLOOKUP(G82,NGPREVPRICES,2,FALSE()),CK82,VLOOKUP(G82,NGPrices,4,FALSE()),HLOOKUP(D82,PREVVOLS,VLOOKUP(G82,MOVE_DOWN2,2,FALSE()),FALSE()),VLOOKUP(G82,NGPREVPRICES,3,FALSE()),HLOOKUP(D82,Correllate,VLOOKUP(G82,CorMove,2,FALSE()),FALSE()),Q82-$CD$3,R82,$CJ$5)*H82-CJ82</f>
        <v>#NAME?</v>
      </c>
      <c r="CF82" s="132" t="e">
        <f aca="false">(CJ82/VLOOKUP(CC82,discount,3,FALSE()))-(CJ82/VLOOKUP(CC82,discount,2,FALSE()))</f>
        <v>#NAME?</v>
      </c>
      <c r="CG82" s="253" t="e">
        <f aca="false">xSPRDOPT((VLOOKUP(G82,NGPREVPRICES,2,FALSE())+HLOOKUP(D82,PREVCURVES,VLOOKUP(G82,MOVE_DOWN2,2,FALSE()),FALSE())),VLOOKUP(G82,NGPREVPRICES,2,FALSE()),CK82,VLOOKUP(G82,NGPREVPRICES,4,FALSE()),HLOOKUP(D82,VOLS,VLOOKUP(G82,move_down,2,FALSE()),FALSE()),VLOOKUP(G82,NGPrices,3,FALSE()),HLOOKUP(D82,Correllate,VLOOKUP(G82,CorMove,2,FALSE()),FALSE()),Q82-$CD$3,R82,$CJ$5)*H82-CJ82</f>
        <v>#NAME?</v>
      </c>
      <c r="CH82" s="253" t="e">
        <f aca="false">xSPRDOPT((VLOOKUP(G82,NGPREVPRICES,2,FALSE())+HLOOKUP(D82,PREVCURVES,VLOOKUP(G82,MOVE_DOWN2,2,FALSE()),FALSE())),VLOOKUP(G82,NGPREVPRICES,2,FALSE()),CK82,VLOOKUP(G82,NGPREVPRICES,4,FALSE()),HLOOKUP(D82,PREVVOLS,VLOOKUP(G82,MOVE_DOWN2,2,FALSE()),FALSE()),VLOOKUP(G82,NGPREVPRICES,3,FALSE()),HLOOKUP(D82,Correllate,VLOOKUP(G82,CorMove,2,FALSE()),FALSE()),Q82-$C$3,R82,$CJ$5)*H82-CJ82</f>
        <v>#NAME?</v>
      </c>
      <c r="CI82" s="253" t="e">
        <f aca="false">SUM(CD82:CH82)</f>
        <v>#NAME?</v>
      </c>
      <c r="CJ82" s="253" t="e">
        <f aca="false">xSPRDOPT((VLOOKUP(G82,NGPREVPRICES,2,FALSE())+HLOOKUP(D82,PREVCURVES,VLOOKUP(G82,MOVE_DOWN2,2,FALSE()),FALSE())),VLOOKUP(G82,NGPREVPRICES,2,FALSE()),CK82,VLOOKUP(G82,NGPREVPRICES,4,FALSE()),HLOOKUP(D82,PREVVOLS,VLOOKUP(G82,MOVE_DOWN2,2,FALSE()),FALSE()),VLOOKUP(G82,NGPREVPRICES,3,FALSE()),HLOOKUP(D82,Correllate,VLOOKUP(G82,CorMove,2,FALSE()),FALSE()),Q82-$CD$3,R82,$CJ$5)*H82</f>
        <v>#NAME?</v>
      </c>
      <c r="CK82" s="254" t="n">
        <f aca="false">I82</f>
        <v>1.15</v>
      </c>
      <c r="CL82" s="253"/>
      <c r="CM82" s="0" t="str">
        <f aca="false">CONCATENATE(CC82,$CD$6)</f>
        <v>36923Curve Shift/Gamma</v>
      </c>
      <c r="CN82" s="0" t="str">
        <f aca="false">CONCATENATE($CC82,$CE$6)</f>
        <v>36923Rho</v>
      </c>
      <c r="CO82" s="0" t="str">
        <f aca="false">CONCATENATE($CC82,$CF$6)</f>
        <v>36923Drift</v>
      </c>
      <c r="CP82" s="0" t="str">
        <f aca="false">CONCATENATE($CC82,$CG$6)</f>
        <v>36923Vega</v>
      </c>
      <c r="CQ82" s="0" t="str">
        <f aca="false">CONCATENATE($CC82,$CH$6)</f>
        <v>36923Theta</v>
      </c>
    </row>
    <row r="83" customFormat="false" ht="12" hidden="false" customHeight="true" outlineLevel="0" collapsed="false">
      <c r="A83" s="265" t="s">
        <v>198</v>
      </c>
      <c r="B83" s="0" t="s">
        <v>192</v>
      </c>
      <c r="C83" s="0" t="s">
        <v>233</v>
      </c>
      <c r="D83" s="7" t="s">
        <v>149</v>
      </c>
      <c r="E83" s="0" t="s">
        <v>131</v>
      </c>
      <c r="F83" s="0" t="s">
        <v>136</v>
      </c>
      <c r="G83" s="92" t="n">
        <v>36892</v>
      </c>
      <c r="H83" s="248" t="n">
        <v>-250000</v>
      </c>
      <c r="I83" s="0" t="n">
        <v>1.15</v>
      </c>
      <c r="J83" s="124" t="n">
        <f aca="false">VLOOKUP(G83,NGPrices,2,FALSE())</f>
        <v>4.744</v>
      </c>
      <c r="K83" s="125" t="n">
        <f aca="false">HLOOKUP(D83,Prices,VLOOKUP(G83,move_down,2,FALSE()),FALSE())+VLOOKUP(G83,CHANGE,HLOOKUP(D83,CHANGE,2,FALSE()),FALSE())</f>
        <v>2.17</v>
      </c>
      <c r="L83" s="124" t="n">
        <f aca="false">K83+J83</f>
        <v>6.914</v>
      </c>
      <c r="M83" s="126" t="n">
        <f aca="false">VLOOKUP(G83,NGPrices,4,FALSE())</f>
        <v>0.068374831148491</v>
      </c>
      <c r="N83" s="7" t="n">
        <f aca="false">VLOOKUP(G83,NGPrices,3,FALSE())</f>
        <v>0.605</v>
      </c>
      <c r="O83" s="7" t="n">
        <f aca="false">HLOOKUP(D83,VOLS,VLOOKUP(G83,move_down,2,FALSE()),FALSE())</f>
        <v>0.696</v>
      </c>
      <c r="P83" s="249" t="n">
        <f aca="false">HLOOKUP(D83,Correllate,VLOOKUP(G83,CorMove,2,FALSE()),FALSE())</f>
        <v>0.83</v>
      </c>
      <c r="Q83" s="92" t="n">
        <f aca="false">WORKDAY(G83,-2)</f>
        <v>36888</v>
      </c>
      <c r="R83" s="7" t="n">
        <f aca="false">IF(F83="P",0,1)</f>
        <v>1</v>
      </c>
      <c r="S83" s="130" t="e">
        <f aca="false">xSPRDOPT($L83,$J83,$I83,$M83,$O83,$N83,$P83,$Q83-$C$3,$R83,0)</f>
        <v>#NAME?</v>
      </c>
      <c r="T83" s="250" t="e">
        <f aca="false">xSPRDOPT($L83,$J83,$I83,$M83,$O83,$N83,$P83,$Q83-$C$3,$R83,1)*H83</f>
        <v>#NAME?</v>
      </c>
      <c r="U83" s="43" t="e">
        <f aca="false">S83*H83</f>
        <v>#NAME?</v>
      </c>
      <c r="V83" s="250" t="e">
        <f aca="false">xSPRDOPT($L83,$J83,$I83,$M83,$O83,$N83,$P83,$Q83-$C$3,$R83,2)*H83</f>
        <v>#NAME?</v>
      </c>
      <c r="W83" s="250" t="e">
        <f aca="false">+V83+T83</f>
        <v>#NAME?</v>
      </c>
      <c r="X83" s="2" t="str">
        <f aca="false">CONCATENATE(G83,D83)</f>
        <v>36892IF-TRANSCO/Z6</v>
      </c>
      <c r="Y83" s="251" t="n">
        <f aca="false">H83/10000</f>
        <v>-25</v>
      </c>
      <c r="Z83" s="226" t="e">
        <f aca="false">T83/H83</f>
        <v>#NAME?</v>
      </c>
      <c r="AA83" s="226" t="e">
        <f aca="false">xSPRDOPT($L83,$J83,$I83,$M83,$O83,$N83,$P83,$Q83-$C$3,$R83,3)</f>
        <v>#NAME?</v>
      </c>
      <c r="AB83" s="226" t="e">
        <f aca="false">((xSPRDOPT($L83+AB$5,$J83,$I83,$M83,$O83,$N83,$P83,$Q83-$C$3,$R83,3)*$H83)/10000)/100</f>
        <v>#NAME?</v>
      </c>
      <c r="AC83" s="226" t="e">
        <f aca="false">((xSPRDOPT($L83+$AB$5,$J83,$I83,$M83,$O83,$N83,$P83,$Q83-$C$3,$R83,7)*$H83)/100)</f>
        <v>#NAME?</v>
      </c>
      <c r="AD83" s="226" t="e">
        <f aca="false">(xSPRDOPT($L83+$AB$5,$J83,$I83,$M83,$O83,$N83,$P83,$Q83-$C$3,$R83,9)/365)*$H83</f>
        <v>#NAME?</v>
      </c>
      <c r="AE83" s="0" t="e">
        <f aca="false">CD83</f>
        <v>#NAME?</v>
      </c>
      <c r="AF83" s="226" t="e">
        <f aca="false">((O83/N83)*AH83)+AG83</f>
        <v>#NAME?</v>
      </c>
      <c r="AG83" s="226" t="e">
        <f aca="false">((xSPRDOPT($L83,$J83,$I83,$M83,$O83,$N83,$P83,$Q83-$C$3,$R83,6)*$H83)/100)</f>
        <v>#NAME?</v>
      </c>
      <c r="AH83" s="226" t="e">
        <f aca="false">((xSPRDOPT($L83,$J83,$I83,$M83,$O83,$N83,$P83,$Q83-$C$3,$R83,5)*$H83)/100)</f>
        <v>#NAME?</v>
      </c>
      <c r="AI83" s="226" t="e">
        <f aca="false">(((xSPRDOPT($L83,$J83,$I83,$M83,$O83,$N83,$P83,$Q83-$C$3,$R83,4)*$H83)/10000)/100)-AB83</f>
        <v>#NAME?</v>
      </c>
      <c r="AJ83" s="226"/>
      <c r="AK83" s="226"/>
      <c r="AL83" s="226"/>
      <c r="AM83" s="252"/>
      <c r="AN83" s="208" t="n">
        <f aca="false">EOMONTH(AN82,0)+1</f>
        <v>39052</v>
      </c>
      <c r="AO83" s="134" t="n">
        <f aca="false">SUMIF($X:$X,CONCATENATE($AN83,AO$6),$T:$T)/10000</f>
        <v>0</v>
      </c>
      <c r="AP83" s="134" t="n">
        <f aca="false">SUMIF($X:$X,CONCATENATE($AN83,AP$6),$T:$T)/10000</f>
        <v>0</v>
      </c>
      <c r="AQ83" s="134" t="n">
        <f aca="false">SUMIF($X:$X,CONCATENATE($AN83,AQ$6),$T:$T)/10000</f>
        <v>0</v>
      </c>
      <c r="AR83" s="134" t="n">
        <f aca="false">SUMIF($X:$X,CONCATENATE($AN83,AR$6),$T:$T)/10000</f>
        <v>0</v>
      </c>
      <c r="AS83" s="134" t="n">
        <f aca="false">SUMIF($X:$X,CONCATENATE($AN83,AS$6),$T:$T)/10000</f>
        <v>0</v>
      </c>
      <c r="AT83" s="134" t="n">
        <f aca="false">SUMIF($X:$X,CONCATENATE($AN83,AT$6),$T:$T)/10000</f>
        <v>0</v>
      </c>
      <c r="AU83" s="134" t="n">
        <f aca="false">SUMIF($X:$X,CONCATENATE($AN83,AU$6),$T:$T)/10000</f>
        <v>0</v>
      </c>
      <c r="AV83" s="134" t="n">
        <f aca="false">SUMIF($X:$X,CONCATENATE($AN83,AV$6),$T:$T)/10000</f>
        <v>0</v>
      </c>
      <c r="AW83" s="134" t="n">
        <f aca="false">SUMIF($X:$X,CONCATENATE($AN83,AW$6),$T:$T)/10000</f>
        <v>0</v>
      </c>
      <c r="AX83" s="134" t="n">
        <f aca="false">SUMIF($X:$X,CONCATENATE($AN83,AX$6),$T:$T)/10000</f>
        <v>0</v>
      </c>
      <c r="AY83" s="134" t="n">
        <f aca="false">SUMIF($X:$X,CONCATENATE($AN83,AY$6),$T:$T)/10000</f>
        <v>0</v>
      </c>
      <c r="AZ83" s="134" t="n">
        <f aca="false">SUMIF($X:$X,CONCATENATE($AN83,AZ$6),$T:$T)/10000</f>
        <v>0</v>
      </c>
      <c r="BA83" s="135" t="n">
        <f aca="false">SUMIF($X:$X,CONCATENATE($AN83,BA$6),$T:$T)/10000</f>
        <v>0</v>
      </c>
      <c r="BB83" s="208" t="n">
        <f aca="false">EOMONTH(BB82,0)+1</f>
        <v>39052</v>
      </c>
      <c r="BC83" s="135" t="n">
        <f aca="false">SUM(AO83:BA83)</f>
        <v>0</v>
      </c>
      <c r="BD83" s="2"/>
      <c r="BE83" s="208" t="n">
        <f aca="false">EOMONTH(BE82,0)+1</f>
        <v>39052</v>
      </c>
      <c r="BF83" s="134" t="n">
        <f aca="false">SUMIF($X:$X,CONCATENATE($AN83,BF$6),$W:$W)</f>
        <v>0</v>
      </c>
      <c r="BG83" s="134" t="n">
        <f aca="false">SUMIF($X:$X,CONCATENATE($AN83,BG$6),$W:$W)</f>
        <v>0</v>
      </c>
      <c r="BH83" s="134" t="n">
        <f aca="false">SUMIF($X:$X,CONCATENATE($AN83,BH$6),$W:$W)</f>
        <v>0</v>
      </c>
      <c r="BI83" s="134" t="n">
        <f aca="false">SUMIF($X:$X,CONCATENATE($AN83,BI$6),$W:$W)</f>
        <v>0</v>
      </c>
      <c r="BJ83" s="134" t="n">
        <f aca="false">SUMIF($X:$X,CONCATENATE($AN83,BJ$6),$W:$W)</f>
        <v>0</v>
      </c>
      <c r="BK83" s="134" t="n">
        <f aca="false">SUMIF($X:$X,CONCATENATE($AN83,BK$6),$W:$W)</f>
        <v>0</v>
      </c>
      <c r="BL83" s="134" t="n">
        <f aca="false">SUMIF($X:$X,CONCATENATE($AN83,BL$6),$W:$W)</f>
        <v>0</v>
      </c>
      <c r="BM83" s="134" t="n">
        <f aca="false">SUMIF($X:$X,CONCATENATE($AN83,BM$6),$W:$W)</f>
        <v>0</v>
      </c>
      <c r="BN83" s="134" t="n">
        <f aca="false">SUMIF($X:$X,CONCATENATE($AN83,BN$6),$W:$W)</f>
        <v>0</v>
      </c>
      <c r="BO83" s="134" t="n">
        <f aca="false">SUMIF($X:$X,CONCATENATE($AN83,BO$6),$W:$W)</f>
        <v>0</v>
      </c>
      <c r="BP83" s="134" t="n">
        <f aca="false">SUMIF($X:$X,CONCATENATE($AN83,BP$6),$W:$W)</f>
        <v>0</v>
      </c>
      <c r="BQ83" s="134" t="n">
        <f aca="false">SUMIF($X:$X,CONCATENATE($AN83,BQ$6),$W:$W)</f>
        <v>0</v>
      </c>
      <c r="BR83" s="135" t="n">
        <f aca="false">SUMIF($X:$X,CONCATENATE($AN83,BR$6),$W:$W)</f>
        <v>0</v>
      </c>
      <c r="BS83" s="208" t="n">
        <f aca="false">EOMONTH(BS82,0)+1</f>
        <v>39052</v>
      </c>
      <c r="BT83" s="135" t="n">
        <f aca="false">SUM(BF83:BR83)</f>
        <v>0</v>
      </c>
      <c r="BU83" s="2"/>
      <c r="BV83" s="2"/>
      <c r="BW83" s="2"/>
      <c r="BX83" s="2"/>
      <c r="BY83" s="2"/>
      <c r="BZ83" s="2"/>
      <c r="CA83" s="2"/>
      <c r="CB83" s="2"/>
      <c r="CC83" s="182" t="n">
        <f aca="false">G83</f>
        <v>36892</v>
      </c>
      <c r="CD83" s="253" t="e">
        <f aca="false">xSPRDOPT((VLOOKUP(G83,NGPrices,2,FALSE())+HLOOKUP(D83,Prices,VLOOKUP(G83,move_down,2,FALSE()),FALSE())),VLOOKUP(G83,NGPrices,2,FALSE()),I83,VLOOKUP(G83,NGPREVPRICES,4,FALSE()),HLOOKUP(D83,PREVVOLS,VLOOKUP(G83,MOVE_DOWN2,2,FALSE()),FALSE()),VLOOKUP(G83,NGPREVPRICES,3,FALSE()),HLOOKUP(D83,Correllate,VLOOKUP(G83,CorMove,2,FALSE()),FALSE()),Q83-$CD$3,R83,$CD$5)*H83-CJ83</f>
        <v>#NAME?</v>
      </c>
      <c r="CE83" s="253" t="e">
        <f aca="false">xSPRDOPT((VLOOKUP(G83,NGPREVPRICES,2,FALSE())+HLOOKUP(D83,PREVCURVES,VLOOKUP(G83,MOVE_DOWN2,2,FALSE()),FALSE())),VLOOKUP(G83,NGPREVPRICES,2,FALSE()),CK83,VLOOKUP(G83,NGPrices,4,FALSE()),HLOOKUP(D83,PREVVOLS,VLOOKUP(G83,MOVE_DOWN2,2,FALSE()),FALSE()),VLOOKUP(G83,NGPREVPRICES,3,FALSE()),HLOOKUP(D83,Correllate,VLOOKUP(G83,CorMove,2,FALSE()),FALSE()),Q83-$CD$3,R83,$CJ$5)*H83-CJ83</f>
        <v>#NAME?</v>
      </c>
      <c r="CF83" s="132" t="e">
        <f aca="false">(CJ83/VLOOKUP(CC83,discount,3,FALSE()))-(CJ83/VLOOKUP(CC83,discount,2,FALSE()))</f>
        <v>#NAME?</v>
      </c>
      <c r="CG83" s="253" t="e">
        <f aca="false">xSPRDOPT((VLOOKUP(G83,NGPREVPRICES,2,FALSE())+HLOOKUP(D83,PREVCURVES,VLOOKUP(G83,MOVE_DOWN2,2,FALSE()),FALSE())),VLOOKUP(G83,NGPREVPRICES,2,FALSE()),CK83,VLOOKUP(G83,NGPREVPRICES,4,FALSE()),HLOOKUP(D83,VOLS,VLOOKUP(G83,move_down,2,FALSE()),FALSE()),VLOOKUP(G83,NGPrices,3,FALSE()),HLOOKUP(D83,Correllate,VLOOKUP(G83,CorMove,2,FALSE()),FALSE()),Q83-$CD$3,R83,$CJ$5)*H83-CJ83</f>
        <v>#NAME?</v>
      </c>
      <c r="CH83" s="253" t="e">
        <f aca="false">xSPRDOPT((VLOOKUP(G83,NGPREVPRICES,2,FALSE())+HLOOKUP(D83,PREVCURVES,VLOOKUP(G83,MOVE_DOWN2,2,FALSE()),FALSE())),VLOOKUP(G83,NGPREVPRICES,2,FALSE()),CK83,VLOOKUP(G83,NGPREVPRICES,4,FALSE()),HLOOKUP(D83,PREVVOLS,VLOOKUP(G83,MOVE_DOWN2,2,FALSE()),FALSE()),VLOOKUP(G83,NGPREVPRICES,3,FALSE()),HLOOKUP(D83,Correllate,VLOOKUP(G83,CorMove,2,FALSE()),FALSE()),Q83-$C$3,R83,$CJ$5)*H83-CJ83</f>
        <v>#NAME?</v>
      </c>
      <c r="CI83" s="253" t="e">
        <f aca="false">SUM(CD83:CH83)</f>
        <v>#NAME?</v>
      </c>
      <c r="CJ83" s="253" t="e">
        <f aca="false">xSPRDOPT((VLOOKUP(G83,NGPREVPRICES,2,FALSE())+HLOOKUP(D83,PREVCURVES,VLOOKUP(G83,MOVE_DOWN2,2,FALSE()),FALSE())),VLOOKUP(G83,NGPREVPRICES,2,FALSE()),CK83,VLOOKUP(G83,NGPREVPRICES,4,FALSE()),HLOOKUP(D83,PREVVOLS,VLOOKUP(G83,MOVE_DOWN2,2,FALSE()),FALSE()),VLOOKUP(G83,NGPREVPRICES,3,FALSE()),HLOOKUP(D83,Correllate,VLOOKUP(G83,CorMove,2,FALSE()),FALSE()),Q83-$CD$3,R83,$CJ$5)*H83</f>
        <v>#NAME?</v>
      </c>
      <c r="CK83" s="254" t="n">
        <f aca="false">I83</f>
        <v>1.15</v>
      </c>
      <c r="CL83" s="253"/>
      <c r="CM83" s="0" t="str">
        <f aca="false">CONCATENATE(CC83,$CD$6)</f>
        <v>36892Curve Shift/Gamma</v>
      </c>
      <c r="CN83" s="0" t="str">
        <f aca="false">CONCATENATE($CC83,$CE$6)</f>
        <v>36892Rho</v>
      </c>
      <c r="CO83" s="0" t="str">
        <f aca="false">CONCATENATE($CC83,$CF$6)</f>
        <v>36892Drift</v>
      </c>
      <c r="CP83" s="0" t="str">
        <f aca="false">CONCATENATE($CC83,$CG$6)</f>
        <v>36892Vega</v>
      </c>
      <c r="CQ83" s="0" t="str">
        <f aca="false">CONCATENATE($CC83,$CH$6)</f>
        <v>36892Theta</v>
      </c>
    </row>
    <row r="84" customFormat="false" ht="12" hidden="false" customHeight="true" outlineLevel="0" collapsed="false">
      <c r="A84" s="265" t="s">
        <v>198</v>
      </c>
      <c r="B84" s="0" t="s">
        <v>192</v>
      </c>
      <c r="C84" s="0" t="s">
        <v>233</v>
      </c>
      <c r="D84" s="7" t="s">
        <v>149</v>
      </c>
      <c r="E84" s="0" t="s">
        <v>131</v>
      </c>
      <c r="F84" s="0" t="s">
        <v>136</v>
      </c>
      <c r="G84" s="92" t="n">
        <v>36861</v>
      </c>
      <c r="H84" s="248" t="n">
        <v>-250000</v>
      </c>
      <c r="I84" s="0" t="n">
        <v>1.15</v>
      </c>
      <c r="J84" s="124" t="n">
        <f aca="false">VLOOKUP(G84,NGPrices,2,FALSE())</f>
        <v>4.8</v>
      </c>
      <c r="K84" s="125" t="n">
        <f aca="false">HLOOKUP(D84,Prices,VLOOKUP(G84,move_down,2,FALSE()),FALSE())+VLOOKUP(G84,CHANGE,HLOOKUP(D84,CHANGE,2,FALSE()),FALSE())</f>
        <v>1.645</v>
      </c>
      <c r="L84" s="124" t="n">
        <f aca="false">K84+J84</f>
        <v>6.445</v>
      </c>
      <c r="M84" s="126" t="n">
        <f aca="false">VLOOKUP(G84,NGPrices,4,FALSE())</f>
        <v>0.068314027999354</v>
      </c>
      <c r="N84" s="7" t="n">
        <f aca="false">VLOOKUP(G84,NGPrices,3,FALSE())</f>
        <v>0.6</v>
      </c>
      <c r="O84" s="7" t="n">
        <f aca="false">HLOOKUP(D84,VOLS,VLOOKUP(G84,move_down,2,FALSE()),FALSE())</f>
        <v>0.69</v>
      </c>
      <c r="P84" s="249" t="n">
        <f aca="false">HLOOKUP(D84,Correllate,VLOOKUP(G84,CorMove,2,FALSE()),FALSE())</f>
        <v>0.83</v>
      </c>
      <c r="Q84" s="92" t="n">
        <f aca="false">WORKDAY(G84,-2)</f>
        <v>36859</v>
      </c>
      <c r="R84" s="7" t="n">
        <f aca="false">IF(F84="P",0,1)</f>
        <v>1</v>
      </c>
      <c r="S84" s="130" t="e">
        <f aca="false">xSPRDOPT($L84,$J84,$I84,$M84,$O84,$N84,$P84,$Q84-$C$3,$R84,0)</f>
        <v>#NAME?</v>
      </c>
      <c r="T84" s="250" t="e">
        <f aca="false">xSPRDOPT($L84,$J84,$I84,$M84,$O84,$N84,$P84,$Q84-$C$3,$R84,1)*H84</f>
        <v>#NAME?</v>
      </c>
      <c r="U84" s="43" t="e">
        <f aca="false">S84*H84</f>
        <v>#NAME?</v>
      </c>
      <c r="V84" s="250" t="e">
        <f aca="false">xSPRDOPT($L84,$J84,$I84,$M84,$O84,$N84,$P84,$Q84-$C$3,$R84,2)*H84</f>
        <v>#NAME?</v>
      </c>
      <c r="W84" s="250" t="e">
        <f aca="false">+V84+T84</f>
        <v>#NAME?</v>
      </c>
      <c r="X84" s="2" t="str">
        <f aca="false">CONCATENATE(G84,D84)</f>
        <v>36861IF-TRANSCO/Z6</v>
      </c>
      <c r="Y84" s="251" t="n">
        <f aca="false">H84/10000</f>
        <v>-25</v>
      </c>
      <c r="Z84" s="226" t="e">
        <f aca="false">T84/H84</f>
        <v>#NAME?</v>
      </c>
      <c r="AA84" s="226" t="e">
        <f aca="false">xSPRDOPT($L84,$J84,$I84,$M84,$O84,$N84,$P84,$Q84-$C$3,$R84,3)</f>
        <v>#NAME?</v>
      </c>
      <c r="AB84" s="226" t="e">
        <f aca="false">((xSPRDOPT($L84+AB$5,$J84,$I84,$M84,$O84,$N84,$P84,$Q84-$C$3,$R84,3)*$H84)/10000)/100</f>
        <v>#NAME?</v>
      </c>
      <c r="AC84" s="226" t="e">
        <f aca="false">((xSPRDOPT($L84+$AB$5,$J84,$I84,$M84,$O84,$N84,$P84,$Q84-$C$3,$R84,7)*$H84)/100)</f>
        <v>#NAME?</v>
      </c>
      <c r="AD84" s="226" t="e">
        <f aca="false">(xSPRDOPT($L84+$AB$5,$J84,$I84,$M84,$O84,$N84,$P84,$Q84-$C$3,$R84,9)/365)*$H84</f>
        <v>#NAME?</v>
      </c>
      <c r="AE84" s="0" t="e">
        <f aca="false">CD84</f>
        <v>#NAME?</v>
      </c>
      <c r="AF84" s="226" t="e">
        <f aca="false">((O84/N84)*AH84)+AG84</f>
        <v>#NAME?</v>
      </c>
      <c r="AG84" s="226" t="e">
        <f aca="false">((xSPRDOPT($L84,$J84,$I84,$M84,$O84,$N84,$P84,$Q84-$C$3,$R84,6)*$H84)/100)</f>
        <v>#NAME?</v>
      </c>
      <c r="AH84" s="226" t="e">
        <f aca="false">((xSPRDOPT($L84,$J84,$I84,$M84,$O84,$N84,$P84,$Q84-$C$3,$R84,5)*$H84)/100)</f>
        <v>#NAME?</v>
      </c>
      <c r="AI84" s="226" t="e">
        <f aca="false">(((xSPRDOPT($L84,$J84,$I84,$M84,$O84,$N84,$P84,$Q84-$C$3,$R84,4)*$H84)/10000)/100)-AB84</f>
        <v>#NAME?</v>
      </c>
      <c r="AJ84" s="226"/>
      <c r="AK84" s="226"/>
      <c r="AL84" s="226"/>
      <c r="AM84" s="252"/>
      <c r="AN84" s="208" t="n">
        <f aca="false">EOMONTH(AN83,0)+1</f>
        <v>39083</v>
      </c>
      <c r="AO84" s="134" t="n">
        <f aca="false">SUMIF($X:$X,CONCATENATE($AN84,AO$6),$T:$T)/10000</f>
        <v>0</v>
      </c>
      <c r="AP84" s="134" t="n">
        <f aca="false">SUMIF($X:$X,CONCATENATE($AN84,AP$6),$T:$T)/10000</f>
        <v>0</v>
      </c>
      <c r="AQ84" s="134" t="n">
        <f aca="false">SUMIF($X:$X,CONCATENATE($AN84,AQ$6),$T:$T)/10000</f>
        <v>0</v>
      </c>
      <c r="AR84" s="134" t="n">
        <f aca="false">SUMIF($X:$X,CONCATENATE($AN84,AR$6),$T:$T)/10000</f>
        <v>0</v>
      </c>
      <c r="AS84" s="134" t="n">
        <f aca="false">SUMIF($X:$X,CONCATENATE($AN84,AS$6),$T:$T)/10000</f>
        <v>0</v>
      </c>
      <c r="AT84" s="134" t="n">
        <f aca="false">SUMIF($X:$X,CONCATENATE($AN84,AT$6),$T:$T)/10000</f>
        <v>0</v>
      </c>
      <c r="AU84" s="134" t="n">
        <f aca="false">SUMIF($X:$X,CONCATENATE($AN84,AU$6),$T:$T)/10000</f>
        <v>0</v>
      </c>
      <c r="AV84" s="134" t="n">
        <f aca="false">SUMIF($X:$X,CONCATENATE($AN84,AV$6),$T:$T)/10000</f>
        <v>0</v>
      </c>
      <c r="AW84" s="134" t="n">
        <f aca="false">SUMIF($X:$X,CONCATENATE($AN84,AW$6),$T:$T)/10000</f>
        <v>0</v>
      </c>
      <c r="AX84" s="134" t="n">
        <f aca="false">SUMIF($X:$X,CONCATENATE($AN84,AX$6),$T:$T)/10000</f>
        <v>0</v>
      </c>
      <c r="AY84" s="134" t="n">
        <f aca="false">SUMIF($X:$X,CONCATENATE($AN84,AY$6),$T:$T)/10000</f>
        <v>0</v>
      </c>
      <c r="AZ84" s="134" t="n">
        <f aca="false">SUMIF($X:$X,CONCATENATE($AN84,AZ$6),$T:$T)/10000</f>
        <v>0</v>
      </c>
      <c r="BA84" s="135" t="n">
        <f aca="false">SUMIF($X:$X,CONCATENATE($AN84,BA$6),$T:$T)/10000</f>
        <v>0</v>
      </c>
      <c r="BB84" s="208" t="n">
        <f aca="false">EOMONTH(BB83,0)+1</f>
        <v>39083</v>
      </c>
      <c r="BC84" s="135" t="n">
        <f aca="false">SUM(AO84:BA84)</f>
        <v>0</v>
      </c>
      <c r="BD84" s="2"/>
      <c r="BE84" s="208" t="n">
        <f aca="false">EOMONTH(BE83,0)+1</f>
        <v>39083</v>
      </c>
      <c r="BF84" s="134" t="n">
        <f aca="false">SUMIF($X:$X,CONCATENATE($AN84,BF$6),$W:$W)</f>
        <v>0</v>
      </c>
      <c r="BG84" s="134" t="n">
        <f aca="false">SUMIF($X:$X,CONCATENATE($AN84,BG$6),$W:$W)</f>
        <v>0</v>
      </c>
      <c r="BH84" s="134" t="n">
        <f aca="false">SUMIF($X:$X,CONCATENATE($AN84,BH$6),$W:$W)</f>
        <v>0</v>
      </c>
      <c r="BI84" s="134" t="n">
        <f aca="false">SUMIF($X:$X,CONCATENATE($AN84,BI$6),$W:$W)</f>
        <v>0</v>
      </c>
      <c r="BJ84" s="134" t="n">
        <f aca="false">SUMIF($X:$X,CONCATENATE($AN84,BJ$6),$W:$W)</f>
        <v>0</v>
      </c>
      <c r="BK84" s="134" t="n">
        <f aca="false">SUMIF($X:$X,CONCATENATE($AN84,BK$6),$W:$W)</f>
        <v>0</v>
      </c>
      <c r="BL84" s="134" t="n">
        <f aca="false">SUMIF($X:$X,CONCATENATE($AN84,BL$6),$W:$W)</f>
        <v>0</v>
      </c>
      <c r="BM84" s="134" t="n">
        <f aca="false">SUMIF($X:$X,CONCATENATE($AN84,BM$6),$W:$W)</f>
        <v>0</v>
      </c>
      <c r="BN84" s="134" t="n">
        <f aca="false">SUMIF($X:$X,CONCATENATE($AN84,BN$6),$W:$W)</f>
        <v>0</v>
      </c>
      <c r="BO84" s="134" t="n">
        <f aca="false">SUMIF($X:$X,CONCATENATE($AN84,BO$6),$W:$W)</f>
        <v>0</v>
      </c>
      <c r="BP84" s="134" t="n">
        <f aca="false">SUMIF($X:$X,CONCATENATE($AN84,BP$6),$W:$W)</f>
        <v>0</v>
      </c>
      <c r="BQ84" s="134" t="n">
        <f aca="false">SUMIF($X:$X,CONCATENATE($AN84,BQ$6),$W:$W)</f>
        <v>0</v>
      </c>
      <c r="BR84" s="135" t="n">
        <f aca="false">SUMIF($X:$X,CONCATENATE($AN84,BR$6),$W:$W)</f>
        <v>0</v>
      </c>
      <c r="BS84" s="208" t="n">
        <f aca="false">EOMONTH(BS83,0)+1</f>
        <v>39083</v>
      </c>
      <c r="BT84" s="135" t="n">
        <f aca="false">SUM(BF84:BR84)</f>
        <v>0</v>
      </c>
      <c r="BU84" s="2"/>
      <c r="BV84" s="2"/>
      <c r="BW84" s="2"/>
      <c r="BX84" s="2"/>
      <c r="BY84" s="2"/>
      <c r="BZ84" s="2"/>
      <c r="CA84" s="2"/>
      <c r="CB84" s="2"/>
      <c r="CC84" s="182" t="n">
        <f aca="false">G84</f>
        <v>36861</v>
      </c>
      <c r="CD84" s="253" t="e">
        <f aca="false">xSPRDOPT((VLOOKUP(G84,NGPrices,2,FALSE())+HLOOKUP(D84,Prices,VLOOKUP(G84,move_down,2,FALSE()),FALSE())),VLOOKUP(G84,NGPrices,2,FALSE()),I84,VLOOKUP(G84,NGPREVPRICES,4,FALSE()),HLOOKUP(D84,PREVVOLS,VLOOKUP(G84,MOVE_DOWN2,2,FALSE()),FALSE()),VLOOKUP(G84,NGPREVPRICES,3,FALSE()),HLOOKUP(D84,Correllate,VLOOKUP(G84,CorMove,2,FALSE()),FALSE()),Q84-$CD$3,R84,$CD$5)*H84-CJ84</f>
        <v>#NAME?</v>
      </c>
      <c r="CE84" s="253" t="e">
        <f aca="false">xSPRDOPT((VLOOKUP(G84,NGPREVPRICES,2,FALSE())+HLOOKUP(D84,PREVCURVES,VLOOKUP(G84,MOVE_DOWN2,2,FALSE()),FALSE())),VLOOKUP(G84,NGPREVPRICES,2,FALSE()),CK84,VLOOKUP(G84,NGPrices,4,FALSE()),HLOOKUP(D84,PREVVOLS,VLOOKUP(G84,MOVE_DOWN2,2,FALSE()),FALSE()),VLOOKUP(G84,NGPREVPRICES,3,FALSE()),HLOOKUP(D84,Correllate,VLOOKUP(G84,CorMove,2,FALSE()),FALSE()),Q84-$CD$3,R84,$CJ$5)*H84-CJ84</f>
        <v>#NAME?</v>
      </c>
      <c r="CF84" s="132" t="e">
        <f aca="false">(CJ84/VLOOKUP(CC84,discount,3,FALSE()))-(CJ84/VLOOKUP(CC84,discount,2,FALSE()))</f>
        <v>#NAME?</v>
      </c>
      <c r="CG84" s="253" t="e">
        <f aca="false">xSPRDOPT((VLOOKUP(G84,NGPREVPRICES,2,FALSE())+HLOOKUP(D84,PREVCURVES,VLOOKUP(G84,MOVE_DOWN2,2,FALSE()),FALSE())),VLOOKUP(G84,NGPREVPRICES,2,FALSE()),CK84,VLOOKUP(G84,NGPREVPRICES,4,FALSE()),HLOOKUP(D84,VOLS,VLOOKUP(G84,move_down,2,FALSE()),FALSE()),VLOOKUP(G84,NGPrices,3,FALSE()),HLOOKUP(D84,Correllate,VLOOKUP(G84,CorMove,2,FALSE()),FALSE()),Q84-$CD$3,R84,$CJ$5)*H84-CJ84</f>
        <v>#NAME?</v>
      </c>
      <c r="CH84" s="253" t="e">
        <f aca="false">xSPRDOPT((VLOOKUP(G84,NGPREVPRICES,2,FALSE())+HLOOKUP(D84,PREVCURVES,VLOOKUP(G84,MOVE_DOWN2,2,FALSE()),FALSE())),VLOOKUP(G84,NGPREVPRICES,2,FALSE()),CK84,VLOOKUP(G84,NGPREVPRICES,4,FALSE()),HLOOKUP(D84,PREVVOLS,VLOOKUP(G84,MOVE_DOWN2,2,FALSE()),FALSE()),VLOOKUP(G84,NGPREVPRICES,3,FALSE()),HLOOKUP(D84,Correllate,VLOOKUP(G84,CorMove,2,FALSE()),FALSE()),Q84-$C$3,R84,$CJ$5)*H84-CJ84</f>
        <v>#NAME?</v>
      </c>
      <c r="CI84" s="253" t="e">
        <f aca="false">SUM(CD84:CH84)</f>
        <v>#NAME?</v>
      </c>
      <c r="CJ84" s="253" t="e">
        <f aca="false">xSPRDOPT((VLOOKUP(G84,NGPREVPRICES,2,FALSE())+HLOOKUP(D84,PREVCURVES,VLOOKUP(G84,MOVE_DOWN2,2,FALSE()),FALSE())),VLOOKUP(G84,NGPREVPRICES,2,FALSE()),CK84,VLOOKUP(G84,NGPREVPRICES,4,FALSE()),HLOOKUP(D84,PREVVOLS,VLOOKUP(G84,MOVE_DOWN2,2,FALSE()),FALSE()),VLOOKUP(G84,NGPREVPRICES,3,FALSE()),HLOOKUP(D84,Correllate,VLOOKUP(G84,CorMove,2,FALSE()),FALSE()),Q84-$CD$3,R84,$CJ$5)*H84</f>
        <v>#NAME?</v>
      </c>
      <c r="CK84" s="254" t="n">
        <f aca="false">I84</f>
        <v>1.15</v>
      </c>
      <c r="CL84" s="253"/>
      <c r="CM84" s="0" t="str">
        <f aca="false">CONCATENATE(CC84,$CD$6)</f>
        <v>36861Curve Shift/Gamma</v>
      </c>
      <c r="CN84" s="0" t="str">
        <f aca="false">CONCATENATE($CC84,$CE$6)</f>
        <v>36861Rho</v>
      </c>
      <c r="CO84" s="0" t="str">
        <f aca="false">CONCATENATE($CC84,$CF$6)</f>
        <v>36861Drift</v>
      </c>
      <c r="CP84" s="0" t="str">
        <f aca="false">CONCATENATE($CC84,$CG$6)</f>
        <v>36861Vega</v>
      </c>
      <c r="CQ84" s="0" t="str">
        <f aca="false">CONCATENATE($CC84,$CH$6)</f>
        <v>36861Theta</v>
      </c>
    </row>
    <row r="85" customFormat="false" ht="12" hidden="false" customHeight="true" outlineLevel="0" collapsed="false">
      <c r="A85" s="265" t="s">
        <v>198</v>
      </c>
      <c r="B85" s="0" t="s">
        <v>192</v>
      </c>
      <c r="C85" s="0" t="s">
        <v>233</v>
      </c>
      <c r="D85" s="7" t="s">
        <v>149</v>
      </c>
      <c r="E85" s="0" t="s">
        <v>131</v>
      </c>
      <c r="F85" s="0" t="s">
        <v>136</v>
      </c>
      <c r="G85" s="92" t="n">
        <v>36831</v>
      </c>
      <c r="H85" s="248" t="n">
        <v>-250000</v>
      </c>
      <c r="I85" s="0" t="n">
        <v>1.15</v>
      </c>
      <c r="J85" s="124" t="n">
        <f aca="false">VLOOKUP(G85,NGPrices,2,FALSE())</f>
        <v>4.736</v>
      </c>
      <c r="K85" s="125" t="n">
        <f aca="false">HLOOKUP(D85,Prices,VLOOKUP(G85,move_down,2,FALSE()),FALSE())+VLOOKUP(G85,CHANGE,HLOOKUP(D85,CHANGE,2,FALSE()),FALSE())</f>
        <v>0.77</v>
      </c>
      <c r="L85" s="124" t="n">
        <f aca="false">K85+J85</f>
        <v>5.506</v>
      </c>
      <c r="M85" s="126" t="n">
        <f aca="false">VLOOKUP(G85,NGPrices,4,FALSE())</f>
        <v>0.06810675983792</v>
      </c>
      <c r="N85" s="7" t="n">
        <f aca="false">VLOOKUP(G85,NGPrices,3,FALSE())</f>
        <v>0.595</v>
      </c>
      <c r="O85" s="7" t="n">
        <f aca="false">HLOOKUP(D85,VOLS,VLOOKUP(G85,move_down,2,FALSE()),FALSE())</f>
        <v>0.625</v>
      </c>
      <c r="P85" s="249" t="n">
        <f aca="false">HLOOKUP(D85,Correllate,VLOOKUP(G85,CorMove,2,FALSE()),FALSE())</f>
        <v>0.89</v>
      </c>
      <c r="Q85" s="92" t="n">
        <f aca="false">WORKDAY(G85,-2)</f>
        <v>36829</v>
      </c>
      <c r="R85" s="7" t="n">
        <f aca="false">IF(F85="P",0,1)</f>
        <v>1</v>
      </c>
      <c r="S85" s="130" t="e">
        <f aca="false">xSPRDOPT($L85,$J85,$I85,$M85,$O85,$N85,$P85,$Q85-$C$3,$R85,0)</f>
        <v>#NAME?</v>
      </c>
      <c r="T85" s="250" t="e">
        <f aca="false">xSPRDOPT($L85,$J85,$I85,$M85,$O85,$N85,$P85,$Q85-$C$3,$R85,1)*H85</f>
        <v>#NAME?</v>
      </c>
      <c r="U85" s="43" t="e">
        <f aca="false">S85*H85</f>
        <v>#NAME?</v>
      </c>
      <c r="V85" s="250" t="e">
        <f aca="false">xSPRDOPT($L85,$J85,$I85,$M85,$O85,$N85,$P85,$Q85-$C$3,$R85,2)*H85</f>
        <v>#NAME?</v>
      </c>
      <c r="W85" s="250" t="e">
        <f aca="false">+V85+T85</f>
        <v>#NAME?</v>
      </c>
      <c r="X85" s="2" t="str">
        <f aca="false">CONCATENATE(G85,D85)</f>
        <v>36831IF-TRANSCO/Z6</v>
      </c>
      <c r="Y85" s="251" t="n">
        <f aca="false">H85/10000</f>
        <v>-25</v>
      </c>
      <c r="Z85" s="226" t="e">
        <f aca="false">T85/H85</f>
        <v>#NAME?</v>
      </c>
      <c r="AA85" s="226" t="e">
        <f aca="false">xSPRDOPT($L85,$J85,$I85,$M85,$O85,$N85,$P85,$Q85-$C$3,$R85,3)</f>
        <v>#NAME?</v>
      </c>
      <c r="AB85" s="226" t="e">
        <f aca="false">((xSPRDOPT($L85+AB$5,$J85,$I85,$M85,$O85,$N85,$P85,$Q85-$C$3,$R85,3)*$H85)/10000)/100</f>
        <v>#NAME?</v>
      </c>
      <c r="AC85" s="226" t="e">
        <f aca="false">((xSPRDOPT($L85+$AB$5,$J85,$I85,$M85,$O85,$N85,$P85,$Q85-$C$3,$R85,7)*$H85)/100)</f>
        <v>#NAME?</v>
      </c>
      <c r="AD85" s="226" t="e">
        <f aca="false">(xSPRDOPT($L85+$AB$5,$J85,$I85,$M85,$O85,$N85,$P85,$Q85-$C$3,$R85,9)/365)*$H85</f>
        <v>#NAME?</v>
      </c>
      <c r="AE85" s="0" t="e">
        <f aca="false">CD85</f>
        <v>#NAME?</v>
      </c>
      <c r="AF85" s="226" t="e">
        <f aca="false">((O85/N85)*AH85)+AG85</f>
        <v>#NAME?</v>
      </c>
      <c r="AG85" s="226" t="e">
        <f aca="false">((xSPRDOPT($L85,$J85,$I85,$M85,$O85,$N85,$P85,$Q85-$C$3,$R85,6)*$H85)/100)</f>
        <v>#NAME?</v>
      </c>
      <c r="AH85" s="226" t="e">
        <f aca="false">((xSPRDOPT($L85,$J85,$I85,$M85,$O85,$N85,$P85,$Q85-$C$3,$R85,5)*$H85)/100)</f>
        <v>#NAME?</v>
      </c>
      <c r="AI85" s="226" t="e">
        <f aca="false">(((xSPRDOPT($L85,$J85,$I85,$M85,$O85,$N85,$P85,$Q85-$C$3,$R85,4)*$H85)/10000)/100)-AB85</f>
        <v>#NAME?</v>
      </c>
      <c r="AJ85" s="226"/>
      <c r="AK85" s="226"/>
      <c r="AL85" s="226"/>
      <c r="AM85" s="252"/>
      <c r="AN85" s="208" t="n">
        <f aca="false">EOMONTH(AN84,0)+1</f>
        <v>39114</v>
      </c>
      <c r="AO85" s="134" t="n">
        <f aca="false">SUMIF($X:$X,CONCATENATE($AN85,AO$6),$T:$T)/10000</f>
        <v>0</v>
      </c>
      <c r="AP85" s="134" t="n">
        <f aca="false">SUMIF($X:$X,CONCATENATE($AN85,AP$6),$T:$T)/10000</f>
        <v>0</v>
      </c>
      <c r="AQ85" s="134" t="n">
        <f aca="false">SUMIF($X:$X,CONCATENATE($AN85,AQ$6),$T:$T)/10000</f>
        <v>0</v>
      </c>
      <c r="AR85" s="134" t="n">
        <f aca="false">SUMIF($X:$X,CONCATENATE($AN85,AR$6),$T:$T)/10000</f>
        <v>0</v>
      </c>
      <c r="AS85" s="134" t="n">
        <f aca="false">SUMIF($X:$X,CONCATENATE($AN85,AS$6),$T:$T)/10000</f>
        <v>0</v>
      </c>
      <c r="AT85" s="134" t="n">
        <f aca="false">SUMIF($X:$X,CONCATENATE($AN85,AT$6),$T:$T)/10000</f>
        <v>0</v>
      </c>
      <c r="AU85" s="134" t="n">
        <f aca="false">SUMIF($X:$X,CONCATENATE($AN85,AU$6),$T:$T)/10000</f>
        <v>0</v>
      </c>
      <c r="AV85" s="134" t="n">
        <f aca="false">SUMIF($X:$X,CONCATENATE($AN85,AV$6),$T:$T)/10000</f>
        <v>0</v>
      </c>
      <c r="AW85" s="134" t="n">
        <f aca="false">SUMIF($X:$X,CONCATENATE($AN85,AW$6),$T:$T)/10000</f>
        <v>0</v>
      </c>
      <c r="AX85" s="134" t="n">
        <f aca="false">SUMIF($X:$X,CONCATENATE($AN85,AX$6),$T:$T)/10000</f>
        <v>0</v>
      </c>
      <c r="AY85" s="134" t="n">
        <f aca="false">SUMIF($X:$X,CONCATENATE($AN85,AY$6),$T:$T)/10000</f>
        <v>0</v>
      </c>
      <c r="AZ85" s="134" t="n">
        <f aca="false">SUMIF($X:$X,CONCATENATE($AN85,AZ$6),$T:$T)/10000</f>
        <v>0</v>
      </c>
      <c r="BA85" s="135" t="n">
        <f aca="false">SUMIF($X:$X,CONCATENATE($AN85,BA$6),$T:$T)/10000</f>
        <v>0</v>
      </c>
      <c r="BB85" s="208" t="n">
        <f aca="false">EOMONTH(BB84,0)+1</f>
        <v>39114</v>
      </c>
      <c r="BC85" s="135" t="n">
        <f aca="false">SUM(AO85:BA85)</f>
        <v>0</v>
      </c>
      <c r="BD85" s="2"/>
      <c r="BE85" s="208" t="n">
        <f aca="false">EOMONTH(BE84,0)+1</f>
        <v>39114</v>
      </c>
      <c r="BF85" s="134" t="n">
        <f aca="false">SUMIF($X:$X,CONCATENATE($AN85,BF$6),$W:$W)</f>
        <v>0</v>
      </c>
      <c r="BG85" s="134" t="n">
        <f aca="false">SUMIF($X:$X,CONCATENATE($AN85,BG$6),$W:$W)</f>
        <v>0</v>
      </c>
      <c r="BH85" s="134" t="n">
        <f aca="false">SUMIF($X:$X,CONCATENATE($AN85,BH$6),$W:$W)</f>
        <v>0</v>
      </c>
      <c r="BI85" s="134" t="n">
        <f aca="false">SUMIF($X:$X,CONCATENATE($AN85,BI$6),$W:$W)</f>
        <v>0</v>
      </c>
      <c r="BJ85" s="134" t="n">
        <f aca="false">SUMIF($X:$X,CONCATENATE($AN85,BJ$6),$W:$W)</f>
        <v>0</v>
      </c>
      <c r="BK85" s="134" t="n">
        <f aca="false">SUMIF($X:$X,CONCATENATE($AN85,BK$6),$W:$W)</f>
        <v>0</v>
      </c>
      <c r="BL85" s="134" t="n">
        <f aca="false">SUMIF($X:$X,CONCATENATE($AN85,BL$6),$W:$W)</f>
        <v>0</v>
      </c>
      <c r="BM85" s="134" t="n">
        <f aca="false">SUMIF($X:$X,CONCATENATE($AN85,BM$6),$W:$W)</f>
        <v>0</v>
      </c>
      <c r="BN85" s="134" t="n">
        <f aca="false">SUMIF($X:$X,CONCATENATE($AN85,BN$6),$W:$W)</f>
        <v>0</v>
      </c>
      <c r="BO85" s="134" t="n">
        <f aca="false">SUMIF($X:$X,CONCATENATE($AN85,BO$6),$W:$W)</f>
        <v>0</v>
      </c>
      <c r="BP85" s="134" t="n">
        <f aca="false">SUMIF($X:$X,CONCATENATE($AN85,BP$6),$W:$W)</f>
        <v>0</v>
      </c>
      <c r="BQ85" s="134" t="n">
        <f aca="false">SUMIF($X:$X,CONCATENATE($AN85,BQ$6),$W:$W)</f>
        <v>0</v>
      </c>
      <c r="BR85" s="135" t="n">
        <f aca="false">SUMIF($X:$X,CONCATENATE($AN85,BR$6),$W:$W)</f>
        <v>0</v>
      </c>
      <c r="BS85" s="208" t="n">
        <f aca="false">EOMONTH(BS84,0)+1</f>
        <v>39114</v>
      </c>
      <c r="BT85" s="135" t="n">
        <f aca="false">SUM(BF85:BR85)</f>
        <v>0</v>
      </c>
      <c r="BU85" s="2"/>
      <c r="BV85" s="2"/>
      <c r="BW85" s="2"/>
      <c r="BX85" s="2"/>
      <c r="BY85" s="2"/>
      <c r="BZ85" s="2"/>
      <c r="CA85" s="2"/>
      <c r="CB85" s="2"/>
      <c r="CC85" s="182" t="n">
        <f aca="false">G85</f>
        <v>36831</v>
      </c>
      <c r="CD85" s="253" t="e">
        <f aca="false">xSPRDOPT((VLOOKUP(G85,NGPrices,2,FALSE())+HLOOKUP(D85,Prices,VLOOKUP(G85,move_down,2,FALSE()),FALSE())),VLOOKUP(G85,NGPrices,2,FALSE()),I85,VLOOKUP(G85,NGPREVPRICES,4,FALSE()),HLOOKUP(D85,PREVVOLS,VLOOKUP(G85,MOVE_DOWN2,2,FALSE()),FALSE()),VLOOKUP(G85,NGPREVPRICES,3,FALSE()),HLOOKUP(D85,Correllate,VLOOKUP(G85,CorMove,2,FALSE()),FALSE()),Q85-$CD$3,R85,$CD$5)*H85-CJ85</f>
        <v>#NAME?</v>
      </c>
      <c r="CE85" s="253" t="e">
        <f aca="false">xSPRDOPT((VLOOKUP(G85,NGPREVPRICES,2,FALSE())+HLOOKUP(D85,PREVCURVES,VLOOKUP(G85,MOVE_DOWN2,2,FALSE()),FALSE())),VLOOKUP(G85,NGPREVPRICES,2,FALSE()),CK85,VLOOKUP(G85,NGPrices,4,FALSE()),HLOOKUP(D85,PREVVOLS,VLOOKUP(G85,MOVE_DOWN2,2,FALSE()),FALSE()),VLOOKUP(G85,NGPREVPRICES,3,FALSE()),HLOOKUP(D85,Correllate,VLOOKUP(G85,CorMove,2,FALSE()),FALSE()),Q85-$CD$3,R85,$CJ$5)*H85-CJ85</f>
        <v>#NAME?</v>
      </c>
      <c r="CF85" s="132" t="e">
        <f aca="false">(CJ85/VLOOKUP(CC85,discount,3,FALSE()))-(CJ85/VLOOKUP(CC85,discount,2,FALSE()))</f>
        <v>#NAME?</v>
      </c>
      <c r="CG85" s="253" t="e">
        <f aca="false">xSPRDOPT((VLOOKUP(G85,NGPREVPRICES,2,FALSE())+HLOOKUP(D85,PREVCURVES,VLOOKUP(G85,MOVE_DOWN2,2,FALSE()),FALSE())),VLOOKUP(G85,NGPREVPRICES,2,FALSE()),CK85,VLOOKUP(G85,NGPREVPRICES,4,FALSE()),HLOOKUP(D85,VOLS,VLOOKUP(G85,move_down,2,FALSE()),FALSE()),VLOOKUP(G85,NGPrices,3,FALSE()),HLOOKUP(D85,Correllate,VLOOKUP(G85,CorMove,2,FALSE()),FALSE()),Q85-$CD$3,R85,$CJ$5)*H85-CJ85</f>
        <v>#NAME?</v>
      </c>
      <c r="CH85" s="253" t="e">
        <f aca="false">xSPRDOPT((VLOOKUP(G85,NGPREVPRICES,2,FALSE())+HLOOKUP(D85,PREVCURVES,VLOOKUP(G85,MOVE_DOWN2,2,FALSE()),FALSE())),VLOOKUP(G85,NGPREVPRICES,2,FALSE()),CK85,VLOOKUP(G85,NGPREVPRICES,4,FALSE()),HLOOKUP(D85,PREVVOLS,VLOOKUP(G85,MOVE_DOWN2,2,FALSE()),FALSE()),VLOOKUP(G85,NGPREVPRICES,3,FALSE()),HLOOKUP(D85,Correllate,VLOOKUP(G85,CorMove,2,FALSE()),FALSE()),Q85-$C$3,R85,$CJ$5)*H85-CJ85</f>
        <v>#NAME?</v>
      </c>
      <c r="CI85" s="253" t="e">
        <f aca="false">SUM(CD85:CH85)</f>
        <v>#NAME?</v>
      </c>
      <c r="CJ85" s="253" t="e">
        <f aca="false">xSPRDOPT((VLOOKUP(G85,NGPREVPRICES,2,FALSE())+HLOOKUP(D85,PREVCURVES,VLOOKUP(G85,MOVE_DOWN2,2,FALSE()),FALSE())),VLOOKUP(G85,NGPREVPRICES,2,FALSE()),CK85,VLOOKUP(G85,NGPREVPRICES,4,FALSE()),HLOOKUP(D85,PREVVOLS,VLOOKUP(G85,MOVE_DOWN2,2,FALSE()),FALSE()),VLOOKUP(G85,NGPREVPRICES,3,FALSE()),HLOOKUP(D85,Correllate,VLOOKUP(G85,CorMove,2,FALSE()),FALSE()),Q85-$CD$3,R85,$CJ$5)*H85</f>
        <v>#NAME?</v>
      </c>
      <c r="CK85" s="254" t="n">
        <f aca="false">I85</f>
        <v>1.15</v>
      </c>
      <c r="CL85" s="253"/>
      <c r="CM85" s="0" t="str">
        <f aca="false">CONCATENATE(CC85,$CD$6)</f>
        <v>36831Curve Shift/Gamma</v>
      </c>
      <c r="CN85" s="0" t="str">
        <f aca="false">CONCATENATE($CC85,$CE$6)</f>
        <v>36831Rho</v>
      </c>
      <c r="CO85" s="0" t="str">
        <f aca="false">CONCATENATE($CC85,$CF$6)</f>
        <v>36831Drift</v>
      </c>
      <c r="CP85" s="0" t="str">
        <f aca="false">CONCATENATE($CC85,$CG$6)</f>
        <v>36831Vega</v>
      </c>
      <c r="CQ85" s="0" t="str">
        <f aca="false">CONCATENATE($CC85,$CH$6)</f>
        <v>36831Theta</v>
      </c>
    </row>
    <row r="86" customFormat="false" ht="12" hidden="false" customHeight="true" outlineLevel="0" collapsed="false">
      <c r="A86" s="265" t="s">
        <v>198</v>
      </c>
      <c r="B86" s="0" t="s">
        <v>192</v>
      </c>
      <c r="C86" s="0" t="s">
        <v>234</v>
      </c>
      <c r="D86" s="7" t="s">
        <v>149</v>
      </c>
      <c r="E86" s="0" t="s">
        <v>131</v>
      </c>
      <c r="F86" s="0" t="s">
        <v>132</v>
      </c>
      <c r="G86" s="92" t="n">
        <v>36951</v>
      </c>
      <c r="H86" s="248" t="n">
        <v>-250000</v>
      </c>
      <c r="I86" s="0" t="n">
        <v>1.15</v>
      </c>
      <c r="J86" s="124" t="n">
        <f aca="false">VLOOKUP(G86,NGPrices,2,FALSE())</f>
        <v>4.213</v>
      </c>
      <c r="K86" s="125" t="n">
        <f aca="false">HLOOKUP(D86,Prices,VLOOKUP(G86,move_down,2,FALSE()),FALSE())+VLOOKUP(G86,CHANGE,HLOOKUP(D86,CHANGE,2,FALSE()),FALSE())</f>
        <v>1.075</v>
      </c>
      <c r="L86" s="124" t="n">
        <f aca="false">K86+J86</f>
        <v>5.288</v>
      </c>
      <c r="M86" s="126" t="n">
        <f aca="false">VLOOKUP(G86,NGPrices,4,FALSE())</f>
        <v>0.068879814952707</v>
      </c>
      <c r="N86" s="7" t="n">
        <f aca="false">VLOOKUP(G86,NGPrices,3,FALSE())</f>
        <v>0.5325</v>
      </c>
      <c r="O86" s="7" t="n">
        <f aca="false">HLOOKUP(D86,VOLS,VLOOKUP(G86,move_down,2,FALSE()),FALSE())</f>
        <v>0.612</v>
      </c>
      <c r="P86" s="249" t="n">
        <f aca="false">HLOOKUP(D86,Correllate,VLOOKUP(G86,CorMove,2,FALSE()),FALSE())</f>
        <v>0.83</v>
      </c>
      <c r="Q86" s="92" t="n">
        <f aca="false">WORKDAY(G86,-2)</f>
        <v>36949</v>
      </c>
      <c r="R86" s="7" t="n">
        <f aca="false">IF(F86="P",0,1)</f>
        <v>0</v>
      </c>
      <c r="S86" s="130" t="e">
        <f aca="false">xSPRDOPT($L86,$J86,$I86,$M86,$O86,$N86,$P86,$Q86-$C$3,$R86,0)</f>
        <v>#NAME?</v>
      </c>
      <c r="T86" s="250" t="e">
        <f aca="false">xSPRDOPT($L86,$J86,$I86,$M86,$O86,$N86,$P86,$Q86-$C$3,$R86,1)*H86</f>
        <v>#NAME?</v>
      </c>
      <c r="U86" s="43" t="e">
        <f aca="false">S86*H86</f>
        <v>#NAME?</v>
      </c>
      <c r="V86" s="250" t="e">
        <f aca="false">xSPRDOPT($L86,$J86,$I86,$M86,$O86,$N86,$P86,$Q86-$C$3,$R86,2)*H86</f>
        <v>#NAME?</v>
      </c>
      <c r="W86" s="250" t="e">
        <f aca="false">+V86+T86</f>
        <v>#NAME?</v>
      </c>
      <c r="X86" s="2" t="str">
        <f aca="false">CONCATENATE(G86,D86)</f>
        <v>36951IF-TRANSCO/Z6</v>
      </c>
      <c r="Y86" s="251" t="n">
        <f aca="false">H86/10000</f>
        <v>-25</v>
      </c>
      <c r="Z86" s="226" t="e">
        <f aca="false">T86/H86</f>
        <v>#NAME?</v>
      </c>
      <c r="AA86" s="226" t="e">
        <f aca="false">xSPRDOPT($L86,$J86,$I86,$M86,$O86,$N86,$P86,$Q86-$C$3,$R86,3)</f>
        <v>#NAME?</v>
      </c>
      <c r="AB86" s="226" t="e">
        <f aca="false">((xSPRDOPT($L86+AB$5,$J86,$I86,$M86,$O86,$N86,$P86,$Q86-$C$3,$R86,3)*$H86)/10000)/100</f>
        <v>#NAME?</v>
      </c>
      <c r="AC86" s="226" t="e">
        <f aca="false">((xSPRDOPT($L86+$AB$5,$J86,$I86,$M86,$O86,$N86,$P86,$Q86-$C$3,$R86,7)*$H86)/100)</f>
        <v>#NAME?</v>
      </c>
      <c r="AD86" s="226" t="e">
        <f aca="false">(xSPRDOPT($L86+$AB$5,$J86,$I86,$M86,$O86,$N86,$P86,$Q86-$C$3,$R86,9)/365)*$H86</f>
        <v>#NAME?</v>
      </c>
      <c r="AE86" s="0" t="e">
        <f aca="false">CD86</f>
        <v>#NAME?</v>
      </c>
      <c r="AF86" s="226" t="e">
        <f aca="false">((O86/N86)*AH86)+AG86</f>
        <v>#NAME?</v>
      </c>
      <c r="AG86" s="226" t="e">
        <f aca="false">((xSPRDOPT($L86,$J86,$I86,$M86,$O86,$N86,$P86,$Q86-$C$3,$R86,6)*$H86)/100)</f>
        <v>#NAME?</v>
      </c>
      <c r="AH86" s="226" t="e">
        <f aca="false">((xSPRDOPT($L86,$J86,$I86,$M86,$O86,$N86,$P86,$Q86-$C$3,$R86,5)*$H86)/100)</f>
        <v>#NAME?</v>
      </c>
      <c r="AI86" s="226" t="e">
        <f aca="false">(((xSPRDOPT($L86,$J86,$I86,$M86,$O86,$N86,$P86,$Q86-$C$3,$R86,4)*$H86)/10000)/100)-AB86</f>
        <v>#NAME?</v>
      </c>
      <c r="AJ86" s="226"/>
      <c r="AK86" s="226"/>
      <c r="AL86" s="226"/>
      <c r="AM86" s="252"/>
      <c r="AN86" s="208" t="n">
        <f aca="false">EOMONTH(AN85,0)+1</f>
        <v>39142</v>
      </c>
      <c r="AO86" s="134" t="n">
        <f aca="false">SUMIF($X:$X,CONCATENATE($AN86,AO$6),$T:$T)/10000</f>
        <v>0</v>
      </c>
      <c r="AP86" s="134" t="n">
        <f aca="false">SUMIF($X:$X,CONCATENATE($AN86,AP$6),$T:$T)/10000</f>
        <v>0</v>
      </c>
      <c r="AQ86" s="134" t="n">
        <f aca="false">SUMIF($X:$X,CONCATENATE($AN86,AQ$6),$T:$T)/10000</f>
        <v>0</v>
      </c>
      <c r="AR86" s="134" t="n">
        <f aca="false">SUMIF($X:$X,CONCATENATE($AN86,AR$6),$T:$T)/10000</f>
        <v>0</v>
      </c>
      <c r="AS86" s="134" t="n">
        <f aca="false">SUMIF($X:$X,CONCATENATE($AN86,AS$6),$T:$T)/10000</f>
        <v>0</v>
      </c>
      <c r="AT86" s="134" t="n">
        <f aca="false">SUMIF($X:$X,CONCATENATE($AN86,AT$6),$T:$T)/10000</f>
        <v>0</v>
      </c>
      <c r="AU86" s="134" t="n">
        <f aca="false">SUMIF($X:$X,CONCATENATE($AN86,AU$6),$T:$T)/10000</f>
        <v>0</v>
      </c>
      <c r="AV86" s="134" t="n">
        <f aca="false">SUMIF($X:$X,CONCATENATE($AN86,AV$6),$T:$T)/10000</f>
        <v>0</v>
      </c>
      <c r="AW86" s="134" t="n">
        <f aca="false">SUMIF($X:$X,CONCATENATE($AN86,AW$6),$T:$T)/10000</f>
        <v>0</v>
      </c>
      <c r="AX86" s="134" t="n">
        <f aca="false">SUMIF($X:$X,CONCATENATE($AN86,AX$6),$T:$T)/10000</f>
        <v>0</v>
      </c>
      <c r="AY86" s="134" t="n">
        <f aca="false">SUMIF($X:$X,CONCATENATE($AN86,AY$6),$T:$T)/10000</f>
        <v>0</v>
      </c>
      <c r="AZ86" s="134" t="n">
        <f aca="false">SUMIF($X:$X,CONCATENATE($AN86,AZ$6),$T:$T)/10000</f>
        <v>0</v>
      </c>
      <c r="BA86" s="135" t="n">
        <f aca="false">SUMIF($X:$X,CONCATENATE($AN86,BA$6),$T:$T)/10000</f>
        <v>0</v>
      </c>
      <c r="BB86" s="208" t="n">
        <f aca="false">EOMONTH(BB85,0)+1</f>
        <v>39142</v>
      </c>
      <c r="BC86" s="135" t="n">
        <f aca="false">SUM(AO86:BA86)</f>
        <v>0</v>
      </c>
      <c r="BD86" s="2"/>
      <c r="BE86" s="208" t="n">
        <f aca="false">EOMONTH(BE85,0)+1</f>
        <v>39142</v>
      </c>
      <c r="BF86" s="134" t="n">
        <f aca="false">SUMIF($X:$X,CONCATENATE($AN86,BF$6),$W:$W)</f>
        <v>0</v>
      </c>
      <c r="BG86" s="134" t="n">
        <f aca="false">SUMIF($X:$X,CONCATENATE($AN86,BG$6),$W:$W)</f>
        <v>0</v>
      </c>
      <c r="BH86" s="134" t="n">
        <f aca="false">SUMIF($X:$X,CONCATENATE($AN86,BH$6),$W:$W)</f>
        <v>0</v>
      </c>
      <c r="BI86" s="134" t="n">
        <f aca="false">SUMIF($X:$X,CONCATENATE($AN86,BI$6),$W:$W)</f>
        <v>0</v>
      </c>
      <c r="BJ86" s="134" t="n">
        <f aca="false">SUMIF($X:$X,CONCATENATE($AN86,BJ$6),$W:$W)</f>
        <v>0</v>
      </c>
      <c r="BK86" s="134" t="n">
        <f aca="false">SUMIF($X:$X,CONCATENATE($AN86,BK$6),$W:$W)</f>
        <v>0</v>
      </c>
      <c r="BL86" s="134" t="n">
        <f aca="false">SUMIF($X:$X,CONCATENATE($AN86,BL$6),$W:$W)</f>
        <v>0</v>
      </c>
      <c r="BM86" s="134" t="n">
        <f aca="false">SUMIF($X:$X,CONCATENATE($AN86,BM$6),$W:$W)</f>
        <v>0</v>
      </c>
      <c r="BN86" s="134" t="n">
        <f aca="false">SUMIF($X:$X,CONCATENATE($AN86,BN$6),$W:$W)</f>
        <v>0</v>
      </c>
      <c r="BO86" s="134" t="n">
        <f aca="false">SUMIF($X:$X,CONCATENATE($AN86,BO$6),$W:$W)</f>
        <v>0</v>
      </c>
      <c r="BP86" s="134" t="n">
        <f aca="false">SUMIF($X:$X,CONCATENATE($AN86,BP$6),$W:$W)</f>
        <v>0</v>
      </c>
      <c r="BQ86" s="134" t="n">
        <f aca="false">SUMIF($X:$X,CONCATENATE($AN86,BQ$6),$W:$W)</f>
        <v>0</v>
      </c>
      <c r="BR86" s="135" t="n">
        <f aca="false">SUMIF($X:$X,CONCATENATE($AN86,BR$6),$W:$W)</f>
        <v>0</v>
      </c>
      <c r="BS86" s="208" t="n">
        <f aca="false">EOMONTH(BS85,0)+1</f>
        <v>39142</v>
      </c>
      <c r="BT86" s="135" t="n">
        <f aca="false">SUM(BF86:BR86)</f>
        <v>0</v>
      </c>
      <c r="BU86" s="2"/>
      <c r="BV86" s="2"/>
      <c r="BW86" s="2"/>
      <c r="BX86" s="2"/>
      <c r="BY86" s="2"/>
      <c r="BZ86" s="2"/>
      <c r="CA86" s="2"/>
      <c r="CB86" s="2"/>
      <c r="CC86" s="182" t="n">
        <f aca="false">G86</f>
        <v>36951</v>
      </c>
      <c r="CD86" s="253" t="e">
        <f aca="false">xSPRDOPT((VLOOKUP(G86,NGPrices,2,FALSE())+HLOOKUP(D86,Prices,VLOOKUP(G86,move_down,2,FALSE()),FALSE())),VLOOKUP(G86,NGPrices,2,FALSE()),I86,VLOOKUP(G86,NGPREVPRICES,4,FALSE()),HLOOKUP(D86,PREVVOLS,VLOOKUP(G86,MOVE_DOWN2,2,FALSE()),FALSE()),VLOOKUP(G86,NGPREVPRICES,3,FALSE()),HLOOKUP(D86,Correllate,VLOOKUP(G86,CorMove,2,FALSE()),FALSE()),Q86-$CD$3,R86,$CD$5)*H86-CJ86</f>
        <v>#NAME?</v>
      </c>
      <c r="CE86" s="253" t="e">
        <f aca="false">xSPRDOPT((VLOOKUP(G86,NGPREVPRICES,2,FALSE())+HLOOKUP(D86,PREVCURVES,VLOOKUP(G86,MOVE_DOWN2,2,FALSE()),FALSE())),VLOOKUP(G86,NGPREVPRICES,2,FALSE()),CK86,VLOOKUP(G86,NGPrices,4,FALSE()),HLOOKUP(D86,PREVVOLS,VLOOKUP(G86,MOVE_DOWN2,2,FALSE()),FALSE()),VLOOKUP(G86,NGPREVPRICES,3,FALSE()),HLOOKUP(D86,Correllate,VLOOKUP(G86,CorMove,2,FALSE()),FALSE()),Q86-$CD$3,R86,$CJ$5)*H86-CJ86</f>
        <v>#NAME?</v>
      </c>
      <c r="CF86" s="132" t="e">
        <f aca="false">(CJ86/VLOOKUP(CC86,discount,3,FALSE()))-(CJ86/VLOOKUP(CC86,discount,2,FALSE()))</f>
        <v>#NAME?</v>
      </c>
      <c r="CG86" s="253" t="e">
        <f aca="false">xSPRDOPT((VLOOKUP(G86,NGPREVPRICES,2,FALSE())+HLOOKUP(D86,PREVCURVES,VLOOKUP(G86,MOVE_DOWN2,2,FALSE()),FALSE())),VLOOKUP(G86,NGPREVPRICES,2,FALSE()),CK86,VLOOKUP(G86,NGPREVPRICES,4,FALSE()),HLOOKUP(D86,VOLS,VLOOKUP(G86,move_down,2,FALSE()),FALSE()),VLOOKUP(G86,NGPrices,3,FALSE()),HLOOKUP(D86,Correllate,VLOOKUP(G86,CorMove,2,FALSE()),FALSE()),Q86-$CD$3,R86,$CJ$5)*H86-CJ86</f>
        <v>#NAME?</v>
      </c>
      <c r="CH86" s="253" t="e">
        <f aca="false">xSPRDOPT((VLOOKUP(G86,NGPREVPRICES,2,FALSE())+HLOOKUP(D86,PREVCURVES,VLOOKUP(G86,MOVE_DOWN2,2,FALSE()),FALSE())),VLOOKUP(G86,NGPREVPRICES,2,FALSE()),CK86,VLOOKUP(G86,NGPREVPRICES,4,FALSE()),HLOOKUP(D86,PREVVOLS,VLOOKUP(G86,MOVE_DOWN2,2,FALSE()),FALSE()),VLOOKUP(G86,NGPREVPRICES,3,FALSE()),HLOOKUP(D86,Correllate,VLOOKUP(G86,CorMove,2,FALSE()),FALSE()),Q86-$C$3,R86,$CJ$5)*H86-CJ86</f>
        <v>#NAME?</v>
      </c>
      <c r="CI86" s="253" t="e">
        <f aca="false">SUM(CD86:CH86)</f>
        <v>#NAME?</v>
      </c>
      <c r="CJ86" s="253" t="e">
        <f aca="false">xSPRDOPT((VLOOKUP(G86,NGPREVPRICES,2,FALSE())+HLOOKUP(D86,PREVCURVES,VLOOKUP(G86,MOVE_DOWN2,2,FALSE()),FALSE())),VLOOKUP(G86,NGPREVPRICES,2,FALSE()),CK86,VLOOKUP(G86,NGPREVPRICES,4,FALSE()),HLOOKUP(D86,PREVVOLS,VLOOKUP(G86,MOVE_DOWN2,2,FALSE()),FALSE()),VLOOKUP(G86,NGPREVPRICES,3,FALSE()),HLOOKUP(D86,Correllate,VLOOKUP(G86,CorMove,2,FALSE()),FALSE()),Q86-$CD$3,R86,$CJ$5)*H86</f>
        <v>#NAME?</v>
      </c>
      <c r="CK86" s="254" t="n">
        <f aca="false">I86</f>
        <v>1.15</v>
      </c>
      <c r="CL86" s="253"/>
      <c r="CM86" s="0" t="str">
        <f aca="false">CONCATENATE(CC86,$CD$6)</f>
        <v>36951Curve Shift/Gamma</v>
      </c>
      <c r="CN86" s="0" t="str">
        <f aca="false">CONCATENATE($CC86,$CE$6)</f>
        <v>36951Rho</v>
      </c>
      <c r="CO86" s="0" t="str">
        <f aca="false">CONCATENATE($CC86,$CF$6)</f>
        <v>36951Drift</v>
      </c>
      <c r="CP86" s="0" t="str">
        <f aca="false">CONCATENATE($CC86,$CG$6)</f>
        <v>36951Vega</v>
      </c>
      <c r="CQ86" s="0" t="str">
        <f aca="false">CONCATENATE($CC86,$CH$6)</f>
        <v>36951Theta</v>
      </c>
    </row>
    <row r="87" customFormat="false" ht="12" hidden="false" customHeight="true" outlineLevel="0" collapsed="false">
      <c r="A87" s="265" t="s">
        <v>198</v>
      </c>
      <c r="B87" s="0" t="s">
        <v>192</v>
      </c>
      <c r="C87" s="0" t="s">
        <v>234</v>
      </c>
      <c r="D87" s="7" t="s">
        <v>149</v>
      </c>
      <c r="E87" s="0" t="s">
        <v>131</v>
      </c>
      <c r="F87" s="0" t="s">
        <v>132</v>
      </c>
      <c r="G87" s="92" t="n">
        <v>36923</v>
      </c>
      <c r="H87" s="248" t="n">
        <v>-250000</v>
      </c>
      <c r="I87" s="0" t="n">
        <v>1.15</v>
      </c>
      <c r="J87" s="124" t="n">
        <f aca="false">VLOOKUP(G87,NGPrices,2,FALSE())</f>
        <v>4.48</v>
      </c>
      <c r="K87" s="125" t="n">
        <f aca="false">HLOOKUP(D87,Prices,VLOOKUP(G87,move_down,2,FALSE()),FALSE())+VLOOKUP(G87,CHANGE,HLOOKUP(D87,CHANGE,2,FALSE()),FALSE())</f>
        <v>2.09</v>
      </c>
      <c r="L87" s="124" t="n">
        <f aca="false">K87+J87</f>
        <v>6.57</v>
      </c>
      <c r="M87" s="126" t="n">
        <f aca="false">VLOOKUP(G87,NGPrices,4,FALSE())</f>
        <v>0.068640161611372</v>
      </c>
      <c r="N87" s="7" t="n">
        <f aca="false">VLOOKUP(G87,NGPrices,3,FALSE())</f>
        <v>0.5925</v>
      </c>
      <c r="O87" s="7" t="n">
        <f aca="false">HLOOKUP(D87,VOLS,VLOOKUP(G87,move_down,2,FALSE()),FALSE())</f>
        <v>0.681</v>
      </c>
      <c r="P87" s="249" t="n">
        <f aca="false">HLOOKUP(D87,Correllate,VLOOKUP(G87,CorMove,2,FALSE()),FALSE())</f>
        <v>0.83</v>
      </c>
      <c r="Q87" s="92" t="n">
        <f aca="false">WORKDAY(G87,-2)</f>
        <v>36921</v>
      </c>
      <c r="R87" s="7" t="n">
        <f aca="false">IF(F87="P",0,1)</f>
        <v>0</v>
      </c>
      <c r="S87" s="130" t="e">
        <f aca="false">xSPRDOPT($L87,$J87,$I87,$M87,$O87,$N87,$P87,$Q87-$C$3,$R87,0)</f>
        <v>#NAME?</v>
      </c>
      <c r="T87" s="250" t="e">
        <f aca="false">xSPRDOPT($L87,$J87,$I87,$M87,$O87,$N87,$P87,$Q87-$C$3,$R87,1)*H87</f>
        <v>#NAME?</v>
      </c>
      <c r="U87" s="43" t="e">
        <f aca="false">S87*H87</f>
        <v>#NAME?</v>
      </c>
      <c r="V87" s="250" t="e">
        <f aca="false">xSPRDOPT($L87,$J87,$I87,$M87,$O87,$N87,$P87,$Q87-$C$3,$R87,2)*H87</f>
        <v>#NAME?</v>
      </c>
      <c r="W87" s="250" t="e">
        <f aca="false">+V87+T87</f>
        <v>#NAME?</v>
      </c>
      <c r="X87" s="2" t="str">
        <f aca="false">CONCATENATE(G87,D87)</f>
        <v>36923IF-TRANSCO/Z6</v>
      </c>
      <c r="Y87" s="251" t="n">
        <f aca="false">H87/10000</f>
        <v>-25</v>
      </c>
      <c r="Z87" s="226" t="e">
        <f aca="false">T87/H87</f>
        <v>#NAME?</v>
      </c>
      <c r="AA87" s="226" t="e">
        <f aca="false">xSPRDOPT($L87,$J87,$I87,$M87,$O87,$N87,$P87,$Q87-$C$3,$R87,3)</f>
        <v>#NAME?</v>
      </c>
      <c r="AB87" s="226" t="e">
        <f aca="false">((xSPRDOPT($L87+AB$5,$J87,$I87,$M87,$O87,$N87,$P87,$Q87-$C$3,$R87,3)*$H87)/10000)/100</f>
        <v>#NAME?</v>
      </c>
      <c r="AC87" s="226" t="e">
        <f aca="false">((xSPRDOPT($L87+$AB$5,$J87,$I87,$M87,$O87,$N87,$P87,$Q87-$C$3,$R87,7)*$H87)/100)</f>
        <v>#NAME?</v>
      </c>
      <c r="AD87" s="226" t="e">
        <f aca="false">(xSPRDOPT($L87+$AB$5,$J87,$I87,$M87,$O87,$N87,$P87,$Q87-$C$3,$R87,9)/365)*$H87</f>
        <v>#NAME?</v>
      </c>
      <c r="AE87" s="0" t="e">
        <f aca="false">CD87</f>
        <v>#NAME?</v>
      </c>
      <c r="AF87" s="226" t="e">
        <f aca="false">((O87/N87)*AH87)+AG87</f>
        <v>#NAME?</v>
      </c>
      <c r="AG87" s="226" t="e">
        <f aca="false">((xSPRDOPT($L87,$J87,$I87,$M87,$O87,$N87,$P87,$Q87-$C$3,$R87,6)*$H87)/100)</f>
        <v>#NAME?</v>
      </c>
      <c r="AH87" s="226" t="e">
        <f aca="false">((xSPRDOPT($L87,$J87,$I87,$M87,$O87,$N87,$P87,$Q87-$C$3,$R87,5)*$H87)/100)</f>
        <v>#NAME?</v>
      </c>
      <c r="AI87" s="226" t="e">
        <f aca="false">(((xSPRDOPT($L87,$J87,$I87,$M87,$O87,$N87,$P87,$Q87-$C$3,$R87,4)*$H87)/10000)/100)-AB87</f>
        <v>#NAME?</v>
      </c>
      <c r="AJ87" s="226"/>
      <c r="AK87" s="226"/>
      <c r="AL87" s="226"/>
      <c r="AM87" s="252"/>
      <c r="AN87" s="208" t="n">
        <f aca="false">EOMONTH(AN86,0)+1</f>
        <v>39173</v>
      </c>
      <c r="AO87" s="134" t="n">
        <f aca="false">SUMIF($X:$X,CONCATENATE($AN87,AO$6),$T:$T)/10000</f>
        <v>0</v>
      </c>
      <c r="AP87" s="134" t="n">
        <f aca="false">SUMIF($X:$X,CONCATENATE($AN87,AP$6),$T:$T)/10000</f>
        <v>0</v>
      </c>
      <c r="AQ87" s="134" t="n">
        <f aca="false">SUMIF($X:$X,CONCATENATE($AN87,AQ$6),$T:$T)/10000</f>
        <v>0</v>
      </c>
      <c r="AR87" s="134" t="n">
        <f aca="false">SUMIF($X:$X,CONCATENATE($AN87,AR$6),$T:$T)/10000</f>
        <v>0</v>
      </c>
      <c r="AS87" s="134" t="n">
        <f aca="false">SUMIF($X:$X,CONCATENATE($AN87,AS$6),$T:$T)/10000</f>
        <v>0</v>
      </c>
      <c r="AT87" s="134" t="n">
        <f aca="false">SUMIF($X:$X,CONCATENATE($AN87,AT$6),$T:$T)/10000</f>
        <v>0</v>
      </c>
      <c r="AU87" s="134" t="n">
        <f aca="false">SUMIF($X:$X,CONCATENATE($AN87,AU$6),$T:$T)/10000</f>
        <v>0</v>
      </c>
      <c r="AV87" s="134" t="n">
        <f aca="false">SUMIF($X:$X,CONCATENATE($AN87,AV$6),$T:$T)/10000</f>
        <v>0</v>
      </c>
      <c r="AW87" s="134" t="n">
        <f aca="false">SUMIF($X:$X,CONCATENATE($AN87,AW$6),$T:$T)/10000</f>
        <v>0</v>
      </c>
      <c r="AX87" s="134" t="n">
        <f aca="false">SUMIF($X:$X,CONCATENATE($AN87,AX$6),$T:$T)/10000</f>
        <v>0</v>
      </c>
      <c r="AY87" s="134" t="n">
        <f aca="false">SUMIF($X:$X,CONCATENATE($AN87,AY$6),$T:$T)/10000</f>
        <v>0</v>
      </c>
      <c r="AZ87" s="134" t="n">
        <f aca="false">SUMIF($X:$X,CONCATENATE($AN87,AZ$6),$T:$T)/10000</f>
        <v>0</v>
      </c>
      <c r="BA87" s="135" t="n">
        <f aca="false">SUMIF($X:$X,CONCATENATE($AN87,BA$6),$T:$T)/10000</f>
        <v>0</v>
      </c>
      <c r="BB87" s="208" t="n">
        <f aca="false">EOMONTH(BB86,0)+1</f>
        <v>39173</v>
      </c>
      <c r="BC87" s="135" t="n">
        <f aca="false">SUM(AO87:BA87)</f>
        <v>0</v>
      </c>
      <c r="BD87" s="2"/>
      <c r="BE87" s="208" t="n">
        <f aca="false">EOMONTH(BE86,0)+1</f>
        <v>39173</v>
      </c>
      <c r="BF87" s="134" t="n">
        <f aca="false">SUMIF($X:$X,CONCATENATE($AN87,BF$6),$W:$W)</f>
        <v>0</v>
      </c>
      <c r="BG87" s="134" t="n">
        <f aca="false">SUMIF($X:$X,CONCATENATE($AN87,BG$6),$W:$W)</f>
        <v>0</v>
      </c>
      <c r="BH87" s="134" t="n">
        <f aca="false">SUMIF($X:$X,CONCATENATE($AN87,BH$6),$W:$W)</f>
        <v>0</v>
      </c>
      <c r="BI87" s="134" t="n">
        <f aca="false">SUMIF($X:$X,CONCATENATE($AN87,BI$6),$W:$W)</f>
        <v>0</v>
      </c>
      <c r="BJ87" s="134" t="n">
        <f aca="false">SUMIF($X:$X,CONCATENATE($AN87,BJ$6),$W:$W)</f>
        <v>0</v>
      </c>
      <c r="BK87" s="134" t="n">
        <f aca="false">SUMIF($X:$X,CONCATENATE($AN87,BK$6),$W:$W)</f>
        <v>0</v>
      </c>
      <c r="BL87" s="134" t="n">
        <f aca="false">SUMIF($X:$X,CONCATENATE($AN87,BL$6),$W:$W)</f>
        <v>0</v>
      </c>
      <c r="BM87" s="134" t="n">
        <f aca="false">SUMIF($X:$X,CONCATENATE($AN87,BM$6),$W:$W)</f>
        <v>0</v>
      </c>
      <c r="BN87" s="134" t="n">
        <f aca="false">SUMIF($X:$X,CONCATENATE($AN87,BN$6),$W:$W)</f>
        <v>0</v>
      </c>
      <c r="BO87" s="134" t="n">
        <f aca="false">SUMIF($X:$X,CONCATENATE($AN87,BO$6),$W:$W)</f>
        <v>0</v>
      </c>
      <c r="BP87" s="134" t="n">
        <f aca="false">SUMIF($X:$X,CONCATENATE($AN87,BP$6),$W:$W)</f>
        <v>0</v>
      </c>
      <c r="BQ87" s="134" t="n">
        <f aca="false">SUMIF($X:$X,CONCATENATE($AN87,BQ$6),$W:$W)</f>
        <v>0</v>
      </c>
      <c r="BR87" s="135" t="n">
        <f aca="false">SUMIF($X:$X,CONCATENATE($AN87,BR$6),$W:$W)</f>
        <v>0</v>
      </c>
      <c r="BS87" s="208" t="n">
        <f aca="false">EOMONTH(BS86,0)+1</f>
        <v>39173</v>
      </c>
      <c r="BT87" s="135" t="n">
        <f aca="false">SUM(BF87:BR87)</f>
        <v>0</v>
      </c>
      <c r="BU87" s="2"/>
      <c r="BV87" s="2"/>
      <c r="BW87" s="2"/>
      <c r="BX87" s="2"/>
      <c r="BY87" s="2"/>
      <c r="BZ87" s="2"/>
      <c r="CA87" s="2"/>
      <c r="CB87" s="2"/>
      <c r="CC87" s="182" t="n">
        <f aca="false">G87</f>
        <v>36923</v>
      </c>
      <c r="CD87" s="253" t="e">
        <f aca="false">xSPRDOPT((VLOOKUP(G87,NGPrices,2,FALSE())+HLOOKUP(D87,Prices,VLOOKUP(G87,move_down,2,FALSE()),FALSE())),VLOOKUP(G87,NGPrices,2,FALSE()),I87,VLOOKUP(G87,NGPREVPRICES,4,FALSE()),HLOOKUP(D87,PREVVOLS,VLOOKUP(G87,MOVE_DOWN2,2,FALSE()),FALSE()),VLOOKUP(G87,NGPREVPRICES,3,FALSE()),HLOOKUP(D87,Correllate,VLOOKUP(G87,CorMove,2,FALSE()),FALSE()),Q87-$CD$3,R87,$CD$5)*H87-CJ87</f>
        <v>#NAME?</v>
      </c>
      <c r="CE87" s="253" t="e">
        <f aca="false">xSPRDOPT((VLOOKUP(G87,NGPREVPRICES,2,FALSE())+HLOOKUP(D87,PREVCURVES,VLOOKUP(G87,MOVE_DOWN2,2,FALSE()),FALSE())),VLOOKUP(G87,NGPREVPRICES,2,FALSE()),CK87,VLOOKUP(G87,NGPrices,4,FALSE()),HLOOKUP(D87,PREVVOLS,VLOOKUP(G87,MOVE_DOWN2,2,FALSE()),FALSE()),VLOOKUP(G87,NGPREVPRICES,3,FALSE()),HLOOKUP(D87,Correllate,VLOOKUP(G87,CorMove,2,FALSE()),FALSE()),Q87-$CD$3,R87,$CJ$5)*H87-CJ87</f>
        <v>#NAME?</v>
      </c>
      <c r="CF87" s="132" t="e">
        <f aca="false">(CJ87/VLOOKUP(CC87,discount,3,FALSE()))-(CJ87/VLOOKUP(CC87,discount,2,FALSE()))</f>
        <v>#NAME?</v>
      </c>
      <c r="CG87" s="253" t="e">
        <f aca="false">xSPRDOPT((VLOOKUP(G87,NGPREVPRICES,2,FALSE())+HLOOKUP(D87,PREVCURVES,VLOOKUP(G87,MOVE_DOWN2,2,FALSE()),FALSE())),VLOOKUP(G87,NGPREVPRICES,2,FALSE()),CK87,VLOOKUP(G87,NGPREVPRICES,4,FALSE()),HLOOKUP(D87,VOLS,VLOOKUP(G87,move_down,2,FALSE()),FALSE()),VLOOKUP(G87,NGPrices,3,FALSE()),HLOOKUP(D87,Correllate,VLOOKUP(G87,CorMove,2,FALSE()),FALSE()),Q87-$CD$3,R87,$CJ$5)*H87-CJ87</f>
        <v>#NAME?</v>
      </c>
      <c r="CH87" s="253" t="e">
        <f aca="false">xSPRDOPT((VLOOKUP(G87,NGPREVPRICES,2,FALSE())+HLOOKUP(D87,PREVCURVES,VLOOKUP(G87,MOVE_DOWN2,2,FALSE()),FALSE())),VLOOKUP(G87,NGPREVPRICES,2,FALSE()),CK87,VLOOKUP(G87,NGPREVPRICES,4,FALSE()),HLOOKUP(D87,PREVVOLS,VLOOKUP(G87,MOVE_DOWN2,2,FALSE()),FALSE()),VLOOKUP(G87,NGPREVPRICES,3,FALSE()),HLOOKUP(D87,Correllate,VLOOKUP(G87,CorMove,2,FALSE()),FALSE()),Q87-$C$3,R87,$CJ$5)*H87-CJ87</f>
        <v>#NAME?</v>
      </c>
      <c r="CI87" s="253" t="e">
        <f aca="false">SUM(CD87:CH87)</f>
        <v>#NAME?</v>
      </c>
      <c r="CJ87" s="253" t="e">
        <f aca="false">xSPRDOPT((VLOOKUP(G87,NGPREVPRICES,2,FALSE())+HLOOKUP(D87,PREVCURVES,VLOOKUP(G87,MOVE_DOWN2,2,FALSE()),FALSE())),VLOOKUP(G87,NGPREVPRICES,2,FALSE()),CK87,VLOOKUP(G87,NGPREVPRICES,4,FALSE()),HLOOKUP(D87,PREVVOLS,VLOOKUP(G87,MOVE_DOWN2,2,FALSE()),FALSE()),VLOOKUP(G87,NGPREVPRICES,3,FALSE()),HLOOKUP(D87,Correllate,VLOOKUP(G87,CorMove,2,FALSE()),FALSE()),Q87-$CD$3,R87,$CJ$5)*H87</f>
        <v>#NAME?</v>
      </c>
      <c r="CK87" s="254" t="n">
        <f aca="false">I87</f>
        <v>1.15</v>
      </c>
      <c r="CL87" s="253"/>
      <c r="CM87" s="0" t="str">
        <f aca="false">CONCATENATE(CC87,$CD$6)</f>
        <v>36923Curve Shift/Gamma</v>
      </c>
      <c r="CN87" s="0" t="str">
        <f aca="false">CONCATENATE($CC87,$CE$6)</f>
        <v>36923Rho</v>
      </c>
      <c r="CO87" s="0" t="str">
        <f aca="false">CONCATENATE($CC87,$CF$6)</f>
        <v>36923Drift</v>
      </c>
      <c r="CP87" s="0" t="str">
        <f aca="false">CONCATENATE($CC87,$CG$6)</f>
        <v>36923Vega</v>
      </c>
      <c r="CQ87" s="0" t="str">
        <f aca="false">CONCATENATE($CC87,$CH$6)</f>
        <v>36923Theta</v>
      </c>
    </row>
    <row r="88" customFormat="false" ht="12" hidden="false" customHeight="true" outlineLevel="0" collapsed="false">
      <c r="A88" s="265" t="s">
        <v>198</v>
      </c>
      <c r="B88" s="0" t="s">
        <v>192</v>
      </c>
      <c r="C88" s="0" t="s">
        <v>234</v>
      </c>
      <c r="D88" s="7" t="s">
        <v>149</v>
      </c>
      <c r="E88" s="0" t="s">
        <v>131</v>
      </c>
      <c r="F88" s="0" t="s">
        <v>132</v>
      </c>
      <c r="G88" s="92" t="n">
        <v>36892</v>
      </c>
      <c r="H88" s="248" t="n">
        <v>-250000</v>
      </c>
      <c r="I88" s="0" t="n">
        <v>1.15</v>
      </c>
      <c r="J88" s="124" t="n">
        <f aca="false">VLOOKUP(G88,NGPrices,2,FALSE())</f>
        <v>4.744</v>
      </c>
      <c r="K88" s="125" t="n">
        <f aca="false">HLOOKUP(D88,Prices,VLOOKUP(G88,move_down,2,FALSE()),FALSE())+VLOOKUP(G88,CHANGE,HLOOKUP(D88,CHANGE,2,FALSE()),FALSE())</f>
        <v>2.17</v>
      </c>
      <c r="L88" s="124" t="n">
        <f aca="false">K88+J88</f>
        <v>6.914</v>
      </c>
      <c r="M88" s="126" t="n">
        <f aca="false">VLOOKUP(G88,NGPrices,4,FALSE())</f>
        <v>0.068374831148491</v>
      </c>
      <c r="N88" s="7" t="n">
        <f aca="false">VLOOKUP(G88,NGPrices,3,FALSE())</f>
        <v>0.605</v>
      </c>
      <c r="O88" s="7" t="n">
        <f aca="false">HLOOKUP(D88,VOLS,VLOOKUP(G88,move_down,2,FALSE()),FALSE())</f>
        <v>0.696</v>
      </c>
      <c r="P88" s="249" t="n">
        <f aca="false">HLOOKUP(D88,Correllate,VLOOKUP(G88,CorMove,2,FALSE()),FALSE())</f>
        <v>0.83</v>
      </c>
      <c r="Q88" s="92" t="n">
        <f aca="false">WORKDAY(G88,-2)</f>
        <v>36888</v>
      </c>
      <c r="R88" s="7" t="n">
        <f aca="false">IF(F88="P",0,1)</f>
        <v>0</v>
      </c>
      <c r="S88" s="130" t="e">
        <f aca="false">xSPRDOPT($L88,$J88,$I88,$M88,$O88,$N88,$P88,$Q88-$C$3,$R88,0)</f>
        <v>#NAME?</v>
      </c>
      <c r="T88" s="250" t="e">
        <f aca="false">xSPRDOPT($L88,$J88,$I88,$M88,$O88,$N88,$P88,$Q88-$C$3,$R88,1)*H88</f>
        <v>#NAME?</v>
      </c>
      <c r="U88" s="43" t="e">
        <f aca="false">S88*H88</f>
        <v>#NAME?</v>
      </c>
      <c r="V88" s="250" t="e">
        <f aca="false">xSPRDOPT($L88,$J88,$I88,$M88,$O88,$N88,$P88,$Q88-$C$3,$R88,2)*H88</f>
        <v>#NAME?</v>
      </c>
      <c r="W88" s="250" t="e">
        <f aca="false">+V88+T88</f>
        <v>#NAME?</v>
      </c>
      <c r="X88" s="2" t="str">
        <f aca="false">CONCATENATE(G88,D88)</f>
        <v>36892IF-TRANSCO/Z6</v>
      </c>
      <c r="Y88" s="251" t="n">
        <f aca="false">H88/10000</f>
        <v>-25</v>
      </c>
      <c r="Z88" s="226" t="e">
        <f aca="false">T88/H88</f>
        <v>#NAME?</v>
      </c>
      <c r="AA88" s="226" t="e">
        <f aca="false">xSPRDOPT($L88,$J88,$I88,$M88,$O88,$N88,$P88,$Q88-$C$3,$R88,3)</f>
        <v>#NAME?</v>
      </c>
      <c r="AB88" s="226" t="e">
        <f aca="false">((xSPRDOPT($L88+AB$5,$J88,$I88,$M88,$O88,$N88,$P88,$Q88-$C$3,$R88,3)*$H88)/10000)/100</f>
        <v>#NAME?</v>
      </c>
      <c r="AC88" s="226" t="e">
        <f aca="false">((xSPRDOPT($L88+$AB$5,$J88,$I88,$M88,$O88,$N88,$P88,$Q88-$C$3,$R88,7)*$H88)/100)</f>
        <v>#NAME?</v>
      </c>
      <c r="AD88" s="226" t="e">
        <f aca="false">(xSPRDOPT($L88+$AB$5,$J88,$I88,$M88,$O88,$N88,$P88,$Q88-$C$3,$R88,9)/365)*$H88</f>
        <v>#NAME?</v>
      </c>
      <c r="AE88" s="0" t="e">
        <f aca="false">CD88</f>
        <v>#NAME?</v>
      </c>
      <c r="AF88" s="226" t="e">
        <f aca="false">((O88/N88)*AH88)+AG88</f>
        <v>#NAME?</v>
      </c>
      <c r="AG88" s="226" t="e">
        <f aca="false">((xSPRDOPT($L88,$J88,$I88,$M88,$O88,$N88,$P88,$Q88-$C$3,$R88,6)*$H88)/100)</f>
        <v>#NAME?</v>
      </c>
      <c r="AH88" s="226" t="e">
        <f aca="false">((xSPRDOPT($L88,$J88,$I88,$M88,$O88,$N88,$P88,$Q88-$C$3,$R88,5)*$H88)/100)</f>
        <v>#NAME?</v>
      </c>
      <c r="AI88" s="226" t="e">
        <f aca="false">(((xSPRDOPT($L88,$J88,$I88,$M88,$O88,$N88,$P88,$Q88-$C$3,$R88,4)*$H88)/10000)/100)-AB88</f>
        <v>#NAME?</v>
      </c>
      <c r="AJ88" s="226"/>
      <c r="AK88" s="226"/>
      <c r="AL88" s="226"/>
      <c r="AM88" s="252"/>
      <c r="AN88" s="208" t="n">
        <f aca="false">EOMONTH(AN87,0)+1</f>
        <v>39203</v>
      </c>
      <c r="AO88" s="134" t="n">
        <f aca="false">SUMIF($X:$X,CONCATENATE($AN88,AO$6),$T:$T)/10000</f>
        <v>0</v>
      </c>
      <c r="AP88" s="134" t="n">
        <f aca="false">SUMIF($X:$X,CONCATENATE($AN88,AP$6),$T:$T)/10000</f>
        <v>0</v>
      </c>
      <c r="AQ88" s="134" t="n">
        <f aca="false">SUMIF($X:$X,CONCATENATE($AN88,AQ$6),$T:$T)/10000</f>
        <v>0</v>
      </c>
      <c r="AR88" s="134" t="n">
        <f aca="false">SUMIF($X:$X,CONCATENATE($AN88,AR$6),$T:$T)/10000</f>
        <v>0</v>
      </c>
      <c r="AS88" s="134" t="n">
        <f aca="false">SUMIF($X:$X,CONCATENATE($AN88,AS$6),$T:$T)/10000</f>
        <v>0</v>
      </c>
      <c r="AT88" s="134" t="n">
        <f aca="false">SUMIF($X:$X,CONCATENATE($AN88,AT$6),$T:$T)/10000</f>
        <v>0</v>
      </c>
      <c r="AU88" s="134" t="n">
        <f aca="false">SUMIF($X:$X,CONCATENATE($AN88,AU$6),$T:$T)/10000</f>
        <v>0</v>
      </c>
      <c r="AV88" s="134" t="n">
        <f aca="false">SUMIF($X:$X,CONCATENATE($AN88,AV$6),$T:$T)/10000</f>
        <v>0</v>
      </c>
      <c r="AW88" s="134" t="n">
        <f aca="false">SUMIF($X:$X,CONCATENATE($AN88,AW$6),$T:$T)/10000</f>
        <v>0</v>
      </c>
      <c r="AX88" s="134" t="n">
        <f aca="false">SUMIF($X:$X,CONCATENATE($AN88,AX$6),$T:$T)/10000</f>
        <v>0</v>
      </c>
      <c r="AY88" s="134" t="n">
        <f aca="false">SUMIF($X:$X,CONCATENATE($AN88,AY$6),$T:$T)/10000</f>
        <v>0</v>
      </c>
      <c r="AZ88" s="134" t="n">
        <f aca="false">SUMIF($X:$X,CONCATENATE($AN88,AZ$6),$T:$T)/10000</f>
        <v>0</v>
      </c>
      <c r="BA88" s="135" t="n">
        <f aca="false">SUMIF($X:$X,CONCATENATE($AN88,BA$6),$T:$T)/10000</f>
        <v>0</v>
      </c>
      <c r="BB88" s="208" t="n">
        <f aca="false">EOMONTH(BB87,0)+1</f>
        <v>39203</v>
      </c>
      <c r="BC88" s="135" t="n">
        <f aca="false">SUM(AO88:BA88)</f>
        <v>0</v>
      </c>
      <c r="BD88" s="2"/>
      <c r="BE88" s="208" t="n">
        <f aca="false">EOMONTH(BE87,0)+1</f>
        <v>39203</v>
      </c>
      <c r="BF88" s="134" t="n">
        <f aca="false">SUMIF($X:$X,CONCATENATE($AN88,BF$6),$W:$W)</f>
        <v>0</v>
      </c>
      <c r="BG88" s="134" t="n">
        <f aca="false">SUMIF($X:$X,CONCATENATE($AN88,BG$6),$W:$W)</f>
        <v>0</v>
      </c>
      <c r="BH88" s="134" t="n">
        <f aca="false">SUMIF($X:$X,CONCATENATE($AN88,BH$6),$W:$W)</f>
        <v>0</v>
      </c>
      <c r="BI88" s="134" t="n">
        <f aca="false">SUMIF($X:$X,CONCATENATE($AN88,BI$6),$W:$W)</f>
        <v>0</v>
      </c>
      <c r="BJ88" s="134" t="n">
        <f aca="false">SUMIF($X:$X,CONCATENATE($AN88,BJ$6),$W:$W)</f>
        <v>0</v>
      </c>
      <c r="BK88" s="134" t="n">
        <f aca="false">SUMIF($X:$X,CONCATENATE($AN88,BK$6),$W:$W)</f>
        <v>0</v>
      </c>
      <c r="BL88" s="134" t="n">
        <f aca="false">SUMIF($X:$X,CONCATENATE($AN88,BL$6),$W:$W)</f>
        <v>0</v>
      </c>
      <c r="BM88" s="134" t="n">
        <f aca="false">SUMIF($X:$X,CONCATENATE($AN88,BM$6),$W:$W)</f>
        <v>0</v>
      </c>
      <c r="BN88" s="134" t="n">
        <f aca="false">SUMIF($X:$X,CONCATENATE($AN88,BN$6),$W:$W)</f>
        <v>0</v>
      </c>
      <c r="BO88" s="134" t="n">
        <f aca="false">SUMIF($X:$X,CONCATENATE($AN88,BO$6),$W:$W)</f>
        <v>0</v>
      </c>
      <c r="BP88" s="134" t="n">
        <f aca="false">SUMIF($X:$X,CONCATENATE($AN88,BP$6),$W:$W)</f>
        <v>0</v>
      </c>
      <c r="BQ88" s="134" t="n">
        <f aca="false">SUMIF($X:$X,CONCATENATE($AN88,BQ$6),$W:$W)</f>
        <v>0</v>
      </c>
      <c r="BR88" s="135" t="n">
        <f aca="false">SUMIF($X:$X,CONCATENATE($AN88,BR$6),$W:$W)</f>
        <v>0</v>
      </c>
      <c r="BS88" s="208" t="n">
        <f aca="false">EOMONTH(BS87,0)+1</f>
        <v>39203</v>
      </c>
      <c r="BT88" s="135" t="n">
        <f aca="false">SUM(BF88:BR88)</f>
        <v>0</v>
      </c>
      <c r="BU88" s="2"/>
      <c r="BV88" s="2"/>
      <c r="BW88" s="2"/>
      <c r="BX88" s="2"/>
      <c r="BY88" s="2"/>
      <c r="BZ88" s="2"/>
      <c r="CA88" s="2"/>
      <c r="CB88" s="2"/>
      <c r="CC88" s="182" t="n">
        <f aca="false">G88</f>
        <v>36892</v>
      </c>
      <c r="CD88" s="253" t="e">
        <f aca="false">xSPRDOPT((VLOOKUP(G88,NGPrices,2,FALSE())+HLOOKUP(D88,Prices,VLOOKUP(G88,move_down,2,FALSE()),FALSE())),VLOOKUP(G88,NGPrices,2,FALSE()),I88,VLOOKUP(G88,NGPREVPRICES,4,FALSE()),HLOOKUP(D88,PREVVOLS,VLOOKUP(G88,MOVE_DOWN2,2,FALSE()),FALSE()),VLOOKUP(G88,NGPREVPRICES,3,FALSE()),HLOOKUP(D88,Correllate,VLOOKUP(G88,CorMove,2,FALSE()),FALSE()),Q88-$CD$3,R88,$CD$5)*H88-CJ88</f>
        <v>#NAME?</v>
      </c>
      <c r="CE88" s="253" t="e">
        <f aca="false">xSPRDOPT((VLOOKUP(G88,NGPREVPRICES,2,FALSE())+HLOOKUP(D88,PREVCURVES,VLOOKUP(G88,MOVE_DOWN2,2,FALSE()),FALSE())),VLOOKUP(G88,NGPREVPRICES,2,FALSE()),CK88,VLOOKUP(G88,NGPrices,4,FALSE()),HLOOKUP(D88,PREVVOLS,VLOOKUP(G88,MOVE_DOWN2,2,FALSE()),FALSE()),VLOOKUP(G88,NGPREVPRICES,3,FALSE()),HLOOKUP(D88,Correllate,VLOOKUP(G88,CorMove,2,FALSE()),FALSE()),Q88-$CD$3,R88,$CJ$5)*H88-CJ88</f>
        <v>#NAME?</v>
      </c>
      <c r="CF88" s="132" t="e">
        <f aca="false">(CJ88/VLOOKUP(CC88,discount,3,FALSE()))-(CJ88/VLOOKUP(CC88,discount,2,FALSE()))</f>
        <v>#NAME?</v>
      </c>
      <c r="CG88" s="253" t="e">
        <f aca="false">xSPRDOPT((VLOOKUP(G88,NGPREVPRICES,2,FALSE())+HLOOKUP(D88,PREVCURVES,VLOOKUP(G88,MOVE_DOWN2,2,FALSE()),FALSE())),VLOOKUP(G88,NGPREVPRICES,2,FALSE()),CK88,VLOOKUP(G88,NGPREVPRICES,4,FALSE()),HLOOKUP(D88,VOLS,VLOOKUP(G88,move_down,2,FALSE()),FALSE()),VLOOKUP(G88,NGPrices,3,FALSE()),HLOOKUP(D88,Correllate,VLOOKUP(G88,CorMove,2,FALSE()),FALSE()),Q88-$CD$3,R88,$CJ$5)*H88-CJ88</f>
        <v>#NAME?</v>
      </c>
      <c r="CH88" s="253" t="e">
        <f aca="false">xSPRDOPT((VLOOKUP(G88,NGPREVPRICES,2,FALSE())+HLOOKUP(D88,PREVCURVES,VLOOKUP(G88,MOVE_DOWN2,2,FALSE()),FALSE())),VLOOKUP(G88,NGPREVPRICES,2,FALSE()),CK88,VLOOKUP(G88,NGPREVPRICES,4,FALSE()),HLOOKUP(D88,PREVVOLS,VLOOKUP(G88,MOVE_DOWN2,2,FALSE()),FALSE()),VLOOKUP(G88,NGPREVPRICES,3,FALSE()),HLOOKUP(D88,Correllate,VLOOKUP(G88,CorMove,2,FALSE()),FALSE()),Q88-$C$3,R88,$CJ$5)*H88-CJ88</f>
        <v>#NAME?</v>
      </c>
      <c r="CI88" s="253" t="e">
        <f aca="false">SUM(CD88:CH88)</f>
        <v>#NAME?</v>
      </c>
      <c r="CJ88" s="253" t="e">
        <f aca="false">xSPRDOPT((VLOOKUP(G88,NGPREVPRICES,2,FALSE())+HLOOKUP(D88,PREVCURVES,VLOOKUP(G88,MOVE_DOWN2,2,FALSE()),FALSE())),VLOOKUP(G88,NGPREVPRICES,2,FALSE()),CK88,VLOOKUP(G88,NGPREVPRICES,4,FALSE()),HLOOKUP(D88,PREVVOLS,VLOOKUP(G88,MOVE_DOWN2,2,FALSE()),FALSE()),VLOOKUP(G88,NGPREVPRICES,3,FALSE()),HLOOKUP(D88,Correllate,VLOOKUP(G88,CorMove,2,FALSE()),FALSE()),Q88-$CD$3,R88,$CJ$5)*H88</f>
        <v>#NAME?</v>
      </c>
      <c r="CK88" s="254" t="n">
        <f aca="false">I88</f>
        <v>1.15</v>
      </c>
      <c r="CL88" s="253"/>
      <c r="CM88" s="0" t="str">
        <f aca="false">CONCATENATE(CC88,$CD$6)</f>
        <v>36892Curve Shift/Gamma</v>
      </c>
      <c r="CN88" s="0" t="str">
        <f aca="false">CONCATENATE($CC88,$CE$6)</f>
        <v>36892Rho</v>
      </c>
      <c r="CO88" s="0" t="str">
        <f aca="false">CONCATENATE($CC88,$CF$6)</f>
        <v>36892Drift</v>
      </c>
      <c r="CP88" s="0" t="str">
        <f aca="false">CONCATENATE($CC88,$CG$6)</f>
        <v>36892Vega</v>
      </c>
      <c r="CQ88" s="0" t="str">
        <f aca="false">CONCATENATE($CC88,$CH$6)</f>
        <v>36892Theta</v>
      </c>
    </row>
    <row r="89" customFormat="false" ht="12" hidden="false" customHeight="true" outlineLevel="0" collapsed="false">
      <c r="A89" s="265" t="s">
        <v>198</v>
      </c>
      <c r="B89" s="0" t="s">
        <v>192</v>
      </c>
      <c r="C89" s="0" t="s">
        <v>234</v>
      </c>
      <c r="D89" s="7" t="s">
        <v>149</v>
      </c>
      <c r="E89" s="0" t="s">
        <v>131</v>
      </c>
      <c r="F89" s="0" t="s">
        <v>132</v>
      </c>
      <c r="G89" s="92" t="n">
        <v>36861</v>
      </c>
      <c r="H89" s="248" t="n">
        <v>-250000</v>
      </c>
      <c r="I89" s="0" t="n">
        <v>1.15</v>
      </c>
      <c r="J89" s="124" t="n">
        <f aca="false">VLOOKUP(G89,NGPrices,2,FALSE())</f>
        <v>4.8</v>
      </c>
      <c r="K89" s="125" t="n">
        <f aca="false">HLOOKUP(D89,Prices,VLOOKUP(G89,move_down,2,FALSE()),FALSE())+VLOOKUP(G89,CHANGE,HLOOKUP(D89,CHANGE,2,FALSE()),FALSE())</f>
        <v>1.645</v>
      </c>
      <c r="L89" s="124" t="n">
        <f aca="false">K89+J89</f>
        <v>6.445</v>
      </c>
      <c r="M89" s="126" t="n">
        <f aca="false">VLOOKUP(G89,NGPrices,4,FALSE())</f>
        <v>0.068314027999354</v>
      </c>
      <c r="N89" s="7" t="n">
        <f aca="false">VLOOKUP(G89,NGPrices,3,FALSE())</f>
        <v>0.6</v>
      </c>
      <c r="O89" s="7" t="n">
        <f aca="false">HLOOKUP(D89,VOLS,VLOOKUP(G89,move_down,2,FALSE()),FALSE())</f>
        <v>0.69</v>
      </c>
      <c r="P89" s="249" t="n">
        <f aca="false">HLOOKUP(D89,Correllate,VLOOKUP(G89,CorMove,2,FALSE()),FALSE())</f>
        <v>0.83</v>
      </c>
      <c r="Q89" s="92" t="n">
        <f aca="false">WORKDAY(G89,-2)</f>
        <v>36859</v>
      </c>
      <c r="R89" s="7" t="n">
        <f aca="false">IF(F89="P",0,1)</f>
        <v>0</v>
      </c>
      <c r="S89" s="130" t="e">
        <f aca="false">xSPRDOPT($L89,$J89,$I89,$M89,$O89,$N89,$P89,$Q89-$C$3,$R89,0)</f>
        <v>#NAME?</v>
      </c>
      <c r="T89" s="250" t="e">
        <f aca="false">xSPRDOPT($L89,$J89,$I89,$M89,$O89,$N89,$P89,$Q89-$C$3,$R89,1)*H89</f>
        <v>#NAME?</v>
      </c>
      <c r="U89" s="43" t="e">
        <f aca="false">S89*H89</f>
        <v>#NAME?</v>
      </c>
      <c r="V89" s="250" t="e">
        <f aca="false">xSPRDOPT($L89,$J89,$I89,$M89,$O89,$N89,$P89,$Q89-$C$3,$R89,2)*H89</f>
        <v>#NAME?</v>
      </c>
      <c r="W89" s="250" t="e">
        <f aca="false">+V89+T89</f>
        <v>#NAME?</v>
      </c>
      <c r="X89" s="2" t="str">
        <f aca="false">CONCATENATE(G89,D89)</f>
        <v>36861IF-TRANSCO/Z6</v>
      </c>
      <c r="Y89" s="251" t="n">
        <f aca="false">H89/10000</f>
        <v>-25</v>
      </c>
      <c r="Z89" s="226" t="e">
        <f aca="false">T89/H89</f>
        <v>#NAME?</v>
      </c>
      <c r="AA89" s="226" t="e">
        <f aca="false">xSPRDOPT($L89,$J89,$I89,$M89,$O89,$N89,$P89,$Q89-$C$3,$R89,3)</f>
        <v>#NAME?</v>
      </c>
      <c r="AB89" s="226" t="e">
        <f aca="false">((xSPRDOPT($L89+AB$5,$J89,$I89,$M89,$O89,$N89,$P89,$Q89-$C$3,$R89,3)*$H89)/10000)/100</f>
        <v>#NAME?</v>
      </c>
      <c r="AC89" s="226" t="e">
        <f aca="false">((xSPRDOPT($L89+$AB$5,$J89,$I89,$M89,$O89,$N89,$P89,$Q89-$C$3,$R89,7)*$H89)/100)</f>
        <v>#NAME?</v>
      </c>
      <c r="AD89" s="226" t="e">
        <f aca="false">(xSPRDOPT($L89+$AB$5,$J89,$I89,$M89,$O89,$N89,$P89,$Q89-$C$3,$R89,9)/365)*$H89</f>
        <v>#NAME?</v>
      </c>
      <c r="AE89" s="0" t="e">
        <f aca="false">CD89</f>
        <v>#NAME?</v>
      </c>
      <c r="AF89" s="226" t="e">
        <f aca="false">((O89/N89)*AH89)+AG89</f>
        <v>#NAME?</v>
      </c>
      <c r="AG89" s="226" t="e">
        <f aca="false">((xSPRDOPT($L89,$J89,$I89,$M89,$O89,$N89,$P89,$Q89-$C$3,$R89,6)*$H89)/100)</f>
        <v>#NAME?</v>
      </c>
      <c r="AH89" s="226" t="e">
        <f aca="false">((xSPRDOPT($L89,$J89,$I89,$M89,$O89,$N89,$P89,$Q89-$C$3,$R89,5)*$H89)/100)</f>
        <v>#NAME?</v>
      </c>
      <c r="AI89" s="226" t="e">
        <f aca="false">(((xSPRDOPT($L89,$J89,$I89,$M89,$O89,$N89,$P89,$Q89-$C$3,$R89,4)*$H89)/10000)/100)-AB89</f>
        <v>#NAME?</v>
      </c>
      <c r="AJ89" s="226"/>
      <c r="AK89" s="226"/>
      <c r="AL89" s="226"/>
      <c r="AM89" s="252"/>
      <c r="AN89" s="208" t="n">
        <f aca="false">EOMONTH(AN88,0)+1</f>
        <v>39234</v>
      </c>
      <c r="AO89" s="134" t="n">
        <f aca="false">SUMIF($X:$X,CONCATENATE($AN89,AO$6),$T:$T)/10000</f>
        <v>0</v>
      </c>
      <c r="AP89" s="134" t="n">
        <f aca="false">SUMIF($X:$X,CONCATENATE($AN89,AP$6),$T:$T)/10000</f>
        <v>0</v>
      </c>
      <c r="AQ89" s="134" t="n">
        <f aca="false">SUMIF($X:$X,CONCATENATE($AN89,AQ$6),$T:$T)/10000</f>
        <v>0</v>
      </c>
      <c r="AR89" s="134" t="n">
        <f aca="false">SUMIF($X:$X,CONCATENATE($AN89,AR$6),$T:$T)/10000</f>
        <v>0</v>
      </c>
      <c r="AS89" s="134" t="n">
        <f aca="false">SUMIF($X:$X,CONCATENATE($AN89,AS$6),$T:$T)/10000</f>
        <v>0</v>
      </c>
      <c r="AT89" s="134" t="n">
        <f aca="false">SUMIF($X:$X,CONCATENATE($AN89,AT$6),$T:$T)/10000</f>
        <v>0</v>
      </c>
      <c r="AU89" s="134" t="n">
        <f aca="false">SUMIF($X:$X,CONCATENATE($AN89,AU$6),$T:$T)/10000</f>
        <v>0</v>
      </c>
      <c r="AV89" s="134" t="n">
        <f aca="false">SUMIF($X:$X,CONCATENATE($AN89,AV$6),$T:$T)/10000</f>
        <v>0</v>
      </c>
      <c r="AW89" s="134" t="n">
        <f aca="false">SUMIF($X:$X,CONCATENATE($AN89,AW$6),$T:$T)/10000</f>
        <v>0</v>
      </c>
      <c r="AX89" s="134" t="n">
        <f aca="false">SUMIF($X:$X,CONCATENATE($AN89,AX$6),$T:$T)/10000</f>
        <v>0</v>
      </c>
      <c r="AY89" s="134" t="n">
        <f aca="false">SUMIF($X:$X,CONCATENATE($AN89,AY$6),$T:$T)/10000</f>
        <v>0</v>
      </c>
      <c r="AZ89" s="134" t="n">
        <f aca="false">SUMIF($X:$X,CONCATENATE($AN89,AZ$6),$T:$T)/10000</f>
        <v>0</v>
      </c>
      <c r="BA89" s="135" t="n">
        <f aca="false">SUMIF($X:$X,CONCATENATE($AN89,BA$6),$T:$T)/10000</f>
        <v>0</v>
      </c>
      <c r="BB89" s="208" t="n">
        <f aca="false">EOMONTH(BB88,0)+1</f>
        <v>39234</v>
      </c>
      <c r="BC89" s="135" t="n">
        <f aca="false">SUM(AO89:BA89)</f>
        <v>0</v>
      </c>
      <c r="BD89" s="2"/>
      <c r="BE89" s="208" t="n">
        <f aca="false">EOMONTH(BE88,0)+1</f>
        <v>39234</v>
      </c>
      <c r="BF89" s="134" t="n">
        <f aca="false">SUMIF($X:$X,CONCATENATE($AN89,BF$6),$W:$W)</f>
        <v>0</v>
      </c>
      <c r="BG89" s="134" t="n">
        <f aca="false">SUMIF($X:$X,CONCATENATE($AN89,BG$6),$W:$W)</f>
        <v>0</v>
      </c>
      <c r="BH89" s="134" t="n">
        <f aca="false">SUMIF($X:$X,CONCATENATE($AN89,BH$6),$W:$W)</f>
        <v>0</v>
      </c>
      <c r="BI89" s="134" t="n">
        <f aca="false">SUMIF($X:$X,CONCATENATE($AN89,BI$6),$W:$W)</f>
        <v>0</v>
      </c>
      <c r="BJ89" s="134" t="n">
        <f aca="false">SUMIF($X:$X,CONCATENATE($AN89,BJ$6),$W:$W)</f>
        <v>0</v>
      </c>
      <c r="BK89" s="134" t="n">
        <f aca="false">SUMIF($X:$X,CONCATENATE($AN89,BK$6),$W:$W)</f>
        <v>0</v>
      </c>
      <c r="BL89" s="134" t="n">
        <f aca="false">SUMIF($X:$X,CONCATENATE($AN89,BL$6),$W:$W)</f>
        <v>0</v>
      </c>
      <c r="BM89" s="134" t="n">
        <f aca="false">SUMIF($X:$X,CONCATENATE($AN89,BM$6),$W:$W)</f>
        <v>0</v>
      </c>
      <c r="BN89" s="134" t="n">
        <f aca="false">SUMIF($X:$X,CONCATENATE($AN89,BN$6),$W:$W)</f>
        <v>0</v>
      </c>
      <c r="BO89" s="134" t="n">
        <f aca="false">SUMIF($X:$X,CONCATENATE($AN89,BO$6),$W:$W)</f>
        <v>0</v>
      </c>
      <c r="BP89" s="134" t="n">
        <f aca="false">SUMIF($X:$X,CONCATENATE($AN89,BP$6),$W:$W)</f>
        <v>0</v>
      </c>
      <c r="BQ89" s="134" t="n">
        <f aca="false">SUMIF($X:$X,CONCATENATE($AN89,BQ$6),$W:$W)</f>
        <v>0</v>
      </c>
      <c r="BR89" s="135" t="n">
        <f aca="false">SUMIF($X:$X,CONCATENATE($AN89,BR$6),$W:$W)</f>
        <v>0</v>
      </c>
      <c r="BS89" s="208" t="n">
        <f aca="false">EOMONTH(BS88,0)+1</f>
        <v>39234</v>
      </c>
      <c r="BT89" s="135" t="n">
        <f aca="false">SUM(BF89:BR89)</f>
        <v>0</v>
      </c>
      <c r="BU89" s="2"/>
      <c r="BV89" s="2"/>
      <c r="BW89" s="2"/>
      <c r="BX89" s="2"/>
      <c r="BY89" s="2"/>
      <c r="BZ89" s="2"/>
      <c r="CA89" s="2"/>
      <c r="CB89" s="2"/>
      <c r="CC89" s="182" t="n">
        <f aca="false">G89</f>
        <v>36861</v>
      </c>
      <c r="CD89" s="253" t="e">
        <f aca="false">xSPRDOPT((VLOOKUP(G89,NGPrices,2,FALSE())+HLOOKUP(D89,Prices,VLOOKUP(G89,move_down,2,FALSE()),FALSE())),VLOOKUP(G89,NGPrices,2,FALSE()),I89,VLOOKUP(G89,NGPREVPRICES,4,FALSE()),HLOOKUP(D89,PREVVOLS,VLOOKUP(G89,MOVE_DOWN2,2,FALSE()),FALSE()),VLOOKUP(G89,NGPREVPRICES,3,FALSE()),HLOOKUP(D89,Correllate,VLOOKUP(G89,CorMove,2,FALSE()),FALSE()),Q89-$CD$3,R89,$CD$5)*H89-CJ89</f>
        <v>#NAME?</v>
      </c>
      <c r="CE89" s="253" t="e">
        <f aca="false">xSPRDOPT((VLOOKUP(G89,NGPREVPRICES,2,FALSE())+HLOOKUP(D89,PREVCURVES,VLOOKUP(G89,MOVE_DOWN2,2,FALSE()),FALSE())),VLOOKUP(G89,NGPREVPRICES,2,FALSE()),CK89,VLOOKUP(G89,NGPrices,4,FALSE()),HLOOKUP(D89,PREVVOLS,VLOOKUP(G89,MOVE_DOWN2,2,FALSE()),FALSE()),VLOOKUP(G89,NGPREVPRICES,3,FALSE()),HLOOKUP(D89,Correllate,VLOOKUP(G89,CorMove,2,FALSE()),FALSE()),Q89-$CD$3,R89,$CJ$5)*H89-CJ89</f>
        <v>#NAME?</v>
      </c>
      <c r="CF89" s="132" t="e">
        <f aca="false">(CJ89/VLOOKUP(CC89,discount,3,FALSE()))-(CJ89/VLOOKUP(CC89,discount,2,FALSE()))</f>
        <v>#NAME?</v>
      </c>
      <c r="CG89" s="253" t="e">
        <f aca="false">xSPRDOPT((VLOOKUP(G89,NGPREVPRICES,2,FALSE())+HLOOKUP(D89,PREVCURVES,VLOOKUP(G89,MOVE_DOWN2,2,FALSE()),FALSE())),VLOOKUP(G89,NGPREVPRICES,2,FALSE()),CK89,VLOOKUP(G89,NGPREVPRICES,4,FALSE()),HLOOKUP(D89,VOLS,VLOOKUP(G89,move_down,2,FALSE()),FALSE()),VLOOKUP(G89,NGPrices,3,FALSE()),HLOOKUP(D89,Correllate,VLOOKUP(G89,CorMove,2,FALSE()),FALSE()),Q89-$CD$3,R89,$CJ$5)*H89-CJ89</f>
        <v>#NAME?</v>
      </c>
      <c r="CH89" s="253" t="e">
        <f aca="false">xSPRDOPT((VLOOKUP(G89,NGPREVPRICES,2,FALSE())+HLOOKUP(D89,PREVCURVES,VLOOKUP(G89,MOVE_DOWN2,2,FALSE()),FALSE())),VLOOKUP(G89,NGPREVPRICES,2,FALSE()),CK89,VLOOKUP(G89,NGPREVPRICES,4,FALSE()),HLOOKUP(D89,PREVVOLS,VLOOKUP(G89,MOVE_DOWN2,2,FALSE()),FALSE()),VLOOKUP(G89,NGPREVPRICES,3,FALSE()),HLOOKUP(D89,Correllate,VLOOKUP(G89,CorMove,2,FALSE()),FALSE()),Q89-$C$3,R89,$CJ$5)*H89-CJ89</f>
        <v>#NAME?</v>
      </c>
      <c r="CI89" s="253" t="e">
        <f aca="false">SUM(CD89:CH89)</f>
        <v>#NAME?</v>
      </c>
      <c r="CJ89" s="253" t="e">
        <f aca="false">xSPRDOPT((VLOOKUP(G89,NGPREVPRICES,2,FALSE())+HLOOKUP(D89,PREVCURVES,VLOOKUP(G89,MOVE_DOWN2,2,FALSE()),FALSE())),VLOOKUP(G89,NGPREVPRICES,2,FALSE()),CK89,VLOOKUP(G89,NGPREVPRICES,4,FALSE()),HLOOKUP(D89,PREVVOLS,VLOOKUP(G89,MOVE_DOWN2,2,FALSE()),FALSE()),VLOOKUP(G89,NGPREVPRICES,3,FALSE()),HLOOKUP(D89,Correllate,VLOOKUP(G89,CorMove,2,FALSE()),FALSE()),Q89-$CD$3,R89,$CJ$5)*H89</f>
        <v>#NAME?</v>
      </c>
      <c r="CK89" s="254" t="n">
        <f aca="false">I89</f>
        <v>1.15</v>
      </c>
      <c r="CL89" s="253"/>
      <c r="CM89" s="0" t="str">
        <f aca="false">CONCATENATE(CC89,$CD$6)</f>
        <v>36861Curve Shift/Gamma</v>
      </c>
      <c r="CN89" s="0" t="str">
        <f aca="false">CONCATENATE($CC89,$CE$6)</f>
        <v>36861Rho</v>
      </c>
      <c r="CO89" s="0" t="str">
        <f aca="false">CONCATENATE($CC89,$CF$6)</f>
        <v>36861Drift</v>
      </c>
      <c r="CP89" s="0" t="str">
        <f aca="false">CONCATENATE($CC89,$CG$6)</f>
        <v>36861Vega</v>
      </c>
      <c r="CQ89" s="0" t="str">
        <f aca="false">CONCATENATE($CC89,$CH$6)</f>
        <v>36861Theta</v>
      </c>
    </row>
    <row r="90" customFormat="false" ht="12" hidden="false" customHeight="true" outlineLevel="0" collapsed="false">
      <c r="A90" s="265" t="s">
        <v>198</v>
      </c>
      <c r="B90" s="0" t="s">
        <v>192</v>
      </c>
      <c r="C90" s="0" t="s">
        <v>234</v>
      </c>
      <c r="D90" s="7" t="s">
        <v>149</v>
      </c>
      <c r="E90" s="0" t="s">
        <v>131</v>
      </c>
      <c r="F90" s="0" t="s">
        <v>132</v>
      </c>
      <c r="G90" s="92" t="n">
        <v>36831</v>
      </c>
      <c r="H90" s="248" t="n">
        <v>-250000</v>
      </c>
      <c r="I90" s="0" t="n">
        <v>1.15</v>
      </c>
      <c r="J90" s="124" t="n">
        <f aca="false">VLOOKUP(G90,NGPrices,2,FALSE())</f>
        <v>4.736</v>
      </c>
      <c r="K90" s="125" t="n">
        <f aca="false">HLOOKUP(D90,Prices,VLOOKUP(G90,move_down,2,FALSE()),FALSE())+VLOOKUP(G90,CHANGE,HLOOKUP(D90,CHANGE,2,FALSE()),FALSE())</f>
        <v>0.77</v>
      </c>
      <c r="L90" s="124" t="n">
        <f aca="false">K90+J90</f>
        <v>5.506</v>
      </c>
      <c r="M90" s="126" t="n">
        <f aca="false">VLOOKUP(G90,NGPrices,4,FALSE())</f>
        <v>0.06810675983792</v>
      </c>
      <c r="N90" s="7" t="n">
        <f aca="false">VLOOKUP(G90,NGPrices,3,FALSE())</f>
        <v>0.595</v>
      </c>
      <c r="O90" s="7" t="n">
        <f aca="false">HLOOKUP(D90,VOLS,VLOOKUP(G90,move_down,2,FALSE()),FALSE())</f>
        <v>0.625</v>
      </c>
      <c r="P90" s="249" t="n">
        <f aca="false">HLOOKUP(D90,Correllate,VLOOKUP(G90,CorMove,2,FALSE()),FALSE())</f>
        <v>0.89</v>
      </c>
      <c r="Q90" s="92" t="n">
        <f aca="false">WORKDAY(G90,-2)</f>
        <v>36829</v>
      </c>
      <c r="R90" s="7" t="n">
        <f aca="false">IF(F90="P",0,1)</f>
        <v>0</v>
      </c>
      <c r="S90" s="130" t="e">
        <f aca="false">xSPRDOPT($L90,$J90,$I90,$M90,$O90,$N90,$P90,$Q90-$C$3,$R90,0)</f>
        <v>#NAME?</v>
      </c>
      <c r="T90" s="250" t="e">
        <f aca="false">xSPRDOPT($L90,$J90,$I90,$M90,$O90,$N90,$P90,$Q90-$C$3,$R90,1)*H90</f>
        <v>#NAME?</v>
      </c>
      <c r="U90" s="43" t="e">
        <f aca="false">S90*H90</f>
        <v>#NAME?</v>
      </c>
      <c r="V90" s="250" t="e">
        <f aca="false">xSPRDOPT($L90,$J90,$I90,$M90,$O90,$N90,$P90,$Q90-$C$3,$R90,2)*H90</f>
        <v>#NAME?</v>
      </c>
      <c r="W90" s="250" t="e">
        <f aca="false">+V90+T90</f>
        <v>#NAME?</v>
      </c>
      <c r="X90" s="2" t="str">
        <f aca="false">CONCATENATE(G90,D90)</f>
        <v>36831IF-TRANSCO/Z6</v>
      </c>
      <c r="Y90" s="251" t="n">
        <f aca="false">H90/10000</f>
        <v>-25</v>
      </c>
      <c r="Z90" s="226" t="e">
        <f aca="false">T90/H90</f>
        <v>#NAME?</v>
      </c>
      <c r="AA90" s="226" t="e">
        <f aca="false">xSPRDOPT($L90,$J90,$I90,$M90,$O90,$N90,$P90,$Q90-$C$3,$R90,3)</f>
        <v>#NAME?</v>
      </c>
      <c r="AB90" s="226" t="e">
        <f aca="false">((xSPRDOPT($L90+AB$5,$J90,$I90,$M90,$O90,$N90,$P90,$Q90-$C$3,$R90,3)*$H90)/10000)/100</f>
        <v>#NAME?</v>
      </c>
      <c r="AC90" s="226" t="e">
        <f aca="false">((xSPRDOPT($L90+$AB$5,$J90,$I90,$M90,$O90,$N90,$P90,$Q90-$C$3,$R90,7)*$H90)/100)</f>
        <v>#NAME?</v>
      </c>
      <c r="AD90" s="226" t="e">
        <f aca="false">(xSPRDOPT($L90+$AB$5,$J90,$I90,$M90,$O90,$N90,$P90,$Q90-$C$3,$R90,9)/365)*$H90</f>
        <v>#NAME?</v>
      </c>
      <c r="AE90" s="0" t="e">
        <f aca="false">CD90</f>
        <v>#NAME?</v>
      </c>
      <c r="AF90" s="226" t="e">
        <f aca="false">((O90/N90)*AH90)+AG90</f>
        <v>#NAME?</v>
      </c>
      <c r="AG90" s="226" t="e">
        <f aca="false">((xSPRDOPT($L90,$J90,$I90,$M90,$O90,$N90,$P90,$Q90-$C$3,$R90,6)*$H90)/100)</f>
        <v>#NAME?</v>
      </c>
      <c r="AH90" s="226" t="e">
        <f aca="false">((xSPRDOPT($L90,$J90,$I90,$M90,$O90,$N90,$P90,$Q90-$C$3,$R90,5)*$H90)/100)</f>
        <v>#NAME?</v>
      </c>
      <c r="AI90" s="226" t="e">
        <f aca="false">(((xSPRDOPT($L90,$J90,$I90,$M90,$O90,$N90,$P90,$Q90-$C$3,$R90,4)*$H90)/10000)/100)-AB90</f>
        <v>#NAME?</v>
      </c>
      <c r="AJ90" s="226"/>
      <c r="AK90" s="226"/>
      <c r="AL90" s="226"/>
      <c r="AM90" s="252"/>
      <c r="AN90" s="208" t="n">
        <f aca="false">EOMONTH(AN89,0)+1</f>
        <v>39264</v>
      </c>
      <c r="AO90" s="134" t="n">
        <f aca="false">SUMIF($X:$X,CONCATENATE($AN90,AO$6),$T:$T)/10000</f>
        <v>0</v>
      </c>
      <c r="AP90" s="134" t="n">
        <f aca="false">SUMIF($X:$X,CONCATENATE($AN90,AP$6),$T:$T)/10000</f>
        <v>0</v>
      </c>
      <c r="AQ90" s="134" t="n">
        <f aca="false">SUMIF($X:$X,CONCATENATE($AN90,AQ$6),$T:$T)/10000</f>
        <v>0</v>
      </c>
      <c r="AR90" s="134" t="n">
        <f aca="false">SUMIF($X:$X,CONCATENATE($AN90,AR$6),$T:$T)/10000</f>
        <v>0</v>
      </c>
      <c r="AS90" s="134" t="n">
        <f aca="false">SUMIF($X:$X,CONCATENATE($AN90,AS$6),$T:$T)/10000</f>
        <v>0</v>
      </c>
      <c r="AT90" s="134" t="n">
        <f aca="false">SUMIF($X:$X,CONCATENATE($AN90,AT$6),$T:$T)/10000</f>
        <v>0</v>
      </c>
      <c r="AU90" s="134" t="n">
        <f aca="false">SUMIF($X:$X,CONCATENATE($AN90,AU$6),$T:$T)/10000</f>
        <v>0</v>
      </c>
      <c r="AV90" s="134" t="n">
        <f aca="false">SUMIF($X:$X,CONCATENATE($AN90,AV$6),$T:$T)/10000</f>
        <v>0</v>
      </c>
      <c r="AW90" s="134" t="n">
        <f aca="false">SUMIF($X:$X,CONCATENATE($AN90,AW$6),$T:$T)/10000</f>
        <v>0</v>
      </c>
      <c r="AX90" s="134" t="n">
        <f aca="false">SUMIF($X:$X,CONCATENATE($AN90,AX$6),$T:$T)/10000</f>
        <v>0</v>
      </c>
      <c r="AY90" s="134" t="n">
        <f aca="false">SUMIF($X:$X,CONCATENATE($AN90,AY$6),$T:$T)/10000</f>
        <v>0</v>
      </c>
      <c r="AZ90" s="134" t="n">
        <f aca="false">SUMIF($X:$X,CONCATENATE($AN90,AZ$6),$T:$T)/10000</f>
        <v>0</v>
      </c>
      <c r="BA90" s="135" t="n">
        <f aca="false">SUMIF($X:$X,CONCATENATE($AN90,BA$6),$T:$T)/10000</f>
        <v>0</v>
      </c>
      <c r="BB90" s="208" t="n">
        <f aca="false">EOMONTH(BB89,0)+1</f>
        <v>39264</v>
      </c>
      <c r="BC90" s="135" t="n">
        <f aca="false">SUM(AO90:BA90)</f>
        <v>0</v>
      </c>
      <c r="BD90" s="2"/>
      <c r="BE90" s="208" t="n">
        <f aca="false">EOMONTH(BE89,0)+1</f>
        <v>39264</v>
      </c>
      <c r="BF90" s="134" t="n">
        <f aca="false">SUMIF($X:$X,CONCATENATE($AN90,BF$6),$W:$W)</f>
        <v>0</v>
      </c>
      <c r="BG90" s="134" t="n">
        <f aca="false">SUMIF($X:$X,CONCATENATE($AN90,BG$6),$W:$W)</f>
        <v>0</v>
      </c>
      <c r="BH90" s="134" t="n">
        <f aca="false">SUMIF($X:$X,CONCATENATE($AN90,BH$6),$W:$W)</f>
        <v>0</v>
      </c>
      <c r="BI90" s="134" t="n">
        <f aca="false">SUMIF($X:$X,CONCATENATE($AN90,BI$6),$W:$W)</f>
        <v>0</v>
      </c>
      <c r="BJ90" s="134" t="n">
        <f aca="false">SUMIF($X:$X,CONCATENATE($AN90,BJ$6),$W:$W)</f>
        <v>0</v>
      </c>
      <c r="BK90" s="134" t="n">
        <f aca="false">SUMIF($X:$X,CONCATENATE($AN90,BK$6),$W:$W)</f>
        <v>0</v>
      </c>
      <c r="BL90" s="134" t="n">
        <f aca="false">SUMIF($X:$X,CONCATENATE($AN90,BL$6),$W:$W)</f>
        <v>0</v>
      </c>
      <c r="BM90" s="134" t="n">
        <f aca="false">SUMIF($X:$X,CONCATENATE($AN90,BM$6),$W:$W)</f>
        <v>0</v>
      </c>
      <c r="BN90" s="134" t="n">
        <f aca="false">SUMIF($X:$X,CONCATENATE($AN90,BN$6),$W:$W)</f>
        <v>0</v>
      </c>
      <c r="BO90" s="134" t="n">
        <f aca="false">SUMIF($X:$X,CONCATENATE($AN90,BO$6),$W:$W)</f>
        <v>0</v>
      </c>
      <c r="BP90" s="134" t="n">
        <f aca="false">SUMIF($X:$X,CONCATENATE($AN90,BP$6),$W:$W)</f>
        <v>0</v>
      </c>
      <c r="BQ90" s="134" t="n">
        <f aca="false">SUMIF($X:$X,CONCATENATE($AN90,BQ$6),$W:$W)</f>
        <v>0</v>
      </c>
      <c r="BR90" s="135" t="n">
        <f aca="false">SUMIF($X:$X,CONCATENATE($AN90,BR$6),$W:$W)</f>
        <v>0</v>
      </c>
      <c r="BS90" s="208" t="n">
        <f aca="false">EOMONTH(BS89,0)+1</f>
        <v>39264</v>
      </c>
      <c r="BT90" s="135" t="n">
        <f aca="false">SUM(BF90:BR90)</f>
        <v>0</v>
      </c>
      <c r="BU90" s="2"/>
      <c r="BV90" s="2"/>
      <c r="BW90" s="2"/>
      <c r="BX90" s="2"/>
      <c r="BY90" s="2"/>
      <c r="BZ90" s="2"/>
      <c r="CA90" s="2"/>
      <c r="CB90" s="2"/>
      <c r="CC90" s="182" t="n">
        <f aca="false">G90</f>
        <v>36831</v>
      </c>
      <c r="CD90" s="253" t="e">
        <f aca="false">xSPRDOPT((VLOOKUP(G90,NGPrices,2,FALSE())+HLOOKUP(D90,Prices,VLOOKUP(G90,move_down,2,FALSE()),FALSE())),VLOOKUP(G90,NGPrices,2,FALSE()),I90,VLOOKUP(G90,NGPREVPRICES,4,FALSE()),HLOOKUP(D90,PREVVOLS,VLOOKUP(G90,MOVE_DOWN2,2,FALSE()),FALSE()),VLOOKUP(G90,NGPREVPRICES,3,FALSE()),HLOOKUP(D90,Correllate,VLOOKUP(G90,CorMove,2,FALSE()),FALSE()),Q90-$CD$3,R90,$CD$5)*H90-CJ90</f>
        <v>#NAME?</v>
      </c>
      <c r="CE90" s="253" t="e">
        <f aca="false">xSPRDOPT((VLOOKUP(G90,NGPREVPRICES,2,FALSE())+HLOOKUP(D90,PREVCURVES,VLOOKUP(G90,MOVE_DOWN2,2,FALSE()),FALSE())),VLOOKUP(G90,NGPREVPRICES,2,FALSE()),CK90,VLOOKUP(G90,NGPrices,4,FALSE()),HLOOKUP(D90,PREVVOLS,VLOOKUP(G90,MOVE_DOWN2,2,FALSE()),FALSE()),VLOOKUP(G90,NGPREVPRICES,3,FALSE()),HLOOKUP(D90,Correllate,VLOOKUP(G90,CorMove,2,FALSE()),FALSE()),Q90-$CD$3,R90,$CJ$5)*H90-CJ90</f>
        <v>#NAME?</v>
      </c>
      <c r="CF90" s="132" t="e">
        <f aca="false">(CJ90/VLOOKUP(CC90,discount,3,FALSE()))-(CJ90/VLOOKUP(CC90,discount,2,FALSE()))</f>
        <v>#NAME?</v>
      </c>
      <c r="CG90" s="253" t="e">
        <f aca="false">xSPRDOPT((VLOOKUP(G90,NGPREVPRICES,2,FALSE())+HLOOKUP(D90,PREVCURVES,VLOOKUP(G90,MOVE_DOWN2,2,FALSE()),FALSE())),VLOOKUP(G90,NGPREVPRICES,2,FALSE()),CK90,VLOOKUP(G90,NGPREVPRICES,4,FALSE()),HLOOKUP(D90,VOLS,VLOOKUP(G90,move_down,2,FALSE()),FALSE()),VLOOKUP(G90,NGPrices,3,FALSE()),HLOOKUP(D90,Correllate,VLOOKUP(G90,CorMove,2,FALSE()),FALSE()),Q90-$CD$3,R90,$CJ$5)*H90-CJ90</f>
        <v>#NAME?</v>
      </c>
      <c r="CH90" s="253" t="e">
        <f aca="false">xSPRDOPT((VLOOKUP(G90,NGPREVPRICES,2,FALSE())+HLOOKUP(D90,PREVCURVES,VLOOKUP(G90,MOVE_DOWN2,2,FALSE()),FALSE())),VLOOKUP(G90,NGPREVPRICES,2,FALSE()),CK90,VLOOKUP(G90,NGPREVPRICES,4,FALSE()),HLOOKUP(D90,PREVVOLS,VLOOKUP(G90,MOVE_DOWN2,2,FALSE()),FALSE()),VLOOKUP(G90,NGPREVPRICES,3,FALSE()),HLOOKUP(D90,Correllate,VLOOKUP(G90,CorMove,2,FALSE()),FALSE()),Q90-$C$3,R90,$CJ$5)*H90-CJ90</f>
        <v>#NAME?</v>
      </c>
      <c r="CI90" s="253" t="e">
        <f aca="false">SUM(CD90:CH90)</f>
        <v>#NAME?</v>
      </c>
      <c r="CJ90" s="253" t="e">
        <f aca="false">xSPRDOPT((VLOOKUP(G90,NGPREVPRICES,2,FALSE())+HLOOKUP(D90,PREVCURVES,VLOOKUP(G90,MOVE_DOWN2,2,FALSE()),FALSE())),VLOOKUP(G90,NGPREVPRICES,2,FALSE()),CK90,VLOOKUP(G90,NGPREVPRICES,4,FALSE()),HLOOKUP(D90,PREVVOLS,VLOOKUP(G90,MOVE_DOWN2,2,FALSE()),FALSE()),VLOOKUP(G90,NGPREVPRICES,3,FALSE()),HLOOKUP(D90,Correllate,VLOOKUP(G90,CorMove,2,FALSE()),FALSE()),Q90-$CD$3,R90,$CJ$5)*H90</f>
        <v>#NAME?</v>
      </c>
      <c r="CK90" s="254" t="n">
        <f aca="false">I90</f>
        <v>1.15</v>
      </c>
      <c r="CL90" s="253"/>
      <c r="CM90" s="0" t="str">
        <f aca="false">CONCATENATE(CC90,$CD$6)</f>
        <v>36831Curve Shift/Gamma</v>
      </c>
      <c r="CN90" s="0" t="str">
        <f aca="false">CONCATENATE($CC90,$CE$6)</f>
        <v>36831Rho</v>
      </c>
      <c r="CO90" s="0" t="str">
        <f aca="false">CONCATENATE($CC90,$CF$6)</f>
        <v>36831Drift</v>
      </c>
      <c r="CP90" s="0" t="str">
        <f aca="false">CONCATENATE($CC90,$CG$6)</f>
        <v>36831Vega</v>
      </c>
      <c r="CQ90" s="0" t="str">
        <f aca="false">CONCATENATE($CC90,$CH$6)</f>
        <v>36831Theta</v>
      </c>
    </row>
    <row r="91" customFormat="false" ht="12" hidden="false" customHeight="true" outlineLevel="0" collapsed="false">
      <c r="A91" s="265" t="s">
        <v>198</v>
      </c>
      <c r="B91" s="0" t="s">
        <v>192</v>
      </c>
      <c r="C91" s="0" t="s">
        <v>235</v>
      </c>
      <c r="D91" s="7" t="s">
        <v>151</v>
      </c>
      <c r="E91" s="0" t="s">
        <v>131</v>
      </c>
      <c r="F91" s="0" t="s">
        <v>136</v>
      </c>
      <c r="G91" s="92" t="n">
        <v>36800</v>
      </c>
      <c r="H91" s="248" t="n">
        <v>-500000</v>
      </c>
      <c r="I91" s="0" t="n">
        <v>-0.32</v>
      </c>
      <c r="J91" s="124" t="n">
        <f aca="false">VLOOKUP(G91,NGPrices,2,FALSE())</f>
        <v>4.692</v>
      </c>
      <c r="K91" s="125" t="n">
        <f aca="false">HLOOKUP(D91,Prices,VLOOKUP(G91,move_down,2,FALSE()),FALSE())+VLOOKUP(G91,CHANGE,HLOOKUP(D91,CHANGE,2,FALSE()),FALSE())</f>
        <v>-0.805</v>
      </c>
      <c r="L91" s="124" t="n">
        <f aca="false">K91+J91</f>
        <v>3.887</v>
      </c>
      <c r="M91" s="126" t="n">
        <f aca="false">VLOOKUP(G91,NGPrices,4,FALSE())</f>
        <v>0.068050789414654</v>
      </c>
      <c r="N91" s="7" t="n">
        <f aca="false">VLOOKUP(G91,NGPrices,3,FALSE())</f>
        <v>0.575</v>
      </c>
      <c r="O91" s="7" t="n">
        <f aca="false">HLOOKUP(D91,VOLS,VLOOKUP(G91,move_down,2,FALSE()),FALSE())</f>
        <v>0.552</v>
      </c>
      <c r="P91" s="249" t="n">
        <f aca="false">HLOOKUP(D91,Correllate,VLOOKUP(G91,CorMove,2,FALSE()),FALSE())</f>
        <v>0.84</v>
      </c>
      <c r="Q91" s="92" t="n">
        <f aca="false">WORKDAY(G91,-2)</f>
        <v>36797</v>
      </c>
      <c r="R91" s="7" t="n">
        <f aca="false">IF(F91="P",0,1)</f>
        <v>1</v>
      </c>
      <c r="S91" s="130" t="e">
        <f aca="false">xSPRDOPT($L91,$J91,$I91,$M91,$O91,$N91,$P91,$Q91-$C$3,$R91,0)</f>
        <v>#NAME?</v>
      </c>
      <c r="T91" s="250" t="e">
        <f aca="false">xSPRDOPT($L91,$J91,$I91,$M91,$O91,$N91,$P91,$Q91-$C$3,$R91,1)*H91</f>
        <v>#NAME?</v>
      </c>
      <c r="U91" s="43" t="e">
        <f aca="false">S91*H91</f>
        <v>#NAME?</v>
      </c>
      <c r="V91" s="250" t="e">
        <f aca="false">xSPRDOPT($L91,$J91,$I91,$M91,$O91,$N91,$P91,$Q91-$C$3,$R91,2)*H91</f>
        <v>#NAME?</v>
      </c>
      <c r="W91" s="250" t="e">
        <f aca="false">+V91+T91</f>
        <v>#NAME?</v>
      </c>
      <c r="X91" s="2" t="str">
        <f aca="false">CONCATENATE(G91,D91)</f>
        <v>36800IF-NWPL_ROCKY_M</v>
      </c>
      <c r="Y91" s="251" t="n">
        <f aca="false">H91/10000</f>
        <v>-50</v>
      </c>
      <c r="Z91" s="226" t="e">
        <f aca="false">T91/H91</f>
        <v>#NAME?</v>
      </c>
      <c r="AA91" s="226" t="e">
        <f aca="false">xSPRDOPT($L91,$J91,$I91,$M91,$O91,$N91,$P91,$Q91-$C$3,$R91,3)</f>
        <v>#NAME?</v>
      </c>
      <c r="AB91" s="226" t="e">
        <f aca="false">((xSPRDOPT($L91+AB$5,$J91,$I91,$M91,$O91,$N91,$P91,$Q91-$C$3,$R91,3)*$H91)/10000)/100</f>
        <v>#NAME?</v>
      </c>
      <c r="AC91" s="226" t="e">
        <f aca="false">((xSPRDOPT($L91+$AB$5,$J91,$I91,$M91,$O91,$N91,$P91,$Q91-$C$3,$R91,7)*$H91)/100)</f>
        <v>#NAME?</v>
      </c>
      <c r="AD91" s="226" t="e">
        <f aca="false">(xSPRDOPT($L91+$AB$5,$J91,$I91,$M91,$O91,$N91,$P91,$Q91-$C$3,$R91,9)/365)*$H91</f>
        <v>#NAME?</v>
      </c>
      <c r="AE91" s="0" t="e">
        <f aca="false">CD91</f>
        <v>#NAME?</v>
      </c>
      <c r="AF91" s="226" t="e">
        <f aca="false">((O91/N91)*AH91)+AG91</f>
        <v>#NAME?</v>
      </c>
      <c r="AG91" s="226" t="e">
        <f aca="false">((xSPRDOPT($L91,$J91,$I91,$M91,$O91,$N91,$P91,$Q91-$C$3,$R91,6)*$H91)/100)</f>
        <v>#NAME?</v>
      </c>
      <c r="AH91" s="226" t="e">
        <f aca="false">((xSPRDOPT($L91,$J91,$I91,$M91,$O91,$N91,$P91,$Q91-$C$3,$R91,5)*$H91)/100)</f>
        <v>#NAME?</v>
      </c>
      <c r="AI91" s="226" t="e">
        <f aca="false">(((xSPRDOPT($L91,$J91,$I91,$M91,$O91,$N91,$P91,$Q91-$C$3,$R91,4)*$H91)/10000)/100)-AB91</f>
        <v>#NAME?</v>
      </c>
      <c r="AJ91" s="226"/>
      <c r="AK91" s="226"/>
      <c r="AL91" s="226"/>
      <c r="AM91" s="252"/>
      <c r="AN91" s="208" t="n">
        <f aca="false">EOMONTH(AN90,0)+1</f>
        <v>39295</v>
      </c>
      <c r="AO91" s="134" t="n">
        <f aca="false">SUMIF($X:$X,CONCATENATE($AN91,AO$6),$T:$T)/10000</f>
        <v>0</v>
      </c>
      <c r="AP91" s="134" t="n">
        <f aca="false">SUMIF($X:$X,CONCATENATE($AN91,AP$6),$T:$T)/10000</f>
        <v>0</v>
      </c>
      <c r="AQ91" s="134" t="n">
        <f aca="false">SUMIF($X:$X,CONCATENATE($AN91,AQ$6),$T:$T)/10000</f>
        <v>0</v>
      </c>
      <c r="AR91" s="134" t="n">
        <f aca="false">SUMIF($X:$X,CONCATENATE($AN91,AR$6),$T:$T)/10000</f>
        <v>0</v>
      </c>
      <c r="AS91" s="134" t="n">
        <f aca="false">SUMIF($X:$X,CONCATENATE($AN91,AS$6),$T:$T)/10000</f>
        <v>0</v>
      </c>
      <c r="AT91" s="134" t="n">
        <f aca="false">SUMIF($X:$X,CONCATENATE($AN91,AT$6),$T:$T)/10000</f>
        <v>0</v>
      </c>
      <c r="AU91" s="134" t="n">
        <f aca="false">SUMIF($X:$X,CONCATENATE($AN91,AU$6),$T:$T)/10000</f>
        <v>0</v>
      </c>
      <c r="AV91" s="134" t="n">
        <f aca="false">SUMIF($X:$X,CONCATENATE($AN91,AV$6),$T:$T)/10000</f>
        <v>0</v>
      </c>
      <c r="AW91" s="134" t="n">
        <f aca="false">SUMIF($X:$X,CONCATENATE($AN91,AW$6),$T:$T)/10000</f>
        <v>0</v>
      </c>
      <c r="AX91" s="134" t="n">
        <f aca="false">SUMIF($X:$X,CONCATENATE($AN91,AX$6),$T:$T)/10000</f>
        <v>0</v>
      </c>
      <c r="AY91" s="134" t="n">
        <f aca="false">SUMIF($X:$X,CONCATENATE($AN91,AY$6),$T:$T)/10000</f>
        <v>0</v>
      </c>
      <c r="AZ91" s="134" t="n">
        <f aca="false">SUMIF($X:$X,CONCATENATE($AN91,AZ$6),$T:$T)/10000</f>
        <v>0</v>
      </c>
      <c r="BA91" s="135" t="n">
        <f aca="false">SUMIF($X:$X,CONCATENATE($AN91,BA$6),$T:$T)/10000</f>
        <v>0</v>
      </c>
      <c r="BB91" s="208" t="n">
        <f aca="false">EOMONTH(BB90,0)+1</f>
        <v>39295</v>
      </c>
      <c r="BC91" s="135" t="n">
        <f aca="false">SUM(AO91:BA91)</f>
        <v>0</v>
      </c>
      <c r="BD91" s="2"/>
      <c r="BE91" s="208" t="n">
        <f aca="false">EOMONTH(BE90,0)+1</f>
        <v>39295</v>
      </c>
      <c r="BF91" s="134" t="n">
        <f aca="false">SUMIF($X:$X,CONCATENATE($AN91,BF$6),$W:$W)</f>
        <v>0</v>
      </c>
      <c r="BG91" s="134" t="n">
        <f aca="false">SUMIF($X:$X,CONCATENATE($AN91,BG$6),$W:$W)</f>
        <v>0</v>
      </c>
      <c r="BH91" s="134" t="n">
        <f aca="false">SUMIF($X:$X,CONCATENATE($AN91,BH$6),$W:$W)</f>
        <v>0</v>
      </c>
      <c r="BI91" s="134" t="n">
        <f aca="false">SUMIF($X:$X,CONCATENATE($AN91,BI$6),$W:$W)</f>
        <v>0</v>
      </c>
      <c r="BJ91" s="134" t="n">
        <f aca="false">SUMIF($X:$X,CONCATENATE($AN91,BJ$6),$W:$W)</f>
        <v>0</v>
      </c>
      <c r="BK91" s="134" t="n">
        <f aca="false">SUMIF($X:$X,CONCATENATE($AN91,BK$6),$W:$W)</f>
        <v>0</v>
      </c>
      <c r="BL91" s="134" t="n">
        <f aca="false">SUMIF($X:$X,CONCATENATE($AN91,BL$6),$W:$W)</f>
        <v>0</v>
      </c>
      <c r="BM91" s="134" t="n">
        <f aca="false">SUMIF($X:$X,CONCATENATE($AN91,BM$6),$W:$W)</f>
        <v>0</v>
      </c>
      <c r="BN91" s="134" t="n">
        <f aca="false">SUMIF($X:$X,CONCATENATE($AN91,BN$6),$W:$W)</f>
        <v>0</v>
      </c>
      <c r="BO91" s="134" t="n">
        <f aca="false">SUMIF($X:$X,CONCATENATE($AN91,BO$6),$W:$W)</f>
        <v>0</v>
      </c>
      <c r="BP91" s="134" t="n">
        <f aca="false">SUMIF($X:$X,CONCATENATE($AN91,BP$6),$W:$W)</f>
        <v>0</v>
      </c>
      <c r="BQ91" s="134" t="n">
        <f aca="false">SUMIF($X:$X,CONCATENATE($AN91,BQ$6),$W:$W)</f>
        <v>0</v>
      </c>
      <c r="BR91" s="135" t="n">
        <f aca="false">SUMIF($X:$X,CONCATENATE($AN91,BR$6),$W:$W)</f>
        <v>0</v>
      </c>
      <c r="BS91" s="208" t="n">
        <f aca="false">EOMONTH(BS90,0)+1</f>
        <v>39295</v>
      </c>
      <c r="BT91" s="135" t="n">
        <f aca="false">SUM(BF91:BR91)</f>
        <v>0</v>
      </c>
      <c r="BU91" s="2"/>
      <c r="BV91" s="2"/>
      <c r="BW91" s="2"/>
      <c r="BX91" s="2"/>
      <c r="BY91" s="2"/>
      <c r="BZ91" s="2"/>
      <c r="CA91" s="2"/>
      <c r="CB91" s="2"/>
      <c r="CC91" s="182" t="n">
        <f aca="false">G91</f>
        <v>36800</v>
      </c>
      <c r="CD91" s="253" t="e">
        <f aca="false">xSPRDOPT((VLOOKUP(G91,NGPrices,2,FALSE())+HLOOKUP(D91,Prices,VLOOKUP(G91,move_down,2,FALSE()),FALSE())),VLOOKUP(G91,NGPrices,2,FALSE()),I91,VLOOKUP(G91,NGPREVPRICES,4,FALSE()),HLOOKUP(D91,PREVVOLS,VLOOKUP(G91,MOVE_DOWN2,2,FALSE()),FALSE()),VLOOKUP(G91,NGPREVPRICES,3,FALSE()),HLOOKUP(D91,Correllate,VLOOKUP(G91,CorMove,2,FALSE()),FALSE()),Q91-$CD$3,R91,$CD$5)*H91-CJ91</f>
        <v>#NAME?</v>
      </c>
      <c r="CE91" s="253" t="e">
        <f aca="false">xSPRDOPT((VLOOKUP(G91,NGPREVPRICES,2,FALSE())+HLOOKUP(D91,PREVCURVES,VLOOKUP(G91,MOVE_DOWN2,2,FALSE()),FALSE())),VLOOKUP(G91,NGPREVPRICES,2,FALSE()),CK91,VLOOKUP(G91,NGPrices,4,FALSE()),HLOOKUP(D91,PREVVOLS,VLOOKUP(G91,MOVE_DOWN2,2,FALSE()),FALSE()),VLOOKUP(G91,NGPREVPRICES,3,FALSE()),HLOOKUP(D91,Correllate,VLOOKUP(G91,CorMove,2,FALSE()),FALSE()),Q91-$CD$3,R91,$CJ$5)*H91-CJ91</f>
        <v>#NAME?</v>
      </c>
      <c r="CF91" s="132" t="e">
        <f aca="false">(CJ91/VLOOKUP(CC91,discount,3,FALSE()))-(CJ91/VLOOKUP(CC91,discount,2,FALSE()))</f>
        <v>#NAME?</v>
      </c>
      <c r="CG91" s="253" t="e">
        <f aca="false">xSPRDOPT((VLOOKUP(G91,NGPREVPRICES,2,FALSE())+HLOOKUP(D91,PREVCURVES,VLOOKUP(G91,MOVE_DOWN2,2,FALSE()),FALSE())),VLOOKUP(G91,NGPREVPRICES,2,FALSE()),CK91,VLOOKUP(G91,NGPREVPRICES,4,FALSE()),HLOOKUP(D91,VOLS,VLOOKUP(G91,move_down,2,FALSE()),FALSE()),VLOOKUP(G91,NGPrices,3,FALSE()),HLOOKUP(D91,Correllate,VLOOKUP(G91,CorMove,2,FALSE()),FALSE()),Q91-$CD$3,R91,$CJ$5)*H91-CJ91</f>
        <v>#NAME?</v>
      </c>
      <c r="CH91" s="253" t="e">
        <f aca="false">xSPRDOPT((VLOOKUP(G91,NGPREVPRICES,2,FALSE())+HLOOKUP(D91,PREVCURVES,VLOOKUP(G91,MOVE_DOWN2,2,FALSE()),FALSE())),VLOOKUP(G91,NGPREVPRICES,2,FALSE()),CK91,VLOOKUP(G91,NGPREVPRICES,4,FALSE()),HLOOKUP(D91,PREVVOLS,VLOOKUP(G91,MOVE_DOWN2,2,FALSE()),FALSE()),VLOOKUP(G91,NGPREVPRICES,3,FALSE()),HLOOKUP(D91,Correllate,VLOOKUP(G91,CorMove,2,FALSE()),FALSE()),Q91-$C$3,R91,$CJ$5)*H91-CJ91</f>
        <v>#NAME?</v>
      </c>
      <c r="CI91" s="253" t="e">
        <f aca="false">SUM(CD91:CH91)</f>
        <v>#NAME?</v>
      </c>
      <c r="CJ91" s="253" t="e">
        <f aca="false">xSPRDOPT((VLOOKUP(G91,NGPREVPRICES,2,FALSE())+HLOOKUP(D91,PREVCURVES,VLOOKUP(G91,MOVE_DOWN2,2,FALSE()),FALSE())),VLOOKUP(G91,NGPREVPRICES,2,FALSE()),CK91,VLOOKUP(G91,NGPREVPRICES,4,FALSE()),HLOOKUP(D91,PREVVOLS,VLOOKUP(G91,MOVE_DOWN2,2,FALSE()),FALSE()),VLOOKUP(G91,NGPREVPRICES,3,FALSE()),HLOOKUP(D91,Correllate,VLOOKUP(G91,CorMove,2,FALSE()),FALSE()),Q91-$CD$3,R91,$CJ$5)*H91</f>
        <v>#NAME?</v>
      </c>
      <c r="CK91" s="254" t="n">
        <f aca="false">I91</f>
        <v>-0.32</v>
      </c>
      <c r="CL91" s="253"/>
      <c r="CM91" s="0" t="str">
        <f aca="false">CONCATENATE(CC91,$CD$6)</f>
        <v>36800Curve Shift/Gamma</v>
      </c>
      <c r="CN91" s="0" t="str">
        <f aca="false">CONCATENATE($CC91,$CE$6)</f>
        <v>36800Rho</v>
      </c>
      <c r="CO91" s="0" t="str">
        <f aca="false">CONCATENATE($CC91,$CF$6)</f>
        <v>36800Drift</v>
      </c>
      <c r="CP91" s="0" t="str">
        <f aca="false">CONCATENATE($CC91,$CG$6)</f>
        <v>36800Vega</v>
      </c>
      <c r="CQ91" s="0" t="str">
        <f aca="false">CONCATENATE($CC91,$CH$6)</f>
        <v>36800Theta</v>
      </c>
    </row>
    <row r="92" customFormat="false" ht="12" hidden="false" customHeight="true" outlineLevel="0" collapsed="false">
      <c r="A92" s="265" t="s">
        <v>198</v>
      </c>
      <c r="B92" s="0" t="s">
        <v>192</v>
      </c>
      <c r="C92" s="0" t="s">
        <v>235</v>
      </c>
      <c r="D92" s="7" t="s">
        <v>151</v>
      </c>
      <c r="E92" s="0" t="s">
        <v>131</v>
      </c>
      <c r="F92" s="0" t="s">
        <v>136</v>
      </c>
      <c r="G92" s="92" t="n">
        <v>36770</v>
      </c>
      <c r="H92" s="248" t="n">
        <v>-500000</v>
      </c>
      <c r="I92" s="0" t="n">
        <v>-0.32</v>
      </c>
      <c r="J92" s="124" t="n">
        <f aca="false">VLOOKUP(G92,NGPrices,2,FALSE())</f>
        <v>4.685</v>
      </c>
      <c r="K92" s="125" t="n">
        <f aca="false">HLOOKUP(D92,Prices,VLOOKUP(G92,move_down,2,FALSE()),FALSE())+VLOOKUP(G92,CHANGE,HLOOKUP(D92,CHANGE,2,FALSE()),FALSE())</f>
        <v>-1.24</v>
      </c>
      <c r="L92" s="124" t="n">
        <f aca="false">K92+J92</f>
        <v>3.445</v>
      </c>
      <c r="M92" s="126" t="n">
        <f aca="false">VLOOKUP(G92,NGPrices,4,FALSE())</f>
        <v>0.067216196212185</v>
      </c>
      <c r="N92" s="7" t="n">
        <f aca="false">VLOOKUP(G92,NGPrices,3,FALSE())</f>
        <v>0.4</v>
      </c>
      <c r="O92" s="7" t="n">
        <f aca="false">HLOOKUP(D92,VOLS,VLOOKUP(G92,move_down,2,FALSE()),FALSE())</f>
        <v>0.384</v>
      </c>
      <c r="P92" s="249" t="n">
        <f aca="false">HLOOKUP(D92,Correllate,VLOOKUP(G92,CorMove,2,FALSE()),FALSE())</f>
        <v>0.84</v>
      </c>
      <c r="Q92" s="92" t="n">
        <f aca="false">WORKDAY(G92,-2)</f>
        <v>36768</v>
      </c>
      <c r="R92" s="7" t="n">
        <f aca="false">IF(F92="P",0,1)</f>
        <v>1</v>
      </c>
      <c r="S92" s="130" t="e">
        <f aca="false">xSPRDOPT($L92,$J92,$I92,$M92,$O92,$N92,$P92,$Q92-$C$3,$R92,0)</f>
        <v>#NAME?</v>
      </c>
      <c r="T92" s="250" t="e">
        <f aca="false">xSPRDOPT($L92,$J92,$I92,$M92,$O92,$N92,$P92,$Q92-$C$3,$R92,1)*H92</f>
        <v>#NAME?</v>
      </c>
      <c r="U92" s="43" t="e">
        <f aca="false">S92*H92</f>
        <v>#NAME?</v>
      </c>
      <c r="V92" s="250" t="e">
        <f aca="false">xSPRDOPT($L92,$J92,$I92,$M92,$O92,$N92,$P92,$Q92-$C$3,$R92,2)*H92</f>
        <v>#NAME?</v>
      </c>
      <c r="W92" s="250" t="e">
        <f aca="false">+V92+T92</f>
        <v>#NAME?</v>
      </c>
      <c r="X92" s="2" t="str">
        <f aca="false">CONCATENATE(G92,D92)</f>
        <v>36770IF-NWPL_ROCKY_M</v>
      </c>
      <c r="Y92" s="251" t="n">
        <f aca="false">H92/10000</f>
        <v>-50</v>
      </c>
      <c r="Z92" s="226" t="e">
        <f aca="false">T92/H92</f>
        <v>#NAME?</v>
      </c>
      <c r="AA92" s="226" t="e">
        <f aca="false">xSPRDOPT($L92,$J92,$I92,$M92,$O92,$N92,$P92,$Q92-$C$3,$R92,3)</f>
        <v>#NAME?</v>
      </c>
      <c r="AB92" s="226" t="e">
        <f aca="false">((xSPRDOPT($L92+AB$5,$J92,$I92,$M92,$O92,$N92,$P92,$Q92-$C$3,$R92,3)*$H92)/10000)/100</f>
        <v>#NAME?</v>
      </c>
      <c r="AC92" s="226" t="e">
        <f aca="false">((xSPRDOPT($L92+$AB$5,$J92,$I92,$M92,$O92,$N92,$P92,$Q92-$C$3,$R92,7)*$H92)/100)</f>
        <v>#NAME?</v>
      </c>
      <c r="AD92" s="226" t="e">
        <f aca="false">(xSPRDOPT($L92+$AB$5,$J92,$I92,$M92,$O92,$N92,$P92,$Q92-$C$3,$R92,9)/365)*$H92</f>
        <v>#NAME?</v>
      </c>
      <c r="AE92" s="0" t="e">
        <f aca="false">CD92</f>
        <v>#NAME?</v>
      </c>
      <c r="AF92" s="226" t="e">
        <f aca="false">((O92/N92)*AH92)+AG92</f>
        <v>#NAME?</v>
      </c>
      <c r="AG92" s="226" t="e">
        <f aca="false">((xSPRDOPT($L92,$J92,$I92,$M92,$O92,$N92,$P92,$Q92-$C$3,$R92,6)*$H92)/100)</f>
        <v>#NAME?</v>
      </c>
      <c r="AH92" s="226" t="e">
        <f aca="false">((xSPRDOPT($L92,$J92,$I92,$M92,$O92,$N92,$P92,$Q92-$C$3,$R92,5)*$H92)/100)</f>
        <v>#NAME?</v>
      </c>
      <c r="AI92" s="226" t="e">
        <f aca="false">(((xSPRDOPT($L92,$J92,$I92,$M92,$O92,$N92,$P92,$Q92-$C$3,$R92,4)*$H92)/10000)/100)-AB92</f>
        <v>#NAME?</v>
      </c>
      <c r="AJ92" s="226"/>
      <c r="AK92" s="226"/>
      <c r="AL92" s="226"/>
      <c r="AM92" s="252"/>
      <c r="AN92" s="208" t="n">
        <f aca="false">EOMONTH(AN91,0)+1</f>
        <v>39326</v>
      </c>
      <c r="AO92" s="134" t="n">
        <f aca="false">SUMIF($X:$X,CONCATENATE($AN92,AO$6),$T:$T)/10000</f>
        <v>0</v>
      </c>
      <c r="AP92" s="134" t="n">
        <f aca="false">SUMIF($X:$X,CONCATENATE($AN92,AP$6),$T:$T)/10000</f>
        <v>0</v>
      </c>
      <c r="AQ92" s="134" t="n">
        <f aca="false">SUMIF($X:$X,CONCATENATE($AN92,AQ$6),$T:$T)/10000</f>
        <v>0</v>
      </c>
      <c r="AR92" s="134" t="n">
        <f aca="false">SUMIF($X:$X,CONCATENATE($AN92,AR$6),$T:$T)/10000</f>
        <v>0</v>
      </c>
      <c r="AS92" s="134" t="n">
        <f aca="false">SUMIF($X:$X,CONCATENATE($AN92,AS$6),$T:$T)/10000</f>
        <v>0</v>
      </c>
      <c r="AT92" s="134" t="n">
        <f aca="false">SUMIF($X:$X,CONCATENATE($AN92,AT$6),$T:$T)/10000</f>
        <v>0</v>
      </c>
      <c r="AU92" s="134" t="n">
        <f aca="false">SUMIF($X:$X,CONCATENATE($AN92,AU$6),$T:$T)/10000</f>
        <v>0</v>
      </c>
      <c r="AV92" s="134" t="n">
        <f aca="false">SUMIF($X:$X,CONCATENATE($AN92,AV$6),$T:$T)/10000</f>
        <v>0</v>
      </c>
      <c r="AW92" s="134" t="n">
        <f aca="false">SUMIF($X:$X,CONCATENATE($AN92,AW$6),$T:$T)/10000</f>
        <v>0</v>
      </c>
      <c r="AX92" s="134" t="n">
        <f aca="false">SUMIF($X:$X,CONCATENATE($AN92,AX$6),$T:$T)/10000</f>
        <v>0</v>
      </c>
      <c r="AY92" s="134" t="n">
        <f aca="false">SUMIF($X:$X,CONCATENATE($AN92,AY$6),$T:$T)/10000</f>
        <v>0</v>
      </c>
      <c r="AZ92" s="134" t="n">
        <f aca="false">SUMIF($X:$X,CONCATENATE($AN92,AZ$6),$T:$T)/10000</f>
        <v>0</v>
      </c>
      <c r="BA92" s="135" t="n">
        <f aca="false">SUMIF($X:$X,CONCATENATE($AN92,BA$6),$T:$T)/10000</f>
        <v>0</v>
      </c>
      <c r="BB92" s="208" t="n">
        <f aca="false">EOMONTH(BB91,0)+1</f>
        <v>39326</v>
      </c>
      <c r="BC92" s="135" t="n">
        <f aca="false">SUM(AO92:BA92)</f>
        <v>0</v>
      </c>
      <c r="BD92" s="2"/>
      <c r="BE92" s="208" t="n">
        <f aca="false">EOMONTH(BE91,0)+1</f>
        <v>39326</v>
      </c>
      <c r="BF92" s="134" t="n">
        <f aca="false">SUMIF($X:$X,CONCATENATE($AN92,BF$6),$W:$W)</f>
        <v>0</v>
      </c>
      <c r="BG92" s="134" t="n">
        <f aca="false">SUMIF($X:$X,CONCATENATE($AN92,BG$6),$W:$W)</f>
        <v>0</v>
      </c>
      <c r="BH92" s="134" t="n">
        <f aca="false">SUMIF($X:$X,CONCATENATE($AN92,BH$6),$W:$W)</f>
        <v>0</v>
      </c>
      <c r="BI92" s="134" t="n">
        <f aca="false">SUMIF($X:$X,CONCATENATE($AN92,BI$6),$W:$W)</f>
        <v>0</v>
      </c>
      <c r="BJ92" s="134" t="n">
        <f aca="false">SUMIF($X:$X,CONCATENATE($AN92,BJ$6),$W:$W)</f>
        <v>0</v>
      </c>
      <c r="BK92" s="134" t="n">
        <f aca="false">SUMIF($X:$X,CONCATENATE($AN92,BK$6),$W:$W)</f>
        <v>0</v>
      </c>
      <c r="BL92" s="134" t="n">
        <f aca="false">SUMIF($X:$X,CONCATENATE($AN92,BL$6),$W:$W)</f>
        <v>0</v>
      </c>
      <c r="BM92" s="134" t="n">
        <f aca="false">SUMIF($X:$X,CONCATENATE($AN92,BM$6),$W:$W)</f>
        <v>0</v>
      </c>
      <c r="BN92" s="134" t="n">
        <f aca="false">SUMIF($X:$X,CONCATENATE($AN92,BN$6),$W:$W)</f>
        <v>0</v>
      </c>
      <c r="BO92" s="134" t="n">
        <f aca="false">SUMIF($X:$X,CONCATENATE($AN92,BO$6),$W:$W)</f>
        <v>0</v>
      </c>
      <c r="BP92" s="134" t="n">
        <f aca="false">SUMIF($X:$X,CONCATENATE($AN92,BP$6),$W:$W)</f>
        <v>0</v>
      </c>
      <c r="BQ92" s="134" t="n">
        <f aca="false">SUMIF($X:$X,CONCATENATE($AN92,BQ$6),$W:$W)</f>
        <v>0</v>
      </c>
      <c r="BR92" s="135" t="n">
        <f aca="false">SUMIF($X:$X,CONCATENATE($AN92,BR$6),$W:$W)</f>
        <v>0</v>
      </c>
      <c r="BS92" s="208" t="n">
        <f aca="false">EOMONTH(BS91,0)+1</f>
        <v>39326</v>
      </c>
      <c r="BT92" s="135" t="n">
        <f aca="false">SUM(BF92:BR92)</f>
        <v>0</v>
      </c>
      <c r="BU92" s="2"/>
      <c r="BV92" s="2"/>
      <c r="BW92" s="2"/>
      <c r="BX92" s="2"/>
      <c r="BY92" s="2"/>
      <c r="BZ92" s="2"/>
      <c r="CA92" s="2"/>
      <c r="CB92" s="2"/>
      <c r="CC92" s="182" t="n">
        <f aca="false">G92</f>
        <v>36770</v>
      </c>
      <c r="CD92" s="253" t="e">
        <f aca="false">xSPRDOPT((VLOOKUP(G92,NGPrices,2,FALSE())+HLOOKUP(D92,Prices,VLOOKUP(G92,move_down,2,FALSE()),FALSE())),VLOOKUP(G92,NGPrices,2,FALSE()),I92,VLOOKUP(G92,NGPREVPRICES,4,FALSE()),HLOOKUP(D92,PREVVOLS,VLOOKUP(G92,MOVE_DOWN2,2,FALSE()),FALSE()),VLOOKUP(G92,NGPREVPRICES,3,FALSE()),HLOOKUP(D92,Correllate,VLOOKUP(G92,CorMove,2,FALSE()),FALSE()),Q92-$CD$3,R92,$CD$5)*H92-CJ92</f>
        <v>#NAME?</v>
      </c>
      <c r="CE92" s="253" t="e">
        <f aca="false">xSPRDOPT((VLOOKUP(G92,NGPREVPRICES,2,FALSE())+HLOOKUP(D92,PREVCURVES,VLOOKUP(G92,MOVE_DOWN2,2,FALSE()),FALSE())),VLOOKUP(G92,NGPREVPRICES,2,FALSE()),CK92,VLOOKUP(G92,NGPrices,4,FALSE()),HLOOKUP(D92,PREVVOLS,VLOOKUP(G92,MOVE_DOWN2,2,FALSE()),FALSE()),VLOOKUP(G92,NGPREVPRICES,3,FALSE()),HLOOKUP(D92,Correllate,VLOOKUP(G92,CorMove,2,FALSE()),FALSE()),Q92-$CD$3,R92,$CJ$5)*H92-CJ92</f>
        <v>#NAME?</v>
      </c>
      <c r="CF92" s="132" t="e">
        <f aca="false">(CJ92/VLOOKUP(CC92,discount,3,FALSE()))-(CJ92/VLOOKUP(CC92,discount,2,FALSE()))</f>
        <v>#NAME?</v>
      </c>
      <c r="CG92" s="253" t="e">
        <f aca="false">xSPRDOPT((VLOOKUP(G92,NGPREVPRICES,2,FALSE())+HLOOKUP(D92,PREVCURVES,VLOOKUP(G92,MOVE_DOWN2,2,FALSE()),FALSE())),VLOOKUP(G92,NGPREVPRICES,2,FALSE()),CK92,VLOOKUP(G92,NGPREVPRICES,4,FALSE()),HLOOKUP(D92,VOLS,VLOOKUP(G92,move_down,2,FALSE()),FALSE()),VLOOKUP(G92,NGPrices,3,FALSE()),HLOOKUP(D92,Correllate,VLOOKUP(G92,CorMove,2,FALSE()),FALSE()),Q92-$CD$3,R92,$CJ$5)*H92-CJ92</f>
        <v>#NAME?</v>
      </c>
      <c r="CH92" s="253" t="e">
        <f aca="false">xSPRDOPT((VLOOKUP(G92,NGPREVPRICES,2,FALSE())+HLOOKUP(D92,PREVCURVES,VLOOKUP(G92,MOVE_DOWN2,2,FALSE()),FALSE())),VLOOKUP(G92,NGPREVPRICES,2,FALSE()),CK92,VLOOKUP(G92,NGPREVPRICES,4,FALSE()),HLOOKUP(D92,PREVVOLS,VLOOKUP(G92,MOVE_DOWN2,2,FALSE()),FALSE()),VLOOKUP(G92,NGPREVPRICES,3,FALSE()),HLOOKUP(D92,Correllate,VLOOKUP(G92,CorMove,2,FALSE()),FALSE()),Q92-$C$3,R92,$CJ$5)*H92-CJ92</f>
        <v>#NAME?</v>
      </c>
      <c r="CI92" s="253" t="e">
        <f aca="false">SUM(CD92:CH92)</f>
        <v>#NAME?</v>
      </c>
      <c r="CJ92" s="253" t="e">
        <f aca="false">xSPRDOPT((VLOOKUP(G92,NGPREVPRICES,2,FALSE())+HLOOKUP(D92,PREVCURVES,VLOOKUP(G92,MOVE_DOWN2,2,FALSE()),FALSE())),VLOOKUP(G92,NGPREVPRICES,2,FALSE()),CK92,VLOOKUP(G92,NGPREVPRICES,4,FALSE()),HLOOKUP(D92,PREVVOLS,VLOOKUP(G92,MOVE_DOWN2,2,FALSE()),FALSE()),VLOOKUP(G92,NGPREVPRICES,3,FALSE()),HLOOKUP(D92,Correllate,VLOOKUP(G92,CorMove,2,FALSE()),FALSE()),Q92-$CD$3,R92,$CJ$5)*H92</f>
        <v>#NAME?</v>
      </c>
      <c r="CK92" s="254" t="n">
        <f aca="false">I92</f>
        <v>-0.32</v>
      </c>
      <c r="CL92" s="253"/>
      <c r="CM92" s="0" t="str">
        <f aca="false">CONCATENATE(CC92,$CD$6)</f>
        <v>36770Curve Shift/Gamma</v>
      </c>
      <c r="CN92" s="0" t="str">
        <f aca="false">CONCATENATE($CC92,$CE$6)</f>
        <v>36770Rho</v>
      </c>
      <c r="CO92" s="0" t="str">
        <f aca="false">CONCATENATE($CC92,$CF$6)</f>
        <v>36770Drift</v>
      </c>
      <c r="CP92" s="0" t="str">
        <f aca="false">CONCATENATE($CC92,$CG$6)</f>
        <v>36770Vega</v>
      </c>
      <c r="CQ92" s="0" t="str">
        <f aca="false">CONCATENATE($CC92,$CH$6)</f>
        <v>36770Theta</v>
      </c>
    </row>
    <row r="93" customFormat="false" ht="12" hidden="false" customHeight="true" outlineLevel="0" collapsed="false">
      <c r="A93" s="265" t="s">
        <v>198</v>
      </c>
      <c r="B93" s="0" t="s">
        <v>192</v>
      </c>
      <c r="C93" s="0" t="s">
        <v>236</v>
      </c>
      <c r="D93" s="7" t="s">
        <v>151</v>
      </c>
      <c r="E93" s="0" t="s">
        <v>131</v>
      </c>
      <c r="F93" s="0" t="s">
        <v>132</v>
      </c>
      <c r="G93" s="92" t="n">
        <v>36800</v>
      </c>
      <c r="H93" s="248" t="n">
        <v>-500000</v>
      </c>
      <c r="I93" s="0" t="n">
        <v>-0.32</v>
      </c>
      <c r="J93" s="124" t="n">
        <f aca="false">VLOOKUP(G93,NGPrices,2,FALSE())</f>
        <v>4.692</v>
      </c>
      <c r="K93" s="125" t="n">
        <f aca="false">HLOOKUP(D93,Prices,VLOOKUP(G93,move_down,2,FALSE()),FALSE())+VLOOKUP(G93,CHANGE,HLOOKUP(D93,CHANGE,2,FALSE()),FALSE())</f>
        <v>-0.805</v>
      </c>
      <c r="L93" s="124" t="n">
        <f aca="false">K93+J93</f>
        <v>3.887</v>
      </c>
      <c r="M93" s="126" t="n">
        <f aca="false">VLOOKUP(G93,NGPrices,4,FALSE())</f>
        <v>0.068050789414654</v>
      </c>
      <c r="N93" s="7" t="n">
        <f aca="false">VLOOKUP(G93,NGPrices,3,FALSE())</f>
        <v>0.575</v>
      </c>
      <c r="O93" s="7" t="n">
        <f aca="false">HLOOKUP(D93,VOLS,VLOOKUP(G93,move_down,2,FALSE()),FALSE())</f>
        <v>0.552</v>
      </c>
      <c r="P93" s="249" t="n">
        <f aca="false">HLOOKUP(D93,Correllate,VLOOKUP(G93,CorMove,2,FALSE()),FALSE())</f>
        <v>0.84</v>
      </c>
      <c r="Q93" s="92" t="n">
        <f aca="false">WORKDAY(G93,-2)</f>
        <v>36797</v>
      </c>
      <c r="R93" s="7" t="n">
        <f aca="false">IF(F93="P",0,1)</f>
        <v>0</v>
      </c>
      <c r="S93" s="130" t="e">
        <f aca="false">xSPRDOPT($L93,$J93,$I93,$M93,$O93,$N93,$P93,$Q93-$C$3,$R93,0)</f>
        <v>#NAME?</v>
      </c>
      <c r="T93" s="250" t="e">
        <f aca="false">xSPRDOPT($L93,$J93,$I93,$M93,$O93,$N93,$P93,$Q93-$C$3,$R93,1)*H93</f>
        <v>#NAME?</v>
      </c>
      <c r="U93" s="43" t="e">
        <f aca="false">S93*H93</f>
        <v>#NAME?</v>
      </c>
      <c r="V93" s="250" t="e">
        <f aca="false">xSPRDOPT($L93,$J93,$I93,$M93,$O93,$N93,$P93,$Q93-$C$3,$R93,2)*H93</f>
        <v>#NAME?</v>
      </c>
      <c r="W93" s="250" t="e">
        <f aca="false">+V93+T93</f>
        <v>#NAME?</v>
      </c>
      <c r="X93" s="2" t="str">
        <f aca="false">CONCATENATE(G93,D93)</f>
        <v>36800IF-NWPL_ROCKY_M</v>
      </c>
      <c r="Y93" s="251" t="n">
        <f aca="false">H93/10000</f>
        <v>-50</v>
      </c>
      <c r="Z93" s="226" t="e">
        <f aca="false">T93/H93</f>
        <v>#NAME?</v>
      </c>
      <c r="AA93" s="226" t="e">
        <f aca="false">xSPRDOPT($L93,$J93,$I93,$M93,$O93,$N93,$P93,$Q93-$C$3,$R93,3)</f>
        <v>#NAME?</v>
      </c>
      <c r="AB93" s="226" t="e">
        <f aca="false">((xSPRDOPT($L93+AB$5,$J93,$I93,$M93,$O93,$N93,$P93,$Q93-$C$3,$R93,3)*$H93)/10000)/100</f>
        <v>#NAME?</v>
      </c>
      <c r="AC93" s="226" t="e">
        <f aca="false">((xSPRDOPT($L93+$AB$5,$J93,$I93,$M93,$O93,$N93,$P93,$Q93-$C$3,$R93,7)*$H93)/100)</f>
        <v>#NAME?</v>
      </c>
      <c r="AD93" s="226" t="e">
        <f aca="false">(xSPRDOPT($L93+$AB$5,$J93,$I93,$M93,$O93,$N93,$P93,$Q93-$C$3,$R93,9)/365)*$H93</f>
        <v>#NAME?</v>
      </c>
      <c r="AE93" s="0" t="e">
        <f aca="false">CD93</f>
        <v>#NAME?</v>
      </c>
      <c r="AF93" s="226" t="e">
        <f aca="false">((O93/N93)*AH93)+AG93</f>
        <v>#NAME?</v>
      </c>
      <c r="AG93" s="226" t="e">
        <f aca="false">((xSPRDOPT($L93,$J93,$I93,$M93,$O93,$N93,$P93,$Q93-$C$3,$R93,6)*$H93)/100)</f>
        <v>#NAME?</v>
      </c>
      <c r="AH93" s="226" t="e">
        <f aca="false">((xSPRDOPT($L93,$J93,$I93,$M93,$O93,$N93,$P93,$Q93-$C$3,$R93,5)*$H93)/100)</f>
        <v>#NAME?</v>
      </c>
      <c r="AI93" s="226" t="e">
        <f aca="false">(((xSPRDOPT($L93,$J93,$I93,$M93,$O93,$N93,$P93,$Q93-$C$3,$R93,4)*$H93)/10000)/100)-AB93</f>
        <v>#NAME?</v>
      </c>
      <c r="AJ93" s="226"/>
      <c r="AK93" s="226"/>
      <c r="AL93" s="226"/>
      <c r="AM93" s="252"/>
      <c r="AN93" s="208" t="n">
        <f aca="false">EOMONTH(AN92,0)+1</f>
        <v>39356</v>
      </c>
      <c r="AO93" s="134" t="n">
        <f aca="false">SUMIF($X:$X,CONCATENATE($AN93,AO$6),$T:$T)/10000</f>
        <v>0</v>
      </c>
      <c r="AP93" s="134" t="n">
        <f aca="false">SUMIF($X:$X,CONCATENATE($AN93,AP$6),$T:$T)/10000</f>
        <v>0</v>
      </c>
      <c r="AQ93" s="134" t="n">
        <f aca="false">SUMIF($X:$X,CONCATENATE($AN93,AQ$6),$T:$T)/10000</f>
        <v>0</v>
      </c>
      <c r="AR93" s="134" t="n">
        <f aca="false">SUMIF($X:$X,CONCATENATE($AN93,AR$6),$T:$T)/10000</f>
        <v>0</v>
      </c>
      <c r="AS93" s="134" t="n">
        <f aca="false">SUMIF($X:$X,CONCATENATE($AN93,AS$6),$T:$T)/10000</f>
        <v>0</v>
      </c>
      <c r="AT93" s="134" t="n">
        <f aca="false">SUMIF($X:$X,CONCATENATE($AN93,AT$6),$T:$T)/10000</f>
        <v>0</v>
      </c>
      <c r="AU93" s="134" t="n">
        <f aca="false">SUMIF($X:$X,CONCATENATE($AN93,AU$6),$T:$T)/10000</f>
        <v>0</v>
      </c>
      <c r="AV93" s="134" t="n">
        <f aca="false">SUMIF($X:$X,CONCATENATE($AN93,AV$6),$T:$T)/10000</f>
        <v>0</v>
      </c>
      <c r="AW93" s="134" t="n">
        <f aca="false">SUMIF($X:$X,CONCATENATE($AN93,AW$6),$T:$T)/10000</f>
        <v>0</v>
      </c>
      <c r="AX93" s="134" t="n">
        <f aca="false">SUMIF($X:$X,CONCATENATE($AN93,AX$6),$T:$T)/10000</f>
        <v>0</v>
      </c>
      <c r="AY93" s="134" t="n">
        <f aca="false">SUMIF($X:$X,CONCATENATE($AN93,AY$6),$T:$T)/10000</f>
        <v>0</v>
      </c>
      <c r="AZ93" s="134" t="n">
        <f aca="false">SUMIF($X:$X,CONCATENATE($AN93,AZ$6),$T:$T)/10000</f>
        <v>0</v>
      </c>
      <c r="BA93" s="135" t="n">
        <f aca="false">SUMIF($X:$X,CONCATENATE($AN93,BA$6),$T:$T)/10000</f>
        <v>0</v>
      </c>
      <c r="BB93" s="208" t="n">
        <f aca="false">EOMONTH(BB92,0)+1</f>
        <v>39356</v>
      </c>
      <c r="BC93" s="135" t="n">
        <f aca="false">SUM(AO93:BA93)</f>
        <v>0</v>
      </c>
      <c r="BD93" s="2"/>
      <c r="BE93" s="208" t="n">
        <f aca="false">EOMONTH(BE92,0)+1</f>
        <v>39356</v>
      </c>
      <c r="BF93" s="134" t="n">
        <f aca="false">SUMIF($X:$X,CONCATENATE($AN93,BF$6),$W:$W)</f>
        <v>0</v>
      </c>
      <c r="BG93" s="134" t="n">
        <f aca="false">SUMIF($X:$X,CONCATENATE($AN93,BG$6),$W:$W)</f>
        <v>0</v>
      </c>
      <c r="BH93" s="134" t="n">
        <f aca="false">SUMIF($X:$X,CONCATENATE($AN93,BH$6),$W:$W)</f>
        <v>0</v>
      </c>
      <c r="BI93" s="134" t="n">
        <f aca="false">SUMIF($X:$X,CONCATENATE($AN93,BI$6),$W:$W)</f>
        <v>0</v>
      </c>
      <c r="BJ93" s="134" t="n">
        <f aca="false">SUMIF($X:$X,CONCATENATE($AN93,BJ$6),$W:$W)</f>
        <v>0</v>
      </c>
      <c r="BK93" s="134" t="n">
        <f aca="false">SUMIF($X:$X,CONCATENATE($AN93,BK$6),$W:$W)</f>
        <v>0</v>
      </c>
      <c r="BL93" s="134" t="n">
        <f aca="false">SUMIF($X:$X,CONCATENATE($AN93,BL$6),$W:$W)</f>
        <v>0</v>
      </c>
      <c r="BM93" s="134" t="n">
        <f aca="false">SUMIF($X:$X,CONCATENATE($AN93,BM$6),$W:$W)</f>
        <v>0</v>
      </c>
      <c r="BN93" s="134" t="n">
        <f aca="false">SUMIF($X:$X,CONCATENATE($AN93,BN$6),$W:$W)</f>
        <v>0</v>
      </c>
      <c r="BO93" s="134" t="n">
        <f aca="false">SUMIF($X:$X,CONCATENATE($AN93,BO$6),$W:$W)</f>
        <v>0</v>
      </c>
      <c r="BP93" s="134" t="n">
        <f aca="false">SUMIF($X:$X,CONCATENATE($AN93,BP$6),$W:$W)</f>
        <v>0</v>
      </c>
      <c r="BQ93" s="134" t="n">
        <f aca="false">SUMIF($X:$X,CONCATENATE($AN93,BQ$6),$W:$W)</f>
        <v>0</v>
      </c>
      <c r="BR93" s="135" t="n">
        <f aca="false">SUMIF($X:$X,CONCATENATE($AN93,BR$6),$W:$W)</f>
        <v>0</v>
      </c>
      <c r="BS93" s="208" t="n">
        <f aca="false">EOMONTH(BS92,0)+1</f>
        <v>39356</v>
      </c>
      <c r="BT93" s="135" t="n">
        <f aca="false">SUM(BF93:BR93)</f>
        <v>0</v>
      </c>
      <c r="BU93" s="2"/>
      <c r="BV93" s="2"/>
      <c r="BW93" s="2"/>
      <c r="BX93" s="2"/>
      <c r="BY93" s="2"/>
      <c r="BZ93" s="2"/>
      <c r="CA93" s="2"/>
      <c r="CB93" s="2"/>
      <c r="CC93" s="182" t="n">
        <f aca="false">G93</f>
        <v>36800</v>
      </c>
      <c r="CD93" s="253" t="e">
        <f aca="false">xSPRDOPT((VLOOKUP(G93,NGPrices,2,FALSE())+HLOOKUP(D93,Prices,VLOOKUP(G93,move_down,2,FALSE()),FALSE())),VLOOKUP(G93,NGPrices,2,FALSE()),I93,VLOOKUP(G93,NGPREVPRICES,4,FALSE()),HLOOKUP(D93,PREVVOLS,VLOOKUP(G93,MOVE_DOWN2,2,FALSE()),FALSE()),VLOOKUP(G93,NGPREVPRICES,3,FALSE()),HLOOKUP(D93,Correllate,VLOOKUP(G93,CorMove,2,FALSE()),FALSE()),Q93-$CD$3,R93,$CD$5)*H93-CJ93</f>
        <v>#NAME?</v>
      </c>
      <c r="CE93" s="253" t="e">
        <f aca="false">xSPRDOPT((VLOOKUP(G93,NGPREVPRICES,2,FALSE())+HLOOKUP(D93,PREVCURVES,VLOOKUP(G93,MOVE_DOWN2,2,FALSE()),FALSE())),VLOOKUP(G93,NGPREVPRICES,2,FALSE()),CK93,VLOOKUP(G93,NGPrices,4,FALSE()),HLOOKUP(D93,PREVVOLS,VLOOKUP(G93,MOVE_DOWN2,2,FALSE()),FALSE()),VLOOKUP(G93,NGPREVPRICES,3,FALSE()),HLOOKUP(D93,Correllate,VLOOKUP(G93,CorMove,2,FALSE()),FALSE()),Q93-$CD$3,R93,$CJ$5)*H93-CJ93</f>
        <v>#NAME?</v>
      </c>
      <c r="CF93" s="132" t="e">
        <f aca="false">(CJ93/VLOOKUP(CC93,discount,3,FALSE()))-(CJ93/VLOOKUP(CC93,discount,2,FALSE()))</f>
        <v>#NAME?</v>
      </c>
      <c r="CG93" s="253" t="e">
        <f aca="false">xSPRDOPT((VLOOKUP(G93,NGPREVPRICES,2,FALSE())+HLOOKUP(D93,PREVCURVES,VLOOKUP(G93,MOVE_DOWN2,2,FALSE()),FALSE())),VLOOKUP(G93,NGPREVPRICES,2,FALSE()),CK93,VLOOKUP(G93,NGPREVPRICES,4,FALSE()),HLOOKUP(D93,VOLS,VLOOKUP(G93,move_down,2,FALSE()),FALSE()),VLOOKUP(G93,NGPrices,3,FALSE()),HLOOKUP(D93,Correllate,VLOOKUP(G93,CorMove,2,FALSE()),FALSE()),Q93-$CD$3,R93,$CJ$5)*H93-CJ93</f>
        <v>#NAME?</v>
      </c>
      <c r="CH93" s="253" t="e">
        <f aca="false">xSPRDOPT((VLOOKUP(G93,NGPREVPRICES,2,FALSE())+HLOOKUP(D93,PREVCURVES,VLOOKUP(G93,MOVE_DOWN2,2,FALSE()),FALSE())),VLOOKUP(G93,NGPREVPRICES,2,FALSE()),CK93,VLOOKUP(G93,NGPREVPRICES,4,FALSE()),HLOOKUP(D93,PREVVOLS,VLOOKUP(G93,MOVE_DOWN2,2,FALSE()),FALSE()),VLOOKUP(G93,NGPREVPRICES,3,FALSE()),HLOOKUP(D93,Correllate,VLOOKUP(G93,CorMove,2,FALSE()),FALSE()),Q93-$C$3,R93,$CJ$5)*H93-CJ93</f>
        <v>#NAME?</v>
      </c>
      <c r="CI93" s="253" t="e">
        <f aca="false">SUM(CD93:CH93)</f>
        <v>#NAME?</v>
      </c>
      <c r="CJ93" s="253" t="e">
        <f aca="false">xSPRDOPT((VLOOKUP(G93,NGPREVPRICES,2,FALSE())+HLOOKUP(D93,PREVCURVES,VLOOKUP(G93,MOVE_DOWN2,2,FALSE()),FALSE())),VLOOKUP(G93,NGPREVPRICES,2,FALSE()),CK93,VLOOKUP(G93,NGPREVPRICES,4,FALSE()),HLOOKUP(D93,PREVVOLS,VLOOKUP(G93,MOVE_DOWN2,2,FALSE()),FALSE()),VLOOKUP(G93,NGPREVPRICES,3,FALSE()),HLOOKUP(D93,Correllate,VLOOKUP(G93,CorMove,2,FALSE()),FALSE()),Q93-$CD$3,R93,$CJ$5)*H93</f>
        <v>#NAME?</v>
      </c>
      <c r="CK93" s="254" t="n">
        <f aca="false">I93</f>
        <v>-0.32</v>
      </c>
      <c r="CL93" s="253"/>
      <c r="CM93" s="0" t="str">
        <f aca="false">CONCATENATE(CC93,$CD$6)</f>
        <v>36800Curve Shift/Gamma</v>
      </c>
      <c r="CN93" s="0" t="str">
        <f aca="false">CONCATENATE($CC93,$CE$6)</f>
        <v>36800Rho</v>
      </c>
      <c r="CO93" s="0" t="str">
        <f aca="false">CONCATENATE($CC93,$CF$6)</f>
        <v>36800Drift</v>
      </c>
      <c r="CP93" s="0" t="str">
        <f aca="false">CONCATENATE($CC93,$CG$6)</f>
        <v>36800Vega</v>
      </c>
      <c r="CQ93" s="0" t="str">
        <f aca="false">CONCATENATE($CC93,$CH$6)</f>
        <v>36800Theta</v>
      </c>
    </row>
    <row r="94" customFormat="false" ht="12" hidden="false" customHeight="true" outlineLevel="0" collapsed="false">
      <c r="A94" s="265" t="s">
        <v>198</v>
      </c>
      <c r="B94" s="0" t="s">
        <v>192</v>
      </c>
      <c r="C94" s="0" t="s">
        <v>236</v>
      </c>
      <c r="D94" s="7" t="s">
        <v>151</v>
      </c>
      <c r="E94" s="0" t="s">
        <v>131</v>
      </c>
      <c r="F94" s="0" t="s">
        <v>132</v>
      </c>
      <c r="G94" s="92" t="n">
        <v>36770</v>
      </c>
      <c r="H94" s="248" t="n">
        <v>-500000</v>
      </c>
      <c r="I94" s="0" t="n">
        <v>-0.32</v>
      </c>
      <c r="J94" s="124" t="n">
        <f aca="false">VLOOKUP(G94,NGPrices,2,FALSE())</f>
        <v>4.685</v>
      </c>
      <c r="K94" s="125" t="n">
        <f aca="false">HLOOKUP(D94,Prices,VLOOKUP(G94,move_down,2,FALSE()),FALSE())+VLOOKUP(G94,CHANGE,HLOOKUP(D94,CHANGE,2,FALSE()),FALSE())</f>
        <v>-1.24</v>
      </c>
      <c r="L94" s="124" t="n">
        <f aca="false">K94+J94</f>
        <v>3.445</v>
      </c>
      <c r="M94" s="126" t="n">
        <f aca="false">VLOOKUP(G94,NGPrices,4,FALSE())</f>
        <v>0.067216196212185</v>
      </c>
      <c r="N94" s="7" t="n">
        <f aca="false">VLOOKUP(G94,NGPrices,3,FALSE())</f>
        <v>0.4</v>
      </c>
      <c r="O94" s="7" t="n">
        <f aca="false">HLOOKUP(D94,VOLS,VLOOKUP(G94,move_down,2,FALSE()),FALSE())</f>
        <v>0.384</v>
      </c>
      <c r="P94" s="249" t="n">
        <f aca="false">HLOOKUP(D94,Correllate,VLOOKUP(G94,CorMove,2,FALSE()),FALSE())</f>
        <v>0.84</v>
      </c>
      <c r="Q94" s="92" t="n">
        <f aca="false">WORKDAY(G94,-2)</f>
        <v>36768</v>
      </c>
      <c r="R94" s="7" t="n">
        <f aca="false">IF(F94="P",0,1)</f>
        <v>0</v>
      </c>
      <c r="S94" s="130" t="e">
        <f aca="false">xSPRDOPT($L94,$J94,$I94,$M94,$O94,$N94,$P94,$Q94-$C$3,$R94,0)</f>
        <v>#NAME?</v>
      </c>
      <c r="T94" s="250" t="e">
        <f aca="false">xSPRDOPT($L94,$J94,$I94,$M94,$O94,$N94,$P94,$Q94-$C$3,$R94,1)*H94</f>
        <v>#NAME?</v>
      </c>
      <c r="U94" s="43" t="e">
        <f aca="false">S94*H94</f>
        <v>#NAME?</v>
      </c>
      <c r="V94" s="250" t="e">
        <f aca="false">xSPRDOPT($L94,$J94,$I94,$M94,$O94,$N94,$P94,$Q94-$C$3,$R94,2)*H94</f>
        <v>#NAME?</v>
      </c>
      <c r="W94" s="250" t="e">
        <f aca="false">+V94+T94</f>
        <v>#NAME?</v>
      </c>
      <c r="X94" s="2" t="str">
        <f aca="false">CONCATENATE(G94,D94)</f>
        <v>36770IF-NWPL_ROCKY_M</v>
      </c>
      <c r="Y94" s="251" t="n">
        <f aca="false">H94/10000</f>
        <v>-50</v>
      </c>
      <c r="Z94" s="226" t="e">
        <f aca="false">T94/H94</f>
        <v>#NAME?</v>
      </c>
      <c r="AA94" s="226" t="e">
        <f aca="false">xSPRDOPT($L94,$J94,$I94,$M94,$O94,$N94,$P94,$Q94-$C$3,$R94,3)</f>
        <v>#NAME?</v>
      </c>
      <c r="AB94" s="226" t="e">
        <f aca="false">((xSPRDOPT($L94+AB$5,$J94,$I94,$M94,$O94,$N94,$P94,$Q94-$C$3,$R94,3)*$H94)/10000)/100</f>
        <v>#NAME?</v>
      </c>
      <c r="AC94" s="226" t="e">
        <f aca="false">((xSPRDOPT($L94+$AB$5,$J94,$I94,$M94,$O94,$N94,$P94,$Q94-$C$3,$R94,7)*$H94)/100)</f>
        <v>#NAME?</v>
      </c>
      <c r="AD94" s="226" t="e">
        <f aca="false">(xSPRDOPT($L94+$AB$5,$J94,$I94,$M94,$O94,$N94,$P94,$Q94-$C$3,$R94,9)/365)*$H94</f>
        <v>#NAME?</v>
      </c>
      <c r="AE94" s="0" t="e">
        <f aca="false">CD94</f>
        <v>#NAME?</v>
      </c>
      <c r="AF94" s="226" t="e">
        <f aca="false">((O94/N94)*AH94)+AG94</f>
        <v>#NAME?</v>
      </c>
      <c r="AG94" s="226" t="e">
        <f aca="false">((xSPRDOPT($L94,$J94,$I94,$M94,$O94,$N94,$P94,$Q94-$C$3,$R94,6)*$H94)/100)</f>
        <v>#NAME?</v>
      </c>
      <c r="AH94" s="226" t="e">
        <f aca="false">((xSPRDOPT($L94,$J94,$I94,$M94,$O94,$N94,$P94,$Q94-$C$3,$R94,5)*$H94)/100)</f>
        <v>#NAME?</v>
      </c>
      <c r="AI94" s="226" t="e">
        <f aca="false">(((xSPRDOPT($L94,$J94,$I94,$M94,$O94,$N94,$P94,$Q94-$C$3,$R94,4)*$H94)/10000)/100)-AB94</f>
        <v>#NAME?</v>
      </c>
      <c r="AJ94" s="226"/>
      <c r="AK94" s="226"/>
      <c r="AL94" s="226"/>
      <c r="AM94" s="252"/>
      <c r="AN94" s="208" t="n">
        <f aca="false">EOMONTH(AN93,0)+1</f>
        <v>39387</v>
      </c>
      <c r="AO94" s="134" t="n">
        <f aca="false">SUMIF($X:$X,CONCATENATE($AN94,AO$6),$T:$T)/10000</f>
        <v>0</v>
      </c>
      <c r="AP94" s="134" t="n">
        <f aca="false">SUMIF($X:$X,CONCATENATE($AN94,AP$6),$T:$T)/10000</f>
        <v>0</v>
      </c>
      <c r="AQ94" s="134" t="n">
        <f aca="false">SUMIF($X:$X,CONCATENATE($AN94,AQ$6),$T:$T)/10000</f>
        <v>0</v>
      </c>
      <c r="AR94" s="134" t="n">
        <f aca="false">SUMIF($X:$X,CONCATENATE($AN94,AR$6),$T:$T)/10000</f>
        <v>0</v>
      </c>
      <c r="AS94" s="134" t="n">
        <f aca="false">SUMIF($X:$X,CONCATENATE($AN94,AS$6),$T:$T)/10000</f>
        <v>0</v>
      </c>
      <c r="AT94" s="134" t="n">
        <f aca="false">SUMIF($X:$X,CONCATENATE($AN94,AT$6),$T:$T)/10000</f>
        <v>0</v>
      </c>
      <c r="AU94" s="134" t="n">
        <f aca="false">SUMIF($X:$X,CONCATENATE($AN94,AU$6),$T:$T)/10000</f>
        <v>0</v>
      </c>
      <c r="AV94" s="134" t="n">
        <f aca="false">SUMIF($X:$X,CONCATENATE($AN94,AV$6),$T:$T)/10000</f>
        <v>0</v>
      </c>
      <c r="AW94" s="134" t="n">
        <f aca="false">SUMIF($X:$X,CONCATENATE($AN94,AW$6),$T:$T)/10000</f>
        <v>0</v>
      </c>
      <c r="AX94" s="134" t="n">
        <f aca="false">SUMIF($X:$X,CONCATENATE($AN94,AX$6),$T:$T)/10000</f>
        <v>0</v>
      </c>
      <c r="AY94" s="134" t="n">
        <f aca="false">SUMIF($X:$X,CONCATENATE($AN94,AY$6),$T:$T)/10000</f>
        <v>0</v>
      </c>
      <c r="AZ94" s="134" t="n">
        <f aca="false">SUMIF($X:$X,CONCATENATE($AN94,AZ$6),$T:$T)/10000</f>
        <v>0</v>
      </c>
      <c r="BA94" s="135" t="n">
        <f aca="false">SUMIF($X:$X,CONCATENATE($AN94,BA$6),$T:$T)/10000</f>
        <v>0</v>
      </c>
      <c r="BB94" s="208" t="n">
        <f aca="false">EOMONTH(BB93,0)+1</f>
        <v>39387</v>
      </c>
      <c r="BC94" s="135" t="n">
        <f aca="false">SUM(AO94:BA94)</f>
        <v>0</v>
      </c>
      <c r="BD94" s="2"/>
      <c r="BE94" s="208" t="n">
        <f aca="false">EOMONTH(BE93,0)+1</f>
        <v>39387</v>
      </c>
      <c r="BF94" s="134" t="n">
        <f aca="false">SUMIF($X:$X,CONCATENATE($AN94,BF$6),$W:$W)</f>
        <v>0</v>
      </c>
      <c r="BG94" s="134" t="n">
        <f aca="false">SUMIF($X:$X,CONCATENATE($AN94,BG$6),$W:$W)</f>
        <v>0</v>
      </c>
      <c r="BH94" s="134" t="n">
        <f aca="false">SUMIF($X:$X,CONCATENATE($AN94,BH$6),$W:$W)</f>
        <v>0</v>
      </c>
      <c r="BI94" s="134" t="n">
        <f aca="false">SUMIF($X:$X,CONCATENATE($AN94,BI$6),$W:$W)</f>
        <v>0</v>
      </c>
      <c r="BJ94" s="134" t="n">
        <f aca="false">SUMIF($X:$X,CONCATENATE($AN94,BJ$6),$W:$W)</f>
        <v>0</v>
      </c>
      <c r="BK94" s="134" t="n">
        <f aca="false">SUMIF($X:$X,CONCATENATE($AN94,BK$6),$W:$W)</f>
        <v>0</v>
      </c>
      <c r="BL94" s="134" t="n">
        <f aca="false">SUMIF($X:$X,CONCATENATE($AN94,BL$6),$W:$W)</f>
        <v>0</v>
      </c>
      <c r="BM94" s="134" t="n">
        <f aca="false">SUMIF($X:$X,CONCATENATE($AN94,BM$6),$W:$W)</f>
        <v>0</v>
      </c>
      <c r="BN94" s="134" t="n">
        <f aca="false">SUMIF($X:$X,CONCATENATE($AN94,BN$6),$W:$W)</f>
        <v>0</v>
      </c>
      <c r="BO94" s="134" t="n">
        <f aca="false">SUMIF($X:$X,CONCATENATE($AN94,BO$6),$W:$W)</f>
        <v>0</v>
      </c>
      <c r="BP94" s="134" t="n">
        <f aca="false">SUMIF($X:$X,CONCATENATE($AN94,BP$6),$W:$W)</f>
        <v>0</v>
      </c>
      <c r="BQ94" s="134" t="n">
        <f aca="false">SUMIF($X:$X,CONCATENATE($AN94,BQ$6),$W:$W)</f>
        <v>0</v>
      </c>
      <c r="BR94" s="135" t="n">
        <f aca="false">SUMIF($X:$X,CONCATENATE($AN94,BR$6),$W:$W)</f>
        <v>0</v>
      </c>
      <c r="BS94" s="208" t="n">
        <f aca="false">EOMONTH(BS93,0)+1</f>
        <v>39387</v>
      </c>
      <c r="BT94" s="135" t="n">
        <f aca="false">SUM(BF94:BR94)</f>
        <v>0</v>
      </c>
      <c r="BU94" s="2"/>
      <c r="BV94" s="2"/>
      <c r="BW94" s="2"/>
      <c r="BX94" s="2"/>
      <c r="BY94" s="2"/>
      <c r="BZ94" s="2"/>
      <c r="CA94" s="2"/>
      <c r="CB94" s="2"/>
      <c r="CC94" s="182" t="n">
        <f aca="false">G94</f>
        <v>36770</v>
      </c>
      <c r="CD94" s="253" t="e">
        <f aca="false">xSPRDOPT((VLOOKUP(G94,NGPrices,2,FALSE())+HLOOKUP(D94,Prices,VLOOKUP(G94,move_down,2,FALSE()),FALSE())),VLOOKUP(G94,NGPrices,2,FALSE()),I94,VLOOKUP(G94,NGPREVPRICES,4,FALSE()),HLOOKUP(D94,PREVVOLS,VLOOKUP(G94,MOVE_DOWN2,2,FALSE()),FALSE()),VLOOKUP(G94,NGPREVPRICES,3,FALSE()),HLOOKUP(D94,Correllate,VLOOKUP(G94,CorMove,2,FALSE()),FALSE()),Q94-$CD$3,R94,$CD$5)*H94-CJ94</f>
        <v>#NAME?</v>
      </c>
      <c r="CE94" s="253" t="e">
        <f aca="false">xSPRDOPT((VLOOKUP(G94,NGPREVPRICES,2,FALSE())+HLOOKUP(D94,PREVCURVES,VLOOKUP(G94,MOVE_DOWN2,2,FALSE()),FALSE())),VLOOKUP(G94,NGPREVPRICES,2,FALSE()),CK94,VLOOKUP(G94,NGPrices,4,FALSE()),HLOOKUP(D94,PREVVOLS,VLOOKUP(G94,MOVE_DOWN2,2,FALSE()),FALSE()),VLOOKUP(G94,NGPREVPRICES,3,FALSE()),HLOOKUP(D94,Correllate,VLOOKUP(G94,CorMove,2,FALSE()),FALSE()),Q94-$CD$3,R94,$CJ$5)*H94-CJ94</f>
        <v>#NAME?</v>
      </c>
      <c r="CF94" s="132" t="e">
        <f aca="false">(CJ94/VLOOKUP(CC94,discount,3,FALSE()))-(CJ94/VLOOKUP(CC94,discount,2,FALSE()))</f>
        <v>#NAME?</v>
      </c>
      <c r="CG94" s="253" t="e">
        <f aca="false">xSPRDOPT((VLOOKUP(G94,NGPREVPRICES,2,FALSE())+HLOOKUP(D94,PREVCURVES,VLOOKUP(G94,MOVE_DOWN2,2,FALSE()),FALSE())),VLOOKUP(G94,NGPREVPRICES,2,FALSE()),CK94,VLOOKUP(G94,NGPREVPRICES,4,FALSE()),HLOOKUP(D94,VOLS,VLOOKUP(G94,move_down,2,FALSE()),FALSE()),VLOOKUP(G94,NGPrices,3,FALSE()),HLOOKUP(D94,Correllate,VLOOKUP(G94,CorMove,2,FALSE()),FALSE()),Q94-$CD$3,R94,$CJ$5)*H94-CJ94</f>
        <v>#NAME?</v>
      </c>
      <c r="CH94" s="253" t="e">
        <f aca="false">xSPRDOPT((VLOOKUP(G94,NGPREVPRICES,2,FALSE())+HLOOKUP(D94,PREVCURVES,VLOOKUP(G94,MOVE_DOWN2,2,FALSE()),FALSE())),VLOOKUP(G94,NGPREVPRICES,2,FALSE()),CK94,VLOOKUP(G94,NGPREVPRICES,4,FALSE()),HLOOKUP(D94,PREVVOLS,VLOOKUP(G94,MOVE_DOWN2,2,FALSE()),FALSE()),VLOOKUP(G94,NGPREVPRICES,3,FALSE()),HLOOKUP(D94,Correllate,VLOOKUP(G94,CorMove,2,FALSE()),FALSE()),Q94-$C$3,R94,$CJ$5)*H94-CJ94</f>
        <v>#NAME?</v>
      </c>
      <c r="CI94" s="253" t="e">
        <f aca="false">SUM(CD94:CH94)</f>
        <v>#NAME?</v>
      </c>
      <c r="CJ94" s="253" t="e">
        <f aca="false">xSPRDOPT((VLOOKUP(G94,NGPREVPRICES,2,FALSE())+HLOOKUP(D94,PREVCURVES,VLOOKUP(G94,MOVE_DOWN2,2,FALSE()),FALSE())),VLOOKUP(G94,NGPREVPRICES,2,FALSE()),CK94,VLOOKUP(G94,NGPREVPRICES,4,FALSE()),HLOOKUP(D94,PREVVOLS,VLOOKUP(G94,MOVE_DOWN2,2,FALSE()),FALSE()),VLOOKUP(G94,NGPREVPRICES,3,FALSE()),HLOOKUP(D94,Correllate,VLOOKUP(G94,CorMove,2,FALSE()),FALSE()),Q94-$CD$3,R94,$CJ$5)*H94</f>
        <v>#NAME?</v>
      </c>
      <c r="CK94" s="254" t="n">
        <f aca="false">I94</f>
        <v>-0.32</v>
      </c>
      <c r="CL94" s="253"/>
      <c r="CM94" s="0" t="str">
        <f aca="false">CONCATENATE(CC94,$CD$6)</f>
        <v>36770Curve Shift/Gamma</v>
      </c>
      <c r="CN94" s="0" t="str">
        <f aca="false">CONCATENATE($CC94,$CE$6)</f>
        <v>36770Rho</v>
      </c>
      <c r="CO94" s="0" t="str">
        <f aca="false">CONCATENATE($CC94,$CF$6)</f>
        <v>36770Drift</v>
      </c>
      <c r="CP94" s="0" t="str">
        <f aca="false">CONCATENATE($CC94,$CG$6)</f>
        <v>36770Vega</v>
      </c>
      <c r="CQ94" s="0" t="str">
        <f aca="false">CONCATENATE($CC94,$CH$6)</f>
        <v>36770Theta</v>
      </c>
    </row>
    <row r="95" customFormat="false" ht="12" hidden="false" customHeight="true" outlineLevel="0" collapsed="false">
      <c r="A95" s="265" t="s">
        <v>198</v>
      </c>
      <c r="B95" s="0" t="s">
        <v>192</v>
      </c>
      <c r="C95" s="0" t="s">
        <v>237</v>
      </c>
      <c r="D95" s="7" t="s">
        <v>149</v>
      </c>
      <c r="E95" s="0" t="s">
        <v>131</v>
      </c>
      <c r="F95" s="0" t="s">
        <v>136</v>
      </c>
      <c r="G95" s="92" t="n">
        <v>36800</v>
      </c>
      <c r="H95" s="248" t="n">
        <v>-500000</v>
      </c>
      <c r="I95" s="0" t="n">
        <v>0.32</v>
      </c>
      <c r="J95" s="124" t="n">
        <f aca="false">VLOOKUP(G95,NGPrices,2,FALSE())</f>
        <v>4.692</v>
      </c>
      <c r="K95" s="125" t="n">
        <f aca="false">HLOOKUP(D95,Prices,VLOOKUP(G95,move_down,2,FALSE()),FALSE())+VLOOKUP(G95,CHANGE,HLOOKUP(D95,CHANGE,2,FALSE()),FALSE())</f>
        <v>0.415</v>
      </c>
      <c r="L95" s="124" t="n">
        <f aca="false">K95+J95</f>
        <v>5.107</v>
      </c>
      <c r="M95" s="126" t="n">
        <f aca="false">VLOOKUP(G95,NGPrices,4,FALSE())</f>
        <v>0.068050789414654</v>
      </c>
      <c r="N95" s="7" t="n">
        <f aca="false">VLOOKUP(G95,NGPrices,3,FALSE())</f>
        <v>0.575</v>
      </c>
      <c r="O95" s="7" t="n">
        <f aca="false">HLOOKUP(D95,VOLS,VLOOKUP(G95,move_down,2,FALSE()),FALSE())</f>
        <v>0.564</v>
      </c>
      <c r="P95" s="249" t="n">
        <f aca="false">HLOOKUP(D95,Correllate,VLOOKUP(G95,CorMove,2,FALSE()),FALSE())</f>
        <v>0.9925</v>
      </c>
      <c r="Q95" s="92" t="n">
        <f aca="false">WORKDAY(G95,-2)</f>
        <v>36797</v>
      </c>
      <c r="R95" s="7" t="n">
        <f aca="false">IF(F95="P",0,1)</f>
        <v>1</v>
      </c>
      <c r="S95" s="130" t="e">
        <f aca="false">xSPRDOPT($L95,$J95,$I95,$M95,$O95,$N95,$P95,$Q95-$C$3,$R95,0)</f>
        <v>#NAME?</v>
      </c>
      <c r="T95" s="250" t="e">
        <f aca="false">xSPRDOPT($L95,$J95,$I95,$M95,$O95,$N95,$P95,$Q95-$C$3,$R95,1)*H95</f>
        <v>#NAME?</v>
      </c>
      <c r="U95" s="43" t="e">
        <f aca="false">S95*H95</f>
        <v>#NAME?</v>
      </c>
      <c r="V95" s="250" t="e">
        <f aca="false">xSPRDOPT($L95,$J95,$I95,$M95,$O95,$N95,$P95,$Q95-$C$3,$R95,2)*H95</f>
        <v>#NAME?</v>
      </c>
      <c r="W95" s="250" t="e">
        <f aca="false">+V95+T95</f>
        <v>#NAME?</v>
      </c>
      <c r="X95" s="2" t="str">
        <f aca="false">CONCATENATE(G95,D95)</f>
        <v>36800IF-TRANSCO/Z6</v>
      </c>
      <c r="Y95" s="251" t="n">
        <f aca="false">H95/10000</f>
        <v>-50</v>
      </c>
      <c r="Z95" s="226" t="e">
        <f aca="false">T95/H95</f>
        <v>#NAME?</v>
      </c>
      <c r="AA95" s="226" t="e">
        <f aca="false">xSPRDOPT($L95,$J95,$I95,$M95,$O95,$N95,$P95,$Q95-$C$3,$R95,3)</f>
        <v>#NAME?</v>
      </c>
      <c r="AB95" s="226" t="e">
        <f aca="false">((xSPRDOPT($L95+AB$5,$J95,$I95,$M95,$O95,$N95,$P95,$Q95-$C$3,$R95,3)*$H95)/10000)/100</f>
        <v>#NAME?</v>
      </c>
      <c r="AC95" s="226" t="e">
        <f aca="false">((xSPRDOPT($L95+$AB$5,$J95,$I95,$M95,$O95,$N95,$P95,$Q95-$C$3,$R95,7)*$H95)/100)</f>
        <v>#NAME?</v>
      </c>
      <c r="AD95" s="226" t="e">
        <f aca="false">(xSPRDOPT($L95+$AB$5,$J95,$I95,$M95,$O95,$N95,$P95,$Q95-$C$3,$R95,9)/365)*$H95</f>
        <v>#NAME?</v>
      </c>
      <c r="AE95" s="0" t="e">
        <f aca="false">CD95</f>
        <v>#NAME?</v>
      </c>
      <c r="AF95" s="226" t="e">
        <f aca="false">((O95/N95)*AH95)+AG95</f>
        <v>#NAME?</v>
      </c>
      <c r="AG95" s="226" t="e">
        <f aca="false">((xSPRDOPT($L95,$J95,$I95,$M95,$O95,$N95,$P95,$Q95-$C$3,$R95,6)*$H95)/100)</f>
        <v>#NAME?</v>
      </c>
      <c r="AH95" s="226" t="e">
        <f aca="false">((xSPRDOPT($L95,$J95,$I95,$M95,$O95,$N95,$P95,$Q95-$C$3,$R95,5)*$H95)/100)</f>
        <v>#NAME?</v>
      </c>
      <c r="AI95" s="226" t="e">
        <f aca="false">(((xSPRDOPT($L95,$J95,$I95,$M95,$O95,$N95,$P95,$Q95-$C$3,$R95,4)*$H95)/10000)/100)-AB95</f>
        <v>#NAME?</v>
      </c>
      <c r="AJ95" s="226"/>
      <c r="AK95" s="226"/>
      <c r="AL95" s="226"/>
      <c r="AM95" s="252"/>
      <c r="AN95" s="208" t="n">
        <f aca="false">EOMONTH(AN94,0)+1</f>
        <v>39417</v>
      </c>
      <c r="AO95" s="134" t="n">
        <f aca="false">SUMIF($X:$X,CONCATENATE($AN95,AO$6),$T:$T)/10000</f>
        <v>0</v>
      </c>
      <c r="AP95" s="134" t="n">
        <f aca="false">SUMIF($X:$X,CONCATENATE($AN95,AP$6),$T:$T)/10000</f>
        <v>0</v>
      </c>
      <c r="AQ95" s="134" t="n">
        <f aca="false">SUMIF($X:$X,CONCATENATE($AN95,AQ$6),$T:$T)/10000</f>
        <v>0</v>
      </c>
      <c r="AR95" s="134" t="n">
        <f aca="false">SUMIF($X:$X,CONCATENATE($AN95,AR$6),$T:$T)/10000</f>
        <v>0</v>
      </c>
      <c r="AS95" s="134" t="n">
        <f aca="false">SUMIF($X:$X,CONCATENATE($AN95,AS$6),$T:$T)/10000</f>
        <v>0</v>
      </c>
      <c r="AT95" s="134" t="n">
        <f aca="false">SUMIF($X:$X,CONCATENATE($AN95,AT$6),$T:$T)/10000</f>
        <v>0</v>
      </c>
      <c r="AU95" s="134" t="n">
        <f aca="false">SUMIF($X:$X,CONCATENATE($AN95,AU$6),$T:$T)/10000</f>
        <v>0</v>
      </c>
      <c r="AV95" s="134" t="n">
        <f aca="false">SUMIF($X:$X,CONCATENATE($AN95,AV$6),$T:$T)/10000</f>
        <v>0</v>
      </c>
      <c r="AW95" s="134" t="n">
        <f aca="false">SUMIF($X:$X,CONCATENATE($AN95,AW$6),$T:$T)/10000</f>
        <v>0</v>
      </c>
      <c r="AX95" s="134" t="n">
        <f aca="false">SUMIF($X:$X,CONCATENATE($AN95,AX$6),$T:$T)/10000</f>
        <v>0</v>
      </c>
      <c r="AY95" s="134" t="n">
        <f aca="false">SUMIF($X:$X,CONCATENATE($AN95,AY$6),$T:$T)/10000</f>
        <v>0</v>
      </c>
      <c r="AZ95" s="134" t="n">
        <f aca="false">SUMIF($X:$X,CONCATENATE($AN95,AZ$6),$T:$T)/10000</f>
        <v>0</v>
      </c>
      <c r="BA95" s="135" t="n">
        <f aca="false">SUMIF($X:$X,CONCATENATE($AN95,BA$6),$T:$T)/10000</f>
        <v>0</v>
      </c>
      <c r="BB95" s="208" t="n">
        <f aca="false">EOMONTH(BB94,0)+1</f>
        <v>39417</v>
      </c>
      <c r="BC95" s="135" t="n">
        <f aca="false">SUM(AO95:BA95)</f>
        <v>0</v>
      </c>
      <c r="BD95" s="2"/>
      <c r="BE95" s="208" t="n">
        <f aca="false">EOMONTH(BE94,0)+1</f>
        <v>39417</v>
      </c>
      <c r="BF95" s="134" t="n">
        <f aca="false">SUMIF($X:$X,CONCATENATE($AN95,BF$6),$W:$W)</f>
        <v>0</v>
      </c>
      <c r="BG95" s="134" t="n">
        <f aca="false">SUMIF($X:$X,CONCATENATE($AN95,BG$6),$W:$W)</f>
        <v>0</v>
      </c>
      <c r="BH95" s="134" t="n">
        <f aca="false">SUMIF($X:$X,CONCATENATE($AN95,BH$6),$W:$W)</f>
        <v>0</v>
      </c>
      <c r="BI95" s="134" t="n">
        <f aca="false">SUMIF($X:$X,CONCATENATE($AN95,BI$6),$W:$W)</f>
        <v>0</v>
      </c>
      <c r="BJ95" s="134" t="n">
        <f aca="false">SUMIF($X:$X,CONCATENATE($AN95,BJ$6),$W:$W)</f>
        <v>0</v>
      </c>
      <c r="BK95" s="134" t="n">
        <f aca="false">SUMIF($X:$X,CONCATENATE($AN95,BK$6),$W:$W)</f>
        <v>0</v>
      </c>
      <c r="BL95" s="134" t="n">
        <f aca="false">SUMIF($X:$X,CONCATENATE($AN95,BL$6),$W:$W)</f>
        <v>0</v>
      </c>
      <c r="BM95" s="134" t="n">
        <f aca="false">SUMIF($X:$X,CONCATENATE($AN95,BM$6),$W:$W)</f>
        <v>0</v>
      </c>
      <c r="BN95" s="134" t="n">
        <f aca="false">SUMIF($X:$X,CONCATENATE($AN95,BN$6),$W:$W)</f>
        <v>0</v>
      </c>
      <c r="BO95" s="134" t="n">
        <f aca="false">SUMIF($X:$X,CONCATENATE($AN95,BO$6),$W:$W)</f>
        <v>0</v>
      </c>
      <c r="BP95" s="134" t="n">
        <f aca="false">SUMIF($X:$X,CONCATENATE($AN95,BP$6),$W:$W)</f>
        <v>0</v>
      </c>
      <c r="BQ95" s="134" t="n">
        <f aca="false">SUMIF($X:$X,CONCATENATE($AN95,BQ$6),$W:$W)</f>
        <v>0</v>
      </c>
      <c r="BR95" s="135" t="n">
        <f aca="false">SUMIF($X:$X,CONCATENATE($AN95,BR$6),$W:$W)</f>
        <v>0</v>
      </c>
      <c r="BS95" s="208" t="n">
        <f aca="false">EOMONTH(BS94,0)+1</f>
        <v>39417</v>
      </c>
      <c r="BT95" s="135" t="n">
        <f aca="false">SUM(BF95:BR95)</f>
        <v>0</v>
      </c>
      <c r="BU95" s="2"/>
      <c r="BV95" s="2"/>
      <c r="BW95" s="2"/>
      <c r="BX95" s="2"/>
      <c r="BY95" s="2"/>
      <c r="BZ95" s="2"/>
      <c r="CA95" s="2"/>
      <c r="CB95" s="2"/>
      <c r="CC95" s="182" t="n">
        <f aca="false">G95</f>
        <v>36800</v>
      </c>
      <c r="CD95" s="253" t="e">
        <f aca="false">xSPRDOPT((VLOOKUP(G95,NGPrices,2,FALSE())+HLOOKUP(D95,Prices,VLOOKUP(G95,move_down,2,FALSE()),FALSE())),VLOOKUP(G95,NGPrices,2,FALSE()),I95,VLOOKUP(G95,NGPREVPRICES,4,FALSE()),HLOOKUP(D95,PREVVOLS,VLOOKUP(G95,MOVE_DOWN2,2,FALSE()),FALSE()),VLOOKUP(G95,NGPREVPRICES,3,FALSE()),HLOOKUP(D95,Correllate,VLOOKUP(G95,CorMove,2,FALSE()),FALSE()),Q95-$CD$3,R95,$CD$5)*H95-CJ95</f>
        <v>#NAME?</v>
      </c>
      <c r="CE95" s="253" t="e">
        <f aca="false">xSPRDOPT((VLOOKUP(G95,NGPREVPRICES,2,FALSE())+HLOOKUP(D95,PREVCURVES,VLOOKUP(G95,MOVE_DOWN2,2,FALSE()),FALSE())),VLOOKUP(G95,NGPREVPRICES,2,FALSE()),CK95,VLOOKUP(G95,NGPrices,4,FALSE()),HLOOKUP(D95,PREVVOLS,VLOOKUP(G95,MOVE_DOWN2,2,FALSE()),FALSE()),VLOOKUP(G95,NGPREVPRICES,3,FALSE()),HLOOKUP(D95,Correllate,VLOOKUP(G95,CorMove,2,FALSE()),FALSE()),Q95-$CD$3,R95,$CJ$5)*H95-CJ95</f>
        <v>#NAME?</v>
      </c>
      <c r="CF95" s="132" t="e">
        <f aca="false">(CJ95/VLOOKUP(CC95,discount,3,FALSE()))-(CJ95/VLOOKUP(CC95,discount,2,FALSE()))</f>
        <v>#NAME?</v>
      </c>
      <c r="CG95" s="253" t="e">
        <f aca="false">xSPRDOPT((VLOOKUP(G95,NGPREVPRICES,2,FALSE())+HLOOKUP(D95,PREVCURVES,VLOOKUP(G95,MOVE_DOWN2,2,FALSE()),FALSE())),VLOOKUP(G95,NGPREVPRICES,2,FALSE()),CK95,VLOOKUP(G95,NGPREVPRICES,4,FALSE()),HLOOKUP(D95,VOLS,VLOOKUP(G95,move_down,2,FALSE()),FALSE()),VLOOKUP(G95,NGPrices,3,FALSE()),HLOOKUP(D95,Correllate,VLOOKUP(G95,CorMove,2,FALSE()),FALSE()),Q95-$CD$3,R95,$CJ$5)*H95-CJ95</f>
        <v>#NAME?</v>
      </c>
      <c r="CH95" s="253" t="e">
        <f aca="false">xSPRDOPT((VLOOKUP(G95,NGPREVPRICES,2,FALSE())+HLOOKUP(D95,PREVCURVES,VLOOKUP(G95,MOVE_DOWN2,2,FALSE()),FALSE())),VLOOKUP(G95,NGPREVPRICES,2,FALSE()),CK95,VLOOKUP(G95,NGPREVPRICES,4,FALSE()),HLOOKUP(D95,PREVVOLS,VLOOKUP(G95,MOVE_DOWN2,2,FALSE()),FALSE()),VLOOKUP(G95,NGPREVPRICES,3,FALSE()),HLOOKUP(D95,Correllate,VLOOKUP(G95,CorMove,2,FALSE()),FALSE()),Q95-$C$3,R95,$CJ$5)*H95-CJ95</f>
        <v>#NAME?</v>
      </c>
      <c r="CI95" s="253" t="e">
        <f aca="false">SUM(CD95:CH95)</f>
        <v>#NAME?</v>
      </c>
      <c r="CJ95" s="253" t="e">
        <f aca="false">xSPRDOPT((VLOOKUP(G95,NGPREVPRICES,2,FALSE())+HLOOKUP(D95,PREVCURVES,VLOOKUP(G95,MOVE_DOWN2,2,FALSE()),FALSE())),VLOOKUP(G95,NGPREVPRICES,2,FALSE()),CK95,VLOOKUP(G95,NGPREVPRICES,4,FALSE()),HLOOKUP(D95,PREVVOLS,VLOOKUP(G95,MOVE_DOWN2,2,FALSE()),FALSE()),VLOOKUP(G95,NGPREVPRICES,3,FALSE()),HLOOKUP(D95,Correllate,VLOOKUP(G95,CorMove,2,FALSE()),FALSE()),Q95-$CD$3,R95,$CJ$5)*H95</f>
        <v>#NAME?</v>
      </c>
      <c r="CK95" s="254" t="n">
        <f aca="false">I95</f>
        <v>0.32</v>
      </c>
      <c r="CL95" s="253"/>
      <c r="CM95" s="0" t="str">
        <f aca="false">CONCATENATE(CC95,$CD$6)</f>
        <v>36800Curve Shift/Gamma</v>
      </c>
      <c r="CN95" s="0" t="str">
        <f aca="false">CONCATENATE($CC95,$CE$6)</f>
        <v>36800Rho</v>
      </c>
      <c r="CO95" s="0" t="str">
        <f aca="false">CONCATENATE($CC95,$CF$6)</f>
        <v>36800Drift</v>
      </c>
      <c r="CP95" s="0" t="str">
        <f aca="false">CONCATENATE($CC95,$CG$6)</f>
        <v>36800Vega</v>
      </c>
      <c r="CQ95" s="0" t="str">
        <f aca="false">CONCATENATE($CC95,$CH$6)</f>
        <v>36800Theta</v>
      </c>
    </row>
    <row r="96" customFormat="false" ht="12" hidden="false" customHeight="true" outlineLevel="0" collapsed="false">
      <c r="A96" s="265" t="s">
        <v>198</v>
      </c>
      <c r="B96" s="0" t="s">
        <v>192</v>
      </c>
      <c r="C96" s="0" t="s">
        <v>237</v>
      </c>
      <c r="D96" s="7" t="s">
        <v>149</v>
      </c>
      <c r="E96" s="0" t="s">
        <v>131</v>
      </c>
      <c r="F96" s="0" t="s">
        <v>136</v>
      </c>
      <c r="G96" s="92" t="n">
        <v>36770</v>
      </c>
      <c r="H96" s="248" t="n">
        <v>-500000</v>
      </c>
      <c r="I96" s="0" t="n">
        <v>0.32</v>
      </c>
      <c r="J96" s="124" t="n">
        <f aca="false">VLOOKUP(G96,NGPrices,2,FALSE())</f>
        <v>4.685</v>
      </c>
      <c r="K96" s="125" t="n">
        <f aca="false">HLOOKUP(D96,Prices,VLOOKUP(G96,move_down,2,FALSE()),FALSE())+VLOOKUP(G96,CHANGE,HLOOKUP(D96,CHANGE,2,FALSE()),FALSE())</f>
        <v>0.315</v>
      </c>
      <c r="L96" s="124" t="n">
        <f aca="false">K96+J96</f>
        <v>5</v>
      </c>
      <c r="M96" s="126" t="n">
        <f aca="false">VLOOKUP(G96,NGPrices,4,FALSE())</f>
        <v>0.067216196212185</v>
      </c>
      <c r="N96" s="7" t="n">
        <f aca="false">VLOOKUP(G96,NGPrices,3,FALSE())</f>
        <v>0.4</v>
      </c>
      <c r="O96" s="7" t="n">
        <f aca="false">HLOOKUP(D96,VOLS,VLOOKUP(G96,move_down,2,FALSE()),FALSE())</f>
        <v>0.392</v>
      </c>
      <c r="P96" s="249" t="n">
        <f aca="false">HLOOKUP(D96,Correllate,VLOOKUP(G96,CorMove,2,FALSE()),FALSE())</f>
        <v>0.9925</v>
      </c>
      <c r="Q96" s="92" t="n">
        <f aca="false">WORKDAY(G96,-2)</f>
        <v>36768</v>
      </c>
      <c r="R96" s="7" t="n">
        <f aca="false">IF(F96="P",0,1)</f>
        <v>1</v>
      </c>
      <c r="S96" s="130" t="e">
        <f aca="false">xSPRDOPT($L96,$J96,$I96,$M96,$O96,$N96,$P96,$Q96-$C$3,$R96,0)</f>
        <v>#NAME?</v>
      </c>
      <c r="T96" s="250" t="e">
        <f aca="false">xSPRDOPT($L96,$J96,$I96,$M96,$O96,$N96,$P96,$Q96-$C$3,$R96,1)*H96</f>
        <v>#NAME?</v>
      </c>
      <c r="U96" s="43" t="e">
        <f aca="false">S96*H96</f>
        <v>#NAME?</v>
      </c>
      <c r="V96" s="250" t="e">
        <f aca="false">xSPRDOPT($L96,$J96,$I96,$M96,$O96,$N96,$P96,$Q96-$C$3,$R96,2)*H96</f>
        <v>#NAME?</v>
      </c>
      <c r="W96" s="250" t="e">
        <f aca="false">+V96+T96</f>
        <v>#NAME?</v>
      </c>
      <c r="X96" s="2" t="str">
        <f aca="false">CONCATENATE(G96,D96)</f>
        <v>36770IF-TRANSCO/Z6</v>
      </c>
      <c r="Y96" s="251" t="n">
        <f aca="false">H96/10000</f>
        <v>-50</v>
      </c>
      <c r="Z96" s="226" t="e">
        <f aca="false">T96/H96</f>
        <v>#NAME?</v>
      </c>
      <c r="AA96" s="226" t="e">
        <f aca="false">xSPRDOPT($L96,$J96,$I96,$M96,$O96,$N96,$P96,$Q96-$C$3,$R96,3)</f>
        <v>#NAME?</v>
      </c>
      <c r="AB96" s="226" t="e">
        <f aca="false">((xSPRDOPT($L96+AB$5,$J96,$I96,$M96,$O96,$N96,$P96,$Q96-$C$3,$R96,3)*$H96)/10000)/100</f>
        <v>#NAME?</v>
      </c>
      <c r="AC96" s="226" t="e">
        <f aca="false">((xSPRDOPT($L96+$AB$5,$J96,$I96,$M96,$O96,$N96,$P96,$Q96-$C$3,$R96,7)*$H96)/100)</f>
        <v>#NAME?</v>
      </c>
      <c r="AD96" s="226" t="e">
        <f aca="false">(xSPRDOPT($L96+$AB$5,$J96,$I96,$M96,$O96,$N96,$P96,$Q96-$C$3,$R96,9)/365)*$H96</f>
        <v>#NAME?</v>
      </c>
      <c r="AE96" s="0" t="e">
        <f aca="false">CD96</f>
        <v>#NAME?</v>
      </c>
      <c r="AF96" s="226" t="e">
        <f aca="false">((O96/N96)*AH96)+AG96</f>
        <v>#NAME?</v>
      </c>
      <c r="AG96" s="226" t="e">
        <f aca="false">((xSPRDOPT($L96,$J96,$I96,$M96,$O96,$N96,$P96,$Q96-$C$3,$R96,6)*$H96)/100)</f>
        <v>#NAME?</v>
      </c>
      <c r="AH96" s="226" t="e">
        <f aca="false">((xSPRDOPT($L96,$J96,$I96,$M96,$O96,$N96,$P96,$Q96-$C$3,$R96,5)*$H96)/100)</f>
        <v>#NAME?</v>
      </c>
      <c r="AI96" s="226" t="e">
        <f aca="false">(((xSPRDOPT($L96,$J96,$I96,$M96,$O96,$N96,$P96,$Q96-$C$3,$R96,4)*$H96)/10000)/100)-AB96</f>
        <v>#NAME?</v>
      </c>
      <c r="AJ96" s="226"/>
      <c r="AK96" s="226"/>
      <c r="AL96" s="226"/>
      <c r="AM96" s="252"/>
      <c r="AN96" s="208" t="n">
        <f aca="false">EOMONTH(AN95,0)+1</f>
        <v>39448</v>
      </c>
      <c r="AO96" s="134" t="n">
        <f aca="false">SUMIF($X:$X,CONCATENATE($AN96,AO$6),$T:$T)/10000</f>
        <v>0</v>
      </c>
      <c r="AP96" s="134" t="n">
        <f aca="false">SUMIF($X:$X,CONCATENATE($AN96,AP$6),$T:$T)/10000</f>
        <v>0</v>
      </c>
      <c r="AQ96" s="134" t="n">
        <f aca="false">SUMIF($X:$X,CONCATENATE($AN96,AQ$6),$T:$T)/10000</f>
        <v>0</v>
      </c>
      <c r="AR96" s="134" t="n">
        <f aca="false">SUMIF($X:$X,CONCATENATE($AN96,AR$6),$T:$T)/10000</f>
        <v>0</v>
      </c>
      <c r="AS96" s="134" t="n">
        <f aca="false">SUMIF($X:$X,CONCATENATE($AN96,AS$6),$T:$T)/10000</f>
        <v>0</v>
      </c>
      <c r="AT96" s="134" t="n">
        <f aca="false">SUMIF($X:$X,CONCATENATE($AN96,AT$6),$T:$T)/10000</f>
        <v>0</v>
      </c>
      <c r="AU96" s="134" t="n">
        <f aca="false">SUMIF($X:$X,CONCATENATE($AN96,AU$6),$T:$T)/10000</f>
        <v>0</v>
      </c>
      <c r="AV96" s="134" t="n">
        <f aca="false">SUMIF($X:$X,CONCATENATE($AN96,AV$6),$T:$T)/10000</f>
        <v>0</v>
      </c>
      <c r="AW96" s="134" t="n">
        <f aca="false">SUMIF($X:$X,CONCATENATE($AN96,AW$6),$T:$T)/10000</f>
        <v>0</v>
      </c>
      <c r="AX96" s="134" t="n">
        <f aca="false">SUMIF($X:$X,CONCATENATE($AN96,AX$6),$T:$T)/10000</f>
        <v>0</v>
      </c>
      <c r="AY96" s="134" t="n">
        <f aca="false">SUMIF($X:$X,CONCATENATE($AN96,AY$6),$T:$T)/10000</f>
        <v>0</v>
      </c>
      <c r="AZ96" s="134" t="n">
        <f aca="false">SUMIF($X:$X,CONCATENATE($AN96,AZ$6),$T:$T)/10000</f>
        <v>0</v>
      </c>
      <c r="BA96" s="135" t="n">
        <f aca="false">SUMIF($X:$X,CONCATENATE($AN96,BA$6),$T:$T)/10000</f>
        <v>0</v>
      </c>
      <c r="BB96" s="208" t="n">
        <f aca="false">EOMONTH(BB95,0)+1</f>
        <v>39448</v>
      </c>
      <c r="BC96" s="135" t="n">
        <f aca="false">SUM(AO96:BA96)</f>
        <v>0</v>
      </c>
      <c r="BD96" s="2"/>
      <c r="BE96" s="208" t="n">
        <f aca="false">EOMONTH(BE95,0)+1</f>
        <v>39448</v>
      </c>
      <c r="BF96" s="134" t="n">
        <f aca="false">SUMIF($X:$X,CONCATENATE($AN96,BF$6),$W:$W)</f>
        <v>0</v>
      </c>
      <c r="BG96" s="134" t="n">
        <f aca="false">SUMIF($X:$X,CONCATENATE($AN96,BG$6),$W:$W)</f>
        <v>0</v>
      </c>
      <c r="BH96" s="134" t="n">
        <f aca="false">SUMIF($X:$X,CONCATENATE($AN96,BH$6),$W:$W)</f>
        <v>0</v>
      </c>
      <c r="BI96" s="134" t="n">
        <f aca="false">SUMIF($X:$X,CONCATENATE($AN96,BI$6),$W:$W)</f>
        <v>0</v>
      </c>
      <c r="BJ96" s="134" t="n">
        <f aca="false">SUMIF($X:$X,CONCATENATE($AN96,BJ$6),$W:$W)</f>
        <v>0</v>
      </c>
      <c r="BK96" s="134" t="n">
        <f aca="false">SUMIF($X:$X,CONCATENATE($AN96,BK$6),$W:$W)</f>
        <v>0</v>
      </c>
      <c r="BL96" s="134" t="n">
        <f aca="false">SUMIF($X:$X,CONCATENATE($AN96,BL$6),$W:$W)</f>
        <v>0</v>
      </c>
      <c r="BM96" s="134" t="n">
        <f aca="false">SUMIF($X:$X,CONCATENATE($AN96,BM$6),$W:$W)</f>
        <v>0</v>
      </c>
      <c r="BN96" s="134" t="n">
        <f aca="false">SUMIF($X:$X,CONCATENATE($AN96,BN$6),$W:$W)</f>
        <v>0</v>
      </c>
      <c r="BO96" s="134" t="n">
        <f aca="false">SUMIF($X:$X,CONCATENATE($AN96,BO$6),$W:$W)</f>
        <v>0</v>
      </c>
      <c r="BP96" s="134" t="n">
        <f aca="false">SUMIF($X:$X,CONCATENATE($AN96,BP$6),$W:$W)</f>
        <v>0</v>
      </c>
      <c r="BQ96" s="134" t="n">
        <f aca="false">SUMIF($X:$X,CONCATENATE($AN96,BQ$6),$W:$W)</f>
        <v>0</v>
      </c>
      <c r="BR96" s="135" t="n">
        <f aca="false">SUMIF($X:$X,CONCATENATE($AN96,BR$6),$W:$W)</f>
        <v>0</v>
      </c>
      <c r="BS96" s="208" t="n">
        <f aca="false">EOMONTH(BS95,0)+1</f>
        <v>39448</v>
      </c>
      <c r="BT96" s="135" t="n">
        <f aca="false">SUM(BF96:BR96)</f>
        <v>0</v>
      </c>
      <c r="BU96" s="2"/>
      <c r="BV96" s="2"/>
      <c r="BW96" s="2"/>
      <c r="BX96" s="2"/>
      <c r="BY96" s="2"/>
      <c r="BZ96" s="2"/>
      <c r="CA96" s="2"/>
      <c r="CB96" s="2"/>
      <c r="CC96" s="182" t="n">
        <f aca="false">G96</f>
        <v>36770</v>
      </c>
      <c r="CD96" s="253" t="e">
        <f aca="false">xSPRDOPT((VLOOKUP(G96,NGPrices,2,FALSE())+HLOOKUP(D96,Prices,VLOOKUP(G96,move_down,2,FALSE()),FALSE())),VLOOKUP(G96,NGPrices,2,FALSE()),I96,VLOOKUP(G96,NGPREVPRICES,4,FALSE()),HLOOKUP(D96,PREVVOLS,VLOOKUP(G96,MOVE_DOWN2,2,FALSE()),FALSE()),VLOOKUP(G96,NGPREVPRICES,3,FALSE()),HLOOKUP(D96,Correllate,VLOOKUP(G96,CorMove,2,FALSE()),FALSE()),Q96-$CD$3,R96,$CD$5)*H96-CJ96</f>
        <v>#NAME?</v>
      </c>
      <c r="CE96" s="253" t="e">
        <f aca="false">xSPRDOPT((VLOOKUP(G96,NGPREVPRICES,2,FALSE())+HLOOKUP(D96,PREVCURVES,VLOOKUP(G96,MOVE_DOWN2,2,FALSE()),FALSE())),VLOOKUP(G96,NGPREVPRICES,2,FALSE()),CK96,VLOOKUP(G96,NGPrices,4,FALSE()),HLOOKUP(D96,PREVVOLS,VLOOKUP(G96,MOVE_DOWN2,2,FALSE()),FALSE()),VLOOKUP(G96,NGPREVPRICES,3,FALSE()),HLOOKUP(D96,Correllate,VLOOKUP(G96,CorMove,2,FALSE()),FALSE()),Q96-$CD$3,R96,$CJ$5)*H96-CJ96</f>
        <v>#NAME?</v>
      </c>
      <c r="CF96" s="132" t="e">
        <f aca="false">(CJ96/VLOOKUP(CC96,discount,3,FALSE()))-(CJ96/VLOOKUP(CC96,discount,2,FALSE()))</f>
        <v>#NAME?</v>
      </c>
      <c r="CG96" s="253" t="e">
        <f aca="false">xSPRDOPT((VLOOKUP(G96,NGPREVPRICES,2,FALSE())+HLOOKUP(D96,PREVCURVES,VLOOKUP(G96,MOVE_DOWN2,2,FALSE()),FALSE())),VLOOKUP(G96,NGPREVPRICES,2,FALSE()),CK96,VLOOKUP(G96,NGPREVPRICES,4,FALSE()),HLOOKUP(D96,VOLS,VLOOKUP(G96,move_down,2,FALSE()),FALSE()),VLOOKUP(G96,NGPrices,3,FALSE()),HLOOKUP(D96,Correllate,VLOOKUP(G96,CorMove,2,FALSE()),FALSE()),Q96-$CD$3,R96,$CJ$5)*H96-CJ96</f>
        <v>#NAME?</v>
      </c>
      <c r="CH96" s="253" t="e">
        <f aca="false">xSPRDOPT((VLOOKUP(G96,NGPREVPRICES,2,FALSE())+HLOOKUP(D96,PREVCURVES,VLOOKUP(G96,MOVE_DOWN2,2,FALSE()),FALSE())),VLOOKUP(G96,NGPREVPRICES,2,FALSE()),CK96,VLOOKUP(G96,NGPREVPRICES,4,FALSE()),HLOOKUP(D96,PREVVOLS,VLOOKUP(G96,MOVE_DOWN2,2,FALSE()),FALSE()),VLOOKUP(G96,NGPREVPRICES,3,FALSE()),HLOOKUP(D96,Correllate,VLOOKUP(G96,CorMove,2,FALSE()),FALSE()),Q96-$C$3,R96,$CJ$5)*H96-CJ96</f>
        <v>#NAME?</v>
      </c>
      <c r="CI96" s="253" t="e">
        <f aca="false">SUM(CD96:CH96)</f>
        <v>#NAME?</v>
      </c>
      <c r="CJ96" s="253" t="e">
        <f aca="false">xSPRDOPT((VLOOKUP(G96,NGPREVPRICES,2,FALSE())+HLOOKUP(D96,PREVCURVES,VLOOKUP(G96,MOVE_DOWN2,2,FALSE()),FALSE())),VLOOKUP(G96,NGPREVPRICES,2,FALSE()),CK96,VLOOKUP(G96,NGPREVPRICES,4,FALSE()),HLOOKUP(D96,PREVVOLS,VLOOKUP(G96,MOVE_DOWN2,2,FALSE()),FALSE()),VLOOKUP(G96,NGPREVPRICES,3,FALSE()),HLOOKUP(D96,Correllate,VLOOKUP(G96,CorMove,2,FALSE()),FALSE()),Q96-$CD$3,R96,$CJ$5)*H96</f>
        <v>#NAME?</v>
      </c>
      <c r="CK96" s="254" t="n">
        <f aca="false">I96</f>
        <v>0.32</v>
      </c>
      <c r="CL96" s="253"/>
      <c r="CM96" s="0" t="str">
        <f aca="false">CONCATENATE(CC96,$CD$6)</f>
        <v>36770Curve Shift/Gamma</v>
      </c>
      <c r="CN96" s="0" t="str">
        <f aca="false">CONCATENATE($CC96,$CE$6)</f>
        <v>36770Rho</v>
      </c>
      <c r="CO96" s="0" t="str">
        <f aca="false">CONCATENATE($CC96,$CF$6)</f>
        <v>36770Drift</v>
      </c>
      <c r="CP96" s="0" t="str">
        <f aca="false">CONCATENATE($CC96,$CG$6)</f>
        <v>36770Vega</v>
      </c>
      <c r="CQ96" s="0" t="str">
        <f aca="false">CONCATENATE($CC96,$CH$6)</f>
        <v>36770Theta</v>
      </c>
    </row>
    <row r="97" customFormat="false" ht="12" hidden="false" customHeight="true" outlineLevel="0" collapsed="false">
      <c r="A97" s="265" t="s">
        <v>198</v>
      </c>
      <c r="B97" s="0" t="s">
        <v>192</v>
      </c>
      <c r="C97" s="0" t="s">
        <v>238</v>
      </c>
      <c r="D97" s="7" t="s">
        <v>149</v>
      </c>
      <c r="E97" s="0" t="s">
        <v>131</v>
      </c>
      <c r="F97" s="0" t="s">
        <v>132</v>
      </c>
      <c r="G97" s="92" t="n">
        <v>36800</v>
      </c>
      <c r="H97" s="248" t="n">
        <v>-500000</v>
      </c>
      <c r="I97" s="0" t="n">
        <v>0.32</v>
      </c>
      <c r="J97" s="124" t="n">
        <f aca="false">VLOOKUP(G97,NGPrices,2,FALSE())</f>
        <v>4.692</v>
      </c>
      <c r="K97" s="125" t="n">
        <f aca="false">HLOOKUP(D97,Prices,VLOOKUP(G97,move_down,2,FALSE()),FALSE())+VLOOKUP(G97,CHANGE,HLOOKUP(D97,CHANGE,2,FALSE()),FALSE())</f>
        <v>0.415</v>
      </c>
      <c r="L97" s="124" t="n">
        <f aca="false">K97+J97</f>
        <v>5.107</v>
      </c>
      <c r="M97" s="126" t="n">
        <f aca="false">VLOOKUP(G97,NGPrices,4,FALSE())</f>
        <v>0.068050789414654</v>
      </c>
      <c r="N97" s="7" t="n">
        <f aca="false">VLOOKUP(G97,NGPrices,3,FALSE())</f>
        <v>0.575</v>
      </c>
      <c r="O97" s="7" t="n">
        <f aca="false">HLOOKUP(D97,VOLS,VLOOKUP(G97,move_down,2,FALSE()),FALSE())</f>
        <v>0.564</v>
      </c>
      <c r="P97" s="249" t="n">
        <f aca="false">HLOOKUP(D97,Correllate,VLOOKUP(G97,CorMove,2,FALSE()),FALSE())</f>
        <v>0.9925</v>
      </c>
      <c r="Q97" s="92" t="n">
        <f aca="false">WORKDAY(G97,-2)</f>
        <v>36797</v>
      </c>
      <c r="R97" s="7" t="n">
        <f aca="false">IF(F97="P",0,1)</f>
        <v>0</v>
      </c>
      <c r="S97" s="130" t="e">
        <f aca="false">xSPRDOPT($L97,$J97,$I97,$M97,$O97,$N97,$P97,$Q97-$C$3,$R97,0)</f>
        <v>#NAME?</v>
      </c>
      <c r="T97" s="250" t="e">
        <f aca="false">xSPRDOPT($L97,$J97,$I97,$M97,$O97,$N97,$P97,$Q97-$C$3,$R97,1)*H97</f>
        <v>#NAME?</v>
      </c>
      <c r="U97" s="43" t="e">
        <f aca="false">S97*H97</f>
        <v>#NAME?</v>
      </c>
      <c r="V97" s="250" t="e">
        <f aca="false">xSPRDOPT($L97,$J97,$I97,$M97,$O97,$N97,$P97,$Q97-$C$3,$R97,2)*H97</f>
        <v>#NAME?</v>
      </c>
      <c r="W97" s="250" t="e">
        <f aca="false">+V97+T97</f>
        <v>#NAME?</v>
      </c>
      <c r="X97" s="2" t="str">
        <f aca="false">CONCATENATE(G97,D97)</f>
        <v>36800IF-TRANSCO/Z6</v>
      </c>
      <c r="Y97" s="251" t="n">
        <f aca="false">H97/10000</f>
        <v>-50</v>
      </c>
      <c r="Z97" s="226" t="e">
        <f aca="false">T97/H97</f>
        <v>#NAME?</v>
      </c>
      <c r="AA97" s="226" t="e">
        <f aca="false">xSPRDOPT($L97,$J97,$I97,$M97,$O97,$N97,$P97,$Q97-$C$3,$R97,3)</f>
        <v>#NAME?</v>
      </c>
      <c r="AB97" s="226" t="e">
        <f aca="false">((xSPRDOPT($L97+AB$5,$J97,$I97,$M97,$O97,$N97,$P97,$Q97-$C$3,$R97,3)*$H97)/10000)/100</f>
        <v>#NAME?</v>
      </c>
      <c r="AC97" s="226" t="e">
        <f aca="false">((xSPRDOPT($L97+$AB$5,$J97,$I97,$M97,$O97,$N97,$P97,$Q97-$C$3,$R97,7)*$H97)/100)</f>
        <v>#NAME?</v>
      </c>
      <c r="AD97" s="226" t="e">
        <f aca="false">(xSPRDOPT($L97+$AB$5,$J97,$I97,$M97,$O97,$N97,$P97,$Q97-$C$3,$R97,9)/365)*$H97</f>
        <v>#NAME?</v>
      </c>
      <c r="AE97" s="0" t="e">
        <f aca="false">CD97</f>
        <v>#NAME?</v>
      </c>
      <c r="AF97" s="226" t="e">
        <f aca="false">((O97/N97)*AH97)+AG97</f>
        <v>#NAME?</v>
      </c>
      <c r="AG97" s="226" t="e">
        <f aca="false">((xSPRDOPT($L97,$J97,$I97,$M97,$O97,$N97,$P97,$Q97-$C$3,$R97,6)*$H97)/100)</f>
        <v>#NAME?</v>
      </c>
      <c r="AH97" s="226" t="e">
        <f aca="false">((xSPRDOPT($L97,$J97,$I97,$M97,$O97,$N97,$P97,$Q97-$C$3,$R97,5)*$H97)/100)</f>
        <v>#NAME?</v>
      </c>
      <c r="AI97" s="226" t="e">
        <f aca="false">(((xSPRDOPT($L97,$J97,$I97,$M97,$O97,$N97,$P97,$Q97-$C$3,$R97,4)*$H97)/10000)/100)-AB97</f>
        <v>#NAME?</v>
      </c>
      <c r="AJ97" s="226"/>
      <c r="AK97" s="226"/>
      <c r="AL97" s="226"/>
      <c r="AM97" s="252"/>
      <c r="AN97" s="208" t="n">
        <f aca="false">EOMONTH(AN96,0)+1</f>
        <v>39479</v>
      </c>
      <c r="AO97" s="134" t="n">
        <f aca="false">SUMIF($X:$X,CONCATENATE($AN97,AO$6),$T:$T)/10000</f>
        <v>0</v>
      </c>
      <c r="AP97" s="134" t="n">
        <f aca="false">SUMIF($X:$X,CONCATENATE($AN97,AP$6),$T:$T)/10000</f>
        <v>0</v>
      </c>
      <c r="AQ97" s="134" t="n">
        <f aca="false">SUMIF($X:$X,CONCATENATE($AN97,AQ$6),$T:$T)/10000</f>
        <v>0</v>
      </c>
      <c r="AR97" s="134" t="n">
        <f aca="false">SUMIF($X:$X,CONCATENATE($AN97,AR$6),$T:$T)/10000</f>
        <v>0</v>
      </c>
      <c r="AS97" s="134" t="n">
        <f aca="false">SUMIF($X:$X,CONCATENATE($AN97,AS$6),$T:$T)/10000</f>
        <v>0</v>
      </c>
      <c r="AT97" s="134" t="n">
        <f aca="false">SUMIF($X:$X,CONCATENATE($AN97,AT$6),$T:$T)/10000</f>
        <v>0</v>
      </c>
      <c r="AU97" s="134" t="n">
        <f aca="false">SUMIF($X:$X,CONCATENATE($AN97,AU$6),$T:$T)/10000</f>
        <v>0</v>
      </c>
      <c r="AV97" s="134" t="n">
        <f aca="false">SUMIF($X:$X,CONCATENATE($AN97,AV$6),$T:$T)/10000</f>
        <v>0</v>
      </c>
      <c r="AW97" s="134" t="n">
        <f aca="false">SUMIF($X:$X,CONCATENATE($AN97,AW$6),$T:$T)/10000</f>
        <v>0</v>
      </c>
      <c r="AX97" s="134" t="n">
        <f aca="false">SUMIF($X:$X,CONCATENATE($AN97,AX$6),$T:$T)/10000</f>
        <v>0</v>
      </c>
      <c r="AY97" s="134" t="n">
        <f aca="false">SUMIF($X:$X,CONCATENATE($AN97,AY$6),$T:$T)/10000</f>
        <v>0</v>
      </c>
      <c r="AZ97" s="134" t="n">
        <f aca="false">SUMIF($X:$X,CONCATENATE($AN97,AZ$6),$T:$T)/10000</f>
        <v>0</v>
      </c>
      <c r="BA97" s="135" t="n">
        <f aca="false">SUMIF($X:$X,CONCATENATE($AN97,BA$6),$T:$T)/10000</f>
        <v>0</v>
      </c>
      <c r="BB97" s="208" t="n">
        <f aca="false">EOMONTH(BB96,0)+1</f>
        <v>39479</v>
      </c>
      <c r="BC97" s="135" t="n">
        <f aca="false">SUM(AO97:BA97)</f>
        <v>0</v>
      </c>
      <c r="BD97" s="2"/>
      <c r="BE97" s="208" t="n">
        <f aca="false">EOMONTH(BE96,0)+1</f>
        <v>39479</v>
      </c>
      <c r="BF97" s="134" t="n">
        <f aca="false">SUMIF($X:$X,CONCATENATE($AN97,BF$6),$W:$W)</f>
        <v>0</v>
      </c>
      <c r="BG97" s="134" t="n">
        <f aca="false">SUMIF($X:$X,CONCATENATE($AN97,BG$6),$W:$W)</f>
        <v>0</v>
      </c>
      <c r="BH97" s="134" t="n">
        <f aca="false">SUMIF($X:$X,CONCATENATE($AN97,BH$6),$W:$W)</f>
        <v>0</v>
      </c>
      <c r="BI97" s="134" t="n">
        <f aca="false">SUMIF($X:$X,CONCATENATE($AN97,BI$6),$W:$W)</f>
        <v>0</v>
      </c>
      <c r="BJ97" s="134" t="n">
        <f aca="false">SUMIF($X:$X,CONCATENATE($AN97,BJ$6),$W:$W)</f>
        <v>0</v>
      </c>
      <c r="BK97" s="134" t="n">
        <f aca="false">SUMIF($X:$X,CONCATENATE($AN97,BK$6),$W:$W)</f>
        <v>0</v>
      </c>
      <c r="BL97" s="134" t="n">
        <f aca="false">SUMIF($X:$X,CONCATENATE($AN97,BL$6),$W:$W)</f>
        <v>0</v>
      </c>
      <c r="BM97" s="134" t="n">
        <f aca="false">SUMIF($X:$X,CONCATENATE($AN97,BM$6),$W:$W)</f>
        <v>0</v>
      </c>
      <c r="BN97" s="134" t="n">
        <f aca="false">SUMIF($X:$X,CONCATENATE($AN97,BN$6),$W:$W)</f>
        <v>0</v>
      </c>
      <c r="BO97" s="134" t="n">
        <f aca="false">SUMIF($X:$X,CONCATENATE($AN97,BO$6),$W:$W)</f>
        <v>0</v>
      </c>
      <c r="BP97" s="134" t="n">
        <f aca="false">SUMIF($X:$X,CONCATENATE($AN97,BP$6),$W:$W)</f>
        <v>0</v>
      </c>
      <c r="BQ97" s="134" t="n">
        <f aca="false">SUMIF($X:$X,CONCATENATE($AN97,BQ$6),$W:$W)</f>
        <v>0</v>
      </c>
      <c r="BR97" s="135" t="n">
        <f aca="false">SUMIF($X:$X,CONCATENATE($AN97,BR$6),$W:$W)</f>
        <v>0</v>
      </c>
      <c r="BS97" s="208" t="n">
        <f aca="false">EOMONTH(BS96,0)+1</f>
        <v>39479</v>
      </c>
      <c r="BT97" s="135" t="n">
        <f aca="false">SUM(BF97:BR97)</f>
        <v>0</v>
      </c>
      <c r="BU97" s="2"/>
      <c r="BV97" s="2"/>
      <c r="BW97" s="2"/>
      <c r="BX97" s="2"/>
      <c r="BY97" s="2"/>
      <c r="BZ97" s="2"/>
      <c r="CA97" s="2"/>
      <c r="CB97" s="2"/>
      <c r="CC97" s="182" t="n">
        <f aca="false">G97</f>
        <v>36800</v>
      </c>
      <c r="CD97" s="253" t="e">
        <f aca="false">xSPRDOPT((VLOOKUP(G97,NGPrices,2,FALSE())+HLOOKUP(D97,Prices,VLOOKUP(G97,move_down,2,FALSE()),FALSE())),VLOOKUP(G97,NGPrices,2,FALSE()),I97,VLOOKUP(G97,NGPREVPRICES,4,FALSE()),HLOOKUP(D97,PREVVOLS,VLOOKUP(G97,MOVE_DOWN2,2,FALSE()),FALSE()),VLOOKUP(G97,NGPREVPRICES,3,FALSE()),HLOOKUP(D97,Correllate,VLOOKUP(G97,CorMove,2,FALSE()),FALSE()),Q97-$CD$3,R97,$CD$5)*H97-CJ97</f>
        <v>#NAME?</v>
      </c>
      <c r="CE97" s="253" t="e">
        <f aca="false">xSPRDOPT((VLOOKUP(G97,NGPREVPRICES,2,FALSE())+HLOOKUP(D97,PREVCURVES,VLOOKUP(G97,MOVE_DOWN2,2,FALSE()),FALSE())),VLOOKUP(G97,NGPREVPRICES,2,FALSE()),CK97,VLOOKUP(G97,NGPrices,4,FALSE()),HLOOKUP(D97,PREVVOLS,VLOOKUP(G97,MOVE_DOWN2,2,FALSE()),FALSE()),VLOOKUP(G97,NGPREVPRICES,3,FALSE()),HLOOKUP(D97,Correllate,VLOOKUP(G97,CorMove,2,FALSE()),FALSE()),Q97-$CD$3,R97,$CJ$5)*H97-CJ97</f>
        <v>#NAME?</v>
      </c>
      <c r="CF97" s="132" t="e">
        <f aca="false">(CJ97/VLOOKUP(CC97,discount,3,FALSE()))-(CJ97/VLOOKUP(CC97,discount,2,FALSE()))</f>
        <v>#NAME?</v>
      </c>
      <c r="CG97" s="253" t="e">
        <f aca="false">xSPRDOPT((VLOOKUP(G97,NGPREVPRICES,2,FALSE())+HLOOKUP(D97,PREVCURVES,VLOOKUP(G97,MOVE_DOWN2,2,FALSE()),FALSE())),VLOOKUP(G97,NGPREVPRICES,2,FALSE()),CK97,VLOOKUP(G97,NGPREVPRICES,4,FALSE()),HLOOKUP(D97,VOLS,VLOOKUP(G97,move_down,2,FALSE()),FALSE()),VLOOKUP(G97,NGPrices,3,FALSE()),HLOOKUP(D97,Correllate,VLOOKUP(G97,CorMove,2,FALSE()),FALSE()),Q97-$CD$3,R97,$CJ$5)*H97-CJ97</f>
        <v>#NAME?</v>
      </c>
      <c r="CH97" s="253" t="e">
        <f aca="false">xSPRDOPT((VLOOKUP(G97,NGPREVPRICES,2,FALSE())+HLOOKUP(D97,PREVCURVES,VLOOKUP(G97,MOVE_DOWN2,2,FALSE()),FALSE())),VLOOKUP(G97,NGPREVPRICES,2,FALSE()),CK97,VLOOKUP(G97,NGPREVPRICES,4,FALSE()),HLOOKUP(D97,PREVVOLS,VLOOKUP(G97,MOVE_DOWN2,2,FALSE()),FALSE()),VLOOKUP(G97,NGPREVPRICES,3,FALSE()),HLOOKUP(D97,Correllate,VLOOKUP(G97,CorMove,2,FALSE()),FALSE()),Q97-$C$3,R97,$CJ$5)*H97-CJ97</f>
        <v>#NAME?</v>
      </c>
      <c r="CI97" s="253" t="e">
        <f aca="false">SUM(CD97:CH97)</f>
        <v>#NAME?</v>
      </c>
      <c r="CJ97" s="253" t="e">
        <f aca="false">xSPRDOPT((VLOOKUP(G97,NGPREVPRICES,2,FALSE())+HLOOKUP(D97,PREVCURVES,VLOOKUP(G97,MOVE_DOWN2,2,FALSE()),FALSE())),VLOOKUP(G97,NGPREVPRICES,2,FALSE()),CK97,VLOOKUP(G97,NGPREVPRICES,4,FALSE()),HLOOKUP(D97,PREVVOLS,VLOOKUP(G97,MOVE_DOWN2,2,FALSE()),FALSE()),VLOOKUP(G97,NGPREVPRICES,3,FALSE()),HLOOKUP(D97,Correllate,VLOOKUP(G97,CorMove,2,FALSE()),FALSE()),Q97-$CD$3,R97,$CJ$5)*H97</f>
        <v>#NAME?</v>
      </c>
      <c r="CK97" s="254" t="n">
        <f aca="false">I97</f>
        <v>0.32</v>
      </c>
      <c r="CL97" s="253"/>
      <c r="CM97" s="0" t="str">
        <f aca="false">CONCATENATE(CC97,$CD$6)</f>
        <v>36800Curve Shift/Gamma</v>
      </c>
      <c r="CN97" s="0" t="str">
        <f aca="false">CONCATENATE($CC97,$CE$6)</f>
        <v>36800Rho</v>
      </c>
      <c r="CO97" s="0" t="str">
        <f aca="false">CONCATENATE($CC97,$CF$6)</f>
        <v>36800Drift</v>
      </c>
      <c r="CP97" s="0" t="str">
        <f aca="false">CONCATENATE($CC97,$CG$6)</f>
        <v>36800Vega</v>
      </c>
      <c r="CQ97" s="0" t="str">
        <f aca="false">CONCATENATE($CC97,$CH$6)</f>
        <v>36800Theta</v>
      </c>
    </row>
    <row r="98" customFormat="false" ht="12" hidden="false" customHeight="true" outlineLevel="0" collapsed="false">
      <c r="A98" s="265" t="s">
        <v>198</v>
      </c>
      <c r="B98" s="0" t="s">
        <v>192</v>
      </c>
      <c r="C98" s="0" t="s">
        <v>238</v>
      </c>
      <c r="D98" s="7" t="s">
        <v>149</v>
      </c>
      <c r="E98" s="0" t="s">
        <v>131</v>
      </c>
      <c r="F98" s="0" t="s">
        <v>132</v>
      </c>
      <c r="G98" s="92" t="n">
        <v>36770</v>
      </c>
      <c r="H98" s="248" t="n">
        <v>-500000</v>
      </c>
      <c r="I98" s="0" t="n">
        <v>0.32</v>
      </c>
      <c r="J98" s="124" t="n">
        <f aca="false">VLOOKUP(G98,NGPrices,2,FALSE())</f>
        <v>4.685</v>
      </c>
      <c r="K98" s="125" t="n">
        <f aca="false">HLOOKUP(D98,Prices,VLOOKUP(G98,move_down,2,FALSE()),FALSE())+VLOOKUP(G98,CHANGE,HLOOKUP(D98,CHANGE,2,FALSE()),FALSE())</f>
        <v>0.315</v>
      </c>
      <c r="L98" s="124" t="n">
        <f aca="false">K98+J98</f>
        <v>5</v>
      </c>
      <c r="M98" s="126" t="n">
        <f aca="false">VLOOKUP(G98,NGPrices,4,FALSE())</f>
        <v>0.067216196212185</v>
      </c>
      <c r="N98" s="7" t="n">
        <f aca="false">VLOOKUP(G98,NGPrices,3,FALSE())</f>
        <v>0.4</v>
      </c>
      <c r="O98" s="7" t="n">
        <f aca="false">HLOOKUP(D98,VOLS,VLOOKUP(G98,move_down,2,FALSE()),FALSE())</f>
        <v>0.392</v>
      </c>
      <c r="P98" s="249" t="n">
        <f aca="false">HLOOKUP(D98,Correllate,VLOOKUP(G98,CorMove,2,FALSE()),FALSE())</f>
        <v>0.9925</v>
      </c>
      <c r="Q98" s="92" t="n">
        <f aca="false">WORKDAY(G98,-2)</f>
        <v>36768</v>
      </c>
      <c r="R98" s="7" t="n">
        <f aca="false">IF(F98="P",0,1)</f>
        <v>0</v>
      </c>
      <c r="S98" s="130" t="e">
        <f aca="false">xSPRDOPT($L98,$J98,$I98,$M98,$O98,$N98,$P98,$Q98-$C$3,$R98,0)</f>
        <v>#NAME?</v>
      </c>
      <c r="T98" s="250" t="e">
        <f aca="false">xSPRDOPT($L98,$J98,$I98,$M98,$O98,$N98,$P98,$Q98-$C$3,$R98,1)*H98</f>
        <v>#NAME?</v>
      </c>
      <c r="U98" s="43" t="e">
        <f aca="false">S98*H98</f>
        <v>#NAME?</v>
      </c>
      <c r="V98" s="250" t="e">
        <f aca="false">xSPRDOPT($L98,$J98,$I98,$M98,$O98,$N98,$P98,$Q98-$C$3,$R98,2)*H98</f>
        <v>#NAME?</v>
      </c>
      <c r="W98" s="250" t="e">
        <f aca="false">+V98+T98</f>
        <v>#NAME?</v>
      </c>
      <c r="X98" s="2" t="str">
        <f aca="false">CONCATENATE(G98,D98)</f>
        <v>36770IF-TRANSCO/Z6</v>
      </c>
      <c r="Y98" s="251" t="n">
        <f aca="false">H98/10000</f>
        <v>-50</v>
      </c>
      <c r="Z98" s="226" t="e">
        <f aca="false">T98/H98</f>
        <v>#NAME?</v>
      </c>
      <c r="AA98" s="226" t="e">
        <f aca="false">xSPRDOPT($L98,$J98,$I98,$M98,$O98,$N98,$P98,$Q98-$C$3,$R98,3)</f>
        <v>#NAME?</v>
      </c>
      <c r="AB98" s="226" t="e">
        <f aca="false">((xSPRDOPT($L98+AB$5,$J98,$I98,$M98,$O98,$N98,$P98,$Q98-$C$3,$R98,3)*$H98)/10000)/100</f>
        <v>#NAME?</v>
      </c>
      <c r="AC98" s="226" t="e">
        <f aca="false">((xSPRDOPT($L98+$AB$5,$J98,$I98,$M98,$O98,$N98,$P98,$Q98-$C$3,$R98,7)*$H98)/100)</f>
        <v>#NAME?</v>
      </c>
      <c r="AD98" s="226" t="e">
        <f aca="false">(xSPRDOPT($L98+$AB$5,$J98,$I98,$M98,$O98,$N98,$P98,$Q98-$C$3,$R98,9)/365)*$H98</f>
        <v>#NAME?</v>
      </c>
      <c r="AE98" s="0" t="e">
        <f aca="false">CD98</f>
        <v>#NAME?</v>
      </c>
      <c r="AF98" s="226" t="e">
        <f aca="false">((O98/N98)*AH98)+AG98</f>
        <v>#NAME?</v>
      </c>
      <c r="AG98" s="226" t="e">
        <f aca="false">((xSPRDOPT($L98,$J98,$I98,$M98,$O98,$N98,$P98,$Q98-$C$3,$R98,6)*$H98)/100)</f>
        <v>#NAME?</v>
      </c>
      <c r="AH98" s="226" t="e">
        <f aca="false">((xSPRDOPT($L98,$J98,$I98,$M98,$O98,$N98,$P98,$Q98-$C$3,$R98,5)*$H98)/100)</f>
        <v>#NAME?</v>
      </c>
      <c r="AI98" s="226" t="e">
        <f aca="false">(((xSPRDOPT($L98,$J98,$I98,$M98,$O98,$N98,$P98,$Q98-$C$3,$R98,4)*$H98)/10000)/100)-AB98</f>
        <v>#NAME?</v>
      </c>
      <c r="AJ98" s="226"/>
      <c r="AK98" s="226"/>
      <c r="AL98" s="226"/>
      <c r="AM98" s="252"/>
      <c r="AN98" s="208" t="n">
        <f aca="false">EOMONTH(AN97,0)+1</f>
        <v>39508</v>
      </c>
      <c r="AO98" s="134" t="n">
        <f aca="false">SUMIF($X:$X,CONCATENATE($AN98,AO$6),$T:$T)/10000</f>
        <v>0</v>
      </c>
      <c r="AP98" s="134" t="n">
        <f aca="false">SUMIF($X:$X,CONCATENATE($AN98,AP$6),$T:$T)/10000</f>
        <v>0</v>
      </c>
      <c r="AQ98" s="134" t="n">
        <f aca="false">SUMIF($X:$X,CONCATENATE($AN98,AQ$6),$T:$T)/10000</f>
        <v>0</v>
      </c>
      <c r="AR98" s="134" t="n">
        <f aca="false">SUMIF($X:$X,CONCATENATE($AN98,AR$6),$T:$T)/10000</f>
        <v>0</v>
      </c>
      <c r="AS98" s="134" t="n">
        <f aca="false">SUMIF($X:$X,CONCATENATE($AN98,AS$6),$T:$T)/10000</f>
        <v>0</v>
      </c>
      <c r="AT98" s="134" t="n">
        <f aca="false">SUMIF($X:$X,CONCATENATE($AN98,AT$6),$T:$T)/10000</f>
        <v>0</v>
      </c>
      <c r="AU98" s="134" t="n">
        <f aca="false">SUMIF($X:$X,CONCATENATE($AN98,AU$6),$T:$T)/10000</f>
        <v>0</v>
      </c>
      <c r="AV98" s="134" t="n">
        <f aca="false">SUMIF($X:$X,CONCATENATE($AN98,AV$6),$T:$T)/10000</f>
        <v>0</v>
      </c>
      <c r="AW98" s="134" t="n">
        <f aca="false">SUMIF($X:$X,CONCATENATE($AN98,AW$6),$T:$T)/10000</f>
        <v>0</v>
      </c>
      <c r="AX98" s="134" t="n">
        <f aca="false">SUMIF($X:$X,CONCATENATE($AN98,AX$6),$T:$T)/10000</f>
        <v>0</v>
      </c>
      <c r="AY98" s="134" t="n">
        <f aca="false">SUMIF($X:$X,CONCATENATE($AN98,AY$6),$T:$T)/10000</f>
        <v>0</v>
      </c>
      <c r="AZ98" s="134" t="n">
        <f aca="false">SUMIF($X:$X,CONCATENATE($AN98,AZ$6),$T:$T)/10000</f>
        <v>0</v>
      </c>
      <c r="BA98" s="135" t="n">
        <f aca="false">SUMIF($X:$X,CONCATENATE($AN98,BA$6),$T:$T)/10000</f>
        <v>0</v>
      </c>
      <c r="BB98" s="208" t="n">
        <f aca="false">EOMONTH(BB97,0)+1</f>
        <v>39508</v>
      </c>
      <c r="BC98" s="135" t="n">
        <f aca="false">SUM(AO98:BA98)</f>
        <v>0</v>
      </c>
      <c r="BD98" s="2"/>
      <c r="BE98" s="208" t="n">
        <f aca="false">EOMONTH(BE97,0)+1</f>
        <v>39508</v>
      </c>
      <c r="BF98" s="134" t="n">
        <f aca="false">SUMIF($X:$X,CONCATENATE($AN98,BF$6),$W:$W)</f>
        <v>0</v>
      </c>
      <c r="BG98" s="134" t="n">
        <f aca="false">SUMIF($X:$X,CONCATENATE($AN98,BG$6),$W:$W)</f>
        <v>0</v>
      </c>
      <c r="BH98" s="134" t="n">
        <f aca="false">SUMIF($X:$X,CONCATENATE($AN98,BH$6),$W:$W)</f>
        <v>0</v>
      </c>
      <c r="BI98" s="134" t="n">
        <f aca="false">SUMIF($X:$X,CONCATENATE($AN98,BI$6),$W:$W)</f>
        <v>0</v>
      </c>
      <c r="BJ98" s="134" t="n">
        <f aca="false">SUMIF($X:$X,CONCATENATE($AN98,BJ$6),$W:$W)</f>
        <v>0</v>
      </c>
      <c r="BK98" s="134" t="n">
        <f aca="false">SUMIF($X:$X,CONCATENATE($AN98,BK$6),$W:$W)</f>
        <v>0</v>
      </c>
      <c r="BL98" s="134" t="n">
        <f aca="false">SUMIF($X:$X,CONCATENATE($AN98,BL$6),$W:$W)</f>
        <v>0</v>
      </c>
      <c r="BM98" s="134" t="n">
        <f aca="false">SUMIF($X:$X,CONCATENATE($AN98,BM$6),$W:$W)</f>
        <v>0</v>
      </c>
      <c r="BN98" s="134" t="n">
        <f aca="false">SUMIF($X:$X,CONCATENATE($AN98,BN$6),$W:$W)</f>
        <v>0</v>
      </c>
      <c r="BO98" s="134" t="n">
        <f aca="false">SUMIF($X:$X,CONCATENATE($AN98,BO$6),$W:$W)</f>
        <v>0</v>
      </c>
      <c r="BP98" s="134" t="n">
        <f aca="false">SUMIF($X:$X,CONCATENATE($AN98,BP$6),$W:$W)</f>
        <v>0</v>
      </c>
      <c r="BQ98" s="134" t="n">
        <f aca="false">SUMIF($X:$X,CONCATENATE($AN98,BQ$6),$W:$W)</f>
        <v>0</v>
      </c>
      <c r="BR98" s="135" t="n">
        <f aca="false">SUMIF($X:$X,CONCATENATE($AN98,BR$6),$W:$W)</f>
        <v>0</v>
      </c>
      <c r="BS98" s="208" t="n">
        <f aca="false">EOMONTH(BS97,0)+1</f>
        <v>39508</v>
      </c>
      <c r="BT98" s="135" t="n">
        <f aca="false">SUM(BF98:BR98)</f>
        <v>0</v>
      </c>
      <c r="BU98" s="2"/>
      <c r="BV98" s="2"/>
      <c r="BW98" s="2"/>
      <c r="BX98" s="2"/>
      <c r="BY98" s="2"/>
      <c r="BZ98" s="2"/>
      <c r="CA98" s="2"/>
      <c r="CB98" s="2"/>
      <c r="CC98" s="182" t="n">
        <f aca="false">G98</f>
        <v>36770</v>
      </c>
      <c r="CD98" s="253" t="e">
        <f aca="false">xSPRDOPT((VLOOKUP(G98,NGPrices,2,FALSE())+HLOOKUP(D98,Prices,VLOOKUP(G98,move_down,2,FALSE()),FALSE())),VLOOKUP(G98,NGPrices,2,FALSE()),I98,VLOOKUP(G98,NGPREVPRICES,4,FALSE()),HLOOKUP(D98,PREVVOLS,VLOOKUP(G98,MOVE_DOWN2,2,FALSE()),FALSE()),VLOOKUP(G98,NGPREVPRICES,3,FALSE()),HLOOKUP(D98,Correllate,VLOOKUP(G98,CorMove,2,FALSE()),FALSE()),Q98-$CD$3,R98,$CD$5)*H98-CJ98</f>
        <v>#NAME?</v>
      </c>
      <c r="CE98" s="253" t="e">
        <f aca="false">xSPRDOPT((VLOOKUP(G98,NGPREVPRICES,2,FALSE())+HLOOKUP(D98,PREVCURVES,VLOOKUP(G98,MOVE_DOWN2,2,FALSE()),FALSE())),VLOOKUP(G98,NGPREVPRICES,2,FALSE()),CK98,VLOOKUP(G98,NGPrices,4,FALSE()),HLOOKUP(D98,PREVVOLS,VLOOKUP(G98,MOVE_DOWN2,2,FALSE()),FALSE()),VLOOKUP(G98,NGPREVPRICES,3,FALSE()),HLOOKUP(D98,Correllate,VLOOKUP(G98,CorMove,2,FALSE()),FALSE()),Q98-$CD$3,R98,$CJ$5)*H98-CJ98</f>
        <v>#NAME?</v>
      </c>
      <c r="CF98" s="132" t="e">
        <f aca="false">(CJ98/VLOOKUP(CC98,discount,3,FALSE()))-(CJ98/VLOOKUP(CC98,discount,2,FALSE()))</f>
        <v>#NAME?</v>
      </c>
      <c r="CG98" s="253" t="e">
        <f aca="false">xSPRDOPT((VLOOKUP(G98,NGPREVPRICES,2,FALSE())+HLOOKUP(D98,PREVCURVES,VLOOKUP(G98,MOVE_DOWN2,2,FALSE()),FALSE())),VLOOKUP(G98,NGPREVPRICES,2,FALSE()),CK98,VLOOKUP(G98,NGPREVPRICES,4,FALSE()),HLOOKUP(D98,VOLS,VLOOKUP(G98,move_down,2,FALSE()),FALSE()),VLOOKUP(G98,NGPrices,3,FALSE()),HLOOKUP(D98,Correllate,VLOOKUP(G98,CorMove,2,FALSE()),FALSE()),Q98-$CD$3,R98,$CJ$5)*H98-CJ98</f>
        <v>#NAME?</v>
      </c>
      <c r="CH98" s="253" t="e">
        <f aca="false">xSPRDOPT((VLOOKUP(G98,NGPREVPRICES,2,FALSE())+HLOOKUP(D98,PREVCURVES,VLOOKUP(G98,MOVE_DOWN2,2,FALSE()),FALSE())),VLOOKUP(G98,NGPREVPRICES,2,FALSE()),CK98,VLOOKUP(G98,NGPREVPRICES,4,FALSE()),HLOOKUP(D98,PREVVOLS,VLOOKUP(G98,MOVE_DOWN2,2,FALSE()),FALSE()),VLOOKUP(G98,NGPREVPRICES,3,FALSE()),HLOOKUP(D98,Correllate,VLOOKUP(G98,CorMove,2,FALSE()),FALSE()),Q98-$C$3,R98,$CJ$5)*H98-CJ98</f>
        <v>#NAME?</v>
      </c>
      <c r="CI98" s="253" t="e">
        <f aca="false">SUM(CD98:CH98)</f>
        <v>#NAME?</v>
      </c>
      <c r="CJ98" s="253" t="e">
        <f aca="false">xSPRDOPT((VLOOKUP(G98,NGPREVPRICES,2,FALSE())+HLOOKUP(D98,PREVCURVES,VLOOKUP(G98,MOVE_DOWN2,2,FALSE()),FALSE())),VLOOKUP(G98,NGPREVPRICES,2,FALSE()),CK98,VLOOKUP(G98,NGPREVPRICES,4,FALSE()),HLOOKUP(D98,PREVVOLS,VLOOKUP(G98,MOVE_DOWN2,2,FALSE()),FALSE()),VLOOKUP(G98,NGPREVPRICES,3,FALSE()),HLOOKUP(D98,Correllate,VLOOKUP(G98,CorMove,2,FALSE()),FALSE()),Q98-$CD$3,R98,$CJ$5)*H98</f>
        <v>#NAME?</v>
      </c>
      <c r="CK98" s="254" t="n">
        <f aca="false">I98</f>
        <v>0.32</v>
      </c>
      <c r="CL98" s="253"/>
      <c r="CM98" s="0" t="str">
        <f aca="false">CONCATENATE(CC98,$CD$6)</f>
        <v>36770Curve Shift/Gamma</v>
      </c>
      <c r="CN98" s="0" t="str">
        <f aca="false">CONCATENATE($CC98,$CE$6)</f>
        <v>36770Rho</v>
      </c>
      <c r="CO98" s="0" t="str">
        <f aca="false">CONCATENATE($CC98,$CF$6)</f>
        <v>36770Drift</v>
      </c>
      <c r="CP98" s="0" t="str">
        <f aca="false">CONCATENATE($CC98,$CG$6)</f>
        <v>36770Vega</v>
      </c>
      <c r="CQ98" s="0" t="str">
        <f aca="false">CONCATENATE($CC98,$CH$6)</f>
        <v>36770Theta</v>
      </c>
    </row>
    <row r="99" customFormat="false" ht="12" hidden="false" customHeight="true" outlineLevel="0" collapsed="false">
      <c r="A99" s="265" t="s">
        <v>198</v>
      </c>
      <c r="B99" s="0" t="s">
        <v>192</v>
      </c>
      <c r="C99" s="0" t="s">
        <v>239</v>
      </c>
      <c r="D99" s="7" t="s">
        <v>149</v>
      </c>
      <c r="E99" s="0" t="s">
        <v>131</v>
      </c>
      <c r="F99" s="0" t="s">
        <v>136</v>
      </c>
      <c r="G99" s="92" t="n">
        <v>36800</v>
      </c>
      <c r="H99" s="248" t="n">
        <v>-500000</v>
      </c>
      <c r="I99" s="0" t="n">
        <v>0.32</v>
      </c>
      <c r="J99" s="124" t="n">
        <f aca="false">VLOOKUP(G99,NGPrices,2,FALSE())</f>
        <v>4.692</v>
      </c>
      <c r="K99" s="125" t="n">
        <f aca="false">HLOOKUP(D99,Prices,VLOOKUP(G99,move_down,2,FALSE()),FALSE())+VLOOKUP(G99,CHANGE,HLOOKUP(D99,CHANGE,2,FALSE()),FALSE())</f>
        <v>0.415</v>
      </c>
      <c r="L99" s="124" t="n">
        <f aca="false">K99+J99</f>
        <v>5.107</v>
      </c>
      <c r="M99" s="126" t="n">
        <f aca="false">VLOOKUP(G99,NGPrices,4,FALSE())</f>
        <v>0.068050789414654</v>
      </c>
      <c r="N99" s="7" t="n">
        <f aca="false">VLOOKUP(G99,NGPrices,3,FALSE())</f>
        <v>0.575</v>
      </c>
      <c r="O99" s="7" t="n">
        <f aca="false">HLOOKUP(D99,VOLS,VLOOKUP(G99,move_down,2,FALSE()),FALSE())</f>
        <v>0.564</v>
      </c>
      <c r="P99" s="249" t="n">
        <f aca="false">HLOOKUP(D99,Correllate,VLOOKUP(G99,CorMove,2,FALSE()),FALSE())</f>
        <v>0.9925</v>
      </c>
      <c r="Q99" s="92" t="n">
        <f aca="false">WORKDAY(G99,-2)</f>
        <v>36797</v>
      </c>
      <c r="R99" s="7" t="n">
        <f aca="false">IF(F99="P",0,1)</f>
        <v>1</v>
      </c>
      <c r="S99" s="130" t="e">
        <f aca="false">xSPRDOPT($L99,$J99,$I99,$M99,$O99,$N99,$P99,$Q99-$C$3,$R99,0)</f>
        <v>#NAME?</v>
      </c>
      <c r="T99" s="250" t="e">
        <f aca="false">xSPRDOPT($L99,$J99,$I99,$M99,$O99,$N99,$P99,$Q99-$C$3,$R99,1)*H99</f>
        <v>#NAME?</v>
      </c>
      <c r="U99" s="43" t="e">
        <f aca="false">S99*H99</f>
        <v>#NAME?</v>
      </c>
      <c r="V99" s="250" t="e">
        <f aca="false">xSPRDOPT($L99,$J99,$I99,$M99,$O99,$N99,$P99,$Q99-$C$3,$R99,2)*H99</f>
        <v>#NAME?</v>
      </c>
      <c r="W99" s="250" t="e">
        <f aca="false">+V99+T99</f>
        <v>#NAME?</v>
      </c>
      <c r="X99" s="2" t="str">
        <f aca="false">CONCATENATE(G99,D99)</f>
        <v>36800IF-TRANSCO/Z6</v>
      </c>
      <c r="Y99" s="251" t="n">
        <f aca="false">H99/10000</f>
        <v>-50</v>
      </c>
      <c r="Z99" s="226" t="e">
        <f aca="false">T99/H99</f>
        <v>#NAME?</v>
      </c>
      <c r="AA99" s="226" t="e">
        <f aca="false">xSPRDOPT($L99,$J99,$I99,$M99,$O99,$N99,$P99,$Q99-$C$3,$R99,3)</f>
        <v>#NAME?</v>
      </c>
      <c r="AB99" s="226" t="e">
        <f aca="false">((xSPRDOPT($L99+AB$5,$J99,$I99,$M99,$O99,$N99,$P99,$Q99-$C$3,$R99,3)*$H99)/10000)/100</f>
        <v>#NAME?</v>
      </c>
      <c r="AC99" s="226" t="e">
        <f aca="false">((xSPRDOPT($L99+$AB$5,$J99,$I99,$M99,$O99,$N99,$P99,$Q99-$C$3,$R99,7)*$H99)/100)</f>
        <v>#NAME?</v>
      </c>
      <c r="AD99" s="226" t="e">
        <f aca="false">(xSPRDOPT($L99+$AB$5,$J99,$I99,$M99,$O99,$N99,$P99,$Q99-$C$3,$R99,9)/365)*$H99</f>
        <v>#NAME?</v>
      </c>
      <c r="AE99" s="0" t="e">
        <f aca="false">CD99</f>
        <v>#NAME?</v>
      </c>
      <c r="AF99" s="226" t="e">
        <f aca="false">((O99/N99)*AH99)+AG99</f>
        <v>#NAME?</v>
      </c>
      <c r="AG99" s="226" t="e">
        <f aca="false">((xSPRDOPT($L99,$J99,$I99,$M99,$O99,$N99,$P99,$Q99-$C$3,$R99,6)*$H99)/100)</f>
        <v>#NAME?</v>
      </c>
      <c r="AH99" s="226" t="e">
        <f aca="false">((xSPRDOPT($L99,$J99,$I99,$M99,$O99,$N99,$P99,$Q99-$C$3,$R99,5)*$H99)/100)</f>
        <v>#NAME?</v>
      </c>
      <c r="AI99" s="226" t="e">
        <f aca="false">(((xSPRDOPT($L99,$J99,$I99,$M99,$O99,$N99,$P99,$Q99-$C$3,$R99,4)*$H99)/10000)/100)-AB99</f>
        <v>#NAME?</v>
      </c>
      <c r="AJ99" s="226"/>
      <c r="AK99" s="226"/>
      <c r="AL99" s="226"/>
      <c r="AM99" s="252"/>
      <c r="AN99" s="208" t="n">
        <f aca="false">EOMONTH(AN98,0)+1</f>
        <v>39539</v>
      </c>
      <c r="AO99" s="134" t="n">
        <f aca="false">SUMIF($X:$X,CONCATENATE($AN99,AO$6),$T:$T)/10000</f>
        <v>0</v>
      </c>
      <c r="AP99" s="134" t="n">
        <f aca="false">SUMIF($X:$X,CONCATENATE($AN99,AP$6),$T:$T)/10000</f>
        <v>0</v>
      </c>
      <c r="AQ99" s="134" t="n">
        <f aca="false">SUMIF($X:$X,CONCATENATE($AN99,AQ$6),$T:$T)/10000</f>
        <v>0</v>
      </c>
      <c r="AR99" s="134" t="n">
        <f aca="false">SUMIF($X:$X,CONCATENATE($AN99,AR$6),$T:$T)/10000</f>
        <v>0</v>
      </c>
      <c r="AS99" s="134" t="n">
        <f aca="false">SUMIF($X:$X,CONCATENATE($AN99,AS$6),$T:$T)/10000</f>
        <v>0</v>
      </c>
      <c r="AT99" s="134" t="n">
        <f aca="false">SUMIF($X:$X,CONCATENATE($AN99,AT$6),$T:$T)/10000</f>
        <v>0</v>
      </c>
      <c r="AU99" s="134" t="n">
        <f aca="false">SUMIF($X:$X,CONCATENATE($AN99,AU$6),$T:$T)/10000</f>
        <v>0</v>
      </c>
      <c r="AV99" s="134" t="n">
        <f aca="false">SUMIF($X:$X,CONCATENATE($AN99,AV$6),$T:$T)/10000</f>
        <v>0</v>
      </c>
      <c r="AW99" s="134" t="n">
        <f aca="false">SUMIF($X:$X,CONCATENATE($AN99,AW$6),$T:$T)/10000</f>
        <v>0</v>
      </c>
      <c r="AX99" s="134" t="n">
        <f aca="false">SUMIF($X:$X,CONCATENATE($AN99,AX$6),$T:$T)/10000</f>
        <v>0</v>
      </c>
      <c r="AY99" s="134" t="n">
        <f aca="false">SUMIF($X:$X,CONCATENATE($AN99,AY$6),$T:$T)/10000</f>
        <v>0</v>
      </c>
      <c r="AZ99" s="134" t="n">
        <f aca="false">SUMIF($X:$X,CONCATENATE($AN99,AZ$6),$T:$T)/10000</f>
        <v>0</v>
      </c>
      <c r="BA99" s="135" t="n">
        <f aca="false">SUMIF($X:$X,CONCATENATE($AN99,BA$6),$T:$T)/10000</f>
        <v>0</v>
      </c>
      <c r="BB99" s="208" t="n">
        <f aca="false">EOMONTH(BB98,0)+1</f>
        <v>39539</v>
      </c>
      <c r="BC99" s="135" t="n">
        <f aca="false">SUM(AO99:BA99)</f>
        <v>0</v>
      </c>
      <c r="BD99" s="2"/>
      <c r="BE99" s="208" t="n">
        <f aca="false">EOMONTH(BE98,0)+1</f>
        <v>39539</v>
      </c>
      <c r="BF99" s="134" t="n">
        <f aca="false">SUMIF($X:$X,CONCATENATE($AN99,BF$6),$W:$W)</f>
        <v>0</v>
      </c>
      <c r="BG99" s="134" t="n">
        <f aca="false">SUMIF($X:$X,CONCATENATE($AN99,BG$6),$W:$W)</f>
        <v>0</v>
      </c>
      <c r="BH99" s="134" t="n">
        <f aca="false">SUMIF($X:$X,CONCATENATE($AN99,BH$6),$W:$W)</f>
        <v>0</v>
      </c>
      <c r="BI99" s="134" t="n">
        <f aca="false">SUMIF($X:$X,CONCATENATE($AN99,BI$6),$W:$W)</f>
        <v>0</v>
      </c>
      <c r="BJ99" s="134" t="n">
        <f aca="false">SUMIF($X:$X,CONCATENATE($AN99,BJ$6),$W:$W)</f>
        <v>0</v>
      </c>
      <c r="BK99" s="134" t="n">
        <f aca="false">SUMIF($X:$X,CONCATENATE($AN99,BK$6),$W:$W)</f>
        <v>0</v>
      </c>
      <c r="BL99" s="134" t="n">
        <f aca="false">SUMIF($X:$X,CONCATENATE($AN99,BL$6),$W:$W)</f>
        <v>0</v>
      </c>
      <c r="BM99" s="134" t="n">
        <f aca="false">SUMIF($X:$X,CONCATENATE($AN99,BM$6),$W:$W)</f>
        <v>0</v>
      </c>
      <c r="BN99" s="134" t="n">
        <f aca="false">SUMIF($X:$X,CONCATENATE($AN99,BN$6),$W:$W)</f>
        <v>0</v>
      </c>
      <c r="BO99" s="134" t="n">
        <f aca="false">SUMIF($X:$X,CONCATENATE($AN99,BO$6),$W:$W)</f>
        <v>0</v>
      </c>
      <c r="BP99" s="134" t="n">
        <f aca="false">SUMIF($X:$X,CONCATENATE($AN99,BP$6),$W:$W)</f>
        <v>0</v>
      </c>
      <c r="BQ99" s="134" t="n">
        <f aca="false">SUMIF($X:$X,CONCATENATE($AN99,BQ$6),$W:$W)</f>
        <v>0</v>
      </c>
      <c r="BR99" s="135" t="n">
        <f aca="false">SUMIF($X:$X,CONCATENATE($AN99,BR$6),$W:$W)</f>
        <v>0</v>
      </c>
      <c r="BS99" s="208" t="n">
        <f aca="false">EOMONTH(BS98,0)+1</f>
        <v>39539</v>
      </c>
      <c r="BT99" s="135" t="n">
        <f aca="false">SUM(BF99:BR99)</f>
        <v>0</v>
      </c>
      <c r="BU99" s="2"/>
      <c r="BV99" s="2"/>
      <c r="BW99" s="2"/>
      <c r="BX99" s="2"/>
      <c r="BY99" s="2"/>
      <c r="BZ99" s="2"/>
      <c r="CA99" s="2"/>
      <c r="CB99" s="2"/>
      <c r="CC99" s="182" t="n">
        <f aca="false">G99</f>
        <v>36800</v>
      </c>
      <c r="CD99" s="253" t="e">
        <f aca="false">xSPRDOPT((VLOOKUP(G99,NGPrices,2,FALSE())+HLOOKUP(D99,Prices,VLOOKUP(G99,move_down,2,FALSE()),FALSE())),VLOOKUP(G99,NGPrices,2,FALSE()),I99,VLOOKUP(G99,NGPREVPRICES,4,FALSE()),HLOOKUP(D99,PREVVOLS,VLOOKUP(G99,MOVE_DOWN2,2,FALSE()),FALSE()),VLOOKUP(G99,NGPREVPRICES,3,FALSE()),HLOOKUP(D99,Correllate,VLOOKUP(G99,CorMove,2,FALSE()),FALSE()),Q99-$CD$3,R99,$CD$5)*H99-CJ99</f>
        <v>#NAME?</v>
      </c>
      <c r="CE99" s="253" t="e">
        <f aca="false">xSPRDOPT((VLOOKUP(G99,NGPREVPRICES,2,FALSE())+HLOOKUP(D99,PREVCURVES,VLOOKUP(G99,MOVE_DOWN2,2,FALSE()),FALSE())),VLOOKUP(G99,NGPREVPRICES,2,FALSE()),CK99,VLOOKUP(G99,NGPrices,4,FALSE()),HLOOKUP(D99,PREVVOLS,VLOOKUP(G99,MOVE_DOWN2,2,FALSE()),FALSE()),VLOOKUP(G99,NGPREVPRICES,3,FALSE()),HLOOKUP(D99,Correllate,VLOOKUP(G99,CorMove,2,FALSE()),FALSE()),Q99-$CD$3,R99,$CJ$5)*H99-CJ99</f>
        <v>#NAME?</v>
      </c>
      <c r="CF99" s="132" t="e">
        <f aca="false">(CJ99/VLOOKUP(CC99,discount,3,FALSE()))-(CJ99/VLOOKUP(CC99,discount,2,FALSE()))</f>
        <v>#NAME?</v>
      </c>
      <c r="CG99" s="253" t="e">
        <f aca="false">xSPRDOPT((VLOOKUP(G99,NGPREVPRICES,2,FALSE())+HLOOKUP(D99,PREVCURVES,VLOOKUP(G99,MOVE_DOWN2,2,FALSE()),FALSE())),VLOOKUP(G99,NGPREVPRICES,2,FALSE()),CK99,VLOOKUP(G99,NGPREVPRICES,4,FALSE()),HLOOKUP(D99,VOLS,VLOOKUP(G99,move_down,2,FALSE()),FALSE()),VLOOKUP(G99,NGPrices,3,FALSE()),HLOOKUP(D99,Correllate,VLOOKUP(G99,CorMove,2,FALSE()),FALSE()),Q99-$CD$3,R99,$CJ$5)*H99-CJ99</f>
        <v>#NAME?</v>
      </c>
      <c r="CH99" s="253" t="e">
        <f aca="false">xSPRDOPT((VLOOKUP(G99,NGPREVPRICES,2,FALSE())+HLOOKUP(D99,PREVCURVES,VLOOKUP(G99,MOVE_DOWN2,2,FALSE()),FALSE())),VLOOKUP(G99,NGPREVPRICES,2,FALSE()),CK99,VLOOKUP(G99,NGPREVPRICES,4,FALSE()),HLOOKUP(D99,PREVVOLS,VLOOKUP(G99,MOVE_DOWN2,2,FALSE()),FALSE()),VLOOKUP(G99,NGPREVPRICES,3,FALSE()),HLOOKUP(D99,Correllate,VLOOKUP(G99,CorMove,2,FALSE()),FALSE()),Q99-$C$3,R99,$CJ$5)*H99-CJ99</f>
        <v>#NAME?</v>
      </c>
      <c r="CI99" s="253" t="e">
        <f aca="false">SUM(CD99:CH99)</f>
        <v>#NAME?</v>
      </c>
      <c r="CJ99" s="253" t="e">
        <f aca="false">xSPRDOPT((VLOOKUP(G99,NGPREVPRICES,2,FALSE())+HLOOKUP(D99,PREVCURVES,VLOOKUP(G99,MOVE_DOWN2,2,FALSE()),FALSE())),VLOOKUP(G99,NGPREVPRICES,2,FALSE()),CK99,VLOOKUP(G99,NGPREVPRICES,4,FALSE()),HLOOKUP(D99,PREVVOLS,VLOOKUP(G99,MOVE_DOWN2,2,FALSE()),FALSE()),VLOOKUP(G99,NGPREVPRICES,3,FALSE()),HLOOKUP(D99,Correllate,VLOOKUP(G99,CorMove,2,FALSE()),FALSE()),Q99-$CD$3,R99,$CJ$5)*H99</f>
        <v>#NAME?</v>
      </c>
      <c r="CK99" s="254" t="n">
        <f aca="false">I99</f>
        <v>0.32</v>
      </c>
      <c r="CL99" s="253"/>
      <c r="CM99" s="0" t="str">
        <f aca="false">CONCATENATE(CC99,$CD$6)</f>
        <v>36800Curve Shift/Gamma</v>
      </c>
      <c r="CN99" s="0" t="str">
        <f aca="false">CONCATENATE($CC99,$CE$6)</f>
        <v>36800Rho</v>
      </c>
      <c r="CO99" s="0" t="str">
        <f aca="false">CONCATENATE($CC99,$CF$6)</f>
        <v>36800Drift</v>
      </c>
      <c r="CP99" s="0" t="str">
        <f aca="false">CONCATENATE($CC99,$CG$6)</f>
        <v>36800Vega</v>
      </c>
      <c r="CQ99" s="0" t="str">
        <f aca="false">CONCATENATE($CC99,$CH$6)</f>
        <v>36800Theta</v>
      </c>
    </row>
    <row r="100" customFormat="false" ht="12" hidden="false" customHeight="true" outlineLevel="0" collapsed="false">
      <c r="A100" s="265" t="s">
        <v>198</v>
      </c>
      <c r="B100" s="0" t="s">
        <v>192</v>
      </c>
      <c r="C100" s="0" t="s">
        <v>239</v>
      </c>
      <c r="D100" s="7" t="s">
        <v>149</v>
      </c>
      <c r="E100" s="0" t="s">
        <v>131</v>
      </c>
      <c r="F100" s="0" t="s">
        <v>136</v>
      </c>
      <c r="G100" s="92" t="n">
        <v>36770</v>
      </c>
      <c r="H100" s="248" t="n">
        <v>-500000</v>
      </c>
      <c r="I100" s="0" t="n">
        <v>0.32</v>
      </c>
      <c r="J100" s="124" t="n">
        <f aca="false">VLOOKUP(G100,NGPrices,2,FALSE())</f>
        <v>4.685</v>
      </c>
      <c r="K100" s="125" t="n">
        <f aca="false">HLOOKUP(D100,Prices,VLOOKUP(G100,move_down,2,FALSE()),FALSE())+VLOOKUP(G100,CHANGE,HLOOKUP(D100,CHANGE,2,FALSE()),FALSE())</f>
        <v>0.315</v>
      </c>
      <c r="L100" s="124" t="n">
        <f aca="false">K100+J100</f>
        <v>5</v>
      </c>
      <c r="M100" s="126" t="n">
        <f aca="false">VLOOKUP(G100,NGPrices,4,FALSE())</f>
        <v>0.067216196212185</v>
      </c>
      <c r="N100" s="7" t="n">
        <f aca="false">VLOOKUP(G100,NGPrices,3,FALSE())</f>
        <v>0.4</v>
      </c>
      <c r="O100" s="7" t="n">
        <f aca="false">HLOOKUP(D100,VOLS,VLOOKUP(G100,move_down,2,FALSE()),FALSE())</f>
        <v>0.392</v>
      </c>
      <c r="P100" s="249" t="n">
        <f aca="false">HLOOKUP(D100,Correllate,VLOOKUP(G100,CorMove,2,FALSE()),FALSE())</f>
        <v>0.9925</v>
      </c>
      <c r="Q100" s="92" t="n">
        <f aca="false">WORKDAY(G100,-2)</f>
        <v>36768</v>
      </c>
      <c r="R100" s="7" t="n">
        <f aca="false">IF(F100="P",0,1)</f>
        <v>1</v>
      </c>
      <c r="S100" s="130" t="e">
        <f aca="false">xSPRDOPT($L100,$J100,$I100,$M100,$O100,$N100,$P100,$Q100-$C$3,$R100,0)</f>
        <v>#NAME?</v>
      </c>
      <c r="T100" s="250" t="e">
        <f aca="false">xSPRDOPT($L100,$J100,$I100,$M100,$O100,$N100,$P100,$Q100-$C$3,$R100,1)*H100</f>
        <v>#NAME?</v>
      </c>
      <c r="U100" s="43" t="e">
        <f aca="false">S100*H100</f>
        <v>#NAME?</v>
      </c>
      <c r="V100" s="250" t="e">
        <f aca="false">xSPRDOPT($L100,$J100,$I100,$M100,$O100,$N100,$P100,$Q100-$C$3,$R100,2)*H100</f>
        <v>#NAME?</v>
      </c>
      <c r="W100" s="250" t="e">
        <f aca="false">+V100+T100</f>
        <v>#NAME?</v>
      </c>
      <c r="X100" s="2" t="str">
        <f aca="false">CONCATENATE(G100,D100)</f>
        <v>36770IF-TRANSCO/Z6</v>
      </c>
      <c r="Y100" s="251" t="n">
        <f aca="false">H100/10000</f>
        <v>-50</v>
      </c>
      <c r="Z100" s="226" t="e">
        <f aca="false">T100/H100</f>
        <v>#NAME?</v>
      </c>
      <c r="AA100" s="226" t="e">
        <f aca="false">xSPRDOPT($L100,$J100,$I100,$M100,$O100,$N100,$P100,$Q100-$C$3,$R100,3)</f>
        <v>#NAME?</v>
      </c>
      <c r="AB100" s="226" t="e">
        <f aca="false">((xSPRDOPT($L100+AB$5,$J100,$I100,$M100,$O100,$N100,$P100,$Q100-$C$3,$R100,3)*$H100)/10000)/100</f>
        <v>#NAME?</v>
      </c>
      <c r="AC100" s="226" t="e">
        <f aca="false">((xSPRDOPT($L100+$AB$5,$J100,$I100,$M100,$O100,$N100,$P100,$Q100-$C$3,$R100,7)*$H100)/100)</f>
        <v>#NAME?</v>
      </c>
      <c r="AD100" s="226" t="e">
        <f aca="false">(xSPRDOPT($L100+$AB$5,$J100,$I100,$M100,$O100,$N100,$P100,$Q100-$C$3,$R100,9)/365)*$H100</f>
        <v>#NAME?</v>
      </c>
      <c r="AE100" s="0" t="e">
        <f aca="false">CD100</f>
        <v>#NAME?</v>
      </c>
      <c r="AF100" s="226" t="e">
        <f aca="false">((O100/N100)*AH100)+AG100</f>
        <v>#NAME?</v>
      </c>
      <c r="AG100" s="226" t="e">
        <f aca="false">((xSPRDOPT($L100,$J100,$I100,$M100,$O100,$N100,$P100,$Q100-$C$3,$R100,6)*$H100)/100)</f>
        <v>#NAME?</v>
      </c>
      <c r="AH100" s="226" t="e">
        <f aca="false">((xSPRDOPT($L100,$J100,$I100,$M100,$O100,$N100,$P100,$Q100-$C$3,$R100,5)*$H100)/100)</f>
        <v>#NAME?</v>
      </c>
      <c r="AI100" s="226" t="e">
        <f aca="false">(((xSPRDOPT($L100,$J100,$I100,$M100,$O100,$N100,$P100,$Q100-$C$3,$R100,4)*$H100)/10000)/100)-AB100</f>
        <v>#NAME?</v>
      </c>
      <c r="AJ100" s="226"/>
      <c r="AK100" s="226"/>
      <c r="AL100" s="226"/>
      <c r="AM100" s="252"/>
      <c r="AN100" s="208" t="n">
        <f aca="false">EOMONTH(AN99,0)+1</f>
        <v>39569</v>
      </c>
      <c r="AO100" s="134" t="n">
        <f aca="false">SUMIF($X:$X,CONCATENATE($AN100,AO$6),$T:$T)/10000</f>
        <v>0</v>
      </c>
      <c r="AP100" s="134" t="n">
        <f aca="false">SUMIF($X:$X,CONCATENATE($AN100,AP$6),$T:$T)/10000</f>
        <v>0</v>
      </c>
      <c r="AQ100" s="134" t="n">
        <f aca="false">SUMIF($X:$X,CONCATENATE($AN100,AQ$6),$T:$T)/10000</f>
        <v>0</v>
      </c>
      <c r="AR100" s="134" t="n">
        <f aca="false">SUMIF($X:$X,CONCATENATE($AN100,AR$6),$T:$T)/10000</f>
        <v>0</v>
      </c>
      <c r="AS100" s="134" t="n">
        <f aca="false">SUMIF($X:$X,CONCATENATE($AN100,AS$6),$T:$T)/10000</f>
        <v>0</v>
      </c>
      <c r="AT100" s="134" t="n">
        <f aca="false">SUMIF($X:$X,CONCATENATE($AN100,AT$6),$T:$T)/10000</f>
        <v>0</v>
      </c>
      <c r="AU100" s="134" t="n">
        <f aca="false">SUMIF($X:$X,CONCATENATE($AN100,AU$6),$T:$T)/10000</f>
        <v>0</v>
      </c>
      <c r="AV100" s="134" t="n">
        <f aca="false">SUMIF($X:$X,CONCATENATE($AN100,AV$6),$T:$T)/10000</f>
        <v>0</v>
      </c>
      <c r="AW100" s="134" t="n">
        <f aca="false">SUMIF($X:$X,CONCATENATE($AN100,AW$6),$T:$T)/10000</f>
        <v>0</v>
      </c>
      <c r="AX100" s="134" t="n">
        <f aca="false">SUMIF($X:$X,CONCATENATE($AN100,AX$6),$T:$T)/10000</f>
        <v>0</v>
      </c>
      <c r="AY100" s="134" t="n">
        <f aca="false">SUMIF($X:$X,CONCATENATE($AN100,AY$6),$T:$T)/10000</f>
        <v>0</v>
      </c>
      <c r="AZ100" s="134" t="n">
        <f aca="false">SUMIF($X:$X,CONCATENATE($AN100,AZ$6),$T:$T)/10000</f>
        <v>0</v>
      </c>
      <c r="BA100" s="135" t="n">
        <f aca="false">SUMIF($X:$X,CONCATENATE($AN100,BA$6),$T:$T)/10000</f>
        <v>0</v>
      </c>
      <c r="BB100" s="208" t="n">
        <f aca="false">EOMONTH(BB99,0)+1</f>
        <v>39569</v>
      </c>
      <c r="BC100" s="135" t="n">
        <f aca="false">SUM(AO100:BA100)</f>
        <v>0</v>
      </c>
      <c r="BD100" s="2"/>
      <c r="BE100" s="208" t="n">
        <f aca="false">EOMONTH(BE99,0)+1</f>
        <v>39569</v>
      </c>
      <c r="BF100" s="134" t="n">
        <f aca="false">SUMIF($X:$X,CONCATENATE($AN100,BF$6),$W:$W)</f>
        <v>0</v>
      </c>
      <c r="BG100" s="134" t="n">
        <f aca="false">SUMIF($X:$X,CONCATENATE($AN100,BG$6),$W:$W)</f>
        <v>0</v>
      </c>
      <c r="BH100" s="134" t="n">
        <f aca="false">SUMIF($X:$X,CONCATENATE($AN100,BH$6),$W:$W)</f>
        <v>0</v>
      </c>
      <c r="BI100" s="134" t="n">
        <f aca="false">SUMIF($X:$X,CONCATENATE($AN100,BI$6),$W:$W)</f>
        <v>0</v>
      </c>
      <c r="BJ100" s="134" t="n">
        <f aca="false">SUMIF($X:$X,CONCATENATE($AN100,BJ$6),$W:$W)</f>
        <v>0</v>
      </c>
      <c r="BK100" s="134" t="n">
        <f aca="false">SUMIF($X:$X,CONCATENATE($AN100,BK$6),$W:$W)</f>
        <v>0</v>
      </c>
      <c r="BL100" s="134" t="n">
        <f aca="false">SUMIF($X:$X,CONCATENATE($AN100,BL$6),$W:$W)</f>
        <v>0</v>
      </c>
      <c r="BM100" s="134" t="n">
        <f aca="false">SUMIF($X:$X,CONCATENATE($AN100,BM$6),$W:$W)</f>
        <v>0</v>
      </c>
      <c r="BN100" s="134" t="n">
        <f aca="false">SUMIF($X:$X,CONCATENATE($AN100,BN$6),$W:$W)</f>
        <v>0</v>
      </c>
      <c r="BO100" s="134" t="n">
        <f aca="false">SUMIF($X:$X,CONCATENATE($AN100,BO$6),$W:$W)</f>
        <v>0</v>
      </c>
      <c r="BP100" s="134" t="n">
        <f aca="false">SUMIF($X:$X,CONCATENATE($AN100,BP$6),$W:$W)</f>
        <v>0</v>
      </c>
      <c r="BQ100" s="134" t="n">
        <f aca="false">SUMIF($X:$X,CONCATENATE($AN100,BQ$6),$W:$W)</f>
        <v>0</v>
      </c>
      <c r="BR100" s="135" t="n">
        <f aca="false">SUMIF($X:$X,CONCATENATE($AN100,BR$6),$W:$W)</f>
        <v>0</v>
      </c>
      <c r="BS100" s="208" t="n">
        <f aca="false">EOMONTH(BS99,0)+1</f>
        <v>39569</v>
      </c>
      <c r="BT100" s="135" t="n">
        <f aca="false">SUM(BF100:BR100)</f>
        <v>0</v>
      </c>
      <c r="BU100" s="2"/>
      <c r="BV100" s="2"/>
      <c r="BW100" s="2"/>
      <c r="BX100" s="2"/>
      <c r="BY100" s="2"/>
      <c r="BZ100" s="2"/>
      <c r="CA100" s="2"/>
      <c r="CB100" s="2"/>
      <c r="CC100" s="182" t="n">
        <f aca="false">G100</f>
        <v>36770</v>
      </c>
      <c r="CD100" s="253" t="e">
        <f aca="false">xSPRDOPT((VLOOKUP(G100,NGPrices,2,FALSE())+HLOOKUP(D100,Prices,VLOOKUP(G100,move_down,2,FALSE()),FALSE())),VLOOKUP(G100,NGPrices,2,FALSE()),I100,VLOOKUP(G100,NGPREVPRICES,4,FALSE()),HLOOKUP(D100,PREVVOLS,VLOOKUP(G100,MOVE_DOWN2,2,FALSE()),FALSE()),VLOOKUP(G100,NGPREVPRICES,3,FALSE()),HLOOKUP(D100,Correllate,VLOOKUP(G100,CorMove,2,FALSE()),FALSE()),Q100-$CD$3,R100,$CD$5)*H100-CJ100</f>
        <v>#NAME?</v>
      </c>
      <c r="CE100" s="253" t="e">
        <f aca="false">xSPRDOPT((VLOOKUP(G100,NGPREVPRICES,2,FALSE())+HLOOKUP(D100,PREVCURVES,VLOOKUP(G100,MOVE_DOWN2,2,FALSE()),FALSE())),VLOOKUP(G100,NGPREVPRICES,2,FALSE()),CK100,VLOOKUP(G100,NGPrices,4,FALSE()),HLOOKUP(D100,PREVVOLS,VLOOKUP(G100,MOVE_DOWN2,2,FALSE()),FALSE()),VLOOKUP(G100,NGPREVPRICES,3,FALSE()),HLOOKUP(D100,Correllate,VLOOKUP(G100,CorMove,2,FALSE()),FALSE()),Q100-$CD$3,R100,$CJ$5)*H100-CJ100</f>
        <v>#NAME?</v>
      </c>
      <c r="CF100" s="132" t="e">
        <f aca="false">(CJ100/VLOOKUP(CC100,discount,3,FALSE()))-(CJ100/VLOOKUP(CC100,discount,2,FALSE()))</f>
        <v>#NAME?</v>
      </c>
      <c r="CG100" s="253" t="e">
        <f aca="false">xSPRDOPT((VLOOKUP(G100,NGPREVPRICES,2,FALSE())+HLOOKUP(D100,PREVCURVES,VLOOKUP(G100,MOVE_DOWN2,2,FALSE()),FALSE())),VLOOKUP(G100,NGPREVPRICES,2,FALSE()),CK100,VLOOKUP(G100,NGPREVPRICES,4,FALSE()),HLOOKUP(D100,VOLS,VLOOKUP(G100,move_down,2,FALSE()),FALSE()),VLOOKUP(G100,NGPrices,3,FALSE()),HLOOKUP(D100,Correllate,VLOOKUP(G100,CorMove,2,FALSE()),FALSE()),Q100-$CD$3,R100,$CJ$5)*H100-CJ100</f>
        <v>#NAME?</v>
      </c>
      <c r="CH100" s="253" t="e">
        <f aca="false">xSPRDOPT((VLOOKUP(G100,NGPREVPRICES,2,FALSE())+HLOOKUP(D100,PREVCURVES,VLOOKUP(G100,MOVE_DOWN2,2,FALSE()),FALSE())),VLOOKUP(G100,NGPREVPRICES,2,FALSE()),CK100,VLOOKUP(G100,NGPREVPRICES,4,FALSE()),HLOOKUP(D100,PREVVOLS,VLOOKUP(G100,MOVE_DOWN2,2,FALSE()),FALSE()),VLOOKUP(G100,NGPREVPRICES,3,FALSE()),HLOOKUP(D100,Correllate,VLOOKUP(G100,CorMove,2,FALSE()),FALSE()),Q100-$C$3,R100,$CJ$5)*H100-CJ100</f>
        <v>#NAME?</v>
      </c>
      <c r="CI100" s="253" t="e">
        <f aca="false">SUM(CD100:CH100)</f>
        <v>#NAME?</v>
      </c>
      <c r="CJ100" s="253" t="e">
        <f aca="false">xSPRDOPT((VLOOKUP(G100,NGPREVPRICES,2,FALSE())+HLOOKUP(D100,PREVCURVES,VLOOKUP(G100,MOVE_DOWN2,2,FALSE()),FALSE())),VLOOKUP(G100,NGPREVPRICES,2,FALSE()),CK100,VLOOKUP(G100,NGPREVPRICES,4,FALSE()),HLOOKUP(D100,PREVVOLS,VLOOKUP(G100,MOVE_DOWN2,2,FALSE()),FALSE()),VLOOKUP(G100,NGPREVPRICES,3,FALSE()),HLOOKUP(D100,Correllate,VLOOKUP(G100,CorMove,2,FALSE()),FALSE()),Q100-$CD$3,R100,$CJ$5)*H100</f>
        <v>#NAME?</v>
      </c>
      <c r="CK100" s="254" t="n">
        <f aca="false">I100</f>
        <v>0.32</v>
      </c>
      <c r="CL100" s="253"/>
      <c r="CM100" s="0" t="str">
        <f aca="false">CONCATENATE(CC100,$CD$6)</f>
        <v>36770Curve Shift/Gamma</v>
      </c>
      <c r="CN100" s="0" t="str">
        <f aca="false">CONCATENATE($CC100,$CE$6)</f>
        <v>36770Rho</v>
      </c>
      <c r="CO100" s="0" t="str">
        <f aca="false">CONCATENATE($CC100,$CF$6)</f>
        <v>36770Drift</v>
      </c>
      <c r="CP100" s="0" t="str">
        <f aca="false">CONCATENATE($CC100,$CG$6)</f>
        <v>36770Vega</v>
      </c>
      <c r="CQ100" s="0" t="str">
        <f aca="false">CONCATENATE($CC100,$CH$6)</f>
        <v>36770Theta</v>
      </c>
    </row>
    <row r="101" customFormat="false" ht="12" hidden="false" customHeight="true" outlineLevel="0" collapsed="false">
      <c r="A101" s="265" t="s">
        <v>198</v>
      </c>
      <c r="B101" s="0" t="s">
        <v>192</v>
      </c>
      <c r="C101" s="0" t="s">
        <v>240</v>
      </c>
      <c r="D101" s="7" t="s">
        <v>149</v>
      </c>
      <c r="E101" s="0" t="s">
        <v>131</v>
      </c>
      <c r="F101" s="0" t="s">
        <v>132</v>
      </c>
      <c r="G101" s="92" t="n">
        <v>36800</v>
      </c>
      <c r="H101" s="248" t="n">
        <v>-500000</v>
      </c>
      <c r="I101" s="0" t="n">
        <v>0.32</v>
      </c>
      <c r="J101" s="124" t="n">
        <f aca="false">VLOOKUP(G101,NGPrices,2,FALSE())</f>
        <v>4.692</v>
      </c>
      <c r="K101" s="125" t="n">
        <f aca="false">HLOOKUP(D101,Prices,VLOOKUP(G101,move_down,2,FALSE()),FALSE())+VLOOKUP(G101,CHANGE,HLOOKUP(D101,CHANGE,2,FALSE()),FALSE())</f>
        <v>0.415</v>
      </c>
      <c r="L101" s="124" t="n">
        <f aca="false">K101+J101</f>
        <v>5.107</v>
      </c>
      <c r="M101" s="126" t="n">
        <f aca="false">VLOOKUP(G101,NGPrices,4,FALSE())</f>
        <v>0.068050789414654</v>
      </c>
      <c r="N101" s="7" t="n">
        <f aca="false">VLOOKUP(G101,NGPrices,3,FALSE())</f>
        <v>0.575</v>
      </c>
      <c r="O101" s="7" t="n">
        <f aca="false">HLOOKUP(D101,VOLS,VLOOKUP(G101,move_down,2,FALSE()),FALSE())</f>
        <v>0.564</v>
      </c>
      <c r="P101" s="249" t="n">
        <f aca="false">HLOOKUP(D101,Correllate,VLOOKUP(G101,CorMove,2,FALSE()),FALSE())</f>
        <v>0.9925</v>
      </c>
      <c r="Q101" s="92" t="n">
        <f aca="false">WORKDAY(G101,-2)</f>
        <v>36797</v>
      </c>
      <c r="R101" s="7" t="n">
        <f aca="false">IF(F101="P",0,1)</f>
        <v>0</v>
      </c>
      <c r="S101" s="130" t="e">
        <f aca="false">xSPRDOPT($L101,$J101,$I101,$M101,$O101,$N101,$P101,$Q101-$C$3,$R101,0)</f>
        <v>#NAME?</v>
      </c>
      <c r="T101" s="250" t="e">
        <f aca="false">xSPRDOPT($L101,$J101,$I101,$M101,$O101,$N101,$P101,$Q101-$C$3,$R101,1)*H101</f>
        <v>#NAME?</v>
      </c>
      <c r="U101" s="43" t="e">
        <f aca="false">S101*H101</f>
        <v>#NAME?</v>
      </c>
      <c r="V101" s="250" t="e">
        <f aca="false">xSPRDOPT($L101,$J101,$I101,$M101,$O101,$N101,$P101,$Q101-$C$3,$R101,2)*H101</f>
        <v>#NAME?</v>
      </c>
      <c r="W101" s="250" t="e">
        <f aca="false">+V101+T101</f>
        <v>#NAME?</v>
      </c>
      <c r="X101" s="2" t="str">
        <f aca="false">CONCATENATE(G101,D101)</f>
        <v>36800IF-TRANSCO/Z6</v>
      </c>
      <c r="Y101" s="251" t="n">
        <f aca="false">H101/10000</f>
        <v>-50</v>
      </c>
      <c r="Z101" s="226" t="e">
        <f aca="false">T101/H101</f>
        <v>#NAME?</v>
      </c>
      <c r="AA101" s="226" t="e">
        <f aca="false">xSPRDOPT($L101,$J101,$I101,$M101,$O101,$N101,$P101,$Q101-$C$3,$R101,3)</f>
        <v>#NAME?</v>
      </c>
      <c r="AB101" s="226" t="e">
        <f aca="false">((xSPRDOPT($L101+AB$5,$J101,$I101,$M101,$O101,$N101,$P101,$Q101-$C$3,$R101,3)*$H101)/10000)/100</f>
        <v>#NAME?</v>
      </c>
      <c r="AC101" s="226" t="e">
        <f aca="false">((xSPRDOPT($L101+$AB$5,$J101,$I101,$M101,$O101,$N101,$P101,$Q101-$C$3,$R101,7)*$H101)/100)</f>
        <v>#NAME?</v>
      </c>
      <c r="AD101" s="226" t="e">
        <f aca="false">(xSPRDOPT($L101+$AB$5,$J101,$I101,$M101,$O101,$N101,$P101,$Q101-$C$3,$R101,9)/365)*$H101</f>
        <v>#NAME?</v>
      </c>
      <c r="AE101" s="0" t="e">
        <f aca="false">CD101</f>
        <v>#NAME?</v>
      </c>
      <c r="AF101" s="226" t="e">
        <f aca="false">((O101/N101)*AH101)+AG101</f>
        <v>#NAME?</v>
      </c>
      <c r="AG101" s="226" t="e">
        <f aca="false">((xSPRDOPT($L101,$J101,$I101,$M101,$O101,$N101,$P101,$Q101-$C$3,$R101,6)*$H101)/100)</f>
        <v>#NAME?</v>
      </c>
      <c r="AH101" s="226" t="e">
        <f aca="false">((xSPRDOPT($L101,$J101,$I101,$M101,$O101,$N101,$P101,$Q101-$C$3,$R101,5)*$H101)/100)</f>
        <v>#NAME?</v>
      </c>
      <c r="AI101" s="226" t="e">
        <f aca="false">(((xSPRDOPT($L101,$J101,$I101,$M101,$O101,$N101,$P101,$Q101-$C$3,$R101,4)*$H101)/10000)/100)-AB101</f>
        <v>#NAME?</v>
      </c>
      <c r="AJ101" s="226"/>
      <c r="AK101" s="226"/>
      <c r="AL101" s="226"/>
      <c r="AM101" s="252"/>
      <c r="AN101" s="208" t="n">
        <f aca="false">EOMONTH(AN100,0)+1</f>
        <v>39600</v>
      </c>
      <c r="AO101" s="134" t="n">
        <f aca="false">SUMIF($X:$X,CONCATENATE($AN101,AO$6),$T:$T)/10000</f>
        <v>0</v>
      </c>
      <c r="AP101" s="134" t="n">
        <f aca="false">SUMIF($X:$X,CONCATENATE($AN101,AP$6),$T:$T)/10000</f>
        <v>0</v>
      </c>
      <c r="AQ101" s="134" t="n">
        <f aca="false">SUMIF($X:$X,CONCATENATE($AN101,AQ$6),$T:$T)/10000</f>
        <v>0</v>
      </c>
      <c r="AR101" s="134" t="n">
        <f aca="false">SUMIF($X:$X,CONCATENATE($AN101,AR$6),$T:$T)/10000</f>
        <v>0</v>
      </c>
      <c r="AS101" s="134" t="n">
        <f aca="false">SUMIF($X:$X,CONCATENATE($AN101,AS$6),$T:$T)/10000</f>
        <v>0</v>
      </c>
      <c r="AT101" s="134" t="n">
        <f aca="false">SUMIF($X:$X,CONCATENATE($AN101,AT$6),$T:$T)/10000</f>
        <v>0</v>
      </c>
      <c r="AU101" s="134" t="n">
        <f aca="false">SUMIF($X:$X,CONCATENATE($AN101,AU$6),$T:$T)/10000</f>
        <v>0</v>
      </c>
      <c r="AV101" s="134" t="n">
        <f aca="false">SUMIF($X:$X,CONCATENATE($AN101,AV$6),$T:$T)/10000</f>
        <v>0</v>
      </c>
      <c r="AW101" s="134" t="n">
        <f aca="false">SUMIF($X:$X,CONCATENATE($AN101,AW$6),$T:$T)/10000</f>
        <v>0</v>
      </c>
      <c r="AX101" s="134" t="n">
        <f aca="false">SUMIF($X:$X,CONCATENATE($AN101,AX$6),$T:$T)/10000</f>
        <v>0</v>
      </c>
      <c r="AY101" s="134" t="n">
        <f aca="false">SUMIF($X:$X,CONCATENATE($AN101,AY$6),$T:$T)/10000</f>
        <v>0</v>
      </c>
      <c r="AZ101" s="134" t="n">
        <f aca="false">SUMIF($X:$X,CONCATENATE($AN101,AZ$6),$T:$T)/10000</f>
        <v>0</v>
      </c>
      <c r="BA101" s="135" t="n">
        <f aca="false">SUMIF($X:$X,CONCATENATE($AN101,BA$6),$T:$T)/10000</f>
        <v>0</v>
      </c>
      <c r="BB101" s="208" t="n">
        <f aca="false">EOMONTH(BB100,0)+1</f>
        <v>39600</v>
      </c>
      <c r="BC101" s="135" t="n">
        <f aca="false">SUM(AO101:BA101)</f>
        <v>0</v>
      </c>
      <c r="BD101" s="2"/>
      <c r="BE101" s="208" t="n">
        <f aca="false">EOMONTH(BE100,0)+1</f>
        <v>39600</v>
      </c>
      <c r="BF101" s="134" t="n">
        <f aca="false">SUMIF($X:$X,CONCATENATE($AN101,BF$6),$W:$W)</f>
        <v>0</v>
      </c>
      <c r="BG101" s="134" t="n">
        <f aca="false">SUMIF($X:$X,CONCATENATE($AN101,BG$6),$W:$W)</f>
        <v>0</v>
      </c>
      <c r="BH101" s="134" t="n">
        <f aca="false">SUMIF($X:$X,CONCATENATE($AN101,BH$6),$W:$W)</f>
        <v>0</v>
      </c>
      <c r="BI101" s="134" t="n">
        <f aca="false">SUMIF($X:$X,CONCATENATE($AN101,BI$6),$W:$W)</f>
        <v>0</v>
      </c>
      <c r="BJ101" s="134" t="n">
        <f aca="false">SUMIF($X:$X,CONCATENATE($AN101,BJ$6),$W:$W)</f>
        <v>0</v>
      </c>
      <c r="BK101" s="134" t="n">
        <f aca="false">SUMIF($X:$X,CONCATENATE($AN101,BK$6),$W:$W)</f>
        <v>0</v>
      </c>
      <c r="BL101" s="134" t="n">
        <f aca="false">SUMIF($X:$X,CONCATENATE($AN101,BL$6),$W:$W)</f>
        <v>0</v>
      </c>
      <c r="BM101" s="134" t="n">
        <f aca="false">SUMIF($X:$X,CONCATENATE($AN101,BM$6),$W:$W)</f>
        <v>0</v>
      </c>
      <c r="BN101" s="134" t="n">
        <f aca="false">SUMIF($X:$X,CONCATENATE($AN101,BN$6),$W:$W)</f>
        <v>0</v>
      </c>
      <c r="BO101" s="134" t="n">
        <f aca="false">SUMIF($X:$X,CONCATENATE($AN101,BO$6),$W:$W)</f>
        <v>0</v>
      </c>
      <c r="BP101" s="134" t="n">
        <f aca="false">SUMIF($X:$X,CONCATENATE($AN101,BP$6),$W:$W)</f>
        <v>0</v>
      </c>
      <c r="BQ101" s="134" t="n">
        <f aca="false">SUMIF($X:$X,CONCATENATE($AN101,BQ$6),$W:$W)</f>
        <v>0</v>
      </c>
      <c r="BR101" s="135" t="n">
        <f aca="false">SUMIF($X:$X,CONCATENATE($AN101,BR$6),$W:$W)</f>
        <v>0</v>
      </c>
      <c r="BS101" s="208" t="n">
        <f aca="false">EOMONTH(BS100,0)+1</f>
        <v>39600</v>
      </c>
      <c r="BT101" s="135" t="n">
        <f aca="false">SUM(BF101:BR101)</f>
        <v>0</v>
      </c>
      <c r="BU101" s="2"/>
      <c r="BV101" s="2"/>
      <c r="BW101" s="2"/>
      <c r="BX101" s="2"/>
      <c r="BY101" s="2"/>
      <c r="BZ101" s="2"/>
      <c r="CA101" s="2"/>
      <c r="CB101" s="2"/>
      <c r="CC101" s="182" t="n">
        <f aca="false">G101</f>
        <v>36800</v>
      </c>
      <c r="CD101" s="253" t="e">
        <f aca="false">xSPRDOPT((VLOOKUP(G101,NGPrices,2,FALSE())+HLOOKUP(D101,Prices,VLOOKUP(G101,move_down,2,FALSE()),FALSE())),VLOOKUP(G101,NGPrices,2,FALSE()),I101,VLOOKUP(G101,NGPREVPRICES,4,FALSE()),HLOOKUP(D101,PREVVOLS,VLOOKUP(G101,MOVE_DOWN2,2,FALSE()),FALSE()),VLOOKUP(G101,NGPREVPRICES,3,FALSE()),HLOOKUP(D101,Correllate,VLOOKUP(G101,CorMove,2,FALSE()),FALSE()),Q101-$CD$3,R101,$CD$5)*H101-CJ101</f>
        <v>#NAME?</v>
      </c>
      <c r="CE101" s="253" t="e">
        <f aca="false">xSPRDOPT((VLOOKUP(G101,NGPREVPRICES,2,FALSE())+HLOOKUP(D101,PREVCURVES,VLOOKUP(G101,MOVE_DOWN2,2,FALSE()),FALSE())),VLOOKUP(G101,NGPREVPRICES,2,FALSE()),CK101,VLOOKUP(G101,NGPrices,4,FALSE()),HLOOKUP(D101,PREVVOLS,VLOOKUP(G101,MOVE_DOWN2,2,FALSE()),FALSE()),VLOOKUP(G101,NGPREVPRICES,3,FALSE()),HLOOKUP(D101,Correllate,VLOOKUP(G101,CorMove,2,FALSE()),FALSE()),Q101-$CD$3,R101,$CJ$5)*H101-CJ101</f>
        <v>#NAME?</v>
      </c>
      <c r="CF101" s="132" t="e">
        <f aca="false">(CJ101/VLOOKUP(CC101,discount,3,FALSE()))-(CJ101/VLOOKUP(CC101,discount,2,FALSE()))</f>
        <v>#NAME?</v>
      </c>
      <c r="CG101" s="253" t="e">
        <f aca="false">xSPRDOPT((VLOOKUP(G101,NGPREVPRICES,2,FALSE())+HLOOKUP(D101,PREVCURVES,VLOOKUP(G101,MOVE_DOWN2,2,FALSE()),FALSE())),VLOOKUP(G101,NGPREVPRICES,2,FALSE()),CK101,VLOOKUP(G101,NGPREVPRICES,4,FALSE()),HLOOKUP(D101,VOLS,VLOOKUP(G101,move_down,2,FALSE()),FALSE()),VLOOKUP(G101,NGPrices,3,FALSE()),HLOOKUP(D101,Correllate,VLOOKUP(G101,CorMove,2,FALSE()),FALSE()),Q101-$CD$3,R101,$CJ$5)*H101-CJ101</f>
        <v>#NAME?</v>
      </c>
      <c r="CH101" s="253" t="e">
        <f aca="false">xSPRDOPT((VLOOKUP(G101,NGPREVPRICES,2,FALSE())+HLOOKUP(D101,PREVCURVES,VLOOKUP(G101,MOVE_DOWN2,2,FALSE()),FALSE())),VLOOKUP(G101,NGPREVPRICES,2,FALSE()),CK101,VLOOKUP(G101,NGPREVPRICES,4,FALSE()),HLOOKUP(D101,PREVVOLS,VLOOKUP(G101,MOVE_DOWN2,2,FALSE()),FALSE()),VLOOKUP(G101,NGPREVPRICES,3,FALSE()),HLOOKUP(D101,Correllate,VLOOKUP(G101,CorMove,2,FALSE()),FALSE()),Q101-$C$3,R101,$CJ$5)*H101-CJ101</f>
        <v>#NAME?</v>
      </c>
      <c r="CI101" s="253" t="e">
        <f aca="false">SUM(CD101:CH101)</f>
        <v>#NAME?</v>
      </c>
      <c r="CJ101" s="253" t="e">
        <f aca="false">xSPRDOPT((VLOOKUP(G101,NGPREVPRICES,2,FALSE())+HLOOKUP(D101,PREVCURVES,VLOOKUP(G101,MOVE_DOWN2,2,FALSE()),FALSE())),VLOOKUP(G101,NGPREVPRICES,2,FALSE()),CK101,VLOOKUP(G101,NGPREVPRICES,4,FALSE()),HLOOKUP(D101,PREVVOLS,VLOOKUP(G101,MOVE_DOWN2,2,FALSE()),FALSE()),VLOOKUP(G101,NGPREVPRICES,3,FALSE()),HLOOKUP(D101,Correllate,VLOOKUP(G101,CorMove,2,FALSE()),FALSE()),Q101-$CD$3,R101,$CJ$5)*H101</f>
        <v>#NAME?</v>
      </c>
      <c r="CK101" s="254" t="n">
        <f aca="false">I101</f>
        <v>0.32</v>
      </c>
      <c r="CL101" s="253"/>
      <c r="CM101" s="0" t="str">
        <f aca="false">CONCATENATE(CC101,$CD$6)</f>
        <v>36800Curve Shift/Gamma</v>
      </c>
      <c r="CN101" s="0" t="str">
        <f aca="false">CONCATENATE($CC101,$CE$6)</f>
        <v>36800Rho</v>
      </c>
      <c r="CO101" s="0" t="str">
        <f aca="false">CONCATENATE($CC101,$CF$6)</f>
        <v>36800Drift</v>
      </c>
      <c r="CP101" s="0" t="str">
        <f aca="false">CONCATENATE($CC101,$CG$6)</f>
        <v>36800Vega</v>
      </c>
      <c r="CQ101" s="0" t="str">
        <f aca="false">CONCATENATE($CC101,$CH$6)</f>
        <v>36800Theta</v>
      </c>
    </row>
    <row r="102" customFormat="false" ht="12" hidden="false" customHeight="true" outlineLevel="0" collapsed="false">
      <c r="A102" s="265" t="s">
        <v>198</v>
      </c>
      <c r="B102" s="0" t="s">
        <v>192</v>
      </c>
      <c r="C102" s="0" t="s">
        <v>240</v>
      </c>
      <c r="D102" s="7" t="s">
        <v>149</v>
      </c>
      <c r="E102" s="0" t="s">
        <v>131</v>
      </c>
      <c r="F102" s="0" t="s">
        <v>132</v>
      </c>
      <c r="G102" s="92" t="n">
        <v>36770</v>
      </c>
      <c r="H102" s="248" t="n">
        <v>-500000</v>
      </c>
      <c r="I102" s="0" t="n">
        <v>0.32</v>
      </c>
      <c r="J102" s="124" t="n">
        <f aca="false">VLOOKUP(G102,NGPrices,2,FALSE())</f>
        <v>4.685</v>
      </c>
      <c r="K102" s="125" t="n">
        <f aca="false">HLOOKUP(D102,Prices,VLOOKUP(G102,move_down,2,FALSE()),FALSE())+VLOOKUP(G102,CHANGE,HLOOKUP(D102,CHANGE,2,FALSE()),FALSE())</f>
        <v>0.315</v>
      </c>
      <c r="L102" s="124" t="n">
        <f aca="false">K102+J102</f>
        <v>5</v>
      </c>
      <c r="M102" s="126" t="n">
        <f aca="false">VLOOKUP(G102,NGPrices,4,FALSE())</f>
        <v>0.067216196212185</v>
      </c>
      <c r="N102" s="7" t="n">
        <f aca="false">VLOOKUP(G102,NGPrices,3,FALSE())</f>
        <v>0.4</v>
      </c>
      <c r="O102" s="7" t="n">
        <f aca="false">HLOOKUP(D102,VOLS,VLOOKUP(G102,move_down,2,FALSE()),FALSE())</f>
        <v>0.392</v>
      </c>
      <c r="P102" s="249" t="n">
        <f aca="false">HLOOKUP(D102,Correllate,VLOOKUP(G102,CorMove,2,FALSE()),FALSE())</f>
        <v>0.9925</v>
      </c>
      <c r="Q102" s="92" t="n">
        <f aca="false">WORKDAY(G102,-2)</f>
        <v>36768</v>
      </c>
      <c r="R102" s="7" t="n">
        <f aca="false">IF(F102="P",0,1)</f>
        <v>0</v>
      </c>
      <c r="S102" s="130" t="e">
        <f aca="false">xSPRDOPT($L102,$J102,$I102,$M102,$O102,$N102,$P102,$Q102-$C$3,$R102,0)</f>
        <v>#NAME?</v>
      </c>
      <c r="T102" s="250" t="e">
        <f aca="false">xSPRDOPT($L102,$J102,$I102,$M102,$O102,$N102,$P102,$Q102-$C$3,$R102,1)*H102</f>
        <v>#NAME?</v>
      </c>
      <c r="U102" s="43" t="e">
        <f aca="false">S102*H102</f>
        <v>#NAME?</v>
      </c>
      <c r="V102" s="250" t="e">
        <f aca="false">xSPRDOPT($L102,$J102,$I102,$M102,$O102,$N102,$P102,$Q102-$C$3,$R102,2)*H102</f>
        <v>#NAME?</v>
      </c>
      <c r="W102" s="250" t="e">
        <f aca="false">+V102+T102</f>
        <v>#NAME?</v>
      </c>
      <c r="X102" s="2" t="str">
        <f aca="false">CONCATENATE(G102,D102)</f>
        <v>36770IF-TRANSCO/Z6</v>
      </c>
      <c r="Y102" s="251" t="n">
        <f aca="false">H102/10000</f>
        <v>-50</v>
      </c>
      <c r="Z102" s="226" t="e">
        <f aca="false">T102/H102</f>
        <v>#NAME?</v>
      </c>
      <c r="AA102" s="226" t="e">
        <f aca="false">xSPRDOPT($L102,$J102,$I102,$M102,$O102,$N102,$P102,$Q102-$C$3,$R102,3)</f>
        <v>#NAME?</v>
      </c>
      <c r="AB102" s="226" t="e">
        <f aca="false">((xSPRDOPT($L102+AB$5,$J102,$I102,$M102,$O102,$N102,$P102,$Q102-$C$3,$R102,3)*$H102)/10000)/100</f>
        <v>#NAME?</v>
      </c>
      <c r="AC102" s="226" t="e">
        <f aca="false">((xSPRDOPT($L102+$AB$5,$J102,$I102,$M102,$O102,$N102,$P102,$Q102-$C$3,$R102,7)*$H102)/100)</f>
        <v>#NAME?</v>
      </c>
      <c r="AD102" s="226" t="e">
        <f aca="false">(xSPRDOPT($L102+$AB$5,$J102,$I102,$M102,$O102,$N102,$P102,$Q102-$C$3,$R102,9)/365)*$H102</f>
        <v>#NAME?</v>
      </c>
      <c r="AE102" s="0" t="e">
        <f aca="false">CD102</f>
        <v>#NAME?</v>
      </c>
      <c r="AF102" s="226" t="e">
        <f aca="false">((O102/N102)*AH102)+AG102</f>
        <v>#NAME?</v>
      </c>
      <c r="AG102" s="226" t="e">
        <f aca="false">((xSPRDOPT($L102,$J102,$I102,$M102,$O102,$N102,$P102,$Q102-$C$3,$R102,6)*$H102)/100)</f>
        <v>#NAME?</v>
      </c>
      <c r="AH102" s="226" t="e">
        <f aca="false">((xSPRDOPT($L102,$J102,$I102,$M102,$O102,$N102,$P102,$Q102-$C$3,$R102,5)*$H102)/100)</f>
        <v>#NAME?</v>
      </c>
      <c r="AI102" s="226" t="e">
        <f aca="false">(((xSPRDOPT($L102,$J102,$I102,$M102,$O102,$N102,$P102,$Q102-$C$3,$R102,4)*$H102)/10000)/100)-AB102</f>
        <v>#NAME?</v>
      </c>
      <c r="AJ102" s="226"/>
      <c r="AK102" s="226"/>
      <c r="AL102" s="226"/>
      <c r="AM102" s="252"/>
      <c r="AN102" s="208" t="n">
        <f aca="false">EOMONTH(AN101,0)+1</f>
        <v>39630</v>
      </c>
      <c r="AO102" s="134" t="n">
        <f aca="false">SUMIF($X:$X,CONCATENATE($AN102,AO$6),$T:$T)/10000</f>
        <v>0</v>
      </c>
      <c r="AP102" s="134" t="n">
        <f aca="false">SUMIF($X:$X,CONCATENATE($AN102,AP$6),$T:$T)/10000</f>
        <v>0</v>
      </c>
      <c r="AQ102" s="134" t="n">
        <f aca="false">SUMIF($X:$X,CONCATENATE($AN102,AQ$6),$T:$T)/10000</f>
        <v>0</v>
      </c>
      <c r="AR102" s="134" t="n">
        <f aca="false">SUMIF($X:$X,CONCATENATE($AN102,AR$6),$T:$T)/10000</f>
        <v>0</v>
      </c>
      <c r="AS102" s="134" t="n">
        <f aca="false">SUMIF($X:$X,CONCATENATE($AN102,AS$6),$T:$T)/10000</f>
        <v>0</v>
      </c>
      <c r="AT102" s="134" t="n">
        <f aca="false">SUMIF($X:$X,CONCATENATE($AN102,AT$6),$T:$T)/10000</f>
        <v>0</v>
      </c>
      <c r="AU102" s="134" t="n">
        <f aca="false">SUMIF($X:$X,CONCATENATE($AN102,AU$6),$T:$T)/10000</f>
        <v>0</v>
      </c>
      <c r="AV102" s="134" t="n">
        <f aca="false">SUMIF($X:$X,CONCATENATE($AN102,AV$6),$T:$T)/10000</f>
        <v>0</v>
      </c>
      <c r="AW102" s="134" t="n">
        <f aca="false">SUMIF($X:$X,CONCATENATE($AN102,AW$6),$T:$T)/10000</f>
        <v>0</v>
      </c>
      <c r="AX102" s="134" t="n">
        <f aca="false">SUMIF($X:$X,CONCATENATE($AN102,AX$6),$T:$T)/10000</f>
        <v>0</v>
      </c>
      <c r="AY102" s="134" t="n">
        <f aca="false">SUMIF($X:$X,CONCATENATE($AN102,AY$6),$T:$T)/10000</f>
        <v>0</v>
      </c>
      <c r="AZ102" s="134" t="n">
        <f aca="false">SUMIF($X:$X,CONCATENATE($AN102,AZ$6),$T:$T)/10000</f>
        <v>0</v>
      </c>
      <c r="BA102" s="135" t="n">
        <f aca="false">SUMIF($X:$X,CONCATENATE($AN102,BA$6),$T:$T)/10000</f>
        <v>0</v>
      </c>
      <c r="BB102" s="208" t="n">
        <f aca="false">EOMONTH(BB101,0)+1</f>
        <v>39630</v>
      </c>
      <c r="BC102" s="135" t="n">
        <f aca="false">SUM(AO102:BA102)</f>
        <v>0</v>
      </c>
      <c r="BD102" s="2"/>
      <c r="BE102" s="208" t="n">
        <f aca="false">EOMONTH(BE101,0)+1</f>
        <v>39630</v>
      </c>
      <c r="BF102" s="134" t="n">
        <f aca="false">SUMIF($X:$X,CONCATENATE($AN102,BF$6),$W:$W)</f>
        <v>0</v>
      </c>
      <c r="BG102" s="134" t="n">
        <f aca="false">SUMIF($X:$X,CONCATENATE($AN102,BG$6),$W:$W)</f>
        <v>0</v>
      </c>
      <c r="BH102" s="134" t="n">
        <f aca="false">SUMIF($X:$X,CONCATENATE($AN102,BH$6),$W:$W)</f>
        <v>0</v>
      </c>
      <c r="BI102" s="134" t="n">
        <f aca="false">SUMIF($X:$X,CONCATENATE($AN102,BI$6),$W:$W)</f>
        <v>0</v>
      </c>
      <c r="BJ102" s="134" t="n">
        <f aca="false">SUMIF($X:$X,CONCATENATE($AN102,BJ$6),$W:$W)</f>
        <v>0</v>
      </c>
      <c r="BK102" s="134" t="n">
        <f aca="false">SUMIF($X:$X,CONCATENATE($AN102,BK$6),$W:$W)</f>
        <v>0</v>
      </c>
      <c r="BL102" s="134" t="n">
        <f aca="false">SUMIF($X:$X,CONCATENATE($AN102,BL$6),$W:$W)</f>
        <v>0</v>
      </c>
      <c r="BM102" s="134" t="n">
        <f aca="false">SUMIF($X:$X,CONCATENATE($AN102,BM$6),$W:$W)</f>
        <v>0</v>
      </c>
      <c r="BN102" s="134" t="n">
        <f aca="false">SUMIF($X:$X,CONCATENATE($AN102,BN$6),$W:$W)</f>
        <v>0</v>
      </c>
      <c r="BO102" s="134" t="n">
        <f aca="false">SUMIF($X:$X,CONCATENATE($AN102,BO$6),$W:$W)</f>
        <v>0</v>
      </c>
      <c r="BP102" s="134" t="n">
        <f aca="false">SUMIF($X:$X,CONCATENATE($AN102,BP$6),$W:$W)</f>
        <v>0</v>
      </c>
      <c r="BQ102" s="134" t="n">
        <f aca="false">SUMIF($X:$X,CONCATENATE($AN102,BQ$6),$W:$W)</f>
        <v>0</v>
      </c>
      <c r="BR102" s="135" t="n">
        <f aca="false">SUMIF($X:$X,CONCATENATE($AN102,BR$6),$W:$W)</f>
        <v>0</v>
      </c>
      <c r="BS102" s="208" t="n">
        <f aca="false">EOMONTH(BS101,0)+1</f>
        <v>39630</v>
      </c>
      <c r="BT102" s="135" t="n">
        <f aca="false">SUM(BF102:BR102)</f>
        <v>0</v>
      </c>
      <c r="BU102" s="2"/>
      <c r="BV102" s="2"/>
      <c r="BW102" s="2"/>
      <c r="BX102" s="2"/>
      <c r="BY102" s="2"/>
      <c r="BZ102" s="2"/>
      <c r="CA102" s="2"/>
      <c r="CB102" s="2"/>
      <c r="CC102" s="182" t="n">
        <f aca="false">G102</f>
        <v>36770</v>
      </c>
      <c r="CD102" s="253" t="e">
        <f aca="false">xSPRDOPT((VLOOKUP(G102,NGPrices,2,FALSE())+HLOOKUP(D102,Prices,VLOOKUP(G102,move_down,2,FALSE()),FALSE())),VLOOKUP(G102,NGPrices,2,FALSE()),I102,VLOOKUP(G102,NGPREVPRICES,4,FALSE()),HLOOKUP(D102,PREVVOLS,VLOOKUP(G102,MOVE_DOWN2,2,FALSE()),FALSE()),VLOOKUP(G102,NGPREVPRICES,3,FALSE()),HLOOKUP(D102,Correllate,VLOOKUP(G102,CorMove,2,FALSE()),FALSE()),Q102-$CD$3,R102,$CD$5)*H102-CJ102</f>
        <v>#NAME?</v>
      </c>
      <c r="CE102" s="253" t="e">
        <f aca="false">xSPRDOPT((VLOOKUP(G102,NGPREVPRICES,2,FALSE())+HLOOKUP(D102,PREVCURVES,VLOOKUP(G102,MOVE_DOWN2,2,FALSE()),FALSE())),VLOOKUP(G102,NGPREVPRICES,2,FALSE()),CK102,VLOOKUP(G102,NGPrices,4,FALSE()),HLOOKUP(D102,PREVVOLS,VLOOKUP(G102,MOVE_DOWN2,2,FALSE()),FALSE()),VLOOKUP(G102,NGPREVPRICES,3,FALSE()),HLOOKUP(D102,Correllate,VLOOKUP(G102,CorMove,2,FALSE()),FALSE()),Q102-$CD$3,R102,$CJ$5)*H102-CJ102</f>
        <v>#NAME?</v>
      </c>
      <c r="CF102" s="132" t="e">
        <f aca="false">(CJ102/VLOOKUP(CC102,discount,3,FALSE()))-(CJ102/VLOOKUP(CC102,discount,2,FALSE()))</f>
        <v>#NAME?</v>
      </c>
      <c r="CG102" s="253" t="e">
        <f aca="false">xSPRDOPT((VLOOKUP(G102,NGPREVPRICES,2,FALSE())+HLOOKUP(D102,PREVCURVES,VLOOKUP(G102,MOVE_DOWN2,2,FALSE()),FALSE())),VLOOKUP(G102,NGPREVPRICES,2,FALSE()),CK102,VLOOKUP(G102,NGPREVPRICES,4,FALSE()),HLOOKUP(D102,VOLS,VLOOKUP(G102,move_down,2,FALSE()),FALSE()),VLOOKUP(G102,NGPrices,3,FALSE()),HLOOKUP(D102,Correllate,VLOOKUP(G102,CorMove,2,FALSE()),FALSE()),Q102-$CD$3,R102,$CJ$5)*H102-CJ102</f>
        <v>#NAME?</v>
      </c>
      <c r="CH102" s="253" t="e">
        <f aca="false">xSPRDOPT((VLOOKUP(G102,NGPREVPRICES,2,FALSE())+HLOOKUP(D102,PREVCURVES,VLOOKUP(G102,MOVE_DOWN2,2,FALSE()),FALSE())),VLOOKUP(G102,NGPREVPRICES,2,FALSE()),CK102,VLOOKUP(G102,NGPREVPRICES,4,FALSE()),HLOOKUP(D102,PREVVOLS,VLOOKUP(G102,MOVE_DOWN2,2,FALSE()),FALSE()),VLOOKUP(G102,NGPREVPRICES,3,FALSE()),HLOOKUP(D102,Correllate,VLOOKUP(G102,CorMove,2,FALSE()),FALSE()),Q102-$C$3,R102,$CJ$5)*H102-CJ102</f>
        <v>#NAME?</v>
      </c>
      <c r="CI102" s="253" t="e">
        <f aca="false">SUM(CD102:CH102)</f>
        <v>#NAME?</v>
      </c>
      <c r="CJ102" s="253" t="e">
        <f aca="false">xSPRDOPT((VLOOKUP(G102,NGPREVPRICES,2,FALSE())+HLOOKUP(D102,PREVCURVES,VLOOKUP(G102,MOVE_DOWN2,2,FALSE()),FALSE())),VLOOKUP(G102,NGPREVPRICES,2,FALSE()),CK102,VLOOKUP(G102,NGPREVPRICES,4,FALSE()),HLOOKUP(D102,PREVVOLS,VLOOKUP(G102,MOVE_DOWN2,2,FALSE()),FALSE()),VLOOKUP(G102,NGPREVPRICES,3,FALSE()),HLOOKUP(D102,Correllate,VLOOKUP(G102,CorMove,2,FALSE()),FALSE()),Q102-$CD$3,R102,$CJ$5)*H102</f>
        <v>#NAME?</v>
      </c>
      <c r="CK102" s="254" t="n">
        <f aca="false">I102</f>
        <v>0.32</v>
      </c>
      <c r="CL102" s="253"/>
      <c r="CM102" s="0" t="str">
        <f aca="false">CONCATENATE(CC102,$CD$6)</f>
        <v>36770Curve Shift/Gamma</v>
      </c>
      <c r="CN102" s="0" t="str">
        <f aca="false">CONCATENATE($CC102,$CE$6)</f>
        <v>36770Rho</v>
      </c>
      <c r="CO102" s="0" t="str">
        <f aca="false">CONCATENATE($CC102,$CF$6)</f>
        <v>36770Drift</v>
      </c>
      <c r="CP102" s="0" t="str">
        <f aca="false">CONCATENATE($CC102,$CG$6)</f>
        <v>36770Vega</v>
      </c>
      <c r="CQ102" s="0" t="str">
        <f aca="false">CONCATENATE($CC102,$CH$6)</f>
        <v>36770Theta</v>
      </c>
    </row>
    <row r="103" customFormat="false" ht="12" hidden="false" customHeight="true" outlineLevel="0" collapsed="false">
      <c r="A103" s="265" t="s">
        <v>198</v>
      </c>
      <c r="B103" s="0" t="s">
        <v>192</v>
      </c>
      <c r="C103" s="0" t="s">
        <v>241</v>
      </c>
      <c r="D103" s="7" t="s">
        <v>149</v>
      </c>
      <c r="E103" s="0" t="s">
        <v>131</v>
      </c>
      <c r="F103" s="0" t="s">
        <v>132</v>
      </c>
      <c r="G103" s="92" t="n">
        <v>36800</v>
      </c>
      <c r="H103" s="248" t="n">
        <v>-250000</v>
      </c>
      <c r="I103" s="0" t="n">
        <v>0.32</v>
      </c>
      <c r="J103" s="124" t="n">
        <f aca="false">VLOOKUP(G103,NGPrices,2,FALSE())</f>
        <v>4.692</v>
      </c>
      <c r="K103" s="125" t="n">
        <f aca="false">HLOOKUP(D103,Prices,VLOOKUP(G103,move_down,2,FALSE()),FALSE())+VLOOKUP(G103,CHANGE,HLOOKUP(D103,CHANGE,2,FALSE()),FALSE())</f>
        <v>0.415</v>
      </c>
      <c r="L103" s="124" t="n">
        <f aca="false">K103+J103</f>
        <v>5.107</v>
      </c>
      <c r="M103" s="126" t="n">
        <f aca="false">VLOOKUP(G103,NGPrices,4,FALSE())</f>
        <v>0.068050789414654</v>
      </c>
      <c r="N103" s="7" t="n">
        <f aca="false">VLOOKUP(G103,NGPrices,3,FALSE())</f>
        <v>0.575</v>
      </c>
      <c r="O103" s="7" t="n">
        <f aca="false">HLOOKUP(D103,VOLS,VLOOKUP(G103,move_down,2,FALSE()),FALSE())</f>
        <v>0.564</v>
      </c>
      <c r="P103" s="249" t="n">
        <f aca="false">HLOOKUP(D103,Correllate,VLOOKUP(G103,CorMove,2,FALSE()),FALSE())</f>
        <v>0.9925</v>
      </c>
      <c r="Q103" s="92" t="n">
        <f aca="false">WORKDAY(G103,-2)</f>
        <v>36797</v>
      </c>
      <c r="R103" s="7" t="n">
        <f aca="false">IF(F103="P",0,1)</f>
        <v>0</v>
      </c>
      <c r="S103" s="130" t="e">
        <f aca="false">xSPRDOPT($L103,$J103,$I103,$M103,$O103,$N103,$P103,$Q103-$C$3,$R103,0)</f>
        <v>#NAME?</v>
      </c>
      <c r="T103" s="250" t="e">
        <f aca="false">xSPRDOPT($L103,$J103,$I103,$M103,$O103,$N103,$P103,$Q103-$C$3,$R103,1)*H103</f>
        <v>#NAME?</v>
      </c>
      <c r="U103" s="43" t="e">
        <f aca="false">S103*H103</f>
        <v>#NAME?</v>
      </c>
      <c r="V103" s="250" t="e">
        <f aca="false">xSPRDOPT($L103,$J103,$I103,$M103,$O103,$N103,$P103,$Q103-$C$3,$R103,2)*H103</f>
        <v>#NAME?</v>
      </c>
      <c r="W103" s="250" t="e">
        <f aca="false">+V103+T103</f>
        <v>#NAME?</v>
      </c>
      <c r="X103" s="2" t="str">
        <f aca="false">CONCATENATE(G103,D103)</f>
        <v>36800IF-TRANSCO/Z6</v>
      </c>
      <c r="Y103" s="251" t="n">
        <f aca="false">H103/10000</f>
        <v>-25</v>
      </c>
      <c r="Z103" s="226" t="e">
        <f aca="false">T103/H103</f>
        <v>#NAME?</v>
      </c>
      <c r="AA103" s="226" t="e">
        <f aca="false">xSPRDOPT($L103,$J103,$I103,$M103,$O103,$N103,$P103,$Q103-$C$3,$R103,3)</f>
        <v>#NAME?</v>
      </c>
      <c r="AB103" s="226" t="e">
        <f aca="false">((xSPRDOPT($L103+AB$5,$J103,$I103,$M103,$O103,$N103,$P103,$Q103-$C$3,$R103,3)*$H103)/10000)/100</f>
        <v>#NAME?</v>
      </c>
      <c r="AC103" s="226" t="e">
        <f aca="false">((xSPRDOPT($L103+$AB$5,$J103,$I103,$M103,$O103,$N103,$P103,$Q103-$C$3,$R103,7)*$H103)/100)</f>
        <v>#NAME?</v>
      </c>
      <c r="AD103" s="226" t="e">
        <f aca="false">(xSPRDOPT($L103+$AB$5,$J103,$I103,$M103,$O103,$N103,$P103,$Q103-$C$3,$R103,9)/365)*$H103</f>
        <v>#NAME?</v>
      </c>
      <c r="AE103" s="0" t="e">
        <f aca="false">CD103</f>
        <v>#NAME?</v>
      </c>
      <c r="AF103" s="226" t="e">
        <f aca="false">((O103/N103)*AH103)+AG103</f>
        <v>#NAME?</v>
      </c>
      <c r="AG103" s="226" t="e">
        <f aca="false">((xSPRDOPT($L103,$J103,$I103,$M103,$O103,$N103,$P103,$Q103-$C$3,$R103,6)*$H103)/100)</f>
        <v>#NAME?</v>
      </c>
      <c r="AH103" s="226" t="e">
        <f aca="false">((xSPRDOPT($L103,$J103,$I103,$M103,$O103,$N103,$P103,$Q103-$C$3,$R103,5)*$H103)/100)</f>
        <v>#NAME?</v>
      </c>
      <c r="AI103" s="226" t="e">
        <f aca="false">(((xSPRDOPT($L103,$J103,$I103,$M103,$O103,$N103,$P103,$Q103-$C$3,$R103,4)*$H103)/10000)/100)-AB103</f>
        <v>#NAME?</v>
      </c>
      <c r="AJ103" s="226"/>
      <c r="AK103" s="226"/>
      <c r="AL103" s="226"/>
      <c r="AM103" s="252"/>
      <c r="AN103" s="208" t="n">
        <f aca="false">EOMONTH(AN102,0)+1</f>
        <v>39661</v>
      </c>
      <c r="AO103" s="134" t="n">
        <f aca="false">SUMIF($X:$X,CONCATENATE($AN103,AO$6),$T:$T)/10000</f>
        <v>0</v>
      </c>
      <c r="AP103" s="134" t="n">
        <f aca="false">SUMIF($X:$X,CONCATENATE($AN103,AP$6),$T:$T)/10000</f>
        <v>0</v>
      </c>
      <c r="AQ103" s="134" t="n">
        <f aca="false">SUMIF($X:$X,CONCATENATE($AN103,AQ$6),$T:$T)/10000</f>
        <v>0</v>
      </c>
      <c r="AR103" s="134" t="n">
        <f aca="false">SUMIF($X:$X,CONCATENATE($AN103,AR$6),$T:$T)/10000</f>
        <v>0</v>
      </c>
      <c r="AS103" s="134" t="n">
        <f aca="false">SUMIF($X:$X,CONCATENATE($AN103,AS$6),$T:$T)/10000</f>
        <v>0</v>
      </c>
      <c r="AT103" s="134" t="n">
        <f aca="false">SUMIF($X:$X,CONCATENATE($AN103,AT$6),$T:$T)/10000</f>
        <v>0</v>
      </c>
      <c r="AU103" s="134" t="n">
        <f aca="false">SUMIF($X:$X,CONCATENATE($AN103,AU$6),$T:$T)/10000</f>
        <v>0</v>
      </c>
      <c r="AV103" s="134" t="n">
        <f aca="false">SUMIF($X:$X,CONCATENATE($AN103,AV$6),$T:$T)/10000</f>
        <v>0</v>
      </c>
      <c r="AW103" s="134" t="n">
        <f aca="false">SUMIF($X:$X,CONCATENATE($AN103,AW$6),$T:$T)/10000</f>
        <v>0</v>
      </c>
      <c r="AX103" s="134" t="n">
        <f aca="false">SUMIF($X:$X,CONCATENATE($AN103,AX$6),$T:$T)/10000</f>
        <v>0</v>
      </c>
      <c r="AY103" s="134" t="n">
        <f aca="false">SUMIF($X:$X,CONCATENATE($AN103,AY$6),$T:$T)/10000</f>
        <v>0</v>
      </c>
      <c r="AZ103" s="134" t="n">
        <f aca="false">SUMIF($X:$X,CONCATENATE($AN103,AZ$6),$T:$T)/10000</f>
        <v>0</v>
      </c>
      <c r="BA103" s="135" t="n">
        <f aca="false">SUMIF($X:$X,CONCATENATE($AN103,BA$6),$T:$T)/10000</f>
        <v>0</v>
      </c>
      <c r="BB103" s="208" t="n">
        <f aca="false">EOMONTH(BB102,0)+1</f>
        <v>39661</v>
      </c>
      <c r="BC103" s="135" t="n">
        <f aca="false">SUM(AO103:BA103)</f>
        <v>0</v>
      </c>
      <c r="BD103" s="2"/>
      <c r="BE103" s="208" t="n">
        <f aca="false">EOMONTH(BE102,0)+1</f>
        <v>39661</v>
      </c>
      <c r="BF103" s="134" t="n">
        <f aca="false">SUMIF($X:$X,CONCATENATE($AN103,BF$6),$W:$W)</f>
        <v>0</v>
      </c>
      <c r="BG103" s="134" t="n">
        <f aca="false">SUMIF($X:$X,CONCATENATE($AN103,BG$6),$W:$W)</f>
        <v>0</v>
      </c>
      <c r="BH103" s="134" t="n">
        <f aca="false">SUMIF($X:$X,CONCATENATE($AN103,BH$6),$W:$W)</f>
        <v>0</v>
      </c>
      <c r="BI103" s="134" t="n">
        <f aca="false">SUMIF($X:$X,CONCATENATE($AN103,BI$6),$W:$W)</f>
        <v>0</v>
      </c>
      <c r="BJ103" s="134" t="n">
        <f aca="false">SUMIF($X:$X,CONCATENATE($AN103,BJ$6),$W:$W)</f>
        <v>0</v>
      </c>
      <c r="BK103" s="134" t="n">
        <f aca="false">SUMIF($X:$X,CONCATENATE($AN103,BK$6),$W:$W)</f>
        <v>0</v>
      </c>
      <c r="BL103" s="134" t="n">
        <f aca="false">SUMIF($X:$X,CONCATENATE($AN103,BL$6),$W:$W)</f>
        <v>0</v>
      </c>
      <c r="BM103" s="134" t="n">
        <f aca="false">SUMIF($X:$X,CONCATENATE($AN103,BM$6),$W:$W)</f>
        <v>0</v>
      </c>
      <c r="BN103" s="134" t="n">
        <f aca="false">SUMIF($X:$X,CONCATENATE($AN103,BN$6),$W:$W)</f>
        <v>0</v>
      </c>
      <c r="BO103" s="134" t="n">
        <f aca="false">SUMIF($X:$X,CONCATENATE($AN103,BO$6),$W:$W)</f>
        <v>0</v>
      </c>
      <c r="BP103" s="134" t="n">
        <f aca="false">SUMIF($X:$X,CONCATENATE($AN103,BP$6),$W:$W)</f>
        <v>0</v>
      </c>
      <c r="BQ103" s="134" t="n">
        <f aca="false">SUMIF($X:$X,CONCATENATE($AN103,BQ$6),$W:$W)</f>
        <v>0</v>
      </c>
      <c r="BR103" s="135" t="n">
        <f aca="false">SUMIF($X:$X,CONCATENATE($AN103,BR$6),$W:$W)</f>
        <v>0</v>
      </c>
      <c r="BS103" s="208" t="n">
        <f aca="false">EOMONTH(BS102,0)+1</f>
        <v>39661</v>
      </c>
      <c r="BT103" s="135" t="n">
        <f aca="false">SUM(BF103:BR103)</f>
        <v>0</v>
      </c>
      <c r="BU103" s="2"/>
      <c r="BV103" s="2"/>
      <c r="BW103" s="2"/>
      <c r="BX103" s="2"/>
      <c r="BY103" s="2"/>
      <c r="BZ103" s="2"/>
      <c r="CA103" s="2"/>
      <c r="CB103" s="2"/>
      <c r="CC103" s="182" t="n">
        <f aca="false">G103</f>
        <v>36800</v>
      </c>
      <c r="CD103" s="253" t="e">
        <f aca="false">xSPRDOPT((VLOOKUP(G103,NGPrices,2,FALSE())+HLOOKUP(D103,Prices,VLOOKUP(G103,move_down,2,FALSE()),FALSE())),VLOOKUP(G103,NGPrices,2,FALSE()),I103,VLOOKUP(G103,NGPREVPRICES,4,FALSE()),HLOOKUP(D103,PREVVOLS,VLOOKUP(G103,MOVE_DOWN2,2,FALSE()),FALSE()),VLOOKUP(G103,NGPREVPRICES,3,FALSE()),HLOOKUP(D103,Correllate,VLOOKUP(G103,CorMove,2,FALSE()),FALSE()),Q103-$CD$3,R103,$CD$5)*H103-CJ103</f>
        <v>#NAME?</v>
      </c>
      <c r="CE103" s="253" t="e">
        <f aca="false">xSPRDOPT((VLOOKUP(G103,NGPREVPRICES,2,FALSE())+HLOOKUP(D103,PREVCURVES,VLOOKUP(G103,MOVE_DOWN2,2,FALSE()),FALSE())),VLOOKUP(G103,NGPREVPRICES,2,FALSE()),CK103,VLOOKUP(G103,NGPrices,4,FALSE()),HLOOKUP(D103,PREVVOLS,VLOOKUP(G103,MOVE_DOWN2,2,FALSE()),FALSE()),VLOOKUP(G103,NGPREVPRICES,3,FALSE()),HLOOKUP(D103,Correllate,VLOOKUP(G103,CorMove,2,FALSE()),FALSE()),Q103-$CD$3,R103,$CJ$5)*H103-CJ103</f>
        <v>#NAME?</v>
      </c>
      <c r="CF103" s="132" t="e">
        <f aca="false">(CJ103/VLOOKUP(CC103,discount,3,FALSE()))-(CJ103/VLOOKUP(CC103,discount,2,FALSE()))</f>
        <v>#NAME?</v>
      </c>
      <c r="CG103" s="253" t="e">
        <f aca="false">xSPRDOPT((VLOOKUP(G103,NGPREVPRICES,2,FALSE())+HLOOKUP(D103,PREVCURVES,VLOOKUP(G103,MOVE_DOWN2,2,FALSE()),FALSE())),VLOOKUP(G103,NGPREVPRICES,2,FALSE()),CK103,VLOOKUP(G103,NGPREVPRICES,4,FALSE()),HLOOKUP(D103,VOLS,VLOOKUP(G103,move_down,2,FALSE()),FALSE()),VLOOKUP(G103,NGPrices,3,FALSE()),HLOOKUP(D103,Correllate,VLOOKUP(G103,CorMove,2,FALSE()),FALSE()),Q103-$CD$3,R103,$CJ$5)*H103-CJ103</f>
        <v>#NAME?</v>
      </c>
      <c r="CH103" s="253" t="e">
        <f aca="false">xSPRDOPT((VLOOKUP(G103,NGPREVPRICES,2,FALSE())+HLOOKUP(D103,PREVCURVES,VLOOKUP(G103,MOVE_DOWN2,2,FALSE()),FALSE())),VLOOKUP(G103,NGPREVPRICES,2,FALSE()),CK103,VLOOKUP(G103,NGPREVPRICES,4,FALSE()),HLOOKUP(D103,PREVVOLS,VLOOKUP(G103,MOVE_DOWN2,2,FALSE()),FALSE()),VLOOKUP(G103,NGPREVPRICES,3,FALSE()),HLOOKUP(D103,Correllate,VLOOKUP(G103,CorMove,2,FALSE()),FALSE()),Q103-$C$3,R103,$CJ$5)*H103-CJ103</f>
        <v>#NAME?</v>
      </c>
      <c r="CI103" s="253" t="e">
        <f aca="false">SUM(CD103:CH103)</f>
        <v>#NAME?</v>
      </c>
      <c r="CJ103" s="253" t="e">
        <f aca="false">xSPRDOPT((VLOOKUP(G103,NGPREVPRICES,2,FALSE())+HLOOKUP(D103,PREVCURVES,VLOOKUP(G103,MOVE_DOWN2,2,FALSE()),FALSE())),VLOOKUP(G103,NGPREVPRICES,2,FALSE()),CK103,VLOOKUP(G103,NGPREVPRICES,4,FALSE()),HLOOKUP(D103,PREVVOLS,VLOOKUP(G103,MOVE_DOWN2,2,FALSE()),FALSE()),VLOOKUP(G103,NGPREVPRICES,3,FALSE()),HLOOKUP(D103,Correllate,VLOOKUP(G103,CorMove,2,FALSE()),FALSE()),Q103-$CD$3,R103,$CJ$5)*H103</f>
        <v>#NAME?</v>
      </c>
      <c r="CK103" s="254" t="n">
        <f aca="false">I103</f>
        <v>0.32</v>
      </c>
      <c r="CL103" s="253"/>
      <c r="CM103" s="0" t="str">
        <f aca="false">CONCATENATE(CC103,$CD$6)</f>
        <v>36800Curve Shift/Gamma</v>
      </c>
      <c r="CN103" s="0" t="str">
        <f aca="false">CONCATENATE($CC103,$CE$6)</f>
        <v>36800Rho</v>
      </c>
      <c r="CO103" s="0" t="str">
        <f aca="false">CONCATENATE($CC103,$CF$6)</f>
        <v>36800Drift</v>
      </c>
      <c r="CP103" s="0" t="str">
        <f aca="false">CONCATENATE($CC103,$CG$6)</f>
        <v>36800Vega</v>
      </c>
      <c r="CQ103" s="0" t="str">
        <f aca="false">CONCATENATE($CC103,$CH$6)</f>
        <v>36800Theta</v>
      </c>
    </row>
    <row r="104" customFormat="false" ht="12" hidden="false" customHeight="true" outlineLevel="0" collapsed="false">
      <c r="A104" s="265" t="s">
        <v>198</v>
      </c>
      <c r="B104" s="0" t="s">
        <v>192</v>
      </c>
      <c r="C104" s="0" t="s">
        <v>241</v>
      </c>
      <c r="D104" s="7" t="s">
        <v>149</v>
      </c>
      <c r="E104" s="0" t="s">
        <v>131</v>
      </c>
      <c r="F104" s="0" t="s">
        <v>132</v>
      </c>
      <c r="G104" s="92" t="n">
        <v>36770</v>
      </c>
      <c r="H104" s="248" t="n">
        <v>-250000</v>
      </c>
      <c r="I104" s="0" t="n">
        <v>0.32</v>
      </c>
      <c r="J104" s="124" t="n">
        <f aca="false">VLOOKUP(G104,NGPrices,2,FALSE())</f>
        <v>4.685</v>
      </c>
      <c r="K104" s="125" t="n">
        <f aca="false">HLOOKUP(D104,Prices,VLOOKUP(G104,move_down,2,FALSE()),FALSE())+VLOOKUP(G104,CHANGE,HLOOKUP(D104,CHANGE,2,FALSE()),FALSE())</f>
        <v>0.315</v>
      </c>
      <c r="L104" s="124" t="n">
        <f aca="false">K104+J104</f>
        <v>5</v>
      </c>
      <c r="M104" s="126" t="n">
        <f aca="false">VLOOKUP(G104,NGPrices,4,FALSE())</f>
        <v>0.067216196212185</v>
      </c>
      <c r="N104" s="7" t="n">
        <f aca="false">VLOOKUP(G104,NGPrices,3,FALSE())</f>
        <v>0.4</v>
      </c>
      <c r="O104" s="7" t="n">
        <f aca="false">HLOOKUP(D104,VOLS,VLOOKUP(G104,move_down,2,FALSE()),FALSE())</f>
        <v>0.392</v>
      </c>
      <c r="P104" s="249" t="n">
        <f aca="false">HLOOKUP(D104,Correllate,VLOOKUP(G104,CorMove,2,FALSE()),FALSE())</f>
        <v>0.9925</v>
      </c>
      <c r="Q104" s="92" t="n">
        <f aca="false">WORKDAY(G104,-2)</f>
        <v>36768</v>
      </c>
      <c r="R104" s="7" t="n">
        <f aca="false">IF(F104="P",0,1)</f>
        <v>0</v>
      </c>
      <c r="S104" s="130" t="e">
        <f aca="false">xSPRDOPT($L104,$J104,$I104,$M104,$O104,$N104,$P104,$Q104-$C$3,$R104,0)</f>
        <v>#NAME?</v>
      </c>
      <c r="T104" s="250" t="e">
        <f aca="false">xSPRDOPT($L104,$J104,$I104,$M104,$O104,$N104,$P104,$Q104-$C$3,$R104,1)*H104</f>
        <v>#NAME?</v>
      </c>
      <c r="U104" s="43" t="e">
        <f aca="false">S104*H104</f>
        <v>#NAME?</v>
      </c>
      <c r="V104" s="250" t="e">
        <f aca="false">xSPRDOPT($L104,$J104,$I104,$M104,$O104,$N104,$P104,$Q104-$C$3,$R104,2)*H104</f>
        <v>#NAME?</v>
      </c>
      <c r="W104" s="250" t="e">
        <f aca="false">+V104+T104</f>
        <v>#NAME?</v>
      </c>
      <c r="X104" s="2" t="str">
        <f aca="false">CONCATENATE(G104,D104)</f>
        <v>36770IF-TRANSCO/Z6</v>
      </c>
      <c r="Y104" s="251" t="n">
        <f aca="false">H104/10000</f>
        <v>-25</v>
      </c>
      <c r="Z104" s="226" t="e">
        <f aca="false">T104/H104</f>
        <v>#NAME?</v>
      </c>
      <c r="AA104" s="226" t="e">
        <f aca="false">xSPRDOPT($L104,$J104,$I104,$M104,$O104,$N104,$P104,$Q104-$C$3,$R104,3)</f>
        <v>#NAME?</v>
      </c>
      <c r="AB104" s="226" t="e">
        <f aca="false">((xSPRDOPT($L104+AB$5,$J104,$I104,$M104,$O104,$N104,$P104,$Q104-$C$3,$R104,3)*$H104)/10000)/100</f>
        <v>#NAME?</v>
      </c>
      <c r="AC104" s="226" t="e">
        <f aca="false">((xSPRDOPT($L104+$AB$5,$J104,$I104,$M104,$O104,$N104,$P104,$Q104-$C$3,$R104,7)*$H104)/100)</f>
        <v>#NAME?</v>
      </c>
      <c r="AD104" s="226" t="e">
        <f aca="false">(xSPRDOPT($L104+$AB$5,$J104,$I104,$M104,$O104,$N104,$P104,$Q104-$C$3,$R104,9)/365)*$H104</f>
        <v>#NAME?</v>
      </c>
      <c r="AE104" s="0" t="e">
        <f aca="false">CD104</f>
        <v>#NAME?</v>
      </c>
      <c r="AF104" s="226" t="e">
        <f aca="false">((O104/N104)*AH104)+AG104</f>
        <v>#NAME?</v>
      </c>
      <c r="AG104" s="226" t="e">
        <f aca="false">((xSPRDOPT($L104,$J104,$I104,$M104,$O104,$N104,$P104,$Q104-$C$3,$R104,6)*$H104)/100)</f>
        <v>#NAME?</v>
      </c>
      <c r="AH104" s="226" t="e">
        <f aca="false">((xSPRDOPT($L104,$J104,$I104,$M104,$O104,$N104,$P104,$Q104-$C$3,$R104,5)*$H104)/100)</f>
        <v>#NAME?</v>
      </c>
      <c r="AI104" s="226" t="e">
        <f aca="false">(((xSPRDOPT($L104,$J104,$I104,$M104,$O104,$N104,$P104,$Q104-$C$3,$R104,4)*$H104)/10000)/100)-AB104</f>
        <v>#NAME?</v>
      </c>
      <c r="AJ104" s="226"/>
      <c r="AK104" s="226"/>
      <c r="AL104" s="226"/>
      <c r="AM104" s="252"/>
      <c r="AN104" s="208" t="n">
        <f aca="false">EOMONTH(AN103,0)+1</f>
        <v>39692</v>
      </c>
      <c r="AO104" s="134" t="n">
        <f aca="false">SUMIF($X:$X,CONCATENATE($AN104,AO$6),$T:$T)/10000</f>
        <v>0</v>
      </c>
      <c r="AP104" s="134" t="n">
        <f aca="false">SUMIF($X:$X,CONCATENATE($AN104,AP$6),$T:$T)/10000</f>
        <v>0</v>
      </c>
      <c r="AQ104" s="134" t="n">
        <f aca="false">SUMIF($X:$X,CONCATENATE($AN104,AQ$6),$T:$T)/10000</f>
        <v>0</v>
      </c>
      <c r="AR104" s="134" t="n">
        <f aca="false">SUMIF($X:$X,CONCATENATE($AN104,AR$6),$T:$T)/10000</f>
        <v>0</v>
      </c>
      <c r="AS104" s="134" t="n">
        <f aca="false">SUMIF($X:$X,CONCATENATE($AN104,AS$6),$T:$T)/10000</f>
        <v>0</v>
      </c>
      <c r="AT104" s="134" t="n">
        <f aca="false">SUMIF($X:$X,CONCATENATE($AN104,AT$6),$T:$T)/10000</f>
        <v>0</v>
      </c>
      <c r="AU104" s="134" t="n">
        <f aca="false">SUMIF($X:$X,CONCATENATE($AN104,AU$6),$T:$T)/10000</f>
        <v>0</v>
      </c>
      <c r="AV104" s="134" t="n">
        <f aca="false">SUMIF($X:$X,CONCATENATE($AN104,AV$6),$T:$T)/10000</f>
        <v>0</v>
      </c>
      <c r="AW104" s="134" t="n">
        <f aca="false">SUMIF($X:$X,CONCATENATE($AN104,AW$6),$T:$T)/10000</f>
        <v>0</v>
      </c>
      <c r="AX104" s="134" t="n">
        <f aca="false">SUMIF($X:$X,CONCATENATE($AN104,AX$6),$T:$T)/10000</f>
        <v>0</v>
      </c>
      <c r="AY104" s="134" t="n">
        <f aca="false">SUMIF($X:$X,CONCATENATE($AN104,AY$6),$T:$T)/10000</f>
        <v>0</v>
      </c>
      <c r="AZ104" s="134" t="n">
        <f aca="false">SUMIF($X:$X,CONCATENATE($AN104,AZ$6),$T:$T)/10000</f>
        <v>0</v>
      </c>
      <c r="BA104" s="135" t="n">
        <f aca="false">SUMIF($X:$X,CONCATENATE($AN104,BA$6),$T:$T)/10000</f>
        <v>0</v>
      </c>
      <c r="BB104" s="208" t="n">
        <f aca="false">EOMONTH(BB103,0)+1</f>
        <v>39692</v>
      </c>
      <c r="BC104" s="135" t="n">
        <f aca="false">SUM(AO104:BA104)</f>
        <v>0</v>
      </c>
      <c r="BD104" s="2"/>
      <c r="BE104" s="208" t="n">
        <f aca="false">EOMONTH(BE103,0)+1</f>
        <v>39692</v>
      </c>
      <c r="BF104" s="134" t="n">
        <f aca="false">SUMIF($X:$X,CONCATENATE($AN104,BF$6),$W:$W)</f>
        <v>0</v>
      </c>
      <c r="BG104" s="134" t="n">
        <f aca="false">SUMIF($X:$X,CONCATENATE($AN104,BG$6),$W:$W)</f>
        <v>0</v>
      </c>
      <c r="BH104" s="134" t="n">
        <f aca="false">SUMIF($X:$X,CONCATENATE($AN104,BH$6),$W:$W)</f>
        <v>0</v>
      </c>
      <c r="BI104" s="134" t="n">
        <f aca="false">SUMIF($X:$X,CONCATENATE($AN104,BI$6),$W:$W)</f>
        <v>0</v>
      </c>
      <c r="BJ104" s="134" t="n">
        <f aca="false">SUMIF($X:$X,CONCATENATE($AN104,BJ$6),$W:$W)</f>
        <v>0</v>
      </c>
      <c r="BK104" s="134" t="n">
        <f aca="false">SUMIF($X:$X,CONCATENATE($AN104,BK$6),$W:$W)</f>
        <v>0</v>
      </c>
      <c r="BL104" s="134" t="n">
        <f aca="false">SUMIF($X:$X,CONCATENATE($AN104,BL$6),$W:$W)</f>
        <v>0</v>
      </c>
      <c r="BM104" s="134" t="n">
        <f aca="false">SUMIF($X:$X,CONCATENATE($AN104,BM$6),$W:$W)</f>
        <v>0</v>
      </c>
      <c r="BN104" s="134" t="n">
        <f aca="false">SUMIF($X:$X,CONCATENATE($AN104,BN$6),$W:$W)</f>
        <v>0</v>
      </c>
      <c r="BO104" s="134" t="n">
        <f aca="false">SUMIF($X:$X,CONCATENATE($AN104,BO$6),$W:$W)</f>
        <v>0</v>
      </c>
      <c r="BP104" s="134" t="n">
        <f aca="false">SUMIF($X:$X,CONCATENATE($AN104,BP$6),$W:$W)</f>
        <v>0</v>
      </c>
      <c r="BQ104" s="134" t="n">
        <f aca="false">SUMIF($X:$X,CONCATENATE($AN104,BQ$6),$W:$W)</f>
        <v>0</v>
      </c>
      <c r="BR104" s="135" t="n">
        <f aca="false">SUMIF($X:$X,CONCATENATE($AN104,BR$6),$W:$W)</f>
        <v>0</v>
      </c>
      <c r="BS104" s="208" t="n">
        <f aca="false">EOMONTH(BS103,0)+1</f>
        <v>39692</v>
      </c>
      <c r="BT104" s="135" t="n">
        <f aca="false">SUM(BF104:BR104)</f>
        <v>0</v>
      </c>
      <c r="BU104" s="2"/>
      <c r="BV104" s="2"/>
      <c r="BW104" s="2"/>
      <c r="BX104" s="2"/>
      <c r="BY104" s="2"/>
      <c r="BZ104" s="2"/>
      <c r="CA104" s="2"/>
      <c r="CB104" s="2"/>
      <c r="CC104" s="182" t="n">
        <f aca="false">G104</f>
        <v>36770</v>
      </c>
      <c r="CD104" s="253" t="e">
        <f aca="false">xSPRDOPT((VLOOKUP(G104,NGPrices,2,FALSE())+HLOOKUP(D104,Prices,VLOOKUP(G104,move_down,2,FALSE()),FALSE())),VLOOKUP(G104,NGPrices,2,FALSE()),I104,VLOOKUP(G104,NGPREVPRICES,4,FALSE()),HLOOKUP(D104,PREVVOLS,VLOOKUP(G104,MOVE_DOWN2,2,FALSE()),FALSE()),VLOOKUP(G104,NGPREVPRICES,3,FALSE()),HLOOKUP(D104,Correllate,VLOOKUP(G104,CorMove,2,FALSE()),FALSE()),Q104-$CD$3,R104,$CD$5)*H104-CJ104</f>
        <v>#NAME?</v>
      </c>
      <c r="CE104" s="253" t="e">
        <f aca="false">xSPRDOPT((VLOOKUP(G104,NGPREVPRICES,2,FALSE())+HLOOKUP(D104,PREVCURVES,VLOOKUP(G104,MOVE_DOWN2,2,FALSE()),FALSE())),VLOOKUP(G104,NGPREVPRICES,2,FALSE()),CK104,VLOOKUP(G104,NGPrices,4,FALSE()),HLOOKUP(D104,PREVVOLS,VLOOKUP(G104,MOVE_DOWN2,2,FALSE()),FALSE()),VLOOKUP(G104,NGPREVPRICES,3,FALSE()),HLOOKUP(D104,Correllate,VLOOKUP(G104,CorMove,2,FALSE()),FALSE()),Q104-$CD$3,R104,$CJ$5)*H104-CJ104</f>
        <v>#NAME?</v>
      </c>
      <c r="CF104" s="132" t="e">
        <f aca="false">(CJ104/VLOOKUP(CC104,discount,3,FALSE()))-(CJ104/VLOOKUP(CC104,discount,2,FALSE()))</f>
        <v>#NAME?</v>
      </c>
      <c r="CG104" s="253" t="e">
        <f aca="false">xSPRDOPT((VLOOKUP(G104,NGPREVPRICES,2,FALSE())+HLOOKUP(D104,PREVCURVES,VLOOKUP(G104,MOVE_DOWN2,2,FALSE()),FALSE())),VLOOKUP(G104,NGPREVPRICES,2,FALSE()),CK104,VLOOKUP(G104,NGPREVPRICES,4,FALSE()),HLOOKUP(D104,VOLS,VLOOKUP(G104,move_down,2,FALSE()),FALSE()),VLOOKUP(G104,NGPrices,3,FALSE()),HLOOKUP(D104,Correllate,VLOOKUP(G104,CorMove,2,FALSE()),FALSE()),Q104-$CD$3,R104,$CJ$5)*H104-CJ104</f>
        <v>#NAME?</v>
      </c>
      <c r="CH104" s="253" t="e">
        <f aca="false">xSPRDOPT((VLOOKUP(G104,NGPREVPRICES,2,FALSE())+HLOOKUP(D104,PREVCURVES,VLOOKUP(G104,MOVE_DOWN2,2,FALSE()),FALSE())),VLOOKUP(G104,NGPREVPRICES,2,FALSE()),CK104,VLOOKUP(G104,NGPREVPRICES,4,FALSE()),HLOOKUP(D104,PREVVOLS,VLOOKUP(G104,MOVE_DOWN2,2,FALSE()),FALSE()),VLOOKUP(G104,NGPREVPRICES,3,FALSE()),HLOOKUP(D104,Correllate,VLOOKUP(G104,CorMove,2,FALSE()),FALSE()),Q104-$C$3,R104,$CJ$5)*H104-CJ104</f>
        <v>#NAME?</v>
      </c>
      <c r="CI104" s="253" t="e">
        <f aca="false">SUM(CD104:CH104)</f>
        <v>#NAME?</v>
      </c>
      <c r="CJ104" s="253" t="e">
        <f aca="false">xSPRDOPT((VLOOKUP(G104,NGPREVPRICES,2,FALSE())+HLOOKUP(D104,PREVCURVES,VLOOKUP(G104,MOVE_DOWN2,2,FALSE()),FALSE())),VLOOKUP(G104,NGPREVPRICES,2,FALSE()),CK104,VLOOKUP(G104,NGPREVPRICES,4,FALSE()),HLOOKUP(D104,PREVVOLS,VLOOKUP(G104,MOVE_DOWN2,2,FALSE()),FALSE()),VLOOKUP(G104,NGPREVPRICES,3,FALSE()),HLOOKUP(D104,Correllate,VLOOKUP(G104,CorMove,2,FALSE()),FALSE()),Q104-$CD$3,R104,$CJ$5)*H104</f>
        <v>#NAME?</v>
      </c>
      <c r="CK104" s="254" t="n">
        <f aca="false">I104</f>
        <v>0.32</v>
      </c>
      <c r="CL104" s="253"/>
      <c r="CM104" s="0" t="str">
        <f aca="false">CONCATENATE(CC104,$CD$6)</f>
        <v>36770Curve Shift/Gamma</v>
      </c>
      <c r="CN104" s="0" t="str">
        <f aca="false">CONCATENATE($CC104,$CE$6)</f>
        <v>36770Rho</v>
      </c>
      <c r="CO104" s="0" t="str">
        <f aca="false">CONCATENATE($CC104,$CF$6)</f>
        <v>36770Drift</v>
      </c>
      <c r="CP104" s="0" t="str">
        <f aca="false">CONCATENATE($CC104,$CG$6)</f>
        <v>36770Vega</v>
      </c>
      <c r="CQ104" s="0" t="str">
        <f aca="false">CONCATENATE($CC104,$CH$6)</f>
        <v>36770Theta</v>
      </c>
    </row>
    <row r="105" customFormat="false" ht="12" hidden="false" customHeight="true" outlineLevel="0" collapsed="false">
      <c r="A105" s="265" t="s">
        <v>198</v>
      </c>
      <c r="B105" s="0" t="s">
        <v>192</v>
      </c>
      <c r="C105" s="0" t="s">
        <v>242</v>
      </c>
      <c r="D105" s="7" t="s">
        <v>149</v>
      </c>
      <c r="E105" s="0" t="s">
        <v>131</v>
      </c>
      <c r="F105" s="0" t="s">
        <v>132</v>
      </c>
      <c r="G105" s="92" t="n">
        <v>36800</v>
      </c>
      <c r="H105" s="248" t="n">
        <v>-250000</v>
      </c>
      <c r="I105" s="0" t="n">
        <v>0.26</v>
      </c>
      <c r="J105" s="124" t="n">
        <f aca="false">VLOOKUP(G105,NGPrices,2,FALSE())</f>
        <v>4.692</v>
      </c>
      <c r="K105" s="125" t="n">
        <f aca="false">HLOOKUP(D105,Prices,VLOOKUP(G105,move_down,2,FALSE()),FALSE())+VLOOKUP(G105,CHANGE,HLOOKUP(D105,CHANGE,2,FALSE()),FALSE())</f>
        <v>0.415</v>
      </c>
      <c r="L105" s="124" t="n">
        <f aca="false">K105+J105</f>
        <v>5.107</v>
      </c>
      <c r="M105" s="126" t="n">
        <f aca="false">VLOOKUP(G105,NGPrices,4,FALSE())</f>
        <v>0.068050789414654</v>
      </c>
      <c r="N105" s="7" t="n">
        <f aca="false">VLOOKUP(G105,NGPrices,3,FALSE())</f>
        <v>0.575</v>
      </c>
      <c r="O105" s="7" t="n">
        <f aca="false">HLOOKUP(D105,VOLS,VLOOKUP(G105,move_down,2,FALSE()),FALSE())</f>
        <v>0.564</v>
      </c>
      <c r="P105" s="249" t="n">
        <f aca="false">HLOOKUP(D105,Correllate,VLOOKUP(G105,CorMove,2,FALSE()),FALSE())</f>
        <v>0.9925</v>
      </c>
      <c r="Q105" s="92" t="n">
        <f aca="false">WORKDAY(G105,-2)</f>
        <v>36797</v>
      </c>
      <c r="R105" s="7" t="n">
        <f aca="false">IF(F105="P",0,1)</f>
        <v>0</v>
      </c>
      <c r="S105" s="130" t="e">
        <f aca="false">xSPRDOPT($L105,$J105,$I105,$M105,$O105,$N105,$P105,$Q105-$C$3,$R105,0)</f>
        <v>#NAME?</v>
      </c>
      <c r="T105" s="250" t="e">
        <f aca="false">xSPRDOPT($L105,$J105,$I105,$M105,$O105,$N105,$P105,$Q105-$C$3,$R105,1)*H105</f>
        <v>#NAME?</v>
      </c>
      <c r="U105" s="43" t="e">
        <f aca="false">S105*H105</f>
        <v>#NAME?</v>
      </c>
      <c r="V105" s="250" t="e">
        <f aca="false">xSPRDOPT($L105,$J105,$I105,$M105,$O105,$N105,$P105,$Q105-$C$3,$R105,2)*H105</f>
        <v>#NAME?</v>
      </c>
      <c r="W105" s="250" t="e">
        <f aca="false">+V105+T105</f>
        <v>#NAME?</v>
      </c>
      <c r="X105" s="2" t="str">
        <f aca="false">CONCATENATE(G105,D105)</f>
        <v>36800IF-TRANSCO/Z6</v>
      </c>
      <c r="Y105" s="251" t="n">
        <f aca="false">H105/10000</f>
        <v>-25</v>
      </c>
      <c r="Z105" s="226" t="e">
        <f aca="false">T105/H105</f>
        <v>#NAME?</v>
      </c>
      <c r="AA105" s="226" t="e">
        <f aca="false">xSPRDOPT($L105,$J105,$I105,$M105,$O105,$N105,$P105,$Q105-$C$3,$R105,3)</f>
        <v>#NAME?</v>
      </c>
      <c r="AB105" s="226" t="e">
        <f aca="false">((xSPRDOPT($L105+AB$5,$J105,$I105,$M105,$O105,$N105,$P105,$Q105-$C$3,$R105,3)*$H105)/10000)/100</f>
        <v>#NAME?</v>
      </c>
      <c r="AC105" s="226" t="e">
        <f aca="false">((xSPRDOPT($L105+$AB$5,$J105,$I105,$M105,$O105,$N105,$P105,$Q105-$C$3,$R105,7)*$H105)/100)</f>
        <v>#NAME?</v>
      </c>
      <c r="AD105" s="226" t="e">
        <f aca="false">(xSPRDOPT($L105+$AB$5,$J105,$I105,$M105,$O105,$N105,$P105,$Q105-$C$3,$R105,9)/365)*$H105</f>
        <v>#NAME?</v>
      </c>
      <c r="AE105" s="0" t="e">
        <f aca="false">CD105</f>
        <v>#NAME?</v>
      </c>
      <c r="AF105" s="226" t="e">
        <f aca="false">((O105/N105)*AH105)+AG105</f>
        <v>#NAME?</v>
      </c>
      <c r="AG105" s="226" t="e">
        <f aca="false">((xSPRDOPT($L105,$J105,$I105,$M105,$O105,$N105,$P105,$Q105-$C$3,$R105,6)*$H105)/100)</f>
        <v>#NAME?</v>
      </c>
      <c r="AH105" s="226" t="e">
        <f aca="false">((xSPRDOPT($L105,$J105,$I105,$M105,$O105,$N105,$P105,$Q105-$C$3,$R105,5)*$H105)/100)</f>
        <v>#NAME?</v>
      </c>
      <c r="AI105" s="226" t="e">
        <f aca="false">(((xSPRDOPT($L105,$J105,$I105,$M105,$O105,$N105,$P105,$Q105-$C$3,$R105,4)*$H105)/10000)/100)-AB105</f>
        <v>#NAME?</v>
      </c>
      <c r="AJ105" s="226"/>
      <c r="AK105" s="226"/>
      <c r="AL105" s="226"/>
      <c r="AM105" s="252"/>
      <c r="AN105" s="208" t="n">
        <f aca="false">EOMONTH(AN104,0)+1</f>
        <v>39722</v>
      </c>
      <c r="AO105" s="134" t="n">
        <f aca="false">SUMIF($X:$X,CONCATENATE($AN105,AO$6),$T:$T)/10000</f>
        <v>0</v>
      </c>
      <c r="AP105" s="134" t="n">
        <f aca="false">SUMIF($X:$X,CONCATENATE($AN105,AP$6),$T:$T)/10000</f>
        <v>0</v>
      </c>
      <c r="AQ105" s="134" t="n">
        <f aca="false">SUMIF($X:$X,CONCATENATE($AN105,AQ$6),$T:$T)/10000</f>
        <v>0</v>
      </c>
      <c r="AR105" s="134" t="n">
        <f aca="false">SUMIF($X:$X,CONCATENATE($AN105,AR$6),$T:$T)/10000</f>
        <v>0</v>
      </c>
      <c r="AS105" s="134" t="n">
        <f aca="false">SUMIF($X:$X,CONCATENATE($AN105,AS$6),$T:$T)/10000</f>
        <v>0</v>
      </c>
      <c r="AT105" s="134" t="n">
        <f aca="false">SUMIF($X:$X,CONCATENATE($AN105,AT$6),$T:$T)/10000</f>
        <v>0</v>
      </c>
      <c r="AU105" s="134" t="n">
        <f aca="false">SUMIF($X:$X,CONCATENATE($AN105,AU$6),$T:$T)/10000</f>
        <v>0</v>
      </c>
      <c r="AV105" s="134" t="n">
        <f aca="false">SUMIF($X:$X,CONCATENATE($AN105,AV$6),$T:$T)/10000</f>
        <v>0</v>
      </c>
      <c r="AW105" s="134" t="n">
        <f aca="false">SUMIF($X:$X,CONCATENATE($AN105,AW$6),$T:$T)/10000</f>
        <v>0</v>
      </c>
      <c r="AX105" s="134" t="n">
        <f aca="false">SUMIF($X:$X,CONCATENATE($AN105,AX$6),$T:$T)/10000</f>
        <v>0</v>
      </c>
      <c r="AY105" s="134" t="n">
        <f aca="false">SUMIF($X:$X,CONCATENATE($AN105,AY$6),$T:$T)/10000</f>
        <v>0</v>
      </c>
      <c r="AZ105" s="134" t="n">
        <f aca="false">SUMIF($X:$X,CONCATENATE($AN105,AZ$6),$T:$T)/10000</f>
        <v>0</v>
      </c>
      <c r="BA105" s="135" t="n">
        <f aca="false">SUMIF($X:$X,CONCATENATE($AN105,BA$6),$T:$T)/10000</f>
        <v>0</v>
      </c>
      <c r="BB105" s="208" t="n">
        <f aca="false">EOMONTH(BB104,0)+1</f>
        <v>39722</v>
      </c>
      <c r="BC105" s="135" t="n">
        <f aca="false">SUM(AO105:BA105)</f>
        <v>0</v>
      </c>
      <c r="BD105" s="2"/>
      <c r="BE105" s="208" t="n">
        <f aca="false">EOMONTH(BE104,0)+1</f>
        <v>39722</v>
      </c>
      <c r="BF105" s="134" t="n">
        <f aca="false">SUMIF($X:$X,CONCATENATE($AN105,BF$6),$W:$W)</f>
        <v>0</v>
      </c>
      <c r="BG105" s="134" t="n">
        <f aca="false">SUMIF($X:$X,CONCATENATE($AN105,BG$6),$W:$W)</f>
        <v>0</v>
      </c>
      <c r="BH105" s="134" t="n">
        <f aca="false">SUMIF($X:$X,CONCATENATE($AN105,BH$6),$W:$W)</f>
        <v>0</v>
      </c>
      <c r="BI105" s="134" t="n">
        <f aca="false">SUMIF($X:$X,CONCATENATE($AN105,BI$6),$W:$W)</f>
        <v>0</v>
      </c>
      <c r="BJ105" s="134" t="n">
        <f aca="false">SUMIF($X:$X,CONCATENATE($AN105,BJ$6),$W:$W)</f>
        <v>0</v>
      </c>
      <c r="BK105" s="134" t="n">
        <f aca="false">SUMIF($X:$X,CONCATENATE($AN105,BK$6),$W:$W)</f>
        <v>0</v>
      </c>
      <c r="BL105" s="134" t="n">
        <f aca="false">SUMIF($X:$X,CONCATENATE($AN105,BL$6),$W:$W)</f>
        <v>0</v>
      </c>
      <c r="BM105" s="134" t="n">
        <f aca="false">SUMIF($X:$X,CONCATENATE($AN105,BM$6),$W:$W)</f>
        <v>0</v>
      </c>
      <c r="BN105" s="134" t="n">
        <f aca="false">SUMIF($X:$X,CONCATENATE($AN105,BN$6),$W:$W)</f>
        <v>0</v>
      </c>
      <c r="BO105" s="134" t="n">
        <f aca="false">SUMIF($X:$X,CONCATENATE($AN105,BO$6),$W:$W)</f>
        <v>0</v>
      </c>
      <c r="BP105" s="134" t="n">
        <f aca="false">SUMIF($X:$X,CONCATENATE($AN105,BP$6),$W:$W)</f>
        <v>0</v>
      </c>
      <c r="BQ105" s="134" t="n">
        <f aca="false">SUMIF($X:$X,CONCATENATE($AN105,BQ$6),$W:$W)</f>
        <v>0</v>
      </c>
      <c r="BR105" s="135" t="n">
        <f aca="false">SUMIF($X:$X,CONCATENATE($AN105,BR$6),$W:$W)</f>
        <v>0</v>
      </c>
      <c r="BS105" s="208" t="n">
        <f aca="false">EOMONTH(BS104,0)+1</f>
        <v>39722</v>
      </c>
      <c r="BT105" s="135" t="n">
        <f aca="false">SUM(BF105:BR105)</f>
        <v>0</v>
      </c>
      <c r="BU105" s="2"/>
      <c r="BV105" s="2"/>
      <c r="BW105" s="2"/>
      <c r="BX105" s="2"/>
      <c r="BY105" s="2"/>
      <c r="BZ105" s="2"/>
      <c r="CA105" s="2"/>
      <c r="CB105" s="2"/>
      <c r="CC105" s="182" t="n">
        <f aca="false">G105</f>
        <v>36800</v>
      </c>
      <c r="CD105" s="253" t="e">
        <f aca="false">xSPRDOPT((VLOOKUP(G105,NGPrices,2,FALSE())+HLOOKUP(D105,Prices,VLOOKUP(G105,move_down,2,FALSE()),FALSE())),VLOOKUP(G105,NGPrices,2,FALSE()),I105,VLOOKUP(G105,NGPREVPRICES,4,FALSE()),HLOOKUP(D105,PREVVOLS,VLOOKUP(G105,MOVE_DOWN2,2,FALSE()),FALSE()),VLOOKUP(G105,NGPREVPRICES,3,FALSE()),HLOOKUP(D105,Correllate,VLOOKUP(G105,CorMove,2,FALSE()),FALSE()),Q105-$CD$3,R105,$CD$5)*H105-CJ105</f>
        <v>#NAME?</v>
      </c>
      <c r="CE105" s="253" t="e">
        <f aca="false">xSPRDOPT((VLOOKUP(G105,NGPREVPRICES,2,FALSE())+HLOOKUP(D105,PREVCURVES,VLOOKUP(G105,MOVE_DOWN2,2,FALSE()),FALSE())),VLOOKUP(G105,NGPREVPRICES,2,FALSE()),CK105,VLOOKUP(G105,NGPrices,4,FALSE()),HLOOKUP(D105,PREVVOLS,VLOOKUP(G105,MOVE_DOWN2,2,FALSE()),FALSE()),VLOOKUP(G105,NGPREVPRICES,3,FALSE()),HLOOKUP(D105,Correllate,VLOOKUP(G105,CorMove,2,FALSE()),FALSE()),Q105-$CD$3,R105,$CJ$5)*H105-CJ105</f>
        <v>#NAME?</v>
      </c>
      <c r="CF105" s="132" t="e">
        <f aca="false">(CJ105/VLOOKUP(CC105,discount,3,FALSE()))-(CJ105/VLOOKUP(CC105,discount,2,FALSE()))</f>
        <v>#NAME?</v>
      </c>
      <c r="CG105" s="253" t="e">
        <f aca="false">xSPRDOPT((VLOOKUP(G105,NGPREVPRICES,2,FALSE())+HLOOKUP(D105,PREVCURVES,VLOOKUP(G105,MOVE_DOWN2,2,FALSE()),FALSE())),VLOOKUP(G105,NGPREVPRICES,2,FALSE()),CK105,VLOOKUP(G105,NGPREVPRICES,4,FALSE()),HLOOKUP(D105,VOLS,VLOOKUP(G105,move_down,2,FALSE()),FALSE()),VLOOKUP(G105,NGPrices,3,FALSE()),HLOOKUP(D105,Correllate,VLOOKUP(G105,CorMove,2,FALSE()),FALSE()),Q105-$CD$3,R105,$CJ$5)*H105-CJ105</f>
        <v>#NAME?</v>
      </c>
      <c r="CH105" s="253" t="e">
        <f aca="false">xSPRDOPT((VLOOKUP(G105,NGPREVPRICES,2,FALSE())+HLOOKUP(D105,PREVCURVES,VLOOKUP(G105,MOVE_DOWN2,2,FALSE()),FALSE())),VLOOKUP(G105,NGPREVPRICES,2,FALSE()),CK105,VLOOKUP(G105,NGPREVPRICES,4,FALSE()),HLOOKUP(D105,PREVVOLS,VLOOKUP(G105,MOVE_DOWN2,2,FALSE()),FALSE()),VLOOKUP(G105,NGPREVPRICES,3,FALSE()),HLOOKUP(D105,Correllate,VLOOKUP(G105,CorMove,2,FALSE()),FALSE()),Q105-$C$3,R105,$CJ$5)*H105-CJ105</f>
        <v>#NAME?</v>
      </c>
      <c r="CI105" s="253" t="e">
        <f aca="false">SUM(CD105:CH105)</f>
        <v>#NAME?</v>
      </c>
      <c r="CJ105" s="253" t="e">
        <f aca="false">xSPRDOPT((VLOOKUP(G105,NGPREVPRICES,2,FALSE())+HLOOKUP(D105,PREVCURVES,VLOOKUP(G105,MOVE_DOWN2,2,FALSE()),FALSE())),VLOOKUP(G105,NGPREVPRICES,2,FALSE()),CK105,VLOOKUP(G105,NGPREVPRICES,4,FALSE()),HLOOKUP(D105,PREVVOLS,VLOOKUP(G105,MOVE_DOWN2,2,FALSE()),FALSE()),VLOOKUP(G105,NGPREVPRICES,3,FALSE()),HLOOKUP(D105,Correllate,VLOOKUP(G105,CorMove,2,FALSE()),FALSE()),Q105-$CD$3,R105,$CJ$5)*H105</f>
        <v>#NAME?</v>
      </c>
      <c r="CK105" s="254" t="n">
        <f aca="false">I105</f>
        <v>0.26</v>
      </c>
      <c r="CL105" s="253"/>
      <c r="CM105" s="0" t="str">
        <f aca="false">CONCATENATE(CC105,$CD$6)</f>
        <v>36800Curve Shift/Gamma</v>
      </c>
      <c r="CN105" s="0" t="str">
        <f aca="false">CONCATENATE($CC105,$CE$6)</f>
        <v>36800Rho</v>
      </c>
      <c r="CO105" s="0" t="str">
        <f aca="false">CONCATENATE($CC105,$CF$6)</f>
        <v>36800Drift</v>
      </c>
      <c r="CP105" s="0" t="str">
        <f aca="false">CONCATENATE($CC105,$CG$6)</f>
        <v>36800Vega</v>
      </c>
      <c r="CQ105" s="0" t="str">
        <f aca="false">CONCATENATE($CC105,$CH$6)</f>
        <v>36800Theta</v>
      </c>
    </row>
    <row r="106" customFormat="false" ht="12" hidden="false" customHeight="true" outlineLevel="0" collapsed="false">
      <c r="A106" s="265" t="s">
        <v>198</v>
      </c>
      <c r="B106" s="0" t="s">
        <v>192</v>
      </c>
      <c r="C106" s="0" t="s">
        <v>242</v>
      </c>
      <c r="D106" s="7" t="s">
        <v>149</v>
      </c>
      <c r="E106" s="0" t="s">
        <v>131</v>
      </c>
      <c r="F106" s="0" t="s">
        <v>132</v>
      </c>
      <c r="G106" s="92" t="n">
        <v>36770</v>
      </c>
      <c r="H106" s="248" t="n">
        <v>-250000</v>
      </c>
      <c r="I106" s="0" t="n">
        <v>0.26</v>
      </c>
      <c r="J106" s="124" t="n">
        <f aca="false">VLOOKUP(G106,NGPrices,2,FALSE())</f>
        <v>4.685</v>
      </c>
      <c r="K106" s="125" t="n">
        <f aca="false">HLOOKUP(D106,Prices,VLOOKUP(G106,move_down,2,FALSE()),FALSE())+VLOOKUP(G106,CHANGE,HLOOKUP(D106,CHANGE,2,FALSE()),FALSE())</f>
        <v>0.315</v>
      </c>
      <c r="L106" s="124" t="n">
        <f aca="false">K106+J106</f>
        <v>5</v>
      </c>
      <c r="M106" s="126" t="n">
        <f aca="false">VLOOKUP(G106,NGPrices,4,FALSE())</f>
        <v>0.067216196212185</v>
      </c>
      <c r="N106" s="7" t="n">
        <f aca="false">VLOOKUP(G106,NGPrices,3,FALSE())</f>
        <v>0.4</v>
      </c>
      <c r="O106" s="7" t="n">
        <f aca="false">HLOOKUP(D106,VOLS,VLOOKUP(G106,move_down,2,FALSE()),FALSE())</f>
        <v>0.392</v>
      </c>
      <c r="P106" s="249" t="n">
        <f aca="false">HLOOKUP(D106,Correllate,VLOOKUP(G106,CorMove,2,FALSE()),FALSE())</f>
        <v>0.9925</v>
      </c>
      <c r="Q106" s="92" t="n">
        <f aca="false">WORKDAY(G106,-2)</f>
        <v>36768</v>
      </c>
      <c r="R106" s="7" t="n">
        <f aca="false">IF(F106="P",0,1)</f>
        <v>0</v>
      </c>
      <c r="S106" s="130" t="e">
        <f aca="false">xSPRDOPT($L106,$J106,$I106,$M106,$O106,$N106,$P106,$Q106-$C$3,$R106,0)</f>
        <v>#NAME?</v>
      </c>
      <c r="T106" s="250" t="e">
        <f aca="false">xSPRDOPT($L106,$J106,$I106,$M106,$O106,$N106,$P106,$Q106-$C$3,$R106,1)*H106</f>
        <v>#NAME?</v>
      </c>
      <c r="U106" s="43" t="e">
        <f aca="false">S106*H106</f>
        <v>#NAME?</v>
      </c>
      <c r="V106" s="250" t="e">
        <f aca="false">xSPRDOPT($L106,$J106,$I106,$M106,$O106,$N106,$P106,$Q106-$C$3,$R106,2)*H106</f>
        <v>#NAME?</v>
      </c>
      <c r="W106" s="250" t="e">
        <f aca="false">+V106+T106</f>
        <v>#NAME?</v>
      </c>
      <c r="X106" s="2" t="str">
        <f aca="false">CONCATENATE(G106,D106)</f>
        <v>36770IF-TRANSCO/Z6</v>
      </c>
      <c r="Y106" s="251" t="n">
        <f aca="false">H106/10000</f>
        <v>-25</v>
      </c>
      <c r="Z106" s="226" t="e">
        <f aca="false">T106/H106</f>
        <v>#NAME?</v>
      </c>
      <c r="AA106" s="226" t="e">
        <f aca="false">xSPRDOPT($L106,$J106,$I106,$M106,$O106,$N106,$P106,$Q106-$C$3,$R106,3)</f>
        <v>#NAME?</v>
      </c>
      <c r="AB106" s="226" t="e">
        <f aca="false">((xSPRDOPT($L106+AB$5,$J106,$I106,$M106,$O106,$N106,$P106,$Q106-$C$3,$R106,3)*$H106)/10000)/100</f>
        <v>#NAME?</v>
      </c>
      <c r="AC106" s="226" t="e">
        <f aca="false">((xSPRDOPT($L106+$AB$5,$J106,$I106,$M106,$O106,$N106,$P106,$Q106-$C$3,$R106,7)*$H106)/100)</f>
        <v>#NAME?</v>
      </c>
      <c r="AD106" s="226" t="e">
        <f aca="false">(xSPRDOPT($L106+$AB$5,$J106,$I106,$M106,$O106,$N106,$P106,$Q106-$C$3,$R106,9)/365)*$H106</f>
        <v>#NAME?</v>
      </c>
      <c r="AE106" s="0" t="e">
        <f aca="false">CD106</f>
        <v>#NAME?</v>
      </c>
      <c r="AF106" s="226" t="e">
        <f aca="false">((O106/N106)*AH106)+AG106</f>
        <v>#NAME?</v>
      </c>
      <c r="AG106" s="226" t="e">
        <f aca="false">((xSPRDOPT($L106,$J106,$I106,$M106,$O106,$N106,$P106,$Q106-$C$3,$R106,6)*$H106)/100)</f>
        <v>#NAME?</v>
      </c>
      <c r="AH106" s="226" t="e">
        <f aca="false">((xSPRDOPT($L106,$J106,$I106,$M106,$O106,$N106,$P106,$Q106-$C$3,$R106,5)*$H106)/100)</f>
        <v>#NAME?</v>
      </c>
      <c r="AI106" s="226" t="e">
        <f aca="false">(((xSPRDOPT($L106,$J106,$I106,$M106,$O106,$N106,$P106,$Q106-$C$3,$R106,4)*$H106)/10000)/100)-AB106</f>
        <v>#NAME?</v>
      </c>
      <c r="AJ106" s="226"/>
      <c r="AK106" s="226"/>
      <c r="AL106" s="226"/>
      <c r="AM106" s="252"/>
      <c r="AN106" s="208" t="n">
        <f aca="false">EOMONTH(AN105,0)+1</f>
        <v>39753</v>
      </c>
      <c r="AO106" s="134" t="n">
        <f aca="false">SUMIF($X:$X,CONCATENATE($AN106,AO$6),$T:$T)/10000</f>
        <v>0</v>
      </c>
      <c r="AP106" s="134" t="n">
        <f aca="false">SUMIF($X:$X,CONCATENATE($AN106,AP$6),$T:$T)/10000</f>
        <v>0</v>
      </c>
      <c r="AQ106" s="134" t="n">
        <f aca="false">SUMIF($X:$X,CONCATENATE($AN106,AQ$6),$T:$T)/10000</f>
        <v>0</v>
      </c>
      <c r="AR106" s="134" t="n">
        <f aca="false">SUMIF($X:$X,CONCATENATE($AN106,AR$6),$T:$T)/10000</f>
        <v>0</v>
      </c>
      <c r="AS106" s="134" t="n">
        <f aca="false">SUMIF($X:$X,CONCATENATE($AN106,AS$6),$T:$T)/10000</f>
        <v>0</v>
      </c>
      <c r="AT106" s="134" t="n">
        <f aca="false">SUMIF($X:$X,CONCATENATE($AN106,AT$6),$T:$T)/10000</f>
        <v>0</v>
      </c>
      <c r="AU106" s="134" t="n">
        <f aca="false">SUMIF($X:$X,CONCATENATE($AN106,AU$6),$T:$T)/10000</f>
        <v>0</v>
      </c>
      <c r="AV106" s="134" t="n">
        <f aca="false">SUMIF($X:$X,CONCATENATE($AN106,AV$6),$T:$T)/10000</f>
        <v>0</v>
      </c>
      <c r="AW106" s="134" t="n">
        <f aca="false">SUMIF($X:$X,CONCATENATE($AN106,AW$6),$T:$T)/10000</f>
        <v>0</v>
      </c>
      <c r="AX106" s="134" t="n">
        <f aca="false">SUMIF($X:$X,CONCATENATE($AN106,AX$6),$T:$T)/10000</f>
        <v>0</v>
      </c>
      <c r="AY106" s="134" t="n">
        <f aca="false">SUMIF($X:$X,CONCATENATE($AN106,AY$6),$T:$T)/10000</f>
        <v>0</v>
      </c>
      <c r="AZ106" s="134" t="n">
        <f aca="false">SUMIF($X:$X,CONCATENATE($AN106,AZ$6),$T:$T)/10000</f>
        <v>0</v>
      </c>
      <c r="BA106" s="135" t="n">
        <f aca="false">SUMIF($X:$X,CONCATENATE($AN106,BA$6),$T:$T)/10000</f>
        <v>0</v>
      </c>
      <c r="BB106" s="208" t="n">
        <f aca="false">EOMONTH(BB105,0)+1</f>
        <v>39753</v>
      </c>
      <c r="BC106" s="135" t="n">
        <f aca="false">SUM(AO106:BA106)</f>
        <v>0</v>
      </c>
      <c r="BD106" s="2"/>
      <c r="BE106" s="208" t="n">
        <f aca="false">EOMONTH(BE105,0)+1</f>
        <v>39753</v>
      </c>
      <c r="BF106" s="134" t="n">
        <f aca="false">SUMIF($X:$X,CONCATENATE($AN106,BF$6),$W:$W)</f>
        <v>0</v>
      </c>
      <c r="BG106" s="134" t="n">
        <f aca="false">SUMIF($X:$X,CONCATENATE($AN106,BG$6),$W:$W)</f>
        <v>0</v>
      </c>
      <c r="BH106" s="134" t="n">
        <f aca="false">SUMIF($X:$X,CONCATENATE($AN106,BH$6),$W:$W)</f>
        <v>0</v>
      </c>
      <c r="BI106" s="134" t="n">
        <f aca="false">SUMIF($X:$X,CONCATENATE($AN106,BI$6),$W:$W)</f>
        <v>0</v>
      </c>
      <c r="BJ106" s="134" t="n">
        <f aca="false">SUMIF($X:$X,CONCATENATE($AN106,BJ$6),$W:$W)</f>
        <v>0</v>
      </c>
      <c r="BK106" s="134" t="n">
        <f aca="false">SUMIF($X:$X,CONCATENATE($AN106,BK$6),$W:$W)</f>
        <v>0</v>
      </c>
      <c r="BL106" s="134" t="n">
        <f aca="false">SUMIF($X:$X,CONCATENATE($AN106,BL$6),$W:$W)</f>
        <v>0</v>
      </c>
      <c r="BM106" s="134" t="n">
        <f aca="false">SUMIF($X:$X,CONCATENATE($AN106,BM$6),$W:$W)</f>
        <v>0</v>
      </c>
      <c r="BN106" s="134" t="n">
        <f aca="false">SUMIF($X:$X,CONCATENATE($AN106,BN$6),$W:$W)</f>
        <v>0</v>
      </c>
      <c r="BO106" s="134" t="n">
        <f aca="false">SUMIF($X:$X,CONCATENATE($AN106,BO$6),$W:$W)</f>
        <v>0</v>
      </c>
      <c r="BP106" s="134" t="n">
        <f aca="false">SUMIF($X:$X,CONCATENATE($AN106,BP$6),$W:$W)</f>
        <v>0</v>
      </c>
      <c r="BQ106" s="134" t="n">
        <f aca="false">SUMIF($X:$X,CONCATENATE($AN106,BQ$6),$W:$W)</f>
        <v>0</v>
      </c>
      <c r="BR106" s="135" t="n">
        <f aca="false">SUMIF($X:$X,CONCATENATE($AN106,BR$6),$W:$W)</f>
        <v>0</v>
      </c>
      <c r="BS106" s="208" t="n">
        <f aca="false">EOMONTH(BS105,0)+1</f>
        <v>39753</v>
      </c>
      <c r="BT106" s="135" t="n">
        <f aca="false">SUM(BF106:BR106)</f>
        <v>0</v>
      </c>
      <c r="BU106" s="2"/>
      <c r="BV106" s="2"/>
      <c r="BW106" s="2"/>
      <c r="BX106" s="2"/>
      <c r="BY106" s="2"/>
      <c r="BZ106" s="2"/>
      <c r="CA106" s="2"/>
      <c r="CB106" s="2"/>
      <c r="CC106" s="182" t="n">
        <f aca="false">G106</f>
        <v>36770</v>
      </c>
      <c r="CD106" s="253" t="e">
        <f aca="false">xSPRDOPT((VLOOKUP(G106,NGPrices,2,FALSE())+HLOOKUP(D106,Prices,VLOOKUP(G106,move_down,2,FALSE()),FALSE())),VLOOKUP(G106,NGPrices,2,FALSE()),I106,VLOOKUP(G106,NGPREVPRICES,4,FALSE()),HLOOKUP(D106,PREVVOLS,VLOOKUP(G106,MOVE_DOWN2,2,FALSE()),FALSE()),VLOOKUP(G106,NGPREVPRICES,3,FALSE()),HLOOKUP(D106,Correllate,VLOOKUP(G106,CorMove,2,FALSE()),FALSE()),Q106-$CD$3,R106,$CD$5)*H106-CJ106</f>
        <v>#NAME?</v>
      </c>
      <c r="CE106" s="253" t="e">
        <f aca="false">xSPRDOPT((VLOOKUP(G106,NGPREVPRICES,2,FALSE())+HLOOKUP(D106,PREVCURVES,VLOOKUP(G106,MOVE_DOWN2,2,FALSE()),FALSE())),VLOOKUP(G106,NGPREVPRICES,2,FALSE()),CK106,VLOOKUP(G106,NGPrices,4,FALSE()),HLOOKUP(D106,PREVVOLS,VLOOKUP(G106,MOVE_DOWN2,2,FALSE()),FALSE()),VLOOKUP(G106,NGPREVPRICES,3,FALSE()),HLOOKUP(D106,Correllate,VLOOKUP(G106,CorMove,2,FALSE()),FALSE()),Q106-$CD$3,R106,$CJ$5)*H106-CJ106</f>
        <v>#NAME?</v>
      </c>
      <c r="CF106" s="132" t="e">
        <f aca="false">(CJ106/VLOOKUP(CC106,discount,3,FALSE()))-(CJ106/VLOOKUP(CC106,discount,2,FALSE()))</f>
        <v>#NAME?</v>
      </c>
      <c r="CG106" s="253" t="e">
        <f aca="false">xSPRDOPT((VLOOKUP(G106,NGPREVPRICES,2,FALSE())+HLOOKUP(D106,PREVCURVES,VLOOKUP(G106,MOVE_DOWN2,2,FALSE()),FALSE())),VLOOKUP(G106,NGPREVPRICES,2,FALSE()),CK106,VLOOKUP(G106,NGPREVPRICES,4,FALSE()),HLOOKUP(D106,VOLS,VLOOKUP(G106,move_down,2,FALSE()),FALSE()),VLOOKUP(G106,NGPrices,3,FALSE()),HLOOKUP(D106,Correllate,VLOOKUP(G106,CorMove,2,FALSE()),FALSE()),Q106-$CD$3,R106,$CJ$5)*H106-CJ106</f>
        <v>#NAME?</v>
      </c>
      <c r="CH106" s="253" t="e">
        <f aca="false">xSPRDOPT((VLOOKUP(G106,NGPREVPRICES,2,FALSE())+HLOOKUP(D106,PREVCURVES,VLOOKUP(G106,MOVE_DOWN2,2,FALSE()),FALSE())),VLOOKUP(G106,NGPREVPRICES,2,FALSE()),CK106,VLOOKUP(G106,NGPREVPRICES,4,FALSE()),HLOOKUP(D106,PREVVOLS,VLOOKUP(G106,MOVE_DOWN2,2,FALSE()),FALSE()),VLOOKUP(G106,NGPREVPRICES,3,FALSE()),HLOOKUP(D106,Correllate,VLOOKUP(G106,CorMove,2,FALSE()),FALSE()),Q106-$C$3,R106,$CJ$5)*H106-CJ106</f>
        <v>#NAME?</v>
      </c>
      <c r="CI106" s="253" t="e">
        <f aca="false">SUM(CD106:CH106)</f>
        <v>#NAME?</v>
      </c>
      <c r="CJ106" s="253" t="e">
        <f aca="false">xSPRDOPT((VLOOKUP(G106,NGPREVPRICES,2,FALSE())+HLOOKUP(D106,PREVCURVES,VLOOKUP(G106,MOVE_DOWN2,2,FALSE()),FALSE())),VLOOKUP(G106,NGPREVPRICES,2,FALSE()),CK106,VLOOKUP(G106,NGPREVPRICES,4,FALSE()),HLOOKUP(D106,PREVVOLS,VLOOKUP(G106,MOVE_DOWN2,2,FALSE()),FALSE()),VLOOKUP(G106,NGPREVPRICES,3,FALSE()),HLOOKUP(D106,Correllate,VLOOKUP(G106,CorMove,2,FALSE()),FALSE()),Q106-$CD$3,R106,$CJ$5)*H106</f>
        <v>#NAME?</v>
      </c>
      <c r="CK106" s="254" t="n">
        <f aca="false">I106</f>
        <v>0.26</v>
      </c>
      <c r="CL106" s="253"/>
      <c r="CM106" s="0" t="str">
        <f aca="false">CONCATENATE(CC106,$CD$6)</f>
        <v>36770Curve Shift/Gamma</v>
      </c>
      <c r="CN106" s="0" t="str">
        <f aca="false">CONCATENATE($CC106,$CE$6)</f>
        <v>36770Rho</v>
      </c>
      <c r="CO106" s="0" t="str">
        <f aca="false">CONCATENATE($CC106,$CF$6)</f>
        <v>36770Drift</v>
      </c>
      <c r="CP106" s="0" t="str">
        <f aca="false">CONCATENATE($CC106,$CG$6)</f>
        <v>36770Vega</v>
      </c>
      <c r="CQ106" s="0" t="str">
        <f aca="false">CONCATENATE($CC106,$CH$6)</f>
        <v>36770Theta</v>
      </c>
    </row>
    <row r="107" customFormat="false" ht="12" hidden="false" customHeight="true" outlineLevel="0" collapsed="false">
      <c r="A107" s="17" t="s">
        <v>210</v>
      </c>
      <c r="B107" s="0" t="s">
        <v>192</v>
      </c>
      <c r="C107" s="0" t="s">
        <v>243</v>
      </c>
      <c r="D107" s="7" t="s">
        <v>149</v>
      </c>
      <c r="E107" s="0" t="s">
        <v>131</v>
      </c>
      <c r="F107" s="0" t="s">
        <v>136</v>
      </c>
      <c r="G107" s="92" t="n">
        <v>36951</v>
      </c>
      <c r="H107" s="248" t="n">
        <v>620000</v>
      </c>
      <c r="I107" s="0" t="n">
        <v>2.2</v>
      </c>
      <c r="J107" s="124" t="n">
        <f aca="false">VLOOKUP(G107,NGPrices,2,FALSE())</f>
        <v>4.213</v>
      </c>
      <c r="K107" s="125" t="n">
        <f aca="false">HLOOKUP(D107,Prices,VLOOKUP(G107,move_down,2,FALSE()),FALSE())+VLOOKUP(G107,CHANGE,HLOOKUP(D107,CHANGE,2,FALSE()),FALSE())</f>
        <v>1.075</v>
      </c>
      <c r="L107" s="124" t="n">
        <f aca="false">K107+J107</f>
        <v>5.288</v>
      </c>
      <c r="M107" s="126" t="n">
        <f aca="false">VLOOKUP(G107,NGPrices,4,FALSE())</f>
        <v>0.068879814952707</v>
      </c>
      <c r="N107" s="7" t="n">
        <f aca="false">VLOOKUP(G107,NGPrices,3,FALSE())</f>
        <v>0.5325</v>
      </c>
      <c r="O107" s="7" t="n">
        <f aca="false">HLOOKUP(D107,VOLS,VLOOKUP(G107,move_down,2,FALSE()),FALSE())</f>
        <v>0.612</v>
      </c>
      <c r="P107" s="249" t="n">
        <f aca="false">HLOOKUP(D107,Correllate,VLOOKUP(G107,CorMove,2,FALSE()),FALSE())</f>
        <v>0.83</v>
      </c>
      <c r="Q107" s="92" t="n">
        <f aca="false">WORKDAY(G107,-2)</f>
        <v>36949</v>
      </c>
      <c r="R107" s="7" t="n">
        <f aca="false">IF(F107="P",0,1)</f>
        <v>1</v>
      </c>
      <c r="S107" s="130" t="e">
        <f aca="false">xSPRDOPT($L107,$J107,$I107,$M107,$O107,$N107,$P107,$Q107-$C$3,$R107,0)</f>
        <v>#NAME?</v>
      </c>
      <c r="T107" s="250" t="e">
        <f aca="false">xSPRDOPT($L107,$J107,$I107,$M107,$O107,$N107,$P107,$Q107-$C$3,$R107,1)*H107</f>
        <v>#NAME?</v>
      </c>
      <c r="U107" s="43" t="e">
        <f aca="false">S107*H107</f>
        <v>#NAME?</v>
      </c>
      <c r="V107" s="250" t="e">
        <f aca="false">xSPRDOPT($L107,$J107,$I107,$M107,$O107,$N107,$P107,$Q107-$C$3,$R107,2)*H107</f>
        <v>#NAME?</v>
      </c>
      <c r="W107" s="250" t="e">
        <f aca="false">+V107+T107</f>
        <v>#NAME?</v>
      </c>
      <c r="X107" s="2" t="str">
        <f aca="false">CONCATENATE(G107,D107)</f>
        <v>36951IF-TRANSCO/Z6</v>
      </c>
      <c r="Y107" s="251" t="n">
        <f aca="false">H107/10000</f>
        <v>62</v>
      </c>
      <c r="Z107" s="226" t="e">
        <f aca="false">T107/H107</f>
        <v>#NAME?</v>
      </c>
      <c r="AA107" s="226" t="e">
        <f aca="false">xSPRDOPT($L107,$J107,$I107,$M107,$O107,$N107,$P107,$Q107-$C$3,$R107,3)</f>
        <v>#NAME?</v>
      </c>
      <c r="AB107" s="226" t="e">
        <f aca="false">((xSPRDOPT($L107+AB$5,$J107,$I107,$M107,$O107,$N107,$P107,$Q107-$C$3,$R107,3)*$H107)/10000)/100</f>
        <v>#NAME?</v>
      </c>
      <c r="AC107" s="226" t="e">
        <f aca="false">((xSPRDOPT($L107+$AB$5,$J107,$I107,$M107,$O107,$N107,$P107,$Q107-$C$3,$R107,7)*$H107)/100)</f>
        <v>#NAME?</v>
      </c>
      <c r="AD107" s="226" t="e">
        <f aca="false">(xSPRDOPT($L107+$AB$5,$J107,$I107,$M107,$O107,$N107,$P107,$Q107-$C$3,$R107,9)/365)*$H107</f>
        <v>#NAME?</v>
      </c>
      <c r="AE107" s="0" t="e">
        <f aca="false">CD107</f>
        <v>#NAME?</v>
      </c>
      <c r="AF107" s="226" t="e">
        <f aca="false">((O107/N107)*AH107)+AG107</f>
        <v>#NAME?</v>
      </c>
      <c r="AG107" s="226" t="e">
        <f aca="false">((xSPRDOPT($L107,$J107,$I107,$M107,$O107,$N107,$P107,$Q107-$C$3,$R107,6)*$H107)/100)</f>
        <v>#NAME?</v>
      </c>
      <c r="AH107" s="226" t="e">
        <f aca="false">((xSPRDOPT($L107,$J107,$I107,$M107,$O107,$N107,$P107,$Q107-$C$3,$R107,5)*$H107)/100)</f>
        <v>#NAME?</v>
      </c>
      <c r="AI107" s="226" t="e">
        <f aca="false">(((xSPRDOPT($L107,$J107,$I107,$M107,$O107,$N107,$P107,$Q107-$C$3,$R107,4)*$H107)/10000)/100)-AB107</f>
        <v>#NAME?</v>
      </c>
      <c r="AJ107" s="226"/>
      <c r="AK107" s="226"/>
      <c r="AL107" s="226"/>
      <c r="AM107" s="252"/>
      <c r="AN107" s="208" t="n">
        <f aca="false">EOMONTH(AN106,0)+1</f>
        <v>39783</v>
      </c>
      <c r="AO107" s="134" t="n">
        <f aca="false">SUMIF($X:$X,CONCATENATE($AN107,AO$6),$T:$T)/10000</f>
        <v>0</v>
      </c>
      <c r="AP107" s="134" t="n">
        <f aca="false">SUMIF($X:$X,CONCATENATE($AN107,AP$6),$T:$T)/10000</f>
        <v>0</v>
      </c>
      <c r="AQ107" s="134" t="n">
        <f aca="false">SUMIF($X:$X,CONCATENATE($AN107,AQ$6),$T:$T)/10000</f>
        <v>0</v>
      </c>
      <c r="AR107" s="134" t="n">
        <f aca="false">SUMIF($X:$X,CONCATENATE($AN107,AR$6),$T:$T)/10000</f>
        <v>0</v>
      </c>
      <c r="AS107" s="134" t="n">
        <f aca="false">SUMIF($X:$X,CONCATENATE($AN107,AS$6),$T:$T)/10000</f>
        <v>0</v>
      </c>
      <c r="AT107" s="134" t="n">
        <f aca="false">SUMIF($X:$X,CONCATENATE($AN107,AT$6),$T:$T)/10000</f>
        <v>0</v>
      </c>
      <c r="AU107" s="134" t="n">
        <f aca="false">SUMIF($X:$X,CONCATENATE($AN107,AU$6),$T:$T)/10000</f>
        <v>0</v>
      </c>
      <c r="AV107" s="134" t="n">
        <f aca="false">SUMIF($X:$X,CONCATENATE($AN107,AV$6),$T:$T)/10000</f>
        <v>0</v>
      </c>
      <c r="AW107" s="134" t="n">
        <f aca="false">SUMIF($X:$X,CONCATENATE($AN107,AW$6),$T:$T)/10000</f>
        <v>0</v>
      </c>
      <c r="AX107" s="134" t="n">
        <f aca="false">SUMIF($X:$X,CONCATENATE($AN107,AX$6),$T:$T)/10000</f>
        <v>0</v>
      </c>
      <c r="AY107" s="134" t="n">
        <f aca="false">SUMIF($X:$X,CONCATENATE($AN107,AY$6),$T:$T)/10000</f>
        <v>0</v>
      </c>
      <c r="AZ107" s="134" t="n">
        <f aca="false">SUMIF($X:$X,CONCATENATE($AN107,AZ$6),$T:$T)/10000</f>
        <v>0</v>
      </c>
      <c r="BA107" s="135" t="n">
        <f aca="false">SUMIF($X:$X,CONCATENATE($AN107,BA$6),$T:$T)/10000</f>
        <v>0</v>
      </c>
      <c r="BB107" s="208" t="n">
        <f aca="false">EOMONTH(BB106,0)+1</f>
        <v>39783</v>
      </c>
      <c r="BC107" s="135" t="n">
        <f aca="false">SUM(AO107:BA107)</f>
        <v>0</v>
      </c>
      <c r="BD107" s="2"/>
      <c r="BE107" s="208" t="n">
        <f aca="false">EOMONTH(BE106,0)+1</f>
        <v>39783</v>
      </c>
      <c r="BF107" s="134" t="n">
        <f aca="false">SUMIF($X:$X,CONCATENATE($AN107,BF$6),$W:$W)</f>
        <v>0</v>
      </c>
      <c r="BG107" s="134" t="n">
        <f aca="false">SUMIF($X:$X,CONCATENATE($AN107,BG$6),$W:$W)</f>
        <v>0</v>
      </c>
      <c r="BH107" s="134" t="n">
        <f aca="false">SUMIF($X:$X,CONCATENATE($AN107,BH$6),$W:$W)</f>
        <v>0</v>
      </c>
      <c r="BI107" s="134" t="n">
        <f aca="false">SUMIF($X:$X,CONCATENATE($AN107,BI$6),$W:$W)</f>
        <v>0</v>
      </c>
      <c r="BJ107" s="134" t="n">
        <f aca="false">SUMIF($X:$X,CONCATENATE($AN107,BJ$6),$W:$W)</f>
        <v>0</v>
      </c>
      <c r="BK107" s="134" t="n">
        <f aca="false">SUMIF($X:$X,CONCATENATE($AN107,BK$6),$W:$W)</f>
        <v>0</v>
      </c>
      <c r="BL107" s="134" t="n">
        <f aca="false">SUMIF($X:$X,CONCATENATE($AN107,BL$6),$W:$W)</f>
        <v>0</v>
      </c>
      <c r="BM107" s="134" t="n">
        <f aca="false">SUMIF($X:$X,CONCATENATE($AN107,BM$6),$W:$W)</f>
        <v>0</v>
      </c>
      <c r="BN107" s="134" t="n">
        <f aca="false">SUMIF($X:$X,CONCATENATE($AN107,BN$6),$W:$W)</f>
        <v>0</v>
      </c>
      <c r="BO107" s="134" t="n">
        <f aca="false">SUMIF($X:$X,CONCATENATE($AN107,BO$6),$W:$W)</f>
        <v>0</v>
      </c>
      <c r="BP107" s="134" t="n">
        <f aca="false">SUMIF($X:$X,CONCATENATE($AN107,BP$6),$W:$W)</f>
        <v>0</v>
      </c>
      <c r="BQ107" s="134" t="n">
        <f aca="false">SUMIF($X:$X,CONCATENATE($AN107,BQ$6),$W:$W)</f>
        <v>0</v>
      </c>
      <c r="BR107" s="135" t="n">
        <f aca="false">SUMIF($X:$X,CONCATENATE($AN107,BR$6),$W:$W)</f>
        <v>0</v>
      </c>
      <c r="BS107" s="208" t="n">
        <f aca="false">EOMONTH(BS106,0)+1</f>
        <v>39783</v>
      </c>
      <c r="BT107" s="135" t="n">
        <f aca="false">SUM(BF107:BR107)</f>
        <v>0</v>
      </c>
      <c r="BU107" s="2"/>
      <c r="BV107" s="2"/>
      <c r="BW107" s="2"/>
      <c r="BX107" s="2"/>
      <c r="BY107" s="2"/>
      <c r="BZ107" s="2"/>
      <c r="CA107" s="2"/>
      <c r="CB107" s="2"/>
      <c r="CC107" s="182" t="n">
        <f aca="false">G107</f>
        <v>36951</v>
      </c>
      <c r="CD107" s="253" t="e">
        <f aca="false">xSPRDOPT((VLOOKUP(G107,NGPrices,2,FALSE())+HLOOKUP(D107,Prices,VLOOKUP(G107,move_down,2,FALSE()),FALSE())),VLOOKUP(G107,NGPrices,2,FALSE()),I107,VLOOKUP(G107,NGPREVPRICES,4,FALSE()),HLOOKUP(D107,PREVVOLS,VLOOKUP(G107,MOVE_DOWN2,2,FALSE()),FALSE()),VLOOKUP(G107,NGPREVPRICES,3,FALSE()),HLOOKUP(D107,Correllate,VLOOKUP(G107,CorMove,2,FALSE()),FALSE()),Q107-$CD$3,R107,$CD$5)*H107-CJ107</f>
        <v>#NAME?</v>
      </c>
      <c r="CE107" s="253" t="e">
        <f aca="false">xSPRDOPT((VLOOKUP(G107,NGPREVPRICES,2,FALSE())+HLOOKUP(D107,PREVCURVES,VLOOKUP(G107,MOVE_DOWN2,2,FALSE()),FALSE())),VLOOKUP(G107,NGPREVPRICES,2,FALSE()),CK107,VLOOKUP(G107,NGPrices,4,FALSE()),HLOOKUP(D107,PREVVOLS,VLOOKUP(G107,MOVE_DOWN2,2,FALSE()),FALSE()),VLOOKUP(G107,NGPREVPRICES,3,FALSE()),HLOOKUP(D107,Correllate,VLOOKUP(G107,CorMove,2,FALSE()),FALSE()),Q107-$CD$3,R107,$CJ$5)*H107-CJ107</f>
        <v>#NAME?</v>
      </c>
      <c r="CF107" s="132" t="e">
        <f aca="false">(CJ107/VLOOKUP(CC107,discount,3,FALSE()))-(CJ107/VLOOKUP(CC107,discount,2,FALSE()))</f>
        <v>#NAME?</v>
      </c>
      <c r="CG107" s="253" t="e">
        <f aca="false">xSPRDOPT((VLOOKUP(G107,NGPREVPRICES,2,FALSE())+HLOOKUP(D107,PREVCURVES,VLOOKUP(G107,MOVE_DOWN2,2,FALSE()),FALSE())),VLOOKUP(G107,NGPREVPRICES,2,FALSE()),CK107,VLOOKUP(G107,NGPREVPRICES,4,FALSE()),HLOOKUP(D107,VOLS,VLOOKUP(G107,move_down,2,FALSE()),FALSE()),VLOOKUP(G107,NGPrices,3,FALSE()),HLOOKUP(D107,Correllate,VLOOKUP(G107,CorMove,2,FALSE()),FALSE()),Q107-$CD$3,R107,$CJ$5)*H107-CJ107</f>
        <v>#NAME?</v>
      </c>
      <c r="CH107" s="253" t="e">
        <f aca="false">xSPRDOPT((VLOOKUP(G107,NGPREVPRICES,2,FALSE())+HLOOKUP(D107,PREVCURVES,VLOOKUP(G107,MOVE_DOWN2,2,FALSE()),FALSE())),VLOOKUP(G107,NGPREVPRICES,2,FALSE()),CK107,VLOOKUP(G107,NGPREVPRICES,4,FALSE()),HLOOKUP(D107,PREVVOLS,VLOOKUP(G107,MOVE_DOWN2,2,FALSE()),FALSE()),VLOOKUP(G107,NGPREVPRICES,3,FALSE()),HLOOKUP(D107,Correllate,VLOOKUP(G107,CorMove,2,FALSE()),FALSE()),Q107-$C$3,R107,$CJ$5)*H107-CJ107</f>
        <v>#NAME?</v>
      </c>
      <c r="CI107" s="253" t="e">
        <f aca="false">SUM(CD107:CH107)</f>
        <v>#NAME?</v>
      </c>
      <c r="CJ107" s="253" t="e">
        <f aca="false">xSPRDOPT((VLOOKUP(G107,NGPREVPRICES,2,FALSE())+HLOOKUP(D107,PREVCURVES,VLOOKUP(G107,MOVE_DOWN2,2,FALSE()),FALSE())),VLOOKUP(G107,NGPREVPRICES,2,FALSE()),CK107,VLOOKUP(G107,NGPREVPRICES,4,FALSE()),HLOOKUP(D107,PREVVOLS,VLOOKUP(G107,MOVE_DOWN2,2,FALSE()),FALSE()),VLOOKUP(G107,NGPREVPRICES,3,FALSE()),HLOOKUP(D107,Correllate,VLOOKUP(G107,CorMove,2,FALSE()),FALSE()),Q107-$CD$3,R107,$CJ$5)*H107</f>
        <v>#NAME?</v>
      </c>
      <c r="CK107" s="254" t="n">
        <f aca="false">I107</f>
        <v>2.2</v>
      </c>
      <c r="CL107" s="253"/>
      <c r="CM107" s="0" t="str">
        <f aca="false">CONCATENATE(CC107,$CD$6)</f>
        <v>36951Curve Shift/Gamma</v>
      </c>
      <c r="CN107" s="0" t="str">
        <f aca="false">CONCATENATE($CC107,$CE$6)</f>
        <v>36951Rho</v>
      </c>
      <c r="CO107" s="0" t="str">
        <f aca="false">CONCATENATE($CC107,$CF$6)</f>
        <v>36951Drift</v>
      </c>
      <c r="CP107" s="0" t="str">
        <f aca="false">CONCATENATE($CC107,$CG$6)</f>
        <v>36951Vega</v>
      </c>
      <c r="CQ107" s="0" t="str">
        <f aca="false">CONCATENATE($CC107,$CH$6)</f>
        <v>36951Theta</v>
      </c>
    </row>
    <row r="108" customFormat="false" ht="12" hidden="false" customHeight="true" outlineLevel="0" collapsed="false">
      <c r="A108" s="17" t="s">
        <v>210</v>
      </c>
      <c r="B108" s="0" t="s">
        <v>192</v>
      </c>
      <c r="C108" s="0" t="s">
        <v>243</v>
      </c>
      <c r="D108" s="7" t="s">
        <v>149</v>
      </c>
      <c r="E108" s="0" t="s">
        <v>131</v>
      </c>
      <c r="F108" s="0" t="s">
        <v>136</v>
      </c>
      <c r="G108" s="92" t="n">
        <v>36923</v>
      </c>
      <c r="H108" s="248" t="n">
        <v>560000</v>
      </c>
      <c r="I108" s="0" t="n">
        <v>2.2</v>
      </c>
      <c r="J108" s="124" t="n">
        <f aca="false">VLOOKUP(G108,NGPrices,2,FALSE())</f>
        <v>4.48</v>
      </c>
      <c r="K108" s="125" t="n">
        <f aca="false">HLOOKUP(D108,Prices,VLOOKUP(G108,move_down,2,FALSE()),FALSE())+VLOOKUP(G108,CHANGE,HLOOKUP(D108,CHANGE,2,FALSE()),FALSE())</f>
        <v>2.09</v>
      </c>
      <c r="L108" s="124" t="n">
        <f aca="false">K108+J108</f>
        <v>6.57</v>
      </c>
      <c r="M108" s="126" t="n">
        <f aca="false">VLOOKUP(G108,NGPrices,4,FALSE())</f>
        <v>0.068640161611372</v>
      </c>
      <c r="N108" s="7" t="n">
        <f aca="false">VLOOKUP(G108,NGPrices,3,FALSE())</f>
        <v>0.5925</v>
      </c>
      <c r="O108" s="7" t="n">
        <f aca="false">HLOOKUP(D108,VOLS,VLOOKUP(G108,move_down,2,FALSE()),FALSE())</f>
        <v>0.681</v>
      </c>
      <c r="P108" s="249" t="n">
        <f aca="false">HLOOKUP(D108,Correllate,VLOOKUP(G108,CorMove,2,FALSE()),FALSE())</f>
        <v>0.83</v>
      </c>
      <c r="Q108" s="92" t="n">
        <f aca="false">WORKDAY(G108,-2)</f>
        <v>36921</v>
      </c>
      <c r="R108" s="7" t="n">
        <f aca="false">IF(F108="P",0,1)</f>
        <v>1</v>
      </c>
      <c r="S108" s="130" t="e">
        <f aca="false">xSPRDOPT($L108,$J108,$I108,$M108,$O108,$N108,$P108,$Q108-$C$3,$R108,0)</f>
        <v>#NAME?</v>
      </c>
      <c r="T108" s="250" t="e">
        <f aca="false">xSPRDOPT($L108,$J108,$I108,$M108,$O108,$N108,$P108,$Q108-$C$3,$R108,1)*H108</f>
        <v>#NAME?</v>
      </c>
      <c r="U108" s="43" t="e">
        <f aca="false">S108*H108</f>
        <v>#NAME?</v>
      </c>
      <c r="V108" s="250" t="e">
        <f aca="false">xSPRDOPT($L108,$J108,$I108,$M108,$O108,$N108,$P108,$Q108-$C$3,$R108,2)*H108</f>
        <v>#NAME?</v>
      </c>
      <c r="W108" s="250" t="e">
        <f aca="false">+V108+T108</f>
        <v>#NAME?</v>
      </c>
      <c r="X108" s="2" t="str">
        <f aca="false">CONCATENATE(G108,D108)</f>
        <v>36923IF-TRANSCO/Z6</v>
      </c>
      <c r="Y108" s="251" t="n">
        <f aca="false">H108/10000</f>
        <v>56</v>
      </c>
      <c r="Z108" s="226" t="e">
        <f aca="false">T108/H108</f>
        <v>#NAME?</v>
      </c>
      <c r="AA108" s="226" t="e">
        <f aca="false">xSPRDOPT($L108,$J108,$I108,$M108,$O108,$N108,$P108,$Q108-$C$3,$R108,3)</f>
        <v>#NAME?</v>
      </c>
      <c r="AB108" s="226" t="e">
        <f aca="false">((xSPRDOPT($L108+AB$5,$J108,$I108,$M108,$O108,$N108,$P108,$Q108-$C$3,$R108,3)*$H108)/10000)/100</f>
        <v>#NAME?</v>
      </c>
      <c r="AC108" s="226" t="e">
        <f aca="false">((xSPRDOPT($L108+$AB$5,$J108,$I108,$M108,$O108,$N108,$P108,$Q108-$C$3,$R108,7)*$H108)/100)</f>
        <v>#NAME?</v>
      </c>
      <c r="AD108" s="226" t="e">
        <f aca="false">(xSPRDOPT($L108+$AB$5,$J108,$I108,$M108,$O108,$N108,$P108,$Q108-$C$3,$R108,9)/365)*$H108</f>
        <v>#NAME?</v>
      </c>
      <c r="AE108" s="0" t="e">
        <f aca="false">CD108</f>
        <v>#NAME?</v>
      </c>
      <c r="AF108" s="226" t="e">
        <f aca="false">((O108/N108)*AH108)+AG108</f>
        <v>#NAME?</v>
      </c>
      <c r="AG108" s="226" t="e">
        <f aca="false">((xSPRDOPT($L108,$J108,$I108,$M108,$O108,$N108,$P108,$Q108-$C$3,$R108,6)*$H108)/100)</f>
        <v>#NAME?</v>
      </c>
      <c r="AH108" s="226" t="e">
        <f aca="false">((xSPRDOPT($L108,$J108,$I108,$M108,$O108,$N108,$P108,$Q108-$C$3,$R108,5)*$H108)/100)</f>
        <v>#NAME?</v>
      </c>
      <c r="AI108" s="226" t="e">
        <f aca="false">(((xSPRDOPT($L108,$J108,$I108,$M108,$O108,$N108,$P108,$Q108-$C$3,$R108,4)*$H108)/10000)/100)-AB108</f>
        <v>#NAME?</v>
      </c>
      <c r="AJ108" s="226"/>
      <c r="AK108" s="226"/>
      <c r="AL108" s="226"/>
      <c r="AM108" s="252"/>
      <c r="AN108" s="208" t="n">
        <f aca="false">EOMONTH(AN107,0)+1</f>
        <v>39814</v>
      </c>
      <c r="AO108" s="134" t="n">
        <f aca="false">SUMIF($X:$X,CONCATENATE($AN108,AO$6),$T:$T)/10000</f>
        <v>0</v>
      </c>
      <c r="AP108" s="134" t="n">
        <f aca="false">SUMIF($X:$X,CONCATENATE($AN108,AP$6),$T:$T)/10000</f>
        <v>0</v>
      </c>
      <c r="AQ108" s="134" t="n">
        <f aca="false">SUMIF($X:$X,CONCATENATE($AN108,AQ$6),$T:$T)/10000</f>
        <v>0</v>
      </c>
      <c r="AR108" s="134" t="n">
        <f aca="false">SUMIF($X:$X,CONCATENATE($AN108,AR$6),$T:$T)/10000</f>
        <v>0</v>
      </c>
      <c r="AS108" s="134" t="n">
        <f aca="false">SUMIF($X:$X,CONCATENATE($AN108,AS$6),$T:$T)/10000</f>
        <v>0</v>
      </c>
      <c r="AT108" s="134" t="n">
        <f aca="false">SUMIF($X:$X,CONCATENATE($AN108,AT$6),$T:$T)/10000</f>
        <v>0</v>
      </c>
      <c r="AU108" s="134" t="n">
        <f aca="false">SUMIF($X:$X,CONCATENATE($AN108,AU$6),$T:$T)/10000</f>
        <v>0</v>
      </c>
      <c r="AV108" s="134" t="n">
        <f aca="false">SUMIF($X:$X,CONCATENATE($AN108,AV$6),$T:$T)/10000</f>
        <v>0</v>
      </c>
      <c r="AW108" s="134" t="n">
        <f aca="false">SUMIF($X:$X,CONCATENATE($AN108,AW$6),$T:$T)/10000</f>
        <v>0</v>
      </c>
      <c r="AX108" s="134" t="n">
        <f aca="false">SUMIF($X:$X,CONCATENATE($AN108,AX$6),$T:$T)/10000</f>
        <v>0</v>
      </c>
      <c r="AY108" s="134" t="n">
        <f aca="false">SUMIF($X:$X,CONCATENATE($AN108,AY$6),$T:$T)/10000</f>
        <v>0</v>
      </c>
      <c r="AZ108" s="134" t="n">
        <f aca="false">SUMIF($X:$X,CONCATENATE($AN108,AZ$6),$T:$T)/10000</f>
        <v>0</v>
      </c>
      <c r="BA108" s="135" t="n">
        <f aca="false">SUMIF($X:$X,CONCATENATE($AN108,BA$6),$T:$T)/10000</f>
        <v>0</v>
      </c>
      <c r="BB108" s="208" t="n">
        <f aca="false">EOMONTH(BB107,0)+1</f>
        <v>39814</v>
      </c>
      <c r="BC108" s="135" t="n">
        <f aca="false">SUM(AO108:BA108)</f>
        <v>0</v>
      </c>
      <c r="BD108" s="2"/>
      <c r="BE108" s="208" t="n">
        <f aca="false">EOMONTH(BE107,0)+1</f>
        <v>39814</v>
      </c>
      <c r="BF108" s="134" t="n">
        <f aca="false">SUMIF($X:$X,CONCATENATE($AN108,BF$6),$W:$W)</f>
        <v>0</v>
      </c>
      <c r="BG108" s="134" t="n">
        <f aca="false">SUMIF($X:$X,CONCATENATE($AN108,BG$6),$W:$W)</f>
        <v>0</v>
      </c>
      <c r="BH108" s="134" t="n">
        <f aca="false">SUMIF($X:$X,CONCATENATE($AN108,BH$6),$W:$W)</f>
        <v>0</v>
      </c>
      <c r="BI108" s="134" t="n">
        <f aca="false">SUMIF($X:$X,CONCATENATE($AN108,BI$6),$W:$W)</f>
        <v>0</v>
      </c>
      <c r="BJ108" s="134" t="n">
        <f aca="false">SUMIF($X:$X,CONCATENATE($AN108,BJ$6),$W:$W)</f>
        <v>0</v>
      </c>
      <c r="BK108" s="134" t="n">
        <f aca="false">SUMIF($X:$X,CONCATENATE($AN108,BK$6),$W:$W)</f>
        <v>0</v>
      </c>
      <c r="BL108" s="134" t="n">
        <f aca="false">SUMIF($X:$X,CONCATENATE($AN108,BL$6),$W:$W)</f>
        <v>0</v>
      </c>
      <c r="BM108" s="134" t="n">
        <f aca="false">SUMIF($X:$X,CONCATENATE($AN108,BM$6),$W:$W)</f>
        <v>0</v>
      </c>
      <c r="BN108" s="134" t="n">
        <f aca="false">SUMIF($X:$X,CONCATENATE($AN108,BN$6),$W:$W)</f>
        <v>0</v>
      </c>
      <c r="BO108" s="134" t="n">
        <f aca="false">SUMIF($X:$X,CONCATENATE($AN108,BO$6),$W:$W)</f>
        <v>0</v>
      </c>
      <c r="BP108" s="134" t="n">
        <f aca="false">SUMIF($X:$X,CONCATENATE($AN108,BP$6),$W:$W)</f>
        <v>0</v>
      </c>
      <c r="BQ108" s="134" t="n">
        <f aca="false">SUMIF($X:$X,CONCATENATE($AN108,BQ$6),$W:$W)</f>
        <v>0</v>
      </c>
      <c r="BR108" s="135" t="n">
        <f aca="false">SUMIF($X:$X,CONCATENATE($AN108,BR$6),$W:$W)</f>
        <v>0</v>
      </c>
      <c r="BS108" s="208" t="n">
        <f aca="false">EOMONTH(BS107,0)+1</f>
        <v>39814</v>
      </c>
      <c r="BT108" s="135" t="n">
        <f aca="false">SUM(BF108:BR108)</f>
        <v>0</v>
      </c>
      <c r="BU108" s="2"/>
      <c r="BV108" s="2"/>
      <c r="BW108" s="2"/>
      <c r="BX108" s="2"/>
      <c r="BY108" s="2"/>
      <c r="BZ108" s="2"/>
      <c r="CA108" s="2"/>
      <c r="CB108" s="2"/>
      <c r="CC108" s="182" t="n">
        <f aca="false">G108</f>
        <v>36923</v>
      </c>
      <c r="CD108" s="253" t="e">
        <f aca="false">xSPRDOPT((VLOOKUP(G108,NGPrices,2,FALSE())+HLOOKUP(D108,Prices,VLOOKUP(G108,move_down,2,FALSE()),FALSE())),VLOOKUP(G108,NGPrices,2,FALSE()),I108,VLOOKUP(G108,NGPREVPRICES,4,FALSE()),HLOOKUP(D108,PREVVOLS,VLOOKUP(G108,MOVE_DOWN2,2,FALSE()),FALSE()),VLOOKUP(G108,NGPREVPRICES,3,FALSE()),HLOOKUP(D108,Correllate,VLOOKUP(G108,CorMove,2,FALSE()),FALSE()),Q108-$CD$3,R108,$CD$5)*H108-CJ108</f>
        <v>#NAME?</v>
      </c>
      <c r="CE108" s="253" t="e">
        <f aca="false">xSPRDOPT((VLOOKUP(G108,NGPREVPRICES,2,FALSE())+HLOOKUP(D108,PREVCURVES,VLOOKUP(G108,MOVE_DOWN2,2,FALSE()),FALSE())),VLOOKUP(G108,NGPREVPRICES,2,FALSE()),CK108,VLOOKUP(G108,NGPrices,4,FALSE()),HLOOKUP(D108,PREVVOLS,VLOOKUP(G108,MOVE_DOWN2,2,FALSE()),FALSE()),VLOOKUP(G108,NGPREVPRICES,3,FALSE()),HLOOKUP(D108,Correllate,VLOOKUP(G108,CorMove,2,FALSE()),FALSE()),Q108-$CD$3,R108,$CJ$5)*H108-CJ108</f>
        <v>#NAME?</v>
      </c>
      <c r="CF108" s="132" t="e">
        <f aca="false">(CJ108/VLOOKUP(CC108,discount,3,FALSE()))-(CJ108/VLOOKUP(CC108,discount,2,FALSE()))</f>
        <v>#NAME?</v>
      </c>
      <c r="CG108" s="253" t="e">
        <f aca="false">xSPRDOPT((VLOOKUP(G108,NGPREVPRICES,2,FALSE())+HLOOKUP(D108,PREVCURVES,VLOOKUP(G108,MOVE_DOWN2,2,FALSE()),FALSE())),VLOOKUP(G108,NGPREVPRICES,2,FALSE()),CK108,VLOOKUP(G108,NGPREVPRICES,4,FALSE()),HLOOKUP(D108,VOLS,VLOOKUP(G108,move_down,2,FALSE()),FALSE()),VLOOKUP(G108,NGPrices,3,FALSE()),HLOOKUP(D108,Correllate,VLOOKUP(G108,CorMove,2,FALSE()),FALSE()),Q108-$CD$3,R108,$CJ$5)*H108-CJ108</f>
        <v>#NAME?</v>
      </c>
      <c r="CH108" s="253" t="e">
        <f aca="false">xSPRDOPT((VLOOKUP(G108,NGPREVPRICES,2,FALSE())+HLOOKUP(D108,PREVCURVES,VLOOKUP(G108,MOVE_DOWN2,2,FALSE()),FALSE())),VLOOKUP(G108,NGPREVPRICES,2,FALSE()),CK108,VLOOKUP(G108,NGPREVPRICES,4,FALSE()),HLOOKUP(D108,PREVVOLS,VLOOKUP(G108,MOVE_DOWN2,2,FALSE()),FALSE()),VLOOKUP(G108,NGPREVPRICES,3,FALSE()),HLOOKUP(D108,Correllate,VLOOKUP(G108,CorMove,2,FALSE()),FALSE()),Q108-$C$3,R108,$CJ$5)*H108-CJ108</f>
        <v>#NAME?</v>
      </c>
      <c r="CI108" s="253" t="e">
        <f aca="false">SUM(CD108:CH108)</f>
        <v>#NAME?</v>
      </c>
      <c r="CJ108" s="253" t="e">
        <f aca="false">xSPRDOPT((VLOOKUP(G108,NGPREVPRICES,2,FALSE())+HLOOKUP(D108,PREVCURVES,VLOOKUP(G108,MOVE_DOWN2,2,FALSE()),FALSE())),VLOOKUP(G108,NGPREVPRICES,2,FALSE()),CK108,VLOOKUP(G108,NGPREVPRICES,4,FALSE()),HLOOKUP(D108,PREVVOLS,VLOOKUP(G108,MOVE_DOWN2,2,FALSE()),FALSE()),VLOOKUP(G108,NGPREVPRICES,3,FALSE()),HLOOKUP(D108,Correllate,VLOOKUP(G108,CorMove,2,FALSE()),FALSE()),Q108-$CD$3,R108,$CJ$5)*H108</f>
        <v>#NAME?</v>
      </c>
      <c r="CK108" s="254" t="n">
        <f aca="false">I108</f>
        <v>2.2</v>
      </c>
      <c r="CL108" s="253"/>
      <c r="CM108" s="0" t="str">
        <f aca="false">CONCATENATE(CC108,$CD$6)</f>
        <v>36923Curve Shift/Gamma</v>
      </c>
      <c r="CN108" s="0" t="str">
        <f aca="false">CONCATENATE($CC108,$CE$6)</f>
        <v>36923Rho</v>
      </c>
      <c r="CO108" s="0" t="str">
        <f aca="false">CONCATENATE($CC108,$CF$6)</f>
        <v>36923Drift</v>
      </c>
      <c r="CP108" s="0" t="str">
        <f aca="false">CONCATENATE($CC108,$CG$6)</f>
        <v>36923Vega</v>
      </c>
      <c r="CQ108" s="0" t="str">
        <f aca="false">CONCATENATE($CC108,$CH$6)</f>
        <v>36923Theta</v>
      </c>
    </row>
    <row r="109" customFormat="false" ht="12" hidden="false" customHeight="true" outlineLevel="0" collapsed="false">
      <c r="A109" s="17" t="s">
        <v>210</v>
      </c>
      <c r="B109" s="0" t="s">
        <v>192</v>
      </c>
      <c r="C109" s="0" t="s">
        <v>243</v>
      </c>
      <c r="D109" s="7" t="s">
        <v>149</v>
      </c>
      <c r="E109" s="0" t="s">
        <v>131</v>
      </c>
      <c r="F109" s="0" t="s">
        <v>136</v>
      </c>
      <c r="G109" s="92" t="n">
        <v>36892</v>
      </c>
      <c r="H109" s="248" t="n">
        <v>620000</v>
      </c>
      <c r="I109" s="0" t="n">
        <v>2.2</v>
      </c>
      <c r="J109" s="124" t="n">
        <f aca="false">VLOOKUP(G109,NGPrices,2,FALSE())</f>
        <v>4.744</v>
      </c>
      <c r="K109" s="125" t="n">
        <f aca="false">HLOOKUP(D109,Prices,VLOOKUP(G109,move_down,2,FALSE()),FALSE())+VLOOKUP(G109,CHANGE,HLOOKUP(D109,CHANGE,2,FALSE()),FALSE())</f>
        <v>2.17</v>
      </c>
      <c r="L109" s="124" t="n">
        <f aca="false">K109+J109</f>
        <v>6.914</v>
      </c>
      <c r="M109" s="126" t="n">
        <f aca="false">VLOOKUP(G109,NGPrices,4,FALSE())</f>
        <v>0.068374831148491</v>
      </c>
      <c r="N109" s="7" t="n">
        <f aca="false">VLOOKUP(G109,NGPrices,3,FALSE())</f>
        <v>0.605</v>
      </c>
      <c r="O109" s="7" t="n">
        <f aca="false">HLOOKUP(D109,VOLS,VLOOKUP(G109,move_down,2,FALSE()),FALSE())</f>
        <v>0.696</v>
      </c>
      <c r="P109" s="249" t="n">
        <f aca="false">HLOOKUP(D109,Correllate,VLOOKUP(G109,CorMove,2,FALSE()),FALSE())</f>
        <v>0.83</v>
      </c>
      <c r="Q109" s="92" t="n">
        <f aca="false">WORKDAY(G109,-2)</f>
        <v>36888</v>
      </c>
      <c r="R109" s="7" t="n">
        <f aca="false">IF(F109="P",0,1)</f>
        <v>1</v>
      </c>
      <c r="S109" s="130" t="e">
        <f aca="false">xSPRDOPT($L109,$J109,$I109,$M109,$O109,$N109,$P109,$Q109-$C$3,$R109,0)</f>
        <v>#NAME?</v>
      </c>
      <c r="T109" s="250" t="e">
        <f aca="false">xSPRDOPT($L109,$J109,$I109,$M109,$O109,$N109,$P109,$Q109-$C$3,$R109,1)*H109</f>
        <v>#NAME?</v>
      </c>
      <c r="U109" s="43" t="e">
        <f aca="false">S109*H109</f>
        <v>#NAME?</v>
      </c>
      <c r="V109" s="250" t="e">
        <f aca="false">xSPRDOPT($L109,$J109,$I109,$M109,$O109,$N109,$P109,$Q109-$C$3,$R109,2)*H109</f>
        <v>#NAME?</v>
      </c>
      <c r="W109" s="250" t="e">
        <f aca="false">+V109+T109</f>
        <v>#NAME?</v>
      </c>
      <c r="X109" s="2" t="str">
        <f aca="false">CONCATENATE(G109,D109)</f>
        <v>36892IF-TRANSCO/Z6</v>
      </c>
      <c r="Y109" s="251" t="n">
        <f aca="false">H109/10000</f>
        <v>62</v>
      </c>
      <c r="Z109" s="226" t="e">
        <f aca="false">T109/H109</f>
        <v>#NAME?</v>
      </c>
      <c r="AA109" s="226" t="e">
        <f aca="false">xSPRDOPT($L109,$J109,$I109,$M109,$O109,$N109,$P109,$Q109-$C$3,$R109,3)</f>
        <v>#NAME?</v>
      </c>
      <c r="AB109" s="226" t="e">
        <f aca="false">((xSPRDOPT($L109+AB$5,$J109,$I109,$M109,$O109,$N109,$P109,$Q109-$C$3,$R109,3)*$H109)/10000)/100</f>
        <v>#NAME?</v>
      </c>
      <c r="AC109" s="226" t="e">
        <f aca="false">((xSPRDOPT($L109+$AB$5,$J109,$I109,$M109,$O109,$N109,$P109,$Q109-$C$3,$R109,7)*$H109)/100)</f>
        <v>#NAME?</v>
      </c>
      <c r="AD109" s="226" t="e">
        <f aca="false">(xSPRDOPT($L109+$AB$5,$J109,$I109,$M109,$O109,$N109,$P109,$Q109-$C$3,$R109,9)/365)*$H109</f>
        <v>#NAME?</v>
      </c>
      <c r="AE109" s="0" t="e">
        <f aca="false">CD109</f>
        <v>#NAME?</v>
      </c>
      <c r="AF109" s="226" t="e">
        <f aca="false">((O109/N109)*AH109)+AG109</f>
        <v>#NAME?</v>
      </c>
      <c r="AG109" s="226" t="e">
        <f aca="false">((xSPRDOPT($L109,$J109,$I109,$M109,$O109,$N109,$P109,$Q109-$C$3,$R109,6)*$H109)/100)</f>
        <v>#NAME?</v>
      </c>
      <c r="AH109" s="226" t="e">
        <f aca="false">((xSPRDOPT($L109,$J109,$I109,$M109,$O109,$N109,$P109,$Q109-$C$3,$R109,5)*$H109)/100)</f>
        <v>#NAME?</v>
      </c>
      <c r="AI109" s="226" t="e">
        <f aca="false">(((xSPRDOPT($L109,$J109,$I109,$M109,$O109,$N109,$P109,$Q109-$C$3,$R109,4)*$H109)/10000)/100)-AB109</f>
        <v>#NAME?</v>
      </c>
      <c r="AJ109" s="226"/>
      <c r="AK109" s="226"/>
      <c r="AL109" s="226"/>
      <c r="AM109" s="252"/>
      <c r="AN109" s="208" t="n">
        <f aca="false">EOMONTH(AN108,0)+1</f>
        <v>39845</v>
      </c>
      <c r="AO109" s="134" t="n">
        <f aca="false">SUMIF($X:$X,CONCATENATE($AN109,AO$6),$T:$T)/10000</f>
        <v>0</v>
      </c>
      <c r="AP109" s="134" t="n">
        <f aca="false">SUMIF($X:$X,CONCATENATE($AN109,AP$6),$T:$T)/10000</f>
        <v>0</v>
      </c>
      <c r="AQ109" s="134" t="n">
        <f aca="false">SUMIF($X:$X,CONCATENATE($AN109,AQ$6),$T:$T)/10000</f>
        <v>0</v>
      </c>
      <c r="AR109" s="134" t="n">
        <f aca="false">SUMIF($X:$X,CONCATENATE($AN109,AR$6),$T:$T)/10000</f>
        <v>0</v>
      </c>
      <c r="AS109" s="134" t="n">
        <f aca="false">SUMIF($X:$X,CONCATENATE($AN109,AS$6),$T:$T)/10000</f>
        <v>0</v>
      </c>
      <c r="AT109" s="134" t="n">
        <f aca="false">SUMIF($X:$X,CONCATENATE($AN109,AT$6),$T:$T)/10000</f>
        <v>0</v>
      </c>
      <c r="AU109" s="134" t="n">
        <f aca="false">SUMIF($X:$X,CONCATENATE($AN109,AU$6),$T:$T)/10000</f>
        <v>0</v>
      </c>
      <c r="AV109" s="134" t="n">
        <f aca="false">SUMIF($X:$X,CONCATENATE($AN109,AV$6),$T:$T)/10000</f>
        <v>0</v>
      </c>
      <c r="AW109" s="134" t="n">
        <f aca="false">SUMIF($X:$X,CONCATENATE($AN109,AW$6),$T:$T)/10000</f>
        <v>0</v>
      </c>
      <c r="AX109" s="134" t="n">
        <f aca="false">SUMIF($X:$X,CONCATENATE($AN109,AX$6),$T:$T)/10000</f>
        <v>0</v>
      </c>
      <c r="AY109" s="134" t="n">
        <f aca="false">SUMIF($X:$X,CONCATENATE($AN109,AY$6),$T:$T)/10000</f>
        <v>0</v>
      </c>
      <c r="AZ109" s="134" t="n">
        <f aca="false">SUMIF($X:$X,CONCATENATE($AN109,AZ$6),$T:$T)/10000</f>
        <v>0</v>
      </c>
      <c r="BA109" s="135" t="n">
        <f aca="false">SUMIF($X:$X,CONCATENATE($AN109,BA$6),$T:$T)/10000</f>
        <v>0</v>
      </c>
      <c r="BB109" s="208" t="n">
        <f aca="false">EOMONTH(BB108,0)+1</f>
        <v>39845</v>
      </c>
      <c r="BC109" s="135" t="n">
        <f aca="false">SUM(AO109:BA109)</f>
        <v>0</v>
      </c>
      <c r="BD109" s="2"/>
      <c r="BE109" s="208" t="n">
        <f aca="false">EOMONTH(BE108,0)+1</f>
        <v>39845</v>
      </c>
      <c r="BF109" s="134" t="n">
        <f aca="false">SUMIF($X:$X,CONCATENATE($AN109,BF$6),$W:$W)</f>
        <v>0</v>
      </c>
      <c r="BG109" s="134" t="n">
        <f aca="false">SUMIF($X:$X,CONCATENATE($AN109,BG$6),$W:$W)</f>
        <v>0</v>
      </c>
      <c r="BH109" s="134" t="n">
        <f aca="false">SUMIF($X:$X,CONCATENATE($AN109,BH$6),$W:$W)</f>
        <v>0</v>
      </c>
      <c r="BI109" s="134" t="n">
        <f aca="false">SUMIF($X:$X,CONCATENATE($AN109,BI$6),$W:$W)</f>
        <v>0</v>
      </c>
      <c r="BJ109" s="134" t="n">
        <f aca="false">SUMIF($X:$X,CONCATENATE($AN109,BJ$6),$W:$W)</f>
        <v>0</v>
      </c>
      <c r="BK109" s="134" t="n">
        <f aca="false">SUMIF($X:$X,CONCATENATE($AN109,BK$6),$W:$W)</f>
        <v>0</v>
      </c>
      <c r="BL109" s="134" t="n">
        <f aca="false">SUMIF($X:$X,CONCATENATE($AN109,BL$6),$W:$W)</f>
        <v>0</v>
      </c>
      <c r="BM109" s="134" t="n">
        <f aca="false">SUMIF($X:$X,CONCATENATE($AN109,BM$6),$W:$W)</f>
        <v>0</v>
      </c>
      <c r="BN109" s="134" t="n">
        <f aca="false">SUMIF($X:$X,CONCATENATE($AN109,BN$6),$W:$W)</f>
        <v>0</v>
      </c>
      <c r="BO109" s="134" t="n">
        <f aca="false">SUMIF($X:$X,CONCATENATE($AN109,BO$6),$W:$W)</f>
        <v>0</v>
      </c>
      <c r="BP109" s="134" t="n">
        <f aca="false">SUMIF($X:$X,CONCATENATE($AN109,BP$6),$W:$W)</f>
        <v>0</v>
      </c>
      <c r="BQ109" s="134" t="n">
        <f aca="false">SUMIF($X:$X,CONCATENATE($AN109,BQ$6),$W:$W)</f>
        <v>0</v>
      </c>
      <c r="BR109" s="135" t="n">
        <f aca="false">SUMIF($X:$X,CONCATENATE($AN109,BR$6),$W:$W)</f>
        <v>0</v>
      </c>
      <c r="BS109" s="208" t="n">
        <f aca="false">EOMONTH(BS108,0)+1</f>
        <v>39845</v>
      </c>
      <c r="BT109" s="135" t="n">
        <f aca="false">SUM(BF109:BR109)</f>
        <v>0</v>
      </c>
      <c r="BU109" s="2"/>
      <c r="BV109" s="2"/>
      <c r="BW109" s="2"/>
      <c r="BX109" s="2"/>
      <c r="BY109" s="2"/>
      <c r="BZ109" s="2"/>
      <c r="CA109" s="2"/>
      <c r="CB109" s="2"/>
      <c r="CC109" s="182" t="n">
        <f aca="false">G109</f>
        <v>36892</v>
      </c>
      <c r="CD109" s="253" t="e">
        <f aca="false">xSPRDOPT((VLOOKUP(G109,NGPrices,2,FALSE())+HLOOKUP(D109,Prices,VLOOKUP(G109,move_down,2,FALSE()),FALSE())),VLOOKUP(G109,NGPrices,2,FALSE()),I109,VLOOKUP(G109,NGPREVPRICES,4,FALSE()),HLOOKUP(D109,PREVVOLS,VLOOKUP(G109,MOVE_DOWN2,2,FALSE()),FALSE()),VLOOKUP(G109,NGPREVPRICES,3,FALSE()),HLOOKUP(D109,Correllate,VLOOKUP(G109,CorMove,2,FALSE()),FALSE()),Q109-$CD$3,R109,$CD$5)*H109-CJ109</f>
        <v>#NAME?</v>
      </c>
      <c r="CE109" s="253" t="e">
        <f aca="false">xSPRDOPT((VLOOKUP(G109,NGPREVPRICES,2,FALSE())+HLOOKUP(D109,PREVCURVES,VLOOKUP(G109,MOVE_DOWN2,2,FALSE()),FALSE())),VLOOKUP(G109,NGPREVPRICES,2,FALSE()),CK109,VLOOKUP(G109,NGPrices,4,FALSE()),HLOOKUP(D109,PREVVOLS,VLOOKUP(G109,MOVE_DOWN2,2,FALSE()),FALSE()),VLOOKUP(G109,NGPREVPRICES,3,FALSE()),HLOOKUP(D109,Correllate,VLOOKUP(G109,CorMove,2,FALSE()),FALSE()),Q109-$CD$3,R109,$CJ$5)*H109-CJ109</f>
        <v>#NAME?</v>
      </c>
      <c r="CF109" s="132" t="e">
        <f aca="false">(CJ109/VLOOKUP(CC109,discount,3,FALSE()))-(CJ109/VLOOKUP(CC109,discount,2,FALSE()))</f>
        <v>#NAME?</v>
      </c>
      <c r="CG109" s="253" t="e">
        <f aca="false">xSPRDOPT((VLOOKUP(G109,NGPREVPRICES,2,FALSE())+HLOOKUP(D109,PREVCURVES,VLOOKUP(G109,MOVE_DOWN2,2,FALSE()),FALSE())),VLOOKUP(G109,NGPREVPRICES,2,FALSE()),CK109,VLOOKUP(G109,NGPREVPRICES,4,FALSE()),HLOOKUP(D109,VOLS,VLOOKUP(G109,move_down,2,FALSE()),FALSE()),VLOOKUP(G109,NGPrices,3,FALSE()),HLOOKUP(D109,Correllate,VLOOKUP(G109,CorMove,2,FALSE()),FALSE()),Q109-$CD$3,R109,$CJ$5)*H109-CJ109</f>
        <v>#NAME?</v>
      </c>
      <c r="CH109" s="253" t="e">
        <f aca="false">xSPRDOPT((VLOOKUP(G109,NGPREVPRICES,2,FALSE())+HLOOKUP(D109,PREVCURVES,VLOOKUP(G109,MOVE_DOWN2,2,FALSE()),FALSE())),VLOOKUP(G109,NGPREVPRICES,2,FALSE()),CK109,VLOOKUP(G109,NGPREVPRICES,4,FALSE()),HLOOKUP(D109,PREVVOLS,VLOOKUP(G109,MOVE_DOWN2,2,FALSE()),FALSE()),VLOOKUP(G109,NGPREVPRICES,3,FALSE()),HLOOKUP(D109,Correllate,VLOOKUP(G109,CorMove,2,FALSE()),FALSE()),Q109-$C$3,R109,$CJ$5)*H109-CJ109</f>
        <v>#NAME?</v>
      </c>
      <c r="CI109" s="253" t="e">
        <f aca="false">SUM(CD109:CH109)</f>
        <v>#NAME?</v>
      </c>
      <c r="CJ109" s="253" t="e">
        <f aca="false">xSPRDOPT((VLOOKUP(G109,NGPREVPRICES,2,FALSE())+HLOOKUP(D109,PREVCURVES,VLOOKUP(G109,MOVE_DOWN2,2,FALSE()),FALSE())),VLOOKUP(G109,NGPREVPRICES,2,FALSE()),CK109,VLOOKUP(G109,NGPREVPRICES,4,FALSE()),HLOOKUP(D109,PREVVOLS,VLOOKUP(G109,MOVE_DOWN2,2,FALSE()),FALSE()),VLOOKUP(G109,NGPREVPRICES,3,FALSE()),HLOOKUP(D109,Correllate,VLOOKUP(G109,CorMove,2,FALSE()),FALSE()),Q109-$CD$3,R109,$CJ$5)*H109</f>
        <v>#NAME?</v>
      </c>
      <c r="CK109" s="254" t="n">
        <f aca="false">I109</f>
        <v>2.2</v>
      </c>
      <c r="CL109" s="253"/>
      <c r="CM109" s="0" t="str">
        <f aca="false">CONCATENATE(CC109,$CD$6)</f>
        <v>36892Curve Shift/Gamma</v>
      </c>
      <c r="CN109" s="0" t="str">
        <f aca="false">CONCATENATE($CC109,$CE$6)</f>
        <v>36892Rho</v>
      </c>
      <c r="CO109" s="0" t="str">
        <f aca="false">CONCATENATE($CC109,$CF$6)</f>
        <v>36892Drift</v>
      </c>
      <c r="CP109" s="0" t="str">
        <f aca="false">CONCATENATE($CC109,$CG$6)</f>
        <v>36892Vega</v>
      </c>
      <c r="CQ109" s="0" t="str">
        <f aca="false">CONCATENATE($CC109,$CH$6)</f>
        <v>36892Theta</v>
      </c>
    </row>
    <row r="110" customFormat="false" ht="12" hidden="false" customHeight="true" outlineLevel="0" collapsed="false">
      <c r="A110" s="17" t="s">
        <v>210</v>
      </c>
      <c r="B110" s="0" t="s">
        <v>192</v>
      </c>
      <c r="C110" s="0" t="s">
        <v>243</v>
      </c>
      <c r="D110" s="7" t="s">
        <v>149</v>
      </c>
      <c r="E110" s="0" t="s">
        <v>131</v>
      </c>
      <c r="F110" s="0" t="s">
        <v>136</v>
      </c>
      <c r="G110" s="92" t="n">
        <v>36861</v>
      </c>
      <c r="H110" s="248" t="n">
        <v>620000</v>
      </c>
      <c r="I110" s="0" t="n">
        <v>2.2</v>
      </c>
      <c r="J110" s="124" t="n">
        <f aca="false">VLOOKUP(G110,NGPrices,2,FALSE())</f>
        <v>4.8</v>
      </c>
      <c r="K110" s="125" t="n">
        <f aca="false">HLOOKUP(D110,Prices,VLOOKUP(G110,move_down,2,FALSE()),FALSE())+VLOOKUP(G110,CHANGE,HLOOKUP(D110,CHANGE,2,FALSE()),FALSE())</f>
        <v>1.645</v>
      </c>
      <c r="L110" s="124" t="n">
        <f aca="false">K110+J110</f>
        <v>6.445</v>
      </c>
      <c r="M110" s="126" t="n">
        <f aca="false">VLOOKUP(G110,NGPrices,4,FALSE())</f>
        <v>0.068314027999354</v>
      </c>
      <c r="N110" s="7" t="n">
        <f aca="false">VLOOKUP(G110,NGPrices,3,FALSE())</f>
        <v>0.6</v>
      </c>
      <c r="O110" s="7" t="n">
        <f aca="false">HLOOKUP(D110,VOLS,VLOOKUP(G110,move_down,2,FALSE()),FALSE())</f>
        <v>0.69</v>
      </c>
      <c r="P110" s="249" t="n">
        <f aca="false">HLOOKUP(D110,Correllate,VLOOKUP(G110,CorMove,2,FALSE()),FALSE())</f>
        <v>0.83</v>
      </c>
      <c r="Q110" s="92" t="n">
        <f aca="false">WORKDAY(G110,-2)</f>
        <v>36859</v>
      </c>
      <c r="R110" s="7" t="n">
        <f aca="false">IF(F110="P",0,1)</f>
        <v>1</v>
      </c>
      <c r="S110" s="130" t="e">
        <f aca="false">xSPRDOPT($L110,$J110,$I110,$M110,$O110,$N110,$P110,$Q110-$C$3,$R110,0)</f>
        <v>#NAME?</v>
      </c>
      <c r="T110" s="250" t="e">
        <f aca="false">xSPRDOPT($L110,$J110,$I110,$M110,$O110,$N110,$P110,$Q110-$C$3,$R110,1)*H110</f>
        <v>#NAME?</v>
      </c>
      <c r="U110" s="43" t="e">
        <f aca="false">S110*H110</f>
        <v>#NAME?</v>
      </c>
      <c r="V110" s="250" t="e">
        <f aca="false">xSPRDOPT($L110,$J110,$I110,$M110,$O110,$N110,$P110,$Q110-$C$3,$R110,2)*H110</f>
        <v>#NAME?</v>
      </c>
      <c r="W110" s="250" t="e">
        <f aca="false">+V110+T110</f>
        <v>#NAME?</v>
      </c>
      <c r="X110" s="2" t="str">
        <f aca="false">CONCATENATE(G110,D110)</f>
        <v>36861IF-TRANSCO/Z6</v>
      </c>
      <c r="Y110" s="251" t="n">
        <f aca="false">H110/10000</f>
        <v>62</v>
      </c>
      <c r="Z110" s="226" t="e">
        <f aca="false">T110/H110</f>
        <v>#NAME?</v>
      </c>
      <c r="AA110" s="226" t="e">
        <f aca="false">xSPRDOPT($L110,$J110,$I110,$M110,$O110,$N110,$P110,$Q110-$C$3,$R110,3)</f>
        <v>#NAME?</v>
      </c>
      <c r="AB110" s="226" t="e">
        <f aca="false">((xSPRDOPT($L110+AB$5,$J110,$I110,$M110,$O110,$N110,$P110,$Q110-$C$3,$R110,3)*$H110)/10000)/100</f>
        <v>#NAME?</v>
      </c>
      <c r="AC110" s="226" t="e">
        <f aca="false">((xSPRDOPT($L110+$AB$5,$J110,$I110,$M110,$O110,$N110,$P110,$Q110-$C$3,$R110,7)*$H110)/100)</f>
        <v>#NAME?</v>
      </c>
      <c r="AD110" s="226" t="e">
        <f aca="false">(xSPRDOPT($L110+$AB$5,$J110,$I110,$M110,$O110,$N110,$P110,$Q110-$C$3,$R110,9)/365)*$H110</f>
        <v>#NAME?</v>
      </c>
      <c r="AE110" s="0" t="e">
        <f aca="false">CD110</f>
        <v>#NAME?</v>
      </c>
      <c r="AF110" s="226" t="e">
        <f aca="false">((O110/N110)*AH110)+AG110</f>
        <v>#NAME?</v>
      </c>
      <c r="AG110" s="226" t="e">
        <f aca="false">((xSPRDOPT($L110,$J110,$I110,$M110,$O110,$N110,$P110,$Q110-$C$3,$R110,6)*$H110)/100)</f>
        <v>#NAME?</v>
      </c>
      <c r="AH110" s="226" t="e">
        <f aca="false">((xSPRDOPT($L110,$J110,$I110,$M110,$O110,$N110,$P110,$Q110-$C$3,$R110,5)*$H110)/100)</f>
        <v>#NAME?</v>
      </c>
      <c r="AI110" s="226" t="e">
        <f aca="false">(((xSPRDOPT($L110,$J110,$I110,$M110,$O110,$N110,$P110,$Q110-$C$3,$R110,4)*$H110)/10000)/100)-AB110</f>
        <v>#NAME?</v>
      </c>
      <c r="AJ110" s="226"/>
      <c r="AK110" s="226"/>
      <c r="AL110" s="226"/>
      <c r="AM110" s="252"/>
      <c r="AN110" s="208" t="n">
        <f aca="false">EOMONTH(AN109,0)+1</f>
        <v>39873</v>
      </c>
      <c r="AO110" s="134" t="n">
        <f aca="false">SUMIF($X:$X,CONCATENATE($AN110,AO$6),$T:$T)/10000</f>
        <v>0</v>
      </c>
      <c r="AP110" s="134" t="n">
        <f aca="false">SUMIF($X:$X,CONCATENATE($AN110,AP$6),$T:$T)/10000</f>
        <v>0</v>
      </c>
      <c r="AQ110" s="134" t="n">
        <f aca="false">SUMIF($X:$X,CONCATENATE($AN110,AQ$6),$T:$T)/10000</f>
        <v>0</v>
      </c>
      <c r="AR110" s="134" t="n">
        <f aca="false">SUMIF($X:$X,CONCATENATE($AN110,AR$6),$T:$T)/10000</f>
        <v>0</v>
      </c>
      <c r="AS110" s="134" t="n">
        <f aca="false">SUMIF($X:$X,CONCATENATE($AN110,AS$6),$T:$T)/10000</f>
        <v>0</v>
      </c>
      <c r="AT110" s="134" t="n">
        <f aca="false">SUMIF($X:$X,CONCATENATE($AN110,AT$6),$T:$T)/10000</f>
        <v>0</v>
      </c>
      <c r="AU110" s="134" t="n">
        <f aca="false">SUMIF($X:$X,CONCATENATE($AN110,AU$6),$T:$T)/10000</f>
        <v>0</v>
      </c>
      <c r="AV110" s="134" t="n">
        <f aca="false">SUMIF($X:$X,CONCATENATE($AN110,AV$6),$T:$T)/10000</f>
        <v>0</v>
      </c>
      <c r="AW110" s="134" t="n">
        <f aca="false">SUMIF($X:$X,CONCATENATE($AN110,AW$6),$T:$T)/10000</f>
        <v>0</v>
      </c>
      <c r="AX110" s="134" t="n">
        <f aca="false">SUMIF($X:$X,CONCATENATE($AN110,AX$6),$T:$T)/10000</f>
        <v>0</v>
      </c>
      <c r="AY110" s="134" t="n">
        <f aca="false">SUMIF($X:$X,CONCATENATE($AN110,AY$6),$T:$T)/10000</f>
        <v>0</v>
      </c>
      <c r="AZ110" s="134" t="n">
        <f aca="false">SUMIF($X:$X,CONCATENATE($AN110,AZ$6),$T:$T)/10000</f>
        <v>0</v>
      </c>
      <c r="BA110" s="135" t="n">
        <f aca="false">SUMIF($X:$X,CONCATENATE($AN110,BA$6),$T:$T)/10000</f>
        <v>0</v>
      </c>
      <c r="BB110" s="208" t="n">
        <f aca="false">EOMONTH(BB109,0)+1</f>
        <v>39873</v>
      </c>
      <c r="BC110" s="135" t="n">
        <f aca="false">SUM(AO110:BA110)</f>
        <v>0</v>
      </c>
      <c r="BD110" s="2"/>
      <c r="BE110" s="208" t="n">
        <f aca="false">EOMONTH(BE109,0)+1</f>
        <v>39873</v>
      </c>
      <c r="BF110" s="134" t="n">
        <f aca="false">SUMIF($X:$X,CONCATENATE($AN110,BF$6),$W:$W)</f>
        <v>0</v>
      </c>
      <c r="BG110" s="134" t="n">
        <f aca="false">SUMIF($X:$X,CONCATENATE($AN110,BG$6),$W:$W)</f>
        <v>0</v>
      </c>
      <c r="BH110" s="134" t="n">
        <f aca="false">SUMIF($X:$X,CONCATENATE($AN110,BH$6),$W:$W)</f>
        <v>0</v>
      </c>
      <c r="BI110" s="134" t="n">
        <f aca="false">SUMIF($X:$X,CONCATENATE($AN110,BI$6),$W:$W)</f>
        <v>0</v>
      </c>
      <c r="BJ110" s="134" t="n">
        <f aca="false">SUMIF($X:$X,CONCATENATE($AN110,BJ$6),$W:$W)</f>
        <v>0</v>
      </c>
      <c r="BK110" s="134" t="n">
        <f aca="false">SUMIF($X:$X,CONCATENATE($AN110,BK$6),$W:$W)</f>
        <v>0</v>
      </c>
      <c r="BL110" s="134" t="n">
        <f aca="false">SUMIF($X:$X,CONCATENATE($AN110,BL$6),$W:$W)</f>
        <v>0</v>
      </c>
      <c r="BM110" s="134" t="n">
        <f aca="false">SUMIF($X:$X,CONCATENATE($AN110,BM$6),$W:$W)</f>
        <v>0</v>
      </c>
      <c r="BN110" s="134" t="n">
        <f aca="false">SUMIF($X:$X,CONCATENATE($AN110,BN$6),$W:$W)</f>
        <v>0</v>
      </c>
      <c r="BO110" s="134" t="n">
        <f aca="false">SUMIF($X:$X,CONCATENATE($AN110,BO$6),$W:$W)</f>
        <v>0</v>
      </c>
      <c r="BP110" s="134" t="n">
        <f aca="false">SUMIF($X:$X,CONCATENATE($AN110,BP$6),$W:$W)</f>
        <v>0</v>
      </c>
      <c r="BQ110" s="134" t="n">
        <f aca="false">SUMIF($X:$X,CONCATENATE($AN110,BQ$6),$W:$W)</f>
        <v>0</v>
      </c>
      <c r="BR110" s="135" t="n">
        <f aca="false">SUMIF($X:$X,CONCATENATE($AN110,BR$6),$W:$W)</f>
        <v>0</v>
      </c>
      <c r="BS110" s="208" t="n">
        <f aca="false">EOMONTH(BS109,0)+1</f>
        <v>39873</v>
      </c>
      <c r="BT110" s="135" t="n">
        <f aca="false">SUM(BF110:BR110)</f>
        <v>0</v>
      </c>
      <c r="BU110" s="2"/>
      <c r="BV110" s="2"/>
      <c r="BW110" s="2"/>
      <c r="BX110" s="2"/>
      <c r="BY110" s="2"/>
      <c r="BZ110" s="2"/>
      <c r="CA110" s="2"/>
      <c r="CB110" s="2"/>
      <c r="CC110" s="182" t="n">
        <f aca="false">G110</f>
        <v>36861</v>
      </c>
      <c r="CD110" s="253" t="e">
        <f aca="false">xSPRDOPT((VLOOKUP(G110,NGPrices,2,FALSE())+HLOOKUP(D110,Prices,VLOOKUP(G110,move_down,2,FALSE()),FALSE())),VLOOKUP(G110,NGPrices,2,FALSE()),I110,VLOOKUP(G110,NGPREVPRICES,4,FALSE()),HLOOKUP(D110,PREVVOLS,VLOOKUP(G110,MOVE_DOWN2,2,FALSE()),FALSE()),VLOOKUP(G110,NGPREVPRICES,3,FALSE()),HLOOKUP(D110,Correllate,VLOOKUP(G110,CorMove,2,FALSE()),FALSE()),Q110-$CD$3,R110,$CD$5)*H110-CJ110</f>
        <v>#NAME?</v>
      </c>
      <c r="CE110" s="253" t="e">
        <f aca="false">xSPRDOPT((VLOOKUP(G110,NGPREVPRICES,2,FALSE())+HLOOKUP(D110,PREVCURVES,VLOOKUP(G110,MOVE_DOWN2,2,FALSE()),FALSE())),VLOOKUP(G110,NGPREVPRICES,2,FALSE()),CK110,VLOOKUP(G110,NGPrices,4,FALSE()),HLOOKUP(D110,PREVVOLS,VLOOKUP(G110,MOVE_DOWN2,2,FALSE()),FALSE()),VLOOKUP(G110,NGPREVPRICES,3,FALSE()),HLOOKUP(D110,Correllate,VLOOKUP(G110,CorMove,2,FALSE()),FALSE()),Q110-$CD$3,R110,$CJ$5)*H110-CJ110</f>
        <v>#NAME?</v>
      </c>
      <c r="CF110" s="132" t="e">
        <f aca="false">(CJ110/VLOOKUP(CC110,discount,3,FALSE()))-(CJ110/VLOOKUP(CC110,discount,2,FALSE()))</f>
        <v>#NAME?</v>
      </c>
      <c r="CG110" s="253" t="e">
        <f aca="false">xSPRDOPT((VLOOKUP(G110,NGPREVPRICES,2,FALSE())+HLOOKUP(D110,PREVCURVES,VLOOKUP(G110,MOVE_DOWN2,2,FALSE()),FALSE())),VLOOKUP(G110,NGPREVPRICES,2,FALSE()),CK110,VLOOKUP(G110,NGPREVPRICES,4,FALSE()),HLOOKUP(D110,VOLS,VLOOKUP(G110,move_down,2,FALSE()),FALSE()),VLOOKUP(G110,NGPrices,3,FALSE()),HLOOKUP(D110,Correllate,VLOOKUP(G110,CorMove,2,FALSE()),FALSE()),Q110-$CD$3,R110,$CJ$5)*H110-CJ110</f>
        <v>#NAME?</v>
      </c>
      <c r="CH110" s="253" t="e">
        <f aca="false">xSPRDOPT((VLOOKUP(G110,NGPREVPRICES,2,FALSE())+HLOOKUP(D110,PREVCURVES,VLOOKUP(G110,MOVE_DOWN2,2,FALSE()),FALSE())),VLOOKUP(G110,NGPREVPRICES,2,FALSE()),CK110,VLOOKUP(G110,NGPREVPRICES,4,FALSE()),HLOOKUP(D110,PREVVOLS,VLOOKUP(G110,MOVE_DOWN2,2,FALSE()),FALSE()),VLOOKUP(G110,NGPREVPRICES,3,FALSE()),HLOOKUP(D110,Correllate,VLOOKUP(G110,CorMove,2,FALSE()),FALSE()),Q110-$C$3,R110,$CJ$5)*H110-CJ110</f>
        <v>#NAME?</v>
      </c>
      <c r="CI110" s="253" t="e">
        <f aca="false">SUM(CD110:CH110)</f>
        <v>#NAME?</v>
      </c>
      <c r="CJ110" s="253" t="e">
        <f aca="false">xSPRDOPT((VLOOKUP(G110,NGPREVPRICES,2,FALSE())+HLOOKUP(D110,PREVCURVES,VLOOKUP(G110,MOVE_DOWN2,2,FALSE()),FALSE())),VLOOKUP(G110,NGPREVPRICES,2,FALSE()),CK110,VLOOKUP(G110,NGPREVPRICES,4,FALSE()),HLOOKUP(D110,PREVVOLS,VLOOKUP(G110,MOVE_DOWN2,2,FALSE()),FALSE()),VLOOKUP(G110,NGPREVPRICES,3,FALSE()),HLOOKUP(D110,Correllate,VLOOKUP(G110,CorMove,2,FALSE()),FALSE()),Q110-$CD$3,R110,$CJ$5)*H110</f>
        <v>#NAME?</v>
      </c>
      <c r="CK110" s="254" t="n">
        <f aca="false">I110</f>
        <v>2.2</v>
      </c>
      <c r="CL110" s="253"/>
      <c r="CM110" s="0" t="str">
        <f aca="false">CONCATENATE(CC110,$CD$6)</f>
        <v>36861Curve Shift/Gamma</v>
      </c>
      <c r="CN110" s="0" t="str">
        <f aca="false">CONCATENATE($CC110,$CE$6)</f>
        <v>36861Rho</v>
      </c>
      <c r="CO110" s="0" t="str">
        <f aca="false">CONCATENATE($CC110,$CF$6)</f>
        <v>36861Drift</v>
      </c>
      <c r="CP110" s="0" t="str">
        <f aca="false">CONCATENATE($CC110,$CG$6)</f>
        <v>36861Vega</v>
      </c>
      <c r="CQ110" s="0" t="str">
        <f aca="false">CONCATENATE($CC110,$CH$6)</f>
        <v>36861Theta</v>
      </c>
    </row>
    <row r="111" customFormat="false" ht="12" hidden="false" customHeight="true" outlineLevel="0" collapsed="false">
      <c r="A111" s="17" t="s">
        <v>210</v>
      </c>
      <c r="B111" s="0" t="s">
        <v>192</v>
      </c>
      <c r="C111" s="0" t="s">
        <v>243</v>
      </c>
      <c r="D111" s="7" t="s">
        <v>149</v>
      </c>
      <c r="E111" s="0" t="s">
        <v>131</v>
      </c>
      <c r="F111" s="0" t="s">
        <v>136</v>
      </c>
      <c r="G111" s="92" t="n">
        <v>36831</v>
      </c>
      <c r="H111" s="248" t="n">
        <v>600000</v>
      </c>
      <c r="I111" s="0" t="n">
        <v>2.2</v>
      </c>
      <c r="J111" s="124" t="n">
        <f aca="false">VLOOKUP(G111,NGPrices,2,FALSE())</f>
        <v>4.736</v>
      </c>
      <c r="K111" s="125" t="n">
        <f aca="false">HLOOKUP(D111,Prices,VLOOKUP(G111,move_down,2,FALSE()),FALSE())+VLOOKUP(G111,CHANGE,HLOOKUP(D111,CHANGE,2,FALSE()),FALSE())</f>
        <v>0.77</v>
      </c>
      <c r="L111" s="124" t="n">
        <f aca="false">K111+J111</f>
        <v>5.506</v>
      </c>
      <c r="M111" s="126" t="n">
        <f aca="false">VLOOKUP(G111,NGPrices,4,FALSE())</f>
        <v>0.06810675983792</v>
      </c>
      <c r="N111" s="7" t="n">
        <f aca="false">VLOOKUP(G111,NGPrices,3,FALSE())</f>
        <v>0.595</v>
      </c>
      <c r="O111" s="7" t="n">
        <f aca="false">HLOOKUP(D111,VOLS,VLOOKUP(G111,move_down,2,FALSE()),FALSE())</f>
        <v>0.625</v>
      </c>
      <c r="P111" s="249" t="n">
        <f aca="false">HLOOKUP(D111,Correllate,VLOOKUP(G111,CorMove,2,FALSE()),FALSE())</f>
        <v>0.89</v>
      </c>
      <c r="Q111" s="92" t="n">
        <f aca="false">WORKDAY(G111,-2)</f>
        <v>36829</v>
      </c>
      <c r="R111" s="7" t="n">
        <f aca="false">IF(F111="P",0,1)</f>
        <v>1</v>
      </c>
      <c r="S111" s="130" t="e">
        <f aca="false">xSPRDOPT($L111,$J111,$I111,$M111,$O111,$N111,$P111,$Q111-$C$3,$R111,0)</f>
        <v>#NAME?</v>
      </c>
      <c r="T111" s="250" t="e">
        <f aca="false">xSPRDOPT($L111,$J111,$I111,$M111,$O111,$N111,$P111,$Q111-$C$3,$R111,1)*H111</f>
        <v>#NAME?</v>
      </c>
      <c r="U111" s="43" t="e">
        <f aca="false">S111*H111</f>
        <v>#NAME?</v>
      </c>
      <c r="V111" s="250" t="e">
        <f aca="false">xSPRDOPT($L111,$J111,$I111,$M111,$O111,$N111,$P111,$Q111-$C$3,$R111,2)*H111</f>
        <v>#NAME?</v>
      </c>
      <c r="W111" s="250" t="e">
        <f aca="false">+V111+T111</f>
        <v>#NAME?</v>
      </c>
      <c r="X111" s="2" t="str">
        <f aca="false">CONCATENATE(G111,D111)</f>
        <v>36831IF-TRANSCO/Z6</v>
      </c>
      <c r="Y111" s="251" t="n">
        <f aca="false">H111/10000</f>
        <v>60</v>
      </c>
      <c r="Z111" s="226" t="e">
        <f aca="false">T111/H111</f>
        <v>#NAME?</v>
      </c>
      <c r="AA111" s="226" t="e">
        <f aca="false">xSPRDOPT($L111,$J111,$I111,$M111,$O111,$N111,$P111,$Q111-$C$3,$R111,3)</f>
        <v>#NAME?</v>
      </c>
      <c r="AB111" s="226" t="e">
        <f aca="false">((xSPRDOPT($L111+AB$5,$J111,$I111,$M111,$O111,$N111,$P111,$Q111-$C$3,$R111,3)*$H111)/10000)/100</f>
        <v>#NAME?</v>
      </c>
      <c r="AC111" s="226" t="e">
        <f aca="false">((xSPRDOPT($L111+$AB$5,$J111,$I111,$M111,$O111,$N111,$P111,$Q111-$C$3,$R111,7)*$H111)/100)</f>
        <v>#NAME?</v>
      </c>
      <c r="AD111" s="226" t="e">
        <f aca="false">(xSPRDOPT($L111+$AB$5,$J111,$I111,$M111,$O111,$N111,$P111,$Q111-$C$3,$R111,9)/365)*$H111</f>
        <v>#NAME?</v>
      </c>
      <c r="AE111" s="0" t="e">
        <f aca="false">CD111</f>
        <v>#NAME?</v>
      </c>
      <c r="AF111" s="226" t="e">
        <f aca="false">((O111/N111)*AH111)+AG111</f>
        <v>#NAME?</v>
      </c>
      <c r="AG111" s="226" t="e">
        <f aca="false">((xSPRDOPT($L111,$J111,$I111,$M111,$O111,$N111,$P111,$Q111-$C$3,$R111,6)*$H111)/100)</f>
        <v>#NAME?</v>
      </c>
      <c r="AH111" s="226" t="e">
        <f aca="false">((xSPRDOPT($L111,$J111,$I111,$M111,$O111,$N111,$P111,$Q111-$C$3,$R111,5)*$H111)/100)</f>
        <v>#NAME?</v>
      </c>
      <c r="AI111" s="226" t="e">
        <f aca="false">(((xSPRDOPT($L111,$J111,$I111,$M111,$O111,$N111,$P111,$Q111-$C$3,$R111,4)*$H111)/10000)/100)-AB111</f>
        <v>#NAME?</v>
      </c>
      <c r="AJ111" s="226"/>
      <c r="AK111" s="226"/>
      <c r="AL111" s="226"/>
      <c r="AM111" s="252"/>
      <c r="AN111" s="208" t="n">
        <f aca="false">EOMONTH(AN110,0)+1</f>
        <v>39904</v>
      </c>
      <c r="AO111" s="134" t="n">
        <f aca="false">SUMIF($X:$X,CONCATENATE($AN111,AO$6),$T:$T)/10000</f>
        <v>0</v>
      </c>
      <c r="AP111" s="134" t="n">
        <f aca="false">SUMIF($X:$X,CONCATENATE($AN111,AP$6),$T:$T)/10000</f>
        <v>0</v>
      </c>
      <c r="AQ111" s="134" t="n">
        <f aca="false">SUMIF($X:$X,CONCATENATE($AN111,AQ$6),$T:$T)/10000</f>
        <v>0</v>
      </c>
      <c r="AR111" s="134" t="n">
        <f aca="false">SUMIF($X:$X,CONCATENATE($AN111,AR$6),$T:$T)/10000</f>
        <v>0</v>
      </c>
      <c r="AS111" s="134" t="n">
        <f aca="false">SUMIF($X:$X,CONCATENATE($AN111,AS$6),$T:$T)/10000</f>
        <v>0</v>
      </c>
      <c r="AT111" s="134" t="n">
        <f aca="false">SUMIF($X:$X,CONCATENATE($AN111,AT$6),$T:$T)/10000</f>
        <v>0</v>
      </c>
      <c r="AU111" s="134" t="n">
        <f aca="false">SUMIF($X:$X,CONCATENATE($AN111,AU$6),$T:$T)/10000</f>
        <v>0</v>
      </c>
      <c r="AV111" s="134" t="n">
        <f aca="false">SUMIF($X:$X,CONCATENATE($AN111,AV$6),$T:$T)/10000</f>
        <v>0</v>
      </c>
      <c r="AW111" s="134" t="n">
        <f aca="false">SUMIF($X:$X,CONCATENATE($AN111,AW$6),$T:$T)/10000</f>
        <v>0</v>
      </c>
      <c r="AX111" s="134" t="n">
        <f aca="false">SUMIF($X:$X,CONCATENATE($AN111,AX$6),$T:$T)/10000</f>
        <v>0</v>
      </c>
      <c r="AY111" s="134" t="n">
        <f aca="false">SUMIF($X:$X,CONCATENATE($AN111,AY$6),$T:$T)/10000</f>
        <v>0</v>
      </c>
      <c r="AZ111" s="134" t="n">
        <f aca="false">SUMIF($X:$X,CONCATENATE($AN111,AZ$6),$T:$T)/10000</f>
        <v>0</v>
      </c>
      <c r="BA111" s="135" t="n">
        <f aca="false">SUMIF($X:$X,CONCATENATE($AN111,BA$6),$T:$T)/10000</f>
        <v>0</v>
      </c>
      <c r="BB111" s="208" t="n">
        <f aca="false">EOMONTH(BB110,0)+1</f>
        <v>39904</v>
      </c>
      <c r="BC111" s="135" t="n">
        <f aca="false">SUM(AO111:BA111)</f>
        <v>0</v>
      </c>
      <c r="BD111" s="2"/>
      <c r="BE111" s="208" t="n">
        <f aca="false">EOMONTH(BE110,0)+1</f>
        <v>39904</v>
      </c>
      <c r="BF111" s="134" t="n">
        <f aca="false">SUMIF($X:$X,CONCATENATE($AN111,BF$6),$W:$W)</f>
        <v>0</v>
      </c>
      <c r="BG111" s="134" t="n">
        <f aca="false">SUMIF($X:$X,CONCATENATE($AN111,BG$6),$W:$W)</f>
        <v>0</v>
      </c>
      <c r="BH111" s="134" t="n">
        <f aca="false">SUMIF($X:$X,CONCATENATE($AN111,BH$6),$W:$W)</f>
        <v>0</v>
      </c>
      <c r="BI111" s="134" t="n">
        <f aca="false">SUMIF($X:$X,CONCATENATE($AN111,BI$6),$W:$W)</f>
        <v>0</v>
      </c>
      <c r="BJ111" s="134" t="n">
        <f aca="false">SUMIF($X:$X,CONCATENATE($AN111,BJ$6),$W:$W)</f>
        <v>0</v>
      </c>
      <c r="BK111" s="134" t="n">
        <f aca="false">SUMIF($X:$X,CONCATENATE($AN111,BK$6),$W:$W)</f>
        <v>0</v>
      </c>
      <c r="BL111" s="134" t="n">
        <f aca="false">SUMIF($X:$X,CONCATENATE($AN111,BL$6),$W:$W)</f>
        <v>0</v>
      </c>
      <c r="BM111" s="134" t="n">
        <f aca="false">SUMIF($X:$X,CONCATENATE($AN111,BM$6),$W:$W)</f>
        <v>0</v>
      </c>
      <c r="BN111" s="134" t="n">
        <f aca="false">SUMIF($X:$X,CONCATENATE($AN111,BN$6),$W:$W)</f>
        <v>0</v>
      </c>
      <c r="BO111" s="134" t="n">
        <f aca="false">SUMIF($X:$X,CONCATENATE($AN111,BO$6),$W:$W)</f>
        <v>0</v>
      </c>
      <c r="BP111" s="134" t="n">
        <f aca="false">SUMIF($X:$X,CONCATENATE($AN111,BP$6),$W:$W)</f>
        <v>0</v>
      </c>
      <c r="BQ111" s="134" t="n">
        <f aca="false">SUMIF($X:$X,CONCATENATE($AN111,BQ$6),$W:$W)</f>
        <v>0</v>
      </c>
      <c r="BR111" s="135" t="n">
        <f aca="false">SUMIF($X:$X,CONCATENATE($AN111,BR$6),$W:$W)</f>
        <v>0</v>
      </c>
      <c r="BS111" s="208" t="n">
        <f aca="false">EOMONTH(BS110,0)+1</f>
        <v>39904</v>
      </c>
      <c r="BT111" s="135" t="n">
        <f aca="false">SUM(BF111:BR111)</f>
        <v>0</v>
      </c>
      <c r="BU111" s="2"/>
      <c r="BV111" s="2"/>
      <c r="BW111" s="2"/>
      <c r="BX111" s="2"/>
      <c r="BY111" s="2"/>
      <c r="BZ111" s="2"/>
      <c r="CA111" s="2"/>
      <c r="CB111" s="2"/>
      <c r="CC111" s="182" t="n">
        <f aca="false">G111</f>
        <v>36831</v>
      </c>
      <c r="CD111" s="253" t="e">
        <f aca="false">xSPRDOPT((VLOOKUP(G111,NGPrices,2,FALSE())+HLOOKUP(D111,Prices,VLOOKUP(G111,move_down,2,FALSE()),FALSE())),VLOOKUP(G111,NGPrices,2,FALSE()),I111,VLOOKUP(G111,NGPREVPRICES,4,FALSE()),HLOOKUP(D111,PREVVOLS,VLOOKUP(G111,MOVE_DOWN2,2,FALSE()),FALSE()),VLOOKUP(G111,NGPREVPRICES,3,FALSE()),HLOOKUP(D111,Correllate,VLOOKUP(G111,CorMove,2,FALSE()),FALSE()),Q111-$CD$3,R111,$CD$5)*H111-CJ111</f>
        <v>#NAME?</v>
      </c>
      <c r="CE111" s="253" t="e">
        <f aca="false">xSPRDOPT((VLOOKUP(G111,NGPREVPRICES,2,FALSE())+HLOOKUP(D111,PREVCURVES,VLOOKUP(G111,MOVE_DOWN2,2,FALSE()),FALSE())),VLOOKUP(G111,NGPREVPRICES,2,FALSE()),CK111,VLOOKUP(G111,NGPrices,4,FALSE()),HLOOKUP(D111,PREVVOLS,VLOOKUP(G111,MOVE_DOWN2,2,FALSE()),FALSE()),VLOOKUP(G111,NGPREVPRICES,3,FALSE()),HLOOKUP(D111,Correllate,VLOOKUP(G111,CorMove,2,FALSE()),FALSE()),Q111-$CD$3,R111,$CJ$5)*H111-CJ111</f>
        <v>#NAME?</v>
      </c>
      <c r="CF111" s="132" t="e">
        <f aca="false">(CJ111/VLOOKUP(CC111,discount,3,FALSE()))-(CJ111/VLOOKUP(CC111,discount,2,FALSE()))</f>
        <v>#NAME?</v>
      </c>
      <c r="CG111" s="253" t="e">
        <f aca="false">xSPRDOPT((VLOOKUP(G111,NGPREVPRICES,2,FALSE())+HLOOKUP(D111,PREVCURVES,VLOOKUP(G111,MOVE_DOWN2,2,FALSE()),FALSE())),VLOOKUP(G111,NGPREVPRICES,2,FALSE()),CK111,VLOOKUP(G111,NGPREVPRICES,4,FALSE()),HLOOKUP(D111,VOLS,VLOOKUP(G111,move_down,2,FALSE()),FALSE()),VLOOKUP(G111,NGPrices,3,FALSE()),HLOOKUP(D111,Correllate,VLOOKUP(G111,CorMove,2,FALSE()),FALSE()),Q111-$CD$3,R111,$CJ$5)*H111-CJ111</f>
        <v>#NAME?</v>
      </c>
      <c r="CH111" s="253" t="e">
        <f aca="false">xSPRDOPT((VLOOKUP(G111,NGPREVPRICES,2,FALSE())+HLOOKUP(D111,PREVCURVES,VLOOKUP(G111,MOVE_DOWN2,2,FALSE()),FALSE())),VLOOKUP(G111,NGPREVPRICES,2,FALSE()),CK111,VLOOKUP(G111,NGPREVPRICES,4,FALSE()),HLOOKUP(D111,PREVVOLS,VLOOKUP(G111,MOVE_DOWN2,2,FALSE()),FALSE()),VLOOKUP(G111,NGPREVPRICES,3,FALSE()),HLOOKUP(D111,Correllate,VLOOKUP(G111,CorMove,2,FALSE()),FALSE()),Q111-$C$3,R111,$CJ$5)*H111-CJ111</f>
        <v>#NAME?</v>
      </c>
      <c r="CI111" s="253" t="e">
        <f aca="false">SUM(CD111:CH111)</f>
        <v>#NAME?</v>
      </c>
      <c r="CJ111" s="253" t="e">
        <f aca="false">xSPRDOPT((VLOOKUP(G111,NGPREVPRICES,2,FALSE())+HLOOKUP(D111,PREVCURVES,VLOOKUP(G111,MOVE_DOWN2,2,FALSE()),FALSE())),VLOOKUP(G111,NGPREVPRICES,2,FALSE()),CK111,VLOOKUP(G111,NGPREVPRICES,4,FALSE()),HLOOKUP(D111,PREVVOLS,VLOOKUP(G111,MOVE_DOWN2,2,FALSE()),FALSE()),VLOOKUP(G111,NGPREVPRICES,3,FALSE()),HLOOKUP(D111,Correllate,VLOOKUP(G111,CorMove,2,FALSE()),FALSE()),Q111-$CD$3,R111,$CJ$5)*H111</f>
        <v>#NAME?</v>
      </c>
      <c r="CK111" s="254" t="n">
        <f aca="false">I111</f>
        <v>2.2</v>
      </c>
      <c r="CL111" s="253"/>
      <c r="CM111" s="0" t="str">
        <f aca="false">CONCATENATE(CC111,$CD$6)</f>
        <v>36831Curve Shift/Gamma</v>
      </c>
      <c r="CN111" s="0" t="str">
        <f aca="false">CONCATENATE($CC111,$CE$6)</f>
        <v>36831Rho</v>
      </c>
      <c r="CO111" s="0" t="str">
        <f aca="false">CONCATENATE($CC111,$CF$6)</f>
        <v>36831Drift</v>
      </c>
      <c r="CP111" s="0" t="str">
        <f aca="false">CONCATENATE($CC111,$CG$6)</f>
        <v>36831Vega</v>
      </c>
      <c r="CQ111" s="0" t="str">
        <f aca="false">CONCATENATE($CC111,$CH$6)</f>
        <v>36831Theta</v>
      </c>
    </row>
    <row r="112" customFormat="false" ht="12" hidden="false" customHeight="true" outlineLevel="0" collapsed="false">
      <c r="A112" s="17" t="s">
        <v>244</v>
      </c>
      <c r="B112" s="0" t="s">
        <v>192</v>
      </c>
      <c r="C112" s="0" t="s">
        <v>245</v>
      </c>
      <c r="D112" s="7" t="s">
        <v>149</v>
      </c>
      <c r="E112" s="0" t="s">
        <v>131</v>
      </c>
      <c r="F112" s="0" t="s">
        <v>132</v>
      </c>
      <c r="G112" s="92" t="n">
        <v>36951</v>
      </c>
      <c r="H112" s="248" t="n">
        <v>500000</v>
      </c>
      <c r="I112" s="0" t="n">
        <v>0.7</v>
      </c>
      <c r="J112" s="124" t="n">
        <f aca="false">VLOOKUP(G112,NGPrices,2,FALSE())</f>
        <v>4.213</v>
      </c>
      <c r="K112" s="125" t="n">
        <f aca="false">HLOOKUP(D112,Prices,VLOOKUP(G112,move_down,2,FALSE()),FALSE())+VLOOKUP(G112,CHANGE,HLOOKUP(D112,CHANGE,2,FALSE()),FALSE())</f>
        <v>1.075</v>
      </c>
      <c r="L112" s="124" t="n">
        <f aca="false">K112+J112</f>
        <v>5.288</v>
      </c>
      <c r="M112" s="126" t="n">
        <f aca="false">VLOOKUP(G112,NGPrices,4,FALSE())</f>
        <v>0.068879814952707</v>
      </c>
      <c r="N112" s="7" t="n">
        <f aca="false">VLOOKUP(G112,NGPrices,3,FALSE())</f>
        <v>0.5325</v>
      </c>
      <c r="O112" s="7" t="n">
        <f aca="false">HLOOKUP(D112,VOLS,VLOOKUP(G112,move_down,2,FALSE()),FALSE())</f>
        <v>0.612</v>
      </c>
      <c r="P112" s="249" t="n">
        <f aca="false">HLOOKUP(D112,Correllate,VLOOKUP(G112,CorMove,2,FALSE()),FALSE())</f>
        <v>0.83</v>
      </c>
      <c r="Q112" s="92" t="n">
        <f aca="false">WORKDAY(G112,-2)</f>
        <v>36949</v>
      </c>
      <c r="R112" s="7" t="n">
        <f aca="false">IF(F112="P",0,1)</f>
        <v>0</v>
      </c>
      <c r="S112" s="130" t="e">
        <f aca="false">xSPRDOPT($L112,$J112,$I112,$M112,$O112,$N112,$P112,$Q112-$C$3,$R112,0)</f>
        <v>#NAME?</v>
      </c>
      <c r="T112" s="250" t="e">
        <f aca="false">xSPRDOPT($L112,$J112,$I112,$M112,$O112,$N112,$P112,$Q112-$C$3,$R112,1)*H112</f>
        <v>#NAME?</v>
      </c>
      <c r="U112" s="43" t="e">
        <f aca="false">S112*H112</f>
        <v>#NAME?</v>
      </c>
      <c r="V112" s="250" t="e">
        <f aca="false">xSPRDOPT($L112,$J112,$I112,$M112,$O112,$N112,$P112,$Q112-$C$3,$R112,2)*H112</f>
        <v>#NAME?</v>
      </c>
      <c r="W112" s="250" t="e">
        <f aca="false">+V112+T112</f>
        <v>#NAME?</v>
      </c>
      <c r="X112" s="2" t="str">
        <f aca="false">CONCATENATE(G112,D112)</f>
        <v>36951IF-TRANSCO/Z6</v>
      </c>
      <c r="Y112" s="251" t="n">
        <f aca="false">H112/10000</f>
        <v>50</v>
      </c>
      <c r="Z112" s="226" t="e">
        <f aca="false">T112/H112</f>
        <v>#NAME?</v>
      </c>
      <c r="AA112" s="226" t="e">
        <f aca="false">xSPRDOPT($L112,$J112,$I112,$M112,$O112,$N112,$P112,$Q112-$C$3,$R112,3)</f>
        <v>#NAME?</v>
      </c>
      <c r="AB112" s="226" t="e">
        <f aca="false">((xSPRDOPT($L112+AB$5,$J112,$I112,$M112,$O112,$N112,$P112,$Q112-$C$3,$R112,3)*$H112)/10000)/100</f>
        <v>#NAME?</v>
      </c>
      <c r="AC112" s="226" t="e">
        <f aca="false">((xSPRDOPT($L112+$AB$5,$J112,$I112,$M112,$O112,$N112,$P112,$Q112-$C$3,$R112,7)*$H112)/100)</f>
        <v>#NAME?</v>
      </c>
      <c r="AD112" s="226" t="e">
        <f aca="false">(xSPRDOPT($L112+$AB$5,$J112,$I112,$M112,$O112,$N112,$P112,$Q112-$C$3,$R112,9)/365)*$H112</f>
        <v>#NAME?</v>
      </c>
      <c r="AE112" s="0" t="e">
        <f aca="false">CD112</f>
        <v>#NAME?</v>
      </c>
      <c r="AF112" s="226" t="e">
        <f aca="false">((O112/N112)*AH112)+AG112</f>
        <v>#NAME?</v>
      </c>
      <c r="AG112" s="226" t="e">
        <f aca="false">((xSPRDOPT($L112,$J112,$I112,$M112,$O112,$N112,$P112,$Q112-$C$3,$R112,6)*$H112)/100)</f>
        <v>#NAME?</v>
      </c>
      <c r="AH112" s="226" t="e">
        <f aca="false">((xSPRDOPT($L112,$J112,$I112,$M112,$O112,$N112,$P112,$Q112-$C$3,$R112,5)*$H112)/100)</f>
        <v>#NAME?</v>
      </c>
      <c r="AI112" s="226" t="e">
        <f aca="false">(((xSPRDOPT($L112,$J112,$I112,$M112,$O112,$N112,$P112,$Q112-$C$3,$R112,4)*$H112)/10000)/100)-AB112</f>
        <v>#NAME?</v>
      </c>
      <c r="AJ112" s="226"/>
      <c r="AK112" s="226"/>
      <c r="AL112" s="226"/>
      <c r="AM112" s="252"/>
      <c r="AN112" s="208" t="n">
        <f aca="false">EOMONTH(AN111,0)+1</f>
        <v>39934</v>
      </c>
      <c r="AO112" s="134" t="n">
        <f aca="false">SUMIF($X:$X,CONCATENATE($AN112,AO$6),$T:$T)/10000</f>
        <v>0</v>
      </c>
      <c r="AP112" s="134" t="n">
        <f aca="false">SUMIF($X:$X,CONCATENATE($AN112,AP$6),$T:$T)/10000</f>
        <v>0</v>
      </c>
      <c r="AQ112" s="134" t="n">
        <f aca="false">SUMIF($X:$X,CONCATENATE($AN112,AQ$6),$T:$T)/10000</f>
        <v>0</v>
      </c>
      <c r="AR112" s="134" t="n">
        <f aca="false">SUMIF($X:$X,CONCATENATE($AN112,AR$6),$T:$T)/10000</f>
        <v>0</v>
      </c>
      <c r="AS112" s="134" t="n">
        <f aca="false">SUMIF($X:$X,CONCATENATE($AN112,AS$6),$T:$T)/10000</f>
        <v>0</v>
      </c>
      <c r="AT112" s="134" t="n">
        <f aca="false">SUMIF($X:$X,CONCATENATE($AN112,AT$6),$T:$T)/10000</f>
        <v>0</v>
      </c>
      <c r="AU112" s="134" t="n">
        <f aca="false">SUMIF($X:$X,CONCATENATE($AN112,AU$6),$T:$T)/10000</f>
        <v>0</v>
      </c>
      <c r="AV112" s="134" t="n">
        <f aca="false">SUMIF($X:$X,CONCATENATE($AN112,AV$6),$T:$T)/10000</f>
        <v>0</v>
      </c>
      <c r="AW112" s="134" t="n">
        <f aca="false">SUMIF($X:$X,CONCATENATE($AN112,AW$6),$T:$T)/10000</f>
        <v>0</v>
      </c>
      <c r="AX112" s="134" t="n">
        <f aca="false">SUMIF($X:$X,CONCATENATE($AN112,AX$6),$T:$T)/10000</f>
        <v>0</v>
      </c>
      <c r="AY112" s="134" t="n">
        <f aca="false">SUMIF($X:$X,CONCATENATE($AN112,AY$6),$T:$T)/10000</f>
        <v>0</v>
      </c>
      <c r="AZ112" s="134" t="n">
        <f aca="false">SUMIF($X:$X,CONCATENATE($AN112,AZ$6),$T:$T)/10000</f>
        <v>0</v>
      </c>
      <c r="BA112" s="135" t="n">
        <f aca="false">SUMIF($X:$X,CONCATENATE($AN112,BA$6),$T:$T)/10000</f>
        <v>0</v>
      </c>
      <c r="BB112" s="208" t="n">
        <f aca="false">EOMONTH(BB111,0)+1</f>
        <v>39934</v>
      </c>
      <c r="BC112" s="135" t="n">
        <f aca="false">SUM(AO112:BA112)</f>
        <v>0</v>
      </c>
      <c r="BD112" s="2"/>
      <c r="BE112" s="208" t="n">
        <f aca="false">EOMONTH(BE111,0)+1</f>
        <v>39934</v>
      </c>
      <c r="BF112" s="134" t="n">
        <f aca="false">SUMIF($X:$X,CONCATENATE($AN112,BF$6),$W:$W)</f>
        <v>0</v>
      </c>
      <c r="BG112" s="134" t="n">
        <f aca="false">SUMIF($X:$X,CONCATENATE($AN112,BG$6),$W:$W)</f>
        <v>0</v>
      </c>
      <c r="BH112" s="134" t="n">
        <f aca="false">SUMIF($X:$X,CONCATENATE($AN112,BH$6),$W:$W)</f>
        <v>0</v>
      </c>
      <c r="BI112" s="134" t="n">
        <f aca="false">SUMIF($X:$X,CONCATENATE($AN112,BI$6),$W:$W)</f>
        <v>0</v>
      </c>
      <c r="BJ112" s="134" t="n">
        <f aca="false">SUMIF($X:$X,CONCATENATE($AN112,BJ$6),$W:$W)</f>
        <v>0</v>
      </c>
      <c r="BK112" s="134" t="n">
        <f aca="false">SUMIF($X:$X,CONCATENATE($AN112,BK$6),$W:$W)</f>
        <v>0</v>
      </c>
      <c r="BL112" s="134" t="n">
        <f aca="false">SUMIF($X:$X,CONCATENATE($AN112,BL$6),$W:$W)</f>
        <v>0</v>
      </c>
      <c r="BM112" s="134" t="n">
        <f aca="false">SUMIF($X:$X,CONCATENATE($AN112,BM$6),$W:$W)</f>
        <v>0</v>
      </c>
      <c r="BN112" s="134" t="n">
        <f aca="false">SUMIF($X:$X,CONCATENATE($AN112,BN$6),$W:$W)</f>
        <v>0</v>
      </c>
      <c r="BO112" s="134" t="n">
        <f aca="false">SUMIF($X:$X,CONCATENATE($AN112,BO$6),$W:$W)</f>
        <v>0</v>
      </c>
      <c r="BP112" s="134" t="n">
        <f aca="false">SUMIF($X:$X,CONCATENATE($AN112,BP$6),$W:$W)</f>
        <v>0</v>
      </c>
      <c r="BQ112" s="134" t="n">
        <f aca="false">SUMIF($X:$X,CONCATENATE($AN112,BQ$6),$W:$W)</f>
        <v>0</v>
      </c>
      <c r="BR112" s="135" t="n">
        <f aca="false">SUMIF($X:$X,CONCATENATE($AN112,BR$6),$W:$W)</f>
        <v>0</v>
      </c>
      <c r="BS112" s="208" t="n">
        <f aca="false">EOMONTH(BS111,0)+1</f>
        <v>39934</v>
      </c>
      <c r="BT112" s="135" t="n">
        <f aca="false">SUM(BF112:BR112)</f>
        <v>0</v>
      </c>
      <c r="BU112" s="2"/>
      <c r="BV112" s="2"/>
      <c r="BW112" s="2"/>
      <c r="BX112" s="2"/>
      <c r="BY112" s="2"/>
      <c r="BZ112" s="2"/>
      <c r="CA112" s="2"/>
      <c r="CB112" s="2"/>
      <c r="CC112" s="182" t="n">
        <f aca="false">G112</f>
        <v>36951</v>
      </c>
      <c r="CD112" s="253" t="e">
        <f aca="false">xSPRDOPT((VLOOKUP(G112,NGPrices,2,FALSE())+HLOOKUP(D112,Prices,VLOOKUP(G112,move_down,2,FALSE()),FALSE())),VLOOKUP(G112,NGPrices,2,FALSE()),I112,VLOOKUP(G112,NGPREVPRICES,4,FALSE()),HLOOKUP(D112,PREVVOLS,VLOOKUP(G112,MOVE_DOWN2,2,FALSE()),FALSE()),VLOOKUP(G112,NGPREVPRICES,3,FALSE()),HLOOKUP(D112,Correllate,VLOOKUP(G112,CorMove,2,FALSE()),FALSE()),Q112-$CD$3,R112,$CD$5)*H112-CJ112</f>
        <v>#NAME?</v>
      </c>
      <c r="CE112" s="253" t="e">
        <f aca="false">xSPRDOPT((VLOOKUP(G112,NGPREVPRICES,2,FALSE())+HLOOKUP(D112,PREVCURVES,VLOOKUP(G112,MOVE_DOWN2,2,FALSE()),FALSE())),VLOOKUP(G112,NGPREVPRICES,2,FALSE()),CK112,VLOOKUP(G112,NGPrices,4,FALSE()),HLOOKUP(D112,PREVVOLS,VLOOKUP(G112,MOVE_DOWN2,2,FALSE()),FALSE()),VLOOKUP(G112,NGPREVPRICES,3,FALSE()),HLOOKUP(D112,Correllate,VLOOKUP(G112,CorMove,2,FALSE()),FALSE()),Q112-$CD$3,R112,$CJ$5)*H112-CJ112</f>
        <v>#NAME?</v>
      </c>
      <c r="CF112" s="132" t="e">
        <f aca="false">(CJ112/VLOOKUP(CC112,discount,3,FALSE()))-(CJ112/VLOOKUP(CC112,discount,2,FALSE()))</f>
        <v>#NAME?</v>
      </c>
      <c r="CG112" s="253" t="e">
        <f aca="false">xSPRDOPT((VLOOKUP(G112,NGPREVPRICES,2,FALSE())+HLOOKUP(D112,PREVCURVES,VLOOKUP(G112,MOVE_DOWN2,2,FALSE()),FALSE())),VLOOKUP(G112,NGPREVPRICES,2,FALSE()),CK112,VLOOKUP(G112,NGPREVPRICES,4,FALSE()),HLOOKUP(D112,VOLS,VLOOKUP(G112,move_down,2,FALSE()),FALSE()),VLOOKUP(G112,NGPrices,3,FALSE()),HLOOKUP(D112,Correllate,VLOOKUP(G112,CorMove,2,FALSE()),FALSE()),Q112-$CD$3,R112,$CJ$5)*H112-CJ112</f>
        <v>#NAME?</v>
      </c>
      <c r="CH112" s="253" t="e">
        <f aca="false">xSPRDOPT((VLOOKUP(G112,NGPREVPRICES,2,FALSE())+HLOOKUP(D112,PREVCURVES,VLOOKUP(G112,MOVE_DOWN2,2,FALSE()),FALSE())),VLOOKUP(G112,NGPREVPRICES,2,FALSE()),CK112,VLOOKUP(G112,NGPREVPRICES,4,FALSE()),HLOOKUP(D112,PREVVOLS,VLOOKUP(G112,MOVE_DOWN2,2,FALSE()),FALSE()),VLOOKUP(G112,NGPREVPRICES,3,FALSE()),HLOOKUP(D112,Correllate,VLOOKUP(G112,CorMove,2,FALSE()),FALSE()),Q112-$C$3,R112,$CJ$5)*H112-CJ112</f>
        <v>#NAME?</v>
      </c>
      <c r="CI112" s="253" t="e">
        <f aca="false">SUM(CD112:CH112)</f>
        <v>#NAME?</v>
      </c>
      <c r="CJ112" s="253" t="e">
        <f aca="false">xSPRDOPT((VLOOKUP(G112,NGPREVPRICES,2,FALSE())+HLOOKUP(D112,PREVCURVES,VLOOKUP(G112,MOVE_DOWN2,2,FALSE()),FALSE())),VLOOKUP(G112,NGPREVPRICES,2,FALSE()),CK112,VLOOKUP(G112,NGPREVPRICES,4,FALSE()),HLOOKUP(D112,PREVVOLS,VLOOKUP(G112,MOVE_DOWN2,2,FALSE()),FALSE()),VLOOKUP(G112,NGPREVPRICES,3,FALSE()),HLOOKUP(D112,Correllate,VLOOKUP(G112,CorMove,2,FALSE()),FALSE()),Q112-$CD$3,R112,$CJ$5)*H112</f>
        <v>#NAME?</v>
      </c>
      <c r="CK112" s="254" t="n">
        <f aca="false">I112</f>
        <v>0.7</v>
      </c>
      <c r="CL112" s="253"/>
      <c r="CM112" s="0" t="str">
        <f aca="false">CONCATENATE(CC112,$CD$6)</f>
        <v>36951Curve Shift/Gamma</v>
      </c>
      <c r="CN112" s="0" t="str">
        <f aca="false">CONCATENATE($CC112,$CE$6)</f>
        <v>36951Rho</v>
      </c>
      <c r="CO112" s="0" t="str">
        <f aca="false">CONCATENATE($CC112,$CF$6)</f>
        <v>36951Drift</v>
      </c>
      <c r="CP112" s="0" t="str">
        <f aca="false">CONCATENATE($CC112,$CG$6)</f>
        <v>36951Vega</v>
      </c>
      <c r="CQ112" s="0" t="str">
        <f aca="false">CONCATENATE($CC112,$CH$6)</f>
        <v>36951Theta</v>
      </c>
    </row>
    <row r="113" customFormat="false" ht="12" hidden="false" customHeight="true" outlineLevel="0" collapsed="false">
      <c r="A113" s="17" t="s">
        <v>244</v>
      </c>
      <c r="B113" s="0" t="s">
        <v>192</v>
      </c>
      <c r="C113" s="0" t="s">
        <v>245</v>
      </c>
      <c r="D113" s="7" t="s">
        <v>149</v>
      </c>
      <c r="E113" s="0" t="s">
        <v>131</v>
      </c>
      <c r="F113" s="0" t="s">
        <v>132</v>
      </c>
      <c r="G113" s="92" t="n">
        <v>36923</v>
      </c>
      <c r="H113" s="248" t="n">
        <v>500000</v>
      </c>
      <c r="I113" s="0" t="n">
        <v>0.7</v>
      </c>
      <c r="J113" s="124" t="n">
        <f aca="false">VLOOKUP(G113,NGPrices,2,FALSE())</f>
        <v>4.48</v>
      </c>
      <c r="K113" s="125" t="n">
        <f aca="false">HLOOKUP(D113,Prices,VLOOKUP(G113,move_down,2,FALSE()),FALSE())+VLOOKUP(G113,CHANGE,HLOOKUP(D113,CHANGE,2,FALSE()),FALSE())</f>
        <v>2.09</v>
      </c>
      <c r="L113" s="124" t="n">
        <f aca="false">K113+J113</f>
        <v>6.57</v>
      </c>
      <c r="M113" s="126" t="n">
        <f aca="false">VLOOKUP(G113,NGPrices,4,FALSE())</f>
        <v>0.068640161611372</v>
      </c>
      <c r="N113" s="7" t="n">
        <f aca="false">VLOOKUP(G113,NGPrices,3,FALSE())</f>
        <v>0.5925</v>
      </c>
      <c r="O113" s="7" t="n">
        <f aca="false">HLOOKUP(D113,VOLS,VLOOKUP(G113,move_down,2,FALSE()),FALSE())</f>
        <v>0.681</v>
      </c>
      <c r="P113" s="249" t="n">
        <f aca="false">HLOOKUP(D113,Correllate,VLOOKUP(G113,CorMove,2,FALSE()),FALSE())</f>
        <v>0.83</v>
      </c>
      <c r="Q113" s="92" t="n">
        <f aca="false">WORKDAY(G113,-2)</f>
        <v>36921</v>
      </c>
      <c r="R113" s="7" t="n">
        <f aca="false">IF(F113="P",0,1)</f>
        <v>0</v>
      </c>
      <c r="S113" s="130" t="e">
        <f aca="false">xSPRDOPT($L113,$J113,$I113,$M113,$O113,$N113,$P113,$Q113-$C$3,$R113,0)</f>
        <v>#NAME?</v>
      </c>
      <c r="T113" s="250" t="e">
        <f aca="false">xSPRDOPT($L113,$J113,$I113,$M113,$O113,$N113,$P113,$Q113-$C$3,$R113,1)*H113</f>
        <v>#NAME?</v>
      </c>
      <c r="U113" s="43" t="e">
        <f aca="false">S113*H113</f>
        <v>#NAME?</v>
      </c>
      <c r="V113" s="250" t="e">
        <f aca="false">xSPRDOPT($L113,$J113,$I113,$M113,$O113,$N113,$P113,$Q113-$C$3,$R113,2)*H113</f>
        <v>#NAME?</v>
      </c>
      <c r="W113" s="250" t="e">
        <f aca="false">+V113+T113</f>
        <v>#NAME?</v>
      </c>
      <c r="X113" s="2" t="str">
        <f aca="false">CONCATENATE(G113,D113)</f>
        <v>36923IF-TRANSCO/Z6</v>
      </c>
      <c r="Y113" s="251" t="n">
        <f aca="false">H113/10000</f>
        <v>50</v>
      </c>
      <c r="Z113" s="226" t="e">
        <f aca="false">T113/H113</f>
        <v>#NAME?</v>
      </c>
      <c r="AA113" s="226" t="e">
        <f aca="false">xSPRDOPT($L113,$J113,$I113,$M113,$O113,$N113,$P113,$Q113-$C$3,$R113,3)</f>
        <v>#NAME?</v>
      </c>
      <c r="AB113" s="226" t="e">
        <f aca="false">((xSPRDOPT($L113+AB$5,$J113,$I113,$M113,$O113,$N113,$P113,$Q113-$C$3,$R113,3)*$H113)/10000)/100</f>
        <v>#NAME?</v>
      </c>
      <c r="AC113" s="226" t="e">
        <f aca="false">((xSPRDOPT($L113+$AB$5,$J113,$I113,$M113,$O113,$N113,$P113,$Q113-$C$3,$R113,7)*$H113)/100)</f>
        <v>#NAME?</v>
      </c>
      <c r="AD113" s="226" t="e">
        <f aca="false">(xSPRDOPT($L113+$AB$5,$J113,$I113,$M113,$O113,$N113,$P113,$Q113-$C$3,$R113,9)/365)*$H113</f>
        <v>#NAME?</v>
      </c>
      <c r="AE113" s="0" t="e">
        <f aca="false">CD113</f>
        <v>#NAME?</v>
      </c>
      <c r="AF113" s="226" t="e">
        <f aca="false">((O113/N113)*AH113)+AG113</f>
        <v>#NAME?</v>
      </c>
      <c r="AG113" s="226" t="e">
        <f aca="false">((xSPRDOPT($L113,$J113,$I113,$M113,$O113,$N113,$P113,$Q113-$C$3,$R113,6)*$H113)/100)</f>
        <v>#NAME?</v>
      </c>
      <c r="AH113" s="226" t="e">
        <f aca="false">((xSPRDOPT($L113,$J113,$I113,$M113,$O113,$N113,$P113,$Q113-$C$3,$R113,5)*$H113)/100)</f>
        <v>#NAME?</v>
      </c>
      <c r="AI113" s="226" t="e">
        <f aca="false">(((xSPRDOPT($L113,$J113,$I113,$M113,$O113,$N113,$P113,$Q113-$C$3,$R113,4)*$H113)/10000)/100)-AB113</f>
        <v>#NAME?</v>
      </c>
      <c r="AJ113" s="226"/>
      <c r="AK113" s="226"/>
      <c r="AL113" s="226"/>
      <c r="AM113" s="252"/>
      <c r="AN113" s="208" t="n">
        <f aca="false">EOMONTH(AN112,0)+1</f>
        <v>39965</v>
      </c>
      <c r="AO113" s="134" t="n">
        <f aca="false">SUMIF($X:$X,CONCATENATE($AN113,AO$6),$T:$T)/10000</f>
        <v>0</v>
      </c>
      <c r="AP113" s="134" t="n">
        <f aca="false">SUMIF($X:$X,CONCATENATE($AN113,AP$6),$T:$T)/10000</f>
        <v>0</v>
      </c>
      <c r="AQ113" s="134" t="n">
        <f aca="false">SUMIF($X:$X,CONCATENATE($AN113,AQ$6),$T:$T)/10000</f>
        <v>0</v>
      </c>
      <c r="AR113" s="134" t="n">
        <f aca="false">SUMIF($X:$X,CONCATENATE($AN113,AR$6),$T:$T)/10000</f>
        <v>0</v>
      </c>
      <c r="AS113" s="134" t="n">
        <f aca="false">SUMIF($X:$X,CONCATENATE($AN113,AS$6),$T:$T)/10000</f>
        <v>0</v>
      </c>
      <c r="AT113" s="134" t="n">
        <f aca="false">SUMIF($X:$X,CONCATENATE($AN113,AT$6),$T:$T)/10000</f>
        <v>0</v>
      </c>
      <c r="AU113" s="134" t="n">
        <f aca="false">SUMIF($X:$X,CONCATENATE($AN113,AU$6),$T:$T)/10000</f>
        <v>0</v>
      </c>
      <c r="AV113" s="134" t="n">
        <f aca="false">SUMIF($X:$X,CONCATENATE($AN113,AV$6),$T:$T)/10000</f>
        <v>0</v>
      </c>
      <c r="AW113" s="134" t="n">
        <f aca="false">SUMIF($X:$X,CONCATENATE($AN113,AW$6),$T:$T)/10000</f>
        <v>0</v>
      </c>
      <c r="AX113" s="134" t="n">
        <f aca="false">SUMIF($X:$X,CONCATENATE($AN113,AX$6),$T:$T)/10000</f>
        <v>0</v>
      </c>
      <c r="AY113" s="134" t="n">
        <f aca="false">SUMIF($X:$X,CONCATENATE($AN113,AY$6),$T:$T)/10000</f>
        <v>0</v>
      </c>
      <c r="AZ113" s="134" t="n">
        <f aca="false">SUMIF($X:$X,CONCATENATE($AN113,AZ$6),$T:$T)/10000</f>
        <v>0</v>
      </c>
      <c r="BA113" s="135" t="n">
        <f aca="false">SUMIF($X:$X,CONCATENATE($AN113,BA$6),$T:$T)/10000</f>
        <v>0</v>
      </c>
      <c r="BB113" s="208" t="n">
        <f aca="false">EOMONTH(BB112,0)+1</f>
        <v>39965</v>
      </c>
      <c r="BC113" s="135" t="n">
        <f aca="false">SUM(AO113:BA113)</f>
        <v>0</v>
      </c>
      <c r="BD113" s="2"/>
      <c r="BE113" s="208" t="n">
        <f aca="false">EOMONTH(BE112,0)+1</f>
        <v>39965</v>
      </c>
      <c r="BF113" s="134" t="n">
        <f aca="false">SUMIF($X:$X,CONCATENATE($AN113,BF$6),$W:$W)</f>
        <v>0</v>
      </c>
      <c r="BG113" s="134" t="n">
        <f aca="false">SUMIF($X:$X,CONCATENATE($AN113,BG$6),$W:$W)</f>
        <v>0</v>
      </c>
      <c r="BH113" s="134" t="n">
        <f aca="false">SUMIF($X:$X,CONCATENATE($AN113,BH$6),$W:$W)</f>
        <v>0</v>
      </c>
      <c r="BI113" s="134" t="n">
        <f aca="false">SUMIF($X:$X,CONCATENATE($AN113,BI$6),$W:$W)</f>
        <v>0</v>
      </c>
      <c r="BJ113" s="134" t="n">
        <f aca="false">SUMIF($X:$X,CONCATENATE($AN113,BJ$6),$W:$W)</f>
        <v>0</v>
      </c>
      <c r="BK113" s="134" t="n">
        <f aca="false">SUMIF($X:$X,CONCATENATE($AN113,BK$6),$W:$W)</f>
        <v>0</v>
      </c>
      <c r="BL113" s="134" t="n">
        <f aca="false">SUMIF($X:$X,CONCATENATE($AN113,BL$6),$W:$W)</f>
        <v>0</v>
      </c>
      <c r="BM113" s="134" t="n">
        <f aca="false">SUMIF($X:$X,CONCATENATE($AN113,BM$6),$W:$W)</f>
        <v>0</v>
      </c>
      <c r="BN113" s="134" t="n">
        <f aca="false">SUMIF($X:$X,CONCATENATE($AN113,BN$6),$W:$W)</f>
        <v>0</v>
      </c>
      <c r="BO113" s="134" t="n">
        <f aca="false">SUMIF($X:$X,CONCATENATE($AN113,BO$6),$W:$W)</f>
        <v>0</v>
      </c>
      <c r="BP113" s="134" t="n">
        <f aca="false">SUMIF($X:$X,CONCATENATE($AN113,BP$6),$W:$W)</f>
        <v>0</v>
      </c>
      <c r="BQ113" s="134" t="n">
        <f aca="false">SUMIF($X:$X,CONCATENATE($AN113,BQ$6),$W:$W)</f>
        <v>0</v>
      </c>
      <c r="BR113" s="135" t="n">
        <f aca="false">SUMIF($X:$X,CONCATENATE($AN113,BR$6),$W:$W)</f>
        <v>0</v>
      </c>
      <c r="BS113" s="208" t="n">
        <f aca="false">EOMONTH(BS112,0)+1</f>
        <v>39965</v>
      </c>
      <c r="BT113" s="135" t="n">
        <f aca="false">SUM(BF113:BR113)</f>
        <v>0</v>
      </c>
      <c r="BU113" s="2"/>
      <c r="BV113" s="2"/>
      <c r="BW113" s="2"/>
      <c r="BX113" s="2"/>
      <c r="BY113" s="2"/>
      <c r="BZ113" s="2"/>
      <c r="CA113" s="2"/>
      <c r="CB113" s="2"/>
      <c r="CC113" s="182" t="n">
        <f aca="false">G113</f>
        <v>36923</v>
      </c>
      <c r="CD113" s="253" t="e">
        <f aca="false">xSPRDOPT((VLOOKUP(G113,NGPrices,2,FALSE())+HLOOKUP(D113,Prices,VLOOKUP(G113,move_down,2,FALSE()),FALSE())),VLOOKUP(G113,NGPrices,2,FALSE()),I113,VLOOKUP(G113,NGPREVPRICES,4,FALSE()),HLOOKUP(D113,PREVVOLS,VLOOKUP(G113,MOVE_DOWN2,2,FALSE()),FALSE()),VLOOKUP(G113,NGPREVPRICES,3,FALSE()),HLOOKUP(D113,Correllate,VLOOKUP(G113,CorMove,2,FALSE()),FALSE()),Q113-$CD$3,R113,$CD$5)*H113-CJ113</f>
        <v>#NAME?</v>
      </c>
      <c r="CE113" s="253" t="e">
        <f aca="false">xSPRDOPT((VLOOKUP(G113,NGPREVPRICES,2,FALSE())+HLOOKUP(D113,PREVCURVES,VLOOKUP(G113,MOVE_DOWN2,2,FALSE()),FALSE())),VLOOKUP(G113,NGPREVPRICES,2,FALSE()),CK113,VLOOKUP(G113,NGPrices,4,FALSE()),HLOOKUP(D113,PREVVOLS,VLOOKUP(G113,MOVE_DOWN2,2,FALSE()),FALSE()),VLOOKUP(G113,NGPREVPRICES,3,FALSE()),HLOOKUP(D113,Correllate,VLOOKUP(G113,CorMove,2,FALSE()),FALSE()),Q113-$CD$3,R113,$CJ$5)*H113-CJ113</f>
        <v>#NAME?</v>
      </c>
      <c r="CF113" s="132" t="e">
        <f aca="false">(CJ113/VLOOKUP(CC113,discount,3,FALSE()))-(CJ113/VLOOKUP(CC113,discount,2,FALSE()))</f>
        <v>#NAME?</v>
      </c>
      <c r="CG113" s="253" t="e">
        <f aca="false">xSPRDOPT((VLOOKUP(G113,NGPREVPRICES,2,FALSE())+HLOOKUP(D113,PREVCURVES,VLOOKUP(G113,MOVE_DOWN2,2,FALSE()),FALSE())),VLOOKUP(G113,NGPREVPRICES,2,FALSE()),CK113,VLOOKUP(G113,NGPREVPRICES,4,FALSE()),HLOOKUP(D113,VOLS,VLOOKUP(G113,move_down,2,FALSE()),FALSE()),VLOOKUP(G113,NGPrices,3,FALSE()),HLOOKUP(D113,Correllate,VLOOKUP(G113,CorMove,2,FALSE()),FALSE()),Q113-$CD$3,R113,$CJ$5)*H113-CJ113</f>
        <v>#NAME?</v>
      </c>
      <c r="CH113" s="253" t="e">
        <f aca="false">xSPRDOPT((VLOOKUP(G113,NGPREVPRICES,2,FALSE())+HLOOKUP(D113,PREVCURVES,VLOOKUP(G113,MOVE_DOWN2,2,FALSE()),FALSE())),VLOOKUP(G113,NGPREVPRICES,2,FALSE()),CK113,VLOOKUP(G113,NGPREVPRICES,4,FALSE()),HLOOKUP(D113,PREVVOLS,VLOOKUP(G113,MOVE_DOWN2,2,FALSE()),FALSE()),VLOOKUP(G113,NGPREVPRICES,3,FALSE()),HLOOKUP(D113,Correllate,VLOOKUP(G113,CorMove,2,FALSE()),FALSE()),Q113-$C$3,R113,$CJ$5)*H113-CJ113</f>
        <v>#NAME?</v>
      </c>
      <c r="CI113" s="253" t="e">
        <f aca="false">SUM(CD113:CH113)</f>
        <v>#NAME?</v>
      </c>
      <c r="CJ113" s="253" t="e">
        <f aca="false">xSPRDOPT((VLOOKUP(G113,NGPREVPRICES,2,FALSE())+HLOOKUP(D113,PREVCURVES,VLOOKUP(G113,MOVE_DOWN2,2,FALSE()),FALSE())),VLOOKUP(G113,NGPREVPRICES,2,FALSE()),CK113,VLOOKUP(G113,NGPREVPRICES,4,FALSE()),HLOOKUP(D113,PREVVOLS,VLOOKUP(G113,MOVE_DOWN2,2,FALSE()),FALSE()),VLOOKUP(G113,NGPREVPRICES,3,FALSE()),HLOOKUP(D113,Correllate,VLOOKUP(G113,CorMove,2,FALSE()),FALSE()),Q113-$CD$3,R113,$CJ$5)*H113</f>
        <v>#NAME?</v>
      </c>
      <c r="CK113" s="254" t="n">
        <f aca="false">I113</f>
        <v>0.7</v>
      </c>
      <c r="CL113" s="253"/>
      <c r="CM113" s="0" t="str">
        <f aca="false">CONCATENATE(CC113,$CD$6)</f>
        <v>36923Curve Shift/Gamma</v>
      </c>
      <c r="CN113" s="0" t="str">
        <f aca="false">CONCATENATE($CC113,$CE$6)</f>
        <v>36923Rho</v>
      </c>
      <c r="CO113" s="0" t="str">
        <f aca="false">CONCATENATE($CC113,$CF$6)</f>
        <v>36923Drift</v>
      </c>
      <c r="CP113" s="0" t="str">
        <f aca="false">CONCATENATE($CC113,$CG$6)</f>
        <v>36923Vega</v>
      </c>
      <c r="CQ113" s="0" t="str">
        <f aca="false">CONCATENATE($CC113,$CH$6)</f>
        <v>36923Theta</v>
      </c>
    </row>
    <row r="114" customFormat="false" ht="12" hidden="false" customHeight="true" outlineLevel="0" collapsed="false">
      <c r="A114" s="17" t="s">
        <v>244</v>
      </c>
      <c r="B114" s="0" t="s">
        <v>192</v>
      </c>
      <c r="C114" s="0" t="s">
        <v>245</v>
      </c>
      <c r="D114" s="7" t="s">
        <v>149</v>
      </c>
      <c r="E114" s="0" t="s">
        <v>131</v>
      </c>
      <c r="F114" s="0" t="s">
        <v>132</v>
      </c>
      <c r="G114" s="92" t="n">
        <v>36892</v>
      </c>
      <c r="H114" s="248" t="n">
        <v>500000</v>
      </c>
      <c r="I114" s="0" t="n">
        <v>0.7</v>
      </c>
      <c r="J114" s="124" t="n">
        <f aca="false">VLOOKUP(G114,NGPrices,2,FALSE())</f>
        <v>4.744</v>
      </c>
      <c r="K114" s="125" t="n">
        <f aca="false">HLOOKUP(D114,Prices,VLOOKUP(G114,move_down,2,FALSE()),FALSE())+VLOOKUP(G114,CHANGE,HLOOKUP(D114,CHANGE,2,FALSE()),FALSE())</f>
        <v>2.17</v>
      </c>
      <c r="L114" s="124" t="n">
        <f aca="false">K114+J114</f>
        <v>6.914</v>
      </c>
      <c r="M114" s="126" t="n">
        <f aca="false">VLOOKUP(G114,NGPrices,4,FALSE())</f>
        <v>0.068374831148491</v>
      </c>
      <c r="N114" s="7" t="n">
        <f aca="false">VLOOKUP(G114,NGPrices,3,FALSE())</f>
        <v>0.605</v>
      </c>
      <c r="O114" s="7" t="n">
        <f aca="false">HLOOKUP(D114,VOLS,VLOOKUP(G114,move_down,2,FALSE()),FALSE())</f>
        <v>0.696</v>
      </c>
      <c r="P114" s="249" t="n">
        <f aca="false">HLOOKUP(D114,Correllate,VLOOKUP(G114,CorMove,2,FALSE()),FALSE())</f>
        <v>0.83</v>
      </c>
      <c r="Q114" s="92" t="n">
        <f aca="false">WORKDAY(G114,-2)</f>
        <v>36888</v>
      </c>
      <c r="R114" s="7" t="n">
        <f aca="false">IF(F114="P",0,1)</f>
        <v>0</v>
      </c>
      <c r="S114" s="130" t="e">
        <f aca="false">xSPRDOPT($L114,$J114,$I114,$M114,$O114,$N114,$P114,$Q114-$C$3,$R114,0)</f>
        <v>#NAME?</v>
      </c>
      <c r="T114" s="250" t="e">
        <f aca="false">xSPRDOPT($L114,$J114,$I114,$M114,$O114,$N114,$P114,$Q114-$C$3,$R114,1)*H114</f>
        <v>#NAME?</v>
      </c>
      <c r="U114" s="43" t="e">
        <f aca="false">S114*H114</f>
        <v>#NAME?</v>
      </c>
      <c r="V114" s="250" t="e">
        <f aca="false">xSPRDOPT($L114,$J114,$I114,$M114,$O114,$N114,$P114,$Q114-$C$3,$R114,2)*H114</f>
        <v>#NAME?</v>
      </c>
      <c r="W114" s="250" t="e">
        <f aca="false">+V114+T114</f>
        <v>#NAME?</v>
      </c>
      <c r="X114" s="2" t="str">
        <f aca="false">CONCATENATE(G114,D114)</f>
        <v>36892IF-TRANSCO/Z6</v>
      </c>
      <c r="Y114" s="251" t="n">
        <f aca="false">H114/10000</f>
        <v>50</v>
      </c>
      <c r="Z114" s="226" t="e">
        <f aca="false">T114/H114</f>
        <v>#NAME?</v>
      </c>
      <c r="AA114" s="226" t="e">
        <f aca="false">xSPRDOPT($L114,$J114,$I114,$M114,$O114,$N114,$P114,$Q114-$C$3,$R114,3)</f>
        <v>#NAME?</v>
      </c>
      <c r="AB114" s="226" t="e">
        <f aca="false">((xSPRDOPT($L114+AB$5,$J114,$I114,$M114,$O114,$N114,$P114,$Q114-$C$3,$R114,3)*$H114)/10000)/100</f>
        <v>#NAME?</v>
      </c>
      <c r="AC114" s="226" t="e">
        <f aca="false">((xSPRDOPT($L114+$AB$5,$J114,$I114,$M114,$O114,$N114,$P114,$Q114-$C$3,$R114,7)*$H114)/100)</f>
        <v>#NAME?</v>
      </c>
      <c r="AD114" s="226" t="e">
        <f aca="false">(xSPRDOPT($L114+$AB$5,$J114,$I114,$M114,$O114,$N114,$P114,$Q114-$C$3,$R114,9)/365)*$H114</f>
        <v>#NAME?</v>
      </c>
      <c r="AE114" s="0" t="e">
        <f aca="false">CD114</f>
        <v>#NAME?</v>
      </c>
      <c r="AF114" s="226" t="e">
        <f aca="false">((O114/N114)*AH114)+AG114</f>
        <v>#NAME?</v>
      </c>
      <c r="AG114" s="226" t="e">
        <f aca="false">((xSPRDOPT($L114,$J114,$I114,$M114,$O114,$N114,$P114,$Q114-$C$3,$R114,6)*$H114)/100)</f>
        <v>#NAME?</v>
      </c>
      <c r="AH114" s="226" t="e">
        <f aca="false">((xSPRDOPT($L114,$J114,$I114,$M114,$O114,$N114,$P114,$Q114-$C$3,$R114,5)*$H114)/100)</f>
        <v>#NAME?</v>
      </c>
      <c r="AI114" s="226" t="e">
        <f aca="false">(((xSPRDOPT($L114,$J114,$I114,$M114,$O114,$N114,$P114,$Q114-$C$3,$R114,4)*$H114)/10000)/100)-AB114</f>
        <v>#NAME?</v>
      </c>
      <c r="AJ114" s="226"/>
      <c r="AK114" s="226"/>
      <c r="AL114" s="226"/>
      <c r="AM114" s="252"/>
      <c r="AN114" s="208" t="n">
        <f aca="false">EOMONTH(AN113,0)+1</f>
        <v>39995</v>
      </c>
      <c r="AO114" s="134" t="n">
        <f aca="false">SUMIF($X:$X,CONCATENATE($AN114,AO$6),$T:$T)/10000</f>
        <v>0</v>
      </c>
      <c r="AP114" s="134" t="n">
        <f aca="false">SUMIF($X:$X,CONCATENATE($AN114,AP$6),$T:$T)/10000</f>
        <v>0</v>
      </c>
      <c r="AQ114" s="134" t="n">
        <f aca="false">SUMIF($X:$X,CONCATENATE($AN114,AQ$6),$T:$T)/10000</f>
        <v>0</v>
      </c>
      <c r="AR114" s="134" t="n">
        <f aca="false">SUMIF($X:$X,CONCATENATE($AN114,AR$6),$T:$T)/10000</f>
        <v>0</v>
      </c>
      <c r="AS114" s="134" t="n">
        <f aca="false">SUMIF($X:$X,CONCATENATE($AN114,AS$6),$T:$T)/10000</f>
        <v>0</v>
      </c>
      <c r="AT114" s="134" t="n">
        <f aca="false">SUMIF($X:$X,CONCATENATE($AN114,AT$6),$T:$T)/10000</f>
        <v>0</v>
      </c>
      <c r="AU114" s="134" t="n">
        <f aca="false">SUMIF($X:$X,CONCATENATE($AN114,AU$6),$T:$T)/10000</f>
        <v>0</v>
      </c>
      <c r="AV114" s="134" t="n">
        <f aca="false">SUMIF($X:$X,CONCATENATE($AN114,AV$6),$T:$T)/10000</f>
        <v>0</v>
      </c>
      <c r="AW114" s="134" t="n">
        <f aca="false">SUMIF($X:$X,CONCATENATE($AN114,AW$6),$T:$T)/10000</f>
        <v>0</v>
      </c>
      <c r="AX114" s="134" t="n">
        <f aca="false">SUMIF($X:$X,CONCATENATE($AN114,AX$6),$T:$T)/10000</f>
        <v>0</v>
      </c>
      <c r="AY114" s="134" t="n">
        <f aca="false">SUMIF($X:$X,CONCATENATE($AN114,AY$6),$T:$T)/10000</f>
        <v>0</v>
      </c>
      <c r="AZ114" s="134" t="n">
        <f aca="false">SUMIF($X:$X,CONCATENATE($AN114,AZ$6),$T:$T)/10000</f>
        <v>0</v>
      </c>
      <c r="BA114" s="135" t="n">
        <f aca="false">SUMIF($X:$X,CONCATENATE($AN114,BA$6),$T:$T)/10000</f>
        <v>0</v>
      </c>
      <c r="BB114" s="208" t="n">
        <f aca="false">EOMONTH(BB113,0)+1</f>
        <v>39995</v>
      </c>
      <c r="BC114" s="135" t="n">
        <f aca="false">SUM(AO114:BA114)</f>
        <v>0</v>
      </c>
      <c r="BD114" s="2"/>
      <c r="BE114" s="208" t="n">
        <f aca="false">EOMONTH(BE113,0)+1</f>
        <v>39995</v>
      </c>
      <c r="BF114" s="134" t="n">
        <f aca="false">SUMIF($X:$X,CONCATENATE($AN114,BF$6),$W:$W)</f>
        <v>0</v>
      </c>
      <c r="BG114" s="134" t="n">
        <f aca="false">SUMIF($X:$X,CONCATENATE($AN114,BG$6),$W:$W)</f>
        <v>0</v>
      </c>
      <c r="BH114" s="134" t="n">
        <f aca="false">SUMIF($X:$X,CONCATENATE($AN114,BH$6),$W:$W)</f>
        <v>0</v>
      </c>
      <c r="BI114" s="134" t="n">
        <f aca="false">SUMIF($X:$X,CONCATENATE($AN114,BI$6),$W:$W)</f>
        <v>0</v>
      </c>
      <c r="BJ114" s="134" t="n">
        <f aca="false">SUMIF($X:$X,CONCATENATE($AN114,BJ$6),$W:$W)</f>
        <v>0</v>
      </c>
      <c r="BK114" s="134" t="n">
        <f aca="false">SUMIF($X:$X,CONCATENATE($AN114,BK$6),$W:$W)</f>
        <v>0</v>
      </c>
      <c r="BL114" s="134" t="n">
        <f aca="false">SUMIF($X:$X,CONCATENATE($AN114,BL$6),$W:$W)</f>
        <v>0</v>
      </c>
      <c r="BM114" s="134" t="n">
        <f aca="false">SUMIF($X:$X,CONCATENATE($AN114,BM$6),$W:$W)</f>
        <v>0</v>
      </c>
      <c r="BN114" s="134" t="n">
        <f aca="false">SUMIF($X:$X,CONCATENATE($AN114,BN$6),$W:$W)</f>
        <v>0</v>
      </c>
      <c r="BO114" s="134" t="n">
        <f aca="false">SUMIF($X:$X,CONCATENATE($AN114,BO$6),$W:$W)</f>
        <v>0</v>
      </c>
      <c r="BP114" s="134" t="n">
        <f aca="false">SUMIF($X:$X,CONCATENATE($AN114,BP$6),$W:$W)</f>
        <v>0</v>
      </c>
      <c r="BQ114" s="134" t="n">
        <f aca="false">SUMIF($X:$X,CONCATENATE($AN114,BQ$6),$W:$W)</f>
        <v>0</v>
      </c>
      <c r="BR114" s="135" t="n">
        <f aca="false">SUMIF($X:$X,CONCATENATE($AN114,BR$6),$W:$W)</f>
        <v>0</v>
      </c>
      <c r="BS114" s="208" t="n">
        <f aca="false">EOMONTH(BS113,0)+1</f>
        <v>39995</v>
      </c>
      <c r="BT114" s="135" t="n">
        <f aca="false">SUM(BF114:BR114)</f>
        <v>0</v>
      </c>
      <c r="BU114" s="2"/>
      <c r="BV114" s="2"/>
      <c r="BW114" s="2"/>
      <c r="BX114" s="2"/>
      <c r="BY114" s="2"/>
      <c r="BZ114" s="2"/>
      <c r="CA114" s="2"/>
      <c r="CB114" s="2"/>
      <c r="CC114" s="182" t="n">
        <f aca="false">G114</f>
        <v>36892</v>
      </c>
      <c r="CD114" s="253" t="e">
        <f aca="false">xSPRDOPT((VLOOKUP(G114,NGPrices,2,FALSE())+HLOOKUP(D114,Prices,VLOOKUP(G114,move_down,2,FALSE()),FALSE())),VLOOKUP(G114,NGPrices,2,FALSE()),I114,VLOOKUP(G114,NGPREVPRICES,4,FALSE()),HLOOKUP(D114,PREVVOLS,VLOOKUP(G114,MOVE_DOWN2,2,FALSE()),FALSE()),VLOOKUP(G114,NGPREVPRICES,3,FALSE()),HLOOKUP(D114,Correllate,VLOOKUP(G114,CorMove,2,FALSE()),FALSE()),Q114-$CD$3,R114,$CD$5)*H114-CJ114</f>
        <v>#NAME?</v>
      </c>
      <c r="CE114" s="253" t="e">
        <f aca="false">xSPRDOPT((VLOOKUP(G114,NGPREVPRICES,2,FALSE())+HLOOKUP(D114,PREVCURVES,VLOOKUP(G114,MOVE_DOWN2,2,FALSE()),FALSE())),VLOOKUP(G114,NGPREVPRICES,2,FALSE()),CK114,VLOOKUP(G114,NGPrices,4,FALSE()),HLOOKUP(D114,PREVVOLS,VLOOKUP(G114,MOVE_DOWN2,2,FALSE()),FALSE()),VLOOKUP(G114,NGPREVPRICES,3,FALSE()),HLOOKUP(D114,Correllate,VLOOKUP(G114,CorMove,2,FALSE()),FALSE()),Q114-$CD$3,R114,$CJ$5)*H114-CJ114</f>
        <v>#NAME?</v>
      </c>
      <c r="CF114" s="132" t="e">
        <f aca="false">(CJ114/VLOOKUP(CC114,discount,3,FALSE()))-(CJ114/VLOOKUP(CC114,discount,2,FALSE()))</f>
        <v>#NAME?</v>
      </c>
      <c r="CG114" s="253" t="e">
        <f aca="false">xSPRDOPT((VLOOKUP(G114,NGPREVPRICES,2,FALSE())+HLOOKUP(D114,PREVCURVES,VLOOKUP(G114,MOVE_DOWN2,2,FALSE()),FALSE())),VLOOKUP(G114,NGPREVPRICES,2,FALSE()),CK114,VLOOKUP(G114,NGPREVPRICES,4,FALSE()),HLOOKUP(D114,VOLS,VLOOKUP(G114,move_down,2,FALSE()),FALSE()),VLOOKUP(G114,NGPrices,3,FALSE()),HLOOKUP(D114,Correllate,VLOOKUP(G114,CorMove,2,FALSE()),FALSE()),Q114-$CD$3,R114,$CJ$5)*H114-CJ114</f>
        <v>#NAME?</v>
      </c>
      <c r="CH114" s="253" t="e">
        <f aca="false">xSPRDOPT((VLOOKUP(G114,NGPREVPRICES,2,FALSE())+HLOOKUP(D114,PREVCURVES,VLOOKUP(G114,MOVE_DOWN2,2,FALSE()),FALSE())),VLOOKUP(G114,NGPREVPRICES,2,FALSE()),CK114,VLOOKUP(G114,NGPREVPRICES,4,FALSE()),HLOOKUP(D114,PREVVOLS,VLOOKUP(G114,MOVE_DOWN2,2,FALSE()),FALSE()),VLOOKUP(G114,NGPREVPRICES,3,FALSE()),HLOOKUP(D114,Correllate,VLOOKUP(G114,CorMove,2,FALSE()),FALSE()),Q114-$C$3,R114,$CJ$5)*H114-CJ114</f>
        <v>#NAME?</v>
      </c>
      <c r="CI114" s="253" t="e">
        <f aca="false">SUM(CD114:CH114)</f>
        <v>#NAME?</v>
      </c>
      <c r="CJ114" s="253" t="e">
        <f aca="false">xSPRDOPT((VLOOKUP(G114,NGPREVPRICES,2,FALSE())+HLOOKUP(D114,PREVCURVES,VLOOKUP(G114,MOVE_DOWN2,2,FALSE()),FALSE())),VLOOKUP(G114,NGPREVPRICES,2,FALSE()),CK114,VLOOKUP(G114,NGPREVPRICES,4,FALSE()),HLOOKUP(D114,PREVVOLS,VLOOKUP(G114,MOVE_DOWN2,2,FALSE()),FALSE()),VLOOKUP(G114,NGPREVPRICES,3,FALSE()),HLOOKUP(D114,Correllate,VLOOKUP(G114,CorMove,2,FALSE()),FALSE()),Q114-$CD$3,R114,$CJ$5)*H114</f>
        <v>#NAME?</v>
      </c>
      <c r="CK114" s="254" t="n">
        <f aca="false">I114</f>
        <v>0.7</v>
      </c>
      <c r="CL114" s="253"/>
      <c r="CM114" s="0" t="str">
        <f aca="false">CONCATENATE(CC114,$CD$6)</f>
        <v>36892Curve Shift/Gamma</v>
      </c>
      <c r="CN114" s="0" t="str">
        <f aca="false">CONCATENATE($CC114,$CE$6)</f>
        <v>36892Rho</v>
      </c>
      <c r="CO114" s="0" t="str">
        <f aca="false">CONCATENATE($CC114,$CF$6)</f>
        <v>36892Drift</v>
      </c>
      <c r="CP114" s="0" t="str">
        <f aca="false">CONCATENATE($CC114,$CG$6)</f>
        <v>36892Vega</v>
      </c>
      <c r="CQ114" s="0" t="str">
        <f aca="false">CONCATENATE($CC114,$CH$6)</f>
        <v>36892Theta</v>
      </c>
    </row>
    <row r="115" customFormat="false" ht="12" hidden="false" customHeight="true" outlineLevel="0" collapsed="false">
      <c r="A115" s="17" t="s">
        <v>244</v>
      </c>
      <c r="B115" s="0" t="s">
        <v>192</v>
      </c>
      <c r="C115" s="0" t="s">
        <v>245</v>
      </c>
      <c r="D115" s="7" t="s">
        <v>149</v>
      </c>
      <c r="E115" s="0" t="s">
        <v>131</v>
      </c>
      <c r="F115" s="0" t="s">
        <v>132</v>
      </c>
      <c r="G115" s="92" t="n">
        <v>36861</v>
      </c>
      <c r="H115" s="248" t="n">
        <v>500000</v>
      </c>
      <c r="I115" s="0" t="n">
        <v>0.7</v>
      </c>
      <c r="J115" s="124" t="n">
        <f aca="false">VLOOKUP(G115,NGPrices,2,FALSE())</f>
        <v>4.8</v>
      </c>
      <c r="K115" s="125" t="n">
        <f aca="false">HLOOKUP(D115,Prices,VLOOKUP(G115,move_down,2,FALSE()),FALSE())+VLOOKUP(G115,CHANGE,HLOOKUP(D115,CHANGE,2,FALSE()),FALSE())</f>
        <v>1.645</v>
      </c>
      <c r="L115" s="124" t="n">
        <f aca="false">K115+J115</f>
        <v>6.445</v>
      </c>
      <c r="M115" s="126" t="n">
        <f aca="false">VLOOKUP(G115,NGPrices,4,FALSE())</f>
        <v>0.068314027999354</v>
      </c>
      <c r="N115" s="7" t="n">
        <f aca="false">VLOOKUP(G115,NGPrices,3,FALSE())</f>
        <v>0.6</v>
      </c>
      <c r="O115" s="7" t="n">
        <f aca="false">HLOOKUP(D115,VOLS,VLOOKUP(G115,move_down,2,FALSE()),FALSE())</f>
        <v>0.69</v>
      </c>
      <c r="P115" s="249" t="n">
        <f aca="false">HLOOKUP(D115,Correllate,VLOOKUP(G115,CorMove,2,FALSE()),FALSE())</f>
        <v>0.83</v>
      </c>
      <c r="Q115" s="92" t="n">
        <f aca="false">WORKDAY(G115,-2)</f>
        <v>36859</v>
      </c>
      <c r="R115" s="7" t="n">
        <f aca="false">IF(F115="P",0,1)</f>
        <v>0</v>
      </c>
      <c r="S115" s="130" t="e">
        <f aca="false">xSPRDOPT($L115,$J115,$I115,$M115,$O115,$N115,$P115,$Q115-$C$3,$R115,0)</f>
        <v>#NAME?</v>
      </c>
      <c r="T115" s="250" t="e">
        <f aca="false">xSPRDOPT($L115,$J115,$I115,$M115,$O115,$N115,$P115,$Q115-$C$3,$R115,1)*H115</f>
        <v>#NAME?</v>
      </c>
      <c r="U115" s="43" t="e">
        <f aca="false">S115*H115</f>
        <v>#NAME?</v>
      </c>
      <c r="V115" s="250" t="e">
        <f aca="false">xSPRDOPT($L115,$J115,$I115,$M115,$O115,$N115,$P115,$Q115-$C$3,$R115,2)*H115</f>
        <v>#NAME?</v>
      </c>
      <c r="W115" s="250" t="e">
        <f aca="false">+V115+T115</f>
        <v>#NAME?</v>
      </c>
      <c r="X115" s="2" t="str">
        <f aca="false">CONCATENATE(G115,D115)</f>
        <v>36861IF-TRANSCO/Z6</v>
      </c>
      <c r="Y115" s="251" t="n">
        <f aca="false">H115/10000</f>
        <v>50</v>
      </c>
      <c r="Z115" s="226" t="e">
        <f aca="false">T115/H115</f>
        <v>#NAME?</v>
      </c>
      <c r="AA115" s="226" t="e">
        <f aca="false">xSPRDOPT($L115,$J115,$I115,$M115,$O115,$N115,$P115,$Q115-$C$3,$R115,3)</f>
        <v>#NAME?</v>
      </c>
      <c r="AB115" s="226" t="e">
        <f aca="false">((xSPRDOPT($L115+AB$5,$J115,$I115,$M115,$O115,$N115,$P115,$Q115-$C$3,$R115,3)*$H115)/10000)/100</f>
        <v>#NAME?</v>
      </c>
      <c r="AC115" s="226" t="e">
        <f aca="false">((xSPRDOPT($L115+$AB$5,$J115,$I115,$M115,$O115,$N115,$P115,$Q115-$C$3,$R115,7)*$H115)/100)</f>
        <v>#NAME?</v>
      </c>
      <c r="AD115" s="226" t="e">
        <f aca="false">(xSPRDOPT($L115+$AB$5,$J115,$I115,$M115,$O115,$N115,$P115,$Q115-$C$3,$R115,9)/365)*$H115</f>
        <v>#NAME?</v>
      </c>
      <c r="AE115" s="0" t="e">
        <f aca="false">CD115</f>
        <v>#NAME?</v>
      </c>
      <c r="AF115" s="226" t="e">
        <f aca="false">((O115/N115)*AH115)+AG115</f>
        <v>#NAME?</v>
      </c>
      <c r="AG115" s="226" t="e">
        <f aca="false">((xSPRDOPT($L115,$J115,$I115,$M115,$O115,$N115,$P115,$Q115-$C$3,$R115,6)*$H115)/100)</f>
        <v>#NAME?</v>
      </c>
      <c r="AH115" s="226" t="e">
        <f aca="false">((xSPRDOPT($L115,$J115,$I115,$M115,$O115,$N115,$P115,$Q115-$C$3,$R115,5)*$H115)/100)</f>
        <v>#NAME?</v>
      </c>
      <c r="AI115" s="226" t="e">
        <f aca="false">(((xSPRDOPT($L115,$J115,$I115,$M115,$O115,$N115,$P115,$Q115-$C$3,$R115,4)*$H115)/10000)/100)-AB115</f>
        <v>#NAME?</v>
      </c>
      <c r="AJ115" s="226"/>
      <c r="AK115" s="226"/>
      <c r="AL115" s="226"/>
      <c r="AM115" s="252"/>
      <c r="AN115" s="208" t="n">
        <f aca="false">EOMONTH(AN114,0)+1</f>
        <v>40026</v>
      </c>
      <c r="AO115" s="134" t="n">
        <f aca="false">SUMIF($X:$X,CONCATENATE($AN115,AO$6),$T:$T)/10000</f>
        <v>0</v>
      </c>
      <c r="AP115" s="134" t="n">
        <f aca="false">SUMIF($X:$X,CONCATENATE($AN115,AP$6),$T:$T)/10000</f>
        <v>0</v>
      </c>
      <c r="AQ115" s="134" t="n">
        <f aca="false">SUMIF($X:$X,CONCATENATE($AN115,AQ$6),$T:$T)/10000</f>
        <v>0</v>
      </c>
      <c r="AR115" s="134" t="n">
        <f aca="false">SUMIF($X:$X,CONCATENATE($AN115,AR$6),$T:$T)/10000</f>
        <v>0</v>
      </c>
      <c r="AS115" s="134" t="n">
        <f aca="false">SUMIF($X:$X,CONCATENATE($AN115,AS$6),$T:$T)/10000</f>
        <v>0</v>
      </c>
      <c r="AT115" s="134" t="n">
        <f aca="false">SUMIF($X:$X,CONCATENATE($AN115,AT$6),$T:$T)/10000</f>
        <v>0</v>
      </c>
      <c r="AU115" s="134" t="n">
        <f aca="false">SUMIF($X:$X,CONCATENATE($AN115,AU$6),$T:$T)/10000</f>
        <v>0</v>
      </c>
      <c r="AV115" s="134" t="n">
        <f aca="false">SUMIF($X:$X,CONCATENATE($AN115,AV$6),$T:$T)/10000</f>
        <v>0</v>
      </c>
      <c r="AW115" s="134" t="n">
        <f aca="false">SUMIF($X:$X,CONCATENATE($AN115,AW$6),$T:$T)/10000</f>
        <v>0</v>
      </c>
      <c r="AX115" s="134" t="n">
        <f aca="false">SUMIF($X:$X,CONCATENATE($AN115,AX$6),$T:$T)/10000</f>
        <v>0</v>
      </c>
      <c r="AY115" s="134" t="n">
        <f aca="false">SUMIF($X:$X,CONCATENATE($AN115,AY$6),$T:$T)/10000</f>
        <v>0</v>
      </c>
      <c r="AZ115" s="134" t="n">
        <f aca="false">SUMIF($X:$X,CONCATENATE($AN115,AZ$6),$T:$T)/10000</f>
        <v>0</v>
      </c>
      <c r="BA115" s="135" t="n">
        <f aca="false">SUMIF($X:$X,CONCATENATE($AN115,BA$6),$T:$T)/10000</f>
        <v>0</v>
      </c>
      <c r="BB115" s="208" t="n">
        <f aca="false">EOMONTH(BB114,0)+1</f>
        <v>40026</v>
      </c>
      <c r="BC115" s="135" t="n">
        <f aca="false">SUM(AO115:BA115)</f>
        <v>0</v>
      </c>
      <c r="BD115" s="2"/>
      <c r="BE115" s="208" t="n">
        <f aca="false">EOMONTH(BE114,0)+1</f>
        <v>40026</v>
      </c>
      <c r="BF115" s="134" t="n">
        <f aca="false">SUMIF($X:$X,CONCATENATE($AN115,BF$6),$W:$W)</f>
        <v>0</v>
      </c>
      <c r="BG115" s="134" t="n">
        <f aca="false">SUMIF($X:$X,CONCATENATE($AN115,BG$6),$W:$W)</f>
        <v>0</v>
      </c>
      <c r="BH115" s="134" t="n">
        <f aca="false">SUMIF($X:$X,CONCATENATE($AN115,BH$6),$W:$W)</f>
        <v>0</v>
      </c>
      <c r="BI115" s="134" t="n">
        <f aca="false">SUMIF($X:$X,CONCATENATE($AN115,BI$6),$W:$W)</f>
        <v>0</v>
      </c>
      <c r="BJ115" s="134" t="n">
        <f aca="false">SUMIF($X:$X,CONCATENATE($AN115,BJ$6),$W:$W)</f>
        <v>0</v>
      </c>
      <c r="BK115" s="134" t="n">
        <f aca="false">SUMIF($X:$X,CONCATENATE($AN115,BK$6),$W:$W)</f>
        <v>0</v>
      </c>
      <c r="BL115" s="134" t="n">
        <f aca="false">SUMIF($X:$X,CONCATENATE($AN115,BL$6),$W:$W)</f>
        <v>0</v>
      </c>
      <c r="BM115" s="134" t="n">
        <f aca="false">SUMIF($X:$X,CONCATENATE($AN115,BM$6),$W:$W)</f>
        <v>0</v>
      </c>
      <c r="BN115" s="134" t="n">
        <f aca="false">SUMIF($X:$X,CONCATENATE($AN115,BN$6),$W:$W)</f>
        <v>0</v>
      </c>
      <c r="BO115" s="134" t="n">
        <f aca="false">SUMIF($X:$X,CONCATENATE($AN115,BO$6),$W:$W)</f>
        <v>0</v>
      </c>
      <c r="BP115" s="134" t="n">
        <f aca="false">SUMIF($X:$X,CONCATENATE($AN115,BP$6),$W:$W)</f>
        <v>0</v>
      </c>
      <c r="BQ115" s="134" t="n">
        <f aca="false">SUMIF($X:$X,CONCATENATE($AN115,BQ$6),$W:$W)</f>
        <v>0</v>
      </c>
      <c r="BR115" s="135" t="n">
        <f aca="false">SUMIF($X:$X,CONCATENATE($AN115,BR$6),$W:$W)</f>
        <v>0</v>
      </c>
      <c r="BS115" s="208" t="n">
        <f aca="false">EOMONTH(BS114,0)+1</f>
        <v>40026</v>
      </c>
      <c r="BT115" s="135" t="n">
        <f aca="false">SUM(BF115:BR115)</f>
        <v>0</v>
      </c>
      <c r="BU115" s="2"/>
      <c r="BV115" s="2"/>
      <c r="BW115" s="2"/>
      <c r="BX115" s="2"/>
      <c r="BY115" s="2"/>
      <c r="BZ115" s="2"/>
      <c r="CA115" s="2"/>
      <c r="CB115" s="2"/>
      <c r="CC115" s="182" t="n">
        <f aca="false">G115</f>
        <v>36861</v>
      </c>
      <c r="CD115" s="253" t="e">
        <f aca="false">xSPRDOPT((VLOOKUP(G115,NGPrices,2,FALSE())+HLOOKUP(D115,Prices,VLOOKUP(G115,move_down,2,FALSE()),FALSE())),VLOOKUP(G115,NGPrices,2,FALSE()),I115,VLOOKUP(G115,NGPREVPRICES,4,FALSE()),HLOOKUP(D115,PREVVOLS,VLOOKUP(G115,MOVE_DOWN2,2,FALSE()),FALSE()),VLOOKUP(G115,NGPREVPRICES,3,FALSE()),HLOOKUP(D115,Correllate,VLOOKUP(G115,CorMove,2,FALSE()),FALSE()),Q115-$CD$3,R115,$CD$5)*H115-CJ115</f>
        <v>#NAME?</v>
      </c>
      <c r="CE115" s="253" t="e">
        <f aca="false">xSPRDOPT((VLOOKUP(G115,NGPREVPRICES,2,FALSE())+HLOOKUP(D115,PREVCURVES,VLOOKUP(G115,MOVE_DOWN2,2,FALSE()),FALSE())),VLOOKUP(G115,NGPREVPRICES,2,FALSE()),CK115,VLOOKUP(G115,NGPrices,4,FALSE()),HLOOKUP(D115,PREVVOLS,VLOOKUP(G115,MOVE_DOWN2,2,FALSE()),FALSE()),VLOOKUP(G115,NGPREVPRICES,3,FALSE()),HLOOKUP(D115,Correllate,VLOOKUP(G115,CorMove,2,FALSE()),FALSE()),Q115-$CD$3,R115,$CJ$5)*H115-CJ115</f>
        <v>#NAME?</v>
      </c>
      <c r="CF115" s="132" t="e">
        <f aca="false">(CJ115/VLOOKUP(CC115,discount,3,FALSE()))-(CJ115/VLOOKUP(CC115,discount,2,FALSE()))</f>
        <v>#NAME?</v>
      </c>
      <c r="CG115" s="253" t="e">
        <f aca="false">xSPRDOPT((VLOOKUP(G115,NGPREVPRICES,2,FALSE())+HLOOKUP(D115,PREVCURVES,VLOOKUP(G115,MOVE_DOWN2,2,FALSE()),FALSE())),VLOOKUP(G115,NGPREVPRICES,2,FALSE()),CK115,VLOOKUP(G115,NGPREVPRICES,4,FALSE()),HLOOKUP(D115,VOLS,VLOOKUP(G115,move_down,2,FALSE()),FALSE()),VLOOKUP(G115,NGPrices,3,FALSE()),HLOOKUP(D115,Correllate,VLOOKUP(G115,CorMove,2,FALSE()),FALSE()),Q115-$CD$3,R115,$CJ$5)*H115-CJ115</f>
        <v>#NAME?</v>
      </c>
      <c r="CH115" s="253" t="e">
        <f aca="false">xSPRDOPT((VLOOKUP(G115,NGPREVPRICES,2,FALSE())+HLOOKUP(D115,PREVCURVES,VLOOKUP(G115,MOVE_DOWN2,2,FALSE()),FALSE())),VLOOKUP(G115,NGPREVPRICES,2,FALSE()),CK115,VLOOKUP(G115,NGPREVPRICES,4,FALSE()),HLOOKUP(D115,PREVVOLS,VLOOKUP(G115,MOVE_DOWN2,2,FALSE()),FALSE()),VLOOKUP(G115,NGPREVPRICES,3,FALSE()),HLOOKUP(D115,Correllate,VLOOKUP(G115,CorMove,2,FALSE()),FALSE()),Q115-$C$3,R115,$CJ$5)*H115-CJ115</f>
        <v>#NAME?</v>
      </c>
      <c r="CI115" s="253" t="e">
        <f aca="false">SUM(CD115:CH115)</f>
        <v>#NAME?</v>
      </c>
      <c r="CJ115" s="253" t="e">
        <f aca="false">xSPRDOPT((VLOOKUP(G115,NGPREVPRICES,2,FALSE())+HLOOKUP(D115,PREVCURVES,VLOOKUP(G115,MOVE_DOWN2,2,FALSE()),FALSE())),VLOOKUP(G115,NGPREVPRICES,2,FALSE()),CK115,VLOOKUP(G115,NGPREVPRICES,4,FALSE()),HLOOKUP(D115,PREVVOLS,VLOOKUP(G115,MOVE_DOWN2,2,FALSE()),FALSE()),VLOOKUP(G115,NGPREVPRICES,3,FALSE()),HLOOKUP(D115,Correllate,VLOOKUP(G115,CorMove,2,FALSE()),FALSE()),Q115-$CD$3,R115,$CJ$5)*H115</f>
        <v>#NAME?</v>
      </c>
      <c r="CK115" s="254" t="n">
        <f aca="false">I115</f>
        <v>0.7</v>
      </c>
      <c r="CL115" s="253"/>
      <c r="CM115" s="0" t="str">
        <f aca="false">CONCATENATE(CC115,$CD$6)</f>
        <v>36861Curve Shift/Gamma</v>
      </c>
      <c r="CN115" s="0" t="str">
        <f aca="false">CONCATENATE($CC115,$CE$6)</f>
        <v>36861Rho</v>
      </c>
      <c r="CO115" s="0" t="str">
        <f aca="false">CONCATENATE($CC115,$CF$6)</f>
        <v>36861Drift</v>
      </c>
      <c r="CP115" s="0" t="str">
        <f aca="false">CONCATENATE($CC115,$CG$6)</f>
        <v>36861Vega</v>
      </c>
      <c r="CQ115" s="0" t="str">
        <f aca="false">CONCATENATE($CC115,$CH$6)</f>
        <v>36861Theta</v>
      </c>
    </row>
    <row r="116" customFormat="false" ht="12" hidden="false" customHeight="true" outlineLevel="0" collapsed="false">
      <c r="A116" s="17" t="s">
        <v>244</v>
      </c>
      <c r="B116" s="0" t="s">
        <v>192</v>
      </c>
      <c r="C116" s="0" t="s">
        <v>245</v>
      </c>
      <c r="D116" s="7" t="s">
        <v>149</v>
      </c>
      <c r="E116" s="0" t="s">
        <v>131</v>
      </c>
      <c r="F116" s="0" t="s">
        <v>132</v>
      </c>
      <c r="G116" s="92" t="n">
        <v>36831</v>
      </c>
      <c r="H116" s="248" t="n">
        <v>500000</v>
      </c>
      <c r="I116" s="0" t="n">
        <v>0.7</v>
      </c>
      <c r="J116" s="124" t="n">
        <f aca="false">VLOOKUP(G116,NGPrices,2,FALSE())</f>
        <v>4.736</v>
      </c>
      <c r="K116" s="125" t="n">
        <f aca="false">HLOOKUP(D116,Prices,VLOOKUP(G116,move_down,2,FALSE()),FALSE())+VLOOKUP(G116,CHANGE,HLOOKUP(D116,CHANGE,2,FALSE()),FALSE())</f>
        <v>0.77</v>
      </c>
      <c r="L116" s="124" t="n">
        <f aca="false">K116+J116</f>
        <v>5.506</v>
      </c>
      <c r="M116" s="126" t="n">
        <f aca="false">VLOOKUP(G116,NGPrices,4,FALSE())</f>
        <v>0.06810675983792</v>
      </c>
      <c r="N116" s="7" t="n">
        <f aca="false">VLOOKUP(G116,NGPrices,3,FALSE())</f>
        <v>0.595</v>
      </c>
      <c r="O116" s="7" t="n">
        <f aca="false">HLOOKUP(D116,VOLS,VLOOKUP(G116,move_down,2,FALSE()),FALSE())</f>
        <v>0.625</v>
      </c>
      <c r="P116" s="249" t="n">
        <f aca="false">HLOOKUP(D116,Correllate,VLOOKUP(G116,CorMove,2,FALSE()),FALSE())</f>
        <v>0.89</v>
      </c>
      <c r="Q116" s="92" t="n">
        <f aca="false">WORKDAY(G116,-2)</f>
        <v>36829</v>
      </c>
      <c r="R116" s="7" t="n">
        <f aca="false">IF(F116="P",0,1)</f>
        <v>0</v>
      </c>
      <c r="S116" s="130" t="e">
        <f aca="false">xSPRDOPT($L116,$J116,$I116,$M116,$O116,$N116,$P116,$Q116-$C$3,$R116,0)</f>
        <v>#NAME?</v>
      </c>
      <c r="T116" s="250" t="e">
        <f aca="false">xSPRDOPT($L116,$J116,$I116,$M116,$O116,$N116,$P116,$Q116-$C$3,$R116,1)*H116</f>
        <v>#NAME?</v>
      </c>
      <c r="U116" s="43" t="e">
        <f aca="false">S116*H116</f>
        <v>#NAME?</v>
      </c>
      <c r="V116" s="250" t="e">
        <f aca="false">xSPRDOPT($L116,$J116,$I116,$M116,$O116,$N116,$P116,$Q116-$C$3,$R116,2)*H116</f>
        <v>#NAME?</v>
      </c>
      <c r="W116" s="250" t="e">
        <f aca="false">+V116+T116</f>
        <v>#NAME?</v>
      </c>
      <c r="X116" s="2" t="str">
        <f aca="false">CONCATENATE(G116,D116)</f>
        <v>36831IF-TRANSCO/Z6</v>
      </c>
      <c r="Y116" s="251" t="n">
        <f aca="false">H116/10000</f>
        <v>50</v>
      </c>
      <c r="Z116" s="226" t="e">
        <f aca="false">T116/H116</f>
        <v>#NAME?</v>
      </c>
      <c r="AA116" s="226" t="e">
        <f aca="false">xSPRDOPT($L116,$J116,$I116,$M116,$O116,$N116,$P116,$Q116-$C$3,$R116,3)</f>
        <v>#NAME?</v>
      </c>
      <c r="AB116" s="226" t="e">
        <f aca="false">((xSPRDOPT($L116+AB$5,$J116,$I116,$M116,$O116,$N116,$P116,$Q116-$C$3,$R116,3)*$H116)/10000)/100</f>
        <v>#NAME?</v>
      </c>
      <c r="AC116" s="226" t="e">
        <f aca="false">((xSPRDOPT($L116+$AB$5,$J116,$I116,$M116,$O116,$N116,$P116,$Q116-$C$3,$R116,7)*$H116)/100)</f>
        <v>#NAME?</v>
      </c>
      <c r="AD116" s="226" t="e">
        <f aca="false">(xSPRDOPT($L116+$AB$5,$J116,$I116,$M116,$O116,$N116,$P116,$Q116-$C$3,$R116,9)/365)*$H116</f>
        <v>#NAME?</v>
      </c>
      <c r="AE116" s="0" t="e">
        <f aca="false">CD116</f>
        <v>#NAME?</v>
      </c>
      <c r="AF116" s="226" t="e">
        <f aca="false">((O116/N116)*AH116)+AG116</f>
        <v>#NAME?</v>
      </c>
      <c r="AG116" s="226" t="e">
        <f aca="false">((xSPRDOPT($L116,$J116,$I116,$M116,$O116,$N116,$P116,$Q116-$C$3,$R116,6)*$H116)/100)</f>
        <v>#NAME?</v>
      </c>
      <c r="AH116" s="226" t="e">
        <f aca="false">((xSPRDOPT($L116,$J116,$I116,$M116,$O116,$N116,$P116,$Q116-$C$3,$R116,5)*$H116)/100)</f>
        <v>#NAME?</v>
      </c>
      <c r="AI116" s="226" t="e">
        <f aca="false">(((xSPRDOPT($L116,$J116,$I116,$M116,$O116,$N116,$P116,$Q116-$C$3,$R116,4)*$H116)/10000)/100)-AB116</f>
        <v>#NAME?</v>
      </c>
      <c r="AJ116" s="226"/>
      <c r="AK116" s="226"/>
      <c r="AL116" s="226"/>
      <c r="AM116" s="252"/>
      <c r="AN116" s="208" t="n">
        <f aca="false">EOMONTH(AN115,0)+1</f>
        <v>40057</v>
      </c>
      <c r="AO116" s="134" t="n">
        <f aca="false">SUMIF($X:$X,CONCATENATE($AN116,AO$6),$T:$T)/10000</f>
        <v>0</v>
      </c>
      <c r="AP116" s="134" t="n">
        <f aca="false">SUMIF($X:$X,CONCATENATE($AN116,AP$6),$T:$T)/10000</f>
        <v>0</v>
      </c>
      <c r="AQ116" s="134" t="n">
        <f aca="false">SUMIF($X:$X,CONCATENATE($AN116,AQ$6),$T:$T)/10000</f>
        <v>0</v>
      </c>
      <c r="AR116" s="134" t="n">
        <f aca="false">SUMIF($X:$X,CONCATENATE($AN116,AR$6),$T:$T)/10000</f>
        <v>0</v>
      </c>
      <c r="AS116" s="134" t="n">
        <f aca="false">SUMIF($X:$X,CONCATENATE($AN116,AS$6),$T:$T)/10000</f>
        <v>0</v>
      </c>
      <c r="AT116" s="134" t="n">
        <f aca="false">SUMIF($X:$X,CONCATENATE($AN116,AT$6),$T:$T)/10000</f>
        <v>0</v>
      </c>
      <c r="AU116" s="134" t="n">
        <f aca="false">SUMIF($X:$X,CONCATENATE($AN116,AU$6),$T:$T)/10000</f>
        <v>0</v>
      </c>
      <c r="AV116" s="134" t="n">
        <f aca="false">SUMIF($X:$X,CONCATENATE($AN116,AV$6),$T:$T)/10000</f>
        <v>0</v>
      </c>
      <c r="AW116" s="134" t="n">
        <f aca="false">SUMIF($X:$X,CONCATENATE($AN116,AW$6),$T:$T)/10000</f>
        <v>0</v>
      </c>
      <c r="AX116" s="134" t="n">
        <f aca="false">SUMIF($X:$X,CONCATENATE($AN116,AX$6),$T:$T)/10000</f>
        <v>0</v>
      </c>
      <c r="AY116" s="134" t="n">
        <f aca="false">SUMIF($X:$X,CONCATENATE($AN116,AY$6),$T:$T)/10000</f>
        <v>0</v>
      </c>
      <c r="AZ116" s="134" t="n">
        <f aca="false">SUMIF($X:$X,CONCATENATE($AN116,AZ$6),$T:$T)/10000</f>
        <v>0</v>
      </c>
      <c r="BA116" s="135" t="n">
        <f aca="false">SUMIF($X:$X,CONCATENATE($AN116,BA$6),$T:$T)/10000</f>
        <v>0</v>
      </c>
      <c r="BB116" s="208" t="n">
        <f aca="false">EOMONTH(BB115,0)+1</f>
        <v>40057</v>
      </c>
      <c r="BC116" s="135" t="n">
        <f aca="false">SUM(AO116:BA116)</f>
        <v>0</v>
      </c>
      <c r="BD116" s="2"/>
      <c r="BE116" s="208" t="n">
        <f aca="false">EOMONTH(BE115,0)+1</f>
        <v>40057</v>
      </c>
      <c r="BF116" s="134" t="n">
        <f aca="false">SUMIF($X:$X,CONCATENATE($AN116,BF$6),$W:$W)</f>
        <v>0</v>
      </c>
      <c r="BG116" s="134" t="n">
        <f aca="false">SUMIF($X:$X,CONCATENATE($AN116,BG$6),$W:$W)</f>
        <v>0</v>
      </c>
      <c r="BH116" s="134" t="n">
        <f aca="false">SUMIF($X:$X,CONCATENATE($AN116,BH$6),$W:$W)</f>
        <v>0</v>
      </c>
      <c r="BI116" s="134" t="n">
        <f aca="false">SUMIF($X:$X,CONCATENATE($AN116,BI$6),$W:$W)</f>
        <v>0</v>
      </c>
      <c r="BJ116" s="134" t="n">
        <f aca="false">SUMIF($X:$X,CONCATENATE($AN116,BJ$6),$W:$W)</f>
        <v>0</v>
      </c>
      <c r="BK116" s="134" t="n">
        <f aca="false">SUMIF($X:$X,CONCATENATE($AN116,BK$6),$W:$W)</f>
        <v>0</v>
      </c>
      <c r="BL116" s="134" t="n">
        <f aca="false">SUMIF($X:$X,CONCATENATE($AN116,BL$6),$W:$W)</f>
        <v>0</v>
      </c>
      <c r="BM116" s="134" t="n">
        <f aca="false">SUMIF($X:$X,CONCATENATE($AN116,BM$6),$W:$W)</f>
        <v>0</v>
      </c>
      <c r="BN116" s="134" t="n">
        <f aca="false">SUMIF($X:$X,CONCATENATE($AN116,BN$6),$W:$W)</f>
        <v>0</v>
      </c>
      <c r="BO116" s="134" t="n">
        <f aca="false">SUMIF($X:$X,CONCATENATE($AN116,BO$6),$W:$W)</f>
        <v>0</v>
      </c>
      <c r="BP116" s="134" t="n">
        <f aca="false">SUMIF($X:$X,CONCATENATE($AN116,BP$6),$W:$W)</f>
        <v>0</v>
      </c>
      <c r="BQ116" s="134" t="n">
        <f aca="false">SUMIF($X:$X,CONCATENATE($AN116,BQ$6),$W:$W)</f>
        <v>0</v>
      </c>
      <c r="BR116" s="135" t="n">
        <f aca="false">SUMIF($X:$X,CONCATENATE($AN116,BR$6),$W:$W)</f>
        <v>0</v>
      </c>
      <c r="BS116" s="208" t="n">
        <f aca="false">EOMONTH(BS115,0)+1</f>
        <v>40057</v>
      </c>
      <c r="BT116" s="135" t="n">
        <f aca="false">SUM(BF116:BR116)</f>
        <v>0</v>
      </c>
      <c r="BU116" s="2"/>
      <c r="BV116" s="2"/>
      <c r="BW116" s="2"/>
      <c r="BX116" s="2"/>
      <c r="BY116" s="2"/>
      <c r="BZ116" s="2"/>
      <c r="CA116" s="2"/>
      <c r="CB116" s="2"/>
      <c r="CC116" s="182" t="n">
        <f aca="false">G116</f>
        <v>36831</v>
      </c>
      <c r="CD116" s="253" t="e">
        <f aca="false">xSPRDOPT((VLOOKUP(G116,NGPrices,2,FALSE())+HLOOKUP(D116,Prices,VLOOKUP(G116,move_down,2,FALSE()),FALSE())),VLOOKUP(G116,NGPrices,2,FALSE()),I116,VLOOKUP(G116,NGPREVPRICES,4,FALSE()),HLOOKUP(D116,PREVVOLS,VLOOKUP(G116,MOVE_DOWN2,2,FALSE()),FALSE()),VLOOKUP(G116,NGPREVPRICES,3,FALSE()),HLOOKUP(D116,Correllate,VLOOKUP(G116,CorMove,2,FALSE()),FALSE()),Q116-$CD$3,R116,$CD$5)*H116-CJ116</f>
        <v>#NAME?</v>
      </c>
      <c r="CE116" s="253" t="e">
        <f aca="false">xSPRDOPT((VLOOKUP(G116,NGPREVPRICES,2,FALSE())+HLOOKUP(D116,PREVCURVES,VLOOKUP(G116,MOVE_DOWN2,2,FALSE()),FALSE())),VLOOKUP(G116,NGPREVPRICES,2,FALSE()),CK116,VLOOKUP(G116,NGPrices,4,FALSE()),HLOOKUP(D116,PREVVOLS,VLOOKUP(G116,MOVE_DOWN2,2,FALSE()),FALSE()),VLOOKUP(G116,NGPREVPRICES,3,FALSE()),HLOOKUP(D116,Correllate,VLOOKUP(G116,CorMove,2,FALSE()),FALSE()),Q116-$CD$3,R116,$CJ$5)*H116-CJ116</f>
        <v>#NAME?</v>
      </c>
      <c r="CF116" s="132" t="e">
        <f aca="false">(CJ116/VLOOKUP(CC116,discount,3,FALSE()))-(CJ116/VLOOKUP(CC116,discount,2,FALSE()))</f>
        <v>#NAME?</v>
      </c>
      <c r="CG116" s="253" t="e">
        <f aca="false">xSPRDOPT((VLOOKUP(G116,NGPREVPRICES,2,FALSE())+HLOOKUP(D116,PREVCURVES,VLOOKUP(G116,MOVE_DOWN2,2,FALSE()),FALSE())),VLOOKUP(G116,NGPREVPRICES,2,FALSE()),CK116,VLOOKUP(G116,NGPREVPRICES,4,FALSE()),HLOOKUP(D116,VOLS,VLOOKUP(G116,move_down,2,FALSE()),FALSE()),VLOOKUP(G116,NGPrices,3,FALSE()),HLOOKUP(D116,Correllate,VLOOKUP(G116,CorMove,2,FALSE()),FALSE()),Q116-$CD$3,R116,$CJ$5)*H116-CJ116</f>
        <v>#NAME?</v>
      </c>
      <c r="CH116" s="253" t="e">
        <f aca="false">xSPRDOPT((VLOOKUP(G116,NGPREVPRICES,2,FALSE())+HLOOKUP(D116,PREVCURVES,VLOOKUP(G116,MOVE_DOWN2,2,FALSE()),FALSE())),VLOOKUP(G116,NGPREVPRICES,2,FALSE()),CK116,VLOOKUP(G116,NGPREVPRICES,4,FALSE()),HLOOKUP(D116,PREVVOLS,VLOOKUP(G116,MOVE_DOWN2,2,FALSE()),FALSE()),VLOOKUP(G116,NGPREVPRICES,3,FALSE()),HLOOKUP(D116,Correllate,VLOOKUP(G116,CorMove,2,FALSE()),FALSE()),Q116-$C$3,R116,$CJ$5)*H116-CJ116</f>
        <v>#NAME?</v>
      </c>
      <c r="CI116" s="253" t="e">
        <f aca="false">SUM(CD116:CH116)</f>
        <v>#NAME?</v>
      </c>
      <c r="CJ116" s="253" t="e">
        <f aca="false">xSPRDOPT((VLOOKUP(G116,NGPREVPRICES,2,FALSE())+HLOOKUP(D116,PREVCURVES,VLOOKUP(G116,MOVE_DOWN2,2,FALSE()),FALSE())),VLOOKUP(G116,NGPREVPRICES,2,FALSE()),CK116,VLOOKUP(G116,NGPREVPRICES,4,FALSE()),HLOOKUP(D116,PREVVOLS,VLOOKUP(G116,MOVE_DOWN2,2,FALSE()),FALSE()),VLOOKUP(G116,NGPREVPRICES,3,FALSE()),HLOOKUP(D116,Correllate,VLOOKUP(G116,CorMove,2,FALSE()),FALSE()),Q116-$CD$3,R116,$CJ$5)*H116</f>
        <v>#NAME?</v>
      </c>
      <c r="CK116" s="254" t="n">
        <f aca="false">I116</f>
        <v>0.7</v>
      </c>
      <c r="CL116" s="253"/>
      <c r="CM116" s="0" t="str">
        <f aca="false">CONCATENATE(CC116,$CD$6)</f>
        <v>36831Curve Shift/Gamma</v>
      </c>
      <c r="CN116" s="0" t="str">
        <f aca="false">CONCATENATE($CC116,$CE$6)</f>
        <v>36831Rho</v>
      </c>
      <c r="CO116" s="0" t="str">
        <f aca="false">CONCATENATE($CC116,$CF$6)</f>
        <v>36831Drift</v>
      </c>
      <c r="CP116" s="0" t="str">
        <f aca="false">CONCATENATE($CC116,$CG$6)</f>
        <v>36831Vega</v>
      </c>
      <c r="CQ116" s="0" t="str">
        <f aca="false">CONCATENATE($CC116,$CH$6)</f>
        <v>36831Theta</v>
      </c>
    </row>
    <row r="117" customFormat="false" ht="12" hidden="false" customHeight="true" outlineLevel="0" collapsed="false">
      <c r="A117" s="17" t="s">
        <v>244</v>
      </c>
      <c r="B117" s="0" t="s">
        <v>192</v>
      </c>
      <c r="C117" s="0" t="s">
        <v>246</v>
      </c>
      <c r="D117" s="7" t="s">
        <v>149</v>
      </c>
      <c r="E117" s="0" t="s">
        <v>131</v>
      </c>
      <c r="F117" s="0" t="s">
        <v>136</v>
      </c>
      <c r="G117" s="92" t="n">
        <v>36923</v>
      </c>
      <c r="H117" s="248" t="n">
        <v>-500000</v>
      </c>
      <c r="I117" s="0" t="n">
        <v>1.4</v>
      </c>
      <c r="J117" s="124" t="n">
        <f aca="false">VLOOKUP(G117,NGPrices,2,FALSE())</f>
        <v>4.48</v>
      </c>
      <c r="K117" s="125" t="n">
        <f aca="false">HLOOKUP(D117,Prices,VLOOKUP(G117,move_down,2,FALSE()),FALSE())+VLOOKUP(G117,CHANGE,HLOOKUP(D117,CHANGE,2,FALSE()),FALSE())</f>
        <v>2.09</v>
      </c>
      <c r="L117" s="124" t="n">
        <f aca="false">K117+J117</f>
        <v>6.57</v>
      </c>
      <c r="M117" s="126" t="n">
        <f aca="false">VLOOKUP(G117,NGPrices,4,FALSE())</f>
        <v>0.068640161611372</v>
      </c>
      <c r="N117" s="7" t="n">
        <f aca="false">VLOOKUP(G117,NGPrices,3,FALSE())</f>
        <v>0.5925</v>
      </c>
      <c r="O117" s="7" t="n">
        <f aca="false">HLOOKUP(D117,VOLS,VLOOKUP(G117,move_down,2,FALSE()),FALSE())</f>
        <v>0.681</v>
      </c>
      <c r="P117" s="249" t="n">
        <f aca="false">HLOOKUP(D117,Correllate,VLOOKUP(G117,CorMove,2,FALSE()),FALSE())</f>
        <v>0.83</v>
      </c>
      <c r="Q117" s="92" t="n">
        <f aca="false">WORKDAY(G117,-2)</f>
        <v>36921</v>
      </c>
      <c r="R117" s="7" t="n">
        <f aca="false">IF(F117="P",0,1)</f>
        <v>1</v>
      </c>
      <c r="S117" s="130" t="e">
        <f aca="false">xSPRDOPT($L117,$J117,$I117,$M117,$O117,$N117,$P117,$Q117-$C$3,$R117,0)</f>
        <v>#NAME?</v>
      </c>
      <c r="T117" s="250" t="e">
        <f aca="false">xSPRDOPT($L117,$J117,$I117,$M117,$O117,$N117,$P117,$Q117-$C$3,$R117,1)*H117</f>
        <v>#NAME?</v>
      </c>
      <c r="U117" s="43" t="e">
        <f aca="false">S117*H117</f>
        <v>#NAME?</v>
      </c>
      <c r="V117" s="250" t="e">
        <f aca="false">xSPRDOPT($L117,$J117,$I117,$M117,$O117,$N117,$P117,$Q117-$C$3,$R117,2)*H117</f>
        <v>#NAME?</v>
      </c>
      <c r="W117" s="250" t="e">
        <f aca="false">+V117+T117</f>
        <v>#NAME?</v>
      </c>
      <c r="X117" s="2" t="str">
        <f aca="false">CONCATENATE(G117,D117)</f>
        <v>36923IF-TRANSCO/Z6</v>
      </c>
      <c r="Y117" s="251" t="n">
        <f aca="false">H117/10000</f>
        <v>-50</v>
      </c>
      <c r="Z117" s="226" t="e">
        <f aca="false">T117/H117</f>
        <v>#NAME?</v>
      </c>
      <c r="AA117" s="226" t="e">
        <f aca="false">xSPRDOPT($L117,$J117,$I117,$M117,$O117,$N117,$P117,$Q117-$C$3,$R117,3)</f>
        <v>#NAME?</v>
      </c>
      <c r="AB117" s="226" t="e">
        <f aca="false">((xSPRDOPT($L117+AB$5,$J117,$I117,$M117,$O117,$N117,$P117,$Q117-$C$3,$R117,3)*$H117)/10000)/100</f>
        <v>#NAME?</v>
      </c>
      <c r="AC117" s="226" t="e">
        <f aca="false">((xSPRDOPT($L117+$AB$5,$J117,$I117,$M117,$O117,$N117,$P117,$Q117-$C$3,$R117,7)*$H117)/100)</f>
        <v>#NAME?</v>
      </c>
      <c r="AD117" s="226" t="e">
        <f aca="false">(xSPRDOPT($L117+$AB$5,$J117,$I117,$M117,$O117,$N117,$P117,$Q117-$C$3,$R117,9)/365)*$H117</f>
        <v>#NAME?</v>
      </c>
      <c r="AE117" s="0" t="e">
        <f aca="false">CD117</f>
        <v>#NAME?</v>
      </c>
      <c r="AF117" s="226" t="e">
        <f aca="false">((O117/N117)*AH117)+AG117</f>
        <v>#NAME?</v>
      </c>
      <c r="AG117" s="226" t="e">
        <f aca="false">((xSPRDOPT($L117,$J117,$I117,$M117,$O117,$N117,$P117,$Q117-$C$3,$R117,6)*$H117)/100)</f>
        <v>#NAME?</v>
      </c>
      <c r="AH117" s="226" t="e">
        <f aca="false">((xSPRDOPT($L117,$J117,$I117,$M117,$O117,$N117,$P117,$Q117-$C$3,$R117,5)*$H117)/100)</f>
        <v>#NAME?</v>
      </c>
      <c r="AI117" s="226" t="e">
        <f aca="false">(((xSPRDOPT($L117,$J117,$I117,$M117,$O117,$N117,$P117,$Q117-$C$3,$R117,4)*$H117)/10000)/100)-AB117</f>
        <v>#NAME?</v>
      </c>
      <c r="AJ117" s="226"/>
      <c r="AK117" s="226"/>
      <c r="AL117" s="226"/>
      <c r="AM117" s="252"/>
      <c r="AN117" s="208" t="n">
        <f aca="false">EOMONTH(AN116,0)+1</f>
        <v>40087</v>
      </c>
      <c r="AO117" s="134" t="n">
        <f aca="false">SUMIF($X:$X,CONCATENATE($AN117,AO$6),$T:$T)/10000</f>
        <v>0</v>
      </c>
      <c r="AP117" s="134" t="n">
        <f aca="false">SUMIF($X:$X,CONCATENATE($AN117,AP$6),$T:$T)/10000</f>
        <v>0</v>
      </c>
      <c r="AQ117" s="134" t="n">
        <f aca="false">SUMIF($X:$X,CONCATENATE($AN117,AQ$6),$T:$T)/10000</f>
        <v>0</v>
      </c>
      <c r="AR117" s="134" t="n">
        <f aca="false">SUMIF($X:$X,CONCATENATE($AN117,AR$6),$T:$T)/10000</f>
        <v>0</v>
      </c>
      <c r="AS117" s="134" t="n">
        <f aca="false">SUMIF($X:$X,CONCATENATE($AN117,AS$6),$T:$T)/10000</f>
        <v>0</v>
      </c>
      <c r="AT117" s="134" t="n">
        <f aca="false">SUMIF($X:$X,CONCATENATE($AN117,AT$6),$T:$T)/10000</f>
        <v>0</v>
      </c>
      <c r="AU117" s="134" t="n">
        <f aca="false">SUMIF($X:$X,CONCATENATE($AN117,AU$6),$T:$T)/10000</f>
        <v>0</v>
      </c>
      <c r="AV117" s="134" t="n">
        <f aca="false">SUMIF($X:$X,CONCATENATE($AN117,AV$6),$T:$T)/10000</f>
        <v>0</v>
      </c>
      <c r="AW117" s="134" t="n">
        <f aca="false">SUMIF($X:$X,CONCATENATE($AN117,AW$6),$T:$T)/10000</f>
        <v>0</v>
      </c>
      <c r="AX117" s="134" t="n">
        <f aca="false">SUMIF($X:$X,CONCATENATE($AN117,AX$6),$T:$T)/10000</f>
        <v>0</v>
      </c>
      <c r="AY117" s="134" t="n">
        <f aca="false">SUMIF($X:$X,CONCATENATE($AN117,AY$6),$T:$T)/10000</f>
        <v>0</v>
      </c>
      <c r="AZ117" s="134" t="n">
        <f aca="false">SUMIF($X:$X,CONCATENATE($AN117,AZ$6),$T:$T)/10000</f>
        <v>0</v>
      </c>
      <c r="BA117" s="135" t="n">
        <f aca="false">SUMIF($X:$X,CONCATENATE($AN117,BA$6),$T:$T)/10000</f>
        <v>0</v>
      </c>
      <c r="BB117" s="208" t="n">
        <f aca="false">EOMONTH(BB116,0)+1</f>
        <v>40087</v>
      </c>
      <c r="BC117" s="135" t="n">
        <f aca="false">SUM(AO117:BA117)</f>
        <v>0</v>
      </c>
      <c r="BD117" s="2"/>
      <c r="BE117" s="208" t="n">
        <f aca="false">EOMONTH(BE116,0)+1</f>
        <v>40087</v>
      </c>
      <c r="BF117" s="134" t="n">
        <f aca="false">SUMIF($X:$X,CONCATENATE($AN117,BF$6),$W:$W)</f>
        <v>0</v>
      </c>
      <c r="BG117" s="134" t="n">
        <f aca="false">SUMIF($X:$X,CONCATENATE($AN117,BG$6),$W:$W)</f>
        <v>0</v>
      </c>
      <c r="BH117" s="134" t="n">
        <f aca="false">SUMIF($X:$X,CONCATENATE($AN117,BH$6),$W:$W)</f>
        <v>0</v>
      </c>
      <c r="BI117" s="134" t="n">
        <f aca="false">SUMIF($X:$X,CONCATENATE($AN117,BI$6),$W:$W)</f>
        <v>0</v>
      </c>
      <c r="BJ117" s="134" t="n">
        <f aca="false">SUMIF($X:$X,CONCATENATE($AN117,BJ$6),$W:$W)</f>
        <v>0</v>
      </c>
      <c r="BK117" s="134" t="n">
        <f aca="false">SUMIF($X:$X,CONCATENATE($AN117,BK$6),$W:$W)</f>
        <v>0</v>
      </c>
      <c r="BL117" s="134" t="n">
        <f aca="false">SUMIF($X:$X,CONCATENATE($AN117,BL$6),$W:$W)</f>
        <v>0</v>
      </c>
      <c r="BM117" s="134" t="n">
        <f aca="false">SUMIF($X:$X,CONCATENATE($AN117,BM$6),$W:$W)</f>
        <v>0</v>
      </c>
      <c r="BN117" s="134" t="n">
        <f aca="false">SUMIF($X:$X,CONCATENATE($AN117,BN$6),$W:$W)</f>
        <v>0</v>
      </c>
      <c r="BO117" s="134" t="n">
        <f aca="false">SUMIF($X:$X,CONCATENATE($AN117,BO$6),$W:$W)</f>
        <v>0</v>
      </c>
      <c r="BP117" s="134" t="n">
        <f aca="false">SUMIF($X:$X,CONCATENATE($AN117,BP$6),$W:$W)</f>
        <v>0</v>
      </c>
      <c r="BQ117" s="134" t="n">
        <f aca="false">SUMIF($X:$X,CONCATENATE($AN117,BQ$6),$W:$W)</f>
        <v>0</v>
      </c>
      <c r="BR117" s="135" t="n">
        <f aca="false">SUMIF($X:$X,CONCATENATE($AN117,BR$6),$W:$W)</f>
        <v>0</v>
      </c>
      <c r="BS117" s="208" t="n">
        <f aca="false">EOMONTH(BS116,0)+1</f>
        <v>40087</v>
      </c>
      <c r="BT117" s="135" t="n">
        <f aca="false">SUM(BF117:BR117)</f>
        <v>0</v>
      </c>
      <c r="BU117" s="2"/>
      <c r="BV117" s="2"/>
      <c r="BW117" s="2"/>
      <c r="BX117" s="2"/>
      <c r="BY117" s="2"/>
      <c r="BZ117" s="2"/>
      <c r="CA117" s="2"/>
      <c r="CB117" s="2"/>
      <c r="CC117" s="182" t="n">
        <f aca="false">G117</f>
        <v>36923</v>
      </c>
      <c r="CD117" s="253" t="e">
        <f aca="false">xSPRDOPT((VLOOKUP(G117,NGPrices,2,FALSE())+HLOOKUP(D117,Prices,VLOOKUP(G117,move_down,2,FALSE()),FALSE())),VLOOKUP(G117,NGPrices,2,FALSE()),I117,VLOOKUP(G117,NGPREVPRICES,4,FALSE()),HLOOKUP(D117,PREVVOLS,VLOOKUP(G117,MOVE_DOWN2,2,FALSE()),FALSE()),VLOOKUP(G117,NGPREVPRICES,3,FALSE()),HLOOKUP(D117,Correllate,VLOOKUP(G117,CorMove,2,FALSE()),FALSE()),Q117-$CD$3,R117,$CD$5)*H117-CJ117</f>
        <v>#NAME?</v>
      </c>
      <c r="CE117" s="253" t="e">
        <f aca="false">xSPRDOPT((VLOOKUP(G117,NGPREVPRICES,2,FALSE())+HLOOKUP(D117,PREVCURVES,VLOOKUP(G117,MOVE_DOWN2,2,FALSE()),FALSE())),VLOOKUP(G117,NGPREVPRICES,2,FALSE()),CK117,VLOOKUP(G117,NGPrices,4,FALSE()),HLOOKUP(D117,PREVVOLS,VLOOKUP(G117,MOVE_DOWN2,2,FALSE()),FALSE()),VLOOKUP(G117,NGPREVPRICES,3,FALSE()),HLOOKUP(D117,Correllate,VLOOKUP(G117,CorMove,2,FALSE()),FALSE()),Q117-$CD$3,R117,$CJ$5)*H117-CJ117</f>
        <v>#NAME?</v>
      </c>
      <c r="CF117" s="132" t="e">
        <f aca="false">(CJ117/VLOOKUP(CC117,discount,3,FALSE()))-(CJ117/VLOOKUP(CC117,discount,2,FALSE()))</f>
        <v>#NAME?</v>
      </c>
      <c r="CG117" s="253" t="e">
        <f aca="false">xSPRDOPT((VLOOKUP(G117,NGPREVPRICES,2,FALSE())+HLOOKUP(D117,PREVCURVES,VLOOKUP(G117,MOVE_DOWN2,2,FALSE()),FALSE())),VLOOKUP(G117,NGPREVPRICES,2,FALSE()),CK117,VLOOKUP(G117,NGPREVPRICES,4,FALSE()),HLOOKUP(D117,VOLS,VLOOKUP(G117,move_down,2,FALSE()),FALSE()),VLOOKUP(G117,NGPrices,3,FALSE()),HLOOKUP(D117,Correllate,VLOOKUP(G117,CorMove,2,FALSE()),FALSE()),Q117-$CD$3,R117,$CJ$5)*H117-CJ117</f>
        <v>#NAME?</v>
      </c>
      <c r="CH117" s="253" t="e">
        <f aca="false">xSPRDOPT((VLOOKUP(G117,NGPREVPRICES,2,FALSE())+HLOOKUP(D117,PREVCURVES,VLOOKUP(G117,MOVE_DOWN2,2,FALSE()),FALSE())),VLOOKUP(G117,NGPREVPRICES,2,FALSE()),CK117,VLOOKUP(G117,NGPREVPRICES,4,FALSE()),HLOOKUP(D117,PREVVOLS,VLOOKUP(G117,MOVE_DOWN2,2,FALSE()),FALSE()),VLOOKUP(G117,NGPREVPRICES,3,FALSE()),HLOOKUP(D117,Correllate,VLOOKUP(G117,CorMove,2,FALSE()),FALSE()),Q117-$C$3,R117,$CJ$5)*H117-CJ117</f>
        <v>#NAME?</v>
      </c>
      <c r="CI117" s="253" t="e">
        <f aca="false">SUM(CD117:CH117)</f>
        <v>#NAME?</v>
      </c>
      <c r="CJ117" s="253" t="e">
        <f aca="false">xSPRDOPT((VLOOKUP(G117,NGPREVPRICES,2,FALSE())+HLOOKUP(D117,PREVCURVES,VLOOKUP(G117,MOVE_DOWN2,2,FALSE()),FALSE())),VLOOKUP(G117,NGPREVPRICES,2,FALSE()),CK117,VLOOKUP(G117,NGPREVPRICES,4,FALSE()),HLOOKUP(D117,PREVVOLS,VLOOKUP(G117,MOVE_DOWN2,2,FALSE()),FALSE()),VLOOKUP(G117,NGPREVPRICES,3,FALSE()),HLOOKUP(D117,Correllate,VLOOKUP(G117,CorMove,2,FALSE()),FALSE()),Q117-$CD$3,R117,$CJ$5)*H117</f>
        <v>#NAME?</v>
      </c>
      <c r="CK117" s="254" t="n">
        <f aca="false">I117</f>
        <v>1.4</v>
      </c>
      <c r="CL117" s="253"/>
      <c r="CM117" s="0" t="str">
        <f aca="false">CONCATENATE(CC117,$CD$6)</f>
        <v>36923Curve Shift/Gamma</v>
      </c>
      <c r="CN117" s="0" t="str">
        <f aca="false">CONCATENATE($CC117,$CE$6)</f>
        <v>36923Rho</v>
      </c>
      <c r="CO117" s="0" t="str">
        <f aca="false">CONCATENATE($CC117,$CF$6)</f>
        <v>36923Drift</v>
      </c>
      <c r="CP117" s="0" t="str">
        <f aca="false">CONCATENATE($CC117,$CG$6)</f>
        <v>36923Vega</v>
      </c>
      <c r="CQ117" s="0" t="str">
        <f aca="false">CONCATENATE($CC117,$CH$6)</f>
        <v>36923Theta</v>
      </c>
    </row>
    <row r="118" customFormat="false" ht="12" hidden="false" customHeight="true" outlineLevel="0" collapsed="false">
      <c r="A118" s="17" t="s">
        <v>244</v>
      </c>
      <c r="B118" s="0" t="s">
        <v>192</v>
      </c>
      <c r="C118" s="0" t="s">
        <v>246</v>
      </c>
      <c r="D118" s="7" t="s">
        <v>149</v>
      </c>
      <c r="E118" s="0" t="s">
        <v>131</v>
      </c>
      <c r="F118" s="0" t="s">
        <v>136</v>
      </c>
      <c r="G118" s="92" t="n">
        <v>36892</v>
      </c>
      <c r="H118" s="248" t="n">
        <v>-500000</v>
      </c>
      <c r="I118" s="0" t="n">
        <v>1.4</v>
      </c>
      <c r="J118" s="124" t="n">
        <f aca="false">VLOOKUP(G118,NGPrices,2,FALSE())</f>
        <v>4.744</v>
      </c>
      <c r="K118" s="125" t="n">
        <f aca="false">HLOOKUP(D118,Prices,VLOOKUP(G118,move_down,2,FALSE()),FALSE())+VLOOKUP(G118,CHANGE,HLOOKUP(D118,CHANGE,2,FALSE()),FALSE())</f>
        <v>2.17</v>
      </c>
      <c r="L118" s="124" t="n">
        <f aca="false">K118+J118</f>
        <v>6.914</v>
      </c>
      <c r="M118" s="126" t="n">
        <f aca="false">VLOOKUP(G118,NGPrices,4,FALSE())</f>
        <v>0.068374831148491</v>
      </c>
      <c r="N118" s="7" t="n">
        <f aca="false">VLOOKUP(G118,NGPrices,3,FALSE())</f>
        <v>0.605</v>
      </c>
      <c r="O118" s="7" t="n">
        <f aca="false">HLOOKUP(D118,VOLS,VLOOKUP(G118,move_down,2,FALSE()),FALSE())</f>
        <v>0.696</v>
      </c>
      <c r="P118" s="249" t="n">
        <f aca="false">HLOOKUP(D118,Correllate,VLOOKUP(G118,CorMove,2,FALSE()),FALSE())</f>
        <v>0.83</v>
      </c>
      <c r="Q118" s="92" t="n">
        <f aca="false">WORKDAY(G118,-2)</f>
        <v>36888</v>
      </c>
      <c r="R118" s="7" t="n">
        <f aca="false">IF(F118="P",0,1)</f>
        <v>1</v>
      </c>
      <c r="S118" s="130" t="e">
        <f aca="false">xSPRDOPT($L118,$J118,$I118,$M118,$O118,$N118,$P118,$Q118-$C$3,$R118,0)</f>
        <v>#NAME?</v>
      </c>
      <c r="T118" s="250" t="e">
        <f aca="false">xSPRDOPT($L118,$J118,$I118,$M118,$O118,$N118,$P118,$Q118-$C$3,$R118,1)*H118</f>
        <v>#NAME?</v>
      </c>
      <c r="U118" s="43" t="e">
        <f aca="false">S118*H118</f>
        <v>#NAME?</v>
      </c>
      <c r="V118" s="250" t="e">
        <f aca="false">xSPRDOPT($L118,$J118,$I118,$M118,$O118,$N118,$P118,$Q118-$C$3,$R118,2)*H118</f>
        <v>#NAME?</v>
      </c>
      <c r="W118" s="250" t="e">
        <f aca="false">+V118+T118</f>
        <v>#NAME?</v>
      </c>
      <c r="X118" s="2" t="str">
        <f aca="false">CONCATENATE(G118,D118)</f>
        <v>36892IF-TRANSCO/Z6</v>
      </c>
      <c r="Y118" s="251" t="n">
        <f aca="false">H118/10000</f>
        <v>-50</v>
      </c>
      <c r="Z118" s="226" t="e">
        <f aca="false">T118/H118</f>
        <v>#NAME?</v>
      </c>
      <c r="AA118" s="226" t="e">
        <f aca="false">xSPRDOPT($L118,$J118,$I118,$M118,$O118,$N118,$P118,$Q118-$C$3,$R118,3)</f>
        <v>#NAME?</v>
      </c>
      <c r="AB118" s="226" t="e">
        <f aca="false">((xSPRDOPT($L118+AB$5,$J118,$I118,$M118,$O118,$N118,$P118,$Q118-$C$3,$R118,3)*$H118)/10000)/100</f>
        <v>#NAME?</v>
      </c>
      <c r="AC118" s="226" t="e">
        <f aca="false">((xSPRDOPT($L118+$AB$5,$J118,$I118,$M118,$O118,$N118,$P118,$Q118-$C$3,$R118,7)*$H118)/100)</f>
        <v>#NAME?</v>
      </c>
      <c r="AD118" s="226" t="e">
        <f aca="false">(xSPRDOPT($L118+$AB$5,$J118,$I118,$M118,$O118,$N118,$P118,$Q118-$C$3,$R118,9)/365)*$H118</f>
        <v>#NAME?</v>
      </c>
      <c r="AE118" s="0" t="e">
        <f aca="false">CD118</f>
        <v>#NAME?</v>
      </c>
      <c r="AF118" s="226" t="e">
        <f aca="false">((O118/N118)*AH118)+AG118</f>
        <v>#NAME?</v>
      </c>
      <c r="AG118" s="226" t="e">
        <f aca="false">((xSPRDOPT($L118,$J118,$I118,$M118,$O118,$N118,$P118,$Q118-$C$3,$R118,6)*$H118)/100)</f>
        <v>#NAME?</v>
      </c>
      <c r="AH118" s="226" t="e">
        <f aca="false">((xSPRDOPT($L118,$J118,$I118,$M118,$O118,$N118,$P118,$Q118-$C$3,$R118,5)*$H118)/100)</f>
        <v>#NAME?</v>
      </c>
      <c r="AI118" s="226" t="e">
        <f aca="false">(((xSPRDOPT($L118,$J118,$I118,$M118,$O118,$N118,$P118,$Q118-$C$3,$R118,4)*$H118)/10000)/100)-AB118</f>
        <v>#NAME?</v>
      </c>
      <c r="AJ118" s="226"/>
      <c r="AK118" s="226"/>
      <c r="AL118" s="226"/>
      <c r="AM118" s="252"/>
      <c r="AN118" s="208" t="n">
        <f aca="false">EOMONTH(AN117,0)+1</f>
        <v>40118</v>
      </c>
      <c r="AO118" s="134" t="n">
        <f aca="false">SUMIF($X:$X,CONCATENATE($AN118,AO$6),$T:$T)/10000</f>
        <v>0</v>
      </c>
      <c r="AP118" s="134" t="n">
        <f aca="false">SUMIF($X:$X,CONCATENATE($AN118,AP$6),$T:$T)/10000</f>
        <v>0</v>
      </c>
      <c r="AQ118" s="134" t="n">
        <f aca="false">SUMIF($X:$X,CONCATENATE($AN118,AQ$6),$T:$T)/10000</f>
        <v>0</v>
      </c>
      <c r="AR118" s="134" t="n">
        <f aca="false">SUMIF($X:$X,CONCATENATE($AN118,AR$6),$T:$T)/10000</f>
        <v>0</v>
      </c>
      <c r="AS118" s="134" t="n">
        <f aca="false">SUMIF($X:$X,CONCATENATE($AN118,AS$6),$T:$T)/10000</f>
        <v>0</v>
      </c>
      <c r="AT118" s="134" t="n">
        <f aca="false">SUMIF($X:$X,CONCATENATE($AN118,AT$6),$T:$T)/10000</f>
        <v>0</v>
      </c>
      <c r="AU118" s="134" t="n">
        <f aca="false">SUMIF($X:$X,CONCATENATE($AN118,AU$6),$T:$T)/10000</f>
        <v>0</v>
      </c>
      <c r="AV118" s="134" t="n">
        <f aca="false">SUMIF($X:$X,CONCATENATE($AN118,AV$6),$T:$T)/10000</f>
        <v>0</v>
      </c>
      <c r="AW118" s="134" t="n">
        <f aca="false">SUMIF($X:$X,CONCATENATE($AN118,AW$6),$T:$T)/10000</f>
        <v>0</v>
      </c>
      <c r="AX118" s="134" t="n">
        <f aca="false">SUMIF($X:$X,CONCATENATE($AN118,AX$6),$T:$T)/10000</f>
        <v>0</v>
      </c>
      <c r="AY118" s="134" t="n">
        <f aca="false">SUMIF($X:$X,CONCATENATE($AN118,AY$6),$T:$T)/10000</f>
        <v>0</v>
      </c>
      <c r="AZ118" s="134" t="n">
        <f aca="false">SUMIF($X:$X,CONCATENATE($AN118,AZ$6),$T:$T)/10000</f>
        <v>0</v>
      </c>
      <c r="BA118" s="135" t="n">
        <f aca="false">SUMIF($X:$X,CONCATENATE($AN118,BA$6),$T:$T)/10000</f>
        <v>0</v>
      </c>
      <c r="BB118" s="208" t="n">
        <f aca="false">EOMONTH(BB117,0)+1</f>
        <v>40118</v>
      </c>
      <c r="BC118" s="135" t="n">
        <f aca="false">SUM(AO118:BA118)</f>
        <v>0</v>
      </c>
      <c r="BD118" s="2"/>
      <c r="BE118" s="208" t="n">
        <f aca="false">EOMONTH(BE117,0)+1</f>
        <v>40118</v>
      </c>
      <c r="BF118" s="134" t="n">
        <f aca="false">SUMIF($X:$X,CONCATENATE($AN118,BF$6),$W:$W)</f>
        <v>0</v>
      </c>
      <c r="BG118" s="134" t="n">
        <f aca="false">SUMIF($X:$X,CONCATENATE($AN118,BG$6),$W:$W)</f>
        <v>0</v>
      </c>
      <c r="BH118" s="134" t="n">
        <f aca="false">SUMIF($X:$X,CONCATENATE($AN118,BH$6),$W:$W)</f>
        <v>0</v>
      </c>
      <c r="BI118" s="134" t="n">
        <f aca="false">SUMIF($X:$X,CONCATENATE($AN118,BI$6),$W:$W)</f>
        <v>0</v>
      </c>
      <c r="BJ118" s="134" t="n">
        <f aca="false">SUMIF($X:$X,CONCATENATE($AN118,BJ$6),$W:$W)</f>
        <v>0</v>
      </c>
      <c r="BK118" s="134" t="n">
        <f aca="false">SUMIF($X:$X,CONCATENATE($AN118,BK$6),$W:$W)</f>
        <v>0</v>
      </c>
      <c r="BL118" s="134" t="n">
        <f aca="false">SUMIF($X:$X,CONCATENATE($AN118,BL$6),$W:$W)</f>
        <v>0</v>
      </c>
      <c r="BM118" s="134" t="n">
        <f aca="false">SUMIF($X:$X,CONCATENATE($AN118,BM$6),$W:$W)</f>
        <v>0</v>
      </c>
      <c r="BN118" s="134" t="n">
        <f aca="false">SUMIF($X:$X,CONCATENATE($AN118,BN$6),$W:$W)</f>
        <v>0</v>
      </c>
      <c r="BO118" s="134" t="n">
        <f aca="false">SUMIF($X:$X,CONCATENATE($AN118,BO$6),$W:$W)</f>
        <v>0</v>
      </c>
      <c r="BP118" s="134" t="n">
        <f aca="false">SUMIF($X:$X,CONCATENATE($AN118,BP$6),$W:$W)</f>
        <v>0</v>
      </c>
      <c r="BQ118" s="134" t="n">
        <f aca="false">SUMIF($X:$X,CONCATENATE($AN118,BQ$6),$W:$W)</f>
        <v>0</v>
      </c>
      <c r="BR118" s="135" t="n">
        <f aca="false">SUMIF($X:$X,CONCATENATE($AN118,BR$6),$W:$W)</f>
        <v>0</v>
      </c>
      <c r="BS118" s="208" t="n">
        <f aca="false">EOMONTH(BS117,0)+1</f>
        <v>40118</v>
      </c>
      <c r="BT118" s="135" t="n">
        <f aca="false">SUM(BF118:BR118)</f>
        <v>0</v>
      </c>
      <c r="BU118" s="2"/>
      <c r="BV118" s="2"/>
      <c r="BW118" s="2"/>
      <c r="BX118" s="2"/>
      <c r="BY118" s="2"/>
      <c r="BZ118" s="2"/>
      <c r="CA118" s="2"/>
      <c r="CB118" s="2"/>
      <c r="CC118" s="182" t="n">
        <f aca="false">G118</f>
        <v>36892</v>
      </c>
      <c r="CD118" s="253" t="e">
        <f aca="false">xSPRDOPT((VLOOKUP(G118,NGPrices,2,FALSE())+HLOOKUP(D118,Prices,VLOOKUP(G118,move_down,2,FALSE()),FALSE())),VLOOKUP(G118,NGPrices,2,FALSE()),I118,VLOOKUP(G118,NGPREVPRICES,4,FALSE()),HLOOKUP(D118,PREVVOLS,VLOOKUP(G118,MOVE_DOWN2,2,FALSE()),FALSE()),VLOOKUP(G118,NGPREVPRICES,3,FALSE()),HLOOKUP(D118,Correllate,VLOOKUP(G118,CorMove,2,FALSE()),FALSE()),Q118-$CD$3,R118,$CD$5)*H118-CJ118</f>
        <v>#NAME?</v>
      </c>
      <c r="CE118" s="253" t="e">
        <f aca="false">xSPRDOPT((VLOOKUP(G118,NGPREVPRICES,2,FALSE())+HLOOKUP(D118,PREVCURVES,VLOOKUP(G118,MOVE_DOWN2,2,FALSE()),FALSE())),VLOOKUP(G118,NGPREVPRICES,2,FALSE()),CK118,VLOOKUP(G118,NGPrices,4,FALSE()),HLOOKUP(D118,PREVVOLS,VLOOKUP(G118,MOVE_DOWN2,2,FALSE()),FALSE()),VLOOKUP(G118,NGPREVPRICES,3,FALSE()),HLOOKUP(D118,Correllate,VLOOKUP(G118,CorMove,2,FALSE()),FALSE()),Q118-$CD$3,R118,$CJ$5)*H118-CJ118</f>
        <v>#NAME?</v>
      </c>
      <c r="CF118" s="132" t="e">
        <f aca="false">(CJ118/VLOOKUP(CC118,discount,3,FALSE()))-(CJ118/VLOOKUP(CC118,discount,2,FALSE()))</f>
        <v>#NAME?</v>
      </c>
      <c r="CG118" s="253" t="e">
        <f aca="false">xSPRDOPT((VLOOKUP(G118,NGPREVPRICES,2,FALSE())+HLOOKUP(D118,PREVCURVES,VLOOKUP(G118,MOVE_DOWN2,2,FALSE()),FALSE())),VLOOKUP(G118,NGPREVPRICES,2,FALSE()),CK118,VLOOKUP(G118,NGPREVPRICES,4,FALSE()),HLOOKUP(D118,VOLS,VLOOKUP(G118,move_down,2,FALSE()),FALSE()),VLOOKUP(G118,NGPrices,3,FALSE()),HLOOKUP(D118,Correllate,VLOOKUP(G118,CorMove,2,FALSE()),FALSE()),Q118-$CD$3,R118,$CJ$5)*H118-CJ118</f>
        <v>#NAME?</v>
      </c>
      <c r="CH118" s="253" t="e">
        <f aca="false">xSPRDOPT((VLOOKUP(G118,NGPREVPRICES,2,FALSE())+HLOOKUP(D118,PREVCURVES,VLOOKUP(G118,MOVE_DOWN2,2,FALSE()),FALSE())),VLOOKUP(G118,NGPREVPRICES,2,FALSE()),CK118,VLOOKUP(G118,NGPREVPRICES,4,FALSE()),HLOOKUP(D118,PREVVOLS,VLOOKUP(G118,MOVE_DOWN2,2,FALSE()),FALSE()),VLOOKUP(G118,NGPREVPRICES,3,FALSE()),HLOOKUP(D118,Correllate,VLOOKUP(G118,CorMove,2,FALSE()),FALSE()),Q118-$C$3,R118,$CJ$5)*H118-CJ118</f>
        <v>#NAME?</v>
      </c>
      <c r="CI118" s="253" t="e">
        <f aca="false">SUM(CD118:CH118)</f>
        <v>#NAME?</v>
      </c>
      <c r="CJ118" s="253" t="e">
        <f aca="false">xSPRDOPT((VLOOKUP(G118,NGPREVPRICES,2,FALSE())+HLOOKUP(D118,PREVCURVES,VLOOKUP(G118,MOVE_DOWN2,2,FALSE()),FALSE())),VLOOKUP(G118,NGPREVPRICES,2,FALSE()),CK118,VLOOKUP(G118,NGPREVPRICES,4,FALSE()),HLOOKUP(D118,PREVVOLS,VLOOKUP(G118,MOVE_DOWN2,2,FALSE()),FALSE()),VLOOKUP(G118,NGPREVPRICES,3,FALSE()),HLOOKUP(D118,Correllate,VLOOKUP(G118,CorMove,2,FALSE()),FALSE()),Q118-$CD$3,R118,$CJ$5)*H118</f>
        <v>#NAME?</v>
      </c>
      <c r="CK118" s="254" t="n">
        <f aca="false">I118</f>
        <v>1.4</v>
      </c>
      <c r="CL118" s="253"/>
      <c r="CM118" s="0" t="str">
        <f aca="false">CONCATENATE(CC118,$CD$6)</f>
        <v>36892Curve Shift/Gamma</v>
      </c>
      <c r="CN118" s="0" t="str">
        <f aca="false">CONCATENATE($CC118,$CE$6)</f>
        <v>36892Rho</v>
      </c>
      <c r="CO118" s="0" t="str">
        <f aca="false">CONCATENATE($CC118,$CF$6)</f>
        <v>36892Drift</v>
      </c>
      <c r="CP118" s="0" t="str">
        <f aca="false">CONCATENATE($CC118,$CG$6)</f>
        <v>36892Vega</v>
      </c>
      <c r="CQ118" s="0" t="str">
        <f aca="false">CONCATENATE($CC118,$CH$6)</f>
        <v>36892Theta</v>
      </c>
    </row>
    <row r="119" customFormat="false" ht="12" hidden="false" customHeight="true" outlineLevel="0" collapsed="false">
      <c r="A119" s="17" t="s">
        <v>244</v>
      </c>
      <c r="B119" s="0" t="s">
        <v>192</v>
      </c>
      <c r="C119" s="0" t="s">
        <v>246</v>
      </c>
      <c r="D119" s="7" t="s">
        <v>149</v>
      </c>
      <c r="E119" s="0" t="s">
        <v>131</v>
      </c>
      <c r="F119" s="0" t="s">
        <v>136</v>
      </c>
      <c r="G119" s="92" t="n">
        <v>36861</v>
      </c>
      <c r="H119" s="248" t="n">
        <v>-500000</v>
      </c>
      <c r="I119" s="0" t="n">
        <v>1.4</v>
      </c>
      <c r="J119" s="124" t="n">
        <f aca="false">VLOOKUP(G119,NGPrices,2,FALSE())</f>
        <v>4.8</v>
      </c>
      <c r="K119" s="125" t="n">
        <f aca="false">HLOOKUP(D119,Prices,VLOOKUP(G119,move_down,2,FALSE()),FALSE())+VLOOKUP(G119,CHANGE,HLOOKUP(D119,CHANGE,2,FALSE()),FALSE())</f>
        <v>1.645</v>
      </c>
      <c r="L119" s="124" t="n">
        <f aca="false">K119+J119</f>
        <v>6.445</v>
      </c>
      <c r="M119" s="126" t="n">
        <f aca="false">VLOOKUP(G119,NGPrices,4,FALSE())</f>
        <v>0.068314027999354</v>
      </c>
      <c r="N119" s="7" t="n">
        <f aca="false">VLOOKUP(G119,NGPrices,3,FALSE())</f>
        <v>0.6</v>
      </c>
      <c r="O119" s="7" t="n">
        <f aca="false">HLOOKUP(D119,VOLS,VLOOKUP(G119,move_down,2,FALSE()),FALSE())</f>
        <v>0.69</v>
      </c>
      <c r="P119" s="249" t="n">
        <f aca="false">HLOOKUP(D119,Correllate,VLOOKUP(G119,CorMove,2,FALSE()),FALSE())</f>
        <v>0.83</v>
      </c>
      <c r="Q119" s="92" t="n">
        <f aca="false">WORKDAY(G119,-2)</f>
        <v>36859</v>
      </c>
      <c r="R119" s="7" t="n">
        <f aca="false">IF(F119="P",0,1)</f>
        <v>1</v>
      </c>
      <c r="S119" s="130" t="e">
        <f aca="false">xSPRDOPT($L119,$J119,$I119,$M119,$O119,$N119,$P119,$Q119-$C$3,$R119,0)</f>
        <v>#NAME?</v>
      </c>
      <c r="T119" s="250" t="e">
        <f aca="false">xSPRDOPT($L119,$J119,$I119,$M119,$O119,$N119,$P119,$Q119-$C$3,$R119,1)*H119</f>
        <v>#NAME?</v>
      </c>
      <c r="U119" s="43" t="e">
        <f aca="false">S119*H119</f>
        <v>#NAME?</v>
      </c>
      <c r="V119" s="250" t="e">
        <f aca="false">xSPRDOPT($L119,$J119,$I119,$M119,$O119,$N119,$P119,$Q119-$C$3,$R119,2)*H119</f>
        <v>#NAME?</v>
      </c>
      <c r="W119" s="250" t="e">
        <f aca="false">+V119+T119</f>
        <v>#NAME?</v>
      </c>
      <c r="X119" s="2" t="str">
        <f aca="false">CONCATENATE(G119,D119)</f>
        <v>36861IF-TRANSCO/Z6</v>
      </c>
      <c r="Y119" s="251" t="n">
        <f aca="false">H119/10000</f>
        <v>-50</v>
      </c>
      <c r="Z119" s="226" t="e">
        <f aca="false">T119/H119</f>
        <v>#NAME?</v>
      </c>
      <c r="AA119" s="226" t="e">
        <f aca="false">xSPRDOPT($L119,$J119,$I119,$M119,$O119,$N119,$P119,$Q119-$C$3,$R119,3)</f>
        <v>#NAME?</v>
      </c>
      <c r="AB119" s="226" t="e">
        <f aca="false">((xSPRDOPT($L119+AB$5,$J119,$I119,$M119,$O119,$N119,$P119,$Q119-$C$3,$R119,3)*$H119)/10000)/100</f>
        <v>#NAME?</v>
      </c>
      <c r="AC119" s="226" t="e">
        <f aca="false">((xSPRDOPT($L119+$AB$5,$J119,$I119,$M119,$O119,$N119,$P119,$Q119-$C$3,$R119,7)*$H119)/100)</f>
        <v>#NAME?</v>
      </c>
      <c r="AD119" s="226" t="e">
        <f aca="false">(xSPRDOPT($L119+$AB$5,$J119,$I119,$M119,$O119,$N119,$P119,$Q119-$C$3,$R119,9)/365)*$H119</f>
        <v>#NAME?</v>
      </c>
      <c r="AE119" s="0" t="e">
        <f aca="false">CD119</f>
        <v>#NAME?</v>
      </c>
      <c r="AF119" s="226" t="e">
        <f aca="false">((O119/N119)*AH119)+AG119</f>
        <v>#NAME?</v>
      </c>
      <c r="AG119" s="226" t="e">
        <f aca="false">((xSPRDOPT($L119,$J119,$I119,$M119,$O119,$N119,$P119,$Q119-$C$3,$R119,6)*$H119)/100)</f>
        <v>#NAME?</v>
      </c>
      <c r="AH119" s="226" t="e">
        <f aca="false">((xSPRDOPT($L119,$J119,$I119,$M119,$O119,$N119,$P119,$Q119-$C$3,$R119,5)*$H119)/100)</f>
        <v>#NAME?</v>
      </c>
      <c r="AI119" s="226" t="e">
        <f aca="false">(((xSPRDOPT($L119,$J119,$I119,$M119,$O119,$N119,$P119,$Q119-$C$3,$R119,4)*$H119)/10000)/100)-AB119</f>
        <v>#NAME?</v>
      </c>
      <c r="AJ119" s="226"/>
      <c r="AK119" s="226"/>
      <c r="AL119" s="226"/>
      <c r="AM119" s="252"/>
      <c r="AN119" s="208" t="n">
        <f aca="false">EOMONTH(AN118,0)+1</f>
        <v>40148</v>
      </c>
      <c r="AO119" s="134" t="n">
        <f aca="false">SUMIF($X:$X,CONCATENATE($AN119,AO$6),$T:$T)/10000</f>
        <v>0</v>
      </c>
      <c r="AP119" s="134" t="n">
        <f aca="false">SUMIF($X:$X,CONCATENATE($AN119,AP$6),$T:$T)/10000</f>
        <v>0</v>
      </c>
      <c r="AQ119" s="134" t="n">
        <f aca="false">SUMIF($X:$X,CONCATENATE($AN119,AQ$6),$T:$T)/10000</f>
        <v>0</v>
      </c>
      <c r="AR119" s="134" t="n">
        <f aca="false">SUMIF($X:$X,CONCATENATE($AN119,AR$6),$T:$T)/10000</f>
        <v>0</v>
      </c>
      <c r="AS119" s="134" t="n">
        <f aca="false">SUMIF($X:$X,CONCATENATE($AN119,AS$6),$T:$T)/10000</f>
        <v>0</v>
      </c>
      <c r="AT119" s="134" t="n">
        <f aca="false">SUMIF($X:$X,CONCATENATE($AN119,AT$6),$T:$T)/10000</f>
        <v>0</v>
      </c>
      <c r="AU119" s="134" t="n">
        <f aca="false">SUMIF($X:$X,CONCATENATE($AN119,AU$6),$T:$T)/10000</f>
        <v>0</v>
      </c>
      <c r="AV119" s="134" t="n">
        <f aca="false">SUMIF($X:$X,CONCATENATE($AN119,AV$6),$T:$T)/10000</f>
        <v>0</v>
      </c>
      <c r="AW119" s="134" t="n">
        <f aca="false">SUMIF($X:$X,CONCATENATE($AN119,AW$6),$T:$T)/10000</f>
        <v>0</v>
      </c>
      <c r="AX119" s="134" t="n">
        <f aca="false">SUMIF($X:$X,CONCATENATE($AN119,AX$6),$T:$T)/10000</f>
        <v>0</v>
      </c>
      <c r="AY119" s="134" t="n">
        <f aca="false">SUMIF($X:$X,CONCATENATE($AN119,AY$6),$T:$T)/10000</f>
        <v>0</v>
      </c>
      <c r="AZ119" s="134" t="n">
        <f aca="false">SUMIF($X:$X,CONCATENATE($AN119,AZ$6),$T:$T)/10000</f>
        <v>0</v>
      </c>
      <c r="BA119" s="135" t="n">
        <f aca="false">SUMIF($X:$X,CONCATENATE($AN119,BA$6),$T:$T)/10000</f>
        <v>0</v>
      </c>
      <c r="BB119" s="208" t="n">
        <f aca="false">EOMONTH(BB118,0)+1</f>
        <v>40148</v>
      </c>
      <c r="BC119" s="135" t="n">
        <f aca="false">SUM(AO119:BA119)</f>
        <v>0</v>
      </c>
      <c r="BD119" s="2"/>
      <c r="BE119" s="208" t="n">
        <f aca="false">EOMONTH(BE118,0)+1</f>
        <v>40148</v>
      </c>
      <c r="BF119" s="134" t="n">
        <f aca="false">SUMIF($X:$X,CONCATENATE($AN119,BF$6),$W:$W)</f>
        <v>0</v>
      </c>
      <c r="BG119" s="134" t="n">
        <f aca="false">SUMIF($X:$X,CONCATENATE($AN119,BG$6),$W:$W)</f>
        <v>0</v>
      </c>
      <c r="BH119" s="134" t="n">
        <f aca="false">SUMIF($X:$X,CONCATENATE($AN119,BH$6),$W:$W)</f>
        <v>0</v>
      </c>
      <c r="BI119" s="134" t="n">
        <f aca="false">SUMIF($X:$X,CONCATENATE($AN119,BI$6),$W:$W)</f>
        <v>0</v>
      </c>
      <c r="BJ119" s="134" t="n">
        <f aca="false">SUMIF($X:$X,CONCATENATE($AN119,BJ$6),$W:$W)</f>
        <v>0</v>
      </c>
      <c r="BK119" s="134" t="n">
        <f aca="false">SUMIF($X:$X,CONCATENATE($AN119,BK$6),$W:$W)</f>
        <v>0</v>
      </c>
      <c r="BL119" s="134" t="n">
        <f aca="false">SUMIF($X:$X,CONCATENATE($AN119,BL$6),$W:$W)</f>
        <v>0</v>
      </c>
      <c r="BM119" s="134" t="n">
        <f aca="false">SUMIF($X:$X,CONCATENATE($AN119,BM$6),$W:$W)</f>
        <v>0</v>
      </c>
      <c r="BN119" s="134" t="n">
        <f aca="false">SUMIF($X:$X,CONCATENATE($AN119,BN$6),$W:$W)</f>
        <v>0</v>
      </c>
      <c r="BO119" s="134" t="n">
        <f aca="false">SUMIF($X:$X,CONCATENATE($AN119,BO$6),$W:$W)</f>
        <v>0</v>
      </c>
      <c r="BP119" s="134" t="n">
        <f aca="false">SUMIF($X:$X,CONCATENATE($AN119,BP$6),$W:$W)</f>
        <v>0</v>
      </c>
      <c r="BQ119" s="134" t="n">
        <f aca="false">SUMIF($X:$X,CONCATENATE($AN119,BQ$6),$W:$W)</f>
        <v>0</v>
      </c>
      <c r="BR119" s="135" t="n">
        <f aca="false">SUMIF($X:$X,CONCATENATE($AN119,BR$6),$W:$W)</f>
        <v>0</v>
      </c>
      <c r="BS119" s="208" t="n">
        <f aca="false">EOMONTH(BS118,0)+1</f>
        <v>40148</v>
      </c>
      <c r="BT119" s="135" t="n">
        <f aca="false">SUM(BF119:BR119)</f>
        <v>0</v>
      </c>
      <c r="BU119" s="2"/>
      <c r="BV119" s="2"/>
      <c r="BW119" s="2"/>
      <c r="BX119" s="2"/>
      <c r="BY119" s="2"/>
      <c r="BZ119" s="2"/>
      <c r="CA119" s="2"/>
      <c r="CB119" s="2"/>
      <c r="CC119" s="182" t="n">
        <f aca="false">G119</f>
        <v>36861</v>
      </c>
      <c r="CD119" s="253" t="e">
        <f aca="false">xSPRDOPT((VLOOKUP(G119,NGPrices,2,FALSE())+HLOOKUP(D119,Prices,VLOOKUP(G119,move_down,2,FALSE()),FALSE())),VLOOKUP(G119,NGPrices,2,FALSE()),I119,VLOOKUP(G119,NGPREVPRICES,4,FALSE()),HLOOKUP(D119,PREVVOLS,VLOOKUP(G119,MOVE_DOWN2,2,FALSE()),FALSE()),VLOOKUP(G119,NGPREVPRICES,3,FALSE()),HLOOKUP(D119,Correllate,VLOOKUP(G119,CorMove,2,FALSE()),FALSE()),Q119-$CD$3,R119,$CD$5)*H119-CJ119</f>
        <v>#NAME?</v>
      </c>
      <c r="CE119" s="253" t="e">
        <f aca="false">xSPRDOPT((VLOOKUP(G119,NGPREVPRICES,2,FALSE())+HLOOKUP(D119,PREVCURVES,VLOOKUP(G119,MOVE_DOWN2,2,FALSE()),FALSE())),VLOOKUP(G119,NGPREVPRICES,2,FALSE()),CK119,VLOOKUP(G119,NGPrices,4,FALSE()),HLOOKUP(D119,PREVVOLS,VLOOKUP(G119,MOVE_DOWN2,2,FALSE()),FALSE()),VLOOKUP(G119,NGPREVPRICES,3,FALSE()),HLOOKUP(D119,Correllate,VLOOKUP(G119,CorMove,2,FALSE()),FALSE()),Q119-$CD$3,R119,$CJ$5)*H119-CJ119</f>
        <v>#NAME?</v>
      </c>
      <c r="CF119" s="132" t="e">
        <f aca="false">(CJ119/VLOOKUP(CC119,discount,3,FALSE()))-(CJ119/VLOOKUP(CC119,discount,2,FALSE()))</f>
        <v>#NAME?</v>
      </c>
      <c r="CG119" s="253" t="e">
        <f aca="false">xSPRDOPT((VLOOKUP(G119,NGPREVPRICES,2,FALSE())+HLOOKUP(D119,PREVCURVES,VLOOKUP(G119,MOVE_DOWN2,2,FALSE()),FALSE())),VLOOKUP(G119,NGPREVPRICES,2,FALSE()),CK119,VLOOKUP(G119,NGPREVPRICES,4,FALSE()),HLOOKUP(D119,VOLS,VLOOKUP(G119,move_down,2,FALSE()),FALSE()),VLOOKUP(G119,NGPrices,3,FALSE()),HLOOKUP(D119,Correllate,VLOOKUP(G119,CorMove,2,FALSE()),FALSE()),Q119-$CD$3,R119,$CJ$5)*H119-CJ119</f>
        <v>#NAME?</v>
      </c>
      <c r="CH119" s="253" t="e">
        <f aca="false">xSPRDOPT((VLOOKUP(G119,NGPREVPRICES,2,FALSE())+HLOOKUP(D119,PREVCURVES,VLOOKUP(G119,MOVE_DOWN2,2,FALSE()),FALSE())),VLOOKUP(G119,NGPREVPRICES,2,FALSE()),CK119,VLOOKUP(G119,NGPREVPRICES,4,FALSE()),HLOOKUP(D119,PREVVOLS,VLOOKUP(G119,MOVE_DOWN2,2,FALSE()),FALSE()),VLOOKUP(G119,NGPREVPRICES,3,FALSE()),HLOOKUP(D119,Correllate,VLOOKUP(G119,CorMove,2,FALSE()),FALSE()),Q119-$C$3,R119,$CJ$5)*H119-CJ119</f>
        <v>#NAME?</v>
      </c>
      <c r="CI119" s="253" t="e">
        <f aca="false">SUM(CD119:CH119)</f>
        <v>#NAME?</v>
      </c>
      <c r="CJ119" s="253" t="e">
        <f aca="false">xSPRDOPT((VLOOKUP(G119,NGPREVPRICES,2,FALSE())+HLOOKUP(D119,PREVCURVES,VLOOKUP(G119,MOVE_DOWN2,2,FALSE()),FALSE())),VLOOKUP(G119,NGPREVPRICES,2,FALSE()),CK119,VLOOKUP(G119,NGPREVPRICES,4,FALSE()),HLOOKUP(D119,PREVVOLS,VLOOKUP(G119,MOVE_DOWN2,2,FALSE()),FALSE()),VLOOKUP(G119,NGPREVPRICES,3,FALSE()),HLOOKUP(D119,Correllate,VLOOKUP(G119,CorMove,2,FALSE()),FALSE()),Q119-$CD$3,R119,$CJ$5)*H119</f>
        <v>#NAME?</v>
      </c>
      <c r="CK119" s="254" t="n">
        <f aca="false">I119</f>
        <v>1.4</v>
      </c>
      <c r="CL119" s="253"/>
      <c r="CM119" s="0" t="str">
        <f aca="false">CONCATENATE(CC119,$CD$6)</f>
        <v>36861Curve Shift/Gamma</v>
      </c>
      <c r="CN119" s="0" t="str">
        <f aca="false">CONCATENATE($CC119,$CE$6)</f>
        <v>36861Rho</v>
      </c>
      <c r="CO119" s="0" t="str">
        <f aca="false">CONCATENATE($CC119,$CF$6)</f>
        <v>36861Drift</v>
      </c>
      <c r="CP119" s="0" t="str">
        <f aca="false">CONCATENATE($CC119,$CG$6)</f>
        <v>36861Vega</v>
      </c>
      <c r="CQ119" s="0" t="str">
        <f aca="false">CONCATENATE($CC119,$CH$6)</f>
        <v>36861Theta</v>
      </c>
    </row>
    <row r="120" customFormat="false" ht="12" hidden="false" customHeight="true" outlineLevel="0" collapsed="false">
      <c r="A120" s="17" t="s">
        <v>244</v>
      </c>
      <c r="B120" s="0" t="s">
        <v>192</v>
      </c>
      <c r="C120" s="0" t="s">
        <v>247</v>
      </c>
      <c r="D120" s="7" t="s">
        <v>149</v>
      </c>
      <c r="E120" s="0" t="s">
        <v>131</v>
      </c>
      <c r="F120" s="0" t="s">
        <v>132</v>
      </c>
      <c r="G120" s="92" t="n">
        <v>36923</v>
      </c>
      <c r="H120" s="248" t="n">
        <v>-500000</v>
      </c>
      <c r="I120" s="0" t="n">
        <v>1.4</v>
      </c>
      <c r="J120" s="124" t="n">
        <f aca="false">VLOOKUP(G120,NGPrices,2,FALSE())</f>
        <v>4.48</v>
      </c>
      <c r="K120" s="125" t="n">
        <f aca="false">HLOOKUP(D120,Prices,VLOOKUP(G120,move_down,2,FALSE()),FALSE())+VLOOKUP(G120,CHANGE,HLOOKUP(D120,CHANGE,2,FALSE()),FALSE())</f>
        <v>2.09</v>
      </c>
      <c r="L120" s="124" t="n">
        <f aca="false">K120+J120</f>
        <v>6.57</v>
      </c>
      <c r="M120" s="126" t="n">
        <f aca="false">VLOOKUP(G120,NGPrices,4,FALSE())</f>
        <v>0.068640161611372</v>
      </c>
      <c r="N120" s="7" t="n">
        <f aca="false">VLOOKUP(G120,NGPrices,3,FALSE())</f>
        <v>0.5925</v>
      </c>
      <c r="O120" s="7" t="n">
        <f aca="false">HLOOKUP(D120,VOLS,VLOOKUP(G120,move_down,2,FALSE()),FALSE())</f>
        <v>0.681</v>
      </c>
      <c r="P120" s="249" t="n">
        <f aca="false">HLOOKUP(D120,Correllate,VLOOKUP(G120,CorMove,2,FALSE()),FALSE())</f>
        <v>0.83</v>
      </c>
      <c r="Q120" s="92" t="n">
        <f aca="false">WORKDAY(G120,-2)</f>
        <v>36921</v>
      </c>
      <c r="R120" s="7" t="n">
        <f aca="false">IF(F120="P",0,1)</f>
        <v>0</v>
      </c>
      <c r="S120" s="130" t="e">
        <f aca="false">xSPRDOPT($L120,$J120,$I120,$M120,$O120,$N120,$P120,$Q120-$C$3,$R120,0)</f>
        <v>#NAME?</v>
      </c>
      <c r="T120" s="250" t="e">
        <f aca="false">xSPRDOPT($L120,$J120,$I120,$M120,$O120,$N120,$P120,$Q120-$C$3,$R120,1)*H120</f>
        <v>#NAME?</v>
      </c>
      <c r="U120" s="43" t="e">
        <f aca="false">S120*H120</f>
        <v>#NAME?</v>
      </c>
      <c r="V120" s="250" t="e">
        <f aca="false">xSPRDOPT($L120,$J120,$I120,$M120,$O120,$N120,$P120,$Q120-$C$3,$R120,2)*H120</f>
        <v>#NAME?</v>
      </c>
      <c r="W120" s="250" t="e">
        <f aca="false">+V120+T120</f>
        <v>#NAME?</v>
      </c>
      <c r="X120" s="2" t="str">
        <f aca="false">CONCATENATE(G120,D120)</f>
        <v>36923IF-TRANSCO/Z6</v>
      </c>
      <c r="Y120" s="251" t="n">
        <f aca="false">H120/10000</f>
        <v>-50</v>
      </c>
      <c r="Z120" s="226" t="e">
        <f aca="false">T120/H120</f>
        <v>#NAME?</v>
      </c>
      <c r="AA120" s="226" t="e">
        <f aca="false">xSPRDOPT($L120,$J120,$I120,$M120,$O120,$N120,$P120,$Q120-$C$3,$R120,3)</f>
        <v>#NAME?</v>
      </c>
      <c r="AB120" s="226" t="e">
        <f aca="false">((xSPRDOPT($L120+AB$5,$J120,$I120,$M120,$O120,$N120,$P120,$Q120-$C$3,$R120,3)*$H120)/10000)/100</f>
        <v>#NAME?</v>
      </c>
      <c r="AC120" s="226" t="e">
        <f aca="false">((xSPRDOPT($L120+$AB$5,$J120,$I120,$M120,$O120,$N120,$P120,$Q120-$C$3,$R120,7)*$H120)/100)</f>
        <v>#NAME?</v>
      </c>
      <c r="AD120" s="226" t="e">
        <f aca="false">(xSPRDOPT($L120+$AB$5,$J120,$I120,$M120,$O120,$N120,$P120,$Q120-$C$3,$R120,9)/365)*$H120</f>
        <v>#NAME?</v>
      </c>
      <c r="AE120" s="0" t="e">
        <f aca="false">CD120</f>
        <v>#NAME?</v>
      </c>
      <c r="AF120" s="226" t="e">
        <f aca="false">((O120/N120)*AH120)+AG120</f>
        <v>#NAME?</v>
      </c>
      <c r="AG120" s="226" t="e">
        <f aca="false">((xSPRDOPT($L120,$J120,$I120,$M120,$O120,$N120,$P120,$Q120-$C$3,$R120,6)*$H120)/100)</f>
        <v>#NAME?</v>
      </c>
      <c r="AH120" s="226" t="e">
        <f aca="false">((xSPRDOPT($L120,$J120,$I120,$M120,$O120,$N120,$P120,$Q120-$C$3,$R120,5)*$H120)/100)</f>
        <v>#NAME?</v>
      </c>
      <c r="AI120" s="226" t="e">
        <f aca="false">(((xSPRDOPT($L120,$J120,$I120,$M120,$O120,$N120,$P120,$Q120-$C$3,$R120,4)*$H120)/10000)/100)-AB120</f>
        <v>#NAME?</v>
      </c>
      <c r="AJ120" s="226"/>
      <c r="AK120" s="226"/>
      <c r="AL120" s="226"/>
      <c r="AM120" s="252"/>
      <c r="AN120" s="208" t="n">
        <f aca="false">EOMONTH(AN119,0)+1</f>
        <v>40179</v>
      </c>
      <c r="AO120" s="134" t="n">
        <f aca="false">SUMIF($X:$X,CONCATENATE($AN120,AO$6),$T:$T)/10000</f>
        <v>0</v>
      </c>
      <c r="AP120" s="134" t="n">
        <f aca="false">SUMIF($X:$X,CONCATENATE($AN120,AP$6),$T:$T)/10000</f>
        <v>0</v>
      </c>
      <c r="AQ120" s="134" t="n">
        <f aca="false">SUMIF($X:$X,CONCATENATE($AN120,AQ$6),$T:$T)/10000</f>
        <v>0</v>
      </c>
      <c r="AR120" s="134" t="n">
        <f aca="false">SUMIF($X:$X,CONCATENATE($AN120,AR$6),$T:$T)/10000</f>
        <v>0</v>
      </c>
      <c r="AS120" s="134" t="n">
        <f aca="false">SUMIF($X:$X,CONCATENATE($AN120,AS$6),$T:$T)/10000</f>
        <v>0</v>
      </c>
      <c r="AT120" s="134" t="n">
        <f aca="false">SUMIF($X:$X,CONCATENATE($AN120,AT$6),$T:$T)/10000</f>
        <v>0</v>
      </c>
      <c r="AU120" s="134" t="n">
        <f aca="false">SUMIF($X:$X,CONCATENATE($AN120,AU$6),$T:$T)/10000</f>
        <v>0</v>
      </c>
      <c r="AV120" s="134" t="n">
        <f aca="false">SUMIF($X:$X,CONCATENATE($AN120,AV$6),$T:$T)/10000</f>
        <v>0</v>
      </c>
      <c r="AW120" s="134" t="n">
        <f aca="false">SUMIF($X:$X,CONCATENATE($AN120,AW$6),$T:$T)/10000</f>
        <v>0</v>
      </c>
      <c r="AX120" s="134" t="n">
        <f aca="false">SUMIF($X:$X,CONCATENATE($AN120,AX$6),$T:$T)/10000</f>
        <v>0</v>
      </c>
      <c r="AY120" s="134" t="n">
        <f aca="false">SUMIF($X:$X,CONCATENATE($AN120,AY$6),$T:$T)/10000</f>
        <v>0</v>
      </c>
      <c r="AZ120" s="134" t="n">
        <f aca="false">SUMIF($X:$X,CONCATENATE($AN120,AZ$6),$T:$T)/10000</f>
        <v>0</v>
      </c>
      <c r="BA120" s="135" t="n">
        <f aca="false">SUMIF($X:$X,CONCATENATE($AN120,BA$6),$T:$T)/10000</f>
        <v>0</v>
      </c>
      <c r="BB120" s="208" t="n">
        <f aca="false">EOMONTH(BB119,0)+1</f>
        <v>40179</v>
      </c>
      <c r="BC120" s="135" t="n">
        <f aca="false">SUM(AO120:BA120)</f>
        <v>0</v>
      </c>
      <c r="BD120" s="2"/>
      <c r="BE120" s="208" t="n">
        <f aca="false">EOMONTH(BE119,0)+1</f>
        <v>40179</v>
      </c>
      <c r="BF120" s="134" t="n">
        <f aca="false">SUMIF($X:$X,CONCATENATE($AN120,BF$6),$W:$W)</f>
        <v>0</v>
      </c>
      <c r="BG120" s="134" t="n">
        <f aca="false">SUMIF($X:$X,CONCATENATE($AN120,BG$6),$W:$W)</f>
        <v>0</v>
      </c>
      <c r="BH120" s="134" t="n">
        <f aca="false">SUMIF($X:$X,CONCATENATE($AN120,BH$6),$W:$W)</f>
        <v>0</v>
      </c>
      <c r="BI120" s="134" t="n">
        <f aca="false">SUMIF($X:$X,CONCATENATE($AN120,BI$6),$W:$W)</f>
        <v>0</v>
      </c>
      <c r="BJ120" s="134" t="n">
        <f aca="false">SUMIF($X:$X,CONCATENATE($AN120,BJ$6),$W:$W)</f>
        <v>0</v>
      </c>
      <c r="BK120" s="134" t="n">
        <f aca="false">SUMIF($X:$X,CONCATENATE($AN120,BK$6),$W:$W)</f>
        <v>0</v>
      </c>
      <c r="BL120" s="134" t="n">
        <f aca="false">SUMIF($X:$X,CONCATENATE($AN120,BL$6),$W:$W)</f>
        <v>0</v>
      </c>
      <c r="BM120" s="134" t="n">
        <f aca="false">SUMIF($X:$X,CONCATENATE($AN120,BM$6),$W:$W)</f>
        <v>0</v>
      </c>
      <c r="BN120" s="134" t="n">
        <f aca="false">SUMIF($X:$X,CONCATENATE($AN120,BN$6),$W:$W)</f>
        <v>0</v>
      </c>
      <c r="BO120" s="134" t="n">
        <f aca="false">SUMIF($X:$X,CONCATENATE($AN120,BO$6),$W:$W)</f>
        <v>0</v>
      </c>
      <c r="BP120" s="134" t="n">
        <f aca="false">SUMIF($X:$X,CONCATENATE($AN120,BP$6),$W:$W)</f>
        <v>0</v>
      </c>
      <c r="BQ120" s="134" t="n">
        <f aca="false">SUMIF($X:$X,CONCATENATE($AN120,BQ$6),$W:$W)</f>
        <v>0</v>
      </c>
      <c r="BR120" s="135" t="n">
        <f aca="false">SUMIF($X:$X,CONCATENATE($AN120,BR$6),$W:$W)</f>
        <v>0</v>
      </c>
      <c r="BS120" s="208" t="n">
        <f aca="false">EOMONTH(BS119,0)+1</f>
        <v>40179</v>
      </c>
      <c r="BT120" s="135" t="n">
        <f aca="false">SUM(BF120:BR120)</f>
        <v>0</v>
      </c>
      <c r="BU120" s="2"/>
      <c r="BV120" s="2"/>
      <c r="BW120" s="2"/>
      <c r="BX120" s="2"/>
      <c r="BY120" s="2"/>
      <c r="BZ120" s="2"/>
      <c r="CA120" s="2"/>
      <c r="CB120" s="2"/>
      <c r="CC120" s="182" t="n">
        <f aca="false">G120</f>
        <v>36923</v>
      </c>
      <c r="CD120" s="253" t="e">
        <f aca="false">xSPRDOPT((VLOOKUP(G120,NGPrices,2,FALSE())+HLOOKUP(D120,Prices,VLOOKUP(G120,move_down,2,FALSE()),FALSE())),VLOOKUP(G120,NGPrices,2,FALSE()),I120,VLOOKUP(G120,NGPREVPRICES,4,FALSE()),HLOOKUP(D120,PREVVOLS,VLOOKUP(G120,MOVE_DOWN2,2,FALSE()),FALSE()),VLOOKUP(G120,NGPREVPRICES,3,FALSE()),HLOOKUP(D120,Correllate,VLOOKUP(G120,CorMove,2,FALSE()),FALSE()),Q120-$CD$3,R120,$CD$5)*H120-CJ120</f>
        <v>#NAME?</v>
      </c>
      <c r="CE120" s="253" t="e">
        <f aca="false">xSPRDOPT((VLOOKUP(G120,NGPREVPRICES,2,FALSE())+HLOOKUP(D120,PREVCURVES,VLOOKUP(G120,MOVE_DOWN2,2,FALSE()),FALSE())),VLOOKUP(G120,NGPREVPRICES,2,FALSE()),CK120,VLOOKUP(G120,NGPrices,4,FALSE()),HLOOKUP(D120,PREVVOLS,VLOOKUP(G120,MOVE_DOWN2,2,FALSE()),FALSE()),VLOOKUP(G120,NGPREVPRICES,3,FALSE()),HLOOKUP(D120,Correllate,VLOOKUP(G120,CorMove,2,FALSE()),FALSE()),Q120-$CD$3,R120,$CJ$5)*H120-CJ120</f>
        <v>#NAME?</v>
      </c>
      <c r="CF120" s="132" t="e">
        <f aca="false">(CJ120/VLOOKUP(CC120,discount,3,FALSE()))-(CJ120/VLOOKUP(CC120,discount,2,FALSE()))</f>
        <v>#NAME?</v>
      </c>
      <c r="CG120" s="253" t="e">
        <f aca="false">xSPRDOPT((VLOOKUP(G120,NGPREVPRICES,2,FALSE())+HLOOKUP(D120,PREVCURVES,VLOOKUP(G120,MOVE_DOWN2,2,FALSE()),FALSE())),VLOOKUP(G120,NGPREVPRICES,2,FALSE()),CK120,VLOOKUP(G120,NGPREVPRICES,4,FALSE()),HLOOKUP(D120,VOLS,VLOOKUP(G120,move_down,2,FALSE()),FALSE()),VLOOKUP(G120,NGPrices,3,FALSE()),HLOOKUP(D120,Correllate,VLOOKUP(G120,CorMove,2,FALSE()),FALSE()),Q120-$CD$3,R120,$CJ$5)*H120-CJ120</f>
        <v>#NAME?</v>
      </c>
      <c r="CH120" s="253" t="e">
        <f aca="false">xSPRDOPT((VLOOKUP(G120,NGPREVPRICES,2,FALSE())+HLOOKUP(D120,PREVCURVES,VLOOKUP(G120,MOVE_DOWN2,2,FALSE()),FALSE())),VLOOKUP(G120,NGPREVPRICES,2,FALSE()),CK120,VLOOKUP(G120,NGPREVPRICES,4,FALSE()),HLOOKUP(D120,PREVVOLS,VLOOKUP(G120,MOVE_DOWN2,2,FALSE()),FALSE()),VLOOKUP(G120,NGPREVPRICES,3,FALSE()),HLOOKUP(D120,Correllate,VLOOKUP(G120,CorMove,2,FALSE()),FALSE()),Q120-$C$3,R120,$CJ$5)*H120-CJ120</f>
        <v>#NAME?</v>
      </c>
      <c r="CI120" s="253" t="e">
        <f aca="false">SUM(CD120:CH120)</f>
        <v>#NAME?</v>
      </c>
      <c r="CJ120" s="253" t="e">
        <f aca="false">xSPRDOPT((VLOOKUP(G120,NGPREVPRICES,2,FALSE())+HLOOKUP(D120,PREVCURVES,VLOOKUP(G120,MOVE_DOWN2,2,FALSE()),FALSE())),VLOOKUP(G120,NGPREVPRICES,2,FALSE()),CK120,VLOOKUP(G120,NGPREVPRICES,4,FALSE()),HLOOKUP(D120,PREVVOLS,VLOOKUP(G120,MOVE_DOWN2,2,FALSE()),FALSE()),VLOOKUP(G120,NGPREVPRICES,3,FALSE()),HLOOKUP(D120,Correllate,VLOOKUP(G120,CorMove,2,FALSE()),FALSE()),Q120-$CD$3,R120,$CJ$5)*H120</f>
        <v>#NAME?</v>
      </c>
      <c r="CK120" s="254" t="n">
        <f aca="false">I120</f>
        <v>1.4</v>
      </c>
      <c r="CL120" s="253"/>
      <c r="CM120" s="0" t="str">
        <f aca="false">CONCATENATE(CC120,$CD$6)</f>
        <v>36923Curve Shift/Gamma</v>
      </c>
      <c r="CN120" s="0" t="str">
        <f aca="false">CONCATENATE($CC120,$CE$6)</f>
        <v>36923Rho</v>
      </c>
      <c r="CO120" s="0" t="str">
        <f aca="false">CONCATENATE($CC120,$CF$6)</f>
        <v>36923Drift</v>
      </c>
      <c r="CP120" s="0" t="str">
        <f aca="false">CONCATENATE($CC120,$CG$6)</f>
        <v>36923Vega</v>
      </c>
      <c r="CQ120" s="0" t="str">
        <f aca="false">CONCATENATE($CC120,$CH$6)</f>
        <v>36923Theta</v>
      </c>
    </row>
    <row r="121" customFormat="false" ht="12" hidden="false" customHeight="true" outlineLevel="0" collapsed="false">
      <c r="A121" s="17" t="s">
        <v>244</v>
      </c>
      <c r="B121" s="0" t="s">
        <v>192</v>
      </c>
      <c r="C121" s="0" t="s">
        <v>247</v>
      </c>
      <c r="D121" s="7" t="s">
        <v>149</v>
      </c>
      <c r="E121" s="0" t="s">
        <v>131</v>
      </c>
      <c r="F121" s="0" t="s">
        <v>132</v>
      </c>
      <c r="G121" s="92" t="n">
        <v>36892</v>
      </c>
      <c r="H121" s="248" t="n">
        <v>-500000</v>
      </c>
      <c r="I121" s="0" t="n">
        <v>1.4</v>
      </c>
      <c r="J121" s="124" t="n">
        <f aca="false">VLOOKUP(G121,NGPrices,2,FALSE())</f>
        <v>4.744</v>
      </c>
      <c r="K121" s="125" t="n">
        <f aca="false">HLOOKUP(D121,Prices,VLOOKUP(G121,move_down,2,FALSE()),FALSE())+VLOOKUP(G121,CHANGE,HLOOKUP(D121,CHANGE,2,FALSE()),FALSE())</f>
        <v>2.17</v>
      </c>
      <c r="L121" s="124" t="n">
        <f aca="false">K121+J121</f>
        <v>6.914</v>
      </c>
      <c r="M121" s="126" t="n">
        <f aca="false">VLOOKUP(G121,NGPrices,4,FALSE())</f>
        <v>0.068374831148491</v>
      </c>
      <c r="N121" s="7" t="n">
        <f aca="false">VLOOKUP(G121,NGPrices,3,FALSE())</f>
        <v>0.605</v>
      </c>
      <c r="O121" s="7" t="n">
        <f aca="false">HLOOKUP(D121,VOLS,VLOOKUP(G121,move_down,2,FALSE()),FALSE())</f>
        <v>0.696</v>
      </c>
      <c r="P121" s="249" t="n">
        <f aca="false">HLOOKUP(D121,Correllate,VLOOKUP(G121,CorMove,2,FALSE()),FALSE())</f>
        <v>0.83</v>
      </c>
      <c r="Q121" s="92" t="n">
        <f aca="false">WORKDAY(G121,-2)</f>
        <v>36888</v>
      </c>
      <c r="R121" s="7" t="n">
        <f aca="false">IF(F121="P",0,1)</f>
        <v>0</v>
      </c>
      <c r="S121" s="130" t="e">
        <f aca="false">xSPRDOPT($L121,$J121,$I121,$M121,$O121,$N121,$P121,$Q121-$C$3,$R121,0)</f>
        <v>#NAME?</v>
      </c>
      <c r="T121" s="250" t="e">
        <f aca="false">xSPRDOPT($L121,$J121,$I121,$M121,$O121,$N121,$P121,$Q121-$C$3,$R121,1)*H121</f>
        <v>#NAME?</v>
      </c>
      <c r="U121" s="43" t="e">
        <f aca="false">S121*H121</f>
        <v>#NAME?</v>
      </c>
      <c r="V121" s="250" t="e">
        <f aca="false">xSPRDOPT($L121,$J121,$I121,$M121,$O121,$N121,$P121,$Q121-$C$3,$R121,2)*H121</f>
        <v>#NAME?</v>
      </c>
      <c r="W121" s="250" t="e">
        <f aca="false">+V121+T121</f>
        <v>#NAME?</v>
      </c>
      <c r="X121" s="2" t="str">
        <f aca="false">CONCATENATE(G121,D121)</f>
        <v>36892IF-TRANSCO/Z6</v>
      </c>
      <c r="Y121" s="251" t="n">
        <f aca="false">H121/10000</f>
        <v>-50</v>
      </c>
      <c r="Z121" s="226" t="e">
        <f aca="false">T121/H121</f>
        <v>#NAME?</v>
      </c>
      <c r="AA121" s="226" t="e">
        <f aca="false">xSPRDOPT($L121,$J121,$I121,$M121,$O121,$N121,$P121,$Q121-$C$3,$R121,3)</f>
        <v>#NAME?</v>
      </c>
      <c r="AB121" s="226" t="e">
        <f aca="false">((xSPRDOPT($L121+AB$5,$J121,$I121,$M121,$O121,$N121,$P121,$Q121-$C$3,$R121,3)*$H121)/10000)/100</f>
        <v>#NAME?</v>
      </c>
      <c r="AC121" s="226" t="e">
        <f aca="false">((xSPRDOPT($L121+$AB$5,$J121,$I121,$M121,$O121,$N121,$P121,$Q121-$C$3,$R121,7)*$H121)/100)</f>
        <v>#NAME?</v>
      </c>
      <c r="AD121" s="226" t="e">
        <f aca="false">(xSPRDOPT($L121+$AB$5,$J121,$I121,$M121,$O121,$N121,$P121,$Q121-$C$3,$R121,9)/365)*$H121</f>
        <v>#NAME?</v>
      </c>
      <c r="AE121" s="0" t="e">
        <f aca="false">CD121</f>
        <v>#NAME?</v>
      </c>
      <c r="AF121" s="226" t="e">
        <f aca="false">((O121/N121)*AH121)+AG121</f>
        <v>#NAME?</v>
      </c>
      <c r="AG121" s="226" t="e">
        <f aca="false">((xSPRDOPT($L121,$J121,$I121,$M121,$O121,$N121,$P121,$Q121-$C$3,$R121,6)*$H121)/100)</f>
        <v>#NAME?</v>
      </c>
      <c r="AH121" s="226" t="e">
        <f aca="false">((xSPRDOPT($L121,$J121,$I121,$M121,$O121,$N121,$P121,$Q121-$C$3,$R121,5)*$H121)/100)</f>
        <v>#NAME?</v>
      </c>
      <c r="AI121" s="226" t="e">
        <f aca="false">(((xSPRDOPT($L121,$J121,$I121,$M121,$O121,$N121,$P121,$Q121-$C$3,$R121,4)*$H121)/10000)/100)-AB121</f>
        <v>#NAME?</v>
      </c>
      <c r="AJ121" s="226"/>
      <c r="AK121" s="226"/>
      <c r="AL121" s="226"/>
      <c r="AM121" s="252"/>
      <c r="AN121" s="208" t="n">
        <f aca="false">EOMONTH(AN120,0)+1</f>
        <v>40210</v>
      </c>
      <c r="AO121" s="134" t="n">
        <f aca="false">SUMIF($X:$X,CONCATENATE($AN121,AO$6),$T:$T)/10000</f>
        <v>0</v>
      </c>
      <c r="AP121" s="134" t="n">
        <f aca="false">SUMIF($X:$X,CONCATENATE($AN121,AP$6),$T:$T)/10000</f>
        <v>0</v>
      </c>
      <c r="AQ121" s="134" t="n">
        <f aca="false">SUMIF($X:$X,CONCATENATE($AN121,AQ$6),$T:$T)/10000</f>
        <v>0</v>
      </c>
      <c r="AR121" s="134" t="n">
        <f aca="false">SUMIF($X:$X,CONCATENATE($AN121,AR$6),$T:$T)/10000</f>
        <v>0</v>
      </c>
      <c r="AS121" s="134" t="n">
        <f aca="false">SUMIF($X:$X,CONCATENATE($AN121,AS$6),$T:$T)/10000</f>
        <v>0</v>
      </c>
      <c r="AT121" s="134" t="n">
        <f aca="false">SUMIF($X:$X,CONCATENATE($AN121,AT$6),$T:$T)/10000</f>
        <v>0</v>
      </c>
      <c r="AU121" s="134" t="n">
        <f aca="false">SUMIF($X:$X,CONCATENATE($AN121,AU$6),$T:$T)/10000</f>
        <v>0</v>
      </c>
      <c r="AV121" s="134" t="n">
        <f aca="false">SUMIF($X:$X,CONCATENATE($AN121,AV$6),$T:$T)/10000</f>
        <v>0</v>
      </c>
      <c r="AW121" s="134" t="n">
        <f aca="false">SUMIF($X:$X,CONCATENATE($AN121,AW$6),$T:$T)/10000</f>
        <v>0</v>
      </c>
      <c r="AX121" s="134" t="n">
        <f aca="false">SUMIF($X:$X,CONCATENATE($AN121,AX$6),$T:$T)/10000</f>
        <v>0</v>
      </c>
      <c r="AY121" s="134" t="n">
        <f aca="false">SUMIF($X:$X,CONCATENATE($AN121,AY$6),$T:$T)/10000</f>
        <v>0</v>
      </c>
      <c r="AZ121" s="134" t="n">
        <f aca="false">SUMIF($X:$X,CONCATENATE($AN121,AZ$6),$T:$T)/10000</f>
        <v>0</v>
      </c>
      <c r="BA121" s="135" t="n">
        <f aca="false">SUMIF($X:$X,CONCATENATE($AN121,BA$6),$T:$T)/10000</f>
        <v>0</v>
      </c>
      <c r="BB121" s="208" t="n">
        <f aca="false">EOMONTH(BB120,0)+1</f>
        <v>40210</v>
      </c>
      <c r="BC121" s="135" t="n">
        <f aca="false">SUM(AO121:BA121)</f>
        <v>0</v>
      </c>
      <c r="BD121" s="2"/>
      <c r="BE121" s="208" t="n">
        <f aca="false">EOMONTH(BE120,0)+1</f>
        <v>40210</v>
      </c>
      <c r="BF121" s="134" t="n">
        <f aca="false">SUMIF($X:$X,CONCATENATE($AN121,BF$6),$W:$W)</f>
        <v>0</v>
      </c>
      <c r="BG121" s="134" t="n">
        <f aca="false">SUMIF($X:$X,CONCATENATE($AN121,BG$6),$W:$W)</f>
        <v>0</v>
      </c>
      <c r="BH121" s="134" t="n">
        <f aca="false">SUMIF($X:$X,CONCATENATE($AN121,BH$6),$W:$W)</f>
        <v>0</v>
      </c>
      <c r="BI121" s="134" t="n">
        <f aca="false">SUMIF($X:$X,CONCATENATE($AN121,BI$6),$W:$W)</f>
        <v>0</v>
      </c>
      <c r="BJ121" s="134" t="n">
        <f aca="false">SUMIF($X:$X,CONCATENATE($AN121,BJ$6),$W:$W)</f>
        <v>0</v>
      </c>
      <c r="BK121" s="134" t="n">
        <f aca="false">SUMIF($X:$X,CONCATENATE($AN121,BK$6),$W:$W)</f>
        <v>0</v>
      </c>
      <c r="BL121" s="134" t="n">
        <f aca="false">SUMIF($X:$X,CONCATENATE($AN121,BL$6),$W:$W)</f>
        <v>0</v>
      </c>
      <c r="BM121" s="134" t="n">
        <f aca="false">SUMIF($X:$X,CONCATENATE($AN121,BM$6),$W:$W)</f>
        <v>0</v>
      </c>
      <c r="BN121" s="134" t="n">
        <f aca="false">SUMIF($X:$X,CONCATENATE($AN121,BN$6),$W:$W)</f>
        <v>0</v>
      </c>
      <c r="BO121" s="134" t="n">
        <f aca="false">SUMIF($X:$X,CONCATENATE($AN121,BO$6),$W:$W)</f>
        <v>0</v>
      </c>
      <c r="BP121" s="134" t="n">
        <f aca="false">SUMIF($X:$X,CONCATENATE($AN121,BP$6),$W:$W)</f>
        <v>0</v>
      </c>
      <c r="BQ121" s="134" t="n">
        <f aca="false">SUMIF($X:$X,CONCATENATE($AN121,BQ$6),$W:$W)</f>
        <v>0</v>
      </c>
      <c r="BR121" s="135" t="n">
        <f aca="false">SUMIF($X:$X,CONCATENATE($AN121,BR$6),$W:$W)</f>
        <v>0</v>
      </c>
      <c r="BS121" s="208" t="n">
        <f aca="false">EOMONTH(BS120,0)+1</f>
        <v>40210</v>
      </c>
      <c r="BT121" s="135" t="n">
        <f aca="false">SUM(BF121:BR121)</f>
        <v>0</v>
      </c>
      <c r="BU121" s="2"/>
      <c r="BV121" s="2"/>
      <c r="BW121" s="2"/>
      <c r="BX121" s="2"/>
      <c r="BY121" s="2"/>
      <c r="BZ121" s="2"/>
      <c r="CA121" s="2"/>
      <c r="CB121" s="2"/>
      <c r="CC121" s="182" t="n">
        <f aca="false">G121</f>
        <v>36892</v>
      </c>
      <c r="CD121" s="253" t="e">
        <f aca="false">xSPRDOPT((VLOOKUP(G121,NGPrices,2,FALSE())+HLOOKUP(D121,Prices,VLOOKUP(G121,move_down,2,FALSE()),FALSE())),VLOOKUP(G121,NGPrices,2,FALSE()),I121,VLOOKUP(G121,NGPREVPRICES,4,FALSE()),HLOOKUP(D121,PREVVOLS,VLOOKUP(G121,MOVE_DOWN2,2,FALSE()),FALSE()),VLOOKUP(G121,NGPREVPRICES,3,FALSE()),HLOOKUP(D121,Correllate,VLOOKUP(G121,CorMove,2,FALSE()),FALSE()),Q121-$CD$3,R121,$CD$5)*H121-CJ121</f>
        <v>#NAME?</v>
      </c>
      <c r="CE121" s="253" t="e">
        <f aca="false">xSPRDOPT((VLOOKUP(G121,NGPREVPRICES,2,FALSE())+HLOOKUP(D121,PREVCURVES,VLOOKUP(G121,MOVE_DOWN2,2,FALSE()),FALSE())),VLOOKUP(G121,NGPREVPRICES,2,FALSE()),CK121,VLOOKUP(G121,NGPrices,4,FALSE()),HLOOKUP(D121,PREVVOLS,VLOOKUP(G121,MOVE_DOWN2,2,FALSE()),FALSE()),VLOOKUP(G121,NGPREVPRICES,3,FALSE()),HLOOKUP(D121,Correllate,VLOOKUP(G121,CorMove,2,FALSE()),FALSE()),Q121-$CD$3,R121,$CJ$5)*H121-CJ121</f>
        <v>#NAME?</v>
      </c>
      <c r="CF121" s="132" t="e">
        <f aca="false">(CJ121/VLOOKUP(CC121,discount,3,FALSE()))-(CJ121/VLOOKUP(CC121,discount,2,FALSE()))</f>
        <v>#NAME?</v>
      </c>
      <c r="CG121" s="253" t="e">
        <f aca="false">xSPRDOPT((VLOOKUP(G121,NGPREVPRICES,2,FALSE())+HLOOKUP(D121,PREVCURVES,VLOOKUP(G121,MOVE_DOWN2,2,FALSE()),FALSE())),VLOOKUP(G121,NGPREVPRICES,2,FALSE()),CK121,VLOOKUP(G121,NGPREVPRICES,4,FALSE()),HLOOKUP(D121,VOLS,VLOOKUP(G121,move_down,2,FALSE()),FALSE()),VLOOKUP(G121,NGPrices,3,FALSE()),HLOOKUP(D121,Correllate,VLOOKUP(G121,CorMove,2,FALSE()),FALSE()),Q121-$CD$3,R121,$CJ$5)*H121-CJ121</f>
        <v>#NAME?</v>
      </c>
      <c r="CH121" s="253" t="e">
        <f aca="false">xSPRDOPT((VLOOKUP(G121,NGPREVPRICES,2,FALSE())+HLOOKUP(D121,PREVCURVES,VLOOKUP(G121,MOVE_DOWN2,2,FALSE()),FALSE())),VLOOKUP(G121,NGPREVPRICES,2,FALSE()),CK121,VLOOKUP(G121,NGPREVPRICES,4,FALSE()),HLOOKUP(D121,PREVVOLS,VLOOKUP(G121,MOVE_DOWN2,2,FALSE()),FALSE()),VLOOKUP(G121,NGPREVPRICES,3,FALSE()),HLOOKUP(D121,Correllate,VLOOKUP(G121,CorMove,2,FALSE()),FALSE()),Q121-$C$3,R121,$CJ$5)*H121-CJ121</f>
        <v>#NAME?</v>
      </c>
      <c r="CI121" s="253" t="e">
        <f aca="false">SUM(CD121:CH121)</f>
        <v>#NAME?</v>
      </c>
      <c r="CJ121" s="253" t="e">
        <f aca="false">xSPRDOPT((VLOOKUP(G121,NGPREVPRICES,2,FALSE())+HLOOKUP(D121,PREVCURVES,VLOOKUP(G121,MOVE_DOWN2,2,FALSE()),FALSE())),VLOOKUP(G121,NGPREVPRICES,2,FALSE()),CK121,VLOOKUP(G121,NGPREVPRICES,4,FALSE()),HLOOKUP(D121,PREVVOLS,VLOOKUP(G121,MOVE_DOWN2,2,FALSE()),FALSE()),VLOOKUP(G121,NGPREVPRICES,3,FALSE()),HLOOKUP(D121,Correllate,VLOOKUP(G121,CorMove,2,FALSE()),FALSE()),Q121-$CD$3,R121,$CJ$5)*H121</f>
        <v>#NAME?</v>
      </c>
      <c r="CK121" s="254" t="n">
        <f aca="false">I121</f>
        <v>1.4</v>
      </c>
      <c r="CL121" s="253"/>
      <c r="CM121" s="0" t="str">
        <f aca="false">CONCATENATE(CC121,$CD$6)</f>
        <v>36892Curve Shift/Gamma</v>
      </c>
      <c r="CN121" s="0" t="str">
        <f aca="false">CONCATENATE($CC121,$CE$6)</f>
        <v>36892Rho</v>
      </c>
      <c r="CO121" s="0" t="str">
        <f aca="false">CONCATENATE($CC121,$CF$6)</f>
        <v>36892Drift</v>
      </c>
      <c r="CP121" s="0" t="str">
        <f aca="false">CONCATENATE($CC121,$CG$6)</f>
        <v>36892Vega</v>
      </c>
      <c r="CQ121" s="0" t="str">
        <f aca="false">CONCATENATE($CC121,$CH$6)</f>
        <v>36892Theta</v>
      </c>
    </row>
    <row r="122" customFormat="false" ht="12" hidden="false" customHeight="true" outlineLevel="0" collapsed="false">
      <c r="A122" s="17" t="s">
        <v>244</v>
      </c>
      <c r="B122" s="0" t="s">
        <v>192</v>
      </c>
      <c r="C122" s="0" t="s">
        <v>247</v>
      </c>
      <c r="D122" s="7" t="s">
        <v>149</v>
      </c>
      <c r="E122" s="0" t="s">
        <v>131</v>
      </c>
      <c r="F122" s="0" t="s">
        <v>132</v>
      </c>
      <c r="G122" s="92" t="n">
        <v>36861</v>
      </c>
      <c r="H122" s="248" t="n">
        <v>-500000</v>
      </c>
      <c r="I122" s="0" t="n">
        <v>1.4</v>
      </c>
      <c r="J122" s="124" t="n">
        <f aca="false">VLOOKUP(G122,NGPrices,2,FALSE())</f>
        <v>4.8</v>
      </c>
      <c r="K122" s="125" t="n">
        <f aca="false">HLOOKUP(D122,Prices,VLOOKUP(G122,move_down,2,FALSE()),FALSE())+VLOOKUP(G122,CHANGE,HLOOKUP(D122,CHANGE,2,FALSE()),FALSE())</f>
        <v>1.645</v>
      </c>
      <c r="L122" s="124" t="n">
        <f aca="false">K122+J122</f>
        <v>6.445</v>
      </c>
      <c r="M122" s="126" t="n">
        <f aca="false">VLOOKUP(G122,NGPrices,4,FALSE())</f>
        <v>0.068314027999354</v>
      </c>
      <c r="N122" s="7" t="n">
        <f aca="false">VLOOKUP(G122,NGPrices,3,FALSE())</f>
        <v>0.6</v>
      </c>
      <c r="O122" s="7" t="n">
        <f aca="false">HLOOKUP(D122,VOLS,VLOOKUP(G122,move_down,2,FALSE()),FALSE())</f>
        <v>0.69</v>
      </c>
      <c r="P122" s="249" t="n">
        <f aca="false">HLOOKUP(D122,Correllate,VLOOKUP(G122,CorMove,2,FALSE()),FALSE())</f>
        <v>0.83</v>
      </c>
      <c r="Q122" s="92" t="n">
        <f aca="false">WORKDAY(G122,-2)</f>
        <v>36859</v>
      </c>
      <c r="R122" s="7" t="n">
        <f aca="false">IF(F122="P",0,1)</f>
        <v>0</v>
      </c>
      <c r="S122" s="130" t="e">
        <f aca="false">xSPRDOPT($L122,$J122,$I122,$M122,$O122,$N122,$P122,$Q122-$C$3,$R122,0)</f>
        <v>#NAME?</v>
      </c>
      <c r="T122" s="250" t="e">
        <f aca="false">xSPRDOPT($L122,$J122,$I122,$M122,$O122,$N122,$P122,$Q122-$C$3,$R122,1)*H122</f>
        <v>#NAME?</v>
      </c>
      <c r="U122" s="43" t="e">
        <f aca="false">S122*H122</f>
        <v>#NAME?</v>
      </c>
      <c r="V122" s="250" t="e">
        <f aca="false">xSPRDOPT($L122,$J122,$I122,$M122,$O122,$N122,$P122,$Q122-$C$3,$R122,2)*H122</f>
        <v>#NAME?</v>
      </c>
      <c r="W122" s="250" t="e">
        <f aca="false">+V122+T122</f>
        <v>#NAME?</v>
      </c>
      <c r="X122" s="2" t="str">
        <f aca="false">CONCATENATE(G122,D122)</f>
        <v>36861IF-TRANSCO/Z6</v>
      </c>
      <c r="Y122" s="251" t="n">
        <f aca="false">H122/10000</f>
        <v>-50</v>
      </c>
      <c r="Z122" s="226" t="e">
        <f aca="false">T122/H122</f>
        <v>#NAME?</v>
      </c>
      <c r="AA122" s="226" t="e">
        <f aca="false">xSPRDOPT($L122,$J122,$I122,$M122,$O122,$N122,$P122,$Q122-$C$3,$R122,3)</f>
        <v>#NAME?</v>
      </c>
      <c r="AB122" s="226" t="e">
        <f aca="false">((xSPRDOPT($L122+AB$5,$J122,$I122,$M122,$O122,$N122,$P122,$Q122-$C$3,$R122,3)*$H122)/10000)/100</f>
        <v>#NAME?</v>
      </c>
      <c r="AC122" s="226" t="e">
        <f aca="false">((xSPRDOPT($L122+$AB$5,$J122,$I122,$M122,$O122,$N122,$P122,$Q122-$C$3,$R122,7)*$H122)/100)</f>
        <v>#NAME?</v>
      </c>
      <c r="AD122" s="226" t="e">
        <f aca="false">(xSPRDOPT($L122+$AB$5,$J122,$I122,$M122,$O122,$N122,$P122,$Q122-$C$3,$R122,9)/365)*$H122</f>
        <v>#NAME?</v>
      </c>
      <c r="AE122" s="0" t="e">
        <f aca="false">CD122</f>
        <v>#NAME?</v>
      </c>
      <c r="AF122" s="226" t="e">
        <f aca="false">((O122/N122)*AH122)+AG122</f>
        <v>#NAME?</v>
      </c>
      <c r="AG122" s="226" t="e">
        <f aca="false">((xSPRDOPT($L122,$J122,$I122,$M122,$O122,$N122,$P122,$Q122-$C$3,$R122,6)*$H122)/100)</f>
        <v>#NAME?</v>
      </c>
      <c r="AH122" s="226" t="e">
        <f aca="false">((xSPRDOPT($L122,$J122,$I122,$M122,$O122,$N122,$P122,$Q122-$C$3,$R122,5)*$H122)/100)</f>
        <v>#NAME?</v>
      </c>
      <c r="AI122" s="226" t="e">
        <f aca="false">(((xSPRDOPT($L122,$J122,$I122,$M122,$O122,$N122,$P122,$Q122-$C$3,$R122,4)*$H122)/10000)/100)-AB122</f>
        <v>#NAME?</v>
      </c>
      <c r="AJ122" s="226"/>
      <c r="AK122" s="226"/>
      <c r="AL122" s="226"/>
      <c r="AM122" s="252"/>
      <c r="AN122" s="208" t="n">
        <f aca="false">EOMONTH(AN121,0)+1</f>
        <v>40238</v>
      </c>
      <c r="AO122" s="134" t="n">
        <f aca="false">SUMIF($X:$X,CONCATENATE($AN122,AO$6),$T:$T)/10000</f>
        <v>0</v>
      </c>
      <c r="AP122" s="134" t="n">
        <f aca="false">SUMIF($X:$X,CONCATENATE($AN122,AP$6),$T:$T)/10000</f>
        <v>0</v>
      </c>
      <c r="AQ122" s="134" t="n">
        <f aca="false">SUMIF($X:$X,CONCATENATE($AN122,AQ$6),$T:$T)/10000</f>
        <v>0</v>
      </c>
      <c r="AR122" s="134" t="n">
        <f aca="false">SUMIF($X:$X,CONCATENATE($AN122,AR$6),$T:$T)/10000</f>
        <v>0</v>
      </c>
      <c r="AS122" s="134" t="n">
        <f aca="false">SUMIF($X:$X,CONCATENATE($AN122,AS$6),$T:$T)/10000</f>
        <v>0</v>
      </c>
      <c r="AT122" s="134" t="n">
        <f aca="false">SUMIF($X:$X,CONCATENATE($AN122,AT$6),$T:$T)/10000</f>
        <v>0</v>
      </c>
      <c r="AU122" s="134" t="n">
        <f aca="false">SUMIF($X:$X,CONCATENATE($AN122,AU$6),$T:$T)/10000</f>
        <v>0</v>
      </c>
      <c r="AV122" s="134" t="n">
        <f aca="false">SUMIF($X:$X,CONCATENATE($AN122,AV$6),$T:$T)/10000</f>
        <v>0</v>
      </c>
      <c r="AW122" s="134" t="n">
        <f aca="false">SUMIF($X:$X,CONCATENATE($AN122,AW$6),$T:$T)/10000</f>
        <v>0</v>
      </c>
      <c r="AX122" s="134" t="n">
        <f aca="false">SUMIF($X:$X,CONCATENATE($AN122,AX$6),$T:$T)/10000</f>
        <v>0</v>
      </c>
      <c r="AY122" s="134" t="n">
        <f aca="false">SUMIF($X:$X,CONCATENATE($AN122,AY$6),$T:$T)/10000</f>
        <v>0</v>
      </c>
      <c r="AZ122" s="134" t="n">
        <f aca="false">SUMIF($X:$X,CONCATENATE($AN122,AZ$6),$T:$T)/10000</f>
        <v>0</v>
      </c>
      <c r="BA122" s="135" t="n">
        <f aca="false">SUMIF($X:$X,CONCATENATE($AN122,BA$6),$T:$T)/10000</f>
        <v>0</v>
      </c>
      <c r="BB122" s="208" t="n">
        <f aca="false">EOMONTH(BB121,0)+1</f>
        <v>40238</v>
      </c>
      <c r="BC122" s="135" t="n">
        <f aca="false">SUM(AO122:BA122)</f>
        <v>0</v>
      </c>
      <c r="BD122" s="2"/>
      <c r="BE122" s="208" t="n">
        <f aca="false">EOMONTH(BE121,0)+1</f>
        <v>40238</v>
      </c>
      <c r="BF122" s="134" t="n">
        <f aca="false">SUMIF($X:$X,CONCATENATE($AN122,BF$6),$W:$W)</f>
        <v>0</v>
      </c>
      <c r="BG122" s="134" t="n">
        <f aca="false">SUMIF($X:$X,CONCATENATE($AN122,BG$6),$W:$W)</f>
        <v>0</v>
      </c>
      <c r="BH122" s="134" t="n">
        <f aca="false">SUMIF($X:$X,CONCATENATE($AN122,BH$6),$W:$W)</f>
        <v>0</v>
      </c>
      <c r="BI122" s="134" t="n">
        <f aca="false">SUMIF($X:$X,CONCATENATE($AN122,BI$6),$W:$W)</f>
        <v>0</v>
      </c>
      <c r="BJ122" s="134" t="n">
        <f aca="false">SUMIF($X:$X,CONCATENATE($AN122,BJ$6),$W:$W)</f>
        <v>0</v>
      </c>
      <c r="BK122" s="134" t="n">
        <f aca="false">SUMIF($X:$X,CONCATENATE($AN122,BK$6),$W:$W)</f>
        <v>0</v>
      </c>
      <c r="BL122" s="134" t="n">
        <f aca="false">SUMIF($X:$X,CONCATENATE($AN122,BL$6),$W:$W)</f>
        <v>0</v>
      </c>
      <c r="BM122" s="134" t="n">
        <f aca="false">SUMIF($X:$X,CONCATENATE($AN122,BM$6),$W:$W)</f>
        <v>0</v>
      </c>
      <c r="BN122" s="134" t="n">
        <f aca="false">SUMIF($X:$X,CONCATENATE($AN122,BN$6),$W:$W)</f>
        <v>0</v>
      </c>
      <c r="BO122" s="134" t="n">
        <f aca="false">SUMIF($X:$X,CONCATENATE($AN122,BO$6),$W:$W)</f>
        <v>0</v>
      </c>
      <c r="BP122" s="134" t="n">
        <f aca="false">SUMIF($X:$X,CONCATENATE($AN122,BP$6),$W:$W)</f>
        <v>0</v>
      </c>
      <c r="BQ122" s="134" t="n">
        <f aca="false">SUMIF($X:$X,CONCATENATE($AN122,BQ$6),$W:$W)</f>
        <v>0</v>
      </c>
      <c r="BR122" s="135" t="n">
        <f aca="false">SUMIF($X:$X,CONCATENATE($AN122,BR$6),$W:$W)</f>
        <v>0</v>
      </c>
      <c r="BS122" s="208" t="n">
        <f aca="false">EOMONTH(BS121,0)+1</f>
        <v>40238</v>
      </c>
      <c r="BT122" s="135" t="n">
        <f aca="false">SUM(BF122:BR122)</f>
        <v>0</v>
      </c>
      <c r="BU122" s="2"/>
      <c r="BV122" s="2"/>
      <c r="BW122" s="2"/>
      <c r="BX122" s="2"/>
      <c r="BY122" s="2"/>
      <c r="BZ122" s="2"/>
      <c r="CA122" s="2"/>
      <c r="CB122" s="2"/>
      <c r="CC122" s="182" t="n">
        <f aca="false">G122</f>
        <v>36861</v>
      </c>
      <c r="CD122" s="253" t="e">
        <f aca="false">xSPRDOPT((VLOOKUP(G122,NGPrices,2,FALSE())+HLOOKUP(D122,Prices,VLOOKUP(G122,move_down,2,FALSE()),FALSE())),VLOOKUP(G122,NGPrices,2,FALSE()),I122,VLOOKUP(G122,NGPREVPRICES,4,FALSE()),HLOOKUP(D122,PREVVOLS,VLOOKUP(G122,MOVE_DOWN2,2,FALSE()),FALSE()),VLOOKUP(G122,NGPREVPRICES,3,FALSE()),HLOOKUP(D122,Correllate,VLOOKUP(G122,CorMove,2,FALSE()),FALSE()),Q122-$CD$3,R122,$CD$5)*H122-CJ122</f>
        <v>#NAME?</v>
      </c>
      <c r="CE122" s="253" t="e">
        <f aca="false">xSPRDOPT((VLOOKUP(G122,NGPREVPRICES,2,FALSE())+HLOOKUP(D122,PREVCURVES,VLOOKUP(G122,MOVE_DOWN2,2,FALSE()),FALSE())),VLOOKUP(G122,NGPREVPRICES,2,FALSE()),CK122,VLOOKUP(G122,NGPrices,4,FALSE()),HLOOKUP(D122,PREVVOLS,VLOOKUP(G122,MOVE_DOWN2,2,FALSE()),FALSE()),VLOOKUP(G122,NGPREVPRICES,3,FALSE()),HLOOKUP(D122,Correllate,VLOOKUP(G122,CorMove,2,FALSE()),FALSE()),Q122-$CD$3,R122,$CJ$5)*H122-CJ122</f>
        <v>#NAME?</v>
      </c>
      <c r="CF122" s="132" t="e">
        <f aca="false">(CJ122/VLOOKUP(CC122,discount,3,FALSE()))-(CJ122/VLOOKUP(CC122,discount,2,FALSE()))</f>
        <v>#NAME?</v>
      </c>
      <c r="CG122" s="253" t="e">
        <f aca="false">xSPRDOPT((VLOOKUP(G122,NGPREVPRICES,2,FALSE())+HLOOKUP(D122,PREVCURVES,VLOOKUP(G122,MOVE_DOWN2,2,FALSE()),FALSE())),VLOOKUP(G122,NGPREVPRICES,2,FALSE()),CK122,VLOOKUP(G122,NGPREVPRICES,4,FALSE()),HLOOKUP(D122,VOLS,VLOOKUP(G122,move_down,2,FALSE()),FALSE()),VLOOKUP(G122,NGPrices,3,FALSE()),HLOOKUP(D122,Correllate,VLOOKUP(G122,CorMove,2,FALSE()),FALSE()),Q122-$CD$3,R122,$CJ$5)*H122-CJ122</f>
        <v>#NAME?</v>
      </c>
      <c r="CH122" s="253" t="e">
        <f aca="false">xSPRDOPT((VLOOKUP(G122,NGPREVPRICES,2,FALSE())+HLOOKUP(D122,PREVCURVES,VLOOKUP(G122,MOVE_DOWN2,2,FALSE()),FALSE())),VLOOKUP(G122,NGPREVPRICES,2,FALSE()),CK122,VLOOKUP(G122,NGPREVPRICES,4,FALSE()),HLOOKUP(D122,PREVVOLS,VLOOKUP(G122,MOVE_DOWN2,2,FALSE()),FALSE()),VLOOKUP(G122,NGPREVPRICES,3,FALSE()),HLOOKUP(D122,Correllate,VLOOKUP(G122,CorMove,2,FALSE()),FALSE()),Q122-$C$3,R122,$CJ$5)*H122-CJ122</f>
        <v>#NAME?</v>
      </c>
      <c r="CI122" s="253" t="e">
        <f aca="false">SUM(CD122:CH122)</f>
        <v>#NAME?</v>
      </c>
      <c r="CJ122" s="253" t="e">
        <f aca="false">xSPRDOPT((VLOOKUP(G122,NGPREVPRICES,2,FALSE())+HLOOKUP(D122,PREVCURVES,VLOOKUP(G122,MOVE_DOWN2,2,FALSE()),FALSE())),VLOOKUP(G122,NGPREVPRICES,2,FALSE()),CK122,VLOOKUP(G122,NGPREVPRICES,4,FALSE()),HLOOKUP(D122,PREVVOLS,VLOOKUP(G122,MOVE_DOWN2,2,FALSE()),FALSE()),VLOOKUP(G122,NGPREVPRICES,3,FALSE()),HLOOKUP(D122,Correllate,VLOOKUP(G122,CorMove,2,FALSE()),FALSE()),Q122-$CD$3,R122,$CJ$5)*H122</f>
        <v>#NAME?</v>
      </c>
      <c r="CK122" s="254" t="n">
        <f aca="false">I122</f>
        <v>1.4</v>
      </c>
      <c r="CL122" s="253"/>
      <c r="CM122" s="0" t="str">
        <f aca="false">CONCATENATE(CC122,$CD$6)</f>
        <v>36861Curve Shift/Gamma</v>
      </c>
      <c r="CN122" s="0" t="str">
        <f aca="false">CONCATENATE($CC122,$CE$6)</f>
        <v>36861Rho</v>
      </c>
      <c r="CO122" s="0" t="str">
        <f aca="false">CONCATENATE($CC122,$CF$6)</f>
        <v>36861Drift</v>
      </c>
      <c r="CP122" s="0" t="str">
        <f aca="false">CONCATENATE($CC122,$CG$6)</f>
        <v>36861Vega</v>
      </c>
      <c r="CQ122" s="0" t="str">
        <f aca="false">CONCATENATE($CC122,$CH$6)</f>
        <v>36861Theta</v>
      </c>
    </row>
    <row r="123" customFormat="false" ht="12" hidden="false" customHeight="true" outlineLevel="0" collapsed="false">
      <c r="A123" s="265" t="s">
        <v>198</v>
      </c>
      <c r="B123" s="0" t="s">
        <v>192</v>
      </c>
      <c r="C123" s="0" t="s">
        <v>248</v>
      </c>
      <c r="D123" s="7" t="s">
        <v>153</v>
      </c>
      <c r="E123" s="0" t="s">
        <v>131</v>
      </c>
      <c r="F123" s="0" t="s">
        <v>136</v>
      </c>
      <c r="G123" s="92" t="n">
        <v>36951</v>
      </c>
      <c r="H123" s="248" t="n">
        <v>-1000000</v>
      </c>
      <c r="I123" s="0" t="n">
        <v>0</v>
      </c>
      <c r="J123" s="124" t="n">
        <f aca="false">VLOOKUP(G123,NGPrices,2,FALSE())</f>
        <v>4.213</v>
      </c>
      <c r="K123" s="125" t="n">
        <f aca="false">HLOOKUP(D123,Prices,VLOOKUP(G123,move_down,2,FALSE()),FALSE())+VLOOKUP(G123,CHANGE,HLOOKUP(D123,CHANGE,2,FALSE()),FALSE())</f>
        <v>0.0325</v>
      </c>
      <c r="L123" s="124" t="n">
        <f aca="false">K123+J123</f>
        <v>4.2455</v>
      </c>
      <c r="M123" s="126" t="n">
        <f aca="false">VLOOKUP(G123,NGPrices,4,FALSE())</f>
        <v>0.068879814952707</v>
      </c>
      <c r="N123" s="7" t="n">
        <f aca="false">VLOOKUP(G123,NGPrices,3,FALSE())</f>
        <v>0.5325</v>
      </c>
      <c r="O123" s="7" t="n">
        <f aca="false">HLOOKUP(D123,VOLS,VLOOKUP(G123,move_down,2,FALSE()),FALSE())</f>
        <v>0.559</v>
      </c>
      <c r="P123" s="249" t="n">
        <f aca="false">HLOOKUP(D123,Correllate,VLOOKUP(G123,CorMove,2,FALSE()),FALSE())</f>
        <v>0.9975</v>
      </c>
      <c r="Q123" s="92" t="n">
        <f aca="false">WORKDAY(G123,-2)</f>
        <v>36949</v>
      </c>
      <c r="R123" s="7" t="n">
        <f aca="false">IF(F123="P",0,1)</f>
        <v>1</v>
      </c>
      <c r="S123" s="130" t="e">
        <f aca="false">xSPRDOPT($L123,$J123,$I123,$M123,$O123,$N123,$P123,$Q123-$C$3,$R123,0)</f>
        <v>#NAME?</v>
      </c>
      <c r="T123" s="250" t="e">
        <f aca="false">xSPRDOPT($L123,$J123,$I123,$M123,$O123,$N123,$P123,$Q123-$C$3,$R123,1)*H123</f>
        <v>#NAME?</v>
      </c>
      <c r="U123" s="43" t="e">
        <f aca="false">S123*H123</f>
        <v>#NAME?</v>
      </c>
      <c r="V123" s="250" t="e">
        <f aca="false">xSPRDOPT($L123,$J123,$I123,$M123,$O123,$N123,$P123,$Q123-$C$3,$R123,2)*H123</f>
        <v>#NAME?</v>
      </c>
      <c r="W123" s="250" t="e">
        <f aca="false">+V123+T123</f>
        <v>#NAME?</v>
      </c>
      <c r="X123" s="2" t="str">
        <f aca="false">CONCATENATE(G123,D123)</f>
        <v>36951IF-NNG/VENT</v>
      </c>
      <c r="Y123" s="251" t="n">
        <f aca="false">H123/10000</f>
        <v>-100</v>
      </c>
      <c r="Z123" s="226" t="e">
        <f aca="false">T123/H123</f>
        <v>#NAME?</v>
      </c>
      <c r="AA123" s="226" t="e">
        <f aca="false">xSPRDOPT($L123,$J123,$I123,$M123,$O123,$N123,$P123,$Q123-$C$3,$R123,3)</f>
        <v>#NAME?</v>
      </c>
      <c r="AB123" s="226" t="e">
        <f aca="false">((xSPRDOPT($L123+AB$5,$J123,$I123,$M123,$O123,$N123,$P123,$Q123-$C$3,$R123,3)*$H123)/10000)/100</f>
        <v>#NAME?</v>
      </c>
      <c r="AC123" s="226" t="e">
        <f aca="false">((xSPRDOPT($L123+$AB$5,$J123,$I123,$M123,$O123,$N123,$P123,$Q123-$C$3,$R123,7)*$H123)/100)</f>
        <v>#NAME?</v>
      </c>
      <c r="AD123" s="226" t="e">
        <f aca="false">(xSPRDOPT($L123+$AB$5,$J123,$I123,$M123,$O123,$N123,$P123,$Q123-$C$3,$R123,9)/365)*$H123</f>
        <v>#NAME?</v>
      </c>
      <c r="AE123" s="0" t="e">
        <f aca="false">CD123</f>
        <v>#NAME?</v>
      </c>
      <c r="AF123" s="226" t="e">
        <f aca="false">((O123/N123)*AH123)+AG123</f>
        <v>#NAME?</v>
      </c>
      <c r="AG123" s="226" t="e">
        <f aca="false">((xSPRDOPT($L123,$J123,$I123,$M123,$O123,$N123,$P123,$Q123-$C$3,$R123,6)*$H123)/100)</f>
        <v>#NAME?</v>
      </c>
      <c r="AH123" s="226" t="e">
        <f aca="false">((xSPRDOPT($L123,$J123,$I123,$M123,$O123,$N123,$P123,$Q123-$C$3,$R123,5)*$H123)/100)</f>
        <v>#NAME?</v>
      </c>
      <c r="AI123" s="226" t="e">
        <f aca="false">(((xSPRDOPT($L123,$J123,$I123,$M123,$O123,$N123,$P123,$Q123-$C$3,$R123,4)*$H123)/10000)/100)-AB123</f>
        <v>#NAME?</v>
      </c>
      <c r="AJ123" s="226"/>
      <c r="AK123" s="226"/>
      <c r="AL123" s="226"/>
      <c r="AM123" s="252"/>
      <c r="AN123" s="208" t="n">
        <f aca="false">EOMONTH(AN122,0)+1</f>
        <v>40269</v>
      </c>
      <c r="AO123" s="134" t="n">
        <f aca="false">SUMIF($X:$X,CONCATENATE($AN123,AO$6),$T:$T)/10000</f>
        <v>0</v>
      </c>
      <c r="AP123" s="134" t="n">
        <f aca="false">SUMIF($X:$X,CONCATENATE($AN123,AP$6),$T:$T)/10000</f>
        <v>0</v>
      </c>
      <c r="AQ123" s="134" t="n">
        <f aca="false">SUMIF($X:$X,CONCATENATE($AN123,AQ$6),$T:$T)/10000</f>
        <v>0</v>
      </c>
      <c r="AR123" s="134" t="n">
        <f aca="false">SUMIF($X:$X,CONCATENATE($AN123,AR$6),$T:$T)/10000</f>
        <v>0</v>
      </c>
      <c r="AS123" s="134" t="n">
        <f aca="false">SUMIF($X:$X,CONCATENATE($AN123,AS$6),$T:$T)/10000</f>
        <v>0</v>
      </c>
      <c r="AT123" s="134" t="n">
        <f aca="false">SUMIF($X:$X,CONCATENATE($AN123,AT$6),$T:$T)/10000</f>
        <v>0</v>
      </c>
      <c r="AU123" s="134" t="n">
        <f aca="false">SUMIF($X:$X,CONCATENATE($AN123,AU$6),$T:$T)/10000</f>
        <v>0</v>
      </c>
      <c r="AV123" s="134" t="n">
        <f aca="false">SUMIF($X:$X,CONCATENATE($AN123,AV$6),$T:$T)/10000</f>
        <v>0</v>
      </c>
      <c r="AW123" s="134" t="n">
        <f aca="false">SUMIF($X:$X,CONCATENATE($AN123,AW$6),$T:$T)/10000</f>
        <v>0</v>
      </c>
      <c r="AX123" s="134" t="n">
        <f aca="false">SUMIF($X:$X,CONCATENATE($AN123,AX$6),$T:$T)/10000</f>
        <v>0</v>
      </c>
      <c r="AY123" s="134" t="n">
        <f aca="false">SUMIF($X:$X,CONCATENATE($AN123,AY$6),$T:$T)/10000</f>
        <v>0</v>
      </c>
      <c r="AZ123" s="134" t="n">
        <f aca="false">SUMIF($X:$X,CONCATENATE($AN123,AZ$6),$T:$T)/10000</f>
        <v>0</v>
      </c>
      <c r="BA123" s="135" t="n">
        <f aca="false">SUMIF($X:$X,CONCATENATE($AN123,BA$6),$T:$T)/10000</f>
        <v>0</v>
      </c>
      <c r="BB123" s="208" t="n">
        <f aca="false">EOMONTH(BB122,0)+1</f>
        <v>40269</v>
      </c>
      <c r="BC123" s="135" t="n">
        <f aca="false">SUM(AO123:BA123)</f>
        <v>0</v>
      </c>
      <c r="BD123" s="2"/>
      <c r="BE123" s="208" t="n">
        <f aca="false">EOMONTH(BE122,0)+1</f>
        <v>40269</v>
      </c>
      <c r="BF123" s="134" t="n">
        <f aca="false">SUMIF($X:$X,CONCATENATE($AN123,BF$6),$W:$W)</f>
        <v>0</v>
      </c>
      <c r="BG123" s="134" t="n">
        <f aca="false">SUMIF($X:$X,CONCATENATE($AN123,BG$6),$W:$W)</f>
        <v>0</v>
      </c>
      <c r="BH123" s="134" t="n">
        <f aca="false">SUMIF($X:$X,CONCATENATE($AN123,BH$6),$W:$W)</f>
        <v>0</v>
      </c>
      <c r="BI123" s="134" t="n">
        <f aca="false">SUMIF($X:$X,CONCATENATE($AN123,BI$6),$W:$W)</f>
        <v>0</v>
      </c>
      <c r="BJ123" s="134" t="n">
        <f aca="false">SUMIF($X:$X,CONCATENATE($AN123,BJ$6),$W:$W)</f>
        <v>0</v>
      </c>
      <c r="BK123" s="134" t="n">
        <f aca="false">SUMIF($X:$X,CONCATENATE($AN123,BK$6),$W:$W)</f>
        <v>0</v>
      </c>
      <c r="BL123" s="134" t="n">
        <f aca="false">SUMIF($X:$X,CONCATENATE($AN123,BL$6),$W:$W)</f>
        <v>0</v>
      </c>
      <c r="BM123" s="134" t="n">
        <f aca="false">SUMIF($X:$X,CONCATENATE($AN123,BM$6),$W:$W)</f>
        <v>0</v>
      </c>
      <c r="BN123" s="134" t="n">
        <f aca="false">SUMIF($X:$X,CONCATENATE($AN123,BN$6),$W:$W)</f>
        <v>0</v>
      </c>
      <c r="BO123" s="134" t="n">
        <f aca="false">SUMIF($X:$X,CONCATENATE($AN123,BO$6),$W:$W)</f>
        <v>0</v>
      </c>
      <c r="BP123" s="134" t="n">
        <f aca="false">SUMIF($X:$X,CONCATENATE($AN123,BP$6),$W:$W)</f>
        <v>0</v>
      </c>
      <c r="BQ123" s="134" t="n">
        <f aca="false">SUMIF($X:$X,CONCATENATE($AN123,BQ$6),$W:$W)</f>
        <v>0</v>
      </c>
      <c r="BR123" s="135" t="n">
        <f aca="false">SUMIF($X:$X,CONCATENATE($AN123,BR$6),$W:$W)</f>
        <v>0</v>
      </c>
      <c r="BS123" s="208" t="n">
        <f aca="false">EOMONTH(BS122,0)+1</f>
        <v>40269</v>
      </c>
      <c r="BT123" s="135" t="n">
        <f aca="false">SUM(BF123:BR123)</f>
        <v>0</v>
      </c>
      <c r="BU123" s="2"/>
      <c r="BV123" s="2"/>
      <c r="BW123" s="2"/>
      <c r="BX123" s="2"/>
      <c r="BY123" s="2"/>
      <c r="BZ123" s="2"/>
      <c r="CA123" s="2"/>
      <c r="CB123" s="2"/>
      <c r="CC123" s="182" t="n">
        <f aca="false">G123</f>
        <v>36951</v>
      </c>
      <c r="CD123" s="253" t="e">
        <f aca="false">xSPRDOPT((VLOOKUP(G123,NGPrices,2,FALSE())+HLOOKUP(D123,Prices,VLOOKUP(G123,move_down,2,FALSE()),FALSE())),VLOOKUP(G123,NGPrices,2,FALSE()),I123,VLOOKUP(G123,NGPREVPRICES,4,FALSE()),HLOOKUP(D123,PREVVOLS,VLOOKUP(G123,MOVE_DOWN2,2,FALSE()),FALSE()),VLOOKUP(G123,NGPREVPRICES,3,FALSE()),HLOOKUP(D123,Correllate,VLOOKUP(G123,CorMove,2,FALSE()),FALSE()),Q123-$CD$3,R123,$CD$5)*H123-CJ123</f>
        <v>#NAME?</v>
      </c>
      <c r="CE123" s="253" t="e">
        <f aca="false">xSPRDOPT((VLOOKUP(G123,NGPREVPRICES,2,FALSE())+HLOOKUP(D123,PREVCURVES,VLOOKUP(G123,MOVE_DOWN2,2,FALSE()),FALSE())),VLOOKUP(G123,NGPREVPRICES,2,FALSE()),CK123,VLOOKUP(G123,NGPrices,4,FALSE()),HLOOKUP(D123,PREVVOLS,VLOOKUP(G123,MOVE_DOWN2,2,FALSE()),FALSE()),VLOOKUP(G123,NGPREVPRICES,3,FALSE()),HLOOKUP(D123,Correllate,VLOOKUP(G123,CorMove,2,FALSE()),FALSE()),Q123-$CD$3,R123,$CJ$5)*H123-CJ123</f>
        <v>#NAME?</v>
      </c>
      <c r="CF123" s="132" t="e">
        <f aca="false">(CJ123/VLOOKUP(CC123,discount,3,FALSE()))-(CJ123/VLOOKUP(CC123,discount,2,FALSE()))</f>
        <v>#NAME?</v>
      </c>
      <c r="CG123" s="253" t="e">
        <f aca="false">xSPRDOPT((VLOOKUP(G123,NGPREVPRICES,2,FALSE())+HLOOKUP(D123,PREVCURVES,VLOOKUP(G123,MOVE_DOWN2,2,FALSE()),FALSE())),VLOOKUP(G123,NGPREVPRICES,2,FALSE()),CK123,VLOOKUP(G123,NGPREVPRICES,4,FALSE()),HLOOKUP(D123,VOLS,VLOOKUP(G123,move_down,2,FALSE()),FALSE()),VLOOKUP(G123,NGPrices,3,FALSE()),HLOOKUP(D123,Correllate,VLOOKUP(G123,CorMove,2,FALSE()),FALSE()),Q123-$CD$3,R123,$CJ$5)*H123-CJ123</f>
        <v>#NAME?</v>
      </c>
      <c r="CH123" s="253" t="e">
        <f aca="false">xSPRDOPT((VLOOKUP(G123,NGPREVPRICES,2,FALSE())+HLOOKUP(D123,PREVCURVES,VLOOKUP(G123,MOVE_DOWN2,2,FALSE()),FALSE())),VLOOKUP(G123,NGPREVPRICES,2,FALSE()),CK123,VLOOKUP(G123,NGPREVPRICES,4,FALSE()),HLOOKUP(D123,PREVVOLS,VLOOKUP(G123,MOVE_DOWN2,2,FALSE()),FALSE()),VLOOKUP(G123,NGPREVPRICES,3,FALSE()),HLOOKUP(D123,Correllate,VLOOKUP(G123,CorMove,2,FALSE()),FALSE()),Q123-$C$3,R123,$CJ$5)*H123-CJ123</f>
        <v>#NAME?</v>
      </c>
      <c r="CI123" s="253" t="e">
        <f aca="false">SUM(CD123:CH123)</f>
        <v>#NAME?</v>
      </c>
      <c r="CJ123" s="253" t="e">
        <f aca="false">xSPRDOPT((VLOOKUP(G123,NGPREVPRICES,2,FALSE())+HLOOKUP(D123,PREVCURVES,VLOOKUP(G123,MOVE_DOWN2,2,FALSE()),FALSE())),VLOOKUP(G123,NGPREVPRICES,2,FALSE()),CK123,VLOOKUP(G123,NGPREVPRICES,4,FALSE()),HLOOKUP(D123,PREVVOLS,VLOOKUP(G123,MOVE_DOWN2,2,FALSE()),FALSE()),VLOOKUP(G123,NGPREVPRICES,3,FALSE()),HLOOKUP(D123,Correllate,VLOOKUP(G123,CorMove,2,FALSE()),FALSE()),Q123-$CD$3,R123,$CJ$5)*H123</f>
        <v>#NAME?</v>
      </c>
      <c r="CK123" s="254" t="n">
        <f aca="false">I123</f>
        <v>0</v>
      </c>
      <c r="CL123" s="253"/>
      <c r="CM123" s="0" t="str">
        <f aca="false">CONCATENATE(CC123,$CD$6)</f>
        <v>36951Curve Shift/Gamma</v>
      </c>
      <c r="CN123" s="0" t="str">
        <f aca="false">CONCATENATE($CC123,$CE$6)</f>
        <v>36951Rho</v>
      </c>
      <c r="CO123" s="0" t="str">
        <f aca="false">CONCATENATE($CC123,$CF$6)</f>
        <v>36951Drift</v>
      </c>
      <c r="CP123" s="0" t="str">
        <f aca="false">CONCATENATE($CC123,$CG$6)</f>
        <v>36951Vega</v>
      </c>
      <c r="CQ123" s="0" t="str">
        <f aca="false">CONCATENATE($CC123,$CH$6)</f>
        <v>36951Theta</v>
      </c>
    </row>
    <row r="124" customFormat="false" ht="12" hidden="false" customHeight="true" outlineLevel="0" collapsed="false">
      <c r="A124" s="265" t="s">
        <v>198</v>
      </c>
      <c r="B124" s="0" t="s">
        <v>192</v>
      </c>
      <c r="C124" s="0" t="s">
        <v>248</v>
      </c>
      <c r="D124" s="7" t="s">
        <v>153</v>
      </c>
      <c r="E124" s="0" t="s">
        <v>131</v>
      </c>
      <c r="F124" s="0" t="s">
        <v>136</v>
      </c>
      <c r="G124" s="92" t="n">
        <v>36923</v>
      </c>
      <c r="H124" s="248" t="n">
        <v>-1000000</v>
      </c>
      <c r="I124" s="0" t="n">
        <v>0</v>
      </c>
      <c r="J124" s="124" t="n">
        <f aca="false">VLOOKUP(G124,NGPrices,2,FALSE())</f>
        <v>4.48</v>
      </c>
      <c r="K124" s="125" t="n">
        <f aca="false">HLOOKUP(D124,Prices,VLOOKUP(G124,move_down,2,FALSE()),FALSE())+VLOOKUP(G124,CHANGE,HLOOKUP(D124,CHANGE,2,FALSE()),FALSE())</f>
        <v>0.035</v>
      </c>
      <c r="L124" s="124" t="n">
        <f aca="false">K124+J124</f>
        <v>4.515</v>
      </c>
      <c r="M124" s="126" t="n">
        <f aca="false">VLOOKUP(G124,NGPrices,4,FALSE())</f>
        <v>0.068640161611372</v>
      </c>
      <c r="N124" s="7" t="n">
        <f aca="false">VLOOKUP(G124,NGPrices,3,FALSE())</f>
        <v>0.5925</v>
      </c>
      <c r="O124" s="7" t="n">
        <f aca="false">HLOOKUP(D124,VOLS,VLOOKUP(G124,move_down,2,FALSE()),FALSE())</f>
        <v>0.622</v>
      </c>
      <c r="P124" s="249" t="n">
        <f aca="false">HLOOKUP(D124,Correllate,VLOOKUP(G124,CorMove,2,FALSE()),FALSE())</f>
        <v>0.9975</v>
      </c>
      <c r="Q124" s="92" t="n">
        <f aca="false">WORKDAY(G124,-2)</f>
        <v>36921</v>
      </c>
      <c r="R124" s="7" t="n">
        <f aca="false">IF(F124="P",0,1)</f>
        <v>1</v>
      </c>
      <c r="S124" s="130" t="e">
        <f aca="false">xSPRDOPT($L124,$J124,$I124,$M124,$O124,$N124,$P124,$Q124-$C$3,$R124,0)</f>
        <v>#NAME?</v>
      </c>
      <c r="T124" s="250" t="e">
        <f aca="false">xSPRDOPT($L124,$J124,$I124,$M124,$O124,$N124,$P124,$Q124-$C$3,$R124,1)*H124</f>
        <v>#NAME?</v>
      </c>
      <c r="U124" s="43" t="e">
        <f aca="false">S124*H124</f>
        <v>#NAME?</v>
      </c>
      <c r="V124" s="250" t="e">
        <f aca="false">xSPRDOPT($L124,$J124,$I124,$M124,$O124,$N124,$P124,$Q124-$C$3,$R124,2)*H124</f>
        <v>#NAME?</v>
      </c>
      <c r="W124" s="250" t="e">
        <f aca="false">+V124+T124</f>
        <v>#NAME?</v>
      </c>
      <c r="X124" s="2" t="str">
        <f aca="false">CONCATENATE(G124,D124)</f>
        <v>36923IF-NNG/VENT</v>
      </c>
      <c r="Y124" s="251" t="n">
        <f aca="false">H124/10000</f>
        <v>-100</v>
      </c>
      <c r="Z124" s="226" t="e">
        <f aca="false">T124/H124</f>
        <v>#NAME?</v>
      </c>
      <c r="AA124" s="226" t="e">
        <f aca="false">xSPRDOPT($L124,$J124,$I124,$M124,$O124,$N124,$P124,$Q124-$C$3,$R124,3)</f>
        <v>#NAME?</v>
      </c>
      <c r="AB124" s="226" t="e">
        <f aca="false">((xSPRDOPT($L124+AB$5,$J124,$I124,$M124,$O124,$N124,$P124,$Q124-$C$3,$R124,3)*$H124)/10000)/100</f>
        <v>#NAME?</v>
      </c>
      <c r="AC124" s="226" t="e">
        <f aca="false">((xSPRDOPT($L124+$AB$5,$J124,$I124,$M124,$O124,$N124,$P124,$Q124-$C$3,$R124,7)*$H124)/100)</f>
        <v>#NAME?</v>
      </c>
      <c r="AD124" s="226" t="e">
        <f aca="false">(xSPRDOPT($L124+$AB$5,$J124,$I124,$M124,$O124,$N124,$P124,$Q124-$C$3,$R124,9)/365)*$H124</f>
        <v>#NAME?</v>
      </c>
      <c r="AE124" s="0" t="e">
        <f aca="false">CD124</f>
        <v>#NAME?</v>
      </c>
      <c r="AF124" s="226" t="e">
        <f aca="false">((O124/N124)*AH124)+AG124</f>
        <v>#NAME?</v>
      </c>
      <c r="AG124" s="226" t="e">
        <f aca="false">((xSPRDOPT($L124,$J124,$I124,$M124,$O124,$N124,$P124,$Q124-$C$3,$R124,6)*$H124)/100)</f>
        <v>#NAME?</v>
      </c>
      <c r="AH124" s="226" t="e">
        <f aca="false">((xSPRDOPT($L124,$J124,$I124,$M124,$O124,$N124,$P124,$Q124-$C$3,$R124,5)*$H124)/100)</f>
        <v>#NAME?</v>
      </c>
      <c r="AI124" s="226" t="e">
        <f aca="false">(((xSPRDOPT($L124,$J124,$I124,$M124,$O124,$N124,$P124,$Q124-$C$3,$R124,4)*$H124)/10000)/100)-AB124</f>
        <v>#NAME?</v>
      </c>
      <c r="AJ124" s="226"/>
      <c r="AK124" s="226"/>
      <c r="AL124" s="226"/>
      <c r="AM124" s="252"/>
      <c r="AN124" s="208" t="n">
        <f aca="false">EOMONTH(AN123,0)+1</f>
        <v>40299</v>
      </c>
      <c r="AO124" s="134" t="n">
        <f aca="false">SUMIF($X:$X,CONCATENATE($AN124,AO$6),$T:$T)/10000</f>
        <v>0</v>
      </c>
      <c r="AP124" s="134" t="n">
        <f aca="false">SUMIF($X:$X,CONCATENATE($AN124,AP$6),$T:$T)/10000</f>
        <v>0</v>
      </c>
      <c r="AQ124" s="134" t="n">
        <f aca="false">SUMIF($X:$X,CONCATENATE($AN124,AQ$6),$T:$T)/10000</f>
        <v>0</v>
      </c>
      <c r="AR124" s="134" t="n">
        <f aca="false">SUMIF($X:$X,CONCATENATE($AN124,AR$6),$T:$T)/10000</f>
        <v>0</v>
      </c>
      <c r="AS124" s="134" t="n">
        <f aca="false">SUMIF($X:$X,CONCATENATE($AN124,AS$6),$T:$T)/10000</f>
        <v>0</v>
      </c>
      <c r="AT124" s="134" t="n">
        <f aca="false">SUMIF($X:$X,CONCATENATE($AN124,AT$6),$T:$T)/10000</f>
        <v>0</v>
      </c>
      <c r="AU124" s="134" t="n">
        <f aca="false">SUMIF($X:$X,CONCATENATE($AN124,AU$6),$T:$T)/10000</f>
        <v>0</v>
      </c>
      <c r="AV124" s="134" t="n">
        <f aca="false">SUMIF($X:$X,CONCATENATE($AN124,AV$6),$T:$T)/10000</f>
        <v>0</v>
      </c>
      <c r="AW124" s="134" t="n">
        <f aca="false">SUMIF($X:$X,CONCATENATE($AN124,AW$6),$T:$T)/10000</f>
        <v>0</v>
      </c>
      <c r="AX124" s="134" t="n">
        <f aca="false">SUMIF($X:$X,CONCATENATE($AN124,AX$6),$T:$T)/10000</f>
        <v>0</v>
      </c>
      <c r="AY124" s="134" t="n">
        <f aca="false">SUMIF($X:$X,CONCATENATE($AN124,AY$6),$T:$T)/10000</f>
        <v>0</v>
      </c>
      <c r="AZ124" s="134" t="n">
        <f aca="false">SUMIF($X:$X,CONCATENATE($AN124,AZ$6),$T:$T)/10000</f>
        <v>0</v>
      </c>
      <c r="BA124" s="135" t="n">
        <f aca="false">SUMIF($X:$X,CONCATENATE($AN124,BA$6),$T:$T)/10000</f>
        <v>0</v>
      </c>
      <c r="BB124" s="208" t="n">
        <f aca="false">EOMONTH(BB123,0)+1</f>
        <v>40299</v>
      </c>
      <c r="BC124" s="135" t="n">
        <f aca="false">SUM(AO124:BA124)</f>
        <v>0</v>
      </c>
      <c r="BD124" s="2"/>
      <c r="BE124" s="208" t="n">
        <f aca="false">EOMONTH(BE123,0)+1</f>
        <v>40299</v>
      </c>
      <c r="BF124" s="134" t="n">
        <f aca="false">SUMIF($X:$X,CONCATENATE($AN124,BF$6),$W:$W)</f>
        <v>0</v>
      </c>
      <c r="BG124" s="134" t="n">
        <f aca="false">SUMIF($X:$X,CONCATENATE($AN124,BG$6),$W:$W)</f>
        <v>0</v>
      </c>
      <c r="BH124" s="134" t="n">
        <f aca="false">SUMIF($X:$X,CONCATENATE($AN124,BH$6),$W:$W)</f>
        <v>0</v>
      </c>
      <c r="BI124" s="134" t="n">
        <f aca="false">SUMIF($X:$X,CONCATENATE($AN124,BI$6),$W:$W)</f>
        <v>0</v>
      </c>
      <c r="BJ124" s="134" t="n">
        <f aca="false">SUMIF($X:$X,CONCATENATE($AN124,BJ$6),$W:$W)</f>
        <v>0</v>
      </c>
      <c r="BK124" s="134" t="n">
        <f aca="false">SUMIF($X:$X,CONCATENATE($AN124,BK$6),$W:$W)</f>
        <v>0</v>
      </c>
      <c r="BL124" s="134" t="n">
        <f aca="false">SUMIF($X:$X,CONCATENATE($AN124,BL$6),$W:$W)</f>
        <v>0</v>
      </c>
      <c r="BM124" s="134" t="n">
        <f aca="false">SUMIF($X:$X,CONCATENATE($AN124,BM$6),$W:$W)</f>
        <v>0</v>
      </c>
      <c r="BN124" s="134" t="n">
        <f aca="false">SUMIF($X:$X,CONCATENATE($AN124,BN$6),$W:$W)</f>
        <v>0</v>
      </c>
      <c r="BO124" s="134" t="n">
        <f aca="false">SUMIF($X:$X,CONCATENATE($AN124,BO$6),$W:$W)</f>
        <v>0</v>
      </c>
      <c r="BP124" s="134" t="n">
        <f aca="false">SUMIF($X:$X,CONCATENATE($AN124,BP$6),$W:$W)</f>
        <v>0</v>
      </c>
      <c r="BQ124" s="134" t="n">
        <f aca="false">SUMIF($X:$X,CONCATENATE($AN124,BQ$6),$W:$W)</f>
        <v>0</v>
      </c>
      <c r="BR124" s="135" t="n">
        <f aca="false">SUMIF($X:$X,CONCATENATE($AN124,BR$6),$W:$W)</f>
        <v>0</v>
      </c>
      <c r="BS124" s="208" t="n">
        <f aca="false">EOMONTH(BS123,0)+1</f>
        <v>40299</v>
      </c>
      <c r="BT124" s="135" t="n">
        <f aca="false">SUM(BF124:BR124)</f>
        <v>0</v>
      </c>
      <c r="BU124" s="2"/>
      <c r="BV124" s="2"/>
      <c r="BW124" s="2"/>
      <c r="BX124" s="2"/>
      <c r="BY124" s="2"/>
      <c r="BZ124" s="2"/>
      <c r="CA124" s="2"/>
      <c r="CB124" s="2"/>
      <c r="CC124" s="182" t="n">
        <f aca="false">G124</f>
        <v>36923</v>
      </c>
      <c r="CD124" s="253" t="e">
        <f aca="false">xSPRDOPT((VLOOKUP(G124,NGPrices,2,FALSE())+HLOOKUP(D124,Prices,VLOOKUP(G124,move_down,2,FALSE()),FALSE())),VLOOKUP(G124,NGPrices,2,FALSE()),I124,VLOOKUP(G124,NGPREVPRICES,4,FALSE()),HLOOKUP(D124,PREVVOLS,VLOOKUP(G124,MOVE_DOWN2,2,FALSE()),FALSE()),VLOOKUP(G124,NGPREVPRICES,3,FALSE()),HLOOKUP(D124,Correllate,VLOOKUP(G124,CorMove,2,FALSE()),FALSE()),Q124-$CD$3,R124,$CD$5)*H124-CJ124</f>
        <v>#NAME?</v>
      </c>
      <c r="CE124" s="253" t="e">
        <f aca="false">xSPRDOPT((VLOOKUP(G124,NGPREVPRICES,2,FALSE())+HLOOKUP(D124,PREVCURVES,VLOOKUP(G124,MOVE_DOWN2,2,FALSE()),FALSE())),VLOOKUP(G124,NGPREVPRICES,2,FALSE()),CK124,VLOOKUP(G124,NGPrices,4,FALSE()),HLOOKUP(D124,PREVVOLS,VLOOKUP(G124,MOVE_DOWN2,2,FALSE()),FALSE()),VLOOKUP(G124,NGPREVPRICES,3,FALSE()),HLOOKUP(D124,Correllate,VLOOKUP(G124,CorMove,2,FALSE()),FALSE()),Q124-$CD$3,R124,$CJ$5)*H124-CJ124</f>
        <v>#NAME?</v>
      </c>
      <c r="CF124" s="132" t="e">
        <f aca="false">(CJ124/VLOOKUP(CC124,discount,3,FALSE()))-(CJ124/VLOOKUP(CC124,discount,2,FALSE()))</f>
        <v>#NAME?</v>
      </c>
      <c r="CG124" s="253" t="e">
        <f aca="false">xSPRDOPT((VLOOKUP(G124,NGPREVPRICES,2,FALSE())+HLOOKUP(D124,PREVCURVES,VLOOKUP(G124,MOVE_DOWN2,2,FALSE()),FALSE())),VLOOKUP(G124,NGPREVPRICES,2,FALSE()),CK124,VLOOKUP(G124,NGPREVPRICES,4,FALSE()),HLOOKUP(D124,VOLS,VLOOKUP(G124,move_down,2,FALSE()),FALSE()),VLOOKUP(G124,NGPrices,3,FALSE()),HLOOKUP(D124,Correllate,VLOOKUP(G124,CorMove,2,FALSE()),FALSE()),Q124-$CD$3,R124,$CJ$5)*H124-CJ124</f>
        <v>#NAME?</v>
      </c>
      <c r="CH124" s="253" t="e">
        <f aca="false">xSPRDOPT((VLOOKUP(G124,NGPREVPRICES,2,FALSE())+HLOOKUP(D124,PREVCURVES,VLOOKUP(G124,MOVE_DOWN2,2,FALSE()),FALSE())),VLOOKUP(G124,NGPREVPRICES,2,FALSE()),CK124,VLOOKUP(G124,NGPREVPRICES,4,FALSE()),HLOOKUP(D124,PREVVOLS,VLOOKUP(G124,MOVE_DOWN2,2,FALSE()),FALSE()),VLOOKUP(G124,NGPREVPRICES,3,FALSE()),HLOOKUP(D124,Correllate,VLOOKUP(G124,CorMove,2,FALSE()),FALSE()),Q124-$C$3,R124,$CJ$5)*H124-CJ124</f>
        <v>#NAME?</v>
      </c>
      <c r="CI124" s="253" t="e">
        <f aca="false">SUM(CD124:CH124)</f>
        <v>#NAME?</v>
      </c>
      <c r="CJ124" s="253" t="e">
        <f aca="false">xSPRDOPT((VLOOKUP(G124,NGPREVPRICES,2,FALSE())+HLOOKUP(D124,PREVCURVES,VLOOKUP(G124,MOVE_DOWN2,2,FALSE()),FALSE())),VLOOKUP(G124,NGPREVPRICES,2,FALSE()),CK124,VLOOKUP(G124,NGPREVPRICES,4,FALSE()),HLOOKUP(D124,PREVVOLS,VLOOKUP(G124,MOVE_DOWN2,2,FALSE()),FALSE()),VLOOKUP(G124,NGPREVPRICES,3,FALSE()),HLOOKUP(D124,Correllate,VLOOKUP(G124,CorMove,2,FALSE()),FALSE()),Q124-$CD$3,R124,$CJ$5)*H124</f>
        <v>#NAME?</v>
      </c>
      <c r="CK124" s="254" t="n">
        <f aca="false">I124</f>
        <v>0</v>
      </c>
      <c r="CL124" s="253"/>
      <c r="CM124" s="0" t="str">
        <f aca="false">CONCATENATE(CC124,$CD$6)</f>
        <v>36923Curve Shift/Gamma</v>
      </c>
      <c r="CN124" s="0" t="str">
        <f aca="false">CONCATENATE($CC124,$CE$6)</f>
        <v>36923Rho</v>
      </c>
      <c r="CO124" s="0" t="str">
        <f aca="false">CONCATENATE($CC124,$CF$6)</f>
        <v>36923Drift</v>
      </c>
      <c r="CP124" s="0" t="str">
        <f aca="false">CONCATENATE($CC124,$CG$6)</f>
        <v>36923Vega</v>
      </c>
      <c r="CQ124" s="0" t="str">
        <f aca="false">CONCATENATE($CC124,$CH$6)</f>
        <v>36923Theta</v>
      </c>
    </row>
    <row r="125" customFormat="false" ht="12" hidden="false" customHeight="true" outlineLevel="0" collapsed="false">
      <c r="A125" s="265" t="s">
        <v>198</v>
      </c>
      <c r="B125" s="0" t="s">
        <v>192</v>
      </c>
      <c r="C125" s="0" t="s">
        <v>248</v>
      </c>
      <c r="D125" s="7" t="s">
        <v>153</v>
      </c>
      <c r="E125" s="0" t="s">
        <v>131</v>
      </c>
      <c r="F125" s="0" t="s">
        <v>136</v>
      </c>
      <c r="G125" s="92" t="n">
        <v>36892</v>
      </c>
      <c r="H125" s="248" t="n">
        <v>-1000000</v>
      </c>
      <c r="I125" s="0" t="n">
        <v>0</v>
      </c>
      <c r="J125" s="124" t="n">
        <f aca="false">VLOOKUP(G125,NGPrices,2,FALSE())</f>
        <v>4.744</v>
      </c>
      <c r="K125" s="125" t="n">
        <f aca="false">HLOOKUP(D125,Prices,VLOOKUP(G125,move_down,2,FALSE()),FALSE())+VLOOKUP(G125,CHANGE,HLOOKUP(D125,CHANGE,2,FALSE()),FALSE())</f>
        <v>0.03</v>
      </c>
      <c r="L125" s="124" t="n">
        <f aca="false">K125+J125</f>
        <v>4.774</v>
      </c>
      <c r="M125" s="126" t="n">
        <f aca="false">VLOOKUP(G125,NGPrices,4,FALSE())</f>
        <v>0.068374831148491</v>
      </c>
      <c r="N125" s="7" t="n">
        <f aca="false">VLOOKUP(G125,NGPrices,3,FALSE())</f>
        <v>0.605</v>
      </c>
      <c r="O125" s="7" t="n">
        <f aca="false">HLOOKUP(D125,VOLS,VLOOKUP(G125,move_down,2,FALSE()),FALSE())</f>
        <v>0.635</v>
      </c>
      <c r="P125" s="249" t="n">
        <f aca="false">HLOOKUP(D125,Correllate,VLOOKUP(G125,CorMove,2,FALSE()),FALSE())</f>
        <v>0.9975</v>
      </c>
      <c r="Q125" s="92" t="n">
        <f aca="false">WORKDAY(G125,-2)</f>
        <v>36888</v>
      </c>
      <c r="R125" s="7" t="n">
        <f aca="false">IF(F125="P",0,1)</f>
        <v>1</v>
      </c>
      <c r="S125" s="130" t="e">
        <f aca="false">xSPRDOPT($L125,$J125,$I125,$M125,$O125,$N125,$P125,$Q125-$C$3,$R125,0)</f>
        <v>#NAME?</v>
      </c>
      <c r="T125" s="250" t="e">
        <f aca="false">xSPRDOPT($L125,$J125,$I125,$M125,$O125,$N125,$P125,$Q125-$C$3,$R125,1)*H125</f>
        <v>#NAME?</v>
      </c>
      <c r="U125" s="43" t="e">
        <f aca="false">S125*H125</f>
        <v>#NAME?</v>
      </c>
      <c r="V125" s="250" t="e">
        <f aca="false">xSPRDOPT($L125,$J125,$I125,$M125,$O125,$N125,$P125,$Q125-$C$3,$R125,2)*H125</f>
        <v>#NAME?</v>
      </c>
      <c r="W125" s="250" t="e">
        <f aca="false">+V125+T125</f>
        <v>#NAME?</v>
      </c>
      <c r="X125" s="2" t="str">
        <f aca="false">CONCATENATE(G125,D125)</f>
        <v>36892IF-NNG/VENT</v>
      </c>
      <c r="Y125" s="251" t="n">
        <f aca="false">H125/10000</f>
        <v>-100</v>
      </c>
      <c r="Z125" s="226" t="e">
        <f aca="false">T125/H125</f>
        <v>#NAME?</v>
      </c>
      <c r="AA125" s="226" t="e">
        <f aca="false">xSPRDOPT($L125,$J125,$I125,$M125,$O125,$N125,$P125,$Q125-$C$3,$R125,3)</f>
        <v>#NAME?</v>
      </c>
      <c r="AB125" s="226" t="e">
        <f aca="false">((xSPRDOPT($L125+AB$5,$J125,$I125,$M125,$O125,$N125,$P125,$Q125-$C$3,$R125,3)*$H125)/10000)/100</f>
        <v>#NAME?</v>
      </c>
      <c r="AC125" s="226" t="e">
        <f aca="false">((xSPRDOPT($L125+$AB$5,$J125,$I125,$M125,$O125,$N125,$P125,$Q125-$C$3,$R125,7)*$H125)/100)</f>
        <v>#NAME?</v>
      </c>
      <c r="AD125" s="226" t="e">
        <f aca="false">(xSPRDOPT($L125+$AB$5,$J125,$I125,$M125,$O125,$N125,$P125,$Q125-$C$3,$R125,9)/365)*$H125</f>
        <v>#NAME?</v>
      </c>
      <c r="AE125" s="0" t="e">
        <f aca="false">CD125</f>
        <v>#NAME?</v>
      </c>
      <c r="AF125" s="226" t="e">
        <f aca="false">((O125/N125)*AH125)+AG125</f>
        <v>#NAME?</v>
      </c>
      <c r="AG125" s="226" t="e">
        <f aca="false">((xSPRDOPT($L125,$J125,$I125,$M125,$O125,$N125,$P125,$Q125-$C$3,$R125,6)*$H125)/100)</f>
        <v>#NAME?</v>
      </c>
      <c r="AH125" s="226" t="e">
        <f aca="false">((xSPRDOPT($L125,$J125,$I125,$M125,$O125,$N125,$P125,$Q125-$C$3,$R125,5)*$H125)/100)</f>
        <v>#NAME?</v>
      </c>
      <c r="AI125" s="226" t="e">
        <f aca="false">(((xSPRDOPT($L125,$J125,$I125,$M125,$O125,$N125,$P125,$Q125-$C$3,$R125,4)*$H125)/10000)/100)-AB125</f>
        <v>#NAME?</v>
      </c>
      <c r="AJ125" s="226"/>
      <c r="AK125" s="226"/>
      <c r="AL125" s="226"/>
      <c r="AM125" s="252"/>
      <c r="AN125" s="208" t="n">
        <f aca="false">EOMONTH(AN124,0)+1</f>
        <v>40330</v>
      </c>
      <c r="AO125" s="134" t="n">
        <f aca="false">SUMIF($X:$X,CONCATENATE($AN125,AO$6),$T:$T)/10000</f>
        <v>0</v>
      </c>
      <c r="AP125" s="134" t="n">
        <f aca="false">SUMIF($X:$X,CONCATENATE($AN125,AP$6),$T:$T)/10000</f>
        <v>0</v>
      </c>
      <c r="AQ125" s="134" t="n">
        <f aca="false">SUMIF($X:$X,CONCATENATE($AN125,AQ$6),$T:$T)/10000</f>
        <v>0</v>
      </c>
      <c r="AR125" s="134" t="n">
        <f aca="false">SUMIF($X:$X,CONCATENATE($AN125,AR$6),$T:$T)/10000</f>
        <v>0</v>
      </c>
      <c r="AS125" s="134" t="n">
        <f aca="false">SUMIF($X:$X,CONCATENATE($AN125,AS$6),$T:$T)/10000</f>
        <v>0</v>
      </c>
      <c r="AT125" s="134" t="n">
        <f aca="false">SUMIF($X:$X,CONCATENATE($AN125,AT$6),$T:$T)/10000</f>
        <v>0</v>
      </c>
      <c r="AU125" s="134" t="n">
        <f aca="false">SUMIF($X:$X,CONCATENATE($AN125,AU$6),$T:$T)/10000</f>
        <v>0</v>
      </c>
      <c r="AV125" s="134" t="n">
        <f aca="false">SUMIF($X:$X,CONCATENATE($AN125,AV$6),$T:$T)/10000</f>
        <v>0</v>
      </c>
      <c r="AW125" s="134" t="n">
        <f aca="false">SUMIF($X:$X,CONCATENATE($AN125,AW$6),$T:$T)/10000</f>
        <v>0</v>
      </c>
      <c r="AX125" s="134" t="n">
        <f aca="false">SUMIF($X:$X,CONCATENATE($AN125,AX$6),$T:$T)/10000</f>
        <v>0</v>
      </c>
      <c r="AY125" s="134" t="n">
        <f aca="false">SUMIF($X:$X,CONCATENATE($AN125,AY$6),$T:$T)/10000</f>
        <v>0</v>
      </c>
      <c r="AZ125" s="134" t="n">
        <f aca="false">SUMIF($X:$X,CONCATENATE($AN125,AZ$6),$T:$T)/10000</f>
        <v>0</v>
      </c>
      <c r="BA125" s="135" t="n">
        <f aca="false">SUMIF($X:$X,CONCATENATE($AN125,BA$6),$T:$T)/10000</f>
        <v>0</v>
      </c>
      <c r="BB125" s="208" t="n">
        <f aca="false">EOMONTH(BB124,0)+1</f>
        <v>40330</v>
      </c>
      <c r="BC125" s="135" t="n">
        <f aca="false">SUM(AO125:BA125)</f>
        <v>0</v>
      </c>
      <c r="BD125" s="2"/>
      <c r="BE125" s="208" t="n">
        <f aca="false">EOMONTH(BE124,0)+1</f>
        <v>40330</v>
      </c>
      <c r="BF125" s="134" t="n">
        <f aca="false">SUMIF($X:$X,CONCATENATE($AN125,BF$6),$W:$W)</f>
        <v>0</v>
      </c>
      <c r="BG125" s="134" t="n">
        <f aca="false">SUMIF($X:$X,CONCATENATE($AN125,BG$6),$W:$W)</f>
        <v>0</v>
      </c>
      <c r="BH125" s="134" t="n">
        <f aca="false">SUMIF($X:$X,CONCATENATE($AN125,BH$6),$W:$W)</f>
        <v>0</v>
      </c>
      <c r="BI125" s="134" t="n">
        <f aca="false">SUMIF($X:$X,CONCATENATE($AN125,BI$6),$W:$W)</f>
        <v>0</v>
      </c>
      <c r="BJ125" s="134" t="n">
        <f aca="false">SUMIF($X:$X,CONCATENATE($AN125,BJ$6),$W:$W)</f>
        <v>0</v>
      </c>
      <c r="BK125" s="134" t="n">
        <f aca="false">SUMIF($X:$X,CONCATENATE($AN125,BK$6),$W:$W)</f>
        <v>0</v>
      </c>
      <c r="BL125" s="134" t="n">
        <f aca="false">SUMIF($X:$X,CONCATENATE($AN125,BL$6),$W:$W)</f>
        <v>0</v>
      </c>
      <c r="BM125" s="134" t="n">
        <f aca="false">SUMIF($X:$X,CONCATENATE($AN125,BM$6),$W:$W)</f>
        <v>0</v>
      </c>
      <c r="BN125" s="134" t="n">
        <f aca="false">SUMIF($X:$X,CONCATENATE($AN125,BN$6),$W:$W)</f>
        <v>0</v>
      </c>
      <c r="BO125" s="134" t="n">
        <f aca="false">SUMIF($X:$X,CONCATENATE($AN125,BO$6),$W:$W)</f>
        <v>0</v>
      </c>
      <c r="BP125" s="134" t="n">
        <f aca="false">SUMIF($X:$X,CONCATENATE($AN125,BP$6),$W:$W)</f>
        <v>0</v>
      </c>
      <c r="BQ125" s="134" t="n">
        <f aca="false">SUMIF($X:$X,CONCATENATE($AN125,BQ$6),$W:$W)</f>
        <v>0</v>
      </c>
      <c r="BR125" s="135" t="n">
        <f aca="false">SUMIF($X:$X,CONCATENATE($AN125,BR$6),$W:$W)</f>
        <v>0</v>
      </c>
      <c r="BS125" s="208" t="n">
        <f aca="false">EOMONTH(BS124,0)+1</f>
        <v>40330</v>
      </c>
      <c r="BT125" s="135" t="n">
        <f aca="false">SUM(BF125:BR125)</f>
        <v>0</v>
      </c>
      <c r="BU125" s="2"/>
      <c r="BV125" s="2"/>
      <c r="BW125" s="2"/>
      <c r="BX125" s="2"/>
      <c r="BY125" s="2"/>
      <c r="BZ125" s="2"/>
      <c r="CA125" s="2"/>
      <c r="CB125" s="2"/>
      <c r="CC125" s="182" t="n">
        <f aca="false">G125</f>
        <v>36892</v>
      </c>
      <c r="CD125" s="253" t="e">
        <f aca="false">xSPRDOPT((VLOOKUP(G125,NGPrices,2,FALSE())+HLOOKUP(D125,Prices,VLOOKUP(G125,move_down,2,FALSE()),FALSE())),VLOOKUP(G125,NGPrices,2,FALSE()),I125,VLOOKUP(G125,NGPREVPRICES,4,FALSE()),HLOOKUP(D125,PREVVOLS,VLOOKUP(G125,MOVE_DOWN2,2,FALSE()),FALSE()),VLOOKUP(G125,NGPREVPRICES,3,FALSE()),HLOOKUP(D125,Correllate,VLOOKUP(G125,CorMove,2,FALSE()),FALSE()),Q125-$CD$3,R125,$CD$5)*H125-CJ125</f>
        <v>#NAME?</v>
      </c>
      <c r="CE125" s="253" t="e">
        <f aca="false">xSPRDOPT((VLOOKUP(G125,NGPREVPRICES,2,FALSE())+HLOOKUP(D125,PREVCURVES,VLOOKUP(G125,MOVE_DOWN2,2,FALSE()),FALSE())),VLOOKUP(G125,NGPREVPRICES,2,FALSE()),CK125,VLOOKUP(G125,NGPrices,4,FALSE()),HLOOKUP(D125,PREVVOLS,VLOOKUP(G125,MOVE_DOWN2,2,FALSE()),FALSE()),VLOOKUP(G125,NGPREVPRICES,3,FALSE()),HLOOKUP(D125,Correllate,VLOOKUP(G125,CorMove,2,FALSE()),FALSE()),Q125-$CD$3,R125,$CJ$5)*H125-CJ125</f>
        <v>#NAME?</v>
      </c>
      <c r="CF125" s="132" t="e">
        <f aca="false">(CJ125/VLOOKUP(CC125,discount,3,FALSE()))-(CJ125/VLOOKUP(CC125,discount,2,FALSE()))</f>
        <v>#NAME?</v>
      </c>
      <c r="CG125" s="253" t="e">
        <f aca="false">xSPRDOPT((VLOOKUP(G125,NGPREVPRICES,2,FALSE())+HLOOKUP(D125,PREVCURVES,VLOOKUP(G125,MOVE_DOWN2,2,FALSE()),FALSE())),VLOOKUP(G125,NGPREVPRICES,2,FALSE()),CK125,VLOOKUP(G125,NGPREVPRICES,4,FALSE()),HLOOKUP(D125,VOLS,VLOOKUP(G125,move_down,2,FALSE()),FALSE()),VLOOKUP(G125,NGPrices,3,FALSE()),HLOOKUP(D125,Correllate,VLOOKUP(G125,CorMove,2,FALSE()),FALSE()),Q125-$CD$3,R125,$CJ$5)*H125-CJ125</f>
        <v>#NAME?</v>
      </c>
      <c r="CH125" s="253" t="e">
        <f aca="false">xSPRDOPT((VLOOKUP(G125,NGPREVPRICES,2,FALSE())+HLOOKUP(D125,PREVCURVES,VLOOKUP(G125,MOVE_DOWN2,2,FALSE()),FALSE())),VLOOKUP(G125,NGPREVPRICES,2,FALSE()),CK125,VLOOKUP(G125,NGPREVPRICES,4,FALSE()),HLOOKUP(D125,PREVVOLS,VLOOKUP(G125,MOVE_DOWN2,2,FALSE()),FALSE()),VLOOKUP(G125,NGPREVPRICES,3,FALSE()),HLOOKUP(D125,Correllate,VLOOKUP(G125,CorMove,2,FALSE()),FALSE()),Q125-$C$3,R125,$CJ$5)*H125-CJ125</f>
        <v>#NAME?</v>
      </c>
      <c r="CI125" s="253" t="e">
        <f aca="false">SUM(CD125:CH125)</f>
        <v>#NAME?</v>
      </c>
      <c r="CJ125" s="253" t="e">
        <f aca="false">xSPRDOPT((VLOOKUP(G125,NGPREVPRICES,2,FALSE())+HLOOKUP(D125,PREVCURVES,VLOOKUP(G125,MOVE_DOWN2,2,FALSE()),FALSE())),VLOOKUP(G125,NGPREVPRICES,2,FALSE()),CK125,VLOOKUP(G125,NGPREVPRICES,4,FALSE()),HLOOKUP(D125,PREVVOLS,VLOOKUP(G125,MOVE_DOWN2,2,FALSE()),FALSE()),VLOOKUP(G125,NGPREVPRICES,3,FALSE()),HLOOKUP(D125,Correllate,VLOOKUP(G125,CorMove,2,FALSE()),FALSE()),Q125-$CD$3,R125,$CJ$5)*H125</f>
        <v>#NAME?</v>
      </c>
      <c r="CK125" s="254" t="n">
        <f aca="false">I125</f>
        <v>0</v>
      </c>
      <c r="CL125" s="253"/>
      <c r="CM125" s="0" t="str">
        <f aca="false">CONCATENATE(CC125,$CD$6)</f>
        <v>36892Curve Shift/Gamma</v>
      </c>
      <c r="CN125" s="0" t="str">
        <f aca="false">CONCATENATE($CC125,$CE$6)</f>
        <v>36892Rho</v>
      </c>
      <c r="CO125" s="0" t="str">
        <f aca="false">CONCATENATE($CC125,$CF$6)</f>
        <v>36892Drift</v>
      </c>
      <c r="CP125" s="0" t="str">
        <f aca="false">CONCATENATE($CC125,$CG$6)</f>
        <v>36892Vega</v>
      </c>
      <c r="CQ125" s="0" t="str">
        <f aca="false">CONCATENATE($CC125,$CH$6)</f>
        <v>36892Theta</v>
      </c>
    </row>
    <row r="126" customFormat="false" ht="12" hidden="false" customHeight="true" outlineLevel="0" collapsed="false">
      <c r="A126" s="265" t="s">
        <v>198</v>
      </c>
      <c r="B126" s="0" t="s">
        <v>192</v>
      </c>
      <c r="C126" s="0" t="s">
        <v>248</v>
      </c>
      <c r="D126" s="7" t="s">
        <v>153</v>
      </c>
      <c r="E126" s="0" t="s">
        <v>131</v>
      </c>
      <c r="F126" s="0" t="s">
        <v>136</v>
      </c>
      <c r="G126" s="92" t="n">
        <v>36861</v>
      </c>
      <c r="H126" s="248" t="n">
        <v>-1000000</v>
      </c>
      <c r="I126" s="0" t="n">
        <v>0</v>
      </c>
      <c r="J126" s="124" t="n">
        <f aca="false">VLOOKUP(G126,NGPrices,2,FALSE())</f>
        <v>4.8</v>
      </c>
      <c r="K126" s="125" t="n">
        <f aca="false">HLOOKUP(D126,Prices,VLOOKUP(G126,move_down,2,FALSE()),FALSE())+VLOOKUP(G126,CHANGE,HLOOKUP(D126,CHANGE,2,FALSE()),FALSE())</f>
        <v>0.0175</v>
      </c>
      <c r="L126" s="124" t="n">
        <f aca="false">K126+J126</f>
        <v>4.8175</v>
      </c>
      <c r="M126" s="126" t="n">
        <f aca="false">VLOOKUP(G126,NGPrices,4,FALSE())</f>
        <v>0.068314027999354</v>
      </c>
      <c r="N126" s="7" t="n">
        <f aca="false">VLOOKUP(G126,NGPrices,3,FALSE())</f>
        <v>0.6</v>
      </c>
      <c r="O126" s="7" t="n">
        <f aca="false">HLOOKUP(D126,VOLS,VLOOKUP(G126,move_down,2,FALSE()),FALSE())</f>
        <v>0.63</v>
      </c>
      <c r="P126" s="249" t="n">
        <f aca="false">HLOOKUP(D126,Correllate,VLOOKUP(G126,CorMove,2,FALSE()),FALSE())</f>
        <v>0.9975</v>
      </c>
      <c r="Q126" s="92" t="n">
        <f aca="false">WORKDAY(G126,-2)</f>
        <v>36859</v>
      </c>
      <c r="R126" s="7" t="n">
        <f aca="false">IF(F126="P",0,1)</f>
        <v>1</v>
      </c>
      <c r="S126" s="130" t="e">
        <f aca="false">xSPRDOPT($L126,$J126,$I126,$M126,$O126,$N126,$P126,$Q126-$C$3,$R126,0)</f>
        <v>#NAME?</v>
      </c>
      <c r="T126" s="250" t="e">
        <f aca="false">xSPRDOPT($L126,$J126,$I126,$M126,$O126,$N126,$P126,$Q126-$C$3,$R126,1)*H126</f>
        <v>#NAME?</v>
      </c>
      <c r="U126" s="43" t="e">
        <f aca="false">S126*H126</f>
        <v>#NAME?</v>
      </c>
      <c r="V126" s="250" t="e">
        <f aca="false">xSPRDOPT($L126,$J126,$I126,$M126,$O126,$N126,$P126,$Q126-$C$3,$R126,2)*H126</f>
        <v>#NAME?</v>
      </c>
      <c r="W126" s="250" t="e">
        <f aca="false">+V126+T126</f>
        <v>#NAME?</v>
      </c>
      <c r="X126" s="2" t="str">
        <f aca="false">CONCATENATE(G126,D126)</f>
        <v>36861IF-NNG/VENT</v>
      </c>
      <c r="Y126" s="251" t="n">
        <f aca="false">H126/10000</f>
        <v>-100</v>
      </c>
      <c r="Z126" s="226" t="e">
        <f aca="false">T126/H126</f>
        <v>#NAME?</v>
      </c>
      <c r="AA126" s="226" t="e">
        <f aca="false">xSPRDOPT($L126,$J126,$I126,$M126,$O126,$N126,$P126,$Q126-$C$3,$R126,3)</f>
        <v>#NAME?</v>
      </c>
      <c r="AB126" s="226" t="e">
        <f aca="false">((xSPRDOPT($L126+AB$5,$J126,$I126,$M126,$O126,$N126,$P126,$Q126-$C$3,$R126,3)*$H126)/10000)/100</f>
        <v>#NAME?</v>
      </c>
      <c r="AC126" s="226" t="e">
        <f aca="false">((xSPRDOPT($L126+$AB$5,$J126,$I126,$M126,$O126,$N126,$P126,$Q126-$C$3,$R126,7)*$H126)/100)</f>
        <v>#NAME?</v>
      </c>
      <c r="AD126" s="226" t="e">
        <f aca="false">(xSPRDOPT($L126+$AB$5,$J126,$I126,$M126,$O126,$N126,$P126,$Q126-$C$3,$R126,9)/365)*$H126</f>
        <v>#NAME?</v>
      </c>
      <c r="AE126" s="0" t="e">
        <f aca="false">CD126</f>
        <v>#NAME?</v>
      </c>
      <c r="AF126" s="226" t="e">
        <f aca="false">((O126/N126)*AH126)+AG126</f>
        <v>#NAME?</v>
      </c>
      <c r="AG126" s="226" t="e">
        <f aca="false">((xSPRDOPT($L126,$J126,$I126,$M126,$O126,$N126,$P126,$Q126-$C$3,$R126,6)*$H126)/100)</f>
        <v>#NAME?</v>
      </c>
      <c r="AH126" s="226" t="e">
        <f aca="false">((xSPRDOPT($L126,$J126,$I126,$M126,$O126,$N126,$P126,$Q126-$C$3,$R126,5)*$H126)/100)</f>
        <v>#NAME?</v>
      </c>
      <c r="AI126" s="226" t="e">
        <f aca="false">(((xSPRDOPT($L126,$J126,$I126,$M126,$O126,$N126,$P126,$Q126-$C$3,$R126,4)*$H126)/10000)/100)-AB126</f>
        <v>#NAME?</v>
      </c>
      <c r="AJ126" s="226"/>
      <c r="AK126" s="226"/>
      <c r="AL126" s="226"/>
      <c r="AM126" s="252"/>
      <c r="AN126" s="208" t="n">
        <f aca="false">EOMONTH(AN125,0)+1</f>
        <v>40360</v>
      </c>
      <c r="AO126" s="134" t="n">
        <f aca="false">SUMIF($X:$X,CONCATENATE($AN126,AO$6),$T:$T)/10000</f>
        <v>0</v>
      </c>
      <c r="AP126" s="134" t="n">
        <f aca="false">SUMIF($X:$X,CONCATENATE($AN126,AP$6),$T:$T)/10000</f>
        <v>0</v>
      </c>
      <c r="AQ126" s="134" t="n">
        <f aca="false">SUMIF($X:$X,CONCATENATE($AN126,AQ$6),$T:$T)/10000</f>
        <v>0</v>
      </c>
      <c r="AR126" s="134" t="n">
        <f aca="false">SUMIF($X:$X,CONCATENATE($AN126,AR$6),$T:$T)/10000</f>
        <v>0</v>
      </c>
      <c r="AS126" s="134" t="n">
        <f aca="false">SUMIF($X:$X,CONCATENATE($AN126,AS$6),$T:$T)/10000</f>
        <v>0</v>
      </c>
      <c r="AT126" s="134" t="n">
        <f aca="false">SUMIF($X:$X,CONCATENATE($AN126,AT$6),$T:$T)/10000</f>
        <v>0</v>
      </c>
      <c r="AU126" s="134" t="n">
        <f aca="false">SUMIF($X:$X,CONCATENATE($AN126,AU$6),$T:$T)/10000</f>
        <v>0</v>
      </c>
      <c r="AV126" s="134" t="n">
        <f aca="false">SUMIF($X:$X,CONCATENATE($AN126,AV$6),$T:$T)/10000</f>
        <v>0</v>
      </c>
      <c r="AW126" s="134" t="n">
        <f aca="false">SUMIF($X:$X,CONCATENATE($AN126,AW$6),$T:$T)/10000</f>
        <v>0</v>
      </c>
      <c r="AX126" s="134" t="n">
        <f aca="false">SUMIF($X:$X,CONCATENATE($AN126,AX$6),$T:$T)/10000</f>
        <v>0</v>
      </c>
      <c r="AY126" s="134" t="n">
        <f aca="false">SUMIF($X:$X,CONCATENATE($AN126,AY$6),$T:$T)/10000</f>
        <v>0</v>
      </c>
      <c r="AZ126" s="134" t="n">
        <f aca="false">SUMIF($X:$X,CONCATENATE($AN126,AZ$6),$T:$T)/10000</f>
        <v>0</v>
      </c>
      <c r="BA126" s="135" t="n">
        <f aca="false">SUMIF($X:$X,CONCATENATE($AN126,BA$6),$T:$T)/10000</f>
        <v>0</v>
      </c>
      <c r="BB126" s="208" t="n">
        <f aca="false">EOMONTH(BB125,0)+1</f>
        <v>40360</v>
      </c>
      <c r="BC126" s="135" t="n">
        <f aca="false">SUM(AO126:BA126)</f>
        <v>0</v>
      </c>
      <c r="BD126" s="2"/>
      <c r="BE126" s="208" t="n">
        <f aca="false">EOMONTH(BE125,0)+1</f>
        <v>40360</v>
      </c>
      <c r="BF126" s="134" t="n">
        <f aca="false">SUMIF($X:$X,CONCATENATE($AN126,BF$6),$W:$W)</f>
        <v>0</v>
      </c>
      <c r="BG126" s="134" t="n">
        <f aca="false">SUMIF($X:$X,CONCATENATE($AN126,BG$6),$W:$W)</f>
        <v>0</v>
      </c>
      <c r="BH126" s="134" t="n">
        <f aca="false">SUMIF($X:$X,CONCATENATE($AN126,BH$6),$W:$W)</f>
        <v>0</v>
      </c>
      <c r="BI126" s="134" t="n">
        <f aca="false">SUMIF($X:$X,CONCATENATE($AN126,BI$6),$W:$W)</f>
        <v>0</v>
      </c>
      <c r="BJ126" s="134" t="n">
        <f aca="false">SUMIF($X:$X,CONCATENATE($AN126,BJ$6),$W:$W)</f>
        <v>0</v>
      </c>
      <c r="BK126" s="134" t="n">
        <f aca="false">SUMIF($X:$X,CONCATENATE($AN126,BK$6),$W:$W)</f>
        <v>0</v>
      </c>
      <c r="BL126" s="134" t="n">
        <f aca="false">SUMIF($X:$X,CONCATENATE($AN126,BL$6),$W:$W)</f>
        <v>0</v>
      </c>
      <c r="BM126" s="134" t="n">
        <f aca="false">SUMIF($X:$X,CONCATENATE($AN126,BM$6),$W:$W)</f>
        <v>0</v>
      </c>
      <c r="BN126" s="134" t="n">
        <f aca="false">SUMIF($X:$X,CONCATENATE($AN126,BN$6),$W:$W)</f>
        <v>0</v>
      </c>
      <c r="BO126" s="134" t="n">
        <f aca="false">SUMIF($X:$X,CONCATENATE($AN126,BO$6),$W:$W)</f>
        <v>0</v>
      </c>
      <c r="BP126" s="134" t="n">
        <f aca="false">SUMIF($X:$X,CONCATENATE($AN126,BP$6),$W:$W)</f>
        <v>0</v>
      </c>
      <c r="BQ126" s="134" t="n">
        <f aca="false">SUMIF($X:$X,CONCATENATE($AN126,BQ$6),$W:$W)</f>
        <v>0</v>
      </c>
      <c r="BR126" s="135" t="n">
        <f aca="false">SUMIF($X:$X,CONCATENATE($AN126,BR$6),$W:$W)</f>
        <v>0</v>
      </c>
      <c r="BS126" s="208" t="n">
        <f aca="false">EOMONTH(BS125,0)+1</f>
        <v>40360</v>
      </c>
      <c r="BT126" s="135" t="n">
        <f aca="false">SUM(BF126:BR126)</f>
        <v>0</v>
      </c>
      <c r="BU126" s="2"/>
      <c r="BV126" s="2"/>
      <c r="BW126" s="2"/>
      <c r="BX126" s="2"/>
      <c r="BY126" s="2"/>
      <c r="BZ126" s="2"/>
      <c r="CA126" s="2"/>
      <c r="CB126" s="2"/>
      <c r="CC126" s="182" t="n">
        <f aca="false">G126</f>
        <v>36861</v>
      </c>
      <c r="CD126" s="253" t="e">
        <f aca="false">xSPRDOPT((VLOOKUP(G126,NGPrices,2,FALSE())+HLOOKUP(D126,Prices,VLOOKUP(G126,move_down,2,FALSE()),FALSE())),VLOOKUP(G126,NGPrices,2,FALSE()),I126,VLOOKUP(G126,NGPREVPRICES,4,FALSE()),HLOOKUP(D126,PREVVOLS,VLOOKUP(G126,MOVE_DOWN2,2,FALSE()),FALSE()),VLOOKUP(G126,NGPREVPRICES,3,FALSE()),HLOOKUP(D126,Correllate,VLOOKUP(G126,CorMove,2,FALSE()),FALSE()),Q126-$CD$3,R126,$CD$5)*H126-CJ126</f>
        <v>#NAME?</v>
      </c>
      <c r="CE126" s="253" t="e">
        <f aca="false">xSPRDOPT((VLOOKUP(G126,NGPREVPRICES,2,FALSE())+HLOOKUP(D126,PREVCURVES,VLOOKUP(G126,MOVE_DOWN2,2,FALSE()),FALSE())),VLOOKUP(G126,NGPREVPRICES,2,FALSE()),CK126,VLOOKUP(G126,NGPrices,4,FALSE()),HLOOKUP(D126,PREVVOLS,VLOOKUP(G126,MOVE_DOWN2,2,FALSE()),FALSE()),VLOOKUP(G126,NGPREVPRICES,3,FALSE()),HLOOKUP(D126,Correllate,VLOOKUP(G126,CorMove,2,FALSE()),FALSE()),Q126-$CD$3,R126,$CJ$5)*H126-CJ126</f>
        <v>#NAME?</v>
      </c>
      <c r="CF126" s="132" t="e">
        <f aca="false">(CJ126/VLOOKUP(CC126,discount,3,FALSE()))-(CJ126/VLOOKUP(CC126,discount,2,FALSE()))</f>
        <v>#NAME?</v>
      </c>
      <c r="CG126" s="253" t="e">
        <f aca="false">xSPRDOPT((VLOOKUP(G126,NGPREVPRICES,2,FALSE())+HLOOKUP(D126,PREVCURVES,VLOOKUP(G126,MOVE_DOWN2,2,FALSE()),FALSE())),VLOOKUP(G126,NGPREVPRICES,2,FALSE()),CK126,VLOOKUP(G126,NGPREVPRICES,4,FALSE()),HLOOKUP(D126,VOLS,VLOOKUP(G126,move_down,2,FALSE()),FALSE()),VLOOKUP(G126,NGPrices,3,FALSE()),HLOOKUP(D126,Correllate,VLOOKUP(G126,CorMove,2,FALSE()),FALSE()),Q126-$CD$3,R126,$CJ$5)*H126-CJ126</f>
        <v>#NAME?</v>
      </c>
      <c r="CH126" s="253" t="e">
        <f aca="false">xSPRDOPT((VLOOKUP(G126,NGPREVPRICES,2,FALSE())+HLOOKUP(D126,PREVCURVES,VLOOKUP(G126,MOVE_DOWN2,2,FALSE()),FALSE())),VLOOKUP(G126,NGPREVPRICES,2,FALSE()),CK126,VLOOKUP(G126,NGPREVPRICES,4,FALSE()),HLOOKUP(D126,PREVVOLS,VLOOKUP(G126,MOVE_DOWN2,2,FALSE()),FALSE()),VLOOKUP(G126,NGPREVPRICES,3,FALSE()),HLOOKUP(D126,Correllate,VLOOKUP(G126,CorMove,2,FALSE()),FALSE()),Q126-$C$3,R126,$CJ$5)*H126-CJ126</f>
        <v>#NAME?</v>
      </c>
      <c r="CI126" s="253" t="e">
        <f aca="false">SUM(CD126:CH126)</f>
        <v>#NAME?</v>
      </c>
      <c r="CJ126" s="253" t="e">
        <f aca="false">xSPRDOPT((VLOOKUP(G126,NGPREVPRICES,2,FALSE())+HLOOKUP(D126,PREVCURVES,VLOOKUP(G126,MOVE_DOWN2,2,FALSE()),FALSE())),VLOOKUP(G126,NGPREVPRICES,2,FALSE()),CK126,VLOOKUP(G126,NGPREVPRICES,4,FALSE()),HLOOKUP(D126,PREVVOLS,VLOOKUP(G126,MOVE_DOWN2,2,FALSE()),FALSE()),VLOOKUP(G126,NGPREVPRICES,3,FALSE()),HLOOKUP(D126,Correllate,VLOOKUP(G126,CorMove,2,FALSE()),FALSE()),Q126-$CD$3,R126,$CJ$5)*H126</f>
        <v>#NAME?</v>
      </c>
      <c r="CK126" s="254" t="n">
        <f aca="false">I126</f>
        <v>0</v>
      </c>
      <c r="CL126" s="253"/>
      <c r="CM126" s="0" t="str">
        <f aca="false">CONCATENATE(CC126,$CD$6)</f>
        <v>36861Curve Shift/Gamma</v>
      </c>
      <c r="CN126" s="0" t="str">
        <f aca="false">CONCATENATE($CC126,$CE$6)</f>
        <v>36861Rho</v>
      </c>
      <c r="CO126" s="0" t="str">
        <f aca="false">CONCATENATE($CC126,$CF$6)</f>
        <v>36861Drift</v>
      </c>
      <c r="CP126" s="0" t="str">
        <f aca="false">CONCATENATE($CC126,$CG$6)</f>
        <v>36861Vega</v>
      </c>
      <c r="CQ126" s="0" t="str">
        <f aca="false">CONCATENATE($CC126,$CH$6)</f>
        <v>36861Theta</v>
      </c>
    </row>
    <row r="127" customFormat="false" ht="12" hidden="false" customHeight="true" outlineLevel="0" collapsed="false">
      <c r="A127" s="265" t="s">
        <v>198</v>
      </c>
      <c r="B127" s="0" t="s">
        <v>192</v>
      </c>
      <c r="C127" s="0" t="s">
        <v>248</v>
      </c>
      <c r="D127" s="7" t="s">
        <v>153</v>
      </c>
      <c r="E127" s="0" t="s">
        <v>131</v>
      </c>
      <c r="F127" s="0" t="s">
        <v>136</v>
      </c>
      <c r="G127" s="92" t="n">
        <v>36831</v>
      </c>
      <c r="H127" s="248" t="n">
        <v>-1000000</v>
      </c>
      <c r="I127" s="0" t="n">
        <v>0</v>
      </c>
      <c r="J127" s="124" t="n">
        <f aca="false">VLOOKUP(G127,NGPrices,2,FALSE())</f>
        <v>4.736</v>
      </c>
      <c r="K127" s="125" t="n">
        <f aca="false">HLOOKUP(D127,Prices,VLOOKUP(G127,move_down,2,FALSE()),FALSE())+VLOOKUP(G127,CHANGE,HLOOKUP(D127,CHANGE,2,FALSE()),FALSE())</f>
        <v>-0.0025</v>
      </c>
      <c r="L127" s="124" t="n">
        <f aca="false">K127+J127</f>
        <v>4.7335</v>
      </c>
      <c r="M127" s="126" t="n">
        <f aca="false">VLOOKUP(G127,NGPrices,4,FALSE())</f>
        <v>0.06810675983792</v>
      </c>
      <c r="N127" s="7" t="n">
        <f aca="false">VLOOKUP(G127,NGPrices,3,FALSE())</f>
        <v>0.595</v>
      </c>
      <c r="O127" s="7" t="n">
        <f aca="false">HLOOKUP(D127,VOLS,VLOOKUP(G127,move_down,2,FALSE()),FALSE())</f>
        <v>0.625</v>
      </c>
      <c r="P127" s="249" t="n">
        <f aca="false">HLOOKUP(D127,Correllate,VLOOKUP(G127,CorMove,2,FALSE()),FALSE())</f>
        <v>0.9975</v>
      </c>
      <c r="Q127" s="92" t="n">
        <f aca="false">WORKDAY(G127,-2)</f>
        <v>36829</v>
      </c>
      <c r="R127" s="7" t="n">
        <f aca="false">IF(F127="P",0,1)</f>
        <v>1</v>
      </c>
      <c r="S127" s="130" t="e">
        <f aca="false">xSPRDOPT($L127,$J127,$I127,$M127,$O127,$N127,$P127,$Q127-$C$3,$R127,0)</f>
        <v>#NAME?</v>
      </c>
      <c r="T127" s="250" t="e">
        <f aca="false">xSPRDOPT($L127,$J127,$I127,$M127,$O127,$N127,$P127,$Q127-$C$3,$R127,1)*H127</f>
        <v>#NAME?</v>
      </c>
      <c r="U127" s="43" t="e">
        <f aca="false">S127*H127</f>
        <v>#NAME?</v>
      </c>
      <c r="V127" s="250" t="e">
        <f aca="false">xSPRDOPT($L127,$J127,$I127,$M127,$O127,$N127,$P127,$Q127-$C$3,$R127,2)*H127</f>
        <v>#NAME?</v>
      </c>
      <c r="W127" s="250" t="e">
        <f aca="false">+V127+T127</f>
        <v>#NAME?</v>
      </c>
      <c r="X127" s="2" t="str">
        <f aca="false">CONCATENATE(G127,D127)</f>
        <v>36831IF-NNG/VENT</v>
      </c>
      <c r="Y127" s="251" t="n">
        <f aca="false">H127/10000</f>
        <v>-100</v>
      </c>
      <c r="Z127" s="226" t="e">
        <f aca="false">T127/H127</f>
        <v>#NAME?</v>
      </c>
      <c r="AA127" s="226" t="e">
        <f aca="false">xSPRDOPT($L127,$J127,$I127,$M127,$O127,$N127,$P127,$Q127-$C$3,$R127,3)</f>
        <v>#NAME?</v>
      </c>
      <c r="AB127" s="226" t="e">
        <f aca="false">((xSPRDOPT($L127+AB$5,$J127,$I127,$M127,$O127,$N127,$P127,$Q127-$C$3,$R127,3)*$H127)/10000)/100</f>
        <v>#NAME?</v>
      </c>
      <c r="AC127" s="226" t="e">
        <f aca="false">((xSPRDOPT($L127+$AB$5,$J127,$I127,$M127,$O127,$N127,$P127,$Q127-$C$3,$R127,7)*$H127)/100)</f>
        <v>#NAME?</v>
      </c>
      <c r="AD127" s="226" t="e">
        <f aca="false">(xSPRDOPT($L127+$AB$5,$J127,$I127,$M127,$O127,$N127,$P127,$Q127-$C$3,$R127,9)/365)*$H127</f>
        <v>#NAME?</v>
      </c>
      <c r="AE127" s="0" t="e">
        <f aca="false">CD127</f>
        <v>#NAME?</v>
      </c>
      <c r="AF127" s="226" t="e">
        <f aca="false">((O127/N127)*AH127)+AG127</f>
        <v>#NAME?</v>
      </c>
      <c r="AG127" s="226" t="e">
        <f aca="false">((xSPRDOPT($L127,$J127,$I127,$M127,$O127,$N127,$P127,$Q127-$C$3,$R127,6)*$H127)/100)</f>
        <v>#NAME?</v>
      </c>
      <c r="AH127" s="226" t="e">
        <f aca="false">((xSPRDOPT($L127,$J127,$I127,$M127,$O127,$N127,$P127,$Q127-$C$3,$R127,5)*$H127)/100)</f>
        <v>#NAME?</v>
      </c>
      <c r="AI127" s="226" t="e">
        <f aca="false">(((xSPRDOPT($L127,$J127,$I127,$M127,$O127,$N127,$P127,$Q127-$C$3,$R127,4)*$H127)/10000)/100)-AB127</f>
        <v>#NAME?</v>
      </c>
      <c r="AJ127" s="226"/>
      <c r="AK127" s="226"/>
      <c r="AL127" s="226"/>
      <c r="AM127" s="252"/>
      <c r="AN127" s="208" t="n">
        <f aca="false">EOMONTH(AN126,0)+1</f>
        <v>40391</v>
      </c>
      <c r="AO127" s="134" t="n">
        <f aca="false">SUMIF($X:$X,CONCATENATE($AN127,AO$6),$T:$T)/10000</f>
        <v>0</v>
      </c>
      <c r="AP127" s="134" t="n">
        <f aca="false">SUMIF($X:$X,CONCATENATE($AN127,AP$6),$T:$T)/10000</f>
        <v>0</v>
      </c>
      <c r="AQ127" s="134" t="n">
        <f aca="false">SUMIF($X:$X,CONCATENATE($AN127,AQ$6),$T:$T)/10000</f>
        <v>0</v>
      </c>
      <c r="AR127" s="134" t="n">
        <f aca="false">SUMIF($X:$X,CONCATENATE($AN127,AR$6),$T:$T)/10000</f>
        <v>0</v>
      </c>
      <c r="AS127" s="134" t="n">
        <f aca="false">SUMIF($X:$X,CONCATENATE($AN127,AS$6),$T:$T)/10000</f>
        <v>0</v>
      </c>
      <c r="AT127" s="134" t="n">
        <f aca="false">SUMIF($X:$X,CONCATENATE($AN127,AT$6),$T:$T)/10000</f>
        <v>0</v>
      </c>
      <c r="AU127" s="134" t="n">
        <f aca="false">SUMIF($X:$X,CONCATENATE($AN127,AU$6),$T:$T)/10000</f>
        <v>0</v>
      </c>
      <c r="AV127" s="134" t="n">
        <f aca="false">SUMIF($X:$X,CONCATENATE($AN127,AV$6),$T:$T)/10000</f>
        <v>0</v>
      </c>
      <c r="AW127" s="134" t="n">
        <f aca="false">SUMIF($X:$X,CONCATENATE($AN127,AW$6),$T:$T)/10000</f>
        <v>0</v>
      </c>
      <c r="AX127" s="134" t="n">
        <f aca="false">SUMIF($X:$X,CONCATENATE($AN127,AX$6),$T:$T)/10000</f>
        <v>0</v>
      </c>
      <c r="AY127" s="134" t="n">
        <f aca="false">SUMIF($X:$X,CONCATENATE($AN127,AY$6),$T:$T)/10000</f>
        <v>0</v>
      </c>
      <c r="AZ127" s="134" t="n">
        <f aca="false">SUMIF($X:$X,CONCATENATE($AN127,AZ$6),$T:$T)/10000</f>
        <v>0</v>
      </c>
      <c r="BA127" s="135" t="n">
        <f aca="false">SUMIF($X:$X,CONCATENATE($AN127,BA$6),$T:$T)/10000</f>
        <v>0</v>
      </c>
      <c r="BB127" s="208" t="n">
        <f aca="false">EOMONTH(BB126,0)+1</f>
        <v>40391</v>
      </c>
      <c r="BC127" s="135" t="n">
        <f aca="false">SUM(AO127:BA127)</f>
        <v>0</v>
      </c>
      <c r="BD127" s="2"/>
      <c r="BE127" s="208" t="n">
        <f aca="false">EOMONTH(BE126,0)+1</f>
        <v>40391</v>
      </c>
      <c r="BF127" s="134" t="n">
        <f aca="false">SUMIF($X:$X,CONCATENATE($AN127,BF$6),$W:$W)</f>
        <v>0</v>
      </c>
      <c r="BG127" s="134" t="n">
        <f aca="false">SUMIF($X:$X,CONCATENATE($AN127,BG$6),$W:$W)</f>
        <v>0</v>
      </c>
      <c r="BH127" s="134" t="n">
        <f aca="false">SUMIF($X:$X,CONCATENATE($AN127,BH$6),$W:$W)</f>
        <v>0</v>
      </c>
      <c r="BI127" s="134" t="n">
        <f aca="false">SUMIF($X:$X,CONCATENATE($AN127,BI$6),$W:$W)</f>
        <v>0</v>
      </c>
      <c r="BJ127" s="134" t="n">
        <f aca="false">SUMIF($X:$X,CONCATENATE($AN127,BJ$6),$W:$W)</f>
        <v>0</v>
      </c>
      <c r="BK127" s="134" t="n">
        <f aca="false">SUMIF($X:$X,CONCATENATE($AN127,BK$6),$W:$W)</f>
        <v>0</v>
      </c>
      <c r="BL127" s="134" t="n">
        <f aca="false">SUMIF($X:$X,CONCATENATE($AN127,BL$6),$W:$W)</f>
        <v>0</v>
      </c>
      <c r="BM127" s="134" t="n">
        <f aca="false">SUMIF($X:$X,CONCATENATE($AN127,BM$6),$W:$W)</f>
        <v>0</v>
      </c>
      <c r="BN127" s="134" t="n">
        <f aca="false">SUMIF($X:$X,CONCATENATE($AN127,BN$6),$W:$W)</f>
        <v>0</v>
      </c>
      <c r="BO127" s="134" t="n">
        <f aca="false">SUMIF($X:$X,CONCATENATE($AN127,BO$6),$W:$W)</f>
        <v>0</v>
      </c>
      <c r="BP127" s="134" t="n">
        <f aca="false">SUMIF($X:$X,CONCATENATE($AN127,BP$6),$W:$W)</f>
        <v>0</v>
      </c>
      <c r="BQ127" s="134" t="n">
        <f aca="false">SUMIF($X:$X,CONCATENATE($AN127,BQ$6),$W:$W)</f>
        <v>0</v>
      </c>
      <c r="BR127" s="135" t="n">
        <f aca="false">SUMIF($X:$X,CONCATENATE($AN127,BR$6),$W:$W)</f>
        <v>0</v>
      </c>
      <c r="BS127" s="208" t="n">
        <f aca="false">EOMONTH(BS126,0)+1</f>
        <v>40391</v>
      </c>
      <c r="BT127" s="135" t="n">
        <f aca="false">SUM(BF127:BR127)</f>
        <v>0</v>
      </c>
      <c r="BU127" s="2"/>
      <c r="BV127" s="2"/>
      <c r="BW127" s="2"/>
      <c r="BX127" s="2"/>
      <c r="BY127" s="2"/>
      <c r="BZ127" s="2"/>
      <c r="CA127" s="2"/>
      <c r="CB127" s="2"/>
      <c r="CC127" s="182" t="n">
        <f aca="false">G127</f>
        <v>36831</v>
      </c>
      <c r="CD127" s="253" t="e">
        <f aca="false">xSPRDOPT((VLOOKUP(G127,NGPrices,2,FALSE())+HLOOKUP(D127,Prices,VLOOKUP(G127,move_down,2,FALSE()),FALSE())),VLOOKUP(G127,NGPrices,2,FALSE()),I127,VLOOKUP(G127,NGPREVPRICES,4,FALSE()),HLOOKUP(D127,PREVVOLS,VLOOKUP(G127,MOVE_DOWN2,2,FALSE()),FALSE()),VLOOKUP(G127,NGPREVPRICES,3,FALSE()),HLOOKUP(D127,Correllate,VLOOKUP(G127,CorMove,2,FALSE()),FALSE()),Q127-$CD$3,R127,$CD$5)*H127-CJ127</f>
        <v>#NAME?</v>
      </c>
      <c r="CE127" s="253" t="e">
        <f aca="false">xSPRDOPT((VLOOKUP(G127,NGPREVPRICES,2,FALSE())+HLOOKUP(D127,PREVCURVES,VLOOKUP(G127,MOVE_DOWN2,2,FALSE()),FALSE())),VLOOKUP(G127,NGPREVPRICES,2,FALSE()),CK127,VLOOKUP(G127,NGPrices,4,FALSE()),HLOOKUP(D127,PREVVOLS,VLOOKUP(G127,MOVE_DOWN2,2,FALSE()),FALSE()),VLOOKUP(G127,NGPREVPRICES,3,FALSE()),HLOOKUP(D127,Correllate,VLOOKUP(G127,CorMove,2,FALSE()),FALSE()),Q127-$CD$3,R127,$CJ$5)*H127-CJ127</f>
        <v>#NAME?</v>
      </c>
      <c r="CF127" s="132" t="e">
        <f aca="false">(CJ127/VLOOKUP(CC127,discount,3,FALSE()))-(CJ127/VLOOKUP(CC127,discount,2,FALSE()))</f>
        <v>#NAME?</v>
      </c>
      <c r="CG127" s="253" t="e">
        <f aca="false">xSPRDOPT((VLOOKUP(G127,NGPREVPRICES,2,FALSE())+HLOOKUP(D127,PREVCURVES,VLOOKUP(G127,MOVE_DOWN2,2,FALSE()),FALSE())),VLOOKUP(G127,NGPREVPRICES,2,FALSE()),CK127,VLOOKUP(G127,NGPREVPRICES,4,FALSE()),HLOOKUP(D127,VOLS,VLOOKUP(G127,move_down,2,FALSE()),FALSE()),VLOOKUP(G127,NGPrices,3,FALSE()),HLOOKUP(D127,Correllate,VLOOKUP(G127,CorMove,2,FALSE()),FALSE()),Q127-$CD$3,R127,$CJ$5)*H127-CJ127</f>
        <v>#NAME?</v>
      </c>
      <c r="CH127" s="253" t="e">
        <f aca="false">xSPRDOPT((VLOOKUP(G127,NGPREVPRICES,2,FALSE())+HLOOKUP(D127,PREVCURVES,VLOOKUP(G127,MOVE_DOWN2,2,FALSE()),FALSE())),VLOOKUP(G127,NGPREVPRICES,2,FALSE()),CK127,VLOOKUP(G127,NGPREVPRICES,4,FALSE()),HLOOKUP(D127,PREVVOLS,VLOOKUP(G127,MOVE_DOWN2,2,FALSE()),FALSE()),VLOOKUP(G127,NGPREVPRICES,3,FALSE()),HLOOKUP(D127,Correllate,VLOOKUP(G127,CorMove,2,FALSE()),FALSE()),Q127-$C$3,R127,$CJ$5)*H127-CJ127</f>
        <v>#NAME?</v>
      </c>
      <c r="CI127" s="253" t="e">
        <f aca="false">SUM(CD127:CH127)</f>
        <v>#NAME?</v>
      </c>
      <c r="CJ127" s="253" t="e">
        <f aca="false">xSPRDOPT((VLOOKUP(G127,NGPREVPRICES,2,FALSE())+HLOOKUP(D127,PREVCURVES,VLOOKUP(G127,MOVE_DOWN2,2,FALSE()),FALSE())),VLOOKUP(G127,NGPREVPRICES,2,FALSE()),CK127,VLOOKUP(G127,NGPREVPRICES,4,FALSE()),HLOOKUP(D127,PREVVOLS,VLOOKUP(G127,MOVE_DOWN2,2,FALSE()),FALSE()),VLOOKUP(G127,NGPREVPRICES,3,FALSE()),HLOOKUP(D127,Correllate,VLOOKUP(G127,CorMove,2,FALSE()),FALSE()),Q127-$CD$3,R127,$CJ$5)*H127</f>
        <v>#NAME?</v>
      </c>
      <c r="CK127" s="254" t="n">
        <f aca="false">I127</f>
        <v>0</v>
      </c>
      <c r="CL127" s="253"/>
      <c r="CM127" s="0" t="str">
        <f aca="false">CONCATENATE(CC127,$CD$6)</f>
        <v>36831Curve Shift/Gamma</v>
      </c>
      <c r="CN127" s="0" t="str">
        <f aca="false">CONCATENATE($CC127,$CE$6)</f>
        <v>36831Rho</v>
      </c>
      <c r="CO127" s="0" t="str">
        <f aca="false">CONCATENATE($CC127,$CF$6)</f>
        <v>36831Drift</v>
      </c>
      <c r="CP127" s="0" t="str">
        <f aca="false">CONCATENATE($CC127,$CG$6)</f>
        <v>36831Vega</v>
      </c>
      <c r="CQ127" s="0" t="str">
        <f aca="false">CONCATENATE($CC127,$CH$6)</f>
        <v>36831Theta</v>
      </c>
    </row>
    <row r="128" customFormat="false" ht="12" hidden="false" customHeight="true" outlineLevel="0" collapsed="false">
      <c r="A128" s="265" t="s">
        <v>198</v>
      </c>
      <c r="B128" s="0" t="s">
        <v>192</v>
      </c>
      <c r="C128" s="0" t="s">
        <v>248</v>
      </c>
      <c r="D128" s="7" t="s">
        <v>153</v>
      </c>
      <c r="E128" s="0" t="s">
        <v>131</v>
      </c>
      <c r="F128" s="0" t="s">
        <v>136</v>
      </c>
      <c r="G128" s="92" t="n">
        <v>36800</v>
      </c>
      <c r="H128" s="248" t="n">
        <v>-1000000</v>
      </c>
      <c r="I128" s="0" t="n">
        <v>0</v>
      </c>
      <c r="J128" s="124" t="n">
        <f aca="false">VLOOKUP(G128,NGPrices,2,FALSE())</f>
        <v>4.692</v>
      </c>
      <c r="K128" s="125" t="n">
        <f aca="false">HLOOKUP(D128,Prices,VLOOKUP(G128,move_down,2,FALSE()),FALSE())+VLOOKUP(G128,CHANGE,HLOOKUP(D128,CHANGE,2,FALSE()),FALSE())</f>
        <v>-0.09</v>
      </c>
      <c r="L128" s="124" t="n">
        <f aca="false">K128+J128</f>
        <v>4.602</v>
      </c>
      <c r="M128" s="126" t="n">
        <f aca="false">VLOOKUP(G128,NGPrices,4,FALSE())</f>
        <v>0.068050789414654</v>
      </c>
      <c r="N128" s="7" t="n">
        <f aca="false">VLOOKUP(G128,NGPrices,3,FALSE())</f>
        <v>0.575</v>
      </c>
      <c r="O128" s="7" t="n">
        <f aca="false">HLOOKUP(D128,VOLS,VLOOKUP(G128,move_down,2,FALSE()),FALSE())</f>
        <v>0.575</v>
      </c>
      <c r="P128" s="249" t="n">
        <f aca="false">HLOOKUP(D128,Correllate,VLOOKUP(G128,CorMove,2,FALSE()),FALSE())</f>
        <v>0.9975</v>
      </c>
      <c r="Q128" s="92" t="n">
        <f aca="false">WORKDAY(G128,-2)</f>
        <v>36797</v>
      </c>
      <c r="R128" s="7" t="n">
        <f aca="false">IF(F128="P",0,1)</f>
        <v>1</v>
      </c>
      <c r="S128" s="130" t="e">
        <f aca="false">xSPRDOPT($L128,$J128,$I128,$M128,$O128,$N128,$P128,$Q128-$C$3,$R128,0)</f>
        <v>#NAME?</v>
      </c>
      <c r="T128" s="250" t="e">
        <f aca="false">xSPRDOPT($L128,$J128,$I128,$M128,$O128,$N128,$P128,$Q128-$C$3,$R128,1)*H128</f>
        <v>#NAME?</v>
      </c>
      <c r="U128" s="43" t="e">
        <f aca="false">S128*H128</f>
        <v>#NAME?</v>
      </c>
      <c r="V128" s="250" t="e">
        <f aca="false">xSPRDOPT($L128,$J128,$I128,$M128,$O128,$N128,$P128,$Q128-$C$3,$R128,2)*H128</f>
        <v>#NAME?</v>
      </c>
      <c r="W128" s="250" t="e">
        <f aca="false">+V128+T128</f>
        <v>#NAME?</v>
      </c>
      <c r="X128" s="2" t="str">
        <f aca="false">CONCATENATE(G128,D128)</f>
        <v>36800IF-NNG/VENT</v>
      </c>
      <c r="Y128" s="251" t="n">
        <f aca="false">H128/10000</f>
        <v>-100</v>
      </c>
      <c r="Z128" s="226" t="e">
        <f aca="false">T128/H128</f>
        <v>#NAME?</v>
      </c>
      <c r="AA128" s="226" t="e">
        <f aca="false">xSPRDOPT($L128,$J128,$I128,$M128,$O128,$N128,$P128,$Q128-$C$3,$R128,3)</f>
        <v>#NAME?</v>
      </c>
      <c r="AB128" s="226" t="e">
        <f aca="false">((xSPRDOPT($L128+AB$5,$J128,$I128,$M128,$O128,$N128,$P128,$Q128-$C$3,$R128,3)*$H128)/10000)/100</f>
        <v>#NAME?</v>
      </c>
      <c r="AC128" s="226" t="e">
        <f aca="false">((xSPRDOPT($L128+$AB$5,$J128,$I128,$M128,$O128,$N128,$P128,$Q128-$C$3,$R128,7)*$H128)/100)</f>
        <v>#NAME?</v>
      </c>
      <c r="AD128" s="226" t="e">
        <f aca="false">(xSPRDOPT($L128+$AB$5,$J128,$I128,$M128,$O128,$N128,$P128,$Q128-$C$3,$R128,9)/365)*$H128</f>
        <v>#NAME?</v>
      </c>
      <c r="AE128" s="0" t="e">
        <f aca="false">CD128</f>
        <v>#NAME?</v>
      </c>
      <c r="AF128" s="226" t="e">
        <f aca="false">((O128/N128)*AH128)+AG128</f>
        <v>#NAME?</v>
      </c>
      <c r="AG128" s="226" t="e">
        <f aca="false">((xSPRDOPT($L128,$J128,$I128,$M128,$O128,$N128,$P128,$Q128-$C$3,$R128,6)*$H128)/100)</f>
        <v>#NAME?</v>
      </c>
      <c r="AH128" s="226" t="e">
        <f aca="false">((xSPRDOPT($L128,$J128,$I128,$M128,$O128,$N128,$P128,$Q128-$C$3,$R128,5)*$H128)/100)</f>
        <v>#NAME?</v>
      </c>
      <c r="AI128" s="226" t="e">
        <f aca="false">(((xSPRDOPT($L128,$J128,$I128,$M128,$O128,$N128,$P128,$Q128-$C$3,$R128,4)*$H128)/10000)/100)-AB128</f>
        <v>#NAME?</v>
      </c>
      <c r="AJ128" s="226"/>
      <c r="AK128" s="226"/>
      <c r="AL128" s="226"/>
      <c r="AM128" s="252"/>
      <c r="AN128" s="208" t="n">
        <f aca="false">EOMONTH(AN127,0)+1</f>
        <v>40422</v>
      </c>
      <c r="AO128" s="134" t="n">
        <f aca="false">SUMIF($X:$X,CONCATENATE($AN128,AO$6),$T:$T)/10000</f>
        <v>0</v>
      </c>
      <c r="AP128" s="134" t="n">
        <f aca="false">SUMIF($X:$X,CONCATENATE($AN128,AP$6),$T:$T)/10000</f>
        <v>0</v>
      </c>
      <c r="AQ128" s="134" t="n">
        <f aca="false">SUMIF($X:$X,CONCATENATE($AN128,AQ$6),$T:$T)/10000</f>
        <v>0</v>
      </c>
      <c r="AR128" s="134" t="n">
        <f aca="false">SUMIF($X:$X,CONCATENATE($AN128,AR$6),$T:$T)/10000</f>
        <v>0</v>
      </c>
      <c r="AS128" s="134" t="n">
        <f aca="false">SUMIF($X:$X,CONCATENATE($AN128,AS$6),$T:$T)/10000</f>
        <v>0</v>
      </c>
      <c r="AT128" s="134" t="n">
        <f aca="false">SUMIF($X:$X,CONCATENATE($AN128,AT$6),$T:$T)/10000</f>
        <v>0</v>
      </c>
      <c r="AU128" s="134" t="n">
        <f aca="false">SUMIF($X:$X,CONCATENATE($AN128,AU$6),$T:$T)/10000</f>
        <v>0</v>
      </c>
      <c r="AV128" s="134" t="n">
        <f aca="false">SUMIF($X:$X,CONCATENATE($AN128,AV$6),$T:$T)/10000</f>
        <v>0</v>
      </c>
      <c r="AW128" s="134" t="n">
        <f aca="false">SUMIF($X:$X,CONCATENATE($AN128,AW$6),$T:$T)/10000</f>
        <v>0</v>
      </c>
      <c r="AX128" s="134" t="n">
        <f aca="false">SUMIF($X:$X,CONCATENATE($AN128,AX$6),$T:$T)/10000</f>
        <v>0</v>
      </c>
      <c r="AY128" s="134" t="n">
        <f aca="false">SUMIF($X:$X,CONCATENATE($AN128,AY$6),$T:$T)/10000</f>
        <v>0</v>
      </c>
      <c r="AZ128" s="134" t="n">
        <f aca="false">SUMIF($X:$X,CONCATENATE($AN128,AZ$6),$T:$T)/10000</f>
        <v>0</v>
      </c>
      <c r="BA128" s="135" t="n">
        <f aca="false">SUMIF($X:$X,CONCATENATE($AN128,BA$6),$T:$T)/10000</f>
        <v>0</v>
      </c>
      <c r="BB128" s="208" t="n">
        <f aca="false">EOMONTH(BB127,0)+1</f>
        <v>40422</v>
      </c>
      <c r="BC128" s="135" t="n">
        <f aca="false">SUM(AO128:BA128)</f>
        <v>0</v>
      </c>
      <c r="BD128" s="2"/>
      <c r="BE128" s="208" t="n">
        <f aca="false">EOMONTH(BE127,0)+1</f>
        <v>40422</v>
      </c>
      <c r="BF128" s="134" t="n">
        <f aca="false">SUMIF($X:$X,CONCATENATE($AN128,BF$6),$W:$W)</f>
        <v>0</v>
      </c>
      <c r="BG128" s="134" t="n">
        <f aca="false">SUMIF($X:$X,CONCATENATE($AN128,BG$6),$W:$W)</f>
        <v>0</v>
      </c>
      <c r="BH128" s="134" t="n">
        <f aca="false">SUMIF($X:$X,CONCATENATE($AN128,BH$6),$W:$W)</f>
        <v>0</v>
      </c>
      <c r="BI128" s="134" t="n">
        <f aca="false">SUMIF($X:$X,CONCATENATE($AN128,BI$6),$W:$W)</f>
        <v>0</v>
      </c>
      <c r="BJ128" s="134" t="n">
        <f aca="false">SUMIF($X:$X,CONCATENATE($AN128,BJ$6),$W:$W)</f>
        <v>0</v>
      </c>
      <c r="BK128" s="134" t="n">
        <f aca="false">SUMIF($X:$X,CONCATENATE($AN128,BK$6),$W:$W)</f>
        <v>0</v>
      </c>
      <c r="BL128" s="134" t="n">
        <f aca="false">SUMIF($X:$X,CONCATENATE($AN128,BL$6),$W:$W)</f>
        <v>0</v>
      </c>
      <c r="BM128" s="134" t="n">
        <f aca="false">SUMIF($X:$X,CONCATENATE($AN128,BM$6),$W:$W)</f>
        <v>0</v>
      </c>
      <c r="BN128" s="134" t="n">
        <f aca="false">SUMIF($X:$X,CONCATENATE($AN128,BN$6),$W:$W)</f>
        <v>0</v>
      </c>
      <c r="BO128" s="134" t="n">
        <f aca="false">SUMIF($X:$X,CONCATENATE($AN128,BO$6),$W:$W)</f>
        <v>0</v>
      </c>
      <c r="BP128" s="134" t="n">
        <f aca="false">SUMIF($X:$X,CONCATENATE($AN128,BP$6),$W:$W)</f>
        <v>0</v>
      </c>
      <c r="BQ128" s="134" t="n">
        <f aca="false">SUMIF($X:$X,CONCATENATE($AN128,BQ$6),$W:$W)</f>
        <v>0</v>
      </c>
      <c r="BR128" s="135" t="n">
        <f aca="false">SUMIF($X:$X,CONCATENATE($AN128,BR$6),$W:$W)</f>
        <v>0</v>
      </c>
      <c r="BS128" s="208" t="n">
        <f aca="false">EOMONTH(BS127,0)+1</f>
        <v>40422</v>
      </c>
      <c r="BT128" s="135" t="n">
        <f aca="false">SUM(BF128:BR128)</f>
        <v>0</v>
      </c>
      <c r="BU128" s="2"/>
      <c r="BV128" s="2"/>
      <c r="BW128" s="2"/>
      <c r="BX128" s="2"/>
      <c r="BY128" s="2"/>
      <c r="BZ128" s="2"/>
      <c r="CA128" s="2"/>
      <c r="CB128" s="2"/>
      <c r="CC128" s="182" t="n">
        <f aca="false">G128</f>
        <v>36800</v>
      </c>
      <c r="CD128" s="253" t="e">
        <f aca="false">xSPRDOPT((VLOOKUP(G128,NGPrices,2,FALSE())+HLOOKUP(D128,Prices,VLOOKUP(G128,move_down,2,FALSE()),FALSE())),VLOOKUP(G128,NGPrices,2,FALSE()),I128,VLOOKUP(G128,NGPREVPRICES,4,FALSE()),HLOOKUP(D128,PREVVOLS,VLOOKUP(G128,MOVE_DOWN2,2,FALSE()),FALSE()),VLOOKUP(G128,NGPREVPRICES,3,FALSE()),HLOOKUP(D128,Correllate,VLOOKUP(G128,CorMove,2,FALSE()),FALSE()),Q128-$CD$3,R128,$CD$5)*H128-CJ128</f>
        <v>#NAME?</v>
      </c>
      <c r="CE128" s="253" t="e">
        <f aca="false">xSPRDOPT((VLOOKUP(G128,NGPREVPRICES,2,FALSE())+HLOOKUP(D128,PREVCURVES,VLOOKUP(G128,MOVE_DOWN2,2,FALSE()),FALSE())),VLOOKUP(G128,NGPREVPRICES,2,FALSE()),CK128,VLOOKUP(G128,NGPrices,4,FALSE()),HLOOKUP(D128,PREVVOLS,VLOOKUP(G128,MOVE_DOWN2,2,FALSE()),FALSE()),VLOOKUP(G128,NGPREVPRICES,3,FALSE()),HLOOKUP(D128,Correllate,VLOOKUP(G128,CorMove,2,FALSE()),FALSE()),Q128-$CD$3,R128,$CJ$5)*H128-CJ128</f>
        <v>#NAME?</v>
      </c>
      <c r="CF128" s="132" t="e">
        <f aca="false">(CJ128/VLOOKUP(CC128,discount,3,FALSE()))-(CJ128/VLOOKUP(CC128,discount,2,FALSE()))</f>
        <v>#NAME?</v>
      </c>
      <c r="CG128" s="253" t="e">
        <f aca="false">xSPRDOPT((VLOOKUP(G128,NGPREVPRICES,2,FALSE())+HLOOKUP(D128,PREVCURVES,VLOOKUP(G128,MOVE_DOWN2,2,FALSE()),FALSE())),VLOOKUP(G128,NGPREVPRICES,2,FALSE()),CK128,VLOOKUP(G128,NGPREVPRICES,4,FALSE()),HLOOKUP(D128,VOLS,VLOOKUP(G128,move_down,2,FALSE()),FALSE()),VLOOKUP(G128,NGPrices,3,FALSE()),HLOOKUP(D128,Correllate,VLOOKUP(G128,CorMove,2,FALSE()),FALSE()),Q128-$CD$3,R128,$CJ$5)*H128-CJ128</f>
        <v>#NAME?</v>
      </c>
      <c r="CH128" s="253" t="e">
        <f aca="false">xSPRDOPT((VLOOKUP(G128,NGPREVPRICES,2,FALSE())+HLOOKUP(D128,PREVCURVES,VLOOKUP(G128,MOVE_DOWN2,2,FALSE()),FALSE())),VLOOKUP(G128,NGPREVPRICES,2,FALSE()),CK128,VLOOKUP(G128,NGPREVPRICES,4,FALSE()),HLOOKUP(D128,PREVVOLS,VLOOKUP(G128,MOVE_DOWN2,2,FALSE()),FALSE()),VLOOKUP(G128,NGPREVPRICES,3,FALSE()),HLOOKUP(D128,Correllate,VLOOKUP(G128,CorMove,2,FALSE()),FALSE()),Q128-$C$3,R128,$CJ$5)*H128-CJ128</f>
        <v>#NAME?</v>
      </c>
      <c r="CI128" s="253" t="e">
        <f aca="false">SUM(CD128:CH128)</f>
        <v>#NAME?</v>
      </c>
      <c r="CJ128" s="253" t="e">
        <f aca="false">xSPRDOPT((VLOOKUP(G128,NGPREVPRICES,2,FALSE())+HLOOKUP(D128,PREVCURVES,VLOOKUP(G128,MOVE_DOWN2,2,FALSE()),FALSE())),VLOOKUP(G128,NGPREVPRICES,2,FALSE()),CK128,VLOOKUP(G128,NGPREVPRICES,4,FALSE()),HLOOKUP(D128,PREVVOLS,VLOOKUP(G128,MOVE_DOWN2,2,FALSE()),FALSE()),VLOOKUP(G128,NGPREVPRICES,3,FALSE()),HLOOKUP(D128,Correllate,VLOOKUP(G128,CorMove,2,FALSE()),FALSE()),Q128-$CD$3,R128,$CJ$5)*H128</f>
        <v>#NAME?</v>
      </c>
      <c r="CK128" s="254" t="n">
        <f aca="false">I128</f>
        <v>0</v>
      </c>
      <c r="CL128" s="253"/>
      <c r="CM128" s="0" t="str">
        <f aca="false">CONCATENATE(CC128,$CD$6)</f>
        <v>36800Curve Shift/Gamma</v>
      </c>
      <c r="CN128" s="0" t="str">
        <f aca="false">CONCATENATE($CC128,$CE$6)</f>
        <v>36800Rho</v>
      </c>
      <c r="CO128" s="0" t="str">
        <f aca="false">CONCATENATE($CC128,$CF$6)</f>
        <v>36800Drift</v>
      </c>
      <c r="CP128" s="0" t="str">
        <f aca="false">CONCATENATE($CC128,$CG$6)</f>
        <v>36800Vega</v>
      </c>
      <c r="CQ128" s="0" t="str">
        <f aca="false">CONCATENATE($CC128,$CH$6)</f>
        <v>36800Theta</v>
      </c>
    </row>
    <row r="129" customFormat="false" ht="12" hidden="false" customHeight="true" outlineLevel="0" collapsed="false">
      <c r="A129" s="265" t="s">
        <v>198</v>
      </c>
      <c r="B129" s="0" t="s">
        <v>192</v>
      </c>
      <c r="C129" s="0" t="s">
        <v>248</v>
      </c>
      <c r="D129" s="7" t="s">
        <v>153</v>
      </c>
      <c r="E129" s="0" t="s">
        <v>131</v>
      </c>
      <c r="F129" s="0" t="s">
        <v>136</v>
      </c>
      <c r="G129" s="92" t="n">
        <v>36770</v>
      </c>
      <c r="H129" s="248" t="n">
        <v>-1000000</v>
      </c>
      <c r="I129" s="0" t="n">
        <v>0</v>
      </c>
      <c r="J129" s="124" t="n">
        <f aca="false">VLOOKUP(G129,NGPrices,2,FALSE())</f>
        <v>4.685</v>
      </c>
      <c r="K129" s="125" t="n">
        <f aca="false">HLOOKUP(D129,Prices,VLOOKUP(G129,move_down,2,FALSE()),FALSE())+VLOOKUP(G129,CHANGE,HLOOKUP(D129,CHANGE,2,FALSE()),FALSE())</f>
        <v>-0.11</v>
      </c>
      <c r="L129" s="124" t="n">
        <f aca="false">K129+J129</f>
        <v>4.575</v>
      </c>
      <c r="M129" s="126" t="n">
        <f aca="false">VLOOKUP(G129,NGPrices,4,FALSE())</f>
        <v>0.067216196212185</v>
      </c>
      <c r="N129" s="7" t="n">
        <f aca="false">VLOOKUP(G129,NGPrices,3,FALSE())</f>
        <v>0.4</v>
      </c>
      <c r="O129" s="7" t="n">
        <f aca="false">HLOOKUP(D129,VOLS,VLOOKUP(G129,move_down,2,FALSE()),FALSE())</f>
        <v>0.4</v>
      </c>
      <c r="P129" s="249" t="n">
        <f aca="false">HLOOKUP(D129,Correllate,VLOOKUP(G129,CorMove,2,FALSE()),FALSE())</f>
        <v>0.9975</v>
      </c>
      <c r="Q129" s="92" t="n">
        <f aca="false">WORKDAY(G129,-2)</f>
        <v>36768</v>
      </c>
      <c r="R129" s="7" t="n">
        <f aca="false">IF(F129="P",0,1)</f>
        <v>1</v>
      </c>
      <c r="S129" s="130" t="e">
        <f aca="false">xSPRDOPT($L129,$J129,$I129,$M129,$O129,$N129,$P129,$Q129-$C$3,$R129,0)</f>
        <v>#NAME?</v>
      </c>
      <c r="T129" s="250" t="e">
        <f aca="false">xSPRDOPT($L129,$J129,$I129,$M129,$O129,$N129,$P129,$Q129-$C$3,$R129,1)*H129</f>
        <v>#NAME?</v>
      </c>
      <c r="U129" s="43" t="e">
        <f aca="false">S129*H129</f>
        <v>#NAME?</v>
      </c>
      <c r="V129" s="250" t="e">
        <f aca="false">xSPRDOPT($L129,$J129,$I129,$M129,$O129,$N129,$P129,$Q129-$C$3,$R129,2)*H129</f>
        <v>#NAME?</v>
      </c>
      <c r="W129" s="250" t="e">
        <f aca="false">+V129+T129</f>
        <v>#NAME?</v>
      </c>
      <c r="X129" s="2" t="str">
        <f aca="false">CONCATENATE(G129,D129)</f>
        <v>36770IF-NNG/VENT</v>
      </c>
      <c r="Y129" s="251" t="n">
        <f aca="false">H129/10000</f>
        <v>-100</v>
      </c>
      <c r="Z129" s="226" t="e">
        <f aca="false">T129/H129</f>
        <v>#NAME?</v>
      </c>
      <c r="AA129" s="226" t="e">
        <f aca="false">xSPRDOPT($L129,$J129,$I129,$M129,$O129,$N129,$P129,$Q129-$C$3,$R129,3)</f>
        <v>#NAME?</v>
      </c>
      <c r="AB129" s="226" t="e">
        <f aca="false">((xSPRDOPT($L129+AB$5,$J129,$I129,$M129,$O129,$N129,$P129,$Q129-$C$3,$R129,3)*$H129)/10000)/100</f>
        <v>#NAME?</v>
      </c>
      <c r="AC129" s="226" t="e">
        <f aca="false">((xSPRDOPT($L129+$AB$5,$J129,$I129,$M129,$O129,$N129,$P129,$Q129-$C$3,$R129,7)*$H129)/100)</f>
        <v>#NAME?</v>
      </c>
      <c r="AD129" s="226" t="e">
        <f aca="false">(xSPRDOPT($L129+$AB$5,$J129,$I129,$M129,$O129,$N129,$P129,$Q129-$C$3,$R129,9)/365)*$H129</f>
        <v>#NAME?</v>
      </c>
      <c r="AE129" s="0" t="e">
        <f aca="false">CD129</f>
        <v>#NAME?</v>
      </c>
      <c r="AF129" s="226" t="e">
        <f aca="false">((O129/N129)*AH129)+AG129</f>
        <v>#NAME?</v>
      </c>
      <c r="AG129" s="226" t="e">
        <f aca="false">((xSPRDOPT($L129,$J129,$I129,$M129,$O129,$N129,$P129,$Q129-$C$3,$R129,6)*$H129)/100)</f>
        <v>#NAME?</v>
      </c>
      <c r="AH129" s="226" t="e">
        <f aca="false">((xSPRDOPT($L129,$J129,$I129,$M129,$O129,$N129,$P129,$Q129-$C$3,$R129,5)*$H129)/100)</f>
        <v>#NAME?</v>
      </c>
      <c r="AI129" s="226" t="e">
        <f aca="false">(((xSPRDOPT($L129,$J129,$I129,$M129,$O129,$N129,$P129,$Q129-$C$3,$R129,4)*$H129)/10000)/100)-AB129</f>
        <v>#NAME?</v>
      </c>
      <c r="AJ129" s="226"/>
      <c r="AK129" s="226"/>
      <c r="AL129" s="226"/>
      <c r="AM129" s="252"/>
      <c r="AN129" s="208" t="n">
        <f aca="false">EOMONTH(AN128,0)+1</f>
        <v>40452</v>
      </c>
      <c r="AO129" s="134" t="n">
        <f aca="false">SUMIF($X:$X,CONCATENATE($AN129,AO$6),$T:$T)/10000</f>
        <v>0</v>
      </c>
      <c r="AP129" s="134" t="n">
        <f aca="false">SUMIF($X:$X,CONCATENATE($AN129,AP$6),$T:$T)/10000</f>
        <v>0</v>
      </c>
      <c r="AQ129" s="134" t="n">
        <f aca="false">SUMIF($X:$X,CONCATENATE($AN129,AQ$6),$T:$T)/10000</f>
        <v>0</v>
      </c>
      <c r="AR129" s="134" t="n">
        <f aca="false">SUMIF($X:$X,CONCATENATE($AN129,AR$6),$T:$T)/10000</f>
        <v>0</v>
      </c>
      <c r="AS129" s="134" t="n">
        <f aca="false">SUMIF($X:$X,CONCATENATE($AN129,AS$6),$T:$T)/10000</f>
        <v>0</v>
      </c>
      <c r="AT129" s="134" t="n">
        <f aca="false">SUMIF($X:$X,CONCATENATE($AN129,AT$6),$T:$T)/10000</f>
        <v>0</v>
      </c>
      <c r="AU129" s="134" t="n">
        <f aca="false">SUMIF($X:$X,CONCATENATE($AN129,AU$6),$T:$T)/10000</f>
        <v>0</v>
      </c>
      <c r="AV129" s="134" t="n">
        <f aca="false">SUMIF($X:$X,CONCATENATE($AN129,AV$6),$T:$T)/10000</f>
        <v>0</v>
      </c>
      <c r="AW129" s="134" t="n">
        <f aca="false">SUMIF($X:$X,CONCATENATE($AN129,AW$6),$T:$T)/10000</f>
        <v>0</v>
      </c>
      <c r="AX129" s="134" t="n">
        <f aca="false">SUMIF($X:$X,CONCATENATE($AN129,AX$6),$T:$T)/10000</f>
        <v>0</v>
      </c>
      <c r="AY129" s="134" t="n">
        <f aca="false">SUMIF($X:$X,CONCATENATE($AN129,AY$6),$T:$T)/10000</f>
        <v>0</v>
      </c>
      <c r="AZ129" s="134" t="n">
        <f aca="false">SUMIF($X:$X,CONCATENATE($AN129,AZ$6),$T:$T)/10000</f>
        <v>0</v>
      </c>
      <c r="BA129" s="135" t="n">
        <f aca="false">SUMIF($X:$X,CONCATENATE($AN129,BA$6),$T:$T)/10000</f>
        <v>0</v>
      </c>
      <c r="BB129" s="208" t="n">
        <f aca="false">EOMONTH(BB128,0)+1</f>
        <v>40452</v>
      </c>
      <c r="BC129" s="135" t="n">
        <f aca="false">SUM(AO129:BA129)</f>
        <v>0</v>
      </c>
      <c r="BD129" s="2"/>
      <c r="BE129" s="208" t="n">
        <f aca="false">EOMONTH(BE128,0)+1</f>
        <v>40452</v>
      </c>
      <c r="BF129" s="134" t="n">
        <f aca="false">SUMIF($X:$X,CONCATENATE($AN129,BF$6),$W:$W)</f>
        <v>0</v>
      </c>
      <c r="BG129" s="134" t="n">
        <f aca="false">SUMIF($X:$X,CONCATENATE($AN129,BG$6),$W:$W)</f>
        <v>0</v>
      </c>
      <c r="BH129" s="134" t="n">
        <f aca="false">SUMIF($X:$X,CONCATENATE($AN129,BH$6),$W:$W)</f>
        <v>0</v>
      </c>
      <c r="BI129" s="134" t="n">
        <f aca="false">SUMIF($X:$X,CONCATENATE($AN129,BI$6),$W:$W)</f>
        <v>0</v>
      </c>
      <c r="BJ129" s="134" t="n">
        <f aca="false">SUMIF($X:$X,CONCATENATE($AN129,BJ$6),$W:$W)</f>
        <v>0</v>
      </c>
      <c r="BK129" s="134" t="n">
        <f aca="false">SUMIF($X:$X,CONCATENATE($AN129,BK$6),$W:$W)</f>
        <v>0</v>
      </c>
      <c r="BL129" s="134" t="n">
        <f aca="false">SUMIF($X:$X,CONCATENATE($AN129,BL$6),$W:$W)</f>
        <v>0</v>
      </c>
      <c r="BM129" s="134" t="n">
        <f aca="false">SUMIF($X:$X,CONCATENATE($AN129,BM$6),$W:$W)</f>
        <v>0</v>
      </c>
      <c r="BN129" s="134" t="n">
        <f aca="false">SUMIF($X:$X,CONCATENATE($AN129,BN$6),$W:$W)</f>
        <v>0</v>
      </c>
      <c r="BO129" s="134" t="n">
        <f aca="false">SUMIF($X:$X,CONCATENATE($AN129,BO$6),$W:$W)</f>
        <v>0</v>
      </c>
      <c r="BP129" s="134" t="n">
        <f aca="false">SUMIF($X:$X,CONCATENATE($AN129,BP$6),$W:$W)</f>
        <v>0</v>
      </c>
      <c r="BQ129" s="134" t="n">
        <f aca="false">SUMIF($X:$X,CONCATENATE($AN129,BQ$6),$W:$W)</f>
        <v>0</v>
      </c>
      <c r="BR129" s="135" t="n">
        <f aca="false">SUMIF($X:$X,CONCATENATE($AN129,BR$6),$W:$W)</f>
        <v>0</v>
      </c>
      <c r="BS129" s="208" t="n">
        <f aca="false">EOMONTH(BS128,0)+1</f>
        <v>40452</v>
      </c>
      <c r="BT129" s="135" t="n">
        <f aca="false">SUM(BF129:BR129)</f>
        <v>0</v>
      </c>
      <c r="BU129" s="2"/>
      <c r="BV129" s="2"/>
      <c r="BW129" s="2"/>
      <c r="BX129" s="2"/>
      <c r="BY129" s="2"/>
      <c r="BZ129" s="2"/>
      <c r="CA129" s="2"/>
      <c r="CB129" s="2"/>
      <c r="CC129" s="182" t="n">
        <f aca="false">G129</f>
        <v>36770</v>
      </c>
      <c r="CD129" s="253" t="e">
        <f aca="false">xSPRDOPT((VLOOKUP(G129,NGPrices,2,FALSE())+HLOOKUP(D129,Prices,VLOOKUP(G129,move_down,2,FALSE()),FALSE())),VLOOKUP(G129,NGPrices,2,FALSE()),I129,VLOOKUP(G129,NGPREVPRICES,4,FALSE()),HLOOKUP(D129,PREVVOLS,VLOOKUP(G129,MOVE_DOWN2,2,FALSE()),FALSE()),VLOOKUP(G129,NGPREVPRICES,3,FALSE()),HLOOKUP(D129,Correllate,VLOOKUP(G129,CorMove,2,FALSE()),FALSE()),Q129-$CD$3,R129,$CD$5)*H129-CJ129</f>
        <v>#NAME?</v>
      </c>
      <c r="CE129" s="253" t="e">
        <f aca="false">xSPRDOPT((VLOOKUP(G129,NGPREVPRICES,2,FALSE())+HLOOKUP(D129,PREVCURVES,VLOOKUP(G129,MOVE_DOWN2,2,FALSE()),FALSE())),VLOOKUP(G129,NGPREVPRICES,2,FALSE()),CK129,VLOOKUP(G129,NGPrices,4,FALSE()),HLOOKUP(D129,PREVVOLS,VLOOKUP(G129,MOVE_DOWN2,2,FALSE()),FALSE()),VLOOKUP(G129,NGPREVPRICES,3,FALSE()),HLOOKUP(D129,Correllate,VLOOKUP(G129,CorMove,2,FALSE()),FALSE()),Q129-$CD$3,R129,$CJ$5)*H129-CJ129</f>
        <v>#NAME?</v>
      </c>
      <c r="CF129" s="132" t="e">
        <f aca="false">(CJ129/VLOOKUP(CC129,discount,3,FALSE()))-(CJ129/VLOOKUP(CC129,discount,2,FALSE()))</f>
        <v>#NAME?</v>
      </c>
      <c r="CG129" s="253" t="e">
        <f aca="false">xSPRDOPT((VLOOKUP(G129,NGPREVPRICES,2,FALSE())+HLOOKUP(D129,PREVCURVES,VLOOKUP(G129,MOVE_DOWN2,2,FALSE()),FALSE())),VLOOKUP(G129,NGPREVPRICES,2,FALSE()),CK129,VLOOKUP(G129,NGPREVPRICES,4,FALSE()),HLOOKUP(D129,VOLS,VLOOKUP(G129,move_down,2,FALSE()),FALSE()),VLOOKUP(G129,NGPrices,3,FALSE()),HLOOKUP(D129,Correllate,VLOOKUP(G129,CorMove,2,FALSE()),FALSE()),Q129-$CD$3,R129,$CJ$5)*H129-CJ129</f>
        <v>#NAME?</v>
      </c>
      <c r="CH129" s="253" t="e">
        <f aca="false">xSPRDOPT((VLOOKUP(G129,NGPREVPRICES,2,FALSE())+HLOOKUP(D129,PREVCURVES,VLOOKUP(G129,MOVE_DOWN2,2,FALSE()),FALSE())),VLOOKUP(G129,NGPREVPRICES,2,FALSE()),CK129,VLOOKUP(G129,NGPREVPRICES,4,FALSE()),HLOOKUP(D129,PREVVOLS,VLOOKUP(G129,MOVE_DOWN2,2,FALSE()),FALSE()),VLOOKUP(G129,NGPREVPRICES,3,FALSE()),HLOOKUP(D129,Correllate,VLOOKUP(G129,CorMove,2,FALSE()),FALSE()),Q129-$C$3,R129,$CJ$5)*H129-CJ129</f>
        <v>#NAME?</v>
      </c>
      <c r="CI129" s="253" t="e">
        <f aca="false">SUM(CD129:CH129)</f>
        <v>#NAME?</v>
      </c>
      <c r="CJ129" s="253" t="e">
        <f aca="false">xSPRDOPT((VLOOKUP(G129,NGPREVPRICES,2,FALSE())+HLOOKUP(D129,PREVCURVES,VLOOKUP(G129,MOVE_DOWN2,2,FALSE()),FALSE())),VLOOKUP(G129,NGPREVPRICES,2,FALSE()),CK129,VLOOKUP(G129,NGPREVPRICES,4,FALSE()),HLOOKUP(D129,PREVVOLS,VLOOKUP(G129,MOVE_DOWN2,2,FALSE()),FALSE()),VLOOKUP(G129,NGPREVPRICES,3,FALSE()),HLOOKUP(D129,Correllate,VLOOKUP(G129,CorMove,2,FALSE()),FALSE()),Q129-$CD$3,R129,$CJ$5)*H129</f>
        <v>#NAME?</v>
      </c>
      <c r="CK129" s="254" t="n">
        <f aca="false">I129</f>
        <v>0</v>
      </c>
      <c r="CL129" s="253"/>
      <c r="CM129" s="0" t="str">
        <f aca="false">CONCATENATE(CC129,$CD$6)</f>
        <v>36770Curve Shift/Gamma</v>
      </c>
      <c r="CN129" s="0" t="str">
        <f aca="false">CONCATENATE($CC129,$CE$6)</f>
        <v>36770Rho</v>
      </c>
      <c r="CO129" s="0" t="str">
        <f aca="false">CONCATENATE($CC129,$CF$6)</f>
        <v>36770Drift</v>
      </c>
      <c r="CP129" s="0" t="str">
        <f aca="false">CONCATENATE($CC129,$CG$6)</f>
        <v>36770Vega</v>
      </c>
      <c r="CQ129" s="0" t="str">
        <f aca="false">CONCATENATE($CC129,$CH$6)</f>
        <v>36770Theta</v>
      </c>
    </row>
    <row r="130" customFormat="false" ht="12" hidden="false" customHeight="true" outlineLevel="0" collapsed="false">
      <c r="A130" s="265" t="s">
        <v>198</v>
      </c>
      <c r="B130" s="0" t="s">
        <v>192</v>
      </c>
      <c r="C130" s="0" t="s">
        <v>249</v>
      </c>
      <c r="D130" s="7" t="s">
        <v>153</v>
      </c>
      <c r="E130" s="0" t="s">
        <v>131</v>
      </c>
      <c r="F130" s="0" t="s">
        <v>132</v>
      </c>
      <c r="G130" s="92" t="n">
        <v>36951</v>
      </c>
      <c r="H130" s="248" t="n">
        <v>-1000000</v>
      </c>
      <c r="I130" s="0" t="n">
        <v>0</v>
      </c>
      <c r="J130" s="124" t="n">
        <f aca="false">VLOOKUP(G130,NGPrices,2,FALSE())</f>
        <v>4.213</v>
      </c>
      <c r="K130" s="125" t="n">
        <f aca="false">HLOOKUP(D130,Prices,VLOOKUP(G130,move_down,2,FALSE()),FALSE())+VLOOKUP(G130,CHANGE,HLOOKUP(D130,CHANGE,2,FALSE()),FALSE())</f>
        <v>0.0325</v>
      </c>
      <c r="L130" s="124" t="n">
        <f aca="false">K130+J130</f>
        <v>4.2455</v>
      </c>
      <c r="M130" s="126" t="n">
        <f aca="false">VLOOKUP(G130,NGPrices,4,FALSE())</f>
        <v>0.068879814952707</v>
      </c>
      <c r="N130" s="7" t="n">
        <f aca="false">VLOOKUP(G130,NGPrices,3,FALSE())</f>
        <v>0.5325</v>
      </c>
      <c r="O130" s="7" t="n">
        <f aca="false">HLOOKUP(D130,VOLS,VLOOKUP(G130,move_down,2,FALSE()),FALSE())</f>
        <v>0.559</v>
      </c>
      <c r="P130" s="249" t="n">
        <f aca="false">HLOOKUP(D130,Correllate,VLOOKUP(G130,CorMove,2,FALSE()),FALSE())</f>
        <v>0.9975</v>
      </c>
      <c r="Q130" s="92" t="n">
        <f aca="false">WORKDAY(G130,-2)</f>
        <v>36949</v>
      </c>
      <c r="R130" s="7" t="n">
        <f aca="false">IF(F130="P",0,1)</f>
        <v>0</v>
      </c>
      <c r="S130" s="130" t="e">
        <f aca="false">xSPRDOPT($L130,$J130,$I130,$M130,$O130,$N130,$P130,$Q130-$C$3,$R130,0)</f>
        <v>#NAME?</v>
      </c>
      <c r="T130" s="250" t="e">
        <f aca="false">xSPRDOPT($L130,$J130,$I130,$M130,$O130,$N130,$P130,$Q130-$C$3,$R130,1)*H130</f>
        <v>#NAME?</v>
      </c>
      <c r="U130" s="43" t="e">
        <f aca="false">S130*H130</f>
        <v>#NAME?</v>
      </c>
      <c r="V130" s="250" t="e">
        <f aca="false">xSPRDOPT($L130,$J130,$I130,$M130,$O130,$N130,$P130,$Q130-$C$3,$R130,2)*H130</f>
        <v>#NAME?</v>
      </c>
      <c r="W130" s="250" t="e">
        <f aca="false">+V130+T130</f>
        <v>#NAME?</v>
      </c>
      <c r="X130" s="2" t="str">
        <f aca="false">CONCATENATE(G130,D130)</f>
        <v>36951IF-NNG/VENT</v>
      </c>
      <c r="Y130" s="251" t="n">
        <f aca="false">H130/10000</f>
        <v>-100</v>
      </c>
      <c r="Z130" s="226" t="e">
        <f aca="false">T130/H130</f>
        <v>#NAME?</v>
      </c>
      <c r="AA130" s="226" t="e">
        <f aca="false">xSPRDOPT($L130,$J130,$I130,$M130,$O130,$N130,$P130,$Q130-$C$3,$R130,3)</f>
        <v>#NAME?</v>
      </c>
      <c r="AB130" s="226" t="e">
        <f aca="false">((xSPRDOPT($L130+AB$5,$J130,$I130,$M130,$O130,$N130,$P130,$Q130-$C$3,$R130,3)*$H130)/10000)/100</f>
        <v>#NAME?</v>
      </c>
      <c r="AC130" s="226" t="e">
        <f aca="false">((xSPRDOPT($L130+$AB$5,$J130,$I130,$M130,$O130,$N130,$P130,$Q130-$C$3,$R130,7)*$H130)/100)</f>
        <v>#NAME?</v>
      </c>
      <c r="AD130" s="226" t="e">
        <f aca="false">(xSPRDOPT($L130+$AB$5,$J130,$I130,$M130,$O130,$N130,$P130,$Q130-$C$3,$R130,9)/365)*$H130</f>
        <v>#NAME?</v>
      </c>
      <c r="AE130" s="0" t="e">
        <f aca="false">CD130</f>
        <v>#NAME?</v>
      </c>
      <c r="AF130" s="226" t="e">
        <f aca="false">((O130/N130)*AH130)+AG130</f>
        <v>#NAME?</v>
      </c>
      <c r="AG130" s="226" t="e">
        <f aca="false">((xSPRDOPT($L130,$J130,$I130,$M130,$O130,$N130,$P130,$Q130-$C$3,$R130,6)*$H130)/100)</f>
        <v>#NAME?</v>
      </c>
      <c r="AH130" s="226" t="e">
        <f aca="false">((xSPRDOPT($L130,$J130,$I130,$M130,$O130,$N130,$P130,$Q130-$C$3,$R130,5)*$H130)/100)</f>
        <v>#NAME?</v>
      </c>
      <c r="AI130" s="226" t="e">
        <f aca="false">(((xSPRDOPT($L130,$J130,$I130,$M130,$O130,$N130,$P130,$Q130-$C$3,$R130,4)*$H130)/10000)/100)-AB130</f>
        <v>#NAME?</v>
      </c>
      <c r="AJ130" s="226"/>
      <c r="AK130" s="226"/>
      <c r="AL130" s="226"/>
      <c r="AM130" s="252"/>
      <c r="AN130" s="208" t="n">
        <f aca="false">EOMONTH(AN129,0)+1</f>
        <v>40483</v>
      </c>
      <c r="AO130" s="134" t="n">
        <f aca="false">SUMIF($X:$X,CONCATENATE($AN130,AO$6),$T:$T)/10000</f>
        <v>0</v>
      </c>
      <c r="AP130" s="134" t="n">
        <f aca="false">SUMIF($X:$X,CONCATENATE($AN130,AP$6),$T:$T)/10000</f>
        <v>0</v>
      </c>
      <c r="AQ130" s="134" t="n">
        <f aca="false">SUMIF($X:$X,CONCATENATE($AN130,AQ$6),$T:$T)/10000</f>
        <v>0</v>
      </c>
      <c r="AR130" s="134" t="n">
        <f aca="false">SUMIF($X:$X,CONCATENATE($AN130,AR$6),$T:$T)/10000</f>
        <v>0</v>
      </c>
      <c r="AS130" s="134" t="n">
        <f aca="false">SUMIF($X:$X,CONCATENATE($AN130,AS$6),$T:$T)/10000</f>
        <v>0</v>
      </c>
      <c r="AT130" s="134" t="n">
        <f aca="false">SUMIF($X:$X,CONCATENATE($AN130,AT$6),$T:$T)/10000</f>
        <v>0</v>
      </c>
      <c r="AU130" s="134" t="n">
        <f aca="false">SUMIF($X:$X,CONCATENATE($AN130,AU$6),$T:$T)/10000</f>
        <v>0</v>
      </c>
      <c r="AV130" s="134" t="n">
        <f aca="false">SUMIF($X:$X,CONCATENATE($AN130,AV$6),$T:$T)/10000</f>
        <v>0</v>
      </c>
      <c r="AW130" s="134" t="n">
        <f aca="false">SUMIF($X:$X,CONCATENATE($AN130,AW$6),$T:$T)/10000</f>
        <v>0</v>
      </c>
      <c r="AX130" s="134" t="n">
        <f aca="false">SUMIF($X:$X,CONCATENATE($AN130,AX$6),$T:$T)/10000</f>
        <v>0</v>
      </c>
      <c r="AY130" s="134" t="n">
        <f aca="false">SUMIF($X:$X,CONCATENATE($AN130,AY$6),$T:$T)/10000</f>
        <v>0</v>
      </c>
      <c r="AZ130" s="134" t="n">
        <f aca="false">SUMIF($X:$X,CONCATENATE($AN130,AZ$6),$T:$T)/10000</f>
        <v>0</v>
      </c>
      <c r="BA130" s="135" t="n">
        <f aca="false">SUMIF($X:$X,CONCATENATE($AN130,BA$6),$T:$T)/10000</f>
        <v>0</v>
      </c>
      <c r="BB130" s="208" t="n">
        <f aca="false">EOMONTH(BB129,0)+1</f>
        <v>40483</v>
      </c>
      <c r="BC130" s="135" t="n">
        <f aca="false">SUM(AO130:BA130)</f>
        <v>0</v>
      </c>
      <c r="BD130" s="2"/>
      <c r="BE130" s="208" t="n">
        <f aca="false">EOMONTH(BE129,0)+1</f>
        <v>40483</v>
      </c>
      <c r="BF130" s="134" t="n">
        <f aca="false">SUMIF($X:$X,CONCATENATE($AN130,BF$6),$W:$W)</f>
        <v>0</v>
      </c>
      <c r="BG130" s="134" t="n">
        <f aca="false">SUMIF($X:$X,CONCATENATE($AN130,BG$6),$W:$W)</f>
        <v>0</v>
      </c>
      <c r="BH130" s="134" t="n">
        <f aca="false">SUMIF($X:$X,CONCATENATE($AN130,BH$6),$W:$W)</f>
        <v>0</v>
      </c>
      <c r="BI130" s="134" t="n">
        <f aca="false">SUMIF($X:$X,CONCATENATE($AN130,BI$6),$W:$W)</f>
        <v>0</v>
      </c>
      <c r="BJ130" s="134" t="n">
        <f aca="false">SUMIF($X:$X,CONCATENATE($AN130,BJ$6),$W:$W)</f>
        <v>0</v>
      </c>
      <c r="BK130" s="134" t="n">
        <f aca="false">SUMIF($X:$X,CONCATENATE($AN130,BK$6),$W:$W)</f>
        <v>0</v>
      </c>
      <c r="BL130" s="134" t="n">
        <f aca="false">SUMIF($X:$X,CONCATENATE($AN130,BL$6),$W:$W)</f>
        <v>0</v>
      </c>
      <c r="BM130" s="134" t="n">
        <f aca="false">SUMIF($X:$X,CONCATENATE($AN130,BM$6),$W:$W)</f>
        <v>0</v>
      </c>
      <c r="BN130" s="134" t="n">
        <f aca="false">SUMIF($X:$X,CONCATENATE($AN130,BN$6),$W:$W)</f>
        <v>0</v>
      </c>
      <c r="BO130" s="134" t="n">
        <f aca="false">SUMIF($X:$X,CONCATENATE($AN130,BO$6),$W:$W)</f>
        <v>0</v>
      </c>
      <c r="BP130" s="134" t="n">
        <f aca="false">SUMIF($X:$X,CONCATENATE($AN130,BP$6),$W:$W)</f>
        <v>0</v>
      </c>
      <c r="BQ130" s="134" t="n">
        <f aca="false">SUMIF($X:$X,CONCATENATE($AN130,BQ$6),$W:$W)</f>
        <v>0</v>
      </c>
      <c r="BR130" s="135" t="n">
        <f aca="false">SUMIF($X:$X,CONCATENATE($AN130,BR$6),$W:$W)</f>
        <v>0</v>
      </c>
      <c r="BS130" s="208" t="n">
        <f aca="false">EOMONTH(BS129,0)+1</f>
        <v>40483</v>
      </c>
      <c r="BT130" s="135" t="n">
        <f aca="false">SUM(BF130:BR130)</f>
        <v>0</v>
      </c>
      <c r="BU130" s="2"/>
      <c r="BV130" s="2"/>
      <c r="BW130" s="2"/>
      <c r="BX130" s="2"/>
      <c r="BY130" s="2"/>
      <c r="BZ130" s="2"/>
      <c r="CA130" s="2"/>
      <c r="CB130" s="2"/>
      <c r="CC130" s="182" t="n">
        <f aca="false">G130</f>
        <v>36951</v>
      </c>
      <c r="CD130" s="253" t="e">
        <f aca="false">xSPRDOPT((VLOOKUP(G130,NGPrices,2,FALSE())+HLOOKUP(D130,Prices,VLOOKUP(G130,move_down,2,FALSE()),FALSE())),VLOOKUP(G130,NGPrices,2,FALSE()),I130,VLOOKUP(G130,NGPREVPRICES,4,FALSE()),HLOOKUP(D130,PREVVOLS,VLOOKUP(G130,MOVE_DOWN2,2,FALSE()),FALSE()),VLOOKUP(G130,NGPREVPRICES,3,FALSE()),HLOOKUP(D130,Correllate,VLOOKUP(G130,CorMove,2,FALSE()),FALSE()),Q130-$CD$3,R130,$CD$5)*H130-CJ130</f>
        <v>#NAME?</v>
      </c>
      <c r="CE130" s="253" t="e">
        <f aca="false">xSPRDOPT((VLOOKUP(G130,NGPREVPRICES,2,FALSE())+HLOOKUP(D130,PREVCURVES,VLOOKUP(G130,MOVE_DOWN2,2,FALSE()),FALSE())),VLOOKUP(G130,NGPREVPRICES,2,FALSE()),CK130,VLOOKUP(G130,NGPrices,4,FALSE()),HLOOKUP(D130,PREVVOLS,VLOOKUP(G130,MOVE_DOWN2,2,FALSE()),FALSE()),VLOOKUP(G130,NGPREVPRICES,3,FALSE()),HLOOKUP(D130,Correllate,VLOOKUP(G130,CorMove,2,FALSE()),FALSE()),Q130-$CD$3,R130,$CJ$5)*H130-CJ130</f>
        <v>#NAME?</v>
      </c>
      <c r="CF130" s="132" t="e">
        <f aca="false">(CJ130/VLOOKUP(CC130,discount,3,FALSE()))-(CJ130/VLOOKUP(CC130,discount,2,FALSE()))</f>
        <v>#NAME?</v>
      </c>
      <c r="CG130" s="253" t="e">
        <f aca="false">xSPRDOPT((VLOOKUP(G130,NGPREVPRICES,2,FALSE())+HLOOKUP(D130,PREVCURVES,VLOOKUP(G130,MOVE_DOWN2,2,FALSE()),FALSE())),VLOOKUP(G130,NGPREVPRICES,2,FALSE()),CK130,VLOOKUP(G130,NGPREVPRICES,4,FALSE()),HLOOKUP(D130,VOLS,VLOOKUP(G130,move_down,2,FALSE()),FALSE()),VLOOKUP(G130,NGPrices,3,FALSE()),HLOOKUP(D130,Correllate,VLOOKUP(G130,CorMove,2,FALSE()),FALSE()),Q130-$CD$3,R130,$CJ$5)*H130-CJ130</f>
        <v>#NAME?</v>
      </c>
      <c r="CH130" s="253" t="e">
        <f aca="false">xSPRDOPT((VLOOKUP(G130,NGPREVPRICES,2,FALSE())+HLOOKUP(D130,PREVCURVES,VLOOKUP(G130,MOVE_DOWN2,2,FALSE()),FALSE())),VLOOKUP(G130,NGPREVPRICES,2,FALSE()),CK130,VLOOKUP(G130,NGPREVPRICES,4,FALSE()),HLOOKUP(D130,PREVVOLS,VLOOKUP(G130,MOVE_DOWN2,2,FALSE()),FALSE()),VLOOKUP(G130,NGPREVPRICES,3,FALSE()),HLOOKUP(D130,Correllate,VLOOKUP(G130,CorMove,2,FALSE()),FALSE()),Q130-$C$3,R130,$CJ$5)*H130-CJ130</f>
        <v>#NAME?</v>
      </c>
      <c r="CI130" s="253" t="e">
        <f aca="false">SUM(CD130:CH130)</f>
        <v>#NAME?</v>
      </c>
      <c r="CJ130" s="253" t="e">
        <f aca="false">xSPRDOPT((VLOOKUP(G130,NGPREVPRICES,2,FALSE())+HLOOKUP(D130,PREVCURVES,VLOOKUP(G130,MOVE_DOWN2,2,FALSE()),FALSE())),VLOOKUP(G130,NGPREVPRICES,2,FALSE()),CK130,VLOOKUP(G130,NGPREVPRICES,4,FALSE()),HLOOKUP(D130,PREVVOLS,VLOOKUP(G130,MOVE_DOWN2,2,FALSE()),FALSE()),VLOOKUP(G130,NGPREVPRICES,3,FALSE()),HLOOKUP(D130,Correllate,VLOOKUP(G130,CorMove,2,FALSE()),FALSE()),Q130-$CD$3,R130,$CJ$5)*H130</f>
        <v>#NAME?</v>
      </c>
      <c r="CK130" s="254" t="n">
        <f aca="false">I130</f>
        <v>0</v>
      </c>
      <c r="CL130" s="253"/>
      <c r="CM130" s="0" t="str">
        <f aca="false">CONCATENATE(CC130,$CD$6)</f>
        <v>36951Curve Shift/Gamma</v>
      </c>
      <c r="CN130" s="0" t="str">
        <f aca="false">CONCATENATE($CC130,$CE$6)</f>
        <v>36951Rho</v>
      </c>
      <c r="CO130" s="0" t="str">
        <f aca="false">CONCATENATE($CC130,$CF$6)</f>
        <v>36951Drift</v>
      </c>
      <c r="CP130" s="0" t="str">
        <f aca="false">CONCATENATE($CC130,$CG$6)</f>
        <v>36951Vega</v>
      </c>
      <c r="CQ130" s="0" t="str">
        <f aca="false">CONCATENATE($CC130,$CH$6)</f>
        <v>36951Theta</v>
      </c>
    </row>
    <row r="131" customFormat="false" ht="12" hidden="false" customHeight="true" outlineLevel="0" collapsed="false">
      <c r="A131" s="265" t="s">
        <v>198</v>
      </c>
      <c r="B131" s="0" t="s">
        <v>192</v>
      </c>
      <c r="C131" s="0" t="s">
        <v>249</v>
      </c>
      <c r="D131" s="7" t="s">
        <v>153</v>
      </c>
      <c r="E131" s="0" t="s">
        <v>131</v>
      </c>
      <c r="F131" s="0" t="s">
        <v>132</v>
      </c>
      <c r="G131" s="92" t="n">
        <v>36923</v>
      </c>
      <c r="H131" s="248" t="n">
        <v>-1000000</v>
      </c>
      <c r="I131" s="0" t="n">
        <v>0</v>
      </c>
      <c r="J131" s="124" t="n">
        <f aca="false">VLOOKUP(G131,NGPrices,2,FALSE())</f>
        <v>4.48</v>
      </c>
      <c r="K131" s="125" t="n">
        <f aca="false">HLOOKUP(D131,Prices,VLOOKUP(G131,move_down,2,FALSE()),FALSE())+VLOOKUP(G131,CHANGE,HLOOKUP(D131,CHANGE,2,FALSE()),FALSE())</f>
        <v>0.035</v>
      </c>
      <c r="L131" s="124" t="n">
        <f aca="false">K131+J131</f>
        <v>4.515</v>
      </c>
      <c r="M131" s="126" t="n">
        <f aca="false">VLOOKUP(G131,NGPrices,4,FALSE())</f>
        <v>0.068640161611372</v>
      </c>
      <c r="N131" s="7" t="n">
        <f aca="false">VLOOKUP(G131,NGPrices,3,FALSE())</f>
        <v>0.5925</v>
      </c>
      <c r="O131" s="7" t="n">
        <f aca="false">HLOOKUP(D131,VOLS,VLOOKUP(G131,move_down,2,FALSE()),FALSE())</f>
        <v>0.622</v>
      </c>
      <c r="P131" s="249" t="n">
        <f aca="false">HLOOKUP(D131,Correllate,VLOOKUP(G131,CorMove,2,FALSE()),FALSE())</f>
        <v>0.9975</v>
      </c>
      <c r="Q131" s="92" t="n">
        <f aca="false">WORKDAY(G131,-2)</f>
        <v>36921</v>
      </c>
      <c r="R131" s="7" t="n">
        <f aca="false">IF(F131="P",0,1)</f>
        <v>0</v>
      </c>
      <c r="S131" s="130" t="e">
        <f aca="false">xSPRDOPT($L131,$J131,$I131,$M131,$O131,$N131,$P131,$Q131-$C$3,$R131,0)</f>
        <v>#NAME?</v>
      </c>
      <c r="T131" s="250" t="e">
        <f aca="false">xSPRDOPT($L131,$J131,$I131,$M131,$O131,$N131,$P131,$Q131-$C$3,$R131,1)*H131</f>
        <v>#NAME?</v>
      </c>
      <c r="U131" s="43" t="e">
        <f aca="false">S131*H131</f>
        <v>#NAME?</v>
      </c>
      <c r="V131" s="250" t="e">
        <f aca="false">xSPRDOPT($L131,$J131,$I131,$M131,$O131,$N131,$P131,$Q131-$C$3,$R131,2)*H131</f>
        <v>#NAME?</v>
      </c>
      <c r="W131" s="250" t="e">
        <f aca="false">+V131+T131</f>
        <v>#NAME?</v>
      </c>
      <c r="X131" s="2" t="str">
        <f aca="false">CONCATENATE(G131,D131)</f>
        <v>36923IF-NNG/VENT</v>
      </c>
      <c r="Y131" s="251" t="n">
        <f aca="false">H131/10000</f>
        <v>-100</v>
      </c>
      <c r="Z131" s="226" t="e">
        <f aca="false">T131/H131</f>
        <v>#NAME?</v>
      </c>
      <c r="AA131" s="226" t="e">
        <f aca="false">xSPRDOPT($L131,$J131,$I131,$M131,$O131,$N131,$P131,$Q131-$C$3,$R131,3)</f>
        <v>#NAME?</v>
      </c>
      <c r="AB131" s="226" t="e">
        <f aca="false">((xSPRDOPT($L131+AB$5,$J131,$I131,$M131,$O131,$N131,$P131,$Q131-$C$3,$R131,3)*$H131)/10000)/100</f>
        <v>#NAME?</v>
      </c>
      <c r="AC131" s="226" t="e">
        <f aca="false">((xSPRDOPT($L131+$AB$5,$J131,$I131,$M131,$O131,$N131,$P131,$Q131-$C$3,$R131,7)*$H131)/100)</f>
        <v>#NAME?</v>
      </c>
      <c r="AD131" s="226" t="e">
        <f aca="false">(xSPRDOPT($L131+$AB$5,$J131,$I131,$M131,$O131,$N131,$P131,$Q131-$C$3,$R131,9)/365)*$H131</f>
        <v>#NAME?</v>
      </c>
      <c r="AE131" s="0" t="e">
        <f aca="false">CD131</f>
        <v>#NAME?</v>
      </c>
      <c r="AF131" s="226" t="e">
        <f aca="false">((O131/N131)*AH131)+AG131</f>
        <v>#NAME?</v>
      </c>
      <c r="AG131" s="226" t="e">
        <f aca="false">((xSPRDOPT($L131,$J131,$I131,$M131,$O131,$N131,$P131,$Q131-$C$3,$R131,6)*$H131)/100)</f>
        <v>#NAME?</v>
      </c>
      <c r="AH131" s="226" t="e">
        <f aca="false">((xSPRDOPT($L131,$J131,$I131,$M131,$O131,$N131,$P131,$Q131-$C$3,$R131,5)*$H131)/100)</f>
        <v>#NAME?</v>
      </c>
      <c r="AI131" s="226" t="e">
        <f aca="false">(((xSPRDOPT($L131,$J131,$I131,$M131,$O131,$N131,$P131,$Q131-$C$3,$R131,4)*$H131)/10000)/100)-AB131</f>
        <v>#NAME?</v>
      </c>
      <c r="AJ131" s="226"/>
      <c r="AK131" s="226"/>
      <c r="AL131" s="226"/>
      <c r="AM131" s="252"/>
      <c r="AN131" s="208" t="n">
        <f aca="false">EOMONTH(AN130,0)+1</f>
        <v>40513</v>
      </c>
      <c r="AO131" s="134" t="n">
        <f aca="false">SUMIF($X:$X,CONCATENATE($AN131,AO$6),$T:$T)/10000</f>
        <v>0</v>
      </c>
      <c r="AP131" s="134" t="n">
        <f aca="false">SUMIF($X:$X,CONCATENATE($AN131,AP$6),$T:$T)/10000</f>
        <v>0</v>
      </c>
      <c r="AQ131" s="134" t="n">
        <f aca="false">SUMIF($X:$X,CONCATENATE($AN131,AQ$6),$T:$T)/10000</f>
        <v>0</v>
      </c>
      <c r="AR131" s="134" t="n">
        <f aca="false">SUMIF($X:$X,CONCATENATE($AN131,AR$6),$T:$T)/10000</f>
        <v>0</v>
      </c>
      <c r="AS131" s="134" t="n">
        <f aca="false">SUMIF($X:$X,CONCATENATE($AN131,AS$6),$T:$T)/10000</f>
        <v>0</v>
      </c>
      <c r="AT131" s="134" t="n">
        <f aca="false">SUMIF($X:$X,CONCATENATE($AN131,AT$6),$T:$T)/10000</f>
        <v>0</v>
      </c>
      <c r="AU131" s="134" t="n">
        <f aca="false">SUMIF($X:$X,CONCATENATE($AN131,AU$6),$T:$T)/10000</f>
        <v>0</v>
      </c>
      <c r="AV131" s="134" t="n">
        <f aca="false">SUMIF($X:$X,CONCATENATE($AN131,AV$6),$T:$T)/10000</f>
        <v>0</v>
      </c>
      <c r="AW131" s="134" t="n">
        <f aca="false">SUMIF($X:$X,CONCATENATE($AN131,AW$6),$T:$T)/10000</f>
        <v>0</v>
      </c>
      <c r="AX131" s="134" t="n">
        <f aca="false">SUMIF($X:$X,CONCATENATE($AN131,AX$6),$T:$T)/10000</f>
        <v>0</v>
      </c>
      <c r="AY131" s="134" t="n">
        <f aca="false">SUMIF($X:$X,CONCATENATE($AN131,AY$6),$T:$T)/10000</f>
        <v>0</v>
      </c>
      <c r="AZ131" s="134" t="n">
        <f aca="false">SUMIF($X:$X,CONCATENATE($AN131,AZ$6),$T:$T)/10000</f>
        <v>0</v>
      </c>
      <c r="BA131" s="135" t="n">
        <f aca="false">SUMIF($X:$X,CONCATENATE($AN131,BA$6),$T:$T)/10000</f>
        <v>0</v>
      </c>
      <c r="BB131" s="208" t="n">
        <f aca="false">EOMONTH(BB130,0)+1</f>
        <v>40513</v>
      </c>
      <c r="BC131" s="135" t="n">
        <f aca="false">SUM(AO131:BA131)</f>
        <v>0</v>
      </c>
      <c r="BD131" s="2"/>
      <c r="BE131" s="208" t="n">
        <f aca="false">EOMONTH(BE130,0)+1</f>
        <v>40513</v>
      </c>
      <c r="BF131" s="134" t="n">
        <f aca="false">SUMIF($X:$X,CONCATENATE($AN131,BF$6),$W:$W)</f>
        <v>0</v>
      </c>
      <c r="BG131" s="134" t="n">
        <f aca="false">SUMIF($X:$X,CONCATENATE($AN131,BG$6),$W:$W)</f>
        <v>0</v>
      </c>
      <c r="BH131" s="134" t="n">
        <f aca="false">SUMIF($X:$X,CONCATENATE($AN131,BH$6),$W:$W)</f>
        <v>0</v>
      </c>
      <c r="BI131" s="134" t="n">
        <f aca="false">SUMIF($X:$X,CONCATENATE($AN131,BI$6),$W:$W)</f>
        <v>0</v>
      </c>
      <c r="BJ131" s="134" t="n">
        <f aca="false">SUMIF($X:$X,CONCATENATE($AN131,BJ$6),$W:$W)</f>
        <v>0</v>
      </c>
      <c r="BK131" s="134" t="n">
        <f aca="false">SUMIF($X:$X,CONCATENATE($AN131,BK$6),$W:$W)</f>
        <v>0</v>
      </c>
      <c r="BL131" s="134" t="n">
        <f aca="false">SUMIF($X:$X,CONCATENATE($AN131,BL$6),$W:$W)</f>
        <v>0</v>
      </c>
      <c r="BM131" s="134" t="n">
        <f aca="false">SUMIF($X:$X,CONCATENATE($AN131,BM$6),$W:$W)</f>
        <v>0</v>
      </c>
      <c r="BN131" s="134" t="n">
        <f aca="false">SUMIF($X:$X,CONCATENATE($AN131,BN$6),$W:$W)</f>
        <v>0</v>
      </c>
      <c r="BO131" s="134" t="n">
        <f aca="false">SUMIF($X:$X,CONCATENATE($AN131,BO$6),$W:$W)</f>
        <v>0</v>
      </c>
      <c r="BP131" s="134" t="n">
        <f aca="false">SUMIF($X:$X,CONCATENATE($AN131,BP$6),$W:$W)</f>
        <v>0</v>
      </c>
      <c r="BQ131" s="134" t="n">
        <f aca="false">SUMIF($X:$X,CONCATENATE($AN131,BQ$6),$W:$W)</f>
        <v>0</v>
      </c>
      <c r="BR131" s="135" t="n">
        <f aca="false">SUMIF($X:$X,CONCATENATE($AN131,BR$6),$W:$W)</f>
        <v>0</v>
      </c>
      <c r="BS131" s="208" t="n">
        <f aca="false">EOMONTH(BS130,0)+1</f>
        <v>40513</v>
      </c>
      <c r="BT131" s="135" t="n">
        <f aca="false">SUM(BF131:BR131)</f>
        <v>0</v>
      </c>
      <c r="BU131" s="2"/>
      <c r="BV131" s="2"/>
      <c r="BW131" s="2"/>
      <c r="BX131" s="2"/>
      <c r="BY131" s="2"/>
      <c r="BZ131" s="2"/>
      <c r="CA131" s="2"/>
      <c r="CB131" s="2"/>
      <c r="CC131" s="182" t="n">
        <f aca="false">G131</f>
        <v>36923</v>
      </c>
      <c r="CD131" s="253" t="e">
        <f aca="false">xSPRDOPT((VLOOKUP(G131,NGPrices,2,FALSE())+HLOOKUP(D131,Prices,VLOOKUP(G131,move_down,2,FALSE()),FALSE())),VLOOKUP(G131,NGPrices,2,FALSE()),I131,VLOOKUP(G131,NGPREVPRICES,4,FALSE()),HLOOKUP(D131,PREVVOLS,VLOOKUP(G131,MOVE_DOWN2,2,FALSE()),FALSE()),VLOOKUP(G131,NGPREVPRICES,3,FALSE()),HLOOKUP(D131,Correllate,VLOOKUP(G131,CorMove,2,FALSE()),FALSE()),Q131-$CD$3,R131,$CD$5)*H131-CJ131</f>
        <v>#NAME?</v>
      </c>
      <c r="CE131" s="253" t="e">
        <f aca="false">xSPRDOPT((VLOOKUP(G131,NGPREVPRICES,2,FALSE())+HLOOKUP(D131,PREVCURVES,VLOOKUP(G131,MOVE_DOWN2,2,FALSE()),FALSE())),VLOOKUP(G131,NGPREVPRICES,2,FALSE()),CK131,VLOOKUP(G131,NGPrices,4,FALSE()),HLOOKUP(D131,PREVVOLS,VLOOKUP(G131,MOVE_DOWN2,2,FALSE()),FALSE()),VLOOKUP(G131,NGPREVPRICES,3,FALSE()),HLOOKUP(D131,Correllate,VLOOKUP(G131,CorMove,2,FALSE()),FALSE()),Q131-$CD$3,R131,$CJ$5)*H131-CJ131</f>
        <v>#NAME?</v>
      </c>
      <c r="CF131" s="132" t="e">
        <f aca="false">(CJ131/VLOOKUP(CC131,discount,3,FALSE()))-(CJ131/VLOOKUP(CC131,discount,2,FALSE()))</f>
        <v>#NAME?</v>
      </c>
      <c r="CG131" s="253" t="e">
        <f aca="false">xSPRDOPT((VLOOKUP(G131,NGPREVPRICES,2,FALSE())+HLOOKUP(D131,PREVCURVES,VLOOKUP(G131,MOVE_DOWN2,2,FALSE()),FALSE())),VLOOKUP(G131,NGPREVPRICES,2,FALSE()),CK131,VLOOKUP(G131,NGPREVPRICES,4,FALSE()),HLOOKUP(D131,VOLS,VLOOKUP(G131,move_down,2,FALSE()),FALSE()),VLOOKUP(G131,NGPrices,3,FALSE()),HLOOKUP(D131,Correllate,VLOOKUP(G131,CorMove,2,FALSE()),FALSE()),Q131-$CD$3,R131,$CJ$5)*H131-CJ131</f>
        <v>#NAME?</v>
      </c>
      <c r="CH131" s="253" t="e">
        <f aca="false">xSPRDOPT((VLOOKUP(G131,NGPREVPRICES,2,FALSE())+HLOOKUP(D131,PREVCURVES,VLOOKUP(G131,MOVE_DOWN2,2,FALSE()),FALSE())),VLOOKUP(G131,NGPREVPRICES,2,FALSE()),CK131,VLOOKUP(G131,NGPREVPRICES,4,FALSE()),HLOOKUP(D131,PREVVOLS,VLOOKUP(G131,MOVE_DOWN2,2,FALSE()),FALSE()),VLOOKUP(G131,NGPREVPRICES,3,FALSE()),HLOOKUP(D131,Correllate,VLOOKUP(G131,CorMove,2,FALSE()),FALSE()),Q131-$C$3,R131,$CJ$5)*H131-CJ131</f>
        <v>#NAME?</v>
      </c>
      <c r="CI131" s="253" t="e">
        <f aca="false">SUM(CD131:CH131)</f>
        <v>#NAME?</v>
      </c>
      <c r="CJ131" s="253" t="e">
        <f aca="false">xSPRDOPT((VLOOKUP(G131,NGPREVPRICES,2,FALSE())+HLOOKUP(D131,PREVCURVES,VLOOKUP(G131,MOVE_DOWN2,2,FALSE()),FALSE())),VLOOKUP(G131,NGPREVPRICES,2,FALSE()),CK131,VLOOKUP(G131,NGPREVPRICES,4,FALSE()),HLOOKUP(D131,PREVVOLS,VLOOKUP(G131,MOVE_DOWN2,2,FALSE()),FALSE()),VLOOKUP(G131,NGPREVPRICES,3,FALSE()),HLOOKUP(D131,Correllate,VLOOKUP(G131,CorMove,2,FALSE()),FALSE()),Q131-$CD$3,R131,$CJ$5)*H131</f>
        <v>#NAME?</v>
      </c>
      <c r="CK131" s="254" t="n">
        <f aca="false">I131</f>
        <v>0</v>
      </c>
      <c r="CL131" s="253"/>
      <c r="CM131" s="0" t="str">
        <f aca="false">CONCATENATE(CC131,$CD$6)</f>
        <v>36923Curve Shift/Gamma</v>
      </c>
      <c r="CN131" s="0" t="str">
        <f aca="false">CONCATENATE($CC131,$CE$6)</f>
        <v>36923Rho</v>
      </c>
      <c r="CO131" s="0" t="str">
        <f aca="false">CONCATENATE($CC131,$CF$6)</f>
        <v>36923Drift</v>
      </c>
      <c r="CP131" s="0" t="str">
        <f aca="false">CONCATENATE($CC131,$CG$6)</f>
        <v>36923Vega</v>
      </c>
      <c r="CQ131" s="0" t="str">
        <f aca="false">CONCATENATE($CC131,$CH$6)</f>
        <v>36923Theta</v>
      </c>
    </row>
    <row r="132" customFormat="false" ht="12" hidden="false" customHeight="true" outlineLevel="0" collapsed="false">
      <c r="A132" s="265" t="s">
        <v>198</v>
      </c>
      <c r="B132" s="0" t="s">
        <v>192</v>
      </c>
      <c r="C132" s="0" t="s">
        <v>249</v>
      </c>
      <c r="D132" s="7" t="s">
        <v>153</v>
      </c>
      <c r="E132" s="0" t="s">
        <v>131</v>
      </c>
      <c r="F132" s="0" t="s">
        <v>132</v>
      </c>
      <c r="G132" s="92" t="n">
        <v>36892</v>
      </c>
      <c r="H132" s="248" t="n">
        <v>-1000000</v>
      </c>
      <c r="I132" s="0" t="n">
        <v>0</v>
      </c>
      <c r="J132" s="124" t="n">
        <f aca="false">VLOOKUP(G132,NGPrices,2,FALSE())</f>
        <v>4.744</v>
      </c>
      <c r="K132" s="125" t="n">
        <f aca="false">HLOOKUP(D132,Prices,VLOOKUP(G132,move_down,2,FALSE()),FALSE())+VLOOKUP(G132,CHANGE,HLOOKUP(D132,CHANGE,2,FALSE()),FALSE())</f>
        <v>0.03</v>
      </c>
      <c r="L132" s="124" t="n">
        <f aca="false">K132+J132</f>
        <v>4.774</v>
      </c>
      <c r="M132" s="126" t="n">
        <f aca="false">VLOOKUP(G132,NGPrices,4,FALSE())</f>
        <v>0.068374831148491</v>
      </c>
      <c r="N132" s="7" t="n">
        <f aca="false">VLOOKUP(G132,NGPrices,3,FALSE())</f>
        <v>0.605</v>
      </c>
      <c r="O132" s="7" t="n">
        <f aca="false">HLOOKUP(D132,VOLS,VLOOKUP(G132,move_down,2,FALSE()),FALSE())</f>
        <v>0.635</v>
      </c>
      <c r="P132" s="249" t="n">
        <f aca="false">HLOOKUP(D132,Correllate,VLOOKUP(G132,CorMove,2,FALSE()),FALSE())</f>
        <v>0.9975</v>
      </c>
      <c r="Q132" s="92" t="n">
        <f aca="false">WORKDAY(G132,-2)</f>
        <v>36888</v>
      </c>
      <c r="R132" s="7" t="n">
        <f aca="false">IF(F132="P",0,1)</f>
        <v>0</v>
      </c>
      <c r="S132" s="130" t="e">
        <f aca="false">xSPRDOPT($L132,$J132,$I132,$M132,$O132,$N132,$P132,$Q132-$C$3,$R132,0)</f>
        <v>#NAME?</v>
      </c>
      <c r="T132" s="250" t="e">
        <f aca="false">xSPRDOPT($L132,$J132,$I132,$M132,$O132,$N132,$P132,$Q132-$C$3,$R132,1)*H132</f>
        <v>#NAME?</v>
      </c>
      <c r="U132" s="43" t="e">
        <f aca="false">S132*H132</f>
        <v>#NAME?</v>
      </c>
      <c r="V132" s="250" t="e">
        <f aca="false">xSPRDOPT($L132,$J132,$I132,$M132,$O132,$N132,$P132,$Q132-$C$3,$R132,2)*H132</f>
        <v>#NAME?</v>
      </c>
      <c r="W132" s="250" t="e">
        <f aca="false">+V132+T132</f>
        <v>#NAME?</v>
      </c>
      <c r="X132" s="2" t="str">
        <f aca="false">CONCATENATE(G132,D132)</f>
        <v>36892IF-NNG/VENT</v>
      </c>
      <c r="Y132" s="251" t="n">
        <f aca="false">H132/10000</f>
        <v>-100</v>
      </c>
      <c r="Z132" s="226" t="e">
        <f aca="false">T132/H132</f>
        <v>#NAME?</v>
      </c>
      <c r="AA132" s="226" t="e">
        <f aca="false">xSPRDOPT($L132,$J132,$I132,$M132,$O132,$N132,$P132,$Q132-$C$3,$R132,3)</f>
        <v>#NAME?</v>
      </c>
      <c r="AB132" s="226" t="e">
        <f aca="false">((xSPRDOPT($L132+AB$5,$J132,$I132,$M132,$O132,$N132,$P132,$Q132-$C$3,$R132,3)*$H132)/10000)/100</f>
        <v>#NAME?</v>
      </c>
      <c r="AC132" s="226" t="e">
        <f aca="false">((xSPRDOPT($L132+$AB$5,$J132,$I132,$M132,$O132,$N132,$P132,$Q132-$C$3,$R132,7)*$H132)/100)</f>
        <v>#NAME?</v>
      </c>
      <c r="AD132" s="226" t="e">
        <f aca="false">(xSPRDOPT($L132+$AB$5,$J132,$I132,$M132,$O132,$N132,$P132,$Q132-$C$3,$R132,9)/365)*$H132</f>
        <v>#NAME?</v>
      </c>
      <c r="AE132" s="0" t="e">
        <f aca="false">CD132</f>
        <v>#NAME?</v>
      </c>
      <c r="AF132" s="226" t="e">
        <f aca="false">((O132/N132)*AH132)+AG132</f>
        <v>#NAME?</v>
      </c>
      <c r="AG132" s="226" t="e">
        <f aca="false">((xSPRDOPT($L132,$J132,$I132,$M132,$O132,$N132,$P132,$Q132-$C$3,$R132,6)*$H132)/100)</f>
        <v>#NAME?</v>
      </c>
      <c r="AH132" s="226" t="e">
        <f aca="false">((xSPRDOPT($L132,$J132,$I132,$M132,$O132,$N132,$P132,$Q132-$C$3,$R132,5)*$H132)/100)</f>
        <v>#NAME?</v>
      </c>
      <c r="AI132" s="226" t="e">
        <f aca="false">(((xSPRDOPT($L132,$J132,$I132,$M132,$O132,$N132,$P132,$Q132-$C$3,$R132,4)*$H132)/10000)/100)-AB132</f>
        <v>#NAME?</v>
      </c>
      <c r="AJ132" s="226"/>
      <c r="AK132" s="226"/>
      <c r="AL132" s="226"/>
      <c r="AM132" s="252"/>
      <c r="AN132" s="208" t="n">
        <f aca="false">EOMONTH(AN131,0)+1</f>
        <v>40544</v>
      </c>
      <c r="AO132" s="134" t="n">
        <f aca="false">SUMIF($X:$X,CONCATENATE($AN132,AO$6),$T:$T)/10000</f>
        <v>0</v>
      </c>
      <c r="AP132" s="134" t="n">
        <f aca="false">SUMIF($X:$X,CONCATENATE($AN132,AP$6),$T:$T)/10000</f>
        <v>0</v>
      </c>
      <c r="AQ132" s="134" t="n">
        <f aca="false">SUMIF($X:$X,CONCATENATE($AN132,AQ$6),$T:$T)/10000</f>
        <v>0</v>
      </c>
      <c r="AR132" s="134" t="n">
        <f aca="false">SUMIF($X:$X,CONCATENATE($AN132,AR$6),$T:$T)/10000</f>
        <v>0</v>
      </c>
      <c r="AS132" s="134" t="n">
        <f aca="false">SUMIF($X:$X,CONCATENATE($AN132,AS$6),$T:$T)/10000</f>
        <v>0</v>
      </c>
      <c r="AT132" s="134" t="n">
        <f aca="false">SUMIF($X:$X,CONCATENATE($AN132,AT$6),$T:$T)/10000</f>
        <v>0</v>
      </c>
      <c r="AU132" s="134" t="n">
        <f aca="false">SUMIF($X:$X,CONCATENATE($AN132,AU$6),$T:$T)/10000</f>
        <v>0</v>
      </c>
      <c r="AV132" s="134" t="n">
        <f aca="false">SUMIF($X:$X,CONCATENATE($AN132,AV$6),$T:$T)/10000</f>
        <v>0</v>
      </c>
      <c r="AW132" s="134" t="n">
        <f aca="false">SUMIF($X:$X,CONCATENATE($AN132,AW$6),$T:$T)/10000</f>
        <v>0</v>
      </c>
      <c r="AX132" s="134" t="n">
        <f aca="false">SUMIF($X:$X,CONCATENATE($AN132,AX$6),$T:$T)/10000</f>
        <v>0</v>
      </c>
      <c r="AY132" s="134" t="n">
        <f aca="false">SUMIF($X:$X,CONCATENATE($AN132,AY$6),$T:$T)/10000</f>
        <v>0</v>
      </c>
      <c r="AZ132" s="134" t="n">
        <f aca="false">SUMIF($X:$X,CONCATENATE($AN132,AZ$6),$T:$T)/10000</f>
        <v>0</v>
      </c>
      <c r="BA132" s="135" t="n">
        <f aca="false">SUMIF($X:$X,CONCATENATE($AN132,BA$6),$T:$T)/10000</f>
        <v>0</v>
      </c>
      <c r="BB132" s="208" t="n">
        <f aca="false">EOMONTH(BB131,0)+1</f>
        <v>40544</v>
      </c>
      <c r="BC132" s="135" t="n">
        <f aca="false">SUM(AO132:BA132)</f>
        <v>0</v>
      </c>
      <c r="BD132" s="2"/>
      <c r="BE132" s="208" t="n">
        <f aca="false">EOMONTH(BE131,0)+1</f>
        <v>40544</v>
      </c>
      <c r="BF132" s="134" t="n">
        <f aca="false">SUMIF($X:$X,CONCATENATE($AN132,BF$6),$W:$W)</f>
        <v>0</v>
      </c>
      <c r="BG132" s="134" t="n">
        <f aca="false">SUMIF($X:$X,CONCATENATE($AN132,BG$6),$W:$W)</f>
        <v>0</v>
      </c>
      <c r="BH132" s="134" t="n">
        <f aca="false">SUMIF($X:$X,CONCATENATE($AN132,BH$6),$W:$W)</f>
        <v>0</v>
      </c>
      <c r="BI132" s="134" t="n">
        <f aca="false">SUMIF($X:$X,CONCATENATE($AN132,BI$6),$W:$W)</f>
        <v>0</v>
      </c>
      <c r="BJ132" s="134" t="n">
        <f aca="false">SUMIF($X:$X,CONCATENATE($AN132,BJ$6),$W:$W)</f>
        <v>0</v>
      </c>
      <c r="BK132" s="134" t="n">
        <f aca="false">SUMIF($X:$X,CONCATENATE($AN132,BK$6),$W:$W)</f>
        <v>0</v>
      </c>
      <c r="BL132" s="134" t="n">
        <f aca="false">SUMIF($X:$X,CONCATENATE($AN132,BL$6),$W:$W)</f>
        <v>0</v>
      </c>
      <c r="BM132" s="134" t="n">
        <f aca="false">SUMIF($X:$X,CONCATENATE($AN132,BM$6),$W:$W)</f>
        <v>0</v>
      </c>
      <c r="BN132" s="134" t="n">
        <f aca="false">SUMIF($X:$X,CONCATENATE($AN132,BN$6),$W:$W)</f>
        <v>0</v>
      </c>
      <c r="BO132" s="134" t="n">
        <f aca="false">SUMIF($X:$X,CONCATENATE($AN132,BO$6),$W:$W)</f>
        <v>0</v>
      </c>
      <c r="BP132" s="134" t="n">
        <f aca="false">SUMIF($X:$X,CONCATENATE($AN132,BP$6),$W:$W)</f>
        <v>0</v>
      </c>
      <c r="BQ132" s="134" t="n">
        <f aca="false">SUMIF($X:$X,CONCATENATE($AN132,BQ$6),$W:$W)</f>
        <v>0</v>
      </c>
      <c r="BR132" s="135" t="n">
        <f aca="false">SUMIF($X:$X,CONCATENATE($AN132,BR$6),$W:$W)</f>
        <v>0</v>
      </c>
      <c r="BS132" s="208" t="n">
        <f aca="false">EOMONTH(BS131,0)+1</f>
        <v>40544</v>
      </c>
      <c r="BT132" s="135" t="n">
        <f aca="false">SUM(BF132:BR132)</f>
        <v>0</v>
      </c>
      <c r="BU132" s="2"/>
      <c r="BV132" s="2"/>
      <c r="BW132" s="2"/>
      <c r="BX132" s="2"/>
      <c r="BY132" s="2"/>
      <c r="BZ132" s="2"/>
      <c r="CA132" s="2"/>
      <c r="CB132" s="2"/>
      <c r="CC132" s="182" t="n">
        <f aca="false">G132</f>
        <v>36892</v>
      </c>
      <c r="CD132" s="253" t="e">
        <f aca="false">xSPRDOPT((VLOOKUP(G132,NGPrices,2,FALSE())+HLOOKUP(D132,Prices,VLOOKUP(G132,move_down,2,FALSE()),FALSE())),VLOOKUP(G132,NGPrices,2,FALSE()),I132,VLOOKUP(G132,NGPREVPRICES,4,FALSE()),HLOOKUP(D132,PREVVOLS,VLOOKUP(G132,MOVE_DOWN2,2,FALSE()),FALSE()),VLOOKUP(G132,NGPREVPRICES,3,FALSE()),HLOOKUP(D132,Correllate,VLOOKUP(G132,CorMove,2,FALSE()),FALSE()),Q132-$CD$3,R132,$CD$5)*H132-CJ132</f>
        <v>#NAME?</v>
      </c>
      <c r="CE132" s="253" t="e">
        <f aca="false">xSPRDOPT((VLOOKUP(G132,NGPREVPRICES,2,FALSE())+HLOOKUP(D132,PREVCURVES,VLOOKUP(G132,MOVE_DOWN2,2,FALSE()),FALSE())),VLOOKUP(G132,NGPREVPRICES,2,FALSE()),CK132,VLOOKUP(G132,NGPrices,4,FALSE()),HLOOKUP(D132,PREVVOLS,VLOOKUP(G132,MOVE_DOWN2,2,FALSE()),FALSE()),VLOOKUP(G132,NGPREVPRICES,3,FALSE()),HLOOKUP(D132,Correllate,VLOOKUP(G132,CorMove,2,FALSE()),FALSE()),Q132-$CD$3,R132,$CJ$5)*H132-CJ132</f>
        <v>#NAME?</v>
      </c>
      <c r="CF132" s="132" t="e">
        <f aca="false">(CJ132/VLOOKUP(CC132,discount,3,FALSE()))-(CJ132/VLOOKUP(CC132,discount,2,FALSE()))</f>
        <v>#NAME?</v>
      </c>
      <c r="CG132" s="253" t="e">
        <f aca="false">xSPRDOPT((VLOOKUP(G132,NGPREVPRICES,2,FALSE())+HLOOKUP(D132,PREVCURVES,VLOOKUP(G132,MOVE_DOWN2,2,FALSE()),FALSE())),VLOOKUP(G132,NGPREVPRICES,2,FALSE()),CK132,VLOOKUP(G132,NGPREVPRICES,4,FALSE()),HLOOKUP(D132,VOLS,VLOOKUP(G132,move_down,2,FALSE()),FALSE()),VLOOKUP(G132,NGPrices,3,FALSE()),HLOOKUP(D132,Correllate,VLOOKUP(G132,CorMove,2,FALSE()),FALSE()),Q132-$CD$3,R132,$CJ$5)*H132-CJ132</f>
        <v>#NAME?</v>
      </c>
      <c r="CH132" s="253" t="e">
        <f aca="false">xSPRDOPT((VLOOKUP(G132,NGPREVPRICES,2,FALSE())+HLOOKUP(D132,PREVCURVES,VLOOKUP(G132,MOVE_DOWN2,2,FALSE()),FALSE())),VLOOKUP(G132,NGPREVPRICES,2,FALSE()),CK132,VLOOKUP(G132,NGPREVPRICES,4,FALSE()),HLOOKUP(D132,PREVVOLS,VLOOKUP(G132,MOVE_DOWN2,2,FALSE()),FALSE()),VLOOKUP(G132,NGPREVPRICES,3,FALSE()),HLOOKUP(D132,Correllate,VLOOKUP(G132,CorMove,2,FALSE()),FALSE()),Q132-$C$3,R132,$CJ$5)*H132-CJ132</f>
        <v>#NAME?</v>
      </c>
      <c r="CI132" s="253" t="e">
        <f aca="false">SUM(CD132:CH132)</f>
        <v>#NAME?</v>
      </c>
      <c r="CJ132" s="253" t="e">
        <f aca="false">xSPRDOPT((VLOOKUP(G132,NGPREVPRICES,2,FALSE())+HLOOKUP(D132,PREVCURVES,VLOOKUP(G132,MOVE_DOWN2,2,FALSE()),FALSE())),VLOOKUP(G132,NGPREVPRICES,2,FALSE()),CK132,VLOOKUP(G132,NGPREVPRICES,4,FALSE()),HLOOKUP(D132,PREVVOLS,VLOOKUP(G132,MOVE_DOWN2,2,FALSE()),FALSE()),VLOOKUP(G132,NGPREVPRICES,3,FALSE()),HLOOKUP(D132,Correllate,VLOOKUP(G132,CorMove,2,FALSE()),FALSE()),Q132-$CD$3,R132,$CJ$5)*H132</f>
        <v>#NAME?</v>
      </c>
      <c r="CK132" s="254" t="n">
        <f aca="false">I132</f>
        <v>0</v>
      </c>
      <c r="CL132" s="253"/>
      <c r="CM132" s="0" t="str">
        <f aca="false">CONCATENATE(CC132,$CD$6)</f>
        <v>36892Curve Shift/Gamma</v>
      </c>
      <c r="CN132" s="0" t="str">
        <f aca="false">CONCATENATE($CC132,$CE$6)</f>
        <v>36892Rho</v>
      </c>
      <c r="CO132" s="0" t="str">
        <f aca="false">CONCATENATE($CC132,$CF$6)</f>
        <v>36892Drift</v>
      </c>
      <c r="CP132" s="0" t="str">
        <f aca="false">CONCATENATE($CC132,$CG$6)</f>
        <v>36892Vega</v>
      </c>
      <c r="CQ132" s="0" t="str">
        <f aca="false">CONCATENATE($CC132,$CH$6)</f>
        <v>36892Theta</v>
      </c>
    </row>
    <row r="133" customFormat="false" ht="12" hidden="false" customHeight="true" outlineLevel="0" collapsed="false">
      <c r="A133" s="265" t="s">
        <v>198</v>
      </c>
      <c r="B133" s="0" t="s">
        <v>192</v>
      </c>
      <c r="C133" s="0" t="s">
        <v>249</v>
      </c>
      <c r="D133" s="7" t="s">
        <v>153</v>
      </c>
      <c r="E133" s="0" t="s">
        <v>131</v>
      </c>
      <c r="F133" s="0" t="s">
        <v>132</v>
      </c>
      <c r="G133" s="92" t="n">
        <v>36861</v>
      </c>
      <c r="H133" s="248" t="n">
        <v>-1000000</v>
      </c>
      <c r="I133" s="0" t="n">
        <v>0</v>
      </c>
      <c r="J133" s="124" t="n">
        <f aca="false">VLOOKUP(G133,NGPrices,2,FALSE())</f>
        <v>4.8</v>
      </c>
      <c r="K133" s="125" t="n">
        <f aca="false">HLOOKUP(D133,Prices,VLOOKUP(G133,move_down,2,FALSE()),FALSE())+VLOOKUP(G133,CHANGE,HLOOKUP(D133,CHANGE,2,FALSE()),FALSE())</f>
        <v>0.0175</v>
      </c>
      <c r="L133" s="124" t="n">
        <f aca="false">K133+J133</f>
        <v>4.8175</v>
      </c>
      <c r="M133" s="126" t="n">
        <f aca="false">VLOOKUP(G133,NGPrices,4,FALSE())</f>
        <v>0.068314027999354</v>
      </c>
      <c r="N133" s="7" t="n">
        <f aca="false">VLOOKUP(G133,NGPrices,3,FALSE())</f>
        <v>0.6</v>
      </c>
      <c r="O133" s="7" t="n">
        <f aca="false">HLOOKUP(D133,VOLS,VLOOKUP(G133,move_down,2,FALSE()),FALSE())</f>
        <v>0.63</v>
      </c>
      <c r="P133" s="249" t="n">
        <f aca="false">HLOOKUP(D133,Correllate,VLOOKUP(G133,CorMove,2,FALSE()),FALSE())</f>
        <v>0.9975</v>
      </c>
      <c r="Q133" s="92" t="n">
        <f aca="false">WORKDAY(G133,-2)</f>
        <v>36859</v>
      </c>
      <c r="R133" s="7" t="n">
        <f aca="false">IF(F133="P",0,1)</f>
        <v>0</v>
      </c>
      <c r="S133" s="130" t="e">
        <f aca="false">xSPRDOPT($L133,$J133,$I133,$M133,$O133,$N133,$P133,$Q133-$C$3,$R133,0)</f>
        <v>#NAME?</v>
      </c>
      <c r="T133" s="250" t="e">
        <f aca="false">xSPRDOPT($L133,$J133,$I133,$M133,$O133,$N133,$P133,$Q133-$C$3,$R133,1)*H133</f>
        <v>#NAME?</v>
      </c>
      <c r="U133" s="43" t="e">
        <f aca="false">S133*H133</f>
        <v>#NAME?</v>
      </c>
      <c r="V133" s="250" t="e">
        <f aca="false">xSPRDOPT($L133,$J133,$I133,$M133,$O133,$N133,$P133,$Q133-$C$3,$R133,2)*H133</f>
        <v>#NAME?</v>
      </c>
      <c r="W133" s="250" t="e">
        <f aca="false">+V133+T133</f>
        <v>#NAME?</v>
      </c>
      <c r="X133" s="2" t="str">
        <f aca="false">CONCATENATE(G133,D133)</f>
        <v>36861IF-NNG/VENT</v>
      </c>
      <c r="Y133" s="251" t="n">
        <f aca="false">H133/10000</f>
        <v>-100</v>
      </c>
      <c r="Z133" s="226" t="e">
        <f aca="false">T133/H133</f>
        <v>#NAME?</v>
      </c>
      <c r="AA133" s="226" t="e">
        <f aca="false">xSPRDOPT($L133,$J133,$I133,$M133,$O133,$N133,$P133,$Q133-$C$3,$R133,3)</f>
        <v>#NAME?</v>
      </c>
      <c r="AB133" s="226" t="e">
        <f aca="false">((xSPRDOPT($L133+AB$5,$J133,$I133,$M133,$O133,$N133,$P133,$Q133-$C$3,$R133,3)*$H133)/10000)/100</f>
        <v>#NAME?</v>
      </c>
      <c r="AC133" s="226" t="e">
        <f aca="false">((xSPRDOPT($L133+$AB$5,$J133,$I133,$M133,$O133,$N133,$P133,$Q133-$C$3,$R133,7)*$H133)/100)</f>
        <v>#NAME?</v>
      </c>
      <c r="AD133" s="226" t="e">
        <f aca="false">(xSPRDOPT($L133+$AB$5,$J133,$I133,$M133,$O133,$N133,$P133,$Q133-$C$3,$R133,9)/365)*$H133</f>
        <v>#NAME?</v>
      </c>
      <c r="AE133" s="0" t="e">
        <f aca="false">CD133</f>
        <v>#NAME?</v>
      </c>
      <c r="AF133" s="226" t="e">
        <f aca="false">((O133/N133)*AH133)+AG133</f>
        <v>#NAME?</v>
      </c>
      <c r="AG133" s="226" t="e">
        <f aca="false">((xSPRDOPT($L133,$J133,$I133,$M133,$O133,$N133,$P133,$Q133-$C$3,$R133,6)*$H133)/100)</f>
        <v>#NAME?</v>
      </c>
      <c r="AH133" s="226" t="e">
        <f aca="false">((xSPRDOPT($L133,$J133,$I133,$M133,$O133,$N133,$P133,$Q133-$C$3,$R133,5)*$H133)/100)</f>
        <v>#NAME?</v>
      </c>
      <c r="AI133" s="226" t="e">
        <f aca="false">(((xSPRDOPT($L133,$J133,$I133,$M133,$O133,$N133,$P133,$Q133-$C$3,$R133,4)*$H133)/10000)/100)-AB133</f>
        <v>#NAME?</v>
      </c>
      <c r="AJ133" s="226"/>
      <c r="AK133" s="226"/>
      <c r="AL133" s="226"/>
      <c r="AM133" s="252"/>
      <c r="AN133" s="208" t="n">
        <f aca="false">EOMONTH(AN132,0)+1</f>
        <v>40575</v>
      </c>
      <c r="AO133" s="134" t="n">
        <f aca="false">SUMIF($X:$X,CONCATENATE($AN133,AO$6),$T:$T)/10000</f>
        <v>0</v>
      </c>
      <c r="AP133" s="134" t="n">
        <f aca="false">SUMIF($X:$X,CONCATENATE($AN133,AP$6),$T:$T)/10000</f>
        <v>0</v>
      </c>
      <c r="AQ133" s="134" t="n">
        <f aca="false">SUMIF($X:$X,CONCATENATE($AN133,AQ$6),$T:$T)/10000</f>
        <v>0</v>
      </c>
      <c r="AR133" s="134" t="n">
        <f aca="false">SUMIF($X:$X,CONCATENATE($AN133,AR$6),$T:$T)/10000</f>
        <v>0</v>
      </c>
      <c r="AS133" s="134" t="n">
        <f aca="false">SUMIF($X:$X,CONCATENATE($AN133,AS$6),$T:$T)/10000</f>
        <v>0</v>
      </c>
      <c r="AT133" s="134" t="n">
        <f aca="false">SUMIF($X:$X,CONCATENATE($AN133,AT$6),$T:$T)/10000</f>
        <v>0</v>
      </c>
      <c r="AU133" s="134" t="n">
        <f aca="false">SUMIF($X:$X,CONCATENATE($AN133,AU$6),$T:$T)/10000</f>
        <v>0</v>
      </c>
      <c r="AV133" s="134" t="n">
        <f aca="false">SUMIF($X:$X,CONCATENATE($AN133,AV$6),$T:$T)/10000</f>
        <v>0</v>
      </c>
      <c r="AW133" s="134" t="n">
        <f aca="false">SUMIF($X:$X,CONCATENATE($AN133,AW$6),$T:$T)/10000</f>
        <v>0</v>
      </c>
      <c r="AX133" s="134" t="n">
        <f aca="false">SUMIF($X:$X,CONCATENATE($AN133,AX$6),$T:$T)/10000</f>
        <v>0</v>
      </c>
      <c r="AY133" s="134" t="n">
        <f aca="false">SUMIF($X:$X,CONCATENATE($AN133,AY$6),$T:$T)/10000</f>
        <v>0</v>
      </c>
      <c r="AZ133" s="134" t="n">
        <f aca="false">SUMIF($X:$X,CONCATENATE($AN133,AZ$6),$T:$T)/10000</f>
        <v>0</v>
      </c>
      <c r="BA133" s="135" t="n">
        <f aca="false">SUMIF($X:$X,CONCATENATE($AN133,BA$6),$T:$T)/10000</f>
        <v>0</v>
      </c>
      <c r="BB133" s="208" t="n">
        <f aca="false">EOMONTH(BB132,0)+1</f>
        <v>40575</v>
      </c>
      <c r="BC133" s="135" t="n">
        <f aca="false">SUM(AO133:BA133)</f>
        <v>0</v>
      </c>
      <c r="BD133" s="2"/>
      <c r="BE133" s="208" t="n">
        <f aca="false">EOMONTH(BE132,0)+1</f>
        <v>40575</v>
      </c>
      <c r="BF133" s="134" t="n">
        <f aca="false">SUMIF($X:$X,CONCATENATE($AN133,BF$6),$W:$W)</f>
        <v>0</v>
      </c>
      <c r="BG133" s="134" t="n">
        <f aca="false">SUMIF($X:$X,CONCATENATE($AN133,BG$6),$W:$W)</f>
        <v>0</v>
      </c>
      <c r="BH133" s="134" t="n">
        <f aca="false">SUMIF($X:$X,CONCATENATE($AN133,BH$6),$W:$W)</f>
        <v>0</v>
      </c>
      <c r="BI133" s="134" t="n">
        <f aca="false">SUMIF($X:$X,CONCATENATE($AN133,BI$6),$W:$W)</f>
        <v>0</v>
      </c>
      <c r="BJ133" s="134" t="n">
        <f aca="false">SUMIF($X:$X,CONCATENATE($AN133,BJ$6),$W:$W)</f>
        <v>0</v>
      </c>
      <c r="BK133" s="134" t="n">
        <f aca="false">SUMIF($X:$X,CONCATENATE($AN133,BK$6),$W:$W)</f>
        <v>0</v>
      </c>
      <c r="BL133" s="134" t="n">
        <f aca="false">SUMIF($X:$X,CONCATENATE($AN133,BL$6),$W:$W)</f>
        <v>0</v>
      </c>
      <c r="BM133" s="134" t="n">
        <f aca="false">SUMIF($X:$X,CONCATENATE($AN133,BM$6),$W:$W)</f>
        <v>0</v>
      </c>
      <c r="BN133" s="134" t="n">
        <f aca="false">SUMIF($X:$X,CONCATENATE($AN133,BN$6),$W:$W)</f>
        <v>0</v>
      </c>
      <c r="BO133" s="134" t="n">
        <f aca="false">SUMIF($X:$X,CONCATENATE($AN133,BO$6),$W:$W)</f>
        <v>0</v>
      </c>
      <c r="BP133" s="134" t="n">
        <f aca="false">SUMIF($X:$X,CONCATENATE($AN133,BP$6),$W:$W)</f>
        <v>0</v>
      </c>
      <c r="BQ133" s="134" t="n">
        <f aca="false">SUMIF($X:$X,CONCATENATE($AN133,BQ$6),$W:$W)</f>
        <v>0</v>
      </c>
      <c r="BR133" s="135" t="n">
        <f aca="false">SUMIF($X:$X,CONCATENATE($AN133,BR$6),$W:$W)</f>
        <v>0</v>
      </c>
      <c r="BS133" s="208" t="n">
        <f aca="false">EOMONTH(BS132,0)+1</f>
        <v>40575</v>
      </c>
      <c r="BT133" s="135" t="n">
        <f aca="false">SUM(BF133:BR133)</f>
        <v>0</v>
      </c>
      <c r="BU133" s="2"/>
      <c r="BV133" s="2"/>
      <c r="BW133" s="2"/>
      <c r="BX133" s="2"/>
      <c r="BY133" s="2"/>
      <c r="BZ133" s="2"/>
      <c r="CA133" s="2"/>
      <c r="CB133" s="2"/>
      <c r="CC133" s="182" t="n">
        <f aca="false">G133</f>
        <v>36861</v>
      </c>
      <c r="CD133" s="253" t="e">
        <f aca="false">xSPRDOPT((VLOOKUP(G133,NGPrices,2,FALSE())+HLOOKUP(D133,Prices,VLOOKUP(G133,move_down,2,FALSE()),FALSE())),VLOOKUP(G133,NGPrices,2,FALSE()),I133,VLOOKUP(G133,NGPREVPRICES,4,FALSE()),HLOOKUP(D133,PREVVOLS,VLOOKUP(G133,MOVE_DOWN2,2,FALSE()),FALSE()),VLOOKUP(G133,NGPREVPRICES,3,FALSE()),HLOOKUP(D133,Correllate,VLOOKUP(G133,CorMove,2,FALSE()),FALSE()),Q133-$CD$3,R133,$CD$5)*H133-CJ133</f>
        <v>#NAME?</v>
      </c>
      <c r="CE133" s="253" t="e">
        <f aca="false">xSPRDOPT((VLOOKUP(G133,NGPREVPRICES,2,FALSE())+HLOOKUP(D133,PREVCURVES,VLOOKUP(G133,MOVE_DOWN2,2,FALSE()),FALSE())),VLOOKUP(G133,NGPREVPRICES,2,FALSE()),CK133,VLOOKUP(G133,NGPrices,4,FALSE()),HLOOKUP(D133,PREVVOLS,VLOOKUP(G133,MOVE_DOWN2,2,FALSE()),FALSE()),VLOOKUP(G133,NGPREVPRICES,3,FALSE()),HLOOKUP(D133,Correllate,VLOOKUP(G133,CorMove,2,FALSE()),FALSE()),Q133-$CD$3,R133,$CJ$5)*H133-CJ133</f>
        <v>#NAME?</v>
      </c>
      <c r="CF133" s="132" t="e">
        <f aca="false">(CJ133/VLOOKUP(CC133,discount,3,FALSE()))-(CJ133/VLOOKUP(CC133,discount,2,FALSE()))</f>
        <v>#NAME?</v>
      </c>
      <c r="CG133" s="253" t="e">
        <f aca="false">xSPRDOPT((VLOOKUP(G133,NGPREVPRICES,2,FALSE())+HLOOKUP(D133,PREVCURVES,VLOOKUP(G133,MOVE_DOWN2,2,FALSE()),FALSE())),VLOOKUP(G133,NGPREVPRICES,2,FALSE()),CK133,VLOOKUP(G133,NGPREVPRICES,4,FALSE()),HLOOKUP(D133,VOLS,VLOOKUP(G133,move_down,2,FALSE()),FALSE()),VLOOKUP(G133,NGPrices,3,FALSE()),HLOOKUP(D133,Correllate,VLOOKUP(G133,CorMove,2,FALSE()),FALSE()),Q133-$CD$3,R133,$CJ$5)*H133-CJ133</f>
        <v>#NAME?</v>
      </c>
      <c r="CH133" s="253" t="e">
        <f aca="false">xSPRDOPT((VLOOKUP(G133,NGPREVPRICES,2,FALSE())+HLOOKUP(D133,PREVCURVES,VLOOKUP(G133,MOVE_DOWN2,2,FALSE()),FALSE())),VLOOKUP(G133,NGPREVPRICES,2,FALSE()),CK133,VLOOKUP(G133,NGPREVPRICES,4,FALSE()),HLOOKUP(D133,PREVVOLS,VLOOKUP(G133,MOVE_DOWN2,2,FALSE()),FALSE()),VLOOKUP(G133,NGPREVPRICES,3,FALSE()),HLOOKUP(D133,Correllate,VLOOKUP(G133,CorMove,2,FALSE()),FALSE()),Q133-$C$3,R133,$CJ$5)*H133-CJ133</f>
        <v>#NAME?</v>
      </c>
      <c r="CI133" s="253" t="e">
        <f aca="false">SUM(CD133:CH133)</f>
        <v>#NAME?</v>
      </c>
      <c r="CJ133" s="253" t="e">
        <f aca="false">xSPRDOPT((VLOOKUP(G133,NGPREVPRICES,2,FALSE())+HLOOKUP(D133,PREVCURVES,VLOOKUP(G133,MOVE_DOWN2,2,FALSE()),FALSE())),VLOOKUP(G133,NGPREVPRICES,2,FALSE()),CK133,VLOOKUP(G133,NGPREVPRICES,4,FALSE()),HLOOKUP(D133,PREVVOLS,VLOOKUP(G133,MOVE_DOWN2,2,FALSE()),FALSE()),VLOOKUP(G133,NGPREVPRICES,3,FALSE()),HLOOKUP(D133,Correllate,VLOOKUP(G133,CorMove,2,FALSE()),FALSE()),Q133-$CD$3,R133,$CJ$5)*H133</f>
        <v>#NAME?</v>
      </c>
      <c r="CK133" s="254" t="n">
        <f aca="false">I133</f>
        <v>0</v>
      </c>
      <c r="CL133" s="253"/>
      <c r="CM133" s="0" t="str">
        <f aca="false">CONCATENATE(CC133,$CD$6)</f>
        <v>36861Curve Shift/Gamma</v>
      </c>
      <c r="CN133" s="0" t="str">
        <f aca="false">CONCATENATE($CC133,$CE$6)</f>
        <v>36861Rho</v>
      </c>
      <c r="CO133" s="0" t="str">
        <f aca="false">CONCATENATE($CC133,$CF$6)</f>
        <v>36861Drift</v>
      </c>
      <c r="CP133" s="0" t="str">
        <f aca="false">CONCATENATE($CC133,$CG$6)</f>
        <v>36861Vega</v>
      </c>
      <c r="CQ133" s="0" t="str">
        <f aca="false">CONCATENATE($CC133,$CH$6)</f>
        <v>36861Theta</v>
      </c>
    </row>
    <row r="134" customFormat="false" ht="12" hidden="false" customHeight="true" outlineLevel="0" collapsed="false">
      <c r="A134" s="265" t="s">
        <v>198</v>
      </c>
      <c r="B134" s="0" t="s">
        <v>192</v>
      </c>
      <c r="C134" s="0" t="s">
        <v>249</v>
      </c>
      <c r="D134" s="7" t="s">
        <v>153</v>
      </c>
      <c r="E134" s="0" t="s">
        <v>131</v>
      </c>
      <c r="F134" s="0" t="s">
        <v>132</v>
      </c>
      <c r="G134" s="92" t="n">
        <v>36831</v>
      </c>
      <c r="H134" s="248" t="n">
        <v>-1000000</v>
      </c>
      <c r="I134" s="0" t="n">
        <v>0</v>
      </c>
      <c r="J134" s="124" t="n">
        <f aca="false">VLOOKUP(G134,NGPrices,2,FALSE())</f>
        <v>4.736</v>
      </c>
      <c r="K134" s="125" t="n">
        <f aca="false">HLOOKUP(D134,Prices,VLOOKUP(G134,move_down,2,FALSE()),FALSE())+VLOOKUP(G134,CHANGE,HLOOKUP(D134,CHANGE,2,FALSE()),FALSE())</f>
        <v>-0.0025</v>
      </c>
      <c r="L134" s="124" t="n">
        <f aca="false">K134+J134</f>
        <v>4.7335</v>
      </c>
      <c r="M134" s="126" t="n">
        <f aca="false">VLOOKUP(G134,NGPrices,4,FALSE())</f>
        <v>0.06810675983792</v>
      </c>
      <c r="N134" s="7" t="n">
        <f aca="false">VLOOKUP(G134,NGPrices,3,FALSE())</f>
        <v>0.595</v>
      </c>
      <c r="O134" s="7" t="n">
        <f aca="false">HLOOKUP(D134,VOLS,VLOOKUP(G134,move_down,2,FALSE()),FALSE())</f>
        <v>0.625</v>
      </c>
      <c r="P134" s="249" t="n">
        <f aca="false">HLOOKUP(D134,Correllate,VLOOKUP(G134,CorMove,2,FALSE()),FALSE())</f>
        <v>0.9975</v>
      </c>
      <c r="Q134" s="92" t="n">
        <f aca="false">WORKDAY(G134,-2)</f>
        <v>36829</v>
      </c>
      <c r="R134" s="7" t="n">
        <f aca="false">IF(F134="P",0,1)</f>
        <v>0</v>
      </c>
      <c r="S134" s="130" t="e">
        <f aca="false">xSPRDOPT($L134,$J134,$I134,$M134,$O134,$N134,$P134,$Q134-$C$3,$R134,0)</f>
        <v>#NAME?</v>
      </c>
      <c r="T134" s="250" t="e">
        <f aca="false">xSPRDOPT($L134,$J134,$I134,$M134,$O134,$N134,$P134,$Q134-$C$3,$R134,1)*H134</f>
        <v>#NAME?</v>
      </c>
      <c r="U134" s="43" t="e">
        <f aca="false">S134*H134</f>
        <v>#NAME?</v>
      </c>
      <c r="V134" s="250" t="e">
        <f aca="false">xSPRDOPT($L134,$J134,$I134,$M134,$O134,$N134,$P134,$Q134-$C$3,$R134,2)*H134</f>
        <v>#NAME?</v>
      </c>
      <c r="W134" s="250" t="e">
        <f aca="false">+V134+T134</f>
        <v>#NAME?</v>
      </c>
      <c r="X134" s="2" t="str">
        <f aca="false">CONCATENATE(G134,D134)</f>
        <v>36831IF-NNG/VENT</v>
      </c>
      <c r="Y134" s="251" t="n">
        <f aca="false">H134/10000</f>
        <v>-100</v>
      </c>
      <c r="Z134" s="226" t="e">
        <f aca="false">T134/H134</f>
        <v>#NAME?</v>
      </c>
      <c r="AA134" s="226" t="e">
        <f aca="false">xSPRDOPT($L134,$J134,$I134,$M134,$O134,$N134,$P134,$Q134-$C$3,$R134,3)</f>
        <v>#NAME?</v>
      </c>
      <c r="AB134" s="226" t="e">
        <f aca="false">((xSPRDOPT($L134+AB$5,$J134,$I134,$M134,$O134,$N134,$P134,$Q134-$C$3,$R134,3)*$H134)/10000)/100</f>
        <v>#NAME?</v>
      </c>
      <c r="AC134" s="226" t="e">
        <f aca="false">((xSPRDOPT($L134+$AB$5,$J134,$I134,$M134,$O134,$N134,$P134,$Q134-$C$3,$R134,7)*$H134)/100)</f>
        <v>#NAME?</v>
      </c>
      <c r="AD134" s="226" t="e">
        <f aca="false">(xSPRDOPT($L134+$AB$5,$J134,$I134,$M134,$O134,$N134,$P134,$Q134-$C$3,$R134,9)/365)*$H134</f>
        <v>#NAME?</v>
      </c>
      <c r="AE134" s="0" t="e">
        <f aca="false">CD134</f>
        <v>#NAME?</v>
      </c>
      <c r="AF134" s="226" t="e">
        <f aca="false">((O134/N134)*AH134)+AG134</f>
        <v>#NAME?</v>
      </c>
      <c r="AG134" s="226" t="e">
        <f aca="false">((xSPRDOPT($L134,$J134,$I134,$M134,$O134,$N134,$P134,$Q134-$C$3,$R134,6)*$H134)/100)</f>
        <v>#NAME?</v>
      </c>
      <c r="AH134" s="226" t="e">
        <f aca="false">((xSPRDOPT($L134,$J134,$I134,$M134,$O134,$N134,$P134,$Q134-$C$3,$R134,5)*$H134)/100)</f>
        <v>#NAME?</v>
      </c>
      <c r="AI134" s="226" t="e">
        <f aca="false">(((xSPRDOPT($L134,$J134,$I134,$M134,$O134,$N134,$P134,$Q134-$C$3,$R134,4)*$H134)/10000)/100)-AB134</f>
        <v>#NAME?</v>
      </c>
      <c r="AJ134" s="226"/>
      <c r="AK134" s="226"/>
      <c r="AL134" s="226"/>
      <c r="AM134" s="252"/>
      <c r="AN134" s="208" t="n">
        <f aca="false">EOMONTH(AN133,0)+1</f>
        <v>40603</v>
      </c>
      <c r="AO134" s="134" t="n">
        <f aca="false">SUMIF($X:$X,CONCATENATE($AN134,AO$6),$T:$T)/10000</f>
        <v>0</v>
      </c>
      <c r="AP134" s="134" t="n">
        <f aca="false">SUMIF($X:$X,CONCATENATE($AN134,AP$6),$T:$T)/10000</f>
        <v>0</v>
      </c>
      <c r="AQ134" s="134" t="n">
        <f aca="false">SUMIF($X:$X,CONCATENATE($AN134,AQ$6),$T:$T)/10000</f>
        <v>0</v>
      </c>
      <c r="AR134" s="134" t="n">
        <f aca="false">SUMIF($X:$X,CONCATENATE($AN134,AR$6),$T:$T)/10000</f>
        <v>0</v>
      </c>
      <c r="AS134" s="134" t="n">
        <f aca="false">SUMIF($X:$X,CONCATENATE($AN134,AS$6),$T:$T)/10000</f>
        <v>0</v>
      </c>
      <c r="AT134" s="134" t="n">
        <f aca="false">SUMIF($X:$X,CONCATENATE($AN134,AT$6),$T:$T)/10000</f>
        <v>0</v>
      </c>
      <c r="AU134" s="134" t="n">
        <f aca="false">SUMIF($X:$X,CONCATENATE($AN134,AU$6),$T:$T)/10000</f>
        <v>0</v>
      </c>
      <c r="AV134" s="134" t="n">
        <f aca="false">SUMIF($X:$X,CONCATENATE($AN134,AV$6),$T:$T)/10000</f>
        <v>0</v>
      </c>
      <c r="AW134" s="134" t="n">
        <f aca="false">SUMIF($X:$X,CONCATENATE($AN134,AW$6),$T:$T)/10000</f>
        <v>0</v>
      </c>
      <c r="AX134" s="134" t="n">
        <f aca="false">SUMIF($X:$X,CONCATENATE($AN134,AX$6),$T:$T)/10000</f>
        <v>0</v>
      </c>
      <c r="AY134" s="134" t="n">
        <f aca="false">SUMIF($X:$X,CONCATENATE($AN134,AY$6),$T:$T)/10000</f>
        <v>0</v>
      </c>
      <c r="AZ134" s="134" t="n">
        <f aca="false">SUMIF($X:$X,CONCATENATE($AN134,AZ$6),$T:$T)/10000</f>
        <v>0</v>
      </c>
      <c r="BA134" s="135" t="n">
        <f aca="false">SUMIF($X:$X,CONCATENATE($AN134,BA$6),$T:$T)/10000</f>
        <v>0</v>
      </c>
      <c r="BB134" s="208" t="n">
        <f aca="false">EOMONTH(BB133,0)+1</f>
        <v>40603</v>
      </c>
      <c r="BC134" s="135" t="n">
        <f aca="false">SUM(AO134:BA134)</f>
        <v>0</v>
      </c>
      <c r="BD134" s="2"/>
      <c r="BE134" s="208" t="n">
        <f aca="false">EOMONTH(BE133,0)+1</f>
        <v>40603</v>
      </c>
      <c r="BF134" s="134" t="n">
        <f aca="false">SUMIF($X:$X,CONCATENATE($AN134,BF$6),$W:$W)</f>
        <v>0</v>
      </c>
      <c r="BG134" s="134" t="n">
        <f aca="false">SUMIF($X:$X,CONCATENATE($AN134,BG$6),$W:$W)</f>
        <v>0</v>
      </c>
      <c r="BH134" s="134" t="n">
        <f aca="false">SUMIF($X:$X,CONCATENATE($AN134,BH$6),$W:$W)</f>
        <v>0</v>
      </c>
      <c r="BI134" s="134" t="n">
        <f aca="false">SUMIF($X:$X,CONCATENATE($AN134,BI$6),$W:$W)</f>
        <v>0</v>
      </c>
      <c r="BJ134" s="134" t="n">
        <f aca="false">SUMIF($X:$X,CONCATENATE($AN134,BJ$6),$W:$W)</f>
        <v>0</v>
      </c>
      <c r="BK134" s="134" t="n">
        <f aca="false">SUMIF($X:$X,CONCATENATE($AN134,BK$6),$W:$W)</f>
        <v>0</v>
      </c>
      <c r="BL134" s="134" t="n">
        <f aca="false">SUMIF($X:$X,CONCATENATE($AN134,BL$6),$W:$W)</f>
        <v>0</v>
      </c>
      <c r="BM134" s="134" t="n">
        <f aca="false">SUMIF($X:$X,CONCATENATE($AN134,BM$6),$W:$W)</f>
        <v>0</v>
      </c>
      <c r="BN134" s="134" t="n">
        <f aca="false">SUMIF($X:$X,CONCATENATE($AN134,BN$6),$W:$W)</f>
        <v>0</v>
      </c>
      <c r="BO134" s="134" t="n">
        <f aca="false">SUMIF($X:$X,CONCATENATE($AN134,BO$6),$W:$W)</f>
        <v>0</v>
      </c>
      <c r="BP134" s="134" t="n">
        <f aca="false">SUMIF($X:$X,CONCATENATE($AN134,BP$6),$W:$W)</f>
        <v>0</v>
      </c>
      <c r="BQ134" s="134" t="n">
        <f aca="false">SUMIF($X:$X,CONCATENATE($AN134,BQ$6),$W:$W)</f>
        <v>0</v>
      </c>
      <c r="BR134" s="135" t="n">
        <f aca="false">SUMIF($X:$X,CONCATENATE($AN134,BR$6),$W:$W)</f>
        <v>0</v>
      </c>
      <c r="BS134" s="208" t="n">
        <f aca="false">EOMONTH(BS133,0)+1</f>
        <v>40603</v>
      </c>
      <c r="BT134" s="135" t="n">
        <f aca="false">SUM(BF134:BR134)</f>
        <v>0</v>
      </c>
      <c r="BU134" s="2"/>
      <c r="BV134" s="2"/>
      <c r="BW134" s="2"/>
      <c r="BX134" s="2"/>
      <c r="BY134" s="2"/>
      <c r="BZ134" s="2"/>
      <c r="CA134" s="2"/>
      <c r="CB134" s="2"/>
      <c r="CC134" s="182" t="n">
        <f aca="false">G134</f>
        <v>36831</v>
      </c>
      <c r="CD134" s="253" t="e">
        <f aca="false">xSPRDOPT((VLOOKUP(G134,NGPrices,2,FALSE())+HLOOKUP(D134,Prices,VLOOKUP(G134,move_down,2,FALSE()),FALSE())),VLOOKUP(G134,NGPrices,2,FALSE()),I134,VLOOKUP(G134,NGPREVPRICES,4,FALSE()),HLOOKUP(D134,PREVVOLS,VLOOKUP(G134,MOVE_DOWN2,2,FALSE()),FALSE()),VLOOKUP(G134,NGPREVPRICES,3,FALSE()),HLOOKUP(D134,Correllate,VLOOKUP(G134,CorMove,2,FALSE()),FALSE()),Q134-$CD$3,R134,$CD$5)*H134-CJ134</f>
        <v>#NAME?</v>
      </c>
      <c r="CE134" s="253" t="e">
        <f aca="false">xSPRDOPT((VLOOKUP(G134,NGPREVPRICES,2,FALSE())+HLOOKUP(D134,PREVCURVES,VLOOKUP(G134,MOVE_DOWN2,2,FALSE()),FALSE())),VLOOKUP(G134,NGPREVPRICES,2,FALSE()),CK134,VLOOKUP(G134,NGPrices,4,FALSE()),HLOOKUP(D134,PREVVOLS,VLOOKUP(G134,MOVE_DOWN2,2,FALSE()),FALSE()),VLOOKUP(G134,NGPREVPRICES,3,FALSE()),HLOOKUP(D134,Correllate,VLOOKUP(G134,CorMove,2,FALSE()),FALSE()),Q134-$CD$3,R134,$CJ$5)*H134-CJ134</f>
        <v>#NAME?</v>
      </c>
      <c r="CF134" s="132" t="e">
        <f aca="false">(CJ134/VLOOKUP(CC134,discount,3,FALSE()))-(CJ134/VLOOKUP(CC134,discount,2,FALSE()))</f>
        <v>#NAME?</v>
      </c>
      <c r="CG134" s="253" t="e">
        <f aca="false">xSPRDOPT((VLOOKUP(G134,NGPREVPRICES,2,FALSE())+HLOOKUP(D134,PREVCURVES,VLOOKUP(G134,MOVE_DOWN2,2,FALSE()),FALSE())),VLOOKUP(G134,NGPREVPRICES,2,FALSE()),CK134,VLOOKUP(G134,NGPREVPRICES,4,FALSE()),HLOOKUP(D134,VOLS,VLOOKUP(G134,move_down,2,FALSE()),FALSE()),VLOOKUP(G134,NGPrices,3,FALSE()),HLOOKUP(D134,Correllate,VLOOKUP(G134,CorMove,2,FALSE()),FALSE()),Q134-$CD$3,R134,$CJ$5)*H134-CJ134</f>
        <v>#NAME?</v>
      </c>
      <c r="CH134" s="253" t="e">
        <f aca="false">xSPRDOPT((VLOOKUP(G134,NGPREVPRICES,2,FALSE())+HLOOKUP(D134,PREVCURVES,VLOOKUP(G134,MOVE_DOWN2,2,FALSE()),FALSE())),VLOOKUP(G134,NGPREVPRICES,2,FALSE()),CK134,VLOOKUP(G134,NGPREVPRICES,4,FALSE()),HLOOKUP(D134,PREVVOLS,VLOOKUP(G134,MOVE_DOWN2,2,FALSE()),FALSE()),VLOOKUP(G134,NGPREVPRICES,3,FALSE()),HLOOKUP(D134,Correllate,VLOOKUP(G134,CorMove,2,FALSE()),FALSE()),Q134-$C$3,R134,$CJ$5)*H134-CJ134</f>
        <v>#NAME?</v>
      </c>
      <c r="CI134" s="253" t="e">
        <f aca="false">SUM(CD134:CH134)</f>
        <v>#NAME?</v>
      </c>
      <c r="CJ134" s="253" t="e">
        <f aca="false">xSPRDOPT((VLOOKUP(G134,NGPREVPRICES,2,FALSE())+HLOOKUP(D134,PREVCURVES,VLOOKUP(G134,MOVE_DOWN2,2,FALSE()),FALSE())),VLOOKUP(G134,NGPREVPRICES,2,FALSE()),CK134,VLOOKUP(G134,NGPREVPRICES,4,FALSE()),HLOOKUP(D134,PREVVOLS,VLOOKUP(G134,MOVE_DOWN2,2,FALSE()),FALSE()),VLOOKUP(G134,NGPREVPRICES,3,FALSE()),HLOOKUP(D134,Correllate,VLOOKUP(G134,CorMove,2,FALSE()),FALSE()),Q134-$CD$3,R134,$CJ$5)*H134</f>
        <v>#NAME?</v>
      </c>
      <c r="CK134" s="254" t="n">
        <f aca="false">I134</f>
        <v>0</v>
      </c>
      <c r="CL134" s="253"/>
      <c r="CM134" s="0" t="str">
        <f aca="false">CONCATENATE(CC134,$CD$6)</f>
        <v>36831Curve Shift/Gamma</v>
      </c>
      <c r="CN134" s="0" t="str">
        <f aca="false">CONCATENATE($CC134,$CE$6)</f>
        <v>36831Rho</v>
      </c>
      <c r="CO134" s="0" t="str">
        <f aca="false">CONCATENATE($CC134,$CF$6)</f>
        <v>36831Drift</v>
      </c>
      <c r="CP134" s="0" t="str">
        <f aca="false">CONCATENATE($CC134,$CG$6)</f>
        <v>36831Vega</v>
      </c>
      <c r="CQ134" s="0" t="str">
        <f aca="false">CONCATENATE($CC134,$CH$6)</f>
        <v>36831Theta</v>
      </c>
    </row>
    <row r="135" customFormat="false" ht="12" hidden="false" customHeight="true" outlineLevel="0" collapsed="false">
      <c r="A135" s="265" t="s">
        <v>198</v>
      </c>
      <c r="B135" s="0" t="s">
        <v>192</v>
      </c>
      <c r="C135" s="0" t="s">
        <v>249</v>
      </c>
      <c r="D135" s="7" t="s">
        <v>153</v>
      </c>
      <c r="E135" s="0" t="s">
        <v>131</v>
      </c>
      <c r="F135" s="0" t="s">
        <v>132</v>
      </c>
      <c r="G135" s="92" t="n">
        <v>36800</v>
      </c>
      <c r="H135" s="248" t="n">
        <v>-1000000</v>
      </c>
      <c r="I135" s="0" t="n">
        <v>0</v>
      </c>
      <c r="J135" s="124" t="n">
        <f aca="false">VLOOKUP(G135,NGPrices,2,FALSE())</f>
        <v>4.692</v>
      </c>
      <c r="K135" s="125" t="n">
        <f aca="false">HLOOKUP(D135,Prices,VLOOKUP(G135,move_down,2,FALSE()),FALSE())+VLOOKUP(G135,CHANGE,HLOOKUP(D135,CHANGE,2,FALSE()),FALSE())</f>
        <v>-0.09</v>
      </c>
      <c r="L135" s="124" t="n">
        <f aca="false">K135+J135</f>
        <v>4.602</v>
      </c>
      <c r="M135" s="126" t="n">
        <f aca="false">VLOOKUP(G135,NGPrices,4,FALSE())</f>
        <v>0.068050789414654</v>
      </c>
      <c r="N135" s="7" t="n">
        <f aca="false">VLOOKUP(G135,NGPrices,3,FALSE())</f>
        <v>0.575</v>
      </c>
      <c r="O135" s="7" t="n">
        <f aca="false">HLOOKUP(D135,VOLS,VLOOKUP(G135,move_down,2,FALSE()),FALSE())</f>
        <v>0.575</v>
      </c>
      <c r="P135" s="249" t="n">
        <f aca="false">HLOOKUP(D135,Correllate,VLOOKUP(G135,CorMove,2,FALSE()),FALSE())</f>
        <v>0.9975</v>
      </c>
      <c r="Q135" s="92" t="n">
        <f aca="false">WORKDAY(G135,-2)</f>
        <v>36797</v>
      </c>
      <c r="R135" s="7" t="n">
        <f aca="false">IF(F135="P",0,1)</f>
        <v>0</v>
      </c>
      <c r="S135" s="130" t="e">
        <f aca="false">xSPRDOPT($L135,$J135,$I135,$M135,$O135,$N135,$P135,$Q135-$C$3,$R135,0)</f>
        <v>#NAME?</v>
      </c>
      <c r="T135" s="250" t="e">
        <f aca="false">xSPRDOPT($L135,$J135,$I135,$M135,$O135,$N135,$P135,$Q135-$C$3,$R135,1)*H135</f>
        <v>#NAME?</v>
      </c>
      <c r="U135" s="43" t="e">
        <f aca="false">S135*H135</f>
        <v>#NAME?</v>
      </c>
      <c r="V135" s="250" t="e">
        <f aca="false">xSPRDOPT($L135,$J135,$I135,$M135,$O135,$N135,$P135,$Q135-$C$3,$R135,2)*H135</f>
        <v>#NAME?</v>
      </c>
      <c r="W135" s="250" t="e">
        <f aca="false">+V135+T135</f>
        <v>#NAME?</v>
      </c>
      <c r="X135" s="2" t="str">
        <f aca="false">CONCATENATE(G135,D135)</f>
        <v>36800IF-NNG/VENT</v>
      </c>
      <c r="Y135" s="251" t="n">
        <f aca="false">H135/10000</f>
        <v>-100</v>
      </c>
      <c r="Z135" s="226" t="e">
        <f aca="false">T135/H135</f>
        <v>#NAME?</v>
      </c>
      <c r="AA135" s="226" t="e">
        <f aca="false">xSPRDOPT($L135,$J135,$I135,$M135,$O135,$N135,$P135,$Q135-$C$3,$R135,3)</f>
        <v>#NAME?</v>
      </c>
      <c r="AB135" s="226" t="e">
        <f aca="false">((xSPRDOPT($L135+AB$5,$J135,$I135,$M135,$O135,$N135,$P135,$Q135-$C$3,$R135,3)*$H135)/10000)/100</f>
        <v>#NAME?</v>
      </c>
      <c r="AC135" s="226" t="e">
        <f aca="false">((xSPRDOPT($L135+$AB$5,$J135,$I135,$M135,$O135,$N135,$P135,$Q135-$C$3,$R135,7)*$H135)/100)</f>
        <v>#NAME?</v>
      </c>
      <c r="AD135" s="226" t="e">
        <f aca="false">(xSPRDOPT($L135+$AB$5,$J135,$I135,$M135,$O135,$N135,$P135,$Q135-$C$3,$R135,9)/365)*$H135</f>
        <v>#NAME?</v>
      </c>
      <c r="AE135" s="0" t="e">
        <f aca="false">CD135</f>
        <v>#NAME?</v>
      </c>
      <c r="AF135" s="226" t="e">
        <f aca="false">((O135/N135)*AH135)+AG135</f>
        <v>#NAME?</v>
      </c>
      <c r="AG135" s="226" t="e">
        <f aca="false">((xSPRDOPT($L135,$J135,$I135,$M135,$O135,$N135,$P135,$Q135-$C$3,$R135,6)*$H135)/100)</f>
        <v>#NAME?</v>
      </c>
      <c r="AH135" s="226" t="e">
        <f aca="false">((xSPRDOPT($L135,$J135,$I135,$M135,$O135,$N135,$P135,$Q135-$C$3,$R135,5)*$H135)/100)</f>
        <v>#NAME?</v>
      </c>
      <c r="AI135" s="226" t="e">
        <f aca="false">(((xSPRDOPT($L135,$J135,$I135,$M135,$O135,$N135,$P135,$Q135-$C$3,$R135,4)*$H135)/10000)/100)-AB135</f>
        <v>#NAME?</v>
      </c>
      <c r="AJ135" s="226"/>
      <c r="AK135" s="226"/>
      <c r="AL135" s="226"/>
      <c r="AM135" s="252"/>
      <c r="AN135" s="208" t="n">
        <f aca="false">EOMONTH(AN134,0)+1</f>
        <v>40634</v>
      </c>
      <c r="AO135" s="134" t="n">
        <f aca="false">SUMIF($X:$X,CONCATENATE($AN135,AO$6),$T:$T)/10000</f>
        <v>0</v>
      </c>
      <c r="AP135" s="134" t="n">
        <f aca="false">SUMIF($X:$X,CONCATENATE($AN135,AP$6),$T:$T)/10000</f>
        <v>0</v>
      </c>
      <c r="AQ135" s="134" t="n">
        <f aca="false">SUMIF($X:$X,CONCATENATE($AN135,AQ$6),$T:$T)/10000</f>
        <v>0</v>
      </c>
      <c r="AR135" s="134" t="n">
        <f aca="false">SUMIF($X:$X,CONCATENATE($AN135,AR$6),$T:$T)/10000</f>
        <v>0</v>
      </c>
      <c r="AS135" s="134" t="n">
        <f aca="false">SUMIF($X:$X,CONCATENATE($AN135,AS$6),$T:$T)/10000</f>
        <v>0</v>
      </c>
      <c r="AT135" s="134" t="n">
        <f aca="false">SUMIF($X:$X,CONCATENATE($AN135,AT$6),$T:$T)/10000</f>
        <v>0</v>
      </c>
      <c r="AU135" s="134" t="n">
        <f aca="false">SUMIF($X:$X,CONCATENATE($AN135,AU$6),$T:$T)/10000</f>
        <v>0</v>
      </c>
      <c r="AV135" s="134" t="n">
        <f aca="false">SUMIF($X:$X,CONCATENATE($AN135,AV$6),$T:$T)/10000</f>
        <v>0</v>
      </c>
      <c r="AW135" s="134" t="n">
        <f aca="false">SUMIF($X:$X,CONCATENATE($AN135,AW$6),$T:$T)/10000</f>
        <v>0</v>
      </c>
      <c r="AX135" s="134" t="n">
        <f aca="false">SUMIF($X:$X,CONCATENATE($AN135,AX$6),$T:$T)/10000</f>
        <v>0</v>
      </c>
      <c r="AY135" s="134" t="n">
        <f aca="false">SUMIF($X:$X,CONCATENATE($AN135,AY$6),$T:$T)/10000</f>
        <v>0</v>
      </c>
      <c r="AZ135" s="134" t="n">
        <f aca="false">SUMIF($X:$X,CONCATENATE($AN135,AZ$6),$T:$T)/10000</f>
        <v>0</v>
      </c>
      <c r="BA135" s="135" t="n">
        <f aca="false">SUMIF($X:$X,CONCATENATE($AN135,BA$6),$T:$T)/10000</f>
        <v>0</v>
      </c>
      <c r="BB135" s="208" t="n">
        <f aca="false">EOMONTH(BB134,0)+1</f>
        <v>40634</v>
      </c>
      <c r="BC135" s="135" t="n">
        <f aca="false">SUM(AO135:BA135)</f>
        <v>0</v>
      </c>
      <c r="BD135" s="2"/>
      <c r="BE135" s="208" t="n">
        <f aca="false">EOMONTH(BE134,0)+1</f>
        <v>40634</v>
      </c>
      <c r="BF135" s="134" t="n">
        <f aca="false">SUMIF($X:$X,CONCATENATE($AN135,BF$6),$W:$W)</f>
        <v>0</v>
      </c>
      <c r="BG135" s="134" t="n">
        <f aca="false">SUMIF($X:$X,CONCATENATE($AN135,BG$6),$W:$W)</f>
        <v>0</v>
      </c>
      <c r="BH135" s="134" t="n">
        <f aca="false">SUMIF($X:$X,CONCATENATE($AN135,BH$6),$W:$W)</f>
        <v>0</v>
      </c>
      <c r="BI135" s="134" t="n">
        <f aca="false">SUMIF($X:$X,CONCATENATE($AN135,BI$6),$W:$W)</f>
        <v>0</v>
      </c>
      <c r="BJ135" s="134" t="n">
        <f aca="false">SUMIF($X:$X,CONCATENATE($AN135,BJ$6),$W:$W)</f>
        <v>0</v>
      </c>
      <c r="BK135" s="134" t="n">
        <f aca="false">SUMIF($X:$X,CONCATENATE($AN135,BK$6),$W:$W)</f>
        <v>0</v>
      </c>
      <c r="BL135" s="134" t="n">
        <f aca="false">SUMIF($X:$X,CONCATENATE($AN135,BL$6),$W:$W)</f>
        <v>0</v>
      </c>
      <c r="BM135" s="134" t="n">
        <f aca="false">SUMIF($X:$X,CONCATENATE($AN135,BM$6),$W:$W)</f>
        <v>0</v>
      </c>
      <c r="BN135" s="134" t="n">
        <f aca="false">SUMIF($X:$X,CONCATENATE($AN135,BN$6),$W:$W)</f>
        <v>0</v>
      </c>
      <c r="BO135" s="134" t="n">
        <f aca="false">SUMIF($X:$X,CONCATENATE($AN135,BO$6),$W:$W)</f>
        <v>0</v>
      </c>
      <c r="BP135" s="134" t="n">
        <f aca="false">SUMIF($X:$X,CONCATENATE($AN135,BP$6),$W:$W)</f>
        <v>0</v>
      </c>
      <c r="BQ135" s="134" t="n">
        <f aca="false">SUMIF($X:$X,CONCATENATE($AN135,BQ$6),$W:$W)</f>
        <v>0</v>
      </c>
      <c r="BR135" s="135" t="n">
        <f aca="false">SUMIF($X:$X,CONCATENATE($AN135,BR$6),$W:$W)</f>
        <v>0</v>
      </c>
      <c r="BS135" s="208" t="n">
        <f aca="false">EOMONTH(BS134,0)+1</f>
        <v>40634</v>
      </c>
      <c r="BT135" s="135" t="n">
        <f aca="false">SUM(BF135:BR135)</f>
        <v>0</v>
      </c>
      <c r="BU135" s="2"/>
      <c r="BV135" s="2"/>
      <c r="BW135" s="2"/>
      <c r="BX135" s="2"/>
      <c r="BY135" s="2"/>
      <c r="BZ135" s="2"/>
      <c r="CA135" s="2"/>
      <c r="CB135" s="2"/>
      <c r="CC135" s="182" t="n">
        <f aca="false">G135</f>
        <v>36800</v>
      </c>
      <c r="CD135" s="253" t="e">
        <f aca="false">xSPRDOPT((VLOOKUP(G135,NGPrices,2,FALSE())+HLOOKUP(D135,Prices,VLOOKUP(G135,move_down,2,FALSE()),FALSE())),VLOOKUP(G135,NGPrices,2,FALSE()),I135,VLOOKUP(G135,NGPREVPRICES,4,FALSE()),HLOOKUP(D135,PREVVOLS,VLOOKUP(G135,MOVE_DOWN2,2,FALSE()),FALSE()),VLOOKUP(G135,NGPREVPRICES,3,FALSE()),HLOOKUP(D135,Correllate,VLOOKUP(G135,CorMove,2,FALSE()),FALSE()),Q135-$CD$3,R135,$CD$5)*H135-CJ135</f>
        <v>#NAME?</v>
      </c>
      <c r="CE135" s="253" t="e">
        <f aca="false">xSPRDOPT((VLOOKUP(G135,NGPREVPRICES,2,FALSE())+HLOOKUP(D135,PREVCURVES,VLOOKUP(G135,MOVE_DOWN2,2,FALSE()),FALSE())),VLOOKUP(G135,NGPREVPRICES,2,FALSE()),CK135,VLOOKUP(G135,NGPrices,4,FALSE()),HLOOKUP(D135,PREVVOLS,VLOOKUP(G135,MOVE_DOWN2,2,FALSE()),FALSE()),VLOOKUP(G135,NGPREVPRICES,3,FALSE()),HLOOKUP(D135,Correllate,VLOOKUP(G135,CorMove,2,FALSE()),FALSE()),Q135-$CD$3,R135,$CJ$5)*H135-CJ135</f>
        <v>#NAME?</v>
      </c>
      <c r="CF135" s="132" t="e">
        <f aca="false">(CJ135/VLOOKUP(CC135,discount,3,FALSE()))-(CJ135/VLOOKUP(CC135,discount,2,FALSE()))</f>
        <v>#NAME?</v>
      </c>
      <c r="CG135" s="253" t="e">
        <f aca="false">xSPRDOPT((VLOOKUP(G135,NGPREVPRICES,2,FALSE())+HLOOKUP(D135,PREVCURVES,VLOOKUP(G135,MOVE_DOWN2,2,FALSE()),FALSE())),VLOOKUP(G135,NGPREVPRICES,2,FALSE()),CK135,VLOOKUP(G135,NGPREVPRICES,4,FALSE()),HLOOKUP(D135,VOLS,VLOOKUP(G135,move_down,2,FALSE()),FALSE()),VLOOKUP(G135,NGPrices,3,FALSE()),HLOOKUP(D135,Correllate,VLOOKUP(G135,CorMove,2,FALSE()),FALSE()),Q135-$CD$3,R135,$CJ$5)*H135-CJ135</f>
        <v>#NAME?</v>
      </c>
      <c r="CH135" s="253" t="e">
        <f aca="false">xSPRDOPT((VLOOKUP(G135,NGPREVPRICES,2,FALSE())+HLOOKUP(D135,PREVCURVES,VLOOKUP(G135,MOVE_DOWN2,2,FALSE()),FALSE())),VLOOKUP(G135,NGPREVPRICES,2,FALSE()),CK135,VLOOKUP(G135,NGPREVPRICES,4,FALSE()),HLOOKUP(D135,PREVVOLS,VLOOKUP(G135,MOVE_DOWN2,2,FALSE()),FALSE()),VLOOKUP(G135,NGPREVPRICES,3,FALSE()),HLOOKUP(D135,Correllate,VLOOKUP(G135,CorMove,2,FALSE()),FALSE()),Q135-$C$3,R135,$CJ$5)*H135-CJ135</f>
        <v>#NAME?</v>
      </c>
      <c r="CI135" s="253" t="e">
        <f aca="false">SUM(CD135:CH135)</f>
        <v>#NAME?</v>
      </c>
      <c r="CJ135" s="253" t="e">
        <f aca="false">xSPRDOPT((VLOOKUP(G135,NGPREVPRICES,2,FALSE())+HLOOKUP(D135,PREVCURVES,VLOOKUP(G135,MOVE_DOWN2,2,FALSE()),FALSE())),VLOOKUP(G135,NGPREVPRICES,2,FALSE()),CK135,VLOOKUP(G135,NGPREVPRICES,4,FALSE()),HLOOKUP(D135,PREVVOLS,VLOOKUP(G135,MOVE_DOWN2,2,FALSE()),FALSE()),VLOOKUP(G135,NGPREVPRICES,3,FALSE()),HLOOKUP(D135,Correllate,VLOOKUP(G135,CorMove,2,FALSE()),FALSE()),Q135-$CD$3,R135,$CJ$5)*H135</f>
        <v>#NAME?</v>
      </c>
      <c r="CK135" s="254" t="n">
        <f aca="false">I135</f>
        <v>0</v>
      </c>
      <c r="CL135" s="253"/>
      <c r="CM135" s="0" t="str">
        <f aca="false">CONCATENATE(CC135,$CD$6)</f>
        <v>36800Curve Shift/Gamma</v>
      </c>
      <c r="CN135" s="0" t="str">
        <f aca="false">CONCATENATE($CC135,$CE$6)</f>
        <v>36800Rho</v>
      </c>
      <c r="CO135" s="0" t="str">
        <f aca="false">CONCATENATE($CC135,$CF$6)</f>
        <v>36800Drift</v>
      </c>
      <c r="CP135" s="0" t="str">
        <f aca="false">CONCATENATE($CC135,$CG$6)</f>
        <v>36800Vega</v>
      </c>
      <c r="CQ135" s="0" t="str">
        <f aca="false">CONCATENATE($CC135,$CH$6)</f>
        <v>36800Theta</v>
      </c>
    </row>
    <row r="136" customFormat="false" ht="12" hidden="false" customHeight="true" outlineLevel="0" collapsed="false">
      <c r="A136" s="265" t="s">
        <v>198</v>
      </c>
      <c r="B136" s="0" t="s">
        <v>192</v>
      </c>
      <c r="C136" s="0" t="s">
        <v>249</v>
      </c>
      <c r="D136" s="7" t="s">
        <v>153</v>
      </c>
      <c r="E136" s="0" t="s">
        <v>131</v>
      </c>
      <c r="F136" s="0" t="s">
        <v>132</v>
      </c>
      <c r="G136" s="92" t="n">
        <v>36770</v>
      </c>
      <c r="H136" s="248" t="n">
        <v>-1000000</v>
      </c>
      <c r="I136" s="0" t="n">
        <v>0</v>
      </c>
      <c r="J136" s="124" t="n">
        <f aca="false">VLOOKUP(G136,NGPrices,2,FALSE())</f>
        <v>4.685</v>
      </c>
      <c r="K136" s="125" t="n">
        <f aca="false">HLOOKUP(D136,Prices,VLOOKUP(G136,move_down,2,FALSE()),FALSE())+VLOOKUP(G136,CHANGE,HLOOKUP(D136,CHANGE,2,FALSE()),FALSE())</f>
        <v>-0.11</v>
      </c>
      <c r="L136" s="124" t="n">
        <f aca="false">K136+J136</f>
        <v>4.575</v>
      </c>
      <c r="M136" s="126" t="n">
        <f aca="false">VLOOKUP(G136,NGPrices,4,FALSE())</f>
        <v>0.067216196212185</v>
      </c>
      <c r="N136" s="7" t="n">
        <f aca="false">VLOOKUP(G136,NGPrices,3,FALSE())</f>
        <v>0.4</v>
      </c>
      <c r="O136" s="7" t="n">
        <f aca="false">HLOOKUP(D136,VOLS,VLOOKUP(G136,move_down,2,FALSE()),FALSE())</f>
        <v>0.4</v>
      </c>
      <c r="P136" s="249" t="n">
        <f aca="false">HLOOKUP(D136,Correllate,VLOOKUP(G136,CorMove,2,FALSE()),FALSE())</f>
        <v>0.9975</v>
      </c>
      <c r="Q136" s="92" t="n">
        <f aca="false">WORKDAY(G136,-2)</f>
        <v>36768</v>
      </c>
      <c r="R136" s="7" t="n">
        <f aca="false">IF(F136="P",0,1)</f>
        <v>0</v>
      </c>
      <c r="S136" s="130" t="e">
        <f aca="false">xSPRDOPT($L136,$J136,$I136,$M136,$O136,$N136,$P136,$Q136-$C$3,$R136,0)</f>
        <v>#NAME?</v>
      </c>
      <c r="T136" s="250" t="e">
        <f aca="false">xSPRDOPT($L136,$J136,$I136,$M136,$O136,$N136,$P136,$Q136-$C$3,$R136,1)*H136</f>
        <v>#NAME?</v>
      </c>
      <c r="U136" s="43" t="e">
        <f aca="false">S136*H136</f>
        <v>#NAME?</v>
      </c>
      <c r="V136" s="250" t="e">
        <f aca="false">xSPRDOPT($L136,$J136,$I136,$M136,$O136,$N136,$P136,$Q136-$C$3,$R136,2)*H136</f>
        <v>#NAME?</v>
      </c>
      <c r="W136" s="250" t="e">
        <f aca="false">+V136+T136</f>
        <v>#NAME?</v>
      </c>
      <c r="X136" s="2" t="str">
        <f aca="false">CONCATENATE(G136,D136)</f>
        <v>36770IF-NNG/VENT</v>
      </c>
      <c r="Y136" s="251" t="n">
        <f aca="false">H136/10000</f>
        <v>-100</v>
      </c>
      <c r="Z136" s="226" t="e">
        <f aca="false">T136/H136</f>
        <v>#NAME?</v>
      </c>
      <c r="AA136" s="226" t="e">
        <f aca="false">xSPRDOPT($L136,$J136,$I136,$M136,$O136,$N136,$P136,$Q136-$C$3,$R136,3)</f>
        <v>#NAME?</v>
      </c>
      <c r="AB136" s="226" t="e">
        <f aca="false">((xSPRDOPT($L136+AB$5,$J136,$I136,$M136,$O136,$N136,$P136,$Q136-$C$3,$R136,3)*$H136)/10000)/100</f>
        <v>#NAME?</v>
      </c>
      <c r="AC136" s="226" t="e">
        <f aca="false">((xSPRDOPT($L136+$AB$5,$J136,$I136,$M136,$O136,$N136,$P136,$Q136-$C$3,$R136,7)*$H136)/100)</f>
        <v>#NAME?</v>
      </c>
      <c r="AD136" s="226" t="e">
        <f aca="false">(xSPRDOPT($L136+$AB$5,$J136,$I136,$M136,$O136,$N136,$P136,$Q136-$C$3,$R136,9)/365)*$H136</f>
        <v>#NAME?</v>
      </c>
      <c r="AE136" s="0" t="e">
        <f aca="false">CD136</f>
        <v>#NAME?</v>
      </c>
      <c r="AF136" s="226" t="e">
        <f aca="false">((O136/N136)*AH136)+AG136</f>
        <v>#NAME?</v>
      </c>
      <c r="AG136" s="226" t="e">
        <f aca="false">((xSPRDOPT($L136,$J136,$I136,$M136,$O136,$N136,$P136,$Q136-$C$3,$R136,6)*$H136)/100)</f>
        <v>#NAME?</v>
      </c>
      <c r="AH136" s="226" t="e">
        <f aca="false">((xSPRDOPT($L136,$J136,$I136,$M136,$O136,$N136,$P136,$Q136-$C$3,$R136,5)*$H136)/100)</f>
        <v>#NAME?</v>
      </c>
      <c r="AI136" s="226" t="e">
        <f aca="false">(((xSPRDOPT($L136,$J136,$I136,$M136,$O136,$N136,$P136,$Q136-$C$3,$R136,4)*$H136)/10000)/100)-AB136</f>
        <v>#NAME?</v>
      </c>
      <c r="AJ136" s="226"/>
      <c r="AK136" s="226"/>
      <c r="AL136" s="226"/>
      <c r="AM136" s="252"/>
      <c r="AN136" s="208" t="n">
        <f aca="false">EOMONTH(AN135,0)+1</f>
        <v>40664</v>
      </c>
      <c r="AO136" s="134" t="n">
        <f aca="false">SUMIF($X:$X,CONCATENATE($AN136,AO$6),$T:$T)/10000</f>
        <v>0</v>
      </c>
      <c r="AP136" s="134" t="n">
        <f aca="false">SUMIF($X:$X,CONCATENATE($AN136,AP$6),$T:$T)/10000</f>
        <v>0</v>
      </c>
      <c r="AQ136" s="134" t="n">
        <f aca="false">SUMIF($X:$X,CONCATENATE($AN136,AQ$6),$T:$T)/10000</f>
        <v>0</v>
      </c>
      <c r="AR136" s="134" t="n">
        <f aca="false">SUMIF($X:$X,CONCATENATE($AN136,AR$6),$T:$T)/10000</f>
        <v>0</v>
      </c>
      <c r="AS136" s="134" t="n">
        <f aca="false">SUMIF($X:$X,CONCATENATE($AN136,AS$6),$T:$T)/10000</f>
        <v>0</v>
      </c>
      <c r="AT136" s="134" t="n">
        <f aca="false">SUMIF($X:$X,CONCATENATE($AN136,AT$6),$T:$T)/10000</f>
        <v>0</v>
      </c>
      <c r="AU136" s="134" t="n">
        <f aca="false">SUMIF($X:$X,CONCATENATE($AN136,AU$6),$T:$T)/10000</f>
        <v>0</v>
      </c>
      <c r="AV136" s="134" t="n">
        <f aca="false">SUMIF($X:$X,CONCATENATE($AN136,AV$6),$T:$T)/10000</f>
        <v>0</v>
      </c>
      <c r="AW136" s="134" t="n">
        <f aca="false">SUMIF($X:$X,CONCATENATE($AN136,AW$6),$T:$T)/10000</f>
        <v>0</v>
      </c>
      <c r="AX136" s="134" t="n">
        <f aca="false">SUMIF($X:$X,CONCATENATE($AN136,AX$6),$T:$T)/10000</f>
        <v>0</v>
      </c>
      <c r="AY136" s="134" t="n">
        <f aca="false">SUMIF($X:$X,CONCATENATE($AN136,AY$6),$T:$T)/10000</f>
        <v>0</v>
      </c>
      <c r="AZ136" s="134" t="n">
        <f aca="false">SUMIF($X:$X,CONCATENATE($AN136,AZ$6),$T:$T)/10000</f>
        <v>0</v>
      </c>
      <c r="BA136" s="135" t="n">
        <f aca="false">SUMIF($X:$X,CONCATENATE($AN136,BA$6),$T:$T)/10000</f>
        <v>0</v>
      </c>
      <c r="BB136" s="208" t="n">
        <f aca="false">EOMONTH(BB135,0)+1</f>
        <v>40664</v>
      </c>
      <c r="BC136" s="135" t="n">
        <f aca="false">SUM(AO136:BA136)</f>
        <v>0</v>
      </c>
      <c r="BD136" s="2"/>
      <c r="BE136" s="208" t="n">
        <f aca="false">EOMONTH(BE135,0)+1</f>
        <v>40664</v>
      </c>
      <c r="BF136" s="134" t="n">
        <f aca="false">SUMIF($X:$X,CONCATENATE($AN136,BF$6),$W:$W)</f>
        <v>0</v>
      </c>
      <c r="BG136" s="134" t="n">
        <f aca="false">SUMIF($X:$X,CONCATENATE($AN136,BG$6),$W:$W)</f>
        <v>0</v>
      </c>
      <c r="BH136" s="134" t="n">
        <f aca="false">SUMIF($X:$X,CONCATENATE($AN136,BH$6),$W:$W)</f>
        <v>0</v>
      </c>
      <c r="BI136" s="134" t="n">
        <f aca="false">SUMIF($X:$X,CONCATENATE($AN136,BI$6),$W:$W)</f>
        <v>0</v>
      </c>
      <c r="BJ136" s="134" t="n">
        <f aca="false">SUMIF($X:$X,CONCATENATE($AN136,BJ$6),$W:$W)</f>
        <v>0</v>
      </c>
      <c r="BK136" s="134" t="n">
        <f aca="false">SUMIF($X:$X,CONCATENATE($AN136,BK$6),$W:$W)</f>
        <v>0</v>
      </c>
      <c r="BL136" s="134" t="n">
        <f aca="false">SUMIF($X:$X,CONCATENATE($AN136,BL$6),$W:$W)</f>
        <v>0</v>
      </c>
      <c r="BM136" s="134" t="n">
        <f aca="false">SUMIF($X:$X,CONCATENATE($AN136,BM$6),$W:$W)</f>
        <v>0</v>
      </c>
      <c r="BN136" s="134" t="n">
        <f aca="false">SUMIF($X:$X,CONCATENATE($AN136,BN$6),$W:$W)</f>
        <v>0</v>
      </c>
      <c r="BO136" s="134" t="n">
        <f aca="false">SUMIF($X:$X,CONCATENATE($AN136,BO$6),$W:$W)</f>
        <v>0</v>
      </c>
      <c r="BP136" s="134" t="n">
        <f aca="false">SUMIF($X:$X,CONCATENATE($AN136,BP$6),$W:$W)</f>
        <v>0</v>
      </c>
      <c r="BQ136" s="134" t="n">
        <f aca="false">SUMIF($X:$X,CONCATENATE($AN136,BQ$6),$W:$W)</f>
        <v>0</v>
      </c>
      <c r="BR136" s="135" t="n">
        <f aca="false">SUMIF($X:$X,CONCATENATE($AN136,BR$6),$W:$W)</f>
        <v>0</v>
      </c>
      <c r="BS136" s="208" t="n">
        <f aca="false">EOMONTH(BS135,0)+1</f>
        <v>40664</v>
      </c>
      <c r="BT136" s="135" t="n">
        <f aca="false">SUM(BF136:BR136)</f>
        <v>0</v>
      </c>
      <c r="BU136" s="2"/>
      <c r="BV136" s="2"/>
      <c r="BW136" s="2"/>
      <c r="BX136" s="2"/>
      <c r="BY136" s="2"/>
      <c r="BZ136" s="2"/>
      <c r="CA136" s="2"/>
      <c r="CB136" s="2"/>
      <c r="CC136" s="182" t="n">
        <f aca="false">G136</f>
        <v>36770</v>
      </c>
      <c r="CD136" s="253" t="e">
        <f aca="false">xSPRDOPT((VLOOKUP(G136,NGPrices,2,FALSE())+HLOOKUP(D136,Prices,VLOOKUP(G136,move_down,2,FALSE()),FALSE())),VLOOKUP(G136,NGPrices,2,FALSE()),I136,VLOOKUP(G136,NGPREVPRICES,4,FALSE()),HLOOKUP(D136,PREVVOLS,VLOOKUP(G136,MOVE_DOWN2,2,FALSE()),FALSE()),VLOOKUP(G136,NGPREVPRICES,3,FALSE()),HLOOKUP(D136,Correllate,VLOOKUP(G136,CorMove,2,FALSE()),FALSE()),Q136-$CD$3,R136,$CD$5)*H136-CJ136</f>
        <v>#NAME?</v>
      </c>
      <c r="CE136" s="253" t="e">
        <f aca="false">xSPRDOPT((VLOOKUP(G136,NGPREVPRICES,2,FALSE())+HLOOKUP(D136,PREVCURVES,VLOOKUP(G136,MOVE_DOWN2,2,FALSE()),FALSE())),VLOOKUP(G136,NGPREVPRICES,2,FALSE()),CK136,VLOOKUP(G136,NGPrices,4,FALSE()),HLOOKUP(D136,PREVVOLS,VLOOKUP(G136,MOVE_DOWN2,2,FALSE()),FALSE()),VLOOKUP(G136,NGPREVPRICES,3,FALSE()),HLOOKUP(D136,Correllate,VLOOKUP(G136,CorMove,2,FALSE()),FALSE()),Q136-$CD$3,R136,$CJ$5)*H136-CJ136</f>
        <v>#NAME?</v>
      </c>
      <c r="CF136" s="132" t="e">
        <f aca="false">(CJ136/VLOOKUP(CC136,discount,3,FALSE()))-(CJ136/VLOOKUP(CC136,discount,2,FALSE()))</f>
        <v>#NAME?</v>
      </c>
      <c r="CG136" s="253" t="e">
        <f aca="false">xSPRDOPT((VLOOKUP(G136,NGPREVPRICES,2,FALSE())+HLOOKUP(D136,PREVCURVES,VLOOKUP(G136,MOVE_DOWN2,2,FALSE()),FALSE())),VLOOKUP(G136,NGPREVPRICES,2,FALSE()),CK136,VLOOKUP(G136,NGPREVPRICES,4,FALSE()),HLOOKUP(D136,VOLS,VLOOKUP(G136,move_down,2,FALSE()),FALSE()),VLOOKUP(G136,NGPrices,3,FALSE()),HLOOKUP(D136,Correllate,VLOOKUP(G136,CorMove,2,FALSE()),FALSE()),Q136-$CD$3,R136,$CJ$5)*H136-CJ136</f>
        <v>#NAME?</v>
      </c>
      <c r="CH136" s="253" t="e">
        <f aca="false">xSPRDOPT((VLOOKUP(G136,NGPREVPRICES,2,FALSE())+HLOOKUP(D136,PREVCURVES,VLOOKUP(G136,MOVE_DOWN2,2,FALSE()),FALSE())),VLOOKUP(G136,NGPREVPRICES,2,FALSE()),CK136,VLOOKUP(G136,NGPREVPRICES,4,FALSE()),HLOOKUP(D136,PREVVOLS,VLOOKUP(G136,MOVE_DOWN2,2,FALSE()),FALSE()),VLOOKUP(G136,NGPREVPRICES,3,FALSE()),HLOOKUP(D136,Correllate,VLOOKUP(G136,CorMove,2,FALSE()),FALSE()),Q136-$C$3,R136,$CJ$5)*H136-CJ136</f>
        <v>#NAME?</v>
      </c>
      <c r="CI136" s="253" t="e">
        <f aca="false">SUM(CD136:CH136)</f>
        <v>#NAME?</v>
      </c>
      <c r="CJ136" s="253" t="e">
        <f aca="false">xSPRDOPT((VLOOKUP(G136,NGPREVPRICES,2,FALSE())+HLOOKUP(D136,PREVCURVES,VLOOKUP(G136,MOVE_DOWN2,2,FALSE()),FALSE())),VLOOKUP(G136,NGPREVPRICES,2,FALSE()),CK136,VLOOKUP(G136,NGPREVPRICES,4,FALSE()),HLOOKUP(D136,PREVVOLS,VLOOKUP(G136,MOVE_DOWN2,2,FALSE()),FALSE()),VLOOKUP(G136,NGPREVPRICES,3,FALSE()),HLOOKUP(D136,Correllate,VLOOKUP(G136,CorMove,2,FALSE()),FALSE()),Q136-$CD$3,R136,$CJ$5)*H136</f>
        <v>#NAME?</v>
      </c>
      <c r="CK136" s="254" t="n">
        <f aca="false">I136</f>
        <v>0</v>
      </c>
      <c r="CL136" s="253"/>
      <c r="CM136" s="0" t="str">
        <f aca="false">CONCATENATE(CC136,$CD$6)</f>
        <v>36770Curve Shift/Gamma</v>
      </c>
      <c r="CN136" s="0" t="str">
        <f aca="false">CONCATENATE($CC136,$CE$6)</f>
        <v>36770Rho</v>
      </c>
      <c r="CO136" s="0" t="str">
        <f aca="false">CONCATENATE($CC136,$CF$6)</f>
        <v>36770Drift</v>
      </c>
      <c r="CP136" s="0" t="str">
        <f aca="false">CONCATENATE($CC136,$CG$6)</f>
        <v>36770Vega</v>
      </c>
      <c r="CQ136" s="0" t="str">
        <f aca="false">CONCATENATE($CC136,$CH$6)</f>
        <v>36770Theta</v>
      </c>
    </row>
    <row r="137" customFormat="false" ht="12" hidden="false" customHeight="true" outlineLevel="0" collapsed="false">
      <c r="A137" s="17" t="s">
        <v>210</v>
      </c>
      <c r="B137" s="0" t="s">
        <v>192</v>
      </c>
      <c r="C137" s="0" t="s">
        <v>250</v>
      </c>
      <c r="D137" s="7" t="s">
        <v>149</v>
      </c>
      <c r="E137" s="0" t="s">
        <v>131</v>
      </c>
      <c r="F137" s="0" t="s">
        <v>136</v>
      </c>
      <c r="G137" s="92" t="n">
        <v>36951</v>
      </c>
      <c r="H137" s="248" t="n">
        <v>310000</v>
      </c>
      <c r="I137" s="0" t="n">
        <v>2.2</v>
      </c>
      <c r="J137" s="124" t="n">
        <f aca="false">VLOOKUP(G137,NGPrices,2,FALSE())</f>
        <v>4.213</v>
      </c>
      <c r="K137" s="125" t="n">
        <f aca="false">HLOOKUP(D137,Prices,VLOOKUP(G137,move_down,2,FALSE()),FALSE())+VLOOKUP(G137,CHANGE,HLOOKUP(D137,CHANGE,2,FALSE()),FALSE())</f>
        <v>1.075</v>
      </c>
      <c r="L137" s="124" t="n">
        <f aca="false">K137+J137</f>
        <v>5.288</v>
      </c>
      <c r="M137" s="126" t="n">
        <f aca="false">VLOOKUP(G137,NGPrices,4,FALSE())</f>
        <v>0.068879814952707</v>
      </c>
      <c r="N137" s="7" t="n">
        <f aca="false">VLOOKUP(G137,NGPrices,3,FALSE())</f>
        <v>0.5325</v>
      </c>
      <c r="O137" s="7" t="n">
        <f aca="false">HLOOKUP(D137,VOLS,VLOOKUP(G137,move_down,2,FALSE()),FALSE())</f>
        <v>0.612</v>
      </c>
      <c r="P137" s="249" t="n">
        <f aca="false">HLOOKUP(D137,Correllate,VLOOKUP(G137,CorMove,2,FALSE()),FALSE())</f>
        <v>0.83</v>
      </c>
      <c r="Q137" s="92" t="n">
        <f aca="false">WORKDAY(G137,-2)</f>
        <v>36949</v>
      </c>
      <c r="R137" s="7" t="n">
        <f aca="false">IF(F137="P",0,1)</f>
        <v>1</v>
      </c>
      <c r="S137" s="130" t="e">
        <f aca="false">xSPRDOPT($L137,$J137,$I137,$M137,$O137,$N137,$P137,$Q137-$C$3,$R137,0)</f>
        <v>#NAME?</v>
      </c>
      <c r="T137" s="250" t="e">
        <f aca="false">xSPRDOPT($L137,$J137,$I137,$M137,$O137,$N137,$P137,$Q137-$C$3,$R137,1)*H137</f>
        <v>#NAME?</v>
      </c>
      <c r="U137" s="43" t="e">
        <f aca="false">S137*H137</f>
        <v>#NAME?</v>
      </c>
      <c r="V137" s="250" t="e">
        <f aca="false">xSPRDOPT($L137,$J137,$I137,$M137,$O137,$N137,$P137,$Q137-$C$3,$R137,2)*H137</f>
        <v>#NAME?</v>
      </c>
      <c r="W137" s="250" t="e">
        <f aca="false">+V137+T137</f>
        <v>#NAME?</v>
      </c>
      <c r="X137" s="2" t="str">
        <f aca="false">CONCATENATE(G137,D137)</f>
        <v>36951IF-TRANSCO/Z6</v>
      </c>
      <c r="Y137" s="251" t="n">
        <f aca="false">H137/10000</f>
        <v>31</v>
      </c>
      <c r="Z137" s="226" t="e">
        <f aca="false">T137/H137</f>
        <v>#NAME?</v>
      </c>
      <c r="AA137" s="226" t="e">
        <f aca="false">xSPRDOPT($L137,$J137,$I137,$M137,$O137,$N137,$P137,$Q137-$C$3,$R137,3)</f>
        <v>#NAME?</v>
      </c>
      <c r="AB137" s="226" t="e">
        <f aca="false">((xSPRDOPT($L137+AB$5,$J137,$I137,$M137,$O137,$N137,$P137,$Q137-$C$3,$R137,3)*$H137)/10000)/100</f>
        <v>#NAME?</v>
      </c>
      <c r="AC137" s="226" t="e">
        <f aca="false">((xSPRDOPT($L137+$AB$5,$J137,$I137,$M137,$O137,$N137,$P137,$Q137-$C$3,$R137,7)*$H137)/100)</f>
        <v>#NAME?</v>
      </c>
      <c r="AD137" s="226" t="e">
        <f aca="false">(xSPRDOPT($L137+$AB$5,$J137,$I137,$M137,$O137,$N137,$P137,$Q137-$C$3,$R137,9)/365)*$H137</f>
        <v>#NAME?</v>
      </c>
      <c r="AE137" s="0" t="e">
        <f aca="false">CD137</f>
        <v>#NAME?</v>
      </c>
      <c r="AF137" s="226" t="e">
        <f aca="false">((O137/N137)*AH137)+AG137</f>
        <v>#NAME?</v>
      </c>
      <c r="AG137" s="226" t="e">
        <f aca="false">((xSPRDOPT($L137,$J137,$I137,$M137,$O137,$N137,$P137,$Q137-$C$3,$R137,6)*$H137)/100)</f>
        <v>#NAME?</v>
      </c>
      <c r="AH137" s="226" t="e">
        <f aca="false">((xSPRDOPT($L137,$J137,$I137,$M137,$O137,$N137,$P137,$Q137-$C$3,$R137,5)*$H137)/100)</f>
        <v>#NAME?</v>
      </c>
      <c r="AI137" s="226" t="e">
        <f aca="false">(((xSPRDOPT($L137,$J137,$I137,$M137,$O137,$N137,$P137,$Q137-$C$3,$R137,4)*$H137)/10000)/100)-AB137</f>
        <v>#NAME?</v>
      </c>
      <c r="AJ137" s="226"/>
      <c r="AK137" s="226"/>
      <c r="AL137" s="226"/>
      <c r="AM137" s="252"/>
      <c r="AN137" s="208" t="n">
        <f aca="false">EOMONTH(AN136,0)+1</f>
        <v>40695</v>
      </c>
      <c r="AO137" s="134" t="n">
        <f aca="false">SUMIF($X:$X,CONCATENATE($AN137,AO$6),$T:$T)/10000</f>
        <v>0</v>
      </c>
      <c r="AP137" s="134" t="n">
        <f aca="false">SUMIF($X:$X,CONCATENATE($AN137,AP$6),$T:$T)/10000</f>
        <v>0</v>
      </c>
      <c r="AQ137" s="134" t="n">
        <f aca="false">SUMIF($X:$X,CONCATENATE($AN137,AQ$6),$T:$T)/10000</f>
        <v>0</v>
      </c>
      <c r="AR137" s="134" t="n">
        <f aca="false">SUMIF($X:$X,CONCATENATE($AN137,AR$6),$T:$T)/10000</f>
        <v>0</v>
      </c>
      <c r="AS137" s="134" t="n">
        <f aca="false">SUMIF($X:$X,CONCATENATE($AN137,AS$6),$T:$T)/10000</f>
        <v>0</v>
      </c>
      <c r="AT137" s="134" t="n">
        <f aca="false">SUMIF($X:$X,CONCATENATE($AN137,AT$6),$T:$T)/10000</f>
        <v>0</v>
      </c>
      <c r="AU137" s="134" t="n">
        <f aca="false">SUMIF($X:$X,CONCATENATE($AN137,AU$6),$T:$T)/10000</f>
        <v>0</v>
      </c>
      <c r="AV137" s="134" t="n">
        <f aca="false">SUMIF($X:$X,CONCATENATE($AN137,AV$6),$T:$T)/10000</f>
        <v>0</v>
      </c>
      <c r="AW137" s="134" t="n">
        <f aca="false">SUMIF($X:$X,CONCATENATE($AN137,AW$6),$T:$T)/10000</f>
        <v>0</v>
      </c>
      <c r="AX137" s="134" t="n">
        <f aca="false">SUMIF($X:$X,CONCATENATE($AN137,AX$6),$T:$T)/10000</f>
        <v>0</v>
      </c>
      <c r="AY137" s="134" t="n">
        <f aca="false">SUMIF($X:$X,CONCATENATE($AN137,AY$6),$T:$T)/10000</f>
        <v>0</v>
      </c>
      <c r="AZ137" s="134" t="n">
        <f aca="false">SUMIF($X:$X,CONCATENATE($AN137,AZ$6),$T:$T)/10000</f>
        <v>0</v>
      </c>
      <c r="BA137" s="135" t="n">
        <f aca="false">SUMIF($X:$X,CONCATENATE($AN137,BA$6),$T:$T)/10000</f>
        <v>0</v>
      </c>
      <c r="BB137" s="208" t="n">
        <f aca="false">EOMONTH(BB136,0)+1</f>
        <v>40695</v>
      </c>
      <c r="BC137" s="135" t="n">
        <f aca="false">SUM(AO137:BA137)</f>
        <v>0</v>
      </c>
      <c r="BD137" s="2"/>
      <c r="BE137" s="208" t="n">
        <f aca="false">EOMONTH(BE136,0)+1</f>
        <v>40695</v>
      </c>
      <c r="BF137" s="134" t="n">
        <f aca="false">SUMIF($X:$X,CONCATENATE($AN137,BF$6),$W:$W)</f>
        <v>0</v>
      </c>
      <c r="BG137" s="134" t="n">
        <f aca="false">SUMIF($X:$X,CONCATENATE($AN137,BG$6),$W:$W)</f>
        <v>0</v>
      </c>
      <c r="BH137" s="134" t="n">
        <f aca="false">SUMIF($X:$X,CONCATENATE($AN137,BH$6),$W:$W)</f>
        <v>0</v>
      </c>
      <c r="BI137" s="134" t="n">
        <f aca="false">SUMIF($X:$X,CONCATENATE($AN137,BI$6),$W:$W)</f>
        <v>0</v>
      </c>
      <c r="BJ137" s="134" t="n">
        <f aca="false">SUMIF($X:$X,CONCATENATE($AN137,BJ$6),$W:$W)</f>
        <v>0</v>
      </c>
      <c r="BK137" s="134" t="n">
        <f aca="false">SUMIF($X:$X,CONCATENATE($AN137,BK$6),$W:$W)</f>
        <v>0</v>
      </c>
      <c r="BL137" s="134" t="n">
        <f aca="false">SUMIF($X:$X,CONCATENATE($AN137,BL$6),$W:$W)</f>
        <v>0</v>
      </c>
      <c r="BM137" s="134" t="n">
        <f aca="false">SUMIF($X:$X,CONCATENATE($AN137,BM$6),$W:$W)</f>
        <v>0</v>
      </c>
      <c r="BN137" s="134" t="n">
        <f aca="false">SUMIF($X:$X,CONCATENATE($AN137,BN$6),$W:$W)</f>
        <v>0</v>
      </c>
      <c r="BO137" s="134" t="n">
        <f aca="false">SUMIF($X:$X,CONCATENATE($AN137,BO$6),$W:$W)</f>
        <v>0</v>
      </c>
      <c r="BP137" s="134" t="n">
        <f aca="false">SUMIF($X:$X,CONCATENATE($AN137,BP$6),$W:$W)</f>
        <v>0</v>
      </c>
      <c r="BQ137" s="134" t="n">
        <f aca="false">SUMIF($X:$X,CONCATENATE($AN137,BQ$6),$W:$W)</f>
        <v>0</v>
      </c>
      <c r="BR137" s="135" t="n">
        <f aca="false">SUMIF($X:$X,CONCATENATE($AN137,BR$6),$W:$W)</f>
        <v>0</v>
      </c>
      <c r="BS137" s="208" t="n">
        <f aca="false">EOMONTH(BS136,0)+1</f>
        <v>40695</v>
      </c>
      <c r="BT137" s="135" t="n">
        <f aca="false">SUM(BF137:BR137)</f>
        <v>0</v>
      </c>
      <c r="BU137" s="2"/>
      <c r="BV137" s="2"/>
      <c r="BW137" s="2"/>
      <c r="BX137" s="2"/>
      <c r="BY137" s="2"/>
      <c r="BZ137" s="2"/>
      <c r="CA137" s="2"/>
      <c r="CB137" s="2"/>
      <c r="CC137" s="182" t="n">
        <f aca="false">G137</f>
        <v>36951</v>
      </c>
      <c r="CD137" s="253" t="e">
        <f aca="false">xSPRDOPT((VLOOKUP(G137,NGPrices,2,FALSE())+HLOOKUP(D137,Prices,VLOOKUP(G137,move_down,2,FALSE()),FALSE())),VLOOKUP(G137,NGPrices,2,FALSE()),I137,VLOOKUP(G137,NGPREVPRICES,4,FALSE()),HLOOKUP(D137,PREVVOLS,VLOOKUP(G137,MOVE_DOWN2,2,FALSE()),FALSE()),VLOOKUP(G137,NGPREVPRICES,3,FALSE()),HLOOKUP(D137,Correllate,VLOOKUP(G137,CorMove,2,FALSE()),FALSE()),Q137-$CD$3,R137,$CD$5)*H137-CJ137</f>
        <v>#NAME?</v>
      </c>
      <c r="CE137" s="253" t="e">
        <f aca="false">xSPRDOPT((VLOOKUP(G137,NGPREVPRICES,2,FALSE())+HLOOKUP(D137,PREVCURVES,VLOOKUP(G137,MOVE_DOWN2,2,FALSE()),FALSE())),VLOOKUP(G137,NGPREVPRICES,2,FALSE()),CK137,VLOOKUP(G137,NGPrices,4,FALSE()),HLOOKUP(D137,PREVVOLS,VLOOKUP(G137,MOVE_DOWN2,2,FALSE()),FALSE()),VLOOKUP(G137,NGPREVPRICES,3,FALSE()),HLOOKUP(D137,Correllate,VLOOKUP(G137,CorMove,2,FALSE()),FALSE()),Q137-$CD$3,R137,$CJ$5)*H137-CJ137</f>
        <v>#NAME?</v>
      </c>
      <c r="CF137" s="132" t="e">
        <f aca="false">(CJ137/VLOOKUP(CC137,discount,3,FALSE()))-(CJ137/VLOOKUP(CC137,discount,2,FALSE()))</f>
        <v>#NAME?</v>
      </c>
      <c r="CG137" s="253" t="e">
        <f aca="false">xSPRDOPT((VLOOKUP(G137,NGPREVPRICES,2,FALSE())+HLOOKUP(D137,PREVCURVES,VLOOKUP(G137,MOVE_DOWN2,2,FALSE()),FALSE())),VLOOKUP(G137,NGPREVPRICES,2,FALSE()),CK137,VLOOKUP(G137,NGPREVPRICES,4,FALSE()),HLOOKUP(D137,VOLS,VLOOKUP(G137,move_down,2,FALSE()),FALSE()),VLOOKUP(G137,NGPrices,3,FALSE()),HLOOKUP(D137,Correllate,VLOOKUP(G137,CorMove,2,FALSE()),FALSE()),Q137-$CD$3,R137,$CJ$5)*H137-CJ137</f>
        <v>#NAME?</v>
      </c>
      <c r="CH137" s="253" t="e">
        <f aca="false">xSPRDOPT((VLOOKUP(G137,NGPREVPRICES,2,FALSE())+HLOOKUP(D137,PREVCURVES,VLOOKUP(G137,MOVE_DOWN2,2,FALSE()),FALSE())),VLOOKUP(G137,NGPREVPRICES,2,FALSE()),CK137,VLOOKUP(G137,NGPREVPRICES,4,FALSE()),HLOOKUP(D137,PREVVOLS,VLOOKUP(G137,MOVE_DOWN2,2,FALSE()),FALSE()),VLOOKUP(G137,NGPREVPRICES,3,FALSE()),HLOOKUP(D137,Correllate,VLOOKUP(G137,CorMove,2,FALSE()),FALSE()),Q137-$C$3,R137,$CJ$5)*H137-CJ137</f>
        <v>#NAME?</v>
      </c>
      <c r="CI137" s="253" t="e">
        <f aca="false">SUM(CD137:CH137)</f>
        <v>#NAME?</v>
      </c>
      <c r="CJ137" s="253" t="e">
        <f aca="false">xSPRDOPT((VLOOKUP(G137,NGPREVPRICES,2,FALSE())+HLOOKUP(D137,PREVCURVES,VLOOKUP(G137,MOVE_DOWN2,2,FALSE()),FALSE())),VLOOKUP(G137,NGPREVPRICES,2,FALSE()),CK137,VLOOKUP(G137,NGPREVPRICES,4,FALSE()),HLOOKUP(D137,PREVVOLS,VLOOKUP(G137,MOVE_DOWN2,2,FALSE()),FALSE()),VLOOKUP(G137,NGPREVPRICES,3,FALSE()),HLOOKUP(D137,Correllate,VLOOKUP(G137,CorMove,2,FALSE()),FALSE()),Q137-$CD$3,R137,$CJ$5)*H137</f>
        <v>#NAME?</v>
      </c>
      <c r="CK137" s="254" t="n">
        <f aca="false">I137</f>
        <v>2.2</v>
      </c>
      <c r="CL137" s="253"/>
      <c r="CM137" s="0" t="str">
        <f aca="false">CONCATENATE(CC137,$CD$6)</f>
        <v>36951Curve Shift/Gamma</v>
      </c>
      <c r="CN137" s="0" t="str">
        <f aca="false">CONCATENATE($CC137,$CE$6)</f>
        <v>36951Rho</v>
      </c>
      <c r="CO137" s="0" t="str">
        <f aca="false">CONCATENATE($CC137,$CF$6)</f>
        <v>36951Drift</v>
      </c>
      <c r="CP137" s="0" t="str">
        <f aca="false">CONCATENATE($CC137,$CG$6)</f>
        <v>36951Vega</v>
      </c>
      <c r="CQ137" s="0" t="str">
        <f aca="false">CONCATENATE($CC137,$CH$6)</f>
        <v>36951Theta</v>
      </c>
    </row>
    <row r="138" customFormat="false" ht="12" hidden="false" customHeight="true" outlineLevel="0" collapsed="false">
      <c r="A138" s="17" t="s">
        <v>210</v>
      </c>
      <c r="B138" s="0" t="s">
        <v>192</v>
      </c>
      <c r="C138" s="0" t="s">
        <v>250</v>
      </c>
      <c r="D138" s="7" t="s">
        <v>149</v>
      </c>
      <c r="E138" s="0" t="s">
        <v>131</v>
      </c>
      <c r="F138" s="0" t="s">
        <v>136</v>
      </c>
      <c r="G138" s="92" t="n">
        <v>36923</v>
      </c>
      <c r="H138" s="248" t="n">
        <v>280000</v>
      </c>
      <c r="I138" s="0" t="n">
        <v>2.2</v>
      </c>
      <c r="J138" s="124" t="n">
        <f aca="false">VLOOKUP(G138,NGPrices,2,FALSE())</f>
        <v>4.48</v>
      </c>
      <c r="K138" s="125" t="n">
        <f aca="false">HLOOKUP(D138,Prices,VLOOKUP(G138,move_down,2,FALSE()),FALSE())+VLOOKUP(G138,CHANGE,HLOOKUP(D138,CHANGE,2,FALSE()),FALSE())</f>
        <v>2.09</v>
      </c>
      <c r="L138" s="124" t="n">
        <f aca="false">K138+J138</f>
        <v>6.57</v>
      </c>
      <c r="M138" s="126" t="n">
        <f aca="false">VLOOKUP(G138,NGPrices,4,FALSE())</f>
        <v>0.068640161611372</v>
      </c>
      <c r="N138" s="7" t="n">
        <f aca="false">VLOOKUP(G138,NGPrices,3,FALSE())</f>
        <v>0.5925</v>
      </c>
      <c r="O138" s="7" t="n">
        <f aca="false">HLOOKUP(D138,VOLS,VLOOKUP(G138,move_down,2,FALSE()),FALSE())</f>
        <v>0.681</v>
      </c>
      <c r="P138" s="249" t="n">
        <f aca="false">HLOOKUP(D138,Correllate,VLOOKUP(G138,CorMove,2,FALSE()),FALSE())</f>
        <v>0.83</v>
      </c>
      <c r="Q138" s="92" t="n">
        <f aca="false">WORKDAY(G138,-2)</f>
        <v>36921</v>
      </c>
      <c r="R138" s="7" t="n">
        <f aca="false">IF(F138="P",0,1)</f>
        <v>1</v>
      </c>
      <c r="S138" s="130" t="e">
        <f aca="false">xSPRDOPT($L138,$J138,$I138,$M138,$O138,$N138,$P138,$Q138-$C$3,$R138,0)</f>
        <v>#NAME?</v>
      </c>
      <c r="T138" s="250" t="e">
        <f aca="false">xSPRDOPT($L138,$J138,$I138,$M138,$O138,$N138,$P138,$Q138-$C$3,$R138,1)*H138</f>
        <v>#NAME?</v>
      </c>
      <c r="U138" s="43" t="e">
        <f aca="false">S138*H138</f>
        <v>#NAME?</v>
      </c>
      <c r="V138" s="250" t="e">
        <f aca="false">xSPRDOPT($L138,$J138,$I138,$M138,$O138,$N138,$P138,$Q138-$C$3,$R138,2)*H138</f>
        <v>#NAME?</v>
      </c>
      <c r="W138" s="250" t="e">
        <f aca="false">+V138+T138</f>
        <v>#NAME?</v>
      </c>
      <c r="X138" s="2" t="str">
        <f aca="false">CONCATENATE(G138,D138)</f>
        <v>36923IF-TRANSCO/Z6</v>
      </c>
      <c r="Y138" s="251" t="n">
        <f aca="false">H138/10000</f>
        <v>28</v>
      </c>
      <c r="Z138" s="226" t="e">
        <f aca="false">T138/H138</f>
        <v>#NAME?</v>
      </c>
      <c r="AA138" s="226" t="e">
        <f aca="false">xSPRDOPT($L138,$J138,$I138,$M138,$O138,$N138,$P138,$Q138-$C$3,$R138,3)</f>
        <v>#NAME?</v>
      </c>
      <c r="AB138" s="226" t="e">
        <f aca="false">((xSPRDOPT($L138+AB$5,$J138,$I138,$M138,$O138,$N138,$P138,$Q138-$C$3,$R138,3)*$H138)/10000)/100</f>
        <v>#NAME?</v>
      </c>
      <c r="AC138" s="226" t="e">
        <f aca="false">((xSPRDOPT($L138+$AB$5,$J138,$I138,$M138,$O138,$N138,$P138,$Q138-$C$3,$R138,7)*$H138)/100)</f>
        <v>#NAME?</v>
      </c>
      <c r="AD138" s="226" t="e">
        <f aca="false">(xSPRDOPT($L138+$AB$5,$J138,$I138,$M138,$O138,$N138,$P138,$Q138-$C$3,$R138,9)/365)*$H138</f>
        <v>#NAME?</v>
      </c>
      <c r="AE138" s="0" t="e">
        <f aca="false">CD138</f>
        <v>#NAME?</v>
      </c>
      <c r="AF138" s="226" t="e">
        <f aca="false">((O138/N138)*AH138)+AG138</f>
        <v>#NAME?</v>
      </c>
      <c r="AG138" s="226" t="e">
        <f aca="false">((xSPRDOPT($L138,$J138,$I138,$M138,$O138,$N138,$P138,$Q138-$C$3,$R138,6)*$H138)/100)</f>
        <v>#NAME?</v>
      </c>
      <c r="AH138" s="226" t="e">
        <f aca="false">((xSPRDOPT($L138,$J138,$I138,$M138,$O138,$N138,$P138,$Q138-$C$3,$R138,5)*$H138)/100)</f>
        <v>#NAME?</v>
      </c>
      <c r="AI138" s="226" t="e">
        <f aca="false">(((xSPRDOPT($L138,$J138,$I138,$M138,$O138,$N138,$P138,$Q138-$C$3,$R138,4)*$H138)/10000)/100)-AB138</f>
        <v>#NAME?</v>
      </c>
      <c r="AJ138" s="226"/>
      <c r="AK138" s="226"/>
      <c r="AL138" s="226"/>
      <c r="AM138" s="252"/>
      <c r="AN138" s="208" t="n">
        <f aca="false">EOMONTH(AN137,0)+1</f>
        <v>40725</v>
      </c>
      <c r="AO138" s="134" t="n">
        <f aca="false">SUMIF($X:$X,CONCATENATE($AN138,AO$6),$T:$T)/10000</f>
        <v>0</v>
      </c>
      <c r="AP138" s="134" t="n">
        <f aca="false">SUMIF($X:$X,CONCATENATE($AN138,AP$6),$T:$T)/10000</f>
        <v>0</v>
      </c>
      <c r="AQ138" s="134" t="n">
        <f aca="false">SUMIF($X:$X,CONCATENATE($AN138,AQ$6),$T:$T)/10000</f>
        <v>0</v>
      </c>
      <c r="AR138" s="134" t="n">
        <f aca="false">SUMIF($X:$X,CONCATENATE($AN138,AR$6),$T:$T)/10000</f>
        <v>0</v>
      </c>
      <c r="AS138" s="134" t="n">
        <f aca="false">SUMIF($X:$X,CONCATENATE($AN138,AS$6),$T:$T)/10000</f>
        <v>0</v>
      </c>
      <c r="AT138" s="134" t="n">
        <f aca="false">SUMIF($X:$X,CONCATENATE($AN138,AT$6),$T:$T)/10000</f>
        <v>0</v>
      </c>
      <c r="AU138" s="134" t="n">
        <f aca="false">SUMIF($X:$X,CONCATENATE($AN138,AU$6),$T:$T)/10000</f>
        <v>0</v>
      </c>
      <c r="AV138" s="134" t="n">
        <f aca="false">SUMIF($X:$X,CONCATENATE($AN138,AV$6),$T:$T)/10000</f>
        <v>0</v>
      </c>
      <c r="AW138" s="134" t="n">
        <f aca="false">SUMIF($X:$X,CONCATENATE($AN138,AW$6),$T:$T)/10000</f>
        <v>0</v>
      </c>
      <c r="AX138" s="134" t="n">
        <f aca="false">SUMIF($X:$X,CONCATENATE($AN138,AX$6),$T:$T)/10000</f>
        <v>0</v>
      </c>
      <c r="AY138" s="134" t="n">
        <f aca="false">SUMIF($X:$X,CONCATENATE($AN138,AY$6),$T:$T)/10000</f>
        <v>0</v>
      </c>
      <c r="AZ138" s="134" t="n">
        <f aca="false">SUMIF($X:$X,CONCATENATE($AN138,AZ$6),$T:$T)/10000</f>
        <v>0</v>
      </c>
      <c r="BA138" s="135" t="n">
        <f aca="false">SUMIF($X:$X,CONCATENATE($AN138,BA$6),$T:$T)/10000</f>
        <v>0</v>
      </c>
      <c r="BB138" s="208" t="n">
        <f aca="false">EOMONTH(BB137,0)+1</f>
        <v>40725</v>
      </c>
      <c r="BC138" s="135" t="n">
        <f aca="false">SUM(AO138:BA138)</f>
        <v>0</v>
      </c>
      <c r="BD138" s="2"/>
      <c r="BE138" s="208" t="n">
        <f aca="false">EOMONTH(BE137,0)+1</f>
        <v>40725</v>
      </c>
      <c r="BF138" s="134" t="n">
        <f aca="false">SUMIF($X:$X,CONCATENATE($AN138,BF$6),$W:$W)</f>
        <v>0</v>
      </c>
      <c r="BG138" s="134" t="n">
        <f aca="false">SUMIF($X:$X,CONCATENATE($AN138,BG$6),$W:$W)</f>
        <v>0</v>
      </c>
      <c r="BH138" s="134" t="n">
        <f aca="false">SUMIF($X:$X,CONCATENATE($AN138,BH$6),$W:$W)</f>
        <v>0</v>
      </c>
      <c r="BI138" s="134" t="n">
        <f aca="false">SUMIF($X:$X,CONCATENATE($AN138,BI$6),$W:$W)</f>
        <v>0</v>
      </c>
      <c r="BJ138" s="134" t="n">
        <f aca="false">SUMIF($X:$X,CONCATENATE($AN138,BJ$6),$W:$W)</f>
        <v>0</v>
      </c>
      <c r="BK138" s="134" t="n">
        <f aca="false">SUMIF($X:$X,CONCATENATE($AN138,BK$6),$W:$W)</f>
        <v>0</v>
      </c>
      <c r="BL138" s="134" t="n">
        <f aca="false">SUMIF($X:$X,CONCATENATE($AN138,BL$6),$W:$W)</f>
        <v>0</v>
      </c>
      <c r="BM138" s="134" t="n">
        <f aca="false">SUMIF($X:$X,CONCATENATE($AN138,BM$6),$W:$W)</f>
        <v>0</v>
      </c>
      <c r="BN138" s="134" t="n">
        <f aca="false">SUMIF($X:$X,CONCATENATE($AN138,BN$6),$W:$W)</f>
        <v>0</v>
      </c>
      <c r="BO138" s="134" t="n">
        <f aca="false">SUMIF($X:$X,CONCATENATE($AN138,BO$6),$W:$W)</f>
        <v>0</v>
      </c>
      <c r="BP138" s="134" t="n">
        <f aca="false">SUMIF($X:$X,CONCATENATE($AN138,BP$6),$W:$W)</f>
        <v>0</v>
      </c>
      <c r="BQ138" s="134" t="n">
        <f aca="false">SUMIF($X:$X,CONCATENATE($AN138,BQ$6),$W:$W)</f>
        <v>0</v>
      </c>
      <c r="BR138" s="135" t="n">
        <f aca="false">SUMIF($X:$X,CONCATENATE($AN138,BR$6),$W:$W)</f>
        <v>0</v>
      </c>
      <c r="BS138" s="208" t="n">
        <f aca="false">EOMONTH(BS137,0)+1</f>
        <v>40725</v>
      </c>
      <c r="BT138" s="135" t="n">
        <f aca="false">SUM(BF138:BR138)</f>
        <v>0</v>
      </c>
      <c r="BU138" s="2"/>
      <c r="BV138" s="2"/>
      <c r="BW138" s="2"/>
      <c r="BX138" s="2"/>
      <c r="BY138" s="2"/>
      <c r="BZ138" s="2"/>
      <c r="CA138" s="2"/>
      <c r="CB138" s="2"/>
      <c r="CC138" s="182" t="n">
        <f aca="false">G138</f>
        <v>36923</v>
      </c>
      <c r="CD138" s="253" t="e">
        <f aca="false">xSPRDOPT((VLOOKUP(G138,NGPrices,2,FALSE())+HLOOKUP(D138,Prices,VLOOKUP(G138,move_down,2,FALSE()),FALSE())),VLOOKUP(G138,NGPrices,2,FALSE()),I138,VLOOKUP(G138,NGPREVPRICES,4,FALSE()),HLOOKUP(D138,PREVVOLS,VLOOKUP(G138,MOVE_DOWN2,2,FALSE()),FALSE()),VLOOKUP(G138,NGPREVPRICES,3,FALSE()),HLOOKUP(D138,Correllate,VLOOKUP(G138,CorMove,2,FALSE()),FALSE()),Q138-$CD$3,R138,$CD$5)*H138-CJ138</f>
        <v>#NAME?</v>
      </c>
      <c r="CE138" s="253" t="e">
        <f aca="false">xSPRDOPT((VLOOKUP(G138,NGPREVPRICES,2,FALSE())+HLOOKUP(D138,PREVCURVES,VLOOKUP(G138,MOVE_DOWN2,2,FALSE()),FALSE())),VLOOKUP(G138,NGPREVPRICES,2,FALSE()),CK138,VLOOKUP(G138,NGPrices,4,FALSE()),HLOOKUP(D138,PREVVOLS,VLOOKUP(G138,MOVE_DOWN2,2,FALSE()),FALSE()),VLOOKUP(G138,NGPREVPRICES,3,FALSE()),HLOOKUP(D138,Correllate,VLOOKUP(G138,CorMove,2,FALSE()),FALSE()),Q138-$CD$3,R138,$CJ$5)*H138-CJ138</f>
        <v>#NAME?</v>
      </c>
      <c r="CF138" s="132" t="e">
        <f aca="false">(CJ138/VLOOKUP(CC138,discount,3,FALSE()))-(CJ138/VLOOKUP(CC138,discount,2,FALSE()))</f>
        <v>#NAME?</v>
      </c>
      <c r="CG138" s="253" t="e">
        <f aca="false">xSPRDOPT((VLOOKUP(G138,NGPREVPRICES,2,FALSE())+HLOOKUP(D138,PREVCURVES,VLOOKUP(G138,MOVE_DOWN2,2,FALSE()),FALSE())),VLOOKUP(G138,NGPREVPRICES,2,FALSE()),CK138,VLOOKUP(G138,NGPREVPRICES,4,FALSE()),HLOOKUP(D138,VOLS,VLOOKUP(G138,move_down,2,FALSE()),FALSE()),VLOOKUP(G138,NGPrices,3,FALSE()),HLOOKUP(D138,Correllate,VLOOKUP(G138,CorMove,2,FALSE()),FALSE()),Q138-$CD$3,R138,$CJ$5)*H138-CJ138</f>
        <v>#NAME?</v>
      </c>
      <c r="CH138" s="253" t="e">
        <f aca="false">xSPRDOPT((VLOOKUP(G138,NGPREVPRICES,2,FALSE())+HLOOKUP(D138,PREVCURVES,VLOOKUP(G138,MOVE_DOWN2,2,FALSE()),FALSE())),VLOOKUP(G138,NGPREVPRICES,2,FALSE()),CK138,VLOOKUP(G138,NGPREVPRICES,4,FALSE()),HLOOKUP(D138,PREVVOLS,VLOOKUP(G138,MOVE_DOWN2,2,FALSE()),FALSE()),VLOOKUP(G138,NGPREVPRICES,3,FALSE()),HLOOKUP(D138,Correllate,VLOOKUP(G138,CorMove,2,FALSE()),FALSE()),Q138-$C$3,R138,$CJ$5)*H138-CJ138</f>
        <v>#NAME?</v>
      </c>
      <c r="CI138" s="253" t="e">
        <f aca="false">SUM(CD138:CH138)</f>
        <v>#NAME?</v>
      </c>
      <c r="CJ138" s="253" t="e">
        <f aca="false">xSPRDOPT((VLOOKUP(G138,NGPREVPRICES,2,FALSE())+HLOOKUP(D138,PREVCURVES,VLOOKUP(G138,MOVE_DOWN2,2,FALSE()),FALSE())),VLOOKUP(G138,NGPREVPRICES,2,FALSE()),CK138,VLOOKUP(G138,NGPREVPRICES,4,FALSE()),HLOOKUP(D138,PREVVOLS,VLOOKUP(G138,MOVE_DOWN2,2,FALSE()),FALSE()),VLOOKUP(G138,NGPREVPRICES,3,FALSE()),HLOOKUP(D138,Correllate,VLOOKUP(G138,CorMove,2,FALSE()),FALSE()),Q138-$CD$3,R138,$CJ$5)*H138</f>
        <v>#NAME?</v>
      </c>
      <c r="CK138" s="254" t="n">
        <f aca="false">I138</f>
        <v>2.2</v>
      </c>
      <c r="CL138" s="253"/>
      <c r="CM138" s="0" t="str">
        <f aca="false">CONCATENATE(CC138,$CD$6)</f>
        <v>36923Curve Shift/Gamma</v>
      </c>
      <c r="CN138" s="0" t="str">
        <f aca="false">CONCATENATE($CC138,$CE$6)</f>
        <v>36923Rho</v>
      </c>
      <c r="CO138" s="0" t="str">
        <f aca="false">CONCATENATE($CC138,$CF$6)</f>
        <v>36923Drift</v>
      </c>
      <c r="CP138" s="0" t="str">
        <f aca="false">CONCATENATE($CC138,$CG$6)</f>
        <v>36923Vega</v>
      </c>
      <c r="CQ138" s="0" t="str">
        <f aca="false">CONCATENATE($CC138,$CH$6)</f>
        <v>36923Theta</v>
      </c>
    </row>
    <row r="139" customFormat="false" ht="12" hidden="false" customHeight="true" outlineLevel="0" collapsed="false">
      <c r="A139" s="17" t="s">
        <v>210</v>
      </c>
      <c r="B139" s="0" t="s">
        <v>192</v>
      </c>
      <c r="C139" s="0" t="s">
        <v>250</v>
      </c>
      <c r="D139" s="7" t="s">
        <v>149</v>
      </c>
      <c r="E139" s="0" t="s">
        <v>131</v>
      </c>
      <c r="F139" s="0" t="s">
        <v>136</v>
      </c>
      <c r="G139" s="92" t="n">
        <v>36892</v>
      </c>
      <c r="H139" s="248" t="n">
        <v>310000</v>
      </c>
      <c r="I139" s="0" t="n">
        <v>2.2</v>
      </c>
      <c r="J139" s="124" t="n">
        <f aca="false">VLOOKUP(G139,NGPrices,2,FALSE())</f>
        <v>4.744</v>
      </c>
      <c r="K139" s="125" t="n">
        <f aca="false">HLOOKUP(D139,Prices,VLOOKUP(G139,move_down,2,FALSE()),FALSE())+VLOOKUP(G139,CHANGE,HLOOKUP(D139,CHANGE,2,FALSE()),FALSE())</f>
        <v>2.17</v>
      </c>
      <c r="L139" s="124" t="n">
        <f aca="false">K139+J139</f>
        <v>6.914</v>
      </c>
      <c r="M139" s="126" t="n">
        <f aca="false">VLOOKUP(G139,NGPrices,4,FALSE())</f>
        <v>0.068374831148491</v>
      </c>
      <c r="N139" s="7" t="n">
        <f aca="false">VLOOKUP(G139,NGPrices,3,FALSE())</f>
        <v>0.605</v>
      </c>
      <c r="O139" s="7" t="n">
        <f aca="false">HLOOKUP(D139,VOLS,VLOOKUP(G139,move_down,2,FALSE()),FALSE())</f>
        <v>0.696</v>
      </c>
      <c r="P139" s="249" t="n">
        <f aca="false">HLOOKUP(D139,Correllate,VLOOKUP(G139,CorMove,2,FALSE()),FALSE())</f>
        <v>0.83</v>
      </c>
      <c r="Q139" s="92" t="n">
        <f aca="false">WORKDAY(G139,-2)</f>
        <v>36888</v>
      </c>
      <c r="R139" s="7" t="n">
        <f aca="false">IF(F139="P",0,1)</f>
        <v>1</v>
      </c>
      <c r="S139" s="130" t="e">
        <f aca="false">xSPRDOPT($L139,$J139,$I139,$M139,$O139,$N139,$P139,$Q139-$C$3,$R139,0)</f>
        <v>#NAME?</v>
      </c>
      <c r="T139" s="250" t="e">
        <f aca="false">xSPRDOPT($L139,$J139,$I139,$M139,$O139,$N139,$P139,$Q139-$C$3,$R139,1)*H139</f>
        <v>#NAME?</v>
      </c>
      <c r="U139" s="43" t="e">
        <f aca="false">S139*H139</f>
        <v>#NAME?</v>
      </c>
      <c r="V139" s="250" t="e">
        <f aca="false">xSPRDOPT($L139,$J139,$I139,$M139,$O139,$N139,$P139,$Q139-$C$3,$R139,2)*H139</f>
        <v>#NAME?</v>
      </c>
      <c r="W139" s="250" t="e">
        <f aca="false">+V139+T139</f>
        <v>#NAME?</v>
      </c>
      <c r="X139" s="2" t="str">
        <f aca="false">CONCATENATE(G139,D139)</f>
        <v>36892IF-TRANSCO/Z6</v>
      </c>
      <c r="Y139" s="251" t="n">
        <f aca="false">H139/10000</f>
        <v>31</v>
      </c>
      <c r="Z139" s="226" t="e">
        <f aca="false">T139/H139</f>
        <v>#NAME?</v>
      </c>
      <c r="AA139" s="226" t="e">
        <f aca="false">xSPRDOPT($L139,$J139,$I139,$M139,$O139,$N139,$P139,$Q139-$C$3,$R139,3)</f>
        <v>#NAME?</v>
      </c>
      <c r="AB139" s="226" t="e">
        <f aca="false">((xSPRDOPT($L139+AB$5,$J139,$I139,$M139,$O139,$N139,$P139,$Q139-$C$3,$R139,3)*$H139)/10000)/100</f>
        <v>#NAME?</v>
      </c>
      <c r="AC139" s="226" t="e">
        <f aca="false">((xSPRDOPT($L139+$AB$5,$J139,$I139,$M139,$O139,$N139,$P139,$Q139-$C$3,$R139,7)*$H139)/100)</f>
        <v>#NAME?</v>
      </c>
      <c r="AD139" s="226" t="e">
        <f aca="false">(xSPRDOPT($L139+$AB$5,$J139,$I139,$M139,$O139,$N139,$P139,$Q139-$C$3,$R139,9)/365)*$H139</f>
        <v>#NAME?</v>
      </c>
      <c r="AE139" s="0" t="e">
        <f aca="false">CD139</f>
        <v>#NAME?</v>
      </c>
      <c r="AF139" s="226" t="e">
        <f aca="false">((O139/N139)*AH139)+AG139</f>
        <v>#NAME?</v>
      </c>
      <c r="AG139" s="226" t="e">
        <f aca="false">((xSPRDOPT($L139,$J139,$I139,$M139,$O139,$N139,$P139,$Q139-$C$3,$R139,6)*$H139)/100)</f>
        <v>#NAME?</v>
      </c>
      <c r="AH139" s="226" t="e">
        <f aca="false">((xSPRDOPT($L139,$J139,$I139,$M139,$O139,$N139,$P139,$Q139-$C$3,$R139,5)*$H139)/100)</f>
        <v>#NAME?</v>
      </c>
      <c r="AI139" s="226" t="e">
        <f aca="false">(((xSPRDOPT($L139,$J139,$I139,$M139,$O139,$N139,$P139,$Q139-$C$3,$R139,4)*$H139)/10000)/100)-AB139</f>
        <v>#NAME?</v>
      </c>
      <c r="AJ139" s="226"/>
      <c r="AK139" s="226"/>
      <c r="AL139" s="226"/>
      <c r="AM139" s="252"/>
      <c r="AN139" s="143" t="n">
        <f aca="false">EOMONTH(AN138,0)+1</f>
        <v>40756</v>
      </c>
      <c r="AO139" s="134" t="n">
        <f aca="false">SUMIF($X:$X,CONCATENATE($AN139,AO$6),$T:$T)/10000</f>
        <v>0</v>
      </c>
      <c r="AP139" s="134" t="n">
        <f aca="false">SUMIF($X:$X,CONCATENATE($AN139,AP$6),$T:$T)/10000</f>
        <v>0</v>
      </c>
      <c r="AQ139" s="134" t="n">
        <f aca="false">SUMIF($X:$X,CONCATENATE($AN139,AQ$6),$T:$T)/10000</f>
        <v>0</v>
      </c>
      <c r="AR139" s="134" t="n">
        <f aca="false">SUMIF($X:$X,CONCATENATE($AN139,AR$6),$T:$T)/10000</f>
        <v>0</v>
      </c>
      <c r="AS139" s="134" t="n">
        <f aca="false">SUMIF($X:$X,CONCATENATE($AN139,AS$6),$T:$T)/10000</f>
        <v>0</v>
      </c>
      <c r="AT139" s="134" t="n">
        <f aca="false">SUMIF($X:$X,CONCATENATE($AN139,AT$6),$T:$T)/10000</f>
        <v>0</v>
      </c>
      <c r="AU139" s="134" t="n">
        <f aca="false">SUMIF($X:$X,CONCATENATE($AN139,AU$6),$T:$T)/10000</f>
        <v>0</v>
      </c>
      <c r="AV139" s="134" t="n">
        <f aca="false">SUMIF($X:$X,CONCATENATE($AN139,AV$6),$T:$T)/10000</f>
        <v>0</v>
      </c>
      <c r="AW139" s="134" t="n">
        <f aca="false">SUMIF($X:$X,CONCATENATE($AN139,AW$6),$T:$T)/10000</f>
        <v>0</v>
      </c>
      <c r="AX139" s="134" t="n">
        <f aca="false">SUMIF($X:$X,CONCATENATE($AN139,AX$6),$T:$T)/10000</f>
        <v>0</v>
      </c>
      <c r="AY139" s="134" t="n">
        <f aca="false">SUMIF($X:$X,CONCATENATE($AN139,AY$6),$T:$T)/10000</f>
        <v>0</v>
      </c>
      <c r="AZ139" s="134" t="n">
        <f aca="false">SUMIF($X:$X,CONCATENATE($AN139,AZ$6),$T:$T)/10000</f>
        <v>0</v>
      </c>
      <c r="BA139" s="135" t="n">
        <f aca="false">SUMIF($X:$X,CONCATENATE($AN139,BA$6),$T:$T)/10000</f>
        <v>0</v>
      </c>
      <c r="BB139" s="143" t="n">
        <f aca="false">EOMONTH(BB138,0)+1</f>
        <v>40756</v>
      </c>
      <c r="BC139" s="135" t="n">
        <f aca="false">SUM(AO139:BA139)</f>
        <v>0</v>
      </c>
      <c r="BE139" s="143" t="n">
        <f aca="false">EOMONTH(BE138,0)+1</f>
        <v>40756</v>
      </c>
      <c r="BF139" s="134" t="n">
        <f aca="false">SUMIF($X:$X,CONCATENATE($AN139,BF$6),$W:$W)</f>
        <v>0</v>
      </c>
      <c r="BG139" s="134" t="n">
        <f aca="false">SUMIF($X:$X,CONCATENATE($AN139,BG$6),$W:$W)</f>
        <v>0</v>
      </c>
      <c r="BH139" s="134" t="n">
        <f aca="false">SUMIF($X:$X,CONCATENATE($AN139,BH$6),$W:$W)</f>
        <v>0</v>
      </c>
      <c r="BI139" s="134" t="n">
        <f aca="false">SUMIF($X:$X,CONCATENATE($AN139,BI$6),$W:$W)</f>
        <v>0</v>
      </c>
      <c r="BJ139" s="134" t="n">
        <f aca="false">SUMIF($X:$X,CONCATENATE($AN139,BJ$6),$W:$W)</f>
        <v>0</v>
      </c>
      <c r="BK139" s="134" t="n">
        <f aca="false">SUMIF($X:$X,CONCATENATE($AN139,BK$6),$W:$W)</f>
        <v>0</v>
      </c>
      <c r="BL139" s="134" t="n">
        <f aca="false">SUMIF($X:$X,CONCATENATE($AN139,BL$6),$W:$W)</f>
        <v>0</v>
      </c>
      <c r="BM139" s="134" t="n">
        <f aca="false">SUMIF($X:$X,CONCATENATE($AN139,BM$6),$W:$W)</f>
        <v>0</v>
      </c>
      <c r="BN139" s="134" t="n">
        <f aca="false">SUMIF($X:$X,CONCATENATE($AN139,BN$6),$W:$W)</f>
        <v>0</v>
      </c>
      <c r="BO139" s="134" t="n">
        <f aca="false">SUMIF($X:$X,CONCATENATE($AN139,BO$6),$W:$W)</f>
        <v>0</v>
      </c>
      <c r="BP139" s="134" t="n">
        <f aca="false">SUMIF($X:$X,CONCATENATE($AN139,BP$6),$W:$W)</f>
        <v>0</v>
      </c>
      <c r="BQ139" s="134" t="n">
        <f aca="false">SUMIF($X:$X,CONCATENATE($AN139,BQ$6),$W:$W)</f>
        <v>0</v>
      </c>
      <c r="BR139" s="135" t="n">
        <f aca="false">SUMIF($X:$X,CONCATENATE($AN139,BR$6),$W:$W)</f>
        <v>0</v>
      </c>
      <c r="BS139" s="143" t="n">
        <f aca="false">EOMONTH(BS138,0)+1</f>
        <v>40756</v>
      </c>
      <c r="BT139" s="135" t="n">
        <f aca="false">SUM(BF139:BR139)</f>
        <v>0</v>
      </c>
      <c r="CC139" s="182" t="n">
        <f aca="false">G139</f>
        <v>36892</v>
      </c>
      <c r="CD139" s="253" t="e">
        <f aca="false">xSPRDOPT((VLOOKUP(G139,NGPrices,2,FALSE())+HLOOKUP(D139,Prices,VLOOKUP(G139,move_down,2,FALSE()),FALSE())),VLOOKUP(G139,NGPrices,2,FALSE()),I139,VLOOKUP(G139,NGPREVPRICES,4,FALSE()),HLOOKUP(D139,PREVVOLS,VLOOKUP(G139,MOVE_DOWN2,2,FALSE()),FALSE()),VLOOKUP(G139,NGPREVPRICES,3,FALSE()),HLOOKUP(D139,Correllate,VLOOKUP(G139,CorMove,2,FALSE()),FALSE()),Q139-$CD$3,R139,$CD$5)*H139-CJ139</f>
        <v>#NAME?</v>
      </c>
      <c r="CE139" s="253" t="e">
        <f aca="false">xSPRDOPT((VLOOKUP(G139,NGPREVPRICES,2,FALSE())+HLOOKUP(D139,PREVCURVES,VLOOKUP(G139,MOVE_DOWN2,2,FALSE()),FALSE())),VLOOKUP(G139,NGPREVPRICES,2,FALSE()),CK139,VLOOKUP(G139,NGPrices,4,FALSE()),HLOOKUP(D139,PREVVOLS,VLOOKUP(G139,MOVE_DOWN2,2,FALSE()),FALSE()),VLOOKUP(G139,NGPREVPRICES,3,FALSE()),HLOOKUP(D139,Correllate,VLOOKUP(G139,CorMove,2,FALSE()),FALSE()),Q139-$CD$3,R139,$CJ$5)*H139-CJ139</f>
        <v>#NAME?</v>
      </c>
      <c r="CF139" s="132" t="e">
        <f aca="false">(CJ139/VLOOKUP(CC139,discount,3,FALSE()))-(CJ139/VLOOKUP(CC139,discount,2,FALSE()))</f>
        <v>#NAME?</v>
      </c>
      <c r="CG139" s="253" t="e">
        <f aca="false">xSPRDOPT((VLOOKUP(G139,NGPREVPRICES,2,FALSE())+HLOOKUP(D139,PREVCURVES,VLOOKUP(G139,MOVE_DOWN2,2,FALSE()),FALSE())),VLOOKUP(G139,NGPREVPRICES,2,FALSE()),CK139,VLOOKUP(G139,NGPREVPRICES,4,FALSE()),HLOOKUP(D139,VOLS,VLOOKUP(G139,move_down,2,FALSE()),FALSE()),VLOOKUP(G139,NGPrices,3,FALSE()),HLOOKUP(D139,Correllate,VLOOKUP(G139,CorMove,2,FALSE()),FALSE()),Q139-$CD$3,R139,$CJ$5)*H139-CJ139</f>
        <v>#NAME?</v>
      </c>
      <c r="CH139" s="253" t="e">
        <f aca="false">xSPRDOPT((VLOOKUP(G139,NGPREVPRICES,2,FALSE())+HLOOKUP(D139,PREVCURVES,VLOOKUP(G139,MOVE_DOWN2,2,FALSE()),FALSE())),VLOOKUP(G139,NGPREVPRICES,2,FALSE()),CK139,VLOOKUP(G139,NGPREVPRICES,4,FALSE()),HLOOKUP(D139,PREVVOLS,VLOOKUP(G139,MOVE_DOWN2,2,FALSE()),FALSE()),VLOOKUP(G139,NGPREVPRICES,3,FALSE()),HLOOKUP(D139,Correllate,VLOOKUP(G139,CorMove,2,FALSE()),FALSE()),Q139-$C$3,R139,$CJ$5)*H139-CJ139</f>
        <v>#NAME?</v>
      </c>
      <c r="CI139" s="253" t="e">
        <f aca="false">SUM(CD139:CH139)</f>
        <v>#NAME?</v>
      </c>
      <c r="CJ139" s="253" t="e">
        <f aca="false">xSPRDOPT((VLOOKUP(G139,NGPREVPRICES,2,FALSE())+HLOOKUP(D139,PREVCURVES,VLOOKUP(G139,MOVE_DOWN2,2,FALSE()),FALSE())),VLOOKUP(G139,NGPREVPRICES,2,FALSE()),CK139,VLOOKUP(G139,NGPREVPRICES,4,FALSE()),HLOOKUP(D139,PREVVOLS,VLOOKUP(G139,MOVE_DOWN2,2,FALSE()),FALSE()),VLOOKUP(G139,NGPREVPRICES,3,FALSE()),HLOOKUP(D139,Correllate,VLOOKUP(G139,CorMove,2,FALSE()),FALSE()),Q139-$CD$3,R139,$CJ$5)*H139</f>
        <v>#NAME?</v>
      </c>
      <c r="CK139" s="254" t="n">
        <f aca="false">I139</f>
        <v>2.2</v>
      </c>
      <c r="CL139" s="253"/>
      <c r="CM139" s="0" t="str">
        <f aca="false">CONCATENATE(CC139,$CD$6)</f>
        <v>36892Curve Shift/Gamma</v>
      </c>
      <c r="CN139" s="0" t="str">
        <f aca="false">CONCATENATE($CC139,$CE$6)</f>
        <v>36892Rho</v>
      </c>
      <c r="CO139" s="0" t="str">
        <f aca="false">CONCATENATE($CC139,$CF$6)</f>
        <v>36892Drift</v>
      </c>
      <c r="CP139" s="0" t="str">
        <f aca="false">CONCATENATE($CC139,$CG$6)</f>
        <v>36892Vega</v>
      </c>
      <c r="CQ139" s="0" t="str">
        <f aca="false">CONCATENATE($CC139,$CH$6)</f>
        <v>36892Theta</v>
      </c>
    </row>
    <row r="140" customFormat="false" ht="12" hidden="false" customHeight="true" outlineLevel="0" collapsed="false">
      <c r="A140" s="17" t="s">
        <v>210</v>
      </c>
      <c r="B140" s="0" t="s">
        <v>192</v>
      </c>
      <c r="C140" s="0" t="s">
        <v>250</v>
      </c>
      <c r="D140" s="7" t="s">
        <v>149</v>
      </c>
      <c r="E140" s="0" t="s">
        <v>131</v>
      </c>
      <c r="F140" s="0" t="s">
        <v>136</v>
      </c>
      <c r="G140" s="92" t="n">
        <v>36861</v>
      </c>
      <c r="H140" s="248" t="n">
        <v>310000</v>
      </c>
      <c r="I140" s="0" t="n">
        <v>2.2</v>
      </c>
      <c r="J140" s="124" t="n">
        <f aca="false">VLOOKUP(G140,NGPrices,2,FALSE())</f>
        <v>4.8</v>
      </c>
      <c r="K140" s="125" t="n">
        <f aca="false">HLOOKUP(D140,Prices,VLOOKUP(G140,move_down,2,FALSE()),FALSE())+VLOOKUP(G140,CHANGE,HLOOKUP(D140,CHANGE,2,FALSE()),FALSE())</f>
        <v>1.645</v>
      </c>
      <c r="L140" s="124" t="n">
        <f aca="false">K140+J140</f>
        <v>6.445</v>
      </c>
      <c r="M140" s="126" t="n">
        <f aca="false">VLOOKUP(G140,NGPrices,4,FALSE())</f>
        <v>0.068314027999354</v>
      </c>
      <c r="N140" s="7" t="n">
        <f aca="false">VLOOKUP(G140,NGPrices,3,FALSE())</f>
        <v>0.6</v>
      </c>
      <c r="O140" s="7" t="n">
        <f aca="false">HLOOKUP(D140,VOLS,VLOOKUP(G140,move_down,2,FALSE()),FALSE())</f>
        <v>0.69</v>
      </c>
      <c r="P140" s="249" t="n">
        <f aca="false">HLOOKUP(D140,Correllate,VLOOKUP(G140,CorMove,2,FALSE()),FALSE())</f>
        <v>0.83</v>
      </c>
      <c r="Q140" s="92" t="n">
        <f aca="false">WORKDAY(G140,-2)</f>
        <v>36859</v>
      </c>
      <c r="R140" s="7" t="n">
        <f aca="false">IF(F140="P",0,1)</f>
        <v>1</v>
      </c>
      <c r="S140" s="130" t="e">
        <f aca="false">xSPRDOPT($L140,$J140,$I140,$M140,$O140,$N140,$P140,$Q140-$C$3,$R140,0)</f>
        <v>#NAME?</v>
      </c>
      <c r="T140" s="250" t="e">
        <f aca="false">xSPRDOPT($L140,$J140,$I140,$M140,$O140,$N140,$P140,$Q140-$C$3,$R140,1)*H140</f>
        <v>#NAME?</v>
      </c>
      <c r="U140" s="43" t="e">
        <f aca="false">S140*H140</f>
        <v>#NAME?</v>
      </c>
      <c r="V140" s="250" t="e">
        <f aca="false">xSPRDOPT($L140,$J140,$I140,$M140,$O140,$N140,$P140,$Q140-$C$3,$R140,2)*H140</f>
        <v>#NAME?</v>
      </c>
      <c r="W140" s="250" t="e">
        <f aca="false">+V140+T140</f>
        <v>#NAME?</v>
      </c>
      <c r="X140" s="2" t="str">
        <f aca="false">CONCATENATE(G140,D140)</f>
        <v>36861IF-TRANSCO/Z6</v>
      </c>
      <c r="Y140" s="251" t="n">
        <f aca="false">H140/10000</f>
        <v>31</v>
      </c>
      <c r="Z140" s="226" t="e">
        <f aca="false">T140/H140</f>
        <v>#NAME?</v>
      </c>
      <c r="AA140" s="226" t="e">
        <f aca="false">xSPRDOPT($L140,$J140,$I140,$M140,$O140,$N140,$P140,$Q140-$C$3,$R140,3)</f>
        <v>#NAME?</v>
      </c>
      <c r="AB140" s="226" t="e">
        <f aca="false">((xSPRDOPT($L140+AB$5,$J140,$I140,$M140,$O140,$N140,$P140,$Q140-$C$3,$R140,3)*$H140)/10000)/100</f>
        <v>#NAME?</v>
      </c>
      <c r="AC140" s="226" t="e">
        <f aca="false">((xSPRDOPT($L140+$AB$5,$J140,$I140,$M140,$O140,$N140,$P140,$Q140-$C$3,$R140,7)*$H140)/100)</f>
        <v>#NAME?</v>
      </c>
      <c r="AD140" s="226" t="e">
        <f aca="false">(xSPRDOPT($L140+$AB$5,$J140,$I140,$M140,$O140,$N140,$P140,$Q140-$C$3,$R140,9)/365)*$H140</f>
        <v>#NAME?</v>
      </c>
      <c r="AE140" s="0" t="e">
        <f aca="false">CD140</f>
        <v>#NAME?</v>
      </c>
      <c r="AF140" s="226" t="e">
        <f aca="false">((O140/N140)*AH140)+AG140</f>
        <v>#NAME?</v>
      </c>
      <c r="AG140" s="226" t="e">
        <f aca="false">((xSPRDOPT($L140,$J140,$I140,$M140,$O140,$N140,$P140,$Q140-$C$3,$R140,6)*$H140)/100)</f>
        <v>#NAME?</v>
      </c>
      <c r="AH140" s="226" t="e">
        <f aca="false">((xSPRDOPT($L140,$J140,$I140,$M140,$O140,$N140,$P140,$Q140-$C$3,$R140,5)*$H140)/100)</f>
        <v>#NAME?</v>
      </c>
      <c r="AI140" s="226" t="e">
        <f aca="false">(((xSPRDOPT($L140,$J140,$I140,$M140,$O140,$N140,$P140,$Q140-$C$3,$R140,4)*$H140)/10000)/100)-AB140</f>
        <v>#NAME?</v>
      </c>
      <c r="AJ140" s="226"/>
      <c r="AK140" s="226"/>
      <c r="AL140" s="226"/>
      <c r="AM140" s="252"/>
      <c r="AN140" s="143" t="n">
        <f aca="false">EOMONTH(AN139,0)+1</f>
        <v>40787</v>
      </c>
      <c r="AO140" s="134" t="n">
        <f aca="false">SUMIF($X:$X,CONCATENATE($AN140,AO$6),$T:$T)/10000</f>
        <v>0</v>
      </c>
      <c r="AP140" s="134" t="n">
        <f aca="false">SUMIF($X:$X,CONCATENATE($AN140,AP$6),$T:$T)/10000</f>
        <v>0</v>
      </c>
      <c r="AQ140" s="134" t="n">
        <f aca="false">SUMIF($X:$X,CONCATENATE($AN140,AQ$6),$T:$T)/10000</f>
        <v>0</v>
      </c>
      <c r="AR140" s="134" t="n">
        <f aca="false">SUMIF($X:$X,CONCATENATE($AN140,AR$6),$T:$T)/10000</f>
        <v>0</v>
      </c>
      <c r="AS140" s="134" t="n">
        <f aca="false">SUMIF($X:$X,CONCATENATE($AN140,AS$6),$T:$T)/10000</f>
        <v>0</v>
      </c>
      <c r="AT140" s="134" t="n">
        <f aca="false">SUMIF($X:$X,CONCATENATE($AN140,AT$6),$T:$T)/10000</f>
        <v>0</v>
      </c>
      <c r="AU140" s="134" t="n">
        <f aca="false">SUMIF($X:$X,CONCATENATE($AN140,AU$6),$T:$T)/10000</f>
        <v>0</v>
      </c>
      <c r="AV140" s="134" t="n">
        <f aca="false">SUMIF($X:$X,CONCATENATE($AN140,AV$6),$T:$T)/10000</f>
        <v>0</v>
      </c>
      <c r="AW140" s="134" t="n">
        <f aca="false">SUMIF($X:$X,CONCATENATE($AN140,AW$6),$T:$T)/10000</f>
        <v>0</v>
      </c>
      <c r="AX140" s="134" t="n">
        <f aca="false">SUMIF($X:$X,CONCATENATE($AN140,AX$6),$T:$T)/10000</f>
        <v>0</v>
      </c>
      <c r="AY140" s="134" t="n">
        <f aca="false">SUMIF($X:$X,CONCATENATE($AN140,AY$6),$T:$T)/10000</f>
        <v>0</v>
      </c>
      <c r="AZ140" s="134" t="n">
        <f aca="false">SUMIF($X:$X,CONCATENATE($AN140,AZ$6),$T:$T)/10000</f>
        <v>0</v>
      </c>
      <c r="BA140" s="135" t="n">
        <f aca="false">SUMIF($X:$X,CONCATENATE($AN140,BA$6),$T:$T)/10000</f>
        <v>0</v>
      </c>
      <c r="BB140" s="143" t="n">
        <f aca="false">EOMONTH(BB139,0)+1</f>
        <v>40787</v>
      </c>
      <c r="BC140" s="135" t="n">
        <f aca="false">SUM(AO140:BA140)</f>
        <v>0</v>
      </c>
      <c r="BE140" s="143" t="n">
        <f aca="false">EOMONTH(BE139,0)+1</f>
        <v>40787</v>
      </c>
      <c r="BF140" s="134" t="n">
        <f aca="false">SUMIF($X:$X,CONCATENATE($AN140,BF$6),$W:$W)</f>
        <v>0</v>
      </c>
      <c r="BG140" s="134" t="n">
        <f aca="false">SUMIF($X:$X,CONCATENATE($AN140,BG$6),$W:$W)</f>
        <v>0</v>
      </c>
      <c r="BH140" s="134" t="n">
        <f aca="false">SUMIF($X:$X,CONCATENATE($AN140,BH$6),$W:$W)</f>
        <v>0</v>
      </c>
      <c r="BI140" s="134" t="n">
        <f aca="false">SUMIF($X:$X,CONCATENATE($AN140,BI$6),$W:$W)</f>
        <v>0</v>
      </c>
      <c r="BJ140" s="134" t="n">
        <f aca="false">SUMIF($X:$X,CONCATENATE($AN140,BJ$6),$W:$W)</f>
        <v>0</v>
      </c>
      <c r="BK140" s="134" t="n">
        <f aca="false">SUMIF($X:$X,CONCATENATE($AN140,BK$6),$W:$W)</f>
        <v>0</v>
      </c>
      <c r="BL140" s="134" t="n">
        <f aca="false">SUMIF($X:$X,CONCATENATE($AN140,BL$6),$W:$W)</f>
        <v>0</v>
      </c>
      <c r="BM140" s="134" t="n">
        <f aca="false">SUMIF($X:$X,CONCATENATE($AN140,BM$6),$W:$W)</f>
        <v>0</v>
      </c>
      <c r="BN140" s="134" t="n">
        <f aca="false">SUMIF($X:$X,CONCATENATE($AN140,BN$6),$W:$W)</f>
        <v>0</v>
      </c>
      <c r="BO140" s="134" t="n">
        <f aca="false">SUMIF($X:$X,CONCATENATE($AN140,BO$6),$W:$W)</f>
        <v>0</v>
      </c>
      <c r="BP140" s="134" t="n">
        <f aca="false">SUMIF($X:$X,CONCATENATE($AN140,BP$6),$W:$W)</f>
        <v>0</v>
      </c>
      <c r="BQ140" s="134" t="n">
        <f aca="false">SUMIF($X:$X,CONCATENATE($AN140,BQ$6),$W:$W)</f>
        <v>0</v>
      </c>
      <c r="BR140" s="135" t="n">
        <f aca="false">SUMIF($X:$X,CONCATENATE($AN140,BR$6),$W:$W)</f>
        <v>0</v>
      </c>
      <c r="BS140" s="143" t="n">
        <f aca="false">EOMONTH(BS139,0)+1</f>
        <v>40787</v>
      </c>
      <c r="BT140" s="135" t="n">
        <f aca="false">SUM(BF140:BR140)</f>
        <v>0</v>
      </c>
      <c r="CC140" s="182" t="n">
        <f aca="false">G140</f>
        <v>36861</v>
      </c>
      <c r="CD140" s="253" t="e">
        <f aca="false">xSPRDOPT((VLOOKUP(G140,NGPrices,2,FALSE())+HLOOKUP(D140,Prices,VLOOKUP(G140,move_down,2,FALSE()),FALSE())),VLOOKUP(G140,NGPrices,2,FALSE()),I140,VLOOKUP(G140,NGPREVPRICES,4,FALSE()),HLOOKUP(D140,PREVVOLS,VLOOKUP(G140,MOVE_DOWN2,2,FALSE()),FALSE()),VLOOKUP(G140,NGPREVPRICES,3,FALSE()),HLOOKUP(D140,Correllate,VLOOKUP(G140,CorMove,2,FALSE()),FALSE()),Q140-$CD$3,R140,$CD$5)*H140-CJ140</f>
        <v>#NAME?</v>
      </c>
      <c r="CE140" s="253" t="e">
        <f aca="false">xSPRDOPT((VLOOKUP(G140,NGPREVPRICES,2,FALSE())+HLOOKUP(D140,PREVCURVES,VLOOKUP(G140,MOVE_DOWN2,2,FALSE()),FALSE())),VLOOKUP(G140,NGPREVPRICES,2,FALSE()),CK140,VLOOKUP(G140,NGPrices,4,FALSE()),HLOOKUP(D140,PREVVOLS,VLOOKUP(G140,MOVE_DOWN2,2,FALSE()),FALSE()),VLOOKUP(G140,NGPREVPRICES,3,FALSE()),HLOOKUP(D140,Correllate,VLOOKUP(G140,CorMove,2,FALSE()),FALSE()),Q140-$CD$3,R140,$CJ$5)*H140-CJ140</f>
        <v>#NAME?</v>
      </c>
      <c r="CF140" s="132" t="e">
        <f aca="false">(CJ140/VLOOKUP(CC140,discount,3,FALSE()))-(CJ140/VLOOKUP(CC140,discount,2,FALSE()))</f>
        <v>#NAME?</v>
      </c>
      <c r="CG140" s="253" t="e">
        <f aca="false">xSPRDOPT((VLOOKUP(G140,NGPREVPRICES,2,FALSE())+HLOOKUP(D140,PREVCURVES,VLOOKUP(G140,MOVE_DOWN2,2,FALSE()),FALSE())),VLOOKUP(G140,NGPREVPRICES,2,FALSE()),CK140,VLOOKUP(G140,NGPREVPRICES,4,FALSE()),HLOOKUP(D140,VOLS,VLOOKUP(G140,move_down,2,FALSE()),FALSE()),VLOOKUP(G140,NGPrices,3,FALSE()),HLOOKUP(D140,Correllate,VLOOKUP(G140,CorMove,2,FALSE()),FALSE()),Q140-$CD$3,R140,$CJ$5)*H140-CJ140</f>
        <v>#NAME?</v>
      </c>
      <c r="CH140" s="253" t="e">
        <f aca="false">xSPRDOPT((VLOOKUP(G140,NGPREVPRICES,2,FALSE())+HLOOKUP(D140,PREVCURVES,VLOOKUP(G140,MOVE_DOWN2,2,FALSE()),FALSE())),VLOOKUP(G140,NGPREVPRICES,2,FALSE()),CK140,VLOOKUP(G140,NGPREVPRICES,4,FALSE()),HLOOKUP(D140,PREVVOLS,VLOOKUP(G140,MOVE_DOWN2,2,FALSE()),FALSE()),VLOOKUP(G140,NGPREVPRICES,3,FALSE()),HLOOKUP(D140,Correllate,VLOOKUP(G140,CorMove,2,FALSE()),FALSE()),Q140-$C$3,R140,$CJ$5)*H140-CJ140</f>
        <v>#NAME?</v>
      </c>
      <c r="CI140" s="253" t="e">
        <f aca="false">SUM(CD140:CH140)</f>
        <v>#NAME?</v>
      </c>
      <c r="CJ140" s="253" t="e">
        <f aca="false">xSPRDOPT((VLOOKUP(G140,NGPREVPRICES,2,FALSE())+HLOOKUP(D140,PREVCURVES,VLOOKUP(G140,MOVE_DOWN2,2,FALSE()),FALSE())),VLOOKUP(G140,NGPREVPRICES,2,FALSE()),CK140,VLOOKUP(G140,NGPREVPRICES,4,FALSE()),HLOOKUP(D140,PREVVOLS,VLOOKUP(G140,MOVE_DOWN2,2,FALSE()),FALSE()),VLOOKUP(G140,NGPREVPRICES,3,FALSE()),HLOOKUP(D140,Correllate,VLOOKUP(G140,CorMove,2,FALSE()),FALSE()),Q140-$CD$3,R140,$CJ$5)*H140</f>
        <v>#NAME?</v>
      </c>
      <c r="CK140" s="254" t="n">
        <f aca="false">I140</f>
        <v>2.2</v>
      </c>
      <c r="CL140" s="253"/>
      <c r="CM140" s="0" t="str">
        <f aca="false">CONCATENATE(CC140,$CD$6)</f>
        <v>36861Curve Shift/Gamma</v>
      </c>
      <c r="CN140" s="0" t="str">
        <f aca="false">CONCATENATE($CC140,$CE$6)</f>
        <v>36861Rho</v>
      </c>
      <c r="CO140" s="0" t="str">
        <f aca="false">CONCATENATE($CC140,$CF$6)</f>
        <v>36861Drift</v>
      </c>
      <c r="CP140" s="0" t="str">
        <f aca="false">CONCATENATE($CC140,$CG$6)</f>
        <v>36861Vega</v>
      </c>
      <c r="CQ140" s="0" t="str">
        <f aca="false">CONCATENATE($CC140,$CH$6)</f>
        <v>36861Theta</v>
      </c>
    </row>
    <row r="141" customFormat="false" ht="12" hidden="false" customHeight="true" outlineLevel="0" collapsed="false">
      <c r="A141" s="17" t="s">
        <v>210</v>
      </c>
      <c r="B141" s="0" t="s">
        <v>192</v>
      </c>
      <c r="C141" s="0" t="s">
        <v>250</v>
      </c>
      <c r="D141" s="7" t="s">
        <v>149</v>
      </c>
      <c r="E141" s="0" t="s">
        <v>131</v>
      </c>
      <c r="F141" s="0" t="s">
        <v>136</v>
      </c>
      <c r="G141" s="92" t="n">
        <v>36831</v>
      </c>
      <c r="H141" s="248" t="n">
        <v>300000</v>
      </c>
      <c r="I141" s="0" t="n">
        <v>2.2</v>
      </c>
      <c r="J141" s="124" t="n">
        <f aca="false">VLOOKUP(G141,NGPrices,2,FALSE())</f>
        <v>4.736</v>
      </c>
      <c r="K141" s="125" t="n">
        <f aca="false">HLOOKUP(D141,Prices,VLOOKUP(G141,move_down,2,FALSE()),FALSE())+VLOOKUP(G141,CHANGE,HLOOKUP(D141,CHANGE,2,FALSE()),FALSE())</f>
        <v>0.77</v>
      </c>
      <c r="L141" s="124" t="n">
        <f aca="false">K141+J141</f>
        <v>5.506</v>
      </c>
      <c r="M141" s="126" t="n">
        <f aca="false">VLOOKUP(G141,NGPrices,4,FALSE())</f>
        <v>0.06810675983792</v>
      </c>
      <c r="N141" s="7" t="n">
        <f aca="false">VLOOKUP(G141,NGPrices,3,FALSE())</f>
        <v>0.595</v>
      </c>
      <c r="O141" s="7" t="n">
        <f aca="false">HLOOKUP(D141,VOLS,VLOOKUP(G141,move_down,2,FALSE()),FALSE())</f>
        <v>0.625</v>
      </c>
      <c r="P141" s="249" t="n">
        <f aca="false">HLOOKUP(D141,Correllate,VLOOKUP(G141,CorMove,2,FALSE()),FALSE())</f>
        <v>0.89</v>
      </c>
      <c r="Q141" s="92" t="n">
        <f aca="false">WORKDAY(G141,-2)</f>
        <v>36829</v>
      </c>
      <c r="R141" s="7" t="n">
        <f aca="false">IF(F141="P",0,1)</f>
        <v>1</v>
      </c>
      <c r="S141" s="130" t="e">
        <f aca="false">xSPRDOPT($L141,$J141,$I141,$M141,$O141,$N141,$P141,$Q141-$C$3,$R141,0)</f>
        <v>#NAME?</v>
      </c>
      <c r="T141" s="250" t="e">
        <f aca="false">xSPRDOPT($L141,$J141,$I141,$M141,$O141,$N141,$P141,$Q141-$C$3,$R141,1)*H141</f>
        <v>#NAME?</v>
      </c>
      <c r="U141" s="43" t="e">
        <f aca="false">S141*H141</f>
        <v>#NAME?</v>
      </c>
      <c r="V141" s="250" t="e">
        <f aca="false">xSPRDOPT($L141,$J141,$I141,$M141,$O141,$N141,$P141,$Q141-$C$3,$R141,2)*H141</f>
        <v>#NAME?</v>
      </c>
      <c r="W141" s="250" t="e">
        <f aca="false">+V141+T141</f>
        <v>#NAME?</v>
      </c>
      <c r="X141" s="2" t="str">
        <f aca="false">CONCATENATE(G141,D141)</f>
        <v>36831IF-TRANSCO/Z6</v>
      </c>
      <c r="Y141" s="251" t="n">
        <f aca="false">H141/10000</f>
        <v>30</v>
      </c>
      <c r="Z141" s="226" t="e">
        <f aca="false">T141/H141</f>
        <v>#NAME?</v>
      </c>
      <c r="AA141" s="226" t="e">
        <f aca="false">xSPRDOPT($L141,$J141,$I141,$M141,$O141,$N141,$P141,$Q141-$C$3,$R141,3)</f>
        <v>#NAME?</v>
      </c>
      <c r="AB141" s="226" t="e">
        <f aca="false">((xSPRDOPT($L141+AB$5,$J141,$I141,$M141,$O141,$N141,$P141,$Q141-$C$3,$R141,3)*$H141)/10000)/100</f>
        <v>#NAME?</v>
      </c>
      <c r="AC141" s="226" t="e">
        <f aca="false">((xSPRDOPT($L141+$AB$5,$J141,$I141,$M141,$O141,$N141,$P141,$Q141-$C$3,$R141,7)*$H141)/100)</f>
        <v>#NAME?</v>
      </c>
      <c r="AD141" s="226" t="e">
        <f aca="false">(xSPRDOPT($L141+$AB$5,$J141,$I141,$M141,$O141,$N141,$P141,$Q141-$C$3,$R141,9)/365)*$H141</f>
        <v>#NAME?</v>
      </c>
      <c r="AE141" s="0" t="e">
        <f aca="false">CD141</f>
        <v>#NAME?</v>
      </c>
      <c r="AF141" s="226" t="e">
        <f aca="false">((O141/N141)*AH141)+AG141</f>
        <v>#NAME?</v>
      </c>
      <c r="AG141" s="226" t="e">
        <f aca="false">((xSPRDOPT($L141,$J141,$I141,$M141,$O141,$N141,$P141,$Q141-$C$3,$R141,6)*$H141)/100)</f>
        <v>#NAME?</v>
      </c>
      <c r="AH141" s="226" t="e">
        <f aca="false">((xSPRDOPT($L141,$J141,$I141,$M141,$O141,$N141,$P141,$Q141-$C$3,$R141,5)*$H141)/100)</f>
        <v>#NAME?</v>
      </c>
      <c r="AI141" s="226" t="e">
        <f aca="false">(((xSPRDOPT($L141,$J141,$I141,$M141,$O141,$N141,$P141,$Q141-$C$3,$R141,4)*$H141)/10000)/100)-AB141</f>
        <v>#NAME?</v>
      </c>
      <c r="AJ141" s="226"/>
      <c r="AK141" s="226"/>
      <c r="AL141" s="226"/>
      <c r="AM141" s="252"/>
      <c r="AN141" s="143" t="n">
        <f aca="false">EOMONTH(AN140,0)+1</f>
        <v>40817</v>
      </c>
      <c r="AO141" s="134" t="n">
        <f aca="false">SUMIF($X:$X,CONCATENATE($AN141,AO$6),$T:$T)/10000</f>
        <v>0</v>
      </c>
      <c r="AP141" s="134" t="n">
        <f aca="false">SUMIF($X:$X,CONCATENATE($AN141,AP$6),$T:$T)/10000</f>
        <v>0</v>
      </c>
      <c r="AQ141" s="134" t="n">
        <f aca="false">SUMIF($X:$X,CONCATENATE($AN141,AQ$6),$T:$T)/10000</f>
        <v>0</v>
      </c>
      <c r="AR141" s="134" t="n">
        <f aca="false">SUMIF($X:$X,CONCATENATE($AN141,AR$6),$T:$T)/10000</f>
        <v>0</v>
      </c>
      <c r="AS141" s="134" t="n">
        <f aca="false">SUMIF($X:$X,CONCATENATE($AN141,AS$6),$T:$T)/10000</f>
        <v>0</v>
      </c>
      <c r="AT141" s="134" t="n">
        <f aca="false">SUMIF($X:$X,CONCATENATE($AN141,AT$6),$T:$T)/10000</f>
        <v>0</v>
      </c>
      <c r="AU141" s="134" t="n">
        <f aca="false">SUMIF($X:$X,CONCATENATE($AN141,AU$6),$T:$T)/10000</f>
        <v>0</v>
      </c>
      <c r="AV141" s="134" t="n">
        <f aca="false">SUMIF($X:$X,CONCATENATE($AN141,AV$6),$T:$T)/10000</f>
        <v>0</v>
      </c>
      <c r="AW141" s="134" t="n">
        <f aca="false">SUMIF($X:$X,CONCATENATE($AN141,AW$6),$T:$T)/10000</f>
        <v>0</v>
      </c>
      <c r="AX141" s="134" t="n">
        <f aca="false">SUMIF($X:$X,CONCATENATE($AN141,AX$6),$T:$T)/10000</f>
        <v>0</v>
      </c>
      <c r="AY141" s="134" t="n">
        <f aca="false">SUMIF($X:$X,CONCATENATE($AN141,AY$6),$T:$T)/10000</f>
        <v>0</v>
      </c>
      <c r="AZ141" s="134" t="n">
        <f aca="false">SUMIF($X:$X,CONCATENATE($AN141,AZ$6),$T:$T)/10000</f>
        <v>0</v>
      </c>
      <c r="BA141" s="135" t="n">
        <f aca="false">SUMIF($X:$X,CONCATENATE($AN141,BA$6),$T:$T)/10000</f>
        <v>0</v>
      </c>
      <c r="BB141" s="143" t="n">
        <f aca="false">EOMONTH(BB140,0)+1</f>
        <v>40817</v>
      </c>
      <c r="BC141" s="135" t="n">
        <f aca="false">SUM(AO141:BA141)</f>
        <v>0</v>
      </c>
      <c r="BE141" s="143" t="n">
        <f aca="false">EOMONTH(BE140,0)+1</f>
        <v>40817</v>
      </c>
      <c r="BF141" s="134" t="n">
        <f aca="false">SUMIF($X:$X,CONCATENATE($AN141,BF$6),$W:$W)</f>
        <v>0</v>
      </c>
      <c r="BG141" s="134" t="n">
        <f aca="false">SUMIF($X:$X,CONCATENATE($AN141,BG$6),$W:$W)</f>
        <v>0</v>
      </c>
      <c r="BH141" s="134" t="n">
        <f aca="false">SUMIF($X:$X,CONCATENATE($AN141,BH$6),$W:$W)</f>
        <v>0</v>
      </c>
      <c r="BI141" s="134" t="n">
        <f aca="false">SUMIF($X:$X,CONCATENATE($AN141,BI$6),$W:$W)</f>
        <v>0</v>
      </c>
      <c r="BJ141" s="134" t="n">
        <f aca="false">SUMIF($X:$X,CONCATENATE($AN141,BJ$6),$W:$W)</f>
        <v>0</v>
      </c>
      <c r="BK141" s="134" t="n">
        <f aca="false">SUMIF($X:$X,CONCATENATE($AN141,BK$6),$W:$W)</f>
        <v>0</v>
      </c>
      <c r="BL141" s="134" t="n">
        <f aca="false">SUMIF($X:$X,CONCATENATE($AN141,BL$6),$W:$W)</f>
        <v>0</v>
      </c>
      <c r="BM141" s="134" t="n">
        <f aca="false">SUMIF($X:$X,CONCATENATE($AN141,BM$6),$W:$W)</f>
        <v>0</v>
      </c>
      <c r="BN141" s="134" t="n">
        <f aca="false">SUMIF($X:$X,CONCATENATE($AN141,BN$6),$W:$W)</f>
        <v>0</v>
      </c>
      <c r="BO141" s="134" t="n">
        <f aca="false">SUMIF($X:$X,CONCATENATE($AN141,BO$6),$W:$W)</f>
        <v>0</v>
      </c>
      <c r="BP141" s="134" t="n">
        <f aca="false">SUMIF($X:$X,CONCATENATE($AN141,BP$6),$W:$W)</f>
        <v>0</v>
      </c>
      <c r="BQ141" s="134" t="n">
        <f aca="false">SUMIF($X:$X,CONCATENATE($AN141,BQ$6),$W:$W)</f>
        <v>0</v>
      </c>
      <c r="BR141" s="135" t="n">
        <f aca="false">SUMIF($X:$X,CONCATENATE($AN141,BR$6),$W:$W)</f>
        <v>0</v>
      </c>
      <c r="BS141" s="143" t="n">
        <f aca="false">EOMONTH(BS140,0)+1</f>
        <v>40817</v>
      </c>
      <c r="BT141" s="135" t="n">
        <f aca="false">SUM(BF141:BR141)</f>
        <v>0</v>
      </c>
      <c r="CC141" s="182" t="n">
        <f aca="false">G141</f>
        <v>36831</v>
      </c>
      <c r="CD141" s="253" t="e">
        <f aca="false">xSPRDOPT((VLOOKUP(G141,NGPrices,2,FALSE())+HLOOKUP(D141,Prices,VLOOKUP(G141,move_down,2,FALSE()),FALSE())),VLOOKUP(G141,NGPrices,2,FALSE()),I141,VLOOKUP(G141,NGPREVPRICES,4,FALSE()),HLOOKUP(D141,PREVVOLS,VLOOKUP(G141,MOVE_DOWN2,2,FALSE()),FALSE()),VLOOKUP(G141,NGPREVPRICES,3,FALSE()),HLOOKUP(D141,Correllate,VLOOKUP(G141,CorMove,2,FALSE()),FALSE()),Q141-$CD$3,R141,$CD$5)*H141-CJ141</f>
        <v>#NAME?</v>
      </c>
      <c r="CE141" s="253" t="e">
        <f aca="false">xSPRDOPT((VLOOKUP(G141,NGPREVPRICES,2,FALSE())+HLOOKUP(D141,PREVCURVES,VLOOKUP(G141,MOVE_DOWN2,2,FALSE()),FALSE())),VLOOKUP(G141,NGPREVPRICES,2,FALSE()),CK141,VLOOKUP(G141,NGPrices,4,FALSE()),HLOOKUP(D141,PREVVOLS,VLOOKUP(G141,MOVE_DOWN2,2,FALSE()),FALSE()),VLOOKUP(G141,NGPREVPRICES,3,FALSE()),HLOOKUP(D141,Correllate,VLOOKUP(G141,CorMove,2,FALSE()),FALSE()),Q141-$CD$3,R141,$CJ$5)*H141-CJ141</f>
        <v>#NAME?</v>
      </c>
      <c r="CF141" s="132" t="e">
        <f aca="false">(CJ141/VLOOKUP(CC141,discount,3,FALSE()))-(CJ141/VLOOKUP(CC141,discount,2,FALSE()))</f>
        <v>#NAME?</v>
      </c>
      <c r="CG141" s="253" t="e">
        <f aca="false">xSPRDOPT((VLOOKUP(G141,NGPREVPRICES,2,FALSE())+HLOOKUP(D141,PREVCURVES,VLOOKUP(G141,MOVE_DOWN2,2,FALSE()),FALSE())),VLOOKUP(G141,NGPREVPRICES,2,FALSE()),CK141,VLOOKUP(G141,NGPREVPRICES,4,FALSE()),HLOOKUP(D141,VOLS,VLOOKUP(G141,move_down,2,FALSE()),FALSE()),VLOOKUP(G141,NGPrices,3,FALSE()),HLOOKUP(D141,Correllate,VLOOKUP(G141,CorMove,2,FALSE()),FALSE()),Q141-$CD$3,R141,$CJ$5)*H141-CJ141</f>
        <v>#NAME?</v>
      </c>
      <c r="CH141" s="253" t="e">
        <f aca="false">xSPRDOPT((VLOOKUP(G141,NGPREVPRICES,2,FALSE())+HLOOKUP(D141,PREVCURVES,VLOOKUP(G141,MOVE_DOWN2,2,FALSE()),FALSE())),VLOOKUP(G141,NGPREVPRICES,2,FALSE()),CK141,VLOOKUP(G141,NGPREVPRICES,4,FALSE()),HLOOKUP(D141,PREVVOLS,VLOOKUP(G141,MOVE_DOWN2,2,FALSE()),FALSE()),VLOOKUP(G141,NGPREVPRICES,3,FALSE()),HLOOKUP(D141,Correllate,VLOOKUP(G141,CorMove,2,FALSE()),FALSE()),Q141-$C$3,R141,$CJ$5)*H141-CJ141</f>
        <v>#NAME?</v>
      </c>
      <c r="CI141" s="253" t="e">
        <f aca="false">SUM(CD141:CH141)</f>
        <v>#NAME?</v>
      </c>
      <c r="CJ141" s="253" t="e">
        <f aca="false">xSPRDOPT((VLOOKUP(G141,NGPREVPRICES,2,FALSE())+HLOOKUP(D141,PREVCURVES,VLOOKUP(G141,MOVE_DOWN2,2,FALSE()),FALSE())),VLOOKUP(G141,NGPREVPRICES,2,FALSE()),CK141,VLOOKUP(G141,NGPREVPRICES,4,FALSE()),HLOOKUP(D141,PREVVOLS,VLOOKUP(G141,MOVE_DOWN2,2,FALSE()),FALSE()),VLOOKUP(G141,NGPREVPRICES,3,FALSE()),HLOOKUP(D141,Correllate,VLOOKUP(G141,CorMove,2,FALSE()),FALSE()),Q141-$CD$3,R141,$CJ$5)*H141</f>
        <v>#NAME?</v>
      </c>
      <c r="CK141" s="254" t="n">
        <f aca="false">I141</f>
        <v>2.2</v>
      </c>
      <c r="CL141" s="253"/>
      <c r="CM141" s="0" t="str">
        <f aca="false">CONCATENATE(CC141,$CD$6)</f>
        <v>36831Curve Shift/Gamma</v>
      </c>
      <c r="CN141" s="0" t="str">
        <f aca="false">CONCATENATE($CC141,$CE$6)</f>
        <v>36831Rho</v>
      </c>
      <c r="CO141" s="0" t="str">
        <f aca="false">CONCATENATE($CC141,$CF$6)</f>
        <v>36831Drift</v>
      </c>
      <c r="CP141" s="0" t="str">
        <f aca="false">CONCATENATE($CC141,$CG$6)</f>
        <v>36831Vega</v>
      </c>
      <c r="CQ141" s="0" t="str">
        <f aca="false">CONCATENATE($CC141,$CH$6)</f>
        <v>36831Theta</v>
      </c>
    </row>
    <row r="142" customFormat="false" ht="12" hidden="false" customHeight="true" outlineLevel="0" collapsed="false">
      <c r="A142" s="265" t="s">
        <v>198</v>
      </c>
      <c r="B142" s="0" t="s">
        <v>192</v>
      </c>
      <c r="C142" s="0" t="s">
        <v>251</v>
      </c>
      <c r="D142" s="7" t="s">
        <v>153</v>
      </c>
      <c r="E142" s="0" t="s">
        <v>131</v>
      </c>
      <c r="F142" s="0" t="s">
        <v>136</v>
      </c>
      <c r="G142" s="92" t="n">
        <v>36951</v>
      </c>
      <c r="H142" s="248" t="n">
        <v>-1000000</v>
      </c>
      <c r="I142" s="0" t="n">
        <v>0</v>
      </c>
      <c r="J142" s="124" t="n">
        <f aca="false">VLOOKUP(G142,NGPrices,2,FALSE())</f>
        <v>4.213</v>
      </c>
      <c r="K142" s="125" t="n">
        <f aca="false">HLOOKUP(D142,Prices,VLOOKUP(G142,move_down,2,FALSE()),FALSE())+VLOOKUP(G142,CHANGE,HLOOKUP(D142,CHANGE,2,FALSE()),FALSE())</f>
        <v>0.0325</v>
      </c>
      <c r="L142" s="124" t="n">
        <f aca="false">K142+J142</f>
        <v>4.2455</v>
      </c>
      <c r="M142" s="126" t="n">
        <f aca="false">VLOOKUP(G142,NGPrices,4,FALSE())</f>
        <v>0.068879814952707</v>
      </c>
      <c r="N142" s="7" t="n">
        <f aca="false">VLOOKUP(G142,NGPrices,3,FALSE())</f>
        <v>0.5325</v>
      </c>
      <c r="O142" s="7" t="n">
        <f aca="false">HLOOKUP(D142,VOLS,VLOOKUP(G142,move_down,2,FALSE()),FALSE())</f>
        <v>0.559</v>
      </c>
      <c r="P142" s="249" t="n">
        <f aca="false">HLOOKUP(D142,Correllate,VLOOKUP(G142,CorMove,2,FALSE()),FALSE())</f>
        <v>0.9975</v>
      </c>
      <c r="Q142" s="92" t="n">
        <f aca="false">WORKDAY(G142,-2)</f>
        <v>36949</v>
      </c>
      <c r="R142" s="7" t="n">
        <f aca="false">IF(F142="P",0,1)</f>
        <v>1</v>
      </c>
      <c r="S142" s="130" t="e">
        <f aca="false">xSPRDOPT($L142,$J142,$I142,$M142,$O142,$N142,$P142,$Q142-$C$3,$R142,0)</f>
        <v>#NAME?</v>
      </c>
      <c r="T142" s="250" t="e">
        <f aca="false">xSPRDOPT($L142,$J142,$I142,$M142,$O142,$N142,$P142,$Q142-$C$3,$R142,1)*H142</f>
        <v>#NAME?</v>
      </c>
      <c r="U142" s="43" t="e">
        <f aca="false">S142*H142</f>
        <v>#NAME?</v>
      </c>
      <c r="V142" s="250" t="e">
        <f aca="false">xSPRDOPT($L142,$J142,$I142,$M142,$O142,$N142,$P142,$Q142-$C$3,$R142,2)*H142</f>
        <v>#NAME?</v>
      </c>
      <c r="W142" s="250" t="e">
        <f aca="false">+V142+T142</f>
        <v>#NAME?</v>
      </c>
      <c r="X142" s="2" t="str">
        <f aca="false">CONCATENATE(G142,D142)</f>
        <v>36951IF-NNG/VENT</v>
      </c>
      <c r="Y142" s="251" t="n">
        <f aca="false">H142/10000</f>
        <v>-100</v>
      </c>
      <c r="Z142" s="226" t="e">
        <f aca="false">T142/H142</f>
        <v>#NAME?</v>
      </c>
      <c r="AA142" s="226" t="e">
        <f aca="false">xSPRDOPT($L142,$J142,$I142,$M142,$O142,$N142,$P142,$Q142-$C$3,$R142,3)</f>
        <v>#NAME?</v>
      </c>
      <c r="AB142" s="226" t="e">
        <f aca="false">((xSPRDOPT($L142+AB$5,$J142,$I142,$M142,$O142,$N142,$P142,$Q142-$C$3,$R142,3)*$H142)/10000)/100</f>
        <v>#NAME?</v>
      </c>
      <c r="AC142" s="226" t="e">
        <f aca="false">((xSPRDOPT($L142+$AB$5,$J142,$I142,$M142,$O142,$N142,$P142,$Q142-$C$3,$R142,7)*$H142)/100)</f>
        <v>#NAME?</v>
      </c>
      <c r="AD142" s="226" t="e">
        <f aca="false">(xSPRDOPT($L142+$AB$5,$J142,$I142,$M142,$O142,$N142,$P142,$Q142-$C$3,$R142,9)/365)*$H142</f>
        <v>#NAME?</v>
      </c>
      <c r="AE142" s="0" t="e">
        <f aca="false">CD142</f>
        <v>#NAME?</v>
      </c>
      <c r="AF142" s="226" t="e">
        <f aca="false">((O142/N142)*AH142)+AG142</f>
        <v>#NAME?</v>
      </c>
      <c r="AG142" s="226" t="e">
        <f aca="false">((xSPRDOPT($L142,$J142,$I142,$M142,$O142,$N142,$P142,$Q142-$C$3,$R142,6)*$H142)/100)</f>
        <v>#NAME?</v>
      </c>
      <c r="AH142" s="226" t="e">
        <f aca="false">((xSPRDOPT($L142,$J142,$I142,$M142,$O142,$N142,$P142,$Q142-$C$3,$R142,5)*$H142)/100)</f>
        <v>#NAME?</v>
      </c>
      <c r="AI142" s="226" t="e">
        <f aca="false">(((xSPRDOPT($L142,$J142,$I142,$M142,$O142,$N142,$P142,$Q142-$C$3,$R142,4)*$H142)/10000)/100)-AB142</f>
        <v>#NAME?</v>
      </c>
      <c r="AJ142" s="226"/>
      <c r="AK142" s="226"/>
      <c r="AL142" s="226"/>
      <c r="AM142" s="252"/>
      <c r="AN142" s="143" t="n">
        <f aca="false">EOMONTH(AN141,0)+1</f>
        <v>40848</v>
      </c>
      <c r="AO142" s="134" t="n">
        <f aca="false">SUMIF($X:$X,CONCATENATE($AN142,AO$6),$T:$T)/10000</f>
        <v>0</v>
      </c>
      <c r="AP142" s="134" t="n">
        <f aca="false">SUMIF($X:$X,CONCATENATE($AN142,AP$6),$T:$T)/10000</f>
        <v>0</v>
      </c>
      <c r="AQ142" s="134" t="n">
        <f aca="false">SUMIF($X:$X,CONCATENATE($AN142,AQ$6),$T:$T)/10000</f>
        <v>0</v>
      </c>
      <c r="AR142" s="134" t="n">
        <f aca="false">SUMIF($X:$X,CONCATENATE($AN142,AR$6),$T:$T)/10000</f>
        <v>0</v>
      </c>
      <c r="AS142" s="134" t="n">
        <f aca="false">SUMIF($X:$X,CONCATENATE($AN142,AS$6),$T:$T)/10000</f>
        <v>0</v>
      </c>
      <c r="AT142" s="134" t="n">
        <f aca="false">SUMIF($X:$X,CONCATENATE($AN142,AT$6),$T:$T)/10000</f>
        <v>0</v>
      </c>
      <c r="AU142" s="134" t="n">
        <f aca="false">SUMIF($X:$X,CONCATENATE($AN142,AU$6),$T:$T)/10000</f>
        <v>0</v>
      </c>
      <c r="AV142" s="134" t="n">
        <f aca="false">SUMIF($X:$X,CONCATENATE($AN142,AV$6),$T:$T)/10000</f>
        <v>0</v>
      </c>
      <c r="AW142" s="134" t="n">
        <f aca="false">SUMIF($X:$X,CONCATENATE($AN142,AW$6),$T:$T)/10000</f>
        <v>0</v>
      </c>
      <c r="AX142" s="134" t="n">
        <f aca="false">SUMIF($X:$X,CONCATENATE($AN142,AX$6),$T:$T)/10000</f>
        <v>0</v>
      </c>
      <c r="AY142" s="134" t="n">
        <f aca="false">SUMIF($X:$X,CONCATENATE($AN142,AY$6),$T:$T)/10000</f>
        <v>0</v>
      </c>
      <c r="AZ142" s="134" t="n">
        <f aca="false">SUMIF($X:$X,CONCATENATE($AN142,AZ$6),$T:$T)/10000</f>
        <v>0</v>
      </c>
      <c r="BA142" s="135" t="n">
        <f aca="false">SUMIF($X:$X,CONCATENATE($AN142,BA$6),$T:$T)/10000</f>
        <v>0</v>
      </c>
      <c r="BB142" s="143" t="n">
        <f aca="false">EOMONTH(BB141,0)+1</f>
        <v>40848</v>
      </c>
      <c r="BC142" s="135" t="n">
        <f aca="false">SUM(AO142:BA142)</f>
        <v>0</v>
      </c>
      <c r="BE142" s="143" t="n">
        <f aca="false">EOMONTH(BE141,0)+1</f>
        <v>40848</v>
      </c>
      <c r="BF142" s="134" t="n">
        <f aca="false">SUMIF($X:$X,CONCATENATE($AN142,BF$6),$W:$W)</f>
        <v>0</v>
      </c>
      <c r="BG142" s="134" t="n">
        <f aca="false">SUMIF($X:$X,CONCATENATE($AN142,BG$6),$W:$W)</f>
        <v>0</v>
      </c>
      <c r="BH142" s="134" t="n">
        <f aca="false">SUMIF($X:$X,CONCATENATE($AN142,BH$6),$W:$W)</f>
        <v>0</v>
      </c>
      <c r="BI142" s="134" t="n">
        <f aca="false">SUMIF($X:$X,CONCATENATE($AN142,BI$6),$W:$W)</f>
        <v>0</v>
      </c>
      <c r="BJ142" s="134" t="n">
        <f aca="false">SUMIF($X:$X,CONCATENATE($AN142,BJ$6),$W:$W)</f>
        <v>0</v>
      </c>
      <c r="BK142" s="134" t="n">
        <f aca="false">SUMIF($X:$X,CONCATENATE($AN142,BK$6),$W:$W)</f>
        <v>0</v>
      </c>
      <c r="BL142" s="134" t="n">
        <f aca="false">SUMIF($X:$X,CONCATENATE($AN142,BL$6),$W:$W)</f>
        <v>0</v>
      </c>
      <c r="BM142" s="134" t="n">
        <f aca="false">SUMIF($X:$X,CONCATENATE($AN142,BM$6),$W:$W)</f>
        <v>0</v>
      </c>
      <c r="BN142" s="134" t="n">
        <f aca="false">SUMIF($X:$X,CONCATENATE($AN142,BN$6),$W:$W)</f>
        <v>0</v>
      </c>
      <c r="BO142" s="134" t="n">
        <f aca="false">SUMIF($X:$X,CONCATENATE($AN142,BO$6),$W:$W)</f>
        <v>0</v>
      </c>
      <c r="BP142" s="134" t="n">
        <f aca="false">SUMIF($X:$X,CONCATENATE($AN142,BP$6),$W:$W)</f>
        <v>0</v>
      </c>
      <c r="BQ142" s="134" t="n">
        <f aca="false">SUMIF($X:$X,CONCATENATE($AN142,BQ$6),$W:$W)</f>
        <v>0</v>
      </c>
      <c r="BR142" s="135" t="n">
        <f aca="false">SUMIF($X:$X,CONCATENATE($AN142,BR$6),$W:$W)</f>
        <v>0</v>
      </c>
      <c r="BS142" s="143" t="n">
        <f aca="false">EOMONTH(BS141,0)+1</f>
        <v>40848</v>
      </c>
      <c r="BT142" s="135" t="n">
        <f aca="false">SUM(BF142:BR142)</f>
        <v>0</v>
      </c>
      <c r="CC142" s="182" t="n">
        <f aca="false">G142</f>
        <v>36951</v>
      </c>
      <c r="CD142" s="253" t="e">
        <f aca="false">xSPRDOPT((VLOOKUP(G142,NGPrices,2,FALSE())+HLOOKUP(D142,Prices,VLOOKUP(G142,move_down,2,FALSE()),FALSE())),VLOOKUP(G142,NGPrices,2,FALSE()),I142,VLOOKUP(G142,NGPREVPRICES,4,FALSE()),HLOOKUP(D142,PREVVOLS,VLOOKUP(G142,MOVE_DOWN2,2,FALSE()),FALSE()),VLOOKUP(G142,NGPREVPRICES,3,FALSE()),HLOOKUP(D142,Correllate,VLOOKUP(G142,CorMove,2,FALSE()),FALSE()),Q142-$CD$3,R142,$CD$5)*H142-CJ142</f>
        <v>#NAME?</v>
      </c>
      <c r="CE142" s="253" t="e">
        <f aca="false">xSPRDOPT((VLOOKUP(G142,NGPREVPRICES,2,FALSE())+HLOOKUP(D142,PREVCURVES,VLOOKUP(G142,MOVE_DOWN2,2,FALSE()),FALSE())),VLOOKUP(G142,NGPREVPRICES,2,FALSE()),CK142,VLOOKUP(G142,NGPrices,4,FALSE()),HLOOKUP(D142,PREVVOLS,VLOOKUP(G142,MOVE_DOWN2,2,FALSE()),FALSE()),VLOOKUP(G142,NGPREVPRICES,3,FALSE()),HLOOKUP(D142,Correllate,VLOOKUP(G142,CorMove,2,FALSE()),FALSE()),Q142-$CD$3,R142,$CJ$5)*H142-CJ142</f>
        <v>#NAME?</v>
      </c>
      <c r="CF142" s="132" t="e">
        <f aca="false">(CJ142/VLOOKUP(CC142,discount,3,FALSE()))-(CJ142/VLOOKUP(CC142,discount,2,FALSE()))</f>
        <v>#NAME?</v>
      </c>
      <c r="CG142" s="253" t="e">
        <f aca="false">xSPRDOPT((VLOOKUP(G142,NGPREVPRICES,2,FALSE())+HLOOKUP(D142,PREVCURVES,VLOOKUP(G142,MOVE_DOWN2,2,FALSE()),FALSE())),VLOOKUP(G142,NGPREVPRICES,2,FALSE()),CK142,VLOOKUP(G142,NGPREVPRICES,4,FALSE()),HLOOKUP(D142,VOLS,VLOOKUP(G142,move_down,2,FALSE()),FALSE()),VLOOKUP(G142,NGPrices,3,FALSE()),HLOOKUP(D142,Correllate,VLOOKUP(G142,CorMove,2,FALSE()),FALSE()),Q142-$CD$3,R142,$CJ$5)*H142-CJ142</f>
        <v>#NAME?</v>
      </c>
      <c r="CH142" s="253" t="e">
        <f aca="false">xSPRDOPT((VLOOKUP(G142,NGPREVPRICES,2,FALSE())+HLOOKUP(D142,PREVCURVES,VLOOKUP(G142,MOVE_DOWN2,2,FALSE()),FALSE())),VLOOKUP(G142,NGPREVPRICES,2,FALSE()),CK142,VLOOKUP(G142,NGPREVPRICES,4,FALSE()),HLOOKUP(D142,PREVVOLS,VLOOKUP(G142,MOVE_DOWN2,2,FALSE()),FALSE()),VLOOKUP(G142,NGPREVPRICES,3,FALSE()),HLOOKUP(D142,Correllate,VLOOKUP(G142,CorMove,2,FALSE()),FALSE()),Q142-$C$3,R142,$CJ$5)*H142-CJ142</f>
        <v>#NAME?</v>
      </c>
      <c r="CI142" s="253" t="e">
        <f aca="false">SUM(CD142:CH142)</f>
        <v>#NAME?</v>
      </c>
      <c r="CJ142" s="253" t="e">
        <f aca="false">xSPRDOPT((VLOOKUP(G142,NGPREVPRICES,2,FALSE())+HLOOKUP(D142,PREVCURVES,VLOOKUP(G142,MOVE_DOWN2,2,FALSE()),FALSE())),VLOOKUP(G142,NGPREVPRICES,2,FALSE()),CK142,VLOOKUP(G142,NGPREVPRICES,4,FALSE()),HLOOKUP(D142,PREVVOLS,VLOOKUP(G142,MOVE_DOWN2,2,FALSE()),FALSE()),VLOOKUP(G142,NGPREVPRICES,3,FALSE()),HLOOKUP(D142,Correllate,VLOOKUP(G142,CorMove,2,FALSE()),FALSE()),Q142-$CD$3,R142,$CJ$5)*H142</f>
        <v>#NAME?</v>
      </c>
      <c r="CK142" s="254" t="n">
        <f aca="false">I142</f>
        <v>0</v>
      </c>
      <c r="CL142" s="253"/>
      <c r="CM142" s="0" t="str">
        <f aca="false">CONCATENATE(CC142,$CD$6)</f>
        <v>36951Curve Shift/Gamma</v>
      </c>
      <c r="CN142" s="0" t="str">
        <f aca="false">CONCATENATE($CC142,$CE$6)</f>
        <v>36951Rho</v>
      </c>
      <c r="CO142" s="0" t="str">
        <f aca="false">CONCATENATE($CC142,$CF$6)</f>
        <v>36951Drift</v>
      </c>
      <c r="CP142" s="0" t="str">
        <f aca="false">CONCATENATE($CC142,$CG$6)</f>
        <v>36951Vega</v>
      </c>
      <c r="CQ142" s="0" t="str">
        <f aca="false">CONCATENATE($CC142,$CH$6)</f>
        <v>36951Theta</v>
      </c>
    </row>
    <row r="143" customFormat="false" ht="12" hidden="false" customHeight="true" outlineLevel="0" collapsed="false">
      <c r="A143" s="265" t="s">
        <v>198</v>
      </c>
      <c r="B143" s="0" t="s">
        <v>192</v>
      </c>
      <c r="C143" s="0" t="s">
        <v>251</v>
      </c>
      <c r="D143" s="7" t="s">
        <v>153</v>
      </c>
      <c r="E143" s="0" t="s">
        <v>131</v>
      </c>
      <c r="F143" s="0" t="s">
        <v>136</v>
      </c>
      <c r="G143" s="92" t="n">
        <v>36923</v>
      </c>
      <c r="H143" s="248" t="n">
        <v>-1000000</v>
      </c>
      <c r="I143" s="0" t="n">
        <v>0</v>
      </c>
      <c r="J143" s="124" t="n">
        <f aca="false">VLOOKUP(G143,NGPrices,2,FALSE())</f>
        <v>4.48</v>
      </c>
      <c r="K143" s="125" t="n">
        <f aca="false">HLOOKUP(D143,Prices,VLOOKUP(G143,move_down,2,FALSE()),FALSE())+VLOOKUP(G143,CHANGE,HLOOKUP(D143,CHANGE,2,FALSE()),FALSE())</f>
        <v>0.035</v>
      </c>
      <c r="L143" s="124" t="n">
        <f aca="false">K143+J143</f>
        <v>4.515</v>
      </c>
      <c r="M143" s="126" t="n">
        <f aca="false">VLOOKUP(G143,NGPrices,4,FALSE())</f>
        <v>0.068640161611372</v>
      </c>
      <c r="N143" s="7" t="n">
        <f aca="false">VLOOKUP(G143,NGPrices,3,FALSE())</f>
        <v>0.5925</v>
      </c>
      <c r="O143" s="7" t="n">
        <f aca="false">HLOOKUP(D143,VOLS,VLOOKUP(G143,move_down,2,FALSE()),FALSE())</f>
        <v>0.622</v>
      </c>
      <c r="P143" s="249" t="n">
        <f aca="false">HLOOKUP(D143,Correllate,VLOOKUP(G143,CorMove,2,FALSE()),FALSE())</f>
        <v>0.9975</v>
      </c>
      <c r="Q143" s="92" t="n">
        <f aca="false">WORKDAY(G143,-2)</f>
        <v>36921</v>
      </c>
      <c r="R143" s="7" t="n">
        <f aca="false">IF(F143="P",0,1)</f>
        <v>1</v>
      </c>
      <c r="S143" s="130" t="e">
        <f aca="false">xSPRDOPT($L143,$J143,$I143,$M143,$O143,$N143,$P143,$Q143-$C$3,$R143,0)</f>
        <v>#NAME?</v>
      </c>
      <c r="T143" s="250" t="e">
        <f aca="false">xSPRDOPT($L143,$J143,$I143,$M143,$O143,$N143,$P143,$Q143-$C$3,$R143,1)*H143</f>
        <v>#NAME?</v>
      </c>
      <c r="U143" s="43" t="e">
        <f aca="false">S143*H143</f>
        <v>#NAME?</v>
      </c>
      <c r="V143" s="250" t="e">
        <f aca="false">xSPRDOPT($L143,$J143,$I143,$M143,$O143,$N143,$P143,$Q143-$C$3,$R143,2)*H143</f>
        <v>#NAME?</v>
      </c>
      <c r="W143" s="250" t="e">
        <f aca="false">+V143+T143</f>
        <v>#NAME?</v>
      </c>
      <c r="X143" s="2" t="str">
        <f aca="false">CONCATENATE(G143,D143)</f>
        <v>36923IF-NNG/VENT</v>
      </c>
      <c r="Y143" s="251" t="n">
        <f aca="false">H143/10000</f>
        <v>-100</v>
      </c>
      <c r="Z143" s="226" t="e">
        <f aca="false">T143/H143</f>
        <v>#NAME?</v>
      </c>
      <c r="AA143" s="226" t="e">
        <f aca="false">xSPRDOPT($L143,$J143,$I143,$M143,$O143,$N143,$P143,$Q143-$C$3,$R143,3)</f>
        <v>#NAME?</v>
      </c>
      <c r="AB143" s="226" t="e">
        <f aca="false">((xSPRDOPT($L143+AB$5,$J143,$I143,$M143,$O143,$N143,$P143,$Q143-$C$3,$R143,3)*$H143)/10000)/100</f>
        <v>#NAME?</v>
      </c>
      <c r="AC143" s="226" t="e">
        <f aca="false">((xSPRDOPT($L143+$AB$5,$J143,$I143,$M143,$O143,$N143,$P143,$Q143-$C$3,$R143,7)*$H143)/100)</f>
        <v>#NAME?</v>
      </c>
      <c r="AD143" s="226" t="e">
        <f aca="false">(xSPRDOPT($L143+$AB$5,$J143,$I143,$M143,$O143,$N143,$P143,$Q143-$C$3,$R143,9)/365)*$H143</f>
        <v>#NAME?</v>
      </c>
      <c r="AE143" s="0" t="e">
        <f aca="false">CD143</f>
        <v>#NAME?</v>
      </c>
      <c r="AF143" s="226" t="e">
        <f aca="false">((O143/N143)*AH143)+AG143</f>
        <v>#NAME?</v>
      </c>
      <c r="AG143" s="226" t="e">
        <f aca="false">((xSPRDOPT($L143,$J143,$I143,$M143,$O143,$N143,$P143,$Q143-$C$3,$R143,6)*$H143)/100)</f>
        <v>#NAME?</v>
      </c>
      <c r="AH143" s="226" t="e">
        <f aca="false">((xSPRDOPT($L143,$J143,$I143,$M143,$O143,$N143,$P143,$Q143-$C$3,$R143,5)*$H143)/100)</f>
        <v>#NAME?</v>
      </c>
      <c r="AI143" s="226" t="e">
        <f aca="false">(((xSPRDOPT($L143,$J143,$I143,$M143,$O143,$N143,$P143,$Q143-$C$3,$R143,4)*$H143)/10000)/100)-AB143</f>
        <v>#NAME?</v>
      </c>
      <c r="AJ143" s="226"/>
      <c r="AK143" s="226"/>
      <c r="AL143" s="226"/>
      <c r="AM143" s="252"/>
      <c r="AN143" s="143" t="n">
        <f aca="false">EOMONTH(AN142,0)+1</f>
        <v>40878</v>
      </c>
      <c r="AO143" s="134" t="n">
        <f aca="false">SUMIF($X:$X,CONCATENATE($AN143,AO$6),$T:$T)/10000</f>
        <v>0</v>
      </c>
      <c r="AP143" s="134" t="n">
        <f aca="false">SUMIF($X:$X,CONCATENATE($AN143,AP$6),$T:$T)/10000</f>
        <v>0</v>
      </c>
      <c r="AQ143" s="134" t="n">
        <f aca="false">SUMIF($X:$X,CONCATENATE($AN143,AQ$6),$T:$T)/10000</f>
        <v>0</v>
      </c>
      <c r="AR143" s="134" t="n">
        <f aca="false">SUMIF($X:$X,CONCATENATE($AN143,AR$6),$T:$T)/10000</f>
        <v>0</v>
      </c>
      <c r="AS143" s="134" t="n">
        <f aca="false">SUMIF($X:$X,CONCATENATE($AN143,AS$6),$T:$T)/10000</f>
        <v>0</v>
      </c>
      <c r="AT143" s="134" t="n">
        <f aca="false">SUMIF($X:$X,CONCATENATE($AN143,AT$6),$T:$T)/10000</f>
        <v>0</v>
      </c>
      <c r="AU143" s="134" t="n">
        <f aca="false">SUMIF($X:$X,CONCATENATE($AN143,AU$6),$T:$T)/10000</f>
        <v>0</v>
      </c>
      <c r="AV143" s="134" t="n">
        <f aca="false">SUMIF($X:$X,CONCATENATE($AN143,AV$6),$T:$T)/10000</f>
        <v>0</v>
      </c>
      <c r="AW143" s="134" t="n">
        <f aca="false">SUMIF($X:$X,CONCATENATE($AN143,AW$6),$T:$T)/10000</f>
        <v>0</v>
      </c>
      <c r="AX143" s="134" t="n">
        <f aca="false">SUMIF($X:$X,CONCATENATE($AN143,AX$6),$T:$T)/10000</f>
        <v>0</v>
      </c>
      <c r="AY143" s="134" t="n">
        <f aca="false">SUMIF($X:$X,CONCATENATE($AN143,AY$6),$T:$T)/10000</f>
        <v>0</v>
      </c>
      <c r="AZ143" s="134" t="n">
        <f aca="false">SUMIF($X:$X,CONCATENATE($AN143,AZ$6),$T:$T)/10000</f>
        <v>0</v>
      </c>
      <c r="BA143" s="135" t="n">
        <f aca="false">SUMIF($X:$X,CONCATENATE($AN143,BA$6),$T:$T)/10000</f>
        <v>0</v>
      </c>
      <c r="BB143" s="143" t="n">
        <f aca="false">EOMONTH(BB142,0)+1</f>
        <v>40878</v>
      </c>
      <c r="BC143" s="135" t="n">
        <f aca="false">SUM(AO143:BA143)</f>
        <v>0</v>
      </c>
      <c r="BE143" s="143" t="n">
        <f aca="false">EOMONTH(BE142,0)+1</f>
        <v>40878</v>
      </c>
      <c r="BF143" s="134" t="n">
        <f aca="false">SUMIF($X:$X,CONCATENATE($AN143,BF$6),$W:$W)</f>
        <v>0</v>
      </c>
      <c r="BG143" s="134" t="n">
        <f aca="false">SUMIF($X:$X,CONCATENATE($AN143,BG$6),$W:$W)</f>
        <v>0</v>
      </c>
      <c r="BH143" s="134" t="n">
        <f aca="false">SUMIF($X:$X,CONCATENATE($AN143,BH$6),$W:$W)</f>
        <v>0</v>
      </c>
      <c r="BI143" s="134" t="n">
        <f aca="false">SUMIF($X:$X,CONCATENATE($AN143,BI$6),$W:$W)</f>
        <v>0</v>
      </c>
      <c r="BJ143" s="134" t="n">
        <f aca="false">SUMIF($X:$X,CONCATENATE($AN143,BJ$6),$W:$W)</f>
        <v>0</v>
      </c>
      <c r="BK143" s="134" t="n">
        <f aca="false">SUMIF($X:$X,CONCATENATE($AN143,BK$6),$W:$W)</f>
        <v>0</v>
      </c>
      <c r="BL143" s="134" t="n">
        <f aca="false">SUMIF($X:$X,CONCATENATE($AN143,BL$6),$W:$W)</f>
        <v>0</v>
      </c>
      <c r="BM143" s="134" t="n">
        <f aca="false">SUMIF($X:$X,CONCATENATE($AN143,BM$6),$W:$W)</f>
        <v>0</v>
      </c>
      <c r="BN143" s="134" t="n">
        <f aca="false">SUMIF($X:$X,CONCATENATE($AN143,BN$6),$W:$W)</f>
        <v>0</v>
      </c>
      <c r="BO143" s="134" t="n">
        <f aca="false">SUMIF($X:$X,CONCATENATE($AN143,BO$6),$W:$W)</f>
        <v>0</v>
      </c>
      <c r="BP143" s="134" t="n">
        <f aca="false">SUMIF($X:$X,CONCATENATE($AN143,BP$6),$W:$W)</f>
        <v>0</v>
      </c>
      <c r="BQ143" s="134" t="n">
        <f aca="false">SUMIF($X:$X,CONCATENATE($AN143,BQ$6),$W:$W)</f>
        <v>0</v>
      </c>
      <c r="BR143" s="135" t="n">
        <f aca="false">SUMIF($X:$X,CONCATENATE($AN143,BR$6),$W:$W)</f>
        <v>0</v>
      </c>
      <c r="BS143" s="143" t="n">
        <f aca="false">EOMONTH(BS142,0)+1</f>
        <v>40878</v>
      </c>
      <c r="BT143" s="135" t="n">
        <f aca="false">SUM(BF143:BR143)</f>
        <v>0</v>
      </c>
      <c r="CC143" s="182" t="n">
        <f aca="false">G143</f>
        <v>36923</v>
      </c>
      <c r="CD143" s="253" t="e">
        <f aca="false">xSPRDOPT((VLOOKUP(G143,NGPrices,2,FALSE())+HLOOKUP(D143,Prices,VLOOKUP(G143,move_down,2,FALSE()),FALSE())),VLOOKUP(G143,NGPrices,2,FALSE()),I143,VLOOKUP(G143,NGPREVPRICES,4,FALSE()),HLOOKUP(D143,PREVVOLS,VLOOKUP(G143,MOVE_DOWN2,2,FALSE()),FALSE()),VLOOKUP(G143,NGPREVPRICES,3,FALSE()),HLOOKUP(D143,Correllate,VLOOKUP(G143,CorMove,2,FALSE()),FALSE()),Q143-$CD$3,R143,$CD$5)*H143-CJ143</f>
        <v>#NAME?</v>
      </c>
      <c r="CE143" s="253" t="e">
        <f aca="false">xSPRDOPT((VLOOKUP(G143,NGPREVPRICES,2,FALSE())+HLOOKUP(D143,PREVCURVES,VLOOKUP(G143,MOVE_DOWN2,2,FALSE()),FALSE())),VLOOKUP(G143,NGPREVPRICES,2,FALSE()),CK143,VLOOKUP(G143,NGPrices,4,FALSE()),HLOOKUP(D143,PREVVOLS,VLOOKUP(G143,MOVE_DOWN2,2,FALSE()),FALSE()),VLOOKUP(G143,NGPREVPRICES,3,FALSE()),HLOOKUP(D143,Correllate,VLOOKUP(G143,CorMove,2,FALSE()),FALSE()),Q143-$CD$3,R143,$CJ$5)*H143-CJ143</f>
        <v>#NAME?</v>
      </c>
      <c r="CF143" s="132" t="e">
        <f aca="false">(CJ143/VLOOKUP(CC143,discount,3,FALSE()))-(CJ143/VLOOKUP(CC143,discount,2,FALSE()))</f>
        <v>#NAME?</v>
      </c>
      <c r="CG143" s="253" t="e">
        <f aca="false">xSPRDOPT((VLOOKUP(G143,NGPREVPRICES,2,FALSE())+HLOOKUP(D143,PREVCURVES,VLOOKUP(G143,MOVE_DOWN2,2,FALSE()),FALSE())),VLOOKUP(G143,NGPREVPRICES,2,FALSE()),CK143,VLOOKUP(G143,NGPREVPRICES,4,FALSE()),HLOOKUP(D143,VOLS,VLOOKUP(G143,move_down,2,FALSE()),FALSE()),VLOOKUP(G143,NGPrices,3,FALSE()),HLOOKUP(D143,Correllate,VLOOKUP(G143,CorMove,2,FALSE()),FALSE()),Q143-$CD$3,R143,$CJ$5)*H143-CJ143</f>
        <v>#NAME?</v>
      </c>
      <c r="CH143" s="253" t="e">
        <f aca="false">xSPRDOPT((VLOOKUP(G143,NGPREVPRICES,2,FALSE())+HLOOKUP(D143,PREVCURVES,VLOOKUP(G143,MOVE_DOWN2,2,FALSE()),FALSE())),VLOOKUP(G143,NGPREVPRICES,2,FALSE()),CK143,VLOOKUP(G143,NGPREVPRICES,4,FALSE()),HLOOKUP(D143,PREVVOLS,VLOOKUP(G143,MOVE_DOWN2,2,FALSE()),FALSE()),VLOOKUP(G143,NGPREVPRICES,3,FALSE()),HLOOKUP(D143,Correllate,VLOOKUP(G143,CorMove,2,FALSE()),FALSE()),Q143-$C$3,R143,$CJ$5)*H143-CJ143</f>
        <v>#NAME?</v>
      </c>
      <c r="CI143" s="253" t="e">
        <f aca="false">SUM(CD143:CH143)</f>
        <v>#NAME?</v>
      </c>
      <c r="CJ143" s="253" t="e">
        <f aca="false">xSPRDOPT((VLOOKUP(G143,NGPREVPRICES,2,FALSE())+HLOOKUP(D143,PREVCURVES,VLOOKUP(G143,MOVE_DOWN2,2,FALSE()),FALSE())),VLOOKUP(G143,NGPREVPRICES,2,FALSE()),CK143,VLOOKUP(G143,NGPREVPRICES,4,FALSE()),HLOOKUP(D143,PREVVOLS,VLOOKUP(G143,MOVE_DOWN2,2,FALSE()),FALSE()),VLOOKUP(G143,NGPREVPRICES,3,FALSE()),HLOOKUP(D143,Correllate,VLOOKUP(G143,CorMove,2,FALSE()),FALSE()),Q143-$CD$3,R143,$CJ$5)*H143</f>
        <v>#NAME?</v>
      </c>
      <c r="CK143" s="254" t="n">
        <f aca="false">I143</f>
        <v>0</v>
      </c>
      <c r="CL143" s="253"/>
      <c r="CM143" s="0" t="str">
        <f aca="false">CONCATENATE(CC143,$CD$6)</f>
        <v>36923Curve Shift/Gamma</v>
      </c>
      <c r="CN143" s="0" t="str">
        <f aca="false">CONCATENATE($CC143,$CE$6)</f>
        <v>36923Rho</v>
      </c>
      <c r="CO143" s="0" t="str">
        <f aca="false">CONCATENATE($CC143,$CF$6)</f>
        <v>36923Drift</v>
      </c>
      <c r="CP143" s="0" t="str">
        <f aca="false">CONCATENATE($CC143,$CG$6)</f>
        <v>36923Vega</v>
      </c>
      <c r="CQ143" s="0" t="str">
        <f aca="false">CONCATENATE($CC143,$CH$6)</f>
        <v>36923Theta</v>
      </c>
    </row>
    <row r="144" customFormat="false" ht="12" hidden="false" customHeight="true" outlineLevel="0" collapsed="false">
      <c r="A144" s="265" t="s">
        <v>198</v>
      </c>
      <c r="B144" s="0" t="s">
        <v>192</v>
      </c>
      <c r="C144" s="0" t="s">
        <v>251</v>
      </c>
      <c r="D144" s="7" t="s">
        <v>153</v>
      </c>
      <c r="E144" s="0" t="s">
        <v>131</v>
      </c>
      <c r="F144" s="0" t="s">
        <v>136</v>
      </c>
      <c r="G144" s="92" t="n">
        <v>36892</v>
      </c>
      <c r="H144" s="248" t="n">
        <v>-1000000</v>
      </c>
      <c r="I144" s="0" t="n">
        <v>0</v>
      </c>
      <c r="J144" s="124" t="n">
        <f aca="false">VLOOKUP(G144,NGPrices,2,FALSE())</f>
        <v>4.744</v>
      </c>
      <c r="K144" s="125" t="n">
        <f aca="false">HLOOKUP(D144,Prices,VLOOKUP(G144,move_down,2,FALSE()),FALSE())+VLOOKUP(G144,CHANGE,HLOOKUP(D144,CHANGE,2,FALSE()),FALSE())</f>
        <v>0.03</v>
      </c>
      <c r="L144" s="124" t="n">
        <f aca="false">K144+J144</f>
        <v>4.774</v>
      </c>
      <c r="M144" s="126" t="n">
        <f aca="false">VLOOKUP(G144,NGPrices,4,FALSE())</f>
        <v>0.068374831148491</v>
      </c>
      <c r="N144" s="7" t="n">
        <f aca="false">VLOOKUP(G144,NGPrices,3,FALSE())</f>
        <v>0.605</v>
      </c>
      <c r="O144" s="7" t="n">
        <f aca="false">HLOOKUP(D144,VOLS,VLOOKUP(G144,move_down,2,FALSE()),FALSE())</f>
        <v>0.635</v>
      </c>
      <c r="P144" s="249" t="n">
        <f aca="false">HLOOKUP(D144,Correllate,VLOOKUP(G144,CorMove,2,FALSE()),FALSE())</f>
        <v>0.9975</v>
      </c>
      <c r="Q144" s="92" t="n">
        <f aca="false">WORKDAY(G144,-2)</f>
        <v>36888</v>
      </c>
      <c r="R144" s="7" t="n">
        <f aca="false">IF(F144="P",0,1)</f>
        <v>1</v>
      </c>
      <c r="S144" s="130" t="e">
        <f aca="false">xSPRDOPT($L144,$J144,$I144,$M144,$O144,$N144,$P144,$Q144-$C$3,$R144,0)</f>
        <v>#NAME?</v>
      </c>
      <c r="T144" s="250" t="e">
        <f aca="false">xSPRDOPT($L144,$J144,$I144,$M144,$O144,$N144,$P144,$Q144-$C$3,$R144,1)*H144</f>
        <v>#NAME?</v>
      </c>
      <c r="U144" s="43" t="e">
        <f aca="false">S144*H144</f>
        <v>#NAME?</v>
      </c>
      <c r="V144" s="250" t="e">
        <f aca="false">xSPRDOPT($L144,$J144,$I144,$M144,$O144,$N144,$P144,$Q144-$C$3,$R144,2)*H144</f>
        <v>#NAME?</v>
      </c>
      <c r="W144" s="250" t="e">
        <f aca="false">+V144+T144</f>
        <v>#NAME?</v>
      </c>
      <c r="X144" s="2" t="str">
        <f aca="false">CONCATENATE(G144,D144)</f>
        <v>36892IF-NNG/VENT</v>
      </c>
      <c r="Y144" s="251" t="n">
        <f aca="false">H144/10000</f>
        <v>-100</v>
      </c>
      <c r="Z144" s="226" t="e">
        <f aca="false">T144/H144</f>
        <v>#NAME?</v>
      </c>
      <c r="AA144" s="226" t="e">
        <f aca="false">xSPRDOPT($L144,$J144,$I144,$M144,$O144,$N144,$P144,$Q144-$C$3,$R144,3)</f>
        <v>#NAME?</v>
      </c>
      <c r="AB144" s="226" t="e">
        <f aca="false">((xSPRDOPT($L144+AB$5,$J144,$I144,$M144,$O144,$N144,$P144,$Q144-$C$3,$R144,3)*$H144)/10000)/100</f>
        <v>#NAME?</v>
      </c>
      <c r="AC144" s="226" t="e">
        <f aca="false">((xSPRDOPT($L144+$AB$5,$J144,$I144,$M144,$O144,$N144,$P144,$Q144-$C$3,$R144,7)*$H144)/100)</f>
        <v>#NAME?</v>
      </c>
      <c r="AD144" s="226" t="e">
        <f aca="false">(xSPRDOPT($L144+$AB$5,$J144,$I144,$M144,$O144,$N144,$P144,$Q144-$C$3,$R144,9)/365)*$H144</f>
        <v>#NAME?</v>
      </c>
      <c r="AE144" s="0" t="e">
        <f aca="false">CD144</f>
        <v>#NAME?</v>
      </c>
      <c r="AF144" s="226" t="e">
        <f aca="false">((O144/N144)*AH144)+AG144</f>
        <v>#NAME?</v>
      </c>
      <c r="AG144" s="226" t="e">
        <f aca="false">((xSPRDOPT($L144,$J144,$I144,$M144,$O144,$N144,$P144,$Q144-$C$3,$R144,6)*$H144)/100)</f>
        <v>#NAME?</v>
      </c>
      <c r="AH144" s="226" t="e">
        <f aca="false">((xSPRDOPT($L144,$J144,$I144,$M144,$O144,$N144,$P144,$Q144-$C$3,$R144,5)*$H144)/100)</f>
        <v>#NAME?</v>
      </c>
      <c r="AI144" s="226" t="e">
        <f aca="false">(((xSPRDOPT($L144,$J144,$I144,$M144,$O144,$N144,$P144,$Q144-$C$3,$R144,4)*$H144)/10000)/100)-AB144</f>
        <v>#NAME?</v>
      </c>
      <c r="AJ144" s="226"/>
      <c r="AK144" s="226"/>
      <c r="AL144" s="226"/>
      <c r="AM144" s="252"/>
      <c r="AN144" s="143" t="n">
        <f aca="false">EOMONTH(AN143,0)+1</f>
        <v>40909</v>
      </c>
      <c r="AO144" s="134" t="n">
        <f aca="false">SUMIF($X:$X,CONCATENATE($AN144,AO$6),$T:$T)/10000</f>
        <v>0</v>
      </c>
      <c r="AP144" s="134" t="n">
        <f aca="false">SUMIF($X:$X,CONCATENATE($AN144,AP$6),$T:$T)/10000</f>
        <v>0</v>
      </c>
      <c r="AQ144" s="134" t="n">
        <f aca="false">SUMIF($X:$X,CONCATENATE($AN144,AQ$6),$T:$T)/10000</f>
        <v>0</v>
      </c>
      <c r="AR144" s="134" t="n">
        <f aca="false">SUMIF($X:$X,CONCATENATE($AN144,AR$6),$T:$T)/10000</f>
        <v>0</v>
      </c>
      <c r="AS144" s="134" t="n">
        <f aca="false">SUMIF($X:$X,CONCATENATE($AN144,AS$6),$T:$T)/10000</f>
        <v>0</v>
      </c>
      <c r="AT144" s="134" t="n">
        <f aca="false">SUMIF($X:$X,CONCATENATE($AN144,AT$6),$T:$T)/10000</f>
        <v>0</v>
      </c>
      <c r="AU144" s="134" t="n">
        <f aca="false">SUMIF($X:$X,CONCATENATE($AN144,AU$6),$T:$T)/10000</f>
        <v>0</v>
      </c>
      <c r="AV144" s="134" t="n">
        <f aca="false">SUMIF($X:$X,CONCATENATE($AN144,AV$6),$T:$T)/10000</f>
        <v>0</v>
      </c>
      <c r="AW144" s="134" t="n">
        <f aca="false">SUMIF($X:$X,CONCATENATE($AN144,AW$6),$T:$T)/10000</f>
        <v>0</v>
      </c>
      <c r="AX144" s="134" t="n">
        <f aca="false">SUMIF($X:$X,CONCATENATE($AN144,AX$6),$T:$T)/10000</f>
        <v>0</v>
      </c>
      <c r="AY144" s="134" t="n">
        <f aca="false">SUMIF($X:$X,CONCATENATE($AN144,AY$6),$T:$T)/10000</f>
        <v>0</v>
      </c>
      <c r="AZ144" s="134" t="n">
        <f aca="false">SUMIF($X:$X,CONCATENATE($AN144,AZ$6),$T:$T)/10000</f>
        <v>0</v>
      </c>
      <c r="BA144" s="135" t="n">
        <f aca="false">SUMIF($X:$X,CONCATENATE($AN144,BA$6),$T:$T)/10000</f>
        <v>0</v>
      </c>
      <c r="BB144" s="143" t="n">
        <f aca="false">EOMONTH(BB143,0)+1</f>
        <v>40909</v>
      </c>
      <c r="BC144" s="135" t="n">
        <f aca="false">SUM(AO144:BA144)</f>
        <v>0</v>
      </c>
      <c r="BE144" s="143" t="n">
        <f aca="false">EOMONTH(BE143,0)+1</f>
        <v>40909</v>
      </c>
      <c r="BF144" s="134" t="n">
        <f aca="false">SUMIF($X:$X,CONCATENATE($AN144,BF$6),$W:$W)</f>
        <v>0</v>
      </c>
      <c r="BG144" s="134" t="n">
        <f aca="false">SUMIF($X:$X,CONCATENATE($AN144,BG$6),$W:$W)</f>
        <v>0</v>
      </c>
      <c r="BH144" s="134" t="n">
        <f aca="false">SUMIF($X:$X,CONCATENATE($AN144,BH$6),$W:$W)</f>
        <v>0</v>
      </c>
      <c r="BI144" s="134" t="n">
        <f aca="false">SUMIF($X:$X,CONCATENATE($AN144,BI$6),$W:$W)</f>
        <v>0</v>
      </c>
      <c r="BJ144" s="134" t="n">
        <f aca="false">SUMIF($X:$X,CONCATENATE($AN144,BJ$6),$W:$W)</f>
        <v>0</v>
      </c>
      <c r="BK144" s="134" t="n">
        <f aca="false">SUMIF($X:$X,CONCATENATE($AN144,BK$6),$W:$W)</f>
        <v>0</v>
      </c>
      <c r="BL144" s="134" t="n">
        <f aca="false">SUMIF($X:$X,CONCATENATE($AN144,BL$6),$W:$W)</f>
        <v>0</v>
      </c>
      <c r="BM144" s="134" t="n">
        <f aca="false">SUMIF($X:$X,CONCATENATE($AN144,BM$6),$W:$W)</f>
        <v>0</v>
      </c>
      <c r="BN144" s="134" t="n">
        <f aca="false">SUMIF($X:$X,CONCATENATE($AN144,BN$6),$W:$W)</f>
        <v>0</v>
      </c>
      <c r="BO144" s="134" t="n">
        <f aca="false">SUMIF($X:$X,CONCATENATE($AN144,BO$6),$W:$W)</f>
        <v>0</v>
      </c>
      <c r="BP144" s="134" t="n">
        <f aca="false">SUMIF($X:$X,CONCATENATE($AN144,BP$6),$W:$W)</f>
        <v>0</v>
      </c>
      <c r="BQ144" s="134" t="n">
        <f aca="false">SUMIF($X:$X,CONCATENATE($AN144,BQ$6),$W:$W)</f>
        <v>0</v>
      </c>
      <c r="BR144" s="135" t="n">
        <f aca="false">SUMIF($X:$X,CONCATENATE($AN144,BR$6),$W:$W)</f>
        <v>0</v>
      </c>
      <c r="BS144" s="143" t="n">
        <f aca="false">EOMONTH(BS143,0)+1</f>
        <v>40909</v>
      </c>
      <c r="BT144" s="135" t="n">
        <f aca="false">SUM(BF144:BR144)</f>
        <v>0</v>
      </c>
      <c r="CC144" s="182" t="n">
        <f aca="false">G144</f>
        <v>36892</v>
      </c>
      <c r="CD144" s="253" t="e">
        <f aca="false">xSPRDOPT((VLOOKUP(G144,NGPrices,2,FALSE())+HLOOKUP(D144,Prices,VLOOKUP(G144,move_down,2,FALSE()),FALSE())),VLOOKUP(G144,NGPrices,2,FALSE()),I144,VLOOKUP(G144,NGPREVPRICES,4,FALSE()),HLOOKUP(D144,PREVVOLS,VLOOKUP(G144,MOVE_DOWN2,2,FALSE()),FALSE()),VLOOKUP(G144,NGPREVPRICES,3,FALSE()),HLOOKUP(D144,Correllate,VLOOKUP(G144,CorMove,2,FALSE()),FALSE()),Q144-$CD$3,R144,$CD$5)*H144-CJ144</f>
        <v>#NAME?</v>
      </c>
      <c r="CE144" s="253" t="e">
        <f aca="false">xSPRDOPT((VLOOKUP(G144,NGPREVPRICES,2,FALSE())+HLOOKUP(D144,PREVCURVES,VLOOKUP(G144,MOVE_DOWN2,2,FALSE()),FALSE())),VLOOKUP(G144,NGPREVPRICES,2,FALSE()),CK144,VLOOKUP(G144,NGPrices,4,FALSE()),HLOOKUP(D144,PREVVOLS,VLOOKUP(G144,MOVE_DOWN2,2,FALSE()),FALSE()),VLOOKUP(G144,NGPREVPRICES,3,FALSE()),HLOOKUP(D144,Correllate,VLOOKUP(G144,CorMove,2,FALSE()),FALSE()),Q144-$CD$3,R144,$CJ$5)*H144-CJ144</f>
        <v>#NAME?</v>
      </c>
      <c r="CF144" s="132" t="e">
        <f aca="false">(CJ144/VLOOKUP(CC144,discount,3,FALSE()))-(CJ144/VLOOKUP(CC144,discount,2,FALSE()))</f>
        <v>#NAME?</v>
      </c>
      <c r="CG144" s="253" t="e">
        <f aca="false">xSPRDOPT((VLOOKUP(G144,NGPREVPRICES,2,FALSE())+HLOOKUP(D144,PREVCURVES,VLOOKUP(G144,MOVE_DOWN2,2,FALSE()),FALSE())),VLOOKUP(G144,NGPREVPRICES,2,FALSE()),CK144,VLOOKUP(G144,NGPREVPRICES,4,FALSE()),HLOOKUP(D144,VOLS,VLOOKUP(G144,move_down,2,FALSE()),FALSE()),VLOOKUP(G144,NGPrices,3,FALSE()),HLOOKUP(D144,Correllate,VLOOKUP(G144,CorMove,2,FALSE()),FALSE()),Q144-$CD$3,R144,$CJ$5)*H144-CJ144</f>
        <v>#NAME?</v>
      </c>
      <c r="CH144" s="253" t="e">
        <f aca="false">xSPRDOPT((VLOOKUP(G144,NGPREVPRICES,2,FALSE())+HLOOKUP(D144,PREVCURVES,VLOOKUP(G144,MOVE_DOWN2,2,FALSE()),FALSE())),VLOOKUP(G144,NGPREVPRICES,2,FALSE()),CK144,VLOOKUP(G144,NGPREVPRICES,4,FALSE()),HLOOKUP(D144,PREVVOLS,VLOOKUP(G144,MOVE_DOWN2,2,FALSE()),FALSE()),VLOOKUP(G144,NGPREVPRICES,3,FALSE()),HLOOKUP(D144,Correllate,VLOOKUP(G144,CorMove,2,FALSE()),FALSE()),Q144-$C$3,R144,$CJ$5)*H144-CJ144</f>
        <v>#NAME?</v>
      </c>
      <c r="CI144" s="253" t="e">
        <f aca="false">SUM(CD144:CH144)</f>
        <v>#NAME?</v>
      </c>
      <c r="CJ144" s="253" t="e">
        <f aca="false">xSPRDOPT((VLOOKUP(G144,NGPREVPRICES,2,FALSE())+HLOOKUP(D144,PREVCURVES,VLOOKUP(G144,MOVE_DOWN2,2,FALSE()),FALSE())),VLOOKUP(G144,NGPREVPRICES,2,FALSE()),CK144,VLOOKUP(G144,NGPREVPRICES,4,FALSE()),HLOOKUP(D144,PREVVOLS,VLOOKUP(G144,MOVE_DOWN2,2,FALSE()),FALSE()),VLOOKUP(G144,NGPREVPRICES,3,FALSE()),HLOOKUP(D144,Correllate,VLOOKUP(G144,CorMove,2,FALSE()),FALSE()),Q144-$CD$3,R144,$CJ$5)*H144</f>
        <v>#NAME?</v>
      </c>
      <c r="CK144" s="254" t="n">
        <f aca="false">I144</f>
        <v>0</v>
      </c>
      <c r="CL144" s="253"/>
      <c r="CM144" s="0" t="str">
        <f aca="false">CONCATENATE(CC144,$CD$6)</f>
        <v>36892Curve Shift/Gamma</v>
      </c>
      <c r="CN144" s="0" t="str">
        <f aca="false">CONCATENATE($CC144,$CE$6)</f>
        <v>36892Rho</v>
      </c>
      <c r="CO144" s="0" t="str">
        <f aca="false">CONCATENATE($CC144,$CF$6)</f>
        <v>36892Drift</v>
      </c>
      <c r="CP144" s="0" t="str">
        <f aca="false">CONCATENATE($CC144,$CG$6)</f>
        <v>36892Vega</v>
      </c>
      <c r="CQ144" s="0" t="str">
        <f aca="false">CONCATENATE($CC144,$CH$6)</f>
        <v>36892Theta</v>
      </c>
    </row>
    <row r="145" customFormat="false" ht="12" hidden="false" customHeight="true" outlineLevel="0" collapsed="false">
      <c r="A145" s="265" t="s">
        <v>198</v>
      </c>
      <c r="B145" s="0" t="s">
        <v>192</v>
      </c>
      <c r="C145" s="0" t="s">
        <v>251</v>
      </c>
      <c r="D145" s="7" t="s">
        <v>153</v>
      </c>
      <c r="E145" s="0" t="s">
        <v>131</v>
      </c>
      <c r="F145" s="0" t="s">
        <v>136</v>
      </c>
      <c r="G145" s="92" t="n">
        <v>36861</v>
      </c>
      <c r="H145" s="248" t="n">
        <v>-1000000</v>
      </c>
      <c r="I145" s="0" t="n">
        <v>0</v>
      </c>
      <c r="J145" s="124" t="n">
        <f aca="false">VLOOKUP(G145,NGPrices,2,FALSE())</f>
        <v>4.8</v>
      </c>
      <c r="K145" s="125" t="n">
        <f aca="false">HLOOKUP(D145,Prices,VLOOKUP(G145,move_down,2,FALSE()),FALSE())+VLOOKUP(G145,CHANGE,HLOOKUP(D145,CHANGE,2,FALSE()),FALSE())</f>
        <v>0.0175</v>
      </c>
      <c r="L145" s="124" t="n">
        <f aca="false">K145+J145</f>
        <v>4.8175</v>
      </c>
      <c r="M145" s="126" t="n">
        <f aca="false">VLOOKUP(G145,NGPrices,4,FALSE())</f>
        <v>0.068314027999354</v>
      </c>
      <c r="N145" s="7" t="n">
        <f aca="false">VLOOKUP(G145,NGPrices,3,FALSE())</f>
        <v>0.6</v>
      </c>
      <c r="O145" s="7" t="n">
        <f aca="false">HLOOKUP(D145,VOLS,VLOOKUP(G145,move_down,2,FALSE()),FALSE())</f>
        <v>0.63</v>
      </c>
      <c r="P145" s="249" t="n">
        <f aca="false">HLOOKUP(D145,Correllate,VLOOKUP(G145,CorMove,2,FALSE()),FALSE())</f>
        <v>0.9975</v>
      </c>
      <c r="Q145" s="92" t="n">
        <f aca="false">WORKDAY(G145,-2)</f>
        <v>36859</v>
      </c>
      <c r="R145" s="7" t="n">
        <f aca="false">IF(F145="P",0,1)</f>
        <v>1</v>
      </c>
      <c r="S145" s="130" t="e">
        <f aca="false">xSPRDOPT($L145,$J145,$I145,$M145,$O145,$N145,$P145,$Q145-$C$3,$R145,0)</f>
        <v>#NAME?</v>
      </c>
      <c r="T145" s="250" t="e">
        <f aca="false">xSPRDOPT($L145,$J145,$I145,$M145,$O145,$N145,$P145,$Q145-$C$3,$R145,1)*H145</f>
        <v>#NAME?</v>
      </c>
      <c r="U145" s="43" t="e">
        <f aca="false">S145*H145</f>
        <v>#NAME?</v>
      </c>
      <c r="V145" s="250" t="e">
        <f aca="false">xSPRDOPT($L145,$J145,$I145,$M145,$O145,$N145,$P145,$Q145-$C$3,$R145,2)*H145</f>
        <v>#NAME?</v>
      </c>
      <c r="W145" s="250" t="e">
        <f aca="false">+V145+T145</f>
        <v>#NAME?</v>
      </c>
      <c r="X145" s="2" t="str">
        <f aca="false">CONCATENATE(G145,D145)</f>
        <v>36861IF-NNG/VENT</v>
      </c>
      <c r="Y145" s="251" t="n">
        <f aca="false">H145/10000</f>
        <v>-100</v>
      </c>
      <c r="Z145" s="226" t="e">
        <f aca="false">T145/H145</f>
        <v>#NAME?</v>
      </c>
      <c r="AA145" s="226" t="e">
        <f aca="false">xSPRDOPT($L145,$J145,$I145,$M145,$O145,$N145,$P145,$Q145-$C$3,$R145,3)</f>
        <v>#NAME?</v>
      </c>
      <c r="AB145" s="226" t="e">
        <f aca="false">((xSPRDOPT($L145+AB$5,$J145,$I145,$M145,$O145,$N145,$P145,$Q145-$C$3,$R145,3)*$H145)/10000)/100</f>
        <v>#NAME?</v>
      </c>
      <c r="AC145" s="226" t="e">
        <f aca="false">((xSPRDOPT($L145+$AB$5,$J145,$I145,$M145,$O145,$N145,$P145,$Q145-$C$3,$R145,7)*$H145)/100)</f>
        <v>#NAME?</v>
      </c>
      <c r="AD145" s="226" t="e">
        <f aca="false">(xSPRDOPT($L145+$AB$5,$J145,$I145,$M145,$O145,$N145,$P145,$Q145-$C$3,$R145,9)/365)*$H145</f>
        <v>#NAME?</v>
      </c>
      <c r="AE145" s="0" t="e">
        <f aca="false">CD145</f>
        <v>#NAME?</v>
      </c>
      <c r="AF145" s="226" t="e">
        <f aca="false">((O145/N145)*AH145)+AG145</f>
        <v>#NAME?</v>
      </c>
      <c r="AG145" s="226" t="e">
        <f aca="false">((xSPRDOPT($L145,$J145,$I145,$M145,$O145,$N145,$P145,$Q145-$C$3,$R145,6)*$H145)/100)</f>
        <v>#NAME?</v>
      </c>
      <c r="AH145" s="226" t="e">
        <f aca="false">((xSPRDOPT($L145,$J145,$I145,$M145,$O145,$N145,$P145,$Q145-$C$3,$R145,5)*$H145)/100)</f>
        <v>#NAME?</v>
      </c>
      <c r="AI145" s="226" t="e">
        <f aca="false">(((xSPRDOPT($L145,$J145,$I145,$M145,$O145,$N145,$P145,$Q145-$C$3,$R145,4)*$H145)/10000)/100)-AB145</f>
        <v>#NAME?</v>
      </c>
      <c r="AJ145" s="226"/>
      <c r="AK145" s="226"/>
      <c r="AL145" s="226"/>
      <c r="AM145" s="252"/>
      <c r="AN145" s="143" t="n">
        <f aca="false">EOMONTH(AN144,0)+1</f>
        <v>40940</v>
      </c>
      <c r="AO145" s="134" t="n">
        <f aca="false">SUMIF($X:$X,CONCATENATE($AN145,AO$6),$T:$T)/10000</f>
        <v>0</v>
      </c>
      <c r="AP145" s="134" t="n">
        <f aca="false">SUMIF($X:$X,CONCATENATE($AN145,AP$6),$T:$T)/10000</f>
        <v>0</v>
      </c>
      <c r="AQ145" s="134" t="n">
        <f aca="false">SUMIF($X:$X,CONCATENATE($AN145,AQ$6),$T:$T)/10000</f>
        <v>0</v>
      </c>
      <c r="AR145" s="134" t="n">
        <f aca="false">SUMIF($X:$X,CONCATENATE($AN145,AR$6),$T:$T)/10000</f>
        <v>0</v>
      </c>
      <c r="AS145" s="134" t="n">
        <f aca="false">SUMIF($X:$X,CONCATENATE($AN145,AS$6),$T:$T)/10000</f>
        <v>0</v>
      </c>
      <c r="AT145" s="134" t="n">
        <f aca="false">SUMIF($X:$X,CONCATENATE($AN145,AT$6),$T:$T)/10000</f>
        <v>0</v>
      </c>
      <c r="AU145" s="134" t="n">
        <f aca="false">SUMIF($X:$X,CONCATENATE($AN145,AU$6),$T:$T)/10000</f>
        <v>0</v>
      </c>
      <c r="AV145" s="134" t="n">
        <f aca="false">SUMIF($X:$X,CONCATENATE($AN145,AV$6),$T:$T)/10000</f>
        <v>0</v>
      </c>
      <c r="AW145" s="134" t="n">
        <f aca="false">SUMIF($X:$X,CONCATENATE($AN145,AW$6),$T:$T)/10000</f>
        <v>0</v>
      </c>
      <c r="AX145" s="134" t="n">
        <f aca="false">SUMIF($X:$X,CONCATENATE($AN145,AX$6),$T:$T)/10000</f>
        <v>0</v>
      </c>
      <c r="AY145" s="134" t="n">
        <f aca="false">SUMIF($X:$X,CONCATENATE($AN145,AY$6),$T:$T)/10000</f>
        <v>0</v>
      </c>
      <c r="AZ145" s="134" t="n">
        <f aca="false">SUMIF($X:$X,CONCATENATE($AN145,AZ$6),$T:$T)/10000</f>
        <v>0</v>
      </c>
      <c r="BA145" s="135" t="n">
        <f aca="false">SUMIF($X:$X,CONCATENATE($AN145,BA$6),$T:$T)/10000</f>
        <v>0</v>
      </c>
      <c r="BB145" s="143" t="n">
        <f aca="false">EOMONTH(BB144,0)+1</f>
        <v>40940</v>
      </c>
      <c r="BC145" s="135" t="n">
        <f aca="false">SUM(AO145:BA145)</f>
        <v>0</v>
      </c>
      <c r="BE145" s="143" t="n">
        <f aca="false">EOMONTH(BE144,0)+1</f>
        <v>40940</v>
      </c>
      <c r="BF145" s="134" t="n">
        <f aca="false">SUMIF($X:$X,CONCATENATE($AN145,BF$6),$W:$W)</f>
        <v>0</v>
      </c>
      <c r="BG145" s="134" t="n">
        <f aca="false">SUMIF($X:$X,CONCATENATE($AN145,BG$6),$W:$W)</f>
        <v>0</v>
      </c>
      <c r="BH145" s="134" t="n">
        <f aca="false">SUMIF($X:$X,CONCATENATE($AN145,BH$6),$W:$W)</f>
        <v>0</v>
      </c>
      <c r="BI145" s="134" t="n">
        <f aca="false">SUMIF($X:$X,CONCATENATE($AN145,BI$6),$W:$W)</f>
        <v>0</v>
      </c>
      <c r="BJ145" s="134" t="n">
        <f aca="false">SUMIF($X:$X,CONCATENATE($AN145,BJ$6),$W:$W)</f>
        <v>0</v>
      </c>
      <c r="BK145" s="134" t="n">
        <f aca="false">SUMIF($X:$X,CONCATENATE($AN145,BK$6),$W:$W)</f>
        <v>0</v>
      </c>
      <c r="BL145" s="134" t="n">
        <f aca="false">SUMIF($X:$X,CONCATENATE($AN145,BL$6),$W:$W)</f>
        <v>0</v>
      </c>
      <c r="BM145" s="134" t="n">
        <f aca="false">SUMIF($X:$X,CONCATENATE($AN145,BM$6),$W:$W)</f>
        <v>0</v>
      </c>
      <c r="BN145" s="134" t="n">
        <f aca="false">SUMIF($X:$X,CONCATENATE($AN145,BN$6),$W:$W)</f>
        <v>0</v>
      </c>
      <c r="BO145" s="134" t="n">
        <f aca="false">SUMIF($X:$X,CONCATENATE($AN145,BO$6),$W:$W)</f>
        <v>0</v>
      </c>
      <c r="BP145" s="134" t="n">
        <f aca="false">SUMIF($X:$X,CONCATENATE($AN145,BP$6),$W:$W)</f>
        <v>0</v>
      </c>
      <c r="BQ145" s="134" t="n">
        <f aca="false">SUMIF($X:$X,CONCATENATE($AN145,BQ$6),$W:$W)</f>
        <v>0</v>
      </c>
      <c r="BR145" s="135" t="n">
        <f aca="false">SUMIF($X:$X,CONCATENATE($AN145,BR$6),$W:$W)</f>
        <v>0</v>
      </c>
      <c r="BS145" s="143" t="n">
        <f aca="false">EOMONTH(BS144,0)+1</f>
        <v>40940</v>
      </c>
      <c r="BT145" s="135" t="n">
        <f aca="false">SUM(BF145:BR145)</f>
        <v>0</v>
      </c>
      <c r="CC145" s="182" t="n">
        <f aca="false">G145</f>
        <v>36861</v>
      </c>
      <c r="CD145" s="253" t="e">
        <f aca="false">xSPRDOPT((VLOOKUP(G145,NGPrices,2,FALSE())+HLOOKUP(D145,Prices,VLOOKUP(G145,move_down,2,FALSE()),FALSE())),VLOOKUP(G145,NGPrices,2,FALSE()),I145,VLOOKUP(G145,NGPREVPRICES,4,FALSE()),HLOOKUP(D145,PREVVOLS,VLOOKUP(G145,MOVE_DOWN2,2,FALSE()),FALSE()),VLOOKUP(G145,NGPREVPRICES,3,FALSE()),HLOOKUP(D145,Correllate,VLOOKUP(G145,CorMove,2,FALSE()),FALSE()),Q145-$CD$3,R145,$CD$5)*H145-CJ145</f>
        <v>#NAME?</v>
      </c>
      <c r="CE145" s="253" t="e">
        <f aca="false">xSPRDOPT((VLOOKUP(G145,NGPREVPRICES,2,FALSE())+HLOOKUP(D145,PREVCURVES,VLOOKUP(G145,MOVE_DOWN2,2,FALSE()),FALSE())),VLOOKUP(G145,NGPREVPRICES,2,FALSE()),CK145,VLOOKUP(G145,NGPrices,4,FALSE()),HLOOKUP(D145,PREVVOLS,VLOOKUP(G145,MOVE_DOWN2,2,FALSE()),FALSE()),VLOOKUP(G145,NGPREVPRICES,3,FALSE()),HLOOKUP(D145,Correllate,VLOOKUP(G145,CorMove,2,FALSE()),FALSE()),Q145-$CD$3,R145,$CJ$5)*H145-CJ145</f>
        <v>#NAME?</v>
      </c>
      <c r="CF145" s="132" t="e">
        <f aca="false">(CJ145/VLOOKUP(CC145,discount,3,FALSE()))-(CJ145/VLOOKUP(CC145,discount,2,FALSE()))</f>
        <v>#NAME?</v>
      </c>
      <c r="CG145" s="253" t="e">
        <f aca="false">xSPRDOPT((VLOOKUP(G145,NGPREVPRICES,2,FALSE())+HLOOKUP(D145,PREVCURVES,VLOOKUP(G145,MOVE_DOWN2,2,FALSE()),FALSE())),VLOOKUP(G145,NGPREVPRICES,2,FALSE()),CK145,VLOOKUP(G145,NGPREVPRICES,4,FALSE()),HLOOKUP(D145,VOLS,VLOOKUP(G145,move_down,2,FALSE()),FALSE()),VLOOKUP(G145,NGPrices,3,FALSE()),HLOOKUP(D145,Correllate,VLOOKUP(G145,CorMove,2,FALSE()),FALSE()),Q145-$CD$3,R145,$CJ$5)*H145-CJ145</f>
        <v>#NAME?</v>
      </c>
      <c r="CH145" s="253" t="e">
        <f aca="false">xSPRDOPT((VLOOKUP(G145,NGPREVPRICES,2,FALSE())+HLOOKUP(D145,PREVCURVES,VLOOKUP(G145,MOVE_DOWN2,2,FALSE()),FALSE())),VLOOKUP(G145,NGPREVPRICES,2,FALSE()),CK145,VLOOKUP(G145,NGPREVPRICES,4,FALSE()),HLOOKUP(D145,PREVVOLS,VLOOKUP(G145,MOVE_DOWN2,2,FALSE()),FALSE()),VLOOKUP(G145,NGPREVPRICES,3,FALSE()),HLOOKUP(D145,Correllate,VLOOKUP(G145,CorMove,2,FALSE()),FALSE()),Q145-$C$3,R145,$CJ$5)*H145-CJ145</f>
        <v>#NAME?</v>
      </c>
      <c r="CI145" s="253" t="e">
        <f aca="false">SUM(CD145:CH145)</f>
        <v>#NAME?</v>
      </c>
      <c r="CJ145" s="253" t="e">
        <f aca="false">xSPRDOPT((VLOOKUP(G145,NGPREVPRICES,2,FALSE())+HLOOKUP(D145,PREVCURVES,VLOOKUP(G145,MOVE_DOWN2,2,FALSE()),FALSE())),VLOOKUP(G145,NGPREVPRICES,2,FALSE()),CK145,VLOOKUP(G145,NGPREVPRICES,4,FALSE()),HLOOKUP(D145,PREVVOLS,VLOOKUP(G145,MOVE_DOWN2,2,FALSE()),FALSE()),VLOOKUP(G145,NGPREVPRICES,3,FALSE()),HLOOKUP(D145,Correllate,VLOOKUP(G145,CorMove,2,FALSE()),FALSE()),Q145-$CD$3,R145,$CJ$5)*H145</f>
        <v>#NAME?</v>
      </c>
      <c r="CK145" s="254" t="n">
        <f aca="false">I145</f>
        <v>0</v>
      </c>
      <c r="CL145" s="253"/>
      <c r="CM145" s="0" t="str">
        <f aca="false">CONCATENATE(CC145,$CD$6)</f>
        <v>36861Curve Shift/Gamma</v>
      </c>
      <c r="CN145" s="0" t="str">
        <f aca="false">CONCATENATE($CC145,$CE$6)</f>
        <v>36861Rho</v>
      </c>
      <c r="CO145" s="0" t="str">
        <f aca="false">CONCATENATE($CC145,$CF$6)</f>
        <v>36861Drift</v>
      </c>
      <c r="CP145" s="0" t="str">
        <f aca="false">CONCATENATE($CC145,$CG$6)</f>
        <v>36861Vega</v>
      </c>
      <c r="CQ145" s="0" t="str">
        <f aca="false">CONCATENATE($CC145,$CH$6)</f>
        <v>36861Theta</v>
      </c>
    </row>
    <row r="146" customFormat="false" ht="12" hidden="false" customHeight="true" outlineLevel="0" collapsed="false">
      <c r="A146" s="265" t="s">
        <v>198</v>
      </c>
      <c r="B146" s="0" t="s">
        <v>192</v>
      </c>
      <c r="C146" s="0" t="s">
        <v>251</v>
      </c>
      <c r="D146" s="7" t="s">
        <v>153</v>
      </c>
      <c r="E146" s="0" t="s">
        <v>131</v>
      </c>
      <c r="F146" s="0" t="s">
        <v>136</v>
      </c>
      <c r="G146" s="92" t="n">
        <v>36831</v>
      </c>
      <c r="H146" s="248" t="n">
        <v>-1000000</v>
      </c>
      <c r="I146" s="0" t="n">
        <v>0</v>
      </c>
      <c r="J146" s="124" t="n">
        <f aca="false">VLOOKUP(G146,NGPrices,2,FALSE())</f>
        <v>4.736</v>
      </c>
      <c r="K146" s="125" t="n">
        <f aca="false">HLOOKUP(D146,Prices,VLOOKUP(G146,move_down,2,FALSE()),FALSE())+VLOOKUP(G146,CHANGE,HLOOKUP(D146,CHANGE,2,FALSE()),FALSE())</f>
        <v>-0.0025</v>
      </c>
      <c r="L146" s="124" t="n">
        <f aca="false">K146+J146</f>
        <v>4.7335</v>
      </c>
      <c r="M146" s="126" t="n">
        <f aca="false">VLOOKUP(G146,NGPrices,4,FALSE())</f>
        <v>0.06810675983792</v>
      </c>
      <c r="N146" s="7" t="n">
        <f aca="false">VLOOKUP(G146,NGPrices,3,FALSE())</f>
        <v>0.595</v>
      </c>
      <c r="O146" s="7" t="n">
        <f aca="false">HLOOKUP(D146,VOLS,VLOOKUP(G146,move_down,2,FALSE()),FALSE())</f>
        <v>0.625</v>
      </c>
      <c r="P146" s="249" t="n">
        <f aca="false">HLOOKUP(D146,Correllate,VLOOKUP(G146,CorMove,2,FALSE()),FALSE())</f>
        <v>0.9975</v>
      </c>
      <c r="Q146" s="92" t="n">
        <f aca="false">WORKDAY(G146,-2)</f>
        <v>36829</v>
      </c>
      <c r="R146" s="7" t="n">
        <f aca="false">IF(F146="P",0,1)</f>
        <v>1</v>
      </c>
      <c r="S146" s="130" t="e">
        <f aca="false">xSPRDOPT($L146,$J146,$I146,$M146,$O146,$N146,$P146,$Q146-$C$3,$R146,0)</f>
        <v>#NAME?</v>
      </c>
      <c r="T146" s="250" t="e">
        <f aca="false">xSPRDOPT($L146,$J146,$I146,$M146,$O146,$N146,$P146,$Q146-$C$3,$R146,1)*H146</f>
        <v>#NAME?</v>
      </c>
      <c r="U146" s="43" t="e">
        <f aca="false">S146*H146</f>
        <v>#NAME?</v>
      </c>
      <c r="V146" s="250" t="e">
        <f aca="false">xSPRDOPT($L146,$J146,$I146,$M146,$O146,$N146,$P146,$Q146-$C$3,$R146,2)*H146</f>
        <v>#NAME?</v>
      </c>
      <c r="W146" s="250" t="e">
        <f aca="false">+V146+T146</f>
        <v>#NAME?</v>
      </c>
      <c r="X146" s="2" t="str">
        <f aca="false">CONCATENATE(G146,D146)</f>
        <v>36831IF-NNG/VENT</v>
      </c>
      <c r="Y146" s="251" t="n">
        <f aca="false">H146/10000</f>
        <v>-100</v>
      </c>
      <c r="Z146" s="226" t="e">
        <f aca="false">T146/H146</f>
        <v>#NAME?</v>
      </c>
      <c r="AA146" s="226" t="e">
        <f aca="false">xSPRDOPT($L146,$J146,$I146,$M146,$O146,$N146,$P146,$Q146-$C$3,$R146,3)</f>
        <v>#NAME?</v>
      </c>
      <c r="AB146" s="226" t="e">
        <f aca="false">((xSPRDOPT($L146+AB$5,$J146,$I146,$M146,$O146,$N146,$P146,$Q146-$C$3,$R146,3)*$H146)/10000)/100</f>
        <v>#NAME?</v>
      </c>
      <c r="AC146" s="226" t="e">
        <f aca="false">((xSPRDOPT($L146+$AB$5,$J146,$I146,$M146,$O146,$N146,$P146,$Q146-$C$3,$R146,7)*$H146)/100)</f>
        <v>#NAME?</v>
      </c>
      <c r="AD146" s="226" t="e">
        <f aca="false">(xSPRDOPT($L146+$AB$5,$J146,$I146,$M146,$O146,$N146,$P146,$Q146-$C$3,$R146,9)/365)*$H146</f>
        <v>#NAME?</v>
      </c>
      <c r="AE146" s="0" t="e">
        <f aca="false">CD146</f>
        <v>#NAME?</v>
      </c>
      <c r="AF146" s="226" t="e">
        <f aca="false">((O146/N146)*AH146)+AG146</f>
        <v>#NAME?</v>
      </c>
      <c r="AG146" s="226" t="e">
        <f aca="false">((xSPRDOPT($L146,$J146,$I146,$M146,$O146,$N146,$P146,$Q146-$C$3,$R146,6)*$H146)/100)</f>
        <v>#NAME?</v>
      </c>
      <c r="AH146" s="226" t="e">
        <f aca="false">((xSPRDOPT($L146,$J146,$I146,$M146,$O146,$N146,$P146,$Q146-$C$3,$R146,5)*$H146)/100)</f>
        <v>#NAME?</v>
      </c>
      <c r="AI146" s="226" t="e">
        <f aca="false">(((xSPRDOPT($L146,$J146,$I146,$M146,$O146,$N146,$P146,$Q146-$C$3,$R146,4)*$H146)/10000)/100)-AB146</f>
        <v>#NAME?</v>
      </c>
      <c r="AJ146" s="226"/>
      <c r="AK146" s="226"/>
      <c r="AL146" s="226"/>
      <c r="AM146" s="252"/>
      <c r="AN146" s="143" t="n">
        <f aca="false">EOMONTH(AN145,0)+1</f>
        <v>40969</v>
      </c>
      <c r="AO146" s="134" t="n">
        <f aca="false">SUMIF($X:$X,CONCATENATE($AN146,AO$6),$T:$T)/10000</f>
        <v>0</v>
      </c>
      <c r="AP146" s="134" t="n">
        <f aca="false">SUMIF($X:$X,CONCATENATE($AN146,AP$6),$T:$T)/10000</f>
        <v>0</v>
      </c>
      <c r="AQ146" s="134" t="n">
        <f aca="false">SUMIF($X:$X,CONCATENATE($AN146,AQ$6),$T:$T)/10000</f>
        <v>0</v>
      </c>
      <c r="AR146" s="134" t="n">
        <f aca="false">SUMIF($X:$X,CONCATENATE($AN146,AR$6),$T:$T)/10000</f>
        <v>0</v>
      </c>
      <c r="AS146" s="134" t="n">
        <f aca="false">SUMIF($X:$X,CONCATENATE($AN146,AS$6),$T:$T)/10000</f>
        <v>0</v>
      </c>
      <c r="AT146" s="134" t="n">
        <f aca="false">SUMIF($X:$X,CONCATENATE($AN146,AT$6),$T:$T)/10000</f>
        <v>0</v>
      </c>
      <c r="AU146" s="134" t="n">
        <f aca="false">SUMIF($X:$X,CONCATENATE($AN146,AU$6),$T:$T)/10000</f>
        <v>0</v>
      </c>
      <c r="AV146" s="134" t="n">
        <f aca="false">SUMIF($X:$X,CONCATENATE($AN146,AV$6),$T:$T)/10000</f>
        <v>0</v>
      </c>
      <c r="AW146" s="134" t="n">
        <f aca="false">SUMIF($X:$X,CONCATENATE($AN146,AW$6),$T:$T)/10000</f>
        <v>0</v>
      </c>
      <c r="AX146" s="134" t="n">
        <f aca="false">SUMIF($X:$X,CONCATENATE($AN146,AX$6),$T:$T)/10000</f>
        <v>0</v>
      </c>
      <c r="AY146" s="134" t="n">
        <f aca="false">SUMIF($X:$X,CONCATENATE($AN146,AY$6),$T:$T)/10000</f>
        <v>0</v>
      </c>
      <c r="AZ146" s="134" t="n">
        <f aca="false">SUMIF($X:$X,CONCATENATE($AN146,AZ$6),$T:$T)/10000</f>
        <v>0</v>
      </c>
      <c r="BA146" s="135" t="n">
        <f aca="false">SUMIF($X:$X,CONCATENATE($AN146,BA$6),$T:$T)/10000</f>
        <v>0</v>
      </c>
      <c r="BB146" s="143" t="n">
        <f aca="false">EOMONTH(BB145,0)+1</f>
        <v>40969</v>
      </c>
      <c r="BC146" s="135" t="n">
        <f aca="false">SUM(AO146:BA146)</f>
        <v>0</v>
      </c>
      <c r="BE146" s="143" t="n">
        <f aca="false">EOMONTH(BE145,0)+1</f>
        <v>40969</v>
      </c>
      <c r="BF146" s="134" t="n">
        <f aca="false">SUMIF($X:$X,CONCATENATE($AN146,BF$6),$W:$W)</f>
        <v>0</v>
      </c>
      <c r="BG146" s="134" t="n">
        <f aca="false">SUMIF($X:$X,CONCATENATE($AN146,BG$6),$W:$W)</f>
        <v>0</v>
      </c>
      <c r="BH146" s="134" t="n">
        <f aca="false">SUMIF($X:$X,CONCATENATE($AN146,BH$6),$W:$W)</f>
        <v>0</v>
      </c>
      <c r="BI146" s="134" t="n">
        <f aca="false">SUMIF($X:$X,CONCATENATE($AN146,BI$6),$W:$W)</f>
        <v>0</v>
      </c>
      <c r="BJ146" s="134" t="n">
        <f aca="false">SUMIF($X:$X,CONCATENATE($AN146,BJ$6),$W:$W)</f>
        <v>0</v>
      </c>
      <c r="BK146" s="134" t="n">
        <f aca="false">SUMIF($X:$X,CONCATENATE($AN146,BK$6),$W:$W)</f>
        <v>0</v>
      </c>
      <c r="BL146" s="134" t="n">
        <f aca="false">SUMIF($X:$X,CONCATENATE($AN146,BL$6),$W:$W)</f>
        <v>0</v>
      </c>
      <c r="BM146" s="134" t="n">
        <f aca="false">SUMIF($X:$X,CONCATENATE($AN146,BM$6),$W:$W)</f>
        <v>0</v>
      </c>
      <c r="BN146" s="134" t="n">
        <f aca="false">SUMIF($X:$X,CONCATENATE($AN146,BN$6),$W:$W)</f>
        <v>0</v>
      </c>
      <c r="BO146" s="134" t="n">
        <f aca="false">SUMIF($X:$X,CONCATENATE($AN146,BO$6),$W:$W)</f>
        <v>0</v>
      </c>
      <c r="BP146" s="134" t="n">
        <f aca="false">SUMIF($X:$X,CONCATENATE($AN146,BP$6),$W:$W)</f>
        <v>0</v>
      </c>
      <c r="BQ146" s="134" t="n">
        <f aca="false">SUMIF($X:$X,CONCATENATE($AN146,BQ$6),$W:$W)</f>
        <v>0</v>
      </c>
      <c r="BR146" s="135" t="n">
        <f aca="false">SUMIF($X:$X,CONCATENATE($AN146,BR$6),$W:$W)</f>
        <v>0</v>
      </c>
      <c r="BS146" s="143" t="n">
        <f aca="false">EOMONTH(BS145,0)+1</f>
        <v>40969</v>
      </c>
      <c r="BT146" s="135" t="n">
        <f aca="false">SUM(BF146:BR146)</f>
        <v>0</v>
      </c>
      <c r="CC146" s="182" t="n">
        <f aca="false">G146</f>
        <v>36831</v>
      </c>
      <c r="CD146" s="253" t="e">
        <f aca="false">xSPRDOPT((VLOOKUP(G146,NGPrices,2,FALSE())+HLOOKUP(D146,Prices,VLOOKUP(G146,move_down,2,FALSE()),FALSE())),VLOOKUP(G146,NGPrices,2,FALSE()),I146,VLOOKUP(G146,NGPREVPRICES,4,FALSE()),HLOOKUP(D146,PREVVOLS,VLOOKUP(G146,MOVE_DOWN2,2,FALSE()),FALSE()),VLOOKUP(G146,NGPREVPRICES,3,FALSE()),HLOOKUP(D146,Correllate,VLOOKUP(G146,CorMove,2,FALSE()),FALSE()),Q146-$CD$3,R146,$CD$5)*H146-CJ146</f>
        <v>#NAME?</v>
      </c>
      <c r="CE146" s="253" t="e">
        <f aca="false">xSPRDOPT((VLOOKUP(G146,NGPREVPRICES,2,FALSE())+HLOOKUP(D146,PREVCURVES,VLOOKUP(G146,MOVE_DOWN2,2,FALSE()),FALSE())),VLOOKUP(G146,NGPREVPRICES,2,FALSE()),CK146,VLOOKUP(G146,NGPrices,4,FALSE()),HLOOKUP(D146,PREVVOLS,VLOOKUP(G146,MOVE_DOWN2,2,FALSE()),FALSE()),VLOOKUP(G146,NGPREVPRICES,3,FALSE()),HLOOKUP(D146,Correllate,VLOOKUP(G146,CorMove,2,FALSE()),FALSE()),Q146-$CD$3,R146,$CJ$5)*H146-CJ146</f>
        <v>#NAME?</v>
      </c>
      <c r="CF146" s="132" t="e">
        <f aca="false">(CJ146/VLOOKUP(CC146,discount,3,FALSE()))-(CJ146/VLOOKUP(CC146,discount,2,FALSE()))</f>
        <v>#NAME?</v>
      </c>
      <c r="CG146" s="253" t="e">
        <f aca="false">xSPRDOPT((VLOOKUP(G146,NGPREVPRICES,2,FALSE())+HLOOKUP(D146,PREVCURVES,VLOOKUP(G146,MOVE_DOWN2,2,FALSE()),FALSE())),VLOOKUP(G146,NGPREVPRICES,2,FALSE()),CK146,VLOOKUP(G146,NGPREVPRICES,4,FALSE()),HLOOKUP(D146,VOLS,VLOOKUP(G146,move_down,2,FALSE()),FALSE()),VLOOKUP(G146,NGPrices,3,FALSE()),HLOOKUP(D146,Correllate,VLOOKUP(G146,CorMove,2,FALSE()),FALSE()),Q146-$CD$3,R146,$CJ$5)*H146-CJ146</f>
        <v>#NAME?</v>
      </c>
      <c r="CH146" s="253" t="e">
        <f aca="false">xSPRDOPT((VLOOKUP(G146,NGPREVPRICES,2,FALSE())+HLOOKUP(D146,PREVCURVES,VLOOKUP(G146,MOVE_DOWN2,2,FALSE()),FALSE())),VLOOKUP(G146,NGPREVPRICES,2,FALSE()),CK146,VLOOKUP(G146,NGPREVPRICES,4,FALSE()),HLOOKUP(D146,PREVVOLS,VLOOKUP(G146,MOVE_DOWN2,2,FALSE()),FALSE()),VLOOKUP(G146,NGPREVPRICES,3,FALSE()),HLOOKUP(D146,Correllate,VLOOKUP(G146,CorMove,2,FALSE()),FALSE()),Q146-$C$3,R146,$CJ$5)*H146-CJ146</f>
        <v>#NAME?</v>
      </c>
      <c r="CI146" s="253" t="e">
        <f aca="false">SUM(CD146:CH146)</f>
        <v>#NAME?</v>
      </c>
      <c r="CJ146" s="253" t="e">
        <f aca="false">xSPRDOPT((VLOOKUP(G146,NGPREVPRICES,2,FALSE())+HLOOKUP(D146,PREVCURVES,VLOOKUP(G146,MOVE_DOWN2,2,FALSE()),FALSE())),VLOOKUP(G146,NGPREVPRICES,2,FALSE()),CK146,VLOOKUP(G146,NGPREVPRICES,4,FALSE()),HLOOKUP(D146,PREVVOLS,VLOOKUP(G146,MOVE_DOWN2,2,FALSE()),FALSE()),VLOOKUP(G146,NGPREVPRICES,3,FALSE()),HLOOKUP(D146,Correllate,VLOOKUP(G146,CorMove,2,FALSE()),FALSE()),Q146-$CD$3,R146,$CJ$5)*H146</f>
        <v>#NAME?</v>
      </c>
      <c r="CK146" s="254" t="n">
        <f aca="false">I146</f>
        <v>0</v>
      </c>
      <c r="CL146" s="253"/>
      <c r="CM146" s="0" t="str">
        <f aca="false">CONCATENATE(CC146,$CD$6)</f>
        <v>36831Curve Shift/Gamma</v>
      </c>
      <c r="CN146" s="0" t="str">
        <f aca="false">CONCATENATE($CC146,$CE$6)</f>
        <v>36831Rho</v>
      </c>
      <c r="CO146" s="0" t="str">
        <f aca="false">CONCATENATE($CC146,$CF$6)</f>
        <v>36831Drift</v>
      </c>
      <c r="CP146" s="0" t="str">
        <f aca="false">CONCATENATE($CC146,$CG$6)</f>
        <v>36831Vega</v>
      </c>
      <c r="CQ146" s="0" t="str">
        <f aca="false">CONCATENATE($CC146,$CH$6)</f>
        <v>36831Theta</v>
      </c>
    </row>
    <row r="147" customFormat="false" ht="12" hidden="false" customHeight="true" outlineLevel="0" collapsed="false">
      <c r="A147" s="265" t="s">
        <v>198</v>
      </c>
      <c r="B147" s="0" t="s">
        <v>192</v>
      </c>
      <c r="C147" s="0" t="s">
        <v>251</v>
      </c>
      <c r="D147" s="7" t="s">
        <v>153</v>
      </c>
      <c r="E147" s="0" t="s">
        <v>131</v>
      </c>
      <c r="F147" s="0" t="s">
        <v>136</v>
      </c>
      <c r="G147" s="92" t="n">
        <v>36800</v>
      </c>
      <c r="H147" s="248" t="n">
        <v>-1000000</v>
      </c>
      <c r="I147" s="0" t="n">
        <v>0</v>
      </c>
      <c r="J147" s="124" t="n">
        <f aca="false">VLOOKUP(G147,NGPrices,2,FALSE())</f>
        <v>4.692</v>
      </c>
      <c r="K147" s="125" t="n">
        <f aca="false">HLOOKUP(D147,Prices,VLOOKUP(G147,move_down,2,FALSE()),FALSE())+VLOOKUP(G147,CHANGE,HLOOKUP(D147,CHANGE,2,FALSE()),FALSE())</f>
        <v>-0.09</v>
      </c>
      <c r="L147" s="124" t="n">
        <f aca="false">K147+J147</f>
        <v>4.602</v>
      </c>
      <c r="M147" s="126" t="n">
        <f aca="false">VLOOKUP(G147,NGPrices,4,FALSE())</f>
        <v>0.068050789414654</v>
      </c>
      <c r="N147" s="7" t="n">
        <f aca="false">VLOOKUP(G147,NGPrices,3,FALSE())</f>
        <v>0.575</v>
      </c>
      <c r="O147" s="7" t="n">
        <f aca="false">HLOOKUP(D147,VOLS,VLOOKUP(G147,move_down,2,FALSE()),FALSE())</f>
        <v>0.575</v>
      </c>
      <c r="P147" s="249" t="n">
        <f aca="false">HLOOKUP(D147,Correllate,VLOOKUP(G147,CorMove,2,FALSE()),FALSE())</f>
        <v>0.9975</v>
      </c>
      <c r="Q147" s="92" t="n">
        <f aca="false">WORKDAY(G147,-2)</f>
        <v>36797</v>
      </c>
      <c r="R147" s="7" t="n">
        <f aca="false">IF(F147="P",0,1)</f>
        <v>1</v>
      </c>
      <c r="S147" s="130" t="e">
        <f aca="false">xSPRDOPT($L147,$J147,$I147,$M147,$O147,$N147,$P147,$Q147-$C$3,$R147,0)</f>
        <v>#NAME?</v>
      </c>
      <c r="T147" s="250" t="e">
        <f aca="false">xSPRDOPT($L147,$J147,$I147,$M147,$O147,$N147,$P147,$Q147-$C$3,$R147,1)*H147</f>
        <v>#NAME?</v>
      </c>
      <c r="U147" s="43" t="e">
        <f aca="false">S147*H147</f>
        <v>#NAME?</v>
      </c>
      <c r="V147" s="250" t="e">
        <f aca="false">xSPRDOPT($L147,$J147,$I147,$M147,$O147,$N147,$P147,$Q147-$C$3,$R147,2)*H147</f>
        <v>#NAME?</v>
      </c>
      <c r="W147" s="250" t="e">
        <f aca="false">+V147+T147</f>
        <v>#NAME?</v>
      </c>
      <c r="X147" s="2" t="str">
        <f aca="false">CONCATENATE(G147,D147)</f>
        <v>36800IF-NNG/VENT</v>
      </c>
      <c r="Y147" s="251" t="n">
        <f aca="false">H147/10000</f>
        <v>-100</v>
      </c>
      <c r="Z147" s="226" t="e">
        <f aca="false">T147/H147</f>
        <v>#NAME?</v>
      </c>
      <c r="AA147" s="226" t="e">
        <f aca="false">xSPRDOPT($L147,$J147,$I147,$M147,$O147,$N147,$P147,$Q147-$C$3,$R147,3)</f>
        <v>#NAME?</v>
      </c>
      <c r="AB147" s="226" t="e">
        <f aca="false">((xSPRDOPT($L147+AB$5,$J147,$I147,$M147,$O147,$N147,$P147,$Q147-$C$3,$R147,3)*$H147)/10000)/100</f>
        <v>#NAME?</v>
      </c>
      <c r="AC147" s="226" t="e">
        <f aca="false">((xSPRDOPT($L147+$AB$5,$J147,$I147,$M147,$O147,$N147,$P147,$Q147-$C$3,$R147,7)*$H147)/100)</f>
        <v>#NAME?</v>
      </c>
      <c r="AD147" s="226" t="e">
        <f aca="false">(xSPRDOPT($L147+$AB$5,$J147,$I147,$M147,$O147,$N147,$P147,$Q147-$C$3,$R147,9)/365)*$H147</f>
        <v>#NAME?</v>
      </c>
      <c r="AE147" s="0" t="e">
        <f aca="false">CD147</f>
        <v>#NAME?</v>
      </c>
      <c r="AF147" s="226" t="e">
        <f aca="false">((O147/N147)*AH147)+AG147</f>
        <v>#NAME?</v>
      </c>
      <c r="AG147" s="226" t="e">
        <f aca="false">((xSPRDOPT($L147,$J147,$I147,$M147,$O147,$N147,$P147,$Q147-$C$3,$R147,6)*$H147)/100)</f>
        <v>#NAME?</v>
      </c>
      <c r="AH147" s="226" t="e">
        <f aca="false">((xSPRDOPT($L147,$J147,$I147,$M147,$O147,$N147,$P147,$Q147-$C$3,$R147,5)*$H147)/100)</f>
        <v>#NAME?</v>
      </c>
      <c r="AI147" s="226" t="e">
        <f aca="false">(((xSPRDOPT($L147,$J147,$I147,$M147,$O147,$N147,$P147,$Q147-$C$3,$R147,4)*$H147)/10000)/100)-AB147</f>
        <v>#NAME?</v>
      </c>
      <c r="AJ147" s="226"/>
      <c r="AK147" s="226"/>
      <c r="AL147" s="226"/>
      <c r="AM147" s="252"/>
      <c r="AN147" s="143" t="n">
        <f aca="false">EOMONTH(AN146,0)+1</f>
        <v>41000</v>
      </c>
      <c r="AO147" s="134" t="n">
        <f aca="false">SUMIF($X:$X,CONCATENATE($AN147,AO$6),$T:$T)/10000</f>
        <v>0</v>
      </c>
      <c r="AP147" s="134" t="n">
        <f aca="false">SUMIF($X:$X,CONCATENATE($AN147,AP$6),$T:$T)/10000</f>
        <v>0</v>
      </c>
      <c r="AQ147" s="134" t="n">
        <f aca="false">SUMIF($X:$X,CONCATENATE($AN147,AQ$6),$T:$T)/10000</f>
        <v>0</v>
      </c>
      <c r="AR147" s="134" t="n">
        <f aca="false">SUMIF($X:$X,CONCATENATE($AN147,AR$6),$T:$T)/10000</f>
        <v>0</v>
      </c>
      <c r="AS147" s="134" t="n">
        <f aca="false">SUMIF($X:$X,CONCATENATE($AN147,AS$6),$T:$T)/10000</f>
        <v>0</v>
      </c>
      <c r="AT147" s="134" t="n">
        <f aca="false">SUMIF($X:$X,CONCATENATE($AN147,AT$6),$T:$T)/10000</f>
        <v>0</v>
      </c>
      <c r="AU147" s="134" t="n">
        <f aca="false">SUMIF($X:$X,CONCATENATE($AN147,AU$6),$T:$T)/10000</f>
        <v>0</v>
      </c>
      <c r="AV147" s="134" t="n">
        <f aca="false">SUMIF($X:$X,CONCATENATE($AN147,AV$6),$T:$T)/10000</f>
        <v>0</v>
      </c>
      <c r="AW147" s="134" t="n">
        <f aca="false">SUMIF($X:$X,CONCATENATE($AN147,AW$6),$T:$T)/10000</f>
        <v>0</v>
      </c>
      <c r="AX147" s="134" t="n">
        <f aca="false">SUMIF($X:$X,CONCATENATE($AN147,AX$6),$T:$T)/10000</f>
        <v>0</v>
      </c>
      <c r="AY147" s="134" t="n">
        <f aca="false">SUMIF($X:$X,CONCATENATE($AN147,AY$6),$T:$T)/10000</f>
        <v>0</v>
      </c>
      <c r="AZ147" s="134" t="n">
        <f aca="false">SUMIF($X:$X,CONCATENATE($AN147,AZ$6),$T:$T)/10000</f>
        <v>0</v>
      </c>
      <c r="BA147" s="135" t="n">
        <f aca="false">SUMIF($X:$X,CONCATENATE($AN147,BA$6),$T:$T)/10000</f>
        <v>0</v>
      </c>
      <c r="BB147" s="143" t="n">
        <f aca="false">EOMONTH(BB146,0)+1</f>
        <v>41000</v>
      </c>
      <c r="BC147" s="135" t="n">
        <f aca="false">SUM(AO147:BA147)</f>
        <v>0</v>
      </c>
      <c r="BE147" s="143" t="n">
        <f aca="false">EOMONTH(BE146,0)+1</f>
        <v>41000</v>
      </c>
      <c r="BF147" s="134" t="n">
        <f aca="false">SUMIF($X:$X,CONCATENATE($AN147,BF$6),$W:$W)</f>
        <v>0</v>
      </c>
      <c r="BG147" s="134" t="n">
        <f aca="false">SUMIF($X:$X,CONCATENATE($AN147,BG$6),$W:$W)</f>
        <v>0</v>
      </c>
      <c r="BH147" s="134" t="n">
        <f aca="false">SUMIF($X:$X,CONCATENATE($AN147,BH$6),$W:$W)</f>
        <v>0</v>
      </c>
      <c r="BI147" s="134" t="n">
        <f aca="false">SUMIF($X:$X,CONCATENATE($AN147,BI$6),$W:$W)</f>
        <v>0</v>
      </c>
      <c r="BJ147" s="134" t="n">
        <f aca="false">SUMIF($X:$X,CONCATENATE($AN147,BJ$6),$W:$W)</f>
        <v>0</v>
      </c>
      <c r="BK147" s="134" t="n">
        <f aca="false">SUMIF($X:$X,CONCATENATE($AN147,BK$6),$W:$W)</f>
        <v>0</v>
      </c>
      <c r="BL147" s="134" t="n">
        <f aca="false">SUMIF($X:$X,CONCATENATE($AN147,BL$6),$W:$W)</f>
        <v>0</v>
      </c>
      <c r="BM147" s="134" t="n">
        <f aca="false">SUMIF($X:$X,CONCATENATE($AN147,BM$6),$W:$W)</f>
        <v>0</v>
      </c>
      <c r="BN147" s="134" t="n">
        <f aca="false">SUMIF($X:$X,CONCATENATE($AN147,BN$6),$W:$W)</f>
        <v>0</v>
      </c>
      <c r="BO147" s="134" t="n">
        <f aca="false">SUMIF($X:$X,CONCATENATE($AN147,BO$6),$W:$W)</f>
        <v>0</v>
      </c>
      <c r="BP147" s="134" t="n">
        <f aca="false">SUMIF($X:$X,CONCATENATE($AN147,BP$6),$W:$W)</f>
        <v>0</v>
      </c>
      <c r="BQ147" s="134" t="n">
        <f aca="false">SUMIF($X:$X,CONCATENATE($AN147,BQ$6),$W:$W)</f>
        <v>0</v>
      </c>
      <c r="BR147" s="135" t="n">
        <f aca="false">SUMIF($X:$X,CONCATENATE($AN147,BR$6),$W:$W)</f>
        <v>0</v>
      </c>
      <c r="BS147" s="143" t="n">
        <f aca="false">EOMONTH(BS146,0)+1</f>
        <v>41000</v>
      </c>
      <c r="BT147" s="135" t="n">
        <f aca="false">SUM(BF147:BR147)</f>
        <v>0</v>
      </c>
      <c r="CC147" s="182" t="n">
        <f aca="false">G147</f>
        <v>36800</v>
      </c>
      <c r="CD147" s="253" t="e">
        <f aca="false">xSPRDOPT((VLOOKUP(G147,NGPrices,2,FALSE())+HLOOKUP(D147,Prices,VLOOKUP(G147,move_down,2,FALSE()),FALSE())),VLOOKUP(G147,NGPrices,2,FALSE()),I147,VLOOKUP(G147,NGPREVPRICES,4,FALSE()),HLOOKUP(D147,PREVVOLS,VLOOKUP(G147,MOVE_DOWN2,2,FALSE()),FALSE()),VLOOKUP(G147,NGPREVPRICES,3,FALSE()),HLOOKUP(D147,Correllate,VLOOKUP(G147,CorMove,2,FALSE()),FALSE()),Q147-$CD$3,R147,$CD$5)*H147-CJ147</f>
        <v>#NAME?</v>
      </c>
      <c r="CE147" s="253" t="e">
        <f aca="false">xSPRDOPT((VLOOKUP(G147,NGPREVPRICES,2,FALSE())+HLOOKUP(D147,PREVCURVES,VLOOKUP(G147,MOVE_DOWN2,2,FALSE()),FALSE())),VLOOKUP(G147,NGPREVPRICES,2,FALSE()),CK147,VLOOKUP(G147,NGPrices,4,FALSE()),HLOOKUP(D147,PREVVOLS,VLOOKUP(G147,MOVE_DOWN2,2,FALSE()),FALSE()),VLOOKUP(G147,NGPREVPRICES,3,FALSE()),HLOOKUP(D147,Correllate,VLOOKUP(G147,CorMove,2,FALSE()),FALSE()),Q147-$CD$3,R147,$CJ$5)*H147-CJ147</f>
        <v>#NAME?</v>
      </c>
      <c r="CF147" s="132" t="e">
        <f aca="false">(CJ147/VLOOKUP(CC147,discount,3,FALSE()))-(CJ147/VLOOKUP(CC147,discount,2,FALSE()))</f>
        <v>#NAME?</v>
      </c>
      <c r="CG147" s="253" t="e">
        <f aca="false">xSPRDOPT((VLOOKUP(G147,NGPREVPRICES,2,FALSE())+HLOOKUP(D147,PREVCURVES,VLOOKUP(G147,MOVE_DOWN2,2,FALSE()),FALSE())),VLOOKUP(G147,NGPREVPRICES,2,FALSE()),CK147,VLOOKUP(G147,NGPREVPRICES,4,FALSE()),HLOOKUP(D147,VOLS,VLOOKUP(G147,move_down,2,FALSE()),FALSE()),VLOOKUP(G147,NGPrices,3,FALSE()),HLOOKUP(D147,Correllate,VLOOKUP(G147,CorMove,2,FALSE()),FALSE()),Q147-$CD$3,R147,$CJ$5)*H147-CJ147</f>
        <v>#NAME?</v>
      </c>
      <c r="CH147" s="253" t="e">
        <f aca="false">xSPRDOPT((VLOOKUP(G147,NGPREVPRICES,2,FALSE())+HLOOKUP(D147,PREVCURVES,VLOOKUP(G147,MOVE_DOWN2,2,FALSE()),FALSE())),VLOOKUP(G147,NGPREVPRICES,2,FALSE()),CK147,VLOOKUP(G147,NGPREVPRICES,4,FALSE()),HLOOKUP(D147,PREVVOLS,VLOOKUP(G147,MOVE_DOWN2,2,FALSE()),FALSE()),VLOOKUP(G147,NGPREVPRICES,3,FALSE()),HLOOKUP(D147,Correllate,VLOOKUP(G147,CorMove,2,FALSE()),FALSE()),Q147-$C$3,R147,$CJ$5)*H147-CJ147</f>
        <v>#NAME?</v>
      </c>
      <c r="CI147" s="253" t="e">
        <f aca="false">SUM(CD147:CH147)</f>
        <v>#NAME?</v>
      </c>
      <c r="CJ147" s="253" t="e">
        <f aca="false">xSPRDOPT((VLOOKUP(G147,NGPREVPRICES,2,FALSE())+HLOOKUP(D147,PREVCURVES,VLOOKUP(G147,MOVE_DOWN2,2,FALSE()),FALSE())),VLOOKUP(G147,NGPREVPRICES,2,FALSE()),CK147,VLOOKUP(G147,NGPREVPRICES,4,FALSE()),HLOOKUP(D147,PREVVOLS,VLOOKUP(G147,MOVE_DOWN2,2,FALSE()),FALSE()),VLOOKUP(G147,NGPREVPRICES,3,FALSE()),HLOOKUP(D147,Correllate,VLOOKUP(G147,CorMove,2,FALSE()),FALSE()),Q147-$CD$3,R147,$CJ$5)*H147</f>
        <v>#NAME?</v>
      </c>
      <c r="CK147" s="254" t="n">
        <f aca="false">I147</f>
        <v>0</v>
      </c>
      <c r="CL147" s="253"/>
      <c r="CM147" s="0" t="str">
        <f aca="false">CONCATENATE(CC147,$CD$6)</f>
        <v>36800Curve Shift/Gamma</v>
      </c>
      <c r="CN147" s="0" t="str">
        <f aca="false">CONCATENATE($CC147,$CE$6)</f>
        <v>36800Rho</v>
      </c>
      <c r="CO147" s="0" t="str">
        <f aca="false">CONCATENATE($CC147,$CF$6)</f>
        <v>36800Drift</v>
      </c>
      <c r="CP147" s="0" t="str">
        <f aca="false">CONCATENATE($CC147,$CG$6)</f>
        <v>36800Vega</v>
      </c>
      <c r="CQ147" s="0" t="str">
        <f aca="false">CONCATENATE($CC147,$CH$6)</f>
        <v>36800Theta</v>
      </c>
    </row>
    <row r="148" customFormat="false" ht="12" hidden="false" customHeight="true" outlineLevel="0" collapsed="false">
      <c r="A148" s="265" t="s">
        <v>198</v>
      </c>
      <c r="B148" s="0" t="s">
        <v>192</v>
      </c>
      <c r="C148" s="0" t="s">
        <v>251</v>
      </c>
      <c r="D148" s="7" t="s">
        <v>153</v>
      </c>
      <c r="E148" s="0" t="s">
        <v>131</v>
      </c>
      <c r="F148" s="0" t="s">
        <v>136</v>
      </c>
      <c r="G148" s="92" t="n">
        <v>36770</v>
      </c>
      <c r="H148" s="248" t="n">
        <v>-1000000</v>
      </c>
      <c r="I148" s="0" t="n">
        <v>0</v>
      </c>
      <c r="J148" s="124" t="n">
        <f aca="false">VLOOKUP(G148,NGPrices,2,FALSE())</f>
        <v>4.685</v>
      </c>
      <c r="K148" s="125" t="n">
        <f aca="false">HLOOKUP(D148,Prices,VLOOKUP(G148,move_down,2,FALSE()),FALSE())+VLOOKUP(G148,CHANGE,HLOOKUP(D148,CHANGE,2,FALSE()),FALSE())</f>
        <v>-0.11</v>
      </c>
      <c r="L148" s="124" t="n">
        <f aca="false">K148+J148</f>
        <v>4.575</v>
      </c>
      <c r="M148" s="126" t="n">
        <f aca="false">VLOOKUP(G148,NGPrices,4,FALSE())</f>
        <v>0.067216196212185</v>
      </c>
      <c r="N148" s="7" t="n">
        <f aca="false">VLOOKUP(G148,NGPrices,3,FALSE())</f>
        <v>0.4</v>
      </c>
      <c r="O148" s="7" t="n">
        <f aca="false">HLOOKUP(D148,VOLS,VLOOKUP(G148,move_down,2,FALSE()),FALSE())</f>
        <v>0.4</v>
      </c>
      <c r="P148" s="249" t="n">
        <f aca="false">HLOOKUP(D148,Correllate,VLOOKUP(G148,CorMove,2,FALSE()),FALSE())</f>
        <v>0.9975</v>
      </c>
      <c r="Q148" s="92" t="n">
        <f aca="false">WORKDAY(G148,-2)</f>
        <v>36768</v>
      </c>
      <c r="R148" s="7" t="n">
        <f aca="false">IF(F148="P",0,1)</f>
        <v>1</v>
      </c>
      <c r="S148" s="130" t="e">
        <f aca="false">xSPRDOPT($L148,$J148,$I148,$M148,$O148,$N148,$P148,$Q148-$C$3,$R148,0)</f>
        <v>#NAME?</v>
      </c>
      <c r="T148" s="250" t="e">
        <f aca="false">xSPRDOPT($L148,$J148,$I148,$M148,$O148,$N148,$P148,$Q148-$C$3,$R148,1)*H148</f>
        <v>#NAME?</v>
      </c>
      <c r="U148" s="43" t="e">
        <f aca="false">S148*H148</f>
        <v>#NAME?</v>
      </c>
      <c r="V148" s="250" t="e">
        <f aca="false">xSPRDOPT($L148,$J148,$I148,$M148,$O148,$N148,$P148,$Q148-$C$3,$R148,2)*H148</f>
        <v>#NAME?</v>
      </c>
      <c r="W148" s="250" t="e">
        <f aca="false">+V148+T148</f>
        <v>#NAME?</v>
      </c>
      <c r="X148" s="2" t="str">
        <f aca="false">CONCATENATE(G148,D148)</f>
        <v>36770IF-NNG/VENT</v>
      </c>
      <c r="Y148" s="251" t="n">
        <f aca="false">H148/10000</f>
        <v>-100</v>
      </c>
      <c r="Z148" s="226" t="e">
        <f aca="false">T148/H148</f>
        <v>#NAME?</v>
      </c>
      <c r="AA148" s="226" t="e">
        <f aca="false">xSPRDOPT($L148,$J148,$I148,$M148,$O148,$N148,$P148,$Q148-$C$3,$R148,3)</f>
        <v>#NAME?</v>
      </c>
      <c r="AB148" s="226" t="e">
        <f aca="false">((xSPRDOPT($L148+AB$5,$J148,$I148,$M148,$O148,$N148,$P148,$Q148-$C$3,$R148,3)*$H148)/10000)/100</f>
        <v>#NAME?</v>
      </c>
      <c r="AC148" s="226" t="e">
        <f aca="false">((xSPRDOPT($L148+$AB$5,$J148,$I148,$M148,$O148,$N148,$P148,$Q148-$C$3,$R148,7)*$H148)/100)</f>
        <v>#NAME?</v>
      </c>
      <c r="AD148" s="226" t="e">
        <f aca="false">(xSPRDOPT($L148+$AB$5,$J148,$I148,$M148,$O148,$N148,$P148,$Q148-$C$3,$R148,9)/365)*$H148</f>
        <v>#NAME?</v>
      </c>
      <c r="AE148" s="0" t="e">
        <f aca="false">CD148</f>
        <v>#NAME?</v>
      </c>
      <c r="AF148" s="226" t="e">
        <f aca="false">((O148/N148)*AH148)+AG148</f>
        <v>#NAME?</v>
      </c>
      <c r="AG148" s="226" t="e">
        <f aca="false">((xSPRDOPT($L148,$J148,$I148,$M148,$O148,$N148,$P148,$Q148-$C$3,$R148,6)*$H148)/100)</f>
        <v>#NAME?</v>
      </c>
      <c r="AH148" s="226" t="e">
        <f aca="false">((xSPRDOPT($L148,$J148,$I148,$M148,$O148,$N148,$P148,$Q148-$C$3,$R148,5)*$H148)/100)</f>
        <v>#NAME?</v>
      </c>
      <c r="AI148" s="226" t="e">
        <f aca="false">(((xSPRDOPT($L148,$J148,$I148,$M148,$O148,$N148,$P148,$Q148-$C$3,$R148,4)*$H148)/10000)/100)-AB148</f>
        <v>#NAME?</v>
      </c>
      <c r="AJ148" s="226"/>
      <c r="AK148" s="226"/>
      <c r="AL148" s="226"/>
      <c r="AM148" s="252"/>
      <c r="AN148" s="143" t="n">
        <f aca="false">EOMONTH(AN147,0)+1</f>
        <v>41030</v>
      </c>
      <c r="AO148" s="134" t="n">
        <f aca="false">SUMIF($X:$X,CONCATENATE($AN148,AO$6),$T:$T)/10000</f>
        <v>0</v>
      </c>
      <c r="AP148" s="134" t="n">
        <f aca="false">SUMIF($X:$X,CONCATENATE($AN148,AP$6),$T:$T)/10000</f>
        <v>0</v>
      </c>
      <c r="AQ148" s="134" t="n">
        <f aca="false">SUMIF($X:$X,CONCATENATE($AN148,AQ$6),$T:$T)/10000</f>
        <v>0</v>
      </c>
      <c r="AR148" s="134" t="n">
        <f aca="false">SUMIF($X:$X,CONCATENATE($AN148,AR$6),$T:$T)/10000</f>
        <v>0</v>
      </c>
      <c r="AS148" s="134" t="n">
        <f aca="false">SUMIF($X:$X,CONCATENATE($AN148,AS$6),$T:$T)/10000</f>
        <v>0</v>
      </c>
      <c r="AT148" s="134" t="n">
        <f aca="false">SUMIF($X:$X,CONCATENATE($AN148,AT$6),$T:$T)/10000</f>
        <v>0</v>
      </c>
      <c r="AU148" s="134" t="n">
        <f aca="false">SUMIF($X:$X,CONCATENATE($AN148,AU$6),$T:$T)/10000</f>
        <v>0</v>
      </c>
      <c r="AV148" s="134" t="n">
        <f aca="false">SUMIF($X:$X,CONCATENATE($AN148,AV$6),$T:$T)/10000</f>
        <v>0</v>
      </c>
      <c r="AW148" s="134" t="n">
        <f aca="false">SUMIF($X:$X,CONCATENATE($AN148,AW$6),$T:$T)/10000</f>
        <v>0</v>
      </c>
      <c r="AX148" s="134" t="n">
        <f aca="false">SUMIF($X:$X,CONCATENATE($AN148,AX$6),$T:$T)/10000</f>
        <v>0</v>
      </c>
      <c r="AY148" s="134" t="n">
        <f aca="false">SUMIF($X:$X,CONCATENATE($AN148,AY$6),$T:$T)/10000</f>
        <v>0</v>
      </c>
      <c r="AZ148" s="134" t="n">
        <f aca="false">SUMIF($X:$X,CONCATENATE($AN148,AZ$6),$T:$T)/10000</f>
        <v>0</v>
      </c>
      <c r="BA148" s="135" t="n">
        <f aca="false">SUMIF($X:$X,CONCATENATE($AN148,BA$6),$T:$T)/10000</f>
        <v>0</v>
      </c>
      <c r="BB148" s="143" t="n">
        <f aca="false">EOMONTH(BB147,0)+1</f>
        <v>41030</v>
      </c>
      <c r="BC148" s="135" t="n">
        <f aca="false">SUM(AO148:BA148)</f>
        <v>0</v>
      </c>
      <c r="BE148" s="143" t="n">
        <f aca="false">EOMONTH(BE147,0)+1</f>
        <v>41030</v>
      </c>
      <c r="BF148" s="134" t="n">
        <f aca="false">SUMIF($X:$X,CONCATENATE($AN148,BF$6),$W:$W)</f>
        <v>0</v>
      </c>
      <c r="BG148" s="134" t="n">
        <f aca="false">SUMIF($X:$X,CONCATENATE($AN148,BG$6),$W:$W)</f>
        <v>0</v>
      </c>
      <c r="BH148" s="134" t="n">
        <f aca="false">SUMIF($X:$X,CONCATENATE($AN148,BH$6),$W:$W)</f>
        <v>0</v>
      </c>
      <c r="BI148" s="134" t="n">
        <f aca="false">SUMIF($X:$X,CONCATENATE($AN148,BI$6),$W:$W)</f>
        <v>0</v>
      </c>
      <c r="BJ148" s="134" t="n">
        <f aca="false">SUMIF($X:$X,CONCATENATE($AN148,BJ$6),$W:$W)</f>
        <v>0</v>
      </c>
      <c r="BK148" s="134" t="n">
        <f aca="false">SUMIF($X:$X,CONCATENATE($AN148,BK$6),$W:$W)</f>
        <v>0</v>
      </c>
      <c r="BL148" s="134" t="n">
        <f aca="false">SUMIF($X:$X,CONCATENATE($AN148,BL$6),$W:$W)</f>
        <v>0</v>
      </c>
      <c r="BM148" s="134" t="n">
        <f aca="false">SUMIF($X:$X,CONCATENATE($AN148,BM$6),$W:$W)</f>
        <v>0</v>
      </c>
      <c r="BN148" s="134" t="n">
        <f aca="false">SUMIF($X:$X,CONCATENATE($AN148,BN$6),$W:$W)</f>
        <v>0</v>
      </c>
      <c r="BO148" s="134" t="n">
        <f aca="false">SUMIF($X:$X,CONCATENATE($AN148,BO$6),$W:$W)</f>
        <v>0</v>
      </c>
      <c r="BP148" s="134" t="n">
        <f aca="false">SUMIF($X:$X,CONCATENATE($AN148,BP$6),$W:$W)</f>
        <v>0</v>
      </c>
      <c r="BQ148" s="134" t="n">
        <f aca="false">SUMIF($X:$X,CONCATENATE($AN148,BQ$6),$W:$W)</f>
        <v>0</v>
      </c>
      <c r="BR148" s="135" t="n">
        <f aca="false">SUMIF($X:$X,CONCATENATE($AN148,BR$6),$W:$W)</f>
        <v>0</v>
      </c>
      <c r="BS148" s="143" t="n">
        <f aca="false">EOMONTH(BS147,0)+1</f>
        <v>41030</v>
      </c>
      <c r="BT148" s="135" t="n">
        <f aca="false">SUM(BF148:BR148)</f>
        <v>0</v>
      </c>
      <c r="CC148" s="182" t="n">
        <f aca="false">G148</f>
        <v>36770</v>
      </c>
      <c r="CD148" s="253" t="e">
        <f aca="false">xSPRDOPT((VLOOKUP(G148,NGPrices,2,FALSE())+HLOOKUP(D148,Prices,VLOOKUP(G148,move_down,2,FALSE()),FALSE())),VLOOKUP(G148,NGPrices,2,FALSE()),I148,VLOOKUP(G148,NGPREVPRICES,4,FALSE()),HLOOKUP(D148,PREVVOLS,VLOOKUP(G148,MOVE_DOWN2,2,FALSE()),FALSE()),VLOOKUP(G148,NGPREVPRICES,3,FALSE()),HLOOKUP(D148,Correllate,VLOOKUP(G148,CorMove,2,FALSE()),FALSE()),Q148-$CD$3,R148,$CD$5)*H148-CJ148</f>
        <v>#NAME?</v>
      </c>
      <c r="CE148" s="253" t="e">
        <f aca="false">xSPRDOPT((VLOOKUP(G148,NGPREVPRICES,2,FALSE())+HLOOKUP(D148,PREVCURVES,VLOOKUP(G148,MOVE_DOWN2,2,FALSE()),FALSE())),VLOOKUP(G148,NGPREVPRICES,2,FALSE()),CK148,VLOOKUP(G148,NGPrices,4,FALSE()),HLOOKUP(D148,PREVVOLS,VLOOKUP(G148,MOVE_DOWN2,2,FALSE()),FALSE()),VLOOKUP(G148,NGPREVPRICES,3,FALSE()),HLOOKUP(D148,Correllate,VLOOKUP(G148,CorMove,2,FALSE()),FALSE()),Q148-$CD$3,R148,$CJ$5)*H148-CJ148</f>
        <v>#NAME?</v>
      </c>
      <c r="CF148" s="132" t="e">
        <f aca="false">(CJ148/VLOOKUP(CC148,discount,3,FALSE()))-(CJ148/VLOOKUP(CC148,discount,2,FALSE()))</f>
        <v>#NAME?</v>
      </c>
      <c r="CG148" s="253" t="e">
        <f aca="false">xSPRDOPT((VLOOKUP(G148,NGPREVPRICES,2,FALSE())+HLOOKUP(D148,PREVCURVES,VLOOKUP(G148,MOVE_DOWN2,2,FALSE()),FALSE())),VLOOKUP(G148,NGPREVPRICES,2,FALSE()),CK148,VLOOKUP(G148,NGPREVPRICES,4,FALSE()),HLOOKUP(D148,VOLS,VLOOKUP(G148,move_down,2,FALSE()),FALSE()),VLOOKUP(G148,NGPrices,3,FALSE()),HLOOKUP(D148,Correllate,VLOOKUP(G148,CorMove,2,FALSE()),FALSE()),Q148-$CD$3,R148,$CJ$5)*H148-CJ148</f>
        <v>#NAME?</v>
      </c>
      <c r="CH148" s="253" t="e">
        <f aca="false">xSPRDOPT((VLOOKUP(G148,NGPREVPRICES,2,FALSE())+HLOOKUP(D148,PREVCURVES,VLOOKUP(G148,MOVE_DOWN2,2,FALSE()),FALSE())),VLOOKUP(G148,NGPREVPRICES,2,FALSE()),CK148,VLOOKUP(G148,NGPREVPRICES,4,FALSE()),HLOOKUP(D148,PREVVOLS,VLOOKUP(G148,MOVE_DOWN2,2,FALSE()),FALSE()),VLOOKUP(G148,NGPREVPRICES,3,FALSE()),HLOOKUP(D148,Correllate,VLOOKUP(G148,CorMove,2,FALSE()),FALSE()),Q148-$C$3,R148,$CJ$5)*H148-CJ148</f>
        <v>#NAME?</v>
      </c>
      <c r="CI148" s="253" t="e">
        <f aca="false">SUM(CD148:CH148)</f>
        <v>#NAME?</v>
      </c>
      <c r="CJ148" s="253" t="e">
        <f aca="false">xSPRDOPT((VLOOKUP(G148,NGPREVPRICES,2,FALSE())+HLOOKUP(D148,PREVCURVES,VLOOKUP(G148,MOVE_DOWN2,2,FALSE()),FALSE())),VLOOKUP(G148,NGPREVPRICES,2,FALSE()),CK148,VLOOKUP(G148,NGPREVPRICES,4,FALSE()),HLOOKUP(D148,PREVVOLS,VLOOKUP(G148,MOVE_DOWN2,2,FALSE()),FALSE()),VLOOKUP(G148,NGPREVPRICES,3,FALSE()),HLOOKUP(D148,Correllate,VLOOKUP(G148,CorMove,2,FALSE()),FALSE()),Q148-$CD$3,R148,$CJ$5)*H148</f>
        <v>#NAME?</v>
      </c>
      <c r="CK148" s="254" t="n">
        <f aca="false">I148</f>
        <v>0</v>
      </c>
      <c r="CL148" s="253"/>
      <c r="CM148" s="0" t="str">
        <f aca="false">CONCATENATE(CC148,$CD$6)</f>
        <v>36770Curve Shift/Gamma</v>
      </c>
      <c r="CN148" s="0" t="str">
        <f aca="false">CONCATENATE($CC148,$CE$6)</f>
        <v>36770Rho</v>
      </c>
      <c r="CO148" s="0" t="str">
        <f aca="false">CONCATENATE($CC148,$CF$6)</f>
        <v>36770Drift</v>
      </c>
      <c r="CP148" s="0" t="str">
        <f aca="false">CONCATENATE($CC148,$CG$6)</f>
        <v>36770Vega</v>
      </c>
      <c r="CQ148" s="0" t="str">
        <f aca="false">CONCATENATE($CC148,$CH$6)</f>
        <v>36770Theta</v>
      </c>
    </row>
    <row r="149" customFormat="false" ht="12" hidden="false" customHeight="true" outlineLevel="0" collapsed="false">
      <c r="A149" s="265" t="s">
        <v>198</v>
      </c>
      <c r="B149" s="0" t="s">
        <v>192</v>
      </c>
      <c r="C149" s="0" t="s">
        <v>252</v>
      </c>
      <c r="D149" s="7" t="s">
        <v>153</v>
      </c>
      <c r="E149" s="0" t="s">
        <v>131</v>
      </c>
      <c r="F149" s="0" t="s">
        <v>132</v>
      </c>
      <c r="G149" s="92" t="n">
        <v>36951</v>
      </c>
      <c r="H149" s="248" t="n">
        <v>-1000000</v>
      </c>
      <c r="I149" s="0" t="n">
        <v>0</v>
      </c>
      <c r="J149" s="124" t="n">
        <f aca="false">VLOOKUP(G149,NGPrices,2,FALSE())</f>
        <v>4.213</v>
      </c>
      <c r="K149" s="125" t="n">
        <f aca="false">HLOOKUP(D149,Prices,VLOOKUP(G149,move_down,2,FALSE()),FALSE())+VLOOKUP(G149,CHANGE,HLOOKUP(D149,CHANGE,2,FALSE()),FALSE())</f>
        <v>0.0325</v>
      </c>
      <c r="L149" s="124" t="n">
        <f aca="false">K149+J149</f>
        <v>4.2455</v>
      </c>
      <c r="M149" s="126" t="n">
        <f aca="false">VLOOKUP(G149,NGPrices,4,FALSE())</f>
        <v>0.068879814952707</v>
      </c>
      <c r="N149" s="7" t="n">
        <f aca="false">VLOOKUP(G149,NGPrices,3,FALSE())</f>
        <v>0.5325</v>
      </c>
      <c r="O149" s="7" t="n">
        <f aca="false">HLOOKUP(D149,VOLS,VLOOKUP(G149,move_down,2,FALSE()),FALSE())</f>
        <v>0.559</v>
      </c>
      <c r="P149" s="249" t="n">
        <f aca="false">HLOOKUP(D149,Correllate,VLOOKUP(G149,CorMove,2,FALSE()),FALSE())</f>
        <v>0.9975</v>
      </c>
      <c r="Q149" s="92" t="n">
        <f aca="false">WORKDAY(G149,-2)</f>
        <v>36949</v>
      </c>
      <c r="R149" s="7" t="n">
        <f aca="false">IF(F149="P",0,1)</f>
        <v>0</v>
      </c>
      <c r="S149" s="130" t="e">
        <f aca="false">xSPRDOPT($L149,$J149,$I149,$M149,$O149,$N149,$P149,$Q149-$C$3,$R149,0)</f>
        <v>#NAME?</v>
      </c>
      <c r="T149" s="250" t="e">
        <f aca="false">xSPRDOPT($L149,$J149,$I149,$M149,$O149,$N149,$P149,$Q149-$C$3,$R149,1)*H149</f>
        <v>#NAME?</v>
      </c>
      <c r="U149" s="43" t="e">
        <f aca="false">S149*H149</f>
        <v>#NAME?</v>
      </c>
      <c r="V149" s="250" t="e">
        <f aca="false">xSPRDOPT($L149,$J149,$I149,$M149,$O149,$N149,$P149,$Q149-$C$3,$R149,2)*H149</f>
        <v>#NAME?</v>
      </c>
      <c r="W149" s="250" t="e">
        <f aca="false">+V149+T149</f>
        <v>#NAME?</v>
      </c>
      <c r="X149" s="2" t="str">
        <f aca="false">CONCATENATE(G149,D149)</f>
        <v>36951IF-NNG/VENT</v>
      </c>
      <c r="Y149" s="251" t="n">
        <f aca="false">H149/10000</f>
        <v>-100</v>
      </c>
      <c r="Z149" s="226" t="e">
        <f aca="false">T149/H149</f>
        <v>#NAME?</v>
      </c>
      <c r="AA149" s="226" t="e">
        <f aca="false">xSPRDOPT($L149,$J149,$I149,$M149,$O149,$N149,$P149,$Q149-$C$3,$R149,3)</f>
        <v>#NAME?</v>
      </c>
      <c r="AB149" s="226" t="e">
        <f aca="false">((xSPRDOPT($L149+AB$5,$J149,$I149,$M149,$O149,$N149,$P149,$Q149-$C$3,$R149,3)*$H149)/10000)/100</f>
        <v>#NAME?</v>
      </c>
      <c r="AC149" s="226" t="e">
        <f aca="false">((xSPRDOPT($L149+$AB$5,$J149,$I149,$M149,$O149,$N149,$P149,$Q149-$C$3,$R149,7)*$H149)/100)</f>
        <v>#NAME?</v>
      </c>
      <c r="AD149" s="226" t="e">
        <f aca="false">(xSPRDOPT($L149+$AB$5,$J149,$I149,$M149,$O149,$N149,$P149,$Q149-$C$3,$R149,9)/365)*$H149</f>
        <v>#NAME?</v>
      </c>
      <c r="AE149" s="0" t="e">
        <f aca="false">CD149</f>
        <v>#NAME?</v>
      </c>
      <c r="AF149" s="226" t="e">
        <f aca="false">((O149/N149)*AH149)+AG149</f>
        <v>#NAME?</v>
      </c>
      <c r="AG149" s="226" t="e">
        <f aca="false">((xSPRDOPT($L149,$J149,$I149,$M149,$O149,$N149,$P149,$Q149-$C$3,$R149,6)*$H149)/100)</f>
        <v>#NAME?</v>
      </c>
      <c r="AH149" s="226" t="e">
        <f aca="false">((xSPRDOPT($L149,$J149,$I149,$M149,$O149,$N149,$P149,$Q149-$C$3,$R149,5)*$H149)/100)</f>
        <v>#NAME?</v>
      </c>
      <c r="AI149" s="226" t="e">
        <f aca="false">(((xSPRDOPT($L149,$J149,$I149,$M149,$O149,$N149,$P149,$Q149-$C$3,$R149,4)*$H149)/10000)/100)-AB149</f>
        <v>#NAME?</v>
      </c>
      <c r="AJ149" s="226"/>
      <c r="AK149" s="226"/>
      <c r="AL149" s="226"/>
      <c r="AM149" s="252"/>
      <c r="AN149" s="143" t="n">
        <f aca="false">EOMONTH(AN148,0)+1</f>
        <v>41061</v>
      </c>
      <c r="AO149" s="134" t="n">
        <f aca="false">SUMIF($X:$X,CONCATENATE($AN149,AO$6),$T:$T)/10000</f>
        <v>0</v>
      </c>
      <c r="AP149" s="134" t="n">
        <f aca="false">SUMIF($X:$X,CONCATENATE($AN149,AP$6),$T:$T)/10000</f>
        <v>0</v>
      </c>
      <c r="AQ149" s="134" t="n">
        <f aca="false">SUMIF($X:$X,CONCATENATE($AN149,AQ$6),$T:$T)/10000</f>
        <v>0</v>
      </c>
      <c r="AR149" s="134" t="n">
        <f aca="false">SUMIF($X:$X,CONCATENATE($AN149,AR$6),$T:$T)/10000</f>
        <v>0</v>
      </c>
      <c r="AS149" s="134" t="n">
        <f aca="false">SUMIF($X:$X,CONCATENATE($AN149,AS$6),$T:$T)/10000</f>
        <v>0</v>
      </c>
      <c r="AT149" s="134" t="n">
        <f aca="false">SUMIF($X:$X,CONCATENATE($AN149,AT$6),$T:$T)/10000</f>
        <v>0</v>
      </c>
      <c r="AU149" s="134" t="n">
        <f aca="false">SUMIF($X:$X,CONCATENATE($AN149,AU$6),$T:$T)/10000</f>
        <v>0</v>
      </c>
      <c r="AV149" s="134" t="n">
        <f aca="false">SUMIF($X:$X,CONCATENATE($AN149,AV$6),$T:$T)/10000</f>
        <v>0</v>
      </c>
      <c r="AW149" s="134" t="n">
        <f aca="false">SUMIF($X:$X,CONCATENATE($AN149,AW$6),$T:$T)/10000</f>
        <v>0</v>
      </c>
      <c r="AX149" s="134" t="n">
        <f aca="false">SUMIF($X:$X,CONCATENATE($AN149,AX$6),$T:$T)/10000</f>
        <v>0</v>
      </c>
      <c r="AY149" s="134" t="n">
        <f aca="false">SUMIF($X:$X,CONCATENATE($AN149,AY$6),$T:$T)/10000</f>
        <v>0</v>
      </c>
      <c r="AZ149" s="134" t="n">
        <f aca="false">SUMIF($X:$X,CONCATENATE($AN149,AZ$6),$T:$T)/10000</f>
        <v>0</v>
      </c>
      <c r="BA149" s="135" t="n">
        <f aca="false">SUMIF($X:$X,CONCATENATE($AN149,BA$6),$T:$T)/10000</f>
        <v>0</v>
      </c>
      <c r="BB149" s="143" t="n">
        <f aca="false">EOMONTH(BB148,0)+1</f>
        <v>41061</v>
      </c>
      <c r="BC149" s="135" t="n">
        <f aca="false">SUM(AO149:BA149)</f>
        <v>0</v>
      </c>
      <c r="BE149" s="143" t="n">
        <f aca="false">EOMONTH(BE148,0)+1</f>
        <v>41061</v>
      </c>
      <c r="BF149" s="134" t="n">
        <f aca="false">SUMIF($X:$X,CONCATENATE($AN149,BF$6),$W:$W)</f>
        <v>0</v>
      </c>
      <c r="BG149" s="134" t="n">
        <f aca="false">SUMIF($X:$X,CONCATENATE($AN149,BG$6),$W:$W)</f>
        <v>0</v>
      </c>
      <c r="BH149" s="134" t="n">
        <f aca="false">SUMIF($X:$X,CONCATENATE($AN149,BH$6),$W:$W)</f>
        <v>0</v>
      </c>
      <c r="BI149" s="134" t="n">
        <f aca="false">SUMIF($X:$X,CONCATENATE($AN149,BI$6),$W:$W)</f>
        <v>0</v>
      </c>
      <c r="BJ149" s="134" t="n">
        <f aca="false">SUMIF($X:$X,CONCATENATE($AN149,BJ$6),$W:$W)</f>
        <v>0</v>
      </c>
      <c r="BK149" s="134" t="n">
        <f aca="false">SUMIF($X:$X,CONCATENATE($AN149,BK$6),$W:$W)</f>
        <v>0</v>
      </c>
      <c r="BL149" s="134" t="n">
        <f aca="false">SUMIF($X:$X,CONCATENATE($AN149,BL$6),$W:$W)</f>
        <v>0</v>
      </c>
      <c r="BM149" s="134" t="n">
        <f aca="false">SUMIF($X:$X,CONCATENATE($AN149,BM$6),$W:$W)</f>
        <v>0</v>
      </c>
      <c r="BN149" s="134" t="n">
        <f aca="false">SUMIF($X:$X,CONCATENATE($AN149,BN$6),$W:$W)</f>
        <v>0</v>
      </c>
      <c r="BO149" s="134" t="n">
        <f aca="false">SUMIF($X:$X,CONCATENATE($AN149,BO$6),$W:$W)</f>
        <v>0</v>
      </c>
      <c r="BP149" s="134" t="n">
        <f aca="false">SUMIF($X:$X,CONCATENATE($AN149,BP$6),$W:$W)</f>
        <v>0</v>
      </c>
      <c r="BQ149" s="134" t="n">
        <f aca="false">SUMIF($X:$X,CONCATENATE($AN149,BQ$6),$W:$W)</f>
        <v>0</v>
      </c>
      <c r="BR149" s="135" t="n">
        <f aca="false">SUMIF($X:$X,CONCATENATE($AN149,BR$6),$W:$W)</f>
        <v>0</v>
      </c>
      <c r="BS149" s="143" t="n">
        <f aca="false">EOMONTH(BS148,0)+1</f>
        <v>41061</v>
      </c>
      <c r="BT149" s="135" t="n">
        <f aca="false">SUM(BF149:BR149)</f>
        <v>0</v>
      </c>
      <c r="CC149" s="182" t="n">
        <f aca="false">G149</f>
        <v>36951</v>
      </c>
      <c r="CD149" s="253" t="e">
        <f aca="false">xSPRDOPT((VLOOKUP(G149,NGPrices,2,FALSE())+HLOOKUP(D149,Prices,VLOOKUP(G149,move_down,2,FALSE()),FALSE())),VLOOKUP(G149,NGPrices,2,FALSE()),I149,VLOOKUP(G149,NGPREVPRICES,4,FALSE()),HLOOKUP(D149,PREVVOLS,VLOOKUP(G149,MOVE_DOWN2,2,FALSE()),FALSE()),VLOOKUP(G149,NGPREVPRICES,3,FALSE()),HLOOKUP(D149,Correllate,VLOOKUP(G149,CorMove,2,FALSE()),FALSE()),Q149-$CD$3,R149,$CD$5)*H149-CJ149</f>
        <v>#NAME?</v>
      </c>
      <c r="CE149" s="253" t="e">
        <f aca="false">xSPRDOPT((VLOOKUP(G149,NGPREVPRICES,2,FALSE())+HLOOKUP(D149,PREVCURVES,VLOOKUP(G149,MOVE_DOWN2,2,FALSE()),FALSE())),VLOOKUP(G149,NGPREVPRICES,2,FALSE()),CK149,VLOOKUP(G149,NGPrices,4,FALSE()),HLOOKUP(D149,PREVVOLS,VLOOKUP(G149,MOVE_DOWN2,2,FALSE()),FALSE()),VLOOKUP(G149,NGPREVPRICES,3,FALSE()),HLOOKUP(D149,Correllate,VLOOKUP(G149,CorMove,2,FALSE()),FALSE()),Q149-$CD$3,R149,$CJ$5)*H149-CJ149</f>
        <v>#NAME?</v>
      </c>
      <c r="CF149" s="132" t="e">
        <f aca="false">(CJ149/VLOOKUP(CC149,discount,3,FALSE()))-(CJ149/VLOOKUP(CC149,discount,2,FALSE()))</f>
        <v>#NAME?</v>
      </c>
      <c r="CG149" s="253" t="e">
        <f aca="false">xSPRDOPT((VLOOKUP(G149,NGPREVPRICES,2,FALSE())+HLOOKUP(D149,PREVCURVES,VLOOKUP(G149,MOVE_DOWN2,2,FALSE()),FALSE())),VLOOKUP(G149,NGPREVPRICES,2,FALSE()),CK149,VLOOKUP(G149,NGPREVPRICES,4,FALSE()),HLOOKUP(D149,VOLS,VLOOKUP(G149,move_down,2,FALSE()),FALSE()),VLOOKUP(G149,NGPrices,3,FALSE()),HLOOKUP(D149,Correllate,VLOOKUP(G149,CorMove,2,FALSE()),FALSE()),Q149-$CD$3,R149,$CJ$5)*H149-CJ149</f>
        <v>#NAME?</v>
      </c>
      <c r="CH149" s="253" t="e">
        <f aca="false">xSPRDOPT((VLOOKUP(G149,NGPREVPRICES,2,FALSE())+HLOOKUP(D149,PREVCURVES,VLOOKUP(G149,MOVE_DOWN2,2,FALSE()),FALSE())),VLOOKUP(G149,NGPREVPRICES,2,FALSE()),CK149,VLOOKUP(G149,NGPREVPRICES,4,FALSE()),HLOOKUP(D149,PREVVOLS,VLOOKUP(G149,MOVE_DOWN2,2,FALSE()),FALSE()),VLOOKUP(G149,NGPREVPRICES,3,FALSE()),HLOOKUP(D149,Correllate,VLOOKUP(G149,CorMove,2,FALSE()),FALSE()),Q149-$C$3,R149,$CJ$5)*H149-CJ149</f>
        <v>#NAME?</v>
      </c>
      <c r="CI149" s="253" t="e">
        <f aca="false">SUM(CD149:CH149)</f>
        <v>#NAME?</v>
      </c>
      <c r="CJ149" s="253" t="e">
        <f aca="false">xSPRDOPT((VLOOKUP(G149,NGPREVPRICES,2,FALSE())+HLOOKUP(D149,PREVCURVES,VLOOKUP(G149,MOVE_DOWN2,2,FALSE()),FALSE())),VLOOKUP(G149,NGPREVPRICES,2,FALSE()),CK149,VLOOKUP(G149,NGPREVPRICES,4,FALSE()),HLOOKUP(D149,PREVVOLS,VLOOKUP(G149,MOVE_DOWN2,2,FALSE()),FALSE()),VLOOKUP(G149,NGPREVPRICES,3,FALSE()),HLOOKUP(D149,Correllate,VLOOKUP(G149,CorMove,2,FALSE()),FALSE()),Q149-$CD$3,R149,$CJ$5)*H149</f>
        <v>#NAME?</v>
      </c>
      <c r="CK149" s="254" t="n">
        <f aca="false">I149</f>
        <v>0</v>
      </c>
      <c r="CL149" s="253"/>
      <c r="CM149" s="0" t="str">
        <f aca="false">CONCATENATE(CC149,$CD$6)</f>
        <v>36951Curve Shift/Gamma</v>
      </c>
      <c r="CN149" s="0" t="str">
        <f aca="false">CONCATENATE($CC149,$CE$6)</f>
        <v>36951Rho</v>
      </c>
      <c r="CO149" s="0" t="str">
        <f aca="false">CONCATENATE($CC149,$CF$6)</f>
        <v>36951Drift</v>
      </c>
      <c r="CP149" s="0" t="str">
        <f aca="false">CONCATENATE($CC149,$CG$6)</f>
        <v>36951Vega</v>
      </c>
      <c r="CQ149" s="0" t="str">
        <f aca="false">CONCATENATE($CC149,$CH$6)</f>
        <v>36951Theta</v>
      </c>
    </row>
    <row r="150" customFormat="false" ht="12" hidden="false" customHeight="true" outlineLevel="0" collapsed="false">
      <c r="A150" s="265" t="s">
        <v>198</v>
      </c>
      <c r="B150" s="0" t="s">
        <v>192</v>
      </c>
      <c r="C150" s="0" t="s">
        <v>252</v>
      </c>
      <c r="D150" s="7" t="s">
        <v>153</v>
      </c>
      <c r="E150" s="0" t="s">
        <v>131</v>
      </c>
      <c r="F150" s="0" t="s">
        <v>132</v>
      </c>
      <c r="G150" s="92" t="n">
        <v>36923</v>
      </c>
      <c r="H150" s="248" t="n">
        <v>-1000000</v>
      </c>
      <c r="I150" s="0" t="n">
        <v>0</v>
      </c>
      <c r="J150" s="124" t="n">
        <f aca="false">VLOOKUP(G150,NGPrices,2,FALSE())</f>
        <v>4.48</v>
      </c>
      <c r="K150" s="125" t="n">
        <f aca="false">HLOOKUP(D150,Prices,VLOOKUP(G150,move_down,2,FALSE()),FALSE())+VLOOKUP(G150,CHANGE,HLOOKUP(D150,CHANGE,2,FALSE()),FALSE())</f>
        <v>0.035</v>
      </c>
      <c r="L150" s="124" t="n">
        <f aca="false">K150+J150</f>
        <v>4.515</v>
      </c>
      <c r="M150" s="126" t="n">
        <f aca="false">VLOOKUP(G150,NGPrices,4,FALSE())</f>
        <v>0.068640161611372</v>
      </c>
      <c r="N150" s="7" t="n">
        <f aca="false">VLOOKUP(G150,NGPrices,3,FALSE())</f>
        <v>0.5925</v>
      </c>
      <c r="O150" s="7" t="n">
        <f aca="false">HLOOKUP(D150,VOLS,VLOOKUP(G150,move_down,2,FALSE()),FALSE())</f>
        <v>0.622</v>
      </c>
      <c r="P150" s="249" t="n">
        <f aca="false">HLOOKUP(D150,Correllate,VLOOKUP(G150,CorMove,2,FALSE()),FALSE())</f>
        <v>0.9975</v>
      </c>
      <c r="Q150" s="92" t="n">
        <f aca="false">WORKDAY(G150,-2)</f>
        <v>36921</v>
      </c>
      <c r="R150" s="7" t="n">
        <f aca="false">IF(F150="P",0,1)</f>
        <v>0</v>
      </c>
      <c r="S150" s="130" t="e">
        <f aca="false">xSPRDOPT($L150,$J150,$I150,$M150,$O150,$N150,$P150,$Q150-$C$3,$R150,0)</f>
        <v>#NAME?</v>
      </c>
      <c r="T150" s="250" t="e">
        <f aca="false">xSPRDOPT($L150,$J150,$I150,$M150,$O150,$N150,$P150,$Q150-$C$3,$R150,1)*H150</f>
        <v>#NAME?</v>
      </c>
      <c r="U150" s="43" t="e">
        <f aca="false">S150*H150</f>
        <v>#NAME?</v>
      </c>
      <c r="V150" s="250" t="e">
        <f aca="false">xSPRDOPT($L150,$J150,$I150,$M150,$O150,$N150,$P150,$Q150-$C$3,$R150,2)*H150</f>
        <v>#NAME?</v>
      </c>
      <c r="W150" s="250" t="e">
        <f aca="false">+V150+T150</f>
        <v>#NAME?</v>
      </c>
      <c r="X150" s="2" t="str">
        <f aca="false">CONCATENATE(G150,D150)</f>
        <v>36923IF-NNG/VENT</v>
      </c>
      <c r="Y150" s="251" t="n">
        <f aca="false">H150/10000</f>
        <v>-100</v>
      </c>
      <c r="Z150" s="226" t="e">
        <f aca="false">T150/H150</f>
        <v>#NAME?</v>
      </c>
      <c r="AA150" s="226" t="e">
        <f aca="false">xSPRDOPT($L150,$J150,$I150,$M150,$O150,$N150,$P150,$Q150-$C$3,$R150,3)</f>
        <v>#NAME?</v>
      </c>
      <c r="AB150" s="226" t="e">
        <f aca="false">((xSPRDOPT($L150+AB$5,$J150,$I150,$M150,$O150,$N150,$P150,$Q150-$C$3,$R150,3)*$H150)/10000)/100</f>
        <v>#NAME?</v>
      </c>
      <c r="AC150" s="226" t="e">
        <f aca="false">((xSPRDOPT($L150+$AB$5,$J150,$I150,$M150,$O150,$N150,$P150,$Q150-$C$3,$R150,7)*$H150)/100)</f>
        <v>#NAME?</v>
      </c>
      <c r="AD150" s="226" t="e">
        <f aca="false">(xSPRDOPT($L150+$AB$5,$J150,$I150,$M150,$O150,$N150,$P150,$Q150-$C$3,$R150,9)/365)*$H150</f>
        <v>#NAME?</v>
      </c>
      <c r="AE150" s="0" t="e">
        <f aca="false">CD150</f>
        <v>#NAME?</v>
      </c>
      <c r="AF150" s="226" t="e">
        <f aca="false">((O150/N150)*AH150)+AG150</f>
        <v>#NAME?</v>
      </c>
      <c r="AG150" s="226" t="e">
        <f aca="false">((xSPRDOPT($L150,$J150,$I150,$M150,$O150,$N150,$P150,$Q150-$C$3,$R150,6)*$H150)/100)</f>
        <v>#NAME?</v>
      </c>
      <c r="AH150" s="226" t="e">
        <f aca="false">((xSPRDOPT($L150,$J150,$I150,$M150,$O150,$N150,$P150,$Q150-$C$3,$R150,5)*$H150)/100)</f>
        <v>#NAME?</v>
      </c>
      <c r="AI150" s="226" t="e">
        <f aca="false">(((xSPRDOPT($L150,$J150,$I150,$M150,$O150,$N150,$P150,$Q150-$C$3,$R150,4)*$H150)/10000)/100)-AB150</f>
        <v>#NAME?</v>
      </c>
      <c r="AJ150" s="226"/>
      <c r="AK150" s="226"/>
      <c r="AL150" s="226"/>
      <c r="AM150" s="252"/>
      <c r="AN150" s="143" t="n">
        <f aca="false">EOMONTH(AN149,0)+1</f>
        <v>41091</v>
      </c>
      <c r="AO150" s="134" t="n">
        <f aca="false">SUMIF($X:$X,CONCATENATE($AN150,AO$6),$T:$T)/10000</f>
        <v>0</v>
      </c>
      <c r="AP150" s="134" t="n">
        <f aca="false">SUMIF($X:$X,CONCATENATE($AN150,AP$6),$T:$T)/10000</f>
        <v>0</v>
      </c>
      <c r="AQ150" s="134" t="n">
        <f aca="false">SUMIF($X:$X,CONCATENATE($AN150,AQ$6),$T:$T)/10000</f>
        <v>0</v>
      </c>
      <c r="AR150" s="134" t="n">
        <f aca="false">SUMIF($X:$X,CONCATENATE($AN150,AR$6),$T:$T)/10000</f>
        <v>0</v>
      </c>
      <c r="AS150" s="134" t="n">
        <f aca="false">SUMIF($X:$X,CONCATENATE($AN150,AS$6),$T:$T)/10000</f>
        <v>0</v>
      </c>
      <c r="AT150" s="134" t="n">
        <f aca="false">SUMIF($X:$X,CONCATENATE($AN150,AT$6),$T:$T)/10000</f>
        <v>0</v>
      </c>
      <c r="AU150" s="134" t="n">
        <f aca="false">SUMIF($X:$X,CONCATENATE($AN150,AU$6),$T:$T)/10000</f>
        <v>0</v>
      </c>
      <c r="AV150" s="134" t="n">
        <f aca="false">SUMIF($X:$X,CONCATENATE($AN150,AV$6),$T:$T)/10000</f>
        <v>0</v>
      </c>
      <c r="AW150" s="134" t="n">
        <f aca="false">SUMIF($X:$X,CONCATENATE($AN150,AW$6),$T:$T)/10000</f>
        <v>0</v>
      </c>
      <c r="AX150" s="134" t="n">
        <f aca="false">SUMIF($X:$X,CONCATENATE($AN150,AX$6),$T:$T)/10000</f>
        <v>0</v>
      </c>
      <c r="AY150" s="134" t="n">
        <f aca="false">SUMIF($X:$X,CONCATENATE($AN150,AY$6),$T:$T)/10000</f>
        <v>0</v>
      </c>
      <c r="AZ150" s="134" t="n">
        <f aca="false">SUMIF($X:$X,CONCATENATE($AN150,AZ$6),$T:$T)/10000</f>
        <v>0</v>
      </c>
      <c r="BA150" s="135" t="n">
        <f aca="false">SUMIF($X:$X,CONCATENATE($AN150,BA$6),$T:$T)/10000</f>
        <v>0</v>
      </c>
      <c r="BB150" s="143" t="n">
        <f aca="false">EOMONTH(BB149,0)+1</f>
        <v>41091</v>
      </c>
      <c r="BC150" s="135" t="n">
        <f aca="false">SUM(AO150:BA150)</f>
        <v>0</v>
      </c>
      <c r="BE150" s="143" t="n">
        <f aca="false">EOMONTH(BE149,0)+1</f>
        <v>41091</v>
      </c>
      <c r="BF150" s="134" t="n">
        <f aca="false">SUMIF($X:$X,CONCATENATE($AN150,BF$6),$W:$W)</f>
        <v>0</v>
      </c>
      <c r="BG150" s="134" t="n">
        <f aca="false">SUMIF($X:$X,CONCATENATE($AN150,BG$6),$W:$W)</f>
        <v>0</v>
      </c>
      <c r="BH150" s="134" t="n">
        <f aca="false">SUMIF($X:$X,CONCATENATE($AN150,BH$6),$W:$W)</f>
        <v>0</v>
      </c>
      <c r="BI150" s="134" t="n">
        <f aca="false">SUMIF($X:$X,CONCATENATE($AN150,BI$6),$W:$W)</f>
        <v>0</v>
      </c>
      <c r="BJ150" s="134" t="n">
        <f aca="false">SUMIF($X:$X,CONCATENATE($AN150,BJ$6),$W:$W)</f>
        <v>0</v>
      </c>
      <c r="BK150" s="134" t="n">
        <f aca="false">SUMIF($X:$X,CONCATENATE($AN150,BK$6),$W:$W)</f>
        <v>0</v>
      </c>
      <c r="BL150" s="134" t="n">
        <f aca="false">SUMIF($X:$X,CONCATENATE($AN150,BL$6),$W:$W)</f>
        <v>0</v>
      </c>
      <c r="BM150" s="134" t="n">
        <f aca="false">SUMIF($X:$X,CONCATENATE($AN150,BM$6),$W:$W)</f>
        <v>0</v>
      </c>
      <c r="BN150" s="134" t="n">
        <f aca="false">SUMIF($X:$X,CONCATENATE($AN150,BN$6),$W:$W)</f>
        <v>0</v>
      </c>
      <c r="BO150" s="134" t="n">
        <f aca="false">SUMIF($X:$X,CONCATENATE($AN150,BO$6),$W:$W)</f>
        <v>0</v>
      </c>
      <c r="BP150" s="134" t="n">
        <f aca="false">SUMIF($X:$X,CONCATENATE($AN150,BP$6),$W:$W)</f>
        <v>0</v>
      </c>
      <c r="BQ150" s="134" t="n">
        <f aca="false">SUMIF($X:$X,CONCATENATE($AN150,BQ$6),$W:$W)</f>
        <v>0</v>
      </c>
      <c r="BR150" s="135" t="n">
        <f aca="false">SUMIF($X:$X,CONCATENATE($AN150,BR$6),$W:$W)</f>
        <v>0</v>
      </c>
      <c r="BS150" s="143" t="n">
        <f aca="false">EOMONTH(BS149,0)+1</f>
        <v>41091</v>
      </c>
      <c r="BT150" s="135" t="n">
        <f aca="false">SUM(BF150:BR150)</f>
        <v>0</v>
      </c>
      <c r="CC150" s="182" t="n">
        <f aca="false">G150</f>
        <v>36923</v>
      </c>
      <c r="CD150" s="253" t="e">
        <f aca="false">xSPRDOPT((VLOOKUP(G150,NGPrices,2,FALSE())+HLOOKUP(D150,Prices,VLOOKUP(G150,move_down,2,FALSE()),FALSE())),VLOOKUP(G150,NGPrices,2,FALSE()),I150,VLOOKUP(G150,NGPREVPRICES,4,FALSE()),HLOOKUP(D150,PREVVOLS,VLOOKUP(G150,MOVE_DOWN2,2,FALSE()),FALSE()),VLOOKUP(G150,NGPREVPRICES,3,FALSE()),HLOOKUP(D150,Correllate,VLOOKUP(G150,CorMove,2,FALSE()),FALSE()),Q150-$CD$3,R150,$CD$5)*H150-CJ150</f>
        <v>#NAME?</v>
      </c>
      <c r="CE150" s="253" t="e">
        <f aca="false">xSPRDOPT((VLOOKUP(G150,NGPREVPRICES,2,FALSE())+HLOOKUP(D150,PREVCURVES,VLOOKUP(G150,MOVE_DOWN2,2,FALSE()),FALSE())),VLOOKUP(G150,NGPREVPRICES,2,FALSE()),CK150,VLOOKUP(G150,NGPrices,4,FALSE()),HLOOKUP(D150,PREVVOLS,VLOOKUP(G150,MOVE_DOWN2,2,FALSE()),FALSE()),VLOOKUP(G150,NGPREVPRICES,3,FALSE()),HLOOKUP(D150,Correllate,VLOOKUP(G150,CorMove,2,FALSE()),FALSE()),Q150-$CD$3,R150,$CJ$5)*H150-CJ150</f>
        <v>#NAME?</v>
      </c>
      <c r="CF150" s="132" t="e">
        <f aca="false">(CJ150/VLOOKUP(CC150,discount,3,FALSE()))-(CJ150/VLOOKUP(CC150,discount,2,FALSE()))</f>
        <v>#NAME?</v>
      </c>
      <c r="CG150" s="253" t="e">
        <f aca="false">xSPRDOPT((VLOOKUP(G150,NGPREVPRICES,2,FALSE())+HLOOKUP(D150,PREVCURVES,VLOOKUP(G150,MOVE_DOWN2,2,FALSE()),FALSE())),VLOOKUP(G150,NGPREVPRICES,2,FALSE()),CK150,VLOOKUP(G150,NGPREVPRICES,4,FALSE()),HLOOKUP(D150,VOLS,VLOOKUP(G150,move_down,2,FALSE()),FALSE()),VLOOKUP(G150,NGPrices,3,FALSE()),HLOOKUP(D150,Correllate,VLOOKUP(G150,CorMove,2,FALSE()),FALSE()),Q150-$CD$3,R150,$CJ$5)*H150-CJ150</f>
        <v>#NAME?</v>
      </c>
      <c r="CH150" s="253" t="e">
        <f aca="false">xSPRDOPT((VLOOKUP(G150,NGPREVPRICES,2,FALSE())+HLOOKUP(D150,PREVCURVES,VLOOKUP(G150,MOVE_DOWN2,2,FALSE()),FALSE())),VLOOKUP(G150,NGPREVPRICES,2,FALSE()),CK150,VLOOKUP(G150,NGPREVPRICES,4,FALSE()),HLOOKUP(D150,PREVVOLS,VLOOKUP(G150,MOVE_DOWN2,2,FALSE()),FALSE()),VLOOKUP(G150,NGPREVPRICES,3,FALSE()),HLOOKUP(D150,Correllate,VLOOKUP(G150,CorMove,2,FALSE()),FALSE()),Q150-$C$3,R150,$CJ$5)*H150-CJ150</f>
        <v>#NAME?</v>
      </c>
      <c r="CI150" s="253" t="e">
        <f aca="false">SUM(CD150:CH150)</f>
        <v>#NAME?</v>
      </c>
      <c r="CJ150" s="253" t="e">
        <f aca="false">xSPRDOPT((VLOOKUP(G150,NGPREVPRICES,2,FALSE())+HLOOKUP(D150,PREVCURVES,VLOOKUP(G150,MOVE_DOWN2,2,FALSE()),FALSE())),VLOOKUP(G150,NGPREVPRICES,2,FALSE()),CK150,VLOOKUP(G150,NGPREVPRICES,4,FALSE()),HLOOKUP(D150,PREVVOLS,VLOOKUP(G150,MOVE_DOWN2,2,FALSE()),FALSE()),VLOOKUP(G150,NGPREVPRICES,3,FALSE()),HLOOKUP(D150,Correllate,VLOOKUP(G150,CorMove,2,FALSE()),FALSE()),Q150-$CD$3,R150,$CJ$5)*H150</f>
        <v>#NAME?</v>
      </c>
      <c r="CK150" s="254" t="n">
        <f aca="false">I150</f>
        <v>0</v>
      </c>
      <c r="CL150" s="253"/>
      <c r="CM150" s="0" t="str">
        <f aca="false">CONCATENATE(CC150,$CD$6)</f>
        <v>36923Curve Shift/Gamma</v>
      </c>
      <c r="CN150" s="0" t="str">
        <f aca="false">CONCATENATE($CC150,$CE$6)</f>
        <v>36923Rho</v>
      </c>
      <c r="CO150" s="0" t="str">
        <f aca="false">CONCATENATE($CC150,$CF$6)</f>
        <v>36923Drift</v>
      </c>
      <c r="CP150" s="0" t="str">
        <f aca="false">CONCATENATE($CC150,$CG$6)</f>
        <v>36923Vega</v>
      </c>
      <c r="CQ150" s="0" t="str">
        <f aca="false">CONCATENATE($CC150,$CH$6)</f>
        <v>36923Theta</v>
      </c>
    </row>
    <row r="151" customFormat="false" ht="12" hidden="false" customHeight="true" outlineLevel="0" collapsed="false">
      <c r="A151" s="265" t="s">
        <v>198</v>
      </c>
      <c r="B151" s="0" t="s">
        <v>192</v>
      </c>
      <c r="C151" s="0" t="s">
        <v>252</v>
      </c>
      <c r="D151" s="7" t="s">
        <v>153</v>
      </c>
      <c r="E151" s="0" t="s">
        <v>131</v>
      </c>
      <c r="F151" s="0" t="s">
        <v>132</v>
      </c>
      <c r="G151" s="92" t="n">
        <v>36892</v>
      </c>
      <c r="H151" s="248" t="n">
        <v>-1000000</v>
      </c>
      <c r="I151" s="0" t="n">
        <v>0</v>
      </c>
      <c r="J151" s="124" t="n">
        <f aca="false">VLOOKUP(G151,NGPrices,2,FALSE())</f>
        <v>4.744</v>
      </c>
      <c r="K151" s="125" t="n">
        <f aca="false">HLOOKUP(D151,Prices,VLOOKUP(G151,move_down,2,FALSE()),FALSE())+VLOOKUP(G151,CHANGE,HLOOKUP(D151,CHANGE,2,FALSE()),FALSE())</f>
        <v>0.03</v>
      </c>
      <c r="L151" s="124" t="n">
        <f aca="false">K151+J151</f>
        <v>4.774</v>
      </c>
      <c r="M151" s="126" t="n">
        <f aca="false">VLOOKUP(G151,NGPrices,4,FALSE())</f>
        <v>0.068374831148491</v>
      </c>
      <c r="N151" s="7" t="n">
        <f aca="false">VLOOKUP(G151,NGPrices,3,FALSE())</f>
        <v>0.605</v>
      </c>
      <c r="O151" s="7" t="n">
        <f aca="false">HLOOKUP(D151,VOLS,VLOOKUP(G151,move_down,2,FALSE()),FALSE())</f>
        <v>0.635</v>
      </c>
      <c r="P151" s="249" t="n">
        <f aca="false">HLOOKUP(D151,Correllate,VLOOKUP(G151,CorMove,2,FALSE()),FALSE())</f>
        <v>0.9975</v>
      </c>
      <c r="Q151" s="92" t="n">
        <f aca="false">WORKDAY(G151,-2)</f>
        <v>36888</v>
      </c>
      <c r="R151" s="7" t="n">
        <f aca="false">IF(F151="P",0,1)</f>
        <v>0</v>
      </c>
      <c r="S151" s="130" t="e">
        <f aca="false">xSPRDOPT($L151,$J151,$I151,$M151,$O151,$N151,$P151,$Q151-$C$3,$R151,0)</f>
        <v>#NAME?</v>
      </c>
      <c r="T151" s="250" t="e">
        <f aca="false">xSPRDOPT($L151,$J151,$I151,$M151,$O151,$N151,$P151,$Q151-$C$3,$R151,1)*H151</f>
        <v>#NAME?</v>
      </c>
      <c r="U151" s="43" t="e">
        <f aca="false">S151*H151</f>
        <v>#NAME?</v>
      </c>
      <c r="V151" s="250" t="e">
        <f aca="false">xSPRDOPT($L151,$J151,$I151,$M151,$O151,$N151,$P151,$Q151-$C$3,$R151,2)*H151</f>
        <v>#NAME?</v>
      </c>
      <c r="W151" s="250" t="e">
        <f aca="false">+V151+T151</f>
        <v>#NAME?</v>
      </c>
      <c r="X151" s="2" t="str">
        <f aca="false">CONCATENATE(G151,D151)</f>
        <v>36892IF-NNG/VENT</v>
      </c>
      <c r="Y151" s="251" t="n">
        <f aca="false">H151/10000</f>
        <v>-100</v>
      </c>
      <c r="Z151" s="226" t="e">
        <f aca="false">T151/H151</f>
        <v>#NAME?</v>
      </c>
      <c r="AA151" s="226" t="e">
        <f aca="false">xSPRDOPT($L151,$J151,$I151,$M151,$O151,$N151,$P151,$Q151-$C$3,$R151,3)</f>
        <v>#NAME?</v>
      </c>
      <c r="AB151" s="226" t="e">
        <f aca="false">((xSPRDOPT($L151+AB$5,$J151,$I151,$M151,$O151,$N151,$P151,$Q151-$C$3,$R151,3)*$H151)/10000)/100</f>
        <v>#NAME?</v>
      </c>
      <c r="AC151" s="226" t="e">
        <f aca="false">((xSPRDOPT($L151+$AB$5,$J151,$I151,$M151,$O151,$N151,$P151,$Q151-$C$3,$R151,7)*$H151)/100)</f>
        <v>#NAME?</v>
      </c>
      <c r="AD151" s="226" t="e">
        <f aca="false">(xSPRDOPT($L151+$AB$5,$J151,$I151,$M151,$O151,$N151,$P151,$Q151-$C$3,$R151,9)/365)*$H151</f>
        <v>#NAME?</v>
      </c>
      <c r="AE151" s="0" t="e">
        <f aca="false">CD151</f>
        <v>#NAME?</v>
      </c>
      <c r="AF151" s="226" t="e">
        <f aca="false">((O151/N151)*AH151)+AG151</f>
        <v>#NAME?</v>
      </c>
      <c r="AG151" s="226" t="e">
        <f aca="false">((xSPRDOPT($L151,$J151,$I151,$M151,$O151,$N151,$P151,$Q151-$C$3,$R151,6)*$H151)/100)</f>
        <v>#NAME?</v>
      </c>
      <c r="AH151" s="226" t="e">
        <f aca="false">((xSPRDOPT($L151,$J151,$I151,$M151,$O151,$N151,$P151,$Q151-$C$3,$R151,5)*$H151)/100)</f>
        <v>#NAME?</v>
      </c>
      <c r="AI151" s="226" t="e">
        <f aca="false">(((xSPRDOPT($L151,$J151,$I151,$M151,$O151,$N151,$P151,$Q151-$C$3,$R151,4)*$H151)/10000)/100)-AB151</f>
        <v>#NAME?</v>
      </c>
      <c r="AJ151" s="226"/>
      <c r="AK151" s="226"/>
      <c r="AL151" s="226"/>
      <c r="AM151" s="252"/>
      <c r="AN151" s="143" t="n">
        <f aca="false">EOMONTH(AN150,0)+1</f>
        <v>41122</v>
      </c>
      <c r="AO151" s="134" t="n">
        <f aca="false">SUMIF($X:$X,CONCATENATE($AN151,AO$6),$T:$T)/10000</f>
        <v>0</v>
      </c>
      <c r="AP151" s="134" t="n">
        <f aca="false">SUMIF($X:$X,CONCATENATE($AN151,AP$6),$T:$T)/10000</f>
        <v>0</v>
      </c>
      <c r="AQ151" s="134" t="n">
        <f aca="false">SUMIF($X:$X,CONCATENATE($AN151,AQ$6),$T:$T)/10000</f>
        <v>0</v>
      </c>
      <c r="AR151" s="134" t="n">
        <f aca="false">SUMIF($X:$X,CONCATENATE($AN151,AR$6),$T:$T)/10000</f>
        <v>0</v>
      </c>
      <c r="AS151" s="134" t="n">
        <f aca="false">SUMIF($X:$X,CONCATENATE($AN151,AS$6),$T:$T)/10000</f>
        <v>0</v>
      </c>
      <c r="AT151" s="134" t="n">
        <f aca="false">SUMIF($X:$X,CONCATENATE($AN151,AT$6),$T:$T)/10000</f>
        <v>0</v>
      </c>
      <c r="AU151" s="134" t="n">
        <f aca="false">SUMIF($X:$X,CONCATENATE($AN151,AU$6),$T:$T)/10000</f>
        <v>0</v>
      </c>
      <c r="AV151" s="134" t="n">
        <f aca="false">SUMIF($X:$X,CONCATENATE($AN151,AV$6),$T:$T)/10000</f>
        <v>0</v>
      </c>
      <c r="AW151" s="134" t="n">
        <f aca="false">SUMIF($X:$X,CONCATENATE($AN151,AW$6),$T:$T)/10000</f>
        <v>0</v>
      </c>
      <c r="AX151" s="134" t="n">
        <f aca="false">SUMIF($X:$X,CONCATENATE($AN151,AX$6),$T:$T)/10000</f>
        <v>0</v>
      </c>
      <c r="AY151" s="134" t="n">
        <f aca="false">SUMIF($X:$X,CONCATENATE($AN151,AY$6),$T:$T)/10000</f>
        <v>0</v>
      </c>
      <c r="AZ151" s="134" t="n">
        <f aca="false">SUMIF($X:$X,CONCATENATE($AN151,AZ$6),$T:$T)/10000</f>
        <v>0</v>
      </c>
      <c r="BA151" s="135" t="n">
        <f aca="false">SUMIF($X:$X,CONCATENATE($AN151,BA$6),$T:$T)/10000</f>
        <v>0</v>
      </c>
      <c r="BB151" s="143" t="n">
        <f aca="false">EOMONTH(BB150,0)+1</f>
        <v>41122</v>
      </c>
      <c r="BC151" s="135" t="n">
        <f aca="false">SUM(AO151:BA151)</f>
        <v>0</v>
      </c>
      <c r="BE151" s="143" t="n">
        <f aca="false">EOMONTH(BE150,0)+1</f>
        <v>41122</v>
      </c>
      <c r="BF151" s="134" t="n">
        <f aca="false">SUMIF($X:$X,CONCATENATE($AN151,BF$6),$W:$W)</f>
        <v>0</v>
      </c>
      <c r="BG151" s="134" t="n">
        <f aca="false">SUMIF($X:$X,CONCATENATE($AN151,BG$6),$W:$W)</f>
        <v>0</v>
      </c>
      <c r="BH151" s="134" t="n">
        <f aca="false">SUMIF($X:$X,CONCATENATE($AN151,BH$6),$W:$W)</f>
        <v>0</v>
      </c>
      <c r="BI151" s="134" t="n">
        <f aca="false">SUMIF($X:$X,CONCATENATE($AN151,BI$6),$W:$W)</f>
        <v>0</v>
      </c>
      <c r="BJ151" s="134" t="n">
        <f aca="false">SUMIF($X:$X,CONCATENATE($AN151,BJ$6),$W:$W)</f>
        <v>0</v>
      </c>
      <c r="BK151" s="134" t="n">
        <f aca="false">SUMIF($X:$X,CONCATENATE($AN151,BK$6),$W:$W)</f>
        <v>0</v>
      </c>
      <c r="BL151" s="134" t="n">
        <f aca="false">SUMIF($X:$X,CONCATENATE($AN151,BL$6),$W:$W)</f>
        <v>0</v>
      </c>
      <c r="BM151" s="134" t="n">
        <f aca="false">SUMIF($X:$X,CONCATENATE($AN151,BM$6),$W:$W)</f>
        <v>0</v>
      </c>
      <c r="BN151" s="134" t="n">
        <f aca="false">SUMIF($X:$X,CONCATENATE($AN151,BN$6),$W:$W)</f>
        <v>0</v>
      </c>
      <c r="BO151" s="134" t="n">
        <f aca="false">SUMIF($X:$X,CONCATENATE($AN151,BO$6),$W:$W)</f>
        <v>0</v>
      </c>
      <c r="BP151" s="134" t="n">
        <f aca="false">SUMIF($X:$X,CONCATENATE($AN151,BP$6),$W:$W)</f>
        <v>0</v>
      </c>
      <c r="BQ151" s="134" t="n">
        <f aca="false">SUMIF($X:$X,CONCATENATE($AN151,BQ$6),$W:$W)</f>
        <v>0</v>
      </c>
      <c r="BR151" s="135" t="n">
        <f aca="false">SUMIF($X:$X,CONCATENATE($AN151,BR$6),$W:$W)</f>
        <v>0</v>
      </c>
      <c r="BS151" s="143" t="n">
        <f aca="false">EOMONTH(BS150,0)+1</f>
        <v>41122</v>
      </c>
      <c r="BT151" s="135" t="n">
        <f aca="false">SUM(BF151:BR151)</f>
        <v>0</v>
      </c>
      <c r="CC151" s="182" t="n">
        <f aca="false">G151</f>
        <v>36892</v>
      </c>
      <c r="CD151" s="253" t="e">
        <f aca="false">xSPRDOPT((VLOOKUP(G151,NGPrices,2,FALSE())+HLOOKUP(D151,Prices,VLOOKUP(G151,move_down,2,FALSE()),FALSE())),VLOOKUP(G151,NGPrices,2,FALSE()),I151,VLOOKUP(G151,NGPREVPRICES,4,FALSE()),HLOOKUP(D151,PREVVOLS,VLOOKUP(G151,MOVE_DOWN2,2,FALSE()),FALSE()),VLOOKUP(G151,NGPREVPRICES,3,FALSE()),HLOOKUP(D151,Correllate,VLOOKUP(G151,CorMove,2,FALSE()),FALSE()),Q151-$CD$3,R151,$CD$5)*H151-CJ151</f>
        <v>#NAME?</v>
      </c>
      <c r="CE151" s="253" t="e">
        <f aca="false">xSPRDOPT((VLOOKUP(G151,NGPREVPRICES,2,FALSE())+HLOOKUP(D151,PREVCURVES,VLOOKUP(G151,MOVE_DOWN2,2,FALSE()),FALSE())),VLOOKUP(G151,NGPREVPRICES,2,FALSE()),CK151,VLOOKUP(G151,NGPrices,4,FALSE()),HLOOKUP(D151,PREVVOLS,VLOOKUP(G151,MOVE_DOWN2,2,FALSE()),FALSE()),VLOOKUP(G151,NGPREVPRICES,3,FALSE()),HLOOKUP(D151,Correllate,VLOOKUP(G151,CorMove,2,FALSE()),FALSE()),Q151-$CD$3,R151,$CJ$5)*H151-CJ151</f>
        <v>#NAME?</v>
      </c>
      <c r="CF151" s="132" t="e">
        <f aca="false">(CJ151/VLOOKUP(CC151,discount,3,FALSE()))-(CJ151/VLOOKUP(CC151,discount,2,FALSE()))</f>
        <v>#NAME?</v>
      </c>
      <c r="CG151" s="253" t="e">
        <f aca="false">xSPRDOPT((VLOOKUP(G151,NGPREVPRICES,2,FALSE())+HLOOKUP(D151,PREVCURVES,VLOOKUP(G151,MOVE_DOWN2,2,FALSE()),FALSE())),VLOOKUP(G151,NGPREVPRICES,2,FALSE()),CK151,VLOOKUP(G151,NGPREVPRICES,4,FALSE()),HLOOKUP(D151,VOLS,VLOOKUP(G151,move_down,2,FALSE()),FALSE()),VLOOKUP(G151,NGPrices,3,FALSE()),HLOOKUP(D151,Correllate,VLOOKUP(G151,CorMove,2,FALSE()),FALSE()),Q151-$CD$3,R151,$CJ$5)*H151-CJ151</f>
        <v>#NAME?</v>
      </c>
      <c r="CH151" s="253" t="e">
        <f aca="false">xSPRDOPT((VLOOKUP(G151,NGPREVPRICES,2,FALSE())+HLOOKUP(D151,PREVCURVES,VLOOKUP(G151,MOVE_DOWN2,2,FALSE()),FALSE())),VLOOKUP(G151,NGPREVPRICES,2,FALSE()),CK151,VLOOKUP(G151,NGPREVPRICES,4,FALSE()),HLOOKUP(D151,PREVVOLS,VLOOKUP(G151,MOVE_DOWN2,2,FALSE()),FALSE()),VLOOKUP(G151,NGPREVPRICES,3,FALSE()),HLOOKUP(D151,Correllate,VLOOKUP(G151,CorMove,2,FALSE()),FALSE()),Q151-$C$3,R151,$CJ$5)*H151-CJ151</f>
        <v>#NAME?</v>
      </c>
      <c r="CI151" s="253" t="e">
        <f aca="false">SUM(CD151:CH151)</f>
        <v>#NAME?</v>
      </c>
      <c r="CJ151" s="253" t="e">
        <f aca="false">xSPRDOPT((VLOOKUP(G151,NGPREVPRICES,2,FALSE())+HLOOKUP(D151,PREVCURVES,VLOOKUP(G151,MOVE_DOWN2,2,FALSE()),FALSE())),VLOOKUP(G151,NGPREVPRICES,2,FALSE()),CK151,VLOOKUP(G151,NGPREVPRICES,4,FALSE()),HLOOKUP(D151,PREVVOLS,VLOOKUP(G151,MOVE_DOWN2,2,FALSE()),FALSE()),VLOOKUP(G151,NGPREVPRICES,3,FALSE()),HLOOKUP(D151,Correllate,VLOOKUP(G151,CorMove,2,FALSE()),FALSE()),Q151-$CD$3,R151,$CJ$5)*H151</f>
        <v>#NAME?</v>
      </c>
      <c r="CK151" s="254" t="n">
        <f aca="false">I151</f>
        <v>0</v>
      </c>
      <c r="CL151" s="253"/>
      <c r="CM151" s="0" t="str">
        <f aca="false">CONCATENATE(CC151,$CD$6)</f>
        <v>36892Curve Shift/Gamma</v>
      </c>
      <c r="CN151" s="0" t="str">
        <f aca="false">CONCATENATE($CC151,$CE$6)</f>
        <v>36892Rho</v>
      </c>
      <c r="CO151" s="0" t="str">
        <f aca="false">CONCATENATE($CC151,$CF$6)</f>
        <v>36892Drift</v>
      </c>
      <c r="CP151" s="0" t="str">
        <f aca="false">CONCATENATE($CC151,$CG$6)</f>
        <v>36892Vega</v>
      </c>
      <c r="CQ151" s="0" t="str">
        <f aca="false">CONCATENATE($CC151,$CH$6)</f>
        <v>36892Theta</v>
      </c>
    </row>
    <row r="152" customFormat="false" ht="12" hidden="false" customHeight="true" outlineLevel="0" collapsed="false">
      <c r="A152" s="265" t="s">
        <v>198</v>
      </c>
      <c r="B152" s="0" t="s">
        <v>192</v>
      </c>
      <c r="C152" s="0" t="s">
        <v>252</v>
      </c>
      <c r="D152" s="7" t="s">
        <v>153</v>
      </c>
      <c r="E152" s="0" t="s">
        <v>131</v>
      </c>
      <c r="F152" s="0" t="s">
        <v>132</v>
      </c>
      <c r="G152" s="92" t="n">
        <v>36861</v>
      </c>
      <c r="H152" s="248" t="n">
        <v>-1000000</v>
      </c>
      <c r="I152" s="0" t="n">
        <v>0</v>
      </c>
      <c r="J152" s="124" t="n">
        <f aca="false">VLOOKUP(G152,NGPrices,2,FALSE())</f>
        <v>4.8</v>
      </c>
      <c r="K152" s="125" t="n">
        <f aca="false">HLOOKUP(D152,Prices,VLOOKUP(G152,move_down,2,FALSE()),FALSE())+VLOOKUP(G152,CHANGE,HLOOKUP(D152,CHANGE,2,FALSE()),FALSE())</f>
        <v>0.0175</v>
      </c>
      <c r="L152" s="124" t="n">
        <f aca="false">K152+J152</f>
        <v>4.8175</v>
      </c>
      <c r="M152" s="126" t="n">
        <f aca="false">VLOOKUP(G152,NGPrices,4,FALSE())</f>
        <v>0.068314027999354</v>
      </c>
      <c r="N152" s="7" t="n">
        <f aca="false">VLOOKUP(G152,NGPrices,3,FALSE())</f>
        <v>0.6</v>
      </c>
      <c r="O152" s="7" t="n">
        <f aca="false">HLOOKUP(D152,VOLS,VLOOKUP(G152,move_down,2,FALSE()),FALSE())</f>
        <v>0.63</v>
      </c>
      <c r="P152" s="249" t="n">
        <f aca="false">HLOOKUP(D152,Correllate,VLOOKUP(G152,CorMove,2,FALSE()),FALSE())</f>
        <v>0.9975</v>
      </c>
      <c r="Q152" s="92" t="n">
        <f aca="false">WORKDAY(G152,-2)</f>
        <v>36859</v>
      </c>
      <c r="R152" s="7" t="n">
        <f aca="false">IF(F152="P",0,1)</f>
        <v>0</v>
      </c>
      <c r="S152" s="130" t="e">
        <f aca="false">xSPRDOPT($L152,$J152,$I152,$M152,$O152,$N152,$P152,$Q152-$C$3,$R152,0)</f>
        <v>#NAME?</v>
      </c>
      <c r="T152" s="250" t="e">
        <f aca="false">xSPRDOPT($L152,$J152,$I152,$M152,$O152,$N152,$P152,$Q152-$C$3,$R152,1)*H152</f>
        <v>#NAME?</v>
      </c>
      <c r="U152" s="43" t="e">
        <f aca="false">S152*H152</f>
        <v>#NAME?</v>
      </c>
      <c r="V152" s="250" t="e">
        <f aca="false">xSPRDOPT($L152,$J152,$I152,$M152,$O152,$N152,$P152,$Q152-$C$3,$R152,2)*H152</f>
        <v>#NAME?</v>
      </c>
      <c r="W152" s="250" t="e">
        <f aca="false">+V152+T152</f>
        <v>#NAME?</v>
      </c>
      <c r="X152" s="2" t="str">
        <f aca="false">CONCATENATE(G152,D152)</f>
        <v>36861IF-NNG/VENT</v>
      </c>
      <c r="Y152" s="251" t="n">
        <f aca="false">H152/10000</f>
        <v>-100</v>
      </c>
      <c r="Z152" s="226" t="e">
        <f aca="false">T152/H152</f>
        <v>#NAME?</v>
      </c>
      <c r="AA152" s="226" t="e">
        <f aca="false">xSPRDOPT($L152,$J152,$I152,$M152,$O152,$N152,$P152,$Q152-$C$3,$R152,3)</f>
        <v>#NAME?</v>
      </c>
      <c r="AB152" s="226" t="e">
        <f aca="false">((xSPRDOPT($L152+AB$5,$J152,$I152,$M152,$O152,$N152,$P152,$Q152-$C$3,$R152,3)*$H152)/10000)/100</f>
        <v>#NAME?</v>
      </c>
      <c r="AC152" s="226" t="e">
        <f aca="false">((xSPRDOPT($L152+$AB$5,$J152,$I152,$M152,$O152,$N152,$P152,$Q152-$C$3,$R152,7)*$H152)/100)</f>
        <v>#NAME?</v>
      </c>
      <c r="AD152" s="226" t="e">
        <f aca="false">(xSPRDOPT($L152+$AB$5,$J152,$I152,$M152,$O152,$N152,$P152,$Q152-$C$3,$R152,9)/365)*$H152</f>
        <v>#NAME?</v>
      </c>
      <c r="AE152" s="0" t="e">
        <f aca="false">CD152</f>
        <v>#NAME?</v>
      </c>
      <c r="AF152" s="226" t="e">
        <f aca="false">((O152/N152)*AH152)+AG152</f>
        <v>#NAME?</v>
      </c>
      <c r="AG152" s="226" t="e">
        <f aca="false">((xSPRDOPT($L152,$J152,$I152,$M152,$O152,$N152,$P152,$Q152-$C$3,$R152,6)*$H152)/100)</f>
        <v>#NAME?</v>
      </c>
      <c r="AH152" s="226" t="e">
        <f aca="false">((xSPRDOPT($L152,$J152,$I152,$M152,$O152,$N152,$P152,$Q152-$C$3,$R152,5)*$H152)/100)</f>
        <v>#NAME?</v>
      </c>
      <c r="AI152" s="226" t="e">
        <f aca="false">(((xSPRDOPT($L152,$J152,$I152,$M152,$O152,$N152,$P152,$Q152-$C$3,$R152,4)*$H152)/10000)/100)-AB152</f>
        <v>#NAME?</v>
      </c>
      <c r="AJ152" s="226"/>
      <c r="AK152" s="226"/>
      <c r="AL152" s="226"/>
      <c r="AM152" s="252"/>
      <c r="AN152" s="143" t="n">
        <f aca="false">EOMONTH(AN151,0)+1</f>
        <v>41153</v>
      </c>
      <c r="AO152" s="134" t="n">
        <f aca="false">SUMIF($X:$X,CONCATENATE($AN152,AO$6),$T:$T)/10000</f>
        <v>0</v>
      </c>
      <c r="AP152" s="134" t="n">
        <f aca="false">SUMIF($X:$X,CONCATENATE($AN152,AP$6),$T:$T)/10000</f>
        <v>0</v>
      </c>
      <c r="AQ152" s="134" t="n">
        <f aca="false">SUMIF($X:$X,CONCATENATE($AN152,AQ$6),$T:$T)/10000</f>
        <v>0</v>
      </c>
      <c r="AR152" s="134" t="n">
        <f aca="false">SUMIF($X:$X,CONCATENATE($AN152,AR$6),$T:$T)/10000</f>
        <v>0</v>
      </c>
      <c r="AS152" s="134" t="n">
        <f aca="false">SUMIF($X:$X,CONCATENATE($AN152,AS$6),$T:$T)/10000</f>
        <v>0</v>
      </c>
      <c r="AT152" s="134" t="n">
        <f aca="false">SUMIF($X:$X,CONCATENATE($AN152,AT$6),$T:$T)/10000</f>
        <v>0</v>
      </c>
      <c r="AU152" s="134" t="n">
        <f aca="false">SUMIF($X:$X,CONCATENATE($AN152,AU$6),$T:$T)/10000</f>
        <v>0</v>
      </c>
      <c r="AV152" s="134" t="n">
        <f aca="false">SUMIF($X:$X,CONCATENATE($AN152,AV$6),$T:$T)/10000</f>
        <v>0</v>
      </c>
      <c r="AW152" s="134" t="n">
        <f aca="false">SUMIF($X:$X,CONCATENATE($AN152,AW$6),$T:$T)/10000</f>
        <v>0</v>
      </c>
      <c r="AX152" s="134" t="n">
        <f aca="false">SUMIF($X:$X,CONCATENATE($AN152,AX$6),$T:$T)/10000</f>
        <v>0</v>
      </c>
      <c r="AY152" s="134" t="n">
        <f aca="false">SUMIF($X:$X,CONCATENATE($AN152,AY$6),$T:$T)/10000</f>
        <v>0</v>
      </c>
      <c r="AZ152" s="134" t="n">
        <f aca="false">SUMIF($X:$X,CONCATENATE($AN152,AZ$6),$T:$T)/10000</f>
        <v>0</v>
      </c>
      <c r="BA152" s="135" t="n">
        <f aca="false">SUMIF($X:$X,CONCATENATE($AN152,BA$6),$T:$T)/10000</f>
        <v>0</v>
      </c>
      <c r="BB152" s="143" t="n">
        <f aca="false">EOMONTH(BB151,0)+1</f>
        <v>41153</v>
      </c>
      <c r="BC152" s="135" t="n">
        <f aca="false">SUM(AO152:BA152)</f>
        <v>0</v>
      </c>
      <c r="BE152" s="143" t="n">
        <f aca="false">EOMONTH(BE151,0)+1</f>
        <v>41153</v>
      </c>
      <c r="BF152" s="134" t="n">
        <f aca="false">SUMIF($X:$X,CONCATENATE($AN152,BF$6),$W:$W)</f>
        <v>0</v>
      </c>
      <c r="BG152" s="134" t="n">
        <f aca="false">SUMIF($X:$X,CONCATENATE($AN152,BG$6),$W:$W)</f>
        <v>0</v>
      </c>
      <c r="BH152" s="134" t="n">
        <f aca="false">SUMIF($X:$X,CONCATENATE($AN152,BH$6),$W:$W)</f>
        <v>0</v>
      </c>
      <c r="BI152" s="134" t="n">
        <f aca="false">SUMIF($X:$X,CONCATENATE($AN152,BI$6),$W:$W)</f>
        <v>0</v>
      </c>
      <c r="BJ152" s="134" t="n">
        <f aca="false">SUMIF($X:$X,CONCATENATE($AN152,BJ$6),$W:$W)</f>
        <v>0</v>
      </c>
      <c r="BK152" s="134" t="n">
        <f aca="false">SUMIF($X:$X,CONCATENATE($AN152,BK$6),$W:$W)</f>
        <v>0</v>
      </c>
      <c r="BL152" s="134" t="n">
        <f aca="false">SUMIF($X:$X,CONCATENATE($AN152,BL$6),$W:$W)</f>
        <v>0</v>
      </c>
      <c r="BM152" s="134" t="n">
        <f aca="false">SUMIF($X:$X,CONCATENATE($AN152,BM$6),$W:$W)</f>
        <v>0</v>
      </c>
      <c r="BN152" s="134" t="n">
        <f aca="false">SUMIF($X:$X,CONCATENATE($AN152,BN$6),$W:$W)</f>
        <v>0</v>
      </c>
      <c r="BO152" s="134" t="n">
        <f aca="false">SUMIF($X:$X,CONCATENATE($AN152,BO$6),$W:$W)</f>
        <v>0</v>
      </c>
      <c r="BP152" s="134" t="n">
        <f aca="false">SUMIF($X:$X,CONCATENATE($AN152,BP$6),$W:$W)</f>
        <v>0</v>
      </c>
      <c r="BQ152" s="134" t="n">
        <f aca="false">SUMIF($X:$X,CONCATENATE($AN152,BQ$6),$W:$W)</f>
        <v>0</v>
      </c>
      <c r="BR152" s="135" t="n">
        <f aca="false">SUMIF($X:$X,CONCATENATE($AN152,BR$6),$W:$W)</f>
        <v>0</v>
      </c>
      <c r="BS152" s="143" t="n">
        <f aca="false">EOMONTH(BS151,0)+1</f>
        <v>41153</v>
      </c>
      <c r="BT152" s="135" t="n">
        <f aca="false">SUM(BF152:BR152)</f>
        <v>0</v>
      </c>
      <c r="CC152" s="182" t="n">
        <f aca="false">G152</f>
        <v>36861</v>
      </c>
      <c r="CD152" s="253" t="e">
        <f aca="false">xSPRDOPT((VLOOKUP(G152,NGPrices,2,FALSE())+HLOOKUP(D152,Prices,VLOOKUP(G152,move_down,2,FALSE()),FALSE())),VLOOKUP(G152,NGPrices,2,FALSE()),I152,VLOOKUP(G152,NGPREVPRICES,4,FALSE()),HLOOKUP(D152,PREVVOLS,VLOOKUP(G152,MOVE_DOWN2,2,FALSE()),FALSE()),VLOOKUP(G152,NGPREVPRICES,3,FALSE()),HLOOKUP(D152,Correllate,VLOOKUP(G152,CorMove,2,FALSE()),FALSE()),Q152-$CD$3,R152,$CD$5)*H152-CJ152</f>
        <v>#NAME?</v>
      </c>
      <c r="CE152" s="253" t="e">
        <f aca="false">xSPRDOPT((VLOOKUP(G152,NGPREVPRICES,2,FALSE())+HLOOKUP(D152,PREVCURVES,VLOOKUP(G152,MOVE_DOWN2,2,FALSE()),FALSE())),VLOOKUP(G152,NGPREVPRICES,2,FALSE()),CK152,VLOOKUP(G152,NGPrices,4,FALSE()),HLOOKUP(D152,PREVVOLS,VLOOKUP(G152,MOVE_DOWN2,2,FALSE()),FALSE()),VLOOKUP(G152,NGPREVPRICES,3,FALSE()),HLOOKUP(D152,Correllate,VLOOKUP(G152,CorMove,2,FALSE()),FALSE()),Q152-$CD$3,R152,$CJ$5)*H152-CJ152</f>
        <v>#NAME?</v>
      </c>
      <c r="CF152" s="132" t="e">
        <f aca="false">(CJ152/VLOOKUP(CC152,discount,3,FALSE()))-(CJ152/VLOOKUP(CC152,discount,2,FALSE()))</f>
        <v>#NAME?</v>
      </c>
      <c r="CG152" s="253" t="e">
        <f aca="false">xSPRDOPT((VLOOKUP(G152,NGPREVPRICES,2,FALSE())+HLOOKUP(D152,PREVCURVES,VLOOKUP(G152,MOVE_DOWN2,2,FALSE()),FALSE())),VLOOKUP(G152,NGPREVPRICES,2,FALSE()),CK152,VLOOKUP(G152,NGPREVPRICES,4,FALSE()),HLOOKUP(D152,VOLS,VLOOKUP(G152,move_down,2,FALSE()),FALSE()),VLOOKUP(G152,NGPrices,3,FALSE()),HLOOKUP(D152,Correllate,VLOOKUP(G152,CorMove,2,FALSE()),FALSE()),Q152-$CD$3,R152,$CJ$5)*H152-CJ152</f>
        <v>#NAME?</v>
      </c>
      <c r="CH152" s="253" t="e">
        <f aca="false">xSPRDOPT((VLOOKUP(G152,NGPREVPRICES,2,FALSE())+HLOOKUP(D152,PREVCURVES,VLOOKUP(G152,MOVE_DOWN2,2,FALSE()),FALSE())),VLOOKUP(G152,NGPREVPRICES,2,FALSE()),CK152,VLOOKUP(G152,NGPREVPRICES,4,FALSE()),HLOOKUP(D152,PREVVOLS,VLOOKUP(G152,MOVE_DOWN2,2,FALSE()),FALSE()),VLOOKUP(G152,NGPREVPRICES,3,FALSE()),HLOOKUP(D152,Correllate,VLOOKUP(G152,CorMove,2,FALSE()),FALSE()),Q152-$C$3,R152,$CJ$5)*H152-CJ152</f>
        <v>#NAME?</v>
      </c>
      <c r="CI152" s="253" t="e">
        <f aca="false">SUM(CD152:CH152)</f>
        <v>#NAME?</v>
      </c>
      <c r="CJ152" s="253" t="e">
        <f aca="false">xSPRDOPT((VLOOKUP(G152,NGPREVPRICES,2,FALSE())+HLOOKUP(D152,PREVCURVES,VLOOKUP(G152,MOVE_DOWN2,2,FALSE()),FALSE())),VLOOKUP(G152,NGPREVPRICES,2,FALSE()),CK152,VLOOKUP(G152,NGPREVPRICES,4,FALSE()),HLOOKUP(D152,PREVVOLS,VLOOKUP(G152,MOVE_DOWN2,2,FALSE()),FALSE()),VLOOKUP(G152,NGPREVPRICES,3,FALSE()),HLOOKUP(D152,Correllate,VLOOKUP(G152,CorMove,2,FALSE()),FALSE()),Q152-$CD$3,R152,$CJ$5)*H152</f>
        <v>#NAME?</v>
      </c>
      <c r="CK152" s="254" t="n">
        <f aca="false">I152</f>
        <v>0</v>
      </c>
      <c r="CL152" s="253"/>
      <c r="CM152" s="0" t="str">
        <f aca="false">CONCATENATE(CC152,$CD$6)</f>
        <v>36861Curve Shift/Gamma</v>
      </c>
      <c r="CN152" s="0" t="str">
        <f aca="false">CONCATENATE($CC152,$CE$6)</f>
        <v>36861Rho</v>
      </c>
      <c r="CO152" s="0" t="str">
        <f aca="false">CONCATENATE($CC152,$CF$6)</f>
        <v>36861Drift</v>
      </c>
      <c r="CP152" s="0" t="str">
        <f aca="false">CONCATENATE($CC152,$CG$6)</f>
        <v>36861Vega</v>
      </c>
      <c r="CQ152" s="0" t="str">
        <f aca="false">CONCATENATE($CC152,$CH$6)</f>
        <v>36861Theta</v>
      </c>
    </row>
    <row r="153" customFormat="false" ht="12" hidden="false" customHeight="true" outlineLevel="0" collapsed="false">
      <c r="A153" s="265" t="s">
        <v>198</v>
      </c>
      <c r="B153" s="0" t="s">
        <v>192</v>
      </c>
      <c r="C153" s="0" t="s">
        <v>252</v>
      </c>
      <c r="D153" s="7" t="s">
        <v>153</v>
      </c>
      <c r="E153" s="0" t="s">
        <v>131</v>
      </c>
      <c r="F153" s="0" t="s">
        <v>132</v>
      </c>
      <c r="G153" s="92" t="n">
        <v>36831</v>
      </c>
      <c r="H153" s="248" t="n">
        <v>-1000000</v>
      </c>
      <c r="I153" s="0" t="n">
        <v>0</v>
      </c>
      <c r="J153" s="124" t="n">
        <f aca="false">VLOOKUP(G153,NGPrices,2,FALSE())</f>
        <v>4.736</v>
      </c>
      <c r="K153" s="125" t="n">
        <f aca="false">HLOOKUP(D153,Prices,VLOOKUP(G153,move_down,2,FALSE()),FALSE())+VLOOKUP(G153,CHANGE,HLOOKUP(D153,CHANGE,2,FALSE()),FALSE())</f>
        <v>-0.0025</v>
      </c>
      <c r="L153" s="124" t="n">
        <f aca="false">K153+J153</f>
        <v>4.7335</v>
      </c>
      <c r="M153" s="126" t="n">
        <f aca="false">VLOOKUP(G153,NGPrices,4,FALSE())</f>
        <v>0.06810675983792</v>
      </c>
      <c r="N153" s="7" t="n">
        <f aca="false">VLOOKUP(G153,NGPrices,3,FALSE())</f>
        <v>0.595</v>
      </c>
      <c r="O153" s="7" t="n">
        <f aca="false">HLOOKUP(D153,VOLS,VLOOKUP(G153,move_down,2,FALSE()),FALSE())</f>
        <v>0.625</v>
      </c>
      <c r="P153" s="249" t="n">
        <f aca="false">HLOOKUP(D153,Correllate,VLOOKUP(G153,CorMove,2,FALSE()),FALSE())</f>
        <v>0.9975</v>
      </c>
      <c r="Q153" s="92" t="n">
        <f aca="false">WORKDAY(G153,-2)</f>
        <v>36829</v>
      </c>
      <c r="R153" s="7" t="n">
        <f aca="false">IF(F153="P",0,1)</f>
        <v>0</v>
      </c>
      <c r="S153" s="130" t="e">
        <f aca="false">xSPRDOPT($L153,$J153,$I153,$M153,$O153,$N153,$P153,$Q153-$C$3,$R153,0)</f>
        <v>#NAME?</v>
      </c>
      <c r="T153" s="250" t="e">
        <f aca="false">xSPRDOPT($L153,$J153,$I153,$M153,$O153,$N153,$P153,$Q153-$C$3,$R153,1)*H153</f>
        <v>#NAME?</v>
      </c>
      <c r="U153" s="43" t="e">
        <f aca="false">S153*H153</f>
        <v>#NAME?</v>
      </c>
      <c r="V153" s="250" t="e">
        <f aca="false">xSPRDOPT($L153,$J153,$I153,$M153,$O153,$N153,$P153,$Q153-$C$3,$R153,2)*H153</f>
        <v>#NAME?</v>
      </c>
      <c r="W153" s="250" t="e">
        <f aca="false">+V153+T153</f>
        <v>#NAME?</v>
      </c>
      <c r="X153" s="2" t="str">
        <f aca="false">CONCATENATE(G153,D153)</f>
        <v>36831IF-NNG/VENT</v>
      </c>
      <c r="Y153" s="251" t="n">
        <f aca="false">H153/10000</f>
        <v>-100</v>
      </c>
      <c r="Z153" s="226" t="e">
        <f aca="false">T153/H153</f>
        <v>#NAME?</v>
      </c>
      <c r="AA153" s="226" t="e">
        <f aca="false">xSPRDOPT($L153,$J153,$I153,$M153,$O153,$N153,$P153,$Q153-$C$3,$R153,3)</f>
        <v>#NAME?</v>
      </c>
      <c r="AB153" s="226" t="e">
        <f aca="false">((xSPRDOPT($L153+AB$5,$J153,$I153,$M153,$O153,$N153,$P153,$Q153-$C$3,$R153,3)*$H153)/10000)/100</f>
        <v>#NAME?</v>
      </c>
      <c r="AC153" s="226" t="e">
        <f aca="false">((xSPRDOPT($L153+$AB$5,$J153,$I153,$M153,$O153,$N153,$P153,$Q153-$C$3,$R153,7)*$H153)/100)</f>
        <v>#NAME?</v>
      </c>
      <c r="AD153" s="226" t="e">
        <f aca="false">(xSPRDOPT($L153+$AB$5,$J153,$I153,$M153,$O153,$N153,$P153,$Q153-$C$3,$R153,9)/365)*$H153</f>
        <v>#NAME?</v>
      </c>
      <c r="AE153" s="0" t="e">
        <f aca="false">CD153</f>
        <v>#NAME?</v>
      </c>
      <c r="AF153" s="226" t="e">
        <f aca="false">((O153/N153)*AH153)+AG153</f>
        <v>#NAME?</v>
      </c>
      <c r="AG153" s="226" t="e">
        <f aca="false">((xSPRDOPT($L153,$J153,$I153,$M153,$O153,$N153,$P153,$Q153-$C$3,$R153,6)*$H153)/100)</f>
        <v>#NAME?</v>
      </c>
      <c r="AH153" s="226" t="e">
        <f aca="false">((xSPRDOPT($L153,$J153,$I153,$M153,$O153,$N153,$P153,$Q153-$C$3,$R153,5)*$H153)/100)</f>
        <v>#NAME?</v>
      </c>
      <c r="AI153" s="226" t="e">
        <f aca="false">(((xSPRDOPT($L153,$J153,$I153,$M153,$O153,$N153,$P153,$Q153-$C$3,$R153,4)*$H153)/10000)/100)-AB153</f>
        <v>#NAME?</v>
      </c>
      <c r="AJ153" s="226"/>
      <c r="AK153" s="226"/>
      <c r="AL153" s="226"/>
      <c r="AM153" s="252"/>
      <c r="AN153" s="143" t="n">
        <f aca="false">EOMONTH(AN152,0)+1</f>
        <v>41183</v>
      </c>
      <c r="AO153" s="134" t="n">
        <f aca="false">SUMIF($X:$X,CONCATENATE($AN153,AO$6),$T:$T)/10000</f>
        <v>0</v>
      </c>
      <c r="AP153" s="134" t="n">
        <f aca="false">SUMIF($X:$X,CONCATENATE($AN153,AP$6),$T:$T)/10000</f>
        <v>0</v>
      </c>
      <c r="AQ153" s="134" t="n">
        <f aca="false">SUMIF($X:$X,CONCATENATE($AN153,AQ$6),$T:$T)/10000</f>
        <v>0</v>
      </c>
      <c r="AR153" s="134" t="n">
        <f aca="false">SUMIF($X:$X,CONCATENATE($AN153,AR$6),$T:$T)/10000</f>
        <v>0</v>
      </c>
      <c r="AS153" s="134" t="n">
        <f aca="false">SUMIF($X:$X,CONCATENATE($AN153,AS$6),$T:$T)/10000</f>
        <v>0</v>
      </c>
      <c r="AT153" s="134" t="n">
        <f aca="false">SUMIF($X:$X,CONCATENATE($AN153,AT$6),$T:$T)/10000</f>
        <v>0</v>
      </c>
      <c r="AU153" s="134" t="n">
        <f aca="false">SUMIF($X:$X,CONCATENATE($AN153,AU$6),$T:$T)/10000</f>
        <v>0</v>
      </c>
      <c r="AV153" s="134" t="n">
        <f aca="false">SUMIF($X:$X,CONCATENATE($AN153,AV$6),$T:$T)/10000</f>
        <v>0</v>
      </c>
      <c r="AW153" s="134" t="n">
        <f aca="false">SUMIF($X:$X,CONCATENATE($AN153,AW$6),$T:$T)/10000</f>
        <v>0</v>
      </c>
      <c r="AX153" s="134" t="n">
        <f aca="false">SUMIF($X:$X,CONCATENATE($AN153,AX$6),$T:$T)/10000</f>
        <v>0</v>
      </c>
      <c r="AY153" s="134" t="n">
        <f aca="false">SUMIF($X:$X,CONCATENATE($AN153,AY$6),$T:$T)/10000</f>
        <v>0</v>
      </c>
      <c r="AZ153" s="134" t="n">
        <f aca="false">SUMIF($X:$X,CONCATENATE($AN153,AZ$6),$T:$T)/10000</f>
        <v>0</v>
      </c>
      <c r="BA153" s="135" t="n">
        <f aca="false">SUMIF($X:$X,CONCATENATE($AN153,BA$6),$T:$T)/10000</f>
        <v>0</v>
      </c>
      <c r="BB153" s="143" t="n">
        <f aca="false">EOMONTH(BB152,0)+1</f>
        <v>41183</v>
      </c>
      <c r="BC153" s="135" t="n">
        <f aca="false">SUM(AO153:BA153)</f>
        <v>0</v>
      </c>
      <c r="BE153" s="143" t="n">
        <f aca="false">EOMONTH(BE152,0)+1</f>
        <v>41183</v>
      </c>
      <c r="BF153" s="134" t="n">
        <f aca="false">SUMIF($X:$X,CONCATENATE($AN153,BF$6),$W:$W)</f>
        <v>0</v>
      </c>
      <c r="BG153" s="134" t="n">
        <f aca="false">SUMIF($X:$X,CONCATENATE($AN153,BG$6),$W:$W)</f>
        <v>0</v>
      </c>
      <c r="BH153" s="134" t="n">
        <f aca="false">SUMIF($X:$X,CONCATENATE($AN153,BH$6),$W:$W)</f>
        <v>0</v>
      </c>
      <c r="BI153" s="134" t="n">
        <f aca="false">SUMIF($X:$X,CONCATENATE($AN153,BI$6),$W:$W)</f>
        <v>0</v>
      </c>
      <c r="BJ153" s="134" t="n">
        <f aca="false">SUMIF($X:$X,CONCATENATE($AN153,BJ$6),$W:$W)</f>
        <v>0</v>
      </c>
      <c r="BK153" s="134" t="n">
        <f aca="false">SUMIF($X:$X,CONCATENATE($AN153,BK$6),$W:$W)</f>
        <v>0</v>
      </c>
      <c r="BL153" s="134" t="n">
        <f aca="false">SUMIF($X:$X,CONCATENATE($AN153,BL$6),$W:$W)</f>
        <v>0</v>
      </c>
      <c r="BM153" s="134" t="n">
        <f aca="false">SUMIF($X:$X,CONCATENATE($AN153,BM$6),$W:$W)</f>
        <v>0</v>
      </c>
      <c r="BN153" s="134" t="n">
        <f aca="false">SUMIF($X:$X,CONCATENATE($AN153,BN$6),$W:$W)</f>
        <v>0</v>
      </c>
      <c r="BO153" s="134" t="n">
        <f aca="false">SUMIF($X:$X,CONCATENATE($AN153,BO$6),$W:$W)</f>
        <v>0</v>
      </c>
      <c r="BP153" s="134" t="n">
        <f aca="false">SUMIF($X:$X,CONCATENATE($AN153,BP$6),$W:$W)</f>
        <v>0</v>
      </c>
      <c r="BQ153" s="134" t="n">
        <f aca="false">SUMIF($X:$X,CONCATENATE($AN153,BQ$6),$W:$W)</f>
        <v>0</v>
      </c>
      <c r="BR153" s="135" t="n">
        <f aca="false">SUMIF($X:$X,CONCATENATE($AN153,BR$6),$W:$W)</f>
        <v>0</v>
      </c>
      <c r="BS153" s="143" t="n">
        <f aca="false">EOMONTH(BS152,0)+1</f>
        <v>41183</v>
      </c>
      <c r="BT153" s="135" t="n">
        <f aca="false">SUM(BF153:BR153)</f>
        <v>0</v>
      </c>
      <c r="CC153" s="182" t="n">
        <f aca="false">G153</f>
        <v>36831</v>
      </c>
      <c r="CD153" s="253" t="e">
        <f aca="false">xSPRDOPT((VLOOKUP(G153,NGPrices,2,FALSE())+HLOOKUP(D153,Prices,VLOOKUP(G153,move_down,2,FALSE()),FALSE())),VLOOKUP(G153,NGPrices,2,FALSE()),I153,VLOOKUP(G153,NGPREVPRICES,4,FALSE()),HLOOKUP(D153,PREVVOLS,VLOOKUP(G153,MOVE_DOWN2,2,FALSE()),FALSE()),VLOOKUP(G153,NGPREVPRICES,3,FALSE()),HLOOKUP(D153,Correllate,VLOOKUP(G153,CorMove,2,FALSE()),FALSE()),Q153-$CD$3,R153,$CD$5)*H153-CJ153</f>
        <v>#NAME?</v>
      </c>
      <c r="CE153" s="253" t="e">
        <f aca="false">xSPRDOPT((VLOOKUP(G153,NGPREVPRICES,2,FALSE())+HLOOKUP(D153,PREVCURVES,VLOOKUP(G153,MOVE_DOWN2,2,FALSE()),FALSE())),VLOOKUP(G153,NGPREVPRICES,2,FALSE()),CK153,VLOOKUP(G153,NGPrices,4,FALSE()),HLOOKUP(D153,PREVVOLS,VLOOKUP(G153,MOVE_DOWN2,2,FALSE()),FALSE()),VLOOKUP(G153,NGPREVPRICES,3,FALSE()),HLOOKUP(D153,Correllate,VLOOKUP(G153,CorMove,2,FALSE()),FALSE()),Q153-$CD$3,R153,$CJ$5)*H153-CJ153</f>
        <v>#NAME?</v>
      </c>
      <c r="CF153" s="132" t="e">
        <f aca="false">(CJ153/VLOOKUP(CC153,discount,3,FALSE()))-(CJ153/VLOOKUP(CC153,discount,2,FALSE()))</f>
        <v>#NAME?</v>
      </c>
      <c r="CG153" s="253" t="e">
        <f aca="false">xSPRDOPT((VLOOKUP(G153,NGPREVPRICES,2,FALSE())+HLOOKUP(D153,PREVCURVES,VLOOKUP(G153,MOVE_DOWN2,2,FALSE()),FALSE())),VLOOKUP(G153,NGPREVPRICES,2,FALSE()),CK153,VLOOKUP(G153,NGPREVPRICES,4,FALSE()),HLOOKUP(D153,VOLS,VLOOKUP(G153,move_down,2,FALSE()),FALSE()),VLOOKUP(G153,NGPrices,3,FALSE()),HLOOKUP(D153,Correllate,VLOOKUP(G153,CorMove,2,FALSE()),FALSE()),Q153-$CD$3,R153,$CJ$5)*H153-CJ153</f>
        <v>#NAME?</v>
      </c>
      <c r="CH153" s="253" t="e">
        <f aca="false">xSPRDOPT((VLOOKUP(G153,NGPREVPRICES,2,FALSE())+HLOOKUP(D153,PREVCURVES,VLOOKUP(G153,MOVE_DOWN2,2,FALSE()),FALSE())),VLOOKUP(G153,NGPREVPRICES,2,FALSE()),CK153,VLOOKUP(G153,NGPREVPRICES,4,FALSE()),HLOOKUP(D153,PREVVOLS,VLOOKUP(G153,MOVE_DOWN2,2,FALSE()),FALSE()),VLOOKUP(G153,NGPREVPRICES,3,FALSE()),HLOOKUP(D153,Correllate,VLOOKUP(G153,CorMove,2,FALSE()),FALSE()),Q153-$C$3,R153,$CJ$5)*H153-CJ153</f>
        <v>#NAME?</v>
      </c>
      <c r="CI153" s="253" t="e">
        <f aca="false">SUM(CD153:CH153)</f>
        <v>#NAME?</v>
      </c>
      <c r="CJ153" s="253" t="e">
        <f aca="false">xSPRDOPT((VLOOKUP(G153,NGPREVPRICES,2,FALSE())+HLOOKUP(D153,PREVCURVES,VLOOKUP(G153,MOVE_DOWN2,2,FALSE()),FALSE())),VLOOKUP(G153,NGPREVPRICES,2,FALSE()),CK153,VLOOKUP(G153,NGPREVPRICES,4,FALSE()),HLOOKUP(D153,PREVVOLS,VLOOKUP(G153,MOVE_DOWN2,2,FALSE()),FALSE()),VLOOKUP(G153,NGPREVPRICES,3,FALSE()),HLOOKUP(D153,Correllate,VLOOKUP(G153,CorMove,2,FALSE()),FALSE()),Q153-$CD$3,R153,$CJ$5)*H153</f>
        <v>#NAME?</v>
      </c>
      <c r="CK153" s="254" t="n">
        <f aca="false">I153</f>
        <v>0</v>
      </c>
      <c r="CL153" s="253"/>
      <c r="CM153" s="0" t="str">
        <f aca="false">CONCATENATE(CC153,$CD$6)</f>
        <v>36831Curve Shift/Gamma</v>
      </c>
      <c r="CN153" s="0" t="str">
        <f aca="false">CONCATENATE($CC153,$CE$6)</f>
        <v>36831Rho</v>
      </c>
      <c r="CO153" s="0" t="str">
        <f aca="false">CONCATENATE($CC153,$CF$6)</f>
        <v>36831Drift</v>
      </c>
      <c r="CP153" s="0" t="str">
        <f aca="false">CONCATENATE($CC153,$CG$6)</f>
        <v>36831Vega</v>
      </c>
      <c r="CQ153" s="0" t="str">
        <f aca="false">CONCATENATE($CC153,$CH$6)</f>
        <v>36831Theta</v>
      </c>
    </row>
    <row r="154" customFormat="false" ht="12" hidden="false" customHeight="true" outlineLevel="0" collapsed="false">
      <c r="A154" s="265" t="s">
        <v>198</v>
      </c>
      <c r="B154" s="0" t="s">
        <v>192</v>
      </c>
      <c r="C154" s="0" t="s">
        <v>252</v>
      </c>
      <c r="D154" s="7" t="s">
        <v>153</v>
      </c>
      <c r="E154" s="0" t="s">
        <v>131</v>
      </c>
      <c r="F154" s="0" t="s">
        <v>132</v>
      </c>
      <c r="G154" s="92" t="n">
        <v>36800</v>
      </c>
      <c r="H154" s="248" t="n">
        <v>-1000000</v>
      </c>
      <c r="I154" s="0" t="n">
        <v>0</v>
      </c>
      <c r="J154" s="124" t="n">
        <f aca="false">VLOOKUP(G154,NGPrices,2,FALSE())</f>
        <v>4.692</v>
      </c>
      <c r="K154" s="125" t="n">
        <f aca="false">HLOOKUP(D154,Prices,VLOOKUP(G154,move_down,2,FALSE()),FALSE())+VLOOKUP(G154,CHANGE,HLOOKUP(D154,CHANGE,2,FALSE()),FALSE())</f>
        <v>-0.09</v>
      </c>
      <c r="L154" s="124" t="n">
        <f aca="false">K154+J154</f>
        <v>4.602</v>
      </c>
      <c r="M154" s="126" t="n">
        <f aca="false">VLOOKUP(G154,NGPrices,4,FALSE())</f>
        <v>0.068050789414654</v>
      </c>
      <c r="N154" s="7" t="n">
        <f aca="false">VLOOKUP(G154,NGPrices,3,FALSE())</f>
        <v>0.575</v>
      </c>
      <c r="O154" s="7" t="n">
        <f aca="false">HLOOKUP(D154,VOLS,VLOOKUP(G154,move_down,2,FALSE()),FALSE())</f>
        <v>0.575</v>
      </c>
      <c r="P154" s="249" t="n">
        <f aca="false">HLOOKUP(D154,Correllate,VLOOKUP(G154,CorMove,2,FALSE()),FALSE())</f>
        <v>0.9975</v>
      </c>
      <c r="Q154" s="92" t="n">
        <f aca="false">WORKDAY(G154,-2)</f>
        <v>36797</v>
      </c>
      <c r="R154" s="7" t="n">
        <f aca="false">IF(F154="P",0,1)</f>
        <v>0</v>
      </c>
      <c r="S154" s="130" t="e">
        <f aca="false">xSPRDOPT($L154,$J154,$I154,$M154,$O154,$N154,$P154,$Q154-$C$3,$R154,0)</f>
        <v>#NAME?</v>
      </c>
      <c r="T154" s="250" t="e">
        <f aca="false">xSPRDOPT($L154,$J154,$I154,$M154,$O154,$N154,$P154,$Q154-$C$3,$R154,1)*H154</f>
        <v>#NAME?</v>
      </c>
      <c r="U154" s="43" t="e">
        <f aca="false">S154*H154</f>
        <v>#NAME?</v>
      </c>
      <c r="V154" s="250" t="e">
        <f aca="false">xSPRDOPT($L154,$J154,$I154,$M154,$O154,$N154,$P154,$Q154-$C$3,$R154,2)*H154</f>
        <v>#NAME?</v>
      </c>
      <c r="W154" s="250" t="e">
        <f aca="false">+V154+T154</f>
        <v>#NAME?</v>
      </c>
      <c r="X154" s="2" t="str">
        <f aca="false">CONCATENATE(G154,D154)</f>
        <v>36800IF-NNG/VENT</v>
      </c>
      <c r="Y154" s="251" t="n">
        <f aca="false">H154/10000</f>
        <v>-100</v>
      </c>
      <c r="Z154" s="226" t="e">
        <f aca="false">T154/H154</f>
        <v>#NAME?</v>
      </c>
      <c r="AA154" s="226" t="e">
        <f aca="false">xSPRDOPT($L154,$J154,$I154,$M154,$O154,$N154,$P154,$Q154-$C$3,$R154,3)</f>
        <v>#NAME?</v>
      </c>
      <c r="AB154" s="226" t="e">
        <f aca="false">((xSPRDOPT($L154+AB$5,$J154,$I154,$M154,$O154,$N154,$P154,$Q154-$C$3,$R154,3)*$H154)/10000)/100</f>
        <v>#NAME?</v>
      </c>
      <c r="AC154" s="226" t="e">
        <f aca="false">((xSPRDOPT($L154+$AB$5,$J154,$I154,$M154,$O154,$N154,$P154,$Q154-$C$3,$R154,7)*$H154)/100)</f>
        <v>#NAME?</v>
      </c>
      <c r="AD154" s="226" t="e">
        <f aca="false">(xSPRDOPT($L154+$AB$5,$J154,$I154,$M154,$O154,$N154,$P154,$Q154-$C$3,$R154,9)/365)*$H154</f>
        <v>#NAME?</v>
      </c>
      <c r="AE154" s="0" t="e">
        <f aca="false">CD154</f>
        <v>#NAME?</v>
      </c>
      <c r="AF154" s="226" t="e">
        <f aca="false">((O154/N154)*AH154)+AG154</f>
        <v>#NAME?</v>
      </c>
      <c r="AG154" s="226" t="e">
        <f aca="false">((xSPRDOPT($L154,$J154,$I154,$M154,$O154,$N154,$P154,$Q154-$C$3,$R154,6)*$H154)/100)</f>
        <v>#NAME?</v>
      </c>
      <c r="AH154" s="226" t="e">
        <f aca="false">((xSPRDOPT($L154,$J154,$I154,$M154,$O154,$N154,$P154,$Q154-$C$3,$R154,5)*$H154)/100)</f>
        <v>#NAME?</v>
      </c>
      <c r="AI154" s="226" t="e">
        <f aca="false">(((xSPRDOPT($L154,$J154,$I154,$M154,$O154,$N154,$P154,$Q154-$C$3,$R154,4)*$H154)/10000)/100)-AB154</f>
        <v>#NAME?</v>
      </c>
      <c r="AJ154" s="226"/>
      <c r="AK154" s="226"/>
      <c r="AL154" s="226"/>
      <c r="AM154" s="252"/>
      <c r="AN154" s="143" t="n">
        <f aca="false">EOMONTH(AN153,0)+1</f>
        <v>41214</v>
      </c>
      <c r="AO154" s="134" t="n">
        <f aca="false">SUMIF($X:$X,CONCATENATE($AN154,AO$6),$T:$T)/10000</f>
        <v>0</v>
      </c>
      <c r="AP154" s="134" t="n">
        <f aca="false">SUMIF($X:$X,CONCATENATE($AN154,AP$6),$T:$T)/10000</f>
        <v>0</v>
      </c>
      <c r="AQ154" s="134" t="n">
        <f aca="false">SUMIF($X:$X,CONCATENATE($AN154,AQ$6),$T:$T)/10000</f>
        <v>0</v>
      </c>
      <c r="AR154" s="134" t="n">
        <f aca="false">SUMIF($X:$X,CONCATENATE($AN154,AR$6),$T:$T)/10000</f>
        <v>0</v>
      </c>
      <c r="AS154" s="134" t="n">
        <f aca="false">SUMIF($X:$X,CONCATENATE($AN154,AS$6),$T:$T)/10000</f>
        <v>0</v>
      </c>
      <c r="AT154" s="134" t="n">
        <f aca="false">SUMIF($X:$X,CONCATENATE($AN154,AT$6),$T:$T)/10000</f>
        <v>0</v>
      </c>
      <c r="AU154" s="134" t="n">
        <f aca="false">SUMIF($X:$X,CONCATENATE($AN154,AU$6),$T:$T)/10000</f>
        <v>0</v>
      </c>
      <c r="AV154" s="134" t="n">
        <f aca="false">SUMIF($X:$X,CONCATENATE($AN154,AV$6),$T:$T)/10000</f>
        <v>0</v>
      </c>
      <c r="AW154" s="134" t="n">
        <f aca="false">SUMIF($X:$X,CONCATENATE($AN154,AW$6),$T:$T)/10000</f>
        <v>0</v>
      </c>
      <c r="AX154" s="134" t="n">
        <f aca="false">SUMIF($X:$X,CONCATENATE($AN154,AX$6),$T:$T)/10000</f>
        <v>0</v>
      </c>
      <c r="AY154" s="134" t="n">
        <f aca="false">SUMIF($X:$X,CONCATENATE($AN154,AY$6),$T:$T)/10000</f>
        <v>0</v>
      </c>
      <c r="AZ154" s="134" t="n">
        <f aca="false">SUMIF($X:$X,CONCATENATE($AN154,AZ$6),$T:$T)/10000</f>
        <v>0</v>
      </c>
      <c r="BA154" s="135" t="n">
        <f aca="false">SUMIF($X:$X,CONCATENATE($AN154,BA$6),$T:$T)/10000</f>
        <v>0</v>
      </c>
      <c r="BB154" s="143" t="n">
        <f aca="false">EOMONTH(BB153,0)+1</f>
        <v>41214</v>
      </c>
      <c r="BC154" s="135" t="n">
        <f aca="false">SUM(AO154:BA154)</f>
        <v>0</v>
      </c>
      <c r="BE154" s="143" t="n">
        <f aca="false">EOMONTH(BE153,0)+1</f>
        <v>41214</v>
      </c>
      <c r="BF154" s="134" t="n">
        <f aca="false">SUMIF($X:$X,CONCATENATE($AN154,BF$6),$W:$W)</f>
        <v>0</v>
      </c>
      <c r="BG154" s="134" t="n">
        <f aca="false">SUMIF($X:$X,CONCATENATE($AN154,BG$6),$W:$W)</f>
        <v>0</v>
      </c>
      <c r="BH154" s="134" t="n">
        <f aca="false">SUMIF($X:$X,CONCATENATE($AN154,BH$6),$W:$W)</f>
        <v>0</v>
      </c>
      <c r="BI154" s="134" t="n">
        <f aca="false">SUMIF($X:$X,CONCATENATE($AN154,BI$6),$W:$W)</f>
        <v>0</v>
      </c>
      <c r="BJ154" s="134" t="n">
        <f aca="false">SUMIF($X:$X,CONCATENATE($AN154,BJ$6),$W:$W)</f>
        <v>0</v>
      </c>
      <c r="BK154" s="134" t="n">
        <f aca="false">SUMIF($X:$X,CONCATENATE($AN154,BK$6),$W:$W)</f>
        <v>0</v>
      </c>
      <c r="BL154" s="134" t="n">
        <f aca="false">SUMIF($X:$X,CONCATENATE($AN154,BL$6),$W:$W)</f>
        <v>0</v>
      </c>
      <c r="BM154" s="134" t="n">
        <f aca="false">SUMIF($X:$X,CONCATENATE($AN154,BM$6),$W:$W)</f>
        <v>0</v>
      </c>
      <c r="BN154" s="134" t="n">
        <f aca="false">SUMIF($X:$X,CONCATENATE($AN154,BN$6),$W:$W)</f>
        <v>0</v>
      </c>
      <c r="BO154" s="134" t="n">
        <f aca="false">SUMIF($X:$X,CONCATENATE($AN154,BO$6),$W:$W)</f>
        <v>0</v>
      </c>
      <c r="BP154" s="134" t="n">
        <f aca="false">SUMIF($X:$X,CONCATENATE($AN154,BP$6),$W:$W)</f>
        <v>0</v>
      </c>
      <c r="BQ154" s="134" t="n">
        <f aca="false">SUMIF($X:$X,CONCATENATE($AN154,BQ$6),$W:$W)</f>
        <v>0</v>
      </c>
      <c r="BR154" s="135" t="n">
        <f aca="false">SUMIF($X:$X,CONCATENATE($AN154,BR$6),$W:$W)</f>
        <v>0</v>
      </c>
      <c r="BS154" s="143" t="n">
        <f aca="false">EOMONTH(BS153,0)+1</f>
        <v>41214</v>
      </c>
      <c r="BT154" s="135" t="n">
        <f aca="false">SUM(BF154:BR154)</f>
        <v>0</v>
      </c>
      <c r="CC154" s="182" t="n">
        <f aca="false">G154</f>
        <v>36800</v>
      </c>
      <c r="CD154" s="253" t="e">
        <f aca="false">xSPRDOPT((VLOOKUP(G154,NGPrices,2,FALSE())+HLOOKUP(D154,Prices,VLOOKUP(G154,move_down,2,FALSE()),FALSE())),VLOOKUP(G154,NGPrices,2,FALSE()),I154,VLOOKUP(G154,NGPREVPRICES,4,FALSE()),HLOOKUP(D154,PREVVOLS,VLOOKUP(G154,MOVE_DOWN2,2,FALSE()),FALSE()),VLOOKUP(G154,NGPREVPRICES,3,FALSE()),HLOOKUP(D154,Correllate,VLOOKUP(G154,CorMove,2,FALSE()),FALSE()),Q154-$CD$3,R154,$CD$5)*H154-CJ154</f>
        <v>#NAME?</v>
      </c>
      <c r="CE154" s="253" t="e">
        <f aca="false">xSPRDOPT((VLOOKUP(G154,NGPREVPRICES,2,FALSE())+HLOOKUP(D154,PREVCURVES,VLOOKUP(G154,MOVE_DOWN2,2,FALSE()),FALSE())),VLOOKUP(G154,NGPREVPRICES,2,FALSE()),CK154,VLOOKUP(G154,NGPrices,4,FALSE()),HLOOKUP(D154,PREVVOLS,VLOOKUP(G154,MOVE_DOWN2,2,FALSE()),FALSE()),VLOOKUP(G154,NGPREVPRICES,3,FALSE()),HLOOKUP(D154,Correllate,VLOOKUP(G154,CorMove,2,FALSE()),FALSE()),Q154-$CD$3,R154,$CJ$5)*H154-CJ154</f>
        <v>#NAME?</v>
      </c>
      <c r="CF154" s="132" t="e">
        <f aca="false">(CJ154/VLOOKUP(CC154,discount,3,FALSE()))-(CJ154/VLOOKUP(CC154,discount,2,FALSE()))</f>
        <v>#NAME?</v>
      </c>
      <c r="CG154" s="253" t="e">
        <f aca="false">xSPRDOPT((VLOOKUP(G154,NGPREVPRICES,2,FALSE())+HLOOKUP(D154,PREVCURVES,VLOOKUP(G154,MOVE_DOWN2,2,FALSE()),FALSE())),VLOOKUP(G154,NGPREVPRICES,2,FALSE()),CK154,VLOOKUP(G154,NGPREVPRICES,4,FALSE()),HLOOKUP(D154,VOLS,VLOOKUP(G154,move_down,2,FALSE()),FALSE()),VLOOKUP(G154,NGPrices,3,FALSE()),HLOOKUP(D154,Correllate,VLOOKUP(G154,CorMove,2,FALSE()),FALSE()),Q154-$CD$3,R154,$CJ$5)*H154-CJ154</f>
        <v>#NAME?</v>
      </c>
      <c r="CH154" s="253" t="e">
        <f aca="false">xSPRDOPT((VLOOKUP(G154,NGPREVPRICES,2,FALSE())+HLOOKUP(D154,PREVCURVES,VLOOKUP(G154,MOVE_DOWN2,2,FALSE()),FALSE())),VLOOKUP(G154,NGPREVPRICES,2,FALSE()),CK154,VLOOKUP(G154,NGPREVPRICES,4,FALSE()),HLOOKUP(D154,PREVVOLS,VLOOKUP(G154,MOVE_DOWN2,2,FALSE()),FALSE()),VLOOKUP(G154,NGPREVPRICES,3,FALSE()),HLOOKUP(D154,Correllate,VLOOKUP(G154,CorMove,2,FALSE()),FALSE()),Q154-$C$3,R154,$CJ$5)*H154-CJ154</f>
        <v>#NAME?</v>
      </c>
      <c r="CI154" s="253" t="e">
        <f aca="false">SUM(CD154:CH154)</f>
        <v>#NAME?</v>
      </c>
      <c r="CJ154" s="253" t="e">
        <f aca="false">xSPRDOPT((VLOOKUP(G154,NGPREVPRICES,2,FALSE())+HLOOKUP(D154,PREVCURVES,VLOOKUP(G154,MOVE_DOWN2,2,FALSE()),FALSE())),VLOOKUP(G154,NGPREVPRICES,2,FALSE()),CK154,VLOOKUP(G154,NGPREVPRICES,4,FALSE()),HLOOKUP(D154,PREVVOLS,VLOOKUP(G154,MOVE_DOWN2,2,FALSE()),FALSE()),VLOOKUP(G154,NGPREVPRICES,3,FALSE()),HLOOKUP(D154,Correllate,VLOOKUP(G154,CorMove,2,FALSE()),FALSE()),Q154-$CD$3,R154,$CJ$5)*H154</f>
        <v>#NAME?</v>
      </c>
      <c r="CK154" s="254" t="n">
        <f aca="false">I154</f>
        <v>0</v>
      </c>
      <c r="CL154" s="253"/>
      <c r="CM154" s="0" t="str">
        <f aca="false">CONCATENATE(CC154,$CD$6)</f>
        <v>36800Curve Shift/Gamma</v>
      </c>
      <c r="CN154" s="0" t="str">
        <f aca="false">CONCATENATE($CC154,$CE$6)</f>
        <v>36800Rho</v>
      </c>
      <c r="CO154" s="0" t="str">
        <f aca="false">CONCATENATE($CC154,$CF$6)</f>
        <v>36800Drift</v>
      </c>
      <c r="CP154" s="0" t="str">
        <f aca="false">CONCATENATE($CC154,$CG$6)</f>
        <v>36800Vega</v>
      </c>
      <c r="CQ154" s="0" t="str">
        <f aca="false">CONCATENATE($CC154,$CH$6)</f>
        <v>36800Theta</v>
      </c>
    </row>
    <row r="155" customFormat="false" ht="12" hidden="false" customHeight="true" outlineLevel="0" collapsed="false">
      <c r="A155" s="265" t="s">
        <v>198</v>
      </c>
      <c r="B155" s="0" t="s">
        <v>192</v>
      </c>
      <c r="C155" s="0" t="s">
        <v>252</v>
      </c>
      <c r="D155" s="7" t="s">
        <v>153</v>
      </c>
      <c r="E155" s="0" t="s">
        <v>131</v>
      </c>
      <c r="F155" s="0" t="s">
        <v>132</v>
      </c>
      <c r="G155" s="92" t="n">
        <v>36770</v>
      </c>
      <c r="H155" s="248" t="n">
        <v>-1000000</v>
      </c>
      <c r="I155" s="0" t="n">
        <v>0</v>
      </c>
      <c r="J155" s="124" t="n">
        <f aca="false">VLOOKUP(G155,NGPrices,2,FALSE())</f>
        <v>4.685</v>
      </c>
      <c r="K155" s="125" t="n">
        <f aca="false">HLOOKUP(D155,Prices,VLOOKUP(G155,move_down,2,FALSE()),FALSE())+VLOOKUP(G155,CHANGE,HLOOKUP(D155,CHANGE,2,FALSE()),FALSE())</f>
        <v>-0.11</v>
      </c>
      <c r="L155" s="124" t="n">
        <f aca="false">K155+J155</f>
        <v>4.575</v>
      </c>
      <c r="M155" s="126" t="n">
        <f aca="false">VLOOKUP(G155,NGPrices,4,FALSE())</f>
        <v>0.067216196212185</v>
      </c>
      <c r="N155" s="7" t="n">
        <f aca="false">VLOOKUP(G155,NGPrices,3,FALSE())</f>
        <v>0.4</v>
      </c>
      <c r="O155" s="7" t="n">
        <f aca="false">HLOOKUP(D155,VOLS,VLOOKUP(G155,move_down,2,FALSE()),FALSE())</f>
        <v>0.4</v>
      </c>
      <c r="P155" s="249" t="n">
        <f aca="false">HLOOKUP(D155,Correllate,VLOOKUP(G155,CorMove,2,FALSE()),FALSE())</f>
        <v>0.9975</v>
      </c>
      <c r="Q155" s="92" t="n">
        <f aca="false">WORKDAY(G155,-2)</f>
        <v>36768</v>
      </c>
      <c r="R155" s="7" t="n">
        <f aca="false">IF(F155="P",0,1)</f>
        <v>0</v>
      </c>
      <c r="S155" s="130" t="e">
        <f aca="false">xSPRDOPT($L155,$J155,$I155,$M155,$O155,$N155,$P155,$Q155-$C$3,$R155,0)</f>
        <v>#NAME?</v>
      </c>
      <c r="T155" s="250" t="e">
        <f aca="false">xSPRDOPT($L155,$J155,$I155,$M155,$O155,$N155,$P155,$Q155-$C$3,$R155,1)*H155</f>
        <v>#NAME?</v>
      </c>
      <c r="U155" s="43" t="e">
        <f aca="false">S155*H155</f>
        <v>#NAME?</v>
      </c>
      <c r="V155" s="250" t="e">
        <f aca="false">xSPRDOPT($L155,$J155,$I155,$M155,$O155,$N155,$P155,$Q155-$C$3,$R155,2)*H155</f>
        <v>#NAME?</v>
      </c>
      <c r="W155" s="250" t="e">
        <f aca="false">+V155+T155</f>
        <v>#NAME?</v>
      </c>
      <c r="X155" s="2" t="str">
        <f aca="false">CONCATENATE(G155,D155)</f>
        <v>36770IF-NNG/VENT</v>
      </c>
      <c r="Y155" s="251" t="n">
        <f aca="false">H155/10000</f>
        <v>-100</v>
      </c>
      <c r="Z155" s="226" t="e">
        <f aca="false">T155/H155</f>
        <v>#NAME?</v>
      </c>
      <c r="AA155" s="226" t="e">
        <f aca="false">xSPRDOPT($L155,$J155,$I155,$M155,$O155,$N155,$P155,$Q155-$C$3,$R155,3)</f>
        <v>#NAME?</v>
      </c>
      <c r="AB155" s="226" t="e">
        <f aca="false">((xSPRDOPT($L155+AB$5,$J155,$I155,$M155,$O155,$N155,$P155,$Q155-$C$3,$R155,3)*$H155)/10000)/100</f>
        <v>#NAME?</v>
      </c>
      <c r="AC155" s="226" t="e">
        <f aca="false">((xSPRDOPT($L155+$AB$5,$J155,$I155,$M155,$O155,$N155,$P155,$Q155-$C$3,$R155,7)*$H155)/100)</f>
        <v>#NAME?</v>
      </c>
      <c r="AD155" s="226" t="e">
        <f aca="false">(xSPRDOPT($L155+$AB$5,$J155,$I155,$M155,$O155,$N155,$P155,$Q155-$C$3,$R155,9)/365)*$H155</f>
        <v>#NAME?</v>
      </c>
      <c r="AE155" s="0" t="e">
        <f aca="false">CD155</f>
        <v>#NAME?</v>
      </c>
      <c r="AF155" s="226" t="e">
        <f aca="false">((O155/N155)*AH155)+AG155</f>
        <v>#NAME?</v>
      </c>
      <c r="AG155" s="226" t="e">
        <f aca="false">((xSPRDOPT($L155,$J155,$I155,$M155,$O155,$N155,$P155,$Q155-$C$3,$R155,6)*$H155)/100)</f>
        <v>#NAME?</v>
      </c>
      <c r="AH155" s="226" t="e">
        <f aca="false">((xSPRDOPT($L155,$J155,$I155,$M155,$O155,$N155,$P155,$Q155-$C$3,$R155,5)*$H155)/100)</f>
        <v>#NAME?</v>
      </c>
      <c r="AI155" s="226" t="e">
        <f aca="false">(((xSPRDOPT($L155,$J155,$I155,$M155,$O155,$N155,$P155,$Q155-$C$3,$R155,4)*$H155)/10000)/100)-AB155</f>
        <v>#NAME?</v>
      </c>
      <c r="AJ155" s="226"/>
      <c r="AK155" s="226"/>
      <c r="AL155" s="226"/>
      <c r="AM155" s="252"/>
      <c r="AN155" s="143" t="n">
        <f aca="false">EOMONTH(AN154,0)+1</f>
        <v>41244</v>
      </c>
      <c r="AO155" s="134" t="n">
        <f aca="false">SUMIF($X:$X,CONCATENATE($AN155,AO$6),$T:$T)/10000</f>
        <v>0</v>
      </c>
      <c r="AP155" s="134" t="n">
        <f aca="false">SUMIF($X:$X,CONCATENATE($AN155,AP$6),$T:$T)/10000</f>
        <v>0</v>
      </c>
      <c r="AQ155" s="134" t="n">
        <f aca="false">SUMIF($X:$X,CONCATENATE($AN155,AQ$6),$T:$T)/10000</f>
        <v>0</v>
      </c>
      <c r="AR155" s="134" t="n">
        <f aca="false">SUMIF($X:$X,CONCATENATE($AN155,AR$6),$T:$T)/10000</f>
        <v>0</v>
      </c>
      <c r="AS155" s="134" t="n">
        <f aca="false">SUMIF($X:$X,CONCATENATE($AN155,AS$6),$T:$T)/10000</f>
        <v>0</v>
      </c>
      <c r="AT155" s="134" t="n">
        <f aca="false">SUMIF($X:$X,CONCATENATE($AN155,AT$6),$T:$T)/10000</f>
        <v>0</v>
      </c>
      <c r="AU155" s="134" t="n">
        <f aca="false">SUMIF($X:$X,CONCATENATE($AN155,AU$6),$T:$T)/10000</f>
        <v>0</v>
      </c>
      <c r="AV155" s="134" t="n">
        <f aca="false">SUMIF($X:$X,CONCATENATE($AN155,AV$6),$T:$T)/10000</f>
        <v>0</v>
      </c>
      <c r="AW155" s="134" t="n">
        <f aca="false">SUMIF($X:$X,CONCATENATE($AN155,AW$6),$T:$T)/10000</f>
        <v>0</v>
      </c>
      <c r="AX155" s="134" t="n">
        <f aca="false">SUMIF($X:$X,CONCATENATE($AN155,AX$6),$T:$T)/10000</f>
        <v>0</v>
      </c>
      <c r="AY155" s="134" t="n">
        <f aca="false">SUMIF($X:$X,CONCATENATE($AN155,AY$6),$T:$T)/10000</f>
        <v>0</v>
      </c>
      <c r="AZ155" s="134" t="n">
        <f aca="false">SUMIF($X:$X,CONCATENATE($AN155,AZ$6),$T:$T)/10000</f>
        <v>0</v>
      </c>
      <c r="BA155" s="135" t="n">
        <f aca="false">SUMIF($X:$X,CONCATENATE($AN155,BA$6),$T:$T)/10000</f>
        <v>0</v>
      </c>
      <c r="BB155" s="143" t="n">
        <f aca="false">EOMONTH(BB154,0)+1</f>
        <v>41244</v>
      </c>
      <c r="BC155" s="135" t="n">
        <f aca="false">SUM(AO155:BA155)</f>
        <v>0</v>
      </c>
      <c r="BE155" s="143" t="n">
        <f aca="false">EOMONTH(BE154,0)+1</f>
        <v>41244</v>
      </c>
      <c r="BF155" s="134" t="n">
        <f aca="false">SUMIF($X:$X,CONCATENATE($AN155,BF$6),$W:$W)</f>
        <v>0</v>
      </c>
      <c r="BG155" s="134" t="n">
        <f aca="false">SUMIF($X:$X,CONCATENATE($AN155,BG$6),$W:$W)</f>
        <v>0</v>
      </c>
      <c r="BH155" s="134" t="n">
        <f aca="false">SUMIF($X:$X,CONCATENATE($AN155,BH$6),$W:$W)</f>
        <v>0</v>
      </c>
      <c r="BI155" s="134" t="n">
        <f aca="false">SUMIF($X:$X,CONCATENATE($AN155,BI$6),$W:$W)</f>
        <v>0</v>
      </c>
      <c r="BJ155" s="134" t="n">
        <f aca="false">SUMIF($X:$X,CONCATENATE($AN155,BJ$6),$W:$W)</f>
        <v>0</v>
      </c>
      <c r="BK155" s="134" t="n">
        <f aca="false">SUMIF($X:$X,CONCATENATE($AN155,BK$6),$W:$W)</f>
        <v>0</v>
      </c>
      <c r="BL155" s="134" t="n">
        <f aca="false">SUMIF($X:$X,CONCATENATE($AN155,BL$6),$W:$W)</f>
        <v>0</v>
      </c>
      <c r="BM155" s="134" t="n">
        <f aca="false">SUMIF($X:$X,CONCATENATE($AN155,BM$6),$W:$W)</f>
        <v>0</v>
      </c>
      <c r="BN155" s="134" t="n">
        <f aca="false">SUMIF($X:$X,CONCATENATE($AN155,BN$6),$W:$W)</f>
        <v>0</v>
      </c>
      <c r="BO155" s="134" t="n">
        <f aca="false">SUMIF($X:$X,CONCATENATE($AN155,BO$6),$W:$W)</f>
        <v>0</v>
      </c>
      <c r="BP155" s="134" t="n">
        <f aca="false">SUMIF($X:$X,CONCATENATE($AN155,BP$6),$W:$W)</f>
        <v>0</v>
      </c>
      <c r="BQ155" s="134" t="n">
        <f aca="false">SUMIF($X:$X,CONCATENATE($AN155,BQ$6),$W:$W)</f>
        <v>0</v>
      </c>
      <c r="BR155" s="135" t="n">
        <f aca="false">SUMIF($X:$X,CONCATENATE($AN155,BR$6),$W:$W)</f>
        <v>0</v>
      </c>
      <c r="BS155" s="143" t="n">
        <f aca="false">EOMONTH(BS154,0)+1</f>
        <v>41244</v>
      </c>
      <c r="BT155" s="135" t="n">
        <f aca="false">SUM(BF155:BR155)</f>
        <v>0</v>
      </c>
      <c r="CC155" s="182" t="n">
        <f aca="false">G155</f>
        <v>36770</v>
      </c>
      <c r="CD155" s="253" t="e">
        <f aca="false">xSPRDOPT((VLOOKUP(G155,NGPrices,2,FALSE())+HLOOKUP(D155,Prices,VLOOKUP(G155,move_down,2,FALSE()),FALSE())),VLOOKUP(G155,NGPrices,2,FALSE()),I155,VLOOKUP(G155,NGPREVPRICES,4,FALSE()),HLOOKUP(D155,PREVVOLS,VLOOKUP(G155,MOVE_DOWN2,2,FALSE()),FALSE()),VLOOKUP(G155,NGPREVPRICES,3,FALSE()),HLOOKUP(D155,Correllate,VLOOKUP(G155,CorMove,2,FALSE()),FALSE()),Q155-$CD$3,R155,$CD$5)*H155-CJ155</f>
        <v>#NAME?</v>
      </c>
      <c r="CE155" s="253" t="e">
        <f aca="false">xSPRDOPT((VLOOKUP(G155,NGPREVPRICES,2,FALSE())+HLOOKUP(D155,PREVCURVES,VLOOKUP(G155,MOVE_DOWN2,2,FALSE()),FALSE())),VLOOKUP(G155,NGPREVPRICES,2,FALSE()),CK155,VLOOKUP(G155,NGPrices,4,FALSE()),HLOOKUP(D155,PREVVOLS,VLOOKUP(G155,MOVE_DOWN2,2,FALSE()),FALSE()),VLOOKUP(G155,NGPREVPRICES,3,FALSE()),HLOOKUP(D155,Correllate,VLOOKUP(G155,CorMove,2,FALSE()),FALSE()),Q155-$CD$3,R155,$CJ$5)*H155-CJ155</f>
        <v>#NAME?</v>
      </c>
      <c r="CF155" s="132" t="e">
        <f aca="false">(CJ155/VLOOKUP(CC155,discount,3,FALSE()))-(CJ155/VLOOKUP(CC155,discount,2,FALSE()))</f>
        <v>#NAME?</v>
      </c>
      <c r="CG155" s="253" t="e">
        <f aca="false">xSPRDOPT((VLOOKUP(G155,NGPREVPRICES,2,FALSE())+HLOOKUP(D155,PREVCURVES,VLOOKUP(G155,MOVE_DOWN2,2,FALSE()),FALSE())),VLOOKUP(G155,NGPREVPRICES,2,FALSE()),CK155,VLOOKUP(G155,NGPREVPRICES,4,FALSE()),HLOOKUP(D155,VOLS,VLOOKUP(G155,move_down,2,FALSE()),FALSE()),VLOOKUP(G155,NGPrices,3,FALSE()),HLOOKUP(D155,Correllate,VLOOKUP(G155,CorMove,2,FALSE()),FALSE()),Q155-$CD$3,R155,$CJ$5)*H155-CJ155</f>
        <v>#NAME?</v>
      </c>
      <c r="CH155" s="253" t="e">
        <f aca="false">xSPRDOPT((VLOOKUP(G155,NGPREVPRICES,2,FALSE())+HLOOKUP(D155,PREVCURVES,VLOOKUP(G155,MOVE_DOWN2,2,FALSE()),FALSE())),VLOOKUP(G155,NGPREVPRICES,2,FALSE()),CK155,VLOOKUP(G155,NGPREVPRICES,4,FALSE()),HLOOKUP(D155,PREVVOLS,VLOOKUP(G155,MOVE_DOWN2,2,FALSE()),FALSE()),VLOOKUP(G155,NGPREVPRICES,3,FALSE()),HLOOKUP(D155,Correllate,VLOOKUP(G155,CorMove,2,FALSE()),FALSE()),Q155-$C$3,R155,$CJ$5)*H155-CJ155</f>
        <v>#NAME?</v>
      </c>
      <c r="CI155" s="253" t="e">
        <f aca="false">SUM(CD155:CH155)</f>
        <v>#NAME?</v>
      </c>
      <c r="CJ155" s="253" t="e">
        <f aca="false">xSPRDOPT((VLOOKUP(G155,NGPREVPRICES,2,FALSE())+HLOOKUP(D155,PREVCURVES,VLOOKUP(G155,MOVE_DOWN2,2,FALSE()),FALSE())),VLOOKUP(G155,NGPREVPRICES,2,FALSE()),CK155,VLOOKUP(G155,NGPREVPRICES,4,FALSE()),HLOOKUP(D155,PREVVOLS,VLOOKUP(G155,MOVE_DOWN2,2,FALSE()),FALSE()),VLOOKUP(G155,NGPREVPRICES,3,FALSE()),HLOOKUP(D155,Correllate,VLOOKUP(G155,CorMove,2,FALSE()),FALSE()),Q155-$CD$3,R155,$CJ$5)*H155</f>
        <v>#NAME?</v>
      </c>
      <c r="CK155" s="254" t="n">
        <f aca="false">I155</f>
        <v>0</v>
      </c>
      <c r="CL155" s="253"/>
      <c r="CM155" s="0" t="str">
        <f aca="false">CONCATENATE(CC155,$CD$6)</f>
        <v>36770Curve Shift/Gamma</v>
      </c>
      <c r="CN155" s="0" t="str">
        <f aca="false">CONCATENATE($CC155,$CE$6)</f>
        <v>36770Rho</v>
      </c>
      <c r="CO155" s="0" t="str">
        <f aca="false">CONCATENATE($CC155,$CF$6)</f>
        <v>36770Drift</v>
      </c>
      <c r="CP155" s="0" t="str">
        <f aca="false">CONCATENATE($CC155,$CG$6)</f>
        <v>36770Vega</v>
      </c>
      <c r="CQ155" s="0" t="str">
        <f aca="false">CONCATENATE($CC155,$CH$6)</f>
        <v>36770Theta</v>
      </c>
    </row>
    <row r="156" customFormat="false" ht="12" hidden="false" customHeight="true" outlineLevel="0" collapsed="false">
      <c r="A156" s="265" t="s">
        <v>218</v>
      </c>
      <c r="B156" s="0" t="s">
        <v>192</v>
      </c>
      <c r="C156" s="0" t="s">
        <v>253</v>
      </c>
      <c r="D156" s="7" t="s">
        <v>151</v>
      </c>
      <c r="E156" s="0" t="s">
        <v>131</v>
      </c>
      <c r="F156" s="0" t="s">
        <v>136</v>
      </c>
      <c r="G156" s="92" t="n">
        <v>36951</v>
      </c>
      <c r="H156" s="248" t="n">
        <v>310000</v>
      </c>
      <c r="I156" s="0" t="n">
        <v>-0.27</v>
      </c>
      <c r="J156" s="124" t="n">
        <f aca="false">VLOOKUP(G156,NGPrices,2,FALSE())</f>
        <v>4.213</v>
      </c>
      <c r="K156" s="125" t="n">
        <f aca="false">HLOOKUP(D156,Prices,VLOOKUP(G156,move_down,2,FALSE()),FALSE())+VLOOKUP(G156,CHANGE,HLOOKUP(D156,CHANGE,2,FALSE()),FALSE())</f>
        <v>-0.3975</v>
      </c>
      <c r="L156" s="124" t="n">
        <f aca="false">K156+J156</f>
        <v>3.8155</v>
      </c>
      <c r="M156" s="126" t="n">
        <f aca="false">VLOOKUP(G156,NGPrices,4,FALSE())</f>
        <v>0.068879814952707</v>
      </c>
      <c r="N156" s="7" t="n">
        <f aca="false">VLOOKUP(G156,NGPrices,3,FALSE())</f>
        <v>0.5325</v>
      </c>
      <c r="O156" s="7" t="n">
        <f aca="false">HLOOKUP(D156,VOLS,VLOOKUP(G156,move_down,2,FALSE()),FALSE())</f>
        <v>0.511</v>
      </c>
      <c r="P156" s="249" t="n">
        <f aca="false">HLOOKUP(D156,Correllate,VLOOKUP(G156,CorMove,2,FALSE()),FALSE())</f>
        <v>0.93</v>
      </c>
      <c r="Q156" s="92" t="n">
        <f aca="false">WORKDAY(G156,-2)</f>
        <v>36949</v>
      </c>
      <c r="R156" s="7" t="n">
        <f aca="false">IF(F156="P",0,1)</f>
        <v>1</v>
      </c>
      <c r="S156" s="130" t="e">
        <f aca="false">xSPRDOPT($L156,$J156,$I156,$M156,$O156,$N156,$P156,$Q156-$C$3,$R156,0)</f>
        <v>#NAME?</v>
      </c>
      <c r="T156" s="250" t="e">
        <f aca="false">xSPRDOPT($L156,$J156,$I156,$M156,$O156,$N156,$P156,$Q156-$C$3,$R156,1)*H156</f>
        <v>#NAME?</v>
      </c>
      <c r="U156" s="43" t="e">
        <f aca="false">S156*H156</f>
        <v>#NAME?</v>
      </c>
      <c r="V156" s="250" t="e">
        <f aca="false">xSPRDOPT($L156,$J156,$I156,$M156,$O156,$N156,$P156,$Q156-$C$3,$R156,2)*H156</f>
        <v>#NAME?</v>
      </c>
      <c r="W156" s="250" t="e">
        <f aca="false">+V156+T156</f>
        <v>#NAME?</v>
      </c>
      <c r="X156" s="2" t="str">
        <f aca="false">CONCATENATE(G156,D156)</f>
        <v>36951IF-NWPL_ROCKY_M</v>
      </c>
      <c r="Y156" s="251" t="n">
        <f aca="false">H156/10000</f>
        <v>31</v>
      </c>
      <c r="Z156" s="226" t="e">
        <f aca="false">T156/H156</f>
        <v>#NAME?</v>
      </c>
      <c r="AA156" s="226" t="e">
        <f aca="false">xSPRDOPT($L156,$J156,$I156,$M156,$O156,$N156,$P156,$Q156-$C$3,$R156,3)</f>
        <v>#NAME?</v>
      </c>
      <c r="AB156" s="226" t="e">
        <f aca="false">((xSPRDOPT($L156+AB$5,$J156,$I156,$M156,$O156,$N156,$P156,$Q156-$C$3,$R156,3)*$H156)/10000)/100</f>
        <v>#NAME?</v>
      </c>
      <c r="AC156" s="226" t="e">
        <f aca="false">((xSPRDOPT($L156+$AB$5,$J156,$I156,$M156,$O156,$N156,$P156,$Q156-$C$3,$R156,7)*$H156)/100)</f>
        <v>#NAME?</v>
      </c>
      <c r="AD156" s="226" t="e">
        <f aca="false">(xSPRDOPT($L156+$AB$5,$J156,$I156,$M156,$O156,$N156,$P156,$Q156-$C$3,$R156,9)/365)*$H156</f>
        <v>#NAME?</v>
      </c>
      <c r="AE156" s="0" t="e">
        <f aca="false">CD156</f>
        <v>#NAME?</v>
      </c>
      <c r="AF156" s="226" t="e">
        <f aca="false">((O156/N156)*AH156)+AG156</f>
        <v>#NAME?</v>
      </c>
      <c r="AG156" s="226" t="e">
        <f aca="false">((xSPRDOPT($L156,$J156,$I156,$M156,$O156,$N156,$P156,$Q156-$C$3,$R156,6)*$H156)/100)</f>
        <v>#NAME?</v>
      </c>
      <c r="AH156" s="226" t="e">
        <f aca="false">((xSPRDOPT($L156,$J156,$I156,$M156,$O156,$N156,$P156,$Q156-$C$3,$R156,5)*$H156)/100)</f>
        <v>#NAME?</v>
      </c>
      <c r="AI156" s="226" t="e">
        <f aca="false">(((xSPRDOPT($L156,$J156,$I156,$M156,$O156,$N156,$P156,$Q156-$C$3,$R156,4)*$H156)/10000)/100)-AB156</f>
        <v>#NAME?</v>
      </c>
      <c r="AJ156" s="226"/>
      <c r="AK156" s="226"/>
      <c r="AL156" s="226"/>
      <c r="AM156" s="252"/>
      <c r="AN156" s="143" t="n">
        <f aca="false">EOMONTH(AN155,0)+1</f>
        <v>41275</v>
      </c>
      <c r="AO156" s="134" t="n">
        <f aca="false">SUMIF($X:$X,CONCATENATE($AN156,AO$6),$T:$T)/10000</f>
        <v>0</v>
      </c>
      <c r="AP156" s="134" t="n">
        <f aca="false">SUMIF($X:$X,CONCATENATE($AN156,AP$6),$T:$T)/10000</f>
        <v>0</v>
      </c>
      <c r="AQ156" s="134" t="n">
        <f aca="false">SUMIF($X:$X,CONCATENATE($AN156,AQ$6),$T:$T)/10000</f>
        <v>0</v>
      </c>
      <c r="AR156" s="134" t="n">
        <f aca="false">SUMIF($X:$X,CONCATENATE($AN156,AR$6),$T:$T)/10000</f>
        <v>0</v>
      </c>
      <c r="AS156" s="134" t="n">
        <f aca="false">SUMIF($X:$X,CONCATENATE($AN156,AS$6),$T:$T)/10000</f>
        <v>0</v>
      </c>
      <c r="AT156" s="134" t="n">
        <f aca="false">SUMIF($X:$X,CONCATENATE($AN156,AT$6),$T:$T)/10000</f>
        <v>0</v>
      </c>
      <c r="AU156" s="134" t="n">
        <f aca="false">SUMIF($X:$X,CONCATENATE($AN156,AU$6),$T:$T)/10000</f>
        <v>0</v>
      </c>
      <c r="AV156" s="134" t="n">
        <f aca="false">SUMIF($X:$X,CONCATENATE($AN156,AV$6),$T:$T)/10000</f>
        <v>0</v>
      </c>
      <c r="AW156" s="134" t="n">
        <f aca="false">SUMIF($X:$X,CONCATENATE($AN156,AW$6),$T:$T)/10000</f>
        <v>0</v>
      </c>
      <c r="AX156" s="134" t="n">
        <f aca="false">SUMIF($X:$X,CONCATENATE($AN156,AX$6),$T:$T)/10000</f>
        <v>0</v>
      </c>
      <c r="AY156" s="134" t="n">
        <f aca="false">SUMIF($X:$X,CONCATENATE($AN156,AY$6),$T:$T)/10000</f>
        <v>0</v>
      </c>
      <c r="AZ156" s="134" t="n">
        <f aca="false">SUMIF($X:$X,CONCATENATE($AN156,AZ$6),$T:$T)/10000</f>
        <v>0</v>
      </c>
      <c r="BA156" s="135" t="n">
        <f aca="false">SUMIF($X:$X,CONCATENATE($AN156,BA$6),$T:$T)/10000</f>
        <v>0</v>
      </c>
      <c r="BB156" s="143" t="n">
        <f aca="false">EOMONTH(BB155,0)+1</f>
        <v>41275</v>
      </c>
      <c r="BC156" s="135" t="n">
        <f aca="false">SUM(AO156:BA156)</f>
        <v>0</v>
      </c>
      <c r="BE156" s="143" t="n">
        <f aca="false">EOMONTH(BE155,0)+1</f>
        <v>41275</v>
      </c>
      <c r="BF156" s="134" t="n">
        <f aca="false">SUMIF($X:$X,CONCATENATE($AN156,BF$6),$W:$W)</f>
        <v>0</v>
      </c>
      <c r="BG156" s="134" t="n">
        <f aca="false">SUMIF($X:$X,CONCATENATE($AN156,BG$6),$W:$W)</f>
        <v>0</v>
      </c>
      <c r="BH156" s="134" t="n">
        <f aca="false">SUMIF($X:$X,CONCATENATE($AN156,BH$6),$W:$W)</f>
        <v>0</v>
      </c>
      <c r="BI156" s="134" t="n">
        <f aca="false">SUMIF($X:$X,CONCATENATE($AN156,BI$6),$W:$W)</f>
        <v>0</v>
      </c>
      <c r="BJ156" s="134" t="n">
        <f aca="false">SUMIF($X:$X,CONCATENATE($AN156,BJ$6),$W:$W)</f>
        <v>0</v>
      </c>
      <c r="BK156" s="134" t="n">
        <f aca="false">SUMIF($X:$X,CONCATENATE($AN156,BK$6),$W:$W)</f>
        <v>0</v>
      </c>
      <c r="BL156" s="134" t="n">
        <f aca="false">SUMIF($X:$X,CONCATENATE($AN156,BL$6),$W:$W)</f>
        <v>0</v>
      </c>
      <c r="BM156" s="134" t="n">
        <f aca="false">SUMIF($X:$X,CONCATENATE($AN156,BM$6),$W:$W)</f>
        <v>0</v>
      </c>
      <c r="BN156" s="134" t="n">
        <f aca="false">SUMIF($X:$X,CONCATENATE($AN156,BN$6),$W:$W)</f>
        <v>0</v>
      </c>
      <c r="BO156" s="134" t="n">
        <f aca="false">SUMIF($X:$X,CONCATENATE($AN156,BO$6),$W:$W)</f>
        <v>0</v>
      </c>
      <c r="BP156" s="134" t="n">
        <f aca="false">SUMIF($X:$X,CONCATENATE($AN156,BP$6),$W:$W)</f>
        <v>0</v>
      </c>
      <c r="BQ156" s="134" t="n">
        <f aca="false">SUMIF($X:$X,CONCATENATE($AN156,BQ$6),$W:$W)</f>
        <v>0</v>
      </c>
      <c r="BR156" s="135" t="n">
        <f aca="false">SUMIF($X:$X,CONCATENATE($AN156,BR$6),$W:$W)</f>
        <v>0</v>
      </c>
      <c r="BS156" s="143" t="n">
        <f aca="false">EOMONTH(BS155,0)+1</f>
        <v>41275</v>
      </c>
      <c r="BT156" s="135" t="n">
        <f aca="false">SUM(BF156:BR156)</f>
        <v>0</v>
      </c>
      <c r="CC156" s="182" t="n">
        <f aca="false">G156</f>
        <v>36951</v>
      </c>
      <c r="CD156" s="253" t="e">
        <f aca="false">xSPRDOPT((VLOOKUP(G156,NGPrices,2,FALSE())+HLOOKUP(D156,Prices,VLOOKUP(G156,move_down,2,FALSE()),FALSE())),VLOOKUP(G156,NGPrices,2,FALSE()),I156,VLOOKUP(G156,NGPREVPRICES,4,FALSE()),HLOOKUP(D156,PREVVOLS,VLOOKUP(G156,MOVE_DOWN2,2,FALSE()),FALSE()),VLOOKUP(G156,NGPREVPRICES,3,FALSE()),HLOOKUP(D156,Correllate,VLOOKUP(G156,CorMove,2,FALSE()),FALSE()),Q156-$CD$3,R156,$CD$5)*H156-CJ156</f>
        <v>#NAME?</v>
      </c>
      <c r="CE156" s="253" t="e">
        <f aca="false">xSPRDOPT((VLOOKUP(G156,NGPREVPRICES,2,FALSE())+HLOOKUP(D156,PREVCURVES,VLOOKUP(G156,MOVE_DOWN2,2,FALSE()),FALSE())),VLOOKUP(G156,NGPREVPRICES,2,FALSE()),CK156,VLOOKUP(G156,NGPrices,4,FALSE()),HLOOKUP(D156,PREVVOLS,VLOOKUP(G156,MOVE_DOWN2,2,FALSE()),FALSE()),VLOOKUP(G156,NGPREVPRICES,3,FALSE()),HLOOKUP(D156,Correllate,VLOOKUP(G156,CorMove,2,FALSE()),FALSE()),Q156-$CD$3,R156,$CJ$5)*H156-CJ156</f>
        <v>#NAME?</v>
      </c>
      <c r="CF156" s="132" t="e">
        <f aca="false">(CJ156/VLOOKUP(CC156,discount,3,FALSE()))-(CJ156/VLOOKUP(CC156,discount,2,FALSE()))</f>
        <v>#NAME?</v>
      </c>
      <c r="CG156" s="253" t="e">
        <f aca="false">xSPRDOPT((VLOOKUP(G156,NGPREVPRICES,2,FALSE())+HLOOKUP(D156,PREVCURVES,VLOOKUP(G156,MOVE_DOWN2,2,FALSE()),FALSE())),VLOOKUP(G156,NGPREVPRICES,2,FALSE()),CK156,VLOOKUP(G156,NGPREVPRICES,4,FALSE()),HLOOKUP(D156,VOLS,VLOOKUP(G156,move_down,2,FALSE()),FALSE()),VLOOKUP(G156,NGPrices,3,FALSE()),HLOOKUP(D156,Correllate,VLOOKUP(G156,CorMove,2,FALSE()),FALSE()),Q156-$CD$3,R156,$CJ$5)*H156-CJ156</f>
        <v>#NAME?</v>
      </c>
      <c r="CH156" s="253" t="e">
        <f aca="false">xSPRDOPT((VLOOKUP(G156,NGPREVPRICES,2,FALSE())+HLOOKUP(D156,PREVCURVES,VLOOKUP(G156,MOVE_DOWN2,2,FALSE()),FALSE())),VLOOKUP(G156,NGPREVPRICES,2,FALSE()),CK156,VLOOKUP(G156,NGPREVPRICES,4,FALSE()),HLOOKUP(D156,PREVVOLS,VLOOKUP(G156,MOVE_DOWN2,2,FALSE()),FALSE()),VLOOKUP(G156,NGPREVPRICES,3,FALSE()),HLOOKUP(D156,Correllate,VLOOKUP(G156,CorMove,2,FALSE()),FALSE()),Q156-$C$3,R156,$CJ$5)*H156-CJ156</f>
        <v>#NAME?</v>
      </c>
      <c r="CI156" s="253" t="e">
        <f aca="false">SUM(CD156:CH156)</f>
        <v>#NAME?</v>
      </c>
      <c r="CJ156" s="253" t="e">
        <f aca="false">xSPRDOPT((VLOOKUP(G156,NGPREVPRICES,2,FALSE())+HLOOKUP(D156,PREVCURVES,VLOOKUP(G156,MOVE_DOWN2,2,FALSE()),FALSE())),VLOOKUP(G156,NGPREVPRICES,2,FALSE()),CK156,VLOOKUP(G156,NGPREVPRICES,4,FALSE()),HLOOKUP(D156,PREVVOLS,VLOOKUP(G156,MOVE_DOWN2,2,FALSE()),FALSE()),VLOOKUP(G156,NGPREVPRICES,3,FALSE()),HLOOKUP(D156,Correllate,VLOOKUP(G156,CorMove,2,FALSE()),FALSE()),Q156-$CD$3,R156,$CJ$5)*H156</f>
        <v>#NAME?</v>
      </c>
      <c r="CK156" s="254" t="n">
        <f aca="false">I156</f>
        <v>-0.27</v>
      </c>
      <c r="CL156" s="253"/>
      <c r="CM156" s="0" t="str">
        <f aca="false">CONCATENATE(CC156,$CD$6)</f>
        <v>36951Curve Shift/Gamma</v>
      </c>
      <c r="CN156" s="0" t="str">
        <f aca="false">CONCATENATE($CC156,$CE$6)</f>
        <v>36951Rho</v>
      </c>
      <c r="CO156" s="0" t="str">
        <f aca="false">CONCATENATE($CC156,$CF$6)</f>
        <v>36951Drift</v>
      </c>
      <c r="CP156" s="0" t="str">
        <f aca="false">CONCATENATE($CC156,$CG$6)</f>
        <v>36951Vega</v>
      </c>
      <c r="CQ156" s="0" t="str">
        <f aca="false">CONCATENATE($CC156,$CH$6)</f>
        <v>36951Theta</v>
      </c>
    </row>
    <row r="157" customFormat="false" ht="12" hidden="false" customHeight="true" outlineLevel="0" collapsed="false">
      <c r="A157" s="265" t="s">
        <v>218</v>
      </c>
      <c r="B157" s="0" t="s">
        <v>192</v>
      </c>
      <c r="C157" s="0" t="s">
        <v>253</v>
      </c>
      <c r="D157" s="7" t="s">
        <v>151</v>
      </c>
      <c r="E157" s="0" t="s">
        <v>131</v>
      </c>
      <c r="F157" s="0" t="s">
        <v>136</v>
      </c>
      <c r="G157" s="92" t="n">
        <v>36923</v>
      </c>
      <c r="H157" s="248" t="n">
        <v>280000</v>
      </c>
      <c r="I157" s="0" t="n">
        <v>-0.27</v>
      </c>
      <c r="J157" s="124" t="n">
        <f aca="false">VLOOKUP(G157,NGPrices,2,FALSE())</f>
        <v>4.48</v>
      </c>
      <c r="K157" s="125" t="n">
        <f aca="false">HLOOKUP(D157,Prices,VLOOKUP(G157,move_down,2,FALSE()),FALSE())+VLOOKUP(G157,CHANGE,HLOOKUP(D157,CHANGE,2,FALSE()),FALSE())</f>
        <v>-0.3875</v>
      </c>
      <c r="L157" s="124" t="n">
        <f aca="false">K157+J157</f>
        <v>4.0925</v>
      </c>
      <c r="M157" s="126" t="n">
        <f aca="false">VLOOKUP(G157,NGPrices,4,FALSE())</f>
        <v>0.068640161611372</v>
      </c>
      <c r="N157" s="7" t="n">
        <f aca="false">VLOOKUP(G157,NGPrices,3,FALSE())</f>
        <v>0.5925</v>
      </c>
      <c r="O157" s="7" t="n">
        <f aca="false">HLOOKUP(D157,VOLS,VLOOKUP(G157,move_down,2,FALSE()),FALSE())</f>
        <v>0.569</v>
      </c>
      <c r="P157" s="249" t="n">
        <f aca="false">HLOOKUP(D157,Correllate,VLOOKUP(G157,CorMove,2,FALSE()),FALSE())</f>
        <v>0.93</v>
      </c>
      <c r="Q157" s="92" t="n">
        <f aca="false">WORKDAY(G157,-2)</f>
        <v>36921</v>
      </c>
      <c r="R157" s="7" t="n">
        <f aca="false">IF(F157="P",0,1)</f>
        <v>1</v>
      </c>
      <c r="S157" s="130" t="e">
        <f aca="false">xSPRDOPT($L157,$J157,$I157,$M157,$O157,$N157,$P157,$Q157-$C$3,$R157,0)</f>
        <v>#NAME?</v>
      </c>
      <c r="T157" s="250" t="e">
        <f aca="false">xSPRDOPT($L157,$J157,$I157,$M157,$O157,$N157,$P157,$Q157-$C$3,$R157,1)*H157</f>
        <v>#NAME?</v>
      </c>
      <c r="U157" s="43" t="e">
        <f aca="false">S157*H157</f>
        <v>#NAME?</v>
      </c>
      <c r="V157" s="250" t="e">
        <f aca="false">xSPRDOPT($L157,$J157,$I157,$M157,$O157,$N157,$P157,$Q157-$C$3,$R157,2)*H157</f>
        <v>#NAME?</v>
      </c>
      <c r="W157" s="250" t="e">
        <f aca="false">+V157+T157</f>
        <v>#NAME?</v>
      </c>
      <c r="X157" s="2" t="str">
        <f aca="false">CONCATENATE(G157,D157)</f>
        <v>36923IF-NWPL_ROCKY_M</v>
      </c>
      <c r="Y157" s="251" t="n">
        <f aca="false">H157/10000</f>
        <v>28</v>
      </c>
      <c r="Z157" s="226" t="e">
        <f aca="false">T157/H157</f>
        <v>#NAME?</v>
      </c>
      <c r="AA157" s="226" t="e">
        <f aca="false">xSPRDOPT($L157,$J157,$I157,$M157,$O157,$N157,$P157,$Q157-$C$3,$R157,3)</f>
        <v>#NAME?</v>
      </c>
      <c r="AB157" s="226" t="e">
        <f aca="false">((xSPRDOPT($L157+AB$5,$J157,$I157,$M157,$O157,$N157,$P157,$Q157-$C$3,$R157,3)*$H157)/10000)/100</f>
        <v>#NAME?</v>
      </c>
      <c r="AC157" s="226" t="e">
        <f aca="false">((xSPRDOPT($L157+$AB$5,$J157,$I157,$M157,$O157,$N157,$P157,$Q157-$C$3,$R157,7)*$H157)/100)</f>
        <v>#NAME?</v>
      </c>
      <c r="AD157" s="226" t="e">
        <f aca="false">(xSPRDOPT($L157+$AB$5,$J157,$I157,$M157,$O157,$N157,$P157,$Q157-$C$3,$R157,9)/365)*$H157</f>
        <v>#NAME?</v>
      </c>
      <c r="AE157" s="0" t="e">
        <f aca="false">CD157</f>
        <v>#NAME?</v>
      </c>
      <c r="AF157" s="226" t="e">
        <f aca="false">((O157/N157)*AH157)+AG157</f>
        <v>#NAME?</v>
      </c>
      <c r="AG157" s="226" t="e">
        <f aca="false">((xSPRDOPT($L157,$J157,$I157,$M157,$O157,$N157,$P157,$Q157-$C$3,$R157,6)*$H157)/100)</f>
        <v>#NAME?</v>
      </c>
      <c r="AH157" s="226" t="e">
        <f aca="false">((xSPRDOPT($L157,$J157,$I157,$M157,$O157,$N157,$P157,$Q157-$C$3,$R157,5)*$H157)/100)</f>
        <v>#NAME?</v>
      </c>
      <c r="AI157" s="226" t="e">
        <f aca="false">(((xSPRDOPT($L157,$J157,$I157,$M157,$O157,$N157,$P157,$Q157-$C$3,$R157,4)*$H157)/10000)/100)-AB157</f>
        <v>#NAME?</v>
      </c>
      <c r="AJ157" s="226"/>
      <c r="AK157" s="226"/>
      <c r="AL157" s="226"/>
      <c r="AM157" s="252"/>
      <c r="AN157" s="143" t="n">
        <f aca="false">EOMONTH(AN156,0)+1</f>
        <v>41306</v>
      </c>
      <c r="AO157" s="134" t="n">
        <f aca="false">SUMIF($X:$X,CONCATENATE($AN157,AO$6),$T:$T)/10000</f>
        <v>0</v>
      </c>
      <c r="AP157" s="134" t="n">
        <f aca="false">SUMIF($X:$X,CONCATENATE($AN157,AP$6),$T:$T)/10000</f>
        <v>0</v>
      </c>
      <c r="AQ157" s="134" t="n">
        <f aca="false">SUMIF($X:$X,CONCATENATE($AN157,AQ$6),$T:$T)/10000</f>
        <v>0</v>
      </c>
      <c r="AR157" s="134" t="n">
        <f aca="false">SUMIF($X:$X,CONCATENATE($AN157,AR$6),$T:$T)/10000</f>
        <v>0</v>
      </c>
      <c r="AS157" s="134" t="n">
        <f aca="false">SUMIF($X:$X,CONCATENATE($AN157,AS$6),$T:$T)/10000</f>
        <v>0</v>
      </c>
      <c r="AT157" s="134" t="n">
        <f aca="false">SUMIF($X:$X,CONCATENATE($AN157,AT$6),$T:$T)/10000</f>
        <v>0</v>
      </c>
      <c r="AU157" s="134" t="n">
        <f aca="false">SUMIF($X:$X,CONCATENATE($AN157,AU$6),$T:$T)/10000</f>
        <v>0</v>
      </c>
      <c r="AV157" s="134" t="n">
        <f aca="false">SUMIF($X:$X,CONCATENATE($AN157,AV$6),$T:$T)/10000</f>
        <v>0</v>
      </c>
      <c r="AW157" s="134" t="n">
        <f aca="false">SUMIF($X:$X,CONCATENATE($AN157,AW$6),$T:$T)/10000</f>
        <v>0</v>
      </c>
      <c r="AX157" s="134" t="n">
        <f aca="false">SUMIF($X:$X,CONCATENATE($AN157,AX$6),$T:$T)/10000</f>
        <v>0</v>
      </c>
      <c r="AY157" s="134" t="n">
        <f aca="false">SUMIF($X:$X,CONCATENATE($AN157,AY$6),$T:$T)/10000</f>
        <v>0</v>
      </c>
      <c r="AZ157" s="134" t="n">
        <f aca="false">SUMIF($X:$X,CONCATENATE($AN157,AZ$6),$T:$T)/10000</f>
        <v>0</v>
      </c>
      <c r="BA157" s="135" t="n">
        <f aca="false">SUMIF($X:$X,CONCATENATE($AN157,BA$6),$T:$T)/10000</f>
        <v>0</v>
      </c>
      <c r="BB157" s="143" t="n">
        <f aca="false">EOMONTH(BB156,0)+1</f>
        <v>41306</v>
      </c>
      <c r="BC157" s="135" t="n">
        <f aca="false">SUM(AO157:BA157)</f>
        <v>0</v>
      </c>
      <c r="BE157" s="143" t="n">
        <f aca="false">EOMONTH(BE156,0)+1</f>
        <v>41306</v>
      </c>
      <c r="BF157" s="134" t="n">
        <f aca="false">SUMIF($X:$X,CONCATENATE($AN157,BF$6),$W:$W)</f>
        <v>0</v>
      </c>
      <c r="BG157" s="134" t="n">
        <f aca="false">SUMIF($X:$X,CONCATENATE($AN157,BG$6),$W:$W)</f>
        <v>0</v>
      </c>
      <c r="BH157" s="134" t="n">
        <f aca="false">SUMIF($X:$X,CONCATENATE($AN157,BH$6),$W:$W)</f>
        <v>0</v>
      </c>
      <c r="BI157" s="134" t="n">
        <f aca="false">SUMIF($X:$X,CONCATENATE($AN157,BI$6),$W:$W)</f>
        <v>0</v>
      </c>
      <c r="BJ157" s="134" t="n">
        <f aca="false">SUMIF($X:$X,CONCATENATE($AN157,BJ$6),$W:$W)</f>
        <v>0</v>
      </c>
      <c r="BK157" s="134" t="n">
        <f aca="false">SUMIF($X:$X,CONCATENATE($AN157,BK$6),$W:$W)</f>
        <v>0</v>
      </c>
      <c r="BL157" s="134" t="n">
        <f aca="false">SUMIF($X:$X,CONCATENATE($AN157,BL$6),$W:$W)</f>
        <v>0</v>
      </c>
      <c r="BM157" s="134" t="n">
        <f aca="false">SUMIF($X:$X,CONCATENATE($AN157,BM$6),$W:$W)</f>
        <v>0</v>
      </c>
      <c r="BN157" s="134" t="n">
        <f aca="false">SUMIF($X:$X,CONCATENATE($AN157,BN$6),$W:$W)</f>
        <v>0</v>
      </c>
      <c r="BO157" s="134" t="n">
        <f aca="false">SUMIF($X:$X,CONCATENATE($AN157,BO$6),$W:$W)</f>
        <v>0</v>
      </c>
      <c r="BP157" s="134" t="n">
        <f aca="false">SUMIF($X:$X,CONCATENATE($AN157,BP$6),$W:$W)</f>
        <v>0</v>
      </c>
      <c r="BQ157" s="134" t="n">
        <f aca="false">SUMIF($X:$X,CONCATENATE($AN157,BQ$6),$W:$W)</f>
        <v>0</v>
      </c>
      <c r="BR157" s="135" t="n">
        <f aca="false">SUMIF($X:$X,CONCATENATE($AN157,BR$6),$W:$W)</f>
        <v>0</v>
      </c>
      <c r="BS157" s="143" t="n">
        <f aca="false">EOMONTH(BS156,0)+1</f>
        <v>41306</v>
      </c>
      <c r="BT157" s="135" t="n">
        <f aca="false">SUM(BF157:BR157)</f>
        <v>0</v>
      </c>
      <c r="CC157" s="182" t="n">
        <f aca="false">G157</f>
        <v>36923</v>
      </c>
      <c r="CD157" s="253" t="e">
        <f aca="false">xSPRDOPT((VLOOKUP(G157,NGPrices,2,FALSE())+HLOOKUP(D157,Prices,VLOOKUP(G157,move_down,2,FALSE()),FALSE())),VLOOKUP(G157,NGPrices,2,FALSE()),I157,VLOOKUP(G157,NGPREVPRICES,4,FALSE()),HLOOKUP(D157,PREVVOLS,VLOOKUP(G157,MOVE_DOWN2,2,FALSE()),FALSE()),VLOOKUP(G157,NGPREVPRICES,3,FALSE()),HLOOKUP(D157,Correllate,VLOOKUP(G157,CorMove,2,FALSE()),FALSE()),Q157-$CD$3,R157,$CD$5)*H157-CJ157</f>
        <v>#NAME?</v>
      </c>
      <c r="CE157" s="253" t="e">
        <f aca="false">xSPRDOPT((VLOOKUP(G157,NGPREVPRICES,2,FALSE())+HLOOKUP(D157,PREVCURVES,VLOOKUP(G157,MOVE_DOWN2,2,FALSE()),FALSE())),VLOOKUP(G157,NGPREVPRICES,2,FALSE()),CK157,VLOOKUP(G157,NGPrices,4,FALSE()),HLOOKUP(D157,PREVVOLS,VLOOKUP(G157,MOVE_DOWN2,2,FALSE()),FALSE()),VLOOKUP(G157,NGPREVPRICES,3,FALSE()),HLOOKUP(D157,Correllate,VLOOKUP(G157,CorMove,2,FALSE()),FALSE()),Q157-$CD$3,R157,$CJ$5)*H157-CJ157</f>
        <v>#NAME?</v>
      </c>
      <c r="CF157" s="132" t="e">
        <f aca="false">(CJ157/VLOOKUP(CC157,discount,3,FALSE()))-(CJ157/VLOOKUP(CC157,discount,2,FALSE()))</f>
        <v>#NAME?</v>
      </c>
      <c r="CG157" s="253" t="e">
        <f aca="false">xSPRDOPT((VLOOKUP(G157,NGPREVPRICES,2,FALSE())+HLOOKUP(D157,PREVCURVES,VLOOKUP(G157,MOVE_DOWN2,2,FALSE()),FALSE())),VLOOKUP(G157,NGPREVPRICES,2,FALSE()),CK157,VLOOKUP(G157,NGPREVPRICES,4,FALSE()),HLOOKUP(D157,VOLS,VLOOKUP(G157,move_down,2,FALSE()),FALSE()),VLOOKUP(G157,NGPrices,3,FALSE()),HLOOKUP(D157,Correllate,VLOOKUP(G157,CorMove,2,FALSE()),FALSE()),Q157-$CD$3,R157,$CJ$5)*H157-CJ157</f>
        <v>#NAME?</v>
      </c>
      <c r="CH157" s="253" t="e">
        <f aca="false">xSPRDOPT((VLOOKUP(G157,NGPREVPRICES,2,FALSE())+HLOOKUP(D157,PREVCURVES,VLOOKUP(G157,MOVE_DOWN2,2,FALSE()),FALSE())),VLOOKUP(G157,NGPREVPRICES,2,FALSE()),CK157,VLOOKUP(G157,NGPREVPRICES,4,FALSE()),HLOOKUP(D157,PREVVOLS,VLOOKUP(G157,MOVE_DOWN2,2,FALSE()),FALSE()),VLOOKUP(G157,NGPREVPRICES,3,FALSE()),HLOOKUP(D157,Correllate,VLOOKUP(G157,CorMove,2,FALSE()),FALSE()),Q157-$C$3,R157,$CJ$5)*H157-CJ157</f>
        <v>#NAME?</v>
      </c>
      <c r="CI157" s="253" t="e">
        <f aca="false">SUM(CD157:CH157)</f>
        <v>#NAME?</v>
      </c>
      <c r="CJ157" s="253" t="e">
        <f aca="false">xSPRDOPT((VLOOKUP(G157,NGPREVPRICES,2,FALSE())+HLOOKUP(D157,PREVCURVES,VLOOKUP(G157,MOVE_DOWN2,2,FALSE()),FALSE())),VLOOKUP(G157,NGPREVPRICES,2,FALSE()),CK157,VLOOKUP(G157,NGPREVPRICES,4,FALSE()),HLOOKUP(D157,PREVVOLS,VLOOKUP(G157,MOVE_DOWN2,2,FALSE()),FALSE()),VLOOKUP(G157,NGPREVPRICES,3,FALSE()),HLOOKUP(D157,Correllate,VLOOKUP(G157,CorMove,2,FALSE()),FALSE()),Q157-$CD$3,R157,$CJ$5)*H157</f>
        <v>#NAME?</v>
      </c>
      <c r="CK157" s="254" t="n">
        <f aca="false">I157</f>
        <v>-0.27</v>
      </c>
      <c r="CL157" s="253"/>
      <c r="CM157" s="0" t="str">
        <f aca="false">CONCATENATE(CC157,$CD$6)</f>
        <v>36923Curve Shift/Gamma</v>
      </c>
      <c r="CN157" s="0" t="str">
        <f aca="false">CONCATENATE($CC157,$CE$6)</f>
        <v>36923Rho</v>
      </c>
      <c r="CO157" s="0" t="str">
        <f aca="false">CONCATENATE($CC157,$CF$6)</f>
        <v>36923Drift</v>
      </c>
      <c r="CP157" s="0" t="str">
        <f aca="false">CONCATENATE($CC157,$CG$6)</f>
        <v>36923Vega</v>
      </c>
      <c r="CQ157" s="0" t="str">
        <f aca="false">CONCATENATE($CC157,$CH$6)</f>
        <v>36923Theta</v>
      </c>
    </row>
    <row r="158" customFormat="false" ht="12" hidden="false" customHeight="true" outlineLevel="0" collapsed="false">
      <c r="A158" s="265" t="s">
        <v>218</v>
      </c>
      <c r="B158" s="0" t="s">
        <v>192</v>
      </c>
      <c r="C158" s="0" t="s">
        <v>253</v>
      </c>
      <c r="D158" s="7" t="s">
        <v>151</v>
      </c>
      <c r="E158" s="0" t="s">
        <v>131</v>
      </c>
      <c r="F158" s="0" t="s">
        <v>136</v>
      </c>
      <c r="G158" s="92" t="n">
        <v>36892</v>
      </c>
      <c r="H158" s="248" t="n">
        <v>310000</v>
      </c>
      <c r="I158" s="0" t="n">
        <v>-0.27</v>
      </c>
      <c r="J158" s="124" t="n">
        <f aca="false">VLOOKUP(G158,NGPrices,2,FALSE())</f>
        <v>4.744</v>
      </c>
      <c r="K158" s="125" t="n">
        <f aca="false">HLOOKUP(D158,Prices,VLOOKUP(G158,move_down,2,FALSE()),FALSE())+VLOOKUP(G158,CHANGE,HLOOKUP(D158,CHANGE,2,FALSE()),FALSE())</f>
        <v>-0.3675</v>
      </c>
      <c r="L158" s="124" t="n">
        <f aca="false">K158+J158</f>
        <v>4.3765</v>
      </c>
      <c r="M158" s="126" t="n">
        <f aca="false">VLOOKUP(G158,NGPrices,4,FALSE())</f>
        <v>0.068374831148491</v>
      </c>
      <c r="N158" s="7" t="n">
        <f aca="false">VLOOKUP(G158,NGPrices,3,FALSE())</f>
        <v>0.605</v>
      </c>
      <c r="O158" s="7" t="n">
        <f aca="false">HLOOKUP(D158,VOLS,VLOOKUP(G158,move_down,2,FALSE()),FALSE())</f>
        <v>0.581</v>
      </c>
      <c r="P158" s="249" t="n">
        <f aca="false">HLOOKUP(D158,Correllate,VLOOKUP(G158,CorMove,2,FALSE()),FALSE())</f>
        <v>0.93</v>
      </c>
      <c r="Q158" s="92" t="n">
        <f aca="false">WORKDAY(G158,-2)</f>
        <v>36888</v>
      </c>
      <c r="R158" s="7" t="n">
        <f aca="false">IF(F158="P",0,1)</f>
        <v>1</v>
      </c>
      <c r="S158" s="130" t="e">
        <f aca="false">xSPRDOPT($L158,$J158,$I158,$M158,$O158,$N158,$P158,$Q158-$C$3,$R158,0)</f>
        <v>#NAME?</v>
      </c>
      <c r="T158" s="250" t="e">
        <f aca="false">xSPRDOPT($L158,$J158,$I158,$M158,$O158,$N158,$P158,$Q158-$C$3,$R158,1)*H158</f>
        <v>#NAME?</v>
      </c>
      <c r="U158" s="43" t="e">
        <f aca="false">S158*H158</f>
        <v>#NAME?</v>
      </c>
      <c r="V158" s="250" t="e">
        <f aca="false">xSPRDOPT($L158,$J158,$I158,$M158,$O158,$N158,$P158,$Q158-$C$3,$R158,2)*H158</f>
        <v>#NAME?</v>
      </c>
      <c r="W158" s="250" t="e">
        <f aca="false">+V158+T158</f>
        <v>#NAME?</v>
      </c>
      <c r="X158" s="2" t="str">
        <f aca="false">CONCATENATE(G158,D158)</f>
        <v>36892IF-NWPL_ROCKY_M</v>
      </c>
      <c r="Y158" s="251" t="n">
        <f aca="false">H158/10000</f>
        <v>31</v>
      </c>
      <c r="Z158" s="226" t="e">
        <f aca="false">T158/H158</f>
        <v>#NAME?</v>
      </c>
      <c r="AA158" s="226" t="e">
        <f aca="false">xSPRDOPT($L158,$J158,$I158,$M158,$O158,$N158,$P158,$Q158-$C$3,$R158,3)</f>
        <v>#NAME?</v>
      </c>
      <c r="AB158" s="226" t="e">
        <f aca="false">((xSPRDOPT($L158+AB$5,$J158,$I158,$M158,$O158,$N158,$P158,$Q158-$C$3,$R158,3)*$H158)/10000)/100</f>
        <v>#NAME?</v>
      </c>
      <c r="AC158" s="226" t="e">
        <f aca="false">((xSPRDOPT($L158+$AB$5,$J158,$I158,$M158,$O158,$N158,$P158,$Q158-$C$3,$R158,7)*$H158)/100)</f>
        <v>#NAME?</v>
      </c>
      <c r="AD158" s="226" t="e">
        <f aca="false">(xSPRDOPT($L158+$AB$5,$J158,$I158,$M158,$O158,$N158,$P158,$Q158-$C$3,$R158,9)/365)*$H158</f>
        <v>#NAME?</v>
      </c>
      <c r="AE158" s="0" t="e">
        <f aca="false">CD158</f>
        <v>#NAME?</v>
      </c>
      <c r="AF158" s="226" t="e">
        <f aca="false">((O158/N158)*AH158)+AG158</f>
        <v>#NAME?</v>
      </c>
      <c r="AG158" s="226" t="e">
        <f aca="false">((xSPRDOPT($L158,$J158,$I158,$M158,$O158,$N158,$P158,$Q158-$C$3,$R158,6)*$H158)/100)</f>
        <v>#NAME?</v>
      </c>
      <c r="AH158" s="226" t="e">
        <f aca="false">((xSPRDOPT($L158,$J158,$I158,$M158,$O158,$N158,$P158,$Q158-$C$3,$R158,5)*$H158)/100)</f>
        <v>#NAME?</v>
      </c>
      <c r="AI158" s="226" t="e">
        <f aca="false">(((xSPRDOPT($L158,$J158,$I158,$M158,$O158,$N158,$P158,$Q158-$C$3,$R158,4)*$H158)/10000)/100)-AB158</f>
        <v>#NAME?</v>
      </c>
      <c r="AJ158" s="226"/>
      <c r="AK158" s="226"/>
      <c r="AL158" s="226"/>
      <c r="AM158" s="252"/>
      <c r="AN158" s="143" t="n">
        <f aca="false">EOMONTH(AN157,0)+1</f>
        <v>41334</v>
      </c>
      <c r="AO158" s="134" t="n">
        <f aca="false">SUMIF($X:$X,CONCATENATE($AN158,AO$6),$T:$T)/10000</f>
        <v>0</v>
      </c>
      <c r="AP158" s="134" t="n">
        <f aca="false">SUMIF($X:$X,CONCATENATE($AN158,AP$6),$T:$T)/10000</f>
        <v>0</v>
      </c>
      <c r="AQ158" s="134" t="n">
        <f aca="false">SUMIF($X:$X,CONCATENATE($AN158,AQ$6),$T:$T)/10000</f>
        <v>0</v>
      </c>
      <c r="AR158" s="134" t="n">
        <f aca="false">SUMIF($X:$X,CONCATENATE($AN158,AR$6),$T:$T)/10000</f>
        <v>0</v>
      </c>
      <c r="AS158" s="134" t="n">
        <f aca="false">SUMIF($X:$X,CONCATENATE($AN158,AS$6),$T:$T)/10000</f>
        <v>0</v>
      </c>
      <c r="AT158" s="134" t="n">
        <f aca="false">SUMIF($X:$X,CONCATENATE($AN158,AT$6),$T:$T)/10000</f>
        <v>0</v>
      </c>
      <c r="AU158" s="134" t="n">
        <f aca="false">SUMIF($X:$X,CONCATENATE($AN158,AU$6),$T:$T)/10000</f>
        <v>0</v>
      </c>
      <c r="AV158" s="134" t="n">
        <f aca="false">SUMIF($X:$X,CONCATENATE($AN158,AV$6),$T:$T)/10000</f>
        <v>0</v>
      </c>
      <c r="AW158" s="134" t="n">
        <f aca="false">SUMIF($X:$X,CONCATENATE($AN158,AW$6),$T:$T)/10000</f>
        <v>0</v>
      </c>
      <c r="AX158" s="134" t="n">
        <f aca="false">SUMIF($X:$X,CONCATENATE($AN158,AX$6),$T:$T)/10000</f>
        <v>0</v>
      </c>
      <c r="AY158" s="134" t="n">
        <f aca="false">SUMIF($X:$X,CONCATENATE($AN158,AY$6),$T:$T)/10000</f>
        <v>0</v>
      </c>
      <c r="AZ158" s="134" t="n">
        <f aca="false">SUMIF($X:$X,CONCATENATE($AN158,AZ$6),$T:$T)/10000</f>
        <v>0</v>
      </c>
      <c r="BA158" s="135" t="n">
        <f aca="false">SUMIF($X:$X,CONCATENATE($AN158,BA$6),$T:$T)/10000</f>
        <v>0</v>
      </c>
      <c r="BB158" s="143" t="n">
        <f aca="false">EOMONTH(BB157,0)+1</f>
        <v>41334</v>
      </c>
      <c r="BC158" s="135" t="n">
        <f aca="false">SUM(AO158:BA158)</f>
        <v>0</v>
      </c>
      <c r="BE158" s="143" t="n">
        <f aca="false">EOMONTH(BE157,0)+1</f>
        <v>41334</v>
      </c>
      <c r="BF158" s="134" t="n">
        <f aca="false">SUMIF($X:$X,CONCATENATE($AN158,BF$6),$W:$W)</f>
        <v>0</v>
      </c>
      <c r="BG158" s="134" t="n">
        <f aca="false">SUMIF($X:$X,CONCATENATE($AN158,BG$6),$W:$W)</f>
        <v>0</v>
      </c>
      <c r="BH158" s="134" t="n">
        <f aca="false">SUMIF($X:$X,CONCATENATE($AN158,BH$6),$W:$W)</f>
        <v>0</v>
      </c>
      <c r="BI158" s="134" t="n">
        <f aca="false">SUMIF($X:$X,CONCATENATE($AN158,BI$6),$W:$W)</f>
        <v>0</v>
      </c>
      <c r="BJ158" s="134" t="n">
        <f aca="false">SUMIF($X:$X,CONCATENATE($AN158,BJ$6),$W:$W)</f>
        <v>0</v>
      </c>
      <c r="BK158" s="134" t="n">
        <f aca="false">SUMIF($X:$X,CONCATENATE($AN158,BK$6),$W:$W)</f>
        <v>0</v>
      </c>
      <c r="BL158" s="134" t="n">
        <f aca="false">SUMIF($X:$X,CONCATENATE($AN158,BL$6),$W:$W)</f>
        <v>0</v>
      </c>
      <c r="BM158" s="134" t="n">
        <f aca="false">SUMIF($X:$X,CONCATENATE($AN158,BM$6),$W:$W)</f>
        <v>0</v>
      </c>
      <c r="BN158" s="134" t="n">
        <f aca="false">SUMIF($X:$X,CONCATENATE($AN158,BN$6),$W:$W)</f>
        <v>0</v>
      </c>
      <c r="BO158" s="134" t="n">
        <f aca="false">SUMIF($X:$X,CONCATENATE($AN158,BO$6),$W:$W)</f>
        <v>0</v>
      </c>
      <c r="BP158" s="134" t="n">
        <f aca="false">SUMIF($X:$X,CONCATENATE($AN158,BP$6),$W:$W)</f>
        <v>0</v>
      </c>
      <c r="BQ158" s="134" t="n">
        <f aca="false">SUMIF($X:$X,CONCATENATE($AN158,BQ$6),$W:$W)</f>
        <v>0</v>
      </c>
      <c r="BR158" s="135" t="n">
        <f aca="false">SUMIF($X:$X,CONCATENATE($AN158,BR$6),$W:$W)</f>
        <v>0</v>
      </c>
      <c r="BS158" s="143" t="n">
        <f aca="false">EOMONTH(BS157,0)+1</f>
        <v>41334</v>
      </c>
      <c r="BT158" s="135" t="n">
        <f aca="false">SUM(BF158:BR158)</f>
        <v>0</v>
      </c>
      <c r="CC158" s="182" t="n">
        <f aca="false">G158</f>
        <v>36892</v>
      </c>
      <c r="CD158" s="253" t="e">
        <f aca="false">xSPRDOPT((VLOOKUP(G158,NGPrices,2,FALSE())+HLOOKUP(D158,Prices,VLOOKUP(G158,move_down,2,FALSE()),FALSE())),VLOOKUP(G158,NGPrices,2,FALSE()),I158,VLOOKUP(G158,NGPREVPRICES,4,FALSE()),HLOOKUP(D158,PREVVOLS,VLOOKUP(G158,MOVE_DOWN2,2,FALSE()),FALSE()),VLOOKUP(G158,NGPREVPRICES,3,FALSE()),HLOOKUP(D158,Correllate,VLOOKUP(G158,CorMove,2,FALSE()),FALSE()),Q158-$CD$3,R158,$CD$5)*H158-CJ158</f>
        <v>#NAME?</v>
      </c>
      <c r="CE158" s="253" t="e">
        <f aca="false">xSPRDOPT((VLOOKUP(G158,NGPREVPRICES,2,FALSE())+HLOOKUP(D158,PREVCURVES,VLOOKUP(G158,MOVE_DOWN2,2,FALSE()),FALSE())),VLOOKUP(G158,NGPREVPRICES,2,FALSE()),CK158,VLOOKUP(G158,NGPrices,4,FALSE()),HLOOKUP(D158,PREVVOLS,VLOOKUP(G158,MOVE_DOWN2,2,FALSE()),FALSE()),VLOOKUP(G158,NGPREVPRICES,3,FALSE()),HLOOKUP(D158,Correllate,VLOOKUP(G158,CorMove,2,FALSE()),FALSE()),Q158-$CD$3,R158,$CJ$5)*H158-CJ158</f>
        <v>#NAME?</v>
      </c>
      <c r="CF158" s="132" t="e">
        <f aca="false">(CJ158/VLOOKUP(CC158,discount,3,FALSE()))-(CJ158/VLOOKUP(CC158,discount,2,FALSE()))</f>
        <v>#NAME?</v>
      </c>
      <c r="CG158" s="253" t="e">
        <f aca="false">xSPRDOPT((VLOOKUP(G158,NGPREVPRICES,2,FALSE())+HLOOKUP(D158,PREVCURVES,VLOOKUP(G158,MOVE_DOWN2,2,FALSE()),FALSE())),VLOOKUP(G158,NGPREVPRICES,2,FALSE()),CK158,VLOOKUP(G158,NGPREVPRICES,4,FALSE()),HLOOKUP(D158,VOLS,VLOOKUP(G158,move_down,2,FALSE()),FALSE()),VLOOKUP(G158,NGPrices,3,FALSE()),HLOOKUP(D158,Correllate,VLOOKUP(G158,CorMove,2,FALSE()),FALSE()),Q158-$CD$3,R158,$CJ$5)*H158-CJ158</f>
        <v>#NAME?</v>
      </c>
      <c r="CH158" s="253" t="e">
        <f aca="false">xSPRDOPT((VLOOKUP(G158,NGPREVPRICES,2,FALSE())+HLOOKUP(D158,PREVCURVES,VLOOKUP(G158,MOVE_DOWN2,2,FALSE()),FALSE())),VLOOKUP(G158,NGPREVPRICES,2,FALSE()),CK158,VLOOKUP(G158,NGPREVPRICES,4,FALSE()),HLOOKUP(D158,PREVVOLS,VLOOKUP(G158,MOVE_DOWN2,2,FALSE()),FALSE()),VLOOKUP(G158,NGPREVPRICES,3,FALSE()),HLOOKUP(D158,Correllate,VLOOKUP(G158,CorMove,2,FALSE()),FALSE()),Q158-$C$3,R158,$CJ$5)*H158-CJ158</f>
        <v>#NAME?</v>
      </c>
      <c r="CI158" s="253" t="e">
        <f aca="false">SUM(CD158:CH158)</f>
        <v>#NAME?</v>
      </c>
      <c r="CJ158" s="253" t="e">
        <f aca="false">xSPRDOPT((VLOOKUP(G158,NGPREVPRICES,2,FALSE())+HLOOKUP(D158,PREVCURVES,VLOOKUP(G158,MOVE_DOWN2,2,FALSE()),FALSE())),VLOOKUP(G158,NGPREVPRICES,2,FALSE()),CK158,VLOOKUP(G158,NGPREVPRICES,4,FALSE()),HLOOKUP(D158,PREVVOLS,VLOOKUP(G158,MOVE_DOWN2,2,FALSE()),FALSE()),VLOOKUP(G158,NGPREVPRICES,3,FALSE()),HLOOKUP(D158,Correllate,VLOOKUP(G158,CorMove,2,FALSE()),FALSE()),Q158-$CD$3,R158,$CJ$5)*H158</f>
        <v>#NAME?</v>
      </c>
      <c r="CK158" s="254" t="n">
        <f aca="false">I158</f>
        <v>-0.27</v>
      </c>
      <c r="CL158" s="253"/>
      <c r="CM158" s="0" t="str">
        <f aca="false">CONCATENATE(CC158,$CD$6)</f>
        <v>36892Curve Shift/Gamma</v>
      </c>
      <c r="CN158" s="0" t="str">
        <f aca="false">CONCATENATE($CC158,$CE$6)</f>
        <v>36892Rho</v>
      </c>
      <c r="CO158" s="0" t="str">
        <f aca="false">CONCATENATE($CC158,$CF$6)</f>
        <v>36892Drift</v>
      </c>
      <c r="CP158" s="0" t="str">
        <f aca="false">CONCATENATE($CC158,$CG$6)</f>
        <v>36892Vega</v>
      </c>
      <c r="CQ158" s="0" t="str">
        <f aca="false">CONCATENATE($CC158,$CH$6)</f>
        <v>36892Theta</v>
      </c>
    </row>
    <row r="159" customFormat="false" ht="12" hidden="false" customHeight="true" outlineLevel="0" collapsed="false">
      <c r="A159" s="265" t="s">
        <v>218</v>
      </c>
      <c r="B159" s="0" t="s">
        <v>192</v>
      </c>
      <c r="C159" s="0" t="s">
        <v>253</v>
      </c>
      <c r="D159" s="7" t="s">
        <v>151</v>
      </c>
      <c r="E159" s="0" t="s">
        <v>131</v>
      </c>
      <c r="F159" s="0" t="s">
        <v>136</v>
      </c>
      <c r="G159" s="92" t="n">
        <v>36861</v>
      </c>
      <c r="H159" s="248" t="n">
        <v>310000</v>
      </c>
      <c r="I159" s="0" t="n">
        <v>-0.27</v>
      </c>
      <c r="J159" s="124" t="n">
        <f aca="false">VLOOKUP(G159,NGPrices,2,FALSE())</f>
        <v>4.8</v>
      </c>
      <c r="K159" s="125" t="n">
        <f aca="false">HLOOKUP(D159,Prices,VLOOKUP(G159,move_down,2,FALSE()),FALSE())+VLOOKUP(G159,CHANGE,HLOOKUP(D159,CHANGE,2,FALSE()),FALSE())</f>
        <v>-0.3575</v>
      </c>
      <c r="L159" s="124" t="n">
        <f aca="false">K159+J159</f>
        <v>4.4425</v>
      </c>
      <c r="M159" s="126" t="n">
        <f aca="false">VLOOKUP(G159,NGPrices,4,FALSE())</f>
        <v>0.068314027999354</v>
      </c>
      <c r="N159" s="7" t="n">
        <f aca="false">VLOOKUP(G159,NGPrices,3,FALSE())</f>
        <v>0.6</v>
      </c>
      <c r="O159" s="7" t="n">
        <f aca="false">HLOOKUP(D159,VOLS,VLOOKUP(G159,move_down,2,FALSE()),FALSE())</f>
        <v>0.576</v>
      </c>
      <c r="P159" s="249" t="n">
        <f aca="false">HLOOKUP(D159,Correllate,VLOOKUP(G159,CorMove,2,FALSE()),FALSE())</f>
        <v>0.93</v>
      </c>
      <c r="Q159" s="92" t="n">
        <f aca="false">WORKDAY(G159,-2)</f>
        <v>36859</v>
      </c>
      <c r="R159" s="7" t="n">
        <f aca="false">IF(F159="P",0,1)</f>
        <v>1</v>
      </c>
      <c r="S159" s="130" t="e">
        <f aca="false">xSPRDOPT($L159,$J159,$I159,$M159,$O159,$N159,$P159,$Q159-$C$3,$R159,0)</f>
        <v>#NAME?</v>
      </c>
      <c r="T159" s="250" t="e">
        <f aca="false">xSPRDOPT($L159,$J159,$I159,$M159,$O159,$N159,$P159,$Q159-$C$3,$R159,1)*H159</f>
        <v>#NAME?</v>
      </c>
      <c r="U159" s="43" t="e">
        <f aca="false">S159*H159</f>
        <v>#NAME?</v>
      </c>
      <c r="V159" s="250" t="e">
        <f aca="false">xSPRDOPT($L159,$J159,$I159,$M159,$O159,$N159,$P159,$Q159-$C$3,$R159,2)*H159</f>
        <v>#NAME?</v>
      </c>
      <c r="W159" s="250" t="e">
        <f aca="false">+V159+T159</f>
        <v>#NAME?</v>
      </c>
      <c r="X159" s="2" t="str">
        <f aca="false">CONCATENATE(G159,D159)</f>
        <v>36861IF-NWPL_ROCKY_M</v>
      </c>
      <c r="Y159" s="251" t="n">
        <f aca="false">H159/10000</f>
        <v>31</v>
      </c>
      <c r="Z159" s="226" t="e">
        <f aca="false">T159/H159</f>
        <v>#NAME?</v>
      </c>
      <c r="AA159" s="226" t="e">
        <f aca="false">xSPRDOPT($L159,$J159,$I159,$M159,$O159,$N159,$P159,$Q159-$C$3,$R159,3)</f>
        <v>#NAME?</v>
      </c>
      <c r="AB159" s="226" t="e">
        <f aca="false">((xSPRDOPT($L159+AB$5,$J159,$I159,$M159,$O159,$N159,$P159,$Q159-$C$3,$R159,3)*$H159)/10000)/100</f>
        <v>#NAME?</v>
      </c>
      <c r="AC159" s="226" t="e">
        <f aca="false">((xSPRDOPT($L159+$AB$5,$J159,$I159,$M159,$O159,$N159,$P159,$Q159-$C$3,$R159,7)*$H159)/100)</f>
        <v>#NAME?</v>
      </c>
      <c r="AD159" s="226" t="e">
        <f aca="false">(xSPRDOPT($L159+$AB$5,$J159,$I159,$M159,$O159,$N159,$P159,$Q159-$C$3,$R159,9)/365)*$H159</f>
        <v>#NAME?</v>
      </c>
      <c r="AE159" s="0" t="e">
        <f aca="false">CD159</f>
        <v>#NAME?</v>
      </c>
      <c r="AF159" s="226" t="e">
        <f aca="false">((O159/N159)*AH159)+AG159</f>
        <v>#NAME?</v>
      </c>
      <c r="AG159" s="226" t="e">
        <f aca="false">((xSPRDOPT($L159,$J159,$I159,$M159,$O159,$N159,$P159,$Q159-$C$3,$R159,6)*$H159)/100)</f>
        <v>#NAME?</v>
      </c>
      <c r="AH159" s="226" t="e">
        <f aca="false">((xSPRDOPT($L159,$J159,$I159,$M159,$O159,$N159,$P159,$Q159-$C$3,$R159,5)*$H159)/100)</f>
        <v>#NAME?</v>
      </c>
      <c r="AI159" s="226" t="e">
        <f aca="false">(((xSPRDOPT($L159,$J159,$I159,$M159,$O159,$N159,$P159,$Q159-$C$3,$R159,4)*$H159)/10000)/100)-AB159</f>
        <v>#NAME?</v>
      </c>
      <c r="AJ159" s="226"/>
      <c r="AK159" s="226"/>
      <c r="AL159" s="226"/>
      <c r="AM159" s="252"/>
      <c r="AN159" s="143" t="n">
        <f aca="false">EOMONTH(AN158,0)+1</f>
        <v>41365</v>
      </c>
      <c r="AO159" s="134" t="n">
        <f aca="false">SUMIF($X:$X,CONCATENATE($AN159,AO$6),$T:$T)/10000</f>
        <v>0</v>
      </c>
      <c r="AP159" s="134" t="n">
        <f aca="false">SUMIF($X:$X,CONCATENATE($AN159,AP$6),$T:$T)/10000</f>
        <v>0</v>
      </c>
      <c r="AQ159" s="134" t="n">
        <f aca="false">SUMIF($X:$X,CONCATENATE($AN159,AQ$6),$T:$T)/10000</f>
        <v>0</v>
      </c>
      <c r="AR159" s="134" t="n">
        <f aca="false">SUMIF($X:$X,CONCATENATE($AN159,AR$6),$T:$T)/10000</f>
        <v>0</v>
      </c>
      <c r="AS159" s="134" t="n">
        <f aca="false">SUMIF($X:$X,CONCATENATE($AN159,AS$6),$T:$T)/10000</f>
        <v>0</v>
      </c>
      <c r="AT159" s="134" t="n">
        <f aca="false">SUMIF($X:$X,CONCATENATE($AN159,AT$6),$T:$T)/10000</f>
        <v>0</v>
      </c>
      <c r="AU159" s="134" t="n">
        <f aca="false">SUMIF($X:$X,CONCATENATE($AN159,AU$6),$T:$T)/10000</f>
        <v>0</v>
      </c>
      <c r="AV159" s="134" t="n">
        <f aca="false">SUMIF($X:$X,CONCATENATE($AN159,AV$6),$T:$T)/10000</f>
        <v>0</v>
      </c>
      <c r="AW159" s="134" t="n">
        <f aca="false">SUMIF($X:$X,CONCATENATE($AN159,AW$6),$T:$T)/10000</f>
        <v>0</v>
      </c>
      <c r="AX159" s="134" t="n">
        <f aca="false">SUMIF($X:$X,CONCATENATE($AN159,AX$6),$T:$T)/10000</f>
        <v>0</v>
      </c>
      <c r="AY159" s="134" t="n">
        <f aca="false">SUMIF($X:$X,CONCATENATE($AN159,AY$6),$T:$T)/10000</f>
        <v>0</v>
      </c>
      <c r="AZ159" s="134" t="n">
        <f aca="false">SUMIF($X:$X,CONCATENATE($AN159,AZ$6),$T:$T)/10000</f>
        <v>0</v>
      </c>
      <c r="BA159" s="135" t="n">
        <f aca="false">SUMIF($X:$X,CONCATENATE($AN159,BA$6),$T:$T)/10000</f>
        <v>0</v>
      </c>
      <c r="BB159" s="143" t="n">
        <f aca="false">EOMONTH(BB158,0)+1</f>
        <v>41365</v>
      </c>
      <c r="BC159" s="135" t="n">
        <f aca="false">SUM(AO159:BA159)</f>
        <v>0</v>
      </c>
      <c r="BE159" s="143" t="n">
        <f aca="false">EOMONTH(BE158,0)+1</f>
        <v>41365</v>
      </c>
      <c r="BF159" s="134" t="n">
        <f aca="false">SUMIF($X:$X,CONCATENATE($AN159,BF$6),$W:$W)</f>
        <v>0</v>
      </c>
      <c r="BG159" s="134" t="n">
        <f aca="false">SUMIF($X:$X,CONCATENATE($AN159,BG$6),$W:$W)</f>
        <v>0</v>
      </c>
      <c r="BH159" s="134" t="n">
        <f aca="false">SUMIF($X:$X,CONCATENATE($AN159,BH$6),$W:$W)</f>
        <v>0</v>
      </c>
      <c r="BI159" s="134" t="n">
        <f aca="false">SUMIF($X:$X,CONCATENATE($AN159,BI$6),$W:$W)</f>
        <v>0</v>
      </c>
      <c r="BJ159" s="134" t="n">
        <f aca="false">SUMIF($X:$X,CONCATENATE($AN159,BJ$6),$W:$W)</f>
        <v>0</v>
      </c>
      <c r="BK159" s="134" t="n">
        <f aca="false">SUMIF($X:$X,CONCATENATE($AN159,BK$6),$W:$W)</f>
        <v>0</v>
      </c>
      <c r="BL159" s="134" t="n">
        <f aca="false">SUMIF($X:$X,CONCATENATE($AN159,BL$6),$W:$W)</f>
        <v>0</v>
      </c>
      <c r="BM159" s="134" t="n">
        <f aca="false">SUMIF($X:$X,CONCATENATE($AN159,BM$6),$W:$W)</f>
        <v>0</v>
      </c>
      <c r="BN159" s="134" t="n">
        <f aca="false">SUMIF($X:$X,CONCATENATE($AN159,BN$6),$W:$W)</f>
        <v>0</v>
      </c>
      <c r="BO159" s="134" t="n">
        <f aca="false">SUMIF($X:$X,CONCATENATE($AN159,BO$6),$W:$W)</f>
        <v>0</v>
      </c>
      <c r="BP159" s="134" t="n">
        <f aca="false">SUMIF($X:$X,CONCATENATE($AN159,BP$6),$W:$W)</f>
        <v>0</v>
      </c>
      <c r="BQ159" s="134" t="n">
        <f aca="false">SUMIF($X:$X,CONCATENATE($AN159,BQ$6),$W:$W)</f>
        <v>0</v>
      </c>
      <c r="BR159" s="135" t="n">
        <f aca="false">SUMIF($X:$X,CONCATENATE($AN159,BR$6),$W:$W)</f>
        <v>0</v>
      </c>
      <c r="BS159" s="143" t="n">
        <f aca="false">EOMONTH(BS158,0)+1</f>
        <v>41365</v>
      </c>
      <c r="BT159" s="135" t="n">
        <f aca="false">SUM(BF159:BR159)</f>
        <v>0</v>
      </c>
      <c r="CC159" s="182" t="n">
        <f aca="false">G159</f>
        <v>36861</v>
      </c>
      <c r="CD159" s="253" t="e">
        <f aca="false">xSPRDOPT((VLOOKUP(G159,NGPrices,2,FALSE())+HLOOKUP(D159,Prices,VLOOKUP(G159,move_down,2,FALSE()),FALSE())),VLOOKUP(G159,NGPrices,2,FALSE()),I159,VLOOKUP(G159,NGPREVPRICES,4,FALSE()),HLOOKUP(D159,PREVVOLS,VLOOKUP(G159,MOVE_DOWN2,2,FALSE()),FALSE()),VLOOKUP(G159,NGPREVPRICES,3,FALSE()),HLOOKUP(D159,Correllate,VLOOKUP(G159,CorMove,2,FALSE()),FALSE()),Q159-$CD$3,R159,$CD$5)*H159-CJ159</f>
        <v>#NAME?</v>
      </c>
      <c r="CE159" s="253" t="e">
        <f aca="false">xSPRDOPT((VLOOKUP(G159,NGPREVPRICES,2,FALSE())+HLOOKUP(D159,PREVCURVES,VLOOKUP(G159,MOVE_DOWN2,2,FALSE()),FALSE())),VLOOKUP(G159,NGPREVPRICES,2,FALSE()),CK159,VLOOKUP(G159,NGPrices,4,FALSE()),HLOOKUP(D159,PREVVOLS,VLOOKUP(G159,MOVE_DOWN2,2,FALSE()),FALSE()),VLOOKUP(G159,NGPREVPRICES,3,FALSE()),HLOOKUP(D159,Correllate,VLOOKUP(G159,CorMove,2,FALSE()),FALSE()),Q159-$CD$3,R159,$CJ$5)*H159-CJ159</f>
        <v>#NAME?</v>
      </c>
      <c r="CF159" s="132" t="e">
        <f aca="false">(CJ159/VLOOKUP(CC159,discount,3,FALSE()))-(CJ159/VLOOKUP(CC159,discount,2,FALSE()))</f>
        <v>#NAME?</v>
      </c>
      <c r="CG159" s="253" t="e">
        <f aca="false">xSPRDOPT((VLOOKUP(G159,NGPREVPRICES,2,FALSE())+HLOOKUP(D159,PREVCURVES,VLOOKUP(G159,MOVE_DOWN2,2,FALSE()),FALSE())),VLOOKUP(G159,NGPREVPRICES,2,FALSE()),CK159,VLOOKUP(G159,NGPREVPRICES,4,FALSE()),HLOOKUP(D159,VOLS,VLOOKUP(G159,move_down,2,FALSE()),FALSE()),VLOOKUP(G159,NGPrices,3,FALSE()),HLOOKUP(D159,Correllate,VLOOKUP(G159,CorMove,2,FALSE()),FALSE()),Q159-$CD$3,R159,$CJ$5)*H159-CJ159</f>
        <v>#NAME?</v>
      </c>
      <c r="CH159" s="253" t="e">
        <f aca="false">xSPRDOPT((VLOOKUP(G159,NGPREVPRICES,2,FALSE())+HLOOKUP(D159,PREVCURVES,VLOOKUP(G159,MOVE_DOWN2,2,FALSE()),FALSE())),VLOOKUP(G159,NGPREVPRICES,2,FALSE()),CK159,VLOOKUP(G159,NGPREVPRICES,4,FALSE()),HLOOKUP(D159,PREVVOLS,VLOOKUP(G159,MOVE_DOWN2,2,FALSE()),FALSE()),VLOOKUP(G159,NGPREVPRICES,3,FALSE()),HLOOKUP(D159,Correllate,VLOOKUP(G159,CorMove,2,FALSE()),FALSE()),Q159-$C$3,R159,$CJ$5)*H159-CJ159</f>
        <v>#NAME?</v>
      </c>
      <c r="CI159" s="253" t="e">
        <f aca="false">SUM(CD159:CH159)</f>
        <v>#NAME?</v>
      </c>
      <c r="CJ159" s="253" t="e">
        <f aca="false">xSPRDOPT((VLOOKUP(G159,NGPREVPRICES,2,FALSE())+HLOOKUP(D159,PREVCURVES,VLOOKUP(G159,MOVE_DOWN2,2,FALSE()),FALSE())),VLOOKUP(G159,NGPREVPRICES,2,FALSE()),CK159,VLOOKUP(G159,NGPREVPRICES,4,FALSE()),HLOOKUP(D159,PREVVOLS,VLOOKUP(G159,MOVE_DOWN2,2,FALSE()),FALSE()),VLOOKUP(G159,NGPREVPRICES,3,FALSE()),HLOOKUP(D159,Correllate,VLOOKUP(G159,CorMove,2,FALSE()),FALSE()),Q159-$CD$3,R159,$CJ$5)*H159</f>
        <v>#NAME?</v>
      </c>
      <c r="CK159" s="254" t="n">
        <f aca="false">I159</f>
        <v>-0.27</v>
      </c>
      <c r="CL159" s="253"/>
      <c r="CM159" s="0" t="str">
        <f aca="false">CONCATENATE(CC159,$CD$6)</f>
        <v>36861Curve Shift/Gamma</v>
      </c>
      <c r="CN159" s="0" t="str">
        <f aca="false">CONCATENATE($CC159,$CE$6)</f>
        <v>36861Rho</v>
      </c>
      <c r="CO159" s="0" t="str">
        <f aca="false">CONCATENATE($CC159,$CF$6)</f>
        <v>36861Drift</v>
      </c>
      <c r="CP159" s="0" t="str">
        <f aca="false">CONCATENATE($CC159,$CG$6)</f>
        <v>36861Vega</v>
      </c>
      <c r="CQ159" s="0" t="str">
        <f aca="false">CONCATENATE($CC159,$CH$6)</f>
        <v>36861Theta</v>
      </c>
    </row>
    <row r="160" customFormat="false" ht="12" hidden="false" customHeight="true" outlineLevel="0" collapsed="false">
      <c r="A160" s="265" t="s">
        <v>218</v>
      </c>
      <c r="B160" s="0" t="s">
        <v>192</v>
      </c>
      <c r="C160" s="0" t="s">
        <v>253</v>
      </c>
      <c r="D160" s="7" t="s">
        <v>151</v>
      </c>
      <c r="E160" s="0" t="s">
        <v>131</v>
      </c>
      <c r="F160" s="0" t="s">
        <v>136</v>
      </c>
      <c r="G160" s="92" t="n">
        <v>36831</v>
      </c>
      <c r="H160" s="248" t="n">
        <v>300000</v>
      </c>
      <c r="I160" s="0" t="n">
        <v>-0.27</v>
      </c>
      <c r="J160" s="124" t="n">
        <f aca="false">VLOOKUP(G160,NGPrices,2,FALSE())</f>
        <v>4.736</v>
      </c>
      <c r="K160" s="125" t="n">
        <f aca="false">HLOOKUP(D160,Prices,VLOOKUP(G160,move_down,2,FALSE()),FALSE())+VLOOKUP(G160,CHANGE,HLOOKUP(D160,CHANGE,2,FALSE()),FALSE())</f>
        <v>-0.4675</v>
      </c>
      <c r="L160" s="124" t="n">
        <f aca="false">K160+J160</f>
        <v>4.2685</v>
      </c>
      <c r="M160" s="126" t="n">
        <f aca="false">VLOOKUP(G160,NGPrices,4,FALSE())</f>
        <v>0.06810675983792</v>
      </c>
      <c r="N160" s="7" t="n">
        <f aca="false">VLOOKUP(G160,NGPrices,3,FALSE())</f>
        <v>0.595</v>
      </c>
      <c r="O160" s="7" t="n">
        <f aca="false">HLOOKUP(D160,VOLS,VLOOKUP(G160,move_down,2,FALSE()),FALSE())</f>
        <v>0.571</v>
      </c>
      <c r="P160" s="249" t="n">
        <f aca="false">HLOOKUP(D160,Correllate,VLOOKUP(G160,CorMove,2,FALSE()),FALSE())</f>
        <v>0.93</v>
      </c>
      <c r="Q160" s="92" t="n">
        <f aca="false">WORKDAY(G160,-2)</f>
        <v>36829</v>
      </c>
      <c r="R160" s="7" t="n">
        <f aca="false">IF(F160="P",0,1)</f>
        <v>1</v>
      </c>
      <c r="S160" s="130" t="e">
        <f aca="false">xSPRDOPT($L160,$J160,$I160,$M160,$O160,$N160,$P160,$Q160-$C$3,$R160,0)</f>
        <v>#NAME?</v>
      </c>
      <c r="T160" s="250" t="e">
        <f aca="false">xSPRDOPT($L160,$J160,$I160,$M160,$O160,$N160,$P160,$Q160-$C$3,$R160,1)*H160</f>
        <v>#NAME?</v>
      </c>
      <c r="U160" s="43" t="e">
        <f aca="false">S160*H160</f>
        <v>#NAME?</v>
      </c>
      <c r="V160" s="250" t="e">
        <f aca="false">xSPRDOPT($L160,$J160,$I160,$M160,$O160,$N160,$P160,$Q160-$C$3,$R160,2)*H160</f>
        <v>#NAME?</v>
      </c>
      <c r="W160" s="250" t="e">
        <f aca="false">+V160+T160</f>
        <v>#NAME?</v>
      </c>
      <c r="X160" s="2" t="str">
        <f aca="false">CONCATENATE(G160,D160)</f>
        <v>36831IF-NWPL_ROCKY_M</v>
      </c>
      <c r="Y160" s="251" t="n">
        <f aca="false">H160/10000</f>
        <v>30</v>
      </c>
      <c r="Z160" s="226" t="e">
        <f aca="false">T160/H160</f>
        <v>#NAME?</v>
      </c>
      <c r="AA160" s="226" t="e">
        <f aca="false">xSPRDOPT($L160,$J160,$I160,$M160,$O160,$N160,$P160,$Q160-$C$3,$R160,3)</f>
        <v>#NAME?</v>
      </c>
      <c r="AB160" s="226" t="e">
        <f aca="false">((xSPRDOPT($L160+AB$5,$J160,$I160,$M160,$O160,$N160,$P160,$Q160-$C$3,$R160,3)*$H160)/10000)/100</f>
        <v>#NAME?</v>
      </c>
      <c r="AC160" s="226" t="e">
        <f aca="false">((xSPRDOPT($L160+$AB$5,$J160,$I160,$M160,$O160,$N160,$P160,$Q160-$C$3,$R160,7)*$H160)/100)</f>
        <v>#NAME?</v>
      </c>
      <c r="AD160" s="226" t="e">
        <f aca="false">(xSPRDOPT($L160+$AB$5,$J160,$I160,$M160,$O160,$N160,$P160,$Q160-$C$3,$R160,9)/365)*$H160</f>
        <v>#NAME?</v>
      </c>
      <c r="AE160" s="0" t="e">
        <f aca="false">CD160</f>
        <v>#NAME?</v>
      </c>
      <c r="AF160" s="226" t="e">
        <f aca="false">((O160/N160)*AH160)+AG160</f>
        <v>#NAME?</v>
      </c>
      <c r="AG160" s="226" t="e">
        <f aca="false">((xSPRDOPT($L160,$J160,$I160,$M160,$O160,$N160,$P160,$Q160-$C$3,$R160,6)*$H160)/100)</f>
        <v>#NAME?</v>
      </c>
      <c r="AH160" s="226" t="e">
        <f aca="false">((xSPRDOPT($L160,$J160,$I160,$M160,$O160,$N160,$P160,$Q160-$C$3,$R160,5)*$H160)/100)</f>
        <v>#NAME?</v>
      </c>
      <c r="AI160" s="226" t="e">
        <f aca="false">(((xSPRDOPT($L160,$J160,$I160,$M160,$O160,$N160,$P160,$Q160-$C$3,$R160,4)*$H160)/10000)/100)-AB160</f>
        <v>#NAME?</v>
      </c>
      <c r="AJ160" s="226"/>
      <c r="AK160" s="226"/>
      <c r="AL160" s="226"/>
      <c r="AM160" s="252"/>
      <c r="AN160" s="143" t="n">
        <f aca="false">EOMONTH(AN159,0)+1</f>
        <v>41395</v>
      </c>
      <c r="AO160" s="134" t="n">
        <f aca="false">SUMIF($X:$X,CONCATENATE($AN160,AO$6),$T:$T)/10000</f>
        <v>0</v>
      </c>
      <c r="AP160" s="134" t="n">
        <f aca="false">SUMIF($X:$X,CONCATENATE($AN160,AP$6),$T:$T)/10000</f>
        <v>0</v>
      </c>
      <c r="AQ160" s="134" t="n">
        <f aca="false">SUMIF($X:$X,CONCATENATE($AN160,AQ$6),$T:$T)/10000</f>
        <v>0</v>
      </c>
      <c r="AR160" s="134" t="n">
        <f aca="false">SUMIF($X:$X,CONCATENATE($AN160,AR$6),$T:$T)/10000</f>
        <v>0</v>
      </c>
      <c r="AS160" s="134" t="n">
        <f aca="false">SUMIF($X:$X,CONCATENATE($AN160,AS$6),$T:$T)/10000</f>
        <v>0</v>
      </c>
      <c r="AT160" s="134" t="n">
        <f aca="false">SUMIF($X:$X,CONCATENATE($AN160,AT$6),$T:$T)/10000</f>
        <v>0</v>
      </c>
      <c r="AU160" s="134" t="n">
        <f aca="false">SUMIF($X:$X,CONCATENATE($AN160,AU$6),$T:$T)/10000</f>
        <v>0</v>
      </c>
      <c r="AV160" s="134" t="n">
        <f aca="false">SUMIF($X:$X,CONCATENATE($AN160,AV$6),$T:$T)/10000</f>
        <v>0</v>
      </c>
      <c r="AW160" s="134" t="n">
        <f aca="false">SUMIF($X:$X,CONCATENATE($AN160,AW$6),$T:$T)/10000</f>
        <v>0</v>
      </c>
      <c r="AX160" s="134" t="n">
        <f aca="false">SUMIF($X:$X,CONCATENATE($AN160,AX$6),$T:$T)/10000</f>
        <v>0</v>
      </c>
      <c r="AY160" s="134" t="n">
        <f aca="false">SUMIF($X:$X,CONCATENATE($AN160,AY$6),$T:$T)/10000</f>
        <v>0</v>
      </c>
      <c r="AZ160" s="134" t="n">
        <f aca="false">SUMIF($X:$X,CONCATENATE($AN160,AZ$6),$T:$T)/10000</f>
        <v>0</v>
      </c>
      <c r="BA160" s="135" t="n">
        <f aca="false">SUMIF($X:$X,CONCATENATE($AN160,BA$6),$T:$T)/10000</f>
        <v>0</v>
      </c>
      <c r="BB160" s="143" t="n">
        <f aca="false">EOMONTH(BB159,0)+1</f>
        <v>41395</v>
      </c>
      <c r="BC160" s="135" t="n">
        <f aca="false">SUM(AO160:BA160)</f>
        <v>0</v>
      </c>
      <c r="BE160" s="143" t="n">
        <f aca="false">EOMONTH(BE159,0)+1</f>
        <v>41395</v>
      </c>
      <c r="BF160" s="134" t="n">
        <f aca="false">SUMIF($X:$X,CONCATENATE($AN160,BF$6),$W:$W)</f>
        <v>0</v>
      </c>
      <c r="BG160" s="134" t="n">
        <f aca="false">SUMIF($X:$X,CONCATENATE($AN160,BG$6),$W:$W)</f>
        <v>0</v>
      </c>
      <c r="BH160" s="134" t="n">
        <f aca="false">SUMIF($X:$X,CONCATENATE($AN160,BH$6),$W:$W)</f>
        <v>0</v>
      </c>
      <c r="BI160" s="134" t="n">
        <f aca="false">SUMIF($X:$X,CONCATENATE($AN160,BI$6),$W:$W)</f>
        <v>0</v>
      </c>
      <c r="BJ160" s="134" t="n">
        <f aca="false">SUMIF($X:$X,CONCATENATE($AN160,BJ$6),$W:$W)</f>
        <v>0</v>
      </c>
      <c r="BK160" s="134" t="n">
        <f aca="false">SUMIF($X:$X,CONCATENATE($AN160,BK$6),$W:$W)</f>
        <v>0</v>
      </c>
      <c r="BL160" s="134" t="n">
        <f aca="false">SUMIF($X:$X,CONCATENATE($AN160,BL$6),$W:$W)</f>
        <v>0</v>
      </c>
      <c r="BM160" s="134" t="n">
        <f aca="false">SUMIF($X:$X,CONCATENATE($AN160,BM$6),$W:$W)</f>
        <v>0</v>
      </c>
      <c r="BN160" s="134" t="n">
        <f aca="false">SUMIF($X:$X,CONCATENATE($AN160,BN$6),$W:$W)</f>
        <v>0</v>
      </c>
      <c r="BO160" s="134" t="n">
        <f aca="false">SUMIF($X:$X,CONCATENATE($AN160,BO$6),$W:$W)</f>
        <v>0</v>
      </c>
      <c r="BP160" s="134" t="n">
        <f aca="false">SUMIF($X:$X,CONCATENATE($AN160,BP$6),$W:$W)</f>
        <v>0</v>
      </c>
      <c r="BQ160" s="134" t="n">
        <f aca="false">SUMIF($X:$X,CONCATENATE($AN160,BQ$6),$W:$W)</f>
        <v>0</v>
      </c>
      <c r="BR160" s="135" t="n">
        <f aca="false">SUMIF($X:$X,CONCATENATE($AN160,BR$6),$W:$W)</f>
        <v>0</v>
      </c>
      <c r="BS160" s="143" t="n">
        <f aca="false">EOMONTH(BS159,0)+1</f>
        <v>41395</v>
      </c>
      <c r="BT160" s="135" t="n">
        <f aca="false">SUM(BF160:BR160)</f>
        <v>0</v>
      </c>
      <c r="CC160" s="182" t="n">
        <f aca="false">G160</f>
        <v>36831</v>
      </c>
      <c r="CD160" s="253" t="e">
        <f aca="false">xSPRDOPT((VLOOKUP(G160,NGPrices,2,FALSE())+HLOOKUP(D160,Prices,VLOOKUP(G160,move_down,2,FALSE()),FALSE())),VLOOKUP(G160,NGPrices,2,FALSE()),I160,VLOOKUP(G160,NGPREVPRICES,4,FALSE()),HLOOKUP(D160,PREVVOLS,VLOOKUP(G160,MOVE_DOWN2,2,FALSE()),FALSE()),VLOOKUP(G160,NGPREVPRICES,3,FALSE()),HLOOKUP(D160,Correllate,VLOOKUP(G160,CorMove,2,FALSE()),FALSE()),Q160-$CD$3,R160,$CD$5)*H160-CJ160</f>
        <v>#NAME?</v>
      </c>
      <c r="CE160" s="253" t="e">
        <f aca="false">xSPRDOPT((VLOOKUP(G160,NGPREVPRICES,2,FALSE())+HLOOKUP(D160,PREVCURVES,VLOOKUP(G160,MOVE_DOWN2,2,FALSE()),FALSE())),VLOOKUP(G160,NGPREVPRICES,2,FALSE()),CK160,VLOOKUP(G160,NGPrices,4,FALSE()),HLOOKUP(D160,PREVVOLS,VLOOKUP(G160,MOVE_DOWN2,2,FALSE()),FALSE()),VLOOKUP(G160,NGPREVPRICES,3,FALSE()),HLOOKUP(D160,Correllate,VLOOKUP(G160,CorMove,2,FALSE()),FALSE()),Q160-$CD$3,R160,$CJ$5)*H160-CJ160</f>
        <v>#NAME?</v>
      </c>
      <c r="CF160" s="132" t="e">
        <f aca="false">(CJ160/VLOOKUP(CC160,discount,3,FALSE()))-(CJ160/VLOOKUP(CC160,discount,2,FALSE()))</f>
        <v>#NAME?</v>
      </c>
      <c r="CG160" s="253" t="e">
        <f aca="false">xSPRDOPT((VLOOKUP(G160,NGPREVPRICES,2,FALSE())+HLOOKUP(D160,PREVCURVES,VLOOKUP(G160,MOVE_DOWN2,2,FALSE()),FALSE())),VLOOKUP(G160,NGPREVPRICES,2,FALSE()),CK160,VLOOKUP(G160,NGPREVPRICES,4,FALSE()),HLOOKUP(D160,VOLS,VLOOKUP(G160,move_down,2,FALSE()),FALSE()),VLOOKUP(G160,NGPrices,3,FALSE()),HLOOKUP(D160,Correllate,VLOOKUP(G160,CorMove,2,FALSE()),FALSE()),Q160-$CD$3,R160,$CJ$5)*H160-CJ160</f>
        <v>#NAME?</v>
      </c>
      <c r="CH160" s="253" t="e">
        <f aca="false">xSPRDOPT((VLOOKUP(G160,NGPREVPRICES,2,FALSE())+HLOOKUP(D160,PREVCURVES,VLOOKUP(G160,MOVE_DOWN2,2,FALSE()),FALSE())),VLOOKUP(G160,NGPREVPRICES,2,FALSE()),CK160,VLOOKUP(G160,NGPREVPRICES,4,FALSE()),HLOOKUP(D160,PREVVOLS,VLOOKUP(G160,MOVE_DOWN2,2,FALSE()),FALSE()),VLOOKUP(G160,NGPREVPRICES,3,FALSE()),HLOOKUP(D160,Correllate,VLOOKUP(G160,CorMove,2,FALSE()),FALSE()),Q160-$C$3,R160,$CJ$5)*H160-CJ160</f>
        <v>#NAME?</v>
      </c>
      <c r="CI160" s="253" t="e">
        <f aca="false">SUM(CD160:CH160)</f>
        <v>#NAME?</v>
      </c>
      <c r="CJ160" s="253" t="e">
        <f aca="false">xSPRDOPT((VLOOKUP(G160,NGPREVPRICES,2,FALSE())+HLOOKUP(D160,PREVCURVES,VLOOKUP(G160,MOVE_DOWN2,2,FALSE()),FALSE())),VLOOKUP(G160,NGPREVPRICES,2,FALSE()),CK160,VLOOKUP(G160,NGPREVPRICES,4,FALSE()),HLOOKUP(D160,PREVVOLS,VLOOKUP(G160,MOVE_DOWN2,2,FALSE()),FALSE()),VLOOKUP(G160,NGPREVPRICES,3,FALSE()),HLOOKUP(D160,Correllate,VLOOKUP(G160,CorMove,2,FALSE()),FALSE()),Q160-$CD$3,R160,$CJ$5)*H160</f>
        <v>#NAME?</v>
      </c>
      <c r="CK160" s="254" t="n">
        <f aca="false">I160</f>
        <v>-0.27</v>
      </c>
      <c r="CL160" s="253"/>
      <c r="CM160" s="0" t="str">
        <f aca="false">CONCATENATE(CC160,$CD$6)</f>
        <v>36831Curve Shift/Gamma</v>
      </c>
      <c r="CN160" s="0" t="str">
        <f aca="false">CONCATENATE($CC160,$CE$6)</f>
        <v>36831Rho</v>
      </c>
      <c r="CO160" s="0" t="str">
        <f aca="false">CONCATENATE($CC160,$CF$6)</f>
        <v>36831Drift</v>
      </c>
      <c r="CP160" s="0" t="str">
        <f aca="false">CONCATENATE($CC160,$CG$6)</f>
        <v>36831Vega</v>
      </c>
      <c r="CQ160" s="0" t="str">
        <f aca="false">CONCATENATE($CC160,$CH$6)</f>
        <v>36831Theta</v>
      </c>
    </row>
    <row r="161" customFormat="false" ht="12" hidden="false" customHeight="true" outlineLevel="0" collapsed="false">
      <c r="A161" s="265" t="s">
        <v>218</v>
      </c>
      <c r="B161" s="0" t="s">
        <v>192</v>
      </c>
      <c r="C161" s="0" t="s">
        <v>253</v>
      </c>
      <c r="D161" s="7" t="s">
        <v>151</v>
      </c>
      <c r="E161" s="0" t="s">
        <v>131</v>
      </c>
      <c r="F161" s="0" t="s">
        <v>136</v>
      </c>
      <c r="G161" s="92" t="n">
        <v>36800</v>
      </c>
      <c r="H161" s="248" t="n">
        <v>310000</v>
      </c>
      <c r="I161" s="0" t="n">
        <v>-0.27</v>
      </c>
      <c r="J161" s="124" t="n">
        <f aca="false">VLOOKUP(G161,NGPrices,2,FALSE())</f>
        <v>4.692</v>
      </c>
      <c r="K161" s="125" t="n">
        <f aca="false">HLOOKUP(D161,Prices,VLOOKUP(G161,move_down,2,FALSE()),FALSE())+VLOOKUP(G161,CHANGE,HLOOKUP(D161,CHANGE,2,FALSE()),FALSE())</f>
        <v>-0.805</v>
      </c>
      <c r="L161" s="124" t="n">
        <f aca="false">K161+J161</f>
        <v>3.887</v>
      </c>
      <c r="M161" s="126" t="n">
        <f aca="false">VLOOKUP(G161,NGPrices,4,FALSE())</f>
        <v>0.068050789414654</v>
      </c>
      <c r="N161" s="7" t="n">
        <f aca="false">VLOOKUP(G161,NGPrices,3,FALSE())</f>
        <v>0.575</v>
      </c>
      <c r="O161" s="7" t="n">
        <f aca="false">HLOOKUP(D161,VOLS,VLOOKUP(G161,move_down,2,FALSE()),FALSE())</f>
        <v>0.552</v>
      </c>
      <c r="P161" s="249" t="n">
        <f aca="false">HLOOKUP(D161,Correllate,VLOOKUP(G161,CorMove,2,FALSE()),FALSE())</f>
        <v>0.84</v>
      </c>
      <c r="Q161" s="92" t="n">
        <f aca="false">WORKDAY(G161,-2)</f>
        <v>36797</v>
      </c>
      <c r="R161" s="7" t="n">
        <f aca="false">IF(F161="P",0,1)</f>
        <v>1</v>
      </c>
      <c r="S161" s="130" t="e">
        <f aca="false">xSPRDOPT($L161,$J161,$I161,$M161,$O161,$N161,$P161,$Q161-$C$3,$R161,0)</f>
        <v>#NAME?</v>
      </c>
      <c r="T161" s="250" t="e">
        <f aca="false">xSPRDOPT($L161,$J161,$I161,$M161,$O161,$N161,$P161,$Q161-$C$3,$R161,1)*H161</f>
        <v>#NAME?</v>
      </c>
      <c r="U161" s="43" t="e">
        <f aca="false">S161*H161</f>
        <v>#NAME?</v>
      </c>
      <c r="V161" s="250" t="e">
        <f aca="false">xSPRDOPT($L161,$J161,$I161,$M161,$O161,$N161,$P161,$Q161-$C$3,$R161,2)*H161</f>
        <v>#NAME?</v>
      </c>
      <c r="W161" s="250" t="e">
        <f aca="false">+V161+T161</f>
        <v>#NAME?</v>
      </c>
      <c r="X161" s="2" t="str">
        <f aca="false">CONCATENATE(G161,D161)</f>
        <v>36800IF-NWPL_ROCKY_M</v>
      </c>
      <c r="Y161" s="251" t="n">
        <f aca="false">H161/10000</f>
        <v>31</v>
      </c>
      <c r="Z161" s="226" t="e">
        <f aca="false">T161/H161</f>
        <v>#NAME?</v>
      </c>
      <c r="AA161" s="226" t="e">
        <f aca="false">xSPRDOPT($L161,$J161,$I161,$M161,$O161,$N161,$P161,$Q161-$C$3,$R161,3)</f>
        <v>#NAME?</v>
      </c>
      <c r="AB161" s="226" t="e">
        <f aca="false">((xSPRDOPT($L161+AB$5,$J161,$I161,$M161,$O161,$N161,$P161,$Q161-$C$3,$R161,3)*$H161)/10000)/100</f>
        <v>#NAME?</v>
      </c>
      <c r="AC161" s="226" t="e">
        <f aca="false">((xSPRDOPT($L161+$AB$5,$J161,$I161,$M161,$O161,$N161,$P161,$Q161-$C$3,$R161,7)*$H161)/100)</f>
        <v>#NAME?</v>
      </c>
      <c r="AD161" s="226" t="e">
        <f aca="false">(xSPRDOPT($L161+$AB$5,$J161,$I161,$M161,$O161,$N161,$P161,$Q161-$C$3,$R161,9)/365)*$H161</f>
        <v>#NAME?</v>
      </c>
      <c r="AE161" s="0" t="e">
        <f aca="false">CD161</f>
        <v>#NAME?</v>
      </c>
      <c r="AF161" s="226" t="e">
        <f aca="false">((O161/N161)*AH161)+AG161</f>
        <v>#NAME?</v>
      </c>
      <c r="AG161" s="226" t="e">
        <f aca="false">((xSPRDOPT($L161,$J161,$I161,$M161,$O161,$N161,$P161,$Q161-$C$3,$R161,6)*$H161)/100)</f>
        <v>#NAME?</v>
      </c>
      <c r="AH161" s="226" t="e">
        <f aca="false">((xSPRDOPT($L161,$J161,$I161,$M161,$O161,$N161,$P161,$Q161-$C$3,$R161,5)*$H161)/100)</f>
        <v>#NAME?</v>
      </c>
      <c r="AI161" s="226" t="e">
        <f aca="false">(((xSPRDOPT($L161,$J161,$I161,$M161,$O161,$N161,$P161,$Q161-$C$3,$R161,4)*$H161)/10000)/100)-AB161</f>
        <v>#NAME?</v>
      </c>
      <c r="AJ161" s="226"/>
      <c r="AK161" s="226"/>
      <c r="AL161" s="226"/>
      <c r="AM161" s="252"/>
      <c r="AN161" s="143" t="n">
        <f aca="false">EOMONTH(AN160,0)+1</f>
        <v>41426</v>
      </c>
      <c r="AO161" s="134" t="n">
        <f aca="false">SUMIF($X:$X,CONCATENATE($AN161,AO$6),$T:$T)/10000</f>
        <v>0</v>
      </c>
      <c r="AP161" s="134" t="n">
        <f aca="false">SUMIF($X:$X,CONCATENATE($AN161,AP$6),$T:$T)/10000</f>
        <v>0</v>
      </c>
      <c r="AQ161" s="134" t="n">
        <f aca="false">SUMIF($X:$X,CONCATENATE($AN161,AQ$6),$T:$T)/10000</f>
        <v>0</v>
      </c>
      <c r="AR161" s="134" t="n">
        <f aca="false">SUMIF($X:$X,CONCATENATE($AN161,AR$6),$T:$T)/10000</f>
        <v>0</v>
      </c>
      <c r="AS161" s="134" t="n">
        <f aca="false">SUMIF($X:$X,CONCATENATE($AN161,AS$6),$T:$T)/10000</f>
        <v>0</v>
      </c>
      <c r="AT161" s="134" t="n">
        <f aca="false">SUMIF($X:$X,CONCATENATE($AN161,AT$6),$T:$T)/10000</f>
        <v>0</v>
      </c>
      <c r="AU161" s="134" t="n">
        <f aca="false">SUMIF($X:$X,CONCATENATE($AN161,AU$6),$T:$T)/10000</f>
        <v>0</v>
      </c>
      <c r="AV161" s="134" t="n">
        <f aca="false">SUMIF($X:$X,CONCATENATE($AN161,AV$6),$T:$T)/10000</f>
        <v>0</v>
      </c>
      <c r="AW161" s="134" t="n">
        <f aca="false">SUMIF($X:$X,CONCATENATE($AN161,AW$6),$T:$T)/10000</f>
        <v>0</v>
      </c>
      <c r="AX161" s="134" t="n">
        <f aca="false">SUMIF($X:$X,CONCATENATE($AN161,AX$6),$T:$T)/10000</f>
        <v>0</v>
      </c>
      <c r="AY161" s="134" t="n">
        <f aca="false">SUMIF($X:$X,CONCATENATE($AN161,AY$6),$T:$T)/10000</f>
        <v>0</v>
      </c>
      <c r="AZ161" s="134" t="n">
        <f aca="false">SUMIF($X:$X,CONCATENATE($AN161,AZ$6),$T:$T)/10000</f>
        <v>0</v>
      </c>
      <c r="BA161" s="135" t="n">
        <f aca="false">SUMIF($X:$X,CONCATENATE($AN161,BA$6),$T:$T)/10000</f>
        <v>0</v>
      </c>
      <c r="BB161" s="143" t="n">
        <f aca="false">EOMONTH(BB160,0)+1</f>
        <v>41426</v>
      </c>
      <c r="BC161" s="135" t="n">
        <f aca="false">SUM(AO161:BA161)</f>
        <v>0</v>
      </c>
      <c r="BE161" s="143" t="n">
        <f aca="false">EOMONTH(BE160,0)+1</f>
        <v>41426</v>
      </c>
      <c r="BF161" s="134" t="n">
        <f aca="false">SUMIF($X:$X,CONCATENATE($AN161,BF$6),$W:$W)</f>
        <v>0</v>
      </c>
      <c r="BG161" s="134" t="n">
        <f aca="false">SUMIF($X:$X,CONCATENATE($AN161,BG$6),$W:$W)</f>
        <v>0</v>
      </c>
      <c r="BH161" s="134" t="n">
        <f aca="false">SUMIF($X:$X,CONCATENATE($AN161,BH$6),$W:$W)</f>
        <v>0</v>
      </c>
      <c r="BI161" s="134" t="n">
        <f aca="false">SUMIF($X:$X,CONCATENATE($AN161,BI$6),$W:$W)</f>
        <v>0</v>
      </c>
      <c r="BJ161" s="134" t="n">
        <f aca="false">SUMIF($X:$X,CONCATENATE($AN161,BJ$6),$W:$W)</f>
        <v>0</v>
      </c>
      <c r="BK161" s="134" t="n">
        <f aca="false">SUMIF($X:$X,CONCATENATE($AN161,BK$6),$W:$W)</f>
        <v>0</v>
      </c>
      <c r="BL161" s="134" t="n">
        <f aca="false">SUMIF($X:$X,CONCATENATE($AN161,BL$6),$W:$W)</f>
        <v>0</v>
      </c>
      <c r="BM161" s="134" t="n">
        <f aca="false">SUMIF($X:$X,CONCATENATE($AN161,BM$6),$W:$W)</f>
        <v>0</v>
      </c>
      <c r="BN161" s="134" t="n">
        <f aca="false">SUMIF($X:$X,CONCATENATE($AN161,BN$6),$W:$W)</f>
        <v>0</v>
      </c>
      <c r="BO161" s="134" t="n">
        <f aca="false">SUMIF($X:$X,CONCATENATE($AN161,BO$6),$W:$W)</f>
        <v>0</v>
      </c>
      <c r="BP161" s="134" t="n">
        <f aca="false">SUMIF($X:$X,CONCATENATE($AN161,BP$6),$W:$W)</f>
        <v>0</v>
      </c>
      <c r="BQ161" s="134" t="n">
        <f aca="false">SUMIF($X:$X,CONCATENATE($AN161,BQ$6),$W:$W)</f>
        <v>0</v>
      </c>
      <c r="BR161" s="135" t="n">
        <f aca="false">SUMIF($X:$X,CONCATENATE($AN161,BR$6),$W:$W)</f>
        <v>0</v>
      </c>
      <c r="BS161" s="143" t="n">
        <f aca="false">EOMONTH(BS160,0)+1</f>
        <v>41426</v>
      </c>
      <c r="BT161" s="135" t="n">
        <f aca="false">SUM(BF161:BR161)</f>
        <v>0</v>
      </c>
      <c r="CC161" s="182" t="n">
        <f aca="false">G161</f>
        <v>36800</v>
      </c>
      <c r="CD161" s="253" t="e">
        <f aca="false">xSPRDOPT((VLOOKUP(G161,NGPrices,2,FALSE())+HLOOKUP(D161,Prices,VLOOKUP(G161,move_down,2,FALSE()),FALSE())),VLOOKUP(G161,NGPrices,2,FALSE()),I161,VLOOKUP(G161,NGPREVPRICES,4,FALSE()),HLOOKUP(D161,PREVVOLS,VLOOKUP(G161,MOVE_DOWN2,2,FALSE()),FALSE()),VLOOKUP(G161,NGPREVPRICES,3,FALSE()),HLOOKUP(D161,Correllate,VLOOKUP(G161,CorMove,2,FALSE()),FALSE()),Q161-$CD$3,R161,$CD$5)*H161-CJ161</f>
        <v>#NAME?</v>
      </c>
      <c r="CE161" s="253" t="e">
        <f aca="false">xSPRDOPT((VLOOKUP(G161,NGPREVPRICES,2,FALSE())+HLOOKUP(D161,PREVCURVES,VLOOKUP(G161,MOVE_DOWN2,2,FALSE()),FALSE())),VLOOKUP(G161,NGPREVPRICES,2,FALSE()),CK161,VLOOKUP(G161,NGPrices,4,FALSE()),HLOOKUP(D161,PREVVOLS,VLOOKUP(G161,MOVE_DOWN2,2,FALSE()),FALSE()),VLOOKUP(G161,NGPREVPRICES,3,FALSE()),HLOOKUP(D161,Correllate,VLOOKUP(G161,CorMove,2,FALSE()),FALSE()),Q161-$CD$3,R161,$CJ$5)*H161-CJ161</f>
        <v>#NAME?</v>
      </c>
      <c r="CF161" s="132" t="e">
        <f aca="false">(CJ161/VLOOKUP(CC161,discount,3,FALSE()))-(CJ161/VLOOKUP(CC161,discount,2,FALSE()))</f>
        <v>#NAME?</v>
      </c>
      <c r="CG161" s="253" t="e">
        <f aca="false">xSPRDOPT((VLOOKUP(G161,NGPREVPRICES,2,FALSE())+HLOOKUP(D161,PREVCURVES,VLOOKUP(G161,MOVE_DOWN2,2,FALSE()),FALSE())),VLOOKUP(G161,NGPREVPRICES,2,FALSE()),CK161,VLOOKUP(G161,NGPREVPRICES,4,FALSE()),HLOOKUP(D161,VOLS,VLOOKUP(G161,move_down,2,FALSE()),FALSE()),VLOOKUP(G161,NGPrices,3,FALSE()),HLOOKUP(D161,Correllate,VLOOKUP(G161,CorMove,2,FALSE()),FALSE()),Q161-$CD$3,R161,$CJ$5)*H161-CJ161</f>
        <v>#NAME?</v>
      </c>
      <c r="CH161" s="253" t="e">
        <f aca="false">xSPRDOPT((VLOOKUP(G161,NGPREVPRICES,2,FALSE())+HLOOKUP(D161,PREVCURVES,VLOOKUP(G161,MOVE_DOWN2,2,FALSE()),FALSE())),VLOOKUP(G161,NGPREVPRICES,2,FALSE()),CK161,VLOOKUP(G161,NGPREVPRICES,4,FALSE()),HLOOKUP(D161,PREVVOLS,VLOOKUP(G161,MOVE_DOWN2,2,FALSE()),FALSE()),VLOOKUP(G161,NGPREVPRICES,3,FALSE()),HLOOKUP(D161,Correllate,VLOOKUP(G161,CorMove,2,FALSE()),FALSE()),Q161-$C$3,R161,$CJ$5)*H161-CJ161</f>
        <v>#NAME?</v>
      </c>
      <c r="CI161" s="253" t="e">
        <f aca="false">SUM(CD161:CH161)</f>
        <v>#NAME?</v>
      </c>
      <c r="CJ161" s="253" t="e">
        <f aca="false">xSPRDOPT((VLOOKUP(G161,NGPREVPRICES,2,FALSE())+HLOOKUP(D161,PREVCURVES,VLOOKUP(G161,MOVE_DOWN2,2,FALSE()),FALSE())),VLOOKUP(G161,NGPREVPRICES,2,FALSE()),CK161,VLOOKUP(G161,NGPREVPRICES,4,FALSE()),HLOOKUP(D161,PREVVOLS,VLOOKUP(G161,MOVE_DOWN2,2,FALSE()),FALSE()),VLOOKUP(G161,NGPREVPRICES,3,FALSE()),HLOOKUP(D161,Correllate,VLOOKUP(G161,CorMove,2,FALSE()),FALSE()),Q161-$CD$3,R161,$CJ$5)*H161</f>
        <v>#NAME?</v>
      </c>
      <c r="CK161" s="254" t="n">
        <f aca="false">I161</f>
        <v>-0.27</v>
      </c>
      <c r="CL161" s="253"/>
      <c r="CM161" s="0" t="str">
        <f aca="false">CONCATENATE(CC161,$CD$6)</f>
        <v>36800Curve Shift/Gamma</v>
      </c>
      <c r="CN161" s="0" t="str">
        <f aca="false">CONCATENATE($CC161,$CE$6)</f>
        <v>36800Rho</v>
      </c>
      <c r="CO161" s="0" t="str">
        <f aca="false">CONCATENATE($CC161,$CF$6)</f>
        <v>36800Drift</v>
      </c>
      <c r="CP161" s="0" t="str">
        <f aca="false">CONCATENATE($CC161,$CG$6)</f>
        <v>36800Vega</v>
      </c>
      <c r="CQ161" s="0" t="str">
        <f aca="false">CONCATENATE($CC161,$CH$6)</f>
        <v>36800Theta</v>
      </c>
    </row>
    <row r="162" customFormat="false" ht="12" hidden="false" customHeight="true" outlineLevel="0" collapsed="false">
      <c r="A162" s="265" t="s">
        <v>218</v>
      </c>
      <c r="B162" s="0" t="s">
        <v>192</v>
      </c>
      <c r="C162" s="0" t="s">
        <v>253</v>
      </c>
      <c r="D162" s="7" t="s">
        <v>151</v>
      </c>
      <c r="E162" s="0" t="s">
        <v>131</v>
      </c>
      <c r="F162" s="0" t="s">
        <v>136</v>
      </c>
      <c r="G162" s="92" t="n">
        <v>36770</v>
      </c>
      <c r="H162" s="248" t="n">
        <v>300000</v>
      </c>
      <c r="I162" s="0" t="n">
        <v>-0.27</v>
      </c>
      <c r="J162" s="124" t="n">
        <f aca="false">VLOOKUP(G162,NGPrices,2,FALSE())</f>
        <v>4.685</v>
      </c>
      <c r="K162" s="125" t="n">
        <f aca="false">HLOOKUP(D162,Prices,VLOOKUP(G162,move_down,2,FALSE()),FALSE())+VLOOKUP(G162,CHANGE,HLOOKUP(D162,CHANGE,2,FALSE()),FALSE())</f>
        <v>-1.24</v>
      </c>
      <c r="L162" s="124" t="n">
        <f aca="false">K162+J162</f>
        <v>3.445</v>
      </c>
      <c r="M162" s="126" t="n">
        <f aca="false">VLOOKUP(G162,NGPrices,4,FALSE())</f>
        <v>0.067216196212185</v>
      </c>
      <c r="N162" s="7" t="n">
        <f aca="false">VLOOKUP(G162,NGPrices,3,FALSE())</f>
        <v>0.4</v>
      </c>
      <c r="O162" s="7" t="n">
        <f aca="false">HLOOKUP(D162,VOLS,VLOOKUP(G162,move_down,2,FALSE()),FALSE())</f>
        <v>0.384</v>
      </c>
      <c r="P162" s="249" t="n">
        <f aca="false">HLOOKUP(D162,Correllate,VLOOKUP(G162,CorMove,2,FALSE()),FALSE())</f>
        <v>0.84</v>
      </c>
      <c r="Q162" s="92" t="n">
        <f aca="false">WORKDAY(G162,-2)</f>
        <v>36768</v>
      </c>
      <c r="R162" s="7" t="n">
        <f aca="false">IF(F162="P",0,1)</f>
        <v>1</v>
      </c>
      <c r="S162" s="130" t="e">
        <f aca="false">xSPRDOPT($L162,$J162,$I162,$M162,$O162,$N162,$P162,$Q162-$C$3,$R162,0)</f>
        <v>#NAME?</v>
      </c>
      <c r="T162" s="250" t="e">
        <f aca="false">xSPRDOPT($L162,$J162,$I162,$M162,$O162,$N162,$P162,$Q162-$C$3,$R162,1)*H162</f>
        <v>#NAME?</v>
      </c>
      <c r="U162" s="43" t="e">
        <f aca="false">S162*H162</f>
        <v>#NAME?</v>
      </c>
      <c r="V162" s="250" t="e">
        <f aca="false">xSPRDOPT($L162,$J162,$I162,$M162,$O162,$N162,$P162,$Q162-$C$3,$R162,2)*H162</f>
        <v>#NAME?</v>
      </c>
      <c r="W162" s="250" t="e">
        <f aca="false">+V162+T162</f>
        <v>#NAME?</v>
      </c>
      <c r="X162" s="2" t="str">
        <f aca="false">CONCATENATE(G162,D162)</f>
        <v>36770IF-NWPL_ROCKY_M</v>
      </c>
      <c r="Y162" s="251" t="n">
        <f aca="false">H162/10000</f>
        <v>30</v>
      </c>
      <c r="Z162" s="226" t="e">
        <f aca="false">T162/H162</f>
        <v>#NAME?</v>
      </c>
      <c r="AA162" s="226" t="e">
        <f aca="false">xSPRDOPT($L162,$J162,$I162,$M162,$O162,$N162,$P162,$Q162-$C$3,$R162,3)</f>
        <v>#NAME?</v>
      </c>
      <c r="AB162" s="226" t="e">
        <f aca="false">((xSPRDOPT($L162+AB$5,$J162,$I162,$M162,$O162,$N162,$P162,$Q162-$C$3,$R162,3)*$H162)/10000)/100</f>
        <v>#NAME?</v>
      </c>
      <c r="AC162" s="226" t="e">
        <f aca="false">((xSPRDOPT($L162+$AB$5,$J162,$I162,$M162,$O162,$N162,$P162,$Q162-$C$3,$R162,7)*$H162)/100)</f>
        <v>#NAME?</v>
      </c>
      <c r="AD162" s="226" t="e">
        <f aca="false">(xSPRDOPT($L162+$AB$5,$J162,$I162,$M162,$O162,$N162,$P162,$Q162-$C$3,$R162,9)/365)*$H162</f>
        <v>#NAME?</v>
      </c>
      <c r="AE162" s="0" t="e">
        <f aca="false">CD162</f>
        <v>#NAME?</v>
      </c>
      <c r="AF162" s="226" t="e">
        <f aca="false">((O162/N162)*AH162)+AG162</f>
        <v>#NAME?</v>
      </c>
      <c r="AG162" s="226" t="e">
        <f aca="false">((xSPRDOPT($L162,$J162,$I162,$M162,$O162,$N162,$P162,$Q162-$C$3,$R162,6)*$H162)/100)</f>
        <v>#NAME?</v>
      </c>
      <c r="AH162" s="226" t="e">
        <f aca="false">((xSPRDOPT($L162,$J162,$I162,$M162,$O162,$N162,$P162,$Q162-$C$3,$R162,5)*$H162)/100)</f>
        <v>#NAME?</v>
      </c>
      <c r="AI162" s="226" t="e">
        <f aca="false">(((xSPRDOPT($L162,$J162,$I162,$M162,$O162,$N162,$P162,$Q162-$C$3,$R162,4)*$H162)/10000)/100)-AB162</f>
        <v>#NAME?</v>
      </c>
      <c r="AJ162" s="226"/>
      <c r="AK162" s="226"/>
      <c r="AL162" s="226"/>
      <c r="AM162" s="252"/>
      <c r="AN162" s="143" t="n">
        <f aca="false">EOMONTH(AN161,0)+1</f>
        <v>41456</v>
      </c>
      <c r="AO162" s="134" t="n">
        <f aca="false">SUMIF($X:$X,CONCATENATE($AN162,AO$6),$T:$T)/10000</f>
        <v>0</v>
      </c>
      <c r="AP162" s="134" t="n">
        <f aca="false">SUMIF($X:$X,CONCATENATE($AN162,AP$6),$T:$T)/10000</f>
        <v>0</v>
      </c>
      <c r="AQ162" s="134" t="n">
        <f aca="false">SUMIF($X:$X,CONCATENATE($AN162,AQ$6),$T:$T)/10000</f>
        <v>0</v>
      </c>
      <c r="AR162" s="134" t="n">
        <f aca="false">SUMIF($X:$X,CONCATENATE($AN162,AR$6),$T:$T)/10000</f>
        <v>0</v>
      </c>
      <c r="AS162" s="134" t="n">
        <f aca="false">SUMIF($X:$X,CONCATENATE($AN162,AS$6),$T:$T)/10000</f>
        <v>0</v>
      </c>
      <c r="AT162" s="134" t="n">
        <f aca="false">SUMIF($X:$X,CONCATENATE($AN162,AT$6),$T:$T)/10000</f>
        <v>0</v>
      </c>
      <c r="AU162" s="134" t="n">
        <f aca="false">SUMIF($X:$X,CONCATENATE($AN162,AU$6),$T:$T)/10000</f>
        <v>0</v>
      </c>
      <c r="AV162" s="134" t="n">
        <f aca="false">SUMIF($X:$X,CONCATENATE($AN162,AV$6),$T:$T)/10000</f>
        <v>0</v>
      </c>
      <c r="AW162" s="134" t="n">
        <f aca="false">SUMIF($X:$X,CONCATENATE($AN162,AW$6),$T:$T)/10000</f>
        <v>0</v>
      </c>
      <c r="AX162" s="134" t="n">
        <f aca="false">SUMIF($X:$X,CONCATENATE($AN162,AX$6),$T:$T)/10000</f>
        <v>0</v>
      </c>
      <c r="AY162" s="134" t="n">
        <f aca="false">SUMIF($X:$X,CONCATENATE($AN162,AY$6),$T:$T)/10000</f>
        <v>0</v>
      </c>
      <c r="AZ162" s="134" t="n">
        <f aca="false">SUMIF($X:$X,CONCATENATE($AN162,AZ$6),$T:$T)/10000</f>
        <v>0</v>
      </c>
      <c r="BA162" s="135" t="n">
        <f aca="false">SUMIF($X:$X,CONCATENATE($AN162,BA$6),$T:$T)/10000</f>
        <v>0</v>
      </c>
      <c r="BB162" s="143" t="n">
        <f aca="false">EOMONTH(BB161,0)+1</f>
        <v>41456</v>
      </c>
      <c r="BC162" s="135" t="n">
        <f aca="false">SUM(AO162:BA162)</f>
        <v>0</v>
      </c>
      <c r="BE162" s="143" t="n">
        <f aca="false">EOMONTH(BE161,0)+1</f>
        <v>41456</v>
      </c>
      <c r="BF162" s="134" t="n">
        <f aca="false">SUMIF($X:$X,CONCATENATE($AN162,BF$6),$W:$W)</f>
        <v>0</v>
      </c>
      <c r="BG162" s="134" t="n">
        <f aca="false">SUMIF($X:$X,CONCATENATE($AN162,BG$6),$W:$W)</f>
        <v>0</v>
      </c>
      <c r="BH162" s="134" t="n">
        <f aca="false">SUMIF($X:$X,CONCATENATE($AN162,BH$6),$W:$W)</f>
        <v>0</v>
      </c>
      <c r="BI162" s="134" t="n">
        <f aca="false">SUMIF($X:$X,CONCATENATE($AN162,BI$6),$W:$W)</f>
        <v>0</v>
      </c>
      <c r="BJ162" s="134" t="n">
        <f aca="false">SUMIF($X:$X,CONCATENATE($AN162,BJ$6),$W:$W)</f>
        <v>0</v>
      </c>
      <c r="BK162" s="134" t="n">
        <f aca="false">SUMIF($X:$X,CONCATENATE($AN162,BK$6),$W:$W)</f>
        <v>0</v>
      </c>
      <c r="BL162" s="134" t="n">
        <f aca="false">SUMIF($X:$X,CONCATENATE($AN162,BL$6),$W:$W)</f>
        <v>0</v>
      </c>
      <c r="BM162" s="134" t="n">
        <f aca="false">SUMIF($X:$X,CONCATENATE($AN162,BM$6),$W:$W)</f>
        <v>0</v>
      </c>
      <c r="BN162" s="134" t="n">
        <f aca="false">SUMIF($X:$X,CONCATENATE($AN162,BN$6),$W:$W)</f>
        <v>0</v>
      </c>
      <c r="BO162" s="134" t="n">
        <f aca="false">SUMIF($X:$X,CONCATENATE($AN162,BO$6),$W:$W)</f>
        <v>0</v>
      </c>
      <c r="BP162" s="134" t="n">
        <f aca="false">SUMIF($X:$X,CONCATENATE($AN162,BP$6),$W:$W)</f>
        <v>0</v>
      </c>
      <c r="BQ162" s="134" t="n">
        <f aca="false">SUMIF($X:$X,CONCATENATE($AN162,BQ$6),$W:$W)</f>
        <v>0</v>
      </c>
      <c r="BR162" s="135" t="n">
        <f aca="false">SUMIF($X:$X,CONCATENATE($AN162,BR$6),$W:$W)</f>
        <v>0</v>
      </c>
      <c r="BS162" s="143" t="n">
        <f aca="false">EOMONTH(BS161,0)+1</f>
        <v>41456</v>
      </c>
      <c r="BT162" s="135" t="n">
        <f aca="false">SUM(BF162:BR162)</f>
        <v>0</v>
      </c>
      <c r="CC162" s="182" t="n">
        <f aca="false">G162</f>
        <v>36770</v>
      </c>
      <c r="CD162" s="253" t="e">
        <f aca="false">xSPRDOPT((VLOOKUP(G162,NGPrices,2,FALSE())+HLOOKUP(D162,Prices,VLOOKUP(G162,move_down,2,FALSE()),FALSE())),VLOOKUP(G162,NGPrices,2,FALSE()),I162,VLOOKUP(G162,NGPREVPRICES,4,FALSE()),HLOOKUP(D162,PREVVOLS,VLOOKUP(G162,MOVE_DOWN2,2,FALSE()),FALSE()),VLOOKUP(G162,NGPREVPRICES,3,FALSE()),HLOOKUP(D162,Correllate,VLOOKUP(G162,CorMove,2,FALSE()),FALSE()),Q162-$CD$3,R162,$CD$5)*H162-CJ162</f>
        <v>#NAME?</v>
      </c>
      <c r="CE162" s="253" t="e">
        <f aca="false">xSPRDOPT((VLOOKUP(G162,NGPREVPRICES,2,FALSE())+HLOOKUP(D162,PREVCURVES,VLOOKUP(G162,MOVE_DOWN2,2,FALSE()),FALSE())),VLOOKUP(G162,NGPREVPRICES,2,FALSE()),CK162,VLOOKUP(G162,NGPrices,4,FALSE()),HLOOKUP(D162,PREVVOLS,VLOOKUP(G162,MOVE_DOWN2,2,FALSE()),FALSE()),VLOOKUP(G162,NGPREVPRICES,3,FALSE()),HLOOKUP(D162,Correllate,VLOOKUP(G162,CorMove,2,FALSE()),FALSE()),Q162-$CD$3,R162,$CJ$5)*H162-CJ162</f>
        <v>#NAME?</v>
      </c>
      <c r="CF162" s="132" t="e">
        <f aca="false">(CJ162/VLOOKUP(CC162,discount,3,FALSE()))-(CJ162/VLOOKUP(CC162,discount,2,FALSE()))</f>
        <v>#NAME?</v>
      </c>
      <c r="CG162" s="253" t="e">
        <f aca="false">xSPRDOPT((VLOOKUP(G162,NGPREVPRICES,2,FALSE())+HLOOKUP(D162,PREVCURVES,VLOOKUP(G162,MOVE_DOWN2,2,FALSE()),FALSE())),VLOOKUP(G162,NGPREVPRICES,2,FALSE()),CK162,VLOOKUP(G162,NGPREVPRICES,4,FALSE()),HLOOKUP(D162,VOLS,VLOOKUP(G162,move_down,2,FALSE()),FALSE()),VLOOKUP(G162,NGPrices,3,FALSE()),HLOOKUP(D162,Correllate,VLOOKUP(G162,CorMove,2,FALSE()),FALSE()),Q162-$CD$3,R162,$CJ$5)*H162-CJ162</f>
        <v>#NAME?</v>
      </c>
      <c r="CH162" s="253" t="e">
        <f aca="false">xSPRDOPT((VLOOKUP(G162,NGPREVPRICES,2,FALSE())+HLOOKUP(D162,PREVCURVES,VLOOKUP(G162,MOVE_DOWN2,2,FALSE()),FALSE())),VLOOKUP(G162,NGPREVPRICES,2,FALSE()),CK162,VLOOKUP(G162,NGPREVPRICES,4,FALSE()),HLOOKUP(D162,PREVVOLS,VLOOKUP(G162,MOVE_DOWN2,2,FALSE()),FALSE()),VLOOKUP(G162,NGPREVPRICES,3,FALSE()),HLOOKUP(D162,Correllate,VLOOKUP(G162,CorMove,2,FALSE()),FALSE()),Q162-$C$3,R162,$CJ$5)*H162-CJ162</f>
        <v>#NAME?</v>
      </c>
      <c r="CI162" s="253" t="e">
        <f aca="false">SUM(CD162:CH162)</f>
        <v>#NAME?</v>
      </c>
      <c r="CJ162" s="253" t="e">
        <f aca="false">xSPRDOPT((VLOOKUP(G162,NGPREVPRICES,2,FALSE())+HLOOKUP(D162,PREVCURVES,VLOOKUP(G162,MOVE_DOWN2,2,FALSE()),FALSE())),VLOOKUP(G162,NGPREVPRICES,2,FALSE()),CK162,VLOOKUP(G162,NGPREVPRICES,4,FALSE()),HLOOKUP(D162,PREVVOLS,VLOOKUP(G162,MOVE_DOWN2,2,FALSE()),FALSE()),VLOOKUP(G162,NGPREVPRICES,3,FALSE()),HLOOKUP(D162,Correllate,VLOOKUP(G162,CorMove,2,FALSE()),FALSE()),Q162-$CD$3,R162,$CJ$5)*H162</f>
        <v>#NAME?</v>
      </c>
      <c r="CK162" s="254" t="n">
        <f aca="false">I162</f>
        <v>-0.27</v>
      </c>
      <c r="CL162" s="253"/>
      <c r="CM162" s="0" t="str">
        <f aca="false">CONCATENATE(CC162,$CD$6)</f>
        <v>36770Curve Shift/Gamma</v>
      </c>
      <c r="CN162" s="0" t="str">
        <f aca="false">CONCATENATE($CC162,$CE$6)</f>
        <v>36770Rho</v>
      </c>
      <c r="CO162" s="0" t="str">
        <f aca="false">CONCATENATE($CC162,$CF$6)</f>
        <v>36770Drift</v>
      </c>
      <c r="CP162" s="0" t="str">
        <f aca="false">CONCATENATE($CC162,$CG$6)</f>
        <v>36770Vega</v>
      </c>
      <c r="CQ162" s="0" t="str">
        <f aca="false">CONCATENATE($CC162,$CH$6)</f>
        <v>36770Theta</v>
      </c>
    </row>
    <row r="163" customFormat="false" ht="12" hidden="false" customHeight="true" outlineLevel="0" collapsed="false">
      <c r="A163" s="265" t="s">
        <v>198</v>
      </c>
      <c r="B163" s="0" t="s">
        <v>192</v>
      </c>
      <c r="C163" s="0" t="s">
        <v>254</v>
      </c>
      <c r="D163" s="7" t="s">
        <v>149</v>
      </c>
      <c r="E163" s="0" t="s">
        <v>131</v>
      </c>
      <c r="F163" s="0" t="s">
        <v>136</v>
      </c>
      <c r="G163" s="92" t="n">
        <v>36951</v>
      </c>
      <c r="H163" s="248" t="n">
        <v>-1000000</v>
      </c>
      <c r="I163" s="0" t="n">
        <v>1.15</v>
      </c>
      <c r="J163" s="124" t="n">
        <f aca="false">VLOOKUP(G163,NGPrices,2,FALSE())</f>
        <v>4.213</v>
      </c>
      <c r="K163" s="125" t="n">
        <f aca="false">HLOOKUP(D163,Prices,VLOOKUP(G163,move_down,2,FALSE()),FALSE())+VLOOKUP(G163,CHANGE,HLOOKUP(D163,CHANGE,2,FALSE()),FALSE())</f>
        <v>1.075</v>
      </c>
      <c r="L163" s="124" t="n">
        <f aca="false">K163+J163</f>
        <v>5.288</v>
      </c>
      <c r="M163" s="126" t="n">
        <f aca="false">VLOOKUP(G163,NGPrices,4,FALSE())</f>
        <v>0.068879814952707</v>
      </c>
      <c r="N163" s="7" t="n">
        <f aca="false">VLOOKUP(G163,NGPrices,3,FALSE())</f>
        <v>0.5325</v>
      </c>
      <c r="O163" s="7" t="n">
        <f aca="false">HLOOKUP(D163,VOLS,VLOOKUP(G163,move_down,2,FALSE()),FALSE())</f>
        <v>0.612</v>
      </c>
      <c r="P163" s="249" t="n">
        <f aca="false">HLOOKUP(D163,Correllate,VLOOKUP(G163,CorMove,2,FALSE()),FALSE())</f>
        <v>0.83</v>
      </c>
      <c r="Q163" s="92" t="n">
        <f aca="false">WORKDAY(G163,-2)</f>
        <v>36949</v>
      </c>
      <c r="R163" s="7" t="n">
        <f aca="false">IF(F163="P",0,1)</f>
        <v>1</v>
      </c>
      <c r="S163" s="130" t="e">
        <f aca="false">xSPRDOPT($L163,$J163,$I163,$M163,$O163,$N163,$P163,$Q163-$C$3,$R163,0)</f>
        <v>#NAME?</v>
      </c>
      <c r="T163" s="250" t="e">
        <f aca="false">xSPRDOPT($L163,$J163,$I163,$M163,$O163,$N163,$P163,$Q163-$C$3,$R163,1)*H163</f>
        <v>#NAME?</v>
      </c>
      <c r="U163" s="43" t="e">
        <f aca="false">S163*H163</f>
        <v>#NAME?</v>
      </c>
      <c r="V163" s="250" t="e">
        <f aca="false">xSPRDOPT($L163,$J163,$I163,$M163,$O163,$N163,$P163,$Q163-$C$3,$R163,2)*H163</f>
        <v>#NAME?</v>
      </c>
      <c r="W163" s="250" t="e">
        <f aca="false">+V163+T163</f>
        <v>#NAME?</v>
      </c>
      <c r="X163" s="2" t="str">
        <f aca="false">CONCATENATE(G163,D163)</f>
        <v>36951IF-TRANSCO/Z6</v>
      </c>
      <c r="Y163" s="251" t="n">
        <f aca="false">H163/10000</f>
        <v>-100</v>
      </c>
      <c r="Z163" s="226" t="e">
        <f aca="false">T163/H163</f>
        <v>#NAME?</v>
      </c>
      <c r="AA163" s="226" t="e">
        <f aca="false">xSPRDOPT($L163,$J163,$I163,$M163,$O163,$N163,$P163,$Q163-$C$3,$R163,3)</f>
        <v>#NAME?</v>
      </c>
      <c r="AB163" s="226" t="e">
        <f aca="false">((xSPRDOPT($L163+AB$5,$J163,$I163,$M163,$O163,$N163,$P163,$Q163-$C$3,$R163,3)*$H163)/10000)/100</f>
        <v>#NAME?</v>
      </c>
      <c r="AC163" s="226" t="e">
        <f aca="false">((xSPRDOPT($L163+$AB$5,$J163,$I163,$M163,$O163,$N163,$P163,$Q163-$C$3,$R163,7)*$H163)/100)</f>
        <v>#NAME?</v>
      </c>
      <c r="AD163" s="226" t="e">
        <f aca="false">(xSPRDOPT($L163+$AB$5,$J163,$I163,$M163,$O163,$N163,$P163,$Q163-$C$3,$R163,9)/365)*$H163</f>
        <v>#NAME?</v>
      </c>
      <c r="AE163" s="0" t="e">
        <f aca="false">CD163</f>
        <v>#NAME?</v>
      </c>
      <c r="AF163" s="226" t="e">
        <f aca="false">((O163/N163)*AH163)+AG163</f>
        <v>#NAME?</v>
      </c>
      <c r="AG163" s="226" t="e">
        <f aca="false">((xSPRDOPT($L163,$J163,$I163,$M163,$O163,$N163,$P163,$Q163-$C$3,$R163,6)*$H163)/100)</f>
        <v>#NAME?</v>
      </c>
      <c r="AH163" s="226" t="e">
        <f aca="false">((xSPRDOPT($L163,$J163,$I163,$M163,$O163,$N163,$P163,$Q163-$C$3,$R163,5)*$H163)/100)</f>
        <v>#NAME?</v>
      </c>
      <c r="AI163" s="226" t="e">
        <f aca="false">(((xSPRDOPT($L163,$J163,$I163,$M163,$O163,$N163,$P163,$Q163-$C$3,$R163,4)*$H163)/10000)/100)-AB163</f>
        <v>#NAME?</v>
      </c>
      <c r="AJ163" s="226"/>
      <c r="AK163" s="226"/>
      <c r="AL163" s="226"/>
      <c r="AM163" s="252"/>
      <c r="AN163" s="143" t="n">
        <f aca="false">EOMONTH(AN162,0)+1</f>
        <v>41487</v>
      </c>
      <c r="AO163" s="134" t="n">
        <f aca="false">SUMIF($X:$X,CONCATENATE($AN163,AO$6),$T:$T)/10000</f>
        <v>0</v>
      </c>
      <c r="AP163" s="134" t="n">
        <f aca="false">SUMIF($X:$X,CONCATENATE($AN163,AP$6),$T:$T)/10000</f>
        <v>0</v>
      </c>
      <c r="AQ163" s="134" t="n">
        <f aca="false">SUMIF($X:$X,CONCATENATE($AN163,AQ$6),$T:$T)/10000</f>
        <v>0</v>
      </c>
      <c r="AR163" s="134" t="n">
        <f aca="false">SUMIF($X:$X,CONCATENATE($AN163,AR$6),$T:$T)/10000</f>
        <v>0</v>
      </c>
      <c r="AS163" s="134" t="n">
        <f aca="false">SUMIF($X:$X,CONCATENATE($AN163,AS$6),$T:$T)/10000</f>
        <v>0</v>
      </c>
      <c r="AT163" s="134" t="n">
        <f aca="false">SUMIF($X:$X,CONCATENATE($AN163,AT$6),$T:$T)/10000</f>
        <v>0</v>
      </c>
      <c r="AU163" s="134" t="n">
        <f aca="false">SUMIF($X:$X,CONCATENATE($AN163,AU$6),$T:$T)/10000</f>
        <v>0</v>
      </c>
      <c r="AV163" s="134" t="n">
        <f aca="false">SUMIF($X:$X,CONCATENATE($AN163,AV$6),$T:$T)/10000</f>
        <v>0</v>
      </c>
      <c r="AW163" s="134" t="n">
        <f aca="false">SUMIF($X:$X,CONCATENATE($AN163,AW$6),$T:$T)/10000</f>
        <v>0</v>
      </c>
      <c r="AX163" s="134" t="n">
        <f aca="false">SUMIF($X:$X,CONCATENATE($AN163,AX$6),$T:$T)/10000</f>
        <v>0</v>
      </c>
      <c r="AY163" s="134" t="n">
        <f aca="false">SUMIF($X:$X,CONCATENATE($AN163,AY$6),$T:$T)/10000</f>
        <v>0</v>
      </c>
      <c r="AZ163" s="134" t="n">
        <f aca="false">SUMIF($X:$X,CONCATENATE($AN163,AZ$6),$T:$T)/10000</f>
        <v>0</v>
      </c>
      <c r="BA163" s="135" t="n">
        <f aca="false">SUMIF($X:$X,CONCATENATE($AN163,BA$6),$T:$T)/10000</f>
        <v>0</v>
      </c>
      <c r="BB163" s="143" t="n">
        <f aca="false">EOMONTH(BB162,0)+1</f>
        <v>41487</v>
      </c>
      <c r="BC163" s="135" t="n">
        <f aca="false">SUM(AO163:BA163)</f>
        <v>0</v>
      </c>
      <c r="BE163" s="143" t="n">
        <f aca="false">EOMONTH(BE162,0)+1</f>
        <v>41487</v>
      </c>
      <c r="BF163" s="134" t="n">
        <f aca="false">SUMIF($X:$X,CONCATENATE($AN163,BF$6),$W:$W)</f>
        <v>0</v>
      </c>
      <c r="BG163" s="134" t="n">
        <f aca="false">SUMIF($X:$X,CONCATENATE($AN163,BG$6),$W:$W)</f>
        <v>0</v>
      </c>
      <c r="BH163" s="134" t="n">
        <f aca="false">SUMIF($X:$X,CONCATENATE($AN163,BH$6),$W:$W)</f>
        <v>0</v>
      </c>
      <c r="BI163" s="134" t="n">
        <f aca="false">SUMIF($X:$X,CONCATENATE($AN163,BI$6),$W:$W)</f>
        <v>0</v>
      </c>
      <c r="BJ163" s="134" t="n">
        <f aca="false">SUMIF($X:$X,CONCATENATE($AN163,BJ$6),$W:$W)</f>
        <v>0</v>
      </c>
      <c r="BK163" s="134" t="n">
        <f aca="false">SUMIF($X:$X,CONCATENATE($AN163,BK$6),$W:$W)</f>
        <v>0</v>
      </c>
      <c r="BL163" s="134" t="n">
        <f aca="false">SUMIF($X:$X,CONCATENATE($AN163,BL$6),$W:$W)</f>
        <v>0</v>
      </c>
      <c r="BM163" s="134" t="n">
        <f aca="false">SUMIF($X:$X,CONCATENATE($AN163,BM$6),$W:$W)</f>
        <v>0</v>
      </c>
      <c r="BN163" s="134" t="n">
        <f aca="false">SUMIF($X:$X,CONCATENATE($AN163,BN$6),$W:$W)</f>
        <v>0</v>
      </c>
      <c r="BO163" s="134" t="n">
        <f aca="false">SUMIF($X:$X,CONCATENATE($AN163,BO$6),$W:$W)</f>
        <v>0</v>
      </c>
      <c r="BP163" s="134" t="n">
        <f aca="false">SUMIF($X:$X,CONCATENATE($AN163,BP$6),$W:$W)</f>
        <v>0</v>
      </c>
      <c r="BQ163" s="134" t="n">
        <f aca="false">SUMIF($X:$X,CONCATENATE($AN163,BQ$6),$W:$W)</f>
        <v>0</v>
      </c>
      <c r="BR163" s="135" t="n">
        <f aca="false">SUMIF($X:$X,CONCATENATE($AN163,BR$6),$W:$W)</f>
        <v>0</v>
      </c>
      <c r="BS163" s="143" t="n">
        <f aca="false">EOMONTH(BS162,0)+1</f>
        <v>41487</v>
      </c>
      <c r="BT163" s="135" t="n">
        <f aca="false">SUM(BF163:BR163)</f>
        <v>0</v>
      </c>
      <c r="CC163" s="182" t="n">
        <f aca="false">G163</f>
        <v>36951</v>
      </c>
      <c r="CD163" s="253" t="e">
        <f aca="false">xSPRDOPT((VLOOKUP(G163,NGPrices,2,FALSE())+HLOOKUP(D163,Prices,VLOOKUP(G163,move_down,2,FALSE()),FALSE())),VLOOKUP(G163,NGPrices,2,FALSE()),I163,VLOOKUP(G163,NGPREVPRICES,4,FALSE()),HLOOKUP(D163,PREVVOLS,VLOOKUP(G163,MOVE_DOWN2,2,FALSE()),FALSE()),VLOOKUP(G163,NGPREVPRICES,3,FALSE()),HLOOKUP(D163,Correllate,VLOOKUP(G163,CorMove,2,FALSE()),FALSE()),Q163-$CD$3,R163,$CD$5)*H163-CJ163</f>
        <v>#NAME?</v>
      </c>
      <c r="CE163" s="253" t="e">
        <f aca="false">xSPRDOPT((VLOOKUP(G163,NGPREVPRICES,2,FALSE())+HLOOKUP(D163,PREVCURVES,VLOOKUP(G163,MOVE_DOWN2,2,FALSE()),FALSE())),VLOOKUP(G163,NGPREVPRICES,2,FALSE()),CK163,VLOOKUP(G163,NGPrices,4,FALSE()),HLOOKUP(D163,PREVVOLS,VLOOKUP(G163,MOVE_DOWN2,2,FALSE()),FALSE()),VLOOKUP(G163,NGPREVPRICES,3,FALSE()),HLOOKUP(D163,Correllate,VLOOKUP(G163,CorMove,2,FALSE()),FALSE()),Q163-$CD$3,R163,$CJ$5)*H163-CJ163</f>
        <v>#NAME?</v>
      </c>
      <c r="CF163" s="132" t="e">
        <f aca="false">(CJ163/VLOOKUP(CC163,discount,3,FALSE()))-(CJ163/VLOOKUP(CC163,discount,2,FALSE()))</f>
        <v>#NAME?</v>
      </c>
      <c r="CG163" s="253" t="e">
        <f aca="false">xSPRDOPT((VLOOKUP(G163,NGPREVPRICES,2,FALSE())+HLOOKUP(D163,PREVCURVES,VLOOKUP(G163,MOVE_DOWN2,2,FALSE()),FALSE())),VLOOKUP(G163,NGPREVPRICES,2,FALSE()),CK163,VLOOKUP(G163,NGPREVPRICES,4,FALSE()),HLOOKUP(D163,VOLS,VLOOKUP(G163,move_down,2,FALSE()),FALSE()),VLOOKUP(G163,NGPrices,3,FALSE()),HLOOKUP(D163,Correllate,VLOOKUP(G163,CorMove,2,FALSE()),FALSE()),Q163-$CD$3,R163,$CJ$5)*H163-CJ163</f>
        <v>#NAME?</v>
      </c>
      <c r="CH163" s="253" t="e">
        <f aca="false">xSPRDOPT((VLOOKUP(G163,NGPREVPRICES,2,FALSE())+HLOOKUP(D163,PREVCURVES,VLOOKUP(G163,MOVE_DOWN2,2,FALSE()),FALSE())),VLOOKUP(G163,NGPREVPRICES,2,FALSE()),CK163,VLOOKUP(G163,NGPREVPRICES,4,FALSE()),HLOOKUP(D163,PREVVOLS,VLOOKUP(G163,MOVE_DOWN2,2,FALSE()),FALSE()),VLOOKUP(G163,NGPREVPRICES,3,FALSE()),HLOOKUP(D163,Correllate,VLOOKUP(G163,CorMove,2,FALSE()),FALSE()),Q163-$C$3,R163,$CJ$5)*H163-CJ163</f>
        <v>#NAME?</v>
      </c>
      <c r="CI163" s="253" t="e">
        <f aca="false">SUM(CD163:CH163)</f>
        <v>#NAME?</v>
      </c>
      <c r="CJ163" s="253" t="e">
        <f aca="false">xSPRDOPT((VLOOKUP(G163,NGPREVPRICES,2,FALSE())+HLOOKUP(D163,PREVCURVES,VLOOKUP(G163,MOVE_DOWN2,2,FALSE()),FALSE())),VLOOKUP(G163,NGPREVPRICES,2,FALSE()),CK163,VLOOKUP(G163,NGPREVPRICES,4,FALSE()),HLOOKUP(D163,PREVVOLS,VLOOKUP(G163,MOVE_DOWN2,2,FALSE()),FALSE()),VLOOKUP(G163,NGPREVPRICES,3,FALSE()),HLOOKUP(D163,Correllate,VLOOKUP(G163,CorMove,2,FALSE()),FALSE()),Q163-$CD$3,R163,$CJ$5)*H163</f>
        <v>#NAME?</v>
      </c>
      <c r="CK163" s="254" t="n">
        <f aca="false">I163</f>
        <v>1.15</v>
      </c>
      <c r="CL163" s="253"/>
      <c r="CM163" s="0" t="str">
        <f aca="false">CONCATENATE(CC163,$CD$6)</f>
        <v>36951Curve Shift/Gamma</v>
      </c>
      <c r="CN163" s="0" t="str">
        <f aca="false">CONCATENATE($CC163,$CE$6)</f>
        <v>36951Rho</v>
      </c>
      <c r="CO163" s="0" t="str">
        <f aca="false">CONCATENATE($CC163,$CF$6)</f>
        <v>36951Drift</v>
      </c>
      <c r="CP163" s="0" t="str">
        <f aca="false">CONCATENATE($CC163,$CG$6)</f>
        <v>36951Vega</v>
      </c>
      <c r="CQ163" s="0" t="str">
        <f aca="false">CONCATENATE($CC163,$CH$6)</f>
        <v>36951Theta</v>
      </c>
    </row>
    <row r="164" customFormat="false" ht="12" hidden="false" customHeight="true" outlineLevel="0" collapsed="false">
      <c r="A164" s="265" t="s">
        <v>198</v>
      </c>
      <c r="B164" s="0" t="s">
        <v>192</v>
      </c>
      <c r="C164" s="0" t="s">
        <v>254</v>
      </c>
      <c r="D164" s="7" t="s">
        <v>149</v>
      </c>
      <c r="E164" s="0" t="s">
        <v>131</v>
      </c>
      <c r="F164" s="0" t="s">
        <v>136</v>
      </c>
      <c r="G164" s="92" t="n">
        <v>36923</v>
      </c>
      <c r="H164" s="248" t="n">
        <v>-1000000</v>
      </c>
      <c r="I164" s="0" t="n">
        <v>1.15</v>
      </c>
      <c r="J164" s="124" t="n">
        <f aca="false">VLOOKUP(G164,NGPrices,2,FALSE())</f>
        <v>4.48</v>
      </c>
      <c r="K164" s="125" t="n">
        <f aca="false">HLOOKUP(D164,Prices,VLOOKUP(G164,move_down,2,FALSE()),FALSE())+VLOOKUP(G164,CHANGE,HLOOKUP(D164,CHANGE,2,FALSE()),FALSE())</f>
        <v>2.09</v>
      </c>
      <c r="L164" s="124" t="n">
        <f aca="false">K164+J164</f>
        <v>6.57</v>
      </c>
      <c r="M164" s="126" t="n">
        <f aca="false">VLOOKUP(G164,NGPrices,4,FALSE())</f>
        <v>0.068640161611372</v>
      </c>
      <c r="N164" s="7" t="n">
        <f aca="false">VLOOKUP(G164,NGPrices,3,FALSE())</f>
        <v>0.5925</v>
      </c>
      <c r="O164" s="7" t="n">
        <f aca="false">HLOOKUP(D164,VOLS,VLOOKUP(G164,move_down,2,FALSE()),FALSE())</f>
        <v>0.681</v>
      </c>
      <c r="P164" s="249" t="n">
        <f aca="false">HLOOKUP(D164,Correllate,VLOOKUP(G164,CorMove,2,FALSE()),FALSE())</f>
        <v>0.83</v>
      </c>
      <c r="Q164" s="92" t="n">
        <f aca="false">WORKDAY(G164,-2)</f>
        <v>36921</v>
      </c>
      <c r="R164" s="7" t="n">
        <f aca="false">IF(F164="P",0,1)</f>
        <v>1</v>
      </c>
      <c r="S164" s="130" t="e">
        <f aca="false">xSPRDOPT($L164,$J164,$I164,$M164,$O164,$N164,$P164,$Q164-$C$3,$R164,0)</f>
        <v>#NAME?</v>
      </c>
      <c r="T164" s="250" t="e">
        <f aca="false">xSPRDOPT($L164,$J164,$I164,$M164,$O164,$N164,$P164,$Q164-$C$3,$R164,1)*H164</f>
        <v>#NAME?</v>
      </c>
      <c r="U164" s="43" t="e">
        <f aca="false">S164*H164</f>
        <v>#NAME?</v>
      </c>
      <c r="V164" s="250" t="e">
        <f aca="false">xSPRDOPT($L164,$J164,$I164,$M164,$O164,$N164,$P164,$Q164-$C$3,$R164,2)*H164</f>
        <v>#NAME?</v>
      </c>
      <c r="W164" s="250" t="e">
        <f aca="false">+V164+T164</f>
        <v>#NAME?</v>
      </c>
      <c r="X164" s="2" t="str">
        <f aca="false">CONCATENATE(G164,D164)</f>
        <v>36923IF-TRANSCO/Z6</v>
      </c>
      <c r="Y164" s="251" t="n">
        <f aca="false">H164/10000</f>
        <v>-100</v>
      </c>
      <c r="Z164" s="226" t="e">
        <f aca="false">T164/H164</f>
        <v>#NAME?</v>
      </c>
      <c r="AA164" s="226" t="e">
        <f aca="false">xSPRDOPT($L164,$J164,$I164,$M164,$O164,$N164,$P164,$Q164-$C$3,$R164,3)</f>
        <v>#NAME?</v>
      </c>
      <c r="AB164" s="226" t="e">
        <f aca="false">((xSPRDOPT($L164+AB$5,$J164,$I164,$M164,$O164,$N164,$P164,$Q164-$C$3,$R164,3)*$H164)/10000)/100</f>
        <v>#NAME?</v>
      </c>
      <c r="AC164" s="226" t="e">
        <f aca="false">((xSPRDOPT($L164+$AB$5,$J164,$I164,$M164,$O164,$N164,$P164,$Q164-$C$3,$R164,7)*$H164)/100)</f>
        <v>#NAME?</v>
      </c>
      <c r="AD164" s="226" t="e">
        <f aca="false">(xSPRDOPT($L164+$AB$5,$J164,$I164,$M164,$O164,$N164,$P164,$Q164-$C$3,$R164,9)/365)*$H164</f>
        <v>#NAME?</v>
      </c>
      <c r="AE164" s="0" t="e">
        <f aca="false">CD164</f>
        <v>#NAME?</v>
      </c>
      <c r="AF164" s="226" t="e">
        <f aca="false">((O164/N164)*AH164)+AG164</f>
        <v>#NAME?</v>
      </c>
      <c r="AG164" s="226" t="e">
        <f aca="false">((xSPRDOPT($L164,$J164,$I164,$M164,$O164,$N164,$P164,$Q164-$C$3,$R164,6)*$H164)/100)</f>
        <v>#NAME?</v>
      </c>
      <c r="AH164" s="226" t="e">
        <f aca="false">((xSPRDOPT($L164,$J164,$I164,$M164,$O164,$N164,$P164,$Q164-$C$3,$R164,5)*$H164)/100)</f>
        <v>#NAME?</v>
      </c>
      <c r="AI164" s="226" t="e">
        <f aca="false">(((xSPRDOPT($L164,$J164,$I164,$M164,$O164,$N164,$P164,$Q164-$C$3,$R164,4)*$H164)/10000)/100)-AB164</f>
        <v>#NAME?</v>
      </c>
      <c r="AJ164" s="226"/>
      <c r="AK164" s="226"/>
      <c r="AL164" s="226"/>
      <c r="AM164" s="252"/>
      <c r="AN164" s="143" t="n">
        <f aca="false">EOMONTH(AN163,0)+1</f>
        <v>41518</v>
      </c>
      <c r="AO164" s="134" t="n">
        <f aca="false">SUMIF($X:$X,CONCATENATE($AN164,AO$6),$T:$T)/10000</f>
        <v>0</v>
      </c>
      <c r="AP164" s="134" t="n">
        <f aca="false">SUMIF($X:$X,CONCATENATE($AN164,AP$6),$T:$T)/10000</f>
        <v>0</v>
      </c>
      <c r="AQ164" s="134" t="n">
        <f aca="false">SUMIF($X:$X,CONCATENATE($AN164,AQ$6),$T:$T)/10000</f>
        <v>0</v>
      </c>
      <c r="AR164" s="134" t="n">
        <f aca="false">SUMIF($X:$X,CONCATENATE($AN164,AR$6),$T:$T)/10000</f>
        <v>0</v>
      </c>
      <c r="AS164" s="134" t="n">
        <f aca="false">SUMIF($X:$X,CONCATENATE($AN164,AS$6),$T:$T)/10000</f>
        <v>0</v>
      </c>
      <c r="AT164" s="134" t="n">
        <f aca="false">SUMIF($X:$X,CONCATENATE($AN164,AT$6),$T:$T)/10000</f>
        <v>0</v>
      </c>
      <c r="AU164" s="134" t="n">
        <f aca="false">SUMIF($X:$X,CONCATENATE($AN164,AU$6),$T:$T)/10000</f>
        <v>0</v>
      </c>
      <c r="AV164" s="134" t="n">
        <f aca="false">SUMIF($X:$X,CONCATENATE($AN164,AV$6),$T:$T)/10000</f>
        <v>0</v>
      </c>
      <c r="AW164" s="134" t="n">
        <f aca="false">SUMIF($X:$X,CONCATENATE($AN164,AW$6),$T:$T)/10000</f>
        <v>0</v>
      </c>
      <c r="AX164" s="134" t="n">
        <f aca="false">SUMIF($X:$X,CONCATENATE($AN164,AX$6),$T:$T)/10000</f>
        <v>0</v>
      </c>
      <c r="AY164" s="134" t="n">
        <f aca="false">SUMIF($X:$X,CONCATENATE($AN164,AY$6),$T:$T)/10000</f>
        <v>0</v>
      </c>
      <c r="AZ164" s="134" t="n">
        <f aca="false">SUMIF($X:$X,CONCATENATE($AN164,AZ$6),$T:$T)/10000</f>
        <v>0</v>
      </c>
      <c r="BA164" s="135" t="n">
        <f aca="false">SUMIF($X:$X,CONCATENATE($AN164,BA$6),$T:$T)/10000</f>
        <v>0</v>
      </c>
      <c r="BB164" s="143" t="n">
        <f aca="false">EOMONTH(BB163,0)+1</f>
        <v>41518</v>
      </c>
      <c r="BC164" s="135" t="n">
        <f aca="false">SUM(AO164:BA164)</f>
        <v>0</v>
      </c>
      <c r="BE164" s="143" t="n">
        <f aca="false">EOMONTH(BE163,0)+1</f>
        <v>41518</v>
      </c>
      <c r="BF164" s="134" t="n">
        <f aca="false">SUMIF($X:$X,CONCATENATE($AN164,BF$6),$W:$W)</f>
        <v>0</v>
      </c>
      <c r="BG164" s="134" t="n">
        <f aca="false">SUMIF($X:$X,CONCATENATE($AN164,BG$6),$W:$W)</f>
        <v>0</v>
      </c>
      <c r="BH164" s="134" t="n">
        <f aca="false">SUMIF($X:$X,CONCATENATE($AN164,BH$6),$W:$W)</f>
        <v>0</v>
      </c>
      <c r="BI164" s="134" t="n">
        <f aca="false">SUMIF($X:$X,CONCATENATE($AN164,BI$6),$W:$W)</f>
        <v>0</v>
      </c>
      <c r="BJ164" s="134" t="n">
        <f aca="false">SUMIF($X:$X,CONCATENATE($AN164,BJ$6),$W:$W)</f>
        <v>0</v>
      </c>
      <c r="BK164" s="134" t="n">
        <f aca="false">SUMIF($X:$X,CONCATENATE($AN164,BK$6),$W:$W)</f>
        <v>0</v>
      </c>
      <c r="BL164" s="134" t="n">
        <f aca="false">SUMIF($X:$X,CONCATENATE($AN164,BL$6),$W:$W)</f>
        <v>0</v>
      </c>
      <c r="BM164" s="134" t="n">
        <f aca="false">SUMIF($X:$X,CONCATENATE($AN164,BM$6),$W:$W)</f>
        <v>0</v>
      </c>
      <c r="BN164" s="134" t="n">
        <f aca="false">SUMIF($X:$X,CONCATENATE($AN164,BN$6),$W:$W)</f>
        <v>0</v>
      </c>
      <c r="BO164" s="134" t="n">
        <f aca="false">SUMIF($X:$X,CONCATENATE($AN164,BO$6),$W:$W)</f>
        <v>0</v>
      </c>
      <c r="BP164" s="134" t="n">
        <f aca="false">SUMIF($X:$X,CONCATENATE($AN164,BP$6),$W:$W)</f>
        <v>0</v>
      </c>
      <c r="BQ164" s="134" t="n">
        <f aca="false">SUMIF($X:$X,CONCATENATE($AN164,BQ$6),$W:$W)</f>
        <v>0</v>
      </c>
      <c r="BR164" s="135" t="n">
        <f aca="false">SUMIF($X:$X,CONCATENATE($AN164,BR$6),$W:$W)</f>
        <v>0</v>
      </c>
      <c r="BS164" s="143" t="n">
        <f aca="false">EOMONTH(BS163,0)+1</f>
        <v>41518</v>
      </c>
      <c r="BT164" s="135" t="n">
        <f aca="false">SUM(BF164:BR164)</f>
        <v>0</v>
      </c>
      <c r="CC164" s="182" t="n">
        <f aca="false">G164</f>
        <v>36923</v>
      </c>
      <c r="CD164" s="253" t="e">
        <f aca="false">xSPRDOPT((VLOOKUP(G164,NGPrices,2,FALSE())+HLOOKUP(D164,Prices,VLOOKUP(G164,move_down,2,FALSE()),FALSE())),VLOOKUP(G164,NGPrices,2,FALSE()),I164,VLOOKUP(G164,NGPREVPRICES,4,FALSE()),HLOOKUP(D164,PREVVOLS,VLOOKUP(G164,MOVE_DOWN2,2,FALSE()),FALSE()),VLOOKUP(G164,NGPREVPRICES,3,FALSE()),HLOOKUP(D164,Correllate,VLOOKUP(G164,CorMove,2,FALSE()),FALSE()),Q164-$CD$3,R164,$CD$5)*H164-CJ164</f>
        <v>#NAME?</v>
      </c>
      <c r="CE164" s="253" t="e">
        <f aca="false">xSPRDOPT((VLOOKUP(G164,NGPREVPRICES,2,FALSE())+HLOOKUP(D164,PREVCURVES,VLOOKUP(G164,MOVE_DOWN2,2,FALSE()),FALSE())),VLOOKUP(G164,NGPREVPRICES,2,FALSE()),CK164,VLOOKUP(G164,NGPrices,4,FALSE()),HLOOKUP(D164,PREVVOLS,VLOOKUP(G164,MOVE_DOWN2,2,FALSE()),FALSE()),VLOOKUP(G164,NGPREVPRICES,3,FALSE()),HLOOKUP(D164,Correllate,VLOOKUP(G164,CorMove,2,FALSE()),FALSE()),Q164-$CD$3,R164,$CJ$5)*H164-CJ164</f>
        <v>#NAME?</v>
      </c>
      <c r="CF164" s="132" t="e">
        <f aca="false">(CJ164/VLOOKUP(CC164,discount,3,FALSE()))-(CJ164/VLOOKUP(CC164,discount,2,FALSE()))</f>
        <v>#NAME?</v>
      </c>
      <c r="CG164" s="253" t="e">
        <f aca="false">xSPRDOPT((VLOOKUP(G164,NGPREVPRICES,2,FALSE())+HLOOKUP(D164,PREVCURVES,VLOOKUP(G164,MOVE_DOWN2,2,FALSE()),FALSE())),VLOOKUP(G164,NGPREVPRICES,2,FALSE()),CK164,VLOOKUP(G164,NGPREVPRICES,4,FALSE()),HLOOKUP(D164,VOLS,VLOOKUP(G164,move_down,2,FALSE()),FALSE()),VLOOKUP(G164,NGPrices,3,FALSE()),HLOOKUP(D164,Correllate,VLOOKUP(G164,CorMove,2,FALSE()),FALSE()),Q164-$CD$3,R164,$CJ$5)*H164-CJ164</f>
        <v>#NAME?</v>
      </c>
      <c r="CH164" s="253" t="e">
        <f aca="false">xSPRDOPT((VLOOKUP(G164,NGPREVPRICES,2,FALSE())+HLOOKUP(D164,PREVCURVES,VLOOKUP(G164,MOVE_DOWN2,2,FALSE()),FALSE())),VLOOKUP(G164,NGPREVPRICES,2,FALSE()),CK164,VLOOKUP(G164,NGPREVPRICES,4,FALSE()),HLOOKUP(D164,PREVVOLS,VLOOKUP(G164,MOVE_DOWN2,2,FALSE()),FALSE()),VLOOKUP(G164,NGPREVPRICES,3,FALSE()),HLOOKUP(D164,Correllate,VLOOKUP(G164,CorMove,2,FALSE()),FALSE()),Q164-$C$3,R164,$CJ$5)*H164-CJ164</f>
        <v>#NAME?</v>
      </c>
      <c r="CI164" s="253" t="e">
        <f aca="false">SUM(CD164:CH164)</f>
        <v>#NAME?</v>
      </c>
      <c r="CJ164" s="253" t="e">
        <f aca="false">xSPRDOPT((VLOOKUP(G164,NGPREVPRICES,2,FALSE())+HLOOKUP(D164,PREVCURVES,VLOOKUP(G164,MOVE_DOWN2,2,FALSE()),FALSE())),VLOOKUP(G164,NGPREVPRICES,2,FALSE()),CK164,VLOOKUP(G164,NGPREVPRICES,4,FALSE()),HLOOKUP(D164,PREVVOLS,VLOOKUP(G164,MOVE_DOWN2,2,FALSE()),FALSE()),VLOOKUP(G164,NGPREVPRICES,3,FALSE()),HLOOKUP(D164,Correllate,VLOOKUP(G164,CorMove,2,FALSE()),FALSE()),Q164-$CD$3,R164,$CJ$5)*H164</f>
        <v>#NAME?</v>
      </c>
      <c r="CK164" s="254" t="n">
        <f aca="false">I164</f>
        <v>1.15</v>
      </c>
      <c r="CL164" s="253"/>
      <c r="CM164" s="0" t="str">
        <f aca="false">CONCATENATE(CC164,$CD$6)</f>
        <v>36923Curve Shift/Gamma</v>
      </c>
      <c r="CN164" s="0" t="str">
        <f aca="false">CONCATENATE($CC164,$CE$6)</f>
        <v>36923Rho</v>
      </c>
      <c r="CO164" s="0" t="str">
        <f aca="false">CONCATENATE($CC164,$CF$6)</f>
        <v>36923Drift</v>
      </c>
      <c r="CP164" s="0" t="str">
        <f aca="false">CONCATENATE($CC164,$CG$6)</f>
        <v>36923Vega</v>
      </c>
      <c r="CQ164" s="0" t="str">
        <f aca="false">CONCATENATE($CC164,$CH$6)</f>
        <v>36923Theta</v>
      </c>
    </row>
    <row r="165" customFormat="false" ht="12" hidden="false" customHeight="true" outlineLevel="0" collapsed="false">
      <c r="A165" s="265" t="s">
        <v>198</v>
      </c>
      <c r="B165" s="0" t="s">
        <v>192</v>
      </c>
      <c r="C165" s="0" t="s">
        <v>254</v>
      </c>
      <c r="D165" s="7" t="s">
        <v>149</v>
      </c>
      <c r="E165" s="0" t="s">
        <v>131</v>
      </c>
      <c r="F165" s="0" t="s">
        <v>136</v>
      </c>
      <c r="G165" s="92" t="n">
        <v>36892</v>
      </c>
      <c r="H165" s="248" t="n">
        <v>-1000000</v>
      </c>
      <c r="I165" s="0" t="n">
        <v>1.15</v>
      </c>
      <c r="J165" s="124" t="n">
        <f aca="false">VLOOKUP(G165,NGPrices,2,FALSE())</f>
        <v>4.744</v>
      </c>
      <c r="K165" s="125" t="n">
        <f aca="false">HLOOKUP(D165,Prices,VLOOKUP(G165,move_down,2,FALSE()),FALSE())+VLOOKUP(G165,CHANGE,HLOOKUP(D165,CHANGE,2,FALSE()),FALSE())</f>
        <v>2.17</v>
      </c>
      <c r="L165" s="124" t="n">
        <f aca="false">K165+J165</f>
        <v>6.914</v>
      </c>
      <c r="M165" s="126" t="n">
        <f aca="false">VLOOKUP(G165,NGPrices,4,FALSE())</f>
        <v>0.068374831148491</v>
      </c>
      <c r="N165" s="7" t="n">
        <f aca="false">VLOOKUP(G165,NGPrices,3,FALSE())</f>
        <v>0.605</v>
      </c>
      <c r="O165" s="7" t="n">
        <f aca="false">HLOOKUP(D165,VOLS,VLOOKUP(G165,move_down,2,FALSE()),FALSE())</f>
        <v>0.696</v>
      </c>
      <c r="P165" s="249" t="n">
        <f aca="false">HLOOKUP(D165,Correllate,VLOOKUP(G165,CorMove,2,FALSE()),FALSE())</f>
        <v>0.83</v>
      </c>
      <c r="Q165" s="92" t="n">
        <f aca="false">WORKDAY(G165,-2)</f>
        <v>36888</v>
      </c>
      <c r="R165" s="7" t="n">
        <f aca="false">IF(F165="P",0,1)</f>
        <v>1</v>
      </c>
      <c r="S165" s="130" t="e">
        <f aca="false">xSPRDOPT($L165,$J165,$I165,$M165,$O165,$N165,$P165,$Q165-$C$3,$R165,0)</f>
        <v>#NAME?</v>
      </c>
      <c r="T165" s="250" t="e">
        <f aca="false">xSPRDOPT($L165,$J165,$I165,$M165,$O165,$N165,$P165,$Q165-$C$3,$R165,1)*H165</f>
        <v>#NAME?</v>
      </c>
      <c r="U165" s="43" t="e">
        <f aca="false">S165*H165</f>
        <v>#NAME?</v>
      </c>
      <c r="V165" s="250" t="e">
        <f aca="false">xSPRDOPT($L165,$J165,$I165,$M165,$O165,$N165,$P165,$Q165-$C$3,$R165,2)*H165</f>
        <v>#NAME?</v>
      </c>
      <c r="W165" s="250" t="e">
        <f aca="false">+V165+T165</f>
        <v>#NAME?</v>
      </c>
      <c r="X165" s="2" t="str">
        <f aca="false">CONCATENATE(G165,D165)</f>
        <v>36892IF-TRANSCO/Z6</v>
      </c>
      <c r="Y165" s="251" t="n">
        <f aca="false">H165/10000</f>
        <v>-100</v>
      </c>
      <c r="Z165" s="226" t="e">
        <f aca="false">T165/H165</f>
        <v>#NAME?</v>
      </c>
      <c r="AA165" s="226" t="e">
        <f aca="false">xSPRDOPT($L165,$J165,$I165,$M165,$O165,$N165,$P165,$Q165-$C$3,$R165,3)</f>
        <v>#NAME?</v>
      </c>
      <c r="AB165" s="226" t="e">
        <f aca="false">((xSPRDOPT($L165+AB$5,$J165,$I165,$M165,$O165,$N165,$P165,$Q165-$C$3,$R165,3)*$H165)/10000)/100</f>
        <v>#NAME?</v>
      </c>
      <c r="AC165" s="226" t="e">
        <f aca="false">((xSPRDOPT($L165+$AB$5,$J165,$I165,$M165,$O165,$N165,$P165,$Q165-$C$3,$R165,7)*$H165)/100)</f>
        <v>#NAME?</v>
      </c>
      <c r="AD165" s="226" t="e">
        <f aca="false">(xSPRDOPT($L165+$AB$5,$J165,$I165,$M165,$O165,$N165,$P165,$Q165-$C$3,$R165,9)/365)*$H165</f>
        <v>#NAME?</v>
      </c>
      <c r="AE165" s="0" t="e">
        <f aca="false">CD165</f>
        <v>#NAME?</v>
      </c>
      <c r="AF165" s="226" t="e">
        <f aca="false">((O165/N165)*AH165)+AG165</f>
        <v>#NAME?</v>
      </c>
      <c r="AG165" s="226" t="e">
        <f aca="false">((xSPRDOPT($L165,$J165,$I165,$M165,$O165,$N165,$P165,$Q165-$C$3,$R165,6)*$H165)/100)</f>
        <v>#NAME?</v>
      </c>
      <c r="AH165" s="226" t="e">
        <f aca="false">((xSPRDOPT($L165,$J165,$I165,$M165,$O165,$N165,$P165,$Q165-$C$3,$R165,5)*$H165)/100)</f>
        <v>#NAME?</v>
      </c>
      <c r="AI165" s="226" t="e">
        <f aca="false">(((xSPRDOPT($L165,$J165,$I165,$M165,$O165,$N165,$P165,$Q165-$C$3,$R165,4)*$H165)/10000)/100)-AB165</f>
        <v>#NAME?</v>
      </c>
      <c r="AJ165" s="226"/>
      <c r="AK165" s="226"/>
      <c r="AL165" s="226"/>
      <c r="AM165" s="252"/>
      <c r="AN165" s="143" t="n">
        <f aca="false">EOMONTH(AN164,0)+1</f>
        <v>41548</v>
      </c>
      <c r="AO165" s="134" t="n">
        <f aca="false">SUMIF($X:$X,CONCATENATE($AN165,AO$6),$T:$T)/10000</f>
        <v>0</v>
      </c>
      <c r="AP165" s="134" t="n">
        <f aca="false">SUMIF($X:$X,CONCATENATE($AN165,AP$6),$T:$T)/10000</f>
        <v>0</v>
      </c>
      <c r="AQ165" s="134" t="n">
        <f aca="false">SUMIF($X:$X,CONCATENATE($AN165,AQ$6),$T:$T)/10000</f>
        <v>0</v>
      </c>
      <c r="AR165" s="134" t="n">
        <f aca="false">SUMIF($X:$X,CONCATENATE($AN165,AR$6),$T:$T)/10000</f>
        <v>0</v>
      </c>
      <c r="AS165" s="134" t="n">
        <f aca="false">SUMIF($X:$X,CONCATENATE($AN165,AS$6),$T:$T)/10000</f>
        <v>0</v>
      </c>
      <c r="AT165" s="134" t="n">
        <f aca="false">SUMIF($X:$X,CONCATENATE($AN165,AT$6),$T:$T)/10000</f>
        <v>0</v>
      </c>
      <c r="AU165" s="134" t="n">
        <f aca="false">SUMIF($X:$X,CONCATENATE($AN165,AU$6),$T:$T)/10000</f>
        <v>0</v>
      </c>
      <c r="AV165" s="134" t="n">
        <f aca="false">SUMIF($X:$X,CONCATENATE($AN165,AV$6),$T:$T)/10000</f>
        <v>0</v>
      </c>
      <c r="AW165" s="134" t="n">
        <f aca="false">SUMIF($X:$X,CONCATENATE($AN165,AW$6),$T:$T)/10000</f>
        <v>0</v>
      </c>
      <c r="AX165" s="134" t="n">
        <f aca="false">SUMIF($X:$X,CONCATENATE($AN165,AX$6),$T:$T)/10000</f>
        <v>0</v>
      </c>
      <c r="AY165" s="134" t="n">
        <f aca="false">SUMIF($X:$X,CONCATENATE($AN165,AY$6),$T:$T)/10000</f>
        <v>0</v>
      </c>
      <c r="AZ165" s="134" t="n">
        <f aca="false">SUMIF($X:$X,CONCATENATE($AN165,AZ$6),$T:$T)/10000</f>
        <v>0</v>
      </c>
      <c r="BA165" s="135" t="n">
        <f aca="false">SUMIF($X:$X,CONCATENATE($AN165,BA$6),$T:$T)/10000</f>
        <v>0</v>
      </c>
      <c r="BB165" s="143" t="n">
        <f aca="false">EOMONTH(BB164,0)+1</f>
        <v>41548</v>
      </c>
      <c r="BC165" s="135" t="n">
        <f aca="false">SUM(AO165:BA165)</f>
        <v>0</v>
      </c>
      <c r="BE165" s="143" t="n">
        <f aca="false">EOMONTH(BE164,0)+1</f>
        <v>41548</v>
      </c>
      <c r="BF165" s="134" t="n">
        <f aca="false">SUMIF($X:$X,CONCATENATE($AN165,BF$6),$W:$W)</f>
        <v>0</v>
      </c>
      <c r="BG165" s="134" t="n">
        <f aca="false">SUMIF($X:$X,CONCATENATE($AN165,BG$6),$W:$W)</f>
        <v>0</v>
      </c>
      <c r="BH165" s="134" t="n">
        <f aca="false">SUMIF($X:$X,CONCATENATE($AN165,BH$6),$W:$W)</f>
        <v>0</v>
      </c>
      <c r="BI165" s="134" t="n">
        <f aca="false">SUMIF($X:$X,CONCATENATE($AN165,BI$6),$W:$W)</f>
        <v>0</v>
      </c>
      <c r="BJ165" s="134" t="n">
        <f aca="false">SUMIF($X:$X,CONCATENATE($AN165,BJ$6),$W:$W)</f>
        <v>0</v>
      </c>
      <c r="BK165" s="134" t="n">
        <f aca="false">SUMIF($X:$X,CONCATENATE($AN165,BK$6),$W:$W)</f>
        <v>0</v>
      </c>
      <c r="BL165" s="134" t="n">
        <f aca="false">SUMIF($X:$X,CONCATENATE($AN165,BL$6),$W:$W)</f>
        <v>0</v>
      </c>
      <c r="BM165" s="134" t="n">
        <f aca="false">SUMIF($X:$X,CONCATENATE($AN165,BM$6),$W:$W)</f>
        <v>0</v>
      </c>
      <c r="BN165" s="134" t="n">
        <f aca="false">SUMIF($X:$X,CONCATENATE($AN165,BN$6),$W:$W)</f>
        <v>0</v>
      </c>
      <c r="BO165" s="134" t="n">
        <f aca="false">SUMIF($X:$X,CONCATENATE($AN165,BO$6),$W:$W)</f>
        <v>0</v>
      </c>
      <c r="BP165" s="134" t="n">
        <f aca="false">SUMIF($X:$X,CONCATENATE($AN165,BP$6),$W:$W)</f>
        <v>0</v>
      </c>
      <c r="BQ165" s="134" t="n">
        <f aca="false">SUMIF($X:$X,CONCATENATE($AN165,BQ$6),$W:$W)</f>
        <v>0</v>
      </c>
      <c r="BR165" s="135" t="n">
        <f aca="false">SUMIF($X:$X,CONCATENATE($AN165,BR$6),$W:$W)</f>
        <v>0</v>
      </c>
      <c r="BS165" s="143" t="n">
        <f aca="false">EOMONTH(BS164,0)+1</f>
        <v>41548</v>
      </c>
      <c r="BT165" s="135" t="n">
        <f aca="false">SUM(BF165:BR165)</f>
        <v>0</v>
      </c>
      <c r="CC165" s="182" t="n">
        <f aca="false">G165</f>
        <v>36892</v>
      </c>
      <c r="CD165" s="253" t="e">
        <f aca="false">xSPRDOPT((VLOOKUP(G165,NGPrices,2,FALSE())+HLOOKUP(D165,Prices,VLOOKUP(G165,move_down,2,FALSE()),FALSE())),VLOOKUP(G165,NGPrices,2,FALSE()),I165,VLOOKUP(G165,NGPREVPRICES,4,FALSE()),HLOOKUP(D165,PREVVOLS,VLOOKUP(G165,MOVE_DOWN2,2,FALSE()),FALSE()),VLOOKUP(G165,NGPREVPRICES,3,FALSE()),HLOOKUP(D165,Correllate,VLOOKUP(G165,CorMove,2,FALSE()),FALSE()),Q165-$CD$3,R165,$CD$5)*H165-CJ165</f>
        <v>#NAME?</v>
      </c>
      <c r="CE165" s="253" t="e">
        <f aca="false">xSPRDOPT((VLOOKUP(G165,NGPREVPRICES,2,FALSE())+HLOOKUP(D165,PREVCURVES,VLOOKUP(G165,MOVE_DOWN2,2,FALSE()),FALSE())),VLOOKUP(G165,NGPREVPRICES,2,FALSE()),CK165,VLOOKUP(G165,NGPrices,4,FALSE()),HLOOKUP(D165,PREVVOLS,VLOOKUP(G165,MOVE_DOWN2,2,FALSE()),FALSE()),VLOOKUP(G165,NGPREVPRICES,3,FALSE()),HLOOKUP(D165,Correllate,VLOOKUP(G165,CorMove,2,FALSE()),FALSE()),Q165-$CD$3,R165,$CJ$5)*H165-CJ165</f>
        <v>#NAME?</v>
      </c>
      <c r="CF165" s="132" t="e">
        <f aca="false">(CJ165/VLOOKUP(CC165,discount,3,FALSE()))-(CJ165/VLOOKUP(CC165,discount,2,FALSE()))</f>
        <v>#NAME?</v>
      </c>
      <c r="CG165" s="253" t="e">
        <f aca="false">xSPRDOPT((VLOOKUP(G165,NGPREVPRICES,2,FALSE())+HLOOKUP(D165,PREVCURVES,VLOOKUP(G165,MOVE_DOWN2,2,FALSE()),FALSE())),VLOOKUP(G165,NGPREVPRICES,2,FALSE()),CK165,VLOOKUP(G165,NGPREVPRICES,4,FALSE()),HLOOKUP(D165,VOLS,VLOOKUP(G165,move_down,2,FALSE()),FALSE()),VLOOKUP(G165,NGPrices,3,FALSE()),HLOOKUP(D165,Correllate,VLOOKUP(G165,CorMove,2,FALSE()),FALSE()),Q165-$CD$3,R165,$CJ$5)*H165-CJ165</f>
        <v>#NAME?</v>
      </c>
      <c r="CH165" s="253" t="e">
        <f aca="false">xSPRDOPT((VLOOKUP(G165,NGPREVPRICES,2,FALSE())+HLOOKUP(D165,PREVCURVES,VLOOKUP(G165,MOVE_DOWN2,2,FALSE()),FALSE())),VLOOKUP(G165,NGPREVPRICES,2,FALSE()),CK165,VLOOKUP(G165,NGPREVPRICES,4,FALSE()),HLOOKUP(D165,PREVVOLS,VLOOKUP(G165,MOVE_DOWN2,2,FALSE()),FALSE()),VLOOKUP(G165,NGPREVPRICES,3,FALSE()),HLOOKUP(D165,Correllate,VLOOKUP(G165,CorMove,2,FALSE()),FALSE()),Q165-$C$3,R165,$CJ$5)*H165-CJ165</f>
        <v>#NAME?</v>
      </c>
      <c r="CI165" s="253" t="e">
        <f aca="false">SUM(CD165:CH165)</f>
        <v>#NAME?</v>
      </c>
      <c r="CJ165" s="253" t="e">
        <f aca="false">xSPRDOPT((VLOOKUP(G165,NGPREVPRICES,2,FALSE())+HLOOKUP(D165,PREVCURVES,VLOOKUP(G165,MOVE_DOWN2,2,FALSE()),FALSE())),VLOOKUP(G165,NGPREVPRICES,2,FALSE()),CK165,VLOOKUP(G165,NGPREVPRICES,4,FALSE()),HLOOKUP(D165,PREVVOLS,VLOOKUP(G165,MOVE_DOWN2,2,FALSE()),FALSE()),VLOOKUP(G165,NGPREVPRICES,3,FALSE()),HLOOKUP(D165,Correllate,VLOOKUP(G165,CorMove,2,FALSE()),FALSE()),Q165-$CD$3,R165,$CJ$5)*H165</f>
        <v>#NAME?</v>
      </c>
      <c r="CK165" s="254" t="n">
        <f aca="false">I165</f>
        <v>1.15</v>
      </c>
      <c r="CL165" s="253"/>
      <c r="CM165" s="0" t="str">
        <f aca="false">CONCATENATE(CC165,$CD$6)</f>
        <v>36892Curve Shift/Gamma</v>
      </c>
      <c r="CN165" s="0" t="str">
        <f aca="false">CONCATENATE($CC165,$CE$6)</f>
        <v>36892Rho</v>
      </c>
      <c r="CO165" s="0" t="str">
        <f aca="false">CONCATENATE($CC165,$CF$6)</f>
        <v>36892Drift</v>
      </c>
      <c r="CP165" s="0" t="str">
        <f aca="false">CONCATENATE($CC165,$CG$6)</f>
        <v>36892Vega</v>
      </c>
      <c r="CQ165" s="0" t="str">
        <f aca="false">CONCATENATE($CC165,$CH$6)</f>
        <v>36892Theta</v>
      </c>
    </row>
    <row r="166" customFormat="false" ht="12" hidden="false" customHeight="true" outlineLevel="0" collapsed="false">
      <c r="A166" s="265" t="s">
        <v>198</v>
      </c>
      <c r="B166" s="0" t="s">
        <v>192</v>
      </c>
      <c r="C166" s="0" t="s">
        <v>254</v>
      </c>
      <c r="D166" s="7" t="s">
        <v>149</v>
      </c>
      <c r="E166" s="0" t="s">
        <v>131</v>
      </c>
      <c r="F166" s="0" t="s">
        <v>136</v>
      </c>
      <c r="G166" s="92" t="n">
        <v>36861</v>
      </c>
      <c r="H166" s="248" t="n">
        <v>-1000000</v>
      </c>
      <c r="I166" s="0" t="n">
        <v>1.15</v>
      </c>
      <c r="J166" s="124" t="n">
        <f aca="false">VLOOKUP(G166,NGPrices,2,FALSE())</f>
        <v>4.8</v>
      </c>
      <c r="K166" s="125" t="n">
        <f aca="false">HLOOKUP(D166,Prices,VLOOKUP(G166,move_down,2,FALSE()),FALSE())+VLOOKUP(G166,CHANGE,HLOOKUP(D166,CHANGE,2,FALSE()),FALSE())</f>
        <v>1.645</v>
      </c>
      <c r="L166" s="124" t="n">
        <f aca="false">K166+J166</f>
        <v>6.445</v>
      </c>
      <c r="M166" s="126" t="n">
        <f aca="false">VLOOKUP(G166,NGPrices,4,FALSE())</f>
        <v>0.068314027999354</v>
      </c>
      <c r="N166" s="7" t="n">
        <f aca="false">VLOOKUP(G166,NGPrices,3,FALSE())</f>
        <v>0.6</v>
      </c>
      <c r="O166" s="7" t="n">
        <f aca="false">HLOOKUP(D166,VOLS,VLOOKUP(G166,move_down,2,FALSE()),FALSE())</f>
        <v>0.69</v>
      </c>
      <c r="P166" s="249" t="n">
        <f aca="false">HLOOKUP(D166,Correllate,VLOOKUP(G166,CorMove,2,FALSE()),FALSE())</f>
        <v>0.83</v>
      </c>
      <c r="Q166" s="92" t="n">
        <f aca="false">WORKDAY(G166,-2)</f>
        <v>36859</v>
      </c>
      <c r="R166" s="7" t="n">
        <f aca="false">IF(F166="P",0,1)</f>
        <v>1</v>
      </c>
      <c r="S166" s="130" t="e">
        <f aca="false">xSPRDOPT($L166,$J166,$I166,$M166,$O166,$N166,$P166,$Q166-$C$3,$R166,0)</f>
        <v>#NAME?</v>
      </c>
      <c r="T166" s="250" t="e">
        <f aca="false">xSPRDOPT($L166,$J166,$I166,$M166,$O166,$N166,$P166,$Q166-$C$3,$R166,1)*H166</f>
        <v>#NAME?</v>
      </c>
      <c r="U166" s="43" t="e">
        <f aca="false">S166*H166</f>
        <v>#NAME?</v>
      </c>
      <c r="V166" s="250" t="e">
        <f aca="false">xSPRDOPT($L166,$J166,$I166,$M166,$O166,$N166,$P166,$Q166-$C$3,$R166,2)*H166</f>
        <v>#NAME?</v>
      </c>
      <c r="W166" s="250" t="e">
        <f aca="false">+V166+T166</f>
        <v>#NAME?</v>
      </c>
      <c r="X166" s="2" t="str">
        <f aca="false">CONCATENATE(G166,D166)</f>
        <v>36861IF-TRANSCO/Z6</v>
      </c>
      <c r="Y166" s="251" t="n">
        <f aca="false">H166/10000</f>
        <v>-100</v>
      </c>
      <c r="Z166" s="226" t="e">
        <f aca="false">T166/H166</f>
        <v>#NAME?</v>
      </c>
      <c r="AA166" s="226" t="e">
        <f aca="false">xSPRDOPT($L166,$J166,$I166,$M166,$O166,$N166,$P166,$Q166-$C$3,$R166,3)</f>
        <v>#NAME?</v>
      </c>
      <c r="AB166" s="226" t="e">
        <f aca="false">((xSPRDOPT($L166+AB$5,$J166,$I166,$M166,$O166,$N166,$P166,$Q166-$C$3,$R166,3)*$H166)/10000)/100</f>
        <v>#NAME?</v>
      </c>
      <c r="AC166" s="226" t="e">
        <f aca="false">((xSPRDOPT($L166+$AB$5,$J166,$I166,$M166,$O166,$N166,$P166,$Q166-$C$3,$R166,7)*$H166)/100)</f>
        <v>#NAME?</v>
      </c>
      <c r="AD166" s="226" t="e">
        <f aca="false">(xSPRDOPT($L166+$AB$5,$J166,$I166,$M166,$O166,$N166,$P166,$Q166-$C$3,$R166,9)/365)*$H166</f>
        <v>#NAME?</v>
      </c>
      <c r="AE166" s="0" t="e">
        <f aca="false">CD166</f>
        <v>#NAME?</v>
      </c>
      <c r="AF166" s="226" t="e">
        <f aca="false">((O166/N166)*AH166)+AG166</f>
        <v>#NAME?</v>
      </c>
      <c r="AG166" s="226" t="e">
        <f aca="false">((xSPRDOPT($L166,$J166,$I166,$M166,$O166,$N166,$P166,$Q166-$C$3,$R166,6)*$H166)/100)</f>
        <v>#NAME?</v>
      </c>
      <c r="AH166" s="226" t="e">
        <f aca="false">((xSPRDOPT($L166,$J166,$I166,$M166,$O166,$N166,$P166,$Q166-$C$3,$R166,5)*$H166)/100)</f>
        <v>#NAME?</v>
      </c>
      <c r="AI166" s="226" t="e">
        <f aca="false">(((xSPRDOPT($L166,$J166,$I166,$M166,$O166,$N166,$P166,$Q166-$C$3,$R166,4)*$H166)/10000)/100)-AB166</f>
        <v>#NAME?</v>
      </c>
      <c r="AJ166" s="226"/>
      <c r="AK166" s="226"/>
      <c r="AL166" s="226"/>
      <c r="AM166" s="252"/>
      <c r="AN166" s="143" t="n">
        <f aca="false">EOMONTH(AN165,0)+1</f>
        <v>41579</v>
      </c>
      <c r="AO166" s="134" t="n">
        <f aca="false">SUMIF($X:$X,CONCATENATE($AN166,AO$6),$T:$T)/10000</f>
        <v>0</v>
      </c>
      <c r="AP166" s="134" t="n">
        <f aca="false">SUMIF($X:$X,CONCATENATE($AN166,AP$6),$T:$T)/10000</f>
        <v>0</v>
      </c>
      <c r="AQ166" s="134" t="n">
        <f aca="false">SUMIF($X:$X,CONCATENATE($AN166,AQ$6),$T:$T)/10000</f>
        <v>0</v>
      </c>
      <c r="AR166" s="134" t="n">
        <f aca="false">SUMIF($X:$X,CONCATENATE($AN166,AR$6),$T:$T)/10000</f>
        <v>0</v>
      </c>
      <c r="AS166" s="134" t="n">
        <f aca="false">SUMIF($X:$X,CONCATENATE($AN166,AS$6),$T:$T)/10000</f>
        <v>0</v>
      </c>
      <c r="AT166" s="134" t="n">
        <f aca="false">SUMIF($X:$X,CONCATENATE($AN166,AT$6),$T:$T)/10000</f>
        <v>0</v>
      </c>
      <c r="AU166" s="134" t="n">
        <f aca="false">SUMIF($X:$X,CONCATENATE($AN166,AU$6),$T:$T)/10000</f>
        <v>0</v>
      </c>
      <c r="AV166" s="134" t="n">
        <f aca="false">SUMIF($X:$X,CONCATENATE($AN166,AV$6),$T:$T)/10000</f>
        <v>0</v>
      </c>
      <c r="AW166" s="134" t="n">
        <f aca="false">SUMIF($X:$X,CONCATENATE($AN166,AW$6),$T:$T)/10000</f>
        <v>0</v>
      </c>
      <c r="AX166" s="134" t="n">
        <f aca="false">SUMIF($X:$X,CONCATENATE($AN166,AX$6),$T:$T)/10000</f>
        <v>0</v>
      </c>
      <c r="AY166" s="134" t="n">
        <f aca="false">SUMIF($X:$X,CONCATENATE($AN166,AY$6),$T:$T)/10000</f>
        <v>0</v>
      </c>
      <c r="AZ166" s="134" t="n">
        <f aca="false">SUMIF($X:$X,CONCATENATE($AN166,AZ$6),$T:$T)/10000</f>
        <v>0</v>
      </c>
      <c r="BA166" s="135" t="n">
        <f aca="false">SUMIF($X:$X,CONCATENATE($AN166,BA$6),$T:$T)/10000</f>
        <v>0</v>
      </c>
      <c r="BB166" s="143" t="n">
        <f aca="false">EOMONTH(BB165,0)+1</f>
        <v>41579</v>
      </c>
      <c r="BC166" s="135" t="n">
        <f aca="false">SUM(AO166:BA166)</f>
        <v>0</v>
      </c>
      <c r="BE166" s="143" t="n">
        <f aca="false">EOMONTH(BE165,0)+1</f>
        <v>41579</v>
      </c>
      <c r="BF166" s="134" t="n">
        <f aca="false">SUMIF($X:$X,CONCATENATE($AN166,BF$6),$W:$W)</f>
        <v>0</v>
      </c>
      <c r="BG166" s="134" t="n">
        <f aca="false">SUMIF($X:$X,CONCATENATE($AN166,BG$6),$W:$W)</f>
        <v>0</v>
      </c>
      <c r="BH166" s="134" t="n">
        <f aca="false">SUMIF($X:$X,CONCATENATE($AN166,BH$6),$W:$W)</f>
        <v>0</v>
      </c>
      <c r="BI166" s="134" t="n">
        <f aca="false">SUMIF($X:$X,CONCATENATE($AN166,BI$6),$W:$W)</f>
        <v>0</v>
      </c>
      <c r="BJ166" s="134" t="n">
        <f aca="false">SUMIF($X:$X,CONCATENATE($AN166,BJ$6),$W:$W)</f>
        <v>0</v>
      </c>
      <c r="BK166" s="134" t="n">
        <f aca="false">SUMIF($X:$X,CONCATENATE($AN166,BK$6),$W:$W)</f>
        <v>0</v>
      </c>
      <c r="BL166" s="134" t="n">
        <f aca="false">SUMIF($X:$X,CONCATENATE($AN166,BL$6),$W:$W)</f>
        <v>0</v>
      </c>
      <c r="BM166" s="134" t="n">
        <f aca="false">SUMIF($X:$X,CONCATENATE($AN166,BM$6),$W:$W)</f>
        <v>0</v>
      </c>
      <c r="BN166" s="134" t="n">
        <f aca="false">SUMIF($X:$X,CONCATENATE($AN166,BN$6),$W:$W)</f>
        <v>0</v>
      </c>
      <c r="BO166" s="134" t="n">
        <f aca="false">SUMIF($X:$X,CONCATENATE($AN166,BO$6),$W:$W)</f>
        <v>0</v>
      </c>
      <c r="BP166" s="134" t="n">
        <f aca="false">SUMIF($X:$X,CONCATENATE($AN166,BP$6),$W:$W)</f>
        <v>0</v>
      </c>
      <c r="BQ166" s="134" t="n">
        <f aca="false">SUMIF($X:$X,CONCATENATE($AN166,BQ$6),$W:$W)</f>
        <v>0</v>
      </c>
      <c r="BR166" s="135" t="n">
        <f aca="false">SUMIF($X:$X,CONCATENATE($AN166,BR$6),$W:$W)</f>
        <v>0</v>
      </c>
      <c r="BS166" s="143" t="n">
        <f aca="false">EOMONTH(BS165,0)+1</f>
        <v>41579</v>
      </c>
      <c r="BT166" s="135" t="n">
        <f aca="false">SUM(BF166:BR166)</f>
        <v>0</v>
      </c>
      <c r="CC166" s="182" t="n">
        <f aca="false">G166</f>
        <v>36861</v>
      </c>
      <c r="CD166" s="253" t="e">
        <f aca="false">xSPRDOPT((VLOOKUP(G166,NGPrices,2,FALSE())+HLOOKUP(D166,Prices,VLOOKUP(G166,move_down,2,FALSE()),FALSE())),VLOOKUP(G166,NGPrices,2,FALSE()),I166,VLOOKUP(G166,NGPREVPRICES,4,FALSE()),HLOOKUP(D166,PREVVOLS,VLOOKUP(G166,MOVE_DOWN2,2,FALSE()),FALSE()),VLOOKUP(G166,NGPREVPRICES,3,FALSE()),HLOOKUP(D166,Correllate,VLOOKUP(G166,CorMove,2,FALSE()),FALSE()),Q166-$CD$3,R166,$CD$5)*H166-CJ166</f>
        <v>#NAME?</v>
      </c>
      <c r="CE166" s="253" t="e">
        <f aca="false">xSPRDOPT((VLOOKUP(G166,NGPREVPRICES,2,FALSE())+HLOOKUP(D166,PREVCURVES,VLOOKUP(G166,MOVE_DOWN2,2,FALSE()),FALSE())),VLOOKUP(G166,NGPREVPRICES,2,FALSE()),CK166,VLOOKUP(G166,NGPrices,4,FALSE()),HLOOKUP(D166,PREVVOLS,VLOOKUP(G166,MOVE_DOWN2,2,FALSE()),FALSE()),VLOOKUP(G166,NGPREVPRICES,3,FALSE()),HLOOKUP(D166,Correllate,VLOOKUP(G166,CorMove,2,FALSE()),FALSE()),Q166-$CD$3,R166,$CJ$5)*H166-CJ166</f>
        <v>#NAME?</v>
      </c>
      <c r="CF166" s="132" t="e">
        <f aca="false">(CJ166/VLOOKUP(CC166,discount,3,FALSE()))-(CJ166/VLOOKUP(CC166,discount,2,FALSE()))</f>
        <v>#NAME?</v>
      </c>
      <c r="CG166" s="253" t="e">
        <f aca="false">xSPRDOPT((VLOOKUP(G166,NGPREVPRICES,2,FALSE())+HLOOKUP(D166,PREVCURVES,VLOOKUP(G166,MOVE_DOWN2,2,FALSE()),FALSE())),VLOOKUP(G166,NGPREVPRICES,2,FALSE()),CK166,VLOOKUP(G166,NGPREVPRICES,4,FALSE()),HLOOKUP(D166,VOLS,VLOOKUP(G166,move_down,2,FALSE()),FALSE()),VLOOKUP(G166,NGPrices,3,FALSE()),HLOOKUP(D166,Correllate,VLOOKUP(G166,CorMove,2,FALSE()),FALSE()),Q166-$CD$3,R166,$CJ$5)*H166-CJ166</f>
        <v>#NAME?</v>
      </c>
      <c r="CH166" s="253" t="e">
        <f aca="false">xSPRDOPT((VLOOKUP(G166,NGPREVPRICES,2,FALSE())+HLOOKUP(D166,PREVCURVES,VLOOKUP(G166,MOVE_DOWN2,2,FALSE()),FALSE())),VLOOKUP(G166,NGPREVPRICES,2,FALSE()),CK166,VLOOKUP(G166,NGPREVPRICES,4,FALSE()),HLOOKUP(D166,PREVVOLS,VLOOKUP(G166,MOVE_DOWN2,2,FALSE()),FALSE()),VLOOKUP(G166,NGPREVPRICES,3,FALSE()),HLOOKUP(D166,Correllate,VLOOKUP(G166,CorMove,2,FALSE()),FALSE()),Q166-$C$3,R166,$CJ$5)*H166-CJ166</f>
        <v>#NAME?</v>
      </c>
      <c r="CI166" s="253" t="e">
        <f aca="false">SUM(CD166:CH166)</f>
        <v>#NAME?</v>
      </c>
      <c r="CJ166" s="253" t="e">
        <f aca="false">xSPRDOPT((VLOOKUP(G166,NGPREVPRICES,2,FALSE())+HLOOKUP(D166,PREVCURVES,VLOOKUP(G166,MOVE_DOWN2,2,FALSE()),FALSE())),VLOOKUP(G166,NGPREVPRICES,2,FALSE()),CK166,VLOOKUP(G166,NGPREVPRICES,4,FALSE()),HLOOKUP(D166,PREVVOLS,VLOOKUP(G166,MOVE_DOWN2,2,FALSE()),FALSE()),VLOOKUP(G166,NGPREVPRICES,3,FALSE()),HLOOKUP(D166,Correllate,VLOOKUP(G166,CorMove,2,FALSE()),FALSE()),Q166-$CD$3,R166,$CJ$5)*H166</f>
        <v>#NAME?</v>
      </c>
      <c r="CK166" s="254" t="n">
        <f aca="false">I166</f>
        <v>1.15</v>
      </c>
      <c r="CL166" s="253"/>
      <c r="CM166" s="0" t="str">
        <f aca="false">CONCATENATE(CC166,$CD$6)</f>
        <v>36861Curve Shift/Gamma</v>
      </c>
      <c r="CN166" s="0" t="str">
        <f aca="false">CONCATENATE($CC166,$CE$6)</f>
        <v>36861Rho</v>
      </c>
      <c r="CO166" s="0" t="str">
        <f aca="false">CONCATENATE($CC166,$CF$6)</f>
        <v>36861Drift</v>
      </c>
      <c r="CP166" s="0" t="str">
        <f aca="false">CONCATENATE($CC166,$CG$6)</f>
        <v>36861Vega</v>
      </c>
      <c r="CQ166" s="0" t="str">
        <f aca="false">CONCATENATE($CC166,$CH$6)</f>
        <v>36861Theta</v>
      </c>
    </row>
    <row r="167" customFormat="false" ht="12" hidden="false" customHeight="true" outlineLevel="0" collapsed="false">
      <c r="A167" s="265" t="s">
        <v>198</v>
      </c>
      <c r="B167" s="0" t="s">
        <v>192</v>
      </c>
      <c r="C167" s="0" t="s">
        <v>254</v>
      </c>
      <c r="D167" s="7" t="s">
        <v>149</v>
      </c>
      <c r="E167" s="0" t="s">
        <v>131</v>
      </c>
      <c r="F167" s="0" t="s">
        <v>136</v>
      </c>
      <c r="G167" s="92" t="n">
        <v>36831</v>
      </c>
      <c r="H167" s="248" t="n">
        <v>-1000000</v>
      </c>
      <c r="I167" s="0" t="n">
        <v>1.15</v>
      </c>
      <c r="J167" s="124" t="n">
        <f aca="false">VLOOKUP(G167,NGPrices,2,FALSE())</f>
        <v>4.736</v>
      </c>
      <c r="K167" s="125" t="n">
        <f aca="false">HLOOKUP(D167,Prices,VLOOKUP(G167,move_down,2,FALSE()),FALSE())+VLOOKUP(G167,CHANGE,HLOOKUP(D167,CHANGE,2,FALSE()),FALSE())</f>
        <v>0.77</v>
      </c>
      <c r="L167" s="124" t="n">
        <f aca="false">K167+J167</f>
        <v>5.506</v>
      </c>
      <c r="M167" s="126" t="n">
        <f aca="false">VLOOKUP(G167,NGPrices,4,FALSE())</f>
        <v>0.06810675983792</v>
      </c>
      <c r="N167" s="7" t="n">
        <f aca="false">VLOOKUP(G167,NGPrices,3,FALSE())</f>
        <v>0.595</v>
      </c>
      <c r="O167" s="7" t="n">
        <f aca="false">HLOOKUP(D167,VOLS,VLOOKUP(G167,move_down,2,FALSE()),FALSE())</f>
        <v>0.625</v>
      </c>
      <c r="P167" s="249" t="n">
        <f aca="false">HLOOKUP(D167,Correllate,VLOOKUP(G167,CorMove,2,FALSE()),FALSE())</f>
        <v>0.89</v>
      </c>
      <c r="Q167" s="92" t="n">
        <f aca="false">WORKDAY(G167,-2)</f>
        <v>36829</v>
      </c>
      <c r="R167" s="7" t="n">
        <f aca="false">IF(F167="P",0,1)</f>
        <v>1</v>
      </c>
      <c r="S167" s="130" t="e">
        <f aca="false">xSPRDOPT($L167,$J167,$I167,$M167,$O167,$N167,$P167,$Q167-$C$3,$R167,0)</f>
        <v>#NAME?</v>
      </c>
      <c r="T167" s="250" t="e">
        <f aca="false">xSPRDOPT($L167,$J167,$I167,$M167,$O167,$N167,$P167,$Q167-$C$3,$R167,1)*H167</f>
        <v>#NAME?</v>
      </c>
      <c r="U167" s="43" t="e">
        <f aca="false">S167*H167</f>
        <v>#NAME?</v>
      </c>
      <c r="V167" s="250" t="e">
        <f aca="false">xSPRDOPT($L167,$J167,$I167,$M167,$O167,$N167,$P167,$Q167-$C$3,$R167,2)*H167</f>
        <v>#NAME?</v>
      </c>
      <c r="W167" s="250" t="e">
        <f aca="false">+V167+T167</f>
        <v>#NAME?</v>
      </c>
      <c r="X167" s="2" t="str">
        <f aca="false">CONCATENATE(G167,D167)</f>
        <v>36831IF-TRANSCO/Z6</v>
      </c>
      <c r="Y167" s="251" t="n">
        <f aca="false">H167/10000</f>
        <v>-100</v>
      </c>
      <c r="Z167" s="226" t="e">
        <f aca="false">T167/H167</f>
        <v>#NAME?</v>
      </c>
      <c r="AA167" s="226" t="e">
        <f aca="false">xSPRDOPT($L167,$J167,$I167,$M167,$O167,$N167,$P167,$Q167-$C$3,$R167,3)</f>
        <v>#NAME?</v>
      </c>
      <c r="AB167" s="226" t="e">
        <f aca="false">((xSPRDOPT($L167+AB$5,$J167,$I167,$M167,$O167,$N167,$P167,$Q167-$C$3,$R167,3)*$H167)/10000)/100</f>
        <v>#NAME?</v>
      </c>
      <c r="AC167" s="226" t="e">
        <f aca="false">((xSPRDOPT($L167+$AB$5,$J167,$I167,$M167,$O167,$N167,$P167,$Q167-$C$3,$R167,7)*$H167)/100)</f>
        <v>#NAME?</v>
      </c>
      <c r="AD167" s="226" t="e">
        <f aca="false">(xSPRDOPT($L167+$AB$5,$J167,$I167,$M167,$O167,$N167,$P167,$Q167-$C$3,$R167,9)/365)*$H167</f>
        <v>#NAME?</v>
      </c>
      <c r="AE167" s="0" t="e">
        <f aca="false">CD167</f>
        <v>#NAME?</v>
      </c>
      <c r="AF167" s="226" t="e">
        <f aca="false">((O167/N167)*AH167)+AG167</f>
        <v>#NAME?</v>
      </c>
      <c r="AG167" s="226" t="e">
        <f aca="false">((xSPRDOPT($L167,$J167,$I167,$M167,$O167,$N167,$P167,$Q167-$C$3,$R167,6)*$H167)/100)</f>
        <v>#NAME?</v>
      </c>
      <c r="AH167" s="226" t="e">
        <f aca="false">((xSPRDOPT($L167,$J167,$I167,$M167,$O167,$N167,$P167,$Q167-$C$3,$R167,5)*$H167)/100)</f>
        <v>#NAME?</v>
      </c>
      <c r="AI167" s="226" t="e">
        <f aca="false">(((xSPRDOPT($L167,$J167,$I167,$M167,$O167,$N167,$P167,$Q167-$C$3,$R167,4)*$H167)/10000)/100)-AB167</f>
        <v>#NAME?</v>
      </c>
      <c r="AJ167" s="226"/>
      <c r="AK167" s="226"/>
      <c r="AL167" s="226"/>
      <c r="AM167" s="252"/>
      <c r="AN167" s="163" t="n">
        <f aca="false">EOMONTH(AN166,0)+1</f>
        <v>41609</v>
      </c>
      <c r="AO167" s="134" t="n">
        <f aca="false">SUMIF($X:$X,CONCATENATE($AN167,AO$6),$T:$T)/10000</f>
        <v>0</v>
      </c>
      <c r="AP167" s="134" t="n">
        <f aca="false">SUMIF($X:$X,CONCATENATE($AN167,AP$6),$T:$T)/10000</f>
        <v>0</v>
      </c>
      <c r="AQ167" s="134" t="n">
        <f aca="false">SUMIF($X:$X,CONCATENATE($AN167,AQ$6),$T:$T)/10000</f>
        <v>0</v>
      </c>
      <c r="AR167" s="134" t="n">
        <f aca="false">SUMIF($X:$X,CONCATENATE($AN167,AR$6),$T:$T)/10000</f>
        <v>0</v>
      </c>
      <c r="AS167" s="134" t="n">
        <f aca="false">SUMIF($X:$X,CONCATENATE($AN167,AS$6),$T:$T)/10000</f>
        <v>0</v>
      </c>
      <c r="AT167" s="134" t="n">
        <f aca="false">SUMIF($X:$X,CONCATENATE($AN167,AT$6),$T:$T)/10000</f>
        <v>0</v>
      </c>
      <c r="AU167" s="134" t="n">
        <f aca="false">SUMIF($X:$X,CONCATENATE($AN167,AU$6),$T:$T)/10000</f>
        <v>0</v>
      </c>
      <c r="AV167" s="134" t="n">
        <f aca="false">SUMIF($X:$X,CONCATENATE($AN167,AV$6),$T:$T)/10000</f>
        <v>0</v>
      </c>
      <c r="AW167" s="134" t="n">
        <f aca="false">SUMIF($X:$X,CONCATENATE($AN167,AW$6),$T:$T)/10000</f>
        <v>0</v>
      </c>
      <c r="AX167" s="134" t="n">
        <f aca="false">SUMIF($X:$X,CONCATENATE($AN167,AX$6),$T:$T)/10000</f>
        <v>0</v>
      </c>
      <c r="AY167" s="134" t="n">
        <f aca="false">SUMIF($X:$X,CONCATENATE($AN167,AY$6),$T:$T)/10000</f>
        <v>0</v>
      </c>
      <c r="AZ167" s="134" t="n">
        <f aca="false">SUMIF($X:$X,CONCATENATE($AN167,AZ$6),$T:$T)/10000</f>
        <v>0</v>
      </c>
      <c r="BA167" s="135" t="n">
        <f aca="false">SUMIF($X:$X,CONCATENATE($AN167,BA$6),$T:$T)/10000</f>
        <v>0</v>
      </c>
      <c r="BB167" s="163" t="n">
        <f aca="false">EOMONTH(BB166,0)+1</f>
        <v>41609</v>
      </c>
      <c r="BC167" s="135" t="n">
        <f aca="false">SUM(AO167:BA167)</f>
        <v>0</v>
      </c>
      <c r="BE167" s="163" t="n">
        <f aca="false">EOMONTH(BE166,0)+1</f>
        <v>41609</v>
      </c>
      <c r="BF167" s="164" t="n">
        <f aca="false">SUMIF($X:$X,CONCATENATE($AN167,BF$6),$W:$W)</f>
        <v>0</v>
      </c>
      <c r="BG167" s="164" t="n">
        <f aca="false">SUMIF($X:$X,CONCATENATE($AN167,BG$6),$W:$W)</f>
        <v>0</v>
      </c>
      <c r="BH167" s="164" t="n">
        <f aca="false">SUMIF($X:$X,CONCATENATE($AN167,BH$6),$W:$W)</f>
        <v>0</v>
      </c>
      <c r="BI167" s="164" t="n">
        <f aca="false">SUMIF($X:$X,CONCATENATE($AN167,BI$6),$W:$W)</f>
        <v>0</v>
      </c>
      <c r="BJ167" s="164" t="n">
        <f aca="false">SUMIF($X:$X,CONCATENATE($AN167,BJ$6),$W:$W)</f>
        <v>0</v>
      </c>
      <c r="BK167" s="164" t="n">
        <f aca="false">SUMIF($X:$X,CONCATENATE($AN167,BK$6),$W:$W)</f>
        <v>0</v>
      </c>
      <c r="BL167" s="164" t="n">
        <f aca="false">SUMIF($X:$X,CONCATENATE($AN167,BL$6),$W:$W)</f>
        <v>0</v>
      </c>
      <c r="BM167" s="134" t="n">
        <f aca="false">SUMIF($X:$X,CONCATENATE($AN167,BM$6),$W:$W)</f>
        <v>0</v>
      </c>
      <c r="BN167" s="134" t="n">
        <f aca="false">SUMIF($X:$X,CONCATENATE($AN167,BN$6),$W:$W)</f>
        <v>0</v>
      </c>
      <c r="BO167" s="134" t="n">
        <f aca="false">SUMIF($X:$X,CONCATENATE($AN167,BO$6),$W:$W)</f>
        <v>0</v>
      </c>
      <c r="BP167" s="134" t="n">
        <f aca="false">SUMIF($X:$X,CONCATENATE($AN167,BP$6),$W:$W)</f>
        <v>0</v>
      </c>
      <c r="BQ167" s="134" t="n">
        <f aca="false">SUMIF($X:$X,CONCATENATE($AN167,BQ$6),$W:$W)</f>
        <v>0</v>
      </c>
      <c r="BR167" s="135" t="n">
        <f aca="false">SUMIF($X:$X,CONCATENATE($AN167,BR$6),$W:$W)</f>
        <v>0</v>
      </c>
      <c r="BS167" s="163" t="n">
        <f aca="false">EOMONTH(BS166,0)+1</f>
        <v>41609</v>
      </c>
      <c r="BT167" s="135" t="n">
        <f aca="false">SUM(BF167:BR167)</f>
        <v>0</v>
      </c>
      <c r="CC167" s="182" t="n">
        <f aca="false">G167</f>
        <v>36831</v>
      </c>
      <c r="CD167" s="253" t="e">
        <f aca="false">xSPRDOPT((VLOOKUP(G167,NGPrices,2,FALSE())+HLOOKUP(D167,Prices,VLOOKUP(G167,move_down,2,FALSE()),FALSE())),VLOOKUP(G167,NGPrices,2,FALSE()),I167,VLOOKUP(G167,NGPREVPRICES,4,FALSE()),HLOOKUP(D167,PREVVOLS,VLOOKUP(G167,MOVE_DOWN2,2,FALSE()),FALSE()),VLOOKUP(G167,NGPREVPRICES,3,FALSE()),HLOOKUP(D167,Correllate,VLOOKUP(G167,CorMove,2,FALSE()),FALSE()),Q167-$CD$3,R167,$CD$5)*H167-CJ167</f>
        <v>#NAME?</v>
      </c>
      <c r="CE167" s="253" t="e">
        <f aca="false">xSPRDOPT((VLOOKUP(G167,NGPREVPRICES,2,FALSE())+HLOOKUP(D167,PREVCURVES,VLOOKUP(G167,MOVE_DOWN2,2,FALSE()),FALSE())),VLOOKUP(G167,NGPREVPRICES,2,FALSE()),CK167,VLOOKUP(G167,NGPrices,4,FALSE()),HLOOKUP(D167,PREVVOLS,VLOOKUP(G167,MOVE_DOWN2,2,FALSE()),FALSE()),VLOOKUP(G167,NGPREVPRICES,3,FALSE()),HLOOKUP(D167,Correllate,VLOOKUP(G167,CorMove,2,FALSE()),FALSE()),Q167-$CD$3,R167,$CJ$5)*H167-CJ167</f>
        <v>#NAME?</v>
      </c>
      <c r="CF167" s="132" t="e">
        <f aca="false">(CJ167/VLOOKUP(CC167,discount,3,FALSE()))-(CJ167/VLOOKUP(CC167,discount,2,FALSE()))</f>
        <v>#NAME?</v>
      </c>
      <c r="CG167" s="253" t="e">
        <f aca="false">xSPRDOPT((VLOOKUP(G167,NGPREVPRICES,2,FALSE())+HLOOKUP(D167,PREVCURVES,VLOOKUP(G167,MOVE_DOWN2,2,FALSE()),FALSE())),VLOOKUP(G167,NGPREVPRICES,2,FALSE()),CK167,VLOOKUP(G167,NGPREVPRICES,4,FALSE()),HLOOKUP(D167,VOLS,VLOOKUP(G167,move_down,2,FALSE()),FALSE()),VLOOKUP(G167,NGPrices,3,FALSE()),HLOOKUP(D167,Correllate,VLOOKUP(G167,CorMove,2,FALSE()),FALSE()),Q167-$CD$3,R167,$CJ$5)*H167-CJ167</f>
        <v>#NAME?</v>
      </c>
      <c r="CH167" s="253" t="e">
        <f aca="false">xSPRDOPT((VLOOKUP(G167,NGPREVPRICES,2,FALSE())+HLOOKUP(D167,PREVCURVES,VLOOKUP(G167,MOVE_DOWN2,2,FALSE()),FALSE())),VLOOKUP(G167,NGPREVPRICES,2,FALSE()),CK167,VLOOKUP(G167,NGPREVPRICES,4,FALSE()),HLOOKUP(D167,PREVVOLS,VLOOKUP(G167,MOVE_DOWN2,2,FALSE()),FALSE()),VLOOKUP(G167,NGPREVPRICES,3,FALSE()),HLOOKUP(D167,Correllate,VLOOKUP(G167,CorMove,2,FALSE()),FALSE()),Q167-$C$3,R167,$CJ$5)*H167-CJ167</f>
        <v>#NAME?</v>
      </c>
      <c r="CI167" s="253" t="e">
        <f aca="false">SUM(CD167:CH167)</f>
        <v>#NAME?</v>
      </c>
      <c r="CJ167" s="253" t="e">
        <f aca="false">xSPRDOPT((VLOOKUP(G167,NGPREVPRICES,2,FALSE())+HLOOKUP(D167,PREVCURVES,VLOOKUP(G167,MOVE_DOWN2,2,FALSE()),FALSE())),VLOOKUP(G167,NGPREVPRICES,2,FALSE()),CK167,VLOOKUP(G167,NGPREVPRICES,4,FALSE()),HLOOKUP(D167,PREVVOLS,VLOOKUP(G167,MOVE_DOWN2,2,FALSE()),FALSE()),VLOOKUP(G167,NGPREVPRICES,3,FALSE()),HLOOKUP(D167,Correllate,VLOOKUP(G167,CorMove,2,FALSE()),FALSE()),Q167-$CD$3,R167,$CJ$5)*H167</f>
        <v>#NAME?</v>
      </c>
      <c r="CK167" s="254" t="n">
        <f aca="false">I167</f>
        <v>1.15</v>
      </c>
      <c r="CL167" s="253"/>
      <c r="CM167" s="0" t="str">
        <f aca="false">CONCATENATE(CC167,$CD$6)</f>
        <v>36831Curve Shift/Gamma</v>
      </c>
      <c r="CN167" s="0" t="str">
        <f aca="false">CONCATENATE($CC167,$CE$6)</f>
        <v>36831Rho</v>
      </c>
      <c r="CO167" s="0" t="str">
        <f aca="false">CONCATENATE($CC167,$CF$6)</f>
        <v>36831Drift</v>
      </c>
      <c r="CP167" s="0" t="str">
        <f aca="false">CONCATENATE($CC167,$CG$6)</f>
        <v>36831Vega</v>
      </c>
      <c r="CQ167" s="0" t="str">
        <f aca="false">CONCATENATE($CC167,$CH$6)</f>
        <v>36831Theta</v>
      </c>
    </row>
    <row r="168" customFormat="false" ht="12" hidden="false" customHeight="true" outlineLevel="0" collapsed="false">
      <c r="A168" s="265" t="s">
        <v>255</v>
      </c>
      <c r="B168" s="0" t="s">
        <v>192</v>
      </c>
      <c r="C168" s="0" t="s">
        <v>256</v>
      </c>
      <c r="D168" s="7" t="s">
        <v>149</v>
      </c>
      <c r="E168" s="0" t="s">
        <v>131</v>
      </c>
      <c r="F168" s="0" t="s">
        <v>136</v>
      </c>
      <c r="G168" s="92" t="n">
        <v>36800</v>
      </c>
      <c r="H168" s="248" t="n">
        <v>-1000000</v>
      </c>
      <c r="I168" s="0" t="n">
        <v>0.32</v>
      </c>
      <c r="J168" s="124" t="n">
        <f aca="false">VLOOKUP(G168,NGPrices,2,FALSE())</f>
        <v>4.692</v>
      </c>
      <c r="K168" s="125" t="n">
        <f aca="false">HLOOKUP(D168,Prices,VLOOKUP(G168,move_down,2,FALSE()),FALSE())+VLOOKUP(G168,CHANGE,HLOOKUP(D168,CHANGE,2,FALSE()),FALSE())</f>
        <v>0.415</v>
      </c>
      <c r="L168" s="124" t="n">
        <f aca="false">K168+J168</f>
        <v>5.107</v>
      </c>
      <c r="M168" s="126" t="n">
        <f aca="false">VLOOKUP(G168,NGPrices,4,FALSE())</f>
        <v>0.068050789414654</v>
      </c>
      <c r="N168" s="7" t="n">
        <f aca="false">VLOOKUP(G168,NGPrices,3,FALSE())</f>
        <v>0.575</v>
      </c>
      <c r="O168" s="7" t="n">
        <f aca="false">HLOOKUP(D168,VOLS,VLOOKUP(G168,move_down,2,FALSE()),FALSE())</f>
        <v>0.564</v>
      </c>
      <c r="P168" s="249" t="n">
        <f aca="false">HLOOKUP(D168,Correllate,VLOOKUP(G168,CorMove,2,FALSE()),FALSE())</f>
        <v>0.9925</v>
      </c>
      <c r="Q168" s="92" t="n">
        <f aca="false">WORKDAY(G168,-2)</f>
        <v>36797</v>
      </c>
      <c r="R168" s="7" t="n">
        <f aca="false">IF(F168="P",0,1)</f>
        <v>1</v>
      </c>
      <c r="S168" s="130" t="e">
        <f aca="false">xSPRDOPT($L168,$J168,$I168,$M168,$O168,$N168,$P168,$Q168-$C$3,$R168,0)</f>
        <v>#NAME?</v>
      </c>
      <c r="T168" s="250" t="e">
        <f aca="false">xSPRDOPT($L168,$J168,$I168,$M168,$O168,$N168,$P168,$Q168-$C$3,$R168,1)*H168</f>
        <v>#NAME?</v>
      </c>
      <c r="U168" s="43" t="e">
        <f aca="false">S168*H168</f>
        <v>#NAME?</v>
      </c>
      <c r="V168" s="250" t="e">
        <f aca="false">xSPRDOPT($L168,$J168,$I168,$M168,$O168,$N168,$P168,$Q168-$C$3,$R168,2)*H168</f>
        <v>#NAME?</v>
      </c>
      <c r="W168" s="250" t="e">
        <f aca="false">+V168+T168</f>
        <v>#NAME?</v>
      </c>
      <c r="X168" s="2" t="str">
        <f aca="false">CONCATENATE(G168,D168)</f>
        <v>36800IF-TRANSCO/Z6</v>
      </c>
      <c r="Y168" s="251" t="n">
        <f aca="false">H168/10000</f>
        <v>-100</v>
      </c>
      <c r="Z168" s="226" t="e">
        <f aca="false">T168/H168</f>
        <v>#NAME?</v>
      </c>
      <c r="AA168" s="226" t="e">
        <f aca="false">xSPRDOPT($L168,$J168,$I168,$M168,$O168,$N168,$P168,$Q168-$C$3,$R168,3)</f>
        <v>#NAME?</v>
      </c>
      <c r="AB168" s="226" t="e">
        <f aca="false">((xSPRDOPT($L168+AB$5,$J168,$I168,$M168,$O168,$N168,$P168,$Q168-$C$3,$R168,3)*$H168)/10000)/100</f>
        <v>#NAME?</v>
      </c>
      <c r="AC168" s="226" t="e">
        <f aca="false">((xSPRDOPT($L168+$AB$5,$J168,$I168,$M168,$O168,$N168,$P168,$Q168-$C$3,$R168,7)*$H168)/100)</f>
        <v>#NAME?</v>
      </c>
      <c r="AD168" s="226" t="e">
        <f aca="false">(xSPRDOPT($L168+$AB$5,$J168,$I168,$M168,$O168,$N168,$P168,$Q168-$C$3,$R168,9)/365)*$H168</f>
        <v>#NAME?</v>
      </c>
      <c r="AE168" s="0" t="e">
        <f aca="false">CD168</f>
        <v>#NAME?</v>
      </c>
      <c r="AF168" s="226" t="e">
        <f aca="false">((O168/N168)*AH168)+AG168</f>
        <v>#NAME?</v>
      </c>
      <c r="AG168" s="226" t="e">
        <f aca="false">((xSPRDOPT($L168,$J168,$I168,$M168,$O168,$N168,$P168,$Q168-$C$3,$R168,6)*$H168)/100)</f>
        <v>#NAME?</v>
      </c>
      <c r="AH168" s="226" t="e">
        <f aca="false">((xSPRDOPT($L168,$J168,$I168,$M168,$O168,$N168,$P168,$Q168-$C$3,$R168,5)*$H168)/100)</f>
        <v>#NAME?</v>
      </c>
      <c r="AI168" s="226" t="e">
        <f aca="false">(((xSPRDOPT($L168,$J168,$I168,$M168,$O168,$N168,$P168,$Q168-$C$3,$R168,4)*$H168)/10000)/100)-AB168</f>
        <v>#NAME?</v>
      </c>
      <c r="AJ168" s="226"/>
      <c r="AK168" s="226"/>
      <c r="AL168" s="226"/>
      <c r="AM168" s="252"/>
      <c r="CC168" s="182" t="n">
        <f aca="false">G168</f>
        <v>36800</v>
      </c>
      <c r="CD168" s="253" t="e">
        <f aca="false">xSPRDOPT((VLOOKUP(G168,NGPrices,2,FALSE())+HLOOKUP(D168,Prices,VLOOKUP(G168,move_down,2,FALSE()),FALSE())),VLOOKUP(G168,NGPrices,2,FALSE()),I168,VLOOKUP(G168,NGPREVPRICES,4,FALSE()),HLOOKUP(D168,PREVVOLS,VLOOKUP(G168,MOVE_DOWN2,2,FALSE()),FALSE()),VLOOKUP(G168,NGPREVPRICES,3,FALSE()),HLOOKUP(D168,Correllate,VLOOKUP(G168,CorMove,2,FALSE()),FALSE()),Q168-$CD$3,R168,$CD$5)*H168-CJ168</f>
        <v>#NAME?</v>
      </c>
      <c r="CE168" s="253" t="e">
        <f aca="false">xSPRDOPT((VLOOKUP(G168,NGPREVPRICES,2,FALSE())+HLOOKUP(D168,PREVCURVES,VLOOKUP(G168,MOVE_DOWN2,2,FALSE()),FALSE())),VLOOKUP(G168,NGPREVPRICES,2,FALSE()),CK168,VLOOKUP(G168,NGPrices,4,FALSE()),HLOOKUP(D168,PREVVOLS,VLOOKUP(G168,MOVE_DOWN2,2,FALSE()),FALSE()),VLOOKUP(G168,NGPREVPRICES,3,FALSE()),HLOOKUP(D168,Correllate,VLOOKUP(G168,CorMove,2,FALSE()),FALSE()),Q168-$CD$3,R168,$CJ$5)*H168-CJ168</f>
        <v>#NAME?</v>
      </c>
      <c r="CF168" s="132" t="e">
        <f aca="false">(CJ168/VLOOKUP(CC168,discount,3,FALSE()))-(CJ168/VLOOKUP(CC168,discount,2,FALSE()))</f>
        <v>#NAME?</v>
      </c>
      <c r="CG168" s="253" t="e">
        <f aca="false">xSPRDOPT((VLOOKUP(G168,NGPREVPRICES,2,FALSE())+HLOOKUP(D168,PREVCURVES,VLOOKUP(G168,MOVE_DOWN2,2,FALSE()),FALSE())),VLOOKUP(G168,NGPREVPRICES,2,FALSE()),CK168,VLOOKUP(G168,NGPREVPRICES,4,FALSE()),HLOOKUP(D168,VOLS,VLOOKUP(G168,move_down,2,FALSE()),FALSE()),VLOOKUP(G168,NGPrices,3,FALSE()),HLOOKUP(D168,Correllate,VLOOKUP(G168,CorMove,2,FALSE()),FALSE()),Q168-$CD$3,R168,$CJ$5)*H168-CJ168</f>
        <v>#NAME?</v>
      </c>
      <c r="CH168" s="253" t="e">
        <f aca="false">xSPRDOPT((VLOOKUP(G168,NGPREVPRICES,2,FALSE())+HLOOKUP(D168,PREVCURVES,VLOOKUP(G168,MOVE_DOWN2,2,FALSE()),FALSE())),VLOOKUP(G168,NGPREVPRICES,2,FALSE()),CK168,VLOOKUP(G168,NGPREVPRICES,4,FALSE()),HLOOKUP(D168,PREVVOLS,VLOOKUP(G168,MOVE_DOWN2,2,FALSE()),FALSE()),VLOOKUP(G168,NGPREVPRICES,3,FALSE()),HLOOKUP(D168,Correllate,VLOOKUP(G168,CorMove,2,FALSE()),FALSE()),Q168-$C$3,R168,$CJ$5)*H168-CJ168</f>
        <v>#NAME?</v>
      </c>
      <c r="CI168" s="253" t="e">
        <f aca="false">SUM(CD168:CH168)</f>
        <v>#NAME?</v>
      </c>
      <c r="CJ168" s="253" t="e">
        <f aca="false">xSPRDOPT((VLOOKUP(G168,NGPREVPRICES,2,FALSE())+HLOOKUP(D168,PREVCURVES,VLOOKUP(G168,MOVE_DOWN2,2,FALSE()),FALSE())),VLOOKUP(G168,NGPREVPRICES,2,FALSE()),CK168,VLOOKUP(G168,NGPREVPRICES,4,FALSE()),HLOOKUP(D168,PREVVOLS,VLOOKUP(G168,MOVE_DOWN2,2,FALSE()),FALSE()),VLOOKUP(G168,NGPREVPRICES,3,FALSE()),HLOOKUP(D168,Correllate,VLOOKUP(G168,CorMove,2,FALSE()),FALSE()),Q168-$CD$3,R168,$CJ$5)*H168</f>
        <v>#NAME?</v>
      </c>
      <c r="CK168" s="254" t="n">
        <f aca="false">I168</f>
        <v>0.32</v>
      </c>
      <c r="CL168" s="253"/>
      <c r="CM168" s="0" t="str">
        <f aca="false">CONCATENATE(CC168,$CD$6)</f>
        <v>36800Curve Shift/Gamma</v>
      </c>
      <c r="CN168" s="0" t="str">
        <f aca="false">CONCATENATE($CC168,$CE$6)</f>
        <v>36800Rho</v>
      </c>
      <c r="CO168" s="0" t="str">
        <f aca="false">CONCATENATE($CC168,$CF$6)</f>
        <v>36800Drift</v>
      </c>
      <c r="CP168" s="0" t="str">
        <f aca="false">CONCATENATE($CC168,$CG$6)</f>
        <v>36800Vega</v>
      </c>
      <c r="CQ168" s="0" t="str">
        <f aca="false">CONCATENATE($CC168,$CH$6)</f>
        <v>36800Theta</v>
      </c>
    </row>
    <row r="169" customFormat="false" ht="12" hidden="false" customHeight="true" outlineLevel="0" collapsed="false">
      <c r="A169" s="265" t="s">
        <v>255</v>
      </c>
      <c r="B169" s="0" t="s">
        <v>192</v>
      </c>
      <c r="C169" s="0" t="s">
        <v>256</v>
      </c>
      <c r="D169" s="7" t="s">
        <v>149</v>
      </c>
      <c r="E169" s="0" t="s">
        <v>131</v>
      </c>
      <c r="F169" s="0" t="s">
        <v>136</v>
      </c>
      <c r="G169" s="92" t="n">
        <v>36770</v>
      </c>
      <c r="H169" s="248" t="n">
        <v>-1000000</v>
      </c>
      <c r="I169" s="0" t="n">
        <v>0.32</v>
      </c>
      <c r="J169" s="124" t="n">
        <f aca="false">VLOOKUP(G169,NGPrices,2,FALSE())</f>
        <v>4.685</v>
      </c>
      <c r="K169" s="125" t="n">
        <f aca="false">HLOOKUP(D169,Prices,VLOOKUP(G169,move_down,2,FALSE()),FALSE())+VLOOKUP(G169,CHANGE,HLOOKUP(D169,CHANGE,2,FALSE()),FALSE())</f>
        <v>0.315</v>
      </c>
      <c r="L169" s="124" t="n">
        <f aca="false">K169+J169</f>
        <v>5</v>
      </c>
      <c r="M169" s="126" t="n">
        <f aca="false">VLOOKUP(G169,NGPrices,4,FALSE())</f>
        <v>0.067216196212185</v>
      </c>
      <c r="N169" s="7" t="n">
        <f aca="false">VLOOKUP(G169,NGPrices,3,FALSE())</f>
        <v>0.4</v>
      </c>
      <c r="O169" s="7" t="n">
        <f aca="false">HLOOKUP(D169,VOLS,VLOOKUP(G169,move_down,2,FALSE()),FALSE())</f>
        <v>0.392</v>
      </c>
      <c r="P169" s="249" t="n">
        <f aca="false">HLOOKUP(D169,Correllate,VLOOKUP(G169,CorMove,2,FALSE()),FALSE())</f>
        <v>0.9925</v>
      </c>
      <c r="Q169" s="92" t="n">
        <f aca="false">WORKDAY(G169,-2)</f>
        <v>36768</v>
      </c>
      <c r="R169" s="7" t="n">
        <f aca="false">IF(F169="P",0,1)</f>
        <v>1</v>
      </c>
      <c r="S169" s="130" t="e">
        <f aca="false">xSPRDOPT($L169,$J169,$I169,$M169,$O169,$N169,$P169,$Q169-$C$3,$R169,0)</f>
        <v>#NAME?</v>
      </c>
      <c r="T169" s="250" t="e">
        <f aca="false">xSPRDOPT($L169,$J169,$I169,$M169,$O169,$N169,$P169,$Q169-$C$3,$R169,1)*H169</f>
        <v>#NAME?</v>
      </c>
      <c r="U169" s="43" t="e">
        <f aca="false">S169*H169</f>
        <v>#NAME?</v>
      </c>
      <c r="V169" s="250" t="e">
        <f aca="false">xSPRDOPT($L169,$J169,$I169,$M169,$O169,$N169,$P169,$Q169-$C$3,$R169,2)*H169</f>
        <v>#NAME?</v>
      </c>
      <c r="W169" s="250" t="e">
        <f aca="false">+V169+T169</f>
        <v>#NAME?</v>
      </c>
      <c r="X169" s="2" t="str">
        <f aca="false">CONCATENATE(G169,D169)</f>
        <v>36770IF-TRANSCO/Z6</v>
      </c>
      <c r="Y169" s="251" t="n">
        <f aca="false">H169/10000</f>
        <v>-100</v>
      </c>
      <c r="Z169" s="226" t="e">
        <f aca="false">T169/H169</f>
        <v>#NAME?</v>
      </c>
      <c r="AA169" s="226" t="e">
        <f aca="false">xSPRDOPT($L169,$J169,$I169,$M169,$O169,$N169,$P169,$Q169-$C$3,$R169,3)</f>
        <v>#NAME?</v>
      </c>
      <c r="AB169" s="226" t="e">
        <f aca="false">((xSPRDOPT($L169+AB$5,$J169,$I169,$M169,$O169,$N169,$P169,$Q169-$C$3,$R169,3)*$H169)/10000)/100</f>
        <v>#NAME?</v>
      </c>
      <c r="AC169" s="226" t="e">
        <f aca="false">((xSPRDOPT($L169+$AB$5,$J169,$I169,$M169,$O169,$N169,$P169,$Q169-$C$3,$R169,7)*$H169)/100)</f>
        <v>#NAME?</v>
      </c>
      <c r="AD169" s="226" t="e">
        <f aca="false">(xSPRDOPT($L169+$AB$5,$J169,$I169,$M169,$O169,$N169,$P169,$Q169-$C$3,$R169,9)/365)*$H169</f>
        <v>#NAME?</v>
      </c>
      <c r="AE169" s="0" t="e">
        <f aca="false">CD169</f>
        <v>#NAME?</v>
      </c>
      <c r="AF169" s="226" t="e">
        <f aca="false">((O169/N169)*AH169)+AG169</f>
        <v>#NAME?</v>
      </c>
      <c r="AG169" s="226" t="e">
        <f aca="false">((xSPRDOPT($L169,$J169,$I169,$M169,$O169,$N169,$P169,$Q169-$C$3,$R169,6)*$H169)/100)</f>
        <v>#NAME?</v>
      </c>
      <c r="AH169" s="226" t="e">
        <f aca="false">((xSPRDOPT($L169,$J169,$I169,$M169,$O169,$N169,$P169,$Q169-$C$3,$R169,5)*$H169)/100)</f>
        <v>#NAME?</v>
      </c>
      <c r="AI169" s="226" t="e">
        <f aca="false">(((xSPRDOPT($L169,$J169,$I169,$M169,$O169,$N169,$P169,$Q169-$C$3,$R169,4)*$H169)/10000)/100)-AB169</f>
        <v>#NAME?</v>
      </c>
      <c r="AJ169" s="226"/>
      <c r="AK169" s="226"/>
      <c r="AL169" s="226"/>
      <c r="AM169" s="252"/>
      <c r="CC169" s="182" t="n">
        <f aca="false">G169</f>
        <v>36770</v>
      </c>
      <c r="CD169" s="253" t="e">
        <f aca="false">xSPRDOPT((VLOOKUP(G169,NGPrices,2,FALSE())+HLOOKUP(D169,Prices,VLOOKUP(G169,move_down,2,FALSE()),FALSE())),VLOOKUP(G169,NGPrices,2,FALSE()),I169,VLOOKUP(G169,NGPREVPRICES,4,FALSE()),HLOOKUP(D169,PREVVOLS,VLOOKUP(G169,MOVE_DOWN2,2,FALSE()),FALSE()),VLOOKUP(G169,NGPREVPRICES,3,FALSE()),HLOOKUP(D169,Correllate,VLOOKUP(G169,CorMove,2,FALSE()),FALSE()),Q169-$CD$3,R169,$CD$5)*H169-CJ169</f>
        <v>#NAME?</v>
      </c>
      <c r="CE169" s="253" t="e">
        <f aca="false">xSPRDOPT((VLOOKUP(G169,NGPREVPRICES,2,FALSE())+HLOOKUP(D169,PREVCURVES,VLOOKUP(G169,MOVE_DOWN2,2,FALSE()),FALSE())),VLOOKUP(G169,NGPREVPRICES,2,FALSE()),CK169,VLOOKUP(G169,NGPrices,4,FALSE()),HLOOKUP(D169,PREVVOLS,VLOOKUP(G169,MOVE_DOWN2,2,FALSE()),FALSE()),VLOOKUP(G169,NGPREVPRICES,3,FALSE()),HLOOKUP(D169,Correllate,VLOOKUP(G169,CorMove,2,FALSE()),FALSE()),Q169-$CD$3,R169,$CJ$5)*H169-CJ169</f>
        <v>#NAME?</v>
      </c>
      <c r="CF169" s="132" t="e">
        <f aca="false">(CJ169/VLOOKUP(CC169,discount,3,FALSE()))-(CJ169/VLOOKUP(CC169,discount,2,FALSE()))</f>
        <v>#NAME?</v>
      </c>
      <c r="CG169" s="253" t="e">
        <f aca="false">xSPRDOPT((VLOOKUP(G169,NGPREVPRICES,2,FALSE())+HLOOKUP(D169,PREVCURVES,VLOOKUP(G169,MOVE_DOWN2,2,FALSE()),FALSE())),VLOOKUP(G169,NGPREVPRICES,2,FALSE()),CK169,VLOOKUP(G169,NGPREVPRICES,4,FALSE()),HLOOKUP(D169,VOLS,VLOOKUP(G169,move_down,2,FALSE()),FALSE()),VLOOKUP(G169,NGPrices,3,FALSE()),HLOOKUP(D169,Correllate,VLOOKUP(G169,CorMove,2,FALSE()),FALSE()),Q169-$CD$3,R169,$CJ$5)*H169-CJ169</f>
        <v>#NAME?</v>
      </c>
      <c r="CH169" s="253" t="e">
        <f aca="false">xSPRDOPT((VLOOKUP(G169,NGPREVPRICES,2,FALSE())+HLOOKUP(D169,PREVCURVES,VLOOKUP(G169,MOVE_DOWN2,2,FALSE()),FALSE())),VLOOKUP(G169,NGPREVPRICES,2,FALSE()),CK169,VLOOKUP(G169,NGPREVPRICES,4,FALSE()),HLOOKUP(D169,PREVVOLS,VLOOKUP(G169,MOVE_DOWN2,2,FALSE()),FALSE()),VLOOKUP(G169,NGPREVPRICES,3,FALSE()),HLOOKUP(D169,Correllate,VLOOKUP(G169,CorMove,2,FALSE()),FALSE()),Q169-$C$3,R169,$CJ$5)*H169-CJ169</f>
        <v>#NAME?</v>
      </c>
      <c r="CI169" s="253" t="e">
        <f aca="false">SUM(CD169:CH169)</f>
        <v>#NAME?</v>
      </c>
      <c r="CJ169" s="253" t="e">
        <f aca="false">xSPRDOPT((VLOOKUP(G169,NGPREVPRICES,2,FALSE())+HLOOKUP(D169,PREVCURVES,VLOOKUP(G169,MOVE_DOWN2,2,FALSE()),FALSE())),VLOOKUP(G169,NGPREVPRICES,2,FALSE()),CK169,VLOOKUP(G169,NGPREVPRICES,4,FALSE()),HLOOKUP(D169,PREVVOLS,VLOOKUP(G169,MOVE_DOWN2,2,FALSE()),FALSE()),VLOOKUP(G169,NGPREVPRICES,3,FALSE()),HLOOKUP(D169,Correllate,VLOOKUP(G169,CorMove,2,FALSE()),FALSE()),Q169-$CD$3,R169,$CJ$5)*H169</f>
        <v>#NAME?</v>
      </c>
      <c r="CK169" s="254" t="n">
        <f aca="false">I169</f>
        <v>0.32</v>
      </c>
      <c r="CL169" s="253"/>
      <c r="CM169" s="0" t="str">
        <f aca="false">CONCATENATE(CC169,$CD$6)</f>
        <v>36770Curve Shift/Gamma</v>
      </c>
      <c r="CN169" s="0" t="str">
        <f aca="false">CONCATENATE($CC169,$CE$6)</f>
        <v>36770Rho</v>
      </c>
      <c r="CO169" s="0" t="str">
        <f aca="false">CONCATENATE($CC169,$CF$6)</f>
        <v>36770Drift</v>
      </c>
      <c r="CP169" s="0" t="str">
        <f aca="false">CONCATENATE($CC169,$CG$6)</f>
        <v>36770Vega</v>
      </c>
      <c r="CQ169" s="0" t="str">
        <f aca="false">CONCATENATE($CC169,$CH$6)</f>
        <v>36770Theta</v>
      </c>
    </row>
    <row r="170" customFormat="false" ht="12" hidden="false" customHeight="true" outlineLevel="0" collapsed="false">
      <c r="A170" s="265" t="s">
        <v>255</v>
      </c>
      <c r="B170" s="0" t="s">
        <v>192</v>
      </c>
      <c r="C170" s="0" t="s">
        <v>257</v>
      </c>
      <c r="D170" s="7" t="s">
        <v>149</v>
      </c>
      <c r="E170" s="0" t="s">
        <v>131</v>
      </c>
      <c r="F170" s="0" t="s">
        <v>132</v>
      </c>
      <c r="G170" s="92" t="n">
        <v>36800</v>
      </c>
      <c r="H170" s="248" t="n">
        <v>-1000000</v>
      </c>
      <c r="I170" s="0" t="n">
        <v>0.32</v>
      </c>
      <c r="J170" s="124" t="n">
        <f aca="false">VLOOKUP(G170,NGPrices,2,FALSE())</f>
        <v>4.692</v>
      </c>
      <c r="K170" s="125" t="n">
        <f aca="false">HLOOKUP(D170,Prices,VLOOKUP(G170,move_down,2,FALSE()),FALSE())+VLOOKUP(G170,CHANGE,HLOOKUP(D170,CHANGE,2,FALSE()),FALSE())</f>
        <v>0.415</v>
      </c>
      <c r="L170" s="124" t="n">
        <f aca="false">K170+J170</f>
        <v>5.107</v>
      </c>
      <c r="M170" s="126" t="n">
        <f aca="false">VLOOKUP(G170,NGPrices,4,FALSE())</f>
        <v>0.068050789414654</v>
      </c>
      <c r="N170" s="7" t="n">
        <f aca="false">VLOOKUP(G170,NGPrices,3,FALSE())</f>
        <v>0.575</v>
      </c>
      <c r="O170" s="7" t="n">
        <f aca="false">HLOOKUP(D170,VOLS,VLOOKUP(G170,move_down,2,FALSE()),FALSE())</f>
        <v>0.564</v>
      </c>
      <c r="P170" s="249" t="n">
        <f aca="false">HLOOKUP(D170,Correllate,VLOOKUP(G170,CorMove,2,FALSE()),FALSE())</f>
        <v>0.9925</v>
      </c>
      <c r="Q170" s="92" t="n">
        <f aca="false">WORKDAY(G170,-2)</f>
        <v>36797</v>
      </c>
      <c r="R170" s="7" t="n">
        <f aca="false">IF(F170="P",0,1)</f>
        <v>0</v>
      </c>
      <c r="S170" s="130" t="e">
        <f aca="false">xSPRDOPT($L170,$J170,$I170,$M170,$O170,$N170,$P170,$Q170-$C$3,$R170,0)</f>
        <v>#NAME?</v>
      </c>
      <c r="T170" s="250" t="e">
        <f aca="false">xSPRDOPT($L170,$J170,$I170,$M170,$O170,$N170,$P170,$Q170-$C$3,$R170,1)*H170</f>
        <v>#NAME?</v>
      </c>
      <c r="U170" s="43" t="e">
        <f aca="false">S170*H170</f>
        <v>#NAME?</v>
      </c>
      <c r="V170" s="250" t="e">
        <f aca="false">xSPRDOPT($L170,$J170,$I170,$M170,$O170,$N170,$P170,$Q170-$C$3,$R170,2)*H170</f>
        <v>#NAME?</v>
      </c>
      <c r="W170" s="250" t="e">
        <f aca="false">+V170+T170</f>
        <v>#NAME?</v>
      </c>
      <c r="X170" s="2" t="str">
        <f aca="false">CONCATENATE(G170,D170)</f>
        <v>36800IF-TRANSCO/Z6</v>
      </c>
      <c r="Y170" s="251" t="n">
        <f aca="false">H170/10000</f>
        <v>-100</v>
      </c>
      <c r="Z170" s="226" t="e">
        <f aca="false">T170/H170</f>
        <v>#NAME?</v>
      </c>
      <c r="AA170" s="226" t="e">
        <f aca="false">xSPRDOPT($L170,$J170,$I170,$M170,$O170,$N170,$P170,$Q170-$C$3,$R170,3)</f>
        <v>#NAME?</v>
      </c>
      <c r="AB170" s="226" t="e">
        <f aca="false">((xSPRDOPT($L170+AB$5,$J170,$I170,$M170,$O170,$N170,$P170,$Q170-$C$3,$R170,3)*$H170)/10000)/100</f>
        <v>#NAME?</v>
      </c>
      <c r="AC170" s="226" t="e">
        <f aca="false">((xSPRDOPT($L170+$AB$5,$J170,$I170,$M170,$O170,$N170,$P170,$Q170-$C$3,$R170,7)*$H170)/100)</f>
        <v>#NAME?</v>
      </c>
      <c r="AD170" s="226" t="e">
        <f aca="false">(xSPRDOPT($L170+$AB$5,$J170,$I170,$M170,$O170,$N170,$P170,$Q170-$C$3,$R170,9)/365)*$H170</f>
        <v>#NAME?</v>
      </c>
      <c r="AE170" s="0" t="e">
        <f aca="false">CD170</f>
        <v>#NAME?</v>
      </c>
      <c r="AF170" s="226" t="e">
        <f aca="false">((O170/N170)*AH170)+AG170</f>
        <v>#NAME?</v>
      </c>
      <c r="AG170" s="226" t="e">
        <f aca="false">((xSPRDOPT($L170,$J170,$I170,$M170,$O170,$N170,$P170,$Q170-$C$3,$R170,6)*$H170)/100)</f>
        <v>#NAME?</v>
      </c>
      <c r="AH170" s="226" t="e">
        <f aca="false">((xSPRDOPT($L170,$J170,$I170,$M170,$O170,$N170,$P170,$Q170-$C$3,$R170,5)*$H170)/100)</f>
        <v>#NAME?</v>
      </c>
      <c r="AI170" s="226" t="e">
        <f aca="false">(((xSPRDOPT($L170,$J170,$I170,$M170,$O170,$N170,$P170,$Q170-$C$3,$R170,4)*$H170)/10000)/100)-AB170</f>
        <v>#NAME?</v>
      </c>
      <c r="AJ170" s="226"/>
      <c r="AK170" s="226"/>
      <c r="AL170" s="226"/>
      <c r="AM170" s="252"/>
      <c r="CC170" s="182" t="n">
        <f aca="false">G170</f>
        <v>36800</v>
      </c>
      <c r="CD170" s="253" t="e">
        <f aca="false">xSPRDOPT((VLOOKUP(G170,NGPrices,2,FALSE())+HLOOKUP(D170,Prices,VLOOKUP(G170,move_down,2,FALSE()),FALSE())),VLOOKUP(G170,NGPrices,2,FALSE()),I170,VLOOKUP(G170,NGPREVPRICES,4,FALSE()),HLOOKUP(D170,PREVVOLS,VLOOKUP(G170,MOVE_DOWN2,2,FALSE()),FALSE()),VLOOKUP(G170,NGPREVPRICES,3,FALSE()),HLOOKUP(D170,Correllate,VLOOKUP(G170,CorMove,2,FALSE()),FALSE()),Q170-$CD$3,R170,$CD$5)*H170-CJ170</f>
        <v>#NAME?</v>
      </c>
      <c r="CE170" s="253" t="e">
        <f aca="false">xSPRDOPT((VLOOKUP(G170,NGPREVPRICES,2,FALSE())+HLOOKUP(D170,PREVCURVES,VLOOKUP(G170,MOVE_DOWN2,2,FALSE()),FALSE())),VLOOKUP(G170,NGPREVPRICES,2,FALSE()),CK170,VLOOKUP(G170,NGPrices,4,FALSE()),HLOOKUP(D170,PREVVOLS,VLOOKUP(G170,MOVE_DOWN2,2,FALSE()),FALSE()),VLOOKUP(G170,NGPREVPRICES,3,FALSE()),HLOOKUP(D170,Correllate,VLOOKUP(G170,CorMove,2,FALSE()),FALSE()),Q170-$CD$3,R170,$CJ$5)*H170-CJ170</f>
        <v>#NAME?</v>
      </c>
      <c r="CF170" s="132" t="e">
        <f aca="false">(CJ170/VLOOKUP(CC170,discount,3,FALSE()))-(CJ170/VLOOKUP(CC170,discount,2,FALSE()))</f>
        <v>#NAME?</v>
      </c>
      <c r="CG170" s="253" t="e">
        <f aca="false">xSPRDOPT((VLOOKUP(G170,NGPREVPRICES,2,FALSE())+HLOOKUP(D170,PREVCURVES,VLOOKUP(G170,MOVE_DOWN2,2,FALSE()),FALSE())),VLOOKUP(G170,NGPREVPRICES,2,FALSE()),CK170,VLOOKUP(G170,NGPREVPRICES,4,FALSE()),HLOOKUP(D170,VOLS,VLOOKUP(G170,move_down,2,FALSE()),FALSE()),VLOOKUP(G170,NGPrices,3,FALSE()),HLOOKUP(D170,Correllate,VLOOKUP(G170,CorMove,2,FALSE()),FALSE()),Q170-$CD$3,R170,$CJ$5)*H170-CJ170</f>
        <v>#NAME?</v>
      </c>
      <c r="CH170" s="253" t="e">
        <f aca="false">xSPRDOPT((VLOOKUP(G170,NGPREVPRICES,2,FALSE())+HLOOKUP(D170,PREVCURVES,VLOOKUP(G170,MOVE_DOWN2,2,FALSE()),FALSE())),VLOOKUP(G170,NGPREVPRICES,2,FALSE()),CK170,VLOOKUP(G170,NGPREVPRICES,4,FALSE()),HLOOKUP(D170,PREVVOLS,VLOOKUP(G170,MOVE_DOWN2,2,FALSE()),FALSE()),VLOOKUP(G170,NGPREVPRICES,3,FALSE()),HLOOKUP(D170,Correllate,VLOOKUP(G170,CorMove,2,FALSE()),FALSE()),Q170-$C$3,R170,$CJ$5)*H170-CJ170</f>
        <v>#NAME?</v>
      </c>
      <c r="CI170" s="253" t="e">
        <f aca="false">SUM(CD170:CH170)</f>
        <v>#NAME?</v>
      </c>
      <c r="CJ170" s="253" t="e">
        <f aca="false">xSPRDOPT((VLOOKUP(G170,NGPREVPRICES,2,FALSE())+HLOOKUP(D170,PREVCURVES,VLOOKUP(G170,MOVE_DOWN2,2,FALSE()),FALSE())),VLOOKUP(G170,NGPREVPRICES,2,FALSE()),CK170,VLOOKUP(G170,NGPREVPRICES,4,FALSE()),HLOOKUP(D170,PREVVOLS,VLOOKUP(G170,MOVE_DOWN2,2,FALSE()),FALSE()),VLOOKUP(G170,NGPREVPRICES,3,FALSE()),HLOOKUP(D170,Correllate,VLOOKUP(G170,CorMove,2,FALSE()),FALSE()),Q170-$CD$3,R170,$CJ$5)*H170</f>
        <v>#NAME?</v>
      </c>
      <c r="CK170" s="254" t="n">
        <f aca="false">I170</f>
        <v>0.32</v>
      </c>
      <c r="CL170" s="253"/>
      <c r="CM170" s="0" t="str">
        <f aca="false">CONCATENATE(CC170,$CD$6)</f>
        <v>36800Curve Shift/Gamma</v>
      </c>
      <c r="CN170" s="0" t="str">
        <f aca="false">CONCATENATE($CC170,$CE$6)</f>
        <v>36800Rho</v>
      </c>
      <c r="CO170" s="0" t="str">
        <f aca="false">CONCATENATE($CC170,$CF$6)</f>
        <v>36800Drift</v>
      </c>
      <c r="CP170" s="0" t="str">
        <f aca="false">CONCATENATE($CC170,$CG$6)</f>
        <v>36800Vega</v>
      </c>
      <c r="CQ170" s="0" t="str">
        <f aca="false">CONCATENATE($CC170,$CH$6)</f>
        <v>36800Theta</v>
      </c>
    </row>
    <row r="171" customFormat="false" ht="12" hidden="false" customHeight="true" outlineLevel="0" collapsed="false">
      <c r="A171" s="265" t="s">
        <v>255</v>
      </c>
      <c r="B171" s="0" t="s">
        <v>192</v>
      </c>
      <c r="C171" s="0" t="s">
        <v>257</v>
      </c>
      <c r="D171" s="7" t="s">
        <v>149</v>
      </c>
      <c r="E171" s="0" t="s">
        <v>131</v>
      </c>
      <c r="F171" s="0" t="s">
        <v>132</v>
      </c>
      <c r="G171" s="92" t="n">
        <v>36770</v>
      </c>
      <c r="H171" s="248" t="n">
        <v>-1000000</v>
      </c>
      <c r="I171" s="0" t="n">
        <v>0.32</v>
      </c>
      <c r="J171" s="124" t="n">
        <f aca="false">VLOOKUP(G171,NGPrices,2,FALSE())</f>
        <v>4.685</v>
      </c>
      <c r="K171" s="125" t="n">
        <f aca="false">HLOOKUP(D171,Prices,VLOOKUP(G171,move_down,2,FALSE()),FALSE())+VLOOKUP(G171,CHANGE,HLOOKUP(D171,CHANGE,2,FALSE()),FALSE())</f>
        <v>0.315</v>
      </c>
      <c r="L171" s="124" t="n">
        <f aca="false">K171+J171</f>
        <v>5</v>
      </c>
      <c r="M171" s="126" t="n">
        <f aca="false">VLOOKUP(G171,NGPrices,4,FALSE())</f>
        <v>0.067216196212185</v>
      </c>
      <c r="N171" s="7" t="n">
        <f aca="false">VLOOKUP(G171,NGPrices,3,FALSE())</f>
        <v>0.4</v>
      </c>
      <c r="O171" s="7" t="n">
        <f aca="false">HLOOKUP(D171,VOLS,VLOOKUP(G171,move_down,2,FALSE()),FALSE())</f>
        <v>0.392</v>
      </c>
      <c r="P171" s="249" t="n">
        <f aca="false">HLOOKUP(D171,Correllate,VLOOKUP(G171,CorMove,2,FALSE()),FALSE())</f>
        <v>0.9925</v>
      </c>
      <c r="Q171" s="92" t="n">
        <f aca="false">WORKDAY(G171,-2)</f>
        <v>36768</v>
      </c>
      <c r="R171" s="7" t="n">
        <f aca="false">IF(F171="P",0,1)</f>
        <v>0</v>
      </c>
      <c r="S171" s="130" t="e">
        <f aca="false">xSPRDOPT($L171,$J171,$I171,$M171,$O171,$N171,$P171,$Q171-$C$3,$R171,0)</f>
        <v>#NAME?</v>
      </c>
      <c r="T171" s="250" t="e">
        <f aca="false">xSPRDOPT($L171,$J171,$I171,$M171,$O171,$N171,$P171,$Q171-$C$3,$R171,1)*H171</f>
        <v>#NAME?</v>
      </c>
      <c r="U171" s="43" t="e">
        <f aca="false">S171*H171</f>
        <v>#NAME?</v>
      </c>
      <c r="V171" s="250" t="e">
        <f aca="false">xSPRDOPT($L171,$J171,$I171,$M171,$O171,$N171,$P171,$Q171-$C$3,$R171,2)*H171</f>
        <v>#NAME?</v>
      </c>
      <c r="W171" s="250" t="e">
        <f aca="false">+V171+T171</f>
        <v>#NAME?</v>
      </c>
      <c r="X171" s="2" t="str">
        <f aca="false">CONCATENATE(G171,D171)</f>
        <v>36770IF-TRANSCO/Z6</v>
      </c>
      <c r="Y171" s="251" t="n">
        <f aca="false">H171/10000</f>
        <v>-100</v>
      </c>
      <c r="Z171" s="226" t="e">
        <f aca="false">T171/H171</f>
        <v>#NAME?</v>
      </c>
      <c r="AA171" s="226" t="e">
        <f aca="false">xSPRDOPT($L171,$J171,$I171,$M171,$O171,$N171,$P171,$Q171-$C$3,$R171,3)</f>
        <v>#NAME?</v>
      </c>
      <c r="AB171" s="226" t="e">
        <f aca="false">((xSPRDOPT($L171+AB$5,$J171,$I171,$M171,$O171,$N171,$P171,$Q171-$C$3,$R171,3)*$H171)/10000)/100</f>
        <v>#NAME?</v>
      </c>
      <c r="AC171" s="226" t="e">
        <f aca="false">((xSPRDOPT($L171+$AB$5,$J171,$I171,$M171,$O171,$N171,$P171,$Q171-$C$3,$R171,7)*$H171)/100)</f>
        <v>#NAME?</v>
      </c>
      <c r="AD171" s="226" t="e">
        <f aca="false">(xSPRDOPT($L171+$AB$5,$J171,$I171,$M171,$O171,$N171,$P171,$Q171-$C$3,$R171,9)/365)*$H171</f>
        <v>#NAME?</v>
      </c>
      <c r="AE171" s="0" t="e">
        <f aca="false">CD171</f>
        <v>#NAME?</v>
      </c>
      <c r="AF171" s="226" t="e">
        <f aca="false">((O171/N171)*AH171)+AG171</f>
        <v>#NAME?</v>
      </c>
      <c r="AG171" s="226" t="e">
        <f aca="false">((xSPRDOPT($L171,$J171,$I171,$M171,$O171,$N171,$P171,$Q171-$C$3,$R171,6)*$H171)/100)</f>
        <v>#NAME?</v>
      </c>
      <c r="AH171" s="226" t="e">
        <f aca="false">((xSPRDOPT($L171,$J171,$I171,$M171,$O171,$N171,$P171,$Q171-$C$3,$R171,5)*$H171)/100)</f>
        <v>#NAME?</v>
      </c>
      <c r="AI171" s="226" t="e">
        <f aca="false">(((xSPRDOPT($L171,$J171,$I171,$M171,$O171,$N171,$P171,$Q171-$C$3,$R171,4)*$H171)/10000)/100)-AB171</f>
        <v>#NAME?</v>
      </c>
      <c r="AJ171" s="226"/>
      <c r="AK171" s="226"/>
      <c r="AL171" s="226"/>
      <c r="AM171" s="252"/>
      <c r="CC171" s="182" t="n">
        <f aca="false">G171</f>
        <v>36770</v>
      </c>
      <c r="CD171" s="253" t="e">
        <f aca="false">xSPRDOPT((VLOOKUP(G171,NGPrices,2,FALSE())+HLOOKUP(D171,Prices,VLOOKUP(G171,move_down,2,FALSE()),FALSE())),VLOOKUP(G171,NGPrices,2,FALSE()),I171,VLOOKUP(G171,NGPREVPRICES,4,FALSE()),HLOOKUP(D171,PREVVOLS,VLOOKUP(G171,MOVE_DOWN2,2,FALSE()),FALSE()),VLOOKUP(G171,NGPREVPRICES,3,FALSE()),HLOOKUP(D171,Correllate,VLOOKUP(G171,CorMove,2,FALSE()),FALSE()),Q171-$CD$3,R171,$CD$5)*H171-CJ171</f>
        <v>#NAME?</v>
      </c>
      <c r="CE171" s="253" t="e">
        <f aca="false">xSPRDOPT((VLOOKUP(G171,NGPREVPRICES,2,FALSE())+HLOOKUP(D171,PREVCURVES,VLOOKUP(G171,MOVE_DOWN2,2,FALSE()),FALSE())),VLOOKUP(G171,NGPREVPRICES,2,FALSE()),CK171,VLOOKUP(G171,NGPrices,4,FALSE()),HLOOKUP(D171,PREVVOLS,VLOOKUP(G171,MOVE_DOWN2,2,FALSE()),FALSE()),VLOOKUP(G171,NGPREVPRICES,3,FALSE()),HLOOKUP(D171,Correllate,VLOOKUP(G171,CorMove,2,FALSE()),FALSE()),Q171-$CD$3,R171,$CJ$5)*H171-CJ171</f>
        <v>#NAME?</v>
      </c>
      <c r="CF171" s="132" t="e">
        <f aca="false">(CJ171/VLOOKUP(CC171,discount,3,FALSE()))-(CJ171/VLOOKUP(CC171,discount,2,FALSE()))</f>
        <v>#NAME?</v>
      </c>
      <c r="CG171" s="253" t="e">
        <f aca="false">xSPRDOPT((VLOOKUP(G171,NGPREVPRICES,2,FALSE())+HLOOKUP(D171,PREVCURVES,VLOOKUP(G171,MOVE_DOWN2,2,FALSE()),FALSE())),VLOOKUP(G171,NGPREVPRICES,2,FALSE()),CK171,VLOOKUP(G171,NGPREVPRICES,4,FALSE()),HLOOKUP(D171,VOLS,VLOOKUP(G171,move_down,2,FALSE()),FALSE()),VLOOKUP(G171,NGPrices,3,FALSE()),HLOOKUP(D171,Correllate,VLOOKUP(G171,CorMove,2,FALSE()),FALSE()),Q171-$CD$3,R171,$CJ$5)*H171-CJ171</f>
        <v>#NAME?</v>
      </c>
      <c r="CH171" s="253" t="e">
        <f aca="false">xSPRDOPT((VLOOKUP(G171,NGPREVPRICES,2,FALSE())+HLOOKUP(D171,PREVCURVES,VLOOKUP(G171,MOVE_DOWN2,2,FALSE()),FALSE())),VLOOKUP(G171,NGPREVPRICES,2,FALSE()),CK171,VLOOKUP(G171,NGPREVPRICES,4,FALSE()),HLOOKUP(D171,PREVVOLS,VLOOKUP(G171,MOVE_DOWN2,2,FALSE()),FALSE()),VLOOKUP(G171,NGPREVPRICES,3,FALSE()),HLOOKUP(D171,Correllate,VLOOKUP(G171,CorMove,2,FALSE()),FALSE()),Q171-$C$3,R171,$CJ$5)*H171-CJ171</f>
        <v>#NAME?</v>
      </c>
      <c r="CI171" s="253" t="e">
        <f aca="false">SUM(CD171:CH171)</f>
        <v>#NAME?</v>
      </c>
      <c r="CJ171" s="253" t="e">
        <f aca="false">xSPRDOPT((VLOOKUP(G171,NGPREVPRICES,2,FALSE())+HLOOKUP(D171,PREVCURVES,VLOOKUP(G171,MOVE_DOWN2,2,FALSE()),FALSE())),VLOOKUP(G171,NGPREVPRICES,2,FALSE()),CK171,VLOOKUP(G171,NGPREVPRICES,4,FALSE()),HLOOKUP(D171,PREVVOLS,VLOOKUP(G171,MOVE_DOWN2,2,FALSE()),FALSE()),VLOOKUP(G171,NGPREVPRICES,3,FALSE()),HLOOKUP(D171,Correllate,VLOOKUP(G171,CorMove,2,FALSE()),FALSE()),Q171-$CD$3,R171,$CJ$5)*H171</f>
        <v>#NAME?</v>
      </c>
      <c r="CK171" s="254" t="n">
        <f aca="false">I171</f>
        <v>0.32</v>
      </c>
      <c r="CL171" s="253"/>
      <c r="CM171" s="0" t="str">
        <f aca="false">CONCATENATE(CC171,$CD$6)</f>
        <v>36770Curve Shift/Gamma</v>
      </c>
      <c r="CN171" s="0" t="str">
        <f aca="false">CONCATENATE($CC171,$CE$6)</f>
        <v>36770Rho</v>
      </c>
      <c r="CO171" s="0" t="str">
        <f aca="false">CONCATENATE($CC171,$CF$6)</f>
        <v>36770Drift</v>
      </c>
      <c r="CP171" s="0" t="str">
        <f aca="false">CONCATENATE($CC171,$CG$6)</f>
        <v>36770Vega</v>
      </c>
      <c r="CQ171" s="0" t="str">
        <f aca="false">CONCATENATE($CC171,$CH$6)</f>
        <v>36770Theta</v>
      </c>
    </row>
    <row r="172" customFormat="false" ht="12" hidden="false" customHeight="true" outlineLevel="0" collapsed="false">
      <c r="A172" s="265" t="s">
        <v>258</v>
      </c>
      <c r="B172" s="0" t="s">
        <v>192</v>
      </c>
      <c r="C172" s="0" t="s">
        <v>259</v>
      </c>
      <c r="D172" s="7" t="s">
        <v>151</v>
      </c>
      <c r="E172" s="0" t="s">
        <v>131</v>
      </c>
      <c r="F172" s="0" t="s">
        <v>132</v>
      </c>
      <c r="G172" s="92" t="n">
        <v>36800</v>
      </c>
      <c r="H172" s="248" t="n">
        <v>500000</v>
      </c>
      <c r="I172" s="0" t="n">
        <v>-0.4</v>
      </c>
      <c r="J172" s="124" t="n">
        <f aca="false">VLOOKUP(G172,NGPrices,2,FALSE())</f>
        <v>4.692</v>
      </c>
      <c r="K172" s="125" t="n">
        <f aca="false">HLOOKUP(D172,Prices,VLOOKUP(G172,move_down,2,FALSE()),FALSE())+VLOOKUP(G172,CHANGE,HLOOKUP(D172,CHANGE,2,FALSE()),FALSE())</f>
        <v>-0.805</v>
      </c>
      <c r="L172" s="124" t="n">
        <f aca="false">K172+J172</f>
        <v>3.887</v>
      </c>
      <c r="M172" s="126" t="n">
        <f aca="false">VLOOKUP(G172,NGPrices,4,FALSE())</f>
        <v>0.068050789414654</v>
      </c>
      <c r="N172" s="7" t="n">
        <f aca="false">VLOOKUP(G172,NGPrices,3,FALSE())</f>
        <v>0.575</v>
      </c>
      <c r="O172" s="7" t="n">
        <f aca="false">HLOOKUP(D172,VOLS,VLOOKUP(G172,move_down,2,FALSE()),FALSE())</f>
        <v>0.552</v>
      </c>
      <c r="P172" s="249" t="n">
        <f aca="false">HLOOKUP(D172,Correllate,VLOOKUP(G172,CorMove,2,FALSE()),FALSE())</f>
        <v>0.84</v>
      </c>
      <c r="Q172" s="92" t="n">
        <f aca="false">WORKDAY(G172,-2)</f>
        <v>36797</v>
      </c>
      <c r="R172" s="7" t="n">
        <f aca="false">IF(F172="P",0,1)</f>
        <v>0</v>
      </c>
      <c r="S172" s="130" t="e">
        <f aca="false">xSPRDOPT($L172,$J172,$I172,$M172,$O172,$N172,$P172,$Q172-$C$3,$R172,0)</f>
        <v>#NAME?</v>
      </c>
      <c r="T172" s="250" t="e">
        <f aca="false">xSPRDOPT($L172,$J172,$I172,$M172,$O172,$N172,$P172,$Q172-$C$3,$R172,1)*H172</f>
        <v>#NAME?</v>
      </c>
      <c r="U172" s="43" t="e">
        <f aca="false">S172*H172</f>
        <v>#NAME?</v>
      </c>
      <c r="V172" s="250" t="e">
        <f aca="false">xSPRDOPT($L172,$J172,$I172,$M172,$O172,$N172,$P172,$Q172-$C$3,$R172,2)*H172</f>
        <v>#NAME?</v>
      </c>
      <c r="W172" s="250" t="e">
        <f aca="false">+V172+T172</f>
        <v>#NAME?</v>
      </c>
      <c r="X172" s="2" t="str">
        <f aca="false">CONCATENATE(G172,D172)</f>
        <v>36800IF-NWPL_ROCKY_M</v>
      </c>
      <c r="Y172" s="251" t="n">
        <f aca="false">H172/10000</f>
        <v>50</v>
      </c>
      <c r="Z172" s="226" t="e">
        <f aca="false">T172/H172</f>
        <v>#NAME?</v>
      </c>
      <c r="AA172" s="226" t="e">
        <f aca="false">xSPRDOPT($L172,$J172,$I172,$M172,$O172,$N172,$P172,$Q172-$C$3,$R172,3)</f>
        <v>#NAME?</v>
      </c>
      <c r="AB172" s="226" t="e">
        <f aca="false">((xSPRDOPT($L172+AB$5,$J172,$I172,$M172,$O172,$N172,$P172,$Q172-$C$3,$R172,3)*$H172)/10000)/100</f>
        <v>#NAME?</v>
      </c>
      <c r="AC172" s="226" t="e">
        <f aca="false">((xSPRDOPT($L172+$AB$5,$J172,$I172,$M172,$O172,$N172,$P172,$Q172-$C$3,$R172,7)*$H172)/100)</f>
        <v>#NAME?</v>
      </c>
      <c r="AD172" s="226" t="e">
        <f aca="false">(xSPRDOPT($L172+$AB$5,$J172,$I172,$M172,$O172,$N172,$P172,$Q172-$C$3,$R172,9)/365)*$H172</f>
        <v>#NAME?</v>
      </c>
      <c r="AE172" s="0" t="e">
        <f aca="false">CD172</f>
        <v>#NAME?</v>
      </c>
      <c r="AF172" s="226" t="e">
        <f aca="false">((O172/N172)*AH172)+AG172</f>
        <v>#NAME?</v>
      </c>
      <c r="AG172" s="226" t="e">
        <f aca="false">((xSPRDOPT($L172,$J172,$I172,$M172,$O172,$N172,$P172,$Q172-$C$3,$R172,6)*$H172)/100)</f>
        <v>#NAME?</v>
      </c>
      <c r="AH172" s="226" t="e">
        <f aca="false">((xSPRDOPT($L172,$J172,$I172,$M172,$O172,$N172,$P172,$Q172-$C$3,$R172,5)*$H172)/100)</f>
        <v>#NAME?</v>
      </c>
      <c r="AI172" s="226" t="e">
        <f aca="false">(((xSPRDOPT($L172,$J172,$I172,$M172,$O172,$N172,$P172,$Q172-$C$3,$R172,4)*$H172)/10000)/100)-AB172</f>
        <v>#NAME?</v>
      </c>
      <c r="AJ172" s="226"/>
      <c r="AK172" s="226"/>
      <c r="AL172" s="226"/>
      <c r="AM172" s="252"/>
      <c r="CC172" s="182" t="n">
        <f aca="false">G172</f>
        <v>36800</v>
      </c>
      <c r="CD172" s="253" t="e">
        <f aca="false">xSPRDOPT((VLOOKUP(G172,NGPrices,2,FALSE())+HLOOKUP(D172,Prices,VLOOKUP(G172,move_down,2,FALSE()),FALSE())),VLOOKUP(G172,NGPrices,2,FALSE()),I172,VLOOKUP(G172,NGPREVPRICES,4,FALSE()),HLOOKUP(D172,PREVVOLS,VLOOKUP(G172,MOVE_DOWN2,2,FALSE()),FALSE()),VLOOKUP(G172,NGPREVPRICES,3,FALSE()),HLOOKUP(D172,Correllate,VLOOKUP(G172,CorMove,2,FALSE()),FALSE()),Q172-$CD$3,R172,$CD$5)*H172-CJ172</f>
        <v>#NAME?</v>
      </c>
      <c r="CE172" s="253" t="e">
        <f aca="false">xSPRDOPT((VLOOKUP(G172,NGPREVPRICES,2,FALSE())+HLOOKUP(D172,PREVCURVES,VLOOKUP(G172,MOVE_DOWN2,2,FALSE()),FALSE())),VLOOKUP(G172,NGPREVPRICES,2,FALSE()),CK172,VLOOKUP(G172,NGPrices,4,FALSE()),HLOOKUP(D172,PREVVOLS,VLOOKUP(G172,MOVE_DOWN2,2,FALSE()),FALSE()),VLOOKUP(G172,NGPREVPRICES,3,FALSE()),HLOOKUP(D172,Correllate,VLOOKUP(G172,CorMove,2,FALSE()),FALSE()),Q172-$CD$3,R172,$CJ$5)*H172-CJ172</f>
        <v>#NAME?</v>
      </c>
      <c r="CF172" s="132" t="e">
        <f aca="false">(CJ172/VLOOKUP(CC172,discount,3,FALSE()))-(CJ172/VLOOKUP(CC172,discount,2,FALSE()))</f>
        <v>#NAME?</v>
      </c>
      <c r="CG172" s="253" t="e">
        <f aca="false">xSPRDOPT((VLOOKUP(G172,NGPREVPRICES,2,FALSE())+HLOOKUP(D172,PREVCURVES,VLOOKUP(G172,MOVE_DOWN2,2,FALSE()),FALSE())),VLOOKUP(G172,NGPREVPRICES,2,FALSE()),CK172,VLOOKUP(G172,NGPREVPRICES,4,FALSE()),HLOOKUP(D172,VOLS,VLOOKUP(G172,move_down,2,FALSE()),FALSE()),VLOOKUP(G172,NGPrices,3,FALSE()),HLOOKUP(D172,Correllate,VLOOKUP(G172,CorMove,2,FALSE()),FALSE()),Q172-$CD$3,R172,$CJ$5)*H172-CJ172</f>
        <v>#NAME?</v>
      </c>
      <c r="CH172" s="253" t="e">
        <f aca="false">xSPRDOPT((VLOOKUP(G172,NGPREVPRICES,2,FALSE())+HLOOKUP(D172,PREVCURVES,VLOOKUP(G172,MOVE_DOWN2,2,FALSE()),FALSE())),VLOOKUP(G172,NGPREVPRICES,2,FALSE()),CK172,VLOOKUP(G172,NGPREVPRICES,4,FALSE()),HLOOKUP(D172,PREVVOLS,VLOOKUP(G172,MOVE_DOWN2,2,FALSE()),FALSE()),VLOOKUP(G172,NGPREVPRICES,3,FALSE()),HLOOKUP(D172,Correllate,VLOOKUP(G172,CorMove,2,FALSE()),FALSE()),Q172-$C$3,R172,$CJ$5)*H172-CJ172</f>
        <v>#NAME?</v>
      </c>
      <c r="CI172" s="253" t="e">
        <f aca="false">SUM(CD172:CH172)</f>
        <v>#NAME?</v>
      </c>
      <c r="CJ172" s="253" t="e">
        <f aca="false">xSPRDOPT((VLOOKUP(G172,NGPREVPRICES,2,FALSE())+HLOOKUP(D172,PREVCURVES,VLOOKUP(G172,MOVE_DOWN2,2,FALSE()),FALSE())),VLOOKUP(G172,NGPREVPRICES,2,FALSE()),CK172,VLOOKUP(G172,NGPREVPRICES,4,FALSE()),HLOOKUP(D172,PREVVOLS,VLOOKUP(G172,MOVE_DOWN2,2,FALSE()),FALSE()),VLOOKUP(G172,NGPREVPRICES,3,FALSE()),HLOOKUP(D172,Correllate,VLOOKUP(G172,CorMove,2,FALSE()),FALSE()),Q172-$CD$3,R172,$CJ$5)*H172</f>
        <v>#NAME?</v>
      </c>
      <c r="CK172" s="254" t="n">
        <f aca="false">I172</f>
        <v>-0.4</v>
      </c>
      <c r="CL172" s="253"/>
      <c r="CM172" s="0" t="str">
        <f aca="false">CONCATENATE(CC172,$CD$6)</f>
        <v>36800Curve Shift/Gamma</v>
      </c>
      <c r="CN172" s="0" t="str">
        <f aca="false">CONCATENATE($CC172,$CE$6)</f>
        <v>36800Rho</v>
      </c>
      <c r="CO172" s="0" t="str">
        <f aca="false">CONCATENATE($CC172,$CF$6)</f>
        <v>36800Drift</v>
      </c>
      <c r="CP172" s="0" t="str">
        <f aca="false">CONCATENATE($CC172,$CG$6)</f>
        <v>36800Vega</v>
      </c>
      <c r="CQ172" s="0" t="str">
        <f aca="false">CONCATENATE($CC172,$CH$6)</f>
        <v>36800Theta</v>
      </c>
    </row>
    <row r="173" customFormat="false" ht="12" hidden="false" customHeight="true" outlineLevel="0" collapsed="false">
      <c r="A173" s="265" t="s">
        <v>258</v>
      </c>
      <c r="B173" s="0" t="s">
        <v>192</v>
      </c>
      <c r="C173" s="0" t="s">
        <v>259</v>
      </c>
      <c r="D173" s="7" t="s">
        <v>151</v>
      </c>
      <c r="E173" s="0" t="s">
        <v>131</v>
      </c>
      <c r="F173" s="0" t="s">
        <v>132</v>
      </c>
      <c r="G173" s="92" t="n">
        <v>36770</v>
      </c>
      <c r="H173" s="248" t="n">
        <v>500000</v>
      </c>
      <c r="I173" s="0" t="n">
        <v>-0.4</v>
      </c>
      <c r="J173" s="124" t="n">
        <f aca="false">VLOOKUP(G173,NGPrices,2,FALSE())</f>
        <v>4.685</v>
      </c>
      <c r="K173" s="125" t="n">
        <f aca="false">HLOOKUP(D173,Prices,VLOOKUP(G173,move_down,2,FALSE()),FALSE())+VLOOKUP(G173,CHANGE,HLOOKUP(D173,CHANGE,2,FALSE()),FALSE())</f>
        <v>-1.24</v>
      </c>
      <c r="L173" s="124" t="n">
        <f aca="false">K173+J173</f>
        <v>3.445</v>
      </c>
      <c r="M173" s="126" t="n">
        <f aca="false">VLOOKUP(G173,NGPrices,4,FALSE())</f>
        <v>0.067216196212185</v>
      </c>
      <c r="N173" s="7" t="n">
        <f aca="false">VLOOKUP(G173,NGPrices,3,FALSE())</f>
        <v>0.4</v>
      </c>
      <c r="O173" s="7" t="n">
        <f aca="false">HLOOKUP(D173,VOLS,VLOOKUP(G173,move_down,2,FALSE()),FALSE())</f>
        <v>0.384</v>
      </c>
      <c r="P173" s="249" t="n">
        <f aca="false">HLOOKUP(D173,Correllate,VLOOKUP(G173,CorMove,2,FALSE()),FALSE())</f>
        <v>0.84</v>
      </c>
      <c r="Q173" s="92" t="n">
        <f aca="false">WORKDAY(G173,-2)</f>
        <v>36768</v>
      </c>
      <c r="R173" s="7" t="n">
        <f aca="false">IF(F173="P",0,1)</f>
        <v>0</v>
      </c>
      <c r="S173" s="130" t="e">
        <f aca="false">xSPRDOPT($L173,$J173,$I173,$M173,$O173,$N173,$P173,$Q173-$C$3,$R173,0)</f>
        <v>#NAME?</v>
      </c>
      <c r="T173" s="250" t="e">
        <f aca="false">xSPRDOPT($L173,$J173,$I173,$M173,$O173,$N173,$P173,$Q173-$C$3,$R173,1)*H173</f>
        <v>#NAME?</v>
      </c>
      <c r="U173" s="43" t="e">
        <f aca="false">S173*H173</f>
        <v>#NAME?</v>
      </c>
      <c r="V173" s="250" t="e">
        <f aca="false">xSPRDOPT($L173,$J173,$I173,$M173,$O173,$N173,$P173,$Q173-$C$3,$R173,2)*H173</f>
        <v>#NAME?</v>
      </c>
      <c r="W173" s="250" t="e">
        <f aca="false">+V173+T173</f>
        <v>#NAME?</v>
      </c>
      <c r="X173" s="2" t="str">
        <f aca="false">CONCATENATE(G173,D173)</f>
        <v>36770IF-NWPL_ROCKY_M</v>
      </c>
      <c r="Y173" s="251" t="n">
        <f aca="false">H173/10000</f>
        <v>50</v>
      </c>
      <c r="Z173" s="226" t="e">
        <f aca="false">T173/H173</f>
        <v>#NAME?</v>
      </c>
      <c r="AA173" s="226" t="e">
        <f aca="false">xSPRDOPT($L173,$J173,$I173,$M173,$O173,$N173,$P173,$Q173-$C$3,$R173,3)</f>
        <v>#NAME?</v>
      </c>
      <c r="AB173" s="226" t="e">
        <f aca="false">((xSPRDOPT($L173+AB$5,$J173,$I173,$M173,$O173,$N173,$P173,$Q173-$C$3,$R173,3)*$H173)/10000)/100</f>
        <v>#NAME?</v>
      </c>
      <c r="AC173" s="226" t="e">
        <f aca="false">((xSPRDOPT($L173+$AB$5,$J173,$I173,$M173,$O173,$N173,$P173,$Q173-$C$3,$R173,7)*$H173)/100)</f>
        <v>#NAME?</v>
      </c>
      <c r="AD173" s="226" t="e">
        <f aca="false">(xSPRDOPT($L173+$AB$5,$J173,$I173,$M173,$O173,$N173,$P173,$Q173-$C$3,$R173,9)/365)*$H173</f>
        <v>#NAME?</v>
      </c>
      <c r="AE173" s="0" t="e">
        <f aca="false">CD173</f>
        <v>#NAME?</v>
      </c>
      <c r="AF173" s="226" t="e">
        <f aca="false">((O173/N173)*AH173)+AG173</f>
        <v>#NAME?</v>
      </c>
      <c r="AG173" s="226" t="e">
        <f aca="false">((xSPRDOPT($L173,$J173,$I173,$M173,$O173,$N173,$P173,$Q173-$C$3,$R173,6)*$H173)/100)</f>
        <v>#NAME?</v>
      </c>
      <c r="AH173" s="226" t="e">
        <f aca="false">((xSPRDOPT($L173,$J173,$I173,$M173,$O173,$N173,$P173,$Q173-$C$3,$R173,5)*$H173)/100)</f>
        <v>#NAME?</v>
      </c>
      <c r="AI173" s="226" t="e">
        <f aca="false">(((xSPRDOPT($L173,$J173,$I173,$M173,$O173,$N173,$P173,$Q173-$C$3,$R173,4)*$H173)/10000)/100)-AB173</f>
        <v>#NAME?</v>
      </c>
      <c r="AJ173" s="226"/>
      <c r="AK173" s="226"/>
      <c r="AL173" s="226"/>
      <c r="AM173" s="252"/>
      <c r="CC173" s="182" t="n">
        <f aca="false">G173</f>
        <v>36770</v>
      </c>
      <c r="CD173" s="253" t="e">
        <f aca="false">xSPRDOPT((VLOOKUP(G173,NGPrices,2,FALSE())+HLOOKUP(D173,Prices,VLOOKUP(G173,move_down,2,FALSE()),FALSE())),VLOOKUP(G173,NGPrices,2,FALSE()),I173,VLOOKUP(G173,NGPREVPRICES,4,FALSE()),HLOOKUP(D173,PREVVOLS,VLOOKUP(G173,MOVE_DOWN2,2,FALSE()),FALSE()),VLOOKUP(G173,NGPREVPRICES,3,FALSE()),HLOOKUP(D173,Correllate,VLOOKUP(G173,CorMove,2,FALSE()),FALSE()),Q173-$CD$3,R173,$CD$5)*H173-CJ173</f>
        <v>#NAME?</v>
      </c>
      <c r="CE173" s="253" t="e">
        <f aca="false">xSPRDOPT((VLOOKUP(G173,NGPREVPRICES,2,FALSE())+HLOOKUP(D173,PREVCURVES,VLOOKUP(G173,MOVE_DOWN2,2,FALSE()),FALSE())),VLOOKUP(G173,NGPREVPRICES,2,FALSE()),CK173,VLOOKUP(G173,NGPrices,4,FALSE()),HLOOKUP(D173,PREVVOLS,VLOOKUP(G173,MOVE_DOWN2,2,FALSE()),FALSE()),VLOOKUP(G173,NGPREVPRICES,3,FALSE()),HLOOKUP(D173,Correllate,VLOOKUP(G173,CorMove,2,FALSE()),FALSE()),Q173-$CD$3,R173,$CJ$5)*H173-CJ173</f>
        <v>#NAME?</v>
      </c>
      <c r="CF173" s="132" t="e">
        <f aca="false">(CJ173/VLOOKUP(CC173,discount,3,FALSE()))-(CJ173/VLOOKUP(CC173,discount,2,FALSE()))</f>
        <v>#NAME?</v>
      </c>
      <c r="CG173" s="253" t="e">
        <f aca="false">xSPRDOPT((VLOOKUP(G173,NGPREVPRICES,2,FALSE())+HLOOKUP(D173,PREVCURVES,VLOOKUP(G173,MOVE_DOWN2,2,FALSE()),FALSE())),VLOOKUP(G173,NGPREVPRICES,2,FALSE()),CK173,VLOOKUP(G173,NGPREVPRICES,4,FALSE()),HLOOKUP(D173,VOLS,VLOOKUP(G173,move_down,2,FALSE()),FALSE()),VLOOKUP(G173,NGPrices,3,FALSE()),HLOOKUP(D173,Correllate,VLOOKUP(G173,CorMove,2,FALSE()),FALSE()),Q173-$CD$3,R173,$CJ$5)*H173-CJ173</f>
        <v>#NAME?</v>
      </c>
      <c r="CH173" s="253" t="e">
        <f aca="false">xSPRDOPT((VLOOKUP(G173,NGPREVPRICES,2,FALSE())+HLOOKUP(D173,PREVCURVES,VLOOKUP(G173,MOVE_DOWN2,2,FALSE()),FALSE())),VLOOKUP(G173,NGPREVPRICES,2,FALSE()),CK173,VLOOKUP(G173,NGPREVPRICES,4,FALSE()),HLOOKUP(D173,PREVVOLS,VLOOKUP(G173,MOVE_DOWN2,2,FALSE()),FALSE()),VLOOKUP(G173,NGPREVPRICES,3,FALSE()),HLOOKUP(D173,Correllate,VLOOKUP(G173,CorMove,2,FALSE()),FALSE()),Q173-$C$3,R173,$CJ$5)*H173-CJ173</f>
        <v>#NAME?</v>
      </c>
      <c r="CI173" s="253" t="e">
        <f aca="false">SUM(CD173:CH173)</f>
        <v>#NAME?</v>
      </c>
      <c r="CJ173" s="253" t="e">
        <f aca="false">xSPRDOPT((VLOOKUP(G173,NGPREVPRICES,2,FALSE())+HLOOKUP(D173,PREVCURVES,VLOOKUP(G173,MOVE_DOWN2,2,FALSE()),FALSE())),VLOOKUP(G173,NGPREVPRICES,2,FALSE()),CK173,VLOOKUP(G173,NGPREVPRICES,4,FALSE()),HLOOKUP(D173,PREVVOLS,VLOOKUP(G173,MOVE_DOWN2,2,FALSE()),FALSE()),VLOOKUP(G173,NGPREVPRICES,3,FALSE()),HLOOKUP(D173,Correllate,VLOOKUP(G173,CorMove,2,FALSE()),FALSE()),Q173-$CD$3,R173,$CJ$5)*H173</f>
        <v>#NAME?</v>
      </c>
      <c r="CK173" s="254" t="n">
        <f aca="false">I173</f>
        <v>-0.4</v>
      </c>
      <c r="CL173" s="253"/>
      <c r="CM173" s="0" t="str">
        <f aca="false">CONCATENATE(CC173,$CD$6)</f>
        <v>36770Curve Shift/Gamma</v>
      </c>
      <c r="CN173" s="0" t="str">
        <f aca="false">CONCATENATE($CC173,$CE$6)</f>
        <v>36770Rho</v>
      </c>
      <c r="CO173" s="0" t="str">
        <f aca="false">CONCATENATE($CC173,$CF$6)</f>
        <v>36770Drift</v>
      </c>
      <c r="CP173" s="0" t="str">
        <f aca="false">CONCATENATE($CC173,$CG$6)</f>
        <v>36770Vega</v>
      </c>
      <c r="CQ173" s="0" t="str">
        <f aca="false">CONCATENATE($CC173,$CH$6)</f>
        <v>36770Theta</v>
      </c>
    </row>
    <row r="174" customFormat="false" ht="12" hidden="false" customHeight="true" outlineLevel="0" collapsed="false">
      <c r="A174" s="265" t="s">
        <v>255</v>
      </c>
      <c r="B174" s="0" t="s">
        <v>192</v>
      </c>
      <c r="C174" s="0" t="s">
        <v>260</v>
      </c>
      <c r="D174" s="7" t="s">
        <v>137</v>
      </c>
      <c r="E174" s="0" t="s">
        <v>131</v>
      </c>
      <c r="F174" s="0" t="s">
        <v>136</v>
      </c>
      <c r="G174" s="92" t="n">
        <v>36800</v>
      </c>
      <c r="H174" s="248" t="n">
        <v>-500000</v>
      </c>
      <c r="I174" s="0" t="n">
        <v>0.1</v>
      </c>
      <c r="J174" s="124" t="n">
        <f aca="false">VLOOKUP(G174,NGPrices,2,FALSE())</f>
        <v>4.692</v>
      </c>
      <c r="K174" s="125" t="n">
        <f aca="false">HLOOKUP(D174,Prices,VLOOKUP(G174,move_down,2,FALSE()),FALSE())+VLOOKUP(G174,CHANGE,HLOOKUP(D174,CHANGE,2,FALSE()),FALSE())</f>
        <v>1.99</v>
      </c>
      <c r="L174" s="124" t="n">
        <f aca="false">K174+J174</f>
        <v>6.682</v>
      </c>
      <c r="M174" s="126" t="n">
        <f aca="false">VLOOKUP(G174,NGPrices,4,FALSE())</f>
        <v>0.068050789414654</v>
      </c>
      <c r="N174" s="7" t="n">
        <f aca="false">VLOOKUP(G174,NGPrices,3,FALSE())</f>
        <v>0.575</v>
      </c>
      <c r="O174" s="7" t="n">
        <f aca="false">HLOOKUP(D174,VOLS,VLOOKUP(G174,move_down,2,FALSE()),FALSE())</f>
        <v>0.541</v>
      </c>
      <c r="P174" s="249" t="n">
        <f aca="false">HLOOKUP(D174,Correllate,VLOOKUP(G174,CorMove,2,FALSE()),FALSE())</f>
        <v>0.83</v>
      </c>
      <c r="Q174" s="92" t="n">
        <f aca="false">WORKDAY(G174,-2)</f>
        <v>36797</v>
      </c>
      <c r="R174" s="7" t="n">
        <f aca="false">IF(F174="P",0,1)</f>
        <v>1</v>
      </c>
      <c r="S174" s="130" t="e">
        <f aca="false">xSPRDOPT($L174,$J174,$I174,$M174,$O174,$N174,$P174,$Q174-$C$3,$R174,0)</f>
        <v>#NAME?</v>
      </c>
      <c r="T174" s="250" t="e">
        <f aca="false">xSPRDOPT($L174,$J174,$I174,$M174,$O174,$N174,$P174,$Q174-$C$3,$R174,1)*H174</f>
        <v>#NAME?</v>
      </c>
      <c r="U174" s="43" t="e">
        <f aca="false">S174*H174</f>
        <v>#NAME?</v>
      </c>
      <c r="V174" s="250" t="e">
        <f aca="false">xSPRDOPT($L174,$J174,$I174,$M174,$O174,$N174,$P174,$Q174-$C$3,$R174,2)*H174</f>
        <v>#NAME?</v>
      </c>
      <c r="W174" s="250" t="e">
        <f aca="false">+V174+T174</f>
        <v>#NAME?</v>
      </c>
      <c r="X174" s="2" t="str">
        <f aca="false">CONCATENATE(G174,D174)</f>
        <v>36800NGI-SOCAL</v>
      </c>
      <c r="Y174" s="251" t="n">
        <f aca="false">H174/10000</f>
        <v>-50</v>
      </c>
      <c r="Z174" s="226" t="e">
        <f aca="false">T174/H174</f>
        <v>#NAME?</v>
      </c>
      <c r="AA174" s="226" t="e">
        <f aca="false">xSPRDOPT($L174,$J174,$I174,$M174,$O174,$N174,$P174,$Q174-$C$3,$R174,3)</f>
        <v>#NAME?</v>
      </c>
      <c r="AB174" s="226" t="e">
        <f aca="false">((xSPRDOPT($L174+AB$5,$J174,$I174,$M174,$O174,$N174,$P174,$Q174-$C$3,$R174,3)*$H174)/10000)/100</f>
        <v>#NAME?</v>
      </c>
      <c r="AC174" s="226" t="e">
        <f aca="false">((xSPRDOPT($L174+$AB$5,$J174,$I174,$M174,$O174,$N174,$P174,$Q174-$C$3,$R174,7)*$H174)/100)</f>
        <v>#NAME?</v>
      </c>
      <c r="AD174" s="226" t="e">
        <f aca="false">(xSPRDOPT($L174+$AB$5,$J174,$I174,$M174,$O174,$N174,$P174,$Q174-$C$3,$R174,9)/365)*$H174</f>
        <v>#NAME?</v>
      </c>
      <c r="AE174" s="0" t="e">
        <f aca="false">CD174</f>
        <v>#NAME?</v>
      </c>
      <c r="AF174" s="226" t="e">
        <f aca="false">((O174/N174)*AH174)+AG174</f>
        <v>#NAME?</v>
      </c>
      <c r="AG174" s="226" t="e">
        <f aca="false">((xSPRDOPT($L174,$J174,$I174,$M174,$O174,$N174,$P174,$Q174-$C$3,$R174,6)*$H174)/100)</f>
        <v>#NAME?</v>
      </c>
      <c r="AH174" s="226" t="e">
        <f aca="false">((xSPRDOPT($L174,$J174,$I174,$M174,$O174,$N174,$P174,$Q174-$C$3,$R174,5)*$H174)/100)</f>
        <v>#NAME?</v>
      </c>
      <c r="AI174" s="226" t="e">
        <f aca="false">(((xSPRDOPT($L174,$J174,$I174,$M174,$O174,$N174,$P174,$Q174-$C$3,$R174,4)*$H174)/10000)/100)-AB174</f>
        <v>#NAME?</v>
      </c>
      <c r="AJ174" s="226"/>
      <c r="AK174" s="226"/>
      <c r="AL174" s="226"/>
      <c r="AM174" s="252"/>
      <c r="CC174" s="182" t="n">
        <f aca="false">G174</f>
        <v>36800</v>
      </c>
      <c r="CD174" s="281" t="e">
        <f aca="false">xSPRDOPT((VLOOKUP(G174,NGPrices,2,FALSE())+HLOOKUP(D174,Prices,VLOOKUP(G174,move_down,2,FALSE()),FALSE())),VLOOKUP(G174,NGPrices,2,FALSE()),I174,VLOOKUP(G174,NGPREVPRICES,4,FALSE()),HLOOKUP(D174,PREVVOLS,VLOOKUP(G174,MOVE_DOWN2,2,FALSE()),FALSE()),VLOOKUP(G174,NGPREVPRICES,3,FALSE()),HLOOKUP(D174,Correllate,VLOOKUP(G174,CorMove,2,FALSE()),FALSE()),Q174-$CD$3,R174,$CD$5)*H174-CJ174</f>
        <v>#NAME?</v>
      </c>
      <c r="CE174" s="281" t="e">
        <f aca="false">xSPRDOPT((VLOOKUP(G174,NGPREVPRICES,2,FALSE())+HLOOKUP(D174,PREVCURVES,VLOOKUP(G174,MOVE_DOWN2,2,FALSE()),FALSE())),VLOOKUP(G174,NGPREVPRICES,2,FALSE()),CK174,VLOOKUP(G174,NGPrices,4,FALSE()),HLOOKUP(D174,PREVVOLS,VLOOKUP(G174,MOVE_DOWN2,2,FALSE()),FALSE()),VLOOKUP(G174,NGPREVPRICES,3,FALSE()),HLOOKUP(D174,Correllate,VLOOKUP(G174,CorMove,2,FALSE()),FALSE()),Q174-$CD$3,R174,$CJ$5)*H174-CJ174</f>
        <v>#NAME?</v>
      </c>
      <c r="CF174" s="282" t="e">
        <f aca="false">(CJ174/VLOOKUP(CC174,discount,3,FALSE()))-(CJ174/VLOOKUP(CC174,discount,2,FALSE()))</f>
        <v>#NAME?</v>
      </c>
      <c r="CG174" s="281" t="e">
        <f aca="false">xSPRDOPT((VLOOKUP(G174,NGPREVPRICES,2,FALSE())+HLOOKUP(D174,PREVCURVES,VLOOKUP(G174,MOVE_DOWN2,2,FALSE()),FALSE())),VLOOKUP(G174,NGPREVPRICES,2,FALSE()),CK174,VLOOKUP(G174,NGPREVPRICES,4,FALSE()),HLOOKUP(D174,VOLS,VLOOKUP(G174,move_down,2,FALSE()),FALSE()),VLOOKUP(G174,NGPrices,3,FALSE()),HLOOKUP(D174,Correllate,VLOOKUP(G174,CorMove,2,FALSE()),FALSE()),Q174-$CD$3,R174,$CJ$5)*H174-CJ174</f>
        <v>#NAME?</v>
      </c>
      <c r="CH174" s="281" t="e">
        <f aca="false">xSPRDOPT((VLOOKUP(G174,NGPREVPRICES,2,FALSE())+HLOOKUP(D174,PREVCURVES,VLOOKUP(G174,MOVE_DOWN2,2,FALSE()),FALSE())),VLOOKUP(G174,NGPREVPRICES,2,FALSE()),CK174,VLOOKUP(G174,NGPREVPRICES,4,FALSE()),HLOOKUP(D174,PREVVOLS,VLOOKUP(G174,MOVE_DOWN2,2,FALSE()),FALSE()),VLOOKUP(G174,NGPREVPRICES,3,FALSE()),HLOOKUP(D174,Correllate,VLOOKUP(G174,CorMove,2,FALSE()),FALSE()),Q174-$C$3,R174,$CJ$5)*H174-CJ174</f>
        <v>#NAME?</v>
      </c>
      <c r="CI174" s="281" t="e">
        <f aca="false">SUM(CD174:CH174)</f>
        <v>#NAME?</v>
      </c>
      <c r="CJ174" s="281" t="e">
        <f aca="false">xSPRDOPT((VLOOKUP(G174,NGPREVPRICES,2,FALSE())+HLOOKUP(D174,PREVCURVES,VLOOKUP(G174,MOVE_DOWN2,2,FALSE()),FALSE())),VLOOKUP(G174,NGPREVPRICES,2,FALSE()),CK174,VLOOKUP(G174,NGPREVPRICES,4,FALSE()),HLOOKUP(D174,PREVVOLS,VLOOKUP(G174,MOVE_DOWN2,2,FALSE()),FALSE()),VLOOKUP(G174,NGPREVPRICES,3,FALSE()),HLOOKUP(D174,Correllate,VLOOKUP(G174,CorMove,2,FALSE()),FALSE()),Q174-$CD$3,R174,$CJ$5)*H174</f>
        <v>#NAME?</v>
      </c>
      <c r="CK174" s="254" t="n">
        <f aca="false">I174</f>
        <v>0.1</v>
      </c>
      <c r="CL174" s="253"/>
      <c r="CM174" s="0" t="str">
        <f aca="false">CONCATENATE(CC174,$CD$6)</f>
        <v>36800Curve Shift/Gamma</v>
      </c>
      <c r="CN174" s="0" t="str">
        <f aca="false">CONCATENATE($CC174,$CE$6)</f>
        <v>36800Rho</v>
      </c>
      <c r="CO174" s="0" t="str">
        <f aca="false">CONCATENATE($CC174,$CF$6)</f>
        <v>36800Drift</v>
      </c>
      <c r="CP174" s="0" t="str">
        <f aca="false">CONCATENATE($CC174,$CG$6)</f>
        <v>36800Vega</v>
      </c>
      <c r="CQ174" s="0" t="str">
        <f aca="false">CONCATENATE($CC174,$CH$6)</f>
        <v>36800Theta</v>
      </c>
    </row>
    <row r="175" customFormat="false" ht="12" hidden="false" customHeight="true" outlineLevel="0" collapsed="false">
      <c r="A175" s="265" t="s">
        <v>255</v>
      </c>
      <c r="B175" s="0" t="s">
        <v>192</v>
      </c>
      <c r="C175" s="0" t="s">
        <v>260</v>
      </c>
      <c r="D175" s="7" t="s">
        <v>137</v>
      </c>
      <c r="E175" s="0" t="s">
        <v>131</v>
      </c>
      <c r="F175" s="0" t="s">
        <v>136</v>
      </c>
      <c r="G175" s="92" t="n">
        <v>36770</v>
      </c>
      <c r="H175" s="248" t="n">
        <v>-500000</v>
      </c>
      <c r="I175" s="0" t="n">
        <v>0.1</v>
      </c>
      <c r="J175" s="124" t="n">
        <f aca="false">VLOOKUP(G175,NGPrices,2,FALSE())</f>
        <v>4.685</v>
      </c>
      <c r="K175" s="125" t="n">
        <f aca="false">HLOOKUP(D175,Prices,VLOOKUP(G175,move_down,2,FALSE()),FALSE())+VLOOKUP(G175,CHANGE,HLOOKUP(D175,CHANGE,2,FALSE()),FALSE())</f>
        <v>2.5</v>
      </c>
      <c r="L175" s="124" t="n">
        <f aca="false">K175+J175</f>
        <v>7.185</v>
      </c>
      <c r="M175" s="126" t="n">
        <f aca="false">VLOOKUP(G175,NGPrices,4,FALSE())</f>
        <v>0.067216196212185</v>
      </c>
      <c r="N175" s="7" t="n">
        <f aca="false">VLOOKUP(G175,NGPrices,3,FALSE())</f>
        <v>0.4</v>
      </c>
      <c r="O175" s="7" t="n">
        <f aca="false">HLOOKUP(D175,VOLS,VLOOKUP(G175,move_down,2,FALSE()),FALSE())</f>
        <v>0.376</v>
      </c>
      <c r="P175" s="249" t="n">
        <f aca="false">HLOOKUP(D175,Correllate,VLOOKUP(G175,CorMove,2,FALSE()),FALSE())</f>
        <v>0.83</v>
      </c>
      <c r="Q175" s="92" t="n">
        <f aca="false">WORKDAY(G175,-2)</f>
        <v>36768</v>
      </c>
      <c r="R175" s="7" t="n">
        <f aca="false">IF(F175="P",0,1)</f>
        <v>1</v>
      </c>
      <c r="S175" s="130" t="e">
        <f aca="false">xSPRDOPT($L175,$J175,$I175,$M175,$O175,$N175,$P175,$Q175-$C$3,$R175,0)</f>
        <v>#NAME?</v>
      </c>
      <c r="T175" s="250" t="e">
        <f aca="false">xSPRDOPT($L175,$J175,$I175,$M175,$O175,$N175,$P175,$Q175-$C$3,$R175,1)*H175</f>
        <v>#NAME?</v>
      </c>
      <c r="U175" s="43" t="e">
        <f aca="false">S175*H175</f>
        <v>#NAME?</v>
      </c>
      <c r="V175" s="250" t="e">
        <f aca="false">xSPRDOPT($L175,$J175,$I175,$M175,$O175,$N175,$P175,$Q175-$C$3,$R175,2)*H175</f>
        <v>#NAME?</v>
      </c>
      <c r="W175" s="250" t="e">
        <f aca="false">+V175+T175</f>
        <v>#NAME?</v>
      </c>
      <c r="X175" s="2" t="str">
        <f aca="false">CONCATENATE(G175,D175)</f>
        <v>36770NGI-SOCAL</v>
      </c>
      <c r="Y175" s="251" t="n">
        <f aca="false">H175/10000</f>
        <v>-50</v>
      </c>
      <c r="Z175" s="226" t="e">
        <f aca="false">T175/H175</f>
        <v>#NAME?</v>
      </c>
      <c r="AA175" s="226" t="e">
        <f aca="false">xSPRDOPT($L175,$J175,$I175,$M175,$O175,$N175,$P175,$Q175-$C$3,$R175,3)</f>
        <v>#NAME?</v>
      </c>
      <c r="AB175" s="226" t="e">
        <f aca="false">((xSPRDOPT($L175+AB$5,$J175,$I175,$M175,$O175,$N175,$P175,$Q175-$C$3,$R175,3)*$H175)/10000)/100</f>
        <v>#NAME?</v>
      </c>
      <c r="AC175" s="226" t="e">
        <f aca="false">((xSPRDOPT($L175+$AB$5,$J175,$I175,$M175,$O175,$N175,$P175,$Q175-$C$3,$R175,7)*$H175)/100)</f>
        <v>#NAME?</v>
      </c>
      <c r="AD175" s="226" t="e">
        <f aca="false">(xSPRDOPT($L175+$AB$5,$J175,$I175,$M175,$O175,$N175,$P175,$Q175-$C$3,$R175,9)/365)*$H175</f>
        <v>#NAME?</v>
      </c>
      <c r="AE175" s="0" t="e">
        <f aca="false">CD175</f>
        <v>#NAME?</v>
      </c>
      <c r="AF175" s="226" t="e">
        <f aca="false">((O175/N175)*AH175)+AG175</f>
        <v>#NAME?</v>
      </c>
      <c r="AG175" s="226" t="e">
        <f aca="false">((xSPRDOPT($L175,$J175,$I175,$M175,$O175,$N175,$P175,$Q175-$C$3,$R175,6)*$H175)/100)</f>
        <v>#NAME?</v>
      </c>
      <c r="AH175" s="226" t="e">
        <f aca="false">((xSPRDOPT($L175,$J175,$I175,$M175,$O175,$N175,$P175,$Q175-$C$3,$R175,5)*$H175)/100)</f>
        <v>#NAME?</v>
      </c>
      <c r="AI175" s="226" t="e">
        <f aca="false">(((xSPRDOPT($L175,$J175,$I175,$M175,$O175,$N175,$P175,$Q175-$C$3,$R175,4)*$H175)/10000)/100)-AB175</f>
        <v>#NAME?</v>
      </c>
      <c r="AJ175" s="226"/>
      <c r="AK175" s="226"/>
      <c r="AL175" s="226"/>
      <c r="AM175" s="252"/>
      <c r="CC175" s="182" t="n">
        <f aca="false">G175</f>
        <v>36770</v>
      </c>
      <c r="CD175" s="253" t="e">
        <f aca="false">xSPRDOPT((VLOOKUP(G175,NGPrices,2,FALSE())+HLOOKUP(D175,Prices,VLOOKUP(G175,move_down,2,FALSE()),FALSE())),VLOOKUP(G175,NGPrices,2,FALSE()),I175,VLOOKUP(G175,NGPREVPRICES,4,FALSE()),HLOOKUP(D175,PREVVOLS,VLOOKUP(G175,MOVE_DOWN2,2,FALSE()),FALSE()),VLOOKUP(G175,NGPREVPRICES,3,FALSE()),HLOOKUP(D175,Correllate,VLOOKUP(G175,CorMove,2,FALSE()),FALSE()),Q175-$CD$3,R175,$CD$5)*H175-CJ175</f>
        <v>#NAME?</v>
      </c>
      <c r="CE175" s="253" t="e">
        <f aca="false">xSPRDOPT((VLOOKUP(G175,NGPREVPRICES,2,FALSE())+HLOOKUP(D175,PREVCURVES,VLOOKUP(G175,MOVE_DOWN2,2,FALSE()),FALSE())),VLOOKUP(G175,NGPREVPRICES,2,FALSE()),CK175,VLOOKUP(G175,NGPrices,4,FALSE()),HLOOKUP(D175,PREVVOLS,VLOOKUP(G175,MOVE_DOWN2,2,FALSE()),FALSE()),VLOOKUP(G175,NGPREVPRICES,3,FALSE()),HLOOKUP(D175,Correllate,VLOOKUP(G175,CorMove,2,FALSE()),FALSE()),Q175-$CD$3,R175,$CJ$5)*H175-CJ175</f>
        <v>#NAME?</v>
      </c>
      <c r="CF175" s="132" t="e">
        <f aca="false">(CJ175/VLOOKUP(CC175,discount,3,FALSE()))-(CJ175/VLOOKUP(CC175,discount,2,FALSE()))</f>
        <v>#NAME?</v>
      </c>
      <c r="CG175" s="253" t="e">
        <f aca="false">xSPRDOPT((VLOOKUP(G175,NGPREVPRICES,2,FALSE())+HLOOKUP(D175,PREVCURVES,VLOOKUP(G175,MOVE_DOWN2,2,FALSE()),FALSE())),VLOOKUP(G175,NGPREVPRICES,2,FALSE()),CK175,VLOOKUP(G175,NGPREVPRICES,4,FALSE()),HLOOKUP(D175,VOLS,VLOOKUP(G175,move_down,2,FALSE()),FALSE()),VLOOKUP(G175,NGPrices,3,FALSE()),HLOOKUP(D175,Correllate,VLOOKUP(G175,CorMove,2,FALSE()),FALSE()),Q175-$CD$3,R175,$CJ$5)*H175-CJ175</f>
        <v>#NAME?</v>
      </c>
      <c r="CH175" s="253" t="e">
        <f aca="false">xSPRDOPT((VLOOKUP(G175,NGPREVPRICES,2,FALSE())+HLOOKUP(D175,PREVCURVES,VLOOKUP(G175,MOVE_DOWN2,2,FALSE()),FALSE())),VLOOKUP(G175,NGPREVPRICES,2,FALSE()),CK175,VLOOKUP(G175,NGPREVPRICES,4,FALSE()),HLOOKUP(D175,PREVVOLS,VLOOKUP(G175,MOVE_DOWN2,2,FALSE()),FALSE()),VLOOKUP(G175,NGPREVPRICES,3,FALSE()),HLOOKUP(D175,Correllate,VLOOKUP(G175,CorMove,2,FALSE()),FALSE()),Q175-$C$3,R175,$CJ$5)*H175-CJ175</f>
        <v>#NAME?</v>
      </c>
      <c r="CI175" s="253" t="e">
        <f aca="false">SUM(CD175:CH175)</f>
        <v>#NAME?</v>
      </c>
      <c r="CJ175" s="253" t="e">
        <f aca="false">xSPRDOPT((VLOOKUP(G175,NGPREVPRICES,2,FALSE())+HLOOKUP(D175,PREVCURVES,VLOOKUP(G175,MOVE_DOWN2,2,FALSE()),FALSE())),VLOOKUP(G175,NGPREVPRICES,2,FALSE()),CK175,VLOOKUP(G175,NGPREVPRICES,4,FALSE()),HLOOKUP(D175,PREVVOLS,VLOOKUP(G175,MOVE_DOWN2,2,FALSE()),FALSE()),VLOOKUP(G175,NGPREVPRICES,3,FALSE()),HLOOKUP(D175,Correllate,VLOOKUP(G175,CorMove,2,FALSE()),FALSE()),Q175-$CD$3,R175,$CJ$5)*H175</f>
        <v>#NAME?</v>
      </c>
      <c r="CK175" s="254" t="n">
        <f aca="false">I175</f>
        <v>0.1</v>
      </c>
      <c r="CL175" s="253"/>
      <c r="CM175" s="0" t="str">
        <f aca="false">CONCATENATE(CC175,$CD$6)</f>
        <v>36770Curve Shift/Gamma</v>
      </c>
      <c r="CN175" s="0" t="str">
        <f aca="false">CONCATENATE($CC175,$CE$6)</f>
        <v>36770Rho</v>
      </c>
      <c r="CO175" s="0" t="str">
        <f aca="false">CONCATENATE($CC175,$CF$6)</f>
        <v>36770Drift</v>
      </c>
      <c r="CP175" s="0" t="str">
        <f aca="false">CONCATENATE($CC175,$CG$6)</f>
        <v>36770Vega</v>
      </c>
      <c r="CQ175" s="0" t="str">
        <f aca="false">CONCATENATE($CC175,$CH$6)</f>
        <v>36770Theta</v>
      </c>
    </row>
    <row r="176" customFormat="false" ht="12" hidden="false" customHeight="true" outlineLevel="0" collapsed="false">
      <c r="A176" s="17" t="s">
        <v>244</v>
      </c>
      <c r="B176" s="0" t="s">
        <v>192</v>
      </c>
      <c r="C176" s="0" t="s">
        <v>261</v>
      </c>
      <c r="D176" s="7" t="s">
        <v>149</v>
      </c>
      <c r="E176" s="0" t="s">
        <v>131</v>
      </c>
      <c r="F176" s="0" t="s">
        <v>136</v>
      </c>
      <c r="G176" s="92" t="n">
        <v>36951</v>
      </c>
      <c r="H176" s="248" t="n">
        <v>310000</v>
      </c>
      <c r="I176" s="0" t="n">
        <v>1.15</v>
      </c>
      <c r="J176" s="124" t="n">
        <f aca="false">VLOOKUP(G176,NGPrices,2,FALSE())</f>
        <v>4.213</v>
      </c>
      <c r="K176" s="125" t="n">
        <f aca="false">HLOOKUP(D176,Prices,VLOOKUP(G176,move_down,2,FALSE()),FALSE())+VLOOKUP(G176,CHANGE,HLOOKUP(D176,CHANGE,2,FALSE()),FALSE())</f>
        <v>1.075</v>
      </c>
      <c r="L176" s="124" t="n">
        <f aca="false">K176+J176</f>
        <v>5.288</v>
      </c>
      <c r="M176" s="126" t="n">
        <f aca="false">VLOOKUP(G176,NGPrices,4,FALSE())</f>
        <v>0.068879814952707</v>
      </c>
      <c r="N176" s="7" t="n">
        <f aca="false">VLOOKUP(G176,NGPrices,3,FALSE())</f>
        <v>0.5325</v>
      </c>
      <c r="O176" s="7" t="n">
        <f aca="false">HLOOKUP(D176,VOLS,VLOOKUP(G176,move_down,2,FALSE()),FALSE())</f>
        <v>0.612</v>
      </c>
      <c r="P176" s="249" t="n">
        <f aca="false">HLOOKUP(D176,Correllate,VLOOKUP(G176,CorMove,2,FALSE()),FALSE())</f>
        <v>0.83</v>
      </c>
      <c r="Q176" s="92" t="n">
        <f aca="false">WORKDAY(G176,-2)</f>
        <v>36949</v>
      </c>
      <c r="R176" s="7" t="n">
        <f aca="false">IF(F176="P",0,1)</f>
        <v>1</v>
      </c>
      <c r="S176" s="130" t="e">
        <f aca="false">xSPRDOPT($L176,$J176,$I176,$M176,$O176,$N176,$P176,$Q176-$C$3,$R176,0)</f>
        <v>#NAME?</v>
      </c>
      <c r="T176" s="250" t="e">
        <f aca="false">xSPRDOPT($L176,$J176,$I176,$M176,$O176,$N176,$P176,$Q176-$C$3,$R176,1)*H176</f>
        <v>#NAME?</v>
      </c>
      <c r="U176" s="43" t="e">
        <f aca="false">S176*H176</f>
        <v>#NAME?</v>
      </c>
      <c r="V176" s="250" t="e">
        <f aca="false">xSPRDOPT($L176,$J176,$I176,$M176,$O176,$N176,$P176,$Q176-$C$3,$R176,2)*H176</f>
        <v>#NAME?</v>
      </c>
      <c r="W176" s="250" t="e">
        <f aca="false">+V176+T176</f>
        <v>#NAME?</v>
      </c>
      <c r="X176" s="2" t="str">
        <f aca="false">CONCATENATE(G176,D176)</f>
        <v>36951IF-TRANSCO/Z6</v>
      </c>
      <c r="Y176" s="251" t="n">
        <f aca="false">H176/10000</f>
        <v>31</v>
      </c>
      <c r="Z176" s="226" t="e">
        <f aca="false">T176/H176</f>
        <v>#NAME?</v>
      </c>
      <c r="AA176" s="226" t="e">
        <f aca="false">xSPRDOPT($L176,$J176,$I176,$M176,$O176,$N176,$P176,$Q176-$C$3,$R176,3)</f>
        <v>#NAME?</v>
      </c>
      <c r="AB176" s="226" t="e">
        <f aca="false">((xSPRDOPT($L176+AB$5,$J176,$I176,$M176,$O176,$N176,$P176,$Q176-$C$3,$R176,3)*$H176)/10000)/100</f>
        <v>#NAME?</v>
      </c>
      <c r="AC176" s="226" t="e">
        <f aca="false">((xSPRDOPT($L176+$AB$5,$J176,$I176,$M176,$O176,$N176,$P176,$Q176-$C$3,$R176,7)*$H176)/100)</f>
        <v>#NAME?</v>
      </c>
      <c r="AD176" s="226" t="e">
        <f aca="false">(xSPRDOPT($L176+$AB$5,$J176,$I176,$M176,$O176,$N176,$P176,$Q176-$C$3,$R176,9)/365)*$H176</f>
        <v>#NAME?</v>
      </c>
      <c r="AE176" s="0" t="e">
        <f aca="false">CD176</f>
        <v>#NAME?</v>
      </c>
      <c r="AF176" s="226" t="e">
        <f aca="false">((O176/N176)*AH176)+AG176</f>
        <v>#NAME?</v>
      </c>
      <c r="AG176" s="226" t="e">
        <f aca="false">((xSPRDOPT($L176,$J176,$I176,$M176,$O176,$N176,$P176,$Q176-$C$3,$R176,6)*$H176)/100)</f>
        <v>#NAME?</v>
      </c>
      <c r="AH176" s="226" t="e">
        <f aca="false">((xSPRDOPT($L176,$J176,$I176,$M176,$O176,$N176,$P176,$Q176-$C$3,$R176,5)*$H176)/100)</f>
        <v>#NAME?</v>
      </c>
      <c r="AI176" s="226" t="e">
        <f aca="false">(((xSPRDOPT($L176,$J176,$I176,$M176,$O176,$N176,$P176,$Q176-$C$3,$R176,4)*$H176)/10000)/100)-AB176</f>
        <v>#NAME?</v>
      </c>
      <c r="AJ176" s="226"/>
      <c r="AK176" s="226"/>
      <c r="AL176" s="226"/>
      <c r="AM176" s="252"/>
      <c r="CC176" s="182" t="n">
        <f aca="false">G176</f>
        <v>36951</v>
      </c>
      <c r="CD176" s="253" t="e">
        <f aca="false">xSPRDOPT((VLOOKUP(G176,NGPrices,2,FALSE())+HLOOKUP(D176,Prices,VLOOKUP(G176,move_down,2,FALSE()),FALSE())),VLOOKUP(G176,NGPrices,2,FALSE()),I176,VLOOKUP(G176,NGPREVPRICES,4,FALSE()),HLOOKUP(D176,PREVVOLS,VLOOKUP(G176,MOVE_DOWN2,2,FALSE()),FALSE()),VLOOKUP(G176,NGPREVPRICES,3,FALSE()),HLOOKUP(D176,Correllate,VLOOKUP(G176,CorMove,2,FALSE()),FALSE()),Q176-$CD$3,R176,$CD$5)*H176-CJ176</f>
        <v>#NAME?</v>
      </c>
      <c r="CE176" s="253" t="e">
        <f aca="false">xSPRDOPT((VLOOKUP(G176,NGPREVPRICES,2,FALSE())+HLOOKUP(D176,PREVCURVES,VLOOKUP(G176,MOVE_DOWN2,2,FALSE()),FALSE())),VLOOKUP(G176,NGPREVPRICES,2,FALSE()),CK176,VLOOKUP(G176,NGPrices,4,FALSE()),HLOOKUP(D176,PREVVOLS,VLOOKUP(G176,MOVE_DOWN2,2,FALSE()),FALSE()),VLOOKUP(G176,NGPREVPRICES,3,FALSE()),HLOOKUP(D176,Correllate,VLOOKUP(G176,CorMove,2,FALSE()),FALSE()),Q176-$CD$3,R176,$CJ$5)*H176-CJ176</f>
        <v>#NAME?</v>
      </c>
      <c r="CF176" s="132" t="e">
        <f aca="false">(CJ176/VLOOKUP(CC176,discount,3,FALSE()))-(CJ176/VLOOKUP(CC176,discount,2,FALSE()))</f>
        <v>#NAME?</v>
      </c>
      <c r="CG176" s="253" t="e">
        <f aca="false">xSPRDOPT((VLOOKUP(G176,NGPREVPRICES,2,FALSE())+HLOOKUP(D176,PREVCURVES,VLOOKUP(G176,MOVE_DOWN2,2,FALSE()),FALSE())),VLOOKUP(G176,NGPREVPRICES,2,FALSE()),CK176,VLOOKUP(G176,NGPREVPRICES,4,FALSE()),HLOOKUP(D176,VOLS,VLOOKUP(G176,move_down,2,FALSE()),FALSE()),VLOOKUP(G176,NGPrices,3,FALSE()),HLOOKUP(D176,Correllate,VLOOKUP(G176,CorMove,2,FALSE()),FALSE()),Q176-$CD$3,R176,$CJ$5)*H176-CJ176</f>
        <v>#NAME?</v>
      </c>
      <c r="CH176" s="253" t="e">
        <f aca="false">xSPRDOPT((VLOOKUP(G176,NGPREVPRICES,2,FALSE())+HLOOKUP(D176,PREVCURVES,VLOOKUP(G176,MOVE_DOWN2,2,FALSE()),FALSE())),VLOOKUP(G176,NGPREVPRICES,2,FALSE()),CK176,VLOOKUP(G176,NGPREVPRICES,4,FALSE()),HLOOKUP(D176,PREVVOLS,VLOOKUP(G176,MOVE_DOWN2,2,FALSE()),FALSE()),VLOOKUP(G176,NGPREVPRICES,3,FALSE()),HLOOKUP(D176,Correllate,VLOOKUP(G176,CorMove,2,FALSE()),FALSE()),Q176-$C$3,R176,$CJ$5)*H176-CJ176</f>
        <v>#NAME?</v>
      </c>
      <c r="CI176" s="253" t="e">
        <f aca="false">SUM(CD176:CH176)</f>
        <v>#NAME?</v>
      </c>
      <c r="CJ176" s="253" t="e">
        <f aca="false">xSPRDOPT((VLOOKUP(G176,NGPREVPRICES,2,FALSE())+HLOOKUP(D176,PREVCURVES,VLOOKUP(G176,MOVE_DOWN2,2,FALSE()),FALSE())),VLOOKUP(G176,NGPREVPRICES,2,FALSE()),CK176,VLOOKUP(G176,NGPREVPRICES,4,FALSE()),HLOOKUP(D176,PREVVOLS,VLOOKUP(G176,MOVE_DOWN2,2,FALSE()),FALSE()),VLOOKUP(G176,NGPREVPRICES,3,FALSE()),HLOOKUP(D176,Correllate,VLOOKUP(G176,CorMove,2,FALSE()),FALSE()),Q176-$CD$3,R176,$CJ$5)*H176</f>
        <v>#NAME?</v>
      </c>
      <c r="CK176" s="254" t="n">
        <f aca="false">I176</f>
        <v>1.15</v>
      </c>
      <c r="CL176" s="253"/>
      <c r="CM176" s="0" t="str">
        <f aca="false">CONCATENATE(CC176,$CD$6)</f>
        <v>36951Curve Shift/Gamma</v>
      </c>
      <c r="CN176" s="0" t="str">
        <f aca="false">CONCATENATE($CC176,$CE$6)</f>
        <v>36951Rho</v>
      </c>
      <c r="CO176" s="0" t="str">
        <f aca="false">CONCATENATE($CC176,$CF$6)</f>
        <v>36951Drift</v>
      </c>
      <c r="CP176" s="0" t="str">
        <f aca="false">CONCATENATE($CC176,$CG$6)</f>
        <v>36951Vega</v>
      </c>
      <c r="CQ176" s="0" t="str">
        <f aca="false">CONCATENATE($CC176,$CH$6)</f>
        <v>36951Theta</v>
      </c>
    </row>
    <row r="177" customFormat="false" ht="12" hidden="false" customHeight="true" outlineLevel="0" collapsed="false">
      <c r="A177" s="17" t="s">
        <v>244</v>
      </c>
      <c r="B177" s="0" t="s">
        <v>192</v>
      </c>
      <c r="C177" s="0" t="s">
        <v>261</v>
      </c>
      <c r="D177" s="7" t="s">
        <v>149</v>
      </c>
      <c r="E177" s="0" t="s">
        <v>131</v>
      </c>
      <c r="F177" s="0" t="s">
        <v>136</v>
      </c>
      <c r="G177" s="92" t="n">
        <v>36923</v>
      </c>
      <c r="H177" s="248" t="n">
        <v>280000</v>
      </c>
      <c r="I177" s="0" t="n">
        <v>1.15</v>
      </c>
      <c r="J177" s="124" t="n">
        <f aca="false">VLOOKUP(G177,NGPrices,2,FALSE())</f>
        <v>4.48</v>
      </c>
      <c r="K177" s="125" t="n">
        <f aca="false">HLOOKUP(D177,Prices,VLOOKUP(G177,move_down,2,FALSE()),FALSE())+VLOOKUP(G177,CHANGE,HLOOKUP(D177,CHANGE,2,FALSE()),FALSE())</f>
        <v>2.09</v>
      </c>
      <c r="L177" s="124" t="n">
        <f aca="false">K177+J177</f>
        <v>6.57</v>
      </c>
      <c r="M177" s="126" t="n">
        <f aca="false">VLOOKUP(G177,NGPrices,4,FALSE())</f>
        <v>0.068640161611372</v>
      </c>
      <c r="N177" s="7" t="n">
        <f aca="false">VLOOKUP(G177,NGPrices,3,FALSE())</f>
        <v>0.5925</v>
      </c>
      <c r="O177" s="7" t="n">
        <f aca="false">HLOOKUP(D177,VOLS,VLOOKUP(G177,move_down,2,FALSE()),FALSE())</f>
        <v>0.681</v>
      </c>
      <c r="P177" s="249" t="n">
        <f aca="false">HLOOKUP(D177,Correllate,VLOOKUP(G177,CorMove,2,FALSE()),FALSE())</f>
        <v>0.83</v>
      </c>
      <c r="Q177" s="92" t="n">
        <f aca="false">WORKDAY(G177,-2)</f>
        <v>36921</v>
      </c>
      <c r="R177" s="7" t="n">
        <f aca="false">IF(F177="P",0,1)</f>
        <v>1</v>
      </c>
      <c r="S177" s="130" t="e">
        <f aca="false">xSPRDOPT($L177,$J177,$I177,$M177,$O177,$N177,$P177,$Q177-$C$3,$R177,0)</f>
        <v>#NAME?</v>
      </c>
      <c r="T177" s="250" t="e">
        <f aca="false">xSPRDOPT($L177,$J177,$I177,$M177,$O177,$N177,$P177,$Q177-$C$3,$R177,1)*H177</f>
        <v>#NAME?</v>
      </c>
      <c r="U177" s="43" t="e">
        <f aca="false">S177*H177</f>
        <v>#NAME?</v>
      </c>
      <c r="V177" s="250" t="e">
        <f aca="false">xSPRDOPT($L177,$J177,$I177,$M177,$O177,$N177,$P177,$Q177-$C$3,$R177,2)*H177</f>
        <v>#NAME?</v>
      </c>
      <c r="W177" s="250" t="e">
        <f aca="false">+V177+T177</f>
        <v>#NAME?</v>
      </c>
      <c r="X177" s="2" t="str">
        <f aca="false">CONCATENATE(G177,D177)</f>
        <v>36923IF-TRANSCO/Z6</v>
      </c>
      <c r="Y177" s="251" t="n">
        <f aca="false">H177/10000</f>
        <v>28</v>
      </c>
      <c r="Z177" s="226" t="e">
        <f aca="false">T177/H177</f>
        <v>#NAME?</v>
      </c>
      <c r="AA177" s="226" t="e">
        <f aca="false">xSPRDOPT($L177,$J177,$I177,$M177,$O177,$N177,$P177,$Q177-$C$3,$R177,3)</f>
        <v>#NAME?</v>
      </c>
      <c r="AB177" s="226" t="e">
        <f aca="false">((xSPRDOPT($L177+AB$5,$J177,$I177,$M177,$O177,$N177,$P177,$Q177-$C$3,$R177,3)*$H177)/10000)/100</f>
        <v>#NAME?</v>
      </c>
      <c r="AC177" s="226" t="e">
        <f aca="false">((xSPRDOPT($L177+$AB$5,$J177,$I177,$M177,$O177,$N177,$P177,$Q177-$C$3,$R177,7)*$H177)/100)</f>
        <v>#NAME?</v>
      </c>
      <c r="AD177" s="226" t="e">
        <f aca="false">(xSPRDOPT($L177+$AB$5,$J177,$I177,$M177,$O177,$N177,$P177,$Q177-$C$3,$R177,9)/365)*$H177</f>
        <v>#NAME?</v>
      </c>
      <c r="AE177" s="0" t="e">
        <f aca="false">CD177</f>
        <v>#NAME?</v>
      </c>
      <c r="AF177" s="226" t="e">
        <f aca="false">((O177/N177)*AH177)+AG177</f>
        <v>#NAME?</v>
      </c>
      <c r="AG177" s="226" t="e">
        <f aca="false">((xSPRDOPT($L177,$J177,$I177,$M177,$O177,$N177,$P177,$Q177-$C$3,$R177,6)*$H177)/100)</f>
        <v>#NAME?</v>
      </c>
      <c r="AH177" s="226" t="e">
        <f aca="false">((xSPRDOPT($L177,$J177,$I177,$M177,$O177,$N177,$P177,$Q177-$C$3,$R177,5)*$H177)/100)</f>
        <v>#NAME?</v>
      </c>
      <c r="AI177" s="226" t="e">
        <f aca="false">(((xSPRDOPT($L177,$J177,$I177,$M177,$O177,$N177,$P177,$Q177-$C$3,$R177,4)*$H177)/10000)/100)-AB177</f>
        <v>#NAME?</v>
      </c>
      <c r="AJ177" s="226"/>
      <c r="AK177" s="226"/>
      <c r="AL177" s="226"/>
      <c r="AM177" s="252"/>
      <c r="CC177" s="182" t="n">
        <f aca="false">G177</f>
        <v>36923</v>
      </c>
      <c r="CD177" s="253" t="e">
        <f aca="false">xSPRDOPT((VLOOKUP(G177,NGPrices,2,FALSE())+HLOOKUP(D177,Prices,VLOOKUP(G177,move_down,2,FALSE()),FALSE())),VLOOKUP(G177,NGPrices,2,FALSE()),I177,VLOOKUP(G177,NGPREVPRICES,4,FALSE()),HLOOKUP(D177,PREVVOLS,VLOOKUP(G177,MOVE_DOWN2,2,FALSE()),FALSE()),VLOOKUP(G177,NGPREVPRICES,3,FALSE()),HLOOKUP(D177,Correllate,VLOOKUP(G177,CorMove,2,FALSE()),FALSE()),Q177-$CD$3,R177,$CD$5)*H177-CJ177</f>
        <v>#NAME?</v>
      </c>
      <c r="CE177" s="253" t="e">
        <f aca="false">xSPRDOPT((VLOOKUP(G177,NGPREVPRICES,2,FALSE())+HLOOKUP(D177,PREVCURVES,VLOOKUP(G177,MOVE_DOWN2,2,FALSE()),FALSE())),VLOOKUP(G177,NGPREVPRICES,2,FALSE()),CK177,VLOOKUP(G177,NGPrices,4,FALSE()),HLOOKUP(D177,PREVVOLS,VLOOKUP(G177,MOVE_DOWN2,2,FALSE()),FALSE()),VLOOKUP(G177,NGPREVPRICES,3,FALSE()),HLOOKUP(D177,Correllate,VLOOKUP(G177,CorMove,2,FALSE()),FALSE()),Q177-$CD$3,R177,$CJ$5)*H177-CJ177</f>
        <v>#NAME?</v>
      </c>
      <c r="CF177" s="132" t="e">
        <f aca="false">(CJ177/VLOOKUP(CC177,discount,3,FALSE()))-(CJ177/VLOOKUP(CC177,discount,2,FALSE()))</f>
        <v>#NAME?</v>
      </c>
      <c r="CG177" s="253" t="e">
        <f aca="false">xSPRDOPT((VLOOKUP(G177,NGPREVPRICES,2,FALSE())+HLOOKUP(D177,PREVCURVES,VLOOKUP(G177,MOVE_DOWN2,2,FALSE()),FALSE())),VLOOKUP(G177,NGPREVPRICES,2,FALSE()),CK177,VLOOKUP(G177,NGPREVPRICES,4,FALSE()),HLOOKUP(D177,VOLS,VLOOKUP(G177,move_down,2,FALSE()),FALSE()),VLOOKUP(G177,NGPrices,3,FALSE()),HLOOKUP(D177,Correllate,VLOOKUP(G177,CorMove,2,FALSE()),FALSE()),Q177-$CD$3,R177,$CJ$5)*H177-CJ177</f>
        <v>#NAME?</v>
      </c>
      <c r="CH177" s="253" t="e">
        <f aca="false">xSPRDOPT((VLOOKUP(G177,NGPREVPRICES,2,FALSE())+HLOOKUP(D177,PREVCURVES,VLOOKUP(G177,MOVE_DOWN2,2,FALSE()),FALSE())),VLOOKUP(G177,NGPREVPRICES,2,FALSE()),CK177,VLOOKUP(G177,NGPREVPRICES,4,FALSE()),HLOOKUP(D177,PREVVOLS,VLOOKUP(G177,MOVE_DOWN2,2,FALSE()),FALSE()),VLOOKUP(G177,NGPREVPRICES,3,FALSE()),HLOOKUP(D177,Correllate,VLOOKUP(G177,CorMove,2,FALSE()),FALSE()),Q177-$C$3,R177,$CJ$5)*H177-CJ177</f>
        <v>#NAME?</v>
      </c>
      <c r="CI177" s="253" t="e">
        <f aca="false">SUM(CD177:CH177)</f>
        <v>#NAME?</v>
      </c>
      <c r="CJ177" s="253" t="e">
        <f aca="false">xSPRDOPT((VLOOKUP(G177,NGPREVPRICES,2,FALSE())+HLOOKUP(D177,PREVCURVES,VLOOKUP(G177,MOVE_DOWN2,2,FALSE()),FALSE())),VLOOKUP(G177,NGPREVPRICES,2,FALSE()),CK177,VLOOKUP(G177,NGPREVPRICES,4,FALSE()),HLOOKUP(D177,PREVVOLS,VLOOKUP(G177,MOVE_DOWN2,2,FALSE()),FALSE()),VLOOKUP(G177,NGPREVPRICES,3,FALSE()),HLOOKUP(D177,Correllate,VLOOKUP(G177,CorMove,2,FALSE()),FALSE()),Q177-$CD$3,R177,$CJ$5)*H177</f>
        <v>#NAME?</v>
      </c>
      <c r="CK177" s="254" t="n">
        <f aca="false">I177</f>
        <v>1.15</v>
      </c>
      <c r="CL177" s="253"/>
      <c r="CM177" s="0" t="str">
        <f aca="false">CONCATENATE(CC177,$CD$6)</f>
        <v>36923Curve Shift/Gamma</v>
      </c>
      <c r="CN177" s="0" t="str">
        <f aca="false">CONCATENATE($CC177,$CE$6)</f>
        <v>36923Rho</v>
      </c>
      <c r="CO177" s="0" t="str">
        <f aca="false">CONCATENATE($CC177,$CF$6)</f>
        <v>36923Drift</v>
      </c>
      <c r="CP177" s="0" t="str">
        <f aca="false">CONCATENATE($CC177,$CG$6)</f>
        <v>36923Vega</v>
      </c>
      <c r="CQ177" s="0" t="str">
        <f aca="false">CONCATENATE($CC177,$CH$6)</f>
        <v>36923Theta</v>
      </c>
    </row>
    <row r="178" customFormat="false" ht="12" hidden="false" customHeight="true" outlineLevel="0" collapsed="false">
      <c r="A178" s="17" t="s">
        <v>244</v>
      </c>
      <c r="B178" s="0" t="s">
        <v>192</v>
      </c>
      <c r="C178" s="0" t="s">
        <v>261</v>
      </c>
      <c r="D178" s="7" t="s">
        <v>149</v>
      </c>
      <c r="E178" s="0" t="s">
        <v>131</v>
      </c>
      <c r="F178" s="0" t="s">
        <v>136</v>
      </c>
      <c r="G178" s="92" t="n">
        <v>36892</v>
      </c>
      <c r="H178" s="248" t="n">
        <v>310000</v>
      </c>
      <c r="I178" s="0" t="n">
        <v>1.15</v>
      </c>
      <c r="J178" s="124" t="n">
        <f aca="false">VLOOKUP(G178,NGPrices,2,FALSE())</f>
        <v>4.744</v>
      </c>
      <c r="K178" s="125" t="n">
        <f aca="false">HLOOKUP(D178,Prices,VLOOKUP(G178,move_down,2,FALSE()),FALSE())+VLOOKUP(G178,CHANGE,HLOOKUP(D178,CHANGE,2,FALSE()),FALSE())</f>
        <v>2.17</v>
      </c>
      <c r="L178" s="124" t="n">
        <f aca="false">K178+J178</f>
        <v>6.914</v>
      </c>
      <c r="M178" s="126" t="n">
        <f aca="false">VLOOKUP(G178,NGPrices,4,FALSE())</f>
        <v>0.068374831148491</v>
      </c>
      <c r="N178" s="7" t="n">
        <f aca="false">VLOOKUP(G178,NGPrices,3,FALSE())</f>
        <v>0.605</v>
      </c>
      <c r="O178" s="7" t="n">
        <f aca="false">HLOOKUP(D178,VOLS,VLOOKUP(G178,move_down,2,FALSE()),FALSE())</f>
        <v>0.696</v>
      </c>
      <c r="P178" s="249" t="n">
        <f aca="false">HLOOKUP(D178,Correllate,VLOOKUP(G178,CorMove,2,FALSE()),FALSE())</f>
        <v>0.83</v>
      </c>
      <c r="Q178" s="92" t="n">
        <f aca="false">WORKDAY(G178,-2)</f>
        <v>36888</v>
      </c>
      <c r="R178" s="7" t="n">
        <f aca="false">IF(F178="P",0,1)</f>
        <v>1</v>
      </c>
      <c r="S178" s="130" t="e">
        <f aca="false">xSPRDOPT($L178,$J178,$I178,$M178,$O178,$N178,$P178,$Q178-$C$3,$R178,0)</f>
        <v>#NAME?</v>
      </c>
      <c r="T178" s="250" t="e">
        <f aca="false">xSPRDOPT($L178,$J178,$I178,$M178,$O178,$N178,$P178,$Q178-$C$3,$R178,1)*H178</f>
        <v>#NAME?</v>
      </c>
      <c r="U178" s="43" t="e">
        <f aca="false">S178*H178</f>
        <v>#NAME?</v>
      </c>
      <c r="V178" s="250" t="e">
        <f aca="false">xSPRDOPT($L178,$J178,$I178,$M178,$O178,$N178,$P178,$Q178-$C$3,$R178,2)*H178</f>
        <v>#NAME?</v>
      </c>
      <c r="W178" s="250" t="e">
        <f aca="false">+V178+T178</f>
        <v>#NAME?</v>
      </c>
      <c r="X178" s="2" t="str">
        <f aca="false">CONCATENATE(G178,D178)</f>
        <v>36892IF-TRANSCO/Z6</v>
      </c>
      <c r="Y178" s="251" t="n">
        <f aca="false">H178/10000</f>
        <v>31</v>
      </c>
      <c r="Z178" s="226" t="e">
        <f aca="false">T178/H178</f>
        <v>#NAME?</v>
      </c>
      <c r="AA178" s="226" t="e">
        <f aca="false">xSPRDOPT($L178,$J178,$I178,$M178,$O178,$N178,$P178,$Q178-$C$3,$R178,3)</f>
        <v>#NAME?</v>
      </c>
      <c r="AB178" s="226" t="e">
        <f aca="false">((xSPRDOPT($L178+AB$5,$J178,$I178,$M178,$O178,$N178,$P178,$Q178-$C$3,$R178,3)*$H178)/10000)/100</f>
        <v>#NAME?</v>
      </c>
      <c r="AC178" s="226" t="e">
        <f aca="false">((xSPRDOPT($L178+$AB$5,$J178,$I178,$M178,$O178,$N178,$P178,$Q178-$C$3,$R178,7)*$H178)/100)</f>
        <v>#NAME?</v>
      </c>
      <c r="AD178" s="226" t="e">
        <f aca="false">(xSPRDOPT($L178+$AB$5,$J178,$I178,$M178,$O178,$N178,$P178,$Q178-$C$3,$R178,9)/365)*$H178</f>
        <v>#NAME?</v>
      </c>
      <c r="AE178" s="0" t="e">
        <f aca="false">CD178</f>
        <v>#NAME?</v>
      </c>
      <c r="AF178" s="226" t="e">
        <f aca="false">((O178/N178)*AH178)+AG178</f>
        <v>#NAME?</v>
      </c>
      <c r="AG178" s="226" t="e">
        <f aca="false">((xSPRDOPT($L178,$J178,$I178,$M178,$O178,$N178,$P178,$Q178-$C$3,$R178,6)*$H178)/100)</f>
        <v>#NAME?</v>
      </c>
      <c r="AH178" s="226" t="e">
        <f aca="false">((xSPRDOPT($L178,$J178,$I178,$M178,$O178,$N178,$P178,$Q178-$C$3,$R178,5)*$H178)/100)</f>
        <v>#NAME?</v>
      </c>
      <c r="AI178" s="226" t="e">
        <f aca="false">(((xSPRDOPT($L178,$J178,$I178,$M178,$O178,$N178,$P178,$Q178-$C$3,$R178,4)*$H178)/10000)/100)-AB178</f>
        <v>#NAME?</v>
      </c>
      <c r="AJ178" s="226"/>
      <c r="AK178" s="226"/>
      <c r="AL178" s="226"/>
      <c r="AM178" s="252"/>
      <c r="CC178" s="182" t="n">
        <f aca="false">G178</f>
        <v>36892</v>
      </c>
      <c r="CD178" s="253" t="e">
        <f aca="false">xSPRDOPT((VLOOKUP(G178,NGPrices,2,FALSE())+HLOOKUP(D178,Prices,VLOOKUP(G178,move_down,2,FALSE()),FALSE())),VLOOKUP(G178,NGPrices,2,FALSE()),I178,VLOOKUP(G178,NGPREVPRICES,4,FALSE()),HLOOKUP(D178,PREVVOLS,VLOOKUP(G178,MOVE_DOWN2,2,FALSE()),FALSE()),VLOOKUP(G178,NGPREVPRICES,3,FALSE()),HLOOKUP(D178,Correllate,VLOOKUP(G178,CorMove,2,FALSE()),FALSE()),Q178-$CD$3,R178,$CD$5)*H178-CJ178</f>
        <v>#NAME?</v>
      </c>
      <c r="CE178" s="253" t="e">
        <f aca="false">xSPRDOPT((VLOOKUP(G178,NGPREVPRICES,2,FALSE())+HLOOKUP(D178,PREVCURVES,VLOOKUP(G178,MOVE_DOWN2,2,FALSE()),FALSE())),VLOOKUP(G178,NGPREVPRICES,2,FALSE()),CK178,VLOOKUP(G178,NGPrices,4,FALSE()),HLOOKUP(D178,PREVVOLS,VLOOKUP(G178,MOVE_DOWN2,2,FALSE()),FALSE()),VLOOKUP(G178,NGPREVPRICES,3,FALSE()),HLOOKUP(D178,Correllate,VLOOKUP(G178,CorMove,2,FALSE()),FALSE()),Q178-$CD$3,R178,$CJ$5)*H178-CJ178</f>
        <v>#NAME?</v>
      </c>
      <c r="CF178" s="132" t="e">
        <f aca="false">(CJ178/VLOOKUP(CC178,discount,3,FALSE()))-(CJ178/VLOOKUP(CC178,discount,2,FALSE()))</f>
        <v>#NAME?</v>
      </c>
      <c r="CG178" s="253" t="e">
        <f aca="false">xSPRDOPT((VLOOKUP(G178,NGPREVPRICES,2,FALSE())+HLOOKUP(D178,PREVCURVES,VLOOKUP(G178,MOVE_DOWN2,2,FALSE()),FALSE())),VLOOKUP(G178,NGPREVPRICES,2,FALSE()),CK178,VLOOKUP(G178,NGPREVPRICES,4,FALSE()),HLOOKUP(D178,VOLS,VLOOKUP(G178,move_down,2,FALSE()),FALSE()),VLOOKUP(G178,NGPrices,3,FALSE()),HLOOKUP(D178,Correllate,VLOOKUP(G178,CorMove,2,FALSE()),FALSE()),Q178-$CD$3,R178,$CJ$5)*H178-CJ178</f>
        <v>#NAME?</v>
      </c>
      <c r="CH178" s="253" t="e">
        <f aca="false">xSPRDOPT((VLOOKUP(G178,NGPREVPRICES,2,FALSE())+HLOOKUP(D178,PREVCURVES,VLOOKUP(G178,MOVE_DOWN2,2,FALSE()),FALSE())),VLOOKUP(G178,NGPREVPRICES,2,FALSE()),CK178,VLOOKUP(G178,NGPREVPRICES,4,FALSE()),HLOOKUP(D178,PREVVOLS,VLOOKUP(G178,MOVE_DOWN2,2,FALSE()),FALSE()),VLOOKUP(G178,NGPREVPRICES,3,FALSE()),HLOOKUP(D178,Correllate,VLOOKUP(G178,CorMove,2,FALSE()),FALSE()),Q178-$C$3,R178,$CJ$5)*H178-CJ178</f>
        <v>#NAME?</v>
      </c>
      <c r="CI178" s="253" t="e">
        <f aca="false">SUM(CD178:CH178)</f>
        <v>#NAME?</v>
      </c>
      <c r="CJ178" s="253" t="e">
        <f aca="false">xSPRDOPT((VLOOKUP(G178,NGPREVPRICES,2,FALSE())+HLOOKUP(D178,PREVCURVES,VLOOKUP(G178,MOVE_DOWN2,2,FALSE()),FALSE())),VLOOKUP(G178,NGPREVPRICES,2,FALSE()),CK178,VLOOKUP(G178,NGPREVPRICES,4,FALSE()),HLOOKUP(D178,PREVVOLS,VLOOKUP(G178,MOVE_DOWN2,2,FALSE()),FALSE()),VLOOKUP(G178,NGPREVPRICES,3,FALSE()),HLOOKUP(D178,Correllate,VLOOKUP(G178,CorMove,2,FALSE()),FALSE()),Q178-$CD$3,R178,$CJ$5)*H178</f>
        <v>#NAME?</v>
      </c>
      <c r="CK178" s="254" t="n">
        <f aca="false">I178</f>
        <v>1.15</v>
      </c>
      <c r="CL178" s="253"/>
      <c r="CM178" s="0" t="str">
        <f aca="false">CONCATENATE(CC178,$CD$6)</f>
        <v>36892Curve Shift/Gamma</v>
      </c>
      <c r="CN178" s="0" t="str">
        <f aca="false">CONCATENATE($CC178,$CE$6)</f>
        <v>36892Rho</v>
      </c>
      <c r="CO178" s="0" t="str">
        <f aca="false">CONCATENATE($CC178,$CF$6)</f>
        <v>36892Drift</v>
      </c>
      <c r="CP178" s="0" t="str">
        <f aca="false">CONCATENATE($CC178,$CG$6)</f>
        <v>36892Vega</v>
      </c>
      <c r="CQ178" s="0" t="str">
        <f aca="false">CONCATENATE($CC178,$CH$6)</f>
        <v>36892Theta</v>
      </c>
    </row>
    <row r="179" customFormat="false" ht="12" hidden="false" customHeight="true" outlineLevel="0" collapsed="false">
      <c r="A179" s="17" t="s">
        <v>244</v>
      </c>
      <c r="B179" s="0" t="s">
        <v>192</v>
      </c>
      <c r="C179" s="0" t="s">
        <v>261</v>
      </c>
      <c r="D179" s="7" t="s">
        <v>149</v>
      </c>
      <c r="E179" s="0" t="s">
        <v>131</v>
      </c>
      <c r="F179" s="0" t="s">
        <v>136</v>
      </c>
      <c r="G179" s="92" t="n">
        <v>36861</v>
      </c>
      <c r="H179" s="248" t="n">
        <v>310000</v>
      </c>
      <c r="I179" s="0" t="n">
        <v>1.15</v>
      </c>
      <c r="J179" s="124" t="n">
        <f aca="false">VLOOKUP(G179,NGPrices,2,FALSE())</f>
        <v>4.8</v>
      </c>
      <c r="K179" s="125" t="n">
        <f aca="false">HLOOKUP(D179,Prices,VLOOKUP(G179,move_down,2,FALSE()),FALSE())+VLOOKUP(G179,CHANGE,HLOOKUP(D179,CHANGE,2,FALSE()),FALSE())</f>
        <v>1.645</v>
      </c>
      <c r="L179" s="124" t="n">
        <f aca="false">K179+J179</f>
        <v>6.445</v>
      </c>
      <c r="M179" s="126" t="n">
        <f aca="false">VLOOKUP(G179,NGPrices,4,FALSE())</f>
        <v>0.068314027999354</v>
      </c>
      <c r="N179" s="7" t="n">
        <f aca="false">VLOOKUP(G179,NGPrices,3,FALSE())</f>
        <v>0.6</v>
      </c>
      <c r="O179" s="7" t="n">
        <f aca="false">HLOOKUP(D179,VOLS,VLOOKUP(G179,move_down,2,FALSE()),FALSE())</f>
        <v>0.69</v>
      </c>
      <c r="P179" s="249" t="n">
        <f aca="false">HLOOKUP(D179,Correllate,VLOOKUP(G179,CorMove,2,FALSE()),FALSE())</f>
        <v>0.83</v>
      </c>
      <c r="Q179" s="92" t="n">
        <f aca="false">WORKDAY(G179,-2)</f>
        <v>36859</v>
      </c>
      <c r="R179" s="7" t="n">
        <f aca="false">IF(F179="P",0,1)</f>
        <v>1</v>
      </c>
      <c r="S179" s="130" t="e">
        <f aca="false">xSPRDOPT($L179,$J179,$I179,$M179,$O179,$N179,$P179,$Q179-$C$3,$R179,0)</f>
        <v>#NAME?</v>
      </c>
      <c r="T179" s="250" t="e">
        <f aca="false">xSPRDOPT($L179,$J179,$I179,$M179,$O179,$N179,$P179,$Q179-$C$3,$R179,1)*H179</f>
        <v>#NAME?</v>
      </c>
      <c r="U179" s="43" t="e">
        <f aca="false">S179*H179</f>
        <v>#NAME?</v>
      </c>
      <c r="V179" s="250" t="e">
        <f aca="false">xSPRDOPT($L179,$J179,$I179,$M179,$O179,$N179,$P179,$Q179-$C$3,$R179,2)*H179</f>
        <v>#NAME?</v>
      </c>
      <c r="W179" s="250" t="e">
        <f aca="false">+V179+T179</f>
        <v>#NAME?</v>
      </c>
      <c r="X179" s="2" t="str">
        <f aca="false">CONCATENATE(G179,D179)</f>
        <v>36861IF-TRANSCO/Z6</v>
      </c>
      <c r="Y179" s="251" t="n">
        <f aca="false">H179/10000</f>
        <v>31</v>
      </c>
      <c r="Z179" s="226" t="e">
        <f aca="false">T179/H179</f>
        <v>#NAME?</v>
      </c>
      <c r="AA179" s="226" t="e">
        <f aca="false">xSPRDOPT($L179,$J179,$I179,$M179,$O179,$N179,$P179,$Q179-$C$3,$R179,3)</f>
        <v>#NAME?</v>
      </c>
      <c r="AB179" s="226" t="e">
        <f aca="false">((xSPRDOPT($L179+AB$5,$J179,$I179,$M179,$O179,$N179,$P179,$Q179-$C$3,$R179,3)*$H179)/10000)/100</f>
        <v>#NAME?</v>
      </c>
      <c r="AC179" s="226" t="e">
        <f aca="false">((xSPRDOPT($L179+$AB$5,$J179,$I179,$M179,$O179,$N179,$P179,$Q179-$C$3,$R179,7)*$H179)/100)</f>
        <v>#NAME?</v>
      </c>
      <c r="AD179" s="226" t="e">
        <f aca="false">(xSPRDOPT($L179+$AB$5,$J179,$I179,$M179,$O179,$N179,$P179,$Q179-$C$3,$R179,9)/365)*$H179</f>
        <v>#NAME?</v>
      </c>
      <c r="AE179" s="0" t="e">
        <f aca="false">CD179</f>
        <v>#NAME?</v>
      </c>
      <c r="AF179" s="226" t="e">
        <f aca="false">((O179/N179)*AH179)+AG179</f>
        <v>#NAME?</v>
      </c>
      <c r="AG179" s="226" t="e">
        <f aca="false">((xSPRDOPT($L179,$J179,$I179,$M179,$O179,$N179,$P179,$Q179-$C$3,$R179,6)*$H179)/100)</f>
        <v>#NAME?</v>
      </c>
      <c r="AH179" s="226" t="e">
        <f aca="false">((xSPRDOPT($L179,$J179,$I179,$M179,$O179,$N179,$P179,$Q179-$C$3,$R179,5)*$H179)/100)</f>
        <v>#NAME?</v>
      </c>
      <c r="AI179" s="226" t="e">
        <f aca="false">(((xSPRDOPT($L179,$J179,$I179,$M179,$O179,$N179,$P179,$Q179-$C$3,$R179,4)*$H179)/10000)/100)-AB179</f>
        <v>#NAME?</v>
      </c>
      <c r="AJ179" s="226"/>
      <c r="AK179" s="226"/>
      <c r="AL179" s="226"/>
      <c r="AM179" s="252"/>
      <c r="CC179" s="182" t="n">
        <f aca="false">G179</f>
        <v>36861</v>
      </c>
      <c r="CD179" s="253" t="e">
        <f aca="false">xSPRDOPT((VLOOKUP(G179,NGPrices,2,FALSE())+HLOOKUP(D179,Prices,VLOOKUP(G179,move_down,2,FALSE()),FALSE())),VLOOKUP(G179,NGPrices,2,FALSE()),I179,VLOOKUP(G179,NGPREVPRICES,4,FALSE()),HLOOKUP(D179,PREVVOLS,VLOOKUP(G179,MOVE_DOWN2,2,FALSE()),FALSE()),VLOOKUP(G179,NGPREVPRICES,3,FALSE()),HLOOKUP(D179,Correllate,VLOOKUP(G179,CorMove,2,FALSE()),FALSE()),Q179-$CD$3,R179,$CD$5)*H179-CJ179</f>
        <v>#NAME?</v>
      </c>
      <c r="CE179" s="253" t="e">
        <f aca="false">xSPRDOPT((VLOOKUP(G179,NGPREVPRICES,2,FALSE())+HLOOKUP(D179,PREVCURVES,VLOOKUP(G179,MOVE_DOWN2,2,FALSE()),FALSE())),VLOOKUP(G179,NGPREVPRICES,2,FALSE()),CK179,VLOOKUP(G179,NGPrices,4,FALSE()),HLOOKUP(D179,PREVVOLS,VLOOKUP(G179,MOVE_DOWN2,2,FALSE()),FALSE()),VLOOKUP(G179,NGPREVPRICES,3,FALSE()),HLOOKUP(D179,Correllate,VLOOKUP(G179,CorMove,2,FALSE()),FALSE()),Q179-$CD$3,R179,$CJ$5)*H179-CJ179</f>
        <v>#NAME?</v>
      </c>
      <c r="CF179" s="132" t="e">
        <f aca="false">(CJ179/VLOOKUP(CC179,discount,3,FALSE()))-(CJ179/VLOOKUP(CC179,discount,2,FALSE()))</f>
        <v>#NAME?</v>
      </c>
      <c r="CG179" s="253" t="e">
        <f aca="false">xSPRDOPT((VLOOKUP(G179,NGPREVPRICES,2,FALSE())+HLOOKUP(D179,PREVCURVES,VLOOKUP(G179,MOVE_DOWN2,2,FALSE()),FALSE())),VLOOKUP(G179,NGPREVPRICES,2,FALSE()),CK179,VLOOKUP(G179,NGPREVPRICES,4,FALSE()),HLOOKUP(D179,VOLS,VLOOKUP(G179,move_down,2,FALSE()),FALSE()),VLOOKUP(G179,NGPrices,3,FALSE()),HLOOKUP(D179,Correllate,VLOOKUP(G179,CorMove,2,FALSE()),FALSE()),Q179-$CD$3,R179,$CJ$5)*H179-CJ179</f>
        <v>#NAME?</v>
      </c>
      <c r="CH179" s="253" t="e">
        <f aca="false">xSPRDOPT((VLOOKUP(G179,NGPREVPRICES,2,FALSE())+HLOOKUP(D179,PREVCURVES,VLOOKUP(G179,MOVE_DOWN2,2,FALSE()),FALSE())),VLOOKUP(G179,NGPREVPRICES,2,FALSE()),CK179,VLOOKUP(G179,NGPREVPRICES,4,FALSE()),HLOOKUP(D179,PREVVOLS,VLOOKUP(G179,MOVE_DOWN2,2,FALSE()),FALSE()),VLOOKUP(G179,NGPREVPRICES,3,FALSE()),HLOOKUP(D179,Correllate,VLOOKUP(G179,CorMove,2,FALSE()),FALSE()),Q179-$C$3,R179,$CJ$5)*H179-CJ179</f>
        <v>#NAME?</v>
      </c>
      <c r="CI179" s="253" t="e">
        <f aca="false">SUM(CD179:CH179)</f>
        <v>#NAME?</v>
      </c>
      <c r="CJ179" s="253" t="e">
        <f aca="false">xSPRDOPT((VLOOKUP(G179,NGPREVPRICES,2,FALSE())+HLOOKUP(D179,PREVCURVES,VLOOKUP(G179,MOVE_DOWN2,2,FALSE()),FALSE())),VLOOKUP(G179,NGPREVPRICES,2,FALSE()),CK179,VLOOKUP(G179,NGPREVPRICES,4,FALSE()),HLOOKUP(D179,PREVVOLS,VLOOKUP(G179,MOVE_DOWN2,2,FALSE()),FALSE()),VLOOKUP(G179,NGPREVPRICES,3,FALSE()),HLOOKUP(D179,Correllate,VLOOKUP(G179,CorMove,2,FALSE()),FALSE()),Q179-$CD$3,R179,$CJ$5)*H179</f>
        <v>#NAME?</v>
      </c>
      <c r="CK179" s="254" t="n">
        <f aca="false">I179</f>
        <v>1.15</v>
      </c>
      <c r="CL179" s="253"/>
      <c r="CM179" s="0" t="str">
        <f aca="false">CONCATENATE(CC179,$CD$6)</f>
        <v>36861Curve Shift/Gamma</v>
      </c>
      <c r="CN179" s="0" t="str">
        <f aca="false">CONCATENATE($CC179,$CE$6)</f>
        <v>36861Rho</v>
      </c>
      <c r="CO179" s="0" t="str">
        <f aca="false">CONCATENATE($CC179,$CF$6)</f>
        <v>36861Drift</v>
      </c>
      <c r="CP179" s="0" t="str">
        <f aca="false">CONCATENATE($CC179,$CG$6)</f>
        <v>36861Vega</v>
      </c>
      <c r="CQ179" s="0" t="str">
        <f aca="false">CONCATENATE($CC179,$CH$6)</f>
        <v>36861Theta</v>
      </c>
    </row>
    <row r="180" customFormat="false" ht="12" hidden="false" customHeight="true" outlineLevel="0" collapsed="false">
      <c r="A180" s="0" t="s">
        <v>244</v>
      </c>
      <c r="B180" s="0" t="s">
        <v>192</v>
      </c>
      <c r="C180" s="0" t="s">
        <v>261</v>
      </c>
      <c r="D180" s="7" t="s">
        <v>149</v>
      </c>
      <c r="E180" s="0" t="s">
        <v>131</v>
      </c>
      <c r="F180" s="0" t="s">
        <v>136</v>
      </c>
      <c r="G180" s="92" t="n">
        <v>36831</v>
      </c>
      <c r="H180" s="248" t="n">
        <v>300000</v>
      </c>
      <c r="I180" s="0" t="n">
        <v>1.15</v>
      </c>
      <c r="J180" s="124" t="n">
        <f aca="false">VLOOKUP(G180,NGPrices,2,FALSE())</f>
        <v>4.736</v>
      </c>
      <c r="K180" s="125" t="n">
        <f aca="false">HLOOKUP(D180,Prices,VLOOKUP(G180,move_down,2,FALSE()),FALSE())+VLOOKUP(G180,CHANGE,HLOOKUP(D180,CHANGE,2,FALSE()),FALSE())</f>
        <v>0.77</v>
      </c>
      <c r="L180" s="124" t="n">
        <f aca="false">K180+J180</f>
        <v>5.506</v>
      </c>
      <c r="M180" s="126" t="n">
        <f aca="false">VLOOKUP(G180,NGPrices,4,FALSE())</f>
        <v>0.06810675983792</v>
      </c>
      <c r="N180" s="7" t="n">
        <f aca="false">VLOOKUP(G180,NGPrices,3,FALSE())</f>
        <v>0.595</v>
      </c>
      <c r="O180" s="7" t="n">
        <f aca="false">HLOOKUP(D180,VOLS,VLOOKUP(G180,move_down,2,FALSE()),FALSE())</f>
        <v>0.625</v>
      </c>
      <c r="P180" s="249" t="n">
        <f aca="false">HLOOKUP(D180,Correllate,VLOOKUP(G180,CorMove,2,FALSE()),FALSE())</f>
        <v>0.89</v>
      </c>
      <c r="Q180" s="92" t="n">
        <f aca="false">WORKDAY(G180,-2)</f>
        <v>36829</v>
      </c>
      <c r="R180" s="7" t="n">
        <f aca="false">IF(F180="P",0,1)</f>
        <v>1</v>
      </c>
      <c r="S180" s="130" t="e">
        <f aca="false">xSPRDOPT($L180,$J180,$I180,$M180,$O180,$N180,$P180,$Q180-$C$3,$R180,0)</f>
        <v>#NAME?</v>
      </c>
      <c r="T180" s="250" t="e">
        <f aca="false">xSPRDOPT($L180,$J180,$I180,$M180,$O180,$N180,$P180,$Q180-$C$3,$R180,1)*H180</f>
        <v>#NAME?</v>
      </c>
      <c r="U180" s="43" t="e">
        <f aca="false">S180*H180</f>
        <v>#NAME?</v>
      </c>
      <c r="V180" s="250" t="e">
        <f aca="false">xSPRDOPT($L180,$J180,$I180,$M180,$O180,$N180,$P180,$Q180-$C$3,$R180,2)*H180</f>
        <v>#NAME?</v>
      </c>
      <c r="W180" s="250" t="e">
        <f aca="false">+V180+T180</f>
        <v>#NAME?</v>
      </c>
      <c r="X180" s="2" t="str">
        <f aca="false">CONCATENATE(G180,D180)</f>
        <v>36831IF-TRANSCO/Z6</v>
      </c>
      <c r="Y180" s="251" t="n">
        <f aca="false">H180/10000</f>
        <v>30</v>
      </c>
      <c r="Z180" s="226" t="e">
        <f aca="false">T180/H180</f>
        <v>#NAME?</v>
      </c>
      <c r="AA180" s="226" t="e">
        <f aca="false">xSPRDOPT($L180,$J180,$I180,$M180,$O180,$N180,$P180,$Q180-$C$3,$R180,3)</f>
        <v>#NAME?</v>
      </c>
      <c r="AB180" s="226" t="e">
        <f aca="false">((xSPRDOPT($L180+AB$5,$J180,$I180,$M180,$O180,$N180,$P180,$Q180-$C$3,$R180,3)*$H180)/10000)/100</f>
        <v>#NAME?</v>
      </c>
      <c r="AC180" s="226" t="e">
        <f aca="false">((xSPRDOPT($L180+$AB$5,$J180,$I180,$M180,$O180,$N180,$P180,$Q180-$C$3,$R180,7)*$H180)/100)</f>
        <v>#NAME?</v>
      </c>
      <c r="AD180" s="226" t="e">
        <f aca="false">(xSPRDOPT($L180+$AB$5,$J180,$I180,$M180,$O180,$N180,$P180,$Q180-$C$3,$R180,9)/365)*$H180</f>
        <v>#NAME?</v>
      </c>
      <c r="AE180" s="0" t="e">
        <f aca="false">CD180</f>
        <v>#NAME?</v>
      </c>
      <c r="AF180" s="226" t="e">
        <f aca="false">((O180/N180)*AH180)+AG180</f>
        <v>#NAME?</v>
      </c>
      <c r="AG180" s="226" t="e">
        <f aca="false">((xSPRDOPT($L180,$J180,$I180,$M180,$O180,$N180,$P180,$Q180-$C$3,$R180,6)*$H180)/100)</f>
        <v>#NAME?</v>
      </c>
      <c r="AH180" s="226" t="e">
        <f aca="false">((xSPRDOPT($L180,$J180,$I180,$M180,$O180,$N180,$P180,$Q180-$C$3,$R180,5)*$H180)/100)</f>
        <v>#NAME?</v>
      </c>
      <c r="AI180" s="226" t="e">
        <f aca="false">(((xSPRDOPT($L180,$J180,$I180,$M180,$O180,$N180,$P180,$Q180-$C$3,$R180,4)*$H180)/10000)/100)-AB180</f>
        <v>#NAME?</v>
      </c>
      <c r="AJ180" s="226"/>
      <c r="AK180" s="226"/>
      <c r="AL180" s="226"/>
      <c r="AM180" s="252"/>
      <c r="CC180" s="182" t="n">
        <f aca="false">G180</f>
        <v>36831</v>
      </c>
      <c r="CD180" s="253" t="e">
        <f aca="false">xSPRDOPT((VLOOKUP(G180,NGPrices,2,FALSE())+HLOOKUP(D180,Prices,VLOOKUP(G180,move_down,2,FALSE()),FALSE())),VLOOKUP(G180,NGPrices,2,FALSE()),I180,VLOOKUP(G180,NGPREVPRICES,4,FALSE()),HLOOKUP(D180,PREVVOLS,VLOOKUP(G180,MOVE_DOWN2,2,FALSE()),FALSE()),VLOOKUP(G180,NGPREVPRICES,3,FALSE()),HLOOKUP(D180,Correllate,VLOOKUP(G180,CorMove,2,FALSE()),FALSE()),Q180-$CD$3,R180,$CD$5)*H180-CJ180</f>
        <v>#NAME?</v>
      </c>
      <c r="CE180" s="253" t="e">
        <f aca="false">xSPRDOPT((VLOOKUP(G180,NGPREVPRICES,2,FALSE())+HLOOKUP(D180,PREVCURVES,VLOOKUP(G180,MOVE_DOWN2,2,FALSE()),FALSE())),VLOOKUP(G180,NGPREVPRICES,2,FALSE()),CK180,VLOOKUP(G180,NGPrices,4,FALSE()),HLOOKUP(D180,PREVVOLS,VLOOKUP(G180,MOVE_DOWN2,2,FALSE()),FALSE()),VLOOKUP(G180,NGPREVPRICES,3,FALSE()),HLOOKUP(D180,Correllate,VLOOKUP(G180,CorMove,2,FALSE()),FALSE()),Q180-$CD$3,R180,$CJ$5)*H180-CJ180</f>
        <v>#NAME?</v>
      </c>
      <c r="CF180" s="132" t="e">
        <f aca="false">(CJ180/VLOOKUP(CC180,discount,3,FALSE()))-(CJ180/VLOOKUP(CC180,discount,2,FALSE()))</f>
        <v>#NAME?</v>
      </c>
      <c r="CG180" s="253" t="e">
        <f aca="false">xSPRDOPT((VLOOKUP(G180,NGPREVPRICES,2,FALSE())+HLOOKUP(D180,PREVCURVES,VLOOKUP(G180,MOVE_DOWN2,2,FALSE()),FALSE())),VLOOKUP(G180,NGPREVPRICES,2,FALSE()),CK180,VLOOKUP(G180,NGPREVPRICES,4,FALSE()),HLOOKUP(D180,VOLS,VLOOKUP(G180,move_down,2,FALSE()),FALSE()),VLOOKUP(G180,NGPrices,3,FALSE()),HLOOKUP(D180,Correllate,VLOOKUP(G180,CorMove,2,FALSE()),FALSE()),Q180-$CD$3,R180,$CJ$5)*H180-CJ180</f>
        <v>#NAME?</v>
      </c>
      <c r="CH180" s="253" t="e">
        <f aca="false">xSPRDOPT((VLOOKUP(G180,NGPREVPRICES,2,FALSE())+HLOOKUP(D180,PREVCURVES,VLOOKUP(G180,MOVE_DOWN2,2,FALSE()),FALSE())),VLOOKUP(G180,NGPREVPRICES,2,FALSE()),CK180,VLOOKUP(G180,NGPREVPRICES,4,FALSE()),HLOOKUP(D180,PREVVOLS,VLOOKUP(G180,MOVE_DOWN2,2,FALSE()),FALSE()),VLOOKUP(G180,NGPREVPRICES,3,FALSE()),HLOOKUP(D180,Correllate,VLOOKUP(G180,CorMove,2,FALSE()),FALSE()),Q180-$C$3,R180,$CJ$5)*H180-CJ180</f>
        <v>#NAME?</v>
      </c>
      <c r="CI180" s="253" t="e">
        <f aca="false">SUM(CD180:CH180)</f>
        <v>#NAME?</v>
      </c>
      <c r="CJ180" s="253" t="e">
        <f aca="false">xSPRDOPT((VLOOKUP(G180,NGPREVPRICES,2,FALSE())+HLOOKUP(D180,PREVCURVES,VLOOKUP(G180,MOVE_DOWN2,2,FALSE()),FALSE())),VLOOKUP(G180,NGPREVPRICES,2,FALSE()),CK180,VLOOKUP(G180,NGPREVPRICES,4,FALSE()),HLOOKUP(D180,PREVVOLS,VLOOKUP(G180,MOVE_DOWN2,2,FALSE()),FALSE()),VLOOKUP(G180,NGPREVPRICES,3,FALSE()),HLOOKUP(D180,Correllate,VLOOKUP(G180,CorMove,2,FALSE()),FALSE()),Q180-$CD$3,R180,$CJ$5)*H180</f>
        <v>#NAME?</v>
      </c>
      <c r="CK180" s="254" t="n">
        <f aca="false">I180</f>
        <v>1.15</v>
      </c>
      <c r="CL180" s="253"/>
      <c r="CM180" s="0" t="str">
        <f aca="false">CONCATENATE(CC180,$CD$6)</f>
        <v>36831Curve Shift/Gamma</v>
      </c>
      <c r="CN180" s="0" t="str">
        <f aca="false">CONCATENATE($CC180,$CE$6)</f>
        <v>36831Rho</v>
      </c>
      <c r="CO180" s="0" t="str">
        <f aca="false">CONCATENATE($CC180,$CF$6)</f>
        <v>36831Drift</v>
      </c>
      <c r="CP180" s="0" t="str">
        <f aca="false">CONCATENATE($CC180,$CG$6)</f>
        <v>36831Vega</v>
      </c>
      <c r="CQ180" s="0" t="str">
        <f aca="false">CONCATENATE($CC180,$CH$6)</f>
        <v>36831Theta</v>
      </c>
    </row>
    <row r="181" customFormat="false" ht="12" hidden="false" customHeight="true" outlineLevel="0" collapsed="false">
      <c r="A181" s="17" t="s">
        <v>191</v>
      </c>
      <c r="B181" s="0" t="s">
        <v>192</v>
      </c>
      <c r="C181" s="0" t="s">
        <v>262</v>
      </c>
      <c r="D181" s="7" t="s">
        <v>149</v>
      </c>
      <c r="E181" s="0" t="s">
        <v>131</v>
      </c>
      <c r="F181" s="0" t="s">
        <v>136</v>
      </c>
      <c r="G181" s="92" t="n">
        <v>36800</v>
      </c>
      <c r="H181" s="248" t="n">
        <v>310000</v>
      </c>
      <c r="I181" s="0" t="n">
        <v>0.3375</v>
      </c>
      <c r="J181" s="124" t="n">
        <f aca="false">VLOOKUP(G181,NGPrices,2,FALSE())</f>
        <v>4.692</v>
      </c>
      <c r="K181" s="125" t="n">
        <f aca="false">HLOOKUP(D181,Prices,VLOOKUP(G181,move_down,2,FALSE()),FALSE())+VLOOKUP(G181,CHANGE,HLOOKUP(D181,CHANGE,2,FALSE()),FALSE())</f>
        <v>0.415</v>
      </c>
      <c r="L181" s="124" t="n">
        <f aca="false">K181+J181</f>
        <v>5.107</v>
      </c>
      <c r="M181" s="126" t="n">
        <f aca="false">VLOOKUP(G181,NGPrices,4,FALSE())</f>
        <v>0.068050789414654</v>
      </c>
      <c r="N181" s="7" t="n">
        <f aca="false">VLOOKUP(G181,NGPrices,3,FALSE())</f>
        <v>0.575</v>
      </c>
      <c r="O181" s="7" t="n">
        <f aca="false">HLOOKUP(D181,VOLS,VLOOKUP(G181,move_down,2,FALSE()),FALSE())</f>
        <v>0.564</v>
      </c>
      <c r="P181" s="249" t="n">
        <f aca="false">HLOOKUP(D181,Correllate,VLOOKUP(G181,CorMove,2,FALSE()),FALSE())</f>
        <v>0.9925</v>
      </c>
      <c r="Q181" s="92" t="n">
        <f aca="false">WORKDAY(G181,-2)</f>
        <v>36797</v>
      </c>
      <c r="R181" s="7" t="n">
        <f aca="false">IF(F181="P",0,1)</f>
        <v>1</v>
      </c>
      <c r="S181" s="130" t="e">
        <f aca="false">xSPRDOPT($L181,$J181,$I181,$M181,$O181,$N181,$P181,$Q181-$C$3,$R181,0)</f>
        <v>#NAME?</v>
      </c>
      <c r="T181" s="250" t="e">
        <f aca="false">xSPRDOPT($L181,$J181,$I181,$M181,$O181,$N181,$P181,$Q181-$C$3,$R181,1)*H181</f>
        <v>#NAME?</v>
      </c>
      <c r="U181" s="43" t="e">
        <f aca="false">S181*H181</f>
        <v>#NAME?</v>
      </c>
      <c r="V181" s="250" t="e">
        <f aca="false">xSPRDOPT($L181,$J181,$I181,$M181,$O181,$N181,$P181,$Q181-$C$3,$R181,2)*H181</f>
        <v>#NAME?</v>
      </c>
      <c r="W181" s="250" t="e">
        <f aca="false">+V181+T181</f>
        <v>#NAME?</v>
      </c>
      <c r="X181" s="2" t="str">
        <f aca="false">CONCATENATE(G181,D181)</f>
        <v>36800IF-TRANSCO/Z6</v>
      </c>
      <c r="Y181" s="251" t="n">
        <f aca="false">H181/10000</f>
        <v>31</v>
      </c>
      <c r="Z181" s="226" t="e">
        <f aca="false">T181/H181</f>
        <v>#NAME?</v>
      </c>
      <c r="AA181" s="226" t="e">
        <f aca="false">xSPRDOPT($L181,$J181,$I181,$M181,$O181,$N181,$P181,$Q181-$C$3,$R181,3)</f>
        <v>#NAME?</v>
      </c>
      <c r="AB181" s="226" t="e">
        <f aca="false">((xSPRDOPT($L181+AB$5,$J181,$I181,$M181,$O181,$N181,$P181,$Q181-$C$3,$R181,3)*$H181)/10000)/100</f>
        <v>#NAME?</v>
      </c>
      <c r="AC181" s="226" t="e">
        <f aca="false">((xSPRDOPT($L181+$AB$5,$J181,$I181,$M181,$O181,$N181,$P181,$Q181-$C$3,$R181,7)*$H181)/100)</f>
        <v>#NAME?</v>
      </c>
      <c r="AD181" s="226" t="e">
        <f aca="false">(xSPRDOPT($L181+$AB$5,$J181,$I181,$M181,$O181,$N181,$P181,$Q181-$C$3,$R181,9)/365)*$H181</f>
        <v>#NAME?</v>
      </c>
      <c r="AE181" s="0" t="e">
        <f aca="false">CD181</f>
        <v>#NAME?</v>
      </c>
      <c r="AF181" s="226" t="e">
        <f aca="false">((O181/N181)*AH181)+AG181</f>
        <v>#NAME?</v>
      </c>
      <c r="AG181" s="226" t="e">
        <f aca="false">((xSPRDOPT($L181,$J181,$I181,$M181,$O181,$N181,$P181,$Q181-$C$3,$R181,6)*$H181)/100)</f>
        <v>#NAME?</v>
      </c>
      <c r="AH181" s="226" t="e">
        <f aca="false">((xSPRDOPT($L181,$J181,$I181,$M181,$O181,$N181,$P181,$Q181-$C$3,$R181,5)*$H181)/100)</f>
        <v>#NAME?</v>
      </c>
      <c r="AI181" s="226" t="e">
        <f aca="false">(((xSPRDOPT($L181,$J181,$I181,$M181,$O181,$N181,$P181,$Q181-$C$3,$R181,4)*$H181)/10000)/100)-AB181</f>
        <v>#NAME?</v>
      </c>
      <c r="AJ181" s="226"/>
      <c r="AK181" s="226"/>
      <c r="AL181" s="226"/>
      <c r="AM181" s="252"/>
      <c r="CC181" s="182" t="n">
        <f aca="false">G181</f>
        <v>36800</v>
      </c>
      <c r="CD181" s="253" t="e">
        <f aca="false">xSPRDOPT((VLOOKUP(G181,NGPrices,2,FALSE())+HLOOKUP(D181,Prices,VLOOKUP(G181,move_down,2,FALSE()),FALSE())),VLOOKUP(G181,NGPrices,2,FALSE()),I181,VLOOKUP(G181,NGPREVPRICES,4,FALSE()),HLOOKUP(D181,PREVVOLS,VLOOKUP(G181,MOVE_DOWN2,2,FALSE()),FALSE()),VLOOKUP(G181,NGPREVPRICES,3,FALSE()),HLOOKUP(D181,Correllate,VLOOKUP(G181,CorMove,2,FALSE()),FALSE()),Q181-$CD$3,R181,$CD$5)*H181-CJ181</f>
        <v>#NAME?</v>
      </c>
      <c r="CE181" s="253" t="e">
        <f aca="false">xSPRDOPT((VLOOKUP(G181,NGPREVPRICES,2,FALSE())+HLOOKUP(D181,PREVCURVES,VLOOKUP(G181,MOVE_DOWN2,2,FALSE()),FALSE())),VLOOKUP(G181,NGPREVPRICES,2,FALSE()),CK181,VLOOKUP(G181,NGPrices,4,FALSE()),HLOOKUP(D181,PREVVOLS,VLOOKUP(G181,MOVE_DOWN2,2,FALSE()),FALSE()),VLOOKUP(G181,NGPREVPRICES,3,FALSE()),HLOOKUP(D181,Correllate,VLOOKUP(G181,CorMove,2,FALSE()),FALSE()),Q181-$CD$3,R181,$CJ$5)*H181-CJ181</f>
        <v>#NAME?</v>
      </c>
      <c r="CF181" s="132" t="e">
        <f aca="false">(CJ181/VLOOKUP(CC181,discount,3,FALSE()))-(CJ181/VLOOKUP(CC181,discount,2,FALSE()))</f>
        <v>#NAME?</v>
      </c>
      <c r="CG181" s="253" t="e">
        <f aca="false">xSPRDOPT((VLOOKUP(G181,NGPREVPRICES,2,FALSE())+HLOOKUP(D181,PREVCURVES,VLOOKUP(G181,MOVE_DOWN2,2,FALSE()),FALSE())),VLOOKUP(G181,NGPREVPRICES,2,FALSE()),CK181,VLOOKUP(G181,NGPREVPRICES,4,FALSE()),HLOOKUP(D181,VOLS,VLOOKUP(G181,move_down,2,FALSE()),FALSE()),VLOOKUP(G181,NGPrices,3,FALSE()),HLOOKUP(D181,Correllate,VLOOKUP(G181,CorMove,2,FALSE()),FALSE()),Q181-$CD$3,R181,$CJ$5)*H181-CJ181</f>
        <v>#NAME?</v>
      </c>
      <c r="CH181" s="253" t="e">
        <f aca="false">xSPRDOPT((VLOOKUP(G181,NGPREVPRICES,2,FALSE())+HLOOKUP(D181,PREVCURVES,VLOOKUP(G181,MOVE_DOWN2,2,FALSE()),FALSE())),VLOOKUP(G181,NGPREVPRICES,2,FALSE()),CK181,VLOOKUP(G181,NGPREVPRICES,4,FALSE()),HLOOKUP(D181,PREVVOLS,VLOOKUP(G181,MOVE_DOWN2,2,FALSE()),FALSE()),VLOOKUP(G181,NGPREVPRICES,3,FALSE()),HLOOKUP(D181,Correllate,VLOOKUP(G181,CorMove,2,FALSE()),FALSE()),Q181-$C$3,R181,$CJ$5)*H181-CJ181</f>
        <v>#NAME?</v>
      </c>
      <c r="CI181" s="253" t="e">
        <f aca="false">SUM(CD181:CH181)</f>
        <v>#NAME?</v>
      </c>
      <c r="CJ181" s="253" t="e">
        <f aca="false">xSPRDOPT((VLOOKUP(G181,NGPREVPRICES,2,FALSE())+HLOOKUP(D181,PREVCURVES,VLOOKUP(G181,MOVE_DOWN2,2,FALSE()),FALSE())),VLOOKUP(G181,NGPREVPRICES,2,FALSE()),CK181,VLOOKUP(G181,NGPREVPRICES,4,FALSE()),HLOOKUP(D181,PREVVOLS,VLOOKUP(G181,MOVE_DOWN2,2,FALSE()),FALSE()),VLOOKUP(G181,NGPREVPRICES,3,FALSE()),HLOOKUP(D181,Correllate,VLOOKUP(G181,CorMove,2,FALSE()),FALSE()),Q181-$CD$3,R181,$CJ$5)*H181</f>
        <v>#NAME?</v>
      </c>
      <c r="CK181" s="254" t="n">
        <f aca="false">I181</f>
        <v>0.3375</v>
      </c>
      <c r="CL181" s="253"/>
      <c r="CM181" s="0" t="str">
        <f aca="false">CONCATENATE(CC181,$CD$6)</f>
        <v>36800Curve Shift/Gamma</v>
      </c>
      <c r="CN181" s="0" t="str">
        <f aca="false">CONCATENATE($CC181,$CE$6)</f>
        <v>36800Rho</v>
      </c>
      <c r="CO181" s="0" t="str">
        <f aca="false">CONCATENATE($CC181,$CF$6)</f>
        <v>36800Drift</v>
      </c>
      <c r="CP181" s="0" t="str">
        <f aca="false">CONCATENATE($CC181,$CG$6)</f>
        <v>36800Vega</v>
      </c>
      <c r="CQ181" s="0" t="str">
        <f aca="false">CONCATENATE($CC181,$CH$6)</f>
        <v>36800Theta</v>
      </c>
    </row>
    <row r="182" customFormat="false" ht="12" hidden="false" customHeight="true" outlineLevel="0" collapsed="false">
      <c r="A182" s="17" t="s">
        <v>191</v>
      </c>
      <c r="B182" s="0" t="s">
        <v>192</v>
      </c>
      <c r="C182" s="0" t="s">
        <v>262</v>
      </c>
      <c r="D182" s="7" t="s">
        <v>149</v>
      </c>
      <c r="E182" s="0" t="s">
        <v>131</v>
      </c>
      <c r="F182" s="0" t="s">
        <v>136</v>
      </c>
      <c r="G182" s="92" t="n">
        <v>36770</v>
      </c>
      <c r="H182" s="248" t="n">
        <v>300000</v>
      </c>
      <c r="I182" s="0" t="n">
        <v>0.3375</v>
      </c>
      <c r="J182" s="124" t="n">
        <f aca="false">VLOOKUP(G182,NGPrices,2,FALSE())</f>
        <v>4.685</v>
      </c>
      <c r="K182" s="125" t="n">
        <f aca="false">HLOOKUP(D182,Prices,VLOOKUP(G182,move_down,2,FALSE()),FALSE())+VLOOKUP(G182,CHANGE,HLOOKUP(D182,CHANGE,2,FALSE()),FALSE())</f>
        <v>0.315</v>
      </c>
      <c r="L182" s="124" t="n">
        <f aca="false">K182+J182</f>
        <v>5</v>
      </c>
      <c r="M182" s="126" t="n">
        <f aca="false">VLOOKUP(G182,NGPrices,4,FALSE())</f>
        <v>0.067216196212185</v>
      </c>
      <c r="N182" s="7" t="n">
        <f aca="false">VLOOKUP(G182,NGPrices,3,FALSE())</f>
        <v>0.4</v>
      </c>
      <c r="O182" s="7" t="n">
        <f aca="false">HLOOKUP(D182,VOLS,VLOOKUP(G182,move_down,2,FALSE()),FALSE())</f>
        <v>0.392</v>
      </c>
      <c r="P182" s="249" t="n">
        <f aca="false">HLOOKUP(D182,Correllate,VLOOKUP(G182,CorMove,2,FALSE()),FALSE())</f>
        <v>0.9925</v>
      </c>
      <c r="Q182" s="92" t="n">
        <f aca="false">WORKDAY(G182,-2)</f>
        <v>36768</v>
      </c>
      <c r="R182" s="7" t="n">
        <f aca="false">IF(F182="P",0,1)</f>
        <v>1</v>
      </c>
      <c r="S182" s="130" t="e">
        <f aca="false">xSPRDOPT($L182,$J182,$I182,$M182,$O182,$N182,$P182,$Q182-$C$3,$R182,0)</f>
        <v>#NAME?</v>
      </c>
      <c r="T182" s="250" t="e">
        <f aca="false">xSPRDOPT($L182,$J182,$I182,$M182,$O182,$N182,$P182,$Q182-$C$3,$R182,1)*H182</f>
        <v>#NAME?</v>
      </c>
      <c r="U182" s="43" t="e">
        <f aca="false">S182*H182</f>
        <v>#NAME?</v>
      </c>
      <c r="V182" s="250" t="e">
        <f aca="false">xSPRDOPT($L182,$J182,$I182,$M182,$O182,$N182,$P182,$Q182-$C$3,$R182,2)*H182</f>
        <v>#NAME?</v>
      </c>
      <c r="W182" s="250" t="e">
        <f aca="false">+V182+T182</f>
        <v>#NAME?</v>
      </c>
      <c r="X182" s="2" t="str">
        <f aca="false">CONCATENATE(G182,D182)</f>
        <v>36770IF-TRANSCO/Z6</v>
      </c>
      <c r="Y182" s="251" t="n">
        <f aca="false">H182/10000</f>
        <v>30</v>
      </c>
      <c r="Z182" s="226" t="e">
        <f aca="false">T182/H182</f>
        <v>#NAME?</v>
      </c>
      <c r="AA182" s="226" t="e">
        <f aca="false">xSPRDOPT($L182,$J182,$I182,$M182,$O182,$N182,$P182,$Q182-$C$3,$R182,3)</f>
        <v>#NAME?</v>
      </c>
      <c r="AB182" s="226" t="e">
        <f aca="false">((xSPRDOPT($L182+AB$5,$J182,$I182,$M182,$O182,$N182,$P182,$Q182-$C$3,$R182,3)*$H182)/10000)/100</f>
        <v>#NAME?</v>
      </c>
      <c r="AC182" s="226" t="e">
        <f aca="false">((xSPRDOPT($L182+$AB$5,$J182,$I182,$M182,$O182,$N182,$P182,$Q182-$C$3,$R182,7)*$H182)/100)</f>
        <v>#NAME?</v>
      </c>
      <c r="AD182" s="226" t="e">
        <f aca="false">(xSPRDOPT($L182+$AB$5,$J182,$I182,$M182,$O182,$N182,$P182,$Q182-$C$3,$R182,9)/365)*$H182</f>
        <v>#NAME?</v>
      </c>
      <c r="AE182" s="0" t="e">
        <f aca="false">CD182</f>
        <v>#NAME?</v>
      </c>
      <c r="AF182" s="226" t="e">
        <f aca="false">((O182/N182)*AH182)+AG182</f>
        <v>#NAME?</v>
      </c>
      <c r="AG182" s="226" t="e">
        <f aca="false">((xSPRDOPT($L182,$J182,$I182,$M182,$O182,$N182,$P182,$Q182-$C$3,$R182,6)*$H182)/100)</f>
        <v>#NAME?</v>
      </c>
      <c r="AH182" s="226" t="e">
        <f aca="false">((xSPRDOPT($L182,$J182,$I182,$M182,$O182,$N182,$P182,$Q182-$C$3,$R182,5)*$H182)/100)</f>
        <v>#NAME?</v>
      </c>
      <c r="AI182" s="226" t="e">
        <f aca="false">(((xSPRDOPT($L182,$J182,$I182,$M182,$O182,$N182,$P182,$Q182-$C$3,$R182,4)*$H182)/10000)/100)-AB182</f>
        <v>#NAME?</v>
      </c>
      <c r="AJ182" s="226"/>
      <c r="AK182" s="226"/>
      <c r="AL182" s="226"/>
      <c r="AM182" s="252"/>
      <c r="CC182" s="182" t="n">
        <f aca="false">G182</f>
        <v>36770</v>
      </c>
      <c r="CD182" s="253" t="e">
        <f aca="false">xSPRDOPT((VLOOKUP(G182,NGPrices,2,FALSE())+HLOOKUP(D182,Prices,VLOOKUP(G182,move_down,2,FALSE()),FALSE())),VLOOKUP(G182,NGPrices,2,FALSE()),I182,VLOOKUP(G182,NGPREVPRICES,4,FALSE()),HLOOKUP(D182,PREVVOLS,VLOOKUP(G182,MOVE_DOWN2,2,FALSE()),FALSE()),VLOOKUP(G182,NGPREVPRICES,3,FALSE()),HLOOKUP(D182,Correllate,VLOOKUP(G182,CorMove,2,FALSE()),FALSE()),Q182-$CD$3,R182,$CD$5)*H182-CJ182</f>
        <v>#NAME?</v>
      </c>
      <c r="CE182" s="253" t="e">
        <f aca="false">xSPRDOPT((VLOOKUP(G182,NGPREVPRICES,2,FALSE())+HLOOKUP(D182,PREVCURVES,VLOOKUP(G182,MOVE_DOWN2,2,FALSE()),FALSE())),VLOOKUP(G182,NGPREVPRICES,2,FALSE()),CK182,VLOOKUP(G182,NGPrices,4,FALSE()),HLOOKUP(D182,PREVVOLS,VLOOKUP(G182,MOVE_DOWN2,2,FALSE()),FALSE()),VLOOKUP(G182,NGPREVPRICES,3,FALSE()),HLOOKUP(D182,Correllate,VLOOKUP(G182,CorMove,2,FALSE()),FALSE()),Q182-$CD$3,R182,$CJ$5)*H182-CJ182</f>
        <v>#NAME?</v>
      </c>
      <c r="CF182" s="132" t="e">
        <f aca="false">(CJ182/VLOOKUP(CC182,discount,3,FALSE()))-(CJ182/VLOOKUP(CC182,discount,2,FALSE()))</f>
        <v>#NAME?</v>
      </c>
      <c r="CG182" s="253" t="e">
        <f aca="false">xSPRDOPT((VLOOKUP(G182,NGPREVPRICES,2,FALSE())+HLOOKUP(D182,PREVCURVES,VLOOKUP(G182,MOVE_DOWN2,2,FALSE()),FALSE())),VLOOKUP(G182,NGPREVPRICES,2,FALSE()),CK182,VLOOKUP(G182,NGPREVPRICES,4,FALSE()),HLOOKUP(D182,VOLS,VLOOKUP(G182,move_down,2,FALSE()),FALSE()),VLOOKUP(G182,NGPrices,3,FALSE()),HLOOKUP(D182,Correllate,VLOOKUP(G182,CorMove,2,FALSE()),FALSE()),Q182-$CD$3,R182,$CJ$5)*H182-CJ182</f>
        <v>#NAME?</v>
      </c>
      <c r="CH182" s="253" t="e">
        <f aca="false">xSPRDOPT((VLOOKUP(G182,NGPREVPRICES,2,FALSE())+HLOOKUP(D182,PREVCURVES,VLOOKUP(G182,MOVE_DOWN2,2,FALSE()),FALSE())),VLOOKUP(G182,NGPREVPRICES,2,FALSE()),CK182,VLOOKUP(G182,NGPREVPRICES,4,FALSE()),HLOOKUP(D182,PREVVOLS,VLOOKUP(G182,MOVE_DOWN2,2,FALSE()),FALSE()),VLOOKUP(G182,NGPREVPRICES,3,FALSE()),HLOOKUP(D182,Correllate,VLOOKUP(G182,CorMove,2,FALSE()),FALSE()),Q182-$C$3,R182,$CJ$5)*H182-CJ182</f>
        <v>#NAME?</v>
      </c>
      <c r="CI182" s="253" t="e">
        <f aca="false">SUM(CD182:CH182)</f>
        <v>#NAME?</v>
      </c>
      <c r="CJ182" s="253" t="e">
        <f aca="false">xSPRDOPT((VLOOKUP(G182,NGPREVPRICES,2,FALSE())+HLOOKUP(D182,PREVCURVES,VLOOKUP(G182,MOVE_DOWN2,2,FALSE()),FALSE())),VLOOKUP(G182,NGPREVPRICES,2,FALSE()),CK182,VLOOKUP(G182,NGPREVPRICES,4,FALSE()),HLOOKUP(D182,PREVVOLS,VLOOKUP(G182,MOVE_DOWN2,2,FALSE()),FALSE()),VLOOKUP(G182,NGPREVPRICES,3,FALSE()),HLOOKUP(D182,Correllate,VLOOKUP(G182,CorMove,2,FALSE()),FALSE()),Q182-$CD$3,R182,$CJ$5)*H182</f>
        <v>#NAME?</v>
      </c>
      <c r="CK182" s="254" t="n">
        <f aca="false">I182</f>
        <v>0.3375</v>
      </c>
      <c r="CL182" s="253"/>
      <c r="CM182" s="0" t="str">
        <f aca="false">CONCATENATE(CC182,$CD$6)</f>
        <v>36770Curve Shift/Gamma</v>
      </c>
      <c r="CN182" s="0" t="str">
        <f aca="false">CONCATENATE($CC182,$CE$6)</f>
        <v>36770Rho</v>
      </c>
      <c r="CO182" s="0" t="str">
        <f aca="false">CONCATENATE($CC182,$CF$6)</f>
        <v>36770Drift</v>
      </c>
      <c r="CP182" s="0" t="str">
        <f aca="false">CONCATENATE($CC182,$CG$6)</f>
        <v>36770Vega</v>
      </c>
      <c r="CQ182" s="0" t="str">
        <f aca="false">CONCATENATE($CC182,$CH$6)</f>
        <v>36770Theta</v>
      </c>
    </row>
    <row r="183" customFormat="false" ht="12" hidden="false" customHeight="true" outlineLevel="0" collapsed="false">
      <c r="A183" s="17" t="s">
        <v>255</v>
      </c>
      <c r="B183" s="0" t="s">
        <v>192</v>
      </c>
      <c r="C183" s="0" t="s">
        <v>263</v>
      </c>
      <c r="D183" s="7" t="s">
        <v>137</v>
      </c>
      <c r="E183" s="0" t="s">
        <v>131</v>
      </c>
      <c r="F183" s="0" t="s">
        <v>136</v>
      </c>
      <c r="G183" s="92" t="n">
        <v>36800</v>
      </c>
      <c r="H183" s="248" t="n">
        <v>-500000</v>
      </c>
      <c r="I183" s="0" t="n">
        <v>0.1</v>
      </c>
      <c r="J183" s="124" t="n">
        <f aca="false">VLOOKUP(G183,NGPrices,2,FALSE())</f>
        <v>4.692</v>
      </c>
      <c r="K183" s="125" t="n">
        <f aca="false">HLOOKUP(D183,Prices,VLOOKUP(G183,move_down,2,FALSE()),FALSE())+VLOOKUP(G183,CHANGE,HLOOKUP(D183,CHANGE,2,FALSE()),FALSE())</f>
        <v>1.99</v>
      </c>
      <c r="L183" s="124" t="n">
        <f aca="false">K183+J183</f>
        <v>6.682</v>
      </c>
      <c r="M183" s="126" t="n">
        <f aca="false">VLOOKUP(G183,NGPrices,4,FALSE())</f>
        <v>0.068050789414654</v>
      </c>
      <c r="N183" s="7" t="n">
        <f aca="false">VLOOKUP(G183,NGPrices,3,FALSE())</f>
        <v>0.575</v>
      </c>
      <c r="O183" s="7" t="n">
        <f aca="false">HLOOKUP(D183,VOLS,VLOOKUP(G183,move_down,2,FALSE()),FALSE())</f>
        <v>0.541</v>
      </c>
      <c r="P183" s="249" t="n">
        <f aca="false">HLOOKUP(D183,Correllate,VLOOKUP(G183,CorMove,2,FALSE()),FALSE())</f>
        <v>0.83</v>
      </c>
      <c r="Q183" s="92" t="n">
        <f aca="false">WORKDAY(G183,-2)</f>
        <v>36797</v>
      </c>
      <c r="R183" s="7" t="n">
        <f aca="false">IF(F183="P",0,1)</f>
        <v>1</v>
      </c>
      <c r="S183" s="130" t="e">
        <f aca="false">xSPRDOPT($L183,$J183,$I183,$M183,$O183,$N183,$P183,$Q183-$C$3,$R183,0)</f>
        <v>#NAME?</v>
      </c>
      <c r="T183" s="250" t="e">
        <f aca="false">xSPRDOPT($L183,$J183,$I183,$M183,$O183,$N183,$P183,$Q183-$C$3,$R183,1)*H183</f>
        <v>#NAME?</v>
      </c>
      <c r="U183" s="43" t="e">
        <f aca="false">S183*H183</f>
        <v>#NAME?</v>
      </c>
      <c r="V183" s="250" t="e">
        <f aca="false">xSPRDOPT($L183,$J183,$I183,$M183,$O183,$N183,$P183,$Q183-$C$3,$R183,2)*H183</f>
        <v>#NAME?</v>
      </c>
      <c r="W183" s="250" t="e">
        <f aca="false">+V183+T183</f>
        <v>#NAME?</v>
      </c>
      <c r="X183" s="2" t="str">
        <f aca="false">CONCATENATE(G183,D183)</f>
        <v>36800NGI-SOCAL</v>
      </c>
      <c r="Y183" s="251" t="n">
        <f aca="false">H183/10000</f>
        <v>-50</v>
      </c>
      <c r="Z183" s="226" t="e">
        <f aca="false">T183/H183</f>
        <v>#NAME?</v>
      </c>
      <c r="AA183" s="226" t="e">
        <f aca="false">xSPRDOPT($L183,$J183,$I183,$M183,$O183,$N183,$P183,$Q183-$C$3,$R183,3)</f>
        <v>#NAME?</v>
      </c>
      <c r="AB183" s="226" t="e">
        <f aca="false">((xSPRDOPT($L183+AB$5,$J183,$I183,$M183,$O183,$N183,$P183,$Q183-$C$3,$R183,3)*$H183)/10000)/100</f>
        <v>#NAME?</v>
      </c>
      <c r="AC183" s="226" t="e">
        <f aca="false">((xSPRDOPT($L183+$AB$5,$J183,$I183,$M183,$O183,$N183,$P183,$Q183-$C$3,$R183,7)*$H183)/100)</f>
        <v>#NAME?</v>
      </c>
      <c r="AD183" s="226" t="e">
        <f aca="false">(xSPRDOPT($L183+$AB$5,$J183,$I183,$M183,$O183,$N183,$P183,$Q183-$C$3,$R183,9)/365)*$H183</f>
        <v>#NAME?</v>
      </c>
      <c r="AE183" s="0" t="e">
        <f aca="false">CD183</f>
        <v>#NAME?</v>
      </c>
      <c r="AF183" s="226" t="e">
        <f aca="false">((O183/N183)*AH183)+AG183</f>
        <v>#NAME?</v>
      </c>
      <c r="AG183" s="226" t="e">
        <f aca="false">((xSPRDOPT($L183,$J183,$I183,$M183,$O183,$N183,$P183,$Q183-$C$3,$R183,6)*$H183)/100)</f>
        <v>#NAME?</v>
      </c>
      <c r="AH183" s="226" t="e">
        <f aca="false">((xSPRDOPT($L183,$J183,$I183,$M183,$O183,$N183,$P183,$Q183-$C$3,$R183,5)*$H183)/100)</f>
        <v>#NAME?</v>
      </c>
      <c r="AI183" s="226" t="e">
        <f aca="false">(((xSPRDOPT($L183,$J183,$I183,$M183,$O183,$N183,$P183,$Q183-$C$3,$R183,4)*$H183)/10000)/100)-AB183</f>
        <v>#NAME?</v>
      </c>
      <c r="AJ183" s="226"/>
      <c r="AK183" s="226"/>
      <c r="AL183" s="226"/>
      <c r="AM183" s="252"/>
      <c r="CC183" s="182" t="n">
        <f aca="false">G183</f>
        <v>36800</v>
      </c>
      <c r="CD183" s="253" t="e">
        <f aca="false">xSPRDOPT((VLOOKUP(G183,NGPrices,2,FALSE())+HLOOKUP(D183,Prices,VLOOKUP(G183,move_down,2,FALSE()),FALSE())),VLOOKUP(G183,NGPrices,2,FALSE()),I183,VLOOKUP(G183,NGPREVPRICES,4,FALSE()),HLOOKUP(D183,PREVVOLS,VLOOKUP(G183,MOVE_DOWN2,2,FALSE()),FALSE()),VLOOKUP(G183,NGPREVPRICES,3,FALSE()),HLOOKUP(D183,Correllate,VLOOKUP(G183,CorMove,2,FALSE()),FALSE()),Q183-$CD$3,R183,$CD$5)*H183-CJ183</f>
        <v>#NAME?</v>
      </c>
      <c r="CE183" s="253" t="e">
        <f aca="false">xSPRDOPT((VLOOKUP(G183,NGPREVPRICES,2,FALSE())+HLOOKUP(D183,PREVCURVES,VLOOKUP(G183,MOVE_DOWN2,2,FALSE()),FALSE())),VLOOKUP(G183,NGPREVPRICES,2,FALSE()),CK183,VLOOKUP(G183,NGPrices,4,FALSE()),HLOOKUP(D183,PREVVOLS,VLOOKUP(G183,MOVE_DOWN2,2,FALSE()),FALSE()),VLOOKUP(G183,NGPREVPRICES,3,FALSE()),HLOOKUP(D183,Correllate,VLOOKUP(G183,CorMove,2,FALSE()),FALSE()),Q183-$CD$3,R183,$CJ$5)*H183-CJ183</f>
        <v>#NAME?</v>
      </c>
      <c r="CF183" s="132" t="e">
        <f aca="false">(CJ183/VLOOKUP(CC183,discount,3,FALSE()))-(CJ183/VLOOKUP(CC183,discount,2,FALSE()))</f>
        <v>#NAME?</v>
      </c>
      <c r="CG183" s="253" t="e">
        <f aca="false">xSPRDOPT((VLOOKUP(G183,NGPREVPRICES,2,FALSE())+HLOOKUP(D183,PREVCURVES,VLOOKUP(G183,MOVE_DOWN2,2,FALSE()),FALSE())),VLOOKUP(G183,NGPREVPRICES,2,FALSE()),CK183,VLOOKUP(G183,NGPREVPRICES,4,FALSE()),HLOOKUP(D183,VOLS,VLOOKUP(G183,move_down,2,FALSE()),FALSE()),VLOOKUP(G183,NGPrices,3,FALSE()),HLOOKUP(D183,Correllate,VLOOKUP(G183,CorMove,2,FALSE()),FALSE()),Q183-$CD$3,R183,$CJ$5)*H183-CJ183</f>
        <v>#NAME?</v>
      </c>
      <c r="CH183" s="253" t="e">
        <f aca="false">xSPRDOPT((VLOOKUP(G183,NGPREVPRICES,2,FALSE())+HLOOKUP(D183,PREVCURVES,VLOOKUP(G183,MOVE_DOWN2,2,FALSE()),FALSE())),VLOOKUP(G183,NGPREVPRICES,2,FALSE()),CK183,VLOOKUP(G183,NGPREVPRICES,4,FALSE()),HLOOKUP(D183,PREVVOLS,VLOOKUP(G183,MOVE_DOWN2,2,FALSE()),FALSE()),VLOOKUP(G183,NGPREVPRICES,3,FALSE()),HLOOKUP(D183,Correllate,VLOOKUP(G183,CorMove,2,FALSE()),FALSE()),Q183-$C$3,R183,$CJ$5)*H183-CJ183</f>
        <v>#NAME?</v>
      </c>
      <c r="CI183" s="253" t="e">
        <f aca="false">SUM(CD183:CH183)</f>
        <v>#NAME?</v>
      </c>
      <c r="CJ183" s="253" t="e">
        <f aca="false">xSPRDOPT((VLOOKUP(G183,NGPREVPRICES,2,FALSE())+HLOOKUP(D183,PREVCURVES,VLOOKUP(G183,MOVE_DOWN2,2,FALSE()),FALSE())),VLOOKUP(G183,NGPREVPRICES,2,FALSE()),CK183,VLOOKUP(G183,NGPREVPRICES,4,FALSE()),HLOOKUP(D183,PREVVOLS,VLOOKUP(G183,MOVE_DOWN2,2,FALSE()),FALSE()),VLOOKUP(G183,NGPREVPRICES,3,FALSE()),HLOOKUP(D183,Correllate,VLOOKUP(G183,CorMove,2,FALSE()),FALSE()),Q183-$CD$3,R183,$CJ$5)*H183</f>
        <v>#NAME?</v>
      </c>
      <c r="CK183" s="254" t="n">
        <f aca="false">I183</f>
        <v>0.1</v>
      </c>
      <c r="CL183" s="253"/>
      <c r="CM183" s="0" t="str">
        <f aca="false">CONCATENATE(CC183,$CD$6)</f>
        <v>36800Curve Shift/Gamma</v>
      </c>
      <c r="CN183" s="0" t="str">
        <f aca="false">CONCATENATE($CC183,$CE$6)</f>
        <v>36800Rho</v>
      </c>
      <c r="CO183" s="0" t="str">
        <f aca="false">CONCATENATE($CC183,$CF$6)</f>
        <v>36800Drift</v>
      </c>
      <c r="CP183" s="0" t="str">
        <f aca="false">CONCATENATE($CC183,$CG$6)</f>
        <v>36800Vega</v>
      </c>
      <c r="CQ183" s="0" t="str">
        <f aca="false">CONCATENATE($CC183,$CH$6)</f>
        <v>36800Theta</v>
      </c>
    </row>
    <row r="184" customFormat="false" ht="12" hidden="false" customHeight="true" outlineLevel="0" collapsed="false">
      <c r="A184" s="17" t="s">
        <v>255</v>
      </c>
      <c r="B184" s="0" t="s">
        <v>192</v>
      </c>
      <c r="C184" s="0" t="s">
        <v>263</v>
      </c>
      <c r="D184" s="7" t="s">
        <v>137</v>
      </c>
      <c r="E184" s="0" t="s">
        <v>131</v>
      </c>
      <c r="F184" s="0" t="s">
        <v>136</v>
      </c>
      <c r="G184" s="92" t="n">
        <v>36770</v>
      </c>
      <c r="H184" s="248" t="n">
        <v>-500000</v>
      </c>
      <c r="I184" s="0" t="n">
        <v>0.1</v>
      </c>
      <c r="J184" s="124" t="n">
        <f aca="false">VLOOKUP(G184,NGPrices,2,FALSE())</f>
        <v>4.685</v>
      </c>
      <c r="K184" s="125" t="n">
        <f aca="false">HLOOKUP(D184,Prices,VLOOKUP(G184,move_down,2,FALSE()),FALSE())+VLOOKUP(G184,CHANGE,HLOOKUP(D184,CHANGE,2,FALSE()),FALSE())</f>
        <v>2.5</v>
      </c>
      <c r="L184" s="124" t="n">
        <f aca="false">K184+J184</f>
        <v>7.185</v>
      </c>
      <c r="M184" s="126" t="n">
        <f aca="false">VLOOKUP(G184,NGPrices,4,FALSE())</f>
        <v>0.067216196212185</v>
      </c>
      <c r="N184" s="7" t="n">
        <f aca="false">VLOOKUP(G184,NGPrices,3,FALSE())</f>
        <v>0.4</v>
      </c>
      <c r="O184" s="7" t="n">
        <f aca="false">HLOOKUP(D184,VOLS,VLOOKUP(G184,move_down,2,FALSE()),FALSE())</f>
        <v>0.376</v>
      </c>
      <c r="P184" s="249" t="n">
        <f aca="false">HLOOKUP(D184,Correllate,VLOOKUP(G184,CorMove,2,FALSE()),FALSE())</f>
        <v>0.83</v>
      </c>
      <c r="Q184" s="92" t="n">
        <f aca="false">WORKDAY(G184,-2)</f>
        <v>36768</v>
      </c>
      <c r="R184" s="7" t="n">
        <f aca="false">IF(F184="P",0,1)</f>
        <v>1</v>
      </c>
      <c r="S184" s="130" t="e">
        <f aca="false">xSPRDOPT($L184,$J184,$I184,$M184,$O184,$N184,$P184,$Q184-$C$3,$R184,0)</f>
        <v>#NAME?</v>
      </c>
      <c r="T184" s="250" t="e">
        <f aca="false">xSPRDOPT($L184,$J184,$I184,$M184,$O184,$N184,$P184,$Q184-$C$3,$R184,1)*H184</f>
        <v>#NAME?</v>
      </c>
      <c r="U184" s="43" t="e">
        <f aca="false">S184*H184</f>
        <v>#NAME?</v>
      </c>
      <c r="V184" s="250" t="e">
        <f aca="false">xSPRDOPT($L184,$J184,$I184,$M184,$O184,$N184,$P184,$Q184-$C$3,$R184,2)*H184</f>
        <v>#NAME?</v>
      </c>
      <c r="W184" s="250" t="e">
        <f aca="false">+V184+T184</f>
        <v>#NAME?</v>
      </c>
      <c r="X184" s="2" t="str">
        <f aca="false">CONCATENATE(G184,D184)</f>
        <v>36770NGI-SOCAL</v>
      </c>
      <c r="Y184" s="251" t="n">
        <f aca="false">H184/10000</f>
        <v>-50</v>
      </c>
      <c r="Z184" s="226" t="e">
        <f aca="false">T184/H184</f>
        <v>#NAME?</v>
      </c>
      <c r="AA184" s="226" t="e">
        <f aca="false">xSPRDOPT($L184,$J184,$I184,$M184,$O184,$N184,$P184,$Q184-$C$3,$R184,3)</f>
        <v>#NAME?</v>
      </c>
      <c r="AB184" s="226" t="e">
        <f aca="false">((xSPRDOPT($L184+AB$5,$J184,$I184,$M184,$O184,$N184,$P184,$Q184-$C$3,$R184,3)*$H184)/10000)/100</f>
        <v>#NAME?</v>
      </c>
      <c r="AC184" s="226" t="e">
        <f aca="false">((xSPRDOPT($L184+$AB$5,$J184,$I184,$M184,$O184,$N184,$P184,$Q184-$C$3,$R184,7)*$H184)/100)</f>
        <v>#NAME?</v>
      </c>
      <c r="AD184" s="226" t="e">
        <f aca="false">(xSPRDOPT($L184+$AB$5,$J184,$I184,$M184,$O184,$N184,$P184,$Q184-$C$3,$R184,9)/365)*$H184</f>
        <v>#NAME?</v>
      </c>
      <c r="AE184" s="0" t="e">
        <f aca="false">CD184</f>
        <v>#NAME?</v>
      </c>
      <c r="AF184" s="226" t="e">
        <f aca="false">((O184/N184)*AH184)+AG184</f>
        <v>#NAME?</v>
      </c>
      <c r="AG184" s="226" t="e">
        <f aca="false">((xSPRDOPT($L184,$J184,$I184,$M184,$O184,$N184,$P184,$Q184-$C$3,$R184,6)*$H184)/100)</f>
        <v>#NAME?</v>
      </c>
      <c r="AH184" s="226" t="e">
        <f aca="false">((xSPRDOPT($L184,$J184,$I184,$M184,$O184,$N184,$P184,$Q184-$C$3,$R184,5)*$H184)/100)</f>
        <v>#NAME?</v>
      </c>
      <c r="AI184" s="226" t="e">
        <f aca="false">(((xSPRDOPT($L184,$J184,$I184,$M184,$O184,$N184,$P184,$Q184-$C$3,$R184,4)*$H184)/10000)/100)-AB184</f>
        <v>#NAME?</v>
      </c>
      <c r="AJ184" s="226"/>
      <c r="AK184" s="226"/>
      <c r="AL184" s="226"/>
      <c r="AM184" s="252"/>
      <c r="CC184" s="182" t="n">
        <f aca="false">G184</f>
        <v>36770</v>
      </c>
      <c r="CD184" s="253" t="e">
        <f aca="false">xSPRDOPT((VLOOKUP(G184,NGPrices,2,FALSE())+HLOOKUP(D184,Prices,VLOOKUP(G184,move_down,2,FALSE()),FALSE())),VLOOKUP(G184,NGPrices,2,FALSE()),I184,VLOOKUP(G184,NGPREVPRICES,4,FALSE()),HLOOKUP(D184,PREVVOLS,VLOOKUP(G184,MOVE_DOWN2,2,FALSE()),FALSE()),VLOOKUP(G184,NGPREVPRICES,3,FALSE()),HLOOKUP(D184,Correllate,VLOOKUP(G184,CorMove,2,FALSE()),FALSE()),Q184-$CD$3,R184,$CD$5)*H184-CJ184</f>
        <v>#NAME?</v>
      </c>
      <c r="CE184" s="253" t="e">
        <f aca="false">xSPRDOPT((VLOOKUP(G184,NGPREVPRICES,2,FALSE())+HLOOKUP(D184,PREVCURVES,VLOOKUP(G184,MOVE_DOWN2,2,FALSE()),FALSE())),VLOOKUP(G184,NGPREVPRICES,2,FALSE()),CK184,VLOOKUP(G184,NGPrices,4,FALSE()),HLOOKUP(D184,PREVVOLS,VLOOKUP(G184,MOVE_DOWN2,2,FALSE()),FALSE()),VLOOKUP(G184,NGPREVPRICES,3,FALSE()),HLOOKUP(D184,Correllate,VLOOKUP(G184,CorMove,2,FALSE()),FALSE()),Q184-$CD$3,R184,$CJ$5)*H184-CJ184</f>
        <v>#NAME?</v>
      </c>
      <c r="CF184" s="132" t="e">
        <f aca="false">(CJ184/VLOOKUP(CC184,discount,3,FALSE()))-(CJ184/VLOOKUP(CC184,discount,2,FALSE()))</f>
        <v>#NAME?</v>
      </c>
      <c r="CG184" s="253" t="e">
        <f aca="false">xSPRDOPT((VLOOKUP(G184,NGPREVPRICES,2,FALSE())+HLOOKUP(D184,PREVCURVES,VLOOKUP(G184,MOVE_DOWN2,2,FALSE()),FALSE())),VLOOKUP(G184,NGPREVPRICES,2,FALSE()),CK184,VLOOKUP(G184,NGPREVPRICES,4,FALSE()),HLOOKUP(D184,VOLS,VLOOKUP(G184,move_down,2,FALSE()),FALSE()),VLOOKUP(G184,NGPrices,3,FALSE()),HLOOKUP(D184,Correllate,VLOOKUP(G184,CorMove,2,FALSE()),FALSE()),Q184-$CD$3,R184,$CJ$5)*H184-CJ184</f>
        <v>#NAME?</v>
      </c>
      <c r="CH184" s="253" t="e">
        <f aca="false">xSPRDOPT((VLOOKUP(G184,NGPREVPRICES,2,FALSE())+HLOOKUP(D184,PREVCURVES,VLOOKUP(G184,MOVE_DOWN2,2,FALSE()),FALSE())),VLOOKUP(G184,NGPREVPRICES,2,FALSE()),CK184,VLOOKUP(G184,NGPREVPRICES,4,FALSE()),HLOOKUP(D184,PREVVOLS,VLOOKUP(G184,MOVE_DOWN2,2,FALSE()),FALSE()),VLOOKUP(G184,NGPREVPRICES,3,FALSE()),HLOOKUP(D184,Correllate,VLOOKUP(G184,CorMove,2,FALSE()),FALSE()),Q184-$C$3,R184,$CJ$5)*H184-CJ184</f>
        <v>#NAME?</v>
      </c>
      <c r="CI184" s="253" t="e">
        <f aca="false">SUM(CD184:CH184)</f>
        <v>#NAME?</v>
      </c>
      <c r="CJ184" s="253" t="e">
        <f aca="false">xSPRDOPT((VLOOKUP(G184,NGPREVPRICES,2,FALSE())+HLOOKUP(D184,PREVCURVES,VLOOKUP(G184,MOVE_DOWN2,2,FALSE()),FALSE())),VLOOKUP(G184,NGPREVPRICES,2,FALSE()),CK184,VLOOKUP(G184,NGPREVPRICES,4,FALSE()),HLOOKUP(D184,PREVVOLS,VLOOKUP(G184,MOVE_DOWN2,2,FALSE()),FALSE()),VLOOKUP(G184,NGPREVPRICES,3,FALSE()),HLOOKUP(D184,Correllate,VLOOKUP(G184,CorMove,2,FALSE()),FALSE()),Q184-$CD$3,R184,$CJ$5)*H184</f>
        <v>#NAME?</v>
      </c>
      <c r="CK184" s="254" t="n">
        <f aca="false">I184</f>
        <v>0.1</v>
      </c>
      <c r="CL184" s="253"/>
      <c r="CM184" s="0" t="str">
        <f aca="false">CONCATENATE(CC184,$CD$6)</f>
        <v>36770Curve Shift/Gamma</v>
      </c>
      <c r="CN184" s="0" t="str">
        <f aca="false">CONCATENATE($CC184,$CE$6)</f>
        <v>36770Rho</v>
      </c>
      <c r="CO184" s="0" t="str">
        <f aca="false">CONCATENATE($CC184,$CF$6)</f>
        <v>36770Drift</v>
      </c>
      <c r="CP184" s="0" t="str">
        <f aca="false">CONCATENATE($CC184,$CG$6)</f>
        <v>36770Vega</v>
      </c>
      <c r="CQ184" s="0" t="str">
        <f aca="false">CONCATENATE($CC184,$CH$6)</f>
        <v>36770Theta</v>
      </c>
    </row>
    <row r="185" customFormat="false" ht="12" hidden="false" customHeight="true" outlineLevel="0" collapsed="false">
      <c r="A185" s="17" t="s">
        <v>264</v>
      </c>
      <c r="B185" s="0" t="s">
        <v>192</v>
      </c>
      <c r="C185" s="0" t="s">
        <v>265</v>
      </c>
      <c r="D185" s="7" t="s">
        <v>137</v>
      </c>
      <c r="E185" s="0" t="s">
        <v>131</v>
      </c>
      <c r="F185" s="0" t="s">
        <v>136</v>
      </c>
      <c r="G185" s="92" t="n">
        <v>36800</v>
      </c>
      <c r="H185" s="248" t="n">
        <v>-310000</v>
      </c>
      <c r="I185" s="0" t="n">
        <v>0.045</v>
      </c>
      <c r="J185" s="124" t="n">
        <f aca="false">VLOOKUP(G185,NGPrices,2,FALSE())</f>
        <v>4.692</v>
      </c>
      <c r="K185" s="125" t="n">
        <f aca="false">HLOOKUP(D185,Prices,VLOOKUP(G185,move_down,2,FALSE()),FALSE())+VLOOKUP(G185,CHANGE,HLOOKUP(D185,CHANGE,2,FALSE()),FALSE())</f>
        <v>1.99</v>
      </c>
      <c r="L185" s="124" t="n">
        <f aca="false">K185+J185</f>
        <v>6.682</v>
      </c>
      <c r="M185" s="126" t="n">
        <f aca="false">VLOOKUP(G185,NGPrices,4,FALSE())</f>
        <v>0.068050789414654</v>
      </c>
      <c r="N185" s="7" t="n">
        <f aca="false">VLOOKUP(G185,NGPrices,3,FALSE())</f>
        <v>0.575</v>
      </c>
      <c r="O185" s="7" t="n">
        <f aca="false">HLOOKUP(D185,VOLS,VLOOKUP(G185,move_down,2,FALSE()),FALSE())</f>
        <v>0.541</v>
      </c>
      <c r="P185" s="249" t="n">
        <f aca="false">HLOOKUP(D185,Correllate,VLOOKUP(G185,CorMove,2,FALSE()),FALSE())</f>
        <v>0.83</v>
      </c>
      <c r="Q185" s="92" t="n">
        <f aca="false">WORKDAY(G185,-2)</f>
        <v>36797</v>
      </c>
      <c r="R185" s="7" t="n">
        <f aca="false">IF(F185="P",0,1)</f>
        <v>1</v>
      </c>
      <c r="S185" s="130" t="e">
        <f aca="false">xSPRDOPT($L185,$J185,$I185,$M185,$O185,$N185,$P185,$Q185-$C$3,$R185,0)</f>
        <v>#NAME?</v>
      </c>
      <c r="T185" s="250" t="e">
        <f aca="false">xSPRDOPT($L185,$J185,$I185,$M185,$O185,$N185,$P185,$Q185-$C$3,$R185,1)*H185</f>
        <v>#NAME?</v>
      </c>
      <c r="U185" s="43" t="e">
        <f aca="false">S185*H185</f>
        <v>#NAME?</v>
      </c>
      <c r="V185" s="250" t="e">
        <f aca="false">xSPRDOPT($L185,$J185,$I185,$M185,$O185,$N185,$P185,$Q185-$C$3,$R185,2)*H185</f>
        <v>#NAME?</v>
      </c>
      <c r="W185" s="250" t="e">
        <f aca="false">+V185+T185</f>
        <v>#NAME?</v>
      </c>
      <c r="X185" s="2" t="str">
        <f aca="false">CONCATENATE(G185,D185)</f>
        <v>36800NGI-SOCAL</v>
      </c>
      <c r="Y185" s="251" t="n">
        <f aca="false">H185/10000</f>
        <v>-31</v>
      </c>
      <c r="Z185" s="226" t="e">
        <f aca="false">T185/H185</f>
        <v>#NAME?</v>
      </c>
      <c r="AA185" s="226" t="e">
        <f aca="false">xSPRDOPT($L185,$J185,$I185,$M185,$O185,$N185,$P185,$Q185-$C$3,$R185,3)</f>
        <v>#NAME?</v>
      </c>
      <c r="AB185" s="226" t="e">
        <f aca="false">((xSPRDOPT($L185+AB$5,$J185,$I185,$M185,$O185,$N185,$P185,$Q185-$C$3,$R185,3)*$H185)/10000)/100</f>
        <v>#NAME?</v>
      </c>
      <c r="AC185" s="226" t="e">
        <f aca="false">((xSPRDOPT($L185+$AB$5,$J185,$I185,$M185,$O185,$N185,$P185,$Q185-$C$3,$R185,7)*$H185)/100)</f>
        <v>#NAME?</v>
      </c>
      <c r="AD185" s="226" t="e">
        <f aca="false">(xSPRDOPT($L185+$AB$5,$J185,$I185,$M185,$O185,$N185,$P185,$Q185-$C$3,$R185,9)/365)*$H185</f>
        <v>#NAME?</v>
      </c>
      <c r="AE185" s="0" t="e">
        <f aca="false">CD185</f>
        <v>#NAME?</v>
      </c>
      <c r="AF185" s="226" t="e">
        <f aca="false">((O185/N185)*AH185)+AG185</f>
        <v>#NAME?</v>
      </c>
      <c r="AG185" s="226" t="e">
        <f aca="false">((xSPRDOPT($L185,$J185,$I185,$M185,$O185,$N185,$P185,$Q185-$C$3,$R185,6)*$H185)/100)</f>
        <v>#NAME?</v>
      </c>
      <c r="AH185" s="226" t="e">
        <f aca="false">((xSPRDOPT($L185,$J185,$I185,$M185,$O185,$N185,$P185,$Q185-$C$3,$R185,5)*$H185)/100)</f>
        <v>#NAME?</v>
      </c>
      <c r="AI185" s="226" t="e">
        <f aca="false">(((xSPRDOPT($L185,$J185,$I185,$M185,$O185,$N185,$P185,$Q185-$C$3,$R185,4)*$H185)/10000)/100)-AB185</f>
        <v>#NAME?</v>
      </c>
      <c r="AJ185" s="226"/>
      <c r="AK185" s="226"/>
      <c r="AL185" s="226"/>
      <c r="AM185" s="252"/>
      <c r="CC185" s="182" t="n">
        <f aca="false">G185</f>
        <v>36800</v>
      </c>
      <c r="CD185" s="253" t="e">
        <f aca="false">xSPRDOPT((VLOOKUP(G185,NGPrices,2,FALSE())+HLOOKUP(D185,Prices,VLOOKUP(G185,move_down,2,FALSE()),FALSE())),VLOOKUP(G185,NGPrices,2,FALSE()),I185,VLOOKUP(G185,NGPREVPRICES,4,FALSE()),HLOOKUP(D185,PREVVOLS,VLOOKUP(G185,MOVE_DOWN2,2,FALSE()),FALSE()),VLOOKUP(G185,NGPREVPRICES,3,FALSE()),HLOOKUP(D185,Correllate,VLOOKUP(G185,CorMove,2,FALSE()),FALSE()),Q185-$CD$3,R185,$CD$5)*H185-CJ185</f>
        <v>#NAME?</v>
      </c>
      <c r="CE185" s="253" t="e">
        <f aca="false">xSPRDOPT((VLOOKUP(G185,NGPREVPRICES,2,FALSE())+HLOOKUP(D185,PREVCURVES,VLOOKUP(G185,MOVE_DOWN2,2,FALSE()),FALSE())),VLOOKUP(G185,NGPREVPRICES,2,FALSE()),CK185,VLOOKUP(G185,NGPrices,4,FALSE()),HLOOKUP(D185,PREVVOLS,VLOOKUP(G185,MOVE_DOWN2,2,FALSE()),FALSE()),VLOOKUP(G185,NGPREVPRICES,3,FALSE()),HLOOKUP(D185,Correllate,VLOOKUP(G185,CorMove,2,FALSE()),FALSE()),Q185-$CD$3,R185,$CJ$5)*H185-CJ185</f>
        <v>#NAME?</v>
      </c>
      <c r="CF185" s="132" t="e">
        <f aca="false">(CJ185/VLOOKUP(CC185,discount,3,FALSE()))-(CJ185/VLOOKUP(CC185,discount,2,FALSE()))</f>
        <v>#NAME?</v>
      </c>
      <c r="CG185" s="253" t="e">
        <f aca="false">xSPRDOPT((VLOOKUP(G185,NGPREVPRICES,2,FALSE())+HLOOKUP(D185,PREVCURVES,VLOOKUP(G185,MOVE_DOWN2,2,FALSE()),FALSE())),VLOOKUP(G185,NGPREVPRICES,2,FALSE()),CK185,VLOOKUP(G185,NGPREVPRICES,4,FALSE()),HLOOKUP(D185,VOLS,VLOOKUP(G185,move_down,2,FALSE()),FALSE()),VLOOKUP(G185,NGPrices,3,FALSE()),HLOOKUP(D185,Correllate,VLOOKUP(G185,CorMove,2,FALSE()),FALSE()),Q185-$CD$3,R185,$CJ$5)*H185-CJ185</f>
        <v>#NAME?</v>
      </c>
      <c r="CH185" s="253" t="e">
        <f aca="false">xSPRDOPT((VLOOKUP(G185,NGPREVPRICES,2,FALSE())+HLOOKUP(D185,PREVCURVES,VLOOKUP(G185,MOVE_DOWN2,2,FALSE()),FALSE())),VLOOKUP(G185,NGPREVPRICES,2,FALSE()),CK185,VLOOKUP(G185,NGPREVPRICES,4,FALSE()),HLOOKUP(D185,PREVVOLS,VLOOKUP(G185,MOVE_DOWN2,2,FALSE()),FALSE()),VLOOKUP(G185,NGPREVPRICES,3,FALSE()),HLOOKUP(D185,Correllate,VLOOKUP(G185,CorMove,2,FALSE()),FALSE()),Q185-$C$3,R185,$CJ$5)*H185-CJ185</f>
        <v>#NAME?</v>
      </c>
      <c r="CI185" s="253" t="e">
        <f aca="false">SUM(CD185:CH185)</f>
        <v>#NAME?</v>
      </c>
      <c r="CJ185" s="253" t="e">
        <f aca="false">xSPRDOPT((VLOOKUP(G185,NGPREVPRICES,2,FALSE())+HLOOKUP(D185,PREVCURVES,VLOOKUP(G185,MOVE_DOWN2,2,FALSE()),FALSE())),VLOOKUP(G185,NGPREVPRICES,2,FALSE()),CK185,VLOOKUP(G185,NGPREVPRICES,4,FALSE()),HLOOKUP(D185,PREVVOLS,VLOOKUP(G185,MOVE_DOWN2,2,FALSE()),FALSE()),VLOOKUP(G185,NGPREVPRICES,3,FALSE()),HLOOKUP(D185,Correllate,VLOOKUP(G185,CorMove,2,FALSE()),FALSE()),Q185-$CD$3,R185,$CJ$5)*H185</f>
        <v>#NAME?</v>
      </c>
      <c r="CK185" s="254" t="n">
        <f aca="false">I185</f>
        <v>0.045</v>
      </c>
      <c r="CL185" s="253"/>
      <c r="CM185" s="0" t="str">
        <f aca="false">CONCATENATE(CC185,$CD$6)</f>
        <v>36800Curve Shift/Gamma</v>
      </c>
      <c r="CN185" s="0" t="str">
        <f aca="false">CONCATENATE($CC185,$CE$6)</f>
        <v>36800Rho</v>
      </c>
      <c r="CO185" s="0" t="str">
        <f aca="false">CONCATENATE($CC185,$CF$6)</f>
        <v>36800Drift</v>
      </c>
      <c r="CP185" s="0" t="str">
        <f aca="false">CONCATENATE($CC185,$CG$6)</f>
        <v>36800Vega</v>
      </c>
      <c r="CQ185" s="0" t="str">
        <f aca="false">CONCATENATE($CC185,$CH$6)</f>
        <v>36800Theta</v>
      </c>
    </row>
    <row r="186" customFormat="false" ht="12" hidden="false" customHeight="true" outlineLevel="0" collapsed="false">
      <c r="A186" s="17" t="s">
        <v>264</v>
      </c>
      <c r="B186" s="0" t="s">
        <v>192</v>
      </c>
      <c r="C186" s="0" t="s">
        <v>265</v>
      </c>
      <c r="D186" s="7" t="s">
        <v>137</v>
      </c>
      <c r="E186" s="0" t="s">
        <v>131</v>
      </c>
      <c r="F186" s="0" t="s">
        <v>132</v>
      </c>
      <c r="G186" s="92" t="n">
        <v>36800</v>
      </c>
      <c r="H186" s="248" t="n">
        <v>-310000</v>
      </c>
      <c r="I186" s="0" t="n">
        <v>0.045</v>
      </c>
      <c r="J186" s="124" t="n">
        <f aca="false">VLOOKUP(G186,NGPrices,2,FALSE())</f>
        <v>4.692</v>
      </c>
      <c r="K186" s="125" t="n">
        <f aca="false">HLOOKUP(D186,Prices,VLOOKUP(G186,move_down,2,FALSE()),FALSE())+VLOOKUP(G186,CHANGE,HLOOKUP(D186,CHANGE,2,FALSE()),FALSE())</f>
        <v>1.99</v>
      </c>
      <c r="L186" s="124" t="n">
        <f aca="false">K186+J186</f>
        <v>6.682</v>
      </c>
      <c r="M186" s="126" t="n">
        <f aca="false">VLOOKUP(G186,NGPrices,4,FALSE())</f>
        <v>0.068050789414654</v>
      </c>
      <c r="N186" s="7" t="n">
        <f aca="false">VLOOKUP(G186,NGPrices,3,FALSE())</f>
        <v>0.575</v>
      </c>
      <c r="O186" s="7" t="n">
        <f aca="false">HLOOKUP(D186,VOLS,VLOOKUP(G186,move_down,2,FALSE()),FALSE())</f>
        <v>0.541</v>
      </c>
      <c r="P186" s="249" t="n">
        <f aca="false">HLOOKUP(D186,Correllate,VLOOKUP(G186,CorMove,2,FALSE()),FALSE())</f>
        <v>0.83</v>
      </c>
      <c r="Q186" s="92" t="n">
        <f aca="false">WORKDAY(G186,-2)</f>
        <v>36797</v>
      </c>
      <c r="R186" s="7" t="n">
        <f aca="false">IF(F186="P",0,1)</f>
        <v>0</v>
      </c>
      <c r="S186" s="130" t="e">
        <f aca="false">xSPRDOPT($L186,$J186,$I186,$M186,$O186,$N186,$P186,$Q186-$C$3,$R186,0)</f>
        <v>#NAME?</v>
      </c>
      <c r="T186" s="250" t="e">
        <f aca="false">xSPRDOPT($L186,$J186,$I186,$M186,$O186,$N186,$P186,$Q186-$C$3,$R186,1)*H186</f>
        <v>#NAME?</v>
      </c>
      <c r="U186" s="43" t="e">
        <f aca="false">S186*H186</f>
        <v>#NAME?</v>
      </c>
      <c r="V186" s="250" t="e">
        <f aca="false">xSPRDOPT($L186,$J186,$I186,$M186,$O186,$N186,$P186,$Q186-$C$3,$R186,2)*H186</f>
        <v>#NAME?</v>
      </c>
      <c r="W186" s="250" t="e">
        <f aca="false">+V186+T186</f>
        <v>#NAME?</v>
      </c>
      <c r="X186" s="2" t="str">
        <f aca="false">CONCATENATE(G186,D186)</f>
        <v>36800NGI-SOCAL</v>
      </c>
      <c r="Y186" s="251" t="n">
        <f aca="false">H186/10000</f>
        <v>-31</v>
      </c>
      <c r="Z186" s="226" t="e">
        <f aca="false">T186/H186</f>
        <v>#NAME?</v>
      </c>
      <c r="AA186" s="226" t="e">
        <f aca="false">xSPRDOPT($L186,$J186,$I186,$M186,$O186,$N186,$P186,$Q186-$C$3,$R186,3)</f>
        <v>#NAME?</v>
      </c>
      <c r="AB186" s="226" t="e">
        <f aca="false">((xSPRDOPT($L186+AB$5,$J186,$I186,$M186,$O186,$N186,$P186,$Q186-$C$3,$R186,3)*$H186)/10000)/100</f>
        <v>#NAME?</v>
      </c>
      <c r="AC186" s="226" t="e">
        <f aca="false">((xSPRDOPT($L186+$AB$5,$J186,$I186,$M186,$O186,$N186,$P186,$Q186-$C$3,$R186,7)*$H186)/100)</f>
        <v>#NAME?</v>
      </c>
      <c r="AD186" s="226" t="e">
        <f aca="false">(xSPRDOPT($L186+$AB$5,$J186,$I186,$M186,$O186,$N186,$P186,$Q186-$C$3,$R186,9)/365)*$H186</f>
        <v>#NAME?</v>
      </c>
      <c r="AE186" s="0" t="e">
        <f aca="false">CD186</f>
        <v>#NAME?</v>
      </c>
      <c r="AF186" s="226" t="e">
        <f aca="false">((O186/N186)*AH186)+AG186</f>
        <v>#NAME?</v>
      </c>
      <c r="AG186" s="226" t="e">
        <f aca="false">((xSPRDOPT($L186,$J186,$I186,$M186,$O186,$N186,$P186,$Q186-$C$3,$R186,6)*$H186)/100)</f>
        <v>#NAME?</v>
      </c>
      <c r="AH186" s="226" t="e">
        <f aca="false">((xSPRDOPT($L186,$J186,$I186,$M186,$O186,$N186,$P186,$Q186-$C$3,$R186,5)*$H186)/100)</f>
        <v>#NAME?</v>
      </c>
      <c r="AI186" s="226" t="e">
        <f aca="false">(((xSPRDOPT($L186,$J186,$I186,$M186,$O186,$N186,$P186,$Q186-$C$3,$R186,4)*$H186)/10000)/100)-AB186</f>
        <v>#NAME?</v>
      </c>
      <c r="AJ186" s="226"/>
      <c r="AK186" s="226"/>
      <c r="AL186" s="226"/>
      <c r="AM186" s="252"/>
      <c r="CC186" s="182" t="n">
        <f aca="false">G186</f>
        <v>36800</v>
      </c>
      <c r="CD186" s="253" t="e">
        <f aca="false">xSPRDOPT((VLOOKUP(G186,NGPrices,2,FALSE())+HLOOKUP(D186,Prices,VLOOKUP(G186,move_down,2,FALSE()),FALSE())),VLOOKUP(G186,NGPrices,2,FALSE()),I186,VLOOKUP(G186,NGPREVPRICES,4,FALSE()),HLOOKUP(D186,PREVVOLS,VLOOKUP(G186,MOVE_DOWN2,2,FALSE()),FALSE()),VLOOKUP(G186,NGPREVPRICES,3,FALSE()),HLOOKUP(D186,Correllate,VLOOKUP(G186,CorMove,2,FALSE()),FALSE()),Q186-$CD$3,R186,$CD$5)*H186-CJ186</f>
        <v>#NAME?</v>
      </c>
      <c r="CE186" s="253" t="e">
        <f aca="false">xSPRDOPT((VLOOKUP(G186,NGPREVPRICES,2,FALSE())+HLOOKUP(D186,PREVCURVES,VLOOKUP(G186,MOVE_DOWN2,2,FALSE()),FALSE())),VLOOKUP(G186,NGPREVPRICES,2,FALSE()),CK186,VLOOKUP(G186,NGPrices,4,FALSE()),HLOOKUP(D186,PREVVOLS,VLOOKUP(G186,MOVE_DOWN2,2,FALSE()),FALSE()),VLOOKUP(G186,NGPREVPRICES,3,FALSE()),HLOOKUP(D186,Correllate,VLOOKUP(G186,CorMove,2,FALSE()),FALSE()),Q186-$CD$3,R186,$CJ$5)*H186-CJ186</f>
        <v>#NAME?</v>
      </c>
      <c r="CF186" s="132" t="e">
        <f aca="false">(CJ186/VLOOKUP(CC186,discount,3,FALSE()))-(CJ186/VLOOKUP(CC186,discount,2,FALSE()))</f>
        <v>#NAME?</v>
      </c>
      <c r="CG186" s="253" t="e">
        <f aca="false">xSPRDOPT((VLOOKUP(G186,NGPREVPRICES,2,FALSE())+HLOOKUP(D186,PREVCURVES,VLOOKUP(G186,MOVE_DOWN2,2,FALSE()),FALSE())),VLOOKUP(G186,NGPREVPRICES,2,FALSE()),CK186,VLOOKUP(G186,NGPREVPRICES,4,FALSE()),HLOOKUP(D186,VOLS,VLOOKUP(G186,move_down,2,FALSE()),FALSE()),VLOOKUP(G186,NGPrices,3,FALSE()),HLOOKUP(D186,Correllate,VLOOKUP(G186,CorMove,2,FALSE()),FALSE()),Q186-$CD$3,R186,$CJ$5)*H186-CJ186</f>
        <v>#NAME?</v>
      </c>
      <c r="CH186" s="253" t="e">
        <f aca="false">xSPRDOPT((VLOOKUP(G186,NGPREVPRICES,2,FALSE())+HLOOKUP(D186,PREVCURVES,VLOOKUP(G186,MOVE_DOWN2,2,FALSE()),FALSE())),VLOOKUP(G186,NGPREVPRICES,2,FALSE()),CK186,VLOOKUP(G186,NGPREVPRICES,4,FALSE()),HLOOKUP(D186,PREVVOLS,VLOOKUP(G186,MOVE_DOWN2,2,FALSE()),FALSE()),VLOOKUP(G186,NGPREVPRICES,3,FALSE()),HLOOKUP(D186,Correllate,VLOOKUP(G186,CorMove,2,FALSE()),FALSE()),Q186-$C$3,R186,$CJ$5)*H186-CJ186</f>
        <v>#NAME?</v>
      </c>
      <c r="CI186" s="253" t="e">
        <f aca="false">SUM(CD186:CH186)</f>
        <v>#NAME?</v>
      </c>
      <c r="CJ186" s="253" t="e">
        <f aca="false">xSPRDOPT((VLOOKUP(G186,NGPREVPRICES,2,FALSE())+HLOOKUP(D186,PREVCURVES,VLOOKUP(G186,MOVE_DOWN2,2,FALSE()),FALSE())),VLOOKUP(G186,NGPREVPRICES,2,FALSE()),CK186,VLOOKUP(G186,NGPREVPRICES,4,FALSE()),HLOOKUP(D186,PREVVOLS,VLOOKUP(G186,MOVE_DOWN2,2,FALSE()),FALSE()),VLOOKUP(G186,NGPREVPRICES,3,FALSE()),HLOOKUP(D186,Correllate,VLOOKUP(G186,CorMove,2,FALSE()),FALSE()),Q186-$CD$3,R186,$CJ$5)*H186</f>
        <v>#NAME?</v>
      </c>
      <c r="CK186" s="254" t="n">
        <f aca="false">I186</f>
        <v>0.045</v>
      </c>
      <c r="CL186" s="253"/>
      <c r="CM186" s="0" t="str">
        <f aca="false">CONCATENATE(CC186,$CD$6)</f>
        <v>36800Curve Shift/Gamma</v>
      </c>
      <c r="CN186" s="0" t="str">
        <f aca="false">CONCATENATE($CC186,$CE$6)</f>
        <v>36800Rho</v>
      </c>
      <c r="CO186" s="0" t="str">
        <f aca="false">CONCATENATE($CC186,$CF$6)</f>
        <v>36800Drift</v>
      </c>
      <c r="CP186" s="0" t="str">
        <f aca="false">CONCATENATE($CC186,$CG$6)</f>
        <v>36800Vega</v>
      </c>
      <c r="CQ186" s="0" t="str">
        <f aca="false">CONCATENATE($CC186,$CH$6)</f>
        <v>36800Theta</v>
      </c>
    </row>
    <row r="187" customFormat="false" ht="12" hidden="false" customHeight="true" outlineLevel="0" collapsed="false">
      <c r="A187" s="17" t="s">
        <v>264</v>
      </c>
      <c r="B187" s="0" t="s">
        <v>192</v>
      </c>
      <c r="C187" s="0" t="s">
        <v>265</v>
      </c>
      <c r="D187" s="7" t="s">
        <v>137</v>
      </c>
      <c r="E187" s="0" t="s">
        <v>131</v>
      </c>
      <c r="F187" s="0" t="s">
        <v>136</v>
      </c>
      <c r="G187" s="92" t="n">
        <v>36770</v>
      </c>
      <c r="H187" s="248" t="n">
        <v>-300000</v>
      </c>
      <c r="I187" s="0" t="n">
        <v>0.045</v>
      </c>
      <c r="J187" s="124" t="n">
        <f aca="false">VLOOKUP(G187,NGPrices,2,FALSE())</f>
        <v>4.685</v>
      </c>
      <c r="K187" s="125" t="n">
        <f aca="false">HLOOKUP(D187,Prices,VLOOKUP(G187,move_down,2,FALSE()),FALSE())+VLOOKUP(G187,CHANGE,HLOOKUP(D187,CHANGE,2,FALSE()),FALSE())</f>
        <v>2.5</v>
      </c>
      <c r="L187" s="124" t="n">
        <f aca="false">K187+J187</f>
        <v>7.185</v>
      </c>
      <c r="M187" s="126" t="n">
        <f aca="false">VLOOKUP(G187,NGPrices,4,FALSE())</f>
        <v>0.067216196212185</v>
      </c>
      <c r="N187" s="7" t="n">
        <f aca="false">VLOOKUP(G187,NGPrices,3,FALSE())</f>
        <v>0.4</v>
      </c>
      <c r="O187" s="7" t="n">
        <f aca="false">HLOOKUP(D187,VOLS,VLOOKUP(G187,move_down,2,FALSE()),FALSE())</f>
        <v>0.376</v>
      </c>
      <c r="P187" s="249" t="n">
        <f aca="false">HLOOKUP(D187,Correllate,VLOOKUP(G187,CorMove,2,FALSE()),FALSE())</f>
        <v>0.83</v>
      </c>
      <c r="Q187" s="92" t="n">
        <f aca="false">WORKDAY(G187,-2)</f>
        <v>36768</v>
      </c>
      <c r="R187" s="7" t="n">
        <f aca="false">IF(F187="P",0,1)</f>
        <v>1</v>
      </c>
      <c r="S187" s="130" t="e">
        <f aca="false">xSPRDOPT($L187,$J187,$I187,$M187,$O187,$N187,$P187,$Q187-$C$3,$R187,0)</f>
        <v>#NAME?</v>
      </c>
      <c r="T187" s="250" t="e">
        <f aca="false">xSPRDOPT($L187,$J187,$I187,$M187,$O187,$N187,$P187,$Q187-$C$3,$R187,1)*H187</f>
        <v>#NAME?</v>
      </c>
      <c r="U187" s="43" t="e">
        <f aca="false">S187*H187</f>
        <v>#NAME?</v>
      </c>
      <c r="V187" s="250" t="e">
        <f aca="false">xSPRDOPT($L187,$J187,$I187,$M187,$O187,$N187,$P187,$Q187-$C$3,$R187,2)*H187</f>
        <v>#NAME?</v>
      </c>
      <c r="W187" s="250" t="e">
        <f aca="false">+V187+T187</f>
        <v>#NAME?</v>
      </c>
      <c r="X187" s="2" t="str">
        <f aca="false">CONCATENATE(G187,D187)</f>
        <v>36770NGI-SOCAL</v>
      </c>
      <c r="Y187" s="251" t="n">
        <f aca="false">H187/10000</f>
        <v>-30</v>
      </c>
      <c r="Z187" s="226" t="e">
        <f aca="false">T187/H187</f>
        <v>#NAME?</v>
      </c>
      <c r="AA187" s="226" t="e">
        <f aca="false">xSPRDOPT($L187,$J187,$I187,$M187,$O187,$N187,$P187,$Q187-$C$3,$R187,3)</f>
        <v>#NAME?</v>
      </c>
      <c r="AB187" s="226" t="e">
        <f aca="false">((xSPRDOPT($L187+AB$5,$J187,$I187,$M187,$O187,$N187,$P187,$Q187-$C$3,$R187,3)*$H187)/10000)/100</f>
        <v>#NAME?</v>
      </c>
      <c r="AC187" s="226" t="e">
        <f aca="false">((xSPRDOPT($L187+$AB$5,$J187,$I187,$M187,$O187,$N187,$P187,$Q187-$C$3,$R187,7)*$H187)/100)</f>
        <v>#NAME?</v>
      </c>
      <c r="AD187" s="226" t="e">
        <f aca="false">(xSPRDOPT($L187+$AB$5,$J187,$I187,$M187,$O187,$N187,$P187,$Q187-$C$3,$R187,9)/365)*$H187</f>
        <v>#NAME?</v>
      </c>
      <c r="AE187" s="0" t="e">
        <f aca="false">CD187</f>
        <v>#NAME?</v>
      </c>
      <c r="AF187" s="226" t="e">
        <f aca="false">((O187/N187)*AH187)+AG187</f>
        <v>#NAME?</v>
      </c>
      <c r="AG187" s="226" t="e">
        <f aca="false">((xSPRDOPT($L187,$J187,$I187,$M187,$O187,$N187,$P187,$Q187-$C$3,$R187,6)*$H187)/100)</f>
        <v>#NAME?</v>
      </c>
      <c r="AH187" s="226" t="e">
        <f aca="false">((xSPRDOPT($L187,$J187,$I187,$M187,$O187,$N187,$P187,$Q187-$C$3,$R187,5)*$H187)/100)</f>
        <v>#NAME?</v>
      </c>
      <c r="AI187" s="226" t="e">
        <f aca="false">(((xSPRDOPT($L187,$J187,$I187,$M187,$O187,$N187,$P187,$Q187-$C$3,$R187,4)*$H187)/10000)/100)-AB187</f>
        <v>#NAME?</v>
      </c>
      <c r="AJ187" s="226"/>
      <c r="AK187" s="226"/>
      <c r="AL187" s="226"/>
      <c r="AM187" s="252"/>
      <c r="CC187" s="182" t="n">
        <f aca="false">G187</f>
        <v>36770</v>
      </c>
      <c r="CD187" s="253" t="e">
        <f aca="false">xSPRDOPT((VLOOKUP(G187,NGPrices,2,FALSE())+HLOOKUP(D187,Prices,VLOOKUP(G187,move_down,2,FALSE()),FALSE())),VLOOKUP(G187,NGPrices,2,FALSE()),I187,VLOOKUP(G187,NGPREVPRICES,4,FALSE()),HLOOKUP(D187,PREVVOLS,VLOOKUP(G187,MOVE_DOWN2,2,FALSE()),FALSE()),VLOOKUP(G187,NGPREVPRICES,3,FALSE()),HLOOKUP(D187,Correllate,VLOOKUP(G187,CorMove,2,FALSE()),FALSE()),Q187-$CD$3,R187,$CD$5)*H187-CJ187</f>
        <v>#NAME?</v>
      </c>
      <c r="CE187" s="253" t="e">
        <f aca="false">xSPRDOPT((VLOOKUP(G187,NGPREVPRICES,2,FALSE())+HLOOKUP(D187,PREVCURVES,VLOOKUP(G187,MOVE_DOWN2,2,FALSE()),FALSE())),VLOOKUP(G187,NGPREVPRICES,2,FALSE()),CK187,VLOOKUP(G187,NGPrices,4,FALSE()),HLOOKUP(D187,PREVVOLS,VLOOKUP(G187,MOVE_DOWN2,2,FALSE()),FALSE()),VLOOKUP(G187,NGPREVPRICES,3,FALSE()),HLOOKUP(D187,Correllate,VLOOKUP(G187,CorMove,2,FALSE()),FALSE()),Q187-$CD$3,R187,$CJ$5)*H187-CJ187</f>
        <v>#NAME?</v>
      </c>
      <c r="CF187" s="132" t="e">
        <f aca="false">(CJ187/VLOOKUP(CC187,discount,3,FALSE()))-(CJ187/VLOOKUP(CC187,discount,2,FALSE()))</f>
        <v>#NAME?</v>
      </c>
      <c r="CG187" s="253" t="e">
        <f aca="false">xSPRDOPT((VLOOKUP(G187,NGPREVPRICES,2,FALSE())+HLOOKUP(D187,PREVCURVES,VLOOKUP(G187,MOVE_DOWN2,2,FALSE()),FALSE())),VLOOKUP(G187,NGPREVPRICES,2,FALSE()),CK187,VLOOKUP(G187,NGPREVPRICES,4,FALSE()),HLOOKUP(D187,VOLS,VLOOKUP(G187,move_down,2,FALSE()),FALSE()),VLOOKUP(G187,NGPrices,3,FALSE()),HLOOKUP(D187,Correllate,VLOOKUP(G187,CorMove,2,FALSE()),FALSE()),Q187-$CD$3,R187,$CJ$5)*H187-CJ187</f>
        <v>#NAME?</v>
      </c>
      <c r="CH187" s="253" t="e">
        <f aca="false">xSPRDOPT((VLOOKUP(G187,NGPREVPRICES,2,FALSE())+HLOOKUP(D187,PREVCURVES,VLOOKUP(G187,MOVE_DOWN2,2,FALSE()),FALSE())),VLOOKUP(G187,NGPREVPRICES,2,FALSE()),CK187,VLOOKUP(G187,NGPREVPRICES,4,FALSE()),HLOOKUP(D187,PREVVOLS,VLOOKUP(G187,MOVE_DOWN2,2,FALSE()),FALSE()),VLOOKUP(G187,NGPREVPRICES,3,FALSE()),HLOOKUP(D187,Correllate,VLOOKUP(G187,CorMove,2,FALSE()),FALSE()),Q187-$C$3,R187,$CJ$5)*H187-CJ187</f>
        <v>#NAME?</v>
      </c>
      <c r="CI187" s="253" t="e">
        <f aca="false">SUM(CD187:CH187)</f>
        <v>#NAME?</v>
      </c>
      <c r="CJ187" s="253" t="e">
        <f aca="false">xSPRDOPT((VLOOKUP(G187,NGPREVPRICES,2,FALSE())+HLOOKUP(D187,PREVCURVES,VLOOKUP(G187,MOVE_DOWN2,2,FALSE()),FALSE())),VLOOKUP(G187,NGPREVPRICES,2,FALSE()),CK187,VLOOKUP(G187,NGPREVPRICES,4,FALSE()),HLOOKUP(D187,PREVVOLS,VLOOKUP(G187,MOVE_DOWN2,2,FALSE()),FALSE()),VLOOKUP(G187,NGPREVPRICES,3,FALSE()),HLOOKUP(D187,Correllate,VLOOKUP(G187,CorMove,2,FALSE()),FALSE()),Q187-$CD$3,R187,$CJ$5)*H187</f>
        <v>#NAME?</v>
      </c>
      <c r="CK187" s="254" t="n">
        <f aca="false">I187</f>
        <v>0.045</v>
      </c>
      <c r="CL187" s="253"/>
      <c r="CM187" s="0" t="str">
        <f aca="false">CONCATENATE(CC187,$CD$6)</f>
        <v>36770Curve Shift/Gamma</v>
      </c>
      <c r="CN187" s="0" t="str">
        <f aca="false">CONCATENATE($CC187,$CE$6)</f>
        <v>36770Rho</v>
      </c>
      <c r="CO187" s="0" t="str">
        <f aca="false">CONCATENATE($CC187,$CF$6)</f>
        <v>36770Drift</v>
      </c>
      <c r="CP187" s="0" t="str">
        <f aca="false">CONCATENATE($CC187,$CG$6)</f>
        <v>36770Vega</v>
      </c>
      <c r="CQ187" s="0" t="str">
        <f aca="false">CONCATENATE($CC187,$CH$6)</f>
        <v>36770Theta</v>
      </c>
    </row>
    <row r="188" customFormat="false" ht="12" hidden="false" customHeight="true" outlineLevel="0" collapsed="false">
      <c r="A188" s="17" t="s">
        <v>264</v>
      </c>
      <c r="B188" s="0" t="s">
        <v>192</v>
      </c>
      <c r="C188" s="0" t="s">
        <v>265</v>
      </c>
      <c r="D188" s="7" t="s">
        <v>137</v>
      </c>
      <c r="E188" s="0" t="s">
        <v>131</v>
      </c>
      <c r="F188" s="0" t="s">
        <v>132</v>
      </c>
      <c r="G188" s="92" t="n">
        <v>36770</v>
      </c>
      <c r="H188" s="248" t="n">
        <v>-300000</v>
      </c>
      <c r="I188" s="0" t="n">
        <v>0.045</v>
      </c>
      <c r="J188" s="124" t="n">
        <f aca="false">VLOOKUP(G188,NGPrices,2,FALSE())</f>
        <v>4.685</v>
      </c>
      <c r="K188" s="125" t="n">
        <f aca="false">HLOOKUP(D188,Prices,VLOOKUP(G188,move_down,2,FALSE()),FALSE())+VLOOKUP(G188,CHANGE,HLOOKUP(D188,CHANGE,2,FALSE()),FALSE())</f>
        <v>2.5</v>
      </c>
      <c r="L188" s="124" t="n">
        <f aca="false">K188+J188</f>
        <v>7.185</v>
      </c>
      <c r="M188" s="126" t="n">
        <f aca="false">VLOOKUP(G188,NGPrices,4,FALSE())</f>
        <v>0.067216196212185</v>
      </c>
      <c r="N188" s="7" t="n">
        <f aca="false">VLOOKUP(G188,NGPrices,3,FALSE())</f>
        <v>0.4</v>
      </c>
      <c r="O188" s="7" t="n">
        <f aca="false">HLOOKUP(D188,VOLS,VLOOKUP(G188,move_down,2,FALSE()),FALSE())</f>
        <v>0.376</v>
      </c>
      <c r="P188" s="249" t="n">
        <f aca="false">HLOOKUP(D188,Correllate,VLOOKUP(G188,CorMove,2,FALSE()),FALSE())</f>
        <v>0.83</v>
      </c>
      <c r="Q188" s="92" t="n">
        <f aca="false">WORKDAY(G188,-2)</f>
        <v>36768</v>
      </c>
      <c r="R188" s="7" t="n">
        <f aca="false">IF(F188="P",0,1)</f>
        <v>0</v>
      </c>
      <c r="S188" s="130" t="e">
        <f aca="false">xSPRDOPT($L188,$J188,$I188,$M188,$O188,$N188,$P188,$Q188-$C$3,$R188,0)</f>
        <v>#NAME?</v>
      </c>
      <c r="T188" s="250" t="e">
        <f aca="false">xSPRDOPT($L188,$J188,$I188,$M188,$O188,$N188,$P188,$Q188-$C$3,$R188,1)*H188</f>
        <v>#NAME?</v>
      </c>
      <c r="U188" s="43" t="e">
        <f aca="false">S188*H188</f>
        <v>#NAME?</v>
      </c>
      <c r="V188" s="250" t="e">
        <f aca="false">xSPRDOPT($L188,$J188,$I188,$M188,$O188,$N188,$P188,$Q188-$C$3,$R188,2)*H188</f>
        <v>#NAME?</v>
      </c>
      <c r="W188" s="250" t="e">
        <f aca="false">+V188+T188</f>
        <v>#NAME?</v>
      </c>
      <c r="X188" s="2" t="str">
        <f aca="false">CONCATENATE(G188,D188)</f>
        <v>36770NGI-SOCAL</v>
      </c>
      <c r="Y188" s="251" t="n">
        <f aca="false">H188/10000</f>
        <v>-30</v>
      </c>
      <c r="Z188" s="226" t="e">
        <f aca="false">T188/H188</f>
        <v>#NAME?</v>
      </c>
      <c r="AA188" s="226" t="e">
        <f aca="false">xSPRDOPT($L188,$J188,$I188,$M188,$O188,$N188,$P188,$Q188-$C$3,$R188,3)</f>
        <v>#NAME?</v>
      </c>
      <c r="AB188" s="226" t="e">
        <f aca="false">((xSPRDOPT($L188+AB$5,$J188,$I188,$M188,$O188,$N188,$P188,$Q188-$C$3,$R188,3)*$H188)/10000)/100</f>
        <v>#NAME?</v>
      </c>
      <c r="AC188" s="226" t="e">
        <f aca="false">((xSPRDOPT($L188+$AB$5,$J188,$I188,$M188,$O188,$N188,$P188,$Q188-$C$3,$R188,7)*$H188)/100)</f>
        <v>#NAME?</v>
      </c>
      <c r="AD188" s="226" t="e">
        <f aca="false">(xSPRDOPT($L188+$AB$5,$J188,$I188,$M188,$O188,$N188,$P188,$Q188-$C$3,$R188,9)/365)*$H188</f>
        <v>#NAME?</v>
      </c>
      <c r="AE188" s="0" t="e">
        <f aca="false">CD188</f>
        <v>#NAME?</v>
      </c>
      <c r="AF188" s="226" t="e">
        <f aca="false">((O188/N188)*AH188)+AG188</f>
        <v>#NAME?</v>
      </c>
      <c r="AG188" s="226" t="e">
        <f aca="false">((xSPRDOPT($L188,$J188,$I188,$M188,$O188,$N188,$P188,$Q188-$C$3,$R188,6)*$H188)/100)</f>
        <v>#NAME?</v>
      </c>
      <c r="AH188" s="226" t="e">
        <f aca="false">((xSPRDOPT($L188,$J188,$I188,$M188,$O188,$N188,$P188,$Q188-$C$3,$R188,5)*$H188)/100)</f>
        <v>#NAME?</v>
      </c>
      <c r="AI188" s="226" t="e">
        <f aca="false">(((xSPRDOPT($L188,$J188,$I188,$M188,$O188,$N188,$P188,$Q188-$C$3,$R188,4)*$H188)/10000)/100)-AB188</f>
        <v>#NAME?</v>
      </c>
      <c r="AJ188" s="226"/>
      <c r="AK188" s="226"/>
      <c r="AL188" s="226"/>
      <c r="AM188" s="252"/>
      <c r="CC188" s="182" t="n">
        <f aca="false">G188</f>
        <v>36770</v>
      </c>
      <c r="CD188" s="253" t="e">
        <f aca="false">xSPRDOPT((VLOOKUP(G188,NGPrices,2,FALSE())+HLOOKUP(D188,Prices,VLOOKUP(G188,move_down,2,FALSE()),FALSE())),VLOOKUP(G188,NGPrices,2,FALSE()),I188,VLOOKUP(G188,NGPREVPRICES,4,FALSE()),HLOOKUP(D188,PREVVOLS,VLOOKUP(G188,MOVE_DOWN2,2,FALSE()),FALSE()),VLOOKUP(G188,NGPREVPRICES,3,FALSE()),HLOOKUP(D188,Correllate,VLOOKUP(G188,CorMove,2,FALSE()),FALSE()),Q188-$CD$3,R188,$CD$5)*H188-CJ188</f>
        <v>#NAME?</v>
      </c>
      <c r="CE188" s="253" t="e">
        <f aca="false">xSPRDOPT((VLOOKUP(G188,NGPREVPRICES,2,FALSE())+HLOOKUP(D188,PREVCURVES,VLOOKUP(G188,MOVE_DOWN2,2,FALSE()),FALSE())),VLOOKUP(G188,NGPREVPRICES,2,FALSE()),CK188,VLOOKUP(G188,NGPrices,4,FALSE()),HLOOKUP(D188,PREVVOLS,VLOOKUP(G188,MOVE_DOWN2,2,FALSE()),FALSE()),VLOOKUP(G188,NGPREVPRICES,3,FALSE()),HLOOKUP(D188,Correllate,VLOOKUP(G188,CorMove,2,FALSE()),FALSE()),Q188-$CD$3,R188,$CJ$5)*H188-CJ188</f>
        <v>#NAME?</v>
      </c>
      <c r="CF188" s="132" t="e">
        <f aca="false">(CJ188/VLOOKUP(CC188,discount,3,FALSE()))-(CJ188/VLOOKUP(CC188,discount,2,FALSE()))</f>
        <v>#NAME?</v>
      </c>
      <c r="CG188" s="253" t="e">
        <f aca="false">xSPRDOPT((VLOOKUP(G188,NGPREVPRICES,2,FALSE())+HLOOKUP(D188,PREVCURVES,VLOOKUP(G188,MOVE_DOWN2,2,FALSE()),FALSE())),VLOOKUP(G188,NGPREVPRICES,2,FALSE()),CK188,VLOOKUP(G188,NGPREVPRICES,4,FALSE()),HLOOKUP(D188,VOLS,VLOOKUP(G188,move_down,2,FALSE()),FALSE()),VLOOKUP(G188,NGPrices,3,FALSE()),HLOOKUP(D188,Correllate,VLOOKUP(G188,CorMove,2,FALSE()),FALSE()),Q188-$CD$3,R188,$CJ$5)*H188-CJ188</f>
        <v>#NAME?</v>
      </c>
      <c r="CH188" s="253" t="e">
        <f aca="false">xSPRDOPT((VLOOKUP(G188,NGPREVPRICES,2,FALSE())+HLOOKUP(D188,PREVCURVES,VLOOKUP(G188,MOVE_DOWN2,2,FALSE()),FALSE())),VLOOKUP(G188,NGPREVPRICES,2,FALSE()),CK188,VLOOKUP(G188,NGPREVPRICES,4,FALSE()),HLOOKUP(D188,PREVVOLS,VLOOKUP(G188,MOVE_DOWN2,2,FALSE()),FALSE()),VLOOKUP(G188,NGPREVPRICES,3,FALSE()),HLOOKUP(D188,Correllate,VLOOKUP(G188,CorMove,2,FALSE()),FALSE()),Q188-$C$3,R188,$CJ$5)*H188-CJ188</f>
        <v>#NAME?</v>
      </c>
      <c r="CI188" s="253" t="e">
        <f aca="false">SUM(CD188:CH188)</f>
        <v>#NAME?</v>
      </c>
      <c r="CJ188" s="253" t="e">
        <f aca="false">xSPRDOPT((VLOOKUP(G188,NGPREVPRICES,2,FALSE())+HLOOKUP(D188,PREVCURVES,VLOOKUP(G188,MOVE_DOWN2,2,FALSE()),FALSE())),VLOOKUP(G188,NGPREVPRICES,2,FALSE()),CK188,VLOOKUP(G188,NGPREVPRICES,4,FALSE()),HLOOKUP(D188,PREVVOLS,VLOOKUP(G188,MOVE_DOWN2,2,FALSE()),FALSE()),VLOOKUP(G188,NGPREVPRICES,3,FALSE()),HLOOKUP(D188,Correllate,VLOOKUP(G188,CorMove,2,FALSE()),FALSE()),Q188-$CD$3,R188,$CJ$5)*H188</f>
        <v>#NAME?</v>
      </c>
      <c r="CK188" s="254" t="n">
        <f aca="false">I188</f>
        <v>0.045</v>
      </c>
      <c r="CL188" s="253"/>
      <c r="CM188" s="0" t="str">
        <f aca="false">CONCATENATE(CC188,$CD$6)</f>
        <v>36770Curve Shift/Gamma</v>
      </c>
      <c r="CN188" s="0" t="str">
        <f aca="false">CONCATENATE($CC188,$CE$6)</f>
        <v>36770Rho</v>
      </c>
      <c r="CO188" s="0" t="str">
        <f aca="false">CONCATENATE($CC188,$CF$6)</f>
        <v>36770Drift</v>
      </c>
      <c r="CP188" s="0" t="str">
        <f aca="false">CONCATENATE($CC188,$CG$6)</f>
        <v>36770Vega</v>
      </c>
      <c r="CQ188" s="0" t="str">
        <f aca="false">CONCATENATE($CC188,$CH$6)</f>
        <v>36770Theta</v>
      </c>
    </row>
    <row r="189" customFormat="false" ht="12" hidden="false" customHeight="true" outlineLevel="0" collapsed="false">
      <c r="A189" s="17" t="s">
        <v>210</v>
      </c>
      <c r="B189" s="0" t="s">
        <v>192</v>
      </c>
      <c r="C189" s="0" t="s">
        <v>266</v>
      </c>
      <c r="D189" s="7" t="s">
        <v>149</v>
      </c>
      <c r="E189" s="0" t="s">
        <v>131</v>
      </c>
      <c r="F189" s="0" t="s">
        <v>136</v>
      </c>
      <c r="G189" s="92" t="n">
        <v>36951</v>
      </c>
      <c r="H189" s="248" t="n">
        <v>1000000</v>
      </c>
      <c r="I189" s="0" t="n">
        <v>2</v>
      </c>
      <c r="J189" s="124" t="n">
        <f aca="false">VLOOKUP(G189,NGPrices,2,FALSE())</f>
        <v>4.213</v>
      </c>
      <c r="K189" s="125" t="n">
        <f aca="false">HLOOKUP(D189,Prices,VLOOKUP(G189,move_down,2,FALSE()),FALSE())+VLOOKUP(G189,CHANGE,HLOOKUP(D189,CHANGE,2,FALSE()),FALSE())</f>
        <v>1.075</v>
      </c>
      <c r="L189" s="124" t="n">
        <f aca="false">K189+J189</f>
        <v>5.288</v>
      </c>
      <c r="M189" s="126" t="n">
        <f aca="false">VLOOKUP(G189,NGPrices,4,FALSE())</f>
        <v>0.068879814952707</v>
      </c>
      <c r="N189" s="7" t="n">
        <f aca="false">VLOOKUP(G189,NGPrices,3,FALSE())</f>
        <v>0.5325</v>
      </c>
      <c r="O189" s="7" t="n">
        <f aca="false">HLOOKUP(D189,VOLS,VLOOKUP(G189,move_down,2,FALSE()),FALSE())</f>
        <v>0.612</v>
      </c>
      <c r="P189" s="249" t="n">
        <f aca="false">HLOOKUP(D189,Correllate,VLOOKUP(G189,CorMove,2,FALSE()),FALSE())</f>
        <v>0.83</v>
      </c>
      <c r="Q189" s="92" t="n">
        <f aca="false">WORKDAY(G189,-2)</f>
        <v>36949</v>
      </c>
      <c r="R189" s="7" t="n">
        <f aca="false">IF(F189="P",0,1)</f>
        <v>1</v>
      </c>
      <c r="S189" s="130" t="e">
        <f aca="false">xSPRDOPT($L189,$J189,$I189,$M189,$O189,$N189,$P189,$Q189-$C$3,$R189,0)</f>
        <v>#NAME?</v>
      </c>
      <c r="T189" s="250" t="e">
        <f aca="false">xSPRDOPT($L189,$J189,$I189,$M189,$O189,$N189,$P189,$Q189-$C$3,$R189,1)*H189</f>
        <v>#NAME?</v>
      </c>
      <c r="U189" s="43" t="e">
        <f aca="false">S189*H189</f>
        <v>#NAME?</v>
      </c>
      <c r="V189" s="250" t="e">
        <f aca="false">xSPRDOPT($L189,$J189,$I189,$M189,$O189,$N189,$P189,$Q189-$C$3,$R189,2)*H189</f>
        <v>#NAME?</v>
      </c>
      <c r="W189" s="250" t="e">
        <f aca="false">+V189+T189</f>
        <v>#NAME?</v>
      </c>
      <c r="X189" s="2" t="str">
        <f aca="false">CONCATENATE(G189,D189)</f>
        <v>36951IF-TRANSCO/Z6</v>
      </c>
      <c r="Y189" s="251" t="n">
        <f aca="false">H189/10000</f>
        <v>100</v>
      </c>
      <c r="Z189" s="226" t="e">
        <f aca="false">T189/H189</f>
        <v>#NAME?</v>
      </c>
      <c r="AA189" s="226" t="e">
        <f aca="false">xSPRDOPT($L189,$J189,$I189,$M189,$O189,$N189,$P189,$Q189-$C$3,$R189,3)</f>
        <v>#NAME?</v>
      </c>
      <c r="AB189" s="226" t="e">
        <f aca="false">((xSPRDOPT($L189+AB$5,$J189,$I189,$M189,$O189,$N189,$P189,$Q189-$C$3,$R189,3)*$H189)/10000)/100</f>
        <v>#NAME?</v>
      </c>
      <c r="AC189" s="226" t="e">
        <f aca="false">((xSPRDOPT($L189+$AB$5,$J189,$I189,$M189,$O189,$N189,$P189,$Q189-$C$3,$R189,7)*$H189)/100)</f>
        <v>#NAME?</v>
      </c>
      <c r="AD189" s="226" t="e">
        <f aca="false">(xSPRDOPT($L189+$AB$5,$J189,$I189,$M189,$O189,$N189,$P189,$Q189-$C$3,$R189,9)/365)*$H189</f>
        <v>#NAME?</v>
      </c>
      <c r="AE189" s="0" t="e">
        <f aca="false">CD189</f>
        <v>#NAME?</v>
      </c>
      <c r="AF189" s="226" t="e">
        <f aca="false">((O189/N189)*AH189)+AG189</f>
        <v>#NAME?</v>
      </c>
      <c r="AG189" s="226" t="e">
        <f aca="false">((xSPRDOPT($L189,$J189,$I189,$M189,$O189,$N189,$P189,$Q189-$C$3,$R189,6)*$H189)/100)</f>
        <v>#NAME?</v>
      </c>
      <c r="AH189" s="226" t="e">
        <f aca="false">((xSPRDOPT($L189,$J189,$I189,$M189,$O189,$N189,$P189,$Q189-$C$3,$R189,5)*$H189)/100)</f>
        <v>#NAME?</v>
      </c>
      <c r="AI189" s="226" t="e">
        <f aca="false">(((xSPRDOPT($L189,$J189,$I189,$M189,$O189,$N189,$P189,$Q189-$C$3,$R189,4)*$H189)/10000)/100)-AB189</f>
        <v>#NAME?</v>
      </c>
      <c r="AJ189" s="226"/>
      <c r="AK189" s="226"/>
      <c r="AL189" s="226"/>
      <c r="AM189" s="252"/>
      <c r="CC189" s="182" t="n">
        <f aca="false">G189</f>
        <v>36951</v>
      </c>
      <c r="CD189" s="253" t="e">
        <f aca="false">xSPRDOPT((VLOOKUP(G189,NGPrices,2,FALSE())+HLOOKUP(D189,Prices,VLOOKUP(G189,move_down,2,FALSE()),FALSE())),VLOOKUP(G189,NGPrices,2,FALSE()),I189,VLOOKUP(G189,NGPREVPRICES,4,FALSE()),HLOOKUP(D189,PREVVOLS,VLOOKUP(G189,MOVE_DOWN2,2,FALSE()),FALSE()),VLOOKUP(G189,NGPREVPRICES,3,FALSE()),HLOOKUP(D189,Correllate,VLOOKUP(G189,CorMove,2,FALSE()),FALSE()),Q189-$CD$3,R189,$CD$5)*H189-CJ189</f>
        <v>#NAME?</v>
      </c>
      <c r="CE189" s="253" t="e">
        <f aca="false">xSPRDOPT((VLOOKUP(G189,NGPREVPRICES,2,FALSE())+HLOOKUP(D189,PREVCURVES,VLOOKUP(G189,MOVE_DOWN2,2,FALSE()),FALSE())),VLOOKUP(G189,NGPREVPRICES,2,FALSE()),CK189,VLOOKUP(G189,NGPrices,4,FALSE()),HLOOKUP(D189,PREVVOLS,VLOOKUP(G189,MOVE_DOWN2,2,FALSE()),FALSE()),VLOOKUP(G189,NGPREVPRICES,3,FALSE()),HLOOKUP(D189,Correllate,VLOOKUP(G189,CorMove,2,FALSE()),FALSE()),Q189-$CD$3,R189,$CJ$5)*H189-CJ189</f>
        <v>#NAME?</v>
      </c>
      <c r="CF189" s="132" t="e">
        <f aca="false">(CJ189/VLOOKUP(CC189,discount,3,FALSE()))-(CJ189/VLOOKUP(CC189,discount,2,FALSE()))</f>
        <v>#NAME?</v>
      </c>
      <c r="CG189" s="253" t="e">
        <f aca="false">xSPRDOPT((VLOOKUP(G189,NGPREVPRICES,2,FALSE())+HLOOKUP(D189,PREVCURVES,VLOOKUP(G189,MOVE_DOWN2,2,FALSE()),FALSE())),VLOOKUP(G189,NGPREVPRICES,2,FALSE()),CK189,VLOOKUP(G189,NGPREVPRICES,4,FALSE()),HLOOKUP(D189,VOLS,VLOOKUP(G189,move_down,2,FALSE()),FALSE()),VLOOKUP(G189,NGPrices,3,FALSE()),HLOOKUP(D189,Correllate,VLOOKUP(G189,CorMove,2,FALSE()),FALSE()),Q189-$CD$3,R189,$CJ$5)*H189-CJ189</f>
        <v>#NAME?</v>
      </c>
      <c r="CH189" s="253" t="e">
        <f aca="false">xSPRDOPT((VLOOKUP(G189,NGPREVPRICES,2,FALSE())+HLOOKUP(D189,PREVCURVES,VLOOKUP(G189,MOVE_DOWN2,2,FALSE()),FALSE())),VLOOKUP(G189,NGPREVPRICES,2,FALSE()),CK189,VLOOKUP(G189,NGPREVPRICES,4,FALSE()),HLOOKUP(D189,PREVVOLS,VLOOKUP(G189,MOVE_DOWN2,2,FALSE()),FALSE()),VLOOKUP(G189,NGPREVPRICES,3,FALSE()),HLOOKUP(D189,Correllate,VLOOKUP(G189,CorMove,2,FALSE()),FALSE()),Q189-$C$3,R189,$CJ$5)*H189-CJ189</f>
        <v>#NAME?</v>
      </c>
      <c r="CI189" s="253" t="e">
        <f aca="false">SUM(CD189:CH189)</f>
        <v>#NAME?</v>
      </c>
      <c r="CJ189" s="253" t="e">
        <f aca="false">xSPRDOPT((VLOOKUP(G189,NGPREVPRICES,2,FALSE())+HLOOKUP(D189,PREVCURVES,VLOOKUP(G189,MOVE_DOWN2,2,FALSE()),FALSE())),VLOOKUP(G189,NGPREVPRICES,2,FALSE()),CK189,VLOOKUP(G189,NGPREVPRICES,4,FALSE()),HLOOKUP(D189,PREVVOLS,VLOOKUP(G189,MOVE_DOWN2,2,FALSE()),FALSE()),VLOOKUP(G189,NGPREVPRICES,3,FALSE()),HLOOKUP(D189,Correllate,VLOOKUP(G189,CorMove,2,FALSE()),FALSE()),Q189-$CD$3,R189,$CJ$5)*H189</f>
        <v>#NAME?</v>
      </c>
      <c r="CK189" s="254" t="n">
        <f aca="false">I189</f>
        <v>2</v>
      </c>
      <c r="CL189" s="253"/>
      <c r="CM189" s="0" t="str">
        <f aca="false">CONCATENATE(CC189,$CD$6)</f>
        <v>36951Curve Shift/Gamma</v>
      </c>
      <c r="CN189" s="0" t="str">
        <f aca="false">CONCATENATE($CC189,$CE$6)</f>
        <v>36951Rho</v>
      </c>
      <c r="CO189" s="0" t="str">
        <f aca="false">CONCATENATE($CC189,$CF$6)</f>
        <v>36951Drift</v>
      </c>
      <c r="CP189" s="0" t="str">
        <f aca="false">CONCATENATE($CC189,$CG$6)</f>
        <v>36951Vega</v>
      </c>
      <c r="CQ189" s="0" t="str">
        <f aca="false">CONCATENATE($CC189,$CH$6)</f>
        <v>36951Theta</v>
      </c>
    </row>
    <row r="190" customFormat="false" ht="12" hidden="false" customHeight="true" outlineLevel="0" collapsed="false">
      <c r="A190" s="17" t="s">
        <v>210</v>
      </c>
      <c r="B190" s="0" t="s">
        <v>192</v>
      </c>
      <c r="C190" s="0" t="s">
        <v>266</v>
      </c>
      <c r="D190" s="7" t="s">
        <v>149</v>
      </c>
      <c r="E190" s="0" t="s">
        <v>131</v>
      </c>
      <c r="F190" s="0" t="s">
        <v>136</v>
      </c>
      <c r="G190" s="92" t="n">
        <v>36923</v>
      </c>
      <c r="H190" s="248" t="n">
        <v>1000000</v>
      </c>
      <c r="I190" s="0" t="n">
        <v>2</v>
      </c>
      <c r="J190" s="124" t="n">
        <f aca="false">VLOOKUP(G190,NGPrices,2,FALSE())</f>
        <v>4.48</v>
      </c>
      <c r="K190" s="125" t="n">
        <f aca="false">HLOOKUP(D190,Prices,VLOOKUP(G190,move_down,2,FALSE()),FALSE())+VLOOKUP(G190,CHANGE,HLOOKUP(D190,CHANGE,2,FALSE()),FALSE())</f>
        <v>2.09</v>
      </c>
      <c r="L190" s="124" t="n">
        <f aca="false">K190+J190</f>
        <v>6.57</v>
      </c>
      <c r="M190" s="126" t="n">
        <f aca="false">VLOOKUP(G190,NGPrices,4,FALSE())</f>
        <v>0.068640161611372</v>
      </c>
      <c r="N190" s="7" t="n">
        <f aca="false">VLOOKUP(G190,NGPrices,3,FALSE())</f>
        <v>0.5925</v>
      </c>
      <c r="O190" s="7" t="n">
        <f aca="false">HLOOKUP(D190,VOLS,VLOOKUP(G190,move_down,2,FALSE()),FALSE())</f>
        <v>0.681</v>
      </c>
      <c r="P190" s="249" t="n">
        <f aca="false">HLOOKUP(D190,Correllate,VLOOKUP(G190,CorMove,2,FALSE()),FALSE())</f>
        <v>0.83</v>
      </c>
      <c r="Q190" s="92" t="n">
        <f aca="false">WORKDAY(G190,-2)</f>
        <v>36921</v>
      </c>
      <c r="R190" s="7" t="n">
        <f aca="false">IF(F190="P",0,1)</f>
        <v>1</v>
      </c>
      <c r="S190" s="130" t="e">
        <f aca="false">xSPRDOPT($L190,$J190,$I190,$M190,$O190,$N190,$P190,$Q190-$C$3,$R190,0)</f>
        <v>#NAME?</v>
      </c>
      <c r="T190" s="250" t="e">
        <f aca="false">xSPRDOPT($L190,$J190,$I190,$M190,$O190,$N190,$P190,$Q190-$C$3,$R190,1)*H190</f>
        <v>#NAME?</v>
      </c>
      <c r="U190" s="43" t="e">
        <f aca="false">S190*H190</f>
        <v>#NAME?</v>
      </c>
      <c r="V190" s="250" t="e">
        <f aca="false">xSPRDOPT($L190,$J190,$I190,$M190,$O190,$N190,$P190,$Q190-$C$3,$R190,2)*H190</f>
        <v>#NAME?</v>
      </c>
      <c r="W190" s="250" t="e">
        <f aca="false">+V190+T190</f>
        <v>#NAME?</v>
      </c>
      <c r="X190" s="2" t="str">
        <f aca="false">CONCATENATE(G190,D190)</f>
        <v>36923IF-TRANSCO/Z6</v>
      </c>
      <c r="Y190" s="251" t="n">
        <f aca="false">H190/10000</f>
        <v>100</v>
      </c>
      <c r="Z190" s="226" t="e">
        <f aca="false">T190/H190</f>
        <v>#NAME?</v>
      </c>
      <c r="AA190" s="226" t="e">
        <f aca="false">xSPRDOPT($L190,$J190,$I190,$M190,$O190,$N190,$P190,$Q190-$C$3,$R190,3)</f>
        <v>#NAME?</v>
      </c>
      <c r="AB190" s="226" t="e">
        <f aca="false">((xSPRDOPT($L190+AB$5,$J190,$I190,$M190,$O190,$N190,$P190,$Q190-$C$3,$R190,3)*$H190)/10000)/100</f>
        <v>#NAME?</v>
      </c>
      <c r="AC190" s="226" t="e">
        <f aca="false">((xSPRDOPT($L190+$AB$5,$J190,$I190,$M190,$O190,$N190,$P190,$Q190-$C$3,$R190,7)*$H190)/100)</f>
        <v>#NAME?</v>
      </c>
      <c r="AD190" s="226" t="e">
        <f aca="false">(xSPRDOPT($L190+$AB$5,$J190,$I190,$M190,$O190,$N190,$P190,$Q190-$C$3,$R190,9)/365)*$H190</f>
        <v>#NAME?</v>
      </c>
      <c r="AE190" s="0" t="e">
        <f aca="false">CD190</f>
        <v>#NAME?</v>
      </c>
      <c r="AF190" s="226" t="e">
        <f aca="false">((O190/N190)*AH190)+AG190</f>
        <v>#NAME?</v>
      </c>
      <c r="AG190" s="226" t="e">
        <f aca="false">((xSPRDOPT($L190,$J190,$I190,$M190,$O190,$N190,$P190,$Q190-$C$3,$R190,6)*$H190)/100)</f>
        <v>#NAME?</v>
      </c>
      <c r="AH190" s="226" t="e">
        <f aca="false">((xSPRDOPT($L190,$J190,$I190,$M190,$O190,$N190,$P190,$Q190-$C$3,$R190,5)*$H190)/100)</f>
        <v>#NAME?</v>
      </c>
      <c r="AI190" s="226" t="e">
        <f aca="false">(((xSPRDOPT($L190,$J190,$I190,$M190,$O190,$N190,$P190,$Q190-$C$3,$R190,4)*$H190)/10000)/100)-AB190</f>
        <v>#NAME?</v>
      </c>
      <c r="AJ190" s="226"/>
      <c r="AK190" s="226"/>
      <c r="AL190" s="226"/>
      <c r="AM190" s="252"/>
      <c r="CC190" s="182" t="n">
        <f aca="false">G190</f>
        <v>36923</v>
      </c>
      <c r="CD190" s="253" t="e">
        <f aca="false">xSPRDOPT((VLOOKUP(G190,NGPrices,2,FALSE())+HLOOKUP(D190,Prices,VLOOKUP(G190,move_down,2,FALSE()),FALSE())),VLOOKUP(G190,NGPrices,2,FALSE()),I190,VLOOKUP(G190,NGPREVPRICES,4,FALSE()),HLOOKUP(D190,PREVVOLS,VLOOKUP(G190,MOVE_DOWN2,2,FALSE()),FALSE()),VLOOKUP(G190,NGPREVPRICES,3,FALSE()),HLOOKUP(D190,Correllate,VLOOKUP(G190,CorMove,2,FALSE()),FALSE()),Q190-$CD$3,R190,$CD$5)*H190-CJ190</f>
        <v>#NAME?</v>
      </c>
      <c r="CE190" s="253" t="e">
        <f aca="false">xSPRDOPT((VLOOKUP(G190,NGPREVPRICES,2,FALSE())+HLOOKUP(D190,PREVCURVES,VLOOKUP(G190,MOVE_DOWN2,2,FALSE()),FALSE())),VLOOKUP(G190,NGPREVPRICES,2,FALSE()),CK190,VLOOKUP(G190,NGPrices,4,FALSE()),HLOOKUP(D190,PREVVOLS,VLOOKUP(G190,MOVE_DOWN2,2,FALSE()),FALSE()),VLOOKUP(G190,NGPREVPRICES,3,FALSE()),HLOOKUP(D190,Correllate,VLOOKUP(G190,CorMove,2,FALSE()),FALSE()),Q190-$CD$3,R190,$CJ$5)*H190-CJ190</f>
        <v>#NAME?</v>
      </c>
      <c r="CF190" s="132" t="e">
        <f aca="false">(CJ190/VLOOKUP(CC190,discount,3,FALSE()))-(CJ190/VLOOKUP(CC190,discount,2,FALSE()))</f>
        <v>#NAME?</v>
      </c>
      <c r="CG190" s="253" t="e">
        <f aca="false">xSPRDOPT((VLOOKUP(G190,NGPREVPRICES,2,FALSE())+HLOOKUP(D190,PREVCURVES,VLOOKUP(G190,MOVE_DOWN2,2,FALSE()),FALSE())),VLOOKUP(G190,NGPREVPRICES,2,FALSE()),CK190,VLOOKUP(G190,NGPREVPRICES,4,FALSE()),HLOOKUP(D190,VOLS,VLOOKUP(G190,move_down,2,FALSE()),FALSE()),VLOOKUP(G190,NGPrices,3,FALSE()),HLOOKUP(D190,Correllate,VLOOKUP(G190,CorMove,2,FALSE()),FALSE()),Q190-$CD$3,R190,$CJ$5)*H190-CJ190</f>
        <v>#NAME?</v>
      </c>
      <c r="CH190" s="253" t="e">
        <f aca="false">xSPRDOPT((VLOOKUP(G190,NGPREVPRICES,2,FALSE())+HLOOKUP(D190,PREVCURVES,VLOOKUP(G190,MOVE_DOWN2,2,FALSE()),FALSE())),VLOOKUP(G190,NGPREVPRICES,2,FALSE()),CK190,VLOOKUP(G190,NGPREVPRICES,4,FALSE()),HLOOKUP(D190,PREVVOLS,VLOOKUP(G190,MOVE_DOWN2,2,FALSE()),FALSE()),VLOOKUP(G190,NGPREVPRICES,3,FALSE()),HLOOKUP(D190,Correllate,VLOOKUP(G190,CorMove,2,FALSE()),FALSE()),Q190-$C$3,R190,$CJ$5)*H190-CJ190</f>
        <v>#NAME?</v>
      </c>
      <c r="CI190" s="253" t="e">
        <f aca="false">SUM(CD190:CH190)</f>
        <v>#NAME?</v>
      </c>
      <c r="CJ190" s="253" t="e">
        <f aca="false">xSPRDOPT((VLOOKUP(G190,NGPREVPRICES,2,FALSE())+HLOOKUP(D190,PREVCURVES,VLOOKUP(G190,MOVE_DOWN2,2,FALSE()),FALSE())),VLOOKUP(G190,NGPREVPRICES,2,FALSE()),CK190,VLOOKUP(G190,NGPREVPRICES,4,FALSE()),HLOOKUP(D190,PREVVOLS,VLOOKUP(G190,MOVE_DOWN2,2,FALSE()),FALSE()),VLOOKUP(G190,NGPREVPRICES,3,FALSE()),HLOOKUP(D190,Correllate,VLOOKUP(G190,CorMove,2,FALSE()),FALSE()),Q190-$CD$3,R190,$CJ$5)*H190</f>
        <v>#NAME?</v>
      </c>
      <c r="CK190" s="254" t="n">
        <f aca="false">I190</f>
        <v>2</v>
      </c>
      <c r="CL190" s="253"/>
      <c r="CM190" s="0" t="str">
        <f aca="false">CONCATENATE(CC190,$CD$6)</f>
        <v>36923Curve Shift/Gamma</v>
      </c>
      <c r="CN190" s="0" t="str">
        <f aca="false">CONCATENATE($CC190,$CE$6)</f>
        <v>36923Rho</v>
      </c>
      <c r="CO190" s="0" t="str">
        <f aca="false">CONCATENATE($CC190,$CF$6)</f>
        <v>36923Drift</v>
      </c>
      <c r="CP190" s="0" t="str">
        <f aca="false">CONCATENATE($CC190,$CG$6)</f>
        <v>36923Vega</v>
      </c>
      <c r="CQ190" s="0" t="str">
        <f aca="false">CONCATENATE($CC190,$CH$6)</f>
        <v>36923Theta</v>
      </c>
    </row>
    <row r="191" customFormat="false" ht="12" hidden="false" customHeight="true" outlineLevel="0" collapsed="false">
      <c r="A191" s="17" t="s">
        <v>210</v>
      </c>
      <c r="B191" s="0" t="s">
        <v>192</v>
      </c>
      <c r="C191" s="0" t="s">
        <v>266</v>
      </c>
      <c r="D191" s="7" t="s">
        <v>149</v>
      </c>
      <c r="E191" s="0" t="s">
        <v>131</v>
      </c>
      <c r="F191" s="0" t="s">
        <v>136</v>
      </c>
      <c r="G191" s="92" t="n">
        <v>36892</v>
      </c>
      <c r="H191" s="248" t="n">
        <v>1000000</v>
      </c>
      <c r="I191" s="0" t="n">
        <v>2</v>
      </c>
      <c r="J191" s="124" t="n">
        <f aca="false">VLOOKUP(G191,NGPrices,2,FALSE())</f>
        <v>4.744</v>
      </c>
      <c r="K191" s="125" t="n">
        <f aca="false">HLOOKUP(D191,Prices,VLOOKUP(G191,move_down,2,FALSE()),FALSE())+VLOOKUP(G191,CHANGE,HLOOKUP(D191,CHANGE,2,FALSE()),FALSE())</f>
        <v>2.17</v>
      </c>
      <c r="L191" s="124" t="n">
        <f aca="false">K191+J191</f>
        <v>6.914</v>
      </c>
      <c r="M191" s="126" t="n">
        <f aca="false">VLOOKUP(G191,NGPrices,4,FALSE())</f>
        <v>0.068374831148491</v>
      </c>
      <c r="N191" s="7" t="n">
        <f aca="false">VLOOKUP(G191,NGPrices,3,FALSE())</f>
        <v>0.605</v>
      </c>
      <c r="O191" s="7" t="n">
        <f aca="false">HLOOKUP(D191,VOLS,VLOOKUP(G191,move_down,2,FALSE()),FALSE())</f>
        <v>0.696</v>
      </c>
      <c r="P191" s="249" t="n">
        <f aca="false">HLOOKUP(D191,Correllate,VLOOKUP(G191,CorMove,2,FALSE()),FALSE())</f>
        <v>0.83</v>
      </c>
      <c r="Q191" s="92" t="n">
        <f aca="false">WORKDAY(G191,-2)</f>
        <v>36888</v>
      </c>
      <c r="R191" s="7" t="n">
        <f aca="false">IF(F191="P",0,1)</f>
        <v>1</v>
      </c>
      <c r="S191" s="130" t="e">
        <f aca="false">xSPRDOPT($L191,$J191,$I191,$M191,$O191,$N191,$P191,$Q191-$C$3,$R191,0)</f>
        <v>#NAME?</v>
      </c>
      <c r="T191" s="250" t="e">
        <f aca="false">xSPRDOPT($L191,$J191,$I191,$M191,$O191,$N191,$P191,$Q191-$C$3,$R191,1)*H191</f>
        <v>#NAME?</v>
      </c>
      <c r="U191" s="43" t="e">
        <f aca="false">S191*H191</f>
        <v>#NAME?</v>
      </c>
      <c r="V191" s="250" t="e">
        <f aca="false">xSPRDOPT($L191,$J191,$I191,$M191,$O191,$N191,$P191,$Q191-$C$3,$R191,2)*H191</f>
        <v>#NAME?</v>
      </c>
      <c r="W191" s="250" t="e">
        <f aca="false">+V191+T191</f>
        <v>#NAME?</v>
      </c>
      <c r="X191" s="2" t="str">
        <f aca="false">CONCATENATE(G191,D191)</f>
        <v>36892IF-TRANSCO/Z6</v>
      </c>
      <c r="Y191" s="251" t="n">
        <f aca="false">H191/10000</f>
        <v>100</v>
      </c>
      <c r="Z191" s="226" t="e">
        <f aca="false">T191/H191</f>
        <v>#NAME?</v>
      </c>
      <c r="AA191" s="226" t="e">
        <f aca="false">xSPRDOPT($L191,$J191,$I191,$M191,$O191,$N191,$P191,$Q191-$C$3,$R191,3)</f>
        <v>#NAME?</v>
      </c>
      <c r="AB191" s="226" t="e">
        <f aca="false">((xSPRDOPT($L191+AB$5,$J191,$I191,$M191,$O191,$N191,$P191,$Q191-$C$3,$R191,3)*$H191)/10000)/100</f>
        <v>#NAME?</v>
      </c>
      <c r="AC191" s="226" t="e">
        <f aca="false">((xSPRDOPT($L191+$AB$5,$J191,$I191,$M191,$O191,$N191,$P191,$Q191-$C$3,$R191,7)*$H191)/100)</f>
        <v>#NAME?</v>
      </c>
      <c r="AD191" s="226" t="e">
        <f aca="false">(xSPRDOPT($L191+$AB$5,$J191,$I191,$M191,$O191,$N191,$P191,$Q191-$C$3,$R191,9)/365)*$H191</f>
        <v>#NAME?</v>
      </c>
      <c r="AE191" s="0" t="e">
        <f aca="false">CD191</f>
        <v>#NAME?</v>
      </c>
      <c r="AF191" s="226" t="e">
        <f aca="false">((O191/N191)*AH191)+AG191</f>
        <v>#NAME?</v>
      </c>
      <c r="AG191" s="226" t="e">
        <f aca="false">((xSPRDOPT($L191,$J191,$I191,$M191,$O191,$N191,$P191,$Q191-$C$3,$R191,6)*$H191)/100)</f>
        <v>#NAME?</v>
      </c>
      <c r="AH191" s="226" t="e">
        <f aca="false">((xSPRDOPT($L191,$J191,$I191,$M191,$O191,$N191,$P191,$Q191-$C$3,$R191,5)*$H191)/100)</f>
        <v>#NAME?</v>
      </c>
      <c r="AI191" s="226" t="e">
        <f aca="false">(((xSPRDOPT($L191,$J191,$I191,$M191,$O191,$N191,$P191,$Q191-$C$3,$R191,4)*$H191)/10000)/100)-AB191</f>
        <v>#NAME?</v>
      </c>
      <c r="AJ191" s="226"/>
      <c r="AK191" s="226"/>
      <c r="AL191" s="226"/>
      <c r="AM191" s="252"/>
      <c r="CC191" s="182" t="n">
        <f aca="false">G191</f>
        <v>36892</v>
      </c>
      <c r="CD191" s="253" t="e">
        <f aca="false">xSPRDOPT((VLOOKUP(G191,NGPrices,2,FALSE())+HLOOKUP(D191,Prices,VLOOKUP(G191,move_down,2,FALSE()),FALSE())),VLOOKUP(G191,NGPrices,2,FALSE()),I191,VLOOKUP(G191,NGPREVPRICES,4,FALSE()),HLOOKUP(D191,PREVVOLS,VLOOKUP(G191,MOVE_DOWN2,2,FALSE()),FALSE()),VLOOKUP(G191,NGPREVPRICES,3,FALSE()),HLOOKUP(D191,Correllate,VLOOKUP(G191,CorMove,2,FALSE()),FALSE()),Q191-$CD$3,R191,$CD$5)*H191-CJ191</f>
        <v>#NAME?</v>
      </c>
      <c r="CE191" s="253" t="e">
        <f aca="false">xSPRDOPT((VLOOKUP(G191,NGPREVPRICES,2,FALSE())+HLOOKUP(D191,PREVCURVES,VLOOKUP(G191,MOVE_DOWN2,2,FALSE()),FALSE())),VLOOKUP(G191,NGPREVPRICES,2,FALSE()),CK191,VLOOKUP(G191,NGPrices,4,FALSE()),HLOOKUP(D191,PREVVOLS,VLOOKUP(G191,MOVE_DOWN2,2,FALSE()),FALSE()),VLOOKUP(G191,NGPREVPRICES,3,FALSE()),HLOOKUP(D191,Correllate,VLOOKUP(G191,CorMove,2,FALSE()),FALSE()),Q191-$CD$3,R191,$CJ$5)*H191-CJ191</f>
        <v>#NAME?</v>
      </c>
      <c r="CF191" s="132" t="e">
        <f aca="false">(CJ191/VLOOKUP(CC191,discount,3,FALSE()))-(CJ191/VLOOKUP(CC191,discount,2,FALSE()))</f>
        <v>#NAME?</v>
      </c>
      <c r="CG191" s="253" t="e">
        <f aca="false">xSPRDOPT((VLOOKUP(G191,NGPREVPRICES,2,FALSE())+HLOOKUP(D191,PREVCURVES,VLOOKUP(G191,MOVE_DOWN2,2,FALSE()),FALSE())),VLOOKUP(G191,NGPREVPRICES,2,FALSE()),CK191,VLOOKUP(G191,NGPREVPRICES,4,FALSE()),HLOOKUP(D191,VOLS,VLOOKUP(G191,move_down,2,FALSE()),FALSE()),VLOOKUP(G191,NGPrices,3,FALSE()),HLOOKUP(D191,Correllate,VLOOKUP(G191,CorMove,2,FALSE()),FALSE()),Q191-$CD$3,R191,$CJ$5)*H191-CJ191</f>
        <v>#NAME?</v>
      </c>
      <c r="CH191" s="253" t="e">
        <f aca="false">xSPRDOPT((VLOOKUP(G191,NGPREVPRICES,2,FALSE())+HLOOKUP(D191,PREVCURVES,VLOOKUP(G191,MOVE_DOWN2,2,FALSE()),FALSE())),VLOOKUP(G191,NGPREVPRICES,2,FALSE()),CK191,VLOOKUP(G191,NGPREVPRICES,4,FALSE()),HLOOKUP(D191,PREVVOLS,VLOOKUP(G191,MOVE_DOWN2,2,FALSE()),FALSE()),VLOOKUP(G191,NGPREVPRICES,3,FALSE()),HLOOKUP(D191,Correllate,VLOOKUP(G191,CorMove,2,FALSE()),FALSE()),Q191-$C$3,R191,$CJ$5)*H191-CJ191</f>
        <v>#NAME?</v>
      </c>
      <c r="CI191" s="253" t="e">
        <f aca="false">SUM(CD191:CH191)</f>
        <v>#NAME?</v>
      </c>
      <c r="CJ191" s="253" t="e">
        <f aca="false">xSPRDOPT((VLOOKUP(G191,NGPREVPRICES,2,FALSE())+HLOOKUP(D191,PREVCURVES,VLOOKUP(G191,MOVE_DOWN2,2,FALSE()),FALSE())),VLOOKUP(G191,NGPREVPRICES,2,FALSE()),CK191,VLOOKUP(G191,NGPREVPRICES,4,FALSE()),HLOOKUP(D191,PREVVOLS,VLOOKUP(G191,MOVE_DOWN2,2,FALSE()),FALSE()),VLOOKUP(G191,NGPREVPRICES,3,FALSE()),HLOOKUP(D191,Correllate,VLOOKUP(G191,CorMove,2,FALSE()),FALSE()),Q191-$CD$3,R191,$CJ$5)*H191</f>
        <v>#NAME?</v>
      </c>
      <c r="CK191" s="254" t="n">
        <f aca="false">I191</f>
        <v>2</v>
      </c>
      <c r="CL191" s="253"/>
      <c r="CM191" s="0" t="str">
        <f aca="false">CONCATENATE(CC191,$CD$6)</f>
        <v>36892Curve Shift/Gamma</v>
      </c>
      <c r="CN191" s="0" t="str">
        <f aca="false">CONCATENATE($CC191,$CE$6)</f>
        <v>36892Rho</v>
      </c>
      <c r="CO191" s="0" t="str">
        <f aca="false">CONCATENATE($CC191,$CF$6)</f>
        <v>36892Drift</v>
      </c>
      <c r="CP191" s="0" t="str">
        <f aca="false">CONCATENATE($CC191,$CG$6)</f>
        <v>36892Vega</v>
      </c>
      <c r="CQ191" s="0" t="str">
        <f aca="false">CONCATENATE($CC191,$CH$6)</f>
        <v>36892Theta</v>
      </c>
    </row>
    <row r="192" customFormat="false" ht="12" hidden="false" customHeight="true" outlineLevel="0" collapsed="false">
      <c r="A192" s="17" t="s">
        <v>210</v>
      </c>
      <c r="B192" s="0" t="s">
        <v>192</v>
      </c>
      <c r="C192" s="0" t="s">
        <v>266</v>
      </c>
      <c r="D192" s="7" t="s">
        <v>149</v>
      </c>
      <c r="E192" s="0" t="s">
        <v>131</v>
      </c>
      <c r="F192" s="0" t="s">
        <v>136</v>
      </c>
      <c r="G192" s="92" t="n">
        <v>36861</v>
      </c>
      <c r="H192" s="248" t="n">
        <v>1000000</v>
      </c>
      <c r="I192" s="0" t="n">
        <v>2</v>
      </c>
      <c r="J192" s="124" t="n">
        <f aca="false">VLOOKUP(G192,NGPrices,2,FALSE())</f>
        <v>4.8</v>
      </c>
      <c r="K192" s="125" t="n">
        <f aca="false">HLOOKUP(D192,Prices,VLOOKUP(G192,move_down,2,FALSE()),FALSE())+VLOOKUP(G192,CHANGE,HLOOKUP(D192,CHANGE,2,FALSE()),FALSE())</f>
        <v>1.645</v>
      </c>
      <c r="L192" s="124" t="n">
        <f aca="false">K192+J192</f>
        <v>6.445</v>
      </c>
      <c r="M192" s="126" t="n">
        <f aca="false">VLOOKUP(G192,NGPrices,4,FALSE())</f>
        <v>0.068314027999354</v>
      </c>
      <c r="N192" s="7" t="n">
        <f aca="false">VLOOKUP(G192,NGPrices,3,FALSE())</f>
        <v>0.6</v>
      </c>
      <c r="O192" s="7" t="n">
        <f aca="false">HLOOKUP(D192,VOLS,VLOOKUP(G192,move_down,2,FALSE()),FALSE())</f>
        <v>0.69</v>
      </c>
      <c r="P192" s="249" t="n">
        <f aca="false">HLOOKUP(D192,Correllate,VLOOKUP(G192,CorMove,2,FALSE()),FALSE())</f>
        <v>0.83</v>
      </c>
      <c r="Q192" s="92" t="n">
        <f aca="false">WORKDAY(G192,-2)</f>
        <v>36859</v>
      </c>
      <c r="R192" s="7" t="n">
        <f aca="false">IF(F192="P",0,1)</f>
        <v>1</v>
      </c>
      <c r="S192" s="130" t="e">
        <f aca="false">xSPRDOPT($L192,$J192,$I192,$M192,$O192,$N192,$P192,$Q192-$C$3,$R192,0)</f>
        <v>#NAME?</v>
      </c>
      <c r="T192" s="250" t="e">
        <f aca="false">xSPRDOPT($L192,$J192,$I192,$M192,$O192,$N192,$P192,$Q192-$C$3,$R192,1)*H192</f>
        <v>#NAME?</v>
      </c>
      <c r="U192" s="43" t="e">
        <f aca="false">S192*H192</f>
        <v>#NAME?</v>
      </c>
      <c r="V192" s="250" t="e">
        <f aca="false">xSPRDOPT($L192,$J192,$I192,$M192,$O192,$N192,$P192,$Q192-$C$3,$R192,2)*H192</f>
        <v>#NAME?</v>
      </c>
      <c r="W192" s="250" t="e">
        <f aca="false">+V192+T192</f>
        <v>#NAME?</v>
      </c>
      <c r="X192" s="2" t="str">
        <f aca="false">CONCATENATE(G192,D192)</f>
        <v>36861IF-TRANSCO/Z6</v>
      </c>
      <c r="Y192" s="251" t="n">
        <f aca="false">H192/10000</f>
        <v>100</v>
      </c>
      <c r="Z192" s="226" t="e">
        <f aca="false">T192/H192</f>
        <v>#NAME?</v>
      </c>
      <c r="AA192" s="226" t="e">
        <f aca="false">xSPRDOPT($L192,$J192,$I192,$M192,$O192,$N192,$P192,$Q192-$C$3,$R192,3)</f>
        <v>#NAME?</v>
      </c>
      <c r="AB192" s="226" t="e">
        <f aca="false">((xSPRDOPT($L192+AB$5,$J192,$I192,$M192,$O192,$N192,$P192,$Q192-$C$3,$R192,3)*$H192)/10000)/100</f>
        <v>#NAME?</v>
      </c>
      <c r="AC192" s="226" t="e">
        <f aca="false">((xSPRDOPT($L192+$AB$5,$J192,$I192,$M192,$O192,$N192,$P192,$Q192-$C$3,$R192,7)*$H192)/100)</f>
        <v>#NAME?</v>
      </c>
      <c r="AD192" s="226" t="e">
        <f aca="false">(xSPRDOPT($L192+$AB$5,$J192,$I192,$M192,$O192,$N192,$P192,$Q192-$C$3,$R192,9)/365)*$H192</f>
        <v>#NAME?</v>
      </c>
      <c r="AE192" s="0" t="e">
        <f aca="false">CD192</f>
        <v>#NAME?</v>
      </c>
      <c r="AF192" s="226" t="e">
        <f aca="false">((O192/N192)*AH192)+AG192</f>
        <v>#NAME?</v>
      </c>
      <c r="AG192" s="226" t="e">
        <f aca="false">((xSPRDOPT($L192,$J192,$I192,$M192,$O192,$N192,$P192,$Q192-$C$3,$R192,6)*$H192)/100)</f>
        <v>#NAME?</v>
      </c>
      <c r="AH192" s="226" t="e">
        <f aca="false">((xSPRDOPT($L192,$J192,$I192,$M192,$O192,$N192,$P192,$Q192-$C$3,$R192,5)*$H192)/100)</f>
        <v>#NAME?</v>
      </c>
      <c r="AI192" s="226" t="e">
        <f aca="false">(((xSPRDOPT($L192,$J192,$I192,$M192,$O192,$N192,$P192,$Q192-$C$3,$R192,4)*$H192)/10000)/100)-AB192</f>
        <v>#NAME?</v>
      </c>
      <c r="AJ192" s="226"/>
      <c r="AK192" s="226"/>
      <c r="AL192" s="226"/>
      <c r="AM192" s="252"/>
      <c r="CC192" s="182" t="n">
        <f aca="false">G192</f>
        <v>36861</v>
      </c>
      <c r="CD192" s="253" t="e">
        <f aca="false">xSPRDOPT((VLOOKUP(G192,NGPrices,2,FALSE())+HLOOKUP(D192,Prices,VLOOKUP(G192,move_down,2,FALSE()),FALSE())),VLOOKUP(G192,NGPrices,2,FALSE()),I192,VLOOKUP(G192,NGPREVPRICES,4,FALSE()),HLOOKUP(D192,PREVVOLS,VLOOKUP(G192,MOVE_DOWN2,2,FALSE()),FALSE()),VLOOKUP(G192,NGPREVPRICES,3,FALSE()),HLOOKUP(D192,Correllate,VLOOKUP(G192,CorMove,2,FALSE()),FALSE()),Q192-$CD$3,R192,$CD$5)*H192-CJ192</f>
        <v>#NAME?</v>
      </c>
      <c r="CE192" s="253" t="e">
        <f aca="false">xSPRDOPT((VLOOKUP(G192,NGPREVPRICES,2,FALSE())+HLOOKUP(D192,PREVCURVES,VLOOKUP(G192,MOVE_DOWN2,2,FALSE()),FALSE())),VLOOKUP(G192,NGPREVPRICES,2,FALSE()),CK192,VLOOKUP(G192,NGPrices,4,FALSE()),HLOOKUP(D192,PREVVOLS,VLOOKUP(G192,MOVE_DOWN2,2,FALSE()),FALSE()),VLOOKUP(G192,NGPREVPRICES,3,FALSE()),HLOOKUP(D192,Correllate,VLOOKUP(G192,CorMove,2,FALSE()),FALSE()),Q192-$CD$3,R192,$CJ$5)*H192-CJ192</f>
        <v>#NAME?</v>
      </c>
      <c r="CF192" s="132" t="e">
        <f aca="false">(CJ192/VLOOKUP(CC192,discount,3,FALSE()))-(CJ192/VLOOKUP(CC192,discount,2,FALSE()))</f>
        <v>#NAME?</v>
      </c>
      <c r="CG192" s="253" t="e">
        <f aca="false">xSPRDOPT((VLOOKUP(G192,NGPREVPRICES,2,FALSE())+HLOOKUP(D192,PREVCURVES,VLOOKUP(G192,MOVE_DOWN2,2,FALSE()),FALSE())),VLOOKUP(G192,NGPREVPRICES,2,FALSE()),CK192,VLOOKUP(G192,NGPREVPRICES,4,FALSE()),HLOOKUP(D192,VOLS,VLOOKUP(G192,move_down,2,FALSE()),FALSE()),VLOOKUP(G192,NGPrices,3,FALSE()),HLOOKUP(D192,Correllate,VLOOKUP(G192,CorMove,2,FALSE()),FALSE()),Q192-$CD$3,R192,$CJ$5)*H192-CJ192</f>
        <v>#NAME?</v>
      </c>
      <c r="CH192" s="253" t="e">
        <f aca="false">xSPRDOPT((VLOOKUP(G192,NGPREVPRICES,2,FALSE())+HLOOKUP(D192,PREVCURVES,VLOOKUP(G192,MOVE_DOWN2,2,FALSE()),FALSE())),VLOOKUP(G192,NGPREVPRICES,2,FALSE()),CK192,VLOOKUP(G192,NGPREVPRICES,4,FALSE()),HLOOKUP(D192,PREVVOLS,VLOOKUP(G192,MOVE_DOWN2,2,FALSE()),FALSE()),VLOOKUP(G192,NGPREVPRICES,3,FALSE()),HLOOKUP(D192,Correllate,VLOOKUP(G192,CorMove,2,FALSE()),FALSE()),Q192-$C$3,R192,$CJ$5)*H192-CJ192</f>
        <v>#NAME?</v>
      </c>
      <c r="CI192" s="253" t="e">
        <f aca="false">SUM(CD192:CH192)</f>
        <v>#NAME?</v>
      </c>
      <c r="CJ192" s="253" t="e">
        <f aca="false">xSPRDOPT((VLOOKUP(G192,NGPREVPRICES,2,FALSE())+HLOOKUP(D192,PREVCURVES,VLOOKUP(G192,MOVE_DOWN2,2,FALSE()),FALSE())),VLOOKUP(G192,NGPREVPRICES,2,FALSE()),CK192,VLOOKUP(G192,NGPREVPRICES,4,FALSE()),HLOOKUP(D192,PREVVOLS,VLOOKUP(G192,MOVE_DOWN2,2,FALSE()),FALSE()),VLOOKUP(G192,NGPREVPRICES,3,FALSE()),HLOOKUP(D192,Correllate,VLOOKUP(G192,CorMove,2,FALSE()),FALSE()),Q192-$CD$3,R192,$CJ$5)*H192</f>
        <v>#NAME?</v>
      </c>
      <c r="CK192" s="254" t="n">
        <f aca="false">I192</f>
        <v>2</v>
      </c>
      <c r="CL192" s="253"/>
      <c r="CM192" s="0" t="str">
        <f aca="false">CONCATENATE(CC192,$CD$6)</f>
        <v>36861Curve Shift/Gamma</v>
      </c>
      <c r="CN192" s="0" t="str">
        <f aca="false">CONCATENATE($CC192,$CE$6)</f>
        <v>36861Rho</v>
      </c>
      <c r="CO192" s="0" t="str">
        <f aca="false">CONCATENATE($CC192,$CF$6)</f>
        <v>36861Drift</v>
      </c>
      <c r="CP192" s="0" t="str">
        <f aca="false">CONCATENATE($CC192,$CG$6)</f>
        <v>36861Vega</v>
      </c>
      <c r="CQ192" s="0" t="str">
        <f aca="false">CONCATENATE($CC192,$CH$6)</f>
        <v>36861Theta</v>
      </c>
    </row>
    <row r="193" customFormat="false" ht="12" hidden="false" customHeight="true" outlineLevel="0" collapsed="false">
      <c r="A193" s="17" t="s">
        <v>210</v>
      </c>
      <c r="B193" s="0" t="s">
        <v>192</v>
      </c>
      <c r="C193" s="0" t="s">
        <v>266</v>
      </c>
      <c r="D193" s="7" t="s">
        <v>149</v>
      </c>
      <c r="E193" s="0" t="s">
        <v>131</v>
      </c>
      <c r="F193" s="0" t="s">
        <v>136</v>
      </c>
      <c r="G193" s="92" t="n">
        <v>36831</v>
      </c>
      <c r="H193" s="248" t="n">
        <v>1000000</v>
      </c>
      <c r="I193" s="0" t="n">
        <v>2</v>
      </c>
      <c r="J193" s="124" t="n">
        <f aca="false">VLOOKUP(G193,NGPrices,2,FALSE())</f>
        <v>4.736</v>
      </c>
      <c r="K193" s="125" t="n">
        <f aca="false">HLOOKUP(D193,Prices,VLOOKUP(G193,move_down,2,FALSE()),FALSE())+VLOOKUP(G193,CHANGE,HLOOKUP(D193,CHANGE,2,FALSE()),FALSE())</f>
        <v>0.77</v>
      </c>
      <c r="L193" s="124" t="n">
        <f aca="false">K193+J193</f>
        <v>5.506</v>
      </c>
      <c r="M193" s="126" t="n">
        <f aca="false">VLOOKUP(G193,NGPrices,4,FALSE())</f>
        <v>0.06810675983792</v>
      </c>
      <c r="N193" s="7" t="n">
        <f aca="false">VLOOKUP(G193,NGPrices,3,FALSE())</f>
        <v>0.595</v>
      </c>
      <c r="O193" s="7" t="n">
        <f aca="false">HLOOKUP(D193,VOLS,VLOOKUP(G193,move_down,2,FALSE()),FALSE())</f>
        <v>0.625</v>
      </c>
      <c r="P193" s="249" t="n">
        <f aca="false">HLOOKUP(D193,Correllate,VLOOKUP(G193,CorMove,2,FALSE()),FALSE())</f>
        <v>0.89</v>
      </c>
      <c r="Q193" s="92" t="n">
        <f aca="false">WORKDAY(G193,-2)</f>
        <v>36829</v>
      </c>
      <c r="R193" s="7" t="n">
        <f aca="false">IF(F193="P",0,1)</f>
        <v>1</v>
      </c>
      <c r="S193" s="130" t="e">
        <f aca="false">xSPRDOPT($L193,$J193,$I193,$M193,$O193,$N193,$P193,$Q193-$C$3,$R193,0)</f>
        <v>#NAME?</v>
      </c>
      <c r="T193" s="250" t="e">
        <f aca="false">xSPRDOPT($L193,$J193,$I193,$M193,$O193,$N193,$P193,$Q193-$C$3,$R193,1)*H193</f>
        <v>#NAME?</v>
      </c>
      <c r="U193" s="43" t="e">
        <f aca="false">S193*H193</f>
        <v>#NAME?</v>
      </c>
      <c r="V193" s="250" t="e">
        <f aca="false">xSPRDOPT($L193,$J193,$I193,$M193,$O193,$N193,$P193,$Q193-$C$3,$R193,2)*H193</f>
        <v>#NAME?</v>
      </c>
      <c r="W193" s="250" t="e">
        <f aca="false">+V193+T193</f>
        <v>#NAME?</v>
      </c>
      <c r="X193" s="2" t="str">
        <f aca="false">CONCATENATE(G193,D193)</f>
        <v>36831IF-TRANSCO/Z6</v>
      </c>
      <c r="Y193" s="251" t="n">
        <f aca="false">H193/10000</f>
        <v>100</v>
      </c>
      <c r="Z193" s="226" t="e">
        <f aca="false">T193/H193</f>
        <v>#NAME?</v>
      </c>
      <c r="AA193" s="226" t="e">
        <f aca="false">xSPRDOPT($L193,$J193,$I193,$M193,$O193,$N193,$P193,$Q193-$C$3,$R193,3)</f>
        <v>#NAME?</v>
      </c>
      <c r="AB193" s="226" t="e">
        <f aca="false">((xSPRDOPT($L193+AB$5,$J193,$I193,$M193,$O193,$N193,$P193,$Q193-$C$3,$R193,3)*$H193)/10000)/100</f>
        <v>#NAME?</v>
      </c>
      <c r="AC193" s="226" t="e">
        <f aca="false">((xSPRDOPT($L193+$AB$5,$J193,$I193,$M193,$O193,$N193,$P193,$Q193-$C$3,$R193,7)*$H193)/100)</f>
        <v>#NAME?</v>
      </c>
      <c r="AD193" s="226" t="e">
        <f aca="false">(xSPRDOPT($L193+$AB$5,$J193,$I193,$M193,$O193,$N193,$P193,$Q193-$C$3,$R193,9)/365)*$H193</f>
        <v>#NAME?</v>
      </c>
      <c r="AE193" s="0" t="e">
        <f aca="false">CD193</f>
        <v>#NAME?</v>
      </c>
      <c r="AF193" s="226" t="e">
        <f aca="false">((O193/N193)*AH193)+AG193</f>
        <v>#NAME?</v>
      </c>
      <c r="AG193" s="226" t="e">
        <f aca="false">((xSPRDOPT($L193,$J193,$I193,$M193,$O193,$N193,$P193,$Q193-$C$3,$R193,6)*$H193)/100)</f>
        <v>#NAME?</v>
      </c>
      <c r="AH193" s="226" t="e">
        <f aca="false">((xSPRDOPT($L193,$J193,$I193,$M193,$O193,$N193,$P193,$Q193-$C$3,$R193,5)*$H193)/100)</f>
        <v>#NAME?</v>
      </c>
      <c r="AI193" s="226" t="e">
        <f aca="false">(((xSPRDOPT($L193,$J193,$I193,$M193,$O193,$N193,$P193,$Q193-$C$3,$R193,4)*$H193)/10000)/100)-AB193</f>
        <v>#NAME?</v>
      </c>
      <c r="AJ193" s="226"/>
      <c r="AK193" s="226"/>
      <c r="AL193" s="226"/>
      <c r="AM193" s="252"/>
      <c r="CC193" s="182" t="n">
        <f aca="false">G193</f>
        <v>36831</v>
      </c>
      <c r="CD193" s="253" t="e">
        <f aca="false">xSPRDOPT((VLOOKUP(G193,NGPrices,2,FALSE())+HLOOKUP(D193,Prices,VLOOKUP(G193,move_down,2,FALSE()),FALSE())),VLOOKUP(G193,NGPrices,2,FALSE()),I193,VLOOKUP(G193,NGPREVPRICES,4,FALSE()),HLOOKUP(D193,PREVVOLS,VLOOKUP(G193,MOVE_DOWN2,2,FALSE()),FALSE()),VLOOKUP(G193,NGPREVPRICES,3,FALSE()),HLOOKUP(D193,Correllate,VLOOKUP(G193,CorMove,2,FALSE()),FALSE()),Q193-$CD$3,R193,$CD$5)*H193-CJ193</f>
        <v>#NAME?</v>
      </c>
      <c r="CE193" s="253" t="e">
        <f aca="false">xSPRDOPT((VLOOKUP(G193,NGPREVPRICES,2,FALSE())+HLOOKUP(D193,PREVCURVES,VLOOKUP(G193,MOVE_DOWN2,2,FALSE()),FALSE())),VLOOKUP(G193,NGPREVPRICES,2,FALSE()),CK193,VLOOKUP(G193,NGPrices,4,FALSE()),HLOOKUP(D193,PREVVOLS,VLOOKUP(G193,MOVE_DOWN2,2,FALSE()),FALSE()),VLOOKUP(G193,NGPREVPRICES,3,FALSE()),HLOOKUP(D193,Correllate,VLOOKUP(G193,CorMove,2,FALSE()),FALSE()),Q193-$CD$3,R193,$CJ$5)*H193-CJ193</f>
        <v>#NAME?</v>
      </c>
      <c r="CF193" s="132" t="e">
        <f aca="false">(CJ193/VLOOKUP(CC193,discount,3,FALSE()))-(CJ193/VLOOKUP(CC193,discount,2,FALSE()))</f>
        <v>#NAME?</v>
      </c>
      <c r="CG193" s="253" t="e">
        <f aca="false">xSPRDOPT((VLOOKUP(G193,NGPREVPRICES,2,FALSE())+HLOOKUP(D193,PREVCURVES,VLOOKUP(G193,MOVE_DOWN2,2,FALSE()),FALSE())),VLOOKUP(G193,NGPREVPRICES,2,FALSE()),CK193,VLOOKUP(G193,NGPREVPRICES,4,FALSE()),HLOOKUP(D193,VOLS,VLOOKUP(G193,move_down,2,FALSE()),FALSE()),VLOOKUP(G193,NGPrices,3,FALSE()),HLOOKUP(D193,Correllate,VLOOKUP(G193,CorMove,2,FALSE()),FALSE()),Q193-$CD$3,R193,$CJ$5)*H193-CJ193</f>
        <v>#NAME?</v>
      </c>
      <c r="CH193" s="253" t="e">
        <f aca="false">xSPRDOPT((VLOOKUP(G193,NGPREVPRICES,2,FALSE())+HLOOKUP(D193,PREVCURVES,VLOOKUP(G193,MOVE_DOWN2,2,FALSE()),FALSE())),VLOOKUP(G193,NGPREVPRICES,2,FALSE()),CK193,VLOOKUP(G193,NGPREVPRICES,4,FALSE()),HLOOKUP(D193,PREVVOLS,VLOOKUP(G193,MOVE_DOWN2,2,FALSE()),FALSE()),VLOOKUP(G193,NGPREVPRICES,3,FALSE()),HLOOKUP(D193,Correllate,VLOOKUP(G193,CorMove,2,FALSE()),FALSE()),Q193-$C$3,R193,$CJ$5)*H193-CJ193</f>
        <v>#NAME?</v>
      </c>
      <c r="CI193" s="253" t="e">
        <f aca="false">SUM(CD193:CH193)</f>
        <v>#NAME?</v>
      </c>
      <c r="CJ193" s="253" t="e">
        <f aca="false">xSPRDOPT((VLOOKUP(G193,NGPREVPRICES,2,FALSE())+HLOOKUP(D193,PREVCURVES,VLOOKUP(G193,MOVE_DOWN2,2,FALSE()),FALSE())),VLOOKUP(G193,NGPREVPRICES,2,FALSE()),CK193,VLOOKUP(G193,NGPREVPRICES,4,FALSE()),HLOOKUP(D193,PREVVOLS,VLOOKUP(G193,MOVE_DOWN2,2,FALSE()),FALSE()),VLOOKUP(G193,NGPREVPRICES,3,FALSE()),HLOOKUP(D193,Correllate,VLOOKUP(G193,CorMove,2,FALSE()),FALSE()),Q193-$CD$3,R193,$CJ$5)*H193</f>
        <v>#NAME?</v>
      </c>
      <c r="CK193" s="254" t="n">
        <f aca="false">I193</f>
        <v>2</v>
      </c>
      <c r="CL193" s="253"/>
      <c r="CM193" s="0" t="str">
        <f aca="false">CONCATENATE(CC193,$CD$6)</f>
        <v>36831Curve Shift/Gamma</v>
      </c>
      <c r="CN193" s="0" t="str">
        <f aca="false">CONCATENATE($CC193,$CE$6)</f>
        <v>36831Rho</v>
      </c>
      <c r="CO193" s="0" t="str">
        <f aca="false">CONCATENATE($CC193,$CF$6)</f>
        <v>36831Drift</v>
      </c>
      <c r="CP193" s="0" t="str">
        <f aca="false">CONCATENATE($CC193,$CG$6)</f>
        <v>36831Vega</v>
      </c>
      <c r="CQ193" s="0" t="str">
        <f aca="false">CONCATENATE($CC193,$CH$6)</f>
        <v>36831Theta</v>
      </c>
    </row>
    <row r="194" customFormat="false" ht="12" hidden="false" customHeight="true" outlineLevel="0" collapsed="false">
      <c r="A194" s="17" t="s">
        <v>244</v>
      </c>
      <c r="B194" s="0" t="s">
        <v>192</v>
      </c>
      <c r="C194" s="0" t="s">
        <v>267</v>
      </c>
      <c r="D194" s="7" t="s">
        <v>149</v>
      </c>
      <c r="E194" s="0" t="s">
        <v>131</v>
      </c>
      <c r="F194" s="0" t="s">
        <v>136</v>
      </c>
      <c r="G194" s="92" t="n">
        <v>36800</v>
      </c>
      <c r="H194" s="248" t="n">
        <v>310000</v>
      </c>
      <c r="I194" s="0" t="n">
        <v>0.34</v>
      </c>
      <c r="J194" s="124" t="n">
        <f aca="false">VLOOKUP(G194,NGPrices,2,FALSE())</f>
        <v>4.692</v>
      </c>
      <c r="K194" s="125" t="n">
        <f aca="false">HLOOKUP(D194,Prices,VLOOKUP(G194,move_down,2,FALSE()),FALSE())+VLOOKUP(G194,CHANGE,HLOOKUP(D194,CHANGE,2,FALSE()),FALSE())</f>
        <v>0.415</v>
      </c>
      <c r="L194" s="124" t="n">
        <f aca="false">K194+J194</f>
        <v>5.107</v>
      </c>
      <c r="M194" s="126" t="n">
        <f aca="false">VLOOKUP(G194,NGPrices,4,FALSE())</f>
        <v>0.068050789414654</v>
      </c>
      <c r="N194" s="7" t="n">
        <f aca="false">VLOOKUP(G194,NGPrices,3,FALSE())</f>
        <v>0.575</v>
      </c>
      <c r="O194" s="7" t="n">
        <f aca="false">HLOOKUP(D194,VOLS,VLOOKUP(G194,move_down,2,FALSE()),FALSE())</f>
        <v>0.564</v>
      </c>
      <c r="P194" s="249" t="n">
        <f aca="false">HLOOKUP(D194,Correllate,VLOOKUP(G194,CorMove,2,FALSE()),FALSE())</f>
        <v>0.9925</v>
      </c>
      <c r="Q194" s="92" t="n">
        <f aca="false">WORKDAY(G194,-2)</f>
        <v>36797</v>
      </c>
      <c r="R194" s="7" t="n">
        <f aca="false">IF(F194="P",0,1)</f>
        <v>1</v>
      </c>
      <c r="S194" s="130" t="e">
        <f aca="false">xSPRDOPT($L194,$J194,$I194,$M194,$O194,$N194,$P194,$Q194-$C$3,$R194,0)</f>
        <v>#NAME?</v>
      </c>
      <c r="T194" s="250" t="e">
        <f aca="false">xSPRDOPT($L194,$J194,$I194,$M194,$O194,$N194,$P194,$Q194-$C$3,$R194,1)*H194</f>
        <v>#NAME?</v>
      </c>
      <c r="U194" s="43" t="e">
        <f aca="false">S194*H194</f>
        <v>#NAME?</v>
      </c>
      <c r="V194" s="250" t="e">
        <f aca="false">xSPRDOPT($L194,$J194,$I194,$M194,$O194,$N194,$P194,$Q194-$C$3,$R194,2)*H194</f>
        <v>#NAME?</v>
      </c>
      <c r="W194" s="250" t="e">
        <f aca="false">+V194+T194</f>
        <v>#NAME?</v>
      </c>
      <c r="X194" s="2" t="str">
        <f aca="false">CONCATENATE(G194,D194)</f>
        <v>36800IF-TRANSCO/Z6</v>
      </c>
      <c r="Y194" s="251" t="n">
        <f aca="false">H194/10000</f>
        <v>31</v>
      </c>
      <c r="Z194" s="226" t="e">
        <f aca="false">T194/H194</f>
        <v>#NAME?</v>
      </c>
      <c r="AA194" s="226" t="e">
        <f aca="false">xSPRDOPT($L194,$J194,$I194,$M194,$O194,$N194,$P194,$Q194-$C$3,$R194,3)</f>
        <v>#NAME?</v>
      </c>
      <c r="AB194" s="226" t="e">
        <f aca="false">((xSPRDOPT($L194+AB$5,$J194,$I194,$M194,$O194,$N194,$P194,$Q194-$C$3,$R194,3)*$H194)/10000)/100</f>
        <v>#NAME?</v>
      </c>
      <c r="AC194" s="226" t="e">
        <f aca="false">((xSPRDOPT($L194+$AB$5,$J194,$I194,$M194,$O194,$N194,$P194,$Q194-$C$3,$R194,7)*$H194)/100)</f>
        <v>#NAME?</v>
      </c>
      <c r="AD194" s="226" t="e">
        <f aca="false">(xSPRDOPT($L194+$AB$5,$J194,$I194,$M194,$O194,$N194,$P194,$Q194-$C$3,$R194,9)/365)*$H194</f>
        <v>#NAME?</v>
      </c>
      <c r="AE194" s="0" t="e">
        <f aca="false">CD194</f>
        <v>#NAME?</v>
      </c>
      <c r="AF194" s="226" t="e">
        <f aca="false">((O194/N194)*AH194)+AG194</f>
        <v>#NAME?</v>
      </c>
      <c r="AG194" s="226" t="e">
        <f aca="false">((xSPRDOPT($L194,$J194,$I194,$M194,$O194,$N194,$P194,$Q194-$C$3,$R194,6)*$H194)/100)</f>
        <v>#NAME?</v>
      </c>
      <c r="AH194" s="226" t="e">
        <f aca="false">((xSPRDOPT($L194,$J194,$I194,$M194,$O194,$N194,$P194,$Q194-$C$3,$R194,5)*$H194)/100)</f>
        <v>#NAME?</v>
      </c>
      <c r="AI194" s="226" t="e">
        <f aca="false">(((xSPRDOPT($L194,$J194,$I194,$M194,$O194,$N194,$P194,$Q194-$C$3,$R194,4)*$H194)/10000)/100)-AB194</f>
        <v>#NAME?</v>
      </c>
      <c r="AJ194" s="226"/>
      <c r="AK194" s="226"/>
      <c r="AL194" s="226"/>
      <c r="AM194" s="252"/>
      <c r="CC194" s="182" t="n">
        <f aca="false">G194</f>
        <v>36800</v>
      </c>
      <c r="CD194" s="253" t="e">
        <f aca="false">xSPRDOPT((VLOOKUP(G194,NGPrices,2,FALSE())+HLOOKUP(D194,Prices,VLOOKUP(G194,move_down,2,FALSE()),FALSE())),VLOOKUP(G194,NGPrices,2,FALSE()),I194,VLOOKUP(G194,NGPREVPRICES,4,FALSE()),HLOOKUP(D194,PREVVOLS,VLOOKUP(G194,MOVE_DOWN2,2,FALSE()),FALSE()),VLOOKUP(G194,NGPREVPRICES,3,FALSE()),HLOOKUP(D194,Correllate,VLOOKUP(G194,CorMove,2,FALSE()),FALSE()),Q194-$CD$3,R194,$CD$5)*H194-CJ194</f>
        <v>#NAME?</v>
      </c>
      <c r="CE194" s="253" t="e">
        <f aca="false">xSPRDOPT((VLOOKUP(G194,NGPREVPRICES,2,FALSE())+HLOOKUP(D194,PREVCURVES,VLOOKUP(G194,MOVE_DOWN2,2,FALSE()),FALSE())),VLOOKUP(G194,NGPREVPRICES,2,FALSE()),CK194,VLOOKUP(G194,NGPrices,4,FALSE()),HLOOKUP(D194,PREVVOLS,VLOOKUP(G194,MOVE_DOWN2,2,FALSE()),FALSE()),VLOOKUP(G194,NGPREVPRICES,3,FALSE()),HLOOKUP(D194,Correllate,VLOOKUP(G194,CorMove,2,FALSE()),FALSE()),Q194-$CD$3,R194,$CJ$5)*H194-CJ194</f>
        <v>#NAME?</v>
      </c>
      <c r="CF194" s="132" t="e">
        <f aca="false">(CJ194/VLOOKUP(CC194,discount,3,FALSE()))-(CJ194/VLOOKUP(CC194,discount,2,FALSE()))</f>
        <v>#NAME?</v>
      </c>
      <c r="CG194" s="253" t="e">
        <f aca="false">xSPRDOPT((VLOOKUP(G194,NGPREVPRICES,2,FALSE())+HLOOKUP(D194,PREVCURVES,VLOOKUP(G194,MOVE_DOWN2,2,FALSE()),FALSE())),VLOOKUP(G194,NGPREVPRICES,2,FALSE()),CK194,VLOOKUP(G194,NGPREVPRICES,4,FALSE()),HLOOKUP(D194,VOLS,VLOOKUP(G194,move_down,2,FALSE()),FALSE()),VLOOKUP(G194,NGPrices,3,FALSE()),HLOOKUP(D194,Correllate,VLOOKUP(G194,CorMove,2,FALSE()),FALSE()),Q194-$CD$3,R194,$CJ$5)*H194-CJ194</f>
        <v>#NAME?</v>
      </c>
      <c r="CH194" s="253" t="e">
        <f aca="false">xSPRDOPT((VLOOKUP(G194,NGPREVPRICES,2,FALSE())+HLOOKUP(D194,PREVCURVES,VLOOKUP(G194,MOVE_DOWN2,2,FALSE()),FALSE())),VLOOKUP(G194,NGPREVPRICES,2,FALSE()),CK194,VLOOKUP(G194,NGPREVPRICES,4,FALSE()),HLOOKUP(D194,PREVVOLS,VLOOKUP(G194,MOVE_DOWN2,2,FALSE()),FALSE()),VLOOKUP(G194,NGPREVPRICES,3,FALSE()),HLOOKUP(D194,Correllate,VLOOKUP(G194,CorMove,2,FALSE()),FALSE()),Q194-$C$3,R194,$CJ$5)*H194-CJ194</f>
        <v>#NAME?</v>
      </c>
      <c r="CI194" s="253" t="e">
        <f aca="false">SUM(CD194:CH194)</f>
        <v>#NAME?</v>
      </c>
      <c r="CJ194" s="253" t="e">
        <f aca="false">xSPRDOPT((VLOOKUP(G194,NGPREVPRICES,2,FALSE())+HLOOKUP(D194,PREVCURVES,VLOOKUP(G194,MOVE_DOWN2,2,FALSE()),FALSE())),VLOOKUP(G194,NGPREVPRICES,2,FALSE()),CK194,VLOOKUP(G194,NGPREVPRICES,4,FALSE()),HLOOKUP(D194,PREVVOLS,VLOOKUP(G194,MOVE_DOWN2,2,FALSE()),FALSE()),VLOOKUP(G194,NGPREVPRICES,3,FALSE()),HLOOKUP(D194,Correllate,VLOOKUP(G194,CorMove,2,FALSE()),FALSE()),Q194-$CD$3,R194,$CJ$5)*H194</f>
        <v>#NAME?</v>
      </c>
      <c r="CK194" s="254" t="n">
        <f aca="false">I194</f>
        <v>0.34</v>
      </c>
      <c r="CL194" s="253"/>
      <c r="CM194" s="0" t="str">
        <f aca="false">CONCATENATE(CC194,$CD$6)</f>
        <v>36800Curve Shift/Gamma</v>
      </c>
      <c r="CN194" s="0" t="str">
        <f aca="false">CONCATENATE($CC194,$CE$6)</f>
        <v>36800Rho</v>
      </c>
      <c r="CO194" s="0" t="str">
        <f aca="false">CONCATENATE($CC194,$CF$6)</f>
        <v>36800Drift</v>
      </c>
      <c r="CP194" s="0" t="str">
        <f aca="false">CONCATENATE($CC194,$CG$6)</f>
        <v>36800Vega</v>
      </c>
      <c r="CQ194" s="0" t="str">
        <f aca="false">CONCATENATE($CC194,$CH$6)</f>
        <v>36800Theta</v>
      </c>
    </row>
    <row r="195" customFormat="false" ht="12" hidden="false" customHeight="true" outlineLevel="0" collapsed="false">
      <c r="A195" s="17" t="s">
        <v>244</v>
      </c>
      <c r="B195" s="0" t="s">
        <v>192</v>
      </c>
      <c r="C195" s="0" t="s">
        <v>267</v>
      </c>
      <c r="D195" s="7" t="s">
        <v>149</v>
      </c>
      <c r="E195" s="0" t="s">
        <v>131</v>
      </c>
      <c r="F195" s="0" t="s">
        <v>136</v>
      </c>
      <c r="G195" s="92" t="n">
        <v>36770</v>
      </c>
      <c r="H195" s="248" t="n">
        <v>300000</v>
      </c>
      <c r="I195" s="0" t="n">
        <v>0.34</v>
      </c>
      <c r="J195" s="124" t="n">
        <f aca="false">VLOOKUP(G195,NGPrices,2,FALSE())</f>
        <v>4.685</v>
      </c>
      <c r="K195" s="125" t="n">
        <f aca="false">HLOOKUP(D195,Prices,VLOOKUP(G195,move_down,2,FALSE()),FALSE())+VLOOKUP(G195,CHANGE,HLOOKUP(D195,CHANGE,2,FALSE()),FALSE())</f>
        <v>0.315</v>
      </c>
      <c r="L195" s="124" t="n">
        <f aca="false">K195+J195</f>
        <v>5</v>
      </c>
      <c r="M195" s="126" t="n">
        <f aca="false">VLOOKUP(G195,NGPrices,4,FALSE())</f>
        <v>0.067216196212185</v>
      </c>
      <c r="N195" s="7" t="n">
        <f aca="false">VLOOKUP(G195,NGPrices,3,FALSE())</f>
        <v>0.4</v>
      </c>
      <c r="O195" s="7" t="n">
        <f aca="false">HLOOKUP(D195,VOLS,VLOOKUP(G195,move_down,2,FALSE()),FALSE())</f>
        <v>0.392</v>
      </c>
      <c r="P195" s="249" t="n">
        <f aca="false">HLOOKUP(D195,Correllate,VLOOKUP(G195,CorMove,2,FALSE()),FALSE())</f>
        <v>0.9925</v>
      </c>
      <c r="Q195" s="92" t="n">
        <f aca="false">WORKDAY(G195,-2)</f>
        <v>36768</v>
      </c>
      <c r="R195" s="7" t="n">
        <f aca="false">IF(F195="P",0,1)</f>
        <v>1</v>
      </c>
      <c r="S195" s="130" t="e">
        <f aca="false">xSPRDOPT($L195,$J195,$I195,$M195,$O195,$N195,$P195,$Q195-$C$3,$R195,0)</f>
        <v>#NAME?</v>
      </c>
      <c r="T195" s="250" t="e">
        <f aca="false">xSPRDOPT($L195,$J195,$I195,$M195,$O195,$N195,$P195,$Q195-$C$3,$R195,1)*H195</f>
        <v>#NAME?</v>
      </c>
      <c r="U195" s="43" t="e">
        <f aca="false">S195*H195</f>
        <v>#NAME?</v>
      </c>
      <c r="V195" s="250" t="e">
        <f aca="false">xSPRDOPT($L195,$J195,$I195,$M195,$O195,$N195,$P195,$Q195-$C$3,$R195,2)*H195</f>
        <v>#NAME?</v>
      </c>
      <c r="W195" s="250" t="e">
        <f aca="false">+V195+T195</f>
        <v>#NAME?</v>
      </c>
      <c r="X195" s="2" t="str">
        <f aca="false">CONCATENATE(G195,D195)</f>
        <v>36770IF-TRANSCO/Z6</v>
      </c>
      <c r="Y195" s="251" t="n">
        <f aca="false">H195/10000</f>
        <v>30</v>
      </c>
      <c r="Z195" s="226" t="e">
        <f aca="false">T195/H195</f>
        <v>#NAME?</v>
      </c>
      <c r="AA195" s="226" t="e">
        <f aca="false">xSPRDOPT($L195,$J195,$I195,$M195,$O195,$N195,$P195,$Q195-$C$3,$R195,3)</f>
        <v>#NAME?</v>
      </c>
      <c r="AB195" s="226" t="e">
        <f aca="false">((xSPRDOPT($L195+AB$5,$J195,$I195,$M195,$O195,$N195,$P195,$Q195-$C$3,$R195,3)*$H195)/10000)/100</f>
        <v>#NAME?</v>
      </c>
      <c r="AC195" s="226" t="e">
        <f aca="false">((xSPRDOPT($L195+$AB$5,$J195,$I195,$M195,$O195,$N195,$P195,$Q195-$C$3,$R195,7)*$H195)/100)</f>
        <v>#NAME?</v>
      </c>
      <c r="AD195" s="226" t="e">
        <f aca="false">(xSPRDOPT($L195+$AB$5,$J195,$I195,$M195,$O195,$N195,$P195,$Q195-$C$3,$R195,9)/365)*$H195</f>
        <v>#NAME?</v>
      </c>
      <c r="AE195" s="0" t="e">
        <f aca="false">CD195</f>
        <v>#NAME?</v>
      </c>
      <c r="AF195" s="226" t="e">
        <f aca="false">((O195/N195)*AH195)+AG195</f>
        <v>#NAME?</v>
      </c>
      <c r="AG195" s="226" t="e">
        <f aca="false">((xSPRDOPT($L195,$J195,$I195,$M195,$O195,$N195,$P195,$Q195-$C$3,$R195,6)*$H195)/100)</f>
        <v>#NAME?</v>
      </c>
      <c r="AH195" s="226" t="e">
        <f aca="false">((xSPRDOPT($L195,$J195,$I195,$M195,$O195,$N195,$P195,$Q195-$C$3,$R195,5)*$H195)/100)</f>
        <v>#NAME?</v>
      </c>
      <c r="AI195" s="226" t="e">
        <f aca="false">(((xSPRDOPT($L195,$J195,$I195,$M195,$O195,$N195,$P195,$Q195-$C$3,$R195,4)*$H195)/10000)/100)-AB195</f>
        <v>#NAME?</v>
      </c>
      <c r="AJ195" s="226"/>
      <c r="AK195" s="226"/>
      <c r="AL195" s="226"/>
      <c r="AM195" s="252"/>
      <c r="CC195" s="182" t="n">
        <f aca="false">G195</f>
        <v>36770</v>
      </c>
      <c r="CD195" s="253" t="e">
        <f aca="false">xSPRDOPT((VLOOKUP(G195,NGPrices,2,FALSE())+HLOOKUP(D195,Prices,VLOOKUP(G195,move_down,2,FALSE()),FALSE())),VLOOKUP(G195,NGPrices,2,FALSE()),I195,VLOOKUP(G195,NGPREVPRICES,4,FALSE()),HLOOKUP(D195,PREVVOLS,VLOOKUP(G195,MOVE_DOWN2,2,FALSE()),FALSE()),VLOOKUP(G195,NGPREVPRICES,3,FALSE()),HLOOKUP(D195,Correllate,VLOOKUP(G195,CorMove,2,FALSE()),FALSE()),Q195-$CD$3,R195,$CD$5)*H195-CJ195</f>
        <v>#NAME?</v>
      </c>
      <c r="CE195" s="253" t="e">
        <f aca="false">xSPRDOPT((VLOOKUP(G195,NGPREVPRICES,2,FALSE())+HLOOKUP(D195,PREVCURVES,VLOOKUP(G195,MOVE_DOWN2,2,FALSE()),FALSE())),VLOOKUP(G195,NGPREVPRICES,2,FALSE()),CK195,VLOOKUP(G195,NGPrices,4,FALSE()),HLOOKUP(D195,PREVVOLS,VLOOKUP(G195,MOVE_DOWN2,2,FALSE()),FALSE()),VLOOKUP(G195,NGPREVPRICES,3,FALSE()),HLOOKUP(D195,Correllate,VLOOKUP(G195,CorMove,2,FALSE()),FALSE()),Q195-$CD$3,R195,$CJ$5)*H195-CJ195</f>
        <v>#NAME?</v>
      </c>
      <c r="CF195" s="132" t="e">
        <f aca="false">(CJ195/VLOOKUP(CC195,discount,3,FALSE()))-(CJ195/VLOOKUP(CC195,discount,2,FALSE()))</f>
        <v>#NAME?</v>
      </c>
      <c r="CG195" s="253" t="e">
        <f aca="false">xSPRDOPT((VLOOKUP(G195,NGPREVPRICES,2,FALSE())+HLOOKUP(D195,PREVCURVES,VLOOKUP(G195,MOVE_DOWN2,2,FALSE()),FALSE())),VLOOKUP(G195,NGPREVPRICES,2,FALSE()),CK195,VLOOKUP(G195,NGPREVPRICES,4,FALSE()),HLOOKUP(D195,VOLS,VLOOKUP(G195,move_down,2,FALSE()),FALSE()),VLOOKUP(G195,NGPrices,3,FALSE()),HLOOKUP(D195,Correllate,VLOOKUP(G195,CorMove,2,FALSE()),FALSE()),Q195-$CD$3,R195,$CJ$5)*H195-CJ195</f>
        <v>#NAME?</v>
      </c>
      <c r="CH195" s="253" t="e">
        <f aca="false">xSPRDOPT((VLOOKUP(G195,NGPREVPRICES,2,FALSE())+HLOOKUP(D195,PREVCURVES,VLOOKUP(G195,MOVE_DOWN2,2,FALSE()),FALSE())),VLOOKUP(G195,NGPREVPRICES,2,FALSE()),CK195,VLOOKUP(G195,NGPREVPRICES,4,FALSE()),HLOOKUP(D195,PREVVOLS,VLOOKUP(G195,MOVE_DOWN2,2,FALSE()),FALSE()),VLOOKUP(G195,NGPREVPRICES,3,FALSE()),HLOOKUP(D195,Correllate,VLOOKUP(G195,CorMove,2,FALSE()),FALSE()),Q195-$C$3,R195,$CJ$5)*H195-CJ195</f>
        <v>#NAME?</v>
      </c>
      <c r="CI195" s="253" t="e">
        <f aca="false">SUM(CD195:CH195)</f>
        <v>#NAME?</v>
      </c>
      <c r="CJ195" s="253" t="e">
        <f aca="false">xSPRDOPT((VLOOKUP(G195,NGPREVPRICES,2,FALSE())+HLOOKUP(D195,PREVCURVES,VLOOKUP(G195,MOVE_DOWN2,2,FALSE()),FALSE())),VLOOKUP(G195,NGPREVPRICES,2,FALSE()),CK195,VLOOKUP(G195,NGPREVPRICES,4,FALSE()),HLOOKUP(D195,PREVVOLS,VLOOKUP(G195,MOVE_DOWN2,2,FALSE()),FALSE()),VLOOKUP(G195,NGPREVPRICES,3,FALSE()),HLOOKUP(D195,Correllate,VLOOKUP(G195,CorMove,2,FALSE()),FALSE()),Q195-$CD$3,R195,$CJ$5)*H195</f>
        <v>#NAME?</v>
      </c>
      <c r="CK195" s="254" t="n">
        <f aca="false">I195</f>
        <v>0.34</v>
      </c>
      <c r="CL195" s="253"/>
      <c r="CM195" s="0" t="str">
        <f aca="false">CONCATENATE(CC195,$CD$6)</f>
        <v>36770Curve Shift/Gamma</v>
      </c>
      <c r="CN195" s="0" t="str">
        <f aca="false">CONCATENATE($CC195,$CE$6)</f>
        <v>36770Rho</v>
      </c>
      <c r="CO195" s="0" t="str">
        <f aca="false">CONCATENATE($CC195,$CF$6)</f>
        <v>36770Drift</v>
      </c>
      <c r="CP195" s="0" t="str">
        <f aca="false">CONCATENATE($CC195,$CG$6)</f>
        <v>36770Vega</v>
      </c>
      <c r="CQ195" s="0" t="str">
        <f aca="false">CONCATENATE($CC195,$CH$6)</f>
        <v>36770Theta</v>
      </c>
    </row>
    <row r="196" customFormat="false" ht="12" hidden="false" customHeight="true" outlineLevel="0" collapsed="false">
      <c r="A196" s="17" t="s">
        <v>204</v>
      </c>
      <c r="B196" s="0" t="s">
        <v>192</v>
      </c>
      <c r="C196" s="0" t="s">
        <v>268</v>
      </c>
      <c r="D196" s="7" t="s">
        <v>155</v>
      </c>
      <c r="E196" s="0" t="s">
        <v>131</v>
      </c>
      <c r="F196" s="0" t="s">
        <v>136</v>
      </c>
      <c r="G196" s="92" t="n">
        <v>36800</v>
      </c>
      <c r="H196" s="248" t="n">
        <v>310000</v>
      </c>
      <c r="I196" s="0" t="n">
        <v>0.3025</v>
      </c>
      <c r="J196" s="124" t="n">
        <f aca="false">VLOOKUP(G196,NGPrices,2,FALSE())</f>
        <v>4.692</v>
      </c>
      <c r="K196" s="125" t="n">
        <f aca="false">HLOOKUP(D196,Prices,VLOOKUP(G196,move_down,2,FALSE()),FALSE())+VLOOKUP(G196,CHANGE,HLOOKUP(D196,CHANGE,2,FALSE()),FALSE())</f>
        <v>0.36</v>
      </c>
      <c r="L196" s="124" t="n">
        <f aca="false">K196+J196</f>
        <v>5.052</v>
      </c>
      <c r="M196" s="126" t="n">
        <f aca="false">VLOOKUP(G196,NGPrices,4,FALSE())</f>
        <v>0.068050789414654</v>
      </c>
      <c r="N196" s="7" t="n">
        <f aca="false">VLOOKUP(G196,NGPrices,3,FALSE())</f>
        <v>0.575</v>
      </c>
      <c r="O196" s="7" t="n">
        <f aca="false">HLOOKUP(D196,VOLS,VLOOKUP(G196,move_down,2,FALSE()),FALSE())</f>
        <v>0.564</v>
      </c>
      <c r="P196" s="249" t="n">
        <f aca="false">HLOOKUP(D196,Correllate,VLOOKUP(G196,CorMove,2,FALSE()),FALSE())</f>
        <v>0.9925</v>
      </c>
      <c r="Q196" s="92" t="n">
        <f aca="false">WORKDAY(G196,-2)</f>
        <v>36797</v>
      </c>
      <c r="R196" s="7" t="n">
        <f aca="false">IF(F196="P",0,1)</f>
        <v>1</v>
      </c>
      <c r="S196" s="130" t="e">
        <f aca="false">xSPRDOPT($L196,$J196,$I196,$M196,$O196,$N196,$P196,$Q196-$C$3,$R196,0)</f>
        <v>#NAME?</v>
      </c>
      <c r="T196" s="250" t="e">
        <f aca="false">xSPRDOPT($L196,$J196,$I196,$M196,$O196,$N196,$P196,$Q196-$C$3,$R196,1)*H196</f>
        <v>#NAME?</v>
      </c>
      <c r="U196" s="43" t="e">
        <f aca="false">S196*H196</f>
        <v>#NAME?</v>
      </c>
      <c r="V196" s="250" t="e">
        <f aca="false">xSPRDOPT($L196,$J196,$I196,$M196,$O196,$N196,$P196,$Q196-$C$3,$R196,2)*H196</f>
        <v>#NAME?</v>
      </c>
      <c r="W196" s="250" t="e">
        <f aca="false">+V196+T196</f>
        <v>#NAME?</v>
      </c>
      <c r="X196" s="2" t="str">
        <f aca="false">CONCATENATE(G196,D196)</f>
        <v>36800IF-TETCO/M3</v>
      </c>
      <c r="Y196" s="251" t="n">
        <f aca="false">H196/10000</f>
        <v>31</v>
      </c>
      <c r="Z196" s="226" t="e">
        <f aca="false">T196/H196</f>
        <v>#NAME?</v>
      </c>
      <c r="AA196" s="226" t="e">
        <f aca="false">xSPRDOPT($L196,$J196,$I196,$M196,$O196,$N196,$P196,$Q196-$C$3,$R196,3)</f>
        <v>#NAME?</v>
      </c>
      <c r="AB196" s="226" t="e">
        <f aca="false">((xSPRDOPT($L196+AB$5,$J196,$I196,$M196,$O196,$N196,$P196,$Q196-$C$3,$R196,3)*$H196)/10000)/100</f>
        <v>#NAME?</v>
      </c>
      <c r="AC196" s="226" t="e">
        <f aca="false">((xSPRDOPT($L196+$AB$5,$J196,$I196,$M196,$O196,$N196,$P196,$Q196-$C$3,$R196,7)*$H196)/100)</f>
        <v>#NAME?</v>
      </c>
      <c r="AD196" s="226" t="e">
        <f aca="false">(xSPRDOPT($L196+$AB$5,$J196,$I196,$M196,$O196,$N196,$P196,$Q196-$C$3,$R196,9)/365)*$H196</f>
        <v>#NAME?</v>
      </c>
      <c r="AE196" s="0" t="e">
        <f aca="false">CD196</f>
        <v>#NAME?</v>
      </c>
      <c r="AF196" s="226" t="e">
        <f aca="false">((O196/N196)*AH196)+AG196</f>
        <v>#NAME?</v>
      </c>
      <c r="AG196" s="226" t="e">
        <f aca="false">((xSPRDOPT($L196,$J196,$I196,$M196,$O196,$N196,$P196,$Q196-$C$3,$R196,6)*$H196)/100)</f>
        <v>#NAME?</v>
      </c>
      <c r="AH196" s="226" t="e">
        <f aca="false">((xSPRDOPT($L196,$J196,$I196,$M196,$O196,$N196,$P196,$Q196-$C$3,$R196,5)*$H196)/100)</f>
        <v>#NAME?</v>
      </c>
      <c r="AI196" s="226" t="e">
        <f aca="false">(((xSPRDOPT($L196,$J196,$I196,$M196,$O196,$N196,$P196,$Q196-$C$3,$R196,4)*$H196)/10000)/100)-AB196</f>
        <v>#NAME?</v>
      </c>
      <c r="AJ196" s="226"/>
      <c r="AK196" s="226"/>
      <c r="AL196" s="226"/>
      <c r="AM196" s="252"/>
      <c r="CC196" s="182" t="n">
        <f aca="false">G196</f>
        <v>36800</v>
      </c>
      <c r="CD196" s="253" t="e">
        <f aca="false">xSPRDOPT((VLOOKUP(G196,NGPrices,2,FALSE())+HLOOKUP(D196,Prices,VLOOKUP(G196,move_down,2,FALSE()),FALSE())),VLOOKUP(G196,NGPrices,2,FALSE()),I196,VLOOKUP(G196,NGPREVPRICES,4,FALSE()),HLOOKUP(D196,PREVVOLS,VLOOKUP(G196,MOVE_DOWN2,2,FALSE()),FALSE()),VLOOKUP(G196,NGPREVPRICES,3,FALSE()),HLOOKUP(D196,Correllate,VLOOKUP(G196,CorMove,2,FALSE()),FALSE()),Q196-$CD$3,R196,$CD$5)*H196-CJ196</f>
        <v>#NAME?</v>
      </c>
      <c r="CE196" s="253" t="e">
        <f aca="false">xSPRDOPT((VLOOKUP(G196,NGPREVPRICES,2,FALSE())+HLOOKUP(D196,PREVCURVES,VLOOKUP(G196,MOVE_DOWN2,2,FALSE()),FALSE())),VLOOKUP(G196,NGPREVPRICES,2,FALSE()),CK196,VLOOKUP(G196,NGPrices,4,FALSE()),HLOOKUP(D196,PREVVOLS,VLOOKUP(G196,MOVE_DOWN2,2,FALSE()),FALSE()),VLOOKUP(G196,NGPREVPRICES,3,FALSE()),HLOOKUP(D196,Correllate,VLOOKUP(G196,CorMove,2,FALSE()),FALSE()),Q196-$CD$3,R196,$CJ$5)*H196-CJ196</f>
        <v>#NAME?</v>
      </c>
      <c r="CF196" s="132" t="e">
        <f aca="false">(CJ196/VLOOKUP(CC196,discount,3,FALSE()))-(CJ196/VLOOKUP(CC196,discount,2,FALSE()))</f>
        <v>#NAME?</v>
      </c>
      <c r="CG196" s="253" t="e">
        <f aca="false">xSPRDOPT((VLOOKUP(G196,NGPREVPRICES,2,FALSE())+HLOOKUP(D196,PREVCURVES,VLOOKUP(G196,MOVE_DOWN2,2,FALSE()),FALSE())),VLOOKUP(G196,NGPREVPRICES,2,FALSE()),CK196,VLOOKUP(G196,NGPREVPRICES,4,FALSE()),HLOOKUP(D196,VOLS,VLOOKUP(G196,move_down,2,FALSE()),FALSE()),VLOOKUP(G196,NGPrices,3,FALSE()),HLOOKUP(D196,Correllate,VLOOKUP(G196,CorMove,2,FALSE()),FALSE()),Q196-$CD$3,R196,$CJ$5)*H196-CJ196</f>
        <v>#NAME?</v>
      </c>
      <c r="CH196" s="253" t="e">
        <f aca="false">xSPRDOPT((VLOOKUP(G196,NGPREVPRICES,2,FALSE())+HLOOKUP(D196,PREVCURVES,VLOOKUP(G196,MOVE_DOWN2,2,FALSE()),FALSE())),VLOOKUP(G196,NGPREVPRICES,2,FALSE()),CK196,VLOOKUP(G196,NGPREVPRICES,4,FALSE()),HLOOKUP(D196,PREVVOLS,VLOOKUP(G196,MOVE_DOWN2,2,FALSE()),FALSE()),VLOOKUP(G196,NGPREVPRICES,3,FALSE()),HLOOKUP(D196,Correllate,VLOOKUP(G196,CorMove,2,FALSE()),FALSE()),Q196-$C$3,R196,$CJ$5)*H196-CJ196</f>
        <v>#NAME?</v>
      </c>
      <c r="CI196" s="253" t="e">
        <f aca="false">SUM(CD196:CH196)</f>
        <v>#NAME?</v>
      </c>
      <c r="CJ196" s="253" t="e">
        <f aca="false">xSPRDOPT((VLOOKUP(G196,NGPREVPRICES,2,FALSE())+HLOOKUP(D196,PREVCURVES,VLOOKUP(G196,MOVE_DOWN2,2,FALSE()),FALSE())),VLOOKUP(G196,NGPREVPRICES,2,FALSE()),CK196,VLOOKUP(G196,NGPREVPRICES,4,FALSE()),HLOOKUP(D196,PREVVOLS,VLOOKUP(G196,MOVE_DOWN2,2,FALSE()),FALSE()),VLOOKUP(G196,NGPREVPRICES,3,FALSE()),HLOOKUP(D196,Correllate,VLOOKUP(G196,CorMove,2,FALSE()),FALSE()),Q196-$CD$3,R196,$CJ$5)*H196</f>
        <v>#NAME?</v>
      </c>
      <c r="CK196" s="254" t="n">
        <f aca="false">I196</f>
        <v>0.3025</v>
      </c>
      <c r="CL196" s="253"/>
      <c r="CM196" s="0" t="str">
        <f aca="false">CONCATENATE(CC196,$CD$6)</f>
        <v>36800Curve Shift/Gamma</v>
      </c>
      <c r="CN196" s="0" t="str">
        <f aca="false">CONCATENATE($CC196,$CE$6)</f>
        <v>36800Rho</v>
      </c>
      <c r="CO196" s="0" t="str">
        <f aca="false">CONCATENATE($CC196,$CF$6)</f>
        <v>36800Drift</v>
      </c>
      <c r="CP196" s="0" t="str">
        <f aca="false">CONCATENATE($CC196,$CG$6)</f>
        <v>36800Vega</v>
      </c>
      <c r="CQ196" s="0" t="str">
        <f aca="false">CONCATENATE($CC196,$CH$6)</f>
        <v>36800Theta</v>
      </c>
    </row>
    <row r="197" customFormat="false" ht="12" hidden="false" customHeight="true" outlineLevel="0" collapsed="false">
      <c r="A197" s="17" t="s">
        <v>204</v>
      </c>
      <c r="B197" s="0" t="s">
        <v>192</v>
      </c>
      <c r="C197" s="0" t="s">
        <v>268</v>
      </c>
      <c r="D197" s="7" t="s">
        <v>155</v>
      </c>
      <c r="E197" s="0" t="s">
        <v>131</v>
      </c>
      <c r="F197" s="0" t="s">
        <v>136</v>
      </c>
      <c r="G197" s="92" t="n">
        <v>36770</v>
      </c>
      <c r="H197" s="248" t="n">
        <v>300000</v>
      </c>
      <c r="I197" s="0" t="n">
        <v>0.3025</v>
      </c>
      <c r="J197" s="124" t="n">
        <f aca="false">VLOOKUP(G197,NGPrices,2,FALSE())</f>
        <v>4.685</v>
      </c>
      <c r="K197" s="125" t="n">
        <f aca="false">HLOOKUP(D197,Prices,VLOOKUP(G197,move_down,2,FALSE()),FALSE())+VLOOKUP(G197,CHANGE,HLOOKUP(D197,CHANGE,2,FALSE()),FALSE())</f>
        <v>0.305</v>
      </c>
      <c r="L197" s="124" t="n">
        <f aca="false">K197+J197</f>
        <v>4.99</v>
      </c>
      <c r="M197" s="126" t="n">
        <f aca="false">VLOOKUP(G197,NGPrices,4,FALSE())</f>
        <v>0.067216196212185</v>
      </c>
      <c r="N197" s="7" t="n">
        <f aca="false">VLOOKUP(G197,NGPrices,3,FALSE())</f>
        <v>0.4</v>
      </c>
      <c r="O197" s="7" t="n">
        <f aca="false">HLOOKUP(D197,VOLS,VLOOKUP(G197,move_down,2,FALSE()),FALSE())</f>
        <v>0.392</v>
      </c>
      <c r="P197" s="249" t="n">
        <f aca="false">HLOOKUP(D197,Correllate,VLOOKUP(G197,CorMove,2,FALSE()),FALSE())</f>
        <v>0.9925</v>
      </c>
      <c r="Q197" s="92" t="n">
        <f aca="false">WORKDAY(G197,-2)</f>
        <v>36768</v>
      </c>
      <c r="R197" s="7" t="n">
        <f aca="false">IF(F197="P",0,1)</f>
        <v>1</v>
      </c>
      <c r="S197" s="130" t="e">
        <f aca="false">xSPRDOPT($L197,$J197,$I197,$M197,$O197,$N197,$P197,$Q197-$C$3,$R197,0)</f>
        <v>#NAME?</v>
      </c>
      <c r="T197" s="250" t="e">
        <f aca="false">xSPRDOPT($L197,$J197,$I197,$M197,$O197,$N197,$P197,$Q197-$C$3,$R197,1)*H197</f>
        <v>#NAME?</v>
      </c>
      <c r="U197" s="43" t="e">
        <f aca="false">S197*H197</f>
        <v>#NAME?</v>
      </c>
      <c r="V197" s="250" t="e">
        <f aca="false">xSPRDOPT($L197,$J197,$I197,$M197,$O197,$N197,$P197,$Q197-$C$3,$R197,2)*H197</f>
        <v>#NAME?</v>
      </c>
      <c r="W197" s="250" t="e">
        <f aca="false">+V197+T197</f>
        <v>#NAME?</v>
      </c>
      <c r="X197" s="2" t="str">
        <f aca="false">CONCATENATE(G197,D197)</f>
        <v>36770IF-TETCO/M3</v>
      </c>
      <c r="Y197" s="251" t="n">
        <f aca="false">H197/10000</f>
        <v>30</v>
      </c>
      <c r="Z197" s="226" t="e">
        <f aca="false">T197/H197</f>
        <v>#NAME?</v>
      </c>
      <c r="AA197" s="226" t="e">
        <f aca="false">xSPRDOPT($L197,$J197,$I197,$M197,$O197,$N197,$P197,$Q197-$C$3,$R197,3)</f>
        <v>#NAME?</v>
      </c>
      <c r="AB197" s="226" t="e">
        <f aca="false">((xSPRDOPT($L197+AB$5,$J197,$I197,$M197,$O197,$N197,$P197,$Q197-$C$3,$R197,3)*$H197)/10000)/100</f>
        <v>#NAME?</v>
      </c>
      <c r="AC197" s="226" t="e">
        <f aca="false">((xSPRDOPT($L197+$AB$5,$J197,$I197,$M197,$O197,$N197,$P197,$Q197-$C$3,$R197,7)*$H197)/100)</f>
        <v>#NAME?</v>
      </c>
      <c r="AD197" s="226" t="e">
        <f aca="false">(xSPRDOPT($L197+$AB$5,$J197,$I197,$M197,$O197,$N197,$P197,$Q197-$C$3,$R197,9)/365)*$H197</f>
        <v>#NAME?</v>
      </c>
      <c r="AE197" s="0" t="e">
        <f aca="false">CD197</f>
        <v>#NAME?</v>
      </c>
      <c r="AF197" s="226" t="e">
        <f aca="false">((O197/N197)*AH197)+AG197</f>
        <v>#NAME?</v>
      </c>
      <c r="AG197" s="226" t="e">
        <f aca="false">((xSPRDOPT($L197,$J197,$I197,$M197,$O197,$N197,$P197,$Q197-$C$3,$R197,6)*$H197)/100)</f>
        <v>#NAME?</v>
      </c>
      <c r="AH197" s="226" t="e">
        <f aca="false">((xSPRDOPT($L197,$J197,$I197,$M197,$O197,$N197,$P197,$Q197-$C$3,$R197,5)*$H197)/100)</f>
        <v>#NAME?</v>
      </c>
      <c r="AI197" s="226" t="e">
        <f aca="false">(((xSPRDOPT($L197,$J197,$I197,$M197,$O197,$N197,$P197,$Q197-$C$3,$R197,4)*$H197)/10000)/100)-AB197</f>
        <v>#NAME?</v>
      </c>
      <c r="AJ197" s="226"/>
      <c r="AK197" s="226"/>
      <c r="AL197" s="226"/>
      <c r="AM197" s="252"/>
      <c r="CC197" s="182" t="n">
        <f aca="false">G197</f>
        <v>36770</v>
      </c>
      <c r="CD197" s="253" t="e">
        <f aca="false">xSPRDOPT((VLOOKUP(G197,NGPrices,2,FALSE())+HLOOKUP(D197,Prices,VLOOKUP(G197,move_down,2,FALSE()),FALSE())),VLOOKUP(G197,NGPrices,2,FALSE()),I197,VLOOKUP(G197,NGPREVPRICES,4,FALSE()),HLOOKUP(D197,PREVVOLS,VLOOKUP(G197,MOVE_DOWN2,2,FALSE()),FALSE()),VLOOKUP(G197,NGPREVPRICES,3,FALSE()),HLOOKUP(D197,Correllate,VLOOKUP(G197,CorMove,2,FALSE()),FALSE()),Q197-$CD$3,R197,$CD$5)*H197-CJ197</f>
        <v>#NAME?</v>
      </c>
      <c r="CE197" s="253" t="e">
        <f aca="false">xSPRDOPT((VLOOKUP(G197,NGPREVPRICES,2,FALSE())+HLOOKUP(D197,PREVCURVES,VLOOKUP(G197,MOVE_DOWN2,2,FALSE()),FALSE())),VLOOKUP(G197,NGPREVPRICES,2,FALSE()),CK197,VLOOKUP(G197,NGPrices,4,FALSE()),HLOOKUP(D197,PREVVOLS,VLOOKUP(G197,MOVE_DOWN2,2,FALSE()),FALSE()),VLOOKUP(G197,NGPREVPRICES,3,FALSE()),HLOOKUP(D197,Correllate,VLOOKUP(G197,CorMove,2,FALSE()),FALSE()),Q197-$CD$3,R197,$CJ$5)*H197-CJ197</f>
        <v>#NAME?</v>
      </c>
      <c r="CF197" s="132" t="e">
        <f aca="false">(CJ197/VLOOKUP(CC197,discount,3,FALSE()))-(CJ197/VLOOKUP(CC197,discount,2,FALSE()))</f>
        <v>#NAME?</v>
      </c>
      <c r="CG197" s="253" t="e">
        <f aca="false">xSPRDOPT((VLOOKUP(G197,NGPREVPRICES,2,FALSE())+HLOOKUP(D197,PREVCURVES,VLOOKUP(G197,MOVE_DOWN2,2,FALSE()),FALSE())),VLOOKUP(G197,NGPREVPRICES,2,FALSE()),CK197,VLOOKUP(G197,NGPREVPRICES,4,FALSE()),HLOOKUP(D197,VOLS,VLOOKUP(G197,move_down,2,FALSE()),FALSE()),VLOOKUP(G197,NGPrices,3,FALSE()),HLOOKUP(D197,Correllate,VLOOKUP(G197,CorMove,2,FALSE()),FALSE()),Q197-$CD$3,R197,$CJ$5)*H197-CJ197</f>
        <v>#NAME?</v>
      </c>
      <c r="CH197" s="253" t="e">
        <f aca="false">xSPRDOPT((VLOOKUP(G197,NGPREVPRICES,2,FALSE())+HLOOKUP(D197,PREVCURVES,VLOOKUP(G197,MOVE_DOWN2,2,FALSE()),FALSE())),VLOOKUP(G197,NGPREVPRICES,2,FALSE()),CK197,VLOOKUP(G197,NGPREVPRICES,4,FALSE()),HLOOKUP(D197,PREVVOLS,VLOOKUP(G197,MOVE_DOWN2,2,FALSE()),FALSE()),VLOOKUP(G197,NGPREVPRICES,3,FALSE()),HLOOKUP(D197,Correllate,VLOOKUP(G197,CorMove,2,FALSE()),FALSE()),Q197-$C$3,R197,$CJ$5)*H197-CJ197</f>
        <v>#NAME?</v>
      </c>
      <c r="CI197" s="253" t="e">
        <f aca="false">SUM(CD197:CH197)</f>
        <v>#NAME?</v>
      </c>
      <c r="CJ197" s="253" t="e">
        <f aca="false">xSPRDOPT((VLOOKUP(G197,NGPREVPRICES,2,FALSE())+HLOOKUP(D197,PREVCURVES,VLOOKUP(G197,MOVE_DOWN2,2,FALSE()),FALSE())),VLOOKUP(G197,NGPREVPRICES,2,FALSE()),CK197,VLOOKUP(G197,NGPREVPRICES,4,FALSE()),HLOOKUP(D197,PREVVOLS,VLOOKUP(G197,MOVE_DOWN2,2,FALSE()),FALSE()),VLOOKUP(G197,NGPREVPRICES,3,FALSE()),HLOOKUP(D197,Correllate,VLOOKUP(G197,CorMove,2,FALSE()),FALSE()),Q197-$CD$3,R197,$CJ$5)*H197</f>
        <v>#NAME?</v>
      </c>
      <c r="CK197" s="254" t="n">
        <f aca="false">I197</f>
        <v>0.3025</v>
      </c>
      <c r="CL197" s="253"/>
      <c r="CM197" s="0" t="str">
        <f aca="false">CONCATENATE(CC197,$CD$6)</f>
        <v>36770Curve Shift/Gamma</v>
      </c>
      <c r="CN197" s="0" t="str">
        <f aca="false">CONCATENATE($CC197,$CE$6)</f>
        <v>36770Rho</v>
      </c>
      <c r="CO197" s="0" t="str">
        <f aca="false">CONCATENATE($CC197,$CF$6)</f>
        <v>36770Drift</v>
      </c>
      <c r="CP197" s="0" t="str">
        <f aca="false">CONCATENATE($CC197,$CG$6)</f>
        <v>36770Vega</v>
      </c>
      <c r="CQ197" s="0" t="str">
        <f aca="false">CONCATENATE($CC197,$CH$6)</f>
        <v>36770Theta</v>
      </c>
    </row>
    <row r="198" customFormat="false" ht="12" hidden="false" customHeight="true" outlineLevel="0" collapsed="false">
      <c r="A198" s="17" t="s">
        <v>204</v>
      </c>
      <c r="B198" s="0" t="s">
        <v>192</v>
      </c>
      <c r="C198" s="0" t="s">
        <v>269</v>
      </c>
      <c r="D198" s="7" t="s">
        <v>150</v>
      </c>
      <c r="E198" s="0" t="s">
        <v>131</v>
      </c>
      <c r="F198" s="0" t="s">
        <v>132</v>
      </c>
      <c r="G198" s="92" t="n">
        <v>36800</v>
      </c>
      <c r="H198" s="248" t="n">
        <v>310000</v>
      </c>
      <c r="I198" s="0" t="n">
        <v>0.1675</v>
      </c>
      <c r="J198" s="124" t="n">
        <f aca="false">VLOOKUP(G198,NGPrices,2,FALSE())</f>
        <v>4.692</v>
      </c>
      <c r="K198" s="125" t="n">
        <f aca="false">HLOOKUP(D198,Prices,VLOOKUP(G198,move_down,2,FALSE()),FALSE())+VLOOKUP(G198,CHANGE,HLOOKUP(D198,CHANGE,2,FALSE()),FALSE())</f>
        <v>0.185</v>
      </c>
      <c r="L198" s="124" t="n">
        <f aca="false">K198+J198</f>
        <v>4.877</v>
      </c>
      <c r="M198" s="126" t="n">
        <f aca="false">VLOOKUP(G198,NGPrices,4,FALSE())</f>
        <v>0.068050789414654</v>
      </c>
      <c r="N198" s="7" t="n">
        <f aca="false">VLOOKUP(G198,NGPrices,3,FALSE())</f>
        <v>0.575</v>
      </c>
      <c r="O198" s="7" t="n">
        <f aca="false">HLOOKUP(D198,VOLS,VLOOKUP(G198,move_down,2,FALSE()),FALSE())</f>
        <v>0.564</v>
      </c>
      <c r="P198" s="249" t="n">
        <f aca="false">HLOOKUP(D198,Correllate,VLOOKUP(G198,CorMove,2,FALSE()),FALSE())</f>
        <v>0.995</v>
      </c>
      <c r="Q198" s="92" t="n">
        <f aca="false">WORKDAY(G198,-2)</f>
        <v>36797</v>
      </c>
      <c r="R198" s="7" t="n">
        <f aca="false">IF(F198="P",0,1)</f>
        <v>0</v>
      </c>
      <c r="S198" s="130" t="e">
        <f aca="false">xSPRDOPT($L198,$J198,$I198,$M198,$O198,$N198,$P198,$Q198-$C$3,$R198,0)</f>
        <v>#NAME?</v>
      </c>
      <c r="T198" s="250" t="e">
        <f aca="false">xSPRDOPT($L198,$J198,$I198,$M198,$O198,$N198,$P198,$Q198-$C$3,$R198,1)*H198</f>
        <v>#NAME?</v>
      </c>
      <c r="U198" s="43" t="e">
        <f aca="false">S198*H198</f>
        <v>#NAME?</v>
      </c>
      <c r="V198" s="250" t="e">
        <f aca="false">xSPRDOPT($L198,$J198,$I198,$M198,$O198,$N198,$P198,$Q198-$C$3,$R198,2)*H198</f>
        <v>#NAME?</v>
      </c>
      <c r="W198" s="250" t="e">
        <f aca="false">+V198+T198</f>
        <v>#NAME?</v>
      </c>
      <c r="X198" s="2" t="str">
        <f aca="false">CONCATENATE(G198,D198)</f>
        <v>36800IF-CGT/APPALAC</v>
      </c>
      <c r="Y198" s="251" t="n">
        <f aca="false">H198/10000</f>
        <v>31</v>
      </c>
      <c r="Z198" s="226" t="e">
        <f aca="false">T198/H198</f>
        <v>#NAME?</v>
      </c>
      <c r="AA198" s="226" t="e">
        <f aca="false">xSPRDOPT($L198,$J198,$I198,$M198,$O198,$N198,$P198,$Q198-$C$3,$R198,3)</f>
        <v>#NAME?</v>
      </c>
      <c r="AB198" s="226" t="e">
        <f aca="false">((xSPRDOPT($L198+AB$5,$J198,$I198,$M198,$O198,$N198,$P198,$Q198-$C$3,$R198,3)*$H198)/10000)/100</f>
        <v>#NAME?</v>
      </c>
      <c r="AC198" s="226" t="e">
        <f aca="false">((xSPRDOPT($L198+$AB$5,$J198,$I198,$M198,$O198,$N198,$P198,$Q198-$C$3,$R198,7)*$H198)/100)</f>
        <v>#NAME?</v>
      </c>
      <c r="AD198" s="226" t="e">
        <f aca="false">(xSPRDOPT($L198+$AB$5,$J198,$I198,$M198,$O198,$N198,$P198,$Q198-$C$3,$R198,9)/365)*$H198</f>
        <v>#NAME?</v>
      </c>
      <c r="AE198" s="0" t="e">
        <f aca="false">CD198</f>
        <v>#NAME?</v>
      </c>
      <c r="AF198" s="226" t="e">
        <f aca="false">((O198/N198)*AH198)+AG198</f>
        <v>#NAME?</v>
      </c>
      <c r="AG198" s="226" t="e">
        <f aca="false">((xSPRDOPT($L198,$J198,$I198,$M198,$O198,$N198,$P198,$Q198-$C$3,$R198,6)*$H198)/100)</f>
        <v>#NAME?</v>
      </c>
      <c r="AH198" s="226" t="e">
        <f aca="false">((xSPRDOPT($L198,$J198,$I198,$M198,$O198,$N198,$P198,$Q198-$C$3,$R198,5)*$H198)/100)</f>
        <v>#NAME?</v>
      </c>
      <c r="AI198" s="226" t="e">
        <f aca="false">(((xSPRDOPT($L198,$J198,$I198,$M198,$O198,$N198,$P198,$Q198-$C$3,$R198,4)*$H198)/10000)/100)-AB198</f>
        <v>#NAME?</v>
      </c>
      <c r="AJ198" s="226"/>
      <c r="AK198" s="226"/>
      <c r="AL198" s="226"/>
      <c r="AM198" s="252"/>
      <c r="CC198" s="182" t="n">
        <f aca="false">G198</f>
        <v>36800</v>
      </c>
      <c r="CD198" s="253" t="e">
        <f aca="false">xSPRDOPT((VLOOKUP(G198,NGPrices,2,FALSE())+HLOOKUP(D198,Prices,VLOOKUP(G198,move_down,2,FALSE()),FALSE())),VLOOKUP(G198,NGPrices,2,FALSE()),I198,VLOOKUP(G198,NGPREVPRICES,4,FALSE()),HLOOKUP(D198,PREVVOLS,VLOOKUP(G198,MOVE_DOWN2,2,FALSE()),FALSE()),VLOOKUP(G198,NGPREVPRICES,3,FALSE()),HLOOKUP(D198,Correllate,VLOOKUP(G198,CorMove,2,FALSE()),FALSE()),Q198-$CD$3,R198,$CD$5)*H198-CJ198</f>
        <v>#NAME?</v>
      </c>
      <c r="CE198" s="253" t="e">
        <f aca="false">xSPRDOPT((VLOOKUP(G198,NGPREVPRICES,2,FALSE())+HLOOKUP(D198,PREVCURVES,VLOOKUP(G198,MOVE_DOWN2,2,FALSE()),FALSE())),VLOOKUP(G198,NGPREVPRICES,2,FALSE()),CK198,VLOOKUP(G198,NGPrices,4,FALSE()),HLOOKUP(D198,PREVVOLS,VLOOKUP(G198,MOVE_DOWN2,2,FALSE()),FALSE()),VLOOKUP(G198,NGPREVPRICES,3,FALSE()),HLOOKUP(D198,Correllate,VLOOKUP(G198,CorMove,2,FALSE()),FALSE()),Q198-$CD$3,R198,$CJ$5)*H198-CJ198</f>
        <v>#NAME?</v>
      </c>
      <c r="CF198" s="132" t="e">
        <f aca="false">(CJ198/VLOOKUP(CC198,discount,3,FALSE()))-(CJ198/VLOOKUP(CC198,discount,2,FALSE()))</f>
        <v>#NAME?</v>
      </c>
      <c r="CG198" s="253" t="e">
        <f aca="false">xSPRDOPT((VLOOKUP(G198,NGPREVPRICES,2,FALSE())+HLOOKUP(D198,PREVCURVES,VLOOKUP(G198,MOVE_DOWN2,2,FALSE()),FALSE())),VLOOKUP(G198,NGPREVPRICES,2,FALSE()),CK198,VLOOKUP(G198,NGPREVPRICES,4,FALSE()),HLOOKUP(D198,VOLS,VLOOKUP(G198,move_down,2,FALSE()),FALSE()),VLOOKUP(G198,NGPrices,3,FALSE()),HLOOKUP(D198,Correllate,VLOOKUP(G198,CorMove,2,FALSE()),FALSE()),Q198-$CD$3,R198,$CJ$5)*H198-CJ198</f>
        <v>#NAME?</v>
      </c>
      <c r="CH198" s="253" t="e">
        <f aca="false">xSPRDOPT((VLOOKUP(G198,NGPREVPRICES,2,FALSE())+HLOOKUP(D198,PREVCURVES,VLOOKUP(G198,MOVE_DOWN2,2,FALSE()),FALSE())),VLOOKUP(G198,NGPREVPRICES,2,FALSE()),CK198,VLOOKUP(G198,NGPREVPRICES,4,FALSE()),HLOOKUP(D198,PREVVOLS,VLOOKUP(G198,MOVE_DOWN2,2,FALSE()),FALSE()),VLOOKUP(G198,NGPREVPRICES,3,FALSE()),HLOOKUP(D198,Correllate,VLOOKUP(G198,CorMove,2,FALSE()),FALSE()),Q198-$C$3,R198,$CJ$5)*H198-CJ198</f>
        <v>#NAME?</v>
      </c>
      <c r="CI198" s="253" t="e">
        <f aca="false">SUM(CD198:CH198)</f>
        <v>#NAME?</v>
      </c>
      <c r="CJ198" s="253" t="e">
        <f aca="false">xSPRDOPT((VLOOKUP(G198,NGPREVPRICES,2,FALSE())+HLOOKUP(D198,PREVCURVES,VLOOKUP(G198,MOVE_DOWN2,2,FALSE()),FALSE())),VLOOKUP(G198,NGPREVPRICES,2,FALSE()),CK198,VLOOKUP(G198,NGPREVPRICES,4,FALSE()),HLOOKUP(D198,PREVVOLS,VLOOKUP(G198,MOVE_DOWN2,2,FALSE()),FALSE()),VLOOKUP(G198,NGPREVPRICES,3,FALSE()),HLOOKUP(D198,Correllate,VLOOKUP(G198,CorMove,2,FALSE()),FALSE()),Q198-$CD$3,R198,$CJ$5)*H198</f>
        <v>#NAME?</v>
      </c>
      <c r="CK198" s="254" t="n">
        <f aca="false">I198</f>
        <v>0.1675</v>
      </c>
      <c r="CL198" s="253"/>
      <c r="CM198" s="0" t="str">
        <f aca="false">CONCATENATE(CC198,$CD$6)</f>
        <v>36800Curve Shift/Gamma</v>
      </c>
      <c r="CN198" s="0" t="str">
        <f aca="false">CONCATENATE($CC198,$CE$6)</f>
        <v>36800Rho</v>
      </c>
      <c r="CO198" s="0" t="str">
        <f aca="false">CONCATENATE($CC198,$CF$6)</f>
        <v>36800Drift</v>
      </c>
      <c r="CP198" s="0" t="str">
        <f aca="false">CONCATENATE($CC198,$CG$6)</f>
        <v>36800Vega</v>
      </c>
      <c r="CQ198" s="0" t="str">
        <f aca="false">CONCATENATE($CC198,$CH$6)</f>
        <v>36800Theta</v>
      </c>
    </row>
    <row r="199" customFormat="false" ht="12" hidden="false" customHeight="true" outlineLevel="0" collapsed="false">
      <c r="A199" s="17" t="s">
        <v>204</v>
      </c>
      <c r="B199" s="0" t="s">
        <v>192</v>
      </c>
      <c r="C199" s="0" t="s">
        <v>269</v>
      </c>
      <c r="D199" s="7" t="s">
        <v>150</v>
      </c>
      <c r="E199" s="0" t="s">
        <v>131</v>
      </c>
      <c r="F199" s="0" t="s">
        <v>132</v>
      </c>
      <c r="G199" s="92" t="n">
        <v>36770</v>
      </c>
      <c r="H199" s="248" t="n">
        <v>300000</v>
      </c>
      <c r="I199" s="0" t="n">
        <v>0.1675</v>
      </c>
      <c r="J199" s="124" t="n">
        <f aca="false">VLOOKUP(G199,NGPrices,2,FALSE())</f>
        <v>4.685</v>
      </c>
      <c r="K199" s="125" t="n">
        <f aca="false">HLOOKUP(D199,Prices,VLOOKUP(G199,move_down,2,FALSE()),FALSE())+VLOOKUP(G199,CHANGE,HLOOKUP(D199,CHANGE,2,FALSE()),FALSE())</f>
        <v>0.17</v>
      </c>
      <c r="L199" s="124" t="n">
        <f aca="false">K199+J199</f>
        <v>4.855</v>
      </c>
      <c r="M199" s="126" t="n">
        <f aca="false">VLOOKUP(G199,NGPrices,4,FALSE())</f>
        <v>0.067216196212185</v>
      </c>
      <c r="N199" s="7" t="n">
        <f aca="false">VLOOKUP(G199,NGPrices,3,FALSE())</f>
        <v>0.4</v>
      </c>
      <c r="O199" s="7" t="n">
        <f aca="false">HLOOKUP(D199,VOLS,VLOOKUP(G199,move_down,2,FALSE()),FALSE())</f>
        <v>0.392</v>
      </c>
      <c r="P199" s="249" t="n">
        <f aca="false">HLOOKUP(D199,Correllate,VLOOKUP(G199,CorMove,2,FALSE()),FALSE())</f>
        <v>0.995</v>
      </c>
      <c r="Q199" s="92" t="n">
        <f aca="false">WORKDAY(G199,-2)</f>
        <v>36768</v>
      </c>
      <c r="R199" s="7" t="n">
        <f aca="false">IF(F199="P",0,1)</f>
        <v>0</v>
      </c>
      <c r="S199" s="130" t="e">
        <f aca="false">xSPRDOPT($L199,$J199,$I199,$M199,$O199,$N199,$P199,$Q199-$C$3,$R199,0)</f>
        <v>#NAME?</v>
      </c>
      <c r="T199" s="250" t="e">
        <f aca="false">xSPRDOPT($L199,$J199,$I199,$M199,$O199,$N199,$P199,$Q199-$C$3,$R199,1)*H199</f>
        <v>#NAME?</v>
      </c>
      <c r="U199" s="43" t="e">
        <f aca="false">S199*H199</f>
        <v>#NAME?</v>
      </c>
      <c r="V199" s="250" t="e">
        <f aca="false">xSPRDOPT($L199,$J199,$I199,$M199,$O199,$N199,$P199,$Q199-$C$3,$R199,2)*H199</f>
        <v>#NAME?</v>
      </c>
      <c r="W199" s="250" t="e">
        <f aca="false">+V199+T199</f>
        <v>#NAME?</v>
      </c>
      <c r="X199" s="2" t="str">
        <f aca="false">CONCATENATE(G199,D199)</f>
        <v>36770IF-CGT/APPALAC</v>
      </c>
      <c r="Y199" s="251" t="n">
        <f aca="false">H199/10000</f>
        <v>30</v>
      </c>
      <c r="Z199" s="226" t="e">
        <f aca="false">T199/H199</f>
        <v>#NAME?</v>
      </c>
      <c r="AA199" s="226" t="e">
        <f aca="false">xSPRDOPT($L199,$J199,$I199,$M199,$O199,$N199,$P199,$Q199-$C$3,$R199,3)</f>
        <v>#NAME?</v>
      </c>
      <c r="AB199" s="226" t="e">
        <f aca="false">((xSPRDOPT($L199+AB$5,$J199,$I199,$M199,$O199,$N199,$P199,$Q199-$C$3,$R199,3)*$H199)/10000)/100</f>
        <v>#NAME?</v>
      </c>
      <c r="AC199" s="226" t="e">
        <f aca="false">((xSPRDOPT($L199+$AB$5,$J199,$I199,$M199,$O199,$N199,$P199,$Q199-$C$3,$R199,7)*$H199)/100)</f>
        <v>#NAME?</v>
      </c>
      <c r="AD199" s="226" t="e">
        <f aca="false">(xSPRDOPT($L199+$AB$5,$J199,$I199,$M199,$O199,$N199,$P199,$Q199-$C$3,$R199,9)/365)*$H199</f>
        <v>#NAME?</v>
      </c>
      <c r="AE199" s="0" t="e">
        <f aca="false">CD199</f>
        <v>#NAME?</v>
      </c>
      <c r="AF199" s="226" t="e">
        <f aca="false">((O199/N199)*AH199)+AG199</f>
        <v>#NAME?</v>
      </c>
      <c r="AG199" s="226" t="e">
        <f aca="false">((xSPRDOPT($L199,$J199,$I199,$M199,$O199,$N199,$P199,$Q199-$C$3,$R199,6)*$H199)/100)</f>
        <v>#NAME?</v>
      </c>
      <c r="AH199" s="226" t="e">
        <f aca="false">((xSPRDOPT($L199,$J199,$I199,$M199,$O199,$N199,$P199,$Q199-$C$3,$R199,5)*$H199)/100)</f>
        <v>#NAME?</v>
      </c>
      <c r="AI199" s="226" t="e">
        <f aca="false">(((xSPRDOPT($L199,$J199,$I199,$M199,$O199,$N199,$P199,$Q199-$C$3,$R199,4)*$H199)/10000)/100)-AB199</f>
        <v>#NAME?</v>
      </c>
      <c r="AJ199" s="226"/>
      <c r="AK199" s="226"/>
      <c r="AL199" s="226"/>
      <c r="AM199" s="252"/>
      <c r="CC199" s="182" t="n">
        <f aca="false">G199</f>
        <v>36770</v>
      </c>
      <c r="CD199" s="253" t="e">
        <f aca="false">xSPRDOPT((VLOOKUP(G199,NGPrices,2,FALSE())+HLOOKUP(D199,Prices,VLOOKUP(G199,move_down,2,FALSE()),FALSE())),VLOOKUP(G199,NGPrices,2,FALSE()),I199,VLOOKUP(G199,NGPREVPRICES,4,FALSE()),HLOOKUP(D199,PREVVOLS,VLOOKUP(G199,MOVE_DOWN2,2,FALSE()),FALSE()),VLOOKUP(G199,NGPREVPRICES,3,FALSE()),HLOOKUP(D199,Correllate,VLOOKUP(G199,CorMove,2,FALSE()),FALSE()),Q199-$CD$3,R199,$CD$5)*H199-CJ199</f>
        <v>#NAME?</v>
      </c>
      <c r="CE199" s="253" t="e">
        <f aca="false">xSPRDOPT((VLOOKUP(G199,NGPREVPRICES,2,FALSE())+HLOOKUP(D199,PREVCURVES,VLOOKUP(G199,MOVE_DOWN2,2,FALSE()),FALSE())),VLOOKUP(G199,NGPREVPRICES,2,FALSE()),CK199,VLOOKUP(G199,NGPrices,4,FALSE()),HLOOKUP(D199,PREVVOLS,VLOOKUP(G199,MOVE_DOWN2,2,FALSE()),FALSE()),VLOOKUP(G199,NGPREVPRICES,3,FALSE()),HLOOKUP(D199,Correllate,VLOOKUP(G199,CorMove,2,FALSE()),FALSE()),Q199-$CD$3,R199,$CJ$5)*H199-CJ199</f>
        <v>#NAME?</v>
      </c>
      <c r="CF199" s="132" t="e">
        <f aca="false">(CJ199/VLOOKUP(CC199,discount,3,FALSE()))-(CJ199/VLOOKUP(CC199,discount,2,FALSE()))</f>
        <v>#NAME?</v>
      </c>
      <c r="CG199" s="253" t="e">
        <f aca="false">xSPRDOPT((VLOOKUP(G199,NGPREVPRICES,2,FALSE())+HLOOKUP(D199,PREVCURVES,VLOOKUP(G199,MOVE_DOWN2,2,FALSE()),FALSE())),VLOOKUP(G199,NGPREVPRICES,2,FALSE()),CK199,VLOOKUP(G199,NGPREVPRICES,4,FALSE()),HLOOKUP(D199,VOLS,VLOOKUP(G199,move_down,2,FALSE()),FALSE()),VLOOKUP(G199,NGPrices,3,FALSE()),HLOOKUP(D199,Correllate,VLOOKUP(G199,CorMove,2,FALSE()),FALSE()),Q199-$CD$3,R199,$CJ$5)*H199-CJ199</f>
        <v>#NAME?</v>
      </c>
      <c r="CH199" s="253" t="e">
        <f aca="false">xSPRDOPT((VLOOKUP(G199,NGPREVPRICES,2,FALSE())+HLOOKUP(D199,PREVCURVES,VLOOKUP(G199,MOVE_DOWN2,2,FALSE()),FALSE())),VLOOKUP(G199,NGPREVPRICES,2,FALSE()),CK199,VLOOKUP(G199,NGPREVPRICES,4,FALSE()),HLOOKUP(D199,PREVVOLS,VLOOKUP(G199,MOVE_DOWN2,2,FALSE()),FALSE()),VLOOKUP(G199,NGPREVPRICES,3,FALSE()),HLOOKUP(D199,Correllate,VLOOKUP(G199,CorMove,2,FALSE()),FALSE()),Q199-$C$3,R199,$CJ$5)*H199-CJ199</f>
        <v>#NAME?</v>
      </c>
      <c r="CI199" s="253" t="e">
        <f aca="false">SUM(CD199:CH199)</f>
        <v>#NAME?</v>
      </c>
      <c r="CJ199" s="253" t="e">
        <f aca="false">xSPRDOPT((VLOOKUP(G199,NGPREVPRICES,2,FALSE())+HLOOKUP(D199,PREVCURVES,VLOOKUP(G199,MOVE_DOWN2,2,FALSE()),FALSE())),VLOOKUP(G199,NGPREVPRICES,2,FALSE()),CK199,VLOOKUP(G199,NGPREVPRICES,4,FALSE()),HLOOKUP(D199,PREVVOLS,VLOOKUP(G199,MOVE_DOWN2,2,FALSE()),FALSE()),VLOOKUP(G199,NGPREVPRICES,3,FALSE()),HLOOKUP(D199,Correllate,VLOOKUP(G199,CorMove,2,FALSE()),FALSE()),Q199-$CD$3,R199,$CJ$5)*H199</f>
        <v>#NAME?</v>
      </c>
      <c r="CK199" s="254" t="n">
        <f aca="false">I199</f>
        <v>0.1675</v>
      </c>
      <c r="CL199" s="253"/>
      <c r="CM199" s="0" t="str">
        <f aca="false">CONCATENATE(CC199,$CD$6)</f>
        <v>36770Curve Shift/Gamma</v>
      </c>
      <c r="CN199" s="0" t="str">
        <f aca="false">CONCATENATE($CC199,$CE$6)</f>
        <v>36770Rho</v>
      </c>
      <c r="CO199" s="0" t="str">
        <f aca="false">CONCATENATE($CC199,$CF$6)</f>
        <v>36770Drift</v>
      </c>
      <c r="CP199" s="0" t="str">
        <f aca="false">CONCATENATE($CC199,$CG$6)</f>
        <v>36770Vega</v>
      </c>
      <c r="CQ199" s="0" t="str">
        <f aca="false">CONCATENATE($CC199,$CH$6)</f>
        <v>36770Theta</v>
      </c>
    </row>
    <row r="200" customFormat="false" ht="12" hidden="false" customHeight="true" outlineLevel="0" collapsed="false">
      <c r="A200" s="267" t="s">
        <v>196</v>
      </c>
      <c r="B200" s="0" t="s">
        <v>192</v>
      </c>
      <c r="C200" s="0" t="s">
        <v>270</v>
      </c>
      <c r="D200" s="7" t="s">
        <v>137</v>
      </c>
      <c r="E200" s="0" t="s">
        <v>131</v>
      </c>
      <c r="F200" s="0" t="s">
        <v>136</v>
      </c>
      <c r="G200" s="92" t="n">
        <v>36800</v>
      </c>
      <c r="H200" s="248" t="n">
        <v>155000</v>
      </c>
      <c r="I200" s="0" t="n">
        <v>0.1</v>
      </c>
      <c r="J200" s="124" t="n">
        <f aca="false">VLOOKUP(G200,NGPrices,2,FALSE())</f>
        <v>4.692</v>
      </c>
      <c r="K200" s="125" t="n">
        <f aca="false">HLOOKUP(D200,Prices,VLOOKUP(G200,move_down,2,FALSE()),FALSE())+VLOOKUP(G200,CHANGE,HLOOKUP(D200,CHANGE,2,FALSE()),FALSE())</f>
        <v>1.99</v>
      </c>
      <c r="L200" s="124" t="n">
        <f aca="false">K200+J200</f>
        <v>6.682</v>
      </c>
      <c r="M200" s="126" t="n">
        <f aca="false">VLOOKUP(G200,NGPrices,4,FALSE())</f>
        <v>0.068050789414654</v>
      </c>
      <c r="N200" s="7" t="n">
        <f aca="false">VLOOKUP(G200,NGPrices,3,FALSE())</f>
        <v>0.575</v>
      </c>
      <c r="O200" s="7" t="n">
        <f aca="false">HLOOKUP(D200,VOLS,VLOOKUP(G200,move_down,2,FALSE()),FALSE())</f>
        <v>0.541</v>
      </c>
      <c r="P200" s="249" t="n">
        <f aca="false">HLOOKUP(D200,Correllate,VLOOKUP(G200,CorMove,2,FALSE()),FALSE())</f>
        <v>0.83</v>
      </c>
      <c r="Q200" s="92" t="n">
        <f aca="false">WORKDAY(G200,-2)</f>
        <v>36797</v>
      </c>
      <c r="R200" s="7" t="n">
        <f aca="false">IF(F200="P",0,1)</f>
        <v>1</v>
      </c>
      <c r="S200" s="130" t="e">
        <f aca="false">xSPRDOPT($L200,$J200,$I200,$M200,$O200,$N200,$P200,$Q200-$C$3,$R200,0)</f>
        <v>#NAME?</v>
      </c>
      <c r="T200" s="250" t="e">
        <f aca="false">xSPRDOPT($L200,$J200,$I200,$M200,$O200,$N200,$P200,$Q200-$C$3,$R200,1)*H200</f>
        <v>#NAME?</v>
      </c>
      <c r="U200" s="43" t="e">
        <f aca="false">S200*H200</f>
        <v>#NAME?</v>
      </c>
      <c r="V200" s="250" t="e">
        <f aca="false">xSPRDOPT($L200,$J200,$I200,$M200,$O200,$N200,$P200,$Q200-$C$3,$R200,2)*H200</f>
        <v>#NAME?</v>
      </c>
      <c r="W200" s="250" t="e">
        <f aca="false">+V200+T200</f>
        <v>#NAME?</v>
      </c>
      <c r="X200" s="2" t="str">
        <f aca="false">CONCATENATE(G200,D200)</f>
        <v>36800NGI-SOCAL</v>
      </c>
      <c r="Y200" s="251" t="n">
        <f aca="false">H200/10000</f>
        <v>15.5</v>
      </c>
      <c r="Z200" s="226" t="e">
        <f aca="false">T200/H200</f>
        <v>#NAME?</v>
      </c>
      <c r="AA200" s="226" t="e">
        <f aca="false">xSPRDOPT($L200,$J200,$I200,$M200,$O200,$N200,$P200,$Q200-$C$3,$R200,3)</f>
        <v>#NAME?</v>
      </c>
      <c r="AB200" s="226" t="e">
        <f aca="false">((xSPRDOPT($L200+AB$5,$J200,$I200,$M200,$O200,$N200,$P200,$Q200-$C$3,$R200,3)*$H200)/10000)/100</f>
        <v>#NAME?</v>
      </c>
      <c r="AC200" s="226" t="e">
        <f aca="false">((xSPRDOPT($L200+$AB$5,$J200,$I200,$M200,$O200,$N200,$P200,$Q200-$C$3,$R200,7)*$H200)/100)</f>
        <v>#NAME?</v>
      </c>
      <c r="AD200" s="226" t="e">
        <f aca="false">(xSPRDOPT($L200+$AB$5,$J200,$I200,$M200,$O200,$N200,$P200,$Q200-$C$3,$R200,9)/365)*$H200</f>
        <v>#NAME?</v>
      </c>
      <c r="AE200" s="0" t="e">
        <f aca="false">CD200</f>
        <v>#NAME?</v>
      </c>
      <c r="AF200" s="226" t="e">
        <f aca="false">((O200/N200)*AH200)+AG200</f>
        <v>#NAME?</v>
      </c>
      <c r="AG200" s="226" t="e">
        <f aca="false">((xSPRDOPT($L200,$J200,$I200,$M200,$O200,$N200,$P200,$Q200-$C$3,$R200,6)*$H200)/100)</f>
        <v>#NAME?</v>
      </c>
      <c r="AH200" s="226" t="e">
        <f aca="false">((xSPRDOPT($L200,$J200,$I200,$M200,$O200,$N200,$P200,$Q200-$C$3,$R200,5)*$H200)/100)</f>
        <v>#NAME?</v>
      </c>
      <c r="AI200" s="226" t="e">
        <f aca="false">(((xSPRDOPT($L200,$J200,$I200,$M200,$O200,$N200,$P200,$Q200-$C$3,$R200,4)*$H200)/10000)/100)-AB200</f>
        <v>#NAME?</v>
      </c>
      <c r="AJ200" s="226"/>
      <c r="AK200" s="226"/>
      <c r="AL200" s="226"/>
      <c r="AM200" s="252"/>
      <c r="CC200" s="182" t="n">
        <f aca="false">G200</f>
        <v>36800</v>
      </c>
      <c r="CD200" s="253" t="e">
        <f aca="false">xSPRDOPT((VLOOKUP(G200,NGPrices,2,FALSE())+HLOOKUP(D200,Prices,VLOOKUP(G200,move_down,2,FALSE()),FALSE())),VLOOKUP(G200,NGPrices,2,FALSE()),I200,VLOOKUP(G200,NGPREVPRICES,4,FALSE()),HLOOKUP(D200,PREVVOLS,VLOOKUP(G200,MOVE_DOWN2,2,FALSE()),FALSE()),VLOOKUP(G200,NGPREVPRICES,3,FALSE()),HLOOKUP(D200,Correllate,VLOOKUP(G200,CorMove,2,FALSE()),FALSE()),Q200-$CD$3,R200,$CD$5)*H200-CJ200</f>
        <v>#NAME?</v>
      </c>
      <c r="CE200" s="253" t="e">
        <f aca="false">xSPRDOPT((VLOOKUP(G200,NGPREVPRICES,2,FALSE())+HLOOKUP(D200,PREVCURVES,VLOOKUP(G200,MOVE_DOWN2,2,FALSE()),FALSE())),VLOOKUP(G200,NGPREVPRICES,2,FALSE()),CK200,VLOOKUP(G200,NGPrices,4,FALSE()),HLOOKUP(D200,PREVVOLS,VLOOKUP(G200,MOVE_DOWN2,2,FALSE()),FALSE()),VLOOKUP(G200,NGPREVPRICES,3,FALSE()),HLOOKUP(D200,Correllate,VLOOKUP(G200,CorMove,2,FALSE()),FALSE()),Q200-$CD$3,R200,$CJ$5)*H200-CJ200</f>
        <v>#NAME?</v>
      </c>
      <c r="CF200" s="132" t="e">
        <f aca="false">(CJ200/VLOOKUP(CC200,discount,3,FALSE()))-(CJ200/VLOOKUP(CC200,discount,2,FALSE()))</f>
        <v>#NAME?</v>
      </c>
      <c r="CG200" s="253" t="e">
        <f aca="false">xSPRDOPT((VLOOKUP(G200,NGPREVPRICES,2,FALSE())+HLOOKUP(D200,PREVCURVES,VLOOKUP(G200,MOVE_DOWN2,2,FALSE()),FALSE())),VLOOKUP(G200,NGPREVPRICES,2,FALSE()),CK200,VLOOKUP(G200,NGPREVPRICES,4,FALSE()),HLOOKUP(D200,VOLS,VLOOKUP(G200,move_down,2,FALSE()),FALSE()),VLOOKUP(G200,NGPrices,3,FALSE()),HLOOKUP(D200,Correllate,VLOOKUP(G200,CorMove,2,FALSE()),FALSE()),Q200-$CD$3,R200,$CJ$5)*H200-CJ200</f>
        <v>#NAME?</v>
      </c>
      <c r="CH200" s="253" t="e">
        <f aca="false">xSPRDOPT((VLOOKUP(G200,NGPREVPRICES,2,FALSE())+HLOOKUP(D200,PREVCURVES,VLOOKUP(G200,MOVE_DOWN2,2,FALSE()),FALSE())),VLOOKUP(G200,NGPREVPRICES,2,FALSE()),CK200,VLOOKUP(G200,NGPREVPRICES,4,FALSE()),HLOOKUP(D200,PREVVOLS,VLOOKUP(G200,MOVE_DOWN2,2,FALSE()),FALSE()),VLOOKUP(G200,NGPREVPRICES,3,FALSE()),HLOOKUP(D200,Correllate,VLOOKUP(G200,CorMove,2,FALSE()),FALSE()),Q200-$C$3,R200,$CJ$5)*H200-CJ200</f>
        <v>#NAME?</v>
      </c>
      <c r="CI200" s="253" t="e">
        <f aca="false">SUM(CD200:CH200)</f>
        <v>#NAME?</v>
      </c>
      <c r="CJ200" s="253" t="e">
        <f aca="false">xSPRDOPT((VLOOKUP(G200,NGPREVPRICES,2,FALSE())+HLOOKUP(D200,PREVCURVES,VLOOKUP(G200,MOVE_DOWN2,2,FALSE()),FALSE())),VLOOKUP(G200,NGPREVPRICES,2,FALSE()),CK200,VLOOKUP(G200,NGPREVPRICES,4,FALSE()),HLOOKUP(D200,PREVVOLS,VLOOKUP(G200,MOVE_DOWN2,2,FALSE()),FALSE()),VLOOKUP(G200,NGPREVPRICES,3,FALSE()),HLOOKUP(D200,Correllate,VLOOKUP(G200,CorMove,2,FALSE()),FALSE()),Q200-$CD$3,R200,$CJ$5)*H200</f>
        <v>#NAME?</v>
      </c>
      <c r="CK200" s="254" t="n">
        <f aca="false">I200</f>
        <v>0.1</v>
      </c>
      <c r="CL200" s="253"/>
      <c r="CM200" s="0" t="str">
        <f aca="false">CONCATENATE(CC200,$CD$6)</f>
        <v>36800Curve Shift/Gamma</v>
      </c>
      <c r="CN200" s="0" t="str">
        <f aca="false">CONCATENATE($CC200,$CE$6)</f>
        <v>36800Rho</v>
      </c>
      <c r="CO200" s="0" t="str">
        <f aca="false">CONCATENATE($CC200,$CF$6)</f>
        <v>36800Drift</v>
      </c>
      <c r="CP200" s="0" t="str">
        <f aca="false">CONCATENATE($CC200,$CG$6)</f>
        <v>36800Vega</v>
      </c>
      <c r="CQ200" s="0" t="str">
        <f aca="false">CONCATENATE($CC200,$CH$6)</f>
        <v>36800Theta</v>
      </c>
    </row>
    <row r="201" customFormat="false" ht="12" hidden="false" customHeight="true" outlineLevel="0" collapsed="false">
      <c r="A201" s="267" t="s">
        <v>196</v>
      </c>
      <c r="B201" s="0" t="s">
        <v>192</v>
      </c>
      <c r="C201" s="0" t="s">
        <v>270</v>
      </c>
      <c r="D201" s="7" t="s">
        <v>137</v>
      </c>
      <c r="E201" s="0" t="s">
        <v>131</v>
      </c>
      <c r="F201" s="0" t="s">
        <v>136</v>
      </c>
      <c r="G201" s="92" t="n">
        <v>36770</v>
      </c>
      <c r="H201" s="248" t="n">
        <v>150000</v>
      </c>
      <c r="I201" s="0" t="n">
        <v>0.1</v>
      </c>
      <c r="J201" s="124" t="n">
        <f aca="false">VLOOKUP(G201,NGPrices,2,FALSE())</f>
        <v>4.685</v>
      </c>
      <c r="K201" s="125" t="n">
        <f aca="false">HLOOKUP(D201,Prices,VLOOKUP(G201,move_down,2,FALSE()),FALSE())+VLOOKUP(G201,CHANGE,HLOOKUP(D201,CHANGE,2,FALSE()),FALSE())</f>
        <v>2.5</v>
      </c>
      <c r="L201" s="124" t="n">
        <f aca="false">K201+J201</f>
        <v>7.185</v>
      </c>
      <c r="M201" s="126" t="n">
        <f aca="false">VLOOKUP(G201,NGPrices,4,FALSE())</f>
        <v>0.067216196212185</v>
      </c>
      <c r="N201" s="7" t="n">
        <f aca="false">VLOOKUP(G201,NGPrices,3,FALSE())</f>
        <v>0.4</v>
      </c>
      <c r="O201" s="7" t="n">
        <f aca="false">HLOOKUP(D201,VOLS,VLOOKUP(G201,move_down,2,FALSE()),FALSE())</f>
        <v>0.376</v>
      </c>
      <c r="P201" s="249" t="n">
        <f aca="false">HLOOKUP(D201,Correllate,VLOOKUP(G201,CorMove,2,FALSE()),FALSE())</f>
        <v>0.83</v>
      </c>
      <c r="Q201" s="92" t="n">
        <f aca="false">WORKDAY(G201,-2)</f>
        <v>36768</v>
      </c>
      <c r="R201" s="7" t="n">
        <f aca="false">IF(F201="P",0,1)</f>
        <v>1</v>
      </c>
      <c r="S201" s="130" t="e">
        <f aca="false">xSPRDOPT($L201,$J201,$I201,$M201,$O201,$N201,$P201,$Q201-$C$3,$R201,0)</f>
        <v>#NAME?</v>
      </c>
      <c r="T201" s="250" t="e">
        <f aca="false">xSPRDOPT($L201,$J201,$I201,$M201,$O201,$N201,$P201,$Q201-$C$3,$R201,1)*H201</f>
        <v>#NAME?</v>
      </c>
      <c r="U201" s="43" t="e">
        <f aca="false">S201*H201</f>
        <v>#NAME?</v>
      </c>
      <c r="V201" s="250" t="e">
        <f aca="false">xSPRDOPT($L201,$J201,$I201,$M201,$O201,$N201,$P201,$Q201-$C$3,$R201,2)*H201</f>
        <v>#NAME?</v>
      </c>
      <c r="W201" s="250" t="e">
        <f aca="false">+V201+T201</f>
        <v>#NAME?</v>
      </c>
      <c r="X201" s="2" t="str">
        <f aca="false">CONCATENATE(G201,D201)</f>
        <v>36770NGI-SOCAL</v>
      </c>
      <c r="Y201" s="251" t="n">
        <f aca="false">H201/10000</f>
        <v>15</v>
      </c>
      <c r="Z201" s="226" t="e">
        <f aca="false">T201/H201</f>
        <v>#NAME?</v>
      </c>
      <c r="AA201" s="226" t="e">
        <f aca="false">xSPRDOPT($L201,$J201,$I201,$M201,$O201,$N201,$P201,$Q201-$C$3,$R201,3)</f>
        <v>#NAME?</v>
      </c>
      <c r="AB201" s="226" t="e">
        <f aca="false">((xSPRDOPT($L201+AB$5,$J201,$I201,$M201,$O201,$N201,$P201,$Q201-$C$3,$R201,3)*$H201)/10000)/100</f>
        <v>#NAME?</v>
      </c>
      <c r="AC201" s="226" t="e">
        <f aca="false">((xSPRDOPT($L201+$AB$5,$J201,$I201,$M201,$O201,$N201,$P201,$Q201-$C$3,$R201,7)*$H201)/100)</f>
        <v>#NAME?</v>
      </c>
      <c r="AD201" s="226" t="e">
        <f aca="false">(xSPRDOPT($L201+$AB$5,$J201,$I201,$M201,$O201,$N201,$P201,$Q201-$C$3,$R201,9)/365)*$H201</f>
        <v>#NAME?</v>
      </c>
      <c r="AE201" s="0" t="e">
        <f aca="false">CD201</f>
        <v>#NAME?</v>
      </c>
      <c r="AF201" s="226" t="e">
        <f aca="false">((O201/N201)*AH201)+AG201</f>
        <v>#NAME?</v>
      </c>
      <c r="AG201" s="226" t="e">
        <f aca="false">((xSPRDOPT($L201,$J201,$I201,$M201,$O201,$N201,$P201,$Q201-$C$3,$R201,6)*$H201)/100)</f>
        <v>#NAME?</v>
      </c>
      <c r="AH201" s="226" t="e">
        <f aca="false">((xSPRDOPT($L201,$J201,$I201,$M201,$O201,$N201,$P201,$Q201-$C$3,$R201,5)*$H201)/100)</f>
        <v>#NAME?</v>
      </c>
      <c r="AI201" s="226" t="e">
        <f aca="false">(((xSPRDOPT($L201,$J201,$I201,$M201,$O201,$N201,$P201,$Q201-$C$3,$R201,4)*$H201)/10000)/100)-AB201</f>
        <v>#NAME?</v>
      </c>
      <c r="AJ201" s="226"/>
      <c r="AK201" s="226"/>
      <c r="AL201" s="226"/>
      <c r="AM201" s="252"/>
      <c r="CC201" s="182" t="n">
        <f aca="false">G201</f>
        <v>36770</v>
      </c>
      <c r="CD201" s="253" t="e">
        <f aca="false">xSPRDOPT((VLOOKUP(G201,NGPrices,2,FALSE())+HLOOKUP(D201,Prices,VLOOKUP(G201,move_down,2,FALSE()),FALSE())),VLOOKUP(G201,NGPrices,2,FALSE()),I201,VLOOKUP(G201,NGPREVPRICES,4,FALSE()),HLOOKUP(D201,PREVVOLS,VLOOKUP(G201,MOVE_DOWN2,2,FALSE()),FALSE()),VLOOKUP(G201,NGPREVPRICES,3,FALSE()),HLOOKUP(D201,Correllate,VLOOKUP(G201,CorMove,2,FALSE()),FALSE()),Q201-$CD$3,R201,$CD$5)*H201-CJ201</f>
        <v>#NAME?</v>
      </c>
      <c r="CE201" s="253" t="e">
        <f aca="false">xSPRDOPT((VLOOKUP(G201,NGPREVPRICES,2,FALSE())+HLOOKUP(D201,PREVCURVES,VLOOKUP(G201,MOVE_DOWN2,2,FALSE()),FALSE())),VLOOKUP(G201,NGPREVPRICES,2,FALSE()),CK201,VLOOKUP(G201,NGPrices,4,FALSE()),HLOOKUP(D201,PREVVOLS,VLOOKUP(G201,MOVE_DOWN2,2,FALSE()),FALSE()),VLOOKUP(G201,NGPREVPRICES,3,FALSE()),HLOOKUP(D201,Correllate,VLOOKUP(G201,CorMove,2,FALSE()),FALSE()),Q201-$CD$3,R201,$CJ$5)*H201-CJ201</f>
        <v>#NAME?</v>
      </c>
      <c r="CF201" s="132" t="e">
        <f aca="false">(CJ201/VLOOKUP(CC201,discount,3,FALSE()))-(CJ201/VLOOKUP(CC201,discount,2,FALSE()))</f>
        <v>#NAME?</v>
      </c>
      <c r="CG201" s="253" t="e">
        <f aca="false">xSPRDOPT((VLOOKUP(G201,NGPREVPRICES,2,FALSE())+HLOOKUP(D201,PREVCURVES,VLOOKUP(G201,MOVE_DOWN2,2,FALSE()),FALSE())),VLOOKUP(G201,NGPREVPRICES,2,FALSE()),CK201,VLOOKUP(G201,NGPREVPRICES,4,FALSE()),HLOOKUP(D201,VOLS,VLOOKUP(G201,move_down,2,FALSE()),FALSE()),VLOOKUP(G201,NGPrices,3,FALSE()),HLOOKUP(D201,Correllate,VLOOKUP(G201,CorMove,2,FALSE()),FALSE()),Q201-$CD$3,R201,$CJ$5)*H201-CJ201</f>
        <v>#NAME?</v>
      </c>
      <c r="CH201" s="253" t="e">
        <f aca="false">xSPRDOPT((VLOOKUP(G201,NGPREVPRICES,2,FALSE())+HLOOKUP(D201,PREVCURVES,VLOOKUP(G201,MOVE_DOWN2,2,FALSE()),FALSE())),VLOOKUP(G201,NGPREVPRICES,2,FALSE()),CK201,VLOOKUP(G201,NGPREVPRICES,4,FALSE()),HLOOKUP(D201,PREVVOLS,VLOOKUP(G201,MOVE_DOWN2,2,FALSE()),FALSE()),VLOOKUP(G201,NGPREVPRICES,3,FALSE()),HLOOKUP(D201,Correllate,VLOOKUP(G201,CorMove,2,FALSE()),FALSE()),Q201-$C$3,R201,$CJ$5)*H201-CJ201</f>
        <v>#NAME?</v>
      </c>
      <c r="CI201" s="253" t="e">
        <f aca="false">SUM(CD201:CH201)</f>
        <v>#NAME?</v>
      </c>
      <c r="CJ201" s="253" t="e">
        <f aca="false">xSPRDOPT((VLOOKUP(G201,NGPREVPRICES,2,FALSE())+HLOOKUP(D201,PREVCURVES,VLOOKUP(G201,MOVE_DOWN2,2,FALSE()),FALSE())),VLOOKUP(G201,NGPREVPRICES,2,FALSE()),CK201,VLOOKUP(G201,NGPREVPRICES,4,FALSE()),HLOOKUP(D201,PREVVOLS,VLOOKUP(G201,MOVE_DOWN2,2,FALSE()),FALSE()),VLOOKUP(G201,NGPREVPRICES,3,FALSE()),HLOOKUP(D201,Correllate,VLOOKUP(G201,CorMove,2,FALSE()),FALSE()),Q201-$CD$3,R201,$CJ$5)*H201</f>
        <v>#NAME?</v>
      </c>
      <c r="CK201" s="254" t="n">
        <f aca="false">I201</f>
        <v>0.1</v>
      </c>
      <c r="CL201" s="253"/>
      <c r="CM201" s="0" t="str">
        <f aca="false">CONCATENATE(CC201,$CD$6)</f>
        <v>36770Curve Shift/Gamma</v>
      </c>
      <c r="CN201" s="0" t="str">
        <f aca="false">CONCATENATE($CC201,$CE$6)</f>
        <v>36770Rho</v>
      </c>
      <c r="CO201" s="0" t="str">
        <f aca="false">CONCATENATE($CC201,$CF$6)</f>
        <v>36770Drift</v>
      </c>
      <c r="CP201" s="0" t="str">
        <f aca="false">CONCATENATE($CC201,$CG$6)</f>
        <v>36770Vega</v>
      </c>
      <c r="CQ201" s="0" t="str">
        <f aca="false">CONCATENATE($CC201,$CH$6)</f>
        <v>36770Theta</v>
      </c>
    </row>
    <row r="202" customFormat="false" ht="12" hidden="false" customHeight="true" outlineLevel="0" collapsed="false">
      <c r="A202" s="17" t="s">
        <v>244</v>
      </c>
      <c r="B202" s="0" t="s">
        <v>192</v>
      </c>
      <c r="C202" s="0" t="s">
        <v>271</v>
      </c>
      <c r="D202" s="7" t="s">
        <v>149</v>
      </c>
      <c r="E202" s="0" t="s">
        <v>131</v>
      </c>
      <c r="F202" s="0" t="s">
        <v>136</v>
      </c>
      <c r="G202" s="92" t="n">
        <v>36951</v>
      </c>
      <c r="H202" s="248" t="n">
        <v>-310000</v>
      </c>
      <c r="I202" s="0" t="n">
        <v>2.2</v>
      </c>
      <c r="J202" s="124" t="n">
        <f aca="false">VLOOKUP(G202,NGPrices,2,FALSE())</f>
        <v>4.213</v>
      </c>
      <c r="K202" s="125" t="n">
        <f aca="false">HLOOKUP(D202,Prices,VLOOKUP(G202,move_down,2,FALSE()),FALSE())+VLOOKUP(G202,CHANGE,HLOOKUP(D202,CHANGE,2,FALSE()),FALSE())</f>
        <v>1.075</v>
      </c>
      <c r="L202" s="124" t="n">
        <f aca="false">K202+J202</f>
        <v>5.288</v>
      </c>
      <c r="M202" s="126" t="n">
        <f aca="false">VLOOKUP(G202,NGPrices,4,FALSE())</f>
        <v>0.068879814952707</v>
      </c>
      <c r="N202" s="7" t="n">
        <f aca="false">VLOOKUP(G202,NGPrices,3,FALSE())</f>
        <v>0.5325</v>
      </c>
      <c r="O202" s="7" t="n">
        <f aca="false">HLOOKUP(D202,VOLS,VLOOKUP(G202,move_down,2,FALSE()),FALSE())</f>
        <v>0.612</v>
      </c>
      <c r="P202" s="249" t="n">
        <f aca="false">HLOOKUP(D202,Correllate,VLOOKUP(G202,CorMove,2,FALSE()),FALSE())</f>
        <v>0.83</v>
      </c>
      <c r="Q202" s="92" t="n">
        <f aca="false">WORKDAY(G202,-2)</f>
        <v>36949</v>
      </c>
      <c r="R202" s="7" t="n">
        <f aca="false">IF(F202="P",0,1)</f>
        <v>1</v>
      </c>
      <c r="S202" s="130" t="e">
        <f aca="false">xSPRDOPT($L202,$J202,$I202,$M202,$O202,$N202,$P202,$Q202-$C$3,$R202,0)</f>
        <v>#NAME?</v>
      </c>
      <c r="T202" s="250" t="e">
        <f aca="false">xSPRDOPT($L202,$J202,$I202,$M202,$O202,$N202,$P202,$Q202-$C$3,$R202,1)*H202</f>
        <v>#NAME?</v>
      </c>
      <c r="U202" s="43" t="e">
        <f aca="false">S202*H202</f>
        <v>#NAME?</v>
      </c>
      <c r="V202" s="250" t="e">
        <f aca="false">xSPRDOPT($L202,$J202,$I202,$M202,$O202,$N202,$P202,$Q202-$C$3,$R202,2)*H202</f>
        <v>#NAME?</v>
      </c>
      <c r="W202" s="250" t="e">
        <f aca="false">+V202+T202</f>
        <v>#NAME?</v>
      </c>
      <c r="X202" s="2" t="str">
        <f aca="false">CONCATENATE(G202,D202)</f>
        <v>36951IF-TRANSCO/Z6</v>
      </c>
      <c r="Y202" s="251" t="n">
        <f aca="false">H202/10000</f>
        <v>-31</v>
      </c>
      <c r="Z202" s="226" t="e">
        <f aca="false">T202/H202</f>
        <v>#NAME?</v>
      </c>
      <c r="AA202" s="226" t="e">
        <f aca="false">xSPRDOPT($L202,$J202,$I202,$M202,$O202,$N202,$P202,$Q202-$C$3,$R202,3)</f>
        <v>#NAME?</v>
      </c>
      <c r="AB202" s="226" t="e">
        <f aca="false">((xSPRDOPT($L202+AB$5,$J202,$I202,$M202,$O202,$N202,$P202,$Q202-$C$3,$R202,3)*$H202)/10000)/100</f>
        <v>#NAME?</v>
      </c>
      <c r="AC202" s="226" t="e">
        <f aca="false">((xSPRDOPT($L202+$AB$5,$J202,$I202,$M202,$O202,$N202,$P202,$Q202-$C$3,$R202,7)*$H202)/100)</f>
        <v>#NAME?</v>
      </c>
      <c r="AD202" s="226" t="e">
        <f aca="false">(xSPRDOPT($L202+$AB$5,$J202,$I202,$M202,$O202,$N202,$P202,$Q202-$C$3,$R202,9)/365)*$H202</f>
        <v>#NAME?</v>
      </c>
      <c r="AE202" s="0" t="e">
        <f aca="false">CD202</f>
        <v>#NAME?</v>
      </c>
      <c r="AF202" s="226" t="e">
        <f aca="false">((O202/N202)*AH202)+AG202</f>
        <v>#NAME?</v>
      </c>
      <c r="AG202" s="226" t="e">
        <f aca="false">((xSPRDOPT($L202,$J202,$I202,$M202,$O202,$N202,$P202,$Q202-$C$3,$R202,6)*$H202)/100)</f>
        <v>#NAME?</v>
      </c>
      <c r="AH202" s="226" t="e">
        <f aca="false">((xSPRDOPT($L202,$J202,$I202,$M202,$O202,$N202,$P202,$Q202-$C$3,$R202,5)*$H202)/100)</f>
        <v>#NAME?</v>
      </c>
      <c r="AI202" s="226" t="e">
        <f aca="false">(((xSPRDOPT($L202,$J202,$I202,$M202,$O202,$N202,$P202,$Q202-$C$3,$R202,4)*$H202)/10000)/100)-AB202</f>
        <v>#NAME?</v>
      </c>
      <c r="AJ202" s="226"/>
      <c r="AK202" s="226"/>
      <c r="AL202" s="226"/>
      <c r="AM202" s="252"/>
      <c r="CC202" s="182" t="n">
        <f aca="false">G202</f>
        <v>36951</v>
      </c>
      <c r="CD202" s="253" t="e">
        <f aca="false">xSPRDOPT((VLOOKUP(G202,NGPrices,2,FALSE())+HLOOKUP(D202,Prices,VLOOKUP(G202,move_down,2,FALSE()),FALSE())),VLOOKUP(G202,NGPrices,2,FALSE()),I202,VLOOKUP(G202,NGPREVPRICES,4,FALSE()),HLOOKUP(D202,PREVVOLS,VLOOKUP(G202,MOVE_DOWN2,2,FALSE()),FALSE()),VLOOKUP(G202,NGPREVPRICES,3,FALSE()),HLOOKUP(D202,Correllate,VLOOKUP(G202,CorMove,2,FALSE()),FALSE()),Q202-$CD$3,R202,$CD$5)*H202-CJ202</f>
        <v>#NAME?</v>
      </c>
      <c r="CE202" s="253" t="e">
        <f aca="false">xSPRDOPT((VLOOKUP(G202,NGPREVPRICES,2,FALSE())+HLOOKUP(D202,PREVCURVES,VLOOKUP(G202,MOVE_DOWN2,2,FALSE()),FALSE())),VLOOKUP(G202,NGPREVPRICES,2,FALSE()),CK202,VLOOKUP(G202,NGPrices,4,FALSE()),HLOOKUP(D202,PREVVOLS,VLOOKUP(G202,MOVE_DOWN2,2,FALSE()),FALSE()),VLOOKUP(G202,NGPREVPRICES,3,FALSE()),HLOOKUP(D202,Correllate,VLOOKUP(G202,CorMove,2,FALSE()),FALSE()),Q202-$CD$3,R202,$CJ$5)*H202-CJ202</f>
        <v>#NAME?</v>
      </c>
      <c r="CF202" s="132" t="e">
        <f aca="false">(CJ202/VLOOKUP(CC202,discount,3,FALSE()))-(CJ202/VLOOKUP(CC202,discount,2,FALSE()))</f>
        <v>#NAME?</v>
      </c>
      <c r="CG202" s="253" t="e">
        <f aca="false">xSPRDOPT((VLOOKUP(G202,NGPREVPRICES,2,FALSE())+HLOOKUP(D202,PREVCURVES,VLOOKUP(G202,MOVE_DOWN2,2,FALSE()),FALSE())),VLOOKUP(G202,NGPREVPRICES,2,FALSE()),CK202,VLOOKUP(G202,NGPREVPRICES,4,FALSE()),HLOOKUP(D202,VOLS,VLOOKUP(G202,move_down,2,FALSE()),FALSE()),VLOOKUP(G202,NGPrices,3,FALSE()),HLOOKUP(D202,Correllate,VLOOKUP(G202,CorMove,2,FALSE()),FALSE()),Q202-$CD$3,R202,$CJ$5)*H202-CJ202</f>
        <v>#NAME?</v>
      </c>
      <c r="CH202" s="253" t="e">
        <f aca="false">xSPRDOPT((VLOOKUP(G202,NGPREVPRICES,2,FALSE())+HLOOKUP(D202,PREVCURVES,VLOOKUP(G202,MOVE_DOWN2,2,FALSE()),FALSE())),VLOOKUP(G202,NGPREVPRICES,2,FALSE()),CK202,VLOOKUP(G202,NGPREVPRICES,4,FALSE()),HLOOKUP(D202,PREVVOLS,VLOOKUP(G202,MOVE_DOWN2,2,FALSE()),FALSE()),VLOOKUP(G202,NGPREVPRICES,3,FALSE()),HLOOKUP(D202,Correllate,VLOOKUP(G202,CorMove,2,FALSE()),FALSE()),Q202-$C$3,R202,$CJ$5)*H202-CJ202</f>
        <v>#NAME?</v>
      </c>
      <c r="CI202" s="253" t="e">
        <f aca="false">SUM(CD202:CH202)</f>
        <v>#NAME?</v>
      </c>
      <c r="CJ202" s="253" t="e">
        <f aca="false">xSPRDOPT((VLOOKUP(G202,NGPREVPRICES,2,FALSE())+HLOOKUP(D202,PREVCURVES,VLOOKUP(G202,MOVE_DOWN2,2,FALSE()),FALSE())),VLOOKUP(G202,NGPREVPRICES,2,FALSE()),CK202,VLOOKUP(G202,NGPREVPRICES,4,FALSE()),HLOOKUP(D202,PREVVOLS,VLOOKUP(G202,MOVE_DOWN2,2,FALSE()),FALSE()),VLOOKUP(G202,NGPREVPRICES,3,FALSE()),HLOOKUP(D202,Correllate,VLOOKUP(G202,CorMove,2,FALSE()),FALSE()),Q202-$CD$3,R202,$CJ$5)*H202</f>
        <v>#NAME?</v>
      </c>
      <c r="CK202" s="254" t="n">
        <f aca="false">I202</f>
        <v>2.2</v>
      </c>
      <c r="CL202" s="253"/>
      <c r="CM202" s="0" t="str">
        <f aca="false">CONCATENATE(CC202,$CD$6)</f>
        <v>36951Curve Shift/Gamma</v>
      </c>
      <c r="CN202" s="0" t="str">
        <f aca="false">CONCATENATE($CC202,$CE$6)</f>
        <v>36951Rho</v>
      </c>
      <c r="CO202" s="0" t="str">
        <f aca="false">CONCATENATE($CC202,$CF$6)</f>
        <v>36951Drift</v>
      </c>
      <c r="CP202" s="0" t="str">
        <f aca="false">CONCATENATE($CC202,$CG$6)</f>
        <v>36951Vega</v>
      </c>
      <c r="CQ202" s="0" t="str">
        <f aca="false">CONCATENATE($CC202,$CH$6)</f>
        <v>36951Theta</v>
      </c>
    </row>
    <row r="203" customFormat="false" ht="12" hidden="false" customHeight="true" outlineLevel="0" collapsed="false">
      <c r="A203" s="17" t="s">
        <v>244</v>
      </c>
      <c r="B203" s="0" t="s">
        <v>192</v>
      </c>
      <c r="C203" s="0" t="s">
        <v>271</v>
      </c>
      <c r="D203" s="7" t="s">
        <v>149</v>
      </c>
      <c r="E203" s="0" t="s">
        <v>131</v>
      </c>
      <c r="F203" s="0" t="s">
        <v>136</v>
      </c>
      <c r="G203" s="92" t="n">
        <v>36923</v>
      </c>
      <c r="H203" s="248" t="n">
        <v>-280000</v>
      </c>
      <c r="I203" s="0" t="n">
        <v>2.2</v>
      </c>
      <c r="J203" s="124" t="n">
        <f aca="false">VLOOKUP(G203,NGPrices,2,FALSE())</f>
        <v>4.48</v>
      </c>
      <c r="K203" s="125" t="n">
        <f aca="false">HLOOKUP(D203,Prices,VLOOKUP(G203,move_down,2,FALSE()),FALSE())+VLOOKUP(G203,CHANGE,HLOOKUP(D203,CHANGE,2,FALSE()),FALSE())</f>
        <v>2.09</v>
      </c>
      <c r="L203" s="124" t="n">
        <f aca="false">K203+J203</f>
        <v>6.57</v>
      </c>
      <c r="M203" s="126" t="n">
        <f aca="false">VLOOKUP(G203,NGPrices,4,FALSE())</f>
        <v>0.068640161611372</v>
      </c>
      <c r="N203" s="7" t="n">
        <f aca="false">VLOOKUP(G203,NGPrices,3,FALSE())</f>
        <v>0.5925</v>
      </c>
      <c r="O203" s="7" t="n">
        <f aca="false">HLOOKUP(D203,VOLS,VLOOKUP(G203,move_down,2,FALSE()),FALSE())</f>
        <v>0.681</v>
      </c>
      <c r="P203" s="249" t="n">
        <f aca="false">HLOOKUP(D203,Correllate,VLOOKUP(G203,CorMove,2,FALSE()),FALSE())</f>
        <v>0.83</v>
      </c>
      <c r="Q203" s="92" t="n">
        <f aca="false">WORKDAY(G203,-2)</f>
        <v>36921</v>
      </c>
      <c r="R203" s="7" t="n">
        <f aca="false">IF(F203="P",0,1)</f>
        <v>1</v>
      </c>
      <c r="S203" s="130" t="e">
        <f aca="false">xSPRDOPT($L203,$J203,$I203,$M203,$O203,$N203,$P203,$Q203-$C$3,$R203,0)</f>
        <v>#NAME?</v>
      </c>
      <c r="T203" s="250" t="e">
        <f aca="false">xSPRDOPT($L203,$J203,$I203,$M203,$O203,$N203,$P203,$Q203-$C$3,$R203,1)*H203</f>
        <v>#NAME?</v>
      </c>
      <c r="U203" s="43" t="e">
        <f aca="false">S203*H203</f>
        <v>#NAME?</v>
      </c>
      <c r="V203" s="250" t="e">
        <f aca="false">xSPRDOPT($L203,$J203,$I203,$M203,$O203,$N203,$P203,$Q203-$C$3,$R203,2)*H203</f>
        <v>#NAME?</v>
      </c>
      <c r="W203" s="250" t="e">
        <f aca="false">+V203+T203</f>
        <v>#NAME?</v>
      </c>
      <c r="X203" s="2" t="str">
        <f aca="false">CONCATENATE(G203,D203)</f>
        <v>36923IF-TRANSCO/Z6</v>
      </c>
      <c r="Y203" s="251" t="n">
        <f aca="false">H203/10000</f>
        <v>-28</v>
      </c>
      <c r="Z203" s="226" t="e">
        <f aca="false">T203/H203</f>
        <v>#NAME?</v>
      </c>
      <c r="AA203" s="226" t="e">
        <f aca="false">xSPRDOPT($L203,$J203,$I203,$M203,$O203,$N203,$P203,$Q203-$C$3,$R203,3)</f>
        <v>#NAME?</v>
      </c>
      <c r="AB203" s="226" t="e">
        <f aca="false">((xSPRDOPT($L203+AB$5,$J203,$I203,$M203,$O203,$N203,$P203,$Q203-$C$3,$R203,3)*$H203)/10000)/100</f>
        <v>#NAME?</v>
      </c>
      <c r="AC203" s="226" t="e">
        <f aca="false">((xSPRDOPT($L203+$AB$5,$J203,$I203,$M203,$O203,$N203,$P203,$Q203-$C$3,$R203,7)*$H203)/100)</f>
        <v>#NAME?</v>
      </c>
      <c r="AD203" s="226" t="e">
        <f aca="false">(xSPRDOPT($L203+$AB$5,$J203,$I203,$M203,$O203,$N203,$P203,$Q203-$C$3,$R203,9)/365)*$H203</f>
        <v>#NAME?</v>
      </c>
      <c r="AE203" s="0" t="e">
        <f aca="false">CD203</f>
        <v>#NAME?</v>
      </c>
      <c r="AF203" s="226" t="e">
        <f aca="false">((O203/N203)*AH203)+AG203</f>
        <v>#NAME?</v>
      </c>
      <c r="AG203" s="226" t="e">
        <f aca="false">((xSPRDOPT($L203,$J203,$I203,$M203,$O203,$N203,$P203,$Q203-$C$3,$R203,6)*$H203)/100)</f>
        <v>#NAME?</v>
      </c>
      <c r="AH203" s="226" t="e">
        <f aca="false">((xSPRDOPT($L203,$J203,$I203,$M203,$O203,$N203,$P203,$Q203-$C$3,$R203,5)*$H203)/100)</f>
        <v>#NAME?</v>
      </c>
      <c r="AI203" s="226" t="e">
        <f aca="false">(((xSPRDOPT($L203,$J203,$I203,$M203,$O203,$N203,$P203,$Q203-$C$3,$R203,4)*$H203)/10000)/100)-AB203</f>
        <v>#NAME?</v>
      </c>
      <c r="AJ203" s="226"/>
      <c r="AK203" s="226"/>
      <c r="AL203" s="226"/>
      <c r="AM203" s="252"/>
      <c r="CC203" s="182" t="n">
        <f aca="false">G203</f>
        <v>36923</v>
      </c>
      <c r="CD203" s="253" t="e">
        <f aca="false">xSPRDOPT((VLOOKUP(G203,NGPrices,2,FALSE())+HLOOKUP(D203,Prices,VLOOKUP(G203,move_down,2,FALSE()),FALSE())),VLOOKUP(G203,NGPrices,2,FALSE()),I203,VLOOKUP(G203,NGPREVPRICES,4,FALSE()),HLOOKUP(D203,PREVVOLS,VLOOKUP(G203,MOVE_DOWN2,2,FALSE()),FALSE()),VLOOKUP(G203,NGPREVPRICES,3,FALSE()),HLOOKUP(D203,Correllate,VLOOKUP(G203,CorMove,2,FALSE()),FALSE()),Q203-$CD$3,R203,$CD$5)*H203-CJ203</f>
        <v>#NAME?</v>
      </c>
      <c r="CE203" s="253" t="e">
        <f aca="false">xSPRDOPT((VLOOKUP(G203,NGPREVPRICES,2,FALSE())+HLOOKUP(D203,PREVCURVES,VLOOKUP(G203,MOVE_DOWN2,2,FALSE()),FALSE())),VLOOKUP(G203,NGPREVPRICES,2,FALSE()),CK203,VLOOKUP(G203,NGPrices,4,FALSE()),HLOOKUP(D203,PREVVOLS,VLOOKUP(G203,MOVE_DOWN2,2,FALSE()),FALSE()),VLOOKUP(G203,NGPREVPRICES,3,FALSE()),HLOOKUP(D203,Correllate,VLOOKUP(G203,CorMove,2,FALSE()),FALSE()),Q203-$CD$3,R203,$CJ$5)*H203-CJ203</f>
        <v>#NAME?</v>
      </c>
      <c r="CF203" s="132" t="e">
        <f aca="false">(CJ203/VLOOKUP(CC203,discount,3,FALSE()))-(CJ203/VLOOKUP(CC203,discount,2,FALSE()))</f>
        <v>#NAME?</v>
      </c>
      <c r="CG203" s="253" t="e">
        <f aca="false">xSPRDOPT((VLOOKUP(G203,NGPREVPRICES,2,FALSE())+HLOOKUP(D203,PREVCURVES,VLOOKUP(G203,MOVE_DOWN2,2,FALSE()),FALSE())),VLOOKUP(G203,NGPREVPRICES,2,FALSE()),CK203,VLOOKUP(G203,NGPREVPRICES,4,FALSE()),HLOOKUP(D203,VOLS,VLOOKUP(G203,move_down,2,FALSE()),FALSE()),VLOOKUP(G203,NGPrices,3,FALSE()),HLOOKUP(D203,Correllate,VLOOKUP(G203,CorMove,2,FALSE()),FALSE()),Q203-$CD$3,R203,$CJ$5)*H203-CJ203</f>
        <v>#NAME?</v>
      </c>
      <c r="CH203" s="253" t="e">
        <f aca="false">xSPRDOPT((VLOOKUP(G203,NGPREVPRICES,2,FALSE())+HLOOKUP(D203,PREVCURVES,VLOOKUP(G203,MOVE_DOWN2,2,FALSE()),FALSE())),VLOOKUP(G203,NGPREVPRICES,2,FALSE()),CK203,VLOOKUP(G203,NGPREVPRICES,4,FALSE()),HLOOKUP(D203,PREVVOLS,VLOOKUP(G203,MOVE_DOWN2,2,FALSE()),FALSE()),VLOOKUP(G203,NGPREVPRICES,3,FALSE()),HLOOKUP(D203,Correllate,VLOOKUP(G203,CorMove,2,FALSE()),FALSE()),Q203-$C$3,R203,$CJ$5)*H203-CJ203</f>
        <v>#NAME?</v>
      </c>
      <c r="CI203" s="253" t="e">
        <f aca="false">SUM(CD203:CH203)</f>
        <v>#NAME?</v>
      </c>
      <c r="CJ203" s="253" t="e">
        <f aca="false">xSPRDOPT((VLOOKUP(G203,NGPREVPRICES,2,FALSE())+HLOOKUP(D203,PREVCURVES,VLOOKUP(G203,MOVE_DOWN2,2,FALSE()),FALSE())),VLOOKUP(G203,NGPREVPRICES,2,FALSE()),CK203,VLOOKUP(G203,NGPREVPRICES,4,FALSE()),HLOOKUP(D203,PREVVOLS,VLOOKUP(G203,MOVE_DOWN2,2,FALSE()),FALSE()),VLOOKUP(G203,NGPREVPRICES,3,FALSE()),HLOOKUP(D203,Correllate,VLOOKUP(G203,CorMove,2,FALSE()),FALSE()),Q203-$CD$3,R203,$CJ$5)*H203</f>
        <v>#NAME?</v>
      </c>
      <c r="CK203" s="254" t="n">
        <f aca="false">I203</f>
        <v>2.2</v>
      </c>
      <c r="CL203" s="253"/>
      <c r="CM203" s="0" t="str">
        <f aca="false">CONCATENATE(CC203,$CD$6)</f>
        <v>36923Curve Shift/Gamma</v>
      </c>
      <c r="CN203" s="0" t="str">
        <f aca="false">CONCATENATE($CC203,$CE$6)</f>
        <v>36923Rho</v>
      </c>
      <c r="CO203" s="0" t="str">
        <f aca="false">CONCATENATE($CC203,$CF$6)</f>
        <v>36923Drift</v>
      </c>
      <c r="CP203" s="0" t="str">
        <f aca="false">CONCATENATE($CC203,$CG$6)</f>
        <v>36923Vega</v>
      </c>
      <c r="CQ203" s="0" t="str">
        <f aca="false">CONCATENATE($CC203,$CH$6)</f>
        <v>36923Theta</v>
      </c>
    </row>
    <row r="204" customFormat="false" ht="12" hidden="false" customHeight="true" outlineLevel="0" collapsed="false">
      <c r="A204" s="17" t="s">
        <v>244</v>
      </c>
      <c r="B204" s="0" t="s">
        <v>192</v>
      </c>
      <c r="C204" s="0" t="s">
        <v>271</v>
      </c>
      <c r="D204" s="7" t="s">
        <v>149</v>
      </c>
      <c r="E204" s="0" t="s">
        <v>131</v>
      </c>
      <c r="F204" s="0" t="s">
        <v>136</v>
      </c>
      <c r="G204" s="92" t="n">
        <v>36892</v>
      </c>
      <c r="H204" s="248" t="n">
        <v>-310000</v>
      </c>
      <c r="I204" s="0" t="n">
        <v>2.2</v>
      </c>
      <c r="J204" s="124" t="n">
        <f aca="false">VLOOKUP(G204,NGPrices,2,FALSE())</f>
        <v>4.744</v>
      </c>
      <c r="K204" s="125" t="n">
        <f aca="false">HLOOKUP(D204,Prices,VLOOKUP(G204,move_down,2,FALSE()),FALSE())+VLOOKUP(G204,CHANGE,HLOOKUP(D204,CHANGE,2,FALSE()),FALSE())</f>
        <v>2.17</v>
      </c>
      <c r="L204" s="124" t="n">
        <f aca="false">K204+J204</f>
        <v>6.914</v>
      </c>
      <c r="M204" s="126" t="n">
        <f aca="false">VLOOKUP(G204,NGPrices,4,FALSE())</f>
        <v>0.068374831148491</v>
      </c>
      <c r="N204" s="7" t="n">
        <f aca="false">VLOOKUP(G204,NGPrices,3,FALSE())</f>
        <v>0.605</v>
      </c>
      <c r="O204" s="7" t="n">
        <f aca="false">HLOOKUP(D204,VOLS,VLOOKUP(G204,move_down,2,FALSE()),FALSE())</f>
        <v>0.696</v>
      </c>
      <c r="P204" s="249" t="n">
        <f aca="false">HLOOKUP(D204,Correllate,VLOOKUP(G204,CorMove,2,FALSE()),FALSE())</f>
        <v>0.83</v>
      </c>
      <c r="Q204" s="92" t="n">
        <f aca="false">WORKDAY(G204,-2)</f>
        <v>36888</v>
      </c>
      <c r="R204" s="7" t="n">
        <f aca="false">IF(F204="P",0,1)</f>
        <v>1</v>
      </c>
      <c r="S204" s="130" t="e">
        <f aca="false">xSPRDOPT($L204,$J204,$I204,$M204,$O204,$N204,$P204,$Q204-$C$3,$R204,0)</f>
        <v>#NAME?</v>
      </c>
      <c r="T204" s="250" t="e">
        <f aca="false">xSPRDOPT($L204,$J204,$I204,$M204,$O204,$N204,$P204,$Q204-$C$3,$R204,1)*H204</f>
        <v>#NAME?</v>
      </c>
      <c r="U204" s="43" t="e">
        <f aca="false">S204*H204</f>
        <v>#NAME?</v>
      </c>
      <c r="V204" s="250" t="e">
        <f aca="false">xSPRDOPT($L204,$J204,$I204,$M204,$O204,$N204,$P204,$Q204-$C$3,$R204,2)*H204</f>
        <v>#NAME?</v>
      </c>
      <c r="W204" s="250" t="e">
        <f aca="false">+V204+T204</f>
        <v>#NAME?</v>
      </c>
      <c r="X204" s="2" t="str">
        <f aca="false">CONCATENATE(G204,D204)</f>
        <v>36892IF-TRANSCO/Z6</v>
      </c>
      <c r="Y204" s="251" t="n">
        <f aca="false">H204/10000</f>
        <v>-31</v>
      </c>
      <c r="Z204" s="226" t="e">
        <f aca="false">T204/H204</f>
        <v>#NAME?</v>
      </c>
      <c r="AA204" s="226" t="e">
        <f aca="false">xSPRDOPT($L204,$J204,$I204,$M204,$O204,$N204,$P204,$Q204-$C$3,$R204,3)</f>
        <v>#NAME?</v>
      </c>
      <c r="AB204" s="226" t="e">
        <f aca="false">((xSPRDOPT($L204+AB$5,$J204,$I204,$M204,$O204,$N204,$P204,$Q204-$C$3,$R204,3)*$H204)/10000)/100</f>
        <v>#NAME?</v>
      </c>
      <c r="AC204" s="226" t="e">
        <f aca="false">((xSPRDOPT($L204+$AB$5,$J204,$I204,$M204,$O204,$N204,$P204,$Q204-$C$3,$R204,7)*$H204)/100)</f>
        <v>#NAME?</v>
      </c>
      <c r="AD204" s="226" t="e">
        <f aca="false">(xSPRDOPT($L204+$AB$5,$J204,$I204,$M204,$O204,$N204,$P204,$Q204-$C$3,$R204,9)/365)*$H204</f>
        <v>#NAME?</v>
      </c>
      <c r="AE204" s="0" t="e">
        <f aca="false">CD204</f>
        <v>#NAME?</v>
      </c>
      <c r="AF204" s="226" t="e">
        <f aca="false">((O204/N204)*AH204)+AG204</f>
        <v>#NAME?</v>
      </c>
      <c r="AG204" s="226" t="e">
        <f aca="false">((xSPRDOPT($L204,$J204,$I204,$M204,$O204,$N204,$P204,$Q204-$C$3,$R204,6)*$H204)/100)</f>
        <v>#NAME?</v>
      </c>
      <c r="AH204" s="226" t="e">
        <f aca="false">((xSPRDOPT($L204,$J204,$I204,$M204,$O204,$N204,$P204,$Q204-$C$3,$R204,5)*$H204)/100)</f>
        <v>#NAME?</v>
      </c>
      <c r="AI204" s="226" t="e">
        <f aca="false">(((xSPRDOPT($L204,$J204,$I204,$M204,$O204,$N204,$P204,$Q204-$C$3,$R204,4)*$H204)/10000)/100)-AB204</f>
        <v>#NAME?</v>
      </c>
      <c r="AJ204" s="226"/>
      <c r="AK204" s="226"/>
      <c r="AL204" s="226"/>
      <c r="AM204" s="252"/>
      <c r="CC204" s="182" t="n">
        <f aca="false">G204</f>
        <v>36892</v>
      </c>
      <c r="CD204" s="253" t="e">
        <f aca="false">xSPRDOPT((VLOOKUP(G204,NGPrices,2,FALSE())+HLOOKUP(D204,Prices,VLOOKUP(G204,move_down,2,FALSE()),FALSE())),VLOOKUP(G204,NGPrices,2,FALSE()),I204,VLOOKUP(G204,NGPREVPRICES,4,FALSE()),HLOOKUP(D204,PREVVOLS,VLOOKUP(G204,MOVE_DOWN2,2,FALSE()),FALSE()),VLOOKUP(G204,NGPREVPRICES,3,FALSE()),HLOOKUP(D204,Correllate,VLOOKUP(G204,CorMove,2,FALSE()),FALSE()),Q204-$CD$3,R204,$CD$5)*H204-CJ204</f>
        <v>#NAME?</v>
      </c>
      <c r="CE204" s="253" t="e">
        <f aca="false">xSPRDOPT((VLOOKUP(G204,NGPREVPRICES,2,FALSE())+HLOOKUP(D204,PREVCURVES,VLOOKUP(G204,MOVE_DOWN2,2,FALSE()),FALSE())),VLOOKUP(G204,NGPREVPRICES,2,FALSE()),CK204,VLOOKUP(G204,NGPrices,4,FALSE()),HLOOKUP(D204,PREVVOLS,VLOOKUP(G204,MOVE_DOWN2,2,FALSE()),FALSE()),VLOOKUP(G204,NGPREVPRICES,3,FALSE()),HLOOKUP(D204,Correllate,VLOOKUP(G204,CorMove,2,FALSE()),FALSE()),Q204-$CD$3,R204,$CJ$5)*H204-CJ204</f>
        <v>#NAME?</v>
      </c>
      <c r="CF204" s="132" t="e">
        <f aca="false">(CJ204/VLOOKUP(CC204,discount,3,FALSE()))-(CJ204/VLOOKUP(CC204,discount,2,FALSE()))</f>
        <v>#NAME?</v>
      </c>
      <c r="CG204" s="253" t="e">
        <f aca="false">xSPRDOPT((VLOOKUP(G204,NGPREVPRICES,2,FALSE())+HLOOKUP(D204,PREVCURVES,VLOOKUP(G204,MOVE_DOWN2,2,FALSE()),FALSE())),VLOOKUP(G204,NGPREVPRICES,2,FALSE()),CK204,VLOOKUP(G204,NGPREVPRICES,4,FALSE()),HLOOKUP(D204,VOLS,VLOOKUP(G204,move_down,2,FALSE()),FALSE()),VLOOKUP(G204,NGPrices,3,FALSE()),HLOOKUP(D204,Correllate,VLOOKUP(G204,CorMove,2,FALSE()),FALSE()),Q204-$CD$3,R204,$CJ$5)*H204-CJ204</f>
        <v>#NAME?</v>
      </c>
      <c r="CH204" s="253" t="e">
        <f aca="false">xSPRDOPT((VLOOKUP(G204,NGPREVPRICES,2,FALSE())+HLOOKUP(D204,PREVCURVES,VLOOKUP(G204,MOVE_DOWN2,2,FALSE()),FALSE())),VLOOKUP(G204,NGPREVPRICES,2,FALSE()),CK204,VLOOKUP(G204,NGPREVPRICES,4,FALSE()),HLOOKUP(D204,PREVVOLS,VLOOKUP(G204,MOVE_DOWN2,2,FALSE()),FALSE()),VLOOKUP(G204,NGPREVPRICES,3,FALSE()),HLOOKUP(D204,Correllate,VLOOKUP(G204,CorMove,2,FALSE()),FALSE()),Q204-$C$3,R204,$CJ$5)*H204-CJ204</f>
        <v>#NAME?</v>
      </c>
      <c r="CI204" s="253" t="e">
        <f aca="false">SUM(CD204:CH204)</f>
        <v>#NAME?</v>
      </c>
      <c r="CJ204" s="281" t="e">
        <f aca="false">xSPRDOPT((VLOOKUP(G204,NGPREVPRICES,2,FALSE())+HLOOKUP(D204,PREVCURVES,VLOOKUP(G204,MOVE_DOWN2,2,FALSE()),FALSE())),VLOOKUP(G204,NGPREVPRICES,2,FALSE()),CK204,VLOOKUP(G204,NGPREVPRICES,4,FALSE()),HLOOKUP(D204,PREVVOLS,VLOOKUP(G204,MOVE_DOWN2,2,FALSE()),FALSE()),VLOOKUP(G204,NGPREVPRICES,3,FALSE()),HLOOKUP(D204,Correllate,VLOOKUP(G204,CorMove,2,FALSE()),FALSE()),Q204-$CD$3,R204,$CJ$5)*H204</f>
        <v>#NAME?</v>
      </c>
      <c r="CK204" s="254" t="n">
        <f aca="false">I204</f>
        <v>2.2</v>
      </c>
      <c r="CL204" s="253"/>
      <c r="CM204" s="0" t="str">
        <f aca="false">CONCATENATE(CC204,$CD$6)</f>
        <v>36892Curve Shift/Gamma</v>
      </c>
      <c r="CN204" s="0" t="str">
        <f aca="false">CONCATENATE($CC204,$CE$6)</f>
        <v>36892Rho</v>
      </c>
      <c r="CO204" s="0" t="str">
        <f aca="false">CONCATENATE($CC204,$CF$6)</f>
        <v>36892Drift</v>
      </c>
      <c r="CP204" s="0" t="str">
        <f aca="false">CONCATENATE($CC204,$CG$6)</f>
        <v>36892Vega</v>
      </c>
      <c r="CQ204" s="0" t="str">
        <f aca="false">CONCATENATE($CC204,$CH$6)</f>
        <v>36892Theta</v>
      </c>
    </row>
    <row r="205" customFormat="false" ht="12" hidden="false" customHeight="true" outlineLevel="0" collapsed="false">
      <c r="A205" s="17" t="s">
        <v>244</v>
      </c>
      <c r="B205" s="0" t="s">
        <v>192</v>
      </c>
      <c r="C205" s="0" t="s">
        <v>271</v>
      </c>
      <c r="D205" s="7" t="s">
        <v>149</v>
      </c>
      <c r="E205" s="0" t="s">
        <v>131</v>
      </c>
      <c r="F205" s="0" t="s">
        <v>136</v>
      </c>
      <c r="G205" s="92" t="n">
        <v>36861</v>
      </c>
      <c r="H205" s="248" t="n">
        <v>-310000</v>
      </c>
      <c r="I205" s="0" t="n">
        <v>2.2</v>
      </c>
      <c r="J205" s="124" t="n">
        <f aca="false">VLOOKUP(G205,NGPrices,2,FALSE())</f>
        <v>4.8</v>
      </c>
      <c r="K205" s="125" t="n">
        <f aca="false">HLOOKUP(D205,Prices,VLOOKUP(G205,move_down,2,FALSE()),FALSE())+VLOOKUP(G205,CHANGE,HLOOKUP(D205,CHANGE,2,FALSE()),FALSE())</f>
        <v>1.645</v>
      </c>
      <c r="L205" s="124" t="n">
        <f aca="false">K205+J205</f>
        <v>6.445</v>
      </c>
      <c r="M205" s="126" t="n">
        <f aca="false">VLOOKUP(G205,NGPrices,4,FALSE())</f>
        <v>0.068314027999354</v>
      </c>
      <c r="N205" s="7" t="n">
        <f aca="false">VLOOKUP(G205,NGPrices,3,FALSE())</f>
        <v>0.6</v>
      </c>
      <c r="O205" s="7" t="n">
        <f aca="false">HLOOKUP(D205,VOLS,VLOOKUP(G205,move_down,2,FALSE()),FALSE())</f>
        <v>0.69</v>
      </c>
      <c r="P205" s="249" t="n">
        <f aca="false">HLOOKUP(D205,Correllate,VLOOKUP(G205,CorMove,2,FALSE()),FALSE())</f>
        <v>0.83</v>
      </c>
      <c r="Q205" s="92" t="n">
        <f aca="false">WORKDAY(G205,-2)</f>
        <v>36859</v>
      </c>
      <c r="R205" s="7" t="n">
        <f aca="false">IF(F205="P",0,1)</f>
        <v>1</v>
      </c>
      <c r="S205" s="130" t="e">
        <f aca="false">xSPRDOPT($L205,$J205,$I205,$M205,$O205,$N205,$P205,$Q205-$C$3,$R205,0)</f>
        <v>#NAME?</v>
      </c>
      <c r="T205" s="250" t="e">
        <f aca="false">xSPRDOPT($L205,$J205,$I205,$M205,$O205,$N205,$P205,$Q205-$C$3,$R205,1)*H205</f>
        <v>#NAME?</v>
      </c>
      <c r="U205" s="43" t="e">
        <f aca="false">S205*H205</f>
        <v>#NAME?</v>
      </c>
      <c r="V205" s="250" t="e">
        <f aca="false">xSPRDOPT($L205,$J205,$I205,$M205,$O205,$N205,$P205,$Q205-$C$3,$R205,2)*H205</f>
        <v>#NAME?</v>
      </c>
      <c r="W205" s="250" t="e">
        <f aca="false">+V205+T205</f>
        <v>#NAME?</v>
      </c>
      <c r="X205" s="2" t="str">
        <f aca="false">CONCATENATE(G205,D205)</f>
        <v>36861IF-TRANSCO/Z6</v>
      </c>
      <c r="Y205" s="251" t="n">
        <f aca="false">H205/10000</f>
        <v>-31</v>
      </c>
      <c r="Z205" s="226" t="e">
        <f aca="false">T205/H205</f>
        <v>#NAME?</v>
      </c>
      <c r="AA205" s="226" t="e">
        <f aca="false">xSPRDOPT($L205,$J205,$I205,$M205,$O205,$N205,$P205,$Q205-$C$3,$R205,3)</f>
        <v>#NAME?</v>
      </c>
      <c r="AB205" s="226" t="e">
        <f aca="false">((xSPRDOPT($L205+AB$5,$J205,$I205,$M205,$O205,$N205,$P205,$Q205-$C$3,$R205,3)*$H205)/10000)/100</f>
        <v>#NAME?</v>
      </c>
      <c r="AC205" s="226" t="e">
        <f aca="false">((xSPRDOPT($L205+$AB$5,$J205,$I205,$M205,$O205,$N205,$P205,$Q205-$C$3,$R205,7)*$H205)/100)</f>
        <v>#NAME?</v>
      </c>
      <c r="AD205" s="226" t="e">
        <f aca="false">(xSPRDOPT($L205+$AB$5,$J205,$I205,$M205,$O205,$N205,$P205,$Q205-$C$3,$R205,9)/365)*$H205</f>
        <v>#NAME?</v>
      </c>
      <c r="AE205" s="0" t="e">
        <f aca="false">CD205</f>
        <v>#NAME?</v>
      </c>
      <c r="AF205" s="226" t="e">
        <f aca="false">((O205/N205)*AH205)+AG205</f>
        <v>#NAME?</v>
      </c>
      <c r="AG205" s="226" t="e">
        <f aca="false">((xSPRDOPT($L205,$J205,$I205,$M205,$O205,$N205,$P205,$Q205-$C$3,$R205,6)*$H205)/100)</f>
        <v>#NAME?</v>
      </c>
      <c r="AH205" s="226" t="e">
        <f aca="false">((xSPRDOPT($L205,$J205,$I205,$M205,$O205,$N205,$P205,$Q205-$C$3,$R205,5)*$H205)/100)</f>
        <v>#NAME?</v>
      </c>
      <c r="AI205" s="226" t="e">
        <f aca="false">(((xSPRDOPT($L205,$J205,$I205,$M205,$O205,$N205,$P205,$Q205-$C$3,$R205,4)*$H205)/10000)/100)-AB205</f>
        <v>#NAME?</v>
      </c>
      <c r="AJ205" s="226"/>
      <c r="AK205" s="226"/>
      <c r="AL205" s="226"/>
      <c r="AM205" s="252"/>
      <c r="CC205" s="182" t="n">
        <f aca="false">G205</f>
        <v>36861</v>
      </c>
      <c r="CD205" s="281" t="e">
        <f aca="false">xSPRDOPT((VLOOKUP(G205,NGPrices,2,FALSE())+HLOOKUP(D205,Prices,VLOOKUP(G205,move_down,2,FALSE()),FALSE())),VLOOKUP(G205,NGPrices,2,FALSE()),I205,VLOOKUP(G205,NGPREVPRICES,4,FALSE()),HLOOKUP(D205,PREVVOLS,VLOOKUP(G205,MOVE_DOWN2,2,FALSE()),FALSE()),VLOOKUP(G205,NGPREVPRICES,3,FALSE()),HLOOKUP(D205,Correllate,VLOOKUP(G205,CorMove,2,FALSE()),FALSE()),Q205-$CD$3,R205,$CD$5)*H205-CJ205</f>
        <v>#NAME?</v>
      </c>
      <c r="CE205" s="281" t="e">
        <f aca="false">xSPRDOPT((VLOOKUP(G205,NGPREVPRICES,2,FALSE())+HLOOKUP(D205,PREVCURVES,VLOOKUP(G205,MOVE_DOWN2,2,FALSE()),FALSE())),VLOOKUP(G205,NGPREVPRICES,2,FALSE()),CK205,VLOOKUP(G205,NGPrices,4,FALSE()),HLOOKUP(D205,PREVVOLS,VLOOKUP(G205,MOVE_DOWN2,2,FALSE()),FALSE()),VLOOKUP(G205,NGPREVPRICES,3,FALSE()),HLOOKUP(D205,Correllate,VLOOKUP(G205,CorMove,2,FALSE()),FALSE()),Q205-$CD$3,R205,$CJ$5)*H205-CJ205</f>
        <v>#NAME?</v>
      </c>
      <c r="CF205" s="282" t="e">
        <f aca="false">(CJ205/VLOOKUP(CC205,discount,3,FALSE()))-(CJ205/VLOOKUP(CC205,discount,2,FALSE()))</f>
        <v>#NAME?</v>
      </c>
      <c r="CG205" s="281" t="e">
        <f aca="false">xSPRDOPT((VLOOKUP(G205,NGPREVPRICES,2,FALSE())+HLOOKUP(D205,PREVCURVES,VLOOKUP(G205,MOVE_DOWN2,2,FALSE()),FALSE())),VLOOKUP(G205,NGPREVPRICES,2,FALSE()),CK205,VLOOKUP(G205,NGPREVPRICES,4,FALSE()),HLOOKUP(D205,VOLS,VLOOKUP(G205,move_down,2,FALSE()),FALSE()),VLOOKUP(G205,NGPrices,3,FALSE()),HLOOKUP(D205,Correllate,VLOOKUP(G205,CorMove,2,FALSE()),FALSE()),Q205-$CD$3,R205,$CJ$5)*H205-CJ205</f>
        <v>#NAME?</v>
      </c>
      <c r="CH205" s="281" t="e">
        <f aca="false">xSPRDOPT((VLOOKUP(G205,NGPREVPRICES,2,FALSE())+HLOOKUP(D205,PREVCURVES,VLOOKUP(G205,MOVE_DOWN2,2,FALSE()),FALSE())),VLOOKUP(G205,NGPREVPRICES,2,FALSE()),CK205,VLOOKUP(G205,NGPREVPRICES,4,FALSE()),HLOOKUP(D205,PREVVOLS,VLOOKUP(G205,MOVE_DOWN2,2,FALSE()),FALSE()),VLOOKUP(G205,NGPREVPRICES,3,FALSE()),HLOOKUP(D205,Correllate,VLOOKUP(G205,CorMove,2,FALSE()),FALSE()),Q205-$C$3,R205,$CJ$5)*H205-CJ205</f>
        <v>#NAME?</v>
      </c>
      <c r="CI205" s="281" t="e">
        <f aca="false">SUM(CD205:CH205)</f>
        <v>#NAME?</v>
      </c>
      <c r="CJ205" s="253" t="e">
        <f aca="false">xSPRDOPT((VLOOKUP(G205,NGPREVPRICES,2,FALSE())+HLOOKUP(D205,PREVCURVES,VLOOKUP(G205,MOVE_DOWN2,2,FALSE()),FALSE())),VLOOKUP(G205,NGPREVPRICES,2,FALSE()),CK205,VLOOKUP(G205,NGPREVPRICES,4,FALSE()),HLOOKUP(D205,PREVVOLS,VLOOKUP(G205,MOVE_DOWN2,2,FALSE()),FALSE()),VLOOKUP(G205,NGPREVPRICES,3,FALSE()),HLOOKUP(D205,Correllate,VLOOKUP(G205,CorMove,2,FALSE()),FALSE()),Q205-$CD$3,R205,$CJ$5)*H205</f>
        <v>#NAME?</v>
      </c>
      <c r="CK205" s="254" t="n">
        <f aca="false">I205</f>
        <v>2.2</v>
      </c>
      <c r="CL205" s="253"/>
      <c r="CM205" s="0" t="str">
        <f aca="false">CONCATENATE(CC205,$CD$6)</f>
        <v>36861Curve Shift/Gamma</v>
      </c>
      <c r="CN205" s="0" t="str">
        <f aca="false">CONCATENATE($CC205,$CE$6)</f>
        <v>36861Rho</v>
      </c>
      <c r="CO205" s="0" t="str">
        <f aca="false">CONCATENATE($CC205,$CF$6)</f>
        <v>36861Drift</v>
      </c>
      <c r="CP205" s="0" t="str">
        <f aca="false">CONCATENATE($CC205,$CG$6)</f>
        <v>36861Vega</v>
      </c>
      <c r="CQ205" s="0" t="str">
        <f aca="false">CONCATENATE($CC205,$CH$6)</f>
        <v>36861Theta</v>
      </c>
    </row>
    <row r="206" customFormat="false" ht="12" hidden="false" customHeight="true" outlineLevel="0" collapsed="false">
      <c r="A206" s="17" t="s">
        <v>244</v>
      </c>
      <c r="B206" s="0" t="s">
        <v>192</v>
      </c>
      <c r="C206" s="0" t="s">
        <v>271</v>
      </c>
      <c r="D206" s="7" t="s">
        <v>149</v>
      </c>
      <c r="E206" s="0" t="s">
        <v>131</v>
      </c>
      <c r="F206" s="0" t="s">
        <v>136</v>
      </c>
      <c r="G206" s="92" t="n">
        <v>36831</v>
      </c>
      <c r="H206" s="248" t="n">
        <v>-300000</v>
      </c>
      <c r="I206" s="0" t="n">
        <v>2.2</v>
      </c>
      <c r="J206" s="124" t="n">
        <f aca="false">VLOOKUP(G206,NGPrices,2,FALSE())</f>
        <v>4.736</v>
      </c>
      <c r="K206" s="125" t="n">
        <f aca="false">HLOOKUP(D206,Prices,VLOOKUP(G206,move_down,2,FALSE()),FALSE())+VLOOKUP(G206,CHANGE,HLOOKUP(D206,CHANGE,2,FALSE()),FALSE())</f>
        <v>0.77</v>
      </c>
      <c r="L206" s="124" t="n">
        <f aca="false">K206+J206</f>
        <v>5.506</v>
      </c>
      <c r="M206" s="126" t="n">
        <f aca="false">VLOOKUP(G206,NGPrices,4,FALSE())</f>
        <v>0.06810675983792</v>
      </c>
      <c r="N206" s="7" t="n">
        <f aca="false">VLOOKUP(G206,NGPrices,3,FALSE())</f>
        <v>0.595</v>
      </c>
      <c r="O206" s="7" t="n">
        <f aca="false">HLOOKUP(D206,VOLS,VLOOKUP(G206,move_down,2,FALSE()),FALSE())</f>
        <v>0.625</v>
      </c>
      <c r="P206" s="249" t="n">
        <f aca="false">HLOOKUP(D206,Correllate,VLOOKUP(G206,CorMove,2,FALSE()),FALSE())</f>
        <v>0.89</v>
      </c>
      <c r="Q206" s="92" t="n">
        <f aca="false">WORKDAY(G206,-2)</f>
        <v>36829</v>
      </c>
      <c r="R206" s="7" t="n">
        <f aca="false">IF(F206="P",0,1)</f>
        <v>1</v>
      </c>
      <c r="S206" s="130" t="e">
        <f aca="false">xSPRDOPT($L206,$J206,$I206,$M206,$O206,$N206,$P206,$Q206-$C$3,$R206,0)</f>
        <v>#NAME?</v>
      </c>
      <c r="T206" s="250" t="e">
        <f aca="false">xSPRDOPT($L206,$J206,$I206,$M206,$O206,$N206,$P206,$Q206-$C$3,$R206,1)*H206</f>
        <v>#NAME?</v>
      </c>
      <c r="U206" s="43" t="e">
        <f aca="false">S206*H206</f>
        <v>#NAME?</v>
      </c>
      <c r="V206" s="250" t="e">
        <f aca="false">xSPRDOPT($L206,$J206,$I206,$M206,$O206,$N206,$P206,$Q206-$C$3,$R206,2)*H206</f>
        <v>#NAME?</v>
      </c>
      <c r="W206" s="250" t="e">
        <f aca="false">+V206+T206</f>
        <v>#NAME?</v>
      </c>
      <c r="X206" s="2" t="str">
        <f aca="false">CONCATENATE(G206,D206)</f>
        <v>36831IF-TRANSCO/Z6</v>
      </c>
      <c r="Y206" s="251" t="n">
        <f aca="false">H206/10000</f>
        <v>-30</v>
      </c>
      <c r="Z206" s="226" t="e">
        <f aca="false">T206/H206</f>
        <v>#NAME?</v>
      </c>
      <c r="AA206" s="226" t="e">
        <f aca="false">xSPRDOPT($L206,$J206,$I206,$M206,$O206,$N206,$P206,$Q206-$C$3,$R206,3)</f>
        <v>#NAME?</v>
      </c>
      <c r="AB206" s="226" t="e">
        <f aca="false">((xSPRDOPT($L206+AB$5,$J206,$I206,$M206,$O206,$N206,$P206,$Q206-$C$3,$R206,3)*$H206)/10000)/100</f>
        <v>#NAME?</v>
      </c>
      <c r="AC206" s="226" t="e">
        <f aca="false">((xSPRDOPT($L206+$AB$5,$J206,$I206,$M206,$O206,$N206,$P206,$Q206-$C$3,$R206,7)*$H206)/100)</f>
        <v>#NAME?</v>
      </c>
      <c r="AD206" s="226" t="e">
        <f aca="false">(xSPRDOPT($L206+$AB$5,$J206,$I206,$M206,$O206,$N206,$P206,$Q206-$C$3,$R206,9)/365)*$H206</f>
        <v>#NAME?</v>
      </c>
      <c r="AE206" s="0" t="e">
        <f aca="false">CD206</f>
        <v>#NAME?</v>
      </c>
      <c r="AF206" s="226" t="e">
        <f aca="false">((O206/N206)*AH206)+AG206</f>
        <v>#NAME?</v>
      </c>
      <c r="AG206" s="226" t="e">
        <f aca="false">((xSPRDOPT($L206,$J206,$I206,$M206,$O206,$N206,$P206,$Q206-$C$3,$R206,6)*$H206)/100)</f>
        <v>#NAME?</v>
      </c>
      <c r="AH206" s="226" t="e">
        <f aca="false">((xSPRDOPT($L206,$J206,$I206,$M206,$O206,$N206,$P206,$Q206-$C$3,$R206,5)*$H206)/100)</f>
        <v>#NAME?</v>
      </c>
      <c r="AI206" s="226" t="e">
        <f aca="false">(((xSPRDOPT($L206,$J206,$I206,$M206,$O206,$N206,$P206,$Q206-$C$3,$R206,4)*$H206)/10000)/100)-AB206</f>
        <v>#NAME?</v>
      </c>
      <c r="AJ206" s="226"/>
      <c r="AK206" s="226"/>
      <c r="AL206" s="226"/>
      <c r="AM206" s="252"/>
      <c r="CC206" s="182" t="n">
        <f aca="false">G206</f>
        <v>36831</v>
      </c>
      <c r="CD206" s="253" t="e">
        <f aca="false">xSPRDOPT((VLOOKUP(G206,NGPrices,2,FALSE())+HLOOKUP(D206,Prices,VLOOKUP(G206,move_down,2,FALSE()),FALSE())),VLOOKUP(G206,NGPrices,2,FALSE()),I206,VLOOKUP(G206,NGPREVPRICES,4,FALSE()),HLOOKUP(D206,PREVVOLS,VLOOKUP(G206,MOVE_DOWN2,2,FALSE()),FALSE()),VLOOKUP(G206,NGPREVPRICES,3,FALSE()),HLOOKUP(D206,Correllate,VLOOKUP(G206,CorMove,2,FALSE()),FALSE()),Q206-$CD$3,R206,$CD$5)*H206-CJ206</f>
        <v>#NAME?</v>
      </c>
      <c r="CE206" s="253" t="e">
        <f aca="false">xSPRDOPT((VLOOKUP(G206,NGPREVPRICES,2,FALSE())+HLOOKUP(D206,PREVCURVES,VLOOKUP(G206,MOVE_DOWN2,2,FALSE()),FALSE())),VLOOKUP(G206,NGPREVPRICES,2,FALSE()),CK206,VLOOKUP(G206,NGPrices,4,FALSE()),HLOOKUP(D206,PREVVOLS,VLOOKUP(G206,MOVE_DOWN2,2,FALSE()),FALSE()),VLOOKUP(G206,NGPREVPRICES,3,FALSE()),HLOOKUP(D206,Correllate,VLOOKUP(G206,CorMove,2,FALSE()),FALSE()),Q206-$CD$3,R206,$CJ$5)*H206-CJ206</f>
        <v>#NAME?</v>
      </c>
      <c r="CF206" s="132" t="e">
        <f aca="false">(CJ206/VLOOKUP(CC206,discount,3,FALSE()))-(CJ206/VLOOKUP(CC206,discount,2,FALSE()))</f>
        <v>#NAME?</v>
      </c>
      <c r="CG206" s="253" t="e">
        <f aca="false">xSPRDOPT((VLOOKUP(G206,NGPREVPRICES,2,FALSE())+HLOOKUP(D206,PREVCURVES,VLOOKUP(G206,MOVE_DOWN2,2,FALSE()),FALSE())),VLOOKUP(G206,NGPREVPRICES,2,FALSE()),CK206,VLOOKUP(G206,NGPREVPRICES,4,FALSE()),HLOOKUP(D206,VOLS,VLOOKUP(G206,move_down,2,FALSE()),FALSE()),VLOOKUP(G206,NGPrices,3,FALSE()),HLOOKUP(D206,Correllate,VLOOKUP(G206,CorMove,2,FALSE()),FALSE()),Q206-$CD$3,R206,$CJ$5)*H206-CJ206</f>
        <v>#NAME?</v>
      </c>
      <c r="CH206" s="253" t="e">
        <f aca="false">xSPRDOPT((VLOOKUP(G206,NGPREVPRICES,2,FALSE())+HLOOKUP(D206,PREVCURVES,VLOOKUP(G206,MOVE_DOWN2,2,FALSE()),FALSE())),VLOOKUP(G206,NGPREVPRICES,2,FALSE()),CK206,VLOOKUP(G206,NGPREVPRICES,4,FALSE()),HLOOKUP(D206,PREVVOLS,VLOOKUP(G206,MOVE_DOWN2,2,FALSE()),FALSE()),VLOOKUP(G206,NGPREVPRICES,3,FALSE()),HLOOKUP(D206,Correllate,VLOOKUP(G206,CorMove,2,FALSE()),FALSE()),Q206-$C$3,R206,$CJ$5)*H206-CJ206</f>
        <v>#NAME?</v>
      </c>
      <c r="CI206" s="253" t="e">
        <f aca="false">SUM(CD206:CH206)</f>
        <v>#NAME?</v>
      </c>
      <c r="CJ206" s="253" t="e">
        <f aca="false">xSPRDOPT((VLOOKUP(G206,NGPREVPRICES,2,FALSE())+HLOOKUP(D206,PREVCURVES,VLOOKUP(G206,MOVE_DOWN2,2,FALSE()),FALSE())),VLOOKUP(G206,NGPREVPRICES,2,FALSE()),CK206,VLOOKUP(G206,NGPREVPRICES,4,FALSE()),HLOOKUP(D206,PREVVOLS,VLOOKUP(G206,MOVE_DOWN2,2,FALSE()),FALSE()),VLOOKUP(G206,NGPREVPRICES,3,FALSE()),HLOOKUP(D206,Correllate,VLOOKUP(G206,CorMove,2,FALSE()),FALSE()),Q206-$CD$3,R206,$CJ$5)*H206</f>
        <v>#NAME?</v>
      </c>
      <c r="CK206" s="254" t="n">
        <f aca="false">I206</f>
        <v>2.2</v>
      </c>
      <c r="CL206" s="253"/>
      <c r="CM206" s="0" t="str">
        <f aca="false">CONCATENATE(CC206,$CD$6)</f>
        <v>36831Curve Shift/Gamma</v>
      </c>
      <c r="CN206" s="0" t="str">
        <f aca="false">CONCATENATE($CC206,$CE$6)</f>
        <v>36831Rho</v>
      </c>
      <c r="CO206" s="0" t="str">
        <f aca="false">CONCATENATE($CC206,$CF$6)</f>
        <v>36831Drift</v>
      </c>
      <c r="CP206" s="0" t="str">
        <f aca="false">CONCATENATE($CC206,$CG$6)</f>
        <v>36831Vega</v>
      </c>
      <c r="CQ206" s="0" t="str">
        <f aca="false">CONCATENATE($CC206,$CH$6)</f>
        <v>36831Theta</v>
      </c>
    </row>
    <row r="207" customFormat="false" ht="12" hidden="false" customHeight="true" outlineLevel="0" collapsed="false">
      <c r="A207" s="17" t="s">
        <v>206</v>
      </c>
      <c r="B207" s="0" t="s">
        <v>192</v>
      </c>
      <c r="C207" s="0" t="s">
        <v>272</v>
      </c>
      <c r="D207" s="7" t="s">
        <v>149</v>
      </c>
      <c r="E207" s="0" t="s">
        <v>131</v>
      </c>
      <c r="F207" s="0" t="s">
        <v>136</v>
      </c>
      <c r="G207" s="92" t="n">
        <v>36951</v>
      </c>
      <c r="H207" s="248" t="n">
        <v>-500000</v>
      </c>
      <c r="I207" s="0" t="n">
        <v>1.6</v>
      </c>
      <c r="J207" s="124" t="n">
        <f aca="false">VLOOKUP(G207,NGPrices,2,FALSE())</f>
        <v>4.213</v>
      </c>
      <c r="K207" s="125" t="n">
        <f aca="false">HLOOKUP(D207,Prices,VLOOKUP(G207,move_down,2,FALSE()),FALSE())+VLOOKUP(G207,CHANGE,HLOOKUP(D207,CHANGE,2,FALSE()),FALSE())</f>
        <v>1.075</v>
      </c>
      <c r="L207" s="124" t="n">
        <f aca="false">K207+J207</f>
        <v>5.288</v>
      </c>
      <c r="M207" s="126" t="n">
        <f aca="false">VLOOKUP(G207,NGPrices,4,FALSE())</f>
        <v>0.068879814952707</v>
      </c>
      <c r="N207" s="7" t="n">
        <f aca="false">VLOOKUP(G207,NGPrices,3,FALSE())</f>
        <v>0.5325</v>
      </c>
      <c r="O207" s="7" t="n">
        <f aca="false">HLOOKUP(D207,VOLS,VLOOKUP(G207,move_down,2,FALSE()),FALSE())</f>
        <v>0.612</v>
      </c>
      <c r="P207" s="249" t="n">
        <f aca="false">HLOOKUP(D207,Correllate,VLOOKUP(G207,CorMove,2,FALSE()),FALSE())</f>
        <v>0.83</v>
      </c>
      <c r="Q207" s="92" t="n">
        <f aca="false">WORKDAY(G207,-2)</f>
        <v>36949</v>
      </c>
      <c r="R207" s="7" t="n">
        <f aca="false">IF(F207="P",0,1)</f>
        <v>1</v>
      </c>
      <c r="S207" s="130" t="e">
        <f aca="false">xSPRDOPT($L207,$J207,$I207,$M207,$O207,$N207,$P207,$Q207-$C$3,$R207,0)</f>
        <v>#NAME?</v>
      </c>
      <c r="T207" s="250" t="e">
        <f aca="false">xSPRDOPT($L207,$J207,$I207,$M207,$O207,$N207,$P207,$Q207-$C$3,$R207,1)*H207</f>
        <v>#NAME?</v>
      </c>
      <c r="U207" s="43" t="e">
        <f aca="false">S207*H207</f>
        <v>#NAME?</v>
      </c>
      <c r="V207" s="250" t="e">
        <f aca="false">xSPRDOPT($L207,$J207,$I207,$M207,$O207,$N207,$P207,$Q207-$C$3,$R207,2)*H207</f>
        <v>#NAME?</v>
      </c>
      <c r="W207" s="250" t="e">
        <f aca="false">+V207+T207</f>
        <v>#NAME?</v>
      </c>
      <c r="X207" s="2" t="str">
        <f aca="false">CONCATENATE(G207,D207)</f>
        <v>36951IF-TRANSCO/Z6</v>
      </c>
      <c r="Y207" s="251" t="n">
        <f aca="false">H207/10000</f>
        <v>-50</v>
      </c>
      <c r="Z207" s="226" t="e">
        <f aca="false">T207/H207</f>
        <v>#NAME?</v>
      </c>
      <c r="AA207" s="226" t="e">
        <f aca="false">xSPRDOPT($L207,$J207,$I207,$M207,$O207,$N207,$P207,$Q207-$C$3,$R207,3)</f>
        <v>#NAME?</v>
      </c>
      <c r="AB207" s="226" t="e">
        <f aca="false">((xSPRDOPT($L207+AB$5,$J207,$I207,$M207,$O207,$N207,$P207,$Q207-$C$3,$R207,3)*$H207)/10000)/100</f>
        <v>#NAME?</v>
      </c>
      <c r="AC207" s="226" t="e">
        <f aca="false">((xSPRDOPT($L207+$AB$5,$J207,$I207,$M207,$O207,$N207,$P207,$Q207-$C$3,$R207,7)*$H207)/100)</f>
        <v>#NAME?</v>
      </c>
      <c r="AD207" s="226" t="e">
        <f aca="false">(xSPRDOPT($L207+$AB$5,$J207,$I207,$M207,$O207,$N207,$P207,$Q207-$C$3,$R207,9)/365)*$H207</f>
        <v>#NAME?</v>
      </c>
      <c r="AE207" s="0" t="e">
        <f aca="false">CD207</f>
        <v>#NAME?</v>
      </c>
      <c r="AF207" s="226" t="e">
        <f aca="false">((O207/N207)*AH207)+AG207</f>
        <v>#NAME?</v>
      </c>
      <c r="AG207" s="226" t="e">
        <f aca="false">((xSPRDOPT($L207,$J207,$I207,$M207,$O207,$N207,$P207,$Q207-$C$3,$R207,6)*$H207)/100)</f>
        <v>#NAME?</v>
      </c>
      <c r="AH207" s="226" t="e">
        <f aca="false">((xSPRDOPT($L207,$J207,$I207,$M207,$O207,$N207,$P207,$Q207-$C$3,$R207,5)*$H207)/100)</f>
        <v>#NAME?</v>
      </c>
      <c r="AI207" s="226" t="e">
        <f aca="false">(((xSPRDOPT($L207,$J207,$I207,$M207,$O207,$N207,$P207,$Q207-$C$3,$R207,4)*$H207)/10000)/100)-AB207</f>
        <v>#NAME?</v>
      </c>
      <c r="AJ207" s="226"/>
      <c r="AK207" s="226"/>
      <c r="AL207" s="226"/>
      <c r="AM207" s="252"/>
      <c r="CC207" s="182" t="n">
        <f aca="false">G207</f>
        <v>36951</v>
      </c>
      <c r="CD207" s="253" t="e">
        <f aca="false">xSPRDOPT((VLOOKUP(G207,NGPrices,2,FALSE())+HLOOKUP(D207,Prices,VLOOKUP(G207,move_down,2,FALSE()),FALSE())),VLOOKUP(G207,NGPrices,2,FALSE()),I207,VLOOKUP(G207,NGPREVPRICES,4,FALSE()),HLOOKUP(D207,PREVVOLS,VLOOKUP(G207,MOVE_DOWN2,2,FALSE()),FALSE()),VLOOKUP(G207,NGPREVPRICES,3,FALSE()),HLOOKUP(D207,Correllate,VLOOKUP(G207,CorMove,2,FALSE()),FALSE()),Q207-$CD$3,R207,$CD$5)*H207-CJ207</f>
        <v>#NAME?</v>
      </c>
      <c r="CE207" s="253" t="e">
        <f aca="false">xSPRDOPT((VLOOKUP(G207,NGPREVPRICES,2,FALSE())+HLOOKUP(D207,PREVCURVES,VLOOKUP(G207,MOVE_DOWN2,2,FALSE()),FALSE())),VLOOKUP(G207,NGPREVPRICES,2,FALSE()),CK207,VLOOKUP(G207,NGPrices,4,FALSE()),HLOOKUP(D207,PREVVOLS,VLOOKUP(G207,MOVE_DOWN2,2,FALSE()),FALSE()),VLOOKUP(G207,NGPREVPRICES,3,FALSE()),HLOOKUP(D207,Correllate,VLOOKUP(G207,CorMove,2,FALSE()),FALSE()),Q207-$CD$3,R207,$CJ$5)*H207-CJ207</f>
        <v>#NAME?</v>
      </c>
      <c r="CF207" s="132" t="e">
        <f aca="false">(CJ207/VLOOKUP(CC207,discount,3,FALSE()))-(CJ207/VLOOKUP(CC207,discount,2,FALSE()))</f>
        <v>#NAME?</v>
      </c>
      <c r="CG207" s="253" t="e">
        <f aca="false">xSPRDOPT((VLOOKUP(G207,NGPREVPRICES,2,FALSE())+HLOOKUP(D207,PREVCURVES,VLOOKUP(G207,MOVE_DOWN2,2,FALSE()),FALSE())),VLOOKUP(G207,NGPREVPRICES,2,FALSE()),CK207,VLOOKUP(G207,NGPREVPRICES,4,FALSE()),HLOOKUP(D207,VOLS,VLOOKUP(G207,move_down,2,FALSE()),FALSE()),VLOOKUP(G207,NGPrices,3,FALSE()),HLOOKUP(D207,Correllate,VLOOKUP(G207,CorMove,2,FALSE()),FALSE()),Q207-$CD$3,R207,$CJ$5)*H207-CJ207</f>
        <v>#NAME?</v>
      </c>
      <c r="CH207" s="253" t="e">
        <f aca="false">xSPRDOPT((VLOOKUP(G207,NGPREVPRICES,2,FALSE())+HLOOKUP(D207,PREVCURVES,VLOOKUP(G207,MOVE_DOWN2,2,FALSE()),FALSE())),VLOOKUP(G207,NGPREVPRICES,2,FALSE()),CK207,VLOOKUP(G207,NGPREVPRICES,4,FALSE()),HLOOKUP(D207,PREVVOLS,VLOOKUP(G207,MOVE_DOWN2,2,FALSE()),FALSE()),VLOOKUP(G207,NGPREVPRICES,3,FALSE()),HLOOKUP(D207,Correllate,VLOOKUP(G207,CorMove,2,FALSE()),FALSE()),Q207-$C$3,R207,$CJ$5)*H207-CJ207</f>
        <v>#NAME?</v>
      </c>
      <c r="CI207" s="253" t="e">
        <f aca="false">SUM(CD207:CH207)</f>
        <v>#NAME?</v>
      </c>
      <c r="CJ207" s="253" t="e">
        <f aca="false">xSPRDOPT((VLOOKUP(G207,NGPREVPRICES,2,FALSE())+HLOOKUP(D207,PREVCURVES,VLOOKUP(G207,MOVE_DOWN2,2,FALSE()),FALSE())),VLOOKUP(G207,NGPREVPRICES,2,FALSE()),CK207,VLOOKUP(G207,NGPREVPRICES,4,FALSE()),HLOOKUP(D207,PREVVOLS,VLOOKUP(G207,MOVE_DOWN2,2,FALSE()),FALSE()),VLOOKUP(G207,NGPREVPRICES,3,FALSE()),HLOOKUP(D207,Correllate,VLOOKUP(G207,CorMove,2,FALSE()),FALSE()),Q207-$CD$3,R207,$CJ$5)*H207</f>
        <v>#NAME?</v>
      </c>
      <c r="CK207" s="254" t="n">
        <f aca="false">I207</f>
        <v>1.6</v>
      </c>
      <c r="CL207" s="253"/>
      <c r="CM207" s="0" t="str">
        <f aca="false">CONCATENATE(CC207,$CD$6)</f>
        <v>36951Curve Shift/Gamma</v>
      </c>
      <c r="CN207" s="0" t="str">
        <f aca="false">CONCATENATE($CC207,$CE$6)</f>
        <v>36951Rho</v>
      </c>
      <c r="CO207" s="0" t="str">
        <f aca="false">CONCATENATE($CC207,$CF$6)</f>
        <v>36951Drift</v>
      </c>
      <c r="CP207" s="0" t="str">
        <f aca="false">CONCATENATE($CC207,$CG$6)</f>
        <v>36951Vega</v>
      </c>
      <c r="CQ207" s="0" t="str">
        <f aca="false">CONCATENATE($CC207,$CH$6)</f>
        <v>36951Theta</v>
      </c>
    </row>
    <row r="208" customFormat="false" ht="12" hidden="false" customHeight="true" outlineLevel="0" collapsed="false">
      <c r="A208" s="17" t="s">
        <v>206</v>
      </c>
      <c r="B208" s="0" t="s">
        <v>192</v>
      </c>
      <c r="C208" s="0" t="s">
        <v>272</v>
      </c>
      <c r="D208" s="7" t="s">
        <v>149</v>
      </c>
      <c r="E208" s="0" t="s">
        <v>131</v>
      </c>
      <c r="F208" s="0" t="s">
        <v>136</v>
      </c>
      <c r="G208" s="92" t="n">
        <v>36923</v>
      </c>
      <c r="H208" s="248" t="n">
        <v>-500000</v>
      </c>
      <c r="I208" s="0" t="n">
        <v>1.6</v>
      </c>
      <c r="J208" s="124" t="n">
        <f aca="false">VLOOKUP(G208,NGPrices,2,FALSE())</f>
        <v>4.48</v>
      </c>
      <c r="K208" s="125" t="n">
        <f aca="false">HLOOKUP(D208,Prices,VLOOKUP(G208,move_down,2,FALSE()),FALSE())+VLOOKUP(G208,CHANGE,HLOOKUP(D208,CHANGE,2,FALSE()),FALSE())</f>
        <v>2.09</v>
      </c>
      <c r="L208" s="124" t="n">
        <f aca="false">K208+J208</f>
        <v>6.57</v>
      </c>
      <c r="M208" s="126" t="n">
        <f aca="false">VLOOKUP(G208,NGPrices,4,FALSE())</f>
        <v>0.068640161611372</v>
      </c>
      <c r="N208" s="7" t="n">
        <f aca="false">VLOOKUP(G208,NGPrices,3,FALSE())</f>
        <v>0.5925</v>
      </c>
      <c r="O208" s="7" t="n">
        <f aca="false">HLOOKUP(D208,VOLS,VLOOKUP(G208,move_down,2,FALSE()),FALSE())</f>
        <v>0.681</v>
      </c>
      <c r="P208" s="249" t="n">
        <f aca="false">HLOOKUP(D208,Correllate,VLOOKUP(G208,CorMove,2,FALSE()),FALSE())</f>
        <v>0.83</v>
      </c>
      <c r="Q208" s="92" t="n">
        <f aca="false">WORKDAY(G208,-2)</f>
        <v>36921</v>
      </c>
      <c r="R208" s="7" t="n">
        <f aca="false">IF(F208="P",0,1)</f>
        <v>1</v>
      </c>
      <c r="S208" s="130" t="e">
        <f aca="false">xSPRDOPT($L208,$J208,$I208,$M208,$O208,$N208,$P208,$Q208-$C$3,$R208,0)</f>
        <v>#NAME?</v>
      </c>
      <c r="T208" s="250" t="e">
        <f aca="false">xSPRDOPT($L208,$J208,$I208,$M208,$O208,$N208,$P208,$Q208-$C$3,$R208,1)*H208</f>
        <v>#NAME?</v>
      </c>
      <c r="U208" s="43" t="e">
        <f aca="false">S208*H208</f>
        <v>#NAME?</v>
      </c>
      <c r="V208" s="250" t="e">
        <f aca="false">xSPRDOPT($L208,$J208,$I208,$M208,$O208,$N208,$P208,$Q208-$C$3,$R208,2)*H208</f>
        <v>#NAME?</v>
      </c>
      <c r="W208" s="250" t="e">
        <f aca="false">+V208+T208</f>
        <v>#NAME?</v>
      </c>
      <c r="X208" s="2" t="str">
        <f aca="false">CONCATENATE(G208,D208)</f>
        <v>36923IF-TRANSCO/Z6</v>
      </c>
      <c r="Y208" s="251" t="n">
        <f aca="false">H208/10000</f>
        <v>-50</v>
      </c>
      <c r="Z208" s="226" t="e">
        <f aca="false">T208/H208</f>
        <v>#NAME?</v>
      </c>
      <c r="AA208" s="226" t="e">
        <f aca="false">xSPRDOPT($L208,$J208,$I208,$M208,$O208,$N208,$P208,$Q208-$C$3,$R208,3)</f>
        <v>#NAME?</v>
      </c>
      <c r="AB208" s="226" t="e">
        <f aca="false">((xSPRDOPT($L208+AB$5,$J208,$I208,$M208,$O208,$N208,$P208,$Q208-$C$3,$R208,3)*$H208)/10000)/100</f>
        <v>#NAME?</v>
      </c>
      <c r="AC208" s="226" t="e">
        <f aca="false">((xSPRDOPT($L208+$AB$5,$J208,$I208,$M208,$O208,$N208,$P208,$Q208-$C$3,$R208,7)*$H208)/100)</f>
        <v>#NAME?</v>
      </c>
      <c r="AD208" s="226" t="e">
        <f aca="false">(xSPRDOPT($L208+$AB$5,$J208,$I208,$M208,$O208,$N208,$P208,$Q208-$C$3,$R208,9)/365)*$H208</f>
        <v>#NAME?</v>
      </c>
      <c r="AE208" s="0" t="e">
        <f aca="false">CD208</f>
        <v>#NAME?</v>
      </c>
      <c r="AF208" s="226" t="e">
        <f aca="false">((O208/N208)*AH208)+AG208</f>
        <v>#NAME?</v>
      </c>
      <c r="AG208" s="226" t="e">
        <f aca="false">((xSPRDOPT($L208,$J208,$I208,$M208,$O208,$N208,$P208,$Q208-$C$3,$R208,6)*$H208)/100)</f>
        <v>#NAME?</v>
      </c>
      <c r="AH208" s="226" t="e">
        <f aca="false">((xSPRDOPT($L208,$J208,$I208,$M208,$O208,$N208,$P208,$Q208-$C$3,$R208,5)*$H208)/100)</f>
        <v>#NAME?</v>
      </c>
      <c r="AI208" s="226" t="e">
        <f aca="false">(((xSPRDOPT($L208,$J208,$I208,$M208,$O208,$N208,$P208,$Q208-$C$3,$R208,4)*$H208)/10000)/100)-AB208</f>
        <v>#NAME?</v>
      </c>
      <c r="AJ208" s="226"/>
      <c r="AK208" s="226"/>
      <c r="AL208" s="226"/>
      <c r="AM208" s="252"/>
      <c r="CC208" s="182" t="n">
        <f aca="false">G208</f>
        <v>36923</v>
      </c>
      <c r="CD208" s="253" t="e">
        <f aca="false">xSPRDOPT((VLOOKUP(G208,NGPrices,2,FALSE())+HLOOKUP(D208,Prices,VLOOKUP(G208,move_down,2,FALSE()),FALSE())),VLOOKUP(G208,NGPrices,2,FALSE()),I208,VLOOKUP(G208,NGPREVPRICES,4,FALSE()),HLOOKUP(D208,PREVVOLS,VLOOKUP(G208,MOVE_DOWN2,2,FALSE()),FALSE()),VLOOKUP(G208,NGPREVPRICES,3,FALSE()),HLOOKUP(D208,Correllate,VLOOKUP(G208,CorMove,2,FALSE()),FALSE()),Q208-$CD$3,R208,$CD$5)*H208-CJ208</f>
        <v>#NAME?</v>
      </c>
      <c r="CE208" s="253" t="e">
        <f aca="false">xSPRDOPT((VLOOKUP(G208,NGPREVPRICES,2,FALSE())+HLOOKUP(D208,PREVCURVES,VLOOKUP(G208,MOVE_DOWN2,2,FALSE()),FALSE())),VLOOKUP(G208,NGPREVPRICES,2,FALSE()),CK208,VLOOKUP(G208,NGPrices,4,FALSE()),HLOOKUP(D208,PREVVOLS,VLOOKUP(G208,MOVE_DOWN2,2,FALSE()),FALSE()),VLOOKUP(G208,NGPREVPRICES,3,FALSE()),HLOOKUP(D208,Correllate,VLOOKUP(G208,CorMove,2,FALSE()),FALSE()),Q208-$CD$3,R208,$CJ$5)*H208-CJ208</f>
        <v>#NAME?</v>
      </c>
      <c r="CF208" s="132" t="e">
        <f aca="false">(CJ208/VLOOKUP(CC208,discount,3,FALSE()))-(CJ208/VLOOKUP(CC208,discount,2,FALSE()))</f>
        <v>#NAME?</v>
      </c>
      <c r="CG208" s="253" t="e">
        <f aca="false">xSPRDOPT((VLOOKUP(G208,NGPREVPRICES,2,FALSE())+HLOOKUP(D208,PREVCURVES,VLOOKUP(G208,MOVE_DOWN2,2,FALSE()),FALSE())),VLOOKUP(G208,NGPREVPRICES,2,FALSE()),CK208,VLOOKUP(G208,NGPREVPRICES,4,FALSE()),HLOOKUP(D208,VOLS,VLOOKUP(G208,move_down,2,FALSE()),FALSE()),VLOOKUP(G208,NGPrices,3,FALSE()),HLOOKUP(D208,Correllate,VLOOKUP(G208,CorMove,2,FALSE()),FALSE()),Q208-$CD$3,R208,$CJ$5)*H208-CJ208</f>
        <v>#NAME?</v>
      </c>
      <c r="CH208" s="253" t="e">
        <f aca="false">xSPRDOPT((VLOOKUP(G208,NGPREVPRICES,2,FALSE())+HLOOKUP(D208,PREVCURVES,VLOOKUP(G208,MOVE_DOWN2,2,FALSE()),FALSE())),VLOOKUP(G208,NGPREVPRICES,2,FALSE()),CK208,VLOOKUP(G208,NGPREVPRICES,4,FALSE()),HLOOKUP(D208,PREVVOLS,VLOOKUP(G208,MOVE_DOWN2,2,FALSE()),FALSE()),VLOOKUP(G208,NGPREVPRICES,3,FALSE()),HLOOKUP(D208,Correllate,VLOOKUP(G208,CorMove,2,FALSE()),FALSE()),Q208-$C$3,R208,$CJ$5)*H208-CJ208</f>
        <v>#NAME?</v>
      </c>
      <c r="CI208" s="253" t="e">
        <f aca="false">SUM(CD208:CH208)</f>
        <v>#NAME?</v>
      </c>
      <c r="CJ208" s="253" t="e">
        <f aca="false">xSPRDOPT((VLOOKUP(G208,NGPREVPRICES,2,FALSE())+HLOOKUP(D208,PREVCURVES,VLOOKUP(G208,MOVE_DOWN2,2,FALSE()),FALSE())),VLOOKUP(G208,NGPREVPRICES,2,FALSE()),CK208,VLOOKUP(G208,NGPREVPRICES,4,FALSE()),HLOOKUP(D208,PREVVOLS,VLOOKUP(G208,MOVE_DOWN2,2,FALSE()),FALSE()),VLOOKUP(G208,NGPREVPRICES,3,FALSE()),HLOOKUP(D208,Correllate,VLOOKUP(G208,CorMove,2,FALSE()),FALSE()),Q208-$CD$3,R208,$CJ$5)*H208</f>
        <v>#NAME?</v>
      </c>
      <c r="CK208" s="254" t="n">
        <f aca="false">I208</f>
        <v>1.6</v>
      </c>
      <c r="CL208" s="253"/>
      <c r="CM208" s="0" t="str">
        <f aca="false">CONCATENATE(CC208,$CD$6)</f>
        <v>36923Curve Shift/Gamma</v>
      </c>
      <c r="CN208" s="0" t="str">
        <f aca="false">CONCATENATE($CC208,$CE$6)</f>
        <v>36923Rho</v>
      </c>
      <c r="CO208" s="0" t="str">
        <f aca="false">CONCATENATE($CC208,$CF$6)</f>
        <v>36923Drift</v>
      </c>
      <c r="CP208" s="0" t="str">
        <f aca="false">CONCATENATE($CC208,$CG$6)</f>
        <v>36923Vega</v>
      </c>
      <c r="CQ208" s="0" t="str">
        <f aca="false">CONCATENATE($CC208,$CH$6)</f>
        <v>36923Theta</v>
      </c>
    </row>
    <row r="209" customFormat="false" ht="12" hidden="false" customHeight="true" outlineLevel="0" collapsed="false">
      <c r="A209" s="17" t="s">
        <v>206</v>
      </c>
      <c r="B209" s="0" t="s">
        <v>192</v>
      </c>
      <c r="C209" s="0" t="s">
        <v>272</v>
      </c>
      <c r="D209" s="7" t="s">
        <v>149</v>
      </c>
      <c r="E209" s="0" t="s">
        <v>131</v>
      </c>
      <c r="F209" s="0" t="s">
        <v>136</v>
      </c>
      <c r="G209" s="92" t="n">
        <v>36892</v>
      </c>
      <c r="H209" s="248" t="n">
        <v>-500000</v>
      </c>
      <c r="I209" s="0" t="n">
        <v>1.6</v>
      </c>
      <c r="J209" s="124" t="n">
        <f aca="false">VLOOKUP(G209,NGPrices,2,FALSE())</f>
        <v>4.744</v>
      </c>
      <c r="K209" s="125" t="n">
        <f aca="false">HLOOKUP(D209,Prices,VLOOKUP(G209,move_down,2,FALSE()),FALSE())+VLOOKUP(G209,CHANGE,HLOOKUP(D209,CHANGE,2,FALSE()),FALSE())</f>
        <v>2.17</v>
      </c>
      <c r="L209" s="124" t="n">
        <f aca="false">K209+J209</f>
        <v>6.914</v>
      </c>
      <c r="M209" s="126" t="n">
        <f aca="false">VLOOKUP(G209,NGPrices,4,FALSE())</f>
        <v>0.068374831148491</v>
      </c>
      <c r="N209" s="7" t="n">
        <f aca="false">VLOOKUP(G209,NGPrices,3,FALSE())</f>
        <v>0.605</v>
      </c>
      <c r="O209" s="7" t="n">
        <f aca="false">HLOOKUP(D209,VOLS,VLOOKUP(G209,move_down,2,FALSE()),FALSE())</f>
        <v>0.696</v>
      </c>
      <c r="P209" s="249" t="n">
        <f aca="false">HLOOKUP(D209,Correllate,VLOOKUP(G209,CorMove,2,FALSE()),FALSE())</f>
        <v>0.83</v>
      </c>
      <c r="Q209" s="92" t="n">
        <f aca="false">WORKDAY(G209,-2)</f>
        <v>36888</v>
      </c>
      <c r="R209" s="7" t="n">
        <f aca="false">IF(F209="P",0,1)</f>
        <v>1</v>
      </c>
      <c r="S209" s="130" t="e">
        <f aca="false">xSPRDOPT($L209,$J209,$I209,$M209,$O209,$N209,$P209,$Q209-$C$3,$R209,0)</f>
        <v>#NAME?</v>
      </c>
      <c r="T209" s="250" t="e">
        <f aca="false">xSPRDOPT($L209,$J209,$I209,$M209,$O209,$N209,$P209,$Q209-$C$3,$R209,1)*H209</f>
        <v>#NAME?</v>
      </c>
      <c r="U209" s="43" t="e">
        <f aca="false">S209*H209</f>
        <v>#NAME?</v>
      </c>
      <c r="V209" s="250" t="e">
        <f aca="false">xSPRDOPT($L209,$J209,$I209,$M209,$O209,$N209,$P209,$Q209-$C$3,$R209,2)*H209</f>
        <v>#NAME?</v>
      </c>
      <c r="W209" s="250" t="e">
        <f aca="false">+V209+T209</f>
        <v>#NAME?</v>
      </c>
      <c r="X209" s="2" t="str">
        <f aca="false">CONCATENATE(G209,D209)</f>
        <v>36892IF-TRANSCO/Z6</v>
      </c>
      <c r="Y209" s="251" t="n">
        <f aca="false">H209/10000</f>
        <v>-50</v>
      </c>
      <c r="Z209" s="226" t="e">
        <f aca="false">T209/H209</f>
        <v>#NAME?</v>
      </c>
      <c r="AA209" s="226" t="e">
        <f aca="false">xSPRDOPT($L209,$J209,$I209,$M209,$O209,$N209,$P209,$Q209-$C$3,$R209,3)</f>
        <v>#NAME?</v>
      </c>
      <c r="AB209" s="226" t="e">
        <f aca="false">((xSPRDOPT($L209+AB$5,$J209,$I209,$M209,$O209,$N209,$P209,$Q209-$C$3,$R209,3)*$H209)/10000)/100</f>
        <v>#NAME?</v>
      </c>
      <c r="AC209" s="226" t="e">
        <f aca="false">((xSPRDOPT($L209+$AB$5,$J209,$I209,$M209,$O209,$N209,$P209,$Q209-$C$3,$R209,7)*$H209)/100)</f>
        <v>#NAME?</v>
      </c>
      <c r="AD209" s="226" t="e">
        <f aca="false">(xSPRDOPT($L209+$AB$5,$J209,$I209,$M209,$O209,$N209,$P209,$Q209-$C$3,$R209,9)/365)*$H209</f>
        <v>#NAME?</v>
      </c>
      <c r="AE209" s="0" t="e">
        <f aca="false">CD209</f>
        <v>#NAME?</v>
      </c>
      <c r="AF209" s="226" t="e">
        <f aca="false">((O209/N209)*AH209)+AG209</f>
        <v>#NAME?</v>
      </c>
      <c r="AG209" s="226" t="e">
        <f aca="false">((xSPRDOPT($L209,$J209,$I209,$M209,$O209,$N209,$P209,$Q209-$C$3,$R209,6)*$H209)/100)</f>
        <v>#NAME?</v>
      </c>
      <c r="AH209" s="226" t="e">
        <f aca="false">((xSPRDOPT($L209,$J209,$I209,$M209,$O209,$N209,$P209,$Q209-$C$3,$R209,5)*$H209)/100)</f>
        <v>#NAME?</v>
      </c>
      <c r="AI209" s="226" t="e">
        <f aca="false">(((xSPRDOPT($L209,$J209,$I209,$M209,$O209,$N209,$P209,$Q209-$C$3,$R209,4)*$H209)/10000)/100)-AB209</f>
        <v>#NAME?</v>
      </c>
      <c r="AJ209" s="226"/>
      <c r="AK209" s="226"/>
      <c r="AL209" s="226"/>
      <c r="AM209" s="252"/>
      <c r="CC209" s="182" t="n">
        <f aca="false">G209</f>
        <v>36892</v>
      </c>
      <c r="CD209" s="253" t="e">
        <f aca="false">xSPRDOPT((VLOOKUP(G209,NGPrices,2,FALSE())+HLOOKUP(D209,Prices,VLOOKUP(G209,move_down,2,FALSE()),FALSE())),VLOOKUP(G209,NGPrices,2,FALSE()),I209,VLOOKUP(G209,NGPREVPRICES,4,FALSE()),HLOOKUP(D209,PREVVOLS,VLOOKUP(G209,MOVE_DOWN2,2,FALSE()),FALSE()),VLOOKUP(G209,NGPREVPRICES,3,FALSE()),HLOOKUP(D209,Correllate,VLOOKUP(G209,CorMove,2,FALSE()),FALSE()),Q209-$CD$3,R209,$CD$5)*H209-CJ209</f>
        <v>#NAME?</v>
      </c>
      <c r="CE209" s="253" t="e">
        <f aca="false">xSPRDOPT((VLOOKUP(G209,NGPREVPRICES,2,FALSE())+HLOOKUP(D209,PREVCURVES,VLOOKUP(G209,MOVE_DOWN2,2,FALSE()),FALSE())),VLOOKUP(G209,NGPREVPRICES,2,FALSE()),CK209,VLOOKUP(G209,NGPrices,4,FALSE()),HLOOKUP(D209,PREVVOLS,VLOOKUP(G209,MOVE_DOWN2,2,FALSE()),FALSE()),VLOOKUP(G209,NGPREVPRICES,3,FALSE()),HLOOKUP(D209,Correllate,VLOOKUP(G209,CorMove,2,FALSE()),FALSE()),Q209-$CD$3,R209,$CJ$5)*H209-CJ209</f>
        <v>#NAME?</v>
      </c>
      <c r="CF209" s="132" t="e">
        <f aca="false">(CJ209/VLOOKUP(CC209,discount,3,FALSE()))-(CJ209/VLOOKUP(CC209,discount,2,FALSE()))</f>
        <v>#NAME?</v>
      </c>
      <c r="CG209" s="253" t="e">
        <f aca="false">xSPRDOPT((VLOOKUP(G209,NGPREVPRICES,2,FALSE())+HLOOKUP(D209,PREVCURVES,VLOOKUP(G209,MOVE_DOWN2,2,FALSE()),FALSE())),VLOOKUP(G209,NGPREVPRICES,2,FALSE()),CK209,VLOOKUP(G209,NGPREVPRICES,4,FALSE()),HLOOKUP(D209,VOLS,VLOOKUP(G209,move_down,2,FALSE()),FALSE()),VLOOKUP(G209,NGPrices,3,FALSE()),HLOOKUP(D209,Correllate,VLOOKUP(G209,CorMove,2,FALSE()),FALSE()),Q209-$CD$3,R209,$CJ$5)*H209-CJ209</f>
        <v>#NAME?</v>
      </c>
      <c r="CH209" s="253" t="e">
        <f aca="false">xSPRDOPT((VLOOKUP(G209,NGPREVPRICES,2,FALSE())+HLOOKUP(D209,PREVCURVES,VLOOKUP(G209,MOVE_DOWN2,2,FALSE()),FALSE())),VLOOKUP(G209,NGPREVPRICES,2,FALSE()),CK209,VLOOKUP(G209,NGPREVPRICES,4,FALSE()),HLOOKUP(D209,PREVVOLS,VLOOKUP(G209,MOVE_DOWN2,2,FALSE()),FALSE()),VLOOKUP(G209,NGPREVPRICES,3,FALSE()),HLOOKUP(D209,Correllate,VLOOKUP(G209,CorMove,2,FALSE()),FALSE()),Q209-$C$3,R209,$CJ$5)*H209-CJ209</f>
        <v>#NAME?</v>
      </c>
      <c r="CI209" s="253" t="e">
        <f aca="false">SUM(CD209:CH209)</f>
        <v>#NAME?</v>
      </c>
      <c r="CJ209" s="253" t="e">
        <f aca="false">xSPRDOPT((VLOOKUP(G209,NGPREVPRICES,2,FALSE())+HLOOKUP(D209,PREVCURVES,VLOOKUP(G209,MOVE_DOWN2,2,FALSE()),FALSE())),VLOOKUP(G209,NGPREVPRICES,2,FALSE()),CK209,VLOOKUP(G209,NGPREVPRICES,4,FALSE()),HLOOKUP(D209,PREVVOLS,VLOOKUP(G209,MOVE_DOWN2,2,FALSE()),FALSE()),VLOOKUP(G209,NGPREVPRICES,3,FALSE()),HLOOKUP(D209,Correllate,VLOOKUP(G209,CorMove,2,FALSE()),FALSE()),Q209-$CD$3,R209,$CJ$5)*H209</f>
        <v>#NAME?</v>
      </c>
      <c r="CK209" s="254" t="n">
        <f aca="false">I209</f>
        <v>1.6</v>
      </c>
      <c r="CL209" s="253"/>
      <c r="CM209" s="0" t="str">
        <f aca="false">CONCATENATE(CC209,$CD$6)</f>
        <v>36892Curve Shift/Gamma</v>
      </c>
      <c r="CN209" s="0" t="str">
        <f aca="false">CONCATENATE($CC209,$CE$6)</f>
        <v>36892Rho</v>
      </c>
      <c r="CO209" s="0" t="str">
        <f aca="false">CONCATENATE($CC209,$CF$6)</f>
        <v>36892Drift</v>
      </c>
      <c r="CP209" s="0" t="str">
        <f aca="false">CONCATENATE($CC209,$CG$6)</f>
        <v>36892Vega</v>
      </c>
      <c r="CQ209" s="0" t="str">
        <f aca="false">CONCATENATE($CC209,$CH$6)</f>
        <v>36892Theta</v>
      </c>
    </row>
    <row r="210" customFormat="false" ht="12" hidden="false" customHeight="true" outlineLevel="0" collapsed="false">
      <c r="A210" s="17" t="s">
        <v>206</v>
      </c>
      <c r="B210" s="0" t="s">
        <v>192</v>
      </c>
      <c r="C210" s="0" t="s">
        <v>272</v>
      </c>
      <c r="D210" s="7" t="s">
        <v>149</v>
      </c>
      <c r="E210" s="0" t="s">
        <v>131</v>
      </c>
      <c r="F210" s="0" t="s">
        <v>136</v>
      </c>
      <c r="G210" s="92" t="n">
        <v>36861</v>
      </c>
      <c r="H210" s="248" t="n">
        <v>-500000</v>
      </c>
      <c r="I210" s="0" t="n">
        <v>1.6</v>
      </c>
      <c r="J210" s="124" t="n">
        <f aca="false">VLOOKUP(G210,NGPrices,2,FALSE())</f>
        <v>4.8</v>
      </c>
      <c r="K210" s="125" t="n">
        <f aca="false">HLOOKUP(D210,Prices,VLOOKUP(G210,move_down,2,FALSE()),FALSE())+VLOOKUP(G210,CHANGE,HLOOKUP(D210,CHANGE,2,FALSE()),FALSE())</f>
        <v>1.645</v>
      </c>
      <c r="L210" s="124" t="n">
        <f aca="false">K210+J210</f>
        <v>6.445</v>
      </c>
      <c r="M210" s="126" t="n">
        <f aca="false">VLOOKUP(G210,NGPrices,4,FALSE())</f>
        <v>0.068314027999354</v>
      </c>
      <c r="N210" s="7" t="n">
        <f aca="false">VLOOKUP(G210,NGPrices,3,FALSE())</f>
        <v>0.6</v>
      </c>
      <c r="O210" s="7" t="n">
        <f aca="false">HLOOKUP(D210,VOLS,VLOOKUP(G210,move_down,2,FALSE()),FALSE())</f>
        <v>0.69</v>
      </c>
      <c r="P210" s="249" t="n">
        <f aca="false">HLOOKUP(D210,Correllate,VLOOKUP(G210,CorMove,2,FALSE()),FALSE())</f>
        <v>0.83</v>
      </c>
      <c r="Q210" s="92" t="n">
        <f aca="false">WORKDAY(G210,-2)</f>
        <v>36859</v>
      </c>
      <c r="R210" s="7" t="n">
        <f aca="false">IF(F210="P",0,1)</f>
        <v>1</v>
      </c>
      <c r="S210" s="130" t="e">
        <f aca="false">xSPRDOPT($L210,$J210,$I210,$M210,$O210,$N210,$P210,$Q210-$C$3,$R210,0)</f>
        <v>#NAME?</v>
      </c>
      <c r="T210" s="250" t="e">
        <f aca="false">xSPRDOPT($L210,$J210,$I210,$M210,$O210,$N210,$P210,$Q210-$C$3,$R210,1)*H210</f>
        <v>#NAME?</v>
      </c>
      <c r="U210" s="43" t="e">
        <f aca="false">S210*H210</f>
        <v>#NAME?</v>
      </c>
      <c r="V210" s="250" t="e">
        <f aca="false">xSPRDOPT($L210,$J210,$I210,$M210,$O210,$N210,$P210,$Q210-$C$3,$R210,2)*H210</f>
        <v>#NAME?</v>
      </c>
      <c r="W210" s="250" t="e">
        <f aca="false">+V210+T210</f>
        <v>#NAME?</v>
      </c>
      <c r="X210" s="2" t="str">
        <f aca="false">CONCATENATE(G210,D210)</f>
        <v>36861IF-TRANSCO/Z6</v>
      </c>
      <c r="Y210" s="251" t="n">
        <f aca="false">H210/10000</f>
        <v>-50</v>
      </c>
      <c r="Z210" s="226" t="e">
        <f aca="false">T210/H210</f>
        <v>#NAME?</v>
      </c>
      <c r="AA210" s="226" t="e">
        <f aca="false">xSPRDOPT($L210,$J210,$I210,$M210,$O210,$N210,$P210,$Q210-$C$3,$R210,3)</f>
        <v>#NAME?</v>
      </c>
      <c r="AB210" s="226" t="e">
        <f aca="false">((xSPRDOPT($L210+AB$5,$J210,$I210,$M210,$O210,$N210,$P210,$Q210-$C$3,$R210,3)*$H210)/10000)/100</f>
        <v>#NAME?</v>
      </c>
      <c r="AC210" s="226" t="e">
        <f aca="false">((xSPRDOPT($L210+$AB$5,$J210,$I210,$M210,$O210,$N210,$P210,$Q210-$C$3,$R210,7)*$H210)/100)</f>
        <v>#NAME?</v>
      </c>
      <c r="AD210" s="226" t="e">
        <f aca="false">(xSPRDOPT($L210+$AB$5,$J210,$I210,$M210,$O210,$N210,$P210,$Q210-$C$3,$R210,9)/365)*$H210</f>
        <v>#NAME?</v>
      </c>
      <c r="AE210" s="0" t="e">
        <f aca="false">CD210</f>
        <v>#NAME?</v>
      </c>
      <c r="AF210" s="226" t="e">
        <f aca="false">((O210/N210)*AH210)+AG210</f>
        <v>#NAME?</v>
      </c>
      <c r="AG210" s="226" t="e">
        <f aca="false">((xSPRDOPT($L210,$J210,$I210,$M210,$O210,$N210,$P210,$Q210-$C$3,$R210,6)*$H210)/100)</f>
        <v>#NAME?</v>
      </c>
      <c r="AH210" s="226" t="e">
        <f aca="false">((xSPRDOPT($L210,$J210,$I210,$M210,$O210,$N210,$P210,$Q210-$C$3,$R210,5)*$H210)/100)</f>
        <v>#NAME?</v>
      </c>
      <c r="AI210" s="226" t="e">
        <f aca="false">(((xSPRDOPT($L210,$J210,$I210,$M210,$O210,$N210,$P210,$Q210-$C$3,$R210,4)*$H210)/10000)/100)-AB210</f>
        <v>#NAME?</v>
      </c>
      <c r="AJ210" s="226"/>
      <c r="AK210" s="226"/>
      <c r="AL210" s="226"/>
      <c r="AM210" s="252"/>
      <c r="CC210" s="182" t="n">
        <f aca="false">G210</f>
        <v>36861</v>
      </c>
      <c r="CD210" s="253" t="e">
        <f aca="false">xSPRDOPT((VLOOKUP(G210,NGPrices,2,FALSE())+HLOOKUP(D210,Prices,VLOOKUP(G210,move_down,2,FALSE()),FALSE())),VLOOKUP(G210,NGPrices,2,FALSE()),I210,VLOOKUP(G210,NGPREVPRICES,4,FALSE()),HLOOKUP(D210,PREVVOLS,VLOOKUP(G210,MOVE_DOWN2,2,FALSE()),FALSE()),VLOOKUP(G210,NGPREVPRICES,3,FALSE()),HLOOKUP(D210,Correllate,VLOOKUP(G210,CorMove,2,FALSE()),FALSE()),Q210-$CD$3,R210,$CD$5)*H210-CJ210</f>
        <v>#NAME?</v>
      </c>
      <c r="CE210" s="253" t="e">
        <f aca="false">xSPRDOPT((VLOOKUP(G210,NGPREVPRICES,2,FALSE())+HLOOKUP(D210,PREVCURVES,VLOOKUP(G210,MOVE_DOWN2,2,FALSE()),FALSE())),VLOOKUP(G210,NGPREVPRICES,2,FALSE()),CK210,VLOOKUP(G210,NGPrices,4,FALSE()),HLOOKUP(D210,PREVVOLS,VLOOKUP(G210,MOVE_DOWN2,2,FALSE()),FALSE()),VLOOKUP(G210,NGPREVPRICES,3,FALSE()),HLOOKUP(D210,Correllate,VLOOKUP(G210,CorMove,2,FALSE()),FALSE()),Q210-$CD$3,R210,$CJ$5)*H210-CJ210</f>
        <v>#NAME?</v>
      </c>
      <c r="CF210" s="132" t="e">
        <f aca="false">(CJ210/VLOOKUP(CC210,discount,3,FALSE()))-(CJ210/VLOOKUP(CC210,discount,2,FALSE()))</f>
        <v>#NAME?</v>
      </c>
      <c r="CG210" s="253" t="e">
        <f aca="false">xSPRDOPT((VLOOKUP(G210,NGPREVPRICES,2,FALSE())+HLOOKUP(D210,PREVCURVES,VLOOKUP(G210,MOVE_DOWN2,2,FALSE()),FALSE())),VLOOKUP(G210,NGPREVPRICES,2,FALSE()),CK210,VLOOKUP(G210,NGPREVPRICES,4,FALSE()),HLOOKUP(D210,VOLS,VLOOKUP(G210,move_down,2,FALSE()),FALSE()),VLOOKUP(G210,NGPrices,3,FALSE()),HLOOKUP(D210,Correllate,VLOOKUP(G210,CorMove,2,FALSE()),FALSE()),Q210-$CD$3,R210,$CJ$5)*H210-CJ210</f>
        <v>#NAME?</v>
      </c>
      <c r="CH210" s="253" t="e">
        <f aca="false">xSPRDOPT((VLOOKUP(G210,NGPREVPRICES,2,FALSE())+HLOOKUP(D210,PREVCURVES,VLOOKUP(G210,MOVE_DOWN2,2,FALSE()),FALSE())),VLOOKUP(G210,NGPREVPRICES,2,FALSE()),CK210,VLOOKUP(G210,NGPREVPRICES,4,FALSE()),HLOOKUP(D210,PREVVOLS,VLOOKUP(G210,MOVE_DOWN2,2,FALSE()),FALSE()),VLOOKUP(G210,NGPREVPRICES,3,FALSE()),HLOOKUP(D210,Correllate,VLOOKUP(G210,CorMove,2,FALSE()),FALSE()),Q210-$C$3,R210,$CJ$5)*H210-CJ210</f>
        <v>#NAME?</v>
      </c>
      <c r="CI210" s="253" t="e">
        <f aca="false">SUM(CD210:CH210)</f>
        <v>#NAME?</v>
      </c>
      <c r="CJ210" s="253" t="e">
        <f aca="false">xSPRDOPT((VLOOKUP(G210,NGPREVPRICES,2,FALSE())+HLOOKUP(D210,PREVCURVES,VLOOKUP(G210,MOVE_DOWN2,2,FALSE()),FALSE())),VLOOKUP(G210,NGPREVPRICES,2,FALSE()),CK210,VLOOKUP(G210,NGPREVPRICES,4,FALSE()),HLOOKUP(D210,PREVVOLS,VLOOKUP(G210,MOVE_DOWN2,2,FALSE()),FALSE()),VLOOKUP(G210,NGPREVPRICES,3,FALSE()),HLOOKUP(D210,Correllate,VLOOKUP(G210,CorMove,2,FALSE()),FALSE()),Q210-$CD$3,R210,$CJ$5)*H210</f>
        <v>#NAME?</v>
      </c>
      <c r="CK210" s="254" t="n">
        <f aca="false">I210</f>
        <v>1.6</v>
      </c>
      <c r="CL210" s="253"/>
      <c r="CM210" s="0" t="str">
        <f aca="false">CONCATENATE(CC210,$CD$6)</f>
        <v>36861Curve Shift/Gamma</v>
      </c>
      <c r="CN210" s="0" t="str">
        <f aca="false">CONCATENATE($CC210,$CE$6)</f>
        <v>36861Rho</v>
      </c>
      <c r="CO210" s="0" t="str">
        <f aca="false">CONCATENATE($CC210,$CF$6)</f>
        <v>36861Drift</v>
      </c>
      <c r="CP210" s="0" t="str">
        <f aca="false">CONCATENATE($CC210,$CG$6)</f>
        <v>36861Vega</v>
      </c>
      <c r="CQ210" s="0" t="str">
        <f aca="false">CONCATENATE($CC210,$CH$6)</f>
        <v>36861Theta</v>
      </c>
    </row>
    <row r="211" customFormat="false" ht="12" hidden="false" customHeight="true" outlineLevel="0" collapsed="false">
      <c r="A211" s="17" t="s">
        <v>206</v>
      </c>
      <c r="B211" s="0" t="s">
        <v>192</v>
      </c>
      <c r="C211" s="0" t="s">
        <v>272</v>
      </c>
      <c r="D211" s="7" t="s">
        <v>149</v>
      </c>
      <c r="E211" s="0" t="s">
        <v>131</v>
      </c>
      <c r="F211" s="0" t="s">
        <v>136</v>
      </c>
      <c r="G211" s="92" t="n">
        <v>36831</v>
      </c>
      <c r="H211" s="248" t="n">
        <v>-500000</v>
      </c>
      <c r="I211" s="0" t="n">
        <v>1.6</v>
      </c>
      <c r="J211" s="124" t="n">
        <f aca="false">VLOOKUP(G211,NGPrices,2,FALSE())</f>
        <v>4.736</v>
      </c>
      <c r="K211" s="125" t="n">
        <f aca="false">HLOOKUP(D211,Prices,VLOOKUP(G211,move_down,2,FALSE()),FALSE())+VLOOKUP(G211,CHANGE,HLOOKUP(D211,CHANGE,2,FALSE()),FALSE())</f>
        <v>0.77</v>
      </c>
      <c r="L211" s="124" t="n">
        <f aca="false">K211+J211</f>
        <v>5.506</v>
      </c>
      <c r="M211" s="126" t="n">
        <f aca="false">VLOOKUP(G211,NGPrices,4,FALSE())</f>
        <v>0.06810675983792</v>
      </c>
      <c r="N211" s="7" t="n">
        <f aca="false">VLOOKUP(G211,NGPrices,3,FALSE())</f>
        <v>0.595</v>
      </c>
      <c r="O211" s="7" t="n">
        <f aca="false">HLOOKUP(D211,VOLS,VLOOKUP(G211,move_down,2,FALSE()),FALSE())</f>
        <v>0.625</v>
      </c>
      <c r="P211" s="249" t="n">
        <f aca="false">HLOOKUP(D211,Correllate,VLOOKUP(G211,CorMove,2,FALSE()),FALSE())</f>
        <v>0.89</v>
      </c>
      <c r="Q211" s="92" t="n">
        <f aca="false">WORKDAY(G211,-2)</f>
        <v>36829</v>
      </c>
      <c r="R211" s="7" t="n">
        <f aca="false">IF(F211="P",0,1)</f>
        <v>1</v>
      </c>
      <c r="S211" s="130" t="e">
        <f aca="false">xSPRDOPT($L211,$J211,$I211,$M211,$O211,$N211,$P211,$Q211-$C$3,$R211,0)</f>
        <v>#NAME?</v>
      </c>
      <c r="T211" s="250" t="e">
        <f aca="false">xSPRDOPT($L211,$J211,$I211,$M211,$O211,$N211,$P211,$Q211-$C$3,$R211,1)*H211</f>
        <v>#NAME?</v>
      </c>
      <c r="U211" s="43" t="e">
        <f aca="false">S211*H211</f>
        <v>#NAME?</v>
      </c>
      <c r="V211" s="250" t="e">
        <f aca="false">xSPRDOPT($L211,$J211,$I211,$M211,$O211,$N211,$P211,$Q211-$C$3,$R211,2)*H211</f>
        <v>#NAME?</v>
      </c>
      <c r="W211" s="250" t="e">
        <f aca="false">+V211+T211</f>
        <v>#NAME?</v>
      </c>
      <c r="X211" s="2" t="str">
        <f aca="false">CONCATENATE(G211,D211)</f>
        <v>36831IF-TRANSCO/Z6</v>
      </c>
      <c r="Y211" s="251" t="n">
        <f aca="false">H211/10000</f>
        <v>-50</v>
      </c>
      <c r="Z211" s="226" t="e">
        <f aca="false">T211/H211</f>
        <v>#NAME?</v>
      </c>
      <c r="AA211" s="226" t="e">
        <f aca="false">xSPRDOPT($L211,$J211,$I211,$M211,$O211,$N211,$P211,$Q211-$C$3,$R211,3)</f>
        <v>#NAME?</v>
      </c>
      <c r="AB211" s="226" t="e">
        <f aca="false">((xSPRDOPT($L211+AB$5,$J211,$I211,$M211,$O211,$N211,$P211,$Q211-$C$3,$R211,3)*$H211)/10000)/100</f>
        <v>#NAME?</v>
      </c>
      <c r="AC211" s="226" t="e">
        <f aca="false">((xSPRDOPT($L211+$AB$5,$J211,$I211,$M211,$O211,$N211,$P211,$Q211-$C$3,$R211,7)*$H211)/100)</f>
        <v>#NAME?</v>
      </c>
      <c r="AD211" s="226" t="e">
        <f aca="false">(xSPRDOPT($L211+$AB$5,$J211,$I211,$M211,$O211,$N211,$P211,$Q211-$C$3,$R211,9)/365)*$H211</f>
        <v>#NAME?</v>
      </c>
      <c r="AE211" s="0" t="e">
        <f aca="false">CD211</f>
        <v>#NAME?</v>
      </c>
      <c r="AF211" s="226" t="e">
        <f aca="false">((O211/N211)*AH211)+AG211</f>
        <v>#NAME?</v>
      </c>
      <c r="AG211" s="226" t="e">
        <f aca="false">((xSPRDOPT($L211,$J211,$I211,$M211,$O211,$N211,$P211,$Q211-$C$3,$R211,6)*$H211)/100)</f>
        <v>#NAME?</v>
      </c>
      <c r="AH211" s="226" t="e">
        <f aca="false">((xSPRDOPT($L211,$J211,$I211,$M211,$O211,$N211,$P211,$Q211-$C$3,$R211,5)*$H211)/100)</f>
        <v>#NAME?</v>
      </c>
      <c r="AI211" s="226" t="e">
        <f aca="false">(((xSPRDOPT($L211,$J211,$I211,$M211,$O211,$N211,$P211,$Q211-$C$3,$R211,4)*$H211)/10000)/100)-AB211</f>
        <v>#NAME?</v>
      </c>
      <c r="AJ211" s="226"/>
      <c r="AK211" s="226"/>
      <c r="AL211" s="226"/>
      <c r="AM211" s="252"/>
      <c r="CC211" s="182" t="n">
        <f aca="false">G211</f>
        <v>36831</v>
      </c>
      <c r="CD211" s="253" t="e">
        <f aca="false">xSPRDOPT((VLOOKUP(G211,NGPrices,2,FALSE())+HLOOKUP(D211,Prices,VLOOKUP(G211,move_down,2,FALSE()),FALSE())),VLOOKUP(G211,NGPrices,2,FALSE()),I211,VLOOKUP(G211,NGPREVPRICES,4,FALSE()),HLOOKUP(D211,PREVVOLS,VLOOKUP(G211,MOVE_DOWN2,2,FALSE()),FALSE()),VLOOKUP(G211,NGPREVPRICES,3,FALSE()),HLOOKUP(D211,Correllate,VLOOKUP(G211,CorMove,2,FALSE()),FALSE()),Q211-$CD$3,R211,$CD$5)*H211-CJ211</f>
        <v>#NAME?</v>
      </c>
      <c r="CE211" s="253" t="e">
        <f aca="false">xSPRDOPT((VLOOKUP(G211,NGPREVPRICES,2,FALSE())+HLOOKUP(D211,PREVCURVES,VLOOKUP(G211,MOVE_DOWN2,2,FALSE()),FALSE())),VLOOKUP(G211,NGPREVPRICES,2,FALSE()),CK211,VLOOKUP(G211,NGPrices,4,FALSE()),HLOOKUP(D211,PREVVOLS,VLOOKUP(G211,MOVE_DOWN2,2,FALSE()),FALSE()),VLOOKUP(G211,NGPREVPRICES,3,FALSE()),HLOOKUP(D211,Correllate,VLOOKUP(G211,CorMove,2,FALSE()),FALSE()),Q211-$CD$3,R211,$CJ$5)*H211-CJ211</f>
        <v>#NAME?</v>
      </c>
      <c r="CF211" s="132" t="e">
        <f aca="false">(CJ211/VLOOKUP(CC211,discount,3,FALSE()))-(CJ211/VLOOKUP(CC211,discount,2,FALSE()))</f>
        <v>#NAME?</v>
      </c>
      <c r="CG211" s="253" t="e">
        <f aca="false">xSPRDOPT((VLOOKUP(G211,NGPREVPRICES,2,FALSE())+HLOOKUP(D211,PREVCURVES,VLOOKUP(G211,MOVE_DOWN2,2,FALSE()),FALSE())),VLOOKUP(G211,NGPREVPRICES,2,FALSE()),CK211,VLOOKUP(G211,NGPREVPRICES,4,FALSE()),HLOOKUP(D211,VOLS,VLOOKUP(G211,move_down,2,FALSE()),FALSE()),VLOOKUP(G211,NGPrices,3,FALSE()),HLOOKUP(D211,Correllate,VLOOKUP(G211,CorMove,2,FALSE()),FALSE()),Q211-$CD$3,R211,$CJ$5)*H211-CJ211</f>
        <v>#NAME?</v>
      </c>
      <c r="CH211" s="253" t="e">
        <f aca="false">xSPRDOPT((VLOOKUP(G211,NGPREVPRICES,2,FALSE())+HLOOKUP(D211,PREVCURVES,VLOOKUP(G211,MOVE_DOWN2,2,FALSE()),FALSE())),VLOOKUP(G211,NGPREVPRICES,2,FALSE()),CK211,VLOOKUP(G211,NGPREVPRICES,4,FALSE()),HLOOKUP(D211,PREVVOLS,VLOOKUP(G211,MOVE_DOWN2,2,FALSE()),FALSE()),VLOOKUP(G211,NGPREVPRICES,3,FALSE()),HLOOKUP(D211,Correllate,VLOOKUP(G211,CorMove,2,FALSE()),FALSE()),Q211-$C$3,R211,$CJ$5)*H211-CJ211</f>
        <v>#NAME?</v>
      </c>
      <c r="CI211" s="253" t="e">
        <f aca="false">SUM(CD211:CH211)</f>
        <v>#NAME?</v>
      </c>
      <c r="CJ211" s="253" t="e">
        <f aca="false">xSPRDOPT((VLOOKUP(G211,NGPREVPRICES,2,FALSE())+HLOOKUP(D211,PREVCURVES,VLOOKUP(G211,MOVE_DOWN2,2,FALSE()),FALSE())),VLOOKUP(G211,NGPREVPRICES,2,FALSE()),CK211,VLOOKUP(G211,NGPREVPRICES,4,FALSE()),HLOOKUP(D211,PREVVOLS,VLOOKUP(G211,MOVE_DOWN2,2,FALSE()),FALSE()),VLOOKUP(G211,NGPREVPRICES,3,FALSE()),HLOOKUP(D211,Correllate,VLOOKUP(G211,CorMove,2,FALSE()),FALSE()),Q211-$CD$3,R211,$CJ$5)*H211</f>
        <v>#NAME?</v>
      </c>
      <c r="CK211" s="254" t="n">
        <f aca="false">I211</f>
        <v>1.6</v>
      </c>
      <c r="CL211" s="253"/>
      <c r="CM211" s="0" t="str">
        <f aca="false">CONCATENATE(CC211,$CD$6)</f>
        <v>36831Curve Shift/Gamma</v>
      </c>
      <c r="CN211" s="0" t="str">
        <f aca="false">CONCATENATE($CC211,$CE$6)</f>
        <v>36831Rho</v>
      </c>
      <c r="CO211" s="0" t="str">
        <f aca="false">CONCATENATE($CC211,$CF$6)</f>
        <v>36831Drift</v>
      </c>
      <c r="CP211" s="0" t="str">
        <f aca="false">CONCATENATE($CC211,$CG$6)</f>
        <v>36831Vega</v>
      </c>
      <c r="CQ211" s="0" t="str">
        <f aca="false">CONCATENATE($CC211,$CH$6)</f>
        <v>36831Theta</v>
      </c>
    </row>
    <row r="212" customFormat="false" ht="12" hidden="false" customHeight="true" outlineLevel="0" collapsed="false">
      <c r="A212" s="17" t="s">
        <v>206</v>
      </c>
      <c r="B212" s="0" t="s">
        <v>192</v>
      </c>
      <c r="C212" s="0" t="s">
        <v>273</v>
      </c>
      <c r="D212" s="7" t="s">
        <v>149</v>
      </c>
      <c r="E212" s="0" t="s">
        <v>131</v>
      </c>
      <c r="F212" s="0" t="s">
        <v>136</v>
      </c>
      <c r="G212" s="92" t="n">
        <v>36951</v>
      </c>
      <c r="H212" s="248" t="n">
        <v>500000</v>
      </c>
      <c r="I212" s="0" t="n">
        <v>2.1</v>
      </c>
      <c r="J212" s="124" t="n">
        <f aca="false">VLOOKUP(G212,NGPrices,2,FALSE())</f>
        <v>4.213</v>
      </c>
      <c r="K212" s="125" t="n">
        <f aca="false">HLOOKUP(D212,Prices,VLOOKUP(G212,move_down,2,FALSE()),FALSE())+VLOOKUP(G212,CHANGE,HLOOKUP(D212,CHANGE,2,FALSE()),FALSE())</f>
        <v>1.075</v>
      </c>
      <c r="L212" s="124" t="n">
        <f aca="false">K212+J212</f>
        <v>5.288</v>
      </c>
      <c r="M212" s="126" t="n">
        <f aca="false">VLOOKUP(G212,NGPrices,4,FALSE())</f>
        <v>0.068879814952707</v>
      </c>
      <c r="N212" s="7" t="n">
        <f aca="false">VLOOKUP(G212,NGPrices,3,FALSE())</f>
        <v>0.5325</v>
      </c>
      <c r="O212" s="7" t="n">
        <f aca="false">HLOOKUP(D212,VOLS,VLOOKUP(G212,move_down,2,FALSE()),FALSE())</f>
        <v>0.612</v>
      </c>
      <c r="P212" s="249" t="n">
        <f aca="false">HLOOKUP(D212,Correllate,VLOOKUP(G212,CorMove,2,FALSE()),FALSE())</f>
        <v>0.83</v>
      </c>
      <c r="Q212" s="92" t="n">
        <f aca="false">WORKDAY(G212,-2)</f>
        <v>36949</v>
      </c>
      <c r="R212" s="7" t="n">
        <f aca="false">IF(F212="P",0,1)</f>
        <v>1</v>
      </c>
      <c r="S212" s="130" t="e">
        <f aca="false">xSPRDOPT($L212,$J212,$I212,$M212,$O212,$N212,$P212,$Q212-$C$3,$R212,0)</f>
        <v>#NAME?</v>
      </c>
      <c r="T212" s="250" t="e">
        <f aca="false">xSPRDOPT($L212,$J212,$I212,$M212,$O212,$N212,$P212,$Q212-$C$3,$R212,1)*H212</f>
        <v>#NAME?</v>
      </c>
      <c r="U212" s="43" t="e">
        <f aca="false">S212*H212</f>
        <v>#NAME?</v>
      </c>
      <c r="V212" s="250" t="e">
        <f aca="false">xSPRDOPT($L212,$J212,$I212,$M212,$O212,$N212,$P212,$Q212-$C$3,$R212,2)*H212</f>
        <v>#NAME?</v>
      </c>
      <c r="W212" s="250" t="e">
        <f aca="false">+V212+T212</f>
        <v>#NAME?</v>
      </c>
      <c r="X212" s="2" t="str">
        <f aca="false">CONCATENATE(G212,D212)</f>
        <v>36951IF-TRANSCO/Z6</v>
      </c>
      <c r="Y212" s="251" t="n">
        <f aca="false">H212/10000</f>
        <v>50</v>
      </c>
      <c r="Z212" s="226" t="e">
        <f aca="false">T212/H212</f>
        <v>#NAME?</v>
      </c>
      <c r="AA212" s="226" t="e">
        <f aca="false">xSPRDOPT($L212,$J212,$I212,$M212,$O212,$N212,$P212,$Q212-$C$3,$R212,3)</f>
        <v>#NAME?</v>
      </c>
      <c r="AB212" s="226" t="e">
        <f aca="false">((xSPRDOPT($L212+AB$5,$J212,$I212,$M212,$O212,$N212,$P212,$Q212-$C$3,$R212,3)*$H212)/10000)/100</f>
        <v>#NAME?</v>
      </c>
      <c r="AC212" s="226" t="e">
        <f aca="false">((xSPRDOPT($L212+$AB$5,$J212,$I212,$M212,$O212,$N212,$P212,$Q212-$C$3,$R212,7)*$H212)/100)</f>
        <v>#NAME?</v>
      </c>
      <c r="AD212" s="226" t="e">
        <f aca="false">(xSPRDOPT($L212+$AB$5,$J212,$I212,$M212,$O212,$N212,$P212,$Q212-$C$3,$R212,9)/365)*$H212</f>
        <v>#NAME?</v>
      </c>
      <c r="AE212" s="0" t="e">
        <f aca="false">CD212</f>
        <v>#NAME?</v>
      </c>
      <c r="AF212" s="226" t="e">
        <f aca="false">((O212/N212)*AH212)+AG212</f>
        <v>#NAME?</v>
      </c>
      <c r="AG212" s="226" t="e">
        <f aca="false">((xSPRDOPT($L212,$J212,$I212,$M212,$O212,$N212,$P212,$Q212-$C$3,$R212,6)*$H212)/100)</f>
        <v>#NAME?</v>
      </c>
      <c r="AH212" s="226" t="e">
        <f aca="false">((xSPRDOPT($L212,$J212,$I212,$M212,$O212,$N212,$P212,$Q212-$C$3,$R212,5)*$H212)/100)</f>
        <v>#NAME?</v>
      </c>
      <c r="AI212" s="226" t="e">
        <f aca="false">(((xSPRDOPT($L212,$J212,$I212,$M212,$O212,$N212,$P212,$Q212-$C$3,$R212,4)*$H212)/10000)/100)-AB212</f>
        <v>#NAME?</v>
      </c>
      <c r="AJ212" s="226"/>
      <c r="AK212" s="226"/>
      <c r="AL212" s="226"/>
      <c r="AM212" s="252"/>
      <c r="CC212" s="182" t="n">
        <f aca="false">G212</f>
        <v>36951</v>
      </c>
      <c r="CD212" s="253" t="e">
        <f aca="false">xSPRDOPT((VLOOKUP(G212,NGPrices,2,FALSE())+HLOOKUP(D212,Prices,VLOOKUP(G212,move_down,2,FALSE()),FALSE())),VLOOKUP(G212,NGPrices,2,FALSE()),I212,VLOOKUP(G212,NGPREVPRICES,4,FALSE()),HLOOKUP(D212,PREVVOLS,VLOOKUP(G212,MOVE_DOWN2,2,FALSE()),FALSE()),VLOOKUP(G212,NGPREVPRICES,3,FALSE()),HLOOKUP(D212,Correllate,VLOOKUP(G212,CorMove,2,FALSE()),FALSE()),Q212-$CD$3,R212,$CD$5)*H212-CJ212</f>
        <v>#NAME?</v>
      </c>
      <c r="CE212" s="253" t="e">
        <f aca="false">xSPRDOPT((VLOOKUP(G212,NGPREVPRICES,2,FALSE())+HLOOKUP(D212,PREVCURVES,VLOOKUP(G212,MOVE_DOWN2,2,FALSE()),FALSE())),VLOOKUP(G212,NGPREVPRICES,2,FALSE()),CK212,VLOOKUP(G212,NGPrices,4,FALSE()),HLOOKUP(D212,PREVVOLS,VLOOKUP(G212,MOVE_DOWN2,2,FALSE()),FALSE()),VLOOKUP(G212,NGPREVPRICES,3,FALSE()),HLOOKUP(D212,Correllate,VLOOKUP(G212,CorMove,2,FALSE()),FALSE()),Q212-$CD$3,R212,$CJ$5)*H212-CJ212</f>
        <v>#NAME?</v>
      </c>
      <c r="CF212" s="132" t="e">
        <f aca="false">(CJ212/VLOOKUP(CC212,discount,3,FALSE()))-(CJ212/VLOOKUP(CC212,discount,2,FALSE()))</f>
        <v>#NAME?</v>
      </c>
      <c r="CG212" s="253" t="e">
        <f aca="false">xSPRDOPT((VLOOKUP(G212,NGPREVPRICES,2,FALSE())+HLOOKUP(D212,PREVCURVES,VLOOKUP(G212,MOVE_DOWN2,2,FALSE()),FALSE())),VLOOKUP(G212,NGPREVPRICES,2,FALSE()),CK212,VLOOKUP(G212,NGPREVPRICES,4,FALSE()),HLOOKUP(D212,VOLS,VLOOKUP(G212,move_down,2,FALSE()),FALSE()),VLOOKUP(G212,NGPrices,3,FALSE()),HLOOKUP(D212,Correllate,VLOOKUP(G212,CorMove,2,FALSE()),FALSE()),Q212-$CD$3,R212,$CJ$5)*H212-CJ212</f>
        <v>#NAME?</v>
      </c>
      <c r="CH212" s="253" t="e">
        <f aca="false">xSPRDOPT((VLOOKUP(G212,NGPREVPRICES,2,FALSE())+HLOOKUP(D212,PREVCURVES,VLOOKUP(G212,MOVE_DOWN2,2,FALSE()),FALSE())),VLOOKUP(G212,NGPREVPRICES,2,FALSE()),CK212,VLOOKUP(G212,NGPREVPRICES,4,FALSE()),HLOOKUP(D212,PREVVOLS,VLOOKUP(G212,MOVE_DOWN2,2,FALSE()),FALSE()),VLOOKUP(G212,NGPREVPRICES,3,FALSE()),HLOOKUP(D212,Correllate,VLOOKUP(G212,CorMove,2,FALSE()),FALSE()),Q212-$C$3,R212,$CJ$5)*H212-CJ212</f>
        <v>#NAME?</v>
      </c>
      <c r="CI212" s="253" t="e">
        <f aca="false">SUM(CD212:CH212)</f>
        <v>#NAME?</v>
      </c>
      <c r="CJ212" s="253" t="e">
        <f aca="false">xSPRDOPT((VLOOKUP(G212,NGPREVPRICES,2,FALSE())+HLOOKUP(D212,PREVCURVES,VLOOKUP(G212,MOVE_DOWN2,2,FALSE()),FALSE())),VLOOKUP(G212,NGPREVPRICES,2,FALSE()),CK212,VLOOKUP(G212,NGPREVPRICES,4,FALSE()),HLOOKUP(D212,PREVVOLS,VLOOKUP(G212,MOVE_DOWN2,2,FALSE()),FALSE()),VLOOKUP(G212,NGPREVPRICES,3,FALSE()),HLOOKUP(D212,Correllate,VLOOKUP(G212,CorMove,2,FALSE()),FALSE()),Q212-$CD$3,R212,$CJ$5)*H212</f>
        <v>#NAME?</v>
      </c>
      <c r="CK212" s="254" t="n">
        <f aca="false">I212</f>
        <v>2.1</v>
      </c>
      <c r="CL212" s="253"/>
      <c r="CM212" s="0" t="str">
        <f aca="false">CONCATENATE(CC212,$CD$6)</f>
        <v>36951Curve Shift/Gamma</v>
      </c>
      <c r="CN212" s="0" t="str">
        <f aca="false">CONCATENATE($CC212,$CE$6)</f>
        <v>36951Rho</v>
      </c>
      <c r="CO212" s="0" t="str">
        <f aca="false">CONCATENATE($CC212,$CF$6)</f>
        <v>36951Drift</v>
      </c>
      <c r="CP212" s="0" t="str">
        <f aca="false">CONCATENATE($CC212,$CG$6)</f>
        <v>36951Vega</v>
      </c>
      <c r="CQ212" s="0" t="str">
        <f aca="false">CONCATENATE($CC212,$CH$6)</f>
        <v>36951Theta</v>
      </c>
    </row>
    <row r="213" customFormat="false" ht="12" hidden="false" customHeight="true" outlineLevel="0" collapsed="false">
      <c r="A213" s="17" t="s">
        <v>206</v>
      </c>
      <c r="B213" s="0" t="s">
        <v>192</v>
      </c>
      <c r="C213" s="0" t="s">
        <v>273</v>
      </c>
      <c r="D213" s="7" t="s">
        <v>149</v>
      </c>
      <c r="E213" s="0" t="s">
        <v>131</v>
      </c>
      <c r="F213" s="0" t="s">
        <v>136</v>
      </c>
      <c r="G213" s="92" t="n">
        <v>36923</v>
      </c>
      <c r="H213" s="248" t="n">
        <v>500000</v>
      </c>
      <c r="I213" s="0" t="n">
        <v>2.1</v>
      </c>
      <c r="J213" s="124" t="n">
        <f aca="false">VLOOKUP(G213,NGPrices,2,FALSE())</f>
        <v>4.48</v>
      </c>
      <c r="K213" s="125" t="n">
        <f aca="false">HLOOKUP(D213,Prices,VLOOKUP(G213,move_down,2,FALSE()),FALSE())+VLOOKUP(G213,CHANGE,HLOOKUP(D213,CHANGE,2,FALSE()),FALSE())</f>
        <v>2.09</v>
      </c>
      <c r="L213" s="124" t="n">
        <f aca="false">K213+J213</f>
        <v>6.57</v>
      </c>
      <c r="M213" s="126" t="n">
        <f aca="false">VLOOKUP(G213,NGPrices,4,FALSE())</f>
        <v>0.068640161611372</v>
      </c>
      <c r="N213" s="7" t="n">
        <f aca="false">VLOOKUP(G213,NGPrices,3,FALSE())</f>
        <v>0.5925</v>
      </c>
      <c r="O213" s="7" t="n">
        <f aca="false">HLOOKUP(D213,VOLS,VLOOKUP(G213,move_down,2,FALSE()),FALSE())</f>
        <v>0.681</v>
      </c>
      <c r="P213" s="249" t="n">
        <f aca="false">HLOOKUP(D213,Correllate,VLOOKUP(G213,CorMove,2,FALSE()),FALSE())</f>
        <v>0.83</v>
      </c>
      <c r="Q213" s="92" t="n">
        <f aca="false">WORKDAY(G213,-2)</f>
        <v>36921</v>
      </c>
      <c r="R213" s="7" t="n">
        <f aca="false">IF(F213="P",0,1)</f>
        <v>1</v>
      </c>
      <c r="S213" s="130" t="e">
        <f aca="false">xSPRDOPT($L213,$J213,$I213,$M213,$O213,$N213,$P213,$Q213-$C$3,$R213,0)</f>
        <v>#NAME?</v>
      </c>
      <c r="T213" s="250" t="e">
        <f aca="false">xSPRDOPT($L213,$J213,$I213,$M213,$O213,$N213,$P213,$Q213-$C$3,$R213,1)*H213</f>
        <v>#NAME?</v>
      </c>
      <c r="U213" s="43" t="e">
        <f aca="false">S213*H213</f>
        <v>#NAME?</v>
      </c>
      <c r="V213" s="250" t="e">
        <f aca="false">xSPRDOPT($L213,$J213,$I213,$M213,$O213,$N213,$P213,$Q213-$C$3,$R213,2)*H213</f>
        <v>#NAME?</v>
      </c>
      <c r="W213" s="250" t="e">
        <f aca="false">+V213+T213</f>
        <v>#NAME?</v>
      </c>
      <c r="X213" s="2" t="str">
        <f aca="false">CONCATENATE(G213,D213)</f>
        <v>36923IF-TRANSCO/Z6</v>
      </c>
      <c r="Y213" s="251" t="n">
        <f aca="false">H213/10000</f>
        <v>50</v>
      </c>
      <c r="Z213" s="226" t="e">
        <f aca="false">T213/H213</f>
        <v>#NAME?</v>
      </c>
      <c r="AA213" s="226" t="e">
        <f aca="false">xSPRDOPT($L213,$J213,$I213,$M213,$O213,$N213,$P213,$Q213-$C$3,$R213,3)</f>
        <v>#NAME?</v>
      </c>
      <c r="AB213" s="226" t="e">
        <f aca="false">((xSPRDOPT($L213+AB$5,$J213,$I213,$M213,$O213,$N213,$P213,$Q213-$C$3,$R213,3)*$H213)/10000)/100</f>
        <v>#NAME?</v>
      </c>
      <c r="AC213" s="226" t="e">
        <f aca="false">((xSPRDOPT($L213+$AB$5,$J213,$I213,$M213,$O213,$N213,$P213,$Q213-$C$3,$R213,7)*$H213)/100)</f>
        <v>#NAME?</v>
      </c>
      <c r="AD213" s="226" t="e">
        <f aca="false">(xSPRDOPT($L213+$AB$5,$J213,$I213,$M213,$O213,$N213,$P213,$Q213-$C$3,$R213,9)/365)*$H213</f>
        <v>#NAME?</v>
      </c>
      <c r="AE213" s="0" t="e">
        <f aca="false">CD213</f>
        <v>#NAME?</v>
      </c>
      <c r="AF213" s="226" t="e">
        <f aca="false">((O213/N213)*AH213)+AG213</f>
        <v>#NAME?</v>
      </c>
      <c r="AG213" s="226" t="e">
        <f aca="false">((xSPRDOPT($L213,$J213,$I213,$M213,$O213,$N213,$P213,$Q213-$C$3,$R213,6)*$H213)/100)</f>
        <v>#NAME?</v>
      </c>
      <c r="AH213" s="226" t="e">
        <f aca="false">((xSPRDOPT($L213,$J213,$I213,$M213,$O213,$N213,$P213,$Q213-$C$3,$R213,5)*$H213)/100)</f>
        <v>#NAME?</v>
      </c>
      <c r="AI213" s="226" t="e">
        <f aca="false">(((xSPRDOPT($L213,$J213,$I213,$M213,$O213,$N213,$P213,$Q213-$C$3,$R213,4)*$H213)/10000)/100)-AB213</f>
        <v>#NAME?</v>
      </c>
      <c r="AJ213" s="226"/>
      <c r="AK213" s="226"/>
      <c r="AL213" s="226"/>
      <c r="AM213" s="252"/>
      <c r="CC213" s="182" t="n">
        <f aca="false">G213</f>
        <v>36923</v>
      </c>
      <c r="CD213" s="253" t="e">
        <f aca="false">xSPRDOPT((VLOOKUP(G213,NGPrices,2,FALSE())+HLOOKUP(D213,Prices,VLOOKUP(G213,move_down,2,FALSE()),FALSE())),VLOOKUP(G213,NGPrices,2,FALSE()),I213,VLOOKUP(G213,NGPREVPRICES,4,FALSE()),HLOOKUP(D213,PREVVOLS,VLOOKUP(G213,MOVE_DOWN2,2,FALSE()),FALSE()),VLOOKUP(G213,NGPREVPRICES,3,FALSE()),HLOOKUP(D213,Correllate,VLOOKUP(G213,CorMove,2,FALSE()),FALSE()),Q213-$CD$3,R213,$CD$5)*H213-CJ213</f>
        <v>#NAME?</v>
      </c>
      <c r="CE213" s="253" t="e">
        <f aca="false">xSPRDOPT((VLOOKUP(G213,NGPREVPRICES,2,FALSE())+HLOOKUP(D213,PREVCURVES,VLOOKUP(G213,MOVE_DOWN2,2,FALSE()),FALSE())),VLOOKUP(G213,NGPREVPRICES,2,FALSE()),CK213,VLOOKUP(G213,NGPrices,4,FALSE()),HLOOKUP(D213,PREVVOLS,VLOOKUP(G213,MOVE_DOWN2,2,FALSE()),FALSE()),VLOOKUP(G213,NGPREVPRICES,3,FALSE()),HLOOKUP(D213,Correllate,VLOOKUP(G213,CorMove,2,FALSE()),FALSE()),Q213-$CD$3,R213,$CJ$5)*H213-CJ213</f>
        <v>#NAME?</v>
      </c>
      <c r="CF213" s="132" t="e">
        <f aca="false">(CJ213/VLOOKUP(CC213,discount,3,FALSE()))-(CJ213/VLOOKUP(CC213,discount,2,FALSE()))</f>
        <v>#NAME?</v>
      </c>
      <c r="CG213" s="253" t="e">
        <f aca="false">xSPRDOPT((VLOOKUP(G213,NGPREVPRICES,2,FALSE())+HLOOKUP(D213,PREVCURVES,VLOOKUP(G213,MOVE_DOWN2,2,FALSE()),FALSE())),VLOOKUP(G213,NGPREVPRICES,2,FALSE()),CK213,VLOOKUP(G213,NGPREVPRICES,4,FALSE()),HLOOKUP(D213,VOLS,VLOOKUP(G213,move_down,2,FALSE()),FALSE()),VLOOKUP(G213,NGPrices,3,FALSE()),HLOOKUP(D213,Correllate,VLOOKUP(G213,CorMove,2,FALSE()),FALSE()),Q213-$CD$3,R213,$CJ$5)*H213-CJ213</f>
        <v>#NAME?</v>
      </c>
      <c r="CH213" s="253" t="e">
        <f aca="false">xSPRDOPT((VLOOKUP(G213,NGPREVPRICES,2,FALSE())+HLOOKUP(D213,PREVCURVES,VLOOKUP(G213,MOVE_DOWN2,2,FALSE()),FALSE())),VLOOKUP(G213,NGPREVPRICES,2,FALSE()),CK213,VLOOKUP(G213,NGPREVPRICES,4,FALSE()),HLOOKUP(D213,PREVVOLS,VLOOKUP(G213,MOVE_DOWN2,2,FALSE()),FALSE()),VLOOKUP(G213,NGPREVPRICES,3,FALSE()),HLOOKUP(D213,Correllate,VLOOKUP(G213,CorMove,2,FALSE()),FALSE()),Q213-$C$3,R213,$CJ$5)*H213-CJ213</f>
        <v>#NAME?</v>
      </c>
      <c r="CI213" s="253" t="e">
        <f aca="false">SUM(CD213:CH213)</f>
        <v>#NAME?</v>
      </c>
      <c r="CJ213" s="253" t="e">
        <f aca="false">xSPRDOPT((VLOOKUP(G213,NGPREVPRICES,2,FALSE())+HLOOKUP(D213,PREVCURVES,VLOOKUP(G213,MOVE_DOWN2,2,FALSE()),FALSE())),VLOOKUP(G213,NGPREVPRICES,2,FALSE()),CK213,VLOOKUP(G213,NGPREVPRICES,4,FALSE()),HLOOKUP(D213,PREVVOLS,VLOOKUP(G213,MOVE_DOWN2,2,FALSE()),FALSE()),VLOOKUP(G213,NGPREVPRICES,3,FALSE()),HLOOKUP(D213,Correllate,VLOOKUP(G213,CorMove,2,FALSE()),FALSE()),Q213-$CD$3,R213,$CJ$5)*H213</f>
        <v>#NAME?</v>
      </c>
      <c r="CK213" s="254" t="n">
        <f aca="false">I213</f>
        <v>2.1</v>
      </c>
      <c r="CL213" s="253"/>
      <c r="CM213" s="0" t="str">
        <f aca="false">CONCATENATE(CC213,$CD$6)</f>
        <v>36923Curve Shift/Gamma</v>
      </c>
      <c r="CN213" s="0" t="str">
        <f aca="false">CONCATENATE($CC213,$CE$6)</f>
        <v>36923Rho</v>
      </c>
      <c r="CO213" s="0" t="str">
        <f aca="false">CONCATENATE($CC213,$CF$6)</f>
        <v>36923Drift</v>
      </c>
      <c r="CP213" s="0" t="str">
        <f aca="false">CONCATENATE($CC213,$CG$6)</f>
        <v>36923Vega</v>
      </c>
      <c r="CQ213" s="0" t="str">
        <f aca="false">CONCATENATE($CC213,$CH$6)</f>
        <v>36923Theta</v>
      </c>
    </row>
    <row r="214" customFormat="false" ht="12" hidden="false" customHeight="true" outlineLevel="0" collapsed="false">
      <c r="A214" s="17" t="s">
        <v>206</v>
      </c>
      <c r="B214" s="0" t="s">
        <v>192</v>
      </c>
      <c r="C214" s="0" t="s">
        <v>273</v>
      </c>
      <c r="D214" s="7" t="s">
        <v>149</v>
      </c>
      <c r="E214" s="0" t="s">
        <v>131</v>
      </c>
      <c r="F214" s="0" t="s">
        <v>136</v>
      </c>
      <c r="G214" s="92" t="n">
        <v>36892</v>
      </c>
      <c r="H214" s="248" t="n">
        <v>500000</v>
      </c>
      <c r="I214" s="0" t="n">
        <v>2.1</v>
      </c>
      <c r="J214" s="124" t="n">
        <f aca="false">VLOOKUP(G214,NGPrices,2,FALSE())</f>
        <v>4.744</v>
      </c>
      <c r="K214" s="125" t="n">
        <f aca="false">HLOOKUP(D214,Prices,VLOOKUP(G214,move_down,2,FALSE()),FALSE())+VLOOKUP(G214,CHANGE,HLOOKUP(D214,CHANGE,2,FALSE()),FALSE())</f>
        <v>2.17</v>
      </c>
      <c r="L214" s="124" t="n">
        <f aca="false">K214+J214</f>
        <v>6.914</v>
      </c>
      <c r="M214" s="126" t="n">
        <f aca="false">VLOOKUP(G214,NGPrices,4,FALSE())</f>
        <v>0.068374831148491</v>
      </c>
      <c r="N214" s="7" t="n">
        <f aca="false">VLOOKUP(G214,NGPrices,3,FALSE())</f>
        <v>0.605</v>
      </c>
      <c r="O214" s="7" t="n">
        <f aca="false">HLOOKUP(D214,VOLS,VLOOKUP(G214,move_down,2,FALSE()),FALSE())</f>
        <v>0.696</v>
      </c>
      <c r="P214" s="249" t="n">
        <f aca="false">HLOOKUP(D214,Correllate,VLOOKUP(G214,CorMove,2,FALSE()),FALSE())</f>
        <v>0.83</v>
      </c>
      <c r="Q214" s="92" t="n">
        <f aca="false">WORKDAY(G214,-2)</f>
        <v>36888</v>
      </c>
      <c r="R214" s="7" t="n">
        <f aca="false">IF(F214="P",0,1)</f>
        <v>1</v>
      </c>
      <c r="S214" s="130" t="e">
        <f aca="false">xSPRDOPT($L214,$J214,$I214,$M214,$O214,$N214,$P214,$Q214-$C$3,$R214,0)</f>
        <v>#NAME?</v>
      </c>
      <c r="T214" s="250" t="e">
        <f aca="false">xSPRDOPT($L214,$J214,$I214,$M214,$O214,$N214,$P214,$Q214-$C$3,$R214,1)*H214</f>
        <v>#NAME?</v>
      </c>
      <c r="U214" s="43" t="e">
        <f aca="false">S214*H214</f>
        <v>#NAME?</v>
      </c>
      <c r="V214" s="250" t="e">
        <f aca="false">xSPRDOPT($L214,$J214,$I214,$M214,$O214,$N214,$P214,$Q214-$C$3,$R214,2)*H214</f>
        <v>#NAME?</v>
      </c>
      <c r="W214" s="250" t="e">
        <f aca="false">+V214+T214</f>
        <v>#NAME?</v>
      </c>
      <c r="X214" s="2" t="str">
        <f aca="false">CONCATENATE(G214,D214)</f>
        <v>36892IF-TRANSCO/Z6</v>
      </c>
      <c r="Y214" s="251" t="n">
        <f aca="false">H214/10000</f>
        <v>50</v>
      </c>
      <c r="Z214" s="226" t="e">
        <f aca="false">T214/H214</f>
        <v>#NAME?</v>
      </c>
      <c r="AA214" s="226" t="e">
        <f aca="false">xSPRDOPT($L214,$J214,$I214,$M214,$O214,$N214,$P214,$Q214-$C$3,$R214,3)</f>
        <v>#NAME?</v>
      </c>
      <c r="AB214" s="226" t="e">
        <f aca="false">((xSPRDOPT($L214+AB$5,$J214,$I214,$M214,$O214,$N214,$P214,$Q214-$C$3,$R214,3)*$H214)/10000)/100</f>
        <v>#NAME?</v>
      </c>
      <c r="AC214" s="226" t="e">
        <f aca="false">((xSPRDOPT($L214+$AB$5,$J214,$I214,$M214,$O214,$N214,$P214,$Q214-$C$3,$R214,7)*$H214)/100)</f>
        <v>#NAME?</v>
      </c>
      <c r="AD214" s="226" t="e">
        <f aca="false">(xSPRDOPT($L214+$AB$5,$J214,$I214,$M214,$O214,$N214,$P214,$Q214-$C$3,$R214,9)/365)*$H214</f>
        <v>#NAME?</v>
      </c>
      <c r="AE214" s="0" t="e">
        <f aca="false">CD214</f>
        <v>#NAME?</v>
      </c>
      <c r="AF214" s="226" t="e">
        <f aca="false">((O214/N214)*AH214)+AG214</f>
        <v>#NAME?</v>
      </c>
      <c r="AG214" s="226" t="e">
        <f aca="false">((xSPRDOPT($L214,$J214,$I214,$M214,$O214,$N214,$P214,$Q214-$C$3,$R214,6)*$H214)/100)</f>
        <v>#NAME?</v>
      </c>
      <c r="AH214" s="226" t="e">
        <f aca="false">((xSPRDOPT($L214,$J214,$I214,$M214,$O214,$N214,$P214,$Q214-$C$3,$R214,5)*$H214)/100)</f>
        <v>#NAME?</v>
      </c>
      <c r="AI214" s="226" t="e">
        <f aca="false">(((xSPRDOPT($L214,$J214,$I214,$M214,$O214,$N214,$P214,$Q214-$C$3,$R214,4)*$H214)/10000)/100)-AB214</f>
        <v>#NAME?</v>
      </c>
      <c r="AJ214" s="226"/>
      <c r="AK214" s="226"/>
      <c r="AL214" s="226"/>
      <c r="AM214" s="252"/>
      <c r="CC214" s="182" t="n">
        <f aca="false">G214</f>
        <v>36892</v>
      </c>
      <c r="CD214" s="253" t="e">
        <f aca="false">xSPRDOPT((VLOOKUP(G214,NGPrices,2,FALSE())+HLOOKUP(D214,Prices,VLOOKUP(G214,move_down,2,FALSE()),FALSE())),VLOOKUP(G214,NGPrices,2,FALSE()),I214,VLOOKUP(G214,NGPREVPRICES,4,FALSE()),HLOOKUP(D214,PREVVOLS,VLOOKUP(G214,MOVE_DOWN2,2,FALSE()),FALSE()),VLOOKUP(G214,NGPREVPRICES,3,FALSE()),HLOOKUP(D214,Correllate,VLOOKUP(G214,CorMove,2,FALSE()),FALSE()),Q214-$CD$3,R214,$CD$5)*H214-CJ214</f>
        <v>#NAME?</v>
      </c>
      <c r="CE214" s="253" t="e">
        <f aca="false">xSPRDOPT((VLOOKUP(G214,NGPREVPRICES,2,FALSE())+HLOOKUP(D214,PREVCURVES,VLOOKUP(G214,MOVE_DOWN2,2,FALSE()),FALSE())),VLOOKUP(G214,NGPREVPRICES,2,FALSE()),CK214,VLOOKUP(G214,NGPrices,4,FALSE()),HLOOKUP(D214,PREVVOLS,VLOOKUP(G214,MOVE_DOWN2,2,FALSE()),FALSE()),VLOOKUP(G214,NGPREVPRICES,3,FALSE()),HLOOKUP(D214,Correllate,VLOOKUP(G214,CorMove,2,FALSE()),FALSE()),Q214-$CD$3,R214,$CJ$5)*H214-CJ214</f>
        <v>#NAME?</v>
      </c>
      <c r="CF214" s="132" t="e">
        <f aca="false">(CJ214/VLOOKUP(CC214,discount,3,FALSE()))-(CJ214/VLOOKUP(CC214,discount,2,FALSE()))</f>
        <v>#NAME?</v>
      </c>
      <c r="CG214" s="253" t="e">
        <f aca="false">xSPRDOPT((VLOOKUP(G214,NGPREVPRICES,2,FALSE())+HLOOKUP(D214,PREVCURVES,VLOOKUP(G214,MOVE_DOWN2,2,FALSE()),FALSE())),VLOOKUP(G214,NGPREVPRICES,2,FALSE()),CK214,VLOOKUP(G214,NGPREVPRICES,4,FALSE()),HLOOKUP(D214,VOLS,VLOOKUP(G214,move_down,2,FALSE()),FALSE()),VLOOKUP(G214,NGPrices,3,FALSE()),HLOOKUP(D214,Correllate,VLOOKUP(G214,CorMove,2,FALSE()),FALSE()),Q214-$CD$3,R214,$CJ$5)*H214-CJ214</f>
        <v>#NAME?</v>
      </c>
      <c r="CH214" s="253" t="e">
        <f aca="false">xSPRDOPT((VLOOKUP(G214,NGPREVPRICES,2,FALSE())+HLOOKUP(D214,PREVCURVES,VLOOKUP(G214,MOVE_DOWN2,2,FALSE()),FALSE())),VLOOKUP(G214,NGPREVPRICES,2,FALSE()),CK214,VLOOKUP(G214,NGPREVPRICES,4,FALSE()),HLOOKUP(D214,PREVVOLS,VLOOKUP(G214,MOVE_DOWN2,2,FALSE()),FALSE()),VLOOKUP(G214,NGPREVPRICES,3,FALSE()),HLOOKUP(D214,Correllate,VLOOKUP(G214,CorMove,2,FALSE()),FALSE()),Q214-$C$3,R214,$CJ$5)*H214-CJ214</f>
        <v>#NAME?</v>
      </c>
      <c r="CI214" s="253" t="e">
        <f aca="false">SUM(CD214:CH214)</f>
        <v>#NAME?</v>
      </c>
      <c r="CJ214" s="253" t="e">
        <f aca="false">xSPRDOPT((VLOOKUP(G214,NGPREVPRICES,2,FALSE())+HLOOKUP(D214,PREVCURVES,VLOOKUP(G214,MOVE_DOWN2,2,FALSE()),FALSE())),VLOOKUP(G214,NGPREVPRICES,2,FALSE()),CK214,VLOOKUP(G214,NGPREVPRICES,4,FALSE()),HLOOKUP(D214,PREVVOLS,VLOOKUP(G214,MOVE_DOWN2,2,FALSE()),FALSE()),VLOOKUP(G214,NGPREVPRICES,3,FALSE()),HLOOKUP(D214,Correllate,VLOOKUP(G214,CorMove,2,FALSE()),FALSE()),Q214-$CD$3,R214,$CJ$5)*H214</f>
        <v>#NAME?</v>
      </c>
      <c r="CK214" s="254" t="n">
        <f aca="false">I214</f>
        <v>2.1</v>
      </c>
      <c r="CL214" s="253"/>
      <c r="CM214" s="0" t="str">
        <f aca="false">CONCATENATE(CC214,$CD$6)</f>
        <v>36892Curve Shift/Gamma</v>
      </c>
      <c r="CN214" s="0" t="str">
        <f aca="false">CONCATENATE($CC214,$CE$6)</f>
        <v>36892Rho</v>
      </c>
      <c r="CO214" s="0" t="str">
        <f aca="false">CONCATENATE($CC214,$CF$6)</f>
        <v>36892Drift</v>
      </c>
      <c r="CP214" s="0" t="str">
        <f aca="false">CONCATENATE($CC214,$CG$6)</f>
        <v>36892Vega</v>
      </c>
      <c r="CQ214" s="0" t="str">
        <f aca="false">CONCATENATE($CC214,$CH$6)</f>
        <v>36892Theta</v>
      </c>
    </row>
    <row r="215" customFormat="false" ht="12" hidden="false" customHeight="true" outlineLevel="0" collapsed="false">
      <c r="A215" s="17" t="s">
        <v>206</v>
      </c>
      <c r="B215" s="0" t="s">
        <v>192</v>
      </c>
      <c r="C215" s="0" t="s">
        <v>273</v>
      </c>
      <c r="D215" s="7" t="s">
        <v>149</v>
      </c>
      <c r="E215" s="0" t="s">
        <v>131</v>
      </c>
      <c r="F215" s="0" t="s">
        <v>136</v>
      </c>
      <c r="G215" s="92" t="n">
        <v>36861</v>
      </c>
      <c r="H215" s="248" t="n">
        <v>500000</v>
      </c>
      <c r="I215" s="0" t="n">
        <v>2.1</v>
      </c>
      <c r="J215" s="124" t="n">
        <f aca="false">VLOOKUP(G215,NGPrices,2,FALSE())</f>
        <v>4.8</v>
      </c>
      <c r="K215" s="125" t="n">
        <f aca="false">HLOOKUP(D215,Prices,VLOOKUP(G215,move_down,2,FALSE()),FALSE())+VLOOKUP(G215,CHANGE,HLOOKUP(D215,CHANGE,2,FALSE()),FALSE())</f>
        <v>1.645</v>
      </c>
      <c r="L215" s="124" t="n">
        <f aca="false">K215+J215</f>
        <v>6.445</v>
      </c>
      <c r="M215" s="126" t="n">
        <f aca="false">VLOOKUP(G215,NGPrices,4,FALSE())</f>
        <v>0.068314027999354</v>
      </c>
      <c r="N215" s="7" t="n">
        <f aca="false">VLOOKUP(G215,NGPrices,3,FALSE())</f>
        <v>0.6</v>
      </c>
      <c r="O215" s="7" t="n">
        <f aca="false">HLOOKUP(D215,VOLS,VLOOKUP(G215,move_down,2,FALSE()),FALSE())</f>
        <v>0.69</v>
      </c>
      <c r="P215" s="249" t="n">
        <f aca="false">HLOOKUP(D215,Correllate,VLOOKUP(G215,CorMove,2,FALSE()),FALSE())</f>
        <v>0.83</v>
      </c>
      <c r="Q215" s="92" t="n">
        <f aca="false">WORKDAY(G215,-2)</f>
        <v>36859</v>
      </c>
      <c r="R215" s="7" t="n">
        <f aca="false">IF(F215="P",0,1)</f>
        <v>1</v>
      </c>
      <c r="S215" s="130" t="e">
        <f aca="false">xSPRDOPT($L215,$J215,$I215,$M215,$O215,$N215,$P215,$Q215-$C$3,$R215,0)</f>
        <v>#NAME?</v>
      </c>
      <c r="T215" s="250" t="e">
        <f aca="false">xSPRDOPT($L215,$J215,$I215,$M215,$O215,$N215,$P215,$Q215-$C$3,$R215,1)*H215</f>
        <v>#NAME?</v>
      </c>
      <c r="U215" s="43" t="e">
        <f aca="false">S215*H215</f>
        <v>#NAME?</v>
      </c>
      <c r="V215" s="250" t="e">
        <f aca="false">xSPRDOPT($L215,$J215,$I215,$M215,$O215,$N215,$P215,$Q215-$C$3,$R215,2)*H215</f>
        <v>#NAME?</v>
      </c>
      <c r="W215" s="250" t="e">
        <f aca="false">+V215+T215</f>
        <v>#NAME?</v>
      </c>
      <c r="X215" s="2" t="str">
        <f aca="false">CONCATENATE(G215,D215)</f>
        <v>36861IF-TRANSCO/Z6</v>
      </c>
      <c r="Y215" s="251" t="n">
        <f aca="false">H215/10000</f>
        <v>50</v>
      </c>
      <c r="Z215" s="226" t="e">
        <f aca="false">T215/H215</f>
        <v>#NAME?</v>
      </c>
      <c r="AA215" s="226" t="e">
        <f aca="false">xSPRDOPT($L215,$J215,$I215,$M215,$O215,$N215,$P215,$Q215-$C$3,$R215,3)</f>
        <v>#NAME?</v>
      </c>
      <c r="AB215" s="226" t="e">
        <f aca="false">((xSPRDOPT($L215+AB$5,$J215,$I215,$M215,$O215,$N215,$P215,$Q215-$C$3,$R215,3)*$H215)/10000)/100</f>
        <v>#NAME?</v>
      </c>
      <c r="AC215" s="226" t="e">
        <f aca="false">((xSPRDOPT($L215+$AB$5,$J215,$I215,$M215,$O215,$N215,$P215,$Q215-$C$3,$R215,7)*$H215)/100)</f>
        <v>#NAME?</v>
      </c>
      <c r="AD215" s="226" t="e">
        <f aca="false">(xSPRDOPT($L215+$AB$5,$J215,$I215,$M215,$O215,$N215,$P215,$Q215-$C$3,$R215,9)/365)*$H215</f>
        <v>#NAME?</v>
      </c>
      <c r="AE215" s="0" t="e">
        <f aca="false">CD215</f>
        <v>#NAME?</v>
      </c>
      <c r="AF215" s="226" t="e">
        <f aca="false">((O215/N215)*AH215)+AG215</f>
        <v>#NAME?</v>
      </c>
      <c r="AG215" s="226" t="e">
        <f aca="false">((xSPRDOPT($L215,$J215,$I215,$M215,$O215,$N215,$P215,$Q215-$C$3,$R215,6)*$H215)/100)</f>
        <v>#NAME?</v>
      </c>
      <c r="AH215" s="226" t="e">
        <f aca="false">((xSPRDOPT($L215,$J215,$I215,$M215,$O215,$N215,$P215,$Q215-$C$3,$R215,5)*$H215)/100)</f>
        <v>#NAME?</v>
      </c>
      <c r="AI215" s="226" t="e">
        <f aca="false">(((xSPRDOPT($L215,$J215,$I215,$M215,$O215,$N215,$P215,$Q215-$C$3,$R215,4)*$H215)/10000)/100)-AB215</f>
        <v>#NAME?</v>
      </c>
      <c r="AJ215" s="226"/>
      <c r="AK215" s="226"/>
      <c r="AL215" s="226"/>
      <c r="AM215" s="252"/>
      <c r="CC215" s="182" t="n">
        <f aca="false">G215</f>
        <v>36861</v>
      </c>
      <c r="CD215" s="253" t="e">
        <f aca="false">xSPRDOPT((VLOOKUP(G215,NGPrices,2,FALSE())+HLOOKUP(D215,Prices,VLOOKUP(G215,move_down,2,FALSE()),FALSE())),VLOOKUP(G215,NGPrices,2,FALSE()),I215,VLOOKUP(G215,NGPREVPRICES,4,FALSE()),HLOOKUP(D215,PREVVOLS,VLOOKUP(G215,MOVE_DOWN2,2,FALSE()),FALSE()),VLOOKUP(G215,NGPREVPRICES,3,FALSE()),HLOOKUP(D215,Correllate,VLOOKUP(G215,CorMove,2,FALSE()),FALSE()),Q215-$CD$3,R215,$CD$5)*H215-CJ215</f>
        <v>#NAME?</v>
      </c>
      <c r="CE215" s="253" t="e">
        <f aca="false">xSPRDOPT((VLOOKUP(G215,NGPREVPRICES,2,FALSE())+HLOOKUP(D215,PREVCURVES,VLOOKUP(G215,MOVE_DOWN2,2,FALSE()),FALSE())),VLOOKUP(G215,NGPREVPRICES,2,FALSE()),CK215,VLOOKUP(G215,NGPrices,4,FALSE()),HLOOKUP(D215,PREVVOLS,VLOOKUP(G215,MOVE_DOWN2,2,FALSE()),FALSE()),VLOOKUP(G215,NGPREVPRICES,3,FALSE()),HLOOKUP(D215,Correllate,VLOOKUP(G215,CorMove,2,FALSE()),FALSE()),Q215-$CD$3,R215,$CJ$5)*H215-CJ215</f>
        <v>#NAME?</v>
      </c>
      <c r="CF215" s="132" t="e">
        <f aca="false">(CJ215/VLOOKUP(CC215,discount,3,FALSE()))-(CJ215/VLOOKUP(CC215,discount,2,FALSE()))</f>
        <v>#NAME?</v>
      </c>
      <c r="CG215" s="253" t="e">
        <f aca="false">xSPRDOPT((VLOOKUP(G215,NGPREVPRICES,2,FALSE())+HLOOKUP(D215,PREVCURVES,VLOOKUP(G215,MOVE_DOWN2,2,FALSE()),FALSE())),VLOOKUP(G215,NGPREVPRICES,2,FALSE()),CK215,VLOOKUP(G215,NGPREVPRICES,4,FALSE()),HLOOKUP(D215,VOLS,VLOOKUP(G215,move_down,2,FALSE()),FALSE()),VLOOKUP(G215,NGPrices,3,FALSE()),HLOOKUP(D215,Correllate,VLOOKUP(G215,CorMove,2,FALSE()),FALSE()),Q215-$CD$3,R215,$CJ$5)*H215-CJ215</f>
        <v>#NAME?</v>
      </c>
      <c r="CH215" s="253" t="e">
        <f aca="false">xSPRDOPT((VLOOKUP(G215,NGPREVPRICES,2,FALSE())+HLOOKUP(D215,PREVCURVES,VLOOKUP(G215,MOVE_DOWN2,2,FALSE()),FALSE())),VLOOKUP(G215,NGPREVPRICES,2,FALSE()),CK215,VLOOKUP(G215,NGPREVPRICES,4,FALSE()),HLOOKUP(D215,PREVVOLS,VLOOKUP(G215,MOVE_DOWN2,2,FALSE()),FALSE()),VLOOKUP(G215,NGPREVPRICES,3,FALSE()),HLOOKUP(D215,Correllate,VLOOKUP(G215,CorMove,2,FALSE()),FALSE()),Q215-$C$3,R215,$CJ$5)*H215-CJ215</f>
        <v>#NAME?</v>
      </c>
      <c r="CI215" s="253" t="e">
        <f aca="false">SUM(CD215:CH215)</f>
        <v>#NAME?</v>
      </c>
      <c r="CJ215" s="253" t="e">
        <f aca="false">xSPRDOPT((VLOOKUP(G215,NGPREVPRICES,2,FALSE())+HLOOKUP(D215,PREVCURVES,VLOOKUP(G215,MOVE_DOWN2,2,FALSE()),FALSE())),VLOOKUP(G215,NGPREVPRICES,2,FALSE()),CK215,VLOOKUP(G215,NGPREVPRICES,4,FALSE()),HLOOKUP(D215,PREVVOLS,VLOOKUP(G215,MOVE_DOWN2,2,FALSE()),FALSE()),VLOOKUP(G215,NGPREVPRICES,3,FALSE()),HLOOKUP(D215,Correllate,VLOOKUP(G215,CorMove,2,FALSE()),FALSE()),Q215-$CD$3,R215,$CJ$5)*H215</f>
        <v>#NAME?</v>
      </c>
      <c r="CK215" s="254" t="n">
        <f aca="false">I215</f>
        <v>2.1</v>
      </c>
      <c r="CL215" s="253"/>
      <c r="CM215" s="0" t="str">
        <f aca="false">CONCATENATE(CC215,$CD$6)</f>
        <v>36861Curve Shift/Gamma</v>
      </c>
      <c r="CN215" s="0" t="str">
        <f aca="false">CONCATENATE($CC215,$CE$6)</f>
        <v>36861Rho</v>
      </c>
      <c r="CO215" s="0" t="str">
        <f aca="false">CONCATENATE($CC215,$CF$6)</f>
        <v>36861Drift</v>
      </c>
      <c r="CP215" s="0" t="str">
        <f aca="false">CONCATENATE($CC215,$CG$6)</f>
        <v>36861Vega</v>
      </c>
      <c r="CQ215" s="0" t="str">
        <f aca="false">CONCATENATE($CC215,$CH$6)</f>
        <v>36861Theta</v>
      </c>
    </row>
    <row r="216" customFormat="false" ht="12" hidden="false" customHeight="true" outlineLevel="0" collapsed="false">
      <c r="A216" s="17" t="s">
        <v>206</v>
      </c>
      <c r="B216" s="0" t="s">
        <v>192</v>
      </c>
      <c r="C216" s="0" t="s">
        <v>273</v>
      </c>
      <c r="D216" s="7" t="s">
        <v>149</v>
      </c>
      <c r="E216" s="0" t="s">
        <v>131</v>
      </c>
      <c r="F216" s="0" t="s">
        <v>136</v>
      </c>
      <c r="G216" s="92" t="n">
        <v>36831</v>
      </c>
      <c r="H216" s="248" t="n">
        <v>500000</v>
      </c>
      <c r="I216" s="0" t="n">
        <v>2.1</v>
      </c>
      <c r="J216" s="124" t="n">
        <f aca="false">VLOOKUP(G216,NGPrices,2,FALSE())</f>
        <v>4.736</v>
      </c>
      <c r="K216" s="125" t="n">
        <f aca="false">HLOOKUP(D216,Prices,VLOOKUP(G216,move_down,2,FALSE()),FALSE())+VLOOKUP(G216,CHANGE,HLOOKUP(D216,CHANGE,2,FALSE()),FALSE())</f>
        <v>0.77</v>
      </c>
      <c r="L216" s="124" t="n">
        <f aca="false">K216+J216</f>
        <v>5.506</v>
      </c>
      <c r="M216" s="126" t="n">
        <f aca="false">VLOOKUP(G216,NGPrices,4,FALSE())</f>
        <v>0.06810675983792</v>
      </c>
      <c r="N216" s="7" t="n">
        <f aca="false">VLOOKUP(G216,NGPrices,3,FALSE())</f>
        <v>0.595</v>
      </c>
      <c r="O216" s="7" t="n">
        <f aca="false">HLOOKUP(D216,VOLS,VLOOKUP(G216,move_down,2,FALSE()),FALSE())</f>
        <v>0.625</v>
      </c>
      <c r="P216" s="249" t="n">
        <f aca="false">HLOOKUP(D216,Correllate,VLOOKUP(G216,CorMove,2,FALSE()),FALSE())</f>
        <v>0.89</v>
      </c>
      <c r="Q216" s="92" t="n">
        <f aca="false">WORKDAY(G216,-2)</f>
        <v>36829</v>
      </c>
      <c r="R216" s="7" t="n">
        <f aca="false">IF(F216="P",0,1)</f>
        <v>1</v>
      </c>
      <c r="S216" s="130" t="e">
        <f aca="false">xSPRDOPT($L216,$J216,$I216,$M216,$O216,$N216,$P216,$Q216-$C$3,$R216,0)</f>
        <v>#NAME?</v>
      </c>
      <c r="T216" s="250" t="e">
        <f aca="false">xSPRDOPT($L216,$J216,$I216,$M216,$O216,$N216,$P216,$Q216-$C$3,$R216,1)*H216</f>
        <v>#NAME?</v>
      </c>
      <c r="U216" s="43" t="e">
        <f aca="false">S216*H216</f>
        <v>#NAME?</v>
      </c>
      <c r="V216" s="250" t="e">
        <f aca="false">xSPRDOPT($L216,$J216,$I216,$M216,$O216,$N216,$P216,$Q216-$C$3,$R216,2)*H216</f>
        <v>#NAME?</v>
      </c>
      <c r="W216" s="250" t="e">
        <f aca="false">+V216+T216</f>
        <v>#NAME?</v>
      </c>
      <c r="X216" s="2" t="str">
        <f aca="false">CONCATENATE(G216,D216)</f>
        <v>36831IF-TRANSCO/Z6</v>
      </c>
      <c r="Y216" s="251" t="n">
        <f aca="false">H216/10000</f>
        <v>50</v>
      </c>
      <c r="Z216" s="226" t="e">
        <f aca="false">T216/H216</f>
        <v>#NAME?</v>
      </c>
      <c r="AA216" s="226" t="e">
        <f aca="false">xSPRDOPT($L216,$J216,$I216,$M216,$O216,$N216,$P216,$Q216-$C$3,$R216,3)</f>
        <v>#NAME?</v>
      </c>
      <c r="AB216" s="226" t="e">
        <f aca="false">((xSPRDOPT($L216+AB$5,$J216,$I216,$M216,$O216,$N216,$P216,$Q216-$C$3,$R216,3)*$H216)/10000)/100</f>
        <v>#NAME?</v>
      </c>
      <c r="AC216" s="226" t="e">
        <f aca="false">((xSPRDOPT($L216+$AB$5,$J216,$I216,$M216,$O216,$N216,$P216,$Q216-$C$3,$R216,7)*$H216)/100)</f>
        <v>#NAME?</v>
      </c>
      <c r="AD216" s="226" t="e">
        <f aca="false">(xSPRDOPT($L216+$AB$5,$J216,$I216,$M216,$O216,$N216,$P216,$Q216-$C$3,$R216,9)/365)*$H216</f>
        <v>#NAME?</v>
      </c>
      <c r="AE216" s="0" t="e">
        <f aca="false">CD216</f>
        <v>#NAME?</v>
      </c>
      <c r="AF216" s="226" t="e">
        <f aca="false">((O216/N216)*AH216)+AG216</f>
        <v>#NAME?</v>
      </c>
      <c r="AG216" s="226" t="e">
        <f aca="false">((xSPRDOPT($L216,$J216,$I216,$M216,$O216,$N216,$P216,$Q216-$C$3,$R216,6)*$H216)/100)</f>
        <v>#NAME?</v>
      </c>
      <c r="AH216" s="226" t="e">
        <f aca="false">((xSPRDOPT($L216,$J216,$I216,$M216,$O216,$N216,$P216,$Q216-$C$3,$R216,5)*$H216)/100)</f>
        <v>#NAME?</v>
      </c>
      <c r="AI216" s="226" t="e">
        <f aca="false">(((xSPRDOPT($L216,$J216,$I216,$M216,$O216,$N216,$P216,$Q216-$C$3,$R216,4)*$H216)/10000)/100)-AB216</f>
        <v>#NAME?</v>
      </c>
      <c r="AJ216" s="226"/>
      <c r="AK216" s="226"/>
      <c r="AL216" s="226"/>
      <c r="AM216" s="252"/>
      <c r="CC216" s="182" t="n">
        <f aca="false">G216</f>
        <v>36831</v>
      </c>
      <c r="CD216" s="253" t="e">
        <f aca="false">xSPRDOPT((VLOOKUP(G216,NGPrices,2,FALSE())+HLOOKUP(D216,Prices,VLOOKUP(G216,move_down,2,FALSE()),FALSE())),VLOOKUP(G216,NGPrices,2,FALSE()),I216,VLOOKUP(G216,NGPREVPRICES,4,FALSE()),HLOOKUP(D216,PREVVOLS,VLOOKUP(G216,MOVE_DOWN2,2,FALSE()),FALSE()),VLOOKUP(G216,NGPREVPRICES,3,FALSE()),HLOOKUP(D216,Correllate,VLOOKUP(G216,CorMove,2,FALSE()),FALSE()),Q216-$CD$3,R216,$CD$5)*H216-CJ216</f>
        <v>#NAME?</v>
      </c>
      <c r="CE216" s="253" t="e">
        <f aca="false">xSPRDOPT((VLOOKUP(G216,NGPREVPRICES,2,FALSE())+HLOOKUP(D216,PREVCURVES,VLOOKUP(G216,MOVE_DOWN2,2,FALSE()),FALSE())),VLOOKUP(G216,NGPREVPRICES,2,FALSE()),CK216,VLOOKUP(G216,NGPrices,4,FALSE()),HLOOKUP(D216,PREVVOLS,VLOOKUP(G216,MOVE_DOWN2,2,FALSE()),FALSE()),VLOOKUP(G216,NGPREVPRICES,3,FALSE()),HLOOKUP(D216,Correllate,VLOOKUP(G216,CorMove,2,FALSE()),FALSE()),Q216-$CD$3,R216,$CJ$5)*H216-CJ216</f>
        <v>#NAME?</v>
      </c>
      <c r="CF216" s="132" t="e">
        <f aca="false">(CJ216/VLOOKUP(CC216,discount,3,FALSE()))-(CJ216/VLOOKUP(CC216,discount,2,FALSE()))</f>
        <v>#NAME?</v>
      </c>
      <c r="CG216" s="253" t="e">
        <f aca="false">xSPRDOPT((VLOOKUP(G216,NGPREVPRICES,2,FALSE())+HLOOKUP(D216,PREVCURVES,VLOOKUP(G216,MOVE_DOWN2,2,FALSE()),FALSE())),VLOOKUP(G216,NGPREVPRICES,2,FALSE()),CK216,VLOOKUP(G216,NGPREVPRICES,4,FALSE()),HLOOKUP(D216,VOLS,VLOOKUP(G216,move_down,2,FALSE()),FALSE()),VLOOKUP(G216,NGPrices,3,FALSE()),HLOOKUP(D216,Correllate,VLOOKUP(G216,CorMove,2,FALSE()),FALSE()),Q216-$CD$3,R216,$CJ$5)*H216-CJ216</f>
        <v>#NAME?</v>
      </c>
      <c r="CH216" s="253" t="e">
        <f aca="false">xSPRDOPT((VLOOKUP(G216,NGPREVPRICES,2,FALSE())+HLOOKUP(D216,PREVCURVES,VLOOKUP(G216,MOVE_DOWN2,2,FALSE()),FALSE())),VLOOKUP(G216,NGPREVPRICES,2,FALSE()),CK216,VLOOKUP(G216,NGPREVPRICES,4,FALSE()),HLOOKUP(D216,PREVVOLS,VLOOKUP(G216,MOVE_DOWN2,2,FALSE()),FALSE()),VLOOKUP(G216,NGPREVPRICES,3,FALSE()),HLOOKUP(D216,Correllate,VLOOKUP(G216,CorMove,2,FALSE()),FALSE()),Q216-$C$3,R216,$CJ$5)*H216-CJ216</f>
        <v>#NAME?</v>
      </c>
      <c r="CI216" s="253" t="e">
        <f aca="false">SUM(CD216:CH216)</f>
        <v>#NAME?</v>
      </c>
      <c r="CJ216" s="253" t="e">
        <f aca="false">xSPRDOPT((VLOOKUP(G216,NGPREVPRICES,2,FALSE())+HLOOKUP(D216,PREVCURVES,VLOOKUP(G216,MOVE_DOWN2,2,FALSE()),FALSE())),VLOOKUP(G216,NGPREVPRICES,2,FALSE()),CK216,VLOOKUP(G216,NGPREVPRICES,4,FALSE()),HLOOKUP(D216,PREVVOLS,VLOOKUP(G216,MOVE_DOWN2,2,FALSE()),FALSE()),VLOOKUP(G216,NGPREVPRICES,3,FALSE()),HLOOKUP(D216,Correllate,VLOOKUP(G216,CorMove,2,FALSE()),FALSE()),Q216-$CD$3,R216,$CJ$5)*H216</f>
        <v>#NAME?</v>
      </c>
      <c r="CK216" s="254" t="n">
        <f aca="false">I216</f>
        <v>2.1</v>
      </c>
      <c r="CL216" s="253"/>
      <c r="CM216" s="0" t="str">
        <f aca="false">CONCATENATE(CC216,$CD$6)</f>
        <v>36831Curve Shift/Gamma</v>
      </c>
      <c r="CN216" s="0" t="str">
        <f aca="false">CONCATENATE($CC216,$CE$6)</f>
        <v>36831Rho</v>
      </c>
      <c r="CO216" s="0" t="str">
        <f aca="false">CONCATENATE($CC216,$CF$6)</f>
        <v>36831Drift</v>
      </c>
      <c r="CP216" s="0" t="str">
        <f aca="false">CONCATENATE($CC216,$CG$6)</f>
        <v>36831Vega</v>
      </c>
      <c r="CQ216" s="0" t="str">
        <f aca="false">CONCATENATE($CC216,$CH$6)</f>
        <v>36831Theta</v>
      </c>
    </row>
    <row r="217" customFormat="false" ht="12" hidden="false" customHeight="true" outlineLevel="0" collapsed="false">
      <c r="A217" s="17" t="s">
        <v>212</v>
      </c>
      <c r="B217" s="0" t="s">
        <v>192</v>
      </c>
      <c r="C217" s="0" t="s">
        <v>274</v>
      </c>
      <c r="D217" s="7" t="s">
        <v>149</v>
      </c>
      <c r="E217" s="0" t="s">
        <v>131</v>
      </c>
      <c r="F217" s="0" t="s">
        <v>136</v>
      </c>
      <c r="G217" s="92" t="n">
        <v>36831</v>
      </c>
      <c r="H217" s="248" t="n">
        <v>1000000</v>
      </c>
      <c r="I217" s="0" t="n">
        <v>1</v>
      </c>
      <c r="J217" s="124" t="n">
        <f aca="false">VLOOKUP(G217,NGPrices,2,FALSE())</f>
        <v>4.736</v>
      </c>
      <c r="K217" s="125" t="n">
        <f aca="false">HLOOKUP(D217,Prices,VLOOKUP(G217,move_down,2,FALSE()),FALSE())+VLOOKUP(G217,CHANGE,HLOOKUP(D217,CHANGE,2,FALSE()),FALSE())</f>
        <v>0.77</v>
      </c>
      <c r="L217" s="124" t="n">
        <f aca="false">K217+J217</f>
        <v>5.506</v>
      </c>
      <c r="M217" s="126" t="n">
        <f aca="false">VLOOKUP(G217,NGPrices,4,FALSE())</f>
        <v>0.06810675983792</v>
      </c>
      <c r="N217" s="7" t="n">
        <f aca="false">VLOOKUP(G217,NGPrices,3,FALSE())</f>
        <v>0.595</v>
      </c>
      <c r="O217" s="7" t="n">
        <f aca="false">HLOOKUP(D217,VOLS,VLOOKUP(G217,move_down,2,FALSE()),FALSE())</f>
        <v>0.625</v>
      </c>
      <c r="P217" s="249" t="n">
        <f aca="false">HLOOKUP(D217,Correllate,VLOOKUP(G217,CorMove,2,FALSE()),FALSE())</f>
        <v>0.89</v>
      </c>
      <c r="Q217" s="92" t="n">
        <f aca="false">WORKDAY(G217,-2)</f>
        <v>36829</v>
      </c>
      <c r="R217" s="7" t="n">
        <f aca="false">IF(F217="P",0,1)</f>
        <v>1</v>
      </c>
      <c r="S217" s="130" t="e">
        <f aca="false">xSPRDOPT($L217,$J217,$I217,$M217,$O217,$N217,$P217,$Q217-$C$3,$R217,0)</f>
        <v>#NAME?</v>
      </c>
      <c r="T217" s="250" t="e">
        <f aca="false">xSPRDOPT($L217,$J217,$I217,$M217,$O217,$N217,$P217,$Q217-$C$3,$R217,1)*H217</f>
        <v>#NAME?</v>
      </c>
      <c r="U217" s="43" t="e">
        <f aca="false">S217*H217</f>
        <v>#NAME?</v>
      </c>
      <c r="V217" s="250" t="e">
        <f aca="false">xSPRDOPT($L217,$J217,$I217,$M217,$O217,$N217,$P217,$Q217-$C$3,$R217,2)*H217</f>
        <v>#NAME?</v>
      </c>
      <c r="W217" s="250" t="e">
        <f aca="false">+V217+T217</f>
        <v>#NAME?</v>
      </c>
      <c r="X217" s="2" t="str">
        <f aca="false">CONCATENATE(G217,D217)</f>
        <v>36831IF-TRANSCO/Z6</v>
      </c>
      <c r="Y217" s="251" t="n">
        <f aca="false">H217/10000</f>
        <v>100</v>
      </c>
      <c r="Z217" s="226" t="e">
        <f aca="false">T217/H217</f>
        <v>#NAME?</v>
      </c>
      <c r="AA217" s="226" t="e">
        <f aca="false">xSPRDOPT($L217,$J217,$I217,$M217,$O217,$N217,$P217,$Q217-$C$3,$R217,3)</f>
        <v>#NAME?</v>
      </c>
      <c r="AB217" s="226" t="e">
        <f aca="false">((xSPRDOPT($L217+AB$5,$J217,$I217,$M217,$O217,$N217,$P217,$Q217-$C$3,$R217,3)*$H217)/10000)/100</f>
        <v>#NAME?</v>
      </c>
      <c r="AC217" s="226" t="e">
        <f aca="false">((xSPRDOPT($L217+$AB$5,$J217,$I217,$M217,$O217,$N217,$P217,$Q217-$C$3,$R217,7)*$H217)/100)</f>
        <v>#NAME?</v>
      </c>
      <c r="AD217" s="226" t="e">
        <f aca="false">(xSPRDOPT($L217+$AB$5,$J217,$I217,$M217,$O217,$N217,$P217,$Q217-$C$3,$R217,9)/365)*$H217</f>
        <v>#NAME?</v>
      </c>
      <c r="AE217" s="0" t="e">
        <f aca="false">CD217</f>
        <v>#NAME?</v>
      </c>
      <c r="AF217" s="226" t="e">
        <f aca="false">((O217/N217)*AH217)+AG217</f>
        <v>#NAME?</v>
      </c>
      <c r="AG217" s="226" t="e">
        <f aca="false">((xSPRDOPT($L217,$J217,$I217,$M217,$O217,$N217,$P217,$Q217-$C$3,$R217,6)*$H217)/100)</f>
        <v>#NAME?</v>
      </c>
      <c r="AH217" s="226" t="e">
        <f aca="false">((xSPRDOPT($L217,$J217,$I217,$M217,$O217,$N217,$P217,$Q217-$C$3,$R217,5)*$H217)/100)</f>
        <v>#NAME?</v>
      </c>
      <c r="AI217" s="226" t="e">
        <f aca="false">(((xSPRDOPT($L217,$J217,$I217,$M217,$O217,$N217,$P217,$Q217-$C$3,$R217,4)*$H217)/10000)/100)-AB217</f>
        <v>#NAME?</v>
      </c>
      <c r="AJ217" s="226"/>
      <c r="AK217" s="226"/>
      <c r="AL217" s="226"/>
      <c r="AM217" s="252"/>
      <c r="CC217" s="182" t="n">
        <f aca="false">G217</f>
        <v>36831</v>
      </c>
      <c r="CD217" s="253" t="e">
        <f aca="false">xSPRDOPT((VLOOKUP(G217,NGPrices,2,FALSE())+HLOOKUP(D217,Prices,VLOOKUP(G217,move_down,2,FALSE()),FALSE())),VLOOKUP(G217,NGPrices,2,FALSE()),I217,VLOOKUP(G217,NGPREVPRICES,4,FALSE()),HLOOKUP(D217,PREVVOLS,VLOOKUP(G217,MOVE_DOWN2,2,FALSE()),FALSE()),VLOOKUP(G217,NGPREVPRICES,3,FALSE()),HLOOKUP(D217,Correllate,VLOOKUP(G217,CorMove,2,FALSE()),FALSE()),Q217-$CD$3,R217,$CD$5)*H217-CJ217</f>
        <v>#NAME?</v>
      </c>
      <c r="CE217" s="253" t="e">
        <f aca="false">xSPRDOPT((VLOOKUP(G217,NGPREVPRICES,2,FALSE())+HLOOKUP(D217,PREVCURVES,VLOOKUP(G217,MOVE_DOWN2,2,FALSE()),FALSE())),VLOOKUP(G217,NGPREVPRICES,2,FALSE()),CK217,VLOOKUP(G217,NGPrices,4,FALSE()),HLOOKUP(D217,PREVVOLS,VLOOKUP(G217,MOVE_DOWN2,2,FALSE()),FALSE()),VLOOKUP(G217,NGPREVPRICES,3,FALSE()),HLOOKUP(D217,Correllate,VLOOKUP(G217,CorMove,2,FALSE()),FALSE()),Q217-$CD$3,R217,$CJ$5)*H217-CJ217</f>
        <v>#NAME?</v>
      </c>
      <c r="CF217" s="132" t="e">
        <f aca="false">(CJ217/VLOOKUP(CC217,discount,3,FALSE()))-(CJ217/VLOOKUP(CC217,discount,2,FALSE()))</f>
        <v>#NAME?</v>
      </c>
      <c r="CG217" s="253" t="e">
        <f aca="false">xSPRDOPT((VLOOKUP(G217,NGPREVPRICES,2,FALSE())+HLOOKUP(D217,PREVCURVES,VLOOKUP(G217,MOVE_DOWN2,2,FALSE()),FALSE())),VLOOKUP(G217,NGPREVPRICES,2,FALSE()),CK217,VLOOKUP(G217,NGPREVPRICES,4,FALSE()),HLOOKUP(D217,VOLS,VLOOKUP(G217,move_down,2,FALSE()),FALSE()),VLOOKUP(G217,NGPrices,3,FALSE()),HLOOKUP(D217,Correllate,VLOOKUP(G217,CorMove,2,FALSE()),FALSE()),Q217-$CD$3,R217,$CJ$5)*H217-CJ217</f>
        <v>#NAME?</v>
      </c>
      <c r="CH217" s="253" t="e">
        <f aca="false">xSPRDOPT((VLOOKUP(G217,NGPREVPRICES,2,FALSE())+HLOOKUP(D217,PREVCURVES,VLOOKUP(G217,MOVE_DOWN2,2,FALSE()),FALSE())),VLOOKUP(G217,NGPREVPRICES,2,FALSE()),CK217,VLOOKUP(G217,NGPREVPRICES,4,FALSE()),HLOOKUP(D217,PREVVOLS,VLOOKUP(G217,MOVE_DOWN2,2,FALSE()),FALSE()),VLOOKUP(G217,NGPREVPRICES,3,FALSE()),HLOOKUP(D217,Correllate,VLOOKUP(G217,CorMove,2,FALSE()),FALSE()),Q217-$C$3,R217,$CJ$5)*H217-CJ217</f>
        <v>#NAME?</v>
      </c>
      <c r="CI217" s="253" t="e">
        <f aca="false">SUM(CD217:CH217)</f>
        <v>#NAME?</v>
      </c>
      <c r="CJ217" s="253" t="e">
        <f aca="false">xSPRDOPT((VLOOKUP(G217,NGPREVPRICES,2,FALSE())+HLOOKUP(D217,PREVCURVES,VLOOKUP(G217,MOVE_DOWN2,2,FALSE()),FALSE())),VLOOKUP(G217,NGPREVPRICES,2,FALSE()),CK217,VLOOKUP(G217,NGPREVPRICES,4,FALSE()),HLOOKUP(D217,PREVVOLS,VLOOKUP(G217,MOVE_DOWN2,2,FALSE()),FALSE()),VLOOKUP(G217,NGPREVPRICES,3,FALSE()),HLOOKUP(D217,Correllate,VLOOKUP(G217,CorMove,2,FALSE()),FALSE()),Q217-$CD$3,R217,$CJ$5)*H217</f>
        <v>#NAME?</v>
      </c>
      <c r="CK217" s="254" t="n">
        <f aca="false">I217</f>
        <v>1</v>
      </c>
      <c r="CL217" s="253"/>
      <c r="CM217" s="0" t="str">
        <f aca="false">CONCATENATE(CC217,$CD$6)</f>
        <v>36831Curve Shift/Gamma</v>
      </c>
      <c r="CN217" s="0" t="str">
        <f aca="false">CONCATENATE($CC217,$CE$6)</f>
        <v>36831Rho</v>
      </c>
      <c r="CO217" s="0" t="str">
        <f aca="false">CONCATENATE($CC217,$CF$6)</f>
        <v>36831Drift</v>
      </c>
      <c r="CP217" s="0" t="str">
        <f aca="false">CONCATENATE($CC217,$CG$6)</f>
        <v>36831Vega</v>
      </c>
      <c r="CQ217" s="0" t="str">
        <f aca="false">CONCATENATE($CC217,$CH$6)</f>
        <v>36831Theta</v>
      </c>
    </row>
    <row r="218" customFormat="false" ht="12" hidden="false" customHeight="true" outlineLevel="0" collapsed="false">
      <c r="A218" s="17" t="s">
        <v>275</v>
      </c>
      <c r="B218" s="0" t="s">
        <v>192</v>
      </c>
      <c r="C218" s="0" t="s">
        <v>276</v>
      </c>
      <c r="D218" s="7" t="s">
        <v>149</v>
      </c>
      <c r="E218" s="0" t="s">
        <v>131</v>
      </c>
      <c r="F218" s="0" t="s">
        <v>136</v>
      </c>
      <c r="G218" s="92" t="n">
        <v>36951</v>
      </c>
      <c r="H218" s="248" t="n">
        <v>-310000</v>
      </c>
      <c r="I218" s="0" t="n">
        <v>1.6</v>
      </c>
      <c r="J218" s="124" t="n">
        <f aca="false">VLOOKUP(G218,NGPrices,2,FALSE())</f>
        <v>4.213</v>
      </c>
      <c r="K218" s="125" t="n">
        <f aca="false">HLOOKUP(D218,Prices,VLOOKUP(G218,move_down,2,FALSE()),FALSE())+VLOOKUP(G218,CHANGE,HLOOKUP(D218,CHANGE,2,FALSE()),FALSE())</f>
        <v>1.075</v>
      </c>
      <c r="L218" s="124" t="n">
        <f aca="false">K218+J218</f>
        <v>5.288</v>
      </c>
      <c r="M218" s="126" t="n">
        <f aca="false">VLOOKUP(G218,NGPrices,4,FALSE())</f>
        <v>0.068879814952707</v>
      </c>
      <c r="N218" s="7" t="n">
        <f aca="false">VLOOKUP(G218,NGPrices,3,FALSE())</f>
        <v>0.5325</v>
      </c>
      <c r="O218" s="7" t="n">
        <f aca="false">HLOOKUP(D218,VOLS,VLOOKUP(G218,move_down,2,FALSE()),FALSE())</f>
        <v>0.612</v>
      </c>
      <c r="P218" s="249" t="n">
        <f aca="false">HLOOKUP(D218,Correllate,VLOOKUP(G218,CorMove,2,FALSE()),FALSE())</f>
        <v>0.83</v>
      </c>
      <c r="Q218" s="92" t="n">
        <f aca="false">WORKDAY(G218,-2)</f>
        <v>36949</v>
      </c>
      <c r="R218" s="7" t="n">
        <f aca="false">IF(F218="P",0,1)</f>
        <v>1</v>
      </c>
      <c r="S218" s="130" t="e">
        <f aca="false">xSPRDOPT($L218,$J218,$I218,$M218,$O218,$N218,$P218,$Q218-$C$3,$R218,0)</f>
        <v>#NAME?</v>
      </c>
      <c r="T218" s="250" t="e">
        <f aca="false">xSPRDOPT($L218,$J218,$I218,$M218,$O218,$N218,$P218,$Q218-$C$3,$R218,1)*H218</f>
        <v>#NAME?</v>
      </c>
      <c r="U218" s="43" t="e">
        <f aca="false">S218*H218</f>
        <v>#NAME?</v>
      </c>
      <c r="V218" s="250" t="e">
        <f aca="false">xSPRDOPT($L218,$J218,$I218,$M218,$O218,$N218,$P218,$Q218-$C$3,$R218,2)*H218</f>
        <v>#NAME?</v>
      </c>
      <c r="W218" s="250" t="e">
        <f aca="false">+V218+T218</f>
        <v>#NAME?</v>
      </c>
      <c r="X218" s="2" t="str">
        <f aca="false">CONCATENATE(G218,D218)</f>
        <v>36951IF-TRANSCO/Z6</v>
      </c>
      <c r="Y218" s="251" t="n">
        <f aca="false">H218/10000</f>
        <v>-31</v>
      </c>
      <c r="Z218" s="226" t="e">
        <f aca="false">T218/H218</f>
        <v>#NAME?</v>
      </c>
      <c r="AA218" s="226" t="e">
        <f aca="false">xSPRDOPT($L218,$J218,$I218,$M218,$O218,$N218,$P218,$Q218-$C$3,$R218,3)</f>
        <v>#NAME?</v>
      </c>
      <c r="AB218" s="226" t="e">
        <f aca="false">((xSPRDOPT($L218+AB$5,$J218,$I218,$M218,$O218,$N218,$P218,$Q218-$C$3,$R218,3)*$H218)/10000)/100</f>
        <v>#NAME?</v>
      </c>
      <c r="AC218" s="226" t="e">
        <f aca="false">((xSPRDOPT($L218+$AB$5,$J218,$I218,$M218,$O218,$N218,$P218,$Q218-$C$3,$R218,7)*$H218)/100)</f>
        <v>#NAME?</v>
      </c>
      <c r="AD218" s="226" t="e">
        <f aca="false">(xSPRDOPT($L218+$AB$5,$J218,$I218,$M218,$O218,$N218,$P218,$Q218-$C$3,$R218,9)/365)*$H218</f>
        <v>#NAME?</v>
      </c>
      <c r="AE218" s="0" t="e">
        <f aca="false">CD218</f>
        <v>#NAME?</v>
      </c>
      <c r="AF218" s="226" t="e">
        <f aca="false">((O218/N218)*AH218)+AG218</f>
        <v>#NAME?</v>
      </c>
      <c r="AG218" s="226" t="e">
        <f aca="false">((xSPRDOPT($L218,$J218,$I218,$M218,$O218,$N218,$P218,$Q218-$C$3,$R218,6)*$H218)/100)</f>
        <v>#NAME?</v>
      </c>
      <c r="AH218" s="226" t="e">
        <f aca="false">((xSPRDOPT($L218,$J218,$I218,$M218,$O218,$N218,$P218,$Q218-$C$3,$R218,5)*$H218)/100)</f>
        <v>#NAME?</v>
      </c>
      <c r="AI218" s="226" t="e">
        <f aca="false">(((xSPRDOPT($L218,$J218,$I218,$M218,$O218,$N218,$P218,$Q218-$C$3,$R218,4)*$H218)/10000)/100)-AB218</f>
        <v>#NAME?</v>
      </c>
      <c r="AJ218" s="226"/>
      <c r="AK218" s="226"/>
      <c r="AL218" s="226"/>
      <c r="AM218" s="252"/>
      <c r="CC218" s="182" t="n">
        <f aca="false">G218</f>
        <v>36951</v>
      </c>
      <c r="CD218" s="253" t="e">
        <f aca="false">xSPRDOPT((VLOOKUP(G218,NGPrices,2,FALSE())+HLOOKUP(D218,Prices,VLOOKUP(G218,move_down,2,FALSE()),FALSE())),VLOOKUP(G218,NGPrices,2,FALSE()),I218,VLOOKUP(G218,NGPREVPRICES,4,FALSE()),HLOOKUP(D218,PREVVOLS,VLOOKUP(G218,MOVE_DOWN2,2,FALSE()),FALSE()),VLOOKUP(G218,NGPREVPRICES,3,FALSE()),HLOOKUP(D218,Correllate,VLOOKUP(G218,CorMove,2,FALSE()),FALSE()),Q218-$CD$3,R218,$CD$5)*H218-CJ218</f>
        <v>#NAME?</v>
      </c>
      <c r="CE218" s="253" t="e">
        <f aca="false">xSPRDOPT((VLOOKUP(G218,NGPREVPRICES,2,FALSE())+HLOOKUP(D218,PREVCURVES,VLOOKUP(G218,MOVE_DOWN2,2,FALSE()),FALSE())),VLOOKUP(G218,NGPREVPRICES,2,FALSE()),CK218,VLOOKUP(G218,NGPrices,4,FALSE()),HLOOKUP(D218,PREVVOLS,VLOOKUP(G218,MOVE_DOWN2,2,FALSE()),FALSE()),VLOOKUP(G218,NGPREVPRICES,3,FALSE()),HLOOKUP(D218,Correllate,VLOOKUP(G218,CorMove,2,FALSE()),FALSE()),Q218-$CD$3,R218,$CJ$5)*H218-CJ218</f>
        <v>#NAME?</v>
      </c>
      <c r="CF218" s="132" t="e">
        <f aca="false">(CJ218/VLOOKUP(CC218,discount,3,FALSE()))-(CJ218/VLOOKUP(CC218,discount,2,FALSE()))</f>
        <v>#NAME?</v>
      </c>
      <c r="CG218" s="253" t="e">
        <f aca="false">xSPRDOPT((VLOOKUP(G218,NGPREVPRICES,2,FALSE())+HLOOKUP(D218,PREVCURVES,VLOOKUP(G218,MOVE_DOWN2,2,FALSE()),FALSE())),VLOOKUP(G218,NGPREVPRICES,2,FALSE()),CK218,VLOOKUP(G218,NGPREVPRICES,4,FALSE()),HLOOKUP(D218,VOLS,VLOOKUP(G218,move_down,2,FALSE()),FALSE()),VLOOKUP(G218,NGPrices,3,FALSE()),HLOOKUP(D218,Correllate,VLOOKUP(G218,CorMove,2,FALSE()),FALSE()),Q218-$CD$3,R218,$CJ$5)*H218-CJ218</f>
        <v>#NAME?</v>
      </c>
      <c r="CH218" s="253" t="e">
        <f aca="false">xSPRDOPT((VLOOKUP(G218,NGPREVPRICES,2,FALSE())+HLOOKUP(D218,PREVCURVES,VLOOKUP(G218,MOVE_DOWN2,2,FALSE()),FALSE())),VLOOKUP(G218,NGPREVPRICES,2,FALSE()),CK218,VLOOKUP(G218,NGPREVPRICES,4,FALSE()),HLOOKUP(D218,PREVVOLS,VLOOKUP(G218,MOVE_DOWN2,2,FALSE()),FALSE()),VLOOKUP(G218,NGPREVPRICES,3,FALSE()),HLOOKUP(D218,Correllate,VLOOKUP(G218,CorMove,2,FALSE()),FALSE()),Q218-$C$3,R218,$CJ$5)*H218-CJ218</f>
        <v>#NAME?</v>
      </c>
      <c r="CI218" s="253" t="e">
        <f aca="false">SUM(CD218:CH218)</f>
        <v>#NAME?</v>
      </c>
      <c r="CJ218" s="253" t="e">
        <f aca="false">xSPRDOPT((VLOOKUP(G218,NGPREVPRICES,2,FALSE())+HLOOKUP(D218,PREVCURVES,VLOOKUP(G218,MOVE_DOWN2,2,FALSE()),FALSE())),VLOOKUP(G218,NGPREVPRICES,2,FALSE()),CK218,VLOOKUP(G218,NGPREVPRICES,4,FALSE()),HLOOKUP(D218,PREVVOLS,VLOOKUP(G218,MOVE_DOWN2,2,FALSE()),FALSE()),VLOOKUP(G218,NGPREVPRICES,3,FALSE()),HLOOKUP(D218,Correllate,VLOOKUP(G218,CorMove,2,FALSE()),FALSE()),Q218-$CD$3,R218,$CJ$5)*H218</f>
        <v>#NAME?</v>
      </c>
      <c r="CK218" s="254" t="n">
        <f aca="false">I218</f>
        <v>1.6</v>
      </c>
      <c r="CL218" s="253"/>
      <c r="CM218" s="0" t="str">
        <f aca="false">CONCATENATE(CC218,$CD$6)</f>
        <v>36951Curve Shift/Gamma</v>
      </c>
      <c r="CN218" s="0" t="str">
        <f aca="false">CONCATENATE($CC218,$CE$6)</f>
        <v>36951Rho</v>
      </c>
      <c r="CO218" s="0" t="str">
        <f aca="false">CONCATENATE($CC218,$CF$6)</f>
        <v>36951Drift</v>
      </c>
      <c r="CP218" s="0" t="str">
        <f aca="false">CONCATENATE($CC218,$CG$6)</f>
        <v>36951Vega</v>
      </c>
      <c r="CQ218" s="0" t="str">
        <f aca="false">CONCATENATE($CC218,$CH$6)</f>
        <v>36951Theta</v>
      </c>
    </row>
    <row r="219" customFormat="false" ht="12" hidden="false" customHeight="true" outlineLevel="0" collapsed="false">
      <c r="A219" s="17" t="s">
        <v>275</v>
      </c>
      <c r="B219" s="0" t="s">
        <v>192</v>
      </c>
      <c r="C219" s="0" t="s">
        <v>276</v>
      </c>
      <c r="D219" s="7" t="s">
        <v>149</v>
      </c>
      <c r="E219" s="0" t="s">
        <v>131</v>
      </c>
      <c r="F219" s="0" t="s">
        <v>136</v>
      </c>
      <c r="G219" s="92" t="n">
        <v>36923</v>
      </c>
      <c r="H219" s="248" t="n">
        <v>-280000</v>
      </c>
      <c r="I219" s="0" t="n">
        <v>1.6</v>
      </c>
      <c r="J219" s="124" t="n">
        <f aca="false">VLOOKUP(G219,NGPrices,2,FALSE())</f>
        <v>4.48</v>
      </c>
      <c r="K219" s="125" t="n">
        <f aca="false">HLOOKUP(D219,Prices,VLOOKUP(G219,move_down,2,FALSE()),FALSE())+VLOOKUP(G219,CHANGE,HLOOKUP(D219,CHANGE,2,FALSE()),FALSE())</f>
        <v>2.09</v>
      </c>
      <c r="L219" s="124" t="n">
        <f aca="false">K219+J219</f>
        <v>6.57</v>
      </c>
      <c r="M219" s="126" t="n">
        <f aca="false">VLOOKUP(G219,NGPrices,4,FALSE())</f>
        <v>0.068640161611372</v>
      </c>
      <c r="N219" s="7" t="n">
        <f aca="false">VLOOKUP(G219,NGPrices,3,FALSE())</f>
        <v>0.5925</v>
      </c>
      <c r="O219" s="7" t="n">
        <f aca="false">HLOOKUP(D219,VOLS,VLOOKUP(G219,move_down,2,FALSE()),FALSE())</f>
        <v>0.681</v>
      </c>
      <c r="P219" s="249" t="n">
        <f aca="false">HLOOKUP(D219,Correllate,VLOOKUP(G219,CorMove,2,FALSE()),FALSE())</f>
        <v>0.83</v>
      </c>
      <c r="Q219" s="92" t="n">
        <f aca="false">WORKDAY(G219,-2)</f>
        <v>36921</v>
      </c>
      <c r="R219" s="7" t="n">
        <f aca="false">IF(F219="P",0,1)</f>
        <v>1</v>
      </c>
      <c r="S219" s="130" t="e">
        <f aca="false">xSPRDOPT($L219,$J219,$I219,$M219,$O219,$N219,$P219,$Q219-$C$3,$R219,0)</f>
        <v>#NAME?</v>
      </c>
      <c r="T219" s="250" t="e">
        <f aca="false">xSPRDOPT($L219,$J219,$I219,$M219,$O219,$N219,$P219,$Q219-$C$3,$R219,1)*H219</f>
        <v>#NAME?</v>
      </c>
      <c r="U219" s="43" t="e">
        <f aca="false">S219*H219</f>
        <v>#NAME?</v>
      </c>
      <c r="V219" s="250" t="e">
        <f aca="false">xSPRDOPT($L219,$J219,$I219,$M219,$O219,$N219,$P219,$Q219-$C$3,$R219,2)*H219</f>
        <v>#NAME?</v>
      </c>
      <c r="W219" s="250" t="e">
        <f aca="false">+V219+T219</f>
        <v>#NAME?</v>
      </c>
      <c r="X219" s="2" t="str">
        <f aca="false">CONCATENATE(G219,D219)</f>
        <v>36923IF-TRANSCO/Z6</v>
      </c>
      <c r="Y219" s="251" t="n">
        <f aca="false">H219/10000</f>
        <v>-28</v>
      </c>
      <c r="Z219" s="226" t="e">
        <f aca="false">T219/H219</f>
        <v>#NAME?</v>
      </c>
      <c r="AA219" s="226" t="e">
        <f aca="false">xSPRDOPT($L219,$J219,$I219,$M219,$O219,$N219,$P219,$Q219-$C$3,$R219,3)</f>
        <v>#NAME?</v>
      </c>
      <c r="AB219" s="226" t="e">
        <f aca="false">((xSPRDOPT($L219+AB$5,$J219,$I219,$M219,$O219,$N219,$P219,$Q219-$C$3,$R219,3)*$H219)/10000)/100</f>
        <v>#NAME?</v>
      </c>
      <c r="AC219" s="226" t="e">
        <f aca="false">((xSPRDOPT($L219+$AB$5,$J219,$I219,$M219,$O219,$N219,$P219,$Q219-$C$3,$R219,7)*$H219)/100)</f>
        <v>#NAME?</v>
      </c>
      <c r="AD219" s="226" t="e">
        <f aca="false">(xSPRDOPT($L219+$AB$5,$J219,$I219,$M219,$O219,$N219,$P219,$Q219-$C$3,$R219,9)/365)*$H219</f>
        <v>#NAME?</v>
      </c>
      <c r="AE219" s="0" t="e">
        <f aca="false">CD219</f>
        <v>#NAME?</v>
      </c>
      <c r="AF219" s="226" t="e">
        <f aca="false">((O219/N219)*AH219)+AG219</f>
        <v>#NAME?</v>
      </c>
      <c r="AG219" s="226" t="e">
        <f aca="false">((xSPRDOPT($L219,$J219,$I219,$M219,$O219,$N219,$P219,$Q219-$C$3,$R219,6)*$H219)/100)</f>
        <v>#NAME?</v>
      </c>
      <c r="AH219" s="226" t="e">
        <f aca="false">((xSPRDOPT($L219,$J219,$I219,$M219,$O219,$N219,$P219,$Q219-$C$3,$R219,5)*$H219)/100)</f>
        <v>#NAME?</v>
      </c>
      <c r="AI219" s="226" t="e">
        <f aca="false">(((xSPRDOPT($L219,$J219,$I219,$M219,$O219,$N219,$P219,$Q219-$C$3,$R219,4)*$H219)/10000)/100)-AB219</f>
        <v>#NAME?</v>
      </c>
      <c r="AJ219" s="226"/>
      <c r="AK219" s="226"/>
      <c r="AL219" s="226"/>
      <c r="AM219" s="252"/>
      <c r="CC219" s="182" t="n">
        <f aca="false">G219</f>
        <v>36923</v>
      </c>
      <c r="CD219" s="253" t="e">
        <f aca="false">xSPRDOPT((VLOOKUP(G219,NGPrices,2,FALSE())+HLOOKUP(D219,Prices,VLOOKUP(G219,move_down,2,FALSE()),FALSE())),VLOOKUP(G219,NGPrices,2,FALSE()),I219,VLOOKUP(G219,NGPREVPRICES,4,FALSE()),HLOOKUP(D219,PREVVOLS,VLOOKUP(G219,MOVE_DOWN2,2,FALSE()),FALSE()),VLOOKUP(G219,NGPREVPRICES,3,FALSE()),HLOOKUP(D219,Correllate,VLOOKUP(G219,CorMove,2,FALSE()),FALSE()),Q219-$CD$3,R219,$CD$5)*H219-CJ219</f>
        <v>#NAME?</v>
      </c>
      <c r="CE219" s="253" t="e">
        <f aca="false">xSPRDOPT((VLOOKUP(G219,NGPREVPRICES,2,FALSE())+HLOOKUP(D219,PREVCURVES,VLOOKUP(G219,MOVE_DOWN2,2,FALSE()),FALSE())),VLOOKUP(G219,NGPREVPRICES,2,FALSE()),CK219,VLOOKUP(G219,NGPrices,4,FALSE()),HLOOKUP(D219,PREVVOLS,VLOOKUP(G219,MOVE_DOWN2,2,FALSE()),FALSE()),VLOOKUP(G219,NGPREVPRICES,3,FALSE()),HLOOKUP(D219,Correllate,VLOOKUP(G219,CorMove,2,FALSE()),FALSE()),Q219-$CD$3,R219,$CJ$5)*H219-CJ219</f>
        <v>#NAME?</v>
      </c>
      <c r="CF219" s="132" t="e">
        <f aca="false">(CJ219/VLOOKUP(CC219,discount,3,FALSE()))-(CJ219/VLOOKUP(CC219,discount,2,FALSE()))</f>
        <v>#NAME?</v>
      </c>
      <c r="CG219" s="253" t="e">
        <f aca="false">xSPRDOPT((VLOOKUP(G219,NGPREVPRICES,2,FALSE())+HLOOKUP(D219,PREVCURVES,VLOOKUP(G219,MOVE_DOWN2,2,FALSE()),FALSE())),VLOOKUP(G219,NGPREVPRICES,2,FALSE()),CK219,VLOOKUP(G219,NGPREVPRICES,4,FALSE()),HLOOKUP(D219,VOLS,VLOOKUP(G219,move_down,2,FALSE()),FALSE()),VLOOKUP(G219,NGPrices,3,FALSE()),HLOOKUP(D219,Correllate,VLOOKUP(G219,CorMove,2,FALSE()),FALSE()),Q219-$CD$3,R219,$CJ$5)*H219-CJ219</f>
        <v>#NAME?</v>
      </c>
      <c r="CH219" s="253" t="e">
        <f aca="false">xSPRDOPT((VLOOKUP(G219,NGPREVPRICES,2,FALSE())+HLOOKUP(D219,PREVCURVES,VLOOKUP(G219,MOVE_DOWN2,2,FALSE()),FALSE())),VLOOKUP(G219,NGPREVPRICES,2,FALSE()),CK219,VLOOKUP(G219,NGPREVPRICES,4,FALSE()),HLOOKUP(D219,PREVVOLS,VLOOKUP(G219,MOVE_DOWN2,2,FALSE()),FALSE()),VLOOKUP(G219,NGPREVPRICES,3,FALSE()),HLOOKUP(D219,Correllate,VLOOKUP(G219,CorMove,2,FALSE()),FALSE()),Q219-$C$3,R219,$CJ$5)*H219-CJ219</f>
        <v>#NAME?</v>
      </c>
      <c r="CI219" s="253" t="e">
        <f aca="false">SUM(CD219:CH219)</f>
        <v>#NAME?</v>
      </c>
      <c r="CJ219" s="253" t="e">
        <f aca="false">xSPRDOPT((VLOOKUP(G219,NGPREVPRICES,2,FALSE())+HLOOKUP(D219,PREVCURVES,VLOOKUP(G219,MOVE_DOWN2,2,FALSE()),FALSE())),VLOOKUP(G219,NGPREVPRICES,2,FALSE()),CK219,VLOOKUP(G219,NGPREVPRICES,4,FALSE()),HLOOKUP(D219,PREVVOLS,VLOOKUP(G219,MOVE_DOWN2,2,FALSE()),FALSE()),VLOOKUP(G219,NGPREVPRICES,3,FALSE()),HLOOKUP(D219,Correllate,VLOOKUP(G219,CorMove,2,FALSE()),FALSE()),Q219-$CD$3,R219,$CJ$5)*H219</f>
        <v>#NAME?</v>
      </c>
      <c r="CK219" s="254" t="n">
        <f aca="false">I219</f>
        <v>1.6</v>
      </c>
      <c r="CL219" s="253"/>
      <c r="CM219" s="0" t="str">
        <f aca="false">CONCATENATE(CC219,$CD$6)</f>
        <v>36923Curve Shift/Gamma</v>
      </c>
      <c r="CN219" s="0" t="str">
        <f aca="false">CONCATENATE($CC219,$CE$6)</f>
        <v>36923Rho</v>
      </c>
      <c r="CO219" s="0" t="str">
        <f aca="false">CONCATENATE($CC219,$CF$6)</f>
        <v>36923Drift</v>
      </c>
      <c r="CP219" s="0" t="str">
        <f aca="false">CONCATENATE($CC219,$CG$6)</f>
        <v>36923Vega</v>
      </c>
      <c r="CQ219" s="0" t="str">
        <f aca="false">CONCATENATE($CC219,$CH$6)</f>
        <v>36923Theta</v>
      </c>
    </row>
    <row r="220" customFormat="false" ht="12" hidden="false" customHeight="true" outlineLevel="0" collapsed="false">
      <c r="A220" s="17" t="s">
        <v>275</v>
      </c>
      <c r="B220" s="0" t="s">
        <v>192</v>
      </c>
      <c r="C220" s="0" t="s">
        <v>276</v>
      </c>
      <c r="D220" s="7" t="s">
        <v>149</v>
      </c>
      <c r="E220" s="0" t="s">
        <v>131</v>
      </c>
      <c r="F220" s="0" t="s">
        <v>136</v>
      </c>
      <c r="G220" s="92" t="n">
        <v>36892</v>
      </c>
      <c r="H220" s="248" t="n">
        <v>-310000</v>
      </c>
      <c r="I220" s="0" t="n">
        <v>1.6</v>
      </c>
      <c r="J220" s="124" t="n">
        <f aca="false">VLOOKUP(G220,NGPrices,2,FALSE())</f>
        <v>4.744</v>
      </c>
      <c r="K220" s="125" t="n">
        <f aca="false">HLOOKUP(D220,Prices,VLOOKUP(G220,move_down,2,FALSE()),FALSE())+VLOOKUP(G220,CHANGE,HLOOKUP(D220,CHANGE,2,FALSE()),FALSE())</f>
        <v>2.17</v>
      </c>
      <c r="L220" s="124" t="n">
        <f aca="false">K220+J220</f>
        <v>6.914</v>
      </c>
      <c r="M220" s="126" t="n">
        <f aca="false">VLOOKUP(G220,NGPrices,4,FALSE())</f>
        <v>0.068374831148491</v>
      </c>
      <c r="N220" s="7" t="n">
        <f aca="false">VLOOKUP(G220,NGPrices,3,FALSE())</f>
        <v>0.605</v>
      </c>
      <c r="O220" s="7" t="n">
        <f aca="false">HLOOKUP(D220,VOLS,VLOOKUP(G220,move_down,2,FALSE()),FALSE())</f>
        <v>0.696</v>
      </c>
      <c r="P220" s="249" t="n">
        <f aca="false">HLOOKUP(D220,Correllate,VLOOKUP(G220,CorMove,2,FALSE()),FALSE())</f>
        <v>0.83</v>
      </c>
      <c r="Q220" s="92" t="n">
        <f aca="false">WORKDAY(G220,-2)</f>
        <v>36888</v>
      </c>
      <c r="R220" s="7" t="n">
        <f aca="false">IF(F220="P",0,1)</f>
        <v>1</v>
      </c>
      <c r="S220" s="130" t="e">
        <f aca="false">xSPRDOPT($L220,$J220,$I220,$M220,$O220,$N220,$P220,$Q220-$C$3,$R220,0)</f>
        <v>#NAME?</v>
      </c>
      <c r="T220" s="250" t="e">
        <f aca="false">xSPRDOPT($L220,$J220,$I220,$M220,$O220,$N220,$P220,$Q220-$C$3,$R220,1)*H220</f>
        <v>#NAME?</v>
      </c>
      <c r="U220" s="43" t="e">
        <f aca="false">S220*H220</f>
        <v>#NAME?</v>
      </c>
      <c r="V220" s="250" t="e">
        <f aca="false">xSPRDOPT($L220,$J220,$I220,$M220,$O220,$N220,$P220,$Q220-$C$3,$R220,2)*H220</f>
        <v>#NAME?</v>
      </c>
      <c r="W220" s="250" t="e">
        <f aca="false">+V220+T220</f>
        <v>#NAME?</v>
      </c>
      <c r="X220" s="2" t="str">
        <f aca="false">CONCATENATE(G220,D220)</f>
        <v>36892IF-TRANSCO/Z6</v>
      </c>
      <c r="Y220" s="251" t="n">
        <f aca="false">H220/10000</f>
        <v>-31</v>
      </c>
      <c r="Z220" s="226" t="e">
        <f aca="false">T220/H220</f>
        <v>#NAME?</v>
      </c>
      <c r="AA220" s="226" t="e">
        <f aca="false">xSPRDOPT($L220,$J220,$I220,$M220,$O220,$N220,$P220,$Q220-$C$3,$R220,3)</f>
        <v>#NAME?</v>
      </c>
      <c r="AB220" s="226" t="e">
        <f aca="false">((xSPRDOPT($L220+AB$5,$J220,$I220,$M220,$O220,$N220,$P220,$Q220-$C$3,$R220,3)*$H220)/10000)/100</f>
        <v>#NAME?</v>
      </c>
      <c r="AC220" s="226" t="e">
        <f aca="false">((xSPRDOPT($L220+$AB$5,$J220,$I220,$M220,$O220,$N220,$P220,$Q220-$C$3,$R220,7)*$H220)/100)</f>
        <v>#NAME?</v>
      </c>
      <c r="AD220" s="226" t="e">
        <f aca="false">(xSPRDOPT($L220+$AB$5,$J220,$I220,$M220,$O220,$N220,$P220,$Q220-$C$3,$R220,9)/365)*$H220</f>
        <v>#NAME?</v>
      </c>
      <c r="AE220" s="0" t="e">
        <f aca="false">CD220</f>
        <v>#NAME?</v>
      </c>
      <c r="AF220" s="226" t="e">
        <f aca="false">((O220/N220)*AH220)+AG220</f>
        <v>#NAME?</v>
      </c>
      <c r="AG220" s="226" t="e">
        <f aca="false">((xSPRDOPT($L220,$J220,$I220,$M220,$O220,$N220,$P220,$Q220-$C$3,$R220,6)*$H220)/100)</f>
        <v>#NAME?</v>
      </c>
      <c r="AH220" s="226" t="e">
        <f aca="false">((xSPRDOPT($L220,$J220,$I220,$M220,$O220,$N220,$P220,$Q220-$C$3,$R220,5)*$H220)/100)</f>
        <v>#NAME?</v>
      </c>
      <c r="AI220" s="226" t="e">
        <f aca="false">(((xSPRDOPT($L220,$J220,$I220,$M220,$O220,$N220,$P220,$Q220-$C$3,$R220,4)*$H220)/10000)/100)-AB220</f>
        <v>#NAME?</v>
      </c>
      <c r="AJ220" s="226"/>
      <c r="AK220" s="226"/>
      <c r="AL220" s="226"/>
      <c r="AM220" s="252"/>
      <c r="CC220" s="182" t="n">
        <f aca="false">G220</f>
        <v>36892</v>
      </c>
      <c r="CD220" s="253" t="e">
        <f aca="false">xSPRDOPT((VLOOKUP(G220,NGPrices,2,FALSE())+HLOOKUP(D220,Prices,VLOOKUP(G220,move_down,2,FALSE()),FALSE())),VLOOKUP(G220,NGPrices,2,FALSE()),I220,VLOOKUP(G220,NGPREVPRICES,4,FALSE()),HLOOKUP(D220,PREVVOLS,VLOOKUP(G220,MOVE_DOWN2,2,FALSE()),FALSE()),VLOOKUP(G220,NGPREVPRICES,3,FALSE()),HLOOKUP(D220,Correllate,VLOOKUP(G220,CorMove,2,FALSE()),FALSE()),Q220-$CD$3,R220,$CD$5)*H220-CJ220</f>
        <v>#NAME?</v>
      </c>
      <c r="CE220" s="253" t="e">
        <f aca="false">xSPRDOPT((VLOOKUP(G220,NGPREVPRICES,2,FALSE())+HLOOKUP(D220,PREVCURVES,VLOOKUP(G220,MOVE_DOWN2,2,FALSE()),FALSE())),VLOOKUP(G220,NGPREVPRICES,2,FALSE()),CK220,VLOOKUP(G220,NGPrices,4,FALSE()),HLOOKUP(D220,PREVVOLS,VLOOKUP(G220,MOVE_DOWN2,2,FALSE()),FALSE()),VLOOKUP(G220,NGPREVPRICES,3,FALSE()),HLOOKUP(D220,Correllate,VLOOKUP(G220,CorMove,2,FALSE()),FALSE()),Q220-$CD$3,R220,$CJ$5)*H220-CJ220</f>
        <v>#NAME?</v>
      </c>
      <c r="CF220" s="132" t="e">
        <f aca="false">(CJ220/VLOOKUP(CC220,discount,3,FALSE()))-(CJ220/VLOOKUP(CC220,discount,2,FALSE()))</f>
        <v>#NAME?</v>
      </c>
      <c r="CG220" s="253" t="e">
        <f aca="false">xSPRDOPT((VLOOKUP(G220,NGPREVPRICES,2,FALSE())+HLOOKUP(D220,PREVCURVES,VLOOKUP(G220,MOVE_DOWN2,2,FALSE()),FALSE())),VLOOKUP(G220,NGPREVPRICES,2,FALSE()),CK220,VLOOKUP(G220,NGPREVPRICES,4,FALSE()),HLOOKUP(D220,VOLS,VLOOKUP(G220,move_down,2,FALSE()),FALSE()),VLOOKUP(G220,NGPrices,3,FALSE()),HLOOKUP(D220,Correllate,VLOOKUP(G220,CorMove,2,FALSE()),FALSE()),Q220-$CD$3,R220,$CJ$5)*H220-CJ220</f>
        <v>#NAME?</v>
      </c>
      <c r="CH220" s="253" t="e">
        <f aca="false">xSPRDOPT((VLOOKUP(G220,NGPREVPRICES,2,FALSE())+HLOOKUP(D220,PREVCURVES,VLOOKUP(G220,MOVE_DOWN2,2,FALSE()),FALSE())),VLOOKUP(G220,NGPREVPRICES,2,FALSE()),CK220,VLOOKUP(G220,NGPREVPRICES,4,FALSE()),HLOOKUP(D220,PREVVOLS,VLOOKUP(G220,MOVE_DOWN2,2,FALSE()),FALSE()),VLOOKUP(G220,NGPREVPRICES,3,FALSE()),HLOOKUP(D220,Correllate,VLOOKUP(G220,CorMove,2,FALSE()),FALSE()),Q220-$C$3,R220,$CJ$5)*H220-CJ220</f>
        <v>#NAME?</v>
      </c>
      <c r="CI220" s="253" t="e">
        <f aca="false">SUM(CD220:CH220)</f>
        <v>#NAME?</v>
      </c>
      <c r="CJ220" s="253" t="e">
        <f aca="false">xSPRDOPT((VLOOKUP(G220,NGPREVPRICES,2,FALSE())+HLOOKUP(D220,PREVCURVES,VLOOKUP(G220,MOVE_DOWN2,2,FALSE()),FALSE())),VLOOKUP(G220,NGPREVPRICES,2,FALSE()),CK220,VLOOKUP(G220,NGPREVPRICES,4,FALSE()),HLOOKUP(D220,PREVVOLS,VLOOKUP(G220,MOVE_DOWN2,2,FALSE()),FALSE()),VLOOKUP(G220,NGPREVPRICES,3,FALSE()),HLOOKUP(D220,Correllate,VLOOKUP(G220,CorMove,2,FALSE()),FALSE()),Q220-$CD$3,R220,$CJ$5)*H220</f>
        <v>#NAME?</v>
      </c>
      <c r="CK220" s="254" t="n">
        <f aca="false">I220</f>
        <v>1.6</v>
      </c>
      <c r="CL220" s="253"/>
      <c r="CM220" s="0" t="str">
        <f aca="false">CONCATENATE(CC220,$CD$6)</f>
        <v>36892Curve Shift/Gamma</v>
      </c>
      <c r="CN220" s="0" t="str">
        <f aca="false">CONCATENATE($CC220,$CE$6)</f>
        <v>36892Rho</v>
      </c>
      <c r="CO220" s="0" t="str">
        <f aca="false">CONCATENATE($CC220,$CF$6)</f>
        <v>36892Drift</v>
      </c>
      <c r="CP220" s="0" t="str">
        <f aca="false">CONCATENATE($CC220,$CG$6)</f>
        <v>36892Vega</v>
      </c>
      <c r="CQ220" s="0" t="str">
        <f aca="false">CONCATENATE($CC220,$CH$6)</f>
        <v>36892Theta</v>
      </c>
    </row>
    <row r="221" customFormat="false" ht="12" hidden="false" customHeight="true" outlineLevel="0" collapsed="false">
      <c r="A221" s="17" t="s">
        <v>275</v>
      </c>
      <c r="B221" s="0" t="s">
        <v>192</v>
      </c>
      <c r="C221" s="0" t="s">
        <v>276</v>
      </c>
      <c r="D221" s="7" t="s">
        <v>149</v>
      </c>
      <c r="E221" s="0" t="s">
        <v>131</v>
      </c>
      <c r="F221" s="0" t="s">
        <v>136</v>
      </c>
      <c r="G221" s="92" t="n">
        <v>36861</v>
      </c>
      <c r="H221" s="248" t="n">
        <v>-310000</v>
      </c>
      <c r="I221" s="0" t="n">
        <v>1.6</v>
      </c>
      <c r="J221" s="124" t="n">
        <f aca="false">VLOOKUP(G221,NGPrices,2,FALSE())</f>
        <v>4.8</v>
      </c>
      <c r="K221" s="125" t="n">
        <f aca="false">HLOOKUP(D221,Prices,VLOOKUP(G221,move_down,2,FALSE()),FALSE())+VLOOKUP(G221,CHANGE,HLOOKUP(D221,CHANGE,2,FALSE()),FALSE())</f>
        <v>1.645</v>
      </c>
      <c r="L221" s="124" t="n">
        <f aca="false">K221+J221</f>
        <v>6.445</v>
      </c>
      <c r="M221" s="126" t="n">
        <f aca="false">VLOOKUP(G221,NGPrices,4,FALSE())</f>
        <v>0.068314027999354</v>
      </c>
      <c r="N221" s="7" t="n">
        <f aca="false">VLOOKUP(G221,NGPrices,3,FALSE())</f>
        <v>0.6</v>
      </c>
      <c r="O221" s="7" t="n">
        <f aca="false">HLOOKUP(D221,VOLS,VLOOKUP(G221,move_down,2,FALSE()),FALSE())</f>
        <v>0.69</v>
      </c>
      <c r="P221" s="249" t="n">
        <f aca="false">HLOOKUP(D221,Correllate,VLOOKUP(G221,CorMove,2,FALSE()),FALSE())</f>
        <v>0.83</v>
      </c>
      <c r="Q221" s="92" t="n">
        <f aca="false">WORKDAY(G221,-2)</f>
        <v>36859</v>
      </c>
      <c r="R221" s="7" t="n">
        <f aca="false">IF(F221="P",0,1)</f>
        <v>1</v>
      </c>
      <c r="S221" s="130" t="e">
        <f aca="false">xSPRDOPT($L221,$J221,$I221,$M221,$O221,$N221,$P221,$Q221-$C$3,$R221,0)</f>
        <v>#NAME?</v>
      </c>
      <c r="T221" s="250" t="e">
        <f aca="false">xSPRDOPT($L221,$J221,$I221,$M221,$O221,$N221,$P221,$Q221-$C$3,$R221,1)*H221</f>
        <v>#NAME?</v>
      </c>
      <c r="U221" s="43" t="e">
        <f aca="false">S221*H221</f>
        <v>#NAME?</v>
      </c>
      <c r="V221" s="250" t="e">
        <f aca="false">xSPRDOPT($L221,$J221,$I221,$M221,$O221,$N221,$P221,$Q221-$C$3,$R221,2)*H221</f>
        <v>#NAME?</v>
      </c>
      <c r="W221" s="250" t="e">
        <f aca="false">+V221+T221</f>
        <v>#NAME?</v>
      </c>
      <c r="X221" s="2" t="str">
        <f aca="false">CONCATENATE(G221,D221)</f>
        <v>36861IF-TRANSCO/Z6</v>
      </c>
      <c r="Y221" s="251" t="n">
        <f aca="false">H221/10000</f>
        <v>-31</v>
      </c>
      <c r="Z221" s="226" t="e">
        <f aca="false">T221/H221</f>
        <v>#NAME?</v>
      </c>
      <c r="AA221" s="226" t="e">
        <f aca="false">xSPRDOPT($L221,$J221,$I221,$M221,$O221,$N221,$P221,$Q221-$C$3,$R221,3)</f>
        <v>#NAME?</v>
      </c>
      <c r="AB221" s="226" t="e">
        <f aca="false">((xSPRDOPT($L221+AB$5,$J221,$I221,$M221,$O221,$N221,$P221,$Q221-$C$3,$R221,3)*$H221)/10000)/100</f>
        <v>#NAME?</v>
      </c>
      <c r="AC221" s="226" t="e">
        <f aca="false">((xSPRDOPT($L221+$AB$5,$J221,$I221,$M221,$O221,$N221,$P221,$Q221-$C$3,$R221,7)*$H221)/100)</f>
        <v>#NAME?</v>
      </c>
      <c r="AD221" s="226" t="e">
        <f aca="false">(xSPRDOPT($L221+$AB$5,$J221,$I221,$M221,$O221,$N221,$P221,$Q221-$C$3,$R221,9)/365)*$H221</f>
        <v>#NAME?</v>
      </c>
      <c r="AE221" s="0" t="e">
        <f aca="false">CD221</f>
        <v>#NAME?</v>
      </c>
      <c r="AF221" s="226" t="e">
        <f aca="false">((O221/N221)*AH221)+AG221</f>
        <v>#NAME?</v>
      </c>
      <c r="AG221" s="226" t="e">
        <f aca="false">((xSPRDOPT($L221,$J221,$I221,$M221,$O221,$N221,$P221,$Q221-$C$3,$R221,6)*$H221)/100)</f>
        <v>#NAME?</v>
      </c>
      <c r="AH221" s="226" t="e">
        <f aca="false">((xSPRDOPT($L221,$J221,$I221,$M221,$O221,$N221,$P221,$Q221-$C$3,$R221,5)*$H221)/100)</f>
        <v>#NAME?</v>
      </c>
      <c r="AI221" s="226" t="e">
        <f aca="false">(((xSPRDOPT($L221,$J221,$I221,$M221,$O221,$N221,$P221,$Q221-$C$3,$R221,4)*$H221)/10000)/100)-AB221</f>
        <v>#NAME?</v>
      </c>
      <c r="AJ221" s="226"/>
      <c r="AK221" s="226"/>
      <c r="AL221" s="226"/>
      <c r="AM221" s="252"/>
      <c r="CC221" s="182" t="n">
        <f aca="false">G221</f>
        <v>36861</v>
      </c>
      <c r="CD221" s="253" t="e">
        <f aca="false">xSPRDOPT((VLOOKUP(G221,NGPrices,2,FALSE())+HLOOKUP(D221,Prices,VLOOKUP(G221,move_down,2,FALSE()),FALSE())),VLOOKUP(G221,NGPrices,2,FALSE()),I221,VLOOKUP(G221,NGPREVPRICES,4,FALSE()),HLOOKUP(D221,PREVVOLS,VLOOKUP(G221,MOVE_DOWN2,2,FALSE()),FALSE()),VLOOKUP(G221,NGPREVPRICES,3,FALSE()),HLOOKUP(D221,Correllate,VLOOKUP(G221,CorMove,2,FALSE()),FALSE()),Q221-$CD$3,R221,$CD$5)*H221-CJ221</f>
        <v>#NAME?</v>
      </c>
      <c r="CE221" s="253" t="e">
        <f aca="false">xSPRDOPT((VLOOKUP(G221,NGPREVPRICES,2,FALSE())+HLOOKUP(D221,PREVCURVES,VLOOKUP(G221,MOVE_DOWN2,2,FALSE()),FALSE())),VLOOKUP(G221,NGPREVPRICES,2,FALSE()),CK221,VLOOKUP(G221,NGPrices,4,FALSE()),HLOOKUP(D221,PREVVOLS,VLOOKUP(G221,MOVE_DOWN2,2,FALSE()),FALSE()),VLOOKUP(G221,NGPREVPRICES,3,FALSE()),HLOOKUP(D221,Correllate,VLOOKUP(G221,CorMove,2,FALSE()),FALSE()),Q221-$CD$3,R221,$CJ$5)*H221-CJ221</f>
        <v>#NAME?</v>
      </c>
      <c r="CF221" s="132" t="e">
        <f aca="false">(CJ221/VLOOKUP(CC221,discount,3,FALSE()))-(CJ221/VLOOKUP(CC221,discount,2,FALSE()))</f>
        <v>#NAME?</v>
      </c>
      <c r="CG221" s="253" t="e">
        <f aca="false">xSPRDOPT((VLOOKUP(G221,NGPREVPRICES,2,FALSE())+HLOOKUP(D221,PREVCURVES,VLOOKUP(G221,MOVE_DOWN2,2,FALSE()),FALSE())),VLOOKUP(G221,NGPREVPRICES,2,FALSE()),CK221,VLOOKUP(G221,NGPREVPRICES,4,FALSE()),HLOOKUP(D221,VOLS,VLOOKUP(G221,move_down,2,FALSE()),FALSE()),VLOOKUP(G221,NGPrices,3,FALSE()),HLOOKUP(D221,Correllate,VLOOKUP(G221,CorMove,2,FALSE()),FALSE()),Q221-$CD$3,R221,$CJ$5)*H221-CJ221</f>
        <v>#NAME?</v>
      </c>
      <c r="CH221" s="253" t="e">
        <f aca="false">xSPRDOPT((VLOOKUP(G221,NGPREVPRICES,2,FALSE())+HLOOKUP(D221,PREVCURVES,VLOOKUP(G221,MOVE_DOWN2,2,FALSE()),FALSE())),VLOOKUP(G221,NGPREVPRICES,2,FALSE()),CK221,VLOOKUP(G221,NGPREVPRICES,4,FALSE()),HLOOKUP(D221,PREVVOLS,VLOOKUP(G221,MOVE_DOWN2,2,FALSE()),FALSE()),VLOOKUP(G221,NGPREVPRICES,3,FALSE()),HLOOKUP(D221,Correllate,VLOOKUP(G221,CorMove,2,FALSE()),FALSE()),Q221-$C$3,R221,$CJ$5)*H221-CJ221</f>
        <v>#NAME?</v>
      </c>
      <c r="CI221" s="253" t="e">
        <f aca="false">SUM(CD221:CH221)</f>
        <v>#NAME?</v>
      </c>
      <c r="CJ221" s="253" t="e">
        <f aca="false">xSPRDOPT((VLOOKUP(G221,NGPREVPRICES,2,FALSE())+HLOOKUP(D221,PREVCURVES,VLOOKUP(G221,MOVE_DOWN2,2,FALSE()),FALSE())),VLOOKUP(G221,NGPREVPRICES,2,FALSE()),CK221,VLOOKUP(G221,NGPREVPRICES,4,FALSE()),HLOOKUP(D221,PREVVOLS,VLOOKUP(G221,MOVE_DOWN2,2,FALSE()),FALSE()),VLOOKUP(G221,NGPREVPRICES,3,FALSE()),HLOOKUP(D221,Correllate,VLOOKUP(G221,CorMove,2,FALSE()),FALSE()),Q221-$CD$3,R221,$CJ$5)*H221</f>
        <v>#NAME?</v>
      </c>
      <c r="CK221" s="254" t="n">
        <f aca="false">I221</f>
        <v>1.6</v>
      </c>
      <c r="CL221" s="253"/>
      <c r="CM221" s="0" t="str">
        <f aca="false">CONCATENATE(CC221,$CD$6)</f>
        <v>36861Curve Shift/Gamma</v>
      </c>
      <c r="CN221" s="0" t="str">
        <f aca="false">CONCATENATE($CC221,$CE$6)</f>
        <v>36861Rho</v>
      </c>
      <c r="CO221" s="0" t="str">
        <f aca="false">CONCATENATE($CC221,$CF$6)</f>
        <v>36861Drift</v>
      </c>
      <c r="CP221" s="0" t="str">
        <f aca="false">CONCATENATE($CC221,$CG$6)</f>
        <v>36861Vega</v>
      </c>
      <c r="CQ221" s="0" t="str">
        <f aca="false">CONCATENATE($CC221,$CH$6)</f>
        <v>36861Theta</v>
      </c>
    </row>
    <row r="222" customFormat="false" ht="12" hidden="false" customHeight="true" outlineLevel="0" collapsed="false">
      <c r="A222" s="17" t="s">
        <v>275</v>
      </c>
      <c r="B222" s="0" t="s">
        <v>192</v>
      </c>
      <c r="C222" s="0" t="s">
        <v>276</v>
      </c>
      <c r="D222" s="7" t="s">
        <v>149</v>
      </c>
      <c r="E222" s="0" t="s">
        <v>131</v>
      </c>
      <c r="F222" s="0" t="s">
        <v>136</v>
      </c>
      <c r="G222" s="92" t="n">
        <v>36831</v>
      </c>
      <c r="H222" s="248" t="n">
        <v>-300000</v>
      </c>
      <c r="I222" s="0" t="n">
        <v>1.6</v>
      </c>
      <c r="J222" s="124" t="n">
        <f aca="false">VLOOKUP(G222,NGPrices,2,FALSE())</f>
        <v>4.736</v>
      </c>
      <c r="K222" s="125" t="n">
        <f aca="false">HLOOKUP(D222,Prices,VLOOKUP(G222,move_down,2,FALSE()),FALSE())+VLOOKUP(G222,CHANGE,HLOOKUP(D222,CHANGE,2,FALSE()),FALSE())</f>
        <v>0.77</v>
      </c>
      <c r="L222" s="124" t="n">
        <f aca="false">K222+J222</f>
        <v>5.506</v>
      </c>
      <c r="M222" s="126" t="n">
        <f aca="false">VLOOKUP(G222,NGPrices,4,FALSE())</f>
        <v>0.06810675983792</v>
      </c>
      <c r="N222" s="7" t="n">
        <f aca="false">VLOOKUP(G222,NGPrices,3,FALSE())</f>
        <v>0.595</v>
      </c>
      <c r="O222" s="7" t="n">
        <f aca="false">HLOOKUP(D222,VOLS,VLOOKUP(G222,move_down,2,FALSE()),FALSE())</f>
        <v>0.625</v>
      </c>
      <c r="P222" s="249" t="n">
        <f aca="false">HLOOKUP(D222,Correllate,VLOOKUP(G222,CorMove,2,FALSE()),FALSE())</f>
        <v>0.89</v>
      </c>
      <c r="Q222" s="92" t="n">
        <f aca="false">WORKDAY(G222,-2)</f>
        <v>36829</v>
      </c>
      <c r="R222" s="7" t="n">
        <f aca="false">IF(F222="P",0,1)</f>
        <v>1</v>
      </c>
      <c r="S222" s="130" t="e">
        <f aca="false">xSPRDOPT($L222,$J222,$I222,$M222,$O222,$N222,$P222,$Q222-$C$3,$R222,0)</f>
        <v>#NAME?</v>
      </c>
      <c r="T222" s="250" t="e">
        <f aca="false">xSPRDOPT($L222,$J222,$I222,$M222,$O222,$N222,$P222,$Q222-$C$3,$R222,1)*H222</f>
        <v>#NAME?</v>
      </c>
      <c r="U222" s="43" t="e">
        <f aca="false">S222*H222</f>
        <v>#NAME?</v>
      </c>
      <c r="V222" s="250" t="e">
        <f aca="false">xSPRDOPT($L222,$J222,$I222,$M222,$O222,$N222,$P222,$Q222-$C$3,$R222,2)*H222</f>
        <v>#NAME?</v>
      </c>
      <c r="W222" s="250" t="e">
        <f aca="false">+V222+T222</f>
        <v>#NAME?</v>
      </c>
      <c r="X222" s="2" t="str">
        <f aca="false">CONCATENATE(G222,D222)</f>
        <v>36831IF-TRANSCO/Z6</v>
      </c>
      <c r="Y222" s="251" t="n">
        <f aca="false">H222/10000</f>
        <v>-30</v>
      </c>
      <c r="Z222" s="226" t="e">
        <f aca="false">T222/H222</f>
        <v>#NAME?</v>
      </c>
      <c r="AA222" s="226" t="e">
        <f aca="false">xSPRDOPT($L222,$J222,$I222,$M222,$O222,$N222,$P222,$Q222-$C$3,$R222,3)</f>
        <v>#NAME?</v>
      </c>
      <c r="AB222" s="226" t="e">
        <f aca="false">((xSPRDOPT($L222+AB$5,$J222,$I222,$M222,$O222,$N222,$P222,$Q222-$C$3,$R222,3)*$H222)/10000)/100</f>
        <v>#NAME?</v>
      </c>
      <c r="AC222" s="226" t="e">
        <f aca="false">((xSPRDOPT($L222+$AB$5,$J222,$I222,$M222,$O222,$N222,$P222,$Q222-$C$3,$R222,7)*$H222)/100)</f>
        <v>#NAME?</v>
      </c>
      <c r="AD222" s="226" t="e">
        <f aca="false">(xSPRDOPT($L222+$AB$5,$J222,$I222,$M222,$O222,$N222,$P222,$Q222-$C$3,$R222,9)/365)*$H222</f>
        <v>#NAME?</v>
      </c>
      <c r="AE222" s="0" t="e">
        <f aca="false">CD222</f>
        <v>#NAME?</v>
      </c>
      <c r="AF222" s="226" t="e">
        <f aca="false">((O222/N222)*AH222)+AG222</f>
        <v>#NAME?</v>
      </c>
      <c r="AG222" s="226" t="e">
        <f aca="false">((xSPRDOPT($L222,$J222,$I222,$M222,$O222,$N222,$P222,$Q222-$C$3,$R222,6)*$H222)/100)</f>
        <v>#NAME?</v>
      </c>
      <c r="AH222" s="226" t="e">
        <f aca="false">((xSPRDOPT($L222,$J222,$I222,$M222,$O222,$N222,$P222,$Q222-$C$3,$R222,5)*$H222)/100)</f>
        <v>#NAME?</v>
      </c>
      <c r="AI222" s="226" t="e">
        <f aca="false">(((xSPRDOPT($L222,$J222,$I222,$M222,$O222,$N222,$P222,$Q222-$C$3,$R222,4)*$H222)/10000)/100)-AB222</f>
        <v>#NAME?</v>
      </c>
      <c r="AJ222" s="226"/>
      <c r="AK222" s="226"/>
      <c r="AL222" s="226"/>
      <c r="AM222" s="252"/>
      <c r="CC222" s="182" t="n">
        <f aca="false">G222</f>
        <v>36831</v>
      </c>
      <c r="CD222" s="253" t="e">
        <f aca="false">xSPRDOPT((VLOOKUP(G222,NGPrices,2,FALSE())+HLOOKUP(D222,Prices,VLOOKUP(G222,move_down,2,FALSE()),FALSE())),VLOOKUP(G222,NGPrices,2,FALSE()),I222,VLOOKUP(G222,NGPREVPRICES,4,FALSE()),HLOOKUP(D222,PREVVOLS,VLOOKUP(G222,MOVE_DOWN2,2,FALSE()),FALSE()),VLOOKUP(G222,NGPREVPRICES,3,FALSE()),HLOOKUP(D222,Correllate,VLOOKUP(G222,CorMove,2,FALSE()),FALSE()),Q222-$CD$3,R222,$CD$5)*H222-CJ222</f>
        <v>#NAME?</v>
      </c>
      <c r="CE222" s="253" t="e">
        <f aca="false">xSPRDOPT((VLOOKUP(G222,NGPREVPRICES,2,FALSE())+HLOOKUP(D222,PREVCURVES,VLOOKUP(G222,MOVE_DOWN2,2,FALSE()),FALSE())),VLOOKUP(G222,NGPREVPRICES,2,FALSE()),CK222,VLOOKUP(G222,NGPrices,4,FALSE()),HLOOKUP(D222,PREVVOLS,VLOOKUP(G222,MOVE_DOWN2,2,FALSE()),FALSE()),VLOOKUP(G222,NGPREVPRICES,3,FALSE()),HLOOKUP(D222,Correllate,VLOOKUP(G222,CorMove,2,FALSE()),FALSE()),Q222-$CD$3,R222,$CJ$5)*H222-CJ222</f>
        <v>#NAME?</v>
      </c>
      <c r="CF222" s="132" t="e">
        <f aca="false">(CJ222/VLOOKUP(CC222,discount,3,FALSE()))-(CJ222/VLOOKUP(CC222,discount,2,FALSE()))</f>
        <v>#NAME?</v>
      </c>
      <c r="CG222" s="253" t="e">
        <f aca="false">xSPRDOPT((VLOOKUP(G222,NGPREVPRICES,2,FALSE())+HLOOKUP(D222,PREVCURVES,VLOOKUP(G222,MOVE_DOWN2,2,FALSE()),FALSE())),VLOOKUP(G222,NGPREVPRICES,2,FALSE()),CK222,VLOOKUP(G222,NGPREVPRICES,4,FALSE()),HLOOKUP(D222,VOLS,VLOOKUP(G222,move_down,2,FALSE()),FALSE()),VLOOKUP(G222,NGPrices,3,FALSE()),HLOOKUP(D222,Correllate,VLOOKUP(G222,CorMove,2,FALSE()),FALSE()),Q222-$CD$3,R222,$CJ$5)*H222-CJ222</f>
        <v>#NAME?</v>
      </c>
      <c r="CH222" s="253" t="e">
        <f aca="false">xSPRDOPT((VLOOKUP(G222,NGPREVPRICES,2,FALSE())+HLOOKUP(D222,PREVCURVES,VLOOKUP(G222,MOVE_DOWN2,2,FALSE()),FALSE())),VLOOKUP(G222,NGPREVPRICES,2,FALSE()),CK222,VLOOKUP(G222,NGPREVPRICES,4,FALSE()),HLOOKUP(D222,PREVVOLS,VLOOKUP(G222,MOVE_DOWN2,2,FALSE()),FALSE()),VLOOKUP(G222,NGPREVPRICES,3,FALSE()),HLOOKUP(D222,Correllate,VLOOKUP(G222,CorMove,2,FALSE()),FALSE()),Q222-$C$3,R222,$CJ$5)*H222-CJ222</f>
        <v>#NAME?</v>
      </c>
      <c r="CI222" s="253" t="e">
        <f aca="false">SUM(CD222:CH222)</f>
        <v>#NAME?</v>
      </c>
      <c r="CJ222" s="253" t="e">
        <f aca="false">xSPRDOPT((VLOOKUP(G222,NGPREVPRICES,2,FALSE())+HLOOKUP(D222,PREVCURVES,VLOOKUP(G222,MOVE_DOWN2,2,FALSE()),FALSE())),VLOOKUP(G222,NGPREVPRICES,2,FALSE()),CK222,VLOOKUP(G222,NGPREVPRICES,4,FALSE()),HLOOKUP(D222,PREVVOLS,VLOOKUP(G222,MOVE_DOWN2,2,FALSE()),FALSE()),VLOOKUP(G222,NGPREVPRICES,3,FALSE()),HLOOKUP(D222,Correllate,VLOOKUP(G222,CorMove,2,FALSE()),FALSE()),Q222-$CD$3,R222,$CJ$5)*H222</f>
        <v>#NAME?</v>
      </c>
      <c r="CK222" s="254" t="n">
        <f aca="false">I222</f>
        <v>1.6</v>
      </c>
      <c r="CL222" s="253"/>
      <c r="CM222" s="0" t="str">
        <f aca="false">CONCATENATE(CC222,$CD$6)</f>
        <v>36831Curve Shift/Gamma</v>
      </c>
      <c r="CN222" s="0" t="str">
        <f aca="false">CONCATENATE($CC222,$CE$6)</f>
        <v>36831Rho</v>
      </c>
      <c r="CO222" s="0" t="str">
        <f aca="false">CONCATENATE($CC222,$CF$6)</f>
        <v>36831Drift</v>
      </c>
      <c r="CP222" s="0" t="str">
        <f aca="false">CONCATENATE($CC222,$CG$6)</f>
        <v>36831Vega</v>
      </c>
      <c r="CQ222" s="0" t="str">
        <f aca="false">CONCATENATE($CC222,$CH$6)</f>
        <v>36831Theta</v>
      </c>
    </row>
    <row r="223" customFormat="false" ht="12" hidden="false" customHeight="true" outlineLevel="0" collapsed="false">
      <c r="A223" s="17" t="s">
        <v>275</v>
      </c>
      <c r="B223" s="0" t="s">
        <v>192</v>
      </c>
      <c r="C223" s="0" t="s">
        <v>277</v>
      </c>
      <c r="D223" s="7" t="s">
        <v>149</v>
      </c>
      <c r="E223" s="0" t="s">
        <v>131</v>
      </c>
      <c r="F223" s="0" t="s">
        <v>136</v>
      </c>
      <c r="G223" s="92" t="n">
        <v>36951</v>
      </c>
      <c r="H223" s="248" t="n">
        <v>310000</v>
      </c>
      <c r="I223" s="0" t="n">
        <v>2.1</v>
      </c>
      <c r="J223" s="124" t="n">
        <f aca="false">VLOOKUP(G223,NGPrices,2,FALSE())</f>
        <v>4.213</v>
      </c>
      <c r="K223" s="125" t="n">
        <f aca="false">HLOOKUP(D223,Prices,VLOOKUP(G223,move_down,2,FALSE()),FALSE())+VLOOKUP(G223,CHANGE,HLOOKUP(D223,CHANGE,2,FALSE()),FALSE())</f>
        <v>1.075</v>
      </c>
      <c r="L223" s="124" t="n">
        <f aca="false">K223+J223</f>
        <v>5.288</v>
      </c>
      <c r="M223" s="126" t="n">
        <f aca="false">VLOOKUP(G223,NGPrices,4,FALSE())</f>
        <v>0.068879814952707</v>
      </c>
      <c r="N223" s="7" t="n">
        <f aca="false">VLOOKUP(G223,NGPrices,3,FALSE())</f>
        <v>0.5325</v>
      </c>
      <c r="O223" s="7" t="n">
        <f aca="false">HLOOKUP(D223,VOLS,VLOOKUP(G223,move_down,2,FALSE()),FALSE())</f>
        <v>0.612</v>
      </c>
      <c r="P223" s="249" t="n">
        <f aca="false">HLOOKUP(D223,Correllate,VLOOKUP(G223,CorMove,2,FALSE()),FALSE())</f>
        <v>0.83</v>
      </c>
      <c r="Q223" s="92" t="n">
        <f aca="false">WORKDAY(G223,-2)</f>
        <v>36949</v>
      </c>
      <c r="R223" s="7" t="n">
        <f aca="false">IF(F223="P",0,1)</f>
        <v>1</v>
      </c>
      <c r="S223" s="130" t="e">
        <f aca="false">xSPRDOPT($L223,$J223,$I223,$M223,$O223,$N223,$P223,$Q223-$C$3,$R223,0)</f>
        <v>#NAME?</v>
      </c>
      <c r="T223" s="250" t="e">
        <f aca="false">xSPRDOPT($L223,$J223,$I223,$M223,$O223,$N223,$P223,$Q223-$C$3,$R223,1)*H223</f>
        <v>#NAME?</v>
      </c>
      <c r="U223" s="43" t="e">
        <f aca="false">S223*H223</f>
        <v>#NAME?</v>
      </c>
      <c r="V223" s="250" t="e">
        <f aca="false">xSPRDOPT($L223,$J223,$I223,$M223,$O223,$N223,$P223,$Q223-$C$3,$R223,2)*H223</f>
        <v>#NAME?</v>
      </c>
      <c r="W223" s="250" t="e">
        <f aca="false">+V223+T223</f>
        <v>#NAME?</v>
      </c>
      <c r="X223" s="2" t="str">
        <f aca="false">CONCATENATE(G223,D223)</f>
        <v>36951IF-TRANSCO/Z6</v>
      </c>
      <c r="Y223" s="251" t="n">
        <f aca="false">H223/10000</f>
        <v>31</v>
      </c>
      <c r="Z223" s="226" t="e">
        <f aca="false">T223/H223</f>
        <v>#NAME?</v>
      </c>
      <c r="AA223" s="226" t="e">
        <f aca="false">xSPRDOPT($L223,$J223,$I223,$M223,$O223,$N223,$P223,$Q223-$C$3,$R223,3)</f>
        <v>#NAME?</v>
      </c>
      <c r="AB223" s="226" t="e">
        <f aca="false">((xSPRDOPT($L223+AB$5,$J223,$I223,$M223,$O223,$N223,$P223,$Q223-$C$3,$R223,3)*$H223)/10000)/100</f>
        <v>#NAME?</v>
      </c>
      <c r="AC223" s="226" t="e">
        <f aca="false">((xSPRDOPT($L223+$AB$5,$J223,$I223,$M223,$O223,$N223,$P223,$Q223-$C$3,$R223,7)*$H223)/100)</f>
        <v>#NAME?</v>
      </c>
      <c r="AD223" s="226" t="e">
        <f aca="false">(xSPRDOPT($L223+$AB$5,$J223,$I223,$M223,$O223,$N223,$P223,$Q223-$C$3,$R223,9)/365)*$H223</f>
        <v>#NAME?</v>
      </c>
      <c r="AE223" s="0" t="e">
        <f aca="false">CD223</f>
        <v>#NAME?</v>
      </c>
      <c r="AF223" s="226" t="e">
        <f aca="false">((O223/N223)*AH223)+AG223</f>
        <v>#NAME?</v>
      </c>
      <c r="AG223" s="226" t="e">
        <f aca="false">((xSPRDOPT($L223,$J223,$I223,$M223,$O223,$N223,$P223,$Q223-$C$3,$R223,6)*$H223)/100)</f>
        <v>#NAME?</v>
      </c>
      <c r="AH223" s="226" t="e">
        <f aca="false">((xSPRDOPT($L223,$J223,$I223,$M223,$O223,$N223,$P223,$Q223-$C$3,$R223,5)*$H223)/100)</f>
        <v>#NAME?</v>
      </c>
      <c r="AI223" s="226" t="e">
        <f aca="false">(((xSPRDOPT($L223,$J223,$I223,$M223,$O223,$N223,$P223,$Q223-$C$3,$R223,4)*$H223)/10000)/100)-AB223</f>
        <v>#NAME?</v>
      </c>
      <c r="AJ223" s="226"/>
      <c r="AK223" s="226"/>
      <c r="AL223" s="226"/>
      <c r="AM223" s="252"/>
      <c r="CC223" s="182" t="n">
        <f aca="false">G223</f>
        <v>36951</v>
      </c>
      <c r="CD223" s="253" t="e">
        <f aca="false">xSPRDOPT((VLOOKUP(G223,NGPrices,2,FALSE())+HLOOKUP(D223,Prices,VLOOKUP(G223,move_down,2,FALSE()),FALSE())),VLOOKUP(G223,NGPrices,2,FALSE()),I223,VLOOKUP(G223,NGPREVPRICES,4,FALSE()),HLOOKUP(D223,PREVVOLS,VLOOKUP(G223,MOVE_DOWN2,2,FALSE()),FALSE()),VLOOKUP(G223,NGPREVPRICES,3,FALSE()),HLOOKUP(D223,Correllate,VLOOKUP(G223,CorMove,2,FALSE()),FALSE()),Q223-$CD$3,R223,$CD$5)*H223-CJ223</f>
        <v>#NAME?</v>
      </c>
      <c r="CE223" s="253" t="e">
        <f aca="false">xSPRDOPT((VLOOKUP(G223,NGPREVPRICES,2,FALSE())+HLOOKUP(D223,PREVCURVES,VLOOKUP(G223,MOVE_DOWN2,2,FALSE()),FALSE())),VLOOKUP(G223,NGPREVPRICES,2,FALSE()),CK223,VLOOKUP(G223,NGPrices,4,FALSE()),HLOOKUP(D223,PREVVOLS,VLOOKUP(G223,MOVE_DOWN2,2,FALSE()),FALSE()),VLOOKUP(G223,NGPREVPRICES,3,FALSE()),HLOOKUP(D223,Correllate,VLOOKUP(G223,CorMove,2,FALSE()),FALSE()),Q223-$CD$3,R223,$CJ$5)*H223-CJ223</f>
        <v>#NAME?</v>
      </c>
      <c r="CF223" s="132" t="e">
        <f aca="false">(CJ223/VLOOKUP(CC223,discount,3,FALSE()))-(CJ223/VLOOKUP(CC223,discount,2,FALSE()))</f>
        <v>#NAME?</v>
      </c>
      <c r="CG223" s="253" t="e">
        <f aca="false">xSPRDOPT((VLOOKUP(G223,NGPREVPRICES,2,FALSE())+HLOOKUP(D223,PREVCURVES,VLOOKUP(G223,MOVE_DOWN2,2,FALSE()),FALSE())),VLOOKUP(G223,NGPREVPRICES,2,FALSE()),CK223,VLOOKUP(G223,NGPREVPRICES,4,FALSE()),HLOOKUP(D223,VOLS,VLOOKUP(G223,move_down,2,FALSE()),FALSE()),VLOOKUP(G223,NGPrices,3,FALSE()),HLOOKUP(D223,Correllate,VLOOKUP(G223,CorMove,2,FALSE()),FALSE()),Q223-$CD$3,R223,$CJ$5)*H223-CJ223</f>
        <v>#NAME?</v>
      </c>
      <c r="CH223" s="253" t="e">
        <f aca="false">xSPRDOPT((VLOOKUP(G223,NGPREVPRICES,2,FALSE())+HLOOKUP(D223,PREVCURVES,VLOOKUP(G223,MOVE_DOWN2,2,FALSE()),FALSE())),VLOOKUP(G223,NGPREVPRICES,2,FALSE()),CK223,VLOOKUP(G223,NGPREVPRICES,4,FALSE()),HLOOKUP(D223,PREVVOLS,VLOOKUP(G223,MOVE_DOWN2,2,FALSE()),FALSE()),VLOOKUP(G223,NGPREVPRICES,3,FALSE()),HLOOKUP(D223,Correllate,VLOOKUP(G223,CorMove,2,FALSE()),FALSE()),Q223-$C$3,R223,$CJ$5)*H223-CJ223</f>
        <v>#NAME?</v>
      </c>
      <c r="CI223" s="253" t="e">
        <f aca="false">SUM(CD223:CH223)</f>
        <v>#NAME?</v>
      </c>
      <c r="CJ223" s="253" t="e">
        <f aca="false">xSPRDOPT((VLOOKUP(G223,NGPREVPRICES,2,FALSE())+HLOOKUP(D223,PREVCURVES,VLOOKUP(G223,MOVE_DOWN2,2,FALSE()),FALSE())),VLOOKUP(G223,NGPREVPRICES,2,FALSE()),CK223,VLOOKUP(G223,NGPREVPRICES,4,FALSE()),HLOOKUP(D223,PREVVOLS,VLOOKUP(G223,MOVE_DOWN2,2,FALSE()),FALSE()),VLOOKUP(G223,NGPREVPRICES,3,FALSE()),HLOOKUP(D223,Correllate,VLOOKUP(G223,CorMove,2,FALSE()),FALSE()),Q223-$CD$3,R223,$CJ$5)*H223</f>
        <v>#NAME?</v>
      </c>
      <c r="CK223" s="254" t="n">
        <f aca="false">I223</f>
        <v>2.1</v>
      </c>
      <c r="CL223" s="253"/>
      <c r="CM223" s="0" t="str">
        <f aca="false">CONCATENATE(CC223,$CD$6)</f>
        <v>36951Curve Shift/Gamma</v>
      </c>
      <c r="CN223" s="0" t="str">
        <f aca="false">CONCATENATE($CC223,$CE$6)</f>
        <v>36951Rho</v>
      </c>
      <c r="CO223" s="0" t="str">
        <f aca="false">CONCATENATE($CC223,$CF$6)</f>
        <v>36951Drift</v>
      </c>
      <c r="CP223" s="0" t="str">
        <f aca="false">CONCATENATE($CC223,$CG$6)</f>
        <v>36951Vega</v>
      </c>
      <c r="CQ223" s="0" t="str">
        <f aca="false">CONCATENATE($CC223,$CH$6)</f>
        <v>36951Theta</v>
      </c>
    </row>
    <row r="224" customFormat="false" ht="12" hidden="false" customHeight="true" outlineLevel="0" collapsed="false">
      <c r="A224" s="17" t="s">
        <v>275</v>
      </c>
      <c r="B224" s="0" t="s">
        <v>192</v>
      </c>
      <c r="C224" s="0" t="s">
        <v>277</v>
      </c>
      <c r="D224" s="7" t="s">
        <v>149</v>
      </c>
      <c r="E224" s="0" t="s">
        <v>131</v>
      </c>
      <c r="F224" s="0" t="s">
        <v>136</v>
      </c>
      <c r="G224" s="92" t="n">
        <v>36923</v>
      </c>
      <c r="H224" s="248" t="n">
        <v>280000</v>
      </c>
      <c r="I224" s="0" t="n">
        <v>2.1</v>
      </c>
      <c r="J224" s="124" t="n">
        <f aca="false">VLOOKUP(G224,NGPrices,2,FALSE())</f>
        <v>4.48</v>
      </c>
      <c r="K224" s="125" t="n">
        <f aca="false">HLOOKUP(D224,Prices,VLOOKUP(G224,move_down,2,FALSE()),FALSE())+VLOOKUP(G224,CHANGE,HLOOKUP(D224,CHANGE,2,FALSE()),FALSE())</f>
        <v>2.09</v>
      </c>
      <c r="L224" s="124" t="n">
        <f aca="false">K224+J224</f>
        <v>6.57</v>
      </c>
      <c r="M224" s="126" t="n">
        <f aca="false">VLOOKUP(G224,NGPrices,4,FALSE())</f>
        <v>0.068640161611372</v>
      </c>
      <c r="N224" s="7" t="n">
        <f aca="false">VLOOKUP(G224,NGPrices,3,FALSE())</f>
        <v>0.5925</v>
      </c>
      <c r="O224" s="7" t="n">
        <f aca="false">HLOOKUP(D224,VOLS,VLOOKUP(G224,move_down,2,FALSE()),FALSE())</f>
        <v>0.681</v>
      </c>
      <c r="P224" s="249" t="n">
        <f aca="false">HLOOKUP(D224,Correllate,VLOOKUP(G224,CorMove,2,FALSE()),FALSE())</f>
        <v>0.83</v>
      </c>
      <c r="Q224" s="92" t="n">
        <f aca="false">WORKDAY(G224,-2)</f>
        <v>36921</v>
      </c>
      <c r="R224" s="7" t="n">
        <f aca="false">IF(F224="P",0,1)</f>
        <v>1</v>
      </c>
      <c r="S224" s="130" t="e">
        <f aca="false">xSPRDOPT($L224,$J224,$I224,$M224,$O224,$N224,$P224,$Q224-$C$3,$R224,0)</f>
        <v>#NAME?</v>
      </c>
      <c r="T224" s="250" t="e">
        <f aca="false">xSPRDOPT($L224,$J224,$I224,$M224,$O224,$N224,$P224,$Q224-$C$3,$R224,1)*H224</f>
        <v>#NAME?</v>
      </c>
      <c r="U224" s="43" t="e">
        <f aca="false">S224*H224</f>
        <v>#NAME?</v>
      </c>
      <c r="V224" s="250" t="e">
        <f aca="false">xSPRDOPT($L224,$J224,$I224,$M224,$O224,$N224,$P224,$Q224-$C$3,$R224,2)*H224</f>
        <v>#NAME?</v>
      </c>
      <c r="W224" s="250" t="e">
        <f aca="false">+V224+T224</f>
        <v>#NAME?</v>
      </c>
      <c r="X224" s="2" t="str">
        <f aca="false">CONCATENATE(G224,D224)</f>
        <v>36923IF-TRANSCO/Z6</v>
      </c>
      <c r="Y224" s="251" t="n">
        <f aca="false">H224/10000</f>
        <v>28</v>
      </c>
      <c r="Z224" s="226" t="e">
        <f aca="false">T224/H224</f>
        <v>#NAME?</v>
      </c>
      <c r="AA224" s="226" t="e">
        <f aca="false">xSPRDOPT($L224,$J224,$I224,$M224,$O224,$N224,$P224,$Q224-$C$3,$R224,3)</f>
        <v>#NAME?</v>
      </c>
      <c r="AB224" s="226" t="e">
        <f aca="false">((xSPRDOPT($L224+AB$5,$J224,$I224,$M224,$O224,$N224,$P224,$Q224-$C$3,$R224,3)*$H224)/10000)/100</f>
        <v>#NAME?</v>
      </c>
      <c r="AC224" s="226" t="e">
        <f aca="false">((xSPRDOPT($L224+$AB$5,$J224,$I224,$M224,$O224,$N224,$P224,$Q224-$C$3,$R224,7)*$H224)/100)</f>
        <v>#NAME?</v>
      </c>
      <c r="AD224" s="226" t="e">
        <f aca="false">(xSPRDOPT($L224+$AB$5,$J224,$I224,$M224,$O224,$N224,$P224,$Q224-$C$3,$R224,9)/365)*$H224</f>
        <v>#NAME?</v>
      </c>
      <c r="AE224" s="0" t="e">
        <f aca="false">CD224</f>
        <v>#NAME?</v>
      </c>
      <c r="AF224" s="226" t="e">
        <f aca="false">((O224/N224)*AH224)+AG224</f>
        <v>#NAME?</v>
      </c>
      <c r="AG224" s="226" t="e">
        <f aca="false">((xSPRDOPT($L224,$J224,$I224,$M224,$O224,$N224,$P224,$Q224-$C$3,$R224,6)*$H224)/100)</f>
        <v>#NAME?</v>
      </c>
      <c r="AH224" s="226" t="e">
        <f aca="false">((xSPRDOPT($L224,$J224,$I224,$M224,$O224,$N224,$P224,$Q224-$C$3,$R224,5)*$H224)/100)</f>
        <v>#NAME?</v>
      </c>
      <c r="AI224" s="226" t="e">
        <f aca="false">(((xSPRDOPT($L224,$J224,$I224,$M224,$O224,$N224,$P224,$Q224-$C$3,$R224,4)*$H224)/10000)/100)-AB224</f>
        <v>#NAME?</v>
      </c>
      <c r="AJ224" s="226"/>
      <c r="AK224" s="226"/>
      <c r="AL224" s="226"/>
      <c r="AM224" s="252"/>
      <c r="CC224" s="182" t="n">
        <f aca="false">G224</f>
        <v>36923</v>
      </c>
      <c r="CD224" s="253" t="e">
        <f aca="false">xSPRDOPT((VLOOKUP(G224,NGPrices,2,FALSE())+HLOOKUP(D224,Prices,VLOOKUP(G224,move_down,2,FALSE()),FALSE())),VLOOKUP(G224,NGPrices,2,FALSE()),I224,VLOOKUP(G224,NGPREVPRICES,4,FALSE()),HLOOKUP(D224,PREVVOLS,VLOOKUP(G224,MOVE_DOWN2,2,FALSE()),FALSE()),VLOOKUP(G224,NGPREVPRICES,3,FALSE()),HLOOKUP(D224,Correllate,VLOOKUP(G224,CorMove,2,FALSE()),FALSE()),Q224-$CD$3,R224,$CD$5)*H224-CJ224</f>
        <v>#NAME?</v>
      </c>
      <c r="CE224" s="253" t="e">
        <f aca="false">xSPRDOPT((VLOOKUP(G224,NGPREVPRICES,2,FALSE())+HLOOKUP(D224,PREVCURVES,VLOOKUP(G224,MOVE_DOWN2,2,FALSE()),FALSE())),VLOOKUP(G224,NGPREVPRICES,2,FALSE()),CK224,VLOOKUP(G224,NGPrices,4,FALSE()),HLOOKUP(D224,PREVVOLS,VLOOKUP(G224,MOVE_DOWN2,2,FALSE()),FALSE()),VLOOKUP(G224,NGPREVPRICES,3,FALSE()),HLOOKUP(D224,Correllate,VLOOKUP(G224,CorMove,2,FALSE()),FALSE()),Q224-$CD$3,R224,$CJ$5)*H224-CJ224</f>
        <v>#NAME?</v>
      </c>
      <c r="CF224" s="132" t="e">
        <f aca="false">(CJ224/VLOOKUP(CC224,discount,3,FALSE()))-(CJ224/VLOOKUP(CC224,discount,2,FALSE()))</f>
        <v>#NAME?</v>
      </c>
      <c r="CG224" s="253" t="e">
        <f aca="false">xSPRDOPT((VLOOKUP(G224,NGPREVPRICES,2,FALSE())+HLOOKUP(D224,PREVCURVES,VLOOKUP(G224,MOVE_DOWN2,2,FALSE()),FALSE())),VLOOKUP(G224,NGPREVPRICES,2,FALSE()),CK224,VLOOKUP(G224,NGPREVPRICES,4,FALSE()),HLOOKUP(D224,VOLS,VLOOKUP(G224,move_down,2,FALSE()),FALSE()),VLOOKUP(G224,NGPrices,3,FALSE()),HLOOKUP(D224,Correllate,VLOOKUP(G224,CorMove,2,FALSE()),FALSE()),Q224-$CD$3,R224,$CJ$5)*H224-CJ224</f>
        <v>#NAME?</v>
      </c>
      <c r="CH224" s="253" t="e">
        <f aca="false">xSPRDOPT((VLOOKUP(G224,NGPREVPRICES,2,FALSE())+HLOOKUP(D224,PREVCURVES,VLOOKUP(G224,MOVE_DOWN2,2,FALSE()),FALSE())),VLOOKUP(G224,NGPREVPRICES,2,FALSE()),CK224,VLOOKUP(G224,NGPREVPRICES,4,FALSE()),HLOOKUP(D224,PREVVOLS,VLOOKUP(G224,MOVE_DOWN2,2,FALSE()),FALSE()),VLOOKUP(G224,NGPREVPRICES,3,FALSE()),HLOOKUP(D224,Correllate,VLOOKUP(G224,CorMove,2,FALSE()),FALSE()),Q224-$C$3,R224,$CJ$5)*H224-CJ224</f>
        <v>#NAME?</v>
      </c>
      <c r="CI224" s="253" t="e">
        <f aca="false">SUM(CD224:CH224)</f>
        <v>#NAME?</v>
      </c>
      <c r="CJ224" s="253" t="e">
        <f aca="false">xSPRDOPT((VLOOKUP(G224,NGPREVPRICES,2,FALSE())+HLOOKUP(D224,PREVCURVES,VLOOKUP(G224,MOVE_DOWN2,2,FALSE()),FALSE())),VLOOKUP(G224,NGPREVPRICES,2,FALSE()),CK224,VLOOKUP(G224,NGPREVPRICES,4,FALSE()),HLOOKUP(D224,PREVVOLS,VLOOKUP(G224,MOVE_DOWN2,2,FALSE()),FALSE()),VLOOKUP(G224,NGPREVPRICES,3,FALSE()),HLOOKUP(D224,Correllate,VLOOKUP(G224,CorMove,2,FALSE()),FALSE()),Q224-$CD$3,R224,$CJ$5)*H224</f>
        <v>#NAME?</v>
      </c>
      <c r="CK224" s="254" t="n">
        <f aca="false">I224</f>
        <v>2.1</v>
      </c>
      <c r="CL224" s="253"/>
      <c r="CM224" s="0" t="str">
        <f aca="false">CONCATENATE(CC224,$CD$6)</f>
        <v>36923Curve Shift/Gamma</v>
      </c>
      <c r="CN224" s="0" t="str">
        <f aca="false">CONCATENATE($CC224,$CE$6)</f>
        <v>36923Rho</v>
      </c>
      <c r="CO224" s="0" t="str">
        <f aca="false">CONCATENATE($CC224,$CF$6)</f>
        <v>36923Drift</v>
      </c>
      <c r="CP224" s="0" t="str">
        <f aca="false">CONCATENATE($CC224,$CG$6)</f>
        <v>36923Vega</v>
      </c>
      <c r="CQ224" s="0" t="str">
        <f aca="false">CONCATENATE($CC224,$CH$6)</f>
        <v>36923Theta</v>
      </c>
    </row>
    <row r="225" customFormat="false" ht="12" hidden="false" customHeight="true" outlineLevel="0" collapsed="false">
      <c r="A225" s="17" t="s">
        <v>275</v>
      </c>
      <c r="B225" s="0" t="s">
        <v>192</v>
      </c>
      <c r="C225" s="0" t="s">
        <v>277</v>
      </c>
      <c r="D225" s="7" t="s">
        <v>149</v>
      </c>
      <c r="E225" s="0" t="s">
        <v>131</v>
      </c>
      <c r="F225" s="0" t="s">
        <v>136</v>
      </c>
      <c r="G225" s="92" t="n">
        <v>36892</v>
      </c>
      <c r="H225" s="248" t="n">
        <v>310000</v>
      </c>
      <c r="I225" s="0" t="n">
        <v>2.1</v>
      </c>
      <c r="J225" s="124" t="n">
        <f aca="false">VLOOKUP(G225,NGPrices,2,FALSE())</f>
        <v>4.744</v>
      </c>
      <c r="K225" s="125" t="n">
        <f aca="false">HLOOKUP(D225,Prices,VLOOKUP(G225,move_down,2,FALSE()),FALSE())+VLOOKUP(G225,CHANGE,HLOOKUP(D225,CHANGE,2,FALSE()),FALSE())</f>
        <v>2.17</v>
      </c>
      <c r="L225" s="124" t="n">
        <f aca="false">K225+J225</f>
        <v>6.914</v>
      </c>
      <c r="M225" s="126" t="n">
        <f aca="false">VLOOKUP(G225,NGPrices,4,FALSE())</f>
        <v>0.068374831148491</v>
      </c>
      <c r="N225" s="7" t="n">
        <f aca="false">VLOOKUP(G225,NGPrices,3,FALSE())</f>
        <v>0.605</v>
      </c>
      <c r="O225" s="7" t="n">
        <f aca="false">HLOOKUP(D225,VOLS,VLOOKUP(G225,move_down,2,FALSE()),FALSE())</f>
        <v>0.696</v>
      </c>
      <c r="P225" s="249" t="n">
        <f aca="false">HLOOKUP(D225,Correllate,VLOOKUP(G225,CorMove,2,FALSE()),FALSE())</f>
        <v>0.83</v>
      </c>
      <c r="Q225" s="92" t="n">
        <f aca="false">WORKDAY(G225,-2)</f>
        <v>36888</v>
      </c>
      <c r="R225" s="7" t="n">
        <f aca="false">IF(F225="P",0,1)</f>
        <v>1</v>
      </c>
      <c r="S225" s="130" t="e">
        <f aca="false">xSPRDOPT($L225,$J225,$I225,$M225,$O225,$N225,$P225,$Q225-$C$3,$R225,0)</f>
        <v>#NAME?</v>
      </c>
      <c r="T225" s="250" t="e">
        <f aca="false">xSPRDOPT($L225,$J225,$I225,$M225,$O225,$N225,$P225,$Q225-$C$3,$R225,1)*H225</f>
        <v>#NAME?</v>
      </c>
      <c r="U225" s="43" t="e">
        <f aca="false">S225*H225</f>
        <v>#NAME?</v>
      </c>
      <c r="V225" s="250" t="e">
        <f aca="false">xSPRDOPT($L225,$J225,$I225,$M225,$O225,$N225,$P225,$Q225-$C$3,$R225,2)*H225</f>
        <v>#NAME?</v>
      </c>
      <c r="W225" s="250" t="e">
        <f aca="false">+V225+T225</f>
        <v>#NAME?</v>
      </c>
      <c r="X225" s="2" t="str">
        <f aca="false">CONCATENATE(G225,D225)</f>
        <v>36892IF-TRANSCO/Z6</v>
      </c>
      <c r="Y225" s="251" t="n">
        <f aca="false">H225/10000</f>
        <v>31</v>
      </c>
      <c r="Z225" s="226" t="e">
        <f aca="false">T225/H225</f>
        <v>#NAME?</v>
      </c>
      <c r="AA225" s="226" t="e">
        <f aca="false">xSPRDOPT($L225,$J225,$I225,$M225,$O225,$N225,$P225,$Q225-$C$3,$R225,3)</f>
        <v>#NAME?</v>
      </c>
      <c r="AB225" s="226" t="e">
        <f aca="false">((xSPRDOPT($L225+AB$5,$J225,$I225,$M225,$O225,$N225,$P225,$Q225-$C$3,$R225,3)*$H225)/10000)/100</f>
        <v>#NAME?</v>
      </c>
      <c r="AC225" s="226" t="e">
        <f aca="false">((xSPRDOPT($L225+$AB$5,$J225,$I225,$M225,$O225,$N225,$P225,$Q225-$C$3,$R225,7)*$H225)/100)</f>
        <v>#NAME?</v>
      </c>
      <c r="AD225" s="226" t="e">
        <f aca="false">(xSPRDOPT($L225+$AB$5,$J225,$I225,$M225,$O225,$N225,$P225,$Q225-$C$3,$R225,9)/365)*$H225</f>
        <v>#NAME?</v>
      </c>
      <c r="AE225" s="0" t="e">
        <f aca="false">CD225</f>
        <v>#NAME?</v>
      </c>
      <c r="AF225" s="226" t="e">
        <f aca="false">((O225/N225)*AH225)+AG225</f>
        <v>#NAME?</v>
      </c>
      <c r="AG225" s="226" t="e">
        <f aca="false">((xSPRDOPT($L225,$J225,$I225,$M225,$O225,$N225,$P225,$Q225-$C$3,$R225,6)*$H225)/100)</f>
        <v>#NAME?</v>
      </c>
      <c r="AH225" s="226" t="e">
        <f aca="false">((xSPRDOPT($L225,$J225,$I225,$M225,$O225,$N225,$P225,$Q225-$C$3,$R225,5)*$H225)/100)</f>
        <v>#NAME?</v>
      </c>
      <c r="AI225" s="226" t="e">
        <f aca="false">(((xSPRDOPT($L225,$J225,$I225,$M225,$O225,$N225,$P225,$Q225-$C$3,$R225,4)*$H225)/10000)/100)-AB225</f>
        <v>#NAME?</v>
      </c>
      <c r="AJ225" s="226"/>
      <c r="AK225" s="226"/>
      <c r="AL225" s="226"/>
      <c r="AM225" s="252"/>
      <c r="CC225" s="182" t="n">
        <f aca="false">G225</f>
        <v>36892</v>
      </c>
      <c r="CD225" s="253" t="e">
        <f aca="false">xSPRDOPT((VLOOKUP(G225,NGPrices,2,FALSE())+HLOOKUP(D225,Prices,VLOOKUP(G225,move_down,2,FALSE()),FALSE())),VLOOKUP(G225,NGPrices,2,FALSE()),I225,VLOOKUP(G225,NGPREVPRICES,4,FALSE()),HLOOKUP(D225,PREVVOLS,VLOOKUP(G225,MOVE_DOWN2,2,FALSE()),FALSE()),VLOOKUP(G225,NGPREVPRICES,3,FALSE()),HLOOKUP(D225,Correllate,VLOOKUP(G225,CorMove,2,FALSE()),FALSE()),Q225-$CD$3,R225,$CD$5)*H225-CJ225</f>
        <v>#NAME?</v>
      </c>
      <c r="CE225" s="253" t="e">
        <f aca="false">xSPRDOPT((VLOOKUP(G225,NGPREVPRICES,2,FALSE())+HLOOKUP(D225,PREVCURVES,VLOOKUP(G225,MOVE_DOWN2,2,FALSE()),FALSE())),VLOOKUP(G225,NGPREVPRICES,2,FALSE()),CK225,VLOOKUP(G225,NGPrices,4,FALSE()),HLOOKUP(D225,PREVVOLS,VLOOKUP(G225,MOVE_DOWN2,2,FALSE()),FALSE()),VLOOKUP(G225,NGPREVPRICES,3,FALSE()),HLOOKUP(D225,Correllate,VLOOKUP(G225,CorMove,2,FALSE()),FALSE()),Q225-$CD$3,R225,$CJ$5)*H225-CJ225</f>
        <v>#NAME?</v>
      </c>
      <c r="CF225" s="132" t="e">
        <f aca="false">(CJ225/VLOOKUP(CC225,discount,3,FALSE()))-(CJ225/VLOOKUP(CC225,discount,2,FALSE()))</f>
        <v>#NAME?</v>
      </c>
      <c r="CG225" s="253" t="e">
        <f aca="false">xSPRDOPT((VLOOKUP(G225,NGPREVPRICES,2,FALSE())+HLOOKUP(D225,PREVCURVES,VLOOKUP(G225,MOVE_DOWN2,2,FALSE()),FALSE())),VLOOKUP(G225,NGPREVPRICES,2,FALSE()),CK225,VLOOKUP(G225,NGPREVPRICES,4,FALSE()),HLOOKUP(D225,VOLS,VLOOKUP(G225,move_down,2,FALSE()),FALSE()),VLOOKUP(G225,NGPrices,3,FALSE()),HLOOKUP(D225,Correllate,VLOOKUP(G225,CorMove,2,FALSE()),FALSE()),Q225-$CD$3,R225,$CJ$5)*H225-CJ225</f>
        <v>#NAME?</v>
      </c>
      <c r="CH225" s="253" t="e">
        <f aca="false">xSPRDOPT((VLOOKUP(G225,NGPREVPRICES,2,FALSE())+HLOOKUP(D225,PREVCURVES,VLOOKUP(G225,MOVE_DOWN2,2,FALSE()),FALSE())),VLOOKUP(G225,NGPREVPRICES,2,FALSE()),CK225,VLOOKUP(G225,NGPREVPRICES,4,FALSE()),HLOOKUP(D225,PREVVOLS,VLOOKUP(G225,MOVE_DOWN2,2,FALSE()),FALSE()),VLOOKUP(G225,NGPREVPRICES,3,FALSE()),HLOOKUP(D225,Correllate,VLOOKUP(G225,CorMove,2,FALSE()),FALSE()),Q225-$C$3,R225,$CJ$5)*H225-CJ225</f>
        <v>#NAME?</v>
      </c>
      <c r="CI225" s="253" t="e">
        <f aca="false">SUM(CD225:CH225)</f>
        <v>#NAME?</v>
      </c>
      <c r="CJ225" s="253" t="e">
        <f aca="false">xSPRDOPT((VLOOKUP(G225,NGPREVPRICES,2,FALSE())+HLOOKUP(D225,PREVCURVES,VLOOKUP(G225,MOVE_DOWN2,2,FALSE()),FALSE())),VLOOKUP(G225,NGPREVPRICES,2,FALSE()),CK225,VLOOKUP(G225,NGPREVPRICES,4,FALSE()),HLOOKUP(D225,PREVVOLS,VLOOKUP(G225,MOVE_DOWN2,2,FALSE()),FALSE()),VLOOKUP(G225,NGPREVPRICES,3,FALSE()),HLOOKUP(D225,Correllate,VLOOKUP(G225,CorMove,2,FALSE()),FALSE()),Q225-$CD$3,R225,$CJ$5)*H225</f>
        <v>#NAME?</v>
      </c>
      <c r="CK225" s="254" t="n">
        <f aca="false">I225</f>
        <v>2.1</v>
      </c>
      <c r="CL225" s="253"/>
      <c r="CM225" s="0" t="str">
        <f aca="false">CONCATENATE(CC225,$CD$6)</f>
        <v>36892Curve Shift/Gamma</v>
      </c>
      <c r="CN225" s="0" t="str">
        <f aca="false">CONCATENATE($CC225,$CE$6)</f>
        <v>36892Rho</v>
      </c>
      <c r="CO225" s="0" t="str">
        <f aca="false">CONCATENATE($CC225,$CF$6)</f>
        <v>36892Drift</v>
      </c>
      <c r="CP225" s="0" t="str">
        <f aca="false">CONCATENATE($CC225,$CG$6)</f>
        <v>36892Vega</v>
      </c>
      <c r="CQ225" s="0" t="str">
        <f aca="false">CONCATENATE($CC225,$CH$6)</f>
        <v>36892Theta</v>
      </c>
    </row>
    <row r="226" customFormat="false" ht="12" hidden="false" customHeight="true" outlineLevel="0" collapsed="false">
      <c r="A226" s="17" t="s">
        <v>275</v>
      </c>
      <c r="B226" s="0" t="s">
        <v>192</v>
      </c>
      <c r="C226" s="0" t="s">
        <v>277</v>
      </c>
      <c r="D226" s="7" t="s">
        <v>149</v>
      </c>
      <c r="E226" s="0" t="s">
        <v>131</v>
      </c>
      <c r="F226" s="0" t="s">
        <v>136</v>
      </c>
      <c r="G226" s="92" t="n">
        <v>36861</v>
      </c>
      <c r="H226" s="248" t="n">
        <v>310000</v>
      </c>
      <c r="I226" s="0" t="n">
        <v>2.1</v>
      </c>
      <c r="J226" s="124" t="n">
        <f aca="false">VLOOKUP(G226,NGPrices,2,FALSE())</f>
        <v>4.8</v>
      </c>
      <c r="K226" s="125" t="n">
        <f aca="false">HLOOKUP(D226,Prices,VLOOKUP(G226,move_down,2,FALSE()),FALSE())+VLOOKUP(G226,CHANGE,HLOOKUP(D226,CHANGE,2,FALSE()),FALSE())</f>
        <v>1.645</v>
      </c>
      <c r="L226" s="124" t="n">
        <f aca="false">K226+J226</f>
        <v>6.445</v>
      </c>
      <c r="M226" s="126" t="n">
        <f aca="false">VLOOKUP(G226,NGPrices,4,FALSE())</f>
        <v>0.068314027999354</v>
      </c>
      <c r="N226" s="7" t="n">
        <f aca="false">VLOOKUP(G226,NGPrices,3,FALSE())</f>
        <v>0.6</v>
      </c>
      <c r="O226" s="7" t="n">
        <f aca="false">HLOOKUP(D226,VOLS,VLOOKUP(G226,move_down,2,FALSE()),FALSE())</f>
        <v>0.69</v>
      </c>
      <c r="P226" s="249" t="n">
        <f aca="false">HLOOKUP(D226,Correllate,VLOOKUP(G226,CorMove,2,FALSE()),FALSE())</f>
        <v>0.83</v>
      </c>
      <c r="Q226" s="92" t="n">
        <f aca="false">WORKDAY(G226,-2)</f>
        <v>36859</v>
      </c>
      <c r="R226" s="7" t="n">
        <f aca="false">IF(F226="P",0,1)</f>
        <v>1</v>
      </c>
      <c r="S226" s="130" t="e">
        <f aca="false">xSPRDOPT($L226,$J226,$I226,$M226,$O226,$N226,$P226,$Q226-$C$3,$R226,0)</f>
        <v>#NAME?</v>
      </c>
      <c r="T226" s="250" t="e">
        <f aca="false">xSPRDOPT($L226,$J226,$I226,$M226,$O226,$N226,$P226,$Q226-$C$3,$R226,1)*H226</f>
        <v>#NAME?</v>
      </c>
      <c r="U226" s="43" t="e">
        <f aca="false">S226*H226</f>
        <v>#NAME?</v>
      </c>
      <c r="V226" s="250" t="e">
        <f aca="false">xSPRDOPT($L226,$J226,$I226,$M226,$O226,$N226,$P226,$Q226-$C$3,$R226,2)*H226</f>
        <v>#NAME?</v>
      </c>
      <c r="W226" s="250" t="e">
        <f aca="false">+V226+T226</f>
        <v>#NAME?</v>
      </c>
      <c r="X226" s="2" t="str">
        <f aca="false">CONCATENATE(G226,D226)</f>
        <v>36861IF-TRANSCO/Z6</v>
      </c>
      <c r="Y226" s="251" t="n">
        <f aca="false">H226/10000</f>
        <v>31</v>
      </c>
      <c r="Z226" s="226" t="e">
        <f aca="false">T226/H226</f>
        <v>#NAME?</v>
      </c>
      <c r="AA226" s="226" t="e">
        <f aca="false">xSPRDOPT($L226,$J226,$I226,$M226,$O226,$N226,$P226,$Q226-$C$3,$R226,3)</f>
        <v>#NAME?</v>
      </c>
      <c r="AB226" s="226" t="e">
        <f aca="false">((xSPRDOPT($L226+AB$5,$J226,$I226,$M226,$O226,$N226,$P226,$Q226-$C$3,$R226,3)*$H226)/10000)/100</f>
        <v>#NAME?</v>
      </c>
      <c r="AC226" s="226" t="e">
        <f aca="false">((xSPRDOPT($L226+$AB$5,$J226,$I226,$M226,$O226,$N226,$P226,$Q226-$C$3,$R226,7)*$H226)/100)</f>
        <v>#NAME?</v>
      </c>
      <c r="AD226" s="226" t="e">
        <f aca="false">(xSPRDOPT($L226+$AB$5,$J226,$I226,$M226,$O226,$N226,$P226,$Q226-$C$3,$R226,9)/365)*$H226</f>
        <v>#NAME?</v>
      </c>
      <c r="AE226" s="0" t="e">
        <f aca="false">CD226</f>
        <v>#NAME?</v>
      </c>
      <c r="AF226" s="226" t="e">
        <f aca="false">((O226/N226)*AH226)+AG226</f>
        <v>#NAME?</v>
      </c>
      <c r="AG226" s="226" t="e">
        <f aca="false">((xSPRDOPT($L226,$J226,$I226,$M226,$O226,$N226,$P226,$Q226-$C$3,$R226,6)*$H226)/100)</f>
        <v>#NAME?</v>
      </c>
      <c r="AH226" s="226" t="e">
        <f aca="false">((xSPRDOPT($L226,$J226,$I226,$M226,$O226,$N226,$P226,$Q226-$C$3,$R226,5)*$H226)/100)</f>
        <v>#NAME?</v>
      </c>
      <c r="AI226" s="226" t="e">
        <f aca="false">(((xSPRDOPT($L226,$J226,$I226,$M226,$O226,$N226,$P226,$Q226-$C$3,$R226,4)*$H226)/10000)/100)-AB226</f>
        <v>#NAME?</v>
      </c>
      <c r="AJ226" s="226"/>
      <c r="AK226" s="226"/>
      <c r="AL226" s="226"/>
      <c r="AM226" s="252"/>
      <c r="CC226" s="182" t="n">
        <f aca="false">G226</f>
        <v>36861</v>
      </c>
      <c r="CD226" s="253" t="e">
        <f aca="false">xSPRDOPT((VLOOKUP(G226,NGPrices,2,FALSE())+HLOOKUP(D226,Prices,VLOOKUP(G226,move_down,2,FALSE()),FALSE())),VLOOKUP(G226,NGPrices,2,FALSE()),I226,VLOOKUP(G226,NGPREVPRICES,4,FALSE()),HLOOKUP(D226,PREVVOLS,VLOOKUP(G226,MOVE_DOWN2,2,FALSE()),FALSE()),VLOOKUP(G226,NGPREVPRICES,3,FALSE()),HLOOKUP(D226,Correllate,VLOOKUP(G226,CorMove,2,FALSE()),FALSE()),Q226-$CD$3,R226,$CD$5)*H226-CJ226</f>
        <v>#NAME?</v>
      </c>
      <c r="CE226" s="253" t="e">
        <f aca="false">xSPRDOPT((VLOOKUP(G226,NGPREVPRICES,2,FALSE())+HLOOKUP(D226,PREVCURVES,VLOOKUP(G226,MOVE_DOWN2,2,FALSE()),FALSE())),VLOOKUP(G226,NGPREVPRICES,2,FALSE()),CK226,VLOOKUP(G226,NGPrices,4,FALSE()),HLOOKUP(D226,PREVVOLS,VLOOKUP(G226,MOVE_DOWN2,2,FALSE()),FALSE()),VLOOKUP(G226,NGPREVPRICES,3,FALSE()),HLOOKUP(D226,Correllate,VLOOKUP(G226,CorMove,2,FALSE()),FALSE()),Q226-$CD$3,R226,$CJ$5)*H226-CJ226</f>
        <v>#NAME?</v>
      </c>
      <c r="CF226" s="132" t="e">
        <f aca="false">(CJ226/VLOOKUP(CC226,discount,3,FALSE()))-(CJ226/VLOOKUP(CC226,discount,2,FALSE()))</f>
        <v>#NAME?</v>
      </c>
      <c r="CG226" s="253" t="e">
        <f aca="false">xSPRDOPT((VLOOKUP(G226,NGPREVPRICES,2,FALSE())+HLOOKUP(D226,PREVCURVES,VLOOKUP(G226,MOVE_DOWN2,2,FALSE()),FALSE())),VLOOKUP(G226,NGPREVPRICES,2,FALSE()),CK226,VLOOKUP(G226,NGPREVPRICES,4,FALSE()),HLOOKUP(D226,VOLS,VLOOKUP(G226,move_down,2,FALSE()),FALSE()),VLOOKUP(G226,NGPrices,3,FALSE()),HLOOKUP(D226,Correllate,VLOOKUP(G226,CorMove,2,FALSE()),FALSE()),Q226-$CD$3,R226,$CJ$5)*H226-CJ226</f>
        <v>#NAME?</v>
      </c>
      <c r="CH226" s="253" t="e">
        <f aca="false">xSPRDOPT((VLOOKUP(G226,NGPREVPRICES,2,FALSE())+HLOOKUP(D226,PREVCURVES,VLOOKUP(G226,MOVE_DOWN2,2,FALSE()),FALSE())),VLOOKUP(G226,NGPREVPRICES,2,FALSE()),CK226,VLOOKUP(G226,NGPREVPRICES,4,FALSE()),HLOOKUP(D226,PREVVOLS,VLOOKUP(G226,MOVE_DOWN2,2,FALSE()),FALSE()),VLOOKUP(G226,NGPREVPRICES,3,FALSE()),HLOOKUP(D226,Correllate,VLOOKUP(G226,CorMove,2,FALSE()),FALSE()),Q226-$C$3,R226,$CJ$5)*H226-CJ226</f>
        <v>#NAME?</v>
      </c>
      <c r="CI226" s="253" t="e">
        <f aca="false">SUM(CD226:CH226)</f>
        <v>#NAME?</v>
      </c>
      <c r="CJ226" s="253" t="e">
        <f aca="false">xSPRDOPT((VLOOKUP(G226,NGPREVPRICES,2,FALSE())+HLOOKUP(D226,PREVCURVES,VLOOKUP(G226,MOVE_DOWN2,2,FALSE()),FALSE())),VLOOKUP(G226,NGPREVPRICES,2,FALSE()),CK226,VLOOKUP(G226,NGPREVPRICES,4,FALSE()),HLOOKUP(D226,PREVVOLS,VLOOKUP(G226,MOVE_DOWN2,2,FALSE()),FALSE()),VLOOKUP(G226,NGPREVPRICES,3,FALSE()),HLOOKUP(D226,Correllate,VLOOKUP(G226,CorMove,2,FALSE()),FALSE()),Q226-$CD$3,R226,$CJ$5)*H226</f>
        <v>#NAME?</v>
      </c>
      <c r="CK226" s="254" t="n">
        <f aca="false">I226</f>
        <v>2.1</v>
      </c>
      <c r="CL226" s="253"/>
      <c r="CM226" s="0" t="str">
        <f aca="false">CONCATENATE(CC226,$CD$6)</f>
        <v>36861Curve Shift/Gamma</v>
      </c>
      <c r="CN226" s="0" t="str">
        <f aca="false">CONCATENATE($CC226,$CE$6)</f>
        <v>36861Rho</v>
      </c>
      <c r="CO226" s="0" t="str">
        <f aca="false">CONCATENATE($CC226,$CF$6)</f>
        <v>36861Drift</v>
      </c>
      <c r="CP226" s="0" t="str">
        <f aca="false">CONCATENATE($CC226,$CG$6)</f>
        <v>36861Vega</v>
      </c>
      <c r="CQ226" s="0" t="str">
        <f aca="false">CONCATENATE($CC226,$CH$6)</f>
        <v>36861Theta</v>
      </c>
    </row>
    <row r="227" customFormat="false" ht="12" hidden="false" customHeight="true" outlineLevel="0" collapsed="false">
      <c r="A227" s="17" t="s">
        <v>275</v>
      </c>
      <c r="B227" s="0" t="s">
        <v>192</v>
      </c>
      <c r="C227" s="0" t="s">
        <v>277</v>
      </c>
      <c r="D227" s="7" t="s">
        <v>149</v>
      </c>
      <c r="E227" s="0" t="s">
        <v>131</v>
      </c>
      <c r="F227" s="0" t="s">
        <v>136</v>
      </c>
      <c r="G227" s="92" t="n">
        <v>36831</v>
      </c>
      <c r="H227" s="248" t="n">
        <v>300000</v>
      </c>
      <c r="I227" s="0" t="n">
        <v>2.1</v>
      </c>
      <c r="J227" s="124" t="n">
        <f aca="false">VLOOKUP(G227,NGPrices,2,FALSE())</f>
        <v>4.736</v>
      </c>
      <c r="K227" s="125" t="n">
        <f aca="false">HLOOKUP(D227,Prices,VLOOKUP(G227,move_down,2,FALSE()),FALSE())+VLOOKUP(G227,CHANGE,HLOOKUP(D227,CHANGE,2,FALSE()),FALSE())</f>
        <v>0.77</v>
      </c>
      <c r="L227" s="124" t="n">
        <f aca="false">K227+J227</f>
        <v>5.506</v>
      </c>
      <c r="M227" s="126" t="n">
        <f aca="false">VLOOKUP(G227,NGPrices,4,FALSE())</f>
        <v>0.06810675983792</v>
      </c>
      <c r="N227" s="7" t="n">
        <f aca="false">VLOOKUP(G227,NGPrices,3,FALSE())</f>
        <v>0.595</v>
      </c>
      <c r="O227" s="7" t="n">
        <f aca="false">HLOOKUP(D227,VOLS,VLOOKUP(G227,move_down,2,FALSE()),FALSE())</f>
        <v>0.625</v>
      </c>
      <c r="P227" s="249" t="n">
        <f aca="false">HLOOKUP(D227,Correllate,VLOOKUP(G227,CorMove,2,FALSE()),FALSE())</f>
        <v>0.89</v>
      </c>
      <c r="Q227" s="92" t="n">
        <f aca="false">WORKDAY(G227,-2)</f>
        <v>36829</v>
      </c>
      <c r="R227" s="7" t="n">
        <f aca="false">IF(F227="P",0,1)</f>
        <v>1</v>
      </c>
      <c r="S227" s="130" t="e">
        <f aca="false">xSPRDOPT($L227,$J227,$I227,$M227,$O227,$N227,$P227,$Q227-$C$3,$R227,0)</f>
        <v>#NAME?</v>
      </c>
      <c r="T227" s="250" t="e">
        <f aca="false">xSPRDOPT($L227,$J227,$I227,$M227,$O227,$N227,$P227,$Q227-$C$3,$R227,1)*H227</f>
        <v>#NAME?</v>
      </c>
      <c r="U227" s="43" t="e">
        <f aca="false">S227*H227</f>
        <v>#NAME?</v>
      </c>
      <c r="V227" s="250" t="e">
        <f aca="false">xSPRDOPT($L227,$J227,$I227,$M227,$O227,$N227,$P227,$Q227-$C$3,$R227,2)*H227</f>
        <v>#NAME?</v>
      </c>
      <c r="W227" s="250" t="e">
        <f aca="false">+V227+T227</f>
        <v>#NAME?</v>
      </c>
      <c r="X227" s="2" t="str">
        <f aca="false">CONCATENATE(G227,D227)</f>
        <v>36831IF-TRANSCO/Z6</v>
      </c>
      <c r="Y227" s="251" t="n">
        <f aca="false">H227/10000</f>
        <v>30</v>
      </c>
      <c r="Z227" s="226" t="e">
        <f aca="false">T227/H227</f>
        <v>#NAME?</v>
      </c>
      <c r="AA227" s="226" t="e">
        <f aca="false">xSPRDOPT($L227,$J227,$I227,$M227,$O227,$N227,$P227,$Q227-$C$3,$R227,3)</f>
        <v>#NAME?</v>
      </c>
      <c r="AB227" s="226" t="e">
        <f aca="false">((xSPRDOPT($L227+AB$5,$J227,$I227,$M227,$O227,$N227,$P227,$Q227-$C$3,$R227,3)*$H227)/10000)/100</f>
        <v>#NAME?</v>
      </c>
      <c r="AC227" s="226" t="e">
        <f aca="false">((xSPRDOPT($L227+$AB$5,$J227,$I227,$M227,$O227,$N227,$P227,$Q227-$C$3,$R227,7)*$H227)/100)</f>
        <v>#NAME?</v>
      </c>
      <c r="AD227" s="226" t="e">
        <f aca="false">(xSPRDOPT($L227+$AB$5,$J227,$I227,$M227,$O227,$N227,$P227,$Q227-$C$3,$R227,9)/365)*$H227</f>
        <v>#NAME?</v>
      </c>
      <c r="AE227" s="0" t="e">
        <f aca="false">CD227</f>
        <v>#NAME?</v>
      </c>
      <c r="AF227" s="226" t="e">
        <f aca="false">((O227/N227)*AH227)+AG227</f>
        <v>#NAME?</v>
      </c>
      <c r="AG227" s="226" t="e">
        <f aca="false">((xSPRDOPT($L227,$J227,$I227,$M227,$O227,$N227,$P227,$Q227-$C$3,$R227,6)*$H227)/100)</f>
        <v>#NAME?</v>
      </c>
      <c r="AH227" s="226" t="e">
        <f aca="false">((xSPRDOPT($L227,$J227,$I227,$M227,$O227,$N227,$P227,$Q227-$C$3,$R227,5)*$H227)/100)</f>
        <v>#NAME?</v>
      </c>
      <c r="AI227" s="226" t="e">
        <f aca="false">(((xSPRDOPT($L227,$J227,$I227,$M227,$O227,$N227,$P227,$Q227-$C$3,$R227,4)*$H227)/10000)/100)-AB227</f>
        <v>#NAME?</v>
      </c>
      <c r="AJ227" s="226"/>
      <c r="AK227" s="226"/>
      <c r="AL227" s="226"/>
      <c r="AM227" s="252"/>
      <c r="CC227" s="182" t="n">
        <f aca="false">G227</f>
        <v>36831</v>
      </c>
      <c r="CD227" s="253" t="e">
        <f aca="false">xSPRDOPT((VLOOKUP(G227,NGPrices,2,FALSE())+HLOOKUP(D227,Prices,VLOOKUP(G227,move_down,2,FALSE()),FALSE())),VLOOKUP(G227,NGPrices,2,FALSE()),I227,VLOOKUP(G227,NGPREVPRICES,4,FALSE()),HLOOKUP(D227,PREVVOLS,VLOOKUP(G227,MOVE_DOWN2,2,FALSE()),FALSE()),VLOOKUP(G227,NGPREVPRICES,3,FALSE()),HLOOKUP(D227,Correllate,VLOOKUP(G227,CorMove,2,FALSE()),FALSE()),Q227-$CD$3,R227,$CD$5)*H227-CJ227</f>
        <v>#NAME?</v>
      </c>
      <c r="CE227" s="253" t="e">
        <f aca="false">xSPRDOPT((VLOOKUP(G227,NGPREVPRICES,2,FALSE())+HLOOKUP(D227,PREVCURVES,VLOOKUP(G227,MOVE_DOWN2,2,FALSE()),FALSE())),VLOOKUP(G227,NGPREVPRICES,2,FALSE()),CK227,VLOOKUP(G227,NGPrices,4,FALSE()),HLOOKUP(D227,PREVVOLS,VLOOKUP(G227,MOVE_DOWN2,2,FALSE()),FALSE()),VLOOKUP(G227,NGPREVPRICES,3,FALSE()),HLOOKUP(D227,Correllate,VLOOKUP(G227,CorMove,2,FALSE()),FALSE()),Q227-$CD$3,R227,$CJ$5)*H227-CJ227</f>
        <v>#NAME?</v>
      </c>
      <c r="CF227" s="132" t="e">
        <f aca="false">(CJ227/VLOOKUP(CC227,discount,3,FALSE()))-(CJ227/VLOOKUP(CC227,discount,2,FALSE()))</f>
        <v>#NAME?</v>
      </c>
      <c r="CG227" s="253" t="e">
        <f aca="false">xSPRDOPT((VLOOKUP(G227,NGPREVPRICES,2,FALSE())+HLOOKUP(D227,PREVCURVES,VLOOKUP(G227,MOVE_DOWN2,2,FALSE()),FALSE())),VLOOKUP(G227,NGPREVPRICES,2,FALSE()),CK227,VLOOKUP(G227,NGPREVPRICES,4,FALSE()),HLOOKUP(D227,VOLS,VLOOKUP(G227,move_down,2,FALSE()),FALSE()),VLOOKUP(G227,NGPrices,3,FALSE()),HLOOKUP(D227,Correllate,VLOOKUP(G227,CorMove,2,FALSE()),FALSE()),Q227-$CD$3,R227,$CJ$5)*H227-CJ227</f>
        <v>#NAME?</v>
      </c>
      <c r="CH227" s="253" t="e">
        <f aca="false">xSPRDOPT((VLOOKUP(G227,NGPREVPRICES,2,FALSE())+HLOOKUP(D227,PREVCURVES,VLOOKUP(G227,MOVE_DOWN2,2,FALSE()),FALSE())),VLOOKUP(G227,NGPREVPRICES,2,FALSE()),CK227,VLOOKUP(G227,NGPREVPRICES,4,FALSE()),HLOOKUP(D227,PREVVOLS,VLOOKUP(G227,MOVE_DOWN2,2,FALSE()),FALSE()),VLOOKUP(G227,NGPREVPRICES,3,FALSE()),HLOOKUP(D227,Correllate,VLOOKUP(G227,CorMove,2,FALSE()),FALSE()),Q227-$C$3,R227,$CJ$5)*H227-CJ227</f>
        <v>#NAME?</v>
      </c>
      <c r="CI227" s="253" t="e">
        <f aca="false">SUM(CD227:CH227)</f>
        <v>#NAME?</v>
      </c>
      <c r="CJ227" s="253" t="e">
        <f aca="false">xSPRDOPT((VLOOKUP(G227,NGPREVPRICES,2,FALSE())+HLOOKUP(D227,PREVCURVES,VLOOKUP(G227,MOVE_DOWN2,2,FALSE()),FALSE())),VLOOKUP(G227,NGPREVPRICES,2,FALSE()),CK227,VLOOKUP(G227,NGPREVPRICES,4,FALSE()),HLOOKUP(D227,PREVVOLS,VLOOKUP(G227,MOVE_DOWN2,2,FALSE()),FALSE()),VLOOKUP(G227,NGPREVPRICES,3,FALSE()),HLOOKUP(D227,Correllate,VLOOKUP(G227,CorMove,2,FALSE()),FALSE()),Q227-$CD$3,R227,$CJ$5)*H227</f>
        <v>#NAME?</v>
      </c>
      <c r="CK227" s="254" t="n">
        <f aca="false">I227</f>
        <v>2.1</v>
      </c>
      <c r="CL227" s="253"/>
      <c r="CM227" s="0" t="str">
        <f aca="false">CONCATENATE(CC227,$CD$6)</f>
        <v>36831Curve Shift/Gamma</v>
      </c>
      <c r="CN227" s="0" t="str">
        <f aca="false">CONCATENATE($CC227,$CE$6)</f>
        <v>36831Rho</v>
      </c>
      <c r="CO227" s="0" t="str">
        <f aca="false">CONCATENATE($CC227,$CF$6)</f>
        <v>36831Drift</v>
      </c>
      <c r="CP227" s="0" t="str">
        <f aca="false">CONCATENATE($CC227,$CG$6)</f>
        <v>36831Vega</v>
      </c>
      <c r="CQ227" s="0" t="str">
        <f aca="false">CONCATENATE($CC227,$CH$6)</f>
        <v>36831Theta</v>
      </c>
    </row>
    <row r="228" customFormat="false" ht="12" hidden="false" customHeight="true" outlineLevel="0" collapsed="false">
      <c r="A228" s="17" t="s">
        <v>278</v>
      </c>
      <c r="B228" s="0" t="s">
        <v>192</v>
      </c>
      <c r="C228" s="0" t="s">
        <v>279</v>
      </c>
      <c r="D228" s="7" t="s">
        <v>152</v>
      </c>
      <c r="E228" s="0" t="s">
        <v>131</v>
      </c>
      <c r="F228" s="0" t="s">
        <v>136</v>
      </c>
      <c r="G228" s="92" t="n">
        <v>36892</v>
      </c>
      <c r="H228" s="248" t="n">
        <v>465000</v>
      </c>
      <c r="I228" s="0" t="n">
        <v>0.15</v>
      </c>
      <c r="J228" s="124" t="n">
        <f aca="false">VLOOKUP(G228,NGPrices,2,FALSE())</f>
        <v>4.744</v>
      </c>
      <c r="K228" s="125" t="n">
        <f aca="false">HLOOKUP(D228,Prices,VLOOKUP(G228,move_down,2,FALSE()),FALSE())+VLOOKUP(G228,CHANGE,HLOOKUP(D228,CHANGE,2,FALSE()),FALSE())</f>
        <v>0.1275</v>
      </c>
      <c r="L228" s="124" t="n">
        <f aca="false">K228+J228</f>
        <v>4.8715</v>
      </c>
      <c r="M228" s="126" t="n">
        <f aca="false">VLOOKUP(G228,NGPrices,4,FALSE())</f>
        <v>0.068374831148491</v>
      </c>
      <c r="N228" s="7" t="n">
        <f aca="false">VLOOKUP(G228,NGPrices,3,FALSE())</f>
        <v>0.605</v>
      </c>
      <c r="O228" s="7" t="n">
        <f aca="false">HLOOKUP(D228,VOLS,VLOOKUP(G228,move_down,2,FALSE()),FALSE())</f>
        <v>0.605</v>
      </c>
      <c r="P228" s="249" t="n">
        <f aca="false">HLOOKUP(D228,Correllate,VLOOKUP(G228,CorMove,2,FALSE()),FALSE())</f>
        <v>0.997</v>
      </c>
      <c r="Q228" s="92" t="n">
        <f aca="false">WORKDAY(G228,-2)</f>
        <v>36888</v>
      </c>
      <c r="R228" s="7" t="n">
        <f aca="false">IF(F228="P",0,1)</f>
        <v>1</v>
      </c>
      <c r="S228" s="130" t="e">
        <f aca="false">xSPRDOPT($L228,$J228,$I228,$M228,$O228,$N228,$P228,$Q228-$C$3,$R228,0)</f>
        <v>#NAME?</v>
      </c>
      <c r="T228" s="250" t="e">
        <f aca="false">xSPRDOPT($L228,$J228,$I228,$M228,$O228,$N228,$P228,$Q228-$C$3,$R228,1)*H228</f>
        <v>#NAME?</v>
      </c>
      <c r="U228" s="43" t="e">
        <f aca="false">S228*H228</f>
        <v>#NAME?</v>
      </c>
      <c r="V228" s="250" t="e">
        <f aca="false">xSPRDOPT($L228,$J228,$I228,$M228,$O228,$N228,$P228,$Q228-$C$3,$R228,2)*H228</f>
        <v>#NAME?</v>
      </c>
      <c r="W228" s="250" t="e">
        <f aca="false">+V228+T228</f>
        <v>#NAME?</v>
      </c>
      <c r="X228" s="2" t="str">
        <f aca="false">CONCATENATE(G228,D228)</f>
        <v>36892NGI/CHI. GATE</v>
      </c>
      <c r="Y228" s="251" t="n">
        <f aca="false">H228/10000</f>
        <v>46.5</v>
      </c>
      <c r="Z228" s="226" t="e">
        <f aca="false">T228/H228</f>
        <v>#NAME?</v>
      </c>
      <c r="AA228" s="226" t="e">
        <f aca="false">xSPRDOPT($L228,$J228,$I228,$M228,$O228,$N228,$P228,$Q228-$C$3,$R228,3)</f>
        <v>#NAME?</v>
      </c>
      <c r="AB228" s="226" t="e">
        <f aca="false">((xSPRDOPT($L228+AB$5,$J228,$I228,$M228,$O228,$N228,$P228,$Q228-$C$3,$R228,3)*$H228)/10000)/100</f>
        <v>#NAME?</v>
      </c>
      <c r="AC228" s="226" t="e">
        <f aca="false">((xSPRDOPT($L228+$AB$5,$J228,$I228,$M228,$O228,$N228,$P228,$Q228-$C$3,$R228,7)*$H228)/100)</f>
        <v>#NAME?</v>
      </c>
      <c r="AD228" s="226" t="e">
        <f aca="false">(xSPRDOPT($L228+$AB$5,$J228,$I228,$M228,$O228,$N228,$P228,$Q228-$C$3,$R228,9)/365)*$H228</f>
        <v>#NAME?</v>
      </c>
      <c r="AE228" s="0" t="e">
        <f aca="false">CD228</f>
        <v>#NAME?</v>
      </c>
      <c r="AF228" s="226" t="e">
        <f aca="false">((O228/N228)*AH228)+AG228</f>
        <v>#NAME?</v>
      </c>
      <c r="AG228" s="226" t="e">
        <f aca="false">((xSPRDOPT($L228,$J228,$I228,$M228,$O228,$N228,$P228,$Q228-$C$3,$R228,6)*$H228)/100)</f>
        <v>#NAME?</v>
      </c>
      <c r="AH228" s="226" t="e">
        <f aca="false">((xSPRDOPT($L228,$J228,$I228,$M228,$O228,$N228,$P228,$Q228-$C$3,$R228,5)*$H228)/100)</f>
        <v>#NAME?</v>
      </c>
      <c r="AI228" s="226" t="e">
        <f aca="false">(((xSPRDOPT($L228,$J228,$I228,$M228,$O228,$N228,$P228,$Q228-$C$3,$R228,4)*$H228)/10000)/100)-AB228</f>
        <v>#NAME?</v>
      </c>
      <c r="AJ228" s="226"/>
      <c r="AK228" s="226"/>
      <c r="AL228" s="226"/>
      <c r="AM228" s="252"/>
      <c r="CC228" s="182" t="n">
        <f aca="false">G228</f>
        <v>36892</v>
      </c>
      <c r="CD228" s="253" t="e">
        <f aca="false">xSPRDOPT((VLOOKUP(G228,NGPrices,2,FALSE())+HLOOKUP(D228,Prices,VLOOKUP(G228,move_down,2,FALSE()),FALSE())),VLOOKUP(G228,NGPrices,2,FALSE()),I228,VLOOKUP(G228,NGPREVPRICES,4,FALSE()),HLOOKUP(D228,PREVVOLS,VLOOKUP(G228,MOVE_DOWN2,2,FALSE()),FALSE()),VLOOKUP(G228,NGPREVPRICES,3,FALSE()),HLOOKUP(D228,Correllate,VLOOKUP(G228,CorMove,2,FALSE()),FALSE()),Q228-$CD$3,R228,$CD$5)*H228-CJ228</f>
        <v>#NAME?</v>
      </c>
      <c r="CE228" s="253" t="e">
        <f aca="false">xSPRDOPT((VLOOKUP(G228,NGPREVPRICES,2,FALSE())+HLOOKUP(D228,PREVCURVES,VLOOKUP(G228,MOVE_DOWN2,2,FALSE()),FALSE())),VLOOKUP(G228,NGPREVPRICES,2,FALSE()),CK228,VLOOKUP(G228,NGPrices,4,FALSE()),HLOOKUP(D228,PREVVOLS,VLOOKUP(G228,MOVE_DOWN2,2,FALSE()),FALSE()),VLOOKUP(G228,NGPREVPRICES,3,FALSE()),HLOOKUP(D228,Correllate,VLOOKUP(G228,CorMove,2,FALSE()),FALSE()),Q228-$CD$3,R228,$CJ$5)*H228-CJ228</f>
        <v>#NAME?</v>
      </c>
      <c r="CF228" s="132" t="e">
        <f aca="false">(CJ228/VLOOKUP(CC228,discount,3,FALSE()))-(CJ228/VLOOKUP(CC228,discount,2,FALSE()))</f>
        <v>#NAME?</v>
      </c>
      <c r="CG228" s="253" t="e">
        <f aca="false">xSPRDOPT((VLOOKUP(G228,NGPREVPRICES,2,FALSE())+HLOOKUP(D228,PREVCURVES,VLOOKUP(G228,MOVE_DOWN2,2,FALSE()),FALSE())),VLOOKUP(G228,NGPREVPRICES,2,FALSE()),CK228,VLOOKUP(G228,NGPREVPRICES,4,FALSE()),HLOOKUP(D228,VOLS,VLOOKUP(G228,move_down,2,FALSE()),FALSE()),VLOOKUP(G228,NGPrices,3,FALSE()),HLOOKUP(D228,Correllate,VLOOKUP(G228,CorMove,2,FALSE()),FALSE()),Q228-$CD$3,R228,$CJ$5)*H228-CJ228</f>
        <v>#NAME?</v>
      </c>
      <c r="CH228" s="253" t="e">
        <f aca="false">xSPRDOPT((VLOOKUP(G228,NGPREVPRICES,2,FALSE())+HLOOKUP(D228,PREVCURVES,VLOOKUP(G228,MOVE_DOWN2,2,FALSE()),FALSE())),VLOOKUP(G228,NGPREVPRICES,2,FALSE()),CK228,VLOOKUP(G228,NGPREVPRICES,4,FALSE()),HLOOKUP(D228,PREVVOLS,VLOOKUP(G228,MOVE_DOWN2,2,FALSE()),FALSE()),VLOOKUP(G228,NGPREVPRICES,3,FALSE()),HLOOKUP(D228,Correllate,VLOOKUP(G228,CorMove,2,FALSE()),FALSE()),Q228-$C$3,R228,$CJ$5)*H228-CJ228</f>
        <v>#NAME?</v>
      </c>
      <c r="CI228" s="253" t="e">
        <f aca="false">SUM(CD228:CH228)</f>
        <v>#NAME?</v>
      </c>
      <c r="CJ228" s="253" t="e">
        <f aca="false">xSPRDOPT((VLOOKUP(G228,NGPREVPRICES,2,FALSE())+HLOOKUP(D228,PREVCURVES,VLOOKUP(G228,MOVE_DOWN2,2,FALSE()),FALSE())),VLOOKUP(G228,NGPREVPRICES,2,FALSE()),CK228,VLOOKUP(G228,NGPREVPRICES,4,FALSE()),HLOOKUP(D228,PREVVOLS,VLOOKUP(G228,MOVE_DOWN2,2,FALSE()),FALSE()),VLOOKUP(G228,NGPREVPRICES,3,FALSE()),HLOOKUP(D228,Correllate,VLOOKUP(G228,CorMove,2,FALSE()),FALSE()),Q228-$CD$3,R228,$CJ$5)*H228</f>
        <v>#NAME?</v>
      </c>
      <c r="CK228" s="254" t="n">
        <f aca="false">I228</f>
        <v>0.15</v>
      </c>
      <c r="CL228" s="253"/>
      <c r="CM228" s="0" t="str">
        <f aca="false">CONCATENATE(CC228,$CD$6)</f>
        <v>36892Curve Shift/Gamma</v>
      </c>
      <c r="CN228" s="0" t="str">
        <f aca="false">CONCATENATE($CC228,$CE$6)</f>
        <v>36892Rho</v>
      </c>
      <c r="CO228" s="0" t="str">
        <f aca="false">CONCATENATE($CC228,$CF$6)</f>
        <v>36892Drift</v>
      </c>
      <c r="CP228" s="0" t="str">
        <f aca="false">CONCATENATE($CC228,$CG$6)</f>
        <v>36892Vega</v>
      </c>
      <c r="CQ228" s="0" t="str">
        <f aca="false">CONCATENATE($CC228,$CH$6)</f>
        <v>36892Theta</v>
      </c>
    </row>
    <row r="229" customFormat="false" ht="12" hidden="false" customHeight="true" outlineLevel="0" collapsed="false">
      <c r="A229" s="17" t="s">
        <v>278</v>
      </c>
      <c r="B229" s="0" t="s">
        <v>192</v>
      </c>
      <c r="C229" s="0" t="s">
        <v>279</v>
      </c>
      <c r="D229" s="7" t="s">
        <v>152</v>
      </c>
      <c r="E229" s="0" t="s">
        <v>131</v>
      </c>
      <c r="F229" s="0" t="s">
        <v>136</v>
      </c>
      <c r="G229" s="92" t="n">
        <v>36861</v>
      </c>
      <c r="H229" s="248" t="n">
        <v>465000</v>
      </c>
      <c r="I229" s="0" t="n">
        <v>0.15</v>
      </c>
      <c r="J229" s="124" t="n">
        <f aca="false">VLOOKUP(G229,NGPrices,2,FALSE())</f>
        <v>4.8</v>
      </c>
      <c r="K229" s="125" t="n">
        <f aca="false">HLOOKUP(D229,Prices,VLOOKUP(G229,move_down,2,FALSE()),FALSE())+VLOOKUP(G229,CHANGE,HLOOKUP(D229,CHANGE,2,FALSE()),FALSE())</f>
        <v>0.1</v>
      </c>
      <c r="L229" s="124" t="n">
        <f aca="false">K229+J229</f>
        <v>4.9</v>
      </c>
      <c r="M229" s="126" t="n">
        <f aca="false">VLOOKUP(G229,NGPrices,4,FALSE())</f>
        <v>0.068314027999354</v>
      </c>
      <c r="N229" s="7" t="n">
        <f aca="false">VLOOKUP(G229,NGPrices,3,FALSE())</f>
        <v>0.6</v>
      </c>
      <c r="O229" s="7" t="n">
        <f aca="false">HLOOKUP(D229,VOLS,VLOOKUP(G229,move_down,2,FALSE()),FALSE())</f>
        <v>0.6</v>
      </c>
      <c r="P229" s="249" t="n">
        <f aca="false">HLOOKUP(D229,Correllate,VLOOKUP(G229,CorMove,2,FALSE()),FALSE())</f>
        <v>0.997</v>
      </c>
      <c r="Q229" s="92" t="n">
        <f aca="false">WORKDAY(G229,-2)</f>
        <v>36859</v>
      </c>
      <c r="R229" s="7" t="n">
        <f aca="false">IF(F229="P",0,1)</f>
        <v>1</v>
      </c>
      <c r="S229" s="130" t="e">
        <f aca="false">xSPRDOPT($L229,$J229,$I229,$M229,$O229,$N229,$P229,$Q229-$C$3,$R229,0)</f>
        <v>#NAME?</v>
      </c>
      <c r="T229" s="250" t="e">
        <f aca="false">xSPRDOPT($L229,$J229,$I229,$M229,$O229,$N229,$P229,$Q229-$C$3,$R229,1)*H229</f>
        <v>#NAME?</v>
      </c>
      <c r="U229" s="43" t="e">
        <f aca="false">S229*H229</f>
        <v>#NAME?</v>
      </c>
      <c r="V229" s="250" t="e">
        <f aca="false">xSPRDOPT($L229,$J229,$I229,$M229,$O229,$N229,$P229,$Q229-$C$3,$R229,2)*H229</f>
        <v>#NAME?</v>
      </c>
      <c r="W229" s="250" t="e">
        <f aca="false">+V229+T229</f>
        <v>#NAME?</v>
      </c>
      <c r="X229" s="2" t="str">
        <f aca="false">CONCATENATE(G229,D229)</f>
        <v>36861NGI/CHI. GATE</v>
      </c>
      <c r="Y229" s="251" t="n">
        <f aca="false">H229/10000</f>
        <v>46.5</v>
      </c>
      <c r="Z229" s="226" t="e">
        <f aca="false">T229/H229</f>
        <v>#NAME?</v>
      </c>
      <c r="AA229" s="226" t="e">
        <f aca="false">xSPRDOPT($L229,$J229,$I229,$M229,$O229,$N229,$P229,$Q229-$C$3,$R229,3)</f>
        <v>#NAME?</v>
      </c>
      <c r="AB229" s="226" t="e">
        <f aca="false">((xSPRDOPT($L229+AB$5,$J229,$I229,$M229,$O229,$N229,$P229,$Q229-$C$3,$R229,3)*$H229)/10000)/100</f>
        <v>#NAME?</v>
      </c>
      <c r="AC229" s="226" t="e">
        <f aca="false">((xSPRDOPT($L229+$AB$5,$J229,$I229,$M229,$O229,$N229,$P229,$Q229-$C$3,$R229,7)*$H229)/100)</f>
        <v>#NAME?</v>
      </c>
      <c r="AD229" s="226" t="e">
        <f aca="false">(xSPRDOPT($L229+$AB$5,$J229,$I229,$M229,$O229,$N229,$P229,$Q229-$C$3,$R229,9)/365)*$H229</f>
        <v>#NAME?</v>
      </c>
      <c r="AE229" s="0" t="e">
        <f aca="false">CD229</f>
        <v>#NAME?</v>
      </c>
      <c r="AF229" s="226" t="e">
        <f aca="false">((O229/N229)*AH229)+AG229</f>
        <v>#NAME?</v>
      </c>
      <c r="AG229" s="226" t="e">
        <f aca="false">((xSPRDOPT($L229,$J229,$I229,$M229,$O229,$N229,$P229,$Q229-$C$3,$R229,6)*$H229)/100)</f>
        <v>#NAME?</v>
      </c>
      <c r="AH229" s="226" t="e">
        <f aca="false">((xSPRDOPT($L229,$J229,$I229,$M229,$O229,$N229,$P229,$Q229-$C$3,$R229,5)*$H229)/100)</f>
        <v>#NAME?</v>
      </c>
      <c r="AI229" s="226" t="e">
        <f aca="false">(((xSPRDOPT($L229,$J229,$I229,$M229,$O229,$N229,$P229,$Q229-$C$3,$R229,4)*$H229)/10000)/100)-AB229</f>
        <v>#NAME?</v>
      </c>
      <c r="AJ229" s="226"/>
      <c r="AK229" s="226"/>
      <c r="AL229" s="226"/>
      <c r="AM229" s="252"/>
      <c r="CC229" s="182" t="n">
        <f aca="false">G229</f>
        <v>36861</v>
      </c>
      <c r="CD229" s="253" t="e">
        <f aca="false">xSPRDOPT((VLOOKUP(G229,NGPrices,2,FALSE())+HLOOKUP(D229,Prices,VLOOKUP(G229,move_down,2,FALSE()),FALSE())),VLOOKUP(G229,NGPrices,2,FALSE()),I229,VLOOKUP(G229,NGPREVPRICES,4,FALSE()),HLOOKUP(D229,PREVVOLS,VLOOKUP(G229,MOVE_DOWN2,2,FALSE()),FALSE()),VLOOKUP(G229,NGPREVPRICES,3,FALSE()),HLOOKUP(D229,Correllate,VLOOKUP(G229,CorMove,2,FALSE()),FALSE()),Q229-$CD$3,R229,$CD$5)*H229-CJ229</f>
        <v>#NAME?</v>
      </c>
      <c r="CE229" s="253" t="e">
        <f aca="false">xSPRDOPT((VLOOKUP(G229,NGPREVPRICES,2,FALSE())+HLOOKUP(D229,PREVCURVES,VLOOKUP(G229,MOVE_DOWN2,2,FALSE()),FALSE())),VLOOKUP(G229,NGPREVPRICES,2,FALSE()),CK229,VLOOKUP(G229,NGPrices,4,FALSE()),HLOOKUP(D229,PREVVOLS,VLOOKUP(G229,MOVE_DOWN2,2,FALSE()),FALSE()),VLOOKUP(G229,NGPREVPRICES,3,FALSE()),HLOOKUP(D229,Correllate,VLOOKUP(G229,CorMove,2,FALSE()),FALSE()),Q229-$CD$3,R229,$CJ$5)*H229-CJ229</f>
        <v>#NAME?</v>
      </c>
      <c r="CF229" s="132" t="e">
        <f aca="false">(CJ229/VLOOKUP(CC229,discount,3,FALSE()))-(CJ229/VLOOKUP(CC229,discount,2,FALSE()))</f>
        <v>#NAME?</v>
      </c>
      <c r="CG229" s="253" t="e">
        <f aca="false">xSPRDOPT((VLOOKUP(G229,NGPREVPRICES,2,FALSE())+HLOOKUP(D229,PREVCURVES,VLOOKUP(G229,MOVE_DOWN2,2,FALSE()),FALSE())),VLOOKUP(G229,NGPREVPRICES,2,FALSE()),CK229,VLOOKUP(G229,NGPREVPRICES,4,FALSE()),HLOOKUP(D229,VOLS,VLOOKUP(G229,move_down,2,FALSE()),FALSE()),VLOOKUP(G229,NGPrices,3,FALSE()),HLOOKUP(D229,Correllate,VLOOKUP(G229,CorMove,2,FALSE()),FALSE()),Q229-$CD$3,R229,$CJ$5)*H229-CJ229</f>
        <v>#NAME?</v>
      </c>
      <c r="CH229" s="253" t="e">
        <f aca="false">xSPRDOPT((VLOOKUP(G229,NGPREVPRICES,2,FALSE())+HLOOKUP(D229,PREVCURVES,VLOOKUP(G229,MOVE_DOWN2,2,FALSE()),FALSE())),VLOOKUP(G229,NGPREVPRICES,2,FALSE()),CK229,VLOOKUP(G229,NGPREVPRICES,4,FALSE()),HLOOKUP(D229,PREVVOLS,VLOOKUP(G229,MOVE_DOWN2,2,FALSE()),FALSE()),VLOOKUP(G229,NGPREVPRICES,3,FALSE()),HLOOKUP(D229,Correllate,VLOOKUP(G229,CorMove,2,FALSE()),FALSE()),Q229-$C$3,R229,$CJ$5)*H229-CJ229</f>
        <v>#NAME?</v>
      </c>
      <c r="CI229" s="253" t="e">
        <f aca="false">SUM(CD229:CH229)</f>
        <v>#NAME?</v>
      </c>
      <c r="CJ229" s="253" t="e">
        <f aca="false">xSPRDOPT((VLOOKUP(G229,NGPREVPRICES,2,FALSE())+HLOOKUP(D229,PREVCURVES,VLOOKUP(G229,MOVE_DOWN2,2,FALSE()),FALSE())),VLOOKUP(G229,NGPREVPRICES,2,FALSE()),CK229,VLOOKUP(G229,NGPREVPRICES,4,FALSE()),HLOOKUP(D229,PREVVOLS,VLOOKUP(G229,MOVE_DOWN2,2,FALSE()),FALSE()),VLOOKUP(G229,NGPREVPRICES,3,FALSE()),HLOOKUP(D229,Correllate,VLOOKUP(G229,CorMove,2,FALSE()),FALSE()),Q229-$CD$3,R229,$CJ$5)*H229</f>
        <v>#NAME?</v>
      </c>
      <c r="CK229" s="254" t="n">
        <f aca="false">I229</f>
        <v>0.15</v>
      </c>
      <c r="CL229" s="253"/>
      <c r="CM229" s="0" t="str">
        <f aca="false">CONCATENATE(CC229,$CD$6)</f>
        <v>36861Curve Shift/Gamma</v>
      </c>
      <c r="CN229" s="0" t="str">
        <f aca="false">CONCATENATE($CC229,$CE$6)</f>
        <v>36861Rho</v>
      </c>
      <c r="CO229" s="0" t="str">
        <f aca="false">CONCATENATE($CC229,$CF$6)</f>
        <v>36861Drift</v>
      </c>
      <c r="CP229" s="0" t="str">
        <f aca="false">CONCATENATE($CC229,$CG$6)</f>
        <v>36861Vega</v>
      </c>
      <c r="CQ229" s="0" t="str">
        <f aca="false">CONCATENATE($CC229,$CH$6)</f>
        <v>36861Theta</v>
      </c>
    </row>
    <row r="230" customFormat="false" ht="12" hidden="false" customHeight="true" outlineLevel="0" collapsed="false">
      <c r="A230" s="17" t="s">
        <v>210</v>
      </c>
      <c r="B230" s="0" t="s">
        <v>192</v>
      </c>
      <c r="C230" s="0" t="s">
        <v>280</v>
      </c>
      <c r="D230" s="7" t="s">
        <v>149</v>
      </c>
      <c r="E230" s="0" t="s">
        <v>131</v>
      </c>
      <c r="F230" s="0" t="s">
        <v>132</v>
      </c>
      <c r="G230" s="92" t="n">
        <v>36800</v>
      </c>
      <c r="H230" s="248" t="n">
        <v>1550000</v>
      </c>
      <c r="I230" s="0" t="n">
        <v>0.3</v>
      </c>
      <c r="J230" s="124" t="n">
        <f aca="false">VLOOKUP(G230,NGPrices,2,FALSE())</f>
        <v>4.692</v>
      </c>
      <c r="K230" s="125" t="n">
        <f aca="false">HLOOKUP(D230,Prices,VLOOKUP(G230,move_down,2,FALSE()),FALSE())+VLOOKUP(G230,CHANGE,HLOOKUP(D230,CHANGE,2,FALSE()),FALSE())</f>
        <v>0.415</v>
      </c>
      <c r="L230" s="124" t="n">
        <f aca="false">K230+J230</f>
        <v>5.107</v>
      </c>
      <c r="M230" s="126" t="n">
        <f aca="false">VLOOKUP(G230,NGPrices,4,FALSE())</f>
        <v>0.068050789414654</v>
      </c>
      <c r="N230" s="7" t="n">
        <f aca="false">VLOOKUP(G230,NGPrices,3,FALSE())</f>
        <v>0.575</v>
      </c>
      <c r="O230" s="7" t="n">
        <f aca="false">HLOOKUP(D230,VOLS,VLOOKUP(G230,move_down,2,FALSE()),FALSE())</f>
        <v>0.564</v>
      </c>
      <c r="P230" s="249" t="n">
        <f aca="false">HLOOKUP(D230,Correllate,VLOOKUP(G230,CorMove,2,FALSE()),FALSE())</f>
        <v>0.9925</v>
      </c>
      <c r="Q230" s="92" t="n">
        <f aca="false">WORKDAY(G230,-2)</f>
        <v>36797</v>
      </c>
      <c r="R230" s="7" t="n">
        <f aca="false">IF(F230="P",0,1)</f>
        <v>0</v>
      </c>
      <c r="S230" s="130" t="e">
        <f aca="false">xSPRDOPT($L230,$J230,$I230,$M230,$O230,$N230,$P230,$Q230-$C$3,$R230,0)</f>
        <v>#NAME?</v>
      </c>
      <c r="T230" s="250" t="e">
        <f aca="false">xSPRDOPT($L230,$J230,$I230,$M230,$O230,$N230,$P230,$Q230-$C$3,$R230,1)*H230</f>
        <v>#NAME?</v>
      </c>
      <c r="U230" s="43" t="e">
        <f aca="false">S230*H230</f>
        <v>#NAME?</v>
      </c>
      <c r="V230" s="250" t="e">
        <f aca="false">xSPRDOPT($L230,$J230,$I230,$M230,$O230,$N230,$P230,$Q230-$C$3,$R230,2)*H230</f>
        <v>#NAME?</v>
      </c>
      <c r="W230" s="250" t="e">
        <f aca="false">+V230+T230</f>
        <v>#NAME?</v>
      </c>
      <c r="X230" s="2" t="str">
        <f aca="false">CONCATENATE(G230,D230)</f>
        <v>36800IF-TRANSCO/Z6</v>
      </c>
      <c r="Y230" s="251" t="n">
        <f aca="false">H230/10000</f>
        <v>155</v>
      </c>
      <c r="Z230" s="226" t="e">
        <f aca="false">T230/H230</f>
        <v>#NAME?</v>
      </c>
      <c r="AA230" s="226" t="e">
        <f aca="false">xSPRDOPT($L230,$J230,$I230,$M230,$O230,$N230,$P230,$Q230-$C$3,$R230,3)</f>
        <v>#NAME?</v>
      </c>
      <c r="AB230" s="226" t="e">
        <f aca="false">((xSPRDOPT($L230+AB$5,$J230,$I230,$M230,$O230,$N230,$P230,$Q230-$C$3,$R230,3)*$H230)/10000)/100</f>
        <v>#NAME?</v>
      </c>
      <c r="AC230" s="226" t="e">
        <f aca="false">((xSPRDOPT($L230+$AB$5,$J230,$I230,$M230,$O230,$N230,$P230,$Q230-$C$3,$R230,7)*$H230)/100)</f>
        <v>#NAME?</v>
      </c>
      <c r="AD230" s="226" t="e">
        <f aca="false">(xSPRDOPT($L230+$AB$5,$J230,$I230,$M230,$O230,$N230,$P230,$Q230-$C$3,$R230,9)/365)*$H230</f>
        <v>#NAME?</v>
      </c>
      <c r="AE230" s="0" t="e">
        <f aca="false">CD230</f>
        <v>#NAME?</v>
      </c>
      <c r="AF230" s="226" t="e">
        <f aca="false">((O230/N230)*AH230)+AG230</f>
        <v>#NAME?</v>
      </c>
      <c r="AG230" s="226" t="e">
        <f aca="false">((xSPRDOPT($L230,$J230,$I230,$M230,$O230,$N230,$P230,$Q230-$C$3,$R230,6)*$H230)/100)</f>
        <v>#NAME?</v>
      </c>
      <c r="AH230" s="226" t="e">
        <f aca="false">((xSPRDOPT($L230,$J230,$I230,$M230,$O230,$N230,$P230,$Q230-$C$3,$R230,5)*$H230)/100)</f>
        <v>#NAME?</v>
      </c>
      <c r="AI230" s="226" t="e">
        <f aca="false">(((xSPRDOPT($L230,$J230,$I230,$M230,$O230,$N230,$P230,$Q230-$C$3,$R230,4)*$H230)/10000)/100)-AB230</f>
        <v>#NAME?</v>
      </c>
      <c r="AJ230" s="226"/>
      <c r="AK230" s="226"/>
      <c r="AL230" s="226"/>
      <c r="AM230" s="252"/>
      <c r="CC230" s="182" t="n">
        <f aca="false">G230</f>
        <v>36800</v>
      </c>
      <c r="CD230" s="253" t="e">
        <f aca="false">xSPRDOPT((VLOOKUP(G230,NGPrices,2,FALSE())+HLOOKUP(D230,Prices,VLOOKUP(G230,move_down,2,FALSE()),FALSE())),VLOOKUP(G230,NGPrices,2,FALSE()),I230,VLOOKUP(G230,NGPREVPRICES,4,FALSE()),HLOOKUP(D230,PREVVOLS,VLOOKUP(G230,MOVE_DOWN2,2,FALSE()),FALSE()),VLOOKUP(G230,NGPREVPRICES,3,FALSE()),HLOOKUP(D230,Correllate,VLOOKUP(G230,CorMove,2,FALSE()),FALSE()),Q230-$CD$3,R230,$CD$5)*H230-CJ230</f>
        <v>#NAME?</v>
      </c>
      <c r="CE230" s="253" t="e">
        <f aca="false">xSPRDOPT((VLOOKUP(G230,NGPREVPRICES,2,FALSE())+HLOOKUP(D230,PREVCURVES,VLOOKUP(G230,MOVE_DOWN2,2,FALSE()),FALSE())),VLOOKUP(G230,NGPREVPRICES,2,FALSE()),CK230,VLOOKUP(G230,NGPrices,4,FALSE()),HLOOKUP(D230,PREVVOLS,VLOOKUP(G230,MOVE_DOWN2,2,FALSE()),FALSE()),VLOOKUP(G230,NGPREVPRICES,3,FALSE()),HLOOKUP(D230,Correllate,VLOOKUP(G230,CorMove,2,FALSE()),FALSE()),Q230-$CD$3,R230,$CJ$5)*H230-CJ230</f>
        <v>#NAME?</v>
      </c>
      <c r="CF230" s="132" t="e">
        <f aca="false">(CJ230/VLOOKUP(CC230,discount,3,FALSE()))-(CJ230/VLOOKUP(CC230,discount,2,FALSE()))</f>
        <v>#NAME?</v>
      </c>
      <c r="CG230" s="253" t="e">
        <f aca="false">xSPRDOPT((VLOOKUP(G230,NGPREVPRICES,2,FALSE())+HLOOKUP(D230,PREVCURVES,VLOOKUP(G230,MOVE_DOWN2,2,FALSE()),FALSE())),VLOOKUP(G230,NGPREVPRICES,2,FALSE()),CK230,VLOOKUP(G230,NGPREVPRICES,4,FALSE()),HLOOKUP(D230,VOLS,VLOOKUP(G230,move_down,2,FALSE()),FALSE()),VLOOKUP(G230,NGPrices,3,FALSE()),HLOOKUP(D230,Correllate,VLOOKUP(G230,CorMove,2,FALSE()),FALSE()),Q230-$CD$3,R230,$CJ$5)*H230-CJ230</f>
        <v>#NAME?</v>
      </c>
      <c r="CH230" s="253" t="e">
        <f aca="false">xSPRDOPT((VLOOKUP(G230,NGPREVPRICES,2,FALSE())+HLOOKUP(D230,PREVCURVES,VLOOKUP(G230,MOVE_DOWN2,2,FALSE()),FALSE())),VLOOKUP(G230,NGPREVPRICES,2,FALSE()),CK230,VLOOKUP(G230,NGPREVPRICES,4,FALSE()),HLOOKUP(D230,PREVVOLS,VLOOKUP(G230,MOVE_DOWN2,2,FALSE()),FALSE()),VLOOKUP(G230,NGPREVPRICES,3,FALSE()),HLOOKUP(D230,Correllate,VLOOKUP(G230,CorMove,2,FALSE()),FALSE()),Q230-$C$3,R230,$CJ$5)*H230-CJ230</f>
        <v>#NAME?</v>
      </c>
      <c r="CI230" s="253" t="e">
        <f aca="false">SUM(CD230:CH230)</f>
        <v>#NAME?</v>
      </c>
      <c r="CJ230" s="253" t="e">
        <f aca="false">xSPRDOPT((VLOOKUP(G230,NGPREVPRICES,2,FALSE())+HLOOKUP(D230,PREVCURVES,VLOOKUP(G230,MOVE_DOWN2,2,FALSE()),FALSE())),VLOOKUP(G230,NGPREVPRICES,2,FALSE()),CK230,VLOOKUP(G230,NGPREVPRICES,4,FALSE()),HLOOKUP(D230,PREVVOLS,VLOOKUP(G230,MOVE_DOWN2,2,FALSE()),FALSE()),VLOOKUP(G230,NGPREVPRICES,3,FALSE()),HLOOKUP(D230,Correllate,VLOOKUP(G230,CorMove,2,FALSE()),FALSE()),Q230-$CD$3,R230,$CJ$5)*H230</f>
        <v>#NAME?</v>
      </c>
      <c r="CK230" s="254" t="n">
        <f aca="false">I230</f>
        <v>0.3</v>
      </c>
      <c r="CL230" s="253"/>
      <c r="CM230" s="0" t="str">
        <f aca="false">CONCATENATE(CC230,$CD$6)</f>
        <v>36800Curve Shift/Gamma</v>
      </c>
      <c r="CN230" s="0" t="str">
        <f aca="false">CONCATENATE($CC230,$CE$6)</f>
        <v>36800Rho</v>
      </c>
      <c r="CO230" s="0" t="str">
        <f aca="false">CONCATENATE($CC230,$CF$6)</f>
        <v>36800Drift</v>
      </c>
      <c r="CP230" s="0" t="str">
        <f aca="false">CONCATENATE($CC230,$CG$6)</f>
        <v>36800Vega</v>
      </c>
      <c r="CQ230" s="0" t="str">
        <f aca="false">CONCATENATE($CC230,$CH$6)</f>
        <v>36800Theta</v>
      </c>
    </row>
    <row r="231" customFormat="false" ht="12" hidden="false" customHeight="true" outlineLevel="0" collapsed="false">
      <c r="A231" s="17" t="s">
        <v>210</v>
      </c>
      <c r="B231" s="0" t="s">
        <v>192</v>
      </c>
      <c r="C231" s="0" t="s">
        <v>280</v>
      </c>
      <c r="D231" s="7" t="s">
        <v>149</v>
      </c>
      <c r="E231" s="0" t="s">
        <v>131</v>
      </c>
      <c r="F231" s="0" t="s">
        <v>132</v>
      </c>
      <c r="G231" s="92" t="n">
        <v>36770</v>
      </c>
      <c r="H231" s="248" t="n">
        <v>1500000</v>
      </c>
      <c r="I231" s="0" t="n">
        <v>0.3</v>
      </c>
      <c r="J231" s="124" t="n">
        <f aca="false">VLOOKUP(G231,NGPrices,2,FALSE())</f>
        <v>4.685</v>
      </c>
      <c r="K231" s="125" t="n">
        <f aca="false">HLOOKUP(D231,Prices,VLOOKUP(G231,move_down,2,FALSE()),FALSE())+VLOOKUP(G231,CHANGE,HLOOKUP(D231,CHANGE,2,FALSE()),FALSE())</f>
        <v>0.315</v>
      </c>
      <c r="L231" s="124" t="n">
        <f aca="false">K231+J231</f>
        <v>5</v>
      </c>
      <c r="M231" s="126" t="n">
        <f aca="false">VLOOKUP(G231,NGPrices,4,FALSE())</f>
        <v>0.067216196212185</v>
      </c>
      <c r="N231" s="7" t="n">
        <f aca="false">VLOOKUP(G231,NGPrices,3,FALSE())</f>
        <v>0.4</v>
      </c>
      <c r="O231" s="7" t="n">
        <f aca="false">HLOOKUP(D231,VOLS,VLOOKUP(G231,move_down,2,FALSE()),FALSE())</f>
        <v>0.392</v>
      </c>
      <c r="P231" s="249" t="n">
        <f aca="false">HLOOKUP(D231,Correllate,VLOOKUP(G231,CorMove,2,FALSE()),FALSE())</f>
        <v>0.9925</v>
      </c>
      <c r="Q231" s="92" t="n">
        <f aca="false">WORKDAY(G231,-2)</f>
        <v>36768</v>
      </c>
      <c r="R231" s="7" t="n">
        <f aca="false">IF(F231="P",0,1)</f>
        <v>0</v>
      </c>
      <c r="S231" s="130" t="e">
        <f aca="false">xSPRDOPT($L231,$J231,$I231,$M231,$O231,$N231,$P231,$Q231-$C$3,$R231,0)</f>
        <v>#NAME?</v>
      </c>
      <c r="T231" s="250" t="e">
        <f aca="false">xSPRDOPT($L231,$J231,$I231,$M231,$O231,$N231,$P231,$Q231-$C$3,$R231,1)*H231</f>
        <v>#NAME?</v>
      </c>
      <c r="U231" s="43" t="e">
        <f aca="false">S231*H231</f>
        <v>#NAME?</v>
      </c>
      <c r="V231" s="250" t="e">
        <f aca="false">xSPRDOPT($L231,$J231,$I231,$M231,$O231,$N231,$P231,$Q231-$C$3,$R231,2)*H231</f>
        <v>#NAME?</v>
      </c>
      <c r="W231" s="250" t="e">
        <f aca="false">+V231+T231</f>
        <v>#NAME?</v>
      </c>
      <c r="X231" s="2" t="str">
        <f aca="false">CONCATENATE(G231,D231)</f>
        <v>36770IF-TRANSCO/Z6</v>
      </c>
      <c r="Y231" s="251" t="n">
        <f aca="false">H231/10000</f>
        <v>150</v>
      </c>
      <c r="Z231" s="226" t="e">
        <f aca="false">T231/H231</f>
        <v>#NAME?</v>
      </c>
      <c r="AA231" s="226" t="e">
        <f aca="false">xSPRDOPT($L231,$J231,$I231,$M231,$O231,$N231,$P231,$Q231-$C$3,$R231,3)</f>
        <v>#NAME?</v>
      </c>
      <c r="AB231" s="226" t="e">
        <f aca="false">((xSPRDOPT($L231+AB$5,$J231,$I231,$M231,$O231,$N231,$P231,$Q231-$C$3,$R231,3)*$H231)/10000)/100</f>
        <v>#NAME?</v>
      </c>
      <c r="AC231" s="226" t="e">
        <f aca="false">((xSPRDOPT($L231+$AB$5,$J231,$I231,$M231,$O231,$N231,$P231,$Q231-$C$3,$R231,7)*$H231)/100)</f>
        <v>#NAME?</v>
      </c>
      <c r="AD231" s="226" t="e">
        <f aca="false">(xSPRDOPT($L231+$AB$5,$J231,$I231,$M231,$O231,$N231,$P231,$Q231-$C$3,$R231,9)/365)*$H231</f>
        <v>#NAME?</v>
      </c>
      <c r="AE231" s="0" t="e">
        <f aca="false">CD231</f>
        <v>#NAME?</v>
      </c>
      <c r="AF231" s="226" t="e">
        <f aca="false">((O231/N231)*AH231)+AG231</f>
        <v>#NAME?</v>
      </c>
      <c r="AG231" s="226" t="e">
        <f aca="false">((xSPRDOPT($L231,$J231,$I231,$M231,$O231,$N231,$P231,$Q231-$C$3,$R231,6)*$H231)/100)</f>
        <v>#NAME?</v>
      </c>
      <c r="AH231" s="226" t="e">
        <f aca="false">((xSPRDOPT($L231,$J231,$I231,$M231,$O231,$N231,$P231,$Q231-$C$3,$R231,5)*$H231)/100)</f>
        <v>#NAME?</v>
      </c>
      <c r="AI231" s="226" t="e">
        <f aca="false">(((xSPRDOPT($L231,$J231,$I231,$M231,$O231,$N231,$P231,$Q231-$C$3,$R231,4)*$H231)/10000)/100)-AB231</f>
        <v>#NAME?</v>
      </c>
      <c r="AJ231" s="226"/>
      <c r="AK231" s="226"/>
      <c r="AL231" s="226"/>
      <c r="AM231" s="252"/>
      <c r="CC231" s="182" t="n">
        <f aca="false">G231</f>
        <v>36770</v>
      </c>
      <c r="CD231" s="253" t="e">
        <f aca="false">xSPRDOPT((VLOOKUP(G231,NGPrices,2,FALSE())+HLOOKUP(D231,Prices,VLOOKUP(G231,move_down,2,FALSE()),FALSE())),VLOOKUP(G231,NGPrices,2,FALSE()),I231,VLOOKUP(G231,NGPREVPRICES,4,FALSE()),HLOOKUP(D231,PREVVOLS,VLOOKUP(G231,MOVE_DOWN2,2,FALSE()),FALSE()),VLOOKUP(G231,NGPREVPRICES,3,FALSE()),HLOOKUP(D231,Correllate,VLOOKUP(G231,CorMove,2,FALSE()),FALSE()),Q231-$CD$3,R231,$CD$5)*H231-CJ231</f>
        <v>#NAME?</v>
      </c>
      <c r="CE231" s="253" t="e">
        <f aca="false">xSPRDOPT((VLOOKUP(G231,NGPREVPRICES,2,FALSE())+HLOOKUP(D231,PREVCURVES,VLOOKUP(G231,MOVE_DOWN2,2,FALSE()),FALSE())),VLOOKUP(G231,NGPREVPRICES,2,FALSE()),CK231,VLOOKUP(G231,NGPrices,4,FALSE()),HLOOKUP(D231,PREVVOLS,VLOOKUP(G231,MOVE_DOWN2,2,FALSE()),FALSE()),VLOOKUP(G231,NGPREVPRICES,3,FALSE()),HLOOKUP(D231,Correllate,VLOOKUP(G231,CorMove,2,FALSE()),FALSE()),Q231-$CD$3,R231,$CJ$5)*H231-CJ231</f>
        <v>#NAME?</v>
      </c>
      <c r="CF231" s="132" t="e">
        <f aca="false">(CJ231/VLOOKUP(CC231,discount,3,FALSE()))-(CJ231/VLOOKUP(CC231,discount,2,FALSE()))</f>
        <v>#NAME?</v>
      </c>
      <c r="CG231" s="253" t="e">
        <f aca="false">xSPRDOPT((VLOOKUP(G231,NGPREVPRICES,2,FALSE())+HLOOKUP(D231,PREVCURVES,VLOOKUP(G231,MOVE_DOWN2,2,FALSE()),FALSE())),VLOOKUP(G231,NGPREVPRICES,2,FALSE()),CK231,VLOOKUP(G231,NGPREVPRICES,4,FALSE()),HLOOKUP(D231,VOLS,VLOOKUP(G231,move_down,2,FALSE()),FALSE()),VLOOKUP(G231,NGPrices,3,FALSE()),HLOOKUP(D231,Correllate,VLOOKUP(G231,CorMove,2,FALSE()),FALSE()),Q231-$CD$3,R231,$CJ$5)*H231-CJ231</f>
        <v>#NAME?</v>
      </c>
      <c r="CH231" s="253" t="e">
        <f aca="false">xSPRDOPT((VLOOKUP(G231,NGPREVPRICES,2,FALSE())+HLOOKUP(D231,PREVCURVES,VLOOKUP(G231,MOVE_DOWN2,2,FALSE()),FALSE())),VLOOKUP(G231,NGPREVPRICES,2,FALSE()),CK231,VLOOKUP(G231,NGPREVPRICES,4,FALSE()),HLOOKUP(D231,PREVVOLS,VLOOKUP(G231,MOVE_DOWN2,2,FALSE()),FALSE()),VLOOKUP(G231,NGPREVPRICES,3,FALSE()),HLOOKUP(D231,Correllate,VLOOKUP(G231,CorMove,2,FALSE()),FALSE()),Q231-$C$3,R231,$CJ$5)*H231-CJ231</f>
        <v>#NAME?</v>
      </c>
      <c r="CI231" s="253" t="e">
        <f aca="false">SUM(CD231:CH231)</f>
        <v>#NAME?</v>
      </c>
      <c r="CJ231" s="253" t="e">
        <f aca="false">xSPRDOPT((VLOOKUP(G231,NGPREVPRICES,2,FALSE())+HLOOKUP(D231,PREVCURVES,VLOOKUP(G231,MOVE_DOWN2,2,FALSE()),FALSE())),VLOOKUP(G231,NGPREVPRICES,2,FALSE()),CK231,VLOOKUP(G231,NGPREVPRICES,4,FALSE()),HLOOKUP(D231,PREVVOLS,VLOOKUP(G231,MOVE_DOWN2,2,FALSE()),FALSE()),VLOOKUP(G231,NGPREVPRICES,3,FALSE()),HLOOKUP(D231,Correllate,VLOOKUP(G231,CorMove,2,FALSE()),FALSE()),Q231-$CD$3,R231,$CJ$5)*H231</f>
        <v>#NAME?</v>
      </c>
      <c r="CK231" s="254" t="n">
        <f aca="false">I231</f>
        <v>0.3</v>
      </c>
      <c r="CL231" s="253"/>
      <c r="CM231" s="0" t="str">
        <f aca="false">CONCATENATE(CC231,$CD$6)</f>
        <v>36770Curve Shift/Gamma</v>
      </c>
      <c r="CN231" s="0" t="str">
        <f aca="false">CONCATENATE($CC231,$CE$6)</f>
        <v>36770Rho</v>
      </c>
      <c r="CO231" s="0" t="str">
        <f aca="false">CONCATENATE($CC231,$CF$6)</f>
        <v>36770Drift</v>
      </c>
      <c r="CP231" s="0" t="str">
        <f aca="false">CONCATENATE($CC231,$CG$6)</f>
        <v>36770Vega</v>
      </c>
      <c r="CQ231" s="0" t="str">
        <f aca="false">CONCATENATE($CC231,$CH$6)</f>
        <v>36770Theta</v>
      </c>
    </row>
    <row r="232" customFormat="false" ht="12" hidden="false" customHeight="true" outlineLevel="0" collapsed="false">
      <c r="A232" s="17" t="s">
        <v>281</v>
      </c>
      <c r="B232" s="0" t="s">
        <v>192</v>
      </c>
      <c r="C232" s="0" t="s">
        <v>282</v>
      </c>
      <c r="D232" s="7" t="s">
        <v>152</v>
      </c>
      <c r="E232" s="0" t="s">
        <v>131</v>
      </c>
      <c r="F232" s="0" t="s">
        <v>136</v>
      </c>
      <c r="G232" s="92" t="n">
        <v>36951</v>
      </c>
      <c r="H232" s="248" t="n">
        <v>310000</v>
      </c>
      <c r="I232" s="0" t="n">
        <v>0.15</v>
      </c>
      <c r="J232" s="124" t="n">
        <f aca="false">VLOOKUP(G232,NGPrices,2,FALSE())</f>
        <v>4.213</v>
      </c>
      <c r="K232" s="125" t="n">
        <f aca="false">HLOOKUP(D232,Prices,VLOOKUP(G232,move_down,2,FALSE()),FALSE())+VLOOKUP(G232,CHANGE,HLOOKUP(D232,CHANGE,2,FALSE()),FALSE())</f>
        <v>0.1225</v>
      </c>
      <c r="L232" s="124" t="n">
        <f aca="false">K232+J232</f>
        <v>4.3355</v>
      </c>
      <c r="M232" s="126" t="n">
        <f aca="false">VLOOKUP(G232,NGPrices,4,FALSE())</f>
        <v>0.068879814952707</v>
      </c>
      <c r="N232" s="7" t="n">
        <f aca="false">VLOOKUP(G232,NGPrices,3,FALSE())</f>
        <v>0.5325</v>
      </c>
      <c r="O232" s="7" t="n">
        <f aca="false">HLOOKUP(D232,VOLS,VLOOKUP(G232,move_down,2,FALSE()),FALSE())</f>
        <v>0.533</v>
      </c>
      <c r="P232" s="249" t="n">
        <f aca="false">HLOOKUP(D232,Correllate,VLOOKUP(G232,CorMove,2,FALSE()),FALSE())</f>
        <v>0.997</v>
      </c>
      <c r="Q232" s="92" t="n">
        <f aca="false">WORKDAY(G232,-2)</f>
        <v>36949</v>
      </c>
      <c r="R232" s="7" t="n">
        <f aca="false">IF(F232="P",0,1)</f>
        <v>1</v>
      </c>
      <c r="S232" s="130" t="e">
        <f aca="false">xSPRDOPT($L232,$J232,$I232,$M232,$O232,$N232,$P232,$Q232-$C$3,$R232,0)</f>
        <v>#NAME?</v>
      </c>
      <c r="T232" s="250" t="e">
        <f aca="false">xSPRDOPT($L232,$J232,$I232,$M232,$O232,$N232,$P232,$Q232-$C$3,$R232,1)*H232</f>
        <v>#NAME?</v>
      </c>
      <c r="U232" s="43" t="e">
        <f aca="false">S232*H232</f>
        <v>#NAME?</v>
      </c>
      <c r="V232" s="250" t="e">
        <f aca="false">xSPRDOPT($L232,$J232,$I232,$M232,$O232,$N232,$P232,$Q232-$C$3,$R232,2)*H232</f>
        <v>#NAME?</v>
      </c>
      <c r="W232" s="250" t="e">
        <f aca="false">+V232+T232</f>
        <v>#NAME?</v>
      </c>
      <c r="X232" s="2" t="str">
        <f aca="false">CONCATENATE(G232,D232)</f>
        <v>36951NGI/CHI. GATE</v>
      </c>
      <c r="Y232" s="251" t="n">
        <f aca="false">H232/10000</f>
        <v>31</v>
      </c>
      <c r="Z232" s="226" t="e">
        <f aca="false">T232/H232</f>
        <v>#NAME?</v>
      </c>
      <c r="AA232" s="226" t="e">
        <f aca="false">xSPRDOPT($L232,$J232,$I232,$M232,$O232,$N232,$P232,$Q232-$C$3,$R232,3)</f>
        <v>#NAME?</v>
      </c>
      <c r="AB232" s="226" t="e">
        <f aca="false">((xSPRDOPT($L232+AB$5,$J232,$I232,$M232,$O232,$N232,$P232,$Q232-$C$3,$R232,3)*$H232)/10000)/100</f>
        <v>#NAME?</v>
      </c>
      <c r="AC232" s="226" t="e">
        <f aca="false">((xSPRDOPT($L232+$AB$5,$J232,$I232,$M232,$O232,$N232,$P232,$Q232-$C$3,$R232,7)*$H232)/100)</f>
        <v>#NAME?</v>
      </c>
      <c r="AD232" s="226" t="e">
        <f aca="false">(xSPRDOPT($L232+$AB$5,$J232,$I232,$M232,$O232,$N232,$P232,$Q232-$C$3,$R232,9)/365)*$H232</f>
        <v>#NAME?</v>
      </c>
      <c r="AE232" s="0" t="e">
        <f aca="false">CD232</f>
        <v>#NAME?</v>
      </c>
      <c r="AF232" s="226" t="e">
        <f aca="false">((O232/N232)*AH232)+AG232</f>
        <v>#NAME?</v>
      </c>
      <c r="AG232" s="226" t="e">
        <f aca="false">((xSPRDOPT($L232,$J232,$I232,$M232,$O232,$N232,$P232,$Q232-$C$3,$R232,6)*$H232)/100)</f>
        <v>#NAME?</v>
      </c>
      <c r="AH232" s="226" t="e">
        <f aca="false">((xSPRDOPT($L232,$J232,$I232,$M232,$O232,$N232,$P232,$Q232-$C$3,$R232,5)*$H232)/100)</f>
        <v>#NAME?</v>
      </c>
      <c r="AI232" s="226" t="e">
        <f aca="false">(((xSPRDOPT($L232,$J232,$I232,$M232,$O232,$N232,$P232,$Q232-$C$3,$R232,4)*$H232)/10000)/100)-AB232</f>
        <v>#NAME?</v>
      </c>
      <c r="AJ232" s="226"/>
      <c r="AK232" s="226"/>
      <c r="AL232" s="226"/>
      <c r="AM232" s="252"/>
      <c r="CC232" s="182" t="n">
        <f aca="false">G232</f>
        <v>36951</v>
      </c>
      <c r="CD232" s="253" t="e">
        <f aca="false">xSPRDOPT((VLOOKUP(G232,NGPrices,2,FALSE())+HLOOKUP(D232,Prices,VLOOKUP(G232,move_down,2,FALSE()),FALSE())),VLOOKUP(G232,NGPrices,2,FALSE()),I232,VLOOKUP(G232,NGPREVPRICES,4,FALSE()),HLOOKUP(D232,PREVVOLS,VLOOKUP(G232,MOVE_DOWN2,2,FALSE()),FALSE()),VLOOKUP(G232,NGPREVPRICES,3,FALSE()),HLOOKUP(D232,Correllate,VLOOKUP(G232,CorMove,2,FALSE()),FALSE()),Q232-$CD$3,R232,$CD$5)*H232-CJ232</f>
        <v>#NAME?</v>
      </c>
      <c r="CE232" s="253" t="e">
        <f aca="false">xSPRDOPT((VLOOKUP(G232,NGPREVPRICES,2,FALSE())+HLOOKUP(D232,PREVCURVES,VLOOKUP(G232,MOVE_DOWN2,2,FALSE()),FALSE())),VLOOKUP(G232,NGPREVPRICES,2,FALSE()),CK232,VLOOKUP(G232,NGPrices,4,FALSE()),HLOOKUP(D232,PREVVOLS,VLOOKUP(G232,MOVE_DOWN2,2,FALSE()),FALSE()),VLOOKUP(G232,NGPREVPRICES,3,FALSE()),HLOOKUP(D232,Correllate,VLOOKUP(G232,CorMove,2,FALSE()),FALSE()),Q232-$CD$3,R232,$CJ$5)*H232-CJ232</f>
        <v>#NAME?</v>
      </c>
      <c r="CF232" s="132" t="e">
        <f aca="false">(CJ232/VLOOKUP(CC232,discount,3,FALSE()))-(CJ232/VLOOKUP(CC232,discount,2,FALSE()))</f>
        <v>#NAME?</v>
      </c>
      <c r="CG232" s="253" t="e">
        <f aca="false">xSPRDOPT((VLOOKUP(G232,NGPREVPRICES,2,FALSE())+HLOOKUP(D232,PREVCURVES,VLOOKUP(G232,MOVE_DOWN2,2,FALSE()),FALSE())),VLOOKUP(G232,NGPREVPRICES,2,FALSE()),CK232,VLOOKUP(G232,NGPREVPRICES,4,FALSE()),HLOOKUP(D232,VOLS,VLOOKUP(G232,move_down,2,FALSE()),FALSE()),VLOOKUP(G232,NGPrices,3,FALSE()),HLOOKUP(D232,Correllate,VLOOKUP(G232,CorMove,2,FALSE()),FALSE()),Q232-$CD$3,R232,$CJ$5)*H232-CJ232</f>
        <v>#NAME?</v>
      </c>
      <c r="CH232" s="253" t="e">
        <f aca="false">xSPRDOPT((VLOOKUP(G232,NGPREVPRICES,2,FALSE())+HLOOKUP(D232,PREVCURVES,VLOOKUP(G232,MOVE_DOWN2,2,FALSE()),FALSE())),VLOOKUP(G232,NGPREVPRICES,2,FALSE()),CK232,VLOOKUP(G232,NGPREVPRICES,4,FALSE()),HLOOKUP(D232,PREVVOLS,VLOOKUP(G232,MOVE_DOWN2,2,FALSE()),FALSE()),VLOOKUP(G232,NGPREVPRICES,3,FALSE()),HLOOKUP(D232,Correllate,VLOOKUP(G232,CorMove,2,FALSE()),FALSE()),Q232-$C$3,R232,$CJ$5)*H232-CJ232</f>
        <v>#NAME?</v>
      </c>
      <c r="CI232" s="253" t="e">
        <f aca="false">SUM(CD232:CH232)</f>
        <v>#NAME?</v>
      </c>
      <c r="CJ232" s="253" t="e">
        <f aca="false">xSPRDOPT((VLOOKUP(G232,NGPREVPRICES,2,FALSE())+HLOOKUP(D232,PREVCURVES,VLOOKUP(G232,MOVE_DOWN2,2,FALSE()),FALSE())),VLOOKUP(G232,NGPREVPRICES,2,FALSE()),CK232,VLOOKUP(G232,NGPREVPRICES,4,FALSE()),HLOOKUP(D232,PREVVOLS,VLOOKUP(G232,MOVE_DOWN2,2,FALSE()),FALSE()),VLOOKUP(G232,NGPREVPRICES,3,FALSE()),HLOOKUP(D232,Correllate,VLOOKUP(G232,CorMove,2,FALSE()),FALSE()),Q232-$CD$3,R232,$CJ$5)*H232</f>
        <v>#NAME?</v>
      </c>
      <c r="CK232" s="254" t="n">
        <f aca="false">I232</f>
        <v>0.15</v>
      </c>
      <c r="CL232" s="253"/>
      <c r="CM232" s="0" t="str">
        <f aca="false">CONCATENATE(CC232,$CD$6)</f>
        <v>36951Curve Shift/Gamma</v>
      </c>
      <c r="CN232" s="0" t="str">
        <f aca="false">CONCATENATE($CC232,$CE$6)</f>
        <v>36951Rho</v>
      </c>
      <c r="CO232" s="0" t="str">
        <f aca="false">CONCATENATE($CC232,$CF$6)</f>
        <v>36951Drift</v>
      </c>
      <c r="CP232" s="0" t="str">
        <f aca="false">CONCATENATE($CC232,$CG$6)</f>
        <v>36951Vega</v>
      </c>
      <c r="CQ232" s="0" t="str">
        <f aca="false">CONCATENATE($CC232,$CH$6)</f>
        <v>36951Theta</v>
      </c>
    </row>
    <row r="233" customFormat="false" ht="12" hidden="false" customHeight="true" outlineLevel="0" collapsed="false">
      <c r="A233" s="17" t="s">
        <v>281</v>
      </c>
      <c r="B233" s="0" t="s">
        <v>192</v>
      </c>
      <c r="C233" s="0" t="s">
        <v>282</v>
      </c>
      <c r="D233" s="7" t="s">
        <v>152</v>
      </c>
      <c r="E233" s="0" t="s">
        <v>131</v>
      </c>
      <c r="F233" s="0" t="s">
        <v>136</v>
      </c>
      <c r="G233" s="92" t="n">
        <v>36923</v>
      </c>
      <c r="H233" s="248" t="n">
        <v>280000</v>
      </c>
      <c r="I233" s="0" t="n">
        <v>0.15</v>
      </c>
      <c r="J233" s="124" t="n">
        <f aca="false">VLOOKUP(G233,NGPrices,2,FALSE())</f>
        <v>4.48</v>
      </c>
      <c r="K233" s="125" t="n">
        <f aca="false">HLOOKUP(D233,Prices,VLOOKUP(G233,move_down,2,FALSE()),FALSE())+VLOOKUP(G233,CHANGE,HLOOKUP(D233,CHANGE,2,FALSE()),FALSE())</f>
        <v>0.1375</v>
      </c>
      <c r="L233" s="124" t="n">
        <f aca="false">K233+J233</f>
        <v>4.6175</v>
      </c>
      <c r="M233" s="126" t="n">
        <f aca="false">VLOOKUP(G233,NGPrices,4,FALSE())</f>
        <v>0.068640161611372</v>
      </c>
      <c r="N233" s="7" t="n">
        <f aca="false">VLOOKUP(G233,NGPrices,3,FALSE())</f>
        <v>0.5925</v>
      </c>
      <c r="O233" s="7" t="n">
        <f aca="false">HLOOKUP(D233,VOLS,VLOOKUP(G233,move_down,2,FALSE()),FALSE())</f>
        <v>0.593</v>
      </c>
      <c r="P233" s="249" t="n">
        <f aca="false">HLOOKUP(D233,Correllate,VLOOKUP(G233,CorMove,2,FALSE()),FALSE())</f>
        <v>0.997</v>
      </c>
      <c r="Q233" s="92" t="n">
        <f aca="false">WORKDAY(G233,-2)</f>
        <v>36921</v>
      </c>
      <c r="R233" s="7" t="n">
        <f aca="false">IF(F233="P",0,1)</f>
        <v>1</v>
      </c>
      <c r="S233" s="130" t="e">
        <f aca="false">xSPRDOPT($L233,$J233,$I233,$M233,$O233,$N233,$P233,$Q233-$C$3,$R233,0)</f>
        <v>#NAME?</v>
      </c>
      <c r="T233" s="250" t="e">
        <f aca="false">xSPRDOPT($L233,$J233,$I233,$M233,$O233,$N233,$P233,$Q233-$C$3,$R233,1)*H233</f>
        <v>#NAME?</v>
      </c>
      <c r="U233" s="43" t="e">
        <f aca="false">S233*H233</f>
        <v>#NAME?</v>
      </c>
      <c r="V233" s="250" t="e">
        <f aca="false">xSPRDOPT($L233,$J233,$I233,$M233,$O233,$N233,$P233,$Q233-$C$3,$R233,2)*H233</f>
        <v>#NAME?</v>
      </c>
      <c r="W233" s="250" t="e">
        <f aca="false">+V233+T233</f>
        <v>#NAME?</v>
      </c>
      <c r="X233" s="2" t="str">
        <f aca="false">CONCATENATE(G233,D233)</f>
        <v>36923NGI/CHI. GATE</v>
      </c>
      <c r="Y233" s="251" t="n">
        <f aca="false">H233/10000</f>
        <v>28</v>
      </c>
      <c r="Z233" s="226" t="e">
        <f aca="false">T233/H233</f>
        <v>#NAME?</v>
      </c>
      <c r="AA233" s="226" t="e">
        <f aca="false">xSPRDOPT($L233,$J233,$I233,$M233,$O233,$N233,$P233,$Q233-$C$3,$R233,3)</f>
        <v>#NAME?</v>
      </c>
      <c r="AB233" s="226" t="e">
        <f aca="false">((xSPRDOPT($L233+AB$5,$J233,$I233,$M233,$O233,$N233,$P233,$Q233-$C$3,$R233,3)*$H233)/10000)/100</f>
        <v>#NAME?</v>
      </c>
      <c r="AC233" s="226" t="e">
        <f aca="false">((xSPRDOPT($L233+$AB$5,$J233,$I233,$M233,$O233,$N233,$P233,$Q233-$C$3,$R233,7)*$H233)/100)</f>
        <v>#NAME?</v>
      </c>
      <c r="AD233" s="226" t="e">
        <f aca="false">(xSPRDOPT($L233+$AB$5,$J233,$I233,$M233,$O233,$N233,$P233,$Q233-$C$3,$R233,9)/365)*$H233</f>
        <v>#NAME?</v>
      </c>
      <c r="AE233" s="0" t="e">
        <f aca="false">CD233</f>
        <v>#NAME?</v>
      </c>
      <c r="AF233" s="226" t="e">
        <f aca="false">((O233/N233)*AH233)+AG233</f>
        <v>#NAME?</v>
      </c>
      <c r="AG233" s="226" t="e">
        <f aca="false">((xSPRDOPT($L233,$J233,$I233,$M233,$O233,$N233,$P233,$Q233-$C$3,$R233,6)*$H233)/100)</f>
        <v>#NAME?</v>
      </c>
      <c r="AH233" s="226" t="e">
        <f aca="false">((xSPRDOPT($L233,$J233,$I233,$M233,$O233,$N233,$P233,$Q233-$C$3,$R233,5)*$H233)/100)</f>
        <v>#NAME?</v>
      </c>
      <c r="AI233" s="226" t="e">
        <f aca="false">(((xSPRDOPT($L233,$J233,$I233,$M233,$O233,$N233,$P233,$Q233-$C$3,$R233,4)*$H233)/10000)/100)-AB233</f>
        <v>#NAME?</v>
      </c>
      <c r="AJ233" s="226"/>
      <c r="AK233" s="226"/>
      <c r="AL233" s="226"/>
      <c r="AM233" s="252"/>
      <c r="CC233" s="182" t="n">
        <f aca="false">G233</f>
        <v>36923</v>
      </c>
      <c r="CD233" s="253" t="e">
        <f aca="false">xSPRDOPT((VLOOKUP(G233,NGPrices,2,FALSE())+HLOOKUP(D233,Prices,VLOOKUP(G233,move_down,2,FALSE()),FALSE())),VLOOKUP(G233,NGPrices,2,FALSE()),I233,VLOOKUP(G233,NGPREVPRICES,4,FALSE()),HLOOKUP(D233,PREVVOLS,VLOOKUP(G233,MOVE_DOWN2,2,FALSE()),FALSE()),VLOOKUP(G233,NGPREVPRICES,3,FALSE()),HLOOKUP(D233,Correllate,VLOOKUP(G233,CorMove,2,FALSE()),FALSE()),Q233-$CD$3,R233,$CD$5)*H233-CJ233</f>
        <v>#NAME?</v>
      </c>
      <c r="CE233" s="253" t="e">
        <f aca="false">xSPRDOPT((VLOOKUP(G233,NGPREVPRICES,2,FALSE())+HLOOKUP(D233,PREVCURVES,VLOOKUP(G233,MOVE_DOWN2,2,FALSE()),FALSE())),VLOOKUP(G233,NGPREVPRICES,2,FALSE()),CK233,VLOOKUP(G233,NGPrices,4,FALSE()),HLOOKUP(D233,PREVVOLS,VLOOKUP(G233,MOVE_DOWN2,2,FALSE()),FALSE()),VLOOKUP(G233,NGPREVPRICES,3,FALSE()),HLOOKUP(D233,Correllate,VLOOKUP(G233,CorMove,2,FALSE()),FALSE()),Q233-$CD$3,R233,$CJ$5)*H233-CJ233</f>
        <v>#NAME?</v>
      </c>
      <c r="CF233" s="132" t="e">
        <f aca="false">(CJ233/VLOOKUP(CC233,discount,3,FALSE()))-(CJ233/VLOOKUP(CC233,discount,2,FALSE()))</f>
        <v>#NAME?</v>
      </c>
      <c r="CG233" s="253" t="e">
        <f aca="false">xSPRDOPT((VLOOKUP(G233,NGPREVPRICES,2,FALSE())+HLOOKUP(D233,PREVCURVES,VLOOKUP(G233,MOVE_DOWN2,2,FALSE()),FALSE())),VLOOKUP(G233,NGPREVPRICES,2,FALSE()),CK233,VLOOKUP(G233,NGPREVPRICES,4,FALSE()),HLOOKUP(D233,VOLS,VLOOKUP(G233,move_down,2,FALSE()),FALSE()),VLOOKUP(G233,NGPrices,3,FALSE()),HLOOKUP(D233,Correllate,VLOOKUP(G233,CorMove,2,FALSE()),FALSE()),Q233-$CD$3,R233,$CJ$5)*H233-CJ233</f>
        <v>#NAME?</v>
      </c>
      <c r="CH233" s="253" t="e">
        <f aca="false">xSPRDOPT((VLOOKUP(G233,NGPREVPRICES,2,FALSE())+HLOOKUP(D233,PREVCURVES,VLOOKUP(G233,MOVE_DOWN2,2,FALSE()),FALSE())),VLOOKUP(G233,NGPREVPRICES,2,FALSE()),CK233,VLOOKUP(G233,NGPREVPRICES,4,FALSE()),HLOOKUP(D233,PREVVOLS,VLOOKUP(G233,MOVE_DOWN2,2,FALSE()),FALSE()),VLOOKUP(G233,NGPREVPRICES,3,FALSE()),HLOOKUP(D233,Correllate,VLOOKUP(G233,CorMove,2,FALSE()),FALSE()),Q233-$C$3,R233,$CJ$5)*H233-CJ233</f>
        <v>#NAME?</v>
      </c>
      <c r="CI233" s="253" t="e">
        <f aca="false">SUM(CD233:CH233)</f>
        <v>#NAME?</v>
      </c>
      <c r="CJ233" s="253" t="e">
        <f aca="false">xSPRDOPT((VLOOKUP(G233,NGPREVPRICES,2,FALSE())+HLOOKUP(D233,PREVCURVES,VLOOKUP(G233,MOVE_DOWN2,2,FALSE()),FALSE())),VLOOKUP(G233,NGPREVPRICES,2,FALSE()),CK233,VLOOKUP(G233,NGPREVPRICES,4,FALSE()),HLOOKUP(D233,PREVVOLS,VLOOKUP(G233,MOVE_DOWN2,2,FALSE()),FALSE()),VLOOKUP(G233,NGPREVPRICES,3,FALSE()),HLOOKUP(D233,Correllate,VLOOKUP(G233,CorMove,2,FALSE()),FALSE()),Q233-$CD$3,R233,$CJ$5)*H233</f>
        <v>#NAME?</v>
      </c>
      <c r="CK233" s="254" t="n">
        <f aca="false">I233</f>
        <v>0.15</v>
      </c>
      <c r="CL233" s="253"/>
      <c r="CM233" s="0" t="str">
        <f aca="false">CONCATENATE(CC233,$CD$6)</f>
        <v>36923Curve Shift/Gamma</v>
      </c>
      <c r="CN233" s="0" t="str">
        <f aca="false">CONCATENATE($CC233,$CE$6)</f>
        <v>36923Rho</v>
      </c>
      <c r="CO233" s="0" t="str">
        <f aca="false">CONCATENATE($CC233,$CF$6)</f>
        <v>36923Drift</v>
      </c>
      <c r="CP233" s="0" t="str">
        <f aca="false">CONCATENATE($CC233,$CG$6)</f>
        <v>36923Vega</v>
      </c>
      <c r="CQ233" s="0" t="str">
        <f aca="false">CONCATENATE($CC233,$CH$6)</f>
        <v>36923Theta</v>
      </c>
    </row>
    <row r="234" customFormat="false" ht="12" hidden="false" customHeight="true" outlineLevel="0" collapsed="false">
      <c r="A234" s="17" t="s">
        <v>281</v>
      </c>
      <c r="B234" s="0" t="s">
        <v>192</v>
      </c>
      <c r="C234" s="0" t="s">
        <v>282</v>
      </c>
      <c r="D234" s="7" t="s">
        <v>152</v>
      </c>
      <c r="E234" s="0" t="s">
        <v>131</v>
      </c>
      <c r="F234" s="0" t="s">
        <v>136</v>
      </c>
      <c r="G234" s="92" t="n">
        <v>36892</v>
      </c>
      <c r="H234" s="248" t="n">
        <v>310000</v>
      </c>
      <c r="I234" s="0" t="n">
        <v>0.15</v>
      </c>
      <c r="J234" s="124" t="n">
        <f aca="false">VLOOKUP(G234,NGPrices,2,FALSE())</f>
        <v>4.744</v>
      </c>
      <c r="K234" s="125" t="n">
        <f aca="false">HLOOKUP(D234,Prices,VLOOKUP(G234,move_down,2,FALSE()),FALSE())+VLOOKUP(G234,CHANGE,HLOOKUP(D234,CHANGE,2,FALSE()),FALSE())</f>
        <v>0.1275</v>
      </c>
      <c r="L234" s="124" t="n">
        <f aca="false">K234+J234</f>
        <v>4.8715</v>
      </c>
      <c r="M234" s="126" t="n">
        <f aca="false">VLOOKUP(G234,NGPrices,4,FALSE())</f>
        <v>0.068374831148491</v>
      </c>
      <c r="N234" s="7" t="n">
        <f aca="false">VLOOKUP(G234,NGPrices,3,FALSE())</f>
        <v>0.605</v>
      </c>
      <c r="O234" s="7" t="n">
        <f aca="false">HLOOKUP(D234,VOLS,VLOOKUP(G234,move_down,2,FALSE()),FALSE())</f>
        <v>0.605</v>
      </c>
      <c r="P234" s="249" t="n">
        <f aca="false">HLOOKUP(D234,Correllate,VLOOKUP(G234,CorMove,2,FALSE()),FALSE())</f>
        <v>0.997</v>
      </c>
      <c r="Q234" s="92" t="n">
        <f aca="false">WORKDAY(G234,-2)</f>
        <v>36888</v>
      </c>
      <c r="R234" s="7" t="n">
        <f aca="false">IF(F234="P",0,1)</f>
        <v>1</v>
      </c>
      <c r="S234" s="130" t="e">
        <f aca="false">xSPRDOPT($L234,$J234,$I234,$M234,$O234,$N234,$P234,$Q234-$C$3,$R234,0)</f>
        <v>#NAME?</v>
      </c>
      <c r="T234" s="250" t="e">
        <f aca="false">xSPRDOPT($L234,$J234,$I234,$M234,$O234,$N234,$P234,$Q234-$C$3,$R234,1)*H234</f>
        <v>#NAME?</v>
      </c>
      <c r="U234" s="43" t="e">
        <f aca="false">S234*H234</f>
        <v>#NAME?</v>
      </c>
      <c r="V234" s="250" t="e">
        <f aca="false">xSPRDOPT($L234,$J234,$I234,$M234,$O234,$N234,$P234,$Q234-$C$3,$R234,2)*H234</f>
        <v>#NAME?</v>
      </c>
      <c r="W234" s="250" t="e">
        <f aca="false">+V234+T234</f>
        <v>#NAME?</v>
      </c>
      <c r="X234" s="2" t="str">
        <f aca="false">CONCATENATE(G234,D234)</f>
        <v>36892NGI/CHI. GATE</v>
      </c>
      <c r="Y234" s="251" t="n">
        <f aca="false">H234/10000</f>
        <v>31</v>
      </c>
      <c r="Z234" s="226" t="e">
        <f aca="false">T234/H234</f>
        <v>#NAME?</v>
      </c>
      <c r="AA234" s="226" t="e">
        <f aca="false">xSPRDOPT($L234,$J234,$I234,$M234,$O234,$N234,$P234,$Q234-$C$3,$R234,3)</f>
        <v>#NAME?</v>
      </c>
      <c r="AB234" s="226" t="e">
        <f aca="false">((xSPRDOPT($L234+AB$5,$J234,$I234,$M234,$O234,$N234,$P234,$Q234-$C$3,$R234,3)*$H234)/10000)/100</f>
        <v>#NAME?</v>
      </c>
      <c r="AC234" s="226" t="e">
        <f aca="false">((xSPRDOPT($L234+$AB$5,$J234,$I234,$M234,$O234,$N234,$P234,$Q234-$C$3,$R234,7)*$H234)/100)</f>
        <v>#NAME?</v>
      </c>
      <c r="AD234" s="226" t="e">
        <f aca="false">(xSPRDOPT($L234+$AB$5,$J234,$I234,$M234,$O234,$N234,$P234,$Q234-$C$3,$R234,9)/365)*$H234</f>
        <v>#NAME?</v>
      </c>
      <c r="AE234" s="0" t="e">
        <f aca="false">CD234</f>
        <v>#NAME?</v>
      </c>
      <c r="AF234" s="226" t="e">
        <f aca="false">((O234/N234)*AH234)+AG234</f>
        <v>#NAME?</v>
      </c>
      <c r="AG234" s="226" t="e">
        <f aca="false">((xSPRDOPT($L234,$J234,$I234,$M234,$O234,$N234,$P234,$Q234-$C$3,$R234,6)*$H234)/100)</f>
        <v>#NAME?</v>
      </c>
      <c r="AH234" s="226" t="e">
        <f aca="false">((xSPRDOPT($L234,$J234,$I234,$M234,$O234,$N234,$P234,$Q234-$C$3,$R234,5)*$H234)/100)</f>
        <v>#NAME?</v>
      </c>
      <c r="AI234" s="226" t="e">
        <f aca="false">(((xSPRDOPT($L234,$J234,$I234,$M234,$O234,$N234,$P234,$Q234-$C$3,$R234,4)*$H234)/10000)/100)-AB234</f>
        <v>#NAME?</v>
      </c>
      <c r="AJ234" s="226"/>
      <c r="AK234" s="226"/>
      <c r="AL234" s="226"/>
      <c r="AM234" s="252"/>
      <c r="CC234" s="182" t="n">
        <f aca="false">G234</f>
        <v>36892</v>
      </c>
      <c r="CD234" s="253" t="e">
        <f aca="false">xSPRDOPT((VLOOKUP(G234,NGPrices,2,FALSE())+HLOOKUP(D234,Prices,VLOOKUP(G234,move_down,2,FALSE()),FALSE())),VLOOKUP(G234,NGPrices,2,FALSE()),I234,VLOOKUP(G234,NGPREVPRICES,4,FALSE()),HLOOKUP(D234,PREVVOLS,VLOOKUP(G234,MOVE_DOWN2,2,FALSE()),FALSE()),VLOOKUP(G234,NGPREVPRICES,3,FALSE()),HLOOKUP(D234,Correllate,VLOOKUP(G234,CorMove,2,FALSE()),FALSE()),Q234-$CD$3,R234,$CD$5)*H234-CJ234</f>
        <v>#NAME?</v>
      </c>
      <c r="CE234" s="253" t="e">
        <f aca="false">xSPRDOPT((VLOOKUP(G234,NGPREVPRICES,2,FALSE())+HLOOKUP(D234,PREVCURVES,VLOOKUP(G234,MOVE_DOWN2,2,FALSE()),FALSE())),VLOOKUP(G234,NGPREVPRICES,2,FALSE()),CK234,VLOOKUP(G234,NGPrices,4,FALSE()),HLOOKUP(D234,PREVVOLS,VLOOKUP(G234,MOVE_DOWN2,2,FALSE()),FALSE()),VLOOKUP(G234,NGPREVPRICES,3,FALSE()),HLOOKUP(D234,Correllate,VLOOKUP(G234,CorMove,2,FALSE()),FALSE()),Q234-$CD$3,R234,$CJ$5)*H234-CJ234</f>
        <v>#NAME?</v>
      </c>
      <c r="CF234" s="132" t="e">
        <f aca="false">(CJ234/VLOOKUP(CC234,discount,3,FALSE()))-(CJ234/VLOOKUP(CC234,discount,2,FALSE()))</f>
        <v>#NAME?</v>
      </c>
      <c r="CG234" s="253" t="e">
        <f aca="false">xSPRDOPT((VLOOKUP(G234,NGPREVPRICES,2,FALSE())+HLOOKUP(D234,PREVCURVES,VLOOKUP(G234,MOVE_DOWN2,2,FALSE()),FALSE())),VLOOKUP(G234,NGPREVPRICES,2,FALSE()),CK234,VLOOKUP(G234,NGPREVPRICES,4,FALSE()),HLOOKUP(D234,VOLS,VLOOKUP(G234,move_down,2,FALSE()),FALSE()),VLOOKUP(G234,NGPrices,3,FALSE()),HLOOKUP(D234,Correllate,VLOOKUP(G234,CorMove,2,FALSE()),FALSE()),Q234-$CD$3,R234,$CJ$5)*H234-CJ234</f>
        <v>#NAME?</v>
      </c>
      <c r="CH234" s="253" t="e">
        <f aca="false">xSPRDOPT((VLOOKUP(G234,NGPREVPRICES,2,FALSE())+HLOOKUP(D234,PREVCURVES,VLOOKUP(G234,MOVE_DOWN2,2,FALSE()),FALSE())),VLOOKUP(G234,NGPREVPRICES,2,FALSE()),CK234,VLOOKUP(G234,NGPREVPRICES,4,FALSE()),HLOOKUP(D234,PREVVOLS,VLOOKUP(G234,MOVE_DOWN2,2,FALSE()),FALSE()),VLOOKUP(G234,NGPREVPRICES,3,FALSE()),HLOOKUP(D234,Correllate,VLOOKUP(G234,CorMove,2,FALSE()),FALSE()),Q234-$C$3,R234,$CJ$5)*H234-CJ234</f>
        <v>#NAME?</v>
      </c>
      <c r="CI234" s="253" t="e">
        <f aca="false">SUM(CD234:CH234)</f>
        <v>#NAME?</v>
      </c>
      <c r="CJ234" s="253" t="e">
        <f aca="false">xSPRDOPT((VLOOKUP(G234,NGPREVPRICES,2,FALSE())+HLOOKUP(D234,PREVCURVES,VLOOKUP(G234,MOVE_DOWN2,2,FALSE()),FALSE())),VLOOKUP(G234,NGPREVPRICES,2,FALSE()),CK234,VLOOKUP(G234,NGPREVPRICES,4,FALSE()),HLOOKUP(D234,PREVVOLS,VLOOKUP(G234,MOVE_DOWN2,2,FALSE()),FALSE()),VLOOKUP(G234,NGPREVPRICES,3,FALSE()),HLOOKUP(D234,Correllate,VLOOKUP(G234,CorMove,2,FALSE()),FALSE()),Q234-$CD$3,R234,$CJ$5)*H234</f>
        <v>#NAME?</v>
      </c>
      <c r="CK234" s="254" t="n">
        <f aca="false">I234</f>
        <v>0.15</v>
      </c>
      <c r="CL234" s="253"/>
      <c r="CM234" s="0" t="str">
        <f aca="false">CONCATENATE(CC234,$CD$6)</f>
        <v>36892Curve Shift/Gamma</v>
      </c>
      <c r="CN234" s="0" t="str">
        <f aca="false">CONCATENATE($CC234,$CE$6)</f>
        <v>36892Rho</v>
      </c>
      <c r="CO234" s="0" t="str">
        <f aca="false">CONCATENATE($CC234,$CF$6)</f>
        <v>36892Drift</v>
      </c>
      <c r="CP234" s="0" t="str">
        <f aca="false">CONCATENATE($CC234,$CG$6)</f>
        <v>36892Vega</v>
      </c>
      <c r="CQ234" s="0" t="str">
        <f aca="false">CONCATENATE($CC234,$CH$6)</f>
        <v>36892Theta</v>
      </c>
    </row>
    <row r="235" customFormat="false" ht="12" hidden="false" customHeight="true" outlineLevel="0" collapsed="false">
      <c r="A235" s="17" t="s">
        <v>281</v>
      </c>
      <c r="B235" s="0" t="s">
        <v>192</v>
      </c>
      <c r="C235" s="0" t="s">
        <v>282</v>
      </c>
      <c r="D235" s="7" t="s">
        <v>152</v>
      </c>
      <c r="E235" s="0" t="s">
        <v>131</v>
      </c>
      <c r="F235" s="0" t="s">
        <v>136</v>
      </c>
      <c r="G235" s="92" t="n">
        <v>36861</v>
      </c>
      <c r="H235" s="248" t="n">
        <v>310000</v>
      </c>
      <c r="I235" s="0" t="n">
        <v>0.15</v>
      </c>
      <c r="J235" s="124" t="n">
        <f aca="false">VLOOKUP(G235,NGPrices,2,FALSE())</f>
        <v>4.8</v>
      </c>
      <c r="K235" s="125" t="n">
        <f aca="false">HLOOKUP(D235,Prices,VLOOKUP(G235,move_down,2,FALSE()),FALSE())+VLOOKUP(G235,CHANGE,HLOOKUP(D235,CHANGE,2,FALSE()),FALSE())</f>
        <v>0.1</v>
      </c>
      <c r="L235" s="124" t="n">
        <f aca="false">K235+J235</f>
        <v>4.9</v>
      </c>
      <c r="M235" s="126" t="n">
        <f aca="false">VLOOKUP(G235,NGPrices,4,FALSE())</f>
        <v>0.068314027999354</v>
      </c>
      <c r="N235" s="7" t="n">
        <f aca="false">VLOOKUP(G235,NGPrices,3,FALSE())</f>
        <v>0.6</v>
      </c>
      <c r="O235" s="7" t="n">
        <f aca="false">HLOOKUP(D235,VOLS,VLOOKUP(G235,move_down,2,FALSE()),FALSE())</f>
        <v>0.6</v>
      </c>
      <c r="P235" s="249" t="n">
        <f aca="false">HLOOKUP(D235,Correllate,VLOOKUP(G235,CorMove,2,FALSE()),FALSE())</f>
        <v>0.997</v>
      </c>
      <c r="Q235" s="92" t="n">
        <f aca="false">WORKDAY(G235,-2)</f>
        <v>36859</v>
      </c>
      <c r="R235" s="7" t="n">
        <f aca="false">IF(F235="P",0,1)</f>
        <v>1</v>
      </c>
      <c r="S235" s="130" t="e">
        <f aca="false">xSPRDOPT($L235,$J235,$I235,$M235,$O235,$N235,$P235,$Q235-$C$3,$R235,0)</f>
        <v>#NAME?</v>
      </c>
      <c r="T235" s="250" t="e">
        <f aca="false">xSPRDOPT($L235,$J235,$I235,$M235,$O235,$N235,$P235,$Q235-$C$3,$R235,1)*H235</f>
        <v>#NAME?</v>
      </c>
      <c r="U235" s="43" t="e">
        <f aca="false">S235*H235</f>
        <v>#NAME?</v>
      </c>
      <c r="V235" s="250" t="e">
        <f aca="false">xSPRDOPT($L235,$J235,$I235,$M235,$O235,$N235,$P235,$Q235-$C$3,$R235,2)*H235</f>
        <v>#NAME?</v>
      </c>
      <c r="W235" s="250" t="e">
        <f aca="false">+V235+T235</f>
        <v>#NAME?</v>
      </c>
      <c r="X235" s="2" t="str">
        <f aca="false">CONCATENATE(G235,D235)</f>
        <v>36861NGI/CHI. GATE</v>
      </c>
      <c r="Y235" s="251" t="n">
        <f aca="false">H235/10000</f>
        <v>31</v>
      </c>
      <c r="Z235" s="226" t="e">
        <f aca="false">T235/H235</f>
        <v>#NAME?</v>
      </c>
      <c r="AA235" s="226" t="e">
        <f aca="false">xSPRDOPT($L235,$J235,$I235,$M235,$O235,$N235,$P235,$Q235-$C$3,$R235,3)</f>
        <v>#NAME?</v>
      </c>
      <c r="AB235" s="226" t="e">
        <f aca="false">((xSPRDOPT($L235+AB$5,$J235,$I235,$M235,$O235,$N235,$P235,$Q235-$C$3,$R235,3)*$H235)/10000)/100</f>
        <v>#NAME?</v>
      </c>
      <c r="AC235" s="226" t="e">
        <f aca="false">((xSPRDOPT($L235+$AB$5,$J235,$I235,$M235,$O235,$N235,$P235,$Q235-$C$3,$R235,7)*$H235)/100)</f>
        <v>#NAME?</v>
      </c>
      <c r="AD235" s="226" t="e">
        <f aca="false">(xSPRDOPT($L235+$AB$5,$J235,$I235,$M235,$O235,$N235,$P235,$Q235-$C$3,$R235,9)/365)*$H235</f>
        <v>#NAME?</v>
      </c>
      <c r="AE235" s="0" t="e">
        <f aca="false">CD235</f>
        <v>#NAME?</v>
      </c>
      <c r="AF235" s="226" t="e">
        <f aca="false">((O235/N235)*AH235)+AG235</f>
        <v>#NAME?</v>
      </c>
      <c r="AG235" s="226" t="e">
        <f aca="false">((xSPRDOPT($L235,$J235,$I235,$M235,$O235,$N235,$P235,$Q235-$C$3,$R235,6)*$H235)/100)</f>
        <v>#NAME?</v>
      </c>
      <c r="AH235" s="226" t="e">
        <f aca="false">((xSPRDOPT($L235,$J235,$I235,$M235,$O235,$N235,$P235,$Q235-$C$3,$R235,5)*$H235)/100)</f>
        <v>#NAME?</v>
      </c>
      <c r="AI235" s="226" t="e">
        <f aca="false">(((xSPRDOPT($L235,$J235,$I235,$M235,$O235,$N235,$P235,$Q235-$C$3,$R235,4)*$H235)/10000)/100)-AB235</f>
        <v>#NAME?</v>
      </c>
      <c r="AJ235" s="226"/>
      <c r="AK235" s="226"/>
      <c r="AL235" s="226"/>
      <c r="AM235" s="252"/>
      <c r="CC235" s="182" t="n">
        <f aca="false">G235</f>
        <v>36861</v>
      </c>
      <c r="CD235" s="253" t="e">
        <f aca="false">xSPRDOPT((VLOOKUP(G235,NGPrices,2,FALSE())+HLOOKUP(D235,Prices,VLOOKUP(G235,move_down,2,FALSE()),FALSE())),VLOOKUP(G235,NGPrices,2,FALSE()),I235,VLOOKUP(G235,NGPREVPRICES,4,FALSE()),HLOOKUP(D235,PREVVOLS,VLOOKUP(G235,MOVE_DOWN2,2,FALSE()),FALSE()),VLOOKUP(G235,NGPREVPRICES,3,FALSE()),HLOOKUP(D235,Correllate,VLOOKUP(G235,CorMove,2,FALSE()),FALSE()),Q235-$CD$3,R235,$CD$5)*H235-CJ235</f>
        <v>#NAME?</v>
      </c>
      <c r="CE235" s="253" t="e">
        <f aca="false">xSPRDOPT((VLOOKUP(G235,NGPREVPRICES,2,FALSE())+HLOOKUP(D235,PREVCURVES,VLOOKUP(G235,MOVE_DOWN2,2,FALSE()),FALSE())),VLOOKUP(G235,NGPREVPRICES,2,FALSE()),CK235,VLOOKUP(G235,NGPrices,4,FALSE()),HLOOKUP(D235,PREVVOLS,VLOOKUP(G235,MOVE_DOWN2,2,FALSE()),FALSE()),VLOOKUP(G235,NGPREVPRICES,3,FALSE()),HLOOKUP(D235,Correllate,VLOOKUP(G235,CorMove,2,FALSE()),FALSE()),Q235-$CD$3,R235,$CJ$5)*H235-CJ235</f>
        <v>#NAME?</v>
      </c>
      <c r="CF235" s="132" t="e">
        <f aca="false">(CJ235/VLOOKUP(CC235,discount,3,FALSE()))-(CJ235/VLOOKUP(CC235,discount,2,FALSE()))</f>
        <v>#NAME?</v>
      </c>
      <c r="CG235" s="253" t="e">
        <f aca="false">xSPRDOPT((VLOOKUP(G235,NGPREVPRICES,2,FALSE())+HLOOKUP(D235,PREVCURVES,VLOOKUP(G235,MOVE_DOWN2,2,FALSE()),FALSE())),VLOOKUP(G235,NGPREVPRICES,2,FALSE()),CK235,VLOOKUP(G235,NGPREVPRICES,4,FALSE()),HLOOKUP(D235,VOLS,VLOOKUP(G235,move_down,2,FALSE()),FALSE()),VLOOKUP(G235,NGPrices,3,FALSE()),HLOOKUP(D235,Correllate,VLOOKUP(G235,CorMove,2,FALSE()),FALSE()),Q235-$CD$3,R235,$CJ$5)*H235-CJ235</f>
        <v>#NAME?</v>
      </c>
      <c r="CH235" s="253" t="e">
        <f aca="false">xSPRDOPT((VLOOKUP(G235,NGPREVPRICES,2,FALSE())+HLOOKUP(D235,PREVCURVES,VLOOKUP(G235,MOVE_DOWN2,2,FALSE()),FALSE())),VLOOKUP(G235,NGPREVPRICES,2,FALSE()),CK235,VLOOKUP(G235,NGPREVPRICES,4,FALSE()),HLOOKUP(D235,PREVVOLS,VLOOKUP(G235,MOVE_DOWN2,2,FALSE()),FALSE()),VLOOKUP(G235,NGPREVPRICES,3,FALSE()),HLOOKUP(D235,Correllate,VLOOKUP(G235,CorMove,2,FALSE()),FALSE()),Q235-$C$3,R235,$CJ$5)*H235-CJ235</f>
        <v>#NAME?</v>
      </c>
      <c r="CI235" s="253" t="e">
        <f aca="false">SUM(CD235:CH235)</f>
        <v>#NAME?</v>
      </c>
      <c r="CJ235" s="253" t="e">
        <f aca="false">xSPRDOPT((VLOOKUP(G235,NGPREVPRICES,2,FALSE())+HLOOKUP(D235,PREVCURVES,VLOOKUP(G235,MOVE_DOWN2,2,FALSE()),FALSE())),VLOOKUP(G235,NGPREVPRICES,2,FALSE()),CK235,VLOOKUP(G235,NGPREVPRICES,4,FALSE()),HLOOKUP(D235,PREVVOLS,VLOOKUP(G235,MOVE_DOWN2,2,FALSE()),FALSE()),VLOOKUP(G235,NGPREVPRICES,3,FALSE()),HLOOKUP(D235,Correllate,VLOOKUP(G235,CorMove,2,FALSE()),FALSE()),Q235-$CD$3,R235,$CJ$5)*H235</f>
        <v>#NAME?</v>
      </c>
      <c r="CK235" s="254" t="n">
        <f aca="false">I235</f>
        <v>0.15</v>
      </c>
      <c r="CL235" s="253"/>
      <c r="CM235" s="0" t="str">
        <f aca="false">CONCATENATE(CC235,$CD$6)</f>
        <v>36861Curve Shift/Gamma</v>
      </c>
      <c r="CN235" s="0" t="str">
        <f aca="false">CONCATENATE($CC235,$CE$6)</f>
        <v>36861Rho</v>
      </c>
      <c r="CO235" s="0" t="str">
        <f aca="false">CONCATENATE($CC235,$CF$6)</f>
        <v>36861Drift</v>
      </c>
      <c r="CP235" s="0" t="str">
        <f aca="false">CONCATENATE($CC235,$CG$6)</f>
        <v>36861Vega</v>
      </c>
      <c r="CQ235" s="0" t="str">
        <f aca="false">CONCATENATE($CC235,$CH$6)</f>
        <v>36861Theta</v>
      </c>
    </row>
    <row r="236" customFormat="false" ht="12" hidden="false" customHeight="true" outlineLevel="0" collapsed="false">
      <c r="A236" s="17" t="s">
        <v>281</v>
      </c>
      <c r="B236" s="0" t="s">
        <v>192</v>
      </c>
      <c r="C236" s="0" t="s">
        <v>282</v>
      </c>
      <c r="D236" s="7" t="s">
        <v>152</v>
      </c>
      <c r="E236" s="0" t="s">
        <v>131</v>
      </c>
      <c r="F236" s="0" t="s">
        <v>136</v>
      </c>
      <c r="G236" s="92" t="n">
        <v>36831</v>
      </c>
      <c r="H236" s="248" t="n">
        <v>300000</v>
      </c>
      <c r="I236" s="0" t="n">
        <v>0.15</v>
      </c>
      <c r="J236" s="124" t="n">
        <f aca="false">VLOOKUP(G236,NGPrices,2,FALSE())</f>
        <v>4.736</v>
      </c>
      <c r="K236" s="125" t="n">
        <f aca="false">HLOOKUP(D236,Prices,VLOOKUP(G236,move_down,2,FALSE()),FALSE())+VLOOKUP(G236,CHANGE,HLOOKUP(D236,CHANGE,2,FALSE()),FALSE())</f>
        <v>0.0875</v>
      </c>
      <c r="L236" s="124" t="n">
        <f aca="false">K236+J236</f>
        <v>4.8235</v>
      </c>
      <c r="M236" s="126" t="n">
        <f aca="false">VLOOKUP(G236,NGPrices,4,FALSE())</f>
        <v>0.06810675983792</v>
      </c>
      <c r="N236" s="7" t="n">
        <f aca="false">VLOOKUP(G236,NGPrices,3,FALSE())</f>
        <v>0.595</v>
      </c>
      <c r="O236" s="7" t="n">
        <f aca="false">HLOOKUP(D236,VOLS,VLOOKUP(G236,move_down,2,FALSE()),FALSE())</f>
        <v>0.595</v>
      </c>
      <c r="P236" s="249" t="n">
        <f aca="false">HLOOKUP(D236,Correllate,VLOOKUP(G236,CorMove,2,FALSE()),FALSE())</f>
        <v>0.997</v>
      </c>
      <c r="Q236" s="92" t="n">
        <f aca="false">WORKDAY(G236,-2)</f>
        <v>36829</v>
      </c>
      <c r="R236" s="7" t="n">
        <f aca="false">IF(F236="P",0,1)</f>
        <v>1</v>
      </c>
      <c r="S236" s="130" t="e">
        <f aca="false">xSPRDOPT($L236,$J236,$I236,$M236,$O236,$N236,$P236,$Q236-$C$3,$R236,0)</f>
        <v>#NAME?</v>
      </c>
      <c r="T236" s="250" t="e">
        <f aca="false">xSPRDOPT($L236,$J236,$I236,$M236,$O236,$N236,$P236,$Q236-$C$3,$R236,1)*H236</f>
        <v>#NAME?</v>
      </c>
      <c r="U236" s="43" t="e">
        <f aca="false">S236*H236</f>
        <v>#NAME?</v>
      </c>
      <c r="V236" s="250" t="e">
        <f aca="false">xSPRDOPT($L236,$J236,$I236,$M236,$O236,$N236,$P236,$Q236-$C$3,$R236,2)*H236</f>
        <v>#NAME?</v>
      </c>
      <c r="W236" s="250" t="e">
        <f aca="false">+V236+T236</f>
        <v>#NAME?</v>
      </c>
      <c r="X236" s="2" t="str">
        <f aca="false">CONCATENATE(G236,D236)</f>
        <v>36831NGI/CHI. GATE</v>
      </c>
      <c r="Y236" s="251" t="n">
        <f aca="false">H236/10000</f>
        <v>30</v>
      </c>
      <c r="Z236" s="226" t="e">
        <f aca="false">T236/H236</f>
        <v>#NAME?</v>
      </c>
      <c r="AA236" s="226" t="e">
        <f aca="false">xSPRDOPT($L236,$J236,$I236,$M236,$O236,$N236,$P236,$Q236-$C$3,$R236,3)</f>
        <v>#NAME?</v>
      </c>
      <c r="AB236" s="226" t="e">
        <f aca="false">((xSPRDOPT($L236+AB$5,$J236,$I236,$M236,$O236,$N236,$P236,$Q236-$C$3,$R236,3)*$H236)/10000)/100</f>
        <v>#NAME?</v>
      </c>
      <c r="AC236" s="226" t="e">
        <f aca="false">((xSPRDOPT($L236+$AB$5,$J236,$I236,$M236,$O236,$N236,$P236,$Q236-$C$3,$R236,7)*$H236)/100)</f>
        <v>#NAME?</v>
      </c>
      <c r="AD236" s="226" t="e">
        <f aca="false">(xSPRDOPT($L236+$AB$5,$J236,$I236,$M236,$O236,$N236,$P236,$Q236-$C$3,$R236,9)/365)*$H236</f>
        <v>#NAME?</v>
      </c>
      <c r="AE236" s="0" t="e">
        <f aca="false">CD236</f>
        <v>#NAME?</v>
      </c>
      <c r="AF236" s="226" t="e">
        <f aca="false">((O236/N236)*AH236)+AG236</f>
        <v>#NAME?</v>
      </c>
      <c r="AG236" s="226" t="e">
        <f aca="false">((xSPRDOPT($L236,$J236,$I236,$M236,$O236,$N236,$P236,$Q236-$C$3,$R236,6)*$H236)/100)</f>
        <v>#NAME?</v>
      </c>
      <c r="AH236" s="226" t="e">
        <f aca="false">((xSPRDOPT($L236,$J236,$I236,$M236,$O236,$N236,$P236,$Q236-$C$3,$R236,5)*$H236)/100)</f>
        <v>#NAME?</v>
      </c>
      <c r="AI236" s="226" t="e">
        <f aca="false">(((xSPRDOPT($L236,$J236,$I236,$M236,$O236,$N236,$P236,$Q236-$C$3,$R236,4)*$H236)/10000)/100)-AB236</f>
        <v>#NAME?</v>
      </c>
      <c r="AJ236" s="226"/>
      <c r="AK236" s="226"/>
      <c r="AL236" s="226"/>
      <c r="AM236" s="252"/>
      <c r="CC236" s="182" t="n">
        <f aca="false">G236</f>
        <v>36831</v>
      </c>
      <c r="CD236" s="253" t="e">
        <f aca="false">xSPRDOPT((VLOOKUP(G236,NGPrices,2,FALSE())+HLOOKUP(D236,Prices,VLOOKUP(G236,move_down,2,FALSE()),FALSE())),VLOOKUP(G236,NGPrices,2,FALSE()),I236,VLOOKUP(G236,NGPREVPRICES,4,FALSE()),HLOOKUP(D236,PREVVOLS,VLOOKUP(G236,MOVE_DOWN2,2,FALSE()),FALSE()),VLOOKUP(G236,NGPREVPRICES,3,FALSE()),HLOOKUP(D236,Correllate,VLOOKUP(G236,CorMove,2,FALSE()),FALSE()),Q236-$CD$3,R236,$CD$5)*H236-CJ236</f>
        <v>#NAME?</v>
      </c>
      <c r="CE236" s="253" t="e">
        <f aca="false">xSPRDOPT((VLOOKUP(G236,NGPREVPRICES,2,FALSE())+HLOOKUP(D236,PREVCURVES,VLOOKUP(G236,MOVE_DOWN2,2,FALSE()),FALSE())),VLOOKUP(G236,NGPREVPRICES,2,FALSE()),CK236,VLOOKUP(G236,NGPrices,4,FALSE()),HLOOKUP(D236,PREVVOLS,VLOOKUP(G236,MOVE_DOWN2,2,FALSE()),FALSE()),VLOOKUP(G236,NGPREVPRICES,3,FALSE()),HLOOKUP(D236,Correllate,VLOOKUP(G236,CorMove,2,FALSE()),FALSE()),Q236-$CD$3,R236,$CJ$5)*H236-CJ236</f>
        <v>#NAME?</v>
      </c>
      <c r="CF236" s="132" t="e">
        <f aca="false">(CJ236/VLOOKUP(CC236,discount,3,FALSE()))-(CJ236/VLOOKUP(CC236,discount,2,FALSE()))</f>
        <v>#NAME?</v>
      </c>
      <c r="CG236" s="253" t="e">
        <f aca="false">xSPRDOPT((VLOOKUP(G236,NGPREVPRICES,2,FALSE())+HLOOKUP(D236,PREVCURVES,VLOOKUP(G236,MOVE_DOWN2,2,FALSE()),FALSE())),VLOOKUP(G236,NGPREVPRICES,2,FALSE()),CK236,VLOOKUP(G236,NGPREVPRICES,4,FALSE()),HLOOKUP(D236,VOLS,VLOOKUP(G236,move_down,2,FALSE()),FALSE()),VLOOKUP(G236,NGPrices,3,FALSE()),HLOOKUP(D236,Correllate,VLOOKUP(G236,CorMove,2,FALSE()),FALSE()),Q236-$CD$3,R236,$CJ$5)*H236-CJ236</f>
        <v>#NAME?</v>
      </c>
      <c r="CH236" s="253" t="e">
        <f aca="false">xSPRDOPT((VLOOKUP(G236,NGPREVPRICES,2,FALSE())+HLOOKUP(D236,PREVCURVES,VLOOKUP(G236,MOVE_DOWN2,2,FALSE()),FALSE())),VLOOKUP(G236,NGPREVPRICES,2,FALSE()),CK236,VLOOKUP(G236,NGPREVPRICES,4,FALSE()),HLOOKUP(D236,PREVVOLS,VLOOKUP(G236,MOVE_DOWN2,2,FALSE()),FALSE()),VLOOKUP(G236,NGPREVPRICES,3,FALSE()),HLOOKUP(D236,Correllate,VLOOKUP(G236,CorMove,2,FALSE()),FALSE()),Q236-$C$3,R236,$CJ$5)*H236-CJ236</f>
        <v>#NAME?</v>
      </c>
      <c r="CI236" s="253" t="e">
        <f aca="false">SUM(CD236:CH236)</f>
        <v>#NAME?</v>
      </c>
      <c r="CJ236" s="253" t="e">
        <f aca="false">xSPRDOPT((VLOOKUP(G236,NGPREVPRICES,2,FALSE())+HLOOKUP(D236,PREVCURVES,VLOOKUP(G236,MOVE_DOWN2,2,FALSE()),FALSE())),VLOOKUP(G236,NGPREVPRICES,2,FALSE()),CK236,VLOOKUP(G236,NGPREVPRICES,4,FALSE()),HLOOKUP(D236,PREVVOLS,VLOOKUP(G236,MOVE_DOWN2,2,FALSE()),FALSE()),VLOOKUP(G236,NGPREVPRICES,3,FALSE()),HLOOKUP(D236,Correllate,VLOOKUP(G236,CorMove,2,FALSE()),FALSE()),Q236-$CD$3,R236,$CJ$5)*H236</f>
        <v>#NAME?</v>
      </c>
      <c r="CK236" s="254" t="n">
        <f aca="false">I236</f>
        <v>0.15</v>
      </c>
      <c r="CL236" s="253"/>
      <c r="CM236" s="0" t="str">
        <f aca="false">CONCATENATE(CC236,$CD$6)</f>
        <v>36831Curve Shift/Gamma</v>
      </c>
      <c r="CN236" s="0" t="str">
        <f aca="false">CONCATENATE($CC236,$CE$6)</f>
        <v>36831Rho</v>
      </c>
      <c r="CO236" s="0" t="str">
        <f aca="false">CONCATENATE($CC236,$CF$6)</f>
        <v>36831Drift</v>
      </c>
      <c r="CP236" s="0" t="str">
        <f aca="false">CONCATENATE($CC236,$CG$6)</f>
        <v>36831Vega</v>
      </c>
      <c r="CQ236" s="0" t="str">
        <f aca="false">CONCATENATE($CC236,$CH$6)</f>
        <v>36831Theta</v>
      </c>
    </row>
    <row r="237" customFormat="false" ht="12" hidden="false" customHeight="true" outlineLevel="0" collapsed="false">
      <c r="A237" s="17" t="s">
        <v>208</v>
      </c>
      <c r="B237" s="0" t="s">
        <v>192</v>
      </c>
      <c r="C237" s="0" t="s">
        <v>283</v>
      </c>
      <c r="D237" s="7" t="s">
        <v>152</v>
      </c>
      <c r="E237" s="0" t="s">
        <v>131</v>
      </c>
      <c r="F237" s="0" t="s">
        <v>136</v>
      </c>
      <c r="G237" s="92" t="n">
        <v>36951</v>
      </c>
      <c r="H237" s="248" t="n">
        <v>310000</v>
      </c>
      <c r="I237" s="0" t="n">
        <v>0.15</v>
      </c>
      <c r="J237" s="124" t="n">
        <f aca="false">VLOOKUP(G237,NGPrices,2,FALSE())</f>
        <v>4.213</v>
      </c>
      <c r="K237" s="125" t="n">
        <f aca="false">HLOOKUP(D237,Prices,VLOOKUP(G237,move_down,2,FALSE()),FALSE())+VLOOKUP(G237,CHANGE,HLOOKUP(D237,CHANGE,2,FALSE()),FALSE())</f>
        <v>0.1225</v>
      </c>
      <c r="L237" s="124" t="n">
        <f aca="false">K237+J237</f>
        <v>4.3355</v>
      </c>
      <c r="M237" s="126" t="n">
        <f aca="false">VLOOKUP(G237,NGPrices,4,FALSE())</f>
        <v>0.068879814952707</v>
      </c>
      <c r="N237" s="7" t="n">
        <f aca="false">VLOOKUP(G237,NGPrices,3,FALSE())</f>
        <v>0.5325</v>
      </c>
      <c r="O237" s="7" t="n">
        <f aca="false">HLOOKUP(D237,VOLS,VLOOKUP(G237,move_down,2,FALSE()),FALSE())</f>
        <v>0.533</v>
      </c>
      <c r="P237" s="249" t="n">
        <f aca="false">HLOOKUP(D237,Correllate,VLOOKUP(G237,CorMove,2,FALSE()),FALSE())</f>
        <v>0.997</v>
      </c>
      <c r="Q237" s="92" t="n">
        <f aca="false">WORKDAY(G237,-2)</f>
        <v>36949</v>
      </c>
      <c r="R237" s="7" t="n">
        <f aca="false">IF(F237="P",0,1)</f>
        <v>1</v>
      </c>
      <c r="S237" s="130" t="e">
        <f aca="false">xSPRDOPT($L237,$J237,$I237,$M237,$O237,$N237,$P237,$Q237-$C$3,$R237,0)</f>
        <v>#NAME?</v>
      </c>
      <c r="T237" s="250" t="e">
        <f aca="false">xSPRDOPT($L237,$J237,$I237,$M237,$O237,$N237,$P237,$Q237-$C$3,$R237,1)*H237</f>
        <v>#NAME?</v>
      </c>
      <c r="U237" s="43" t="e">
        <f aca="false">S237*H237</f>
        <v>#NAME?</v>
      </c>
      <c r="V237" s="250" t="e">
        <f aca="false">xSPRDOPT($L237,$J237,$I237,$M237,$O237,$N237,$P237,$Q237-$C$3,$R237,2)*H237</f>
        <v>#NAME?</v>
      </c>
      <c r="W237" s="250" t="e">
        <f aca="false">+V237+T237</f>
        <v>#NAME?</v>
      </c>
      <c r="X237" s="2" t="str">
        <f aca="false">CONCATENATE(G237,D237)</f>
        <v>36951NGI/CHI. GATE</v>
      </c>
      <c r="Y237" s="251" t="n">
        <f aca="false">H237/10000</f>
        <v>31</v>
      </c>
      <c r="Z237" s="226" t="e">
        <f aca="false">T237/H237</f>
        <v>#NAME?</v>
      </c>
      <c r="AA237" s="226" t="e">
        <f aca="false">xSPRDOPT($L237,$J237,$I237,$M237,$O237,$N237,$P237,$Q237-$C$3,$R237,3)</f>
        <v>#NAME?</v>
      </c>
      <c r="AB237" s="226" t="e">
        <f aca="false">((xSPRDOPT($L237+AB$5,$J237,$I237,$M237,$O237,$N237,$P237,$Q237-$C$3,$R237,3)*$H237)/10000)/100</f>
        <v>#NAME?</v>
      </c>
      <c r="AC237" s="226" t="e">
        <f aca="false">((xSPRDOPT($L237+$AB$5,$J237,$I237,$M237,$O237,$N237,$P237,$Q237-$C$3,$R237,7)*$H237)/100)</f>
        <v>#NAME?</v>
      </c>
      <c r="AD237" s="226" t="e">
        <f aca="false">(xSPRDOPT($L237+$AB$5,$J237,$I237,$M237,$O237,$N237,$P237,$Q237-$C$3,$R237,9)/365)*$H237</f>
        <v>#NAME?</v>
      </c>
      <c r="AE237" s="0" t="e">
        <f aca="false">CD237</f>
        <v>#NAME?</v>
      </c>
      <c r="AF237" s="226" t="e">
        <f aca="false">((O237/N237)*AH237)+AG237</f>
        <v>#NAME?</v>
      </c>
      <c r="AG237" s="226" t="e">
        <f aca="false">((xSPRDOPT($L237,$J237,$I237,$M237,$O237,$N237,$P237,$Q237-$C$3,$R237,6)*$H237)/100)</f>
        <v>#NAME?</v>
      </c>
      <c r="AH237" s="226" t="e">
        <f aca="false">((xSPRDOPT($L237,$J237,$I237,$M237,$O237,$N237,$P237,$Q237-$C$3,$R237,5)*$H237)/100)</f>
        <v>#NAME?</v>
      </c>
      <c r="AI237" s="226" t="e">
        <f aca="false">(((xSPRDOPT($L237,$J237,$I237,$M237,$O237,$N237,$P237,$Q237-$C$3,$R237,4)*$H237)/10000)/100)-AB237</f>
        <v>#NAME?</v>
      </c>
      <c r="AJ237" s="226"/>
      <c r="AK237" s="226"/>
      <c r="AL237" s="226"/>
      <c r="AM237" s="252"/>
      <c r="CC237" s="182" t="n">
        <f aca="false">G237</f>
        <v>36951</v>
      </c>
      <c r="CD237" s="253" t="e">
        <f aca="false">xSPRDOPT((VLOOKUP(G237,NGPrices,2,FALSE())+HLOOKUP(D237,Prices,VLOOKUP(G237,move_down,2,FALSE()),FALSE())),VLOOKUP(G237,NGPrices,2,FALSE()),I237,VLOOKUP(G237,NGPREVPRICES,4,FALSE()),HLOOKUP(D237,PREVVOLS,VLOOKUP(G237,MOVE_DOWN2,2,FALSE()),FALSE()),VLOOKUP(G237,NGPREVPRICES,3,FALSE()),HLOOKUP(D237,Correllate,VLOOKUP(G237,CorMove,2,FALSE()),FALSE()),Q237-$CD$3,R237,$CD$5)*H237-CJ237</f>
        <v>#NAME?</v>
      </c>
      <c r="CE237" s="253" t="e">
        <f aca="false">xSPRDOPT((VLOOKUP(G237,NGPREVPRICES,2,FALSE())+HLOOKUP(D237,PREVCURVES,VLOOKUP(G237,MOVE_DOWN2,2,FALSE()),FALSE())),VLOOKUP(G237,NGPREVPRICES,2,FALSE()),CK237,VLOOKUP(G237,NGPrices,4,FALSE()),HLOOKUP(D237,PREVVOLS,VLOOKUP(G237,MOVE_DOWN2,2,FALSE()),FALSE()),VLOOKUP(G237,NGPREVPRICES,3,FALSE()),HLOOKUP(D237,Correllate,VLOOKUP(G237,CorMove,2,FALSE()),FALSE()),Q237-$CD$3,R237,$CJ$5)*H237-CJ237</f>
        <v>#NAME?</v>
      </c>
      <c r="CF237" s="132" t="e">
        <f aca="false">(CJ237/VLOOKUP(CC237,discount,3,FALSE()))-(CJ237/VLOOKUP(CC237,discount,2,FALSE()))</f>
        <v>#NAME?</v>
      </c>
      <c r="CG237" s="253" t="e">
        <f aca="false">xSPRDOPT((VLOOKUP(G237,NGPREVPRICES,2,FALSE())+HLOOKUP(D237,PREVCURVES,VLOOKUP(G237,MOVE_DOWN2,2,FALSE()),FALSE())),VLOOKUP(G237,NGPREVPRICES,2,FALSE()),CK237,VLOOKUP(G237,NGPREVPRICES,4,FALSE()),HLOOKUP(D237,VOLS,VLOOKUP(G237,move_down,2,FALSE()),FALSE()),VLOOKUP(G237,NGPrices,3,FALSE()),HLOOKUP(D237,Correllate,VLOOKUP(G237,CorMove,2,FALSE()),FALSE()),Q237-$CD$3,R237,$CJ$5)*H237-CJ237</f>
        <v>#NAME?</v>
      </c>
      <c r="CH237" s="253" t="e">
        <f aca="false">xSPRDOPT((VLOOKUP(G237,NGPREVPRICES,2,FALSE())+HLOOKUP(D237,PREVCURVES,VLOOKUP(G237,MOVE_DOWN2,2,FALSE()),FALSE())),VLOOKUP(G237,NGPREVPRICES,2,FALSE()),CK237,VLOOKUP(G237,NGPREVPRICES,4,FALSE()),HLOOKUP(D237,PREVVOLS,VLOOKUP(G237,MOVE_DOWN2,2,FALSE()),FALSE()),VLOOKUP(G237,NGPREVPRICES,3,FALSE()),HLOOKUP(D237,Correllate,VLOOKUP(G237,CorMove,2,FALSE()),FALSE()),Q237-$C$3,R237,$CJ$5)*H237-CJ237</f>
        <v>#NAME?</v>
      </c>
      <c r="CI237" s="253" t="e">
        <f aca="false">SUM(CD237:CH237)</f>
        <v>#NAME?</v>
      </c>
      <c r="CJ237" s="253" t="e">
        <f aca="false">xSPRDOPT((VLOOKUP(G237,NGPREVPRICES,2,FALSE())+HLOOKUP(D237,PREVCURVES,VLOOKUP(G237,MOVE_DOWN2,2,FALSE()),FALSE())),VLOOKUP(G237,NGPREVPRICES,2,FALSE()),CK237,VLOOKUP(G237,NGPREVPRICES,4,FALSE()),HLOOKUP(D237,PREVVOLS,VLOOKUP(G237,MOVE_DOWN2,2,FALSE()),FALSE()),VLOOKUP(G237,NGPREVPRICES,3,FALSE()),HLOOKUP(D237,Correllate,VLOOKUP(G237,CorMove,2,FALSE()),FALSE()),Q237-$CD$3,R237,$CJ$5)*H237</f>
        <v>#NAME?</v>
      </c>
      <c r="CK237" s="254" t="n">
        <f aca="false">I237</f>
        <v>0.15</v>
      </c>
      <c r="CL237" s="253"/>
      <c r="CM237" s="0" t="str">
        <f aca="false">CONCATENATE(CC237,$CD$6)</f>
        <v>36951Curve Shift/Gamma</v>
      </c>
      <c r="CN237" s="0" t="str">
        <f aca="false">CONCATENATE($CC237,$CE$6)</f>
        <v>36951Rho</v>
      </c>
      <c r="CO237" s="0" t="str">
        <f aca="false">CONCATENATE($CC237,$CF$6)</f>
        <v>36951Drift</v>
      </c>
      <c r="CP237" s="0" t="str">
        <f aca="false">CONCATENATE($CC237,$CG$6)</f>
        <v>36951Vega</v>
      </c>
      <c r="CQ237" s="0" t="str">
        <f aca="false">CONCATENATE($CC237,$CH$6)</f>
        <v>36951Theta</v>
      </c>
    </row>
    <row r="238" customFormat="false" ht="12" hidden="false" customHeight="true" outlineLevel="0" collapsed="false">
      <c r="A238" s="17" t="s">
        <v>208</v>
      </c>
      <c r="B238" s="0" t="s">
        <v>192</v>
      </c>
      <c r="C238" s="0" t="s">
        <v>283</v>
      </c>
      <c r="D238" s="7" t="s">
        <v>152</v>
      </c>
      <c r="E238" s="0" t="s">
        <v>131</v>
      </c>
      <c r="F238" s="0" t="s">
        <v>136</v>
      </c>
      <c r="G238" s="92" t="n">
        <v>36923</v>
      </c>
      <c r="H238" s="248" t="n">
        <v>280000</v>
      </c>
      <c r="I238" s="0" t="n">
        <v>0.15</v>
      </c>
      <c r="J238" s="124" t="n">
        <f aca="false">VLOOKUP(G238,NGPrices,2,FALSE())</f>
        <v>4.48</v>
      </c>
      <c r="K238" s="125" t="n">
        <f aca="false">HLOOKUP(D238,Prices,VLOOKUP(G238,move_down,2,FALSE()),FALSE())+VLOOKUP(G238,CHANGE,HLOOKUP(D238,CHANGE,2,FALSE()),FALSE())</f>
        <v>0.1375</v>
      </c>
      <c r="L238" s="124" t="n">
        <f aca="false">K238+J238</f>
        <v>4.6175</v>
      </c>
      <c r="M238" s="126" t="n">
        <f aca="false">VLOOKUP(G238,NGPrices,4,FALSE())</f>
        <v>0.068640161611372</v>
      </c>
      <c r="N238" s="7" t="n">
        <f aca="false">VLOOKUP(G238,NGPrices,3,FALSE())</f>
        <v>0.5925</v>
      </c>
      <c r="O238" s="7" t="n">
        <f aca="false">HLOOKUP(D238,VOLS,VLOOKUP(G238,move_down,2,FALSE()),FALSE())</f>
        <v>0.593</v>
      </c>
      <c r="P238" s="249" t="n">
        <f aca="false">HLOOKUP(D238,Correllate,VLOOKUP(G238,CorMove,2,FALSE()),FALSE())</f>
        <v>0.997</v>
      </c>
      <c r="Q238" s="92" t="n">
        <f aca="false">WORKDAY(G238,-2)</f>
        <v>36921</v>
      </c>
      <c r="R238" s="7" t="n">
        <f aca="false">IF(F238="P",0,1)</f>
        <v>1</v>
      </c>
      <c r="S238" s="130" t="e">
        <f aca="false">xSPRDOPT($L238,$J238,$I238,$M238,$O238,$N238,$P238,$Q238-$C$3,$R238,0)</f>
        <v>#NAME?</v>
      </c>
      <c r="T238" s="250" t="e">
        <f aca="false">xSPRDOPT($L238,$J238,$I238,$M238,$O238,$N238,$P238,$Q238-$C$3,$R238,1)*H238</f>
        <v>#NAME?</v>
      </c>
      <c r="U238" s="43" t="e">
        <f aca="false">S238*H238</f>
        <v>#NAME?</v>
      </c>
      <c r="V238" s="250" t="e">
        <f aca="false">xSPRDOPT($L238,$J238,$I238,$M238,$O238,$N238,$P238,$Q238-$C$3,$R238,2)*H238</f>
        <v>#NAME?</v>
      </c>
      <c r="W238" s="250" t="e">
        <f aca="false">+V238+T238</f>
        <v>#NAME?</v>
      </c>
      <c r="X238" s="2" t="str">
        <f aca="false">CONCATENATE(G238,D238)</f>
        <v>36923NGI/CHI. GATE</v>
      </c>
      <c r="Y238" s="251" t="n">
        <f aca="false">H238/10000</f>
        <v>28</v>
      </c>
      <c r="Z238" s="226" t="e">
        <f aca="false">T238/H238</f>
        <v>#NAME?</v>
      </c>
      <c r="AA238" s="226" t="e">
        <f aca="false">xSPRDOPT($L238,$J238,$I238,$M238,$O238,$N238,$P238,$Q238-$C$3,$R238,3)</f>
        <v>#NAME?</v>
      </c>
      <c r="AB238" s="226" t="e">
        <f aca="false">((xSPRDOPT($L238+AB$5,$J238,$I238,$M238,$O238,$N238,$P238,$Q238-$C$3,$R238,3)*$H238)/10000)/100</f>
        <v>#NAME?</v>
      </c>
      <c r="AC238" s="226" t="e">
        <f aca="false">((xSPRDOPT($L238+$AB$5,$J238,$I238,$M238,$O238,$N238,$P238,$Q238-$C$3,$R238,7)*$H238)/100)</f>
        <v>#NAME?</v>
      </c>
      <c r="AD238" s="226" t="e">
        <f aca="false">(xSPRDOPT($L238+$AB$5,$J238,$I238,$M238,$O238,$N238,$P238,$Q238-$C$3,$R238,9)/365)*$H238</f>
        <v>#NAME?</v>
      </c>
      <c r="AE238" s="0" t="e">
        <f aca="false">CD238</f>
        <v>#NAME?</v>
      </c>
      <c r="AF238" s="226" t="e">
        <f aca="false">((O238/N238)*AH238)+AG238</f>
        <v>#NAME?</v>
      </c>
      <c r="AG238" s="226" t="e">
        <f aca="false">((xSPRDOPT($L238,$J238,$I238,$M238,$O238,$N238,$P238,$Q238-$C$3,$R238,6)*$H238)/100)</f>
        <v>#NAME?</v>
      </c>
      <c r="AH238" s="226" t="e">
        <f aca="false">((xSPRDOPT($L238,$J238,$I238,$M238,$O238,$N238,$P238,$Q238-$C$3,$R238,5)*$H238)/100)</f>
        <v>#NAME?</v>
      </c>
      <c r="AI238" s="226" t="e">
        <f aca="false">(((xSPRDOPT($L238,$J238,$I238,$M238,$O238,$N238,$P238,$Q238-$C$3,$R238,4)*$H238)/10000)/100)-AB238</f>
        <v>#NAME?</v>
      </c>
      <c r="AJ238" s="226"/>
      <c r="AK238" s="226"/>
      <c r="AL238" s="226"/>
      <c r="AM238" s="252"/>
      <c r="CC238" s="182" t="n">
        <f aca="false">G238</f>
        <v>36923</v>
      </c>
      <c r="CD238" s="253" t="e">
        <f aca="false">xSPRDOPT((VLOOKUP(G238,NGPrices,2,FALSE())+HLOOKUP(D238,Prices,VLOOKUP(G238,move_down,2,FALSE()),FALSE())),VLOOKUP(G238,NGPrices,2,FALSE()),I238,VLOOKUP(G238,NGPREVPRICES,4,FALSE()),HLOOKUP(D238,PREVVOLS,VLOOKUP(G238,MOVE_DOWN2,2,FALSE()),FALSE()),VLOOKUP(G238,NGPREVPRICES,3,FALSE()),HLOOKUP(D238,Correllate,VLOOKUP(G238,CorMove,2,FALSE()),FALSE()),Q238-$CD$3,R238,$CD$5)*H238-CJ238</f>
        <v>#NAME?</v>
      </c>
      <c r="CE238" s="253" t="e">
        <f aca="false">xSPRDOPT((VLOOKUP(G238,NGPREVPRICES,2,FALSE())+HLOOKUP(D238,PREVCURVES,VLOOKUP(G238,MOVE_DOWN2,2,FALSE()),FALSE())),VLOOKUP(G238,NGPREVPRICES,2,FALSE()),CK238,VLOOKUP(G238,NGPrices,4,FALSE()),HLOOKUP(D238,PREVVOLS,VLOOKUP(G238,MOVE_DOWN2,2,FALSE()),FALSE()),VLOOKUP(G238,NGPREVPRICES,3,FALSE()),HLOOKUP(D238,Correllate,VLOOKUP(G238,CorMove,2,FALSE()),FALSE()),Q238-$CD$3,R238,$CJ$5)*H238-CJ238</f>
        <v>#NAME?</v>
      </c>
      <c r="CF238" s="132" t="e">
        <f aca="false">(CJ238/VLOOKUP(CC238,discount,3,FALSE()))-(CJ238/VLOOKUP(CC238,discount,2,FALSE()))</f>
        <v>#NAME?</v>
      </c>
      <c r="CG238" s="253" t="e">
        <f aca="false">xSPRDOPT((VLOOKUP(G238,NGPREVPRICES,2,FALSE())+HLOOKUP(D238,PREVCURVES,VLOOKUP(G238,MOVE_DOWN2,2,FALSE()),FALSE())),VLOOKUP(G238,NGPREVPRICES,2,FALSE()),CK238,VLOOKUP(G238,NGPREVPRICES,4,FALSE()),HLOOKUP(D238,VOLS,VLOOKUP(G238,move_down,2,FALSE()),FALSE()),VLOOKUP(G238,NGPrices,3,FALSE()),HLOOKUP(D238,Correllate,VLOOKUP(G238,CorMove,2,FALSE()),FALSE()),Q238-$CD$3,R238,$CJ$5)*H238-CJ238</f>
        <v>#NAME?</v>
      </c>
      <c r="CH238" s="253" t="e">
        <f aca="false">xSPRDOPT((VLOOKUP(G238,NGPREVPRICES,2,FALSE())+HLOOKUP(D238,PREVCURVES,VLOOKUP(G238,MOVE_DOWN2,2,FALSE()),FALSE())),VLOOKUP(G238,NGPREVPRICES,2,FALSE()),CK238,VLOOKUP(G238,NGPREVPRICES,4,FALSE()),HLOOKUP(D238,PREVVOLS,VLOOKUP(G238,MOVE_DOWN2,2,FALSE()),FALSE()),VLOOKUP(G238,NGPREVPRICES,3,FALSE()),HLOOKUP(D238,Correllate,VLOOKUP(G238,CorMove,2,FALSE()),FALSE()),Q238-$C$3,R238,$CJ$5)*H238-CJ238</f>
        <v>#NAME?</v>
      </c>
      <c r="CI238" s="253" t="e">
        <f aca="false">SUM(CD238:CH238)</f>
        <v>#NAME?</v>
      </c>
      <c r="CJ238" s="253" t="e">
        <f aca="false">xSPRDOPT((VLOOKUP(G238,NGPREVPRICES,2,FALSE())+HLOOKUP(D238,PREVCURVES,VLOOKUP(G238,MOVE_DOWN2,2,FALSE()),FALSE())),VLOOKUP(G238,NGPREVPRICES,2,FALSE()),CK238,VLOOKUP(G238,NGPREVPRICES,4,FALSE()),HLOOKUP(D238,PREVVOLS,VLOOKUP(G238,MOVE_DOWN2,2,FALSE()),FALSE()),VLOOKUP(G238,NGPREVPRICES,3,FALSE()),HLOOKUP(D238,Correllate,VLOOKUP(G238,CorMove,2,FALSE()),FALSE()),Q238-$CD$3,R238,$CJ$5)*H238</f>
        <v>#NAME?</v>
      </c>
      <c r="CK238" s="254" t="n">
        <f aca="false">I238</f>
        <v>0.15</v>
      </c>
      <c r="CL238" s="253"/>
      <c r="CM238" s="0" t="str">
        <f aca="false">CONCATENATE(CC238,$CD$6)</f>
        <v>36923Curve Shift/Gamma</v>
      </c>
      <c r="CN238" s="0" t="str">
        <f aca="false">CONCATENATE($CC238,$CE$6)</f>
        <v>36923Rho</v>
      </c>
      <c r="CO238" s="0" t="str">
        <f aca="false">CONCATENATE($CC238,$CF$6)</f>
        <v>36923Drift</v>
      </c>
      <c r="CP238" s="0" t="str">
        <f aca="false">CONCATENATE($CC238,$CG$6)</f>
        <v>36923Vega</v>
      </c>
      <c r="CQ238" s="0" t="str">
        <f aca="false">CONCATENATE($CC238,$CH$6)</f>
        <v>36923Theta</v>
      </c>
    </row>
    <row r="239" customFormat="false" ht="12" hidden="false" customHeight="true" outlineLevel="0" collapsed="false">
      <c r="A239" s="17" t="s">
        <v>208</v>
      </c>
      <c r="B239" s="0" t="s">
        <v>192</v>
      </c>
      <c r="C239" s="0" t="s">
        <v>283</v>
      </c>
      <c r="D239" s="7" t="s">
        <v>152</v>
      </c>
      <c r="E239" s="0" t="s">
        <v>131</v>
      </c>
      <c r="F239" s="0" t="s">
        <v>136</v>
      </c>
      <c r="G239" s="92" t="n">
        <v>36892</v>
      </c>
      <c r="H239" s="248" t="n">
        <v>310000</v>
      </c>
      <c r="I239" s="0" t="n">
        <v>0.15</v>
      </c>
      <c r="J239" s="124" t="n">
        <f aca="false">VLOOKUP(G239,NGPrices,2,FALSE())</f>
        <v>4.744</v>
      </c>
      <c r="K239" s="125" t="n">
        <f aca="false">HLOOKUP(D239,Prices,VLOOKUP(G239,move_down,2,FALSE()),FALSE())+VLOOKUP(G239,CHANGE,HLOOKUP(D239,CHANGE,2,FALSE()),FALSE())</f>
        <v>0.1275</v>
      </c>
      <c r="L239" s="124" t="n">
        <f aca="false">K239+J239</f>
        <v>4.8715</v>
      </c>
      <c r="M239" s="126" t="n">
        <f aca="false">VLOOKUP(G239,NGPrices,4,FALSE())</f>
        <v>0.068374831148491</v>
      </c>
      <c r="N239" s="7" t="n">
        <f aca="false">VLOOKUP(G239,NGPrices,3,FALSE())</f>
        <v>0.605</v>
      </c>
      <c r="O239" s="7" t="n">
        <f aca="false">HLOOKUP(D239,VOLS,VLOOKUP(G239,move_down,2,FALSE()),FALSE())</f>
        <v>0.605</v>
      </c>
      <c r="P239" s="249" t="n">
        <f aca="false">HLOOKUP(D239,Correllate,VLOOKUP(G239,CorMove,2,FALSE()),FALSE())</f>
        <v>0.997</v>
      </c>
      <c r="Q239" s="92" t="n">
        <f aca="false">WORKDAY(G239,-2)</f>
        <v>36888</v>
      </c>
      <c r="R239" s="7" t="n">
        <f aca="false">IF(F239="P",0,1)</f>
        <v>1</v>
      </c>
      <c r="S239" s="130" t="e">
        <f aca="false">xSPRDOPT($L239,$J239,$I239,$M239,$O239,$N239,$P239,$Q239-$C$3,$R239,0)</f>
        <v>#NAME?</v>
      </c>
      <c r="T239" s="250" t="e">
        <f aca="false">xSPRDOPT($L239,$J239,$I239,$M239,$O239,$N239,$P239,$Q239-$C$3,$R239,1)*H239</f>
        <v>#NAME?</v>
      </c>
      <c r="U239" s="43" t="e">
        <f aca="false">S239*H239</f>
        <v>#NAME?</v>
      </c>
      <c r="V239" s="250" t="e">
        <f aca="false">xSPRDOPT($L239,$J239,$I239,$M239,$O239,$N239,$P239,$Q239-$C$3,$R239,2)*H239</f>
        <v>#NAME?</v>
      </c>
      <c r="W239" s="250" t="e">
        <f aca="false">+V239+T239</f>
        <v>#NAME?</v>
      </c>
      <c r="X239" s="2" t="str">
        <f aca="false">CONCATENATE(G239,D239)</f>
        <v>36892NGI/CHI. GATE</v>
      </c>
      <c r="Y239" s="251" t="n">
        <f aca="false">H239/10000</f>
        <v>31</v>
      </c>
      <c r="Z239" s="226" t="e">
        <f aca="false">T239/H239</f>
        <v>#NAME?</v>
      </c>
      <c r="AA239" s="226" t="e">
        <f aca="false">xSPRDOPT($L239,$J239,$I239,$M239,$O239,$N239,$P239,$Q239-$C$3,$R239,3)</f>
        <v>#NAME?</v>
      </c>
      <c r="AB239" s="226" t="e">
        <f aca="false">((xSPRDOPT($L239+AB$5,$J239,$I239,$M239,$O239,$N239,$P239,$Q239-$C$3,$R239,3)*$H239)/10000)/100</f>
        <v>#NAME?</v>
      </c>
      <c r="AC239" s="226" t="e">
        <f aca="false">((xSPRDOPT($L239+$AB$5,$J239,$I239,$M239,$O239,$N239,$P239,$Q239-$C$3,$R239,7)*$H239)/100)</f>
        <v>#NAME?</v>
      </c>
      <c r="AD239" s="226" t="e">
        <f aca="false">(xSPRDOPT($L239+$AB$5,$J239,$I239,$M239,$O239,$N239,$P239,$Q239-$C$3,$R239,9)/365)*$H239</f>
        <v>#NAME?</v>
      </c>
      <c r="AE239" s="0" t="e">
        <f aca="false">CD239</f>
        <v>#NAME?</v>
      </c>
      <c r="AF239" s="226" t="e">
        <f aca="false">((O239/N239)*AH239)+AG239</f>
        <v>#NAME?</v>
      </c>
      <c r="AG239" s="226" t="e">
        <f aca="false">((xSPRDOPT($L239,$J239,$I239,$M239,$O239,$N239,$P239,$Q239-$C$3,$R239,6)*$H239)/100)</f>
        <v>#NAME?</v>
      </c>
      <c r="AH239" s="226" t="e">
        <f aca="false">((xSPRDOPT($L239,$J239,$I239,$M239,$O239,$N239,$P239,$Q239-$C$3,$R239,5)*$H239)/100)</f>
        <v>#NAME?</v>
      </c>
      <c r="AI239" s="226" t="e">
        <f aca="false">(((xSPRDOPT($L239,$J239,$I239,$M239,$O239,$N239,$P239,$Q239-$C$3,$R239,4)*$H239)/10000)/100)-AB239</f>
        <v>#NAME?</v>
      </c>
      <c r="AJ239" s="226"/>
      <c r="AK239" s="226"/>
      <c r="AL239" s="226"/>
      <c r="AM239" s="252"/>
      <c r="CC239" s="182" t="n">
        <f aca="false">G239</f>
        <v>36892</v>
      </c>
      <c r="CD239" s="253" t="e">
        <f aca="false">xSPRDOPT((VLOOKUP(G239,NGPrices,2,FALSE())+HLOOKUP(D239,Prices,VLOOKUP(G239,move_down,2,FALSE()),FALSE())),VLOOKUP(G239,NGPrices,2,FALSE()),I239,VLOOKUP(G239,NGPREVPRICES,4,FALSE()),HLOOKUP(D239,PREVVOLS,VLOOKUP(G239,MOVE_DOWN2,2,FALSE()),FALSE()),VLOOKUP(G239,NGPREVPRICES,3,FALSE()),HLOOKUP(D239,Correllate,VLOOKUP(G239,CorMove,2,FALSE()),FALSE()),Q239-$CD$3,R239,$CD$5)*H239-CJ239</f>
        <v>#NAME?</v>
      </c>
      <c r="CE239" s="253" t="e">
        <f aca="false">xSPRDOPT((VLOOKUP(G239,NGPREVPRICES,2,FALSE())+HLOOKUP(D239,PREVCURVES,VLOOKUP(G239,MOVE_DOWN2,2,FALSE()),FALSE())),VLOOKUP(G239,NGPREVPRICES,2,FALSE()),CK239,VLOOKUP(G239,NGPrices,4,FALSE()),HLOOKUP(D239,PREVVOLS,VLOOKUP(G239,MOVE_DOWN2,2,FALSE()),FALSE()),VLOOKUP(G239,NGPREVPRICES,3,FALSE()),HLOOKUP(D239,Correllate,VLOOKUP(G239,CorMove,2,FALSE()),FALSE()),Q239-$CD$3,R239,$CJ$5)*H239-CJ239</f>
        <v>#NAME?</v>
      </c>
      <c r="CF239" s="132" t="e">
        <f aca="false">(CJ239/VLOOKUP(CC239,discount,3,FALSE()))-(CJ239/VLOOKUP(CC239,discount,2,FALSE()))</f>
        <v>#NAME?</v>
      </c>
      <c r="CG239" s="253" t="e">
        <f aca="false">xSPRDOPT((VLOOKUP(G239,NGPREVPRICES,2,FALSE())+HLOOKUP(D239,PREVCURVES,VLOOKUP(G239,MOVE_DOWN2,2,FALSE()),FALSE())),VLOOKUP(G239,NGPREVPRICES,2,FALSE()),CK239,VLOOKUP(G239,NGPREVPRICES,4,FALSE()),HLOOKUP(D239,VOLS,VLOOKUP(G239,move_down,2,FALSE()),FALSE()),VLOOKUP(G239,NGPrices,3,FALSE()),HLOOKUP(D239,Correllate,VLOOKUP(G239,CorMove,2,FALSE()),FALSE()),Q239-$CD$3,R239,$CJ$5)*H239-CJ239</f>
        <v>#NAME?</v>
      </c>
      <c r="CH239" s="253" t="e">
        <f aca="false">xSPRDOPT((VLOOKUP(G239,NGPREVPRICES,2,FALSE())+HLOOKUP(D239,PREVCURVES,VLOOKUP(G239,MOVE_DOWN2,2,FALSE()),FALSE())),VLOOKUP(G239,NGPREVPRICES,2,FALSE()),CK239,VLOOKUP(G239,NGPREVPRICES,4,FALSE()),HLOOKUP(D239,PREVVOLS,VLOOKUP(G239,MOVE_DOWN2,2,FALSE()),FALSE()),VLOOKUP(G239,NGPREVPRICES,3,FALSE()),HLOOKUP(D239,Correllate,VLOOKUP(G239,CorMove,2,FALSE()),FALSE()),Q239-$C$3,R239,$CJ$5)*H239-CJ239</f>
        <v>#NAME?</v>
      </c>
      <c r="CI239" s="253" t="e">
        <f aca="false">SUM(CD239:CH239)</f>
        <v>#NAME?</v>
      </c>
      <c r="CJ239" s="253" t="e">
        <f aca="false">xSPRDOPT((VLOOKUP(G239,NGPREVPRICES,2,FALSE())+HLOOKUP(D239,PREVCURVES,VLOOKUP(G239,MOVE_DOWN2,2,FALSE()),FALSE())),VLOOKUP(G239,NGPREVPRICES,2,FALSE()),CK239,VLOOKUP(G239,NGPREVPRICES,4,FALSE()),HLOOKUP(D239,PREVVOLS,VLOOKUP(G239,MOVE_DOWN2,2,FALSE()),FALSE()),VLOOKUP(G239,NGPREVPRICES,3,FALSE()),HLOOKUP(D239,Correllate,VLOOKUP(G239,CorMove,2,FALSE()),FALSE()),Q239-$CD$3,R239,$CJ$5)*H239</f>
        <v>#NAME?</v>
      </c>
      <c r="CK239" s="254" t="n">
        <f aca="false">I239</f>
        <v>0.15</v>
      </c>
      <c r="CL239" s="253"/>
      <c r="CM239" s="0" t="str">
        <f aca="false">CONCATENATE(CC239,$CD$6)</f>
        <v>36892Curve Shift/Gamma</v>
      </c>
      <c r="CN239" s="0" t="str">
        <f aca="false">CONCATENATE($CC239,$CE$6)</f>
        <v>36892Rho</v>
      </c>
      <c r="CO239" s="0" t="str">
        <f aca="false">CONCATENATE($CC239,$CF$6)</f>
        <v>36892Drift</v>
      </c>
      <c r="CP239" s="0" t="str">
        <f aca="false">CONCATENATE($CC239,$CG$6)</f>
        <v>36892Vega</v>
      </c>
      <c r="CQ239" s="0" t="str">
        <f aca="false">CONCATENATE($CC239,$CH$6)</f>
        <v>36892Theta</v>
      </c>
    </row>
    <row r="240" customFormat="false" ht="12" hidden="false" customHeight="true" outlineLevel="0" collapsed="false">
      <c r="A240" s="17" t="s">
        <v>208</v>
      </c>
      <c r="B240" s="0" t="s">
        <v>192</v>
      </c>
      <c r="C240" s="0" t="s">
        <v>283</v>
      </c>
      <c r="D240" s="7" t="s">
        <v>152</v>
      </c>
      <c r="E240" s="0" t="s">
        <v>131</v>
      </c>
      <c r="F240" s="0" t="s">
        <v>136</v>
      </c>
      <c r="G240" s="92" t="n">
        <v>36861</v>
      </c>
      <c r="H240" s="248" t="n">
        <v>310000</v>
      </c>
      <c r="I240" s="0" t="n">
        <v>0.15</v>
      </c>
      <c r="J240" s="124" t="n">
        <f aca="false">VLOOKUP(G240,NGPrices,2,FALSE())</f>
        <v>4.8</v>
      </c>
      <c r="K240" s="125" t="n">
        <f aca="false">HLOOKUP(D240,Prices,VLOOKUP(G240,move_down,2,FALSE()),FALSE())+VLOOKUP(G240,CHANGE,HLOOKUP(D240,CHANGE,2,FALSE()),FALSE())</f>
        <v>0.1</v>
      </c>
      <c r="L240" s="124" t="n">
        <f aca="false">K240+J240</f>
        <v>4.9</v>
      </c>
      <c r="M240" s="126" t="n">
        <f aca="false">VLOOKUP(G240,NGPrices,4,FALSE())</f>
        <v>0.068314027999354</v>
      </c>
      <c r="N240" s="7" t="n">
        <f aca="false">VLOOKUP(G240,NGPrices,3,FALSE())</f>
        <v>0.6</v>
      </c>
      <c r="O240" s="7" t="n">
        <f aca="false">HLOOKUP(D240,VOLS,VLOOKUP(G240,move_down,2,FALSE()),FALSE())</f>
        <v>0.6</v>
      </c>
      <c r="P240" s="249" t="n">
        <f aca="false">HLOOKUP(D240,Correllate,VLOOKUP(G240,CorMove,2,FALSE()),FALSE())</f>
        <v>0.997</v>
      </c>
      <c r="Q240" s="92" t="n">
        <f aca="false">WORKDAY(G240,-2)</f>
        <v>36859</v>
      </c>
      <c r="R240" s="7" t="n">
        <f aca="false">IF(F240="P",0,1)</f>
        <v>1</v>
      </c>
      <c r="S240" s="130" t="e">
        <f aca="false">xSPRDOPT($L240,$J240,$I240,$M240,$O240,$N240,$P240,$Q240-$C$3,$R240,0)</f>
        <v>#NAME?</v>
      </c>
      <c r="T240" s="250" t="e">
        <f aca="false">xSPRDOPT($L240,$J240,$I240,$M240,$O240,$N240,$P240,$Q240-$C$3,$R240,1)*H240</f>
        <v>#NAME?</v>
      </c>
      <c r="U240" s="43" t="e">
        <f aca="false">S240*H240</f>
        <v>#NAME?</v>
      </c>
      <c r="V240" s="250" t="e">
        <f aca="false">xSPRDOPT($L240,$J240,$I240,$M240,$O240,$N240,$P240,$Q240-$C$3,$R240,2)*H240</f>
        <v>#NAME?</v>
      </c>
      <c r="W240" s="250" t="e">
        <f aca="false">+V240+T240</f>
        <v>#NAME?</v>
      </c>
      <c r="X240" s="2" t="str">
        <f aca="false">CONCATENATE(G240,D240)</f>
        <v>36861NGI/CHI. GATE</v>
      </c>
      <c r="Y240" s="251" t="n">
        <f aca="false">H240/10000</f>
        <v>31</v>
      </c>
      <c r="Z240" s="226" t="e">
        <f aca="false">T240/H240</f>
        <v>#NAME?</v>
      </c>
      <c r="AA240" s="226" t="e">
        <f aca="false">xSPRDOPT($L240,$J240,$I240,$M240,$O240,$N240,$P240,$Q240-$C$3,$R240,3)</f>
        <v>#NAME?</v>
      </c>
      <c r="AB240" s="226" t="e">
        <f aca="false">((xSPRDOPT($L240+AB$5,$J240,$I240,$M240,$O240,$N240,$P240,$Q240-$C$3,$R240,3)*$H240)/10000)/100</f>
        <v>#NAME?</v>
      </c>
      <c r="AC240" s="226" t="e">
        <f aca="false">((xSPRDOPT($L240+$AB$5,$J240,$I240,$M240,$O240,$N240,$P240,$Q240-$C$3,$R240,7)*$H240)/100)</f>
        <v>#NAME?</v>
      </c>
      <c r="AD240" s="226" t="e">
        <f aca="false">(xSPRDOPT($L240+$AB$5,$J240,$I240,$M240,$O240,$N240,$P240,$Q240-$C$3,$R240,9)/365)*$H240</f>
        <v>#NAME?</v>
      </c>
      <c r="AE240" s="0" t="e">
        <f aca="false">CD240</f>
        <v>#NAME?</v>
      </c>
      <c r="AF240" s="226" t="e">
        <f aca="false">((O240/N240)*AH240)+AG240</f>
        <v>#NAME?</v>
      </c>
      <c r="AG240" s="226" t="e">
        <f aca="false">((xSPRDOPT($L240,$J240,$I240,$M240,$O240,$N240,$P240,$Q240-$C$3,$R240,6)*$H240)/100)</f>
        <v>#NAME?</v>
      </c>
      <c r="AH240" s="226" t="e">
        <f aca="false">((xSPRDOPT($L240,$J240,$I240,$M240,$O240,$N240,$P240,$Q240-$C$3,$R240,5)*$H240)/100)</f>
        <v>#NAME?</v>
      </c>
      <c r="AI240" s="226" t="e">
        <f aca="false">(((xSPRDOPT($L240,$J240,$I240,$M240,$O240,$N240,$P240,$Q240-$C$3,$R240,4)*$H240)/10000)/100)-AB240</f>
        <v>#NAME?</v>
      </c>
      <c r="AJ240" s="226"/>
      <c r="AK240" s="226"/>
      <c r="AL240" s="226"/>
      <c r="AM240" s="252"/>
      <c r="CC240" s="182" t="n">
        <f aca="false">G240</f>
        <v>36861</v>
      </c>
      <c r="CD240" s="253" t="e">
        <f aca="false">xSPRDOPT((VLOOKUP(G240,NGPrices,2,FALSE())+HLOOKUP(D240,Prices,VLOOKUP(G240,move_down,2,FALSE()),FALSE())),VLOOKUP(G240,NGPrices,2,FALSE()),I240,VLOOKUP(G240,NGPREVPRICES,4,FALSE()),HLOOKUP(D240,PREVVOLS,VLOOKUP(G240,MOVE_DOWN2,2,FALSE()),FALSE()),VLOOKUP(G240,NGPREVPRICES,3,FALSE()),HLOOKUP(D240,Correllate,VLOOKUP(G240,CorMove,2,FALSE()),FALSE()),Q240-$CD$3,R240,$CD$5)*H240-CJ240</f>
        <v>#NAME?</v>
      </c>
      <c r="CE240" s="253" t="e">
        <f aca="false">xSPRDOPT((VLOOKUP(G240,NGPREVPRICES,2,FALSE())+HLOOKUP(D240,PREVCURVES,VLOOKUP(G240,MOVE_DOWN2,2,FALSE()),FALSE())),VLOOKUP(G240,NGPREVPRICES,2,FALSE()),CK240,VLOOKUP(G240,NGPrices,4,FALSE()),HLOOKUP(D240,PREVVOLS,VLOOKUP(G240,MOVE_DOWN2,2,FALSE()),FALSE()),VLOOKUP(G240,NGPREVPRICES,3,FALSE()),HLOOKUP(D240,Correllate,VLOOKUP(G240,CorMove,2,FALSE()),FALSE()),Q240-$CD$3,R240,$CJ$5)*H240-CJ240</f>
        <v>#NAME?</v>
      </c>
      <c r="CF240" s="132" t="e">
        <f aca="false">(CJ240/VLOOKUP(CC240,discount,3,FALSE()))-(CJ240/VLOOKUP(CC240,discount,2,FALSE()))</f>
        <v>#NAME?</v>
      </c>
      <c r="CG240" s="253" t="e">
        <f aca="false">xSPRDOPT((VLOOKUP(G240,NGPREVPRICES,2,FALSE())+HLOOKUP(D240,PREVCURVES,VLOOKUP(G240,MOVE_DOWN2,2,FALSE()),FALSE())),VLOOKUP(G240,NGPREVPRICES,2,FALSE()),CK240,VLOOKUP(G240,NGPREVPRICES,4,FALSE()),HLOOKUP(D240,VOLS,VLOOKUP(G240,move_down,2,FALSE()),FALSE()),VLOOKUP(G240,NGPrices,3,FALSE()),HLOOKUP(D240,Correllate,VLOOKUP(G240,CorMove,2,FALSE()),FALSE()),Q240-$CD$3,R240,$CJ$5)*H240-CJ240</f>
        <v>#NAME?</v>
      </c>
      <c r="CH240" s="253" t="e">
        <f aca="false">xSPRDOPT((VLOOKUP(G240,NGPREVPRICES,2,FALSE())+HLOOKUP(D240,PREVCURVES,VLOOKUP(G240,MOVE_DOWN2,2,FALSE()),FALSE())),VLOOKUP(G240,NGPREVPRICES,2,FALSE()),CK240,VLOOKUP(G240,NGPREVPRICES,4,FALSE()),HLOOKUP(D240,PREVVOLS,VLOOKUP(G240,MOVE_DOWN2,2,FALSE()),FALSE()),VLOOKUP(G240,NGPREVPRICES,3,FALSE()),HLOOKUP(D240,Correllate,VLOOKUP(G240,CorMove,2,FALSE()),FALSE()),Q240-$C$3,R240,$CJ$5)*H240-CJ240</f>
        <v>#NAME?</v>
      </c>
      <c r="CI240" s="253" t="e">
        <f aca="false">SUM(CD240:CH240)</f>
        <v>#NAME?</v>
      </c>
      <c r="CJ240" s="253" t="e">
        <f aca="false">xSPRDOPT((VLOOKUP(G240,NGPREVPRICES,2,FALSE())+HLOOKUP(D240,PREVCURVES,VLOOKUP(G240,MOVE_DOWN2,2,FALSE()),FALSE())),VLOOKUP(G240,NGPREVPRICES,2,FALSE()),CK240,VLOOKUP(G240,NGPREVPRICES,4,FALSE()),HLOOKUP(D240,PREVVOLS,VLOOKUP(G240,MOVE_DOWN2,2,FALSE()),FALSE()),VLOOKUP(G240,NGPREVPRICES,3,FALSE()),HLOOKUP(D240,Correllate,VLOOKUP(G240,CorMove,2,FALSE()),FALSE()),Q240-$CD$3,R240,$CJ$5)*H240</f>
        <v>#NAME?</v>
      </c>
      <c r="CK240" s="254" t="n">
        <f aca="false">I240</f>
        <v>0.15</v>
      </c>
      <c r="CL240" s="253"/>
      <c r="CM240" s="0" t="str">
        <f aca="false">CONCATENATE(CC240,$CD$6)</f>
        <v>36861Curve Shift/Gamma</v>
      </c>
      <c r="CN240" s="0" t="str">
        <f aca="false">CONCATENATE($CC240,$CE$6)</f>
        <v>36861Rho</v>
      </c>
      <c r="CO240" s="0" t="str">
        <f aca="false">CONCATENATE($CC240,$CF$6)</f>
        <v>36861Drift</v>
      </c>
      <c r="CP240" s="0" t="str">
        <f aca="false">CONCATENATE($CC240,$CG$6)</f>
        <v>36861Vega</v>
      </c>
      <c r="CQ240" s="0" t="str">
        <f aca="false">CONCATENATE($CC240,$CH$6)</f>
        <v>36861Theta</v>
      </c>
    </row>
    <row r="241" customFormat="false" ht="12" hidden="false" customHeight="true" outlineLevel="0" collapsed="false">
      <c r="A241" s="17" t="s">
        <v>208</v>
      </c>
      <c r="B241" s="0" t="s">
        <v>192</v>
      </c>
      <c r="C241" s="0" t="s">
        <v>283</v>
      </c>
      <c r="D241" s="7" t="s">
        <v>152</v>
      </c>
      <c r="E241" s="0" t="s">
        <v>131</v>
      </c>
      <c r="F241" s="0" t="s">
        <v>136</v>
      </c>
      <c r="G241" s="92" t="n">
        <v>36831</v>
      </c>
      <c r="H241" s="248" t="n">
        <v>300000</v>
      </c>
      <c r="I241" s="0" t="n">
        <v>0.15</v>
      </c>
      <c r="J241" s="124" t="n">
        <f aca="false">VLOOKUP(G241,NGPrices,2,FALSE())</f>
        <v>4.736</v>
      </c>
      <c r="K241" s="125" t="n">
        <f aca="false">HLOOKUP(D241,Prices,VLOOKUP(G241,move_down,2,FALSE()),FALSE())+VLOOKUP(G241,CHANGE,HLOOKUP(D241,CHANGE,2,FALSE()),FALSE())</f>
        <v>0.0875</v>
      </c>
      <c r="L241" s="124" t="n">
        <f aca="false">K241+J241</f>
        <v>4.8235</v>
      </c>
      <c r="M241" s="126" t="n">
        <f aca="false">VLOOKUP(G241,NGPrices,4,FALSE())</f>
        <v>0.06810675983792</v>
      </c>
      <c r="N241" s="7" t="n">
        <f aca="false">VLOOKUP(G241,NGPrices,3,FALSE())</f>
        <v>0.595</v>
      </c>
      <c r="O241" s="7" t="n">
        <f aca="false">HLOOKUP(D241,VOLS,VLOOKUP(G241,move_down,2,FALSE()),FALSE())</f>
        <v>0.595</v>
      </c>
      <c r="P241" s="249" t="n">
        <f aca="false">HLOOKUP(D241,Correllate,VLOOKUP(G241,CorMove,2,FALSE()),FALSE())</f>
        <v>0.997</v>
      </c>
      <c r="Q241" s="92" t="n">
        <f aca="false">WORKDAY(G241,-2)</f>
        <v>36829</v>
      </c>
      <c r="R241" s="7" t="n">
        <f aca="false">IF(F241="P",0,1)</f>
        <v>1</v>
      </c>
      <c r="S241" s="130" t="e">
        <f aca="false">xSPRDOPT($L241,$J241,$I241,$M241,$O241,$N241,$P241,$Q241-$C$3,$R241,0)</f>
        <v>#NAME?</v>
      </c>
      <c r="T241" s="250" t="e">
        <f aca="false">xSPRDOPT($L241,$J241,$I241,$M241,$O241,$N241,$P241,$Q241-$C$3,$R241,1)*H241</f>
        <v>#NAME?</v>
      </c>
      <c r="U241" s="43" t="e">
        <f aca="false">S241*H241</f>
        <v>#NAME?</v>
      </c>
      <c r="V241" s="250" t="e">
        <f aca="false">xSPRDOPT($L241,$J241,$I241,$M241,$O241,$N241,$P241,$Q241-$C$3,$R241,2)*H241</f>
        <v>#NAME?</v>
      </c>
      <c r="W241" s="250" t="e">
        <f aca="false">+V241+T241</f>
        <v>#NAME?</v>
      </c>
      <c r="X241" s="2" t="str">
        <f aca="false">CONCATENATE(G241,D241)</f>
        <v>36831NGI/CHI. GATE</v>
      </c>
      <c r="Y241" s="251" t="n">
        <f aca="false">H241/10000</f>
        <v>30</v>
      </c>
      <c r="Z241" s="226" t="e">
        <f aca="false">T241/H241</f>
        <v>#NAME?</v>
      </c>
      <c r="AA241" s="226" t="e">
        <f aca="false">xSPRDOPT($L241,$J241,$I241,$M241,$O241,$N241,$P241,$Q241-$C$3,$R241,3)</f>
        <v>#NAME?</v>
      </c>
      <c r="AB241" s="226" t="e">
        <f aca="false">((xSPRDOPT($L241+AB$5,$J241,$I241,$M241,$O241,$N241,$P241,$Q241-$C$3,$R241,3)*$H241)/10000)/100</f>
        <v>#NAME?</v>
      </c>
      <c r="AC241" s="226" t="e">
        <f aca="false">((xSPRDOPT($L241+$AB$5,$J241,$I241,$M241,$O241,$N241,$P241,$Q241-$C$3,$R241,7)*$H241)/100)</f>
        <v>#NAME?</v>
      </c>
      <c r="AD241" s="226" t="e">
        <f aca="false">(xSPRDOPT($L241+$AB$5,$J241,$I241,$M241,$O241,$N241,$P241,$Q241-$C$3,$R241,9)/365)*$H241</f>
        <v>#NAME?</v>
      </c>
      <c r="AE241" s="0" t="e">
        <f aca="false">CD241</f>
        <v>#NAME?</v>
      </c>
      <c r="AF241" s="226" t="e">
        <f aca="false">((O241/N241)*AH241)+AG241</f>
        <v>#NAME?</v>
      </c>
      <c r="AG241" s="226" t="e">
        <f aca="false">((xSPRDOPT($L241,$J241,$I241,$M241,$O241,$N241,$P241,$Q241-$C$3,$R241,6)*$H241)/100)</f>
        <v>#NAME?</v>
      </c>
      <c r="AH241" s="226" t="e">
        <f aca="false">((xSPRDOPT($L241,$J241,$I241,$M241,$O241,$N241,$P241,$Q241-$C$3,$R241,5)*$H241)/100)</f>
        <v>#NAME?</v>
      </c>
      <c r="AI241" s="226" t="e">
        <f aca="false">(((xSPRDOPT($L241,$J241,$I241,$M241,$O241,$N241,$P241,$Q241-$C$3,$R241,4)*$H241)/10000)/100)-AB241</f>
        <v>#NAME?</v>
      </c>
      <c r="AJ241" s="226"/>
      <c r="AK241" s="226"/>
      <c r="AL241" s="226"/>
      <c r="AM241" s="252"/>
      <c r="CC241" s="182" t="n">
        <f aca="false">G241</f>
        <v>36831</v>
      </c>
      <c r="CD241" s="253" t="e">
        <f aca="false">xSPRDOPT((VLOOKUP(G241,NGPrices,2,FALSE())+HLOOKUP(D241,Prices,VLOOKUP(G241,move_down,2,FALSE()),FALSE())),VLOOKUP(G241,NGPrices,2,FALSE()),I241,VLOOKUP(G241,NGPREVPRICES,4,FALSE()),HLOOKUP(D241,PREVVOLS,VLOOKUP(G241,MOVE_DOWN2,2,FALSE()),FALSE()),VLOOKUP(G241,NGPREVPRICES,3,FALSE()),HLOOKUP(D241,Correllate,VLOOKUP(G241,CorMove,2,FALSE()),FALSE()),Q241-$CD$3,R241,$CD$5)*H241-CJ241</f>
        <v>#NAME?</v>
      </c>
      <c r="CE241" s="253" t="e">
        <f aca="false">xSPRDOPT((VLOOKUP(G241,NGPREVPRICES,2,FALSE())+HLOOKUP(D241,PREVCURVES,VLOOKUP(G241,MOVE_DOWN2,2,FALSE()),FALSE())),VLOOKUP(G241,NGPREVPRICES,2,FALSE()),CK241,VLOOKUP(G241,NGPrices,4,FALSE()),HLOOKUP(D241,PREVVOLS,VLOOKUP(G241,MOVE_DOWN2,2,FALSE()),FALSE()),VLOOKUP(G241,NGPREVPRICES,3,FALSE()),HLOOKUP(D241,Correllate,VLOOKUP(G241,CorMove,2,FALSE()),FALSE()),Q241-$CD$3,R241,$CJ$5)*H241-CJ241</f>
        <v>#NAME?</v>
      </c>
      <c r="CF241" s="132" t="e">
        <f aca="false">(CJ241/VLOOKUP(CC241,discount,3,FALSE()))-(CJ241/VLOOKUP(CC241,discount,2,FALSE()))</f>
        <v>#NAME?</v>
      </c>
      <c r="CG241" s="253" t="e">
        <f aca="false">xSPRDOPT((VLOOKUP(G241,NGPREVPRICES,2,FALSE())+HLOOKUP(D241,PREVCURVES,VLOOKUP(G241,MOVE_DOWN2,2,FALSE()),FALSE())),VLOOKUP(G241,NGPREVPRICES,2,FALSE()),CK241,VLOOKUP(G241,NGPREVPRICES,4,FALSE()),HLOOKUP(D241,VOLS,VLOOKUP(G241,move_down,2,FALSE()),FALSE()),VLOOKUP(G241,NGPrices,3,FALSE()),HLOOKUP(D241,Correllate,VLOOKUP(G241,CorMove,2,FALSE()),FALSE()),Q241-$CD$3,R241,$CJ$5)*H241-CJ241</f>
        <v>#NAME?</v>
      </c>
      <c r="CH241" s="253" t="e">
        <f aca="false">xSPRDOPT((VLOOKUP(G241,NGPREVPRICES,2,FALSE())+HLOOKUP(D241,PREVCURVES,VLOOKUP(G241,MOVE_DOWN2,2,FALSE()),FALSE())),VLOOKUP(G241,NGPREVPRICES,2,FALSE()),CK241,VLOOKUP(G241,NGPREVPRICES,4,FALSE()),HLOOKUP(D241,PREVVOLS,VLOOKUP(G241,MOVE_DOWN2,2,FALSE()),FALSE()),VLOOKUP(G241,NGPREVPRICES,3,FALSE()),HLOOKUP(D241,Correllate,VLOOKUP(G241,CorMove,2,FALSE()),FALSE()),Q241-$C$3,R241,$CJ$5)*H241-CJ241</f>
        <v>#NAME?</v>
      </c>
      <c r="CI241" s="253" t="e">
        <f aca="false">SUM(CD241:CH241)</f>
        <v>#NAME?</v>
      </c>
      <c r="CJ241" s="253" t="e">
        <f aca="false">xSPRDOPT((VLOOKUP(G241,NGPREVPRICES,2,FALSE())+HLOOKUP(D241,PREVCURVES,VLOOKUP(G241,MOVE_DOWN2,2,FALSE()),FALSE())),VLOOKUP(G241,NGPREVPRICES,2,FALSE()),CK241,VLOOKUP(G241,NGPREVPRICES,4,FALSE()),HLOOKUP(D241,PREVVOLS,VLOOKUP(G241,MOVE_DOWN2,2,FALSE()),FALSE()),VLOOKUP(G241,NGPREVPRICES,3,FALSE()),HLOOKUP(D241,Correllate,VLOOKUP(G241,CorMove,2,FALSE()),FALSE()),Q241-$CD$3,R241,$CJ$5)*H241</f>
        <v>#NAME?</v>
      </c>
      <c r="CK241" s="254" t="n">
        <f aca="false">I241</f>
        <v>0.15</v>
      </c>
      <c r="CL241" s="253"/>
      <c r="CM241" s="0" t="str">
        <f aca="false">CONCATENATE(CC241,$CD$6)</f>
        <v>36831Curve Shift/Gamma</v>
      </c>
      <c r="CN241" s="0" t="str">
        <f aca="false">CONCATENATE($CC241,$CE$6)</f>
        <v>36831Rho</v>
      </c>
      <c r="CO241" s="0" t="str">
        <f aca="false">CONCATENATE($CC241,$CF$6)</f>
        <v>36831Drift</v>
      </c>
      <c r="CP241" s="0" t="str">
        <f aca="false">CONCATENATE($CC241,$CG$6)</f>
        <v>36831Vega</v>
      </c>
      <c r="CQ241" s="0" t="str">
        <f aca="false">CONCATENATE($CC241,$CH$6)</f>
        <v>36831Theta</v>
      </c>
    </row>
    <row r="242" customFormat="false" ht="12" hidden="false" customHeight="true" outlineLevel="0" collapsed="false">
      <c r="A242" s="17" t="s">
        <v>244</v>
      </c>
      <c r="B242" s="0" t="s">
        <v>192</v>
      </c>
      <c r="C242" s="0" t="s">
        <v>284</v>
      </c>
      <c r="D242" s="7" t="s">
        <v>149</v>
      </c>
      <c r="E242" s="0" t="s">
        <v>131</v>
      </c>
      <c r="F242" s="0" t="s">
        <v>132</v>
      </c>
      <c r="G242" s="92" t="n">
        <v>36951</v>
      </c>
      <c r="H242" s="248" t="n">
        <v>1000000</v>
      </c>
      <c r="I242" s="0" t="n">
        <v>0.75</v>
      </c>
      <c r="J242" s="124" t="n">
        <f aca="false">VLOOKUP(G242,NGPrices,2,FALSE())</f>
        <v>4.213</v>
      </c>
      <c r="K242" s="125" t="n">
        <f aca="false">HLOOKUP(D242,Prices,VLOOKUP(G242,move_down,2,FALSE()),FALSE())+VLOOKUP(G242,CHANGE,HLOOKUP(D242,CHANGE,2,FALSE()),FALSE())</f>
        <v>1.075</v>
      </c>
      <c r="L242" s="124" t="n">
        <f aca="false">K242+J242</f>
        <v>5.288</v>
      </c>
      <c r="M242" s="126" t="n">
        <f aca="false">VLOOKUP(G242,NGPrices,4,FALSE())</f>
        <v>0.068879814952707</v>
      </c>
      <c r="N242" s="7" t="n">
        <f aca="false">VLOOKUP(G242,NGPrices,3,FALSE())</f>
        <v>0.5325</v>
      </c>
      <c r="O242" s="7" t="n">
        <f aca="false">HLOOKUP(D242,VOLS,VLOOKUP(G242,move_down,2,FALSE()),FALSE())</f>
        <v>0.612</v>
      </c>
      <c r="P242" s="249" t="n">
        <f aca="false">HLOOKUP(D242,Correllate,VLOOKUP(G242,CorMove,2,FALSE()),FALSE())</f>
        <v>0.83</v>
      </c>
      <c r="Q242" s="92" t="n">
        <f aca="false">WORKDAY(G242,-2)</f>
        <v>36949</v>
      </c>
      <c r="R242" s="7" t="n">
        <f aca="false">IF(F242="P",0,1)</f>
        <v>0</v>
      </c>
      <c r="S242" s="130" t="e">
        <f aca="false">xSPRDOPT($L242,$J242,$I242,$M242,$O242,$N242,$P242,$Q242-$C$3,$R242,0)</f>
        <v>#NAME?</v>
      </c>
      <c r="T242" s="250" t="e">
        <f aca="false">xSPRDOPT($L242,$J242,$I242,$M242,$O242,$N242,$P242,$Q242-$C$3,$R242,1)*H242</f>
        <v>#NAME?</v>
      </c>
      <c r="U242" s="43" t="e">
        <f aca="false">S242*H242</f>
        <v>#NAME?</v>
      </c>
      <c r="V242" s="250" t="e">
        <f aca="false">xSPRDOPT($L242,$J242,$I242,$M242,$O242,$N242,$P242,$Q242-$C$3,$R242,2)*H242</f>
        <v>#NAME?</v>
      </c>
      <c r="W242" s="250" t="e">
        <f aca="false">+V242+T242</f>
        <v>#NAME?</v>
      </c>
      <c r="X242" s="2" t="str">
        <f aca="false">CONCATENATE(G242,D242)</f>
        <v>36951IF-TRANSCO/Z6</v>
      </c>
      <c r="Y242" s="251" t="n">
        <f aca="false">H242/10000</f>
        <v>100</v>
      </c>
      <c r="Z242" s="226" t="e">
        <f aca="false">T242/H242</f>
        <v>#NAME?</v>
      </c>
      <c r="AA242" s="226" t="e">
        <f aca="false">xSPRDOPT($L242,$J242,$I242,$M242,$O242,$N242,$P242,$Q242-$C$3,$R242,3)</f>
        <v>#NAME?</v>
      </c>
      <c r="AB242" s="226" t="e">
        <f aca="false">((xSPRDOPT($L242+AB$5,$J242,$I242,$M242,$O242,$N242,$P242,$Q242-$C$3,$R242,3)*$H242)/10000)/100</f>
        <v>#NAME?</v>
      </c>
      <c r="AC242" s="226" t="e">
        <f aca="false">((xSPRDOPT($L242+$AB$5,$J242,$I242,$M242,$O242,$N242,$P242,$Q242-$C$3,$R242,7)*$H242)/100)</f>
        <v>#NAME?</v>
      </c>
      <c r="AD242" s="226" t="e">
        <f aca="false">(xSPRDOPT($L242+$AB$5,$J242,$I242,$M242,$O242,$N242,$P242,$Q242-$C$3,$R242,9)/365)*$H242</f>
        <v>#NAME?</v>
      </c>
      <c r="AE242" s="0" t="e">
        <f aca="false">CD242</f>
        <v>#NAME?</v>
      </c>
      <c r="AF242" s="226" t="e">
        <f aca="false">((O242/N242)*AH242)+AG242</f>
        <v>#NAME?</v>
      </c>
      <c r="AG242" s="226" t="e">
        <f aca="false">((xSPRDOPT($L242,$J242,$I242,$M242,$O242,$N242,$P242,$Q242-$C$3,$R242,6)*$H242)/100)</f>
        <v>#NAME?</v>
      </c>
      <c r="AH242" s="226" t="e">
        <f aca="false">((xSPRDOPT($L242,$J242,$I242,$M242,$O242,$N242,$P242,$Q242-$C$3,$R242,5)*$H242)/100)</f>
        <v>#NAME?</v>
      </c>
      <c r="AI242" s="226" t="e">
        <f aca="false">(((xSPRDOPT($L242,$J242,$I242,$M242,$O242,$N242,$P242,$Q242-$C$3,$R242,4)*$H242)/10000)/100)-AB242</f>
        <v>#NAME?</v>
      </c>
      <c r="AJ242" s="226"/>
      <c r="AK242" s="226"/>
      <c r="AL242" s="226"/>
      <c r="AM242" s="252"/>
      <c r="CC242" s="182" t="n">
        <f aca="false">G242</f>
        <v>36951</v>
      </c>
      <c r="CD242" s="253" t="e">
        <f aca="false">xSPRDOPT((VLOOKUP(G242,NGPrices,2,FALSE())+HLOOKUP(D242,Prices,VLOOKUP(G242,move_down,2,FALSE()),FALSE())),VLOOKUP(G242,NGPrices,2,FALSE()),I242,VLOOKUP(G242,NGPREVPRICES,4,FALSE()),HLOOKUP(D242,PREVVOLS,VLOOKUP(G242,MOVE_DOWN2,2,FALSE()),FALSE()),VLOOKUP(G242,NGPREVPRICES,3,FALSE()),HLOOKUP(D242,Correllate,VLOOKUP(G242,CorMove,2,FALSE()),FALSE()),Q242-$CD$3,R242,$CD$5)*H242-CJ242</f>
        <v>#NAME?</v>
      </c>
      <c r="CE242" s="253" t="e">
        <f aca="false">xSPRDOPT((VLOOKUP(G242,NGPREVPRICES,2,FALSE())+HLOOKUP(D242,PREVCURVES,VLOOKUP(G242,MOVE_DOWN2,2,FALSE()),FALSE())),VLOOKUP(G242,NGPREVPRICES,2,FALSE()),CK242,VLOOKUP(G242,NGPrices,4,FALSE()),HLOOKUP(D242,PREVVOLS,VLOOKUP(G242,MOVE_DOWN2,2,FALSE()),FALSE()),VLOOKUP(G242,NGPREVPRICES,3,FALSE()),HLOOKUP(D242,Correllate,VLOOKUP(G242,CorMove,2,FALSE()),FALSE()),Q242-$CD$3,R242,$CJ$5)*H242-CJ242</f>
        <v>#NAME?</v>
      </c>
      <c r="CF242" s="132" t="e">
        <f aca="false">(CJ242/VLOOKUP(CC242,discount,3,FALSE()))-(CJ242/VLOOKUP(CC242,discount,2,FALSE()))</f>
        <v>#NAME?</v>
      </c>
      <c r="CG242" s="253" t="e">
        <f aca="false">xSPRDOPT((VLOOKUP(G242,NGPREVPRICES,2,FALSE())+HLOOKUP(D242,PREVCURVES,VLOOKUP(G242,MOVE_DOWN2,2,FALSE()),FALSE())),VLOOKUP(G242,NGPREVPRICES,2,FALSE()),CK242,VLOOKUP(G242,NGPREVPRICES,4,FALSE()),HLOOKUP(D242,VOLS,VLOOKUP(G242,move_down,2,FALSE()),FALSE()),VLOOKUP(G242,NGPrices,3,FALSE()),HLOOKUP(D242,Correllate,VLOOKUP(G242,CorMove,2,FALSE()),FALSE()),Q242-$CD$3,R242,$CJ$5)*H242-CJ242</f>
        <v>#NAME?</v>
      </c>
      <c r="CH242" s="253" t="e">
        <f aca="false">xSPRDOPT((VLOOKUP(G242,NGPREVPRICES,2,FALSE())+HLOOKUP(D242,PREVCURVES,VLOOKUP(G242,MOVE_DOWN2,2,FALSE()),FALSE())),VLOOKUP(G242,NGPREVPRICES,2,FALSE()),CK242,VLOOKUP(G242,NGPREVPRICES,4,FALSE()),HLOOKUP(D242,PREVVOLS,VLOOKUP(G242,MOVE_DOWN2,2,FALSE()),FALSE()),VLOOKUP(G242,NGPREVPRICES,3,FALSE()),HLOOKUP(D242,Correllate,VLOOKUP(G242,CorMove,2,FALSE()),FALSE()),Q242-$C$3,R242,$CJ$5)*H242-CJ242</f>
        <v>#NAME?</v>
      </c>
      <c r="CI242" s="253" t="e">
        <f aca="false">SUM(CD242:CH242)</f>
        <v>#NAME?</v>
      </c>
      <c r="CJ242" s="253" t="e">
        <f aca="false">xSPRDOPT((VLOOKUP(G242,NGPREVPRICES,2,FALSE())+HLOOKUP(D242,PREVCURVES,VLOOKUP(G242,MOVE_DOWN2,2,FALSE()),FALSE())),VLOOKUP(G242,NGPREVPRICES,2,FALSE()),CK242,VLOOKUP(G242,NGPREVPRICES,4,FALSE()),HLOOKUP(D242,PREVVOLS,VLOOKUP(G242,MOVE_DOWN2,2,FALSE()),FALSE()),VLOOKUP(G242,NGPREVPRICES,3,FALSE()),HLOOKUP(D242,Correllate,VLOOKUP(G242,CorMove,2,FALSE()),FALSE()),Q242-$CD$3,R242,$CJ$5)*H242</f>
        <v>#NAME?</v>
      </c>
      <c r="CK242" s="254" t="n">
        <f aca="false">I242</f>
        <v>0.75</v>
      </c>
      <c r="CL242" s="253"/>
      <c r="CM242" s="0" t="str">
        <f aca="false">CONCATENATE(CC242,$CD$6)</f>
        <v>36951Curve Shift/Gamma</v>
      </c>
      <c r="CN242" s="0" t="str">
        <f aca="false">CONCATENATE($CC242,$CE$6)</f>
        <v>36951Rho</v>
      </c>
      <c r="CO242" s="0" t="str">
        <f aca="false">CONCATENATE($CC242,$CF$6)</f>
        <v>36951Drift</v>
      </c>
      <c r="CP242" s="0" t="str">
        <f aca="false">CONCATENATE($CC242,$CG$6)</f>
        <v>36951Vega</v>
      </c>
      <c r="CQ242" s="0" t="str">
        <f aca="false">CONCATENATE($CC242,$CH$6)</f>
        <v>36951Theta</v>
      </c>
    </row>
    <row r="243" customFormat="false" ht="12" hidden="false" customHeight="true" outlineLevel="0" collapsed="false">
      <c r="A243" s="17" t="s">
        <v>244</v>
      </c>
      <c r="B243" s="0" t="s">
        <v>192</v>
      </c>
      <c r="C243" s="0" t="s">
        <v>284</v>
      </c>
      <c r="D243" s="7" t="s">
        <v>149</v>
      </c>
      <c r="E243" s="0" t="s">
        <v>131</v>
      </c>
      <c r="F243" s="0" t="s">
        <v>132</v>
      </c>
      <c r="G243" s="92" t="n">
        <v>36923</v>
      </c>
      <c r="H243" s="248" t="n">
        <v>1000000</v>
      </c>
      <c r="I243" s="0" t="n">
        <v>0.75</v>
      </c>
      <c r="J243" s="124" t="n">
        <f aca="false">VLOOKUP(G243,NGPrices,2,FALSE())</f>
        <v>4.48</v>
      </c>
      <c r="K243" s="125" t="n">
        <f aca="false">HLOOKUP(D243,Prices,VLOOKUP(G243,move_down,2,FALSE()),FALSE())+VLOOKUP(G243,CHANGE,HLOOKUP(D243,CHANGE,2,FALSE()),FALSE())</f>
        <v>2.09</v>
      </c>
      <c r="L243" s="124" t="n">
        <f aca="false">K243+J243</f>
        <v>6.57</v>
      </c>
      <c r="M243" s="126" t="n">
        <f aca="false">VLOOKUP(G243,NGPrices,4,FALSE())</f>
        <v>0.068640161611372</v>
      </c>
      <c r="N243" s="7" t="n">
        <f aca="false">VLOOKUP(G243,NGPrices,3,FALSE())</f>
        <v>0.5925</v>
      </c>
      <c r="O243" s="7" t="n">
        <f aca="false">HLOOKUP(D243,VOLS,VLOOKUP(G243,move_down,2,FALSE()),FALSE())</f>
        <v>0.681</v>
      </c>
      <c r="P243" s="249" t="n">
        <f aca="false">HLOOKUP(D243,Correllate,VLOOKUP(G243,CorMove,2,FALSE()),FALSE())</f>
        <v>0.83</v>
      </c>
      <c r="Q243" s="92" t="n">
        <f aca="false">WORKDAY(G243,-2)</f>
        <v>36921</v>
      </c>
      <c r="R243" s="7" t="n">
        <f aca="false">IF(F243="P",0,1)</f>
        <v>0</v>
      </c>
      <c r="S243" s="130" t="e">
        <f aca="false">xSPRDOPT($L243,$J243,$I243,$M243,$O243,$N243,$P243,$Q243-$C$3,$R243,0)</f>
        <v>#NAME?</v>
      </c>
      <c r="T243" s="250" t="e">
        <f aca="false">xSPRDOPT($L243,$J243,$I243,$M243,$O243,$N243,$P243,$Q243-$C$3,$R243,1)*H243</f>
        <v>#NAME?</v>
      </c>
      <c r="U243" s="43" t="e">
        <f aca="false">S243*H243</f>
        <v>#NAME?</v>
      </c>
      <c r="V243" s="250" t="e">
        <f aca="false">xSPRDOPT($L243,$J243,$I243,$M243,$O243,$N243,$P243,$Q243-$C$3,$R243,2)*H243</f>
        <v>#NAME?</v>
      </c>
      <c r="W243" s="250" t="e">
        <f aca="false">+V243+T243</f>
        <v>#NAME?</v>
      </c>
      <c r="X243" s="2" t="str">
        <f aca="false">CONCATENATE(G243,D243)</f>
        <v>36923IF-TRANSCO/Z6</v>
      </c>
      <c r="Y243" s="251" t="n">
        <f aca="false">H243/10000</f>
        <v>100</v>
      </c>
      <c r="Z243" s="226" t="e">
        <f aca="false">T243/H243</f>
        <v>#NAME?</v>
      </c>
      <c r="AA243" s="226" t="e">
        <f aca="false">xSPRDOPT($L243,$J243,$I243,$M243,$O243,$N243,$P243,$Q243-$C$3,$R243,3)</f>
        <v>#NAME?</v>
      </c>
      <c r="AB243" s="226" t="e">
        <f aca="false">((xSPRDOPT($L243+AB$5,$J243,$I243,$M243,$O243,$N243,$P243,$Q243-$C$3,$R243,3)*$H243)/10000)/100</f>
        <v>#NAME?</v>
      </c>
      <c r="AC243" s="226" t="e">
        <f aca="false">((xSPRDOPT($L243+$AB$5,$J243,$I243,$M243,$O243,$N243,$P243,$Q243-$C$3,$R243,7)*$H243)/100)</f>
        <v>#NAME?</v>
      </c>
      <c r="AD243" s="226" t="e">
        <f aca="false">(xSPRDOPT($L243+$AB$5,$J243,$I243,$M243,$O243,$N243,$P243,$Q243-$C$3,$R243,9)/365)*$H243</f>
        <v>#NAME?</v>
      </c>
      <c r="AE243" s="0" t="e">
        <f aca="false">CD243</f>
        <v>#NAME?</v>
      </c>
      <c r="AF243" s="226" t="e">
        <f aca="false">((O243/N243)*AH243)+AG243</f>
        <v>#NAME?</v>
      </c>
      <c r="AG243" s="226" t="e">
        <f aca="false">((xSPRDOPT($L243,$J243,$I243,$M243,$O243,$N243,$P243,$Q243-$C$3,$R243,6)*$H243)/100)</f>
        <v>#NAME?</v>
      </c>
      <c r="AH243" s="226" t="e">
        <f aca="false">((xSPRDOPT($L243,$J243,$I243,$M243,$O243,$N243,$P243,$Q243-$C$3,$R243,5)*$H243)/100)</f>
        <v>#NAME?</v>
      </c>
      <c r="AI243" s="226" t="e">
        <f aca="false">(((xSPRDOPT($L243,$J243,$I243,$M243,$O243,$N243,$P243,$Q243-$C$3,$R243,4)*$H243)/10000)/100)-AB243</f>
        <v>#NAME?</v>
      </c>
      <c r="AJ243" s="226"/>
      <c r="AK243" s="226"/>
      <c r="AL243" s="226"/>
      <c r="AM243" s="252"/>
      <c r="CC243" s="182" t="n">
        <f aca="false">G243</f>
        <v>36923</v>
      </c>
      <c r="CD243" s="253" t="e">
        <f aca="false">xSPRDOPT((VLOOKUP(G243,NGPrices,2,FALSE())+HLOOKUP(D243,Prices,VLOOKUP(G243,move_down,2,FALSE()),FALSE())),VLOOKUP(G243,NGPrices,2,FALSE()),I243,VLOOKUP(G243,NGPREVPRICES,4,FALSE()),HLOOKUP(D243,PREVVOLS,VLOOKUP(G243,MOVE_DOWN2,2,FALSE()),FALSE()),VLOOKUP(G243,NGPREVPRICES,3,FALSE()),HLOOKUP(D243,Correllate,VLOOKUP(G243,CorMove,2,FALSE()),FALSE()),Q243-$CD$3,R243,$CD$5)*H243-CJ243</f>
        <v>#NAME?</v>
      </c>
      <c r="CE243" s="253" t="e">
        <f aca="false">xSPRDOPT((VLOOKUP(G243,NGPREVPRICES,2,FALSE())+HLOOKUP(D243,PREVCURVES,VLOOKUP(G243,MOVE_DOWN2,2,FALSE()),FALSE())),VLOOKUP(G243,NGPREVPRICES,2,FALSE()),CK243,VLOOKUP(G243,NGPrices,4,FALSE()),HLOOKUP(D243,PREVVOLS,VLOOKUP(G243,MOVE_DOWN2,2,FALSE()),FALSE()),VLOOKUP(G243,NGPREVPRICES,3,FALSE()),HLOOKUP(D243,Correllate,VLOOKUP(G243,CorMove,2,FALSE()),FALSE()),Q243-$CD$3,R243,$CJ$5)*H243-CJ243</f>
        <v>#NAME?</v>
      </c>
      <c r="CF243" s="132" t="e">
        <f aca="false">(CJ243/VLOOKUP(CC243,discount,3,FALSE()))-(CJ243/VLOOKUP(CC243,discount,2,FALSE()))</f>
        <v>#NAME?</v>
      </c>
      <c r="CG243" s="253" t="e">
        <f aca="false">xSPRDOPT((VLOOKUP(G243,NGPREVPRICES,2,FALSE())+HLOOKUP(D243,PREVCURVES,VLOOKUP(G243,MOVE_DOWN2,2,FALSE()),FALSE())),VLOOKUP(G243,NGPREVPRICES,2,FALSE()),CK243,VLOOKUP(G243,NGPREVPRICES,4,FALSE()),HLOOKUP(D243,VOLS,VLOOKUP(G243,move_down,2,FALSE()),FALSE()),VLOOKUP(G243,NGPrices,3,FALSE()),HLOOKUP(D243,Correllate,VLOOKUP(G243,CorMove,2,FALSE()),FALSE()),Q243-$CD$3,R243,$CJ$5)*H243-CJ243</f>
        <v>#NAME?</v>
      </c>
      <c r="CH243" s="253" t="e">
        <f aca="false">xSPRDOPT((VLOOKUP(G243,NGPREVPRICES,2,FALSE())+HLOOKUP(D243,PREVCURVES,VLOOKUP(G243,MOVE_DOWN2,2,FALSE()),FALSE())),VLOOKUP(G243,NGPREVPRICES,2,FALSE()),CK243,VLOOKUP(G243,NGPREVPRICES,4,FALSE()),HLOOKUP(D243,PREVVOLS,VLOOKUP(G243,MOVE_DOWN2,2,FALSE()),FALSE()),VLOOKUP(G243,NGPREVPRICES,3,FALSE()),HLOOKUP(D243,Correllate,VLOOKUP(G243,CorMove,2,FALSE()),FALSE()),Q243-$C$3,R243,$CJ$5)*H243-CJ243</f>
        <v>#NAME?</v>
      </c>
      <c r="CI243" s="253" t="e">
        <f aca="false">SUM(CD243:CH243)</f>
        <v>#NAME?</v>
      </c>
      <c r="CJ243" s="253" t="e">
        <f aca="false">xSPRDOPT((VLOOKUP(G243,NGPREVPRICES,2,FALSE())+HLOOKUP(D243,PREVCURVES,VLOOKUP(G243,MOVE_DOWN2,2,FALSE()),FALSE())),VLOOKUP(G243,NGPREVPRICES,2,FALSE()),CK243,VLOOKUP(G243,NGPREVPRICES,4,FALSE()),HLOOKUP(D243,PREVVOLS,VLOOKUP(G243,MOVE_DOWN2,2,FALSE()),FALSE()),VLOOKUP(G243,NGPREVPRICES,3,FALSE()),HLOOKUP(D243,Correllate,VLOOKUP(G243,CorMove,2,FALSE()),FALSE()),Q243-$CD$3,R243,$CJ$5)*H243</f>
        <v>#NAME?</v>
      </c>
      <c r="CK243" s="254" t="n">
        <f aca="false">I243</f>
        <v>0.75</v>
      </c>
      <c r="CL243" s="253"/>
      <c r="CM243" s="0" t="str">
        <f aca="false">CONCATENATE(CC243,$CD$6)</f>
        <v>36923Curve Shift/Gamma</v>
      </c>
      <c r="CN243" s="0" t="str">
        <f aca="false">CONCATENATE($CC243,$CE$6)</f>
        <v>36923Rho</v>
      </c>
      <c r="CO243" s="0" t="str">
        <f aca="false">CONCATENATE($CC243,$CF$6)</f>
        <v>36923Drift</v>
      </c>
      <c r="CP243" s="0" t="str">
        <f aca="false">CONCATENATE($CC243,$CG$6)</f>
        <v>36923Vega</v>
      </c>
      <c r="CQ243" s="0" t="str">
        <f aca="false">CONCATENATE($CC243,$CH$6)</f>
        <v>36923Theta</v>
      </c>
    </row>
    <row r="244" customFormat="false" ht="12" hidden="false" customHeight="true" outlineLevel="0" collapsed="false">
      <c r="A244" s="17" t="s">
        <v>244</v>
      </c>
      <c r="B244" s="0" t="s">
        <v>192</v>
      </c>
      <c r="C244" s="0" t="s">
        <v>284</v>
      </c>
      <c r="D244" s="7" t="s">
        <v>149</v>
      </c>
      <c r="E244" s="0" t="s">
        <v>131</v>
      </c>
      <c r="F244" s="0" t="s">
        <v>132</v>
      </c>
      <c r="G244" s="92" t="n">
        <v>36892</v>
      </c>
      <c r="H244" s="248" t="n">
        <v>1000000</v>
      </c>
      <c r="I244" s="0" t="n">
        <v>0.75</v>
      </c>
      <c r="J244" s="124" t="n">
        <f aca="false">VLOOKUP(G244,NGPrices,2,FALSE())</f>
        <v>4.744</v>
      </c>
      <c r="K244" s="125" t="n">
        <f aca="false">HLOOKUP(D244,Prices,VLOOKUP(G244,move_down,2,FALSE()),FALSE())+VLOOKUP(G244,CHANGE,HLOOKUP(D244,CHANGE,2,FALSE()),FALSE())</f>
        <v>2.17</v>
      </c>
      <c r="L244" s="124" t="n">
        <f aca="false">K244+J244</f>
        <v>6.914</v>
      </c>
      <c r="M244" s="126" t="n">
        <f aca="false">VLOOKUP(G244,NGPrices,4,FALSE())</f>
        <v>0.068374831148491</v>
      </c>
      <c r="N244" s="7" t="n">
        <f aca="false">VLOOKUP(G244,NGPrices,3,FALSE())</f>
        <v>0.605</v>
      </c>
      <c r="O244" s="7" t="n">
        <f aca="false">HLOOKUP(D244,VOLS,VLOOKUP(G244,move_down,2,FALSE()),FALSE())</f>
        <v>0.696</v>
      </c>
      <c r="P244" s="249" t="n">
        <f aca="false">HLOOKUP(D244,Correllate,VLOOKUP(G244,CorMove,2,FALSE()),FALSE())</f>
        <v>0.83</v>
      </c>
      <c r="Q244" s="92" t="n">
        <f aca="false">WORKDAY(G244,-2)</f>
        <v>36888</v>
      </c>
      <c r="R244" s="7" t="n">
        <f aca="false">IF(F244="P",0,1)</f>
        <v>0</v>
      </c>
      <c r="S244" s="130" t="e">
        <f aca="false">xSPRDOPT($L244,$J244,$I244,$M244,$O244,$N244,$P244,$Q244-$C$3,$R244,0)</f>
        <v>#NAME?</v>
      </c>
      <c r="T244" s="250" t="e">
        <f aca="false">xSPRDOPT($L244,$J244,$I244,$M244,$O244,$N244,$P244,$Q244-$C$3,$R244,1)*H244</f>
        <v>#NAME?</v>
      </c>
      <c r="U244" s="43" t="e">
        <f aca="false">S244*H244</f>
        <v>#NAME?</v>
      </c>
      <c r="V244" s="250" t="e">
        <f aca="false">xSPRDOPT($L244,$J244,$I244,$M244,$O244,$N244,$P244,$Q244-$C$3,$R244,2)*H244</f>
        <v>#NAME?</v>
      </c>
      <c r="W244" s="250" t="e">
        <f aca="false">+V244+T244</f>
        <v>#NAME?</v>
      </c>
      <c r="X244" s="2" t="str">
        <f aca="false">CONCATENATE(G244,D244)</f>
        <v>36892IF-TRANSCO/Z6</v>
      </c>
      <c r="Y244" s="251" t="n">
        <f aca="false">H244/10000</f>
        <v>100</v>
      </c>
      <c r="Z244" s="226" t="e">
        <f aca="false">T244/H244</f>
        <v>#NAME?</v>
      </c>
      <c r="AA244" s="226" t="e">
        <f aca="false">xSPRDOPT($L244,$J244,$I244,$M244,$O244,$N244,$P244,$Q244-$C$3,$R244,3)</f>
        <v>#NAME?</v>
      </c>
      <c r="AB244" s="226" t="e">
        <f aca="false">((xSPRDOPT($L244+AB$5,$J244,$I244,$M244,$O244,$N244,$P244,$Q244-$C$3,$R244,3)*$H244)/10000)/100</f>
        <v>#NAME?</v>
      </c>
      <c r="AC244" s="226" t="e">
        <f aca="false">((xSPRDOPT($L244+$AB$5,$J244,$I244,$M244,$O244,$N244,$P244,$Q244-$C$3,$R244,7)*$H244)/100)</f>
        <v>#NAME?</v>
      </c>
      <c r="AD244" s="226" t="e">
        <f aca="false">(xSPRDOPT($L244+$AB$5,$J244,$I244,$M244,$O244,$N244,$P244,$Q244-$C$3,$R244,9)/365)*$H244</f>
        <v>#NAME?</v>
      </c>
      <c r="AE244" s="0" t="e">
        <f aca="false">CD244</f>
        <v>#NAME?</v>
      </c>
      <c r="AF244" s="226" t="e">
        <f aca="false">((O244/N244)*AH244)+AG244</f>
        <v>#NAME?</v>
      </c>
      <c r="AG244" s="226" t="e">
        <f aca="false">((xSPRDOPT($L244,$J244,$I244,$M244,$O244,$N244,$P244,$Q244-$C$3,$R244,6)*$H244)/100)</f>
        <v>#NAME?</v>
      </c>
      <c r="AH244" s="226" t="e">
        <f aca="false">((xSPRDOPT($L244,$J244,$I244,$M244,$O244,$N244,$P244,$Q244-$C$3,$R244,5)*$H244)/100)</f>
        <v>#NAME?</v>
      </c>
      <c r="AI244" s="226" t="e">
        <f aca="false">(((xSPRDOPT($L244,$J244,$I244,$M244,$O244,$N244,$P244,$Q244-$C$3,$R244,4)*$H244)/10000)/100)-AB244</f>
        <v>#NAME?</v>
      </c>
      <c r="AJ244" s="226"/>
      <c r="AK244" s="226"/>
      <c r="AL244" s="226"/>
      <c r="AM244" s="252"/>
      <c r="CC244" s="182" t="n">
        <f aca="false">G244</f>
        <v>36892</v>
      </c>
      <c r="CD244" s="253" t="e">
        <f aca="false">xSPRDOPT((VLOOKUP(G244,NGPrices,2,FALSE())+HLOOKUP(D244,Prices,VLOOKUP(G244,move_down,2,FALSE()),FALSE())),VLOOKUP(G244,NGPrices,2,FALSE()),I244,VLOOKUP(G244,NGPREVPRICES,4,FALSE()),HLOOKUP(D244,PREVVOLS,VLOOKUP(G244,MOVE_DOWN2,2,FALSE()),FALSE()),VLOOKUP(G244,NGPREVPRICES,3,FALSE()),HLOOKUP(D244,Correllate,VLOOKUP(G244,CorMove,2,FALSE()),FALSE()),Q244-$CD$3,R244,$CD$5)*H244-CJ244</f>
        <v>#NAME?</v>
      </c>
      <c r="CE244" s="253" t="e">
        <f aca="false">xSPRDOPT((VLOOKUP(G244,NGPREVPRICES,2,FALSE())+HLOOKUP(D244,PREVCURVES,VLOOKUP(G244,MOVE_DOWN2,2,FALSE()),FALSE())),VLOOKUP(G244,NGPREVPRICES,2,FALSE()),CK244,VLOOKUP(G244,NGPrices,4,FALSE()),HLOOKUP(D244,PREVVOLS,VLOOKUP(G244,MOVE_DOWN2,2,FALSE()),FALSE()),VLOOKUP(G244,NGPREVPRICES,3,FALSE()),HLOOKUP(D244,Correllate,VLOOKUP(G244,CorMove,2,FALSE()),FALSE()),Q244-$CD$3,R244,$CJ$5)*H244-CJ244</f>
        <v>#NAME?</v>
      </c>
      <c r="CF244" s="132" t="e">
        <f aca="false">(CJ244/VLOOKUP(CC244,discount,3,FALSE()))-(CJ244/VLOOKUP(CC244,discount,2,FALSE()))</f>
        <v>#NAME?</v>
      </c>
      <c r="CG244" s="253" t="e">
        <f aca="false">xSPRDOPT((VLOOKUP(G244,NGPREVPRICES,2,FALSE())+HLOOKUP(D244,PREVCURVES,VLOOKUP(G244,MOVE_DOWN2,2,FALSE()),FALSE())),VLOOKUP(G244,NGPREVPRICES,2,FALSE()),CK244,VLOOKUP(G244,NGPREVPRICES,4,FALSE()),HLOOKUP(D244,VOLS,VLOOKUP(G244,move_down,2,FALSE()),FALSE()),VLOOKUP(G244,NGPrices,3,FALSE()),HLOOKUP(D244,Correllate,VLOOKUP(G244,CorMove,2,FALSE()),FALSE()),Q244-$CD$3,R244,$CJ$5)*H244-CJ244</f>
        <v>#NAME?</v>
      </c>
      <c r="CH244" s="253" t="e">
        <f aca="false">xSPRDOPT((VLOOKUP(G244,NGPREVPRICES,2,FALSE())+HLOOKUP(D244,PREVCURVES,VLOOKUP(G244,MOVE_DOWN2,2,FALSE()),FALSE())),VLOOKUP(G244,NGPREVPRICES,2,FALSE()),CK244,VLOOKUP(G244,NGPREVPRICES,4,FALSE()),HLOOKUP(D244,PREVVOLS,VLOOKUP(G244,MOVE_DOWN2,2,FALSE()),FALSE()),VLOOKUP(G244,NGPREVPRICES,3,FALSE()),HLOOKUP(D244,Correllate,VLOOKUP(G244,CorMove,2,FALSE()),FALSE()),Q244-$C$3,R244,$CJ$5)*H244-CJ244</f>
        <v>#NAME?</v>
      </c>
      <c r="CI244" s="253" t="e">
        <f aca="false">SUM(CD244:CH244)</f>
        <v>#NAME?</v>
      </c>
      <c r="CJ244" s="253" t="e">
        <f aca="false">xSPRDOPT((VLOOKUP(G244,NGPREVPRICES,2,FALSE())+HLOOKUP(D244,PREVCURVES,VLOOKUP(G244,MOVE_DOWN2,2,FALSE()),FALSE())),VLOOKUP(G244,NGPREVPRICES,2,FALSE()),CK244,VLOOKUP(G244,NGPREVPRICES,4,FALSE()),HLOOKUP(D244,PREVVOLS,VLOOKUP(G244,MOVE_DOWN2,2,FALSE()),FALSE()),VLOOKUP(G244,NGPREVPRICES,3,FALSE()),HLOOKUP(D244,Correllate,VLOOKUP(G244,CorMove,2,FALSE()),FALSE()),Q244-$CD$3,R244,$CJ$5)*H244</f>
        <v>#NAME?</v>
      </c>
      <c r="CK244" s="254" t="n">
        <f aca="false">I244</f>
        <v>0.75</v>
      </c>
      <c r="CL244" s="253"/>
      <c r="CM244" s="0" t="str">
        <f aca="false">CONCATENATE(CC244,$CD$6)</f>
        <v>36892Curve Shift/Gamma</v>
      </c>
      <c r="CN244" s="0" t="str">
        <f aca="false">CONCATENATE($CC244,$CE$6)</f>
        <v>36892Rho</v>
      </c>
      <c r="CO244" s="0" t="str">
        <f aca="false">CONCATENATE($CC244,$CF$6)</f>
        <v>36892Drift</v>
      </c>
      <c r="CP244" s="0" t="str">
        <f aca="false">CONCATENATE($CC244,$CG$6)</f>
        <v>36892Vega</v>
      </c>
      <c r="CQ244" s="0" t="str">
        <f aca="false">CONCATENATE($CC244,$CH$6)</f>
        <v>36892Theta</v>
      </c>
    </row>
    <row r="245" customFormat="false" ht="12" hidden="false" customHeight="true" outlineLevel="0" collapsed="false">
      <c r="A245" s="0" t="s">
        <v>244</v>
      </c>
      <c r="B245" s="0" t="s">
        <v>192</v>
      </c>
      <c r="C245" s="0" t="s">
        <v>284</v>
      </c>
      <c r="D245" s="7" t="s">
        <v>149</v>
      </c>
      <c r="E245" s="0" t="s">
        <v>131</v>
      </c>
      <c r="F245" s="0" t="s">
        <v>132</v>
      </c>
      <c r="G245" s="92" t="n">
        <v>36861</v>
      </c>
      <c r="H245" s="248" t="n">
        <v>1000000</v>
      </c>
      <c r="I245" s="0" t="n">
        <v>0.75</v>
      </c>
      <c r="J245" s="124" t="n">
        <f aca="false">VLOOKUP(G245,NGPrices,2,FALSE())</f>
        <v>4.8</v>
      </c>
      <c r="K245" s="125" t="n">
        <f aca="false">HLOOKUP(D245,Prices,VLOOKUP(G245,move_down,2,FALSE()),FALSE())+VLOOKUP(G245,CHANGE,HLOOKUP(D245,CHANGE,2,FALSE()),FALSE())</f>
        <v>1.645</v>
      </c>
      <c r="L245" s="124" t="n">
        <f aca="false">K245+J245</f>
        <v>6.445</v>
      </c>
      <c r="M245" s="126" t="n">
        <f aca="false">VLOOKUP(G245,NGPrices,4,FALSE())</f>
        <v>0.068314027999354</v>
      </c>
      <c r="N245" s="7" t="n">
        <f aca="false">VLOOKUP(G245,NGPrices,3,FALSE())</f>
        <v>0.6</v>
      </c>
      <c r="O245" s="7" t="n">
        <f aca="false">HLOOKUP(D245,VOLS,VLOOKUP(G245,move_down,2,FALSE()),FALSE())</f>
        <v>0.69</v>
      </c>
      <c r="P245" s="249" t="n">
        <f aca="false">HLOOKUP(D245,Correllate,VLOOKUP(G245,CorMove,2,FALSE()),FALSE())</f>
        <v>0.83</v>
      </c>
      <c r="Q245" s="92" t="n">
        <f aca="false">WORKDAY(G245,-2)</f>
        <v>36859</v>
      </c>
      <c r="R245" s="7" t="n">
        <f aca="false">IF(F245="P",0,1)</f>
        <v>0</v>
      </c>
      <c r="S245" s="130" t="e">
        <f aca="false">xSPRDOPT($L245,$J245,$I245,$M245,$O245,$N245,$P245,$Q245-$C$3,$R245,0)</f>
        <v>#NAME?</v>
      </c>
      <c r="T245" s="250" t="e">
        <f aca="false">xSPRDOPT($L245,$J245,$I245,$M245,$O245,$N245,$P245,$Q245-$C$3,$R245,1)*H245</f>
        <v>#NAME?</v>
      </c>
      <c r="U245" s="43" t="e">
        <f aca="false">S245*H245</f>
        <v>#NAME?</v>
      </c>
      <c r="V245" s="250" t="e">
        <f aca="false">xSPRDOPT($L245,$J245,$I245,$M245,$O245,$N245,$P245,$Q245-$C$3,$R245,2)*H245</f>
        <v>#NAME?</v>
      </c>
      <c r="W245" s="250" t="e">
        <f aca="false">+V245+T245</f>
        <v>#NAME?</v>
      </c>
      <c r="X245" s="2" t="str">
        <f aca="false">CONCATENATE(G245,D245)</f>
        <v>36861IF-TRANSCO/Z6</v>
      </c>
      <c r="Y245" s="251" t="n">
        <f aca="false">H245/10000</f>
        <v>100</v>
      </c>
      <c r="Z245" s="226" t="e">
        <f aca="false">T245/H245</f>
        <v>#NAME?</v>
      </c>
      <c r="AA245" s="226" t="e">
        <f aca="false">xSPRDOPT($L245,$J245,$I245,$M245,$O245,$N245,$P245,$Q245-$C$3,$R245,3)</f>
        <v>#NAME?</v>
      </c>
      <c r="AB245" s="226" t="e">
        <f aca="false">((xSPRDOPT($L245+AB$5,$J245,$I245,$M245,$O245,$N245,$P245,$Q245-$C$3,$R245,3)*$H245)/10000)/100</f>
        <v>#NAME?</v>
      </c>
      <c r="AC245" s="226" t="e">
        <f aca="false">((xSPRDOPT($L245+$AB$5,$J245,$I245,$M245,$O245,$N245,$P245,$Q245-$C$3,$R245,7)*$H245)/100)</f>
        <v>#NAME?</v>
      </c>
      <c r="AD245" s="226" t="e">
        <f aca="false">(xSPRDOPT($L245+$AB$5,$J245,$I245,$M245,$O245,$N245,$P245,$Q245-$C$3,$R245,9)/365)*$H245</f>
        <v>#NAME?</v>
      </c>
      <c r="AE245" s="0" t="e">
        <f aca="false">CD245</f>
        <v>#NAME?</v>
      </c>
      <c r="AF245" s="226" t="e">
        <f aca="false">((O245/N245)*AH245)+AG245</f>
        <v>#NAME?</v>
      </c>
      <c r="AG245" s="226" t="e">
        <f aca="false">((xSPRDOPT($L245,$J245,$I245,$M245,$O245,$N245,$P245,$Q245-$C$3,$R245,6)*$H245)/100)</f>
        <v>#NAME?</v>
      </c>
      <c r="AH245" s="226" t="e">
        <f aca="false">((xSPRDOPT($L245,$J245,$I245,$M245,$O245,$N245,$P245,$Q245-$C$3,$R245,5)*$H245)/100)</f>
        <v>#NAME?</v>
      </c>
      <c r="AI245" s="226" t="e">
        <f aca="false">(((xSPRDOPT($L245,$J245,$I245,$M245,$O245,$N245,$P245,$Q245-$C$3,$R245,4)*$H245)/10000)/100)-AB245</f>
        <v>#NAME?</v>
      </c>
      <c r="AJ245" s="226"/>
      <c r="AK245" s="226"/>
      <c r="AL245" s="226"/>
      <c r="AM245" s="252"/>
      <c r="CC245" s="182" t="n">
        <f aca="false">G245</f>
        <v>36861</v>
      </c>
      <c r="CD245" s="253" t="e">
        <f aca="false">xSPRDOPT((VLOOKUP(G245,NGPrices,2,FALSE())+HLOOKUP(D245,Prices,VLOOKUP(G245,move_down,2,FALSE()),FALSE())),VLOOKUP(G245,NGPrices,2,FALSE()),I245,VLOOKUP(G245,NGPREVPRICES,4,FALSE()),HLOOKUP(D245,PREVVOLS,VLOOKUP(G245,MOVE_DOWN2,2,FALSE()),FALSE()),VLOOKUP(G245,NGPREVPRICES,3,FALSE()),HLOOKUP(D245,Correllate,VLOOKUP(G245,CorMove,2,FALSE()),FALSE()),Q245-$CD$3,R245,$CD$5)*H245-CJ245</f>
        <v>#NAME?</v>
      </c>
      <c r="CE245" s="253" t="e">
        <f aca="false">xSPRDOPT((VLOOKUP(G245,NGPREVPRICES,2,FALSE())+HLOOKUP(D245,PREVCURVES,VLOOKUP(G245,MOVE_DOWN2,2,FALSE()),FALSE())),VLOOKUP(G245,NGPREVPRICES,2,FALSE()),CK245,VLOOKUP(G245,NGPrices,4,FALSE()),HLOOKUP(D245,PREVVOLS,VLOOKUP(G245,MOVE_DOWN2,2,FALSE()),FALSE()),VLOOKUP(G245,NGPREVPRICES,3,FALSE()),HLOOKUP(D245,Correllate,VLOOKUP(G245,CorMove,2,FALSE()),FALSE()),Q245-$CD$3,R245,$CJ$5)*H245-CJ245</f>
        <v>#NAME?</v>
      </c>
      <c r="CF245" s="132" t="e">
        <f aca="false">(CJ245/VLOOKUP(CC245,discount,3,FALSE()))-(CJ245/VLOOKUP(CC245,discount,2,FALSE()))</f>
        <v>#NAME?</v>
      </c>
      <c r="CG245" s="253" t="e">
        <f aca="false">xSPRDOPT((VLOOKUP(G245,NGPREVPRICES,2,FALSE())+HLOOKUP(D245,PREVCURVES,VLOOKUP(G245,MOVE_DOWN2,2,FALSE()),FALSE())),VLOOKUP(G245,NGPREVPRICES,2,FALSE()),CK245,VLOOKUP(G245,NGPREVPRICES,4,FALSE()),HLOOKUP(D245,VOLS,VLOOKUP(G245,move_down,2,FALSE()),FALSE()),VLOOKUP(G245,NGPrices,3,FALSE()),HLOOKUP(D245,Correllate,VLOOKUP(G245,CorMove,2,FALSE()),FALSE()),Q245-$CD$3,R245,$CJ$5)*H245-CJ245</f>
        <v>#NAME?</v>
      </c>
      <c r="CH245" s="253" t="e">
        <f aca="false">xSPRDOPT((VLOOKUP(G245,NGPREVPRICES,2,FALSE())+HLOOKUP(D245,PREVCURVES,VLOOKUP(G245,MOVE_DOWN2,2,FALSE()),FALSE())),VLOOKUP(G245,NGPREVPRICES,2,FALSE()),CK245,VLOOKUP(G245,NGPREVPRICES,4,FALSE()),HLOOKUP(D245,PREVVOLS,VLOOKUP(G245,MOVE_DOWN2,2,FALSE()),FALSE()),VLOOKUP(G245,NGPREVPRICES,3,FALSE()),HLOOKUP(D245,Correllate,VLOOKUP(G245,CorMove,2,FALSE()),FALSE()),Q245-$C$3,R245,$CJ$5)*H245-CJ245</f>
        <v>#NAME?</v>
      </c>
      <c r="CI245" s="253" t="e">
        <f aca="false">SUM(CD245:CH245)</f>
        <v>#NAME?</v>
      </c>
      <c r="CJ245" s="253" t="e">
        <f aca="false">xSPRDOPT((VLOOKUP(G245,NGPREVPRICES,2,FALSE())+HLOOKUP(D245,PREVCURVES,VLOOKUP(G245,MOVE_DOWN2,2,FALSE()),FALSE())),VLOOKUP(G245,NGPREVPRICES,2,FALSE()),CK245,VLOOKUP(G245,NGPREVPRICES,4,FALSE()),HLOOKUP(D245,PREVVOLS,VLOOKUP(G245,MOVE_DOWN2,2,FALSE()),FALSE()),VLOOKUP(G245,NGPREVPRICES,3,FALSE()),HLOOKUP(D245,Correllate,VLOOKUP(G245,CorMove,2,FALSE()),FALSE()),Q245-$CD$3,R245,$CJ$5)*H245</f>
        <v>#NAME?</v>
      </c>
      <c r="CK245" s="254" t="n">
        <f aca="false">I245</f>
        <v>0.75</v>
      </c>
      <c r="CL245" s="253"/>
      <c r="CM245" s="0" t="str">
        <f aca="false">CONCATENATE(CC245,$CD$6)</f>
        <v>36861Curve Shift/Gamma</v>
      </c>
      <c r="CN245" s="0" t="str">
        <f aca="false">CONCATENATE($CC245,$CE$6)</f>
        <v>36861Rho</v>
      </c>
      <c r="CO245" s="0" t="str">
        <f aca="false">CONCATENATE($CC245,$CF$6)</f>
        <v>36861Drift</v>
      </c>
      <c r="CP245" s="0" t="str">
        <f aca="false">CONCATENATE($CC245,$CG$6)</f>
        <v>36861Vega</v>
      </c>
      <c r="CQ245" s="0" t="str">
        <f aca="false">CONCATENATE($CC245,$CH$6)</f>
        <v>36861Theta</v>
      </c>
    </row>
    <row r="246" customFormat="false" ht="12" hidden="false" customHeight="true" outlineLevel="0" collapsed="false">
      <c r="A246" s="17" t="s">
        <v>244</v>
      </c>
      <c r="B246" s="0" t="s">
        <v>192</v>
      </c>
      <c r="C246" s="0" t="s">
        <v>284</v>
      </c>
      <c r="D246" s="7" t="s">
        <v>149</v>
      </c>
      <c r="E246" s="0" t="s">
        <v>131</v>
      </c>
      <c r="F246" s="0" t="s">
        <v>132</v>
      </c>
      <c r="G246" s="92" t="n">
        <v>36831</v>
      </c>
      <c r="H246" s="248" t="n">
        <v>1000000</v>
      </c>
      <c r="I246" s="0" t="n">
        <v>0.75</v>
      </c>
      <c r="J246" s="124" t="n">
        <f aca="false">VLOOKUP(G246,NGPrices,2,FALSE())</f>
        <v>4.736</v>
      </c>
      <c r="K246" s="125" t="n">
        <f aca="false">HLOOKUP(D246,Prices,VLOOKUP(G246,move_down,2,FALSE()),FALSE())+VLOOKUP(G246,CHANGE,HLOOKUP(D246,CHANGE,2,FALSE()),FALSE())</f>
        <v>0.77</v>
      </c>
      <c r="L246" s="124" t="n">
        <f aca="false">K246+J246</f>
        <v>5.506</v>
      </c>
      <c r="M246" s="126" t="n">
        <f aca="false">VLOOKUP(G246,NGPrices,4,FALSE())</f>
        <v>0.06810675983792</v>
      </c>
      <c r="N246" s="7" t="n">
        <f aca="false">VLOOKUP(G246,NGPrices,3,FALSE())</f>
        <v>0.595</v>
      </c>
      <c r="O246" s="7" t="n">
        <f aca="false">HLOOKUP(D246,VOLS,VLOOKUP(G246,move_down,2,FALSE()),FALSE())</f>
        <v>0.625</v>
      </c>
      <c r="P246" s="249" t="n">
        <f aca="false">HLOOKUP(D246,Correllate,VLOOKUP(G246,CorMove,2,FALSE()),FALSE())</f>
        <v>0.89</v>
      </c>
      <c r="Q246" s="92" t="n">
        <f aca="false">WORKDAY(G246,-2)</f>
        <v>36829</v>
      </c>
      <c r="R246" s="7" t="n">
        <f aca="false">IF(F246="P",0,1)</f>
        <v>0</v>
      </c>
      <c r="S246" s="130" t="e">
        <f aca="false">xSPRDOPT($L246,$J246,$I246,$M246,$O246,$N246,$P246,$Q246-$C$3,$R246,0)</f>
        <v>#NAME?</v>
      </c>
      <c r="T246" s="250" t="e">
        <f aca="false">xSPRDOPT($L246,$J246,$I246,$M246,$O246,$N246,$P246,$Q246-$C$3,$R246,1)*H246</f>
        <v>#NAME?</v>
      </c>
      <c r="U246" s="43" t="e">
        <f aca="false">S246*H246</f>
        <v>#NAME?</v>
      </c>
      <c r="V246" s="250" t="e">
        <f aca="false">xSPRDOPT($L246,$J246,$I246,$M246,$O246,$N246,$P246,$Q246-$C$3,$R246,2)*H246</f>
        <v>#NAME?</v>
      </c>
      <c r="W246" s="250" t="e">
        <f aca="false">+V246+T246</f>
        <v>#NAME?</v>
      </c>
      <c r="X246" s="2" t="str">
        <f aca="false">CONCATENATE(G246,D246)</f>
        <v>36831IF-TRANSCO/Z6</v>
      </c>
      <c r="Y246" s="251" t="n">
        <f aca="false">H246/10000</f>
        <v>100</v>
      </c>
      <c r="Z246" s="226" t="e">
        <f aca="false">T246/H246</f>
        <v>#NAME?</v>
      </c>
      <c r="AA246" s="226" t="e">
        <f aca="false">xSPRDOPT($L246,$J246,$I246,$M246,$O246,$N246,$P246,$Q246-$C$3,$R246,3)</f>
        <v>#NAME?</v>
      </c>
      <c r="AB246" s="226" t="e">
        <f aca="false">((xSPRDOPT($L246+AB$5,$J246,$I246,$M246,$O246,$N246,$P246,$Q246-$C$3,$R246,3)*$H246)/10000)/100</f>
        <v>#NAME?</v>
      </c>
      <c r="AC246" s="226" t="e">
        <f aca="false">((xSPRDOPT($L246+$AB$5,$J246,$I246,$M246,$O246,$N246,$P246,$Q246-$C$3,$R246,7)*$H246)/100)</f>
        <v>#NAME?</v>
      </c>
      <c r="AD246" s="226" t="e">
        <f aca="false">(xSPRDOPT($L246+$AB$5,$J246,$I246,$M246,$O246,$N246,$P246,$Q246-$C$3,$R246,9)/365)*$H246</f>
        <v>#NAME?</v>
      </c>
      <c r="AE246" s="0" t="e">
        <f aca="false">CD246</f>
        <v>#NAME?</v>
      </c>
      <c r="AF246" s="226" t="e">
        <f aca="false">((O246/N246)*AH246)+AG246</f>
        <v>#NAME?</v>
      </c>
      <c r="AG246" s="226" t="e">
        <f aca="false">((xSPRDOPT($L246,$J246,$I246,$M246,$O246,$N246,$P246,$Q246-$C$3,$R246,6)*$H246)/100)</f>
        <v>#NAME?</v>
      </c>
      <c r="AH246" s="226" t="e">
        <f aca="false">((xSPRDOPT($L246,$J246,$I246,$M246,$O246,$N246,$P246,$Q246-$C$3,$R246,5)*$H246)/100)</f>
        <v>#NAME?</v>
      </c>
      <c r="AI246" s="226" t="e">
        <f aca="false">(((xSPRDOPT($L246,$J246,$I246,$M246,$O246,$N246,$P246,$Q246-$C$3,$R246,4)*$H246)/10000)/100)-AB246</f>
        <v>#NAME?</v>
      </c>
      <c r="AJ246" s="226"/>
      <c r="AK246" s="226"/>
      <c r="AL246" s="226"/>
      <c r="AM246" s="252"/>
      <c r="CC246" s="182" t="n">
        <f aca="false">G246</f>
        <v>36831</v>
      </c>
      <c r="CD246" s="253" t="e">
        <f aca="false">xSPRDOPT((VLOOKUP(G246,NGPrices,2,FALSE())+HLOOKUP(D246,Prices,VLOOKUP(G246,move_down,2,FALSE()),FALSE())),VLOOKUP(G246,NGPrices,2,FALSE()),I246,VLOOKUP(G246,NGPREVPRICES,4,FALSE()),HLOOKUP(D246,PREVVOLS,VLOOKUP(G246,MOVE_DOWN2,2,FALSE()),FALSE()),VLOOKUP(G246,NGPREVPRICES,3,FALSE()),HLOOKUP(D246,Correllate,VLOOKUP(G246,CorMove,2,FALSE()),FALSE()),Q246-$CD$3,R246,$CD$5)*H246-CJ246</f>
        <v>#NAME?</v>
      </c>
      <c r="CE246" s="253" t="e">
        <f aca="false">xSPRDOPT((VLOOKUP(G246,NGPREVPRICES,2,FALSE())+HLOOKUP(D246,PREVCURVES,VLOOKUP(G246,MOVE_DOWN2,2,FALSE()),FALSE())),VLOOKUP(G246,NGPREVPRICES,2,FALSE()),CK246,VLOOKUP(G246,NGPrices,4,FALSE()),HLOOKUP(D246,PREVVOLS,VLOOKUP(G246,MOVE_DOWN2,2,FALSE()),FALSE()),VLOOKUP(G246,NGPREVPRICES,3,FALSE()),HLOOKUP(D246,Correllate,VLOOKUP(G246,CorMove,2,FALSE()),FALSE()),Q246-$CD$3,R246,$CJ$5)*H246-CJ246</f>
        <v>#NAME?</v>
      </c>
      <c r="CF246" s="132" t="e">
        <f aca="false">(CJ246/VLOOKUP(CC246,discount,3,FALSE()))-(CJ246/VLOOKUP(CC246,discount,2,FALSE()))</f>
        <v>#NAME?</v>
      </c>
      <c r="CG246" s="253" t="e">
        <f aca="false">xSPRDOPT((VLOOKUP(G246,NGPREVPRICES,2,FALSE())+HLOOKUP(D246,PREVCURVES,VLOOKUP(G246,MOVE_DOWN2,2,FALSE()),FALSE())),VLOOKUP(G246,NGPREVPRICES,2,FALSE()),CK246,VLOOKUP(G246,NGPREVPRICES,4,FALSE()),HLOOKUP(D246,VOLS,VLOOKUP(G246,move_down,2,FALSE()),FALSE()),VLOOKUP(G246,NGPrices,3,FALSE()),HLOOKUP(D246,Correllate,VLOOKUP(G246,CorMove,2,FALSE()),FALSE()),Q246-$CD$3,R246,$CJ$5)*H246-CJ246</f>
        <v>#NAME?</v>
      </c>
      <c r="CH246" s="253" t="e">
        <f aca="false">xSPRDOPT((VLOOKUP(G246,NGPREVPRICES,2,FALSE())+HLOOKUP(D246,PREVCURVES,VLOOKUP(G246,MOVE_DOWN2,2,FALSE()),FALSE())),VLOOKUP(G246,NGPREVPRICES,2,FALSE()),CK246,VLOOKUP(G246,NGPREVPRICES,4,FALSE()),HLOOKUP(D246,PREVVOLS,VLOOKUP(G246,MOVE_DOWN2,2,FALSE()),FALSE()),VLOOKUP(G246,NGPREVPRICES,3,FALSE()),HLOOKUP(D246,Correllate,VLOOKUP(G246,CorMove,2,FALSE()),FALSE()),Q246-$C$3,R246,$CJ$5)*H246-CJ246</f>
        <v>#NAME?</v>
      </c>
      <c r="CI246" s="253" t="e">
        <f aca="false">SUM(CD246:CH246)</f>
        <v>#NAME?</v>
      </c>
      <c r="CJ246" s="253" t="e">
        <f aca="false">xSPRDOPT((VLOOKUP(G246,NGPREVPRICES,2,FALSE())+HLOOKUP(D246,PREVCURVES,VLOOKUP(G246,MOVE_DOWN2,2,FALSE()),FALSE())),VLOOKUP(G246,NGPREVPRICES,2,FALSE()),CK246,VLOOKUP(G246,NGPREVPRICES,4,FALSE()),HLOOKUP(D246,PREVVOLS,VLOOKUP(G246,MOVE_DOWN2,2,FALSE()),FALSE()),VLOOKUP(G246,NGPREVPRICES,3,FALSE()),HLOOKUP(D246,Correllate,VLOOKUP(G246,CorMove,2,FALSE()),FALSE()),Q246-$CD$3,R246,$CJ$5)*H246</f>
        <v>#NAME?</v>
      </c>
      <c r="CK246" s="254" t="n">
        <f aca="false">I246</f>
        <v>0.75</v>
      </c>
      <c r="CL246" s="253"/>
      <c r="CM246" s="0" t="str">
        <f aca="false">CONCATENATE(CC246,$CD$6)</f>
        <v>36831Curve Shift/Gamma</v>
      </c>
      <c r="CN246" s="0" t="str">
        <f aca="false">CONCATENATE($CC246,$CE$6)</f>
        <v>36831Rho</v>
      </c>
      <c r="CO246" s="0" t="str">
        <f aca="false">CONCATENATE($CC246,$CF$6)</f>
        <v>36831Drift</v>
      </c>
      <c r="CP246" s="0" t="str">
        <f aca="false">CONCATENATE($CC246,$CG$6)</f>
        <v>36831Vega</v>
      </c>
      <c r="CQ246" s="0" t="str">
        <f aca="false">CONCATENATE($CC246,$CH$6)</f>
        <v>36831Theta</v>
      </c>
    </row>
    <row r="247" customFormat="false" ht="12.75" hidden="false" customHeight="false" outlineLevel="0" collapsed="false">
      <c r="A247" s="265" t="s">
        <v>198</v>
      </c>
      <c r="B247" s="0" t="s">
        <v>192</v>
      </c>
      <c r="C247" s="0" t="s">
        <v>285</v>
      </c>
      <c r="D247" s="7" t="s">
        <v>149</v>
      </c>
      <c r="E247" s="0" t="s">
        <v>131</v>
      </c>
      <c r="F247" s="0" t="s">
        <v>132</v>
      </c>
      <c r="G247" s="92" t="n">
        <v>36951</v>
      </c>
      <c r="H247" s="248" t="n">
        <v>-620000</v>
      </c>
      <c r="I247" s="0" t="n">
        <v>1.15</v>
      </c>
      <c r="J247" s="124" t="n">
        <f aca="false">VLOOKUP(G247,NGPrices,2,FALSE())</f>
        <v>4.213</v>
      </c>
      <c r="K247" s="125" t="n">
        <f aca="false">HLOOKUP(D247,Prices,VLOOKUP(G247,move_down,2,FALSE()),FALSE())+VLOOKUP(G247,CHANGE,HLOOKUP(D247,CHANGE,2,FALSE()),FALSE())</f>
        <v>1.075</v>
      </c>
      <c r="L247" s="124" t="n">
        <f aca="false">K247+J247</f>
        <v>5.288</v>
      </c>
      <c r="M247" s="126" t="n">
        <f aca="false">VLOOKUP(G247,NGPrices,4,FALSE())</f>
        <v>0.068879814952707</v>
      </c>
      <c r="N247" s="7" t="n">
        <f aca="false">VLOOKUP(G247,NGPrices,3,FALSE())</f>
        <v>0.5325</v>
      </c>
      <c r="O247" s="7" t="n">
        <f aca="false">HLOOKUP(D247,VOLS,VLOOKUP(G247,move_down,2,FALSE()),FALSE())</f>
        <v>0.612</v>
      </c>
      <c r="P247" s="249" t="n">
        <f aca="false">HLOOKUP(D247,Correllate,VLOOKUP(G247,CorMove,2,FALSE()),FALSE())</f>
        <v>0.83</v>
      </c>
      <c r="Q247" s="92" t="n">
        <f aca="false">WORKDAY(G247,-2)</f>
        <v>36949</v>
      </c>
      <c r="R247" s="7" t="n">
        <f aca="false">IF(F247="P",0,1)</f>
        <v>0</v>
      </c>
      <c r="S247" s="130" t="e">
        <f aca="false">xSPRDOPT($L247,$J247,$I247,$M247,$O247,$N247,$P247,$Q247-$C$3,$R247,0)</f>
        <v>#NAME?</v>
      </c>
      <c r="T247" s="250" t="e">
        <f aca="false">xSPRDOPT($L247,$J247,$I247,$M247,$O247,$N247,$P247,$Q247-$C$3,$R247,1)*H247</f>
        <v>#NAME?</v>
      </c>
      <c r="U247" s="43" t="e">
        <f aca="false">S247*H247</f>
        <v>#NAME?</v>
      </c>
      <c r="V247" s="250" t="e">
        <f aca="false">xSPRDOPT($L247,$J247,$I247,$M247,$O247,$N247,$P247,$Q247-$C$3,$R247,2)*H247</f>
        <v>#NAME?</v>
      </c>
      <c r="W247" s="250" t="e">
        <f aca="false">+V247+T247</f>
        <v>#NAME?</v>
      </c>
      <c r="X247" s="2" t="str">
        <f aca="false">CONCATENATE(G247,D247)</f>
        <v>36951IF-TRANSCO/Z6</v>
      </c>
      <c r="Y247" s="251" t="n">
        <f aca="false">H247/10000</f>
        <v>-62</v>
      </c>
      <c r="Z247" s="226" t="e">
        <f aca="false">T247/H247</f>
        <v>#NAME?</v>
      </c>
      <c r="AA247" s="226" t="e">
        <f aca="false">xSPRDOPT($L247,$J247,$I247,$M247,$O247,$N247,$P247,$Q247-$C$3,$R247,3)</f>
        <v>#NAME?</v>
      </c>
      <c r="AB247" s="226" t="e">
        <f aca="false">((xSPRDOPT($L247+AB$5,$J247,$I247,$M247,$O247,$N247,$P247,$Q247-$C$3,$R247,3)*$H247)/10000)/100</f>
        <v>#NAME?</v>
      </c>
      <c r="AC247" s="226" t="e">
        <f aca="false">((xSPRDOPT($L247+$AB$5,$J247,$I247,$M247,$O247,$N247,$P247,$Q247-$C$3,$R247,7)*$H247)/100)</f>
        <v>#NAME?</v>
      </c>
      <c r="AD247" s="226" t="e">
        <f aca="false">(xSPRDOPT($L247+$AB$5,$J247,$I247,$M247,$O247,$N247,$P247,$Q247-$C$3,$R247,9)/365)*$H247</f>
        <v>#NAME?</v>
      </c>
      <c r="AE247" s="0" t="e">
        <f aca="false">CD247</f>
        <v>#NAME?</v>
      </c>
      <c r="AF247" s="226" t="e">
        <f aca="false">((O247/N247)*AH247)+AG247</f>
        <v>#NAME?</v>
      </c>
      <c r="AG247" s="226" t="e">
        <f aca="false">((xSPRDOPT($L247,$J247,$I247,$M247,$O247,$N247,$P247,$Q247-$C$3,$R247,6)*$H247)/100)</f>
        <v>#NAME?</v>
      </c>
      <c r="AH247" s="226" t="e">
        <f aca="false">((xSPRDOPT($L247,$J247,$I247,$M247,$O247,$N247,$P247,$Q247-$C$3,$R247,5)*$H247)/100)</f>
        <v>#NAME?</v>
      </c>
      <c r="AI247" s="226" t="e">
        <f aca="false">(((xSPRDOPT($L247,$J247,$I247,$M247,$O247,$N247,$P247,$Q247-$C$3,$R247,4)*$H247)/10000)/100)-AB247</f>
        <v>#NAME?</v>
      </c>
      <c r="AJ247" s="226"/>
      <c r="AK247" s="226"/>
      <c r="AL247" s="226"/>
      <c r="AM247" s="252"/>
      <c r="CC247" s="182" t="n">
        <f aca="false">G247</f>
        <v>36951</v>
      </c>
      <c r="CD247" s="253" t="e">
        <f aca="false">xSPRDOPT((VLOOKUP(G247,NGPrices,2,FALSE())+HLOOKUP(D247,Prices,VLOOKUP(G247,move_down,2,FALSE()),FALSE())),VLOOKUP(G247,NGPrices,2,FALSE()),I247,VLOOKUP(G247,NGPREVPRICES,4,FALSE()),HLOOKUP(D247,PREVVOLS,VLOOKUP(G247,MOVE_DOWN2,2,FALSE()),FALSE()),VLOOKUP(G247,NGPREVPRICES,3,FALSE()),HLOOKUP(D247,Correllate,VLOOKUP(G247,CorMove,2,FALSE()),FALSE()),Q247-$CD$3,R247,$CD$5)*H247-CJ247</f>
        <v>#NAME?</v>
      </c>
      <c r="CE247" s="253" t="e">
        <f aca="false">xSPRDOPT((VLOOKUP(G247,NGPREVPRICES,2,FALSE())+HLOOKUP(D247,PREVCURVES,VLOOKUP(G247,MOVE_DOWN2,2,FALSE()),FALSE())),VLOOKUP(G247,NGPREVPRICES,2,FALSE()),CK247,VLOOKUP(G247,NGPrices,4,FALSE()),HLOOKUP(D247,PREVVOLS,VLOOKUP(G247,MOVE_DOWN2,2,FALSE()),FALSE()),VLOOKUP(G247,NGPREVPRICES,3,FALSE()),HLOOKUP(D247,Correllate,VLOOKUP(G247,CorMove,2,FALSE()),FALSE()),Q247-$CD$3,R247,$CJ$5)*H247-CJ247</f>
        <v>#NAME?</v>
      </c>
      <c r="CF247" s="132" t="e">
        <f aca="false">(CJ247/VLOOKUP(CC247,discount,3,FALSE()))-(CJ247/VLOOKUP(CC247,discount,2,FALSE()))</f>
        <v>#NAME?</v>
      </c>
      <c r="CG247" s="253" t="e">
        <f aca="false">xSPRDOPT((VLOOKUP(G247,NGPREVPRICES,2,FALSE())+HLOOKUP(D247,PREVCURVES,VLOOKUP(G247,MOVE_DOWN2,2,FALSE()),FALSE())),VLOOKUP(G247,NGPREVPRICES,2,FALSE()),CK247,VLOOKUP(G247,NGPREVPRICES,4,FALSE()),HLOOKUP(D247,VOLS,VLOOKUP(G247,move_down,2,FALSE()),FALSE()),VLOOKUP(G247,NGPrices,3,FALSE()),HLOOKUP(D247,Correllate,VLOOKUP(G247,CorMove,2,FALSE()),FALSE()),Q247-$CD$3,R247,$CJ$5)*H247-CJ247</f>
        <v>#NAME?</v>
      </c>
      <c r="CH247" s="253" t="e">
        <f aca="false">xSPRDOPT((VLOOKUP(G247,NGPREVPRICES,2,FALSE())+HLOOKUP(D247,PREVCURVES,VLOOKUP(G247,MOVE_DOWN2,2,FALSE()),FALSE())),VLOOKUP(G247,NGPREVPRICES,2,FALSE()),CK247,VLOOKUP(G247,NGPREVPRICES,4,FALSE()),HLOOKUP(D247,PREVVOLS,VLOOKUP(G247,MOVE_DOWN2,2,FALSE()),FALSE()),VLOOKUP(G247,NGPREVPRICES,3,FALSE()),HLOOKUP(D247,Correllate,VLOOKUP(G247,CorMove,2,FALSE()),FALSE()),Q247-$C$3,R247,$CJ$5)*H247-CJ247</f>
        <v>#NAME?</v>
      </c>
      <c r="CI247" s="253" t="e">
        <f aca="false">SUM(CD247:CH247)</f>
        <v>#NAME?</v>
      </c>
      <c r="CJ247" s="253" t="e">
        <f aca="false">xSPRDOPT((VLOOKUP(G247,NGPREVPRICES,2,FALSE())+HLOOKUP(D247,PREVCURVES,VLOOKUP(G247,MOVE_DOWN2,2,FALSE()),FALSE())),VLOOKUP(G247,NGPREVPRICES,2,FALSE()),CK247,VLOOKUP(G247,NGPREVPRICES,4,FALSE()),HLOOKUP(D247,PREVVOLS,VLOOKUP(G247,MOVE_DOWN2,2,FALSE()),FALSE()),VLOOKUP(G247,NGPREVPRICES,3,FALSE()),HLOOKUP(D247,Correllate,VLOOKUP(G247,CorMove,2,FALSE()),FALSE()),Q247-$CD$3,R247,$CJ$5)*H247</f>
        <v>#NAME?</v>
      </c>
      <c r="CK247" s="254" t="n">
        <f aca="false">I247</f>
        <v>1.15</v>
      </c>
      <c r="CL247" s="253"/>
      <c r="CM247" s="0" t="str">
        <f aca="false">CONCATENATE(CC247,$CD$6)</f>
        <v>36951Curve Shift/Gamma</v>
      </c>
      <c r="CN247" s="0" t="str">
        <f aca="false">CONCATENATE($CC247,$CE$6)</f>
        <v>36951Rho</v>
      </c>
      <c r="CO247" s="0" t="str">
        <f aca="false">CONCATENATE($CC247,$CF$6)</f>
        <v>36951Drift</v>
      </c>
      <c r="CP247" s="0" t="str">
        <f aca="false">CONCATENATE($CC247,$CG$6)</f>
        <v>36951Vega</v>
      </c>
      <c r="CQ247" s="0" t="str">
        <f aca="false">CONCATENATE($CC247,$CH$6)</f>
        <v>36951Theta</v>
      </c>
    </row>
    <row r="248" customFormat="false" ht="12.75" hidden="false" customHeight="false" outlineLevel="0" collapsed="false">
      <c r="A248" s="265" t="s">
        <v>198</v>
      </c>
      <c r="B248" s="0" t="s">
        <v>192</v>
      </c>
      <c r="C248" s="0" t="s">
        <v>285</v>
      </c>
      <c r="D248" s="7" t="s">
        <v>149</v>
      </c>
      <c r="E248" s="0" t="s">
        <v>131</v>
      </c>
      <c r="F248" s="0" t="s">
        <v>132</v>
      </c>
      <c r="G248" s="92" t="n">
        <v>36923</v>
      </c>
      <c r="H248" s="248" t="n">
        <v>-560000</v>
      </c>
      <c r="I248" s="0" t="n">
        <v>1.15</v>
      </c>
      <c r="J248" s="124" t="n">
        <f aca="false">VLOOKUP(G248,NGPrices,2,FALSE())</f>
        <v>4.48</v>
      </c>
      <c r="K248" s="125" t="n">
        <f aca="false">HLOOKUP(D248,Prices,VLOOKUP(G248,move_down,2,FALSE()),FALSE())+VLOOKUP(G248,CHANGE,HLOOKUP(D248,CHANGE,2,FALSE()),FALSE())</f>
        <v>2.09</v>
      </c>
      <c r="L248" s="124" t="n">
        <f aca="false">K248+J248</f>
        <v>6.57</v>
      </c>
      <c r="M248" s="126" t="n">
        <f aca="false">VLOOKUP(G248,NGPrices,4,FALSE())</f>
        <v>0.068640161611372</v>
      </c>
      <c r="N248" s="7" t="n">
        <f aca="false">VLOOKUP(G248,NGPrices,3,FALSE())</f>
        <v>0.5925</v>
      </c>
      <c r="O248" s="7" t="n">
        <f aca="false">HLOOKUP(D248,VOLS,VLOOKUP(G248,move_down,2,FALSE()),FALSE())</f>
        <v>0.681</v>
      </c>
      <c r="P248" s="249" t="n">
        <f aca="false">HLOOKUP(D248,Correllate,VLOOKUP(G248,CorMove,2,FALSE()),FALSE())</f>
        <v>0.83</v>
      </c>
      <c r="Q248" s="92" t="n">
        <f aca="false">WORKDAY(G248,-2)</f>
        <v>36921</v>
      </c>
      <c r="R248" s="7" t="n">
        <f aca="false">IF(F248="P",0,1)</f>
        <v>0</v>
      </c>
      <c r="S248" s="130" t="e">
        <f aca="false">xSPRDOPT($L248,$J248,$I248,$M248,$O248,$N248,$P248,$Q248-$C$3,$R248,0)</f>
        <v>#NAME?</v>
      </c>
      <c r="T248" s="250" t="e">
        <f aca="false">xSPRDOPT($L248,$J248,$I248,$M248,$O248,$N248,$P248,$Q248-$C$3,$R248,1)*H248</f>
        <v>#NAME?</v>
      </c>
      <c r="U248" s="43" t="e">
        <f aca="false">S248*H248</f>
        <v>#NAME?</v>
      </c>
      <c r="V248" s="250" t="e">
        <f aca="false">xSPRDOPT($L248,$J248,$I248,$M248,$O248,$N248,$P248,$Q248-$C$3,$R248,2)*H248</f>
        <v>#NAME?</v>
      </c>
      <c r="W248" s="250" t="e">
        <f aca="false">+V248+T248</f>
        <v>#NAME?</v>
      </c>
      <c r="X248" s="2" t="str">
        <f aca="false">CONCATENATE(G248,D248)</f>
        <v>36923IF-TRANSCO/Z6</v>
      </c>
      <c r="Y248" s="251" t="n">
        <f aca="false">H248/10000</f>
        <v>-56</v>
      </c>
      <c r="Z248" s="226" t="e">
        <f aca="false">T248/H248</f>
        <v>#NAME?</v>
      </c>
      <c r="AA248" s="226" t="e">
        <f aca="false">xSPRDOPT($L248,$J248,$I248,$M248,$O248,$N248,$P248,$Q248-$C$3,$R248,3)</f>
        <v>#NAME?</v>
      </c>
      <c r="AB248" s="226" t="e">
        <f aca="false">((xSPRDOPT($L248+AB$5,$J248,$I248,$M248,$O248,$N248,$P248,$Q248-$C$3,$R248,3)*$H248)/10000)/100</f>
        <v>#NAME?</v>
      </c>
      <c r="AC248" s="226" t="e">
        <f aca="false">((xSPRDOPT($L248+$AB$5,$J248,$I248,$M248,$O248,$N248,$P248,$Q248-$C$3,$R248,7)*$H248)/100)</f>
        <v>#NAME?</v>
      </c>
      <c r="AD248" s="226" t="e">
        <f aca="false">(xSPRDOPT($L248+$AB$5,$J248,$I248,$M248,$O248,$N248,$P248,$Q248-$C$3,$R248,9)/365)*$H248</f>
        <v>#NAME?</v>
      </c>
      <c r="AE248" s="0" t="e">
        <f aca="false">CD248</f>
        <v>#NAME?</v>
      </c>
      <c r="AF248" s="226" t="e">
        <f aca="false">((O248/N248)*AH248)+AG248</f>
        <v>#NAME?</v>
      </c>
      <c r="AG248" s="226" t="e">
        <f aca="false">((xSPRDOPT($L248,$J248,$I248,$M248,$O248,$N248,$P248,$Q248-$C$3,$R248,6)*$H248)/100)</f>
        <v>#NAME?</v>
      </c>
      <c r="AH248" s="226" t="e">
        <f aca="false">((xSPRDOPT($L248,$J248,$I248,$M248,$O248,$N248,$P248,$Q248-$C$3,$R248,5)*$H248)/100)</f>
        <v>#NAME?</v>
      </c>
      <c r="AI248" s="226" t="e">
        <f aca="false">(((xSPRDOPT($L248,$J248,$I248,$M248,$O248,$N248,$P248,$Q248-$C$3,$R248,4)*$H248)/10000)/100)-AB248</f>
        <v>#NAME?</v>
      </c>
      <c r="AJ248" s="226"/>
      <c r="AK248" s="226"/>
      <c r="AL248" s="226"/>
      <c r="AM248" s="252"/>
      <c r="CC248" s="182" t="n">
        <f aca="false">G248</f>
        <v>36923</v>
      </c>
      <c r="CD248" s="253" t="e">
        <f aca="false">xSPRDOPT((VLOOKUP(G248,NGPrices,2,FALSE())+HLOOKUP(D248,Prices,VLOOKUP(G248,move_down,2,FALSE()),FALSE())),VLOOKUP(G248,NGPrices,2,FALSE()),I248,VLOOKUP(G248,NGPREVPRICES,4,FALSE()),HLOOKUP(D248,PREVVOLS,VLOOKUP(G248,MOVE_DOWN2,2,FALSE()),FALSE()),VLOOKUP(G248,NGPREVPRICES,3,FALSE()),HLOOKUP(D248,Correllate,VLOOKUP(G248,CorMove,2,FALSE()),FALSE()),Q248-$CD$3,R248,$CD$5)*H248-CJ248</f>
        <v>#NAME?</v>
      </c>
      <c r="CE248" s="253" t="e">
        <f aca="false">xSPRDOPT((VLOOKUP(G248,NGPREVPRICES,2,FALSE())+HLOOKUP(D248,PREVCURVES,VLOOKUP(G248,MOVE_DOWN2,2,FALSE()),FALSE())),VLOOKUP(G248,NGPREVPRICES,2,FALSE()),CK248,VLOOKUP(G248,NGPrices,4,FALSE()),HLOOKUP(D248,PREVVOLS,VLOOKUP(G248,MOVE_DOWN2,2,FALSE()),FALSE()),VLOOKUP(G248,NGPREVPRICES,3,FALSE()),HLOOKUP(D248,Correllate,VLOOKUP(G248,CorMove,2,FALSE()),FALSE()),Q248-$CD$3,R248,$CJ$5)*H248-CJ248</f>
        <v>#NAME?</v>
      </c>
      <c r="CF248" s="132" t="e">
        <f aca="false">(CJ248/VLOOKUP(CC248,discount,3,FALSE()))-(CJ248/VLOOKUP(CC248,discount,2,FALSE()))</f>
        <v>#NAME?</v>
      </c>
      <c r="CG248" s="253" t="e">
        <f aca="false">xSPRDOPT((VLOOKUP(G248,NGPREVPRICES,2,FALSE())+HLOOKUP(D248,PREVCURVES,VLOOKUP(G248,MOVE_DOWN2,2,FALSE()),FALSE())),VLOOKUP(G248,NGPREVPRICES,2,FALSE()),CK248,VLOOKUP(G248,NGPREVPRICES,4,FALSE()),HLOOKUP(D248,VOLS,VLOOKUP(G248,move_down,2,FALSE()),FALSE()),VLOOKUP(G248,NGPrices,3,FALSE()),HLOOKUP(D248,Correllate,VLOOKUP(G248,CorMove,2,FALSE()),FALSE()),Q248-$CD$3,R248,$CJ$5)*H248-CJ248</f>
        <v>#NAME?</v>
      </c>
      <c r="CH248" s="253" t="e">
        <f aca="false">xSPRDOPT((VLOOKUP(G248,NGPREVPRICES,2,FALSE())+HLOOKUP(D248,PREVCURVES,VLOOKUP(G248,MOVE_DOWN2,2,FALSE()),FALSE())),VLOOKUP(G248,NGPREVPRICES,2,FALSE()),CK248,VLOOKUP(G248,NGPREVPRICES,4,FALSE()),HLOOKUP(D248,PREVVOLS,VLOOKUP(G248,MOVE_DOWN2,2,FALSE()),FALSE()),VLOOKUP(G248,NGPREVPRICES,3,FALSE()),HLOOKUP(D248,Correllate,VLOOKUP(G248,CorMove,2,FALSE()),FALSE()),Q248-$C$3,R248,$CJ$5)*H248-CJ248</f>
        <v>#NAME?</v>
      </c>
      <c r="CI248" s="253" t="e">
        <f aca="false">SUM(CD248:CH248)</f>
        <v>#NAME?</v>
      </c>
      <c r="CJ248" s="253" t="e">
        <f aca="false">xSPRDOPT((VLOOKUP(G248,NGPREVPRICES,2,FALSE())+HLOOKUP(D248,PREVCURVES,VLOOKUP(G248,MOVE_DOWN2,2,FALSE()),FALSE())),VLOOKUP(G248,NGPREVPRICES,2,FALSE()),CK248,VLOOKUP(G248,NGPREVPRICES,4,FALSE()),HLOOKUP(D248,PREVVOLS,VLOOKUP(G248,MOVE_DOWN2,2,FALSE()),FALSE()),VLOOKUP(G248,NGPREVPRICES,3,FALSE()),HLOOKUP(D248,Correllate,VLOOKUP(G248,CorMove,2,FALSE()),FALSE()),Q248-$CD$3,R248,$CJ$5)*H248</f>
        <v>#NAME?</v>
      </c>
      <c r="CK248" s="254" t="n">
        <f aca="false">I248</f>
        <v>1.15</v>
      </c>
      <c r="CL248" s="253"/>
      <c r="CM248" s="0" t="str">
        <f aca="false">CONCATENATE(CC248,$CD$6)</f>
        <v>36923Curve Shift/Gamma</v>
      </c>
      <c r="CN248" s="0" t="str">
        <f aca="false">CONCATENATE($CC248,$CE$6)</f>
        <v>36923Rho</v>
      </c>
      <c r="CO248" s="0" t="str">
        <f aca="false">CONCATENATE($CC248,$CF$6)</f>
        <v>36923Drift</v>
      </c>
      <c r="CP248" s="0" t="str">
        <f aca="false">CONCATENATE($CC248,$CG$6)</f>
        <v>36923Vega</v>
      </c>
      <c r="CQ248" s="0" t="str">
        <f aca="false">CONCATENATE($CC248,$CH$6)</f>
        <v>36923Theta</v>
      </c>
    </row>
    <row r="249" customFormat="false" ht="12.75" hidden="false" customHeight="false" outlineLevel="0" collapsed="false">
      <c r="A249" s="265" t="s">
        <v>198</v>
      </c>
      <c r="B249" s="0" t="s">
        <v>192</v>
      </c>
      <c r="C249" s="0" t="s">
        <v>285</v>
      </c>
      <c r="D249" s="7" t="s">
        <v>149</v>
      </c>
      <c r="E249" s="0" t="s">
        <v>131</v>
      </c>
      <c r="F249" s="0" t="s">
        <v>132</v>
      </c>
      <c r="G249" s="92" t="n">
        <v>36892</v>
      </c>
      <c r="H249" s="248" t="n">
        <v>-620000</v>
      </c>
      <c r="I249" s="0" t="n">
        <v>1.15</v>
      </c>
      <c r="J249" s="124" t="n">
        <f aca="false">VLOOKUP(G249,NGPrices,2,FALSE())</f>
        <v>4.744</v>
      </c>
      <c r="K249" s="125" t="n">
        <f aca="false">HLOOKUP(D249,Prices,VLOOKUP(G249,move_down,2,FALSE()),FALSE())+VLOOKUP(G249,CHANGE,HLOOKUP(D249,CHANGE,2,FALSE()),FALSE())</f>
        <v>2.17</v>
      </c>
      <c r="L249" s="124" t="n">
        <f aca="false">K249+J249</f>
        <v>6.914</v>
      </c>
      <c r="M249" s="126" t="n">
        <f aca="false">VLOOKUP(G249,NGPrices,4,FALSE())</f>
        <v>0.068374831148491</v>
      </c>
      <c r="N249" s="7" t="n">
        <f aca="false">VLOOKUP(G249,NGPrices,3,FALSE())</f>
        <v>0.605</v>
      </c>
      <c r="O249" s="7" t="n">
        <f aca="false">HLOOKUP(D249,VOLS,VLOOKUP(G249,move_down,2,FALSE()),FALSE())</f>
        <v>0.696</v>
      </c>
      <c r="P249" s="249" t="n">
        <f aca="false">HLOOKUP(D249,Correllate,VLOOKUP(G249,CorMove,2,FALSE()),FALSE())</f>
        <v>0.83</v>
      </c>
      <c r="Q249" s="92" t="n">
        <f aca="false">WORKDAY(G249,-2)</f>
        <v>36888</v>
      </c>
      <c r="R249" s="7" t="n">
        <f aca="false">IF(F249="P",0,1)</f>
        <v>0</v>
      </c>
      <c r="S249" s="130" t="e">
        <f aca="false">xSPRDOPT($L249,$J249,$I249,$M249,$O249,$N249,$P249,$Q249-$C$3,$R249,0)</f>
        <v>#NAME?</v>
      </c>
      <c r="T249" s="250" t="e">
        <f aca="false">xSPRDOPT($L249,$J249,$I249,$M249,$O249,$N249,$P249,$Q249-$C$3,$R249,1)*H249</f>
        <v>#NAME?</v>
      </c>
      <c r="U249" s="43" t="e">
        <f aca="false">S249*H249</f>
        <v>#NAME?</v>
      </c>
      <c r="V249" s="250" t="e">
        <f aca="false">xSPRDOPT($L249,$J249,$I249,$M249,$O249,$N249,$P249,$Q249-$C$3,$R249,2)*H249</f>
        <v>#NAME?</v>
      </c>
      <c r="W249" s="250" t="e">
        <f aca="false">+V249+T249</f>
        <v>#NAME?</v>
      </c>
      <c r="X249" s="2" t="str">
        <f aca="false">CONCATENATE(G249,D249)</f>
        <v>36892IF-TRANSCO/Z6</v>
      </c>
      <c r="Y249" s="251" t="n">
        <f aca="false">H249/10000</f>
        <v>-62</v>
      </c>
      <c r="Z249" s="226" t="e">
        <f aca="false">T249/H249</f>
        <v>#NAME?</v>
      </c>
      <c r="AA249" s="226" t="e">
        <f aca="false">xSPRDOPT($L249,$J249,$I249,$M249,$O249,$N249,$P249,$Q249-$C$3,$R249,3)</f>
        <v>#NAME?</v>
      </c>
      <c r="AB249" s="226" t="e">
        <f aca="false">((xSPRDOPT($L249+AB$5,$J249,$I249,$M249,$O249,$N249,$P249,$Q249-$C$3,$R249,3)*$H249)/10000)/100</f>
        <v>#NAME?</v>
      </c>
      <c r="AC249" s="226" t="e">
        <f aca="false">((xSPRDOPT($L249+$AB$5,$J249,$I249,$M249,$O249,$N249,$P249,$Q249-$C$3,$R249,7)*$H249)/100)</f>
        <v>#NAME?</v>
      </c>
      <c r="AD249" s="226" t="e">
        <f aca="false">(xSPRDOPT($L249+$AB$5,$J249,$I249,$M249,$O249,$N249,$P249,$Q249-$C$3,$R249,9)/365)*$H249</f>
        <v>#NAME?</v>
      </c>
      <c r="AE249" s="0" t="e">
        <f aca="false">CD249</f>
        <v>#NAME?</v>
      </c>
      <c r="AF249" s="226" t="e">
        <f aca="false">((O249/N249)*AH249)+AG249</f>
        <v>#NAME?</v>
      </c>
      <c r="AG249" s="226" t="e">
        <f aca="false">((xSPRDOPT($L249,$J249,$I249,$M249,$O249,$N249,$P249,$Q249-$C$3,$R249,6)*$H249)/100)</f>
        <v>#NAME?</v>
      </c>
      <c r="AH249" s="226" t="e">
        <f aca="false">((xSPRDOPT($L249,$J249,$I249,$M249,$O249,$N249,$P249,$Q249-$C$3,$R249,5)*$H249)/100)</f>
        <v>#NAME?</v>
      </c>
      <c r="AI249" s="226" t="e">
        <f aca="false">(((xSPRDOPT($L249,$J249,$I249,$M249,$O249,$N249,$P249,$Q249-$C$3,$R249,4)*$H249)/10000)/100)-AB249</f>
        <v>#NAME?</v>
      </c>
      <c r="AJ249" s="226"/>
      <c r="AK249" s="226"/>
      <c r="AL249" s="226"/>
      <c r="AM249" s="252"/>
      <c r="CC249" s="182" t="n">
        <f aca="false">G249</f>
        <v>36892</v>
      </c>
      <c r="CD249" s="253" t="e">
        <f aca="false">xSPRDOPT((VLOOKUP(G249,NGPrices,2,FALSE())+HLOOKUP(D249,Prices,VLOOKUP(G249,move_down,2,FALSE()),FALSE())),VLOOKUP(G249,NGPrices,2,FALSE()),I249,VLOOKUP(G249,NGPREVPRICES,4,FALSE()),HLOOKUP(D249,PREVVOLS,VLOOKUP(G249,MOVE_DOWN2,2,FALSE()),FALSE()),VLOOKUP(G249,NGPREVPRICES,3,FALSE()),HLOOKUP(D249,Correllate,VLOOKUP(G249,CorMove,2,FALSE()),FALSE()),Q249-$CD$3,R249,$CD$5)*H249-CJ249</f>
        <v>#NAME?</v>
      </c>
      <c r="CE249" s="253" t="e">
        <f aca="false">xSPRDOPT((VLOOKUP(G249,NGPREVPRICES,2,FALSE())+HLOOKUP(D249,PREVCURVES,VLOOKUP(G249,MOVE_DOWN2,2,FALSE()),FALSE())),VLOOKUP(G249,NGPREVPRICES,2,FALSE()),CK249,VLOOKUP(G249,NGPrices,4,FALSE()),HLOOKUP(D249,PREVVOLS,VLOOKUP(G249,MOVE_DOWN2,2,FALSE()),FALSE()),VLOOKUP(G249,NGPREVPRICES,3,FALSE()),HLOOKUP(D249,Correllate,VLOOKUP(G249,CorMove,2,FALSE()),FALSE()),Q249-$CD$3,R249,$CJ$5)*H249-CJ249</f>
        <v>#NAME?</v>
      </c>
      <c r="CF249" s="132" t="e">
        <f aca="false">(CJ249/VLOOKUP(CC249,discount,3,FALSE()))-(CJ249/VLOOKUP(CC249,discount,2,FALSE()))</f>
        <v>#NAME?</v>
      </c>
      <c r="CG249" s="253" t="e">
        <f aca="false">xSPRDOPT((VLOOKUP(G249,NGPREVPRICES,2,FALSE())+HLOOKUP(D249,PREVCURVES,VLOOKUP(G249,MOVE_DOWN2,2,FALSE()),FALSE())),VLOOKUP(G249,NGPREVPRICES,2,FALSE()),CK249,VLOOKUP(G249,NGPREVPRICES,4,FALSE()),HLOOKUP(D249,VOLS,VLOOKUP(G249,move_down,2,FALSE()),FALSE()),VLOOKUP(G249,NGPrices,3,FALSE()),HLOOKUP(D249,Correllate,VLOOKUP(G249,CorMove,2,FALSE()),FALSE()),Q249-$CD$3,R249,$CJ$5)*H249-CJ249</f>
        <v>#NAME?</v>
      </c>
      <c r="CH249" s="253" t="e">
        <f aca="false">xSPRDOPT((VLOOKUP(G249,NGPREVPRICES,2,FALSE())+HLOOKUP(D249,PREVCURVES,VLOOKUP(G249,MOVE_DOWN2,2,FALSE()),FALSE())),VLOOKUP(G249,NGPREVPRICES,2,FALSE()),CK249,VLOOKUP(G249,NGPREVPRICES,4,FALSE()),HLOOKUP(D249,PREVVOLS,VLOOKUP(G249,MOVE_DOWN2,2,FALSE()),FALSE()),VLOOKUP(G249,NGPREVPRICES,3,FALSE()),HLOOKUP(D249,Correllate,VLOOKUP(G249,CorMove,2,FALSE()),FALSE()),Q249-$C$3,R249,$CJ$5)*H249-CJ249</f>
        <v>#NAME?</v>
      </c>
      <c r="CI249" s="253" t="e">
        <f aca="false">SUM(CD249:CH249)</f>
        <v>#NAME?</v>
      </c>
      <c r="CJ249" s="253" t="e">
        <f aca="false">xSPRDOPT((VLOOKUP(G249,NGPREVPRICES,2,FALSE())+HLOOKUP(D249,PREVCURVES,VLOOKUP(G249,MOVE_DOWN2,2,FALSE()),FALSE())),VLOOKUP(G249,NGPREVPRICES,2,FALSE()),CK249,VLOOKUP(G249,NGPREVPRICES,4,FALSE()),HLOOKUP(D249,PREVVOLS,VLOOKUP(G249,MOVE_DOWN2,2,FALSE()),FALSE()),VLOOKUP(G249,NGPREVPRICES,3,FALSE()),HLOOKUP(D249,Correllate,VLOOKUP(G249,CorMove,2,FALSE()),FALSE()),Q249-$CD$3,R249,$CJ$5)*H249</f>
        <v>#NAME?</v>
      </c>
      <c r="CK249" s="254" t="n">
        <f aca="false">I249</f>
        <v>1.15</v>
      </c>
      <c r="CL249" s="253"/>
      <c r="CM249" s="0" t="str">
        <f aca="false">CONCATENATE(CC249,$CD$6)</f>
        <v>36892Curve Shift/Gamma</v>
      </c>
      <c r="CN249" s="0" t="str">
        <f aca="false">CONCATENATE($CC249,$CE$6)</f>
        <v>36892Rho</v>
      </c>
      <c r="CO249" s="0" t="str">
        <f aca="false">CONCATENATE($CC249,$CF$6)</f>
        <v>36892Drift</v>
      </c>
      <c r="CP249" s="0" t="str">
        <f aca="false">CONCATENATE($CC249,$CG$6)</f>
        <v>36892Vega</v>
      </c>
      <c r="CQ249" s="0" t="str">
        <f aca="false">CONCATENATE($CC249,$CH$6)</f>
        <v>36892Theta</v>
      </c>
    </row>
    <row r="250" customFormat="false" ht="12.75" hidden="false" customHeight="false" outlineLevel="0" collapsed="false">
      <c r="A250" s="265" t="s">
        <v>198</v>
      </c>
      <c r="B250" s="0" t="s">
        <v>192</v>
      </c>
      <c r="C250" s="0" t="s">
        <v>285</v>
      </c>
      <c r="D250" s="7" t="s">
        <v>149</v>
      </c>
      <c r="E250" s="0" t="s">
        <v>131</v>
      </c>
      <c r="F250" s="0" t="s">
        <v>132</v>
      </c>
      <c r="G250" s="92" t="n">
        <v>36861</v>
      </c>
      <c r="H250" s="248" t="n">
        <v>-620000</v>
      </c>
      <c r="I250" s="0" t="n">
        <v>1.15</v>
      </c>
      <c r="J250" s="124" t="n">
        <f aca="false">VLOOKUP(G250,NGPrices,2,FALSE())</f>
        <v>4.8</v>
      </c>
      <c r="K250" s="125" t="n">
        <f aca="false">HLOOKUP(D250,Prices,VLOOKUP(G250,move_down,2,FALSE()),FALSE())+VLOOKUP(G250,CHANGE,HLOOKUP(D250,CHANGE,2,FALSE()),FALSE())</f>
        <v>1.645</v>
      </c>
      <c r="L250" s="124" t="n">
        <f aca="false">K250+J250</f>
        <v>6.445</v>
      </c>
      <c r="M250" s="126" t="n">
        <f aca="false">VLOOKUP(G250,NGPrices,4,FALSE())</f>
        <v>0.068314027999354</v>
      </c>
      <c r="N250" s="7" t="n">
        <f aca="false">VLOOKUP(G250,NGPrices,3,FALSE())</f>
        <v>0.6</v>
      </c>
      <c r="O250" s="7" t="n">
        <f aca="false">HLOOKUP(D250,VOLS,VLOOKUP(G250,move_down,2,FALSE()),FALSE())</f>
        <v>0.69</v>
      </c>
      <c r="P250" s="249" t="n">
        <f aca="false">HLOOKUP(D250,Correllate,VLOOKUP(G250,CorMove,2,FALSE()),FALSE())</f>
        <v>0.83</v>
      </c>
      <c r="Q250" s="92" t="n">
        <f aca="false">WORKDAY(G250,-2)</f>
        <v>36859</v>
      </c>
      <c r="R250" s="7" t="n">
        <f aca="false">IF(F250="P",0,1)</f>
        <v>0</v>
      </c>
      <c r="S250" s="130" t="e">
        <f aca="false">xSPRDOPT($L250,$J250,$I250,$M250,$O250,$N250,$P250,$Q250-$C$3,$R250,0)</f>
        <v>#NAME?</v>
      </c>
      <c r="T250" s="250" t="e">
        <f aca="false">xSPRDOPT($L250,$J250,$I250,$M250,$O250,$N250,$P250,$Q250-$C$3,$R250,1)*H250</f>
        <v>#NAME?</v>
      </c>
      <c r="U250" s="43" t="e">
        <f aca="false">S250*H250</f>
        <v>#NAME?</v>
      </c>
      <c r="V250" s="250" t="e">
        <f aca="false">xSPRDOPT($L250,$J250,$I250,$M250,$O250,$N250,$P250,$Q250-$C$3,$R250,2)*H250</f>
        <v>#NAME?</v>
      </c>
      <c r="W250" s="250" t="e">
        <f aca="false">+V250+T250</f>
        <v>#NAME?</v>
      </c>
      <c r="X250" s="2" t="str">
        <f aca="false">CONCATENATE(G250,D250)</f>
        <v>36861IF-TRANSCO/Z6</v>
      </c>
      <c r="Y250" s="251" t="n">
        <f aca="false">H250/10000</f>
        <v>-62</v>
      </c>
      <c r="Z250" s="226" t="e">
        <f aca="false">T250/H250</f>
        <v>#NAME?</v>
      </c>
      <c r="AA250" s="226" t="e">
        <f aca="false">xSPRDOPT($L250,$J250,$I250,$M250,$O250,$N250,$P250,$Q250-$C$3,$R250,3)</f>
        <v>#NAME?</v>
      </c>
      <c r="AB250" s="226" t="e">
        <f aca="false">((xSPRDOPT($L250+AB$5,$J250,$I250,$M250,$O250,$N250,$P250,$Q250-$C$3,$R250,3)*$H250)/10000)/100</f>
        <v>#NAME?</v>
      </c>
      <c r="AC250" s="226" t="e">
        <f aca="false">((xSPRDOPT($L250+$AB$5,$J250,$I250,$M250,$O250,$N250,$P250,$Q250-$C$3,$R250,7)*$H250)/100)</f>
        <v>#NAME?</v>
      </c>
      <c r="AD250" s="226" t="e">
        <f aca="false">(xSPRDOPT($L250+$AB$5,$J250,$I250,$M250,$O250,$N250,$P250,$Q250-$C$3,$R250,9)/365)*$H250</f>
        <v>#NAME?</v>
      </c>
      <c r="AE250" s="0" t="e">
        <f aca="false">CD250</f>
        <v>#NAME?</v>
      </c>
      <c r="AF250" s="226" t="e">
        <f aca="false">((O250/N250)*AH250)+AG250</f>
        <v>#NAME?</v>
      </c>
      <c r="AG250" s="226" t="e">
        <f aca="false">((xSPRDOPT($L250,$J250,$I250,$M250,$O250,$N250,$P250,$Q250-$C$3,$R250,6)*$H250)/100)</f>
        <v>#NAME?</v>
      </c>
      <c r="AH250" s="226" t="e">
        <f aca="false">((xSPRDOPT($L250,$J250,$I250,$M250,$O250,$N250,$P250,$Q250-$C$3,$R250,5)*$H250)/100)</f>
        <v>#NAME?</v>
      </c>
      <c r="AI250" s="226" t="e">
        <f aca="false">(((xSPRDOPT($L250,$J250,$I250,$M250,$O250,$N250,$P250,$Q250-$C$3,$R250,4)*$H250)/10000)/100)-AB250</f>
        <v>#NAME?</v>
      </c>
      <c r="AJ250" s="226"/>
      <c r="AK250" s="226"/>
      <c r="AL250" s="226"/>
      <c r="AM250" s="252"/>
      <c r="CC250" s="182" t="n">
        <f aca="false">G250</f>
        <v>36861</v>
      </c>
      <c r="CD250" s="253" t="e">
        <f aca="false">xSPRDOPT((VLOOKUP(G250,NGPrices,2,FALSE())+HLOOKUP(D250,Prices,VLOOKUP(G250,move_down,2,FALSE()),FALSE())),VLOOKUP(G250,NGPrices,2,FALSE()),I250,VLOOKUP(G250,NGPREVPRICES,4,FALSE()),HLOOKUP(D250,PREVVOLS,VLOOKUP(G250,MOVE_DOWN2,2,FALSE()),FALSE()),VLOOKUP(G250,NGPREVPRICES,3,FALSE()),HLOOKUP(D250,Correllate,VLOOKUP(G250,CorMove,2,FALSE()),FALSE()),Q250-$CD$3,R250,$CD$5)*H250-CJ250</f>
        <v>#NAME?</v>
      </c>
      <c r="CE250" s="253" t="e">
        <f aca="false">xSPRDOPT((VLOOKUP(G250,NGPREVPRICES,2,FALSE())+HLOOKUP(D250,PREVCURVES,VLOOKUP(G250,MOVE_DOWN2,2,FALSE()),FALSE())),VLOOKUP(G250,NGPREVPRICES,2,FALSE()),CK250,VLOOKUP(G250,NGPrices,4,FALSE()),HLOOKUP(D250,PREVVOLS,VLOOKUP(G250,MOVE_DOWN2,2,FALSE()),FALSE()),VLOOKUP(G250,NGPREVPRICES,3,FALSE()),HLOOKUP(D250,Correllate,VLOOKUP(G250,CorMove,2,FALSE()),FALSE()),Q250-$CD$3,R250,$CJ$5)*H250-CJ250</f>
        <v>#NAME?</v>
      </c>
      <c r="CF250" s="132" t="e">
        <f aca="false">(CJ250/VLOOKUP(CC250,discount,3,FALSE()))-(CJ250/VLOOKUP(CC250,discount,2,FALSE()))</f>
        <v>#NAME?</v>
      </c>
      <c r="CG250" s="253" t="e">
        <f aca="false">xSPRDOPT((VLOOKUP(G250,NGPREVPRICES,2,FALSE())+HLOOKUP(D250,PREVCURVES,VLOOKUP(G250,MOVE_DOWN2,2,FALSE()),FALSE())),VLOOKUP(G250,NGPREVPRICES,2,FALSE()),CK250,VLOOKUP(G250,NGPREVPRICES,4,FALSE()),HLOOKUP(D250,VOLS,VLOOKUP(G250,move_down,2,FALSE()),FALSE()),VLOOKUP(G250,NGPrices,3,FALSE()),HLOOKUP(D250,Correllate,VLOOKUP(G250,CorMove,2,FALSE()),FALSE()),Q250-$CD$3,R250,$CJ$5)*H250-CJ250</f>
        <v>#NAME?</v>
      </c>
      <c r="CH250" s="253" t="e">
        <f aca="false">xSPRDOPT((VLOOKUP(G250,NGPREVPRICES,2,FALSE())+HLOOKUP(D250,PREVCURVES,VLOOKUP(G250,MOVE_DOWN2,2,FALSE()),FALSE())),VLOOKUP(G250,NGPREVPRICES,2,FALSE()),CK250,VLOOKUP(G250,NGPREVPRICES,4,FALSE()),HLOOKUP(D250,PREVVOLS,VLOOKUP(G250,MOVE_DOWN2,2,FALSE()),FALSE()),VLOOKUP(G250,NGPREVPRICES,3,FALSE()),HLOOKUP(D250,Correllate,VLOOKUP(G250,CorMove,2,FALSE()),FALSE()),Q250-$C$3,R250,$CJ$5)*H250-CJ250</f>
        <v>#NAME?</v>
      </c>
      <c r="CI250" s="253" t="e">
        <f aca="false">SUM(CD250:CH250)</f>
        <v>#NAME?</v>
      </c>
      <c r="CJ250" s="253" t="e">
        <f aca="false">xSPRDOPT((VLOOKUP(G250,NGPREVPRICES,2,FALSE())+HLOOKUP(D250,PREVCURVES,VLOOKUP(G250,MOVE_DOWN2,2,FALSE()),FALSE())),VLOOKUP(G250,NGPREVPRICES,2,FALSE()),CK250,VLOOKUP(G250,NGPREVPRICES,4,FALSE()),HLOOKUP(D250,PREVVOLS,VLOOKUP(G250,MOVE_DOWN2,2,FALSE()),FALSE()),VLOOKUP(G250,NGPREVPRICES,3,FALSE()),HLOOKUP(D250,Correllate,VLOOKUP(G250,CorMove,2,FALSE()),FALSE()),Q250-$CD$3,R250,$CJ$5)*H250</f>
        <v>#NAME?</v>
      </c>
      <c r="CK250" s="254" t="n">
        <f aca="false">I250</f>
        <v>1.15</v>
      </c>
      <c r="CL250" s="253"/>
      <c r="CM250" s="0" t="str">
        <f aca="false">CONCATENATE(CC250,$CD$6)</f>
        <v>36861Curve Shift/Gamma</v>
      </c>
      <c r="CN250" s="0" t="str">
        <f aca="false">CONCATENATE($CC250,$CE$6)</f>
        <v>36861Rho</v>
      </c>
      <c r="CO250" s="0" t="str">
        <f aca="false">CONCATENATE($CC250,$CF$6)</f>
        <v>36861Drift</v>
      </c>
      <c r="CP250" s="0" t="str">
        <f aca="false">CONCATENATE($CC250,$CG$6)</f>
        <v>36861Vega</v>
      </c>
      <c r="CQ250" s="0" t="str">
        <f aca="false">CONCATENATE($CC250,$CH$6)</f>
        <v>36861Theta</v>
      </c>
    </row>
    <row r="251" customFormat="false" ht="12.75" hidden="false" customHeight="false" outlineLevel="0" collapsed="false">
      <c r="A251" s="265" t="s">
        <v>198</v>
      </c>
      <c r="B251" s="0" t="s">
        <v>192</v>
      </c>
      <c r="C251" s="0" t="s">
        <v>285</v>
      </c>
      <c r="D251" s="7" t="s">
        <v>149</v>
      </c>
      <c r="E251" s="0" t="s">
        <v>131</v>
      </c>
      <c r="F251" s="0" t="s">
        <v>132</v>
      </c>
      <c r="G251" s="92" t="n">
        <v>36831</v>
      </c>
      <c r="H251" s="248" t="n">
        <v>-600000</v>
      </c>
      <c r="I251" s="0" t="n">
        <v>1.15</v>
      </c>
      <c r="J251" s="124" t="n">
        <f aca="false">VLOOKUP(G251,NGPrices,2,FALSE())</f>
        <v>4.736</v>
      </c>
      <c r="K251" s="125" t="n">
        <f aca="false">HLOOKUP(D251,Prices,VLOOKUP(G251,move_down,2,FALSE()),FALSE())+VLOOKUP(G251,CHANGE,HLOOKUP(D251,CHANGE,2,FALSE()),FALSE())</f>
        <v>0.77</v>
      </c>
      <c r="L251" s="124" t="n">
        <f aca="false">K251+J251</f>
        <v>5.506</v>
      </c>
      <c r="M251" s="126" t="n">
        <f aca="false">VLOOKUP(G251,NGPrices,4,FALSE())</f>
        <v>0.06810675983792</v>
      </c>
      <c r="N251" s="7" t="n">
        <f aca="false">VLOOKUP(G251,NGPrices,3,FALSE())</f>
        <v>0.595</v>
      </c>
      <c r="O251" s="7" t="n">
        <f aca="false">HLOOKUP(D251,VOLS,VLOOKUP(G251,move_down,2,FALSE()),FALSE())</f>
        <v>0.625</v>
      </c>
      <c r="P251" s="249" t="n">
        <f aca="false">HLOOKUP(D251,Correllate,VLOOKUP(G251,CorMove,2,FALSE()),FALSE())</f>
        <v>0.89</v>
      </c>
      <c r="Q251" s="92" t="n">
        <f aca="false">WORKDAY(G251,-2)</f>
        <v>36829</v>
      </c>
      <c r="R251" s="7" t="n">
        <f aca="false">IF(F251="P",0,1)</f>
        <v>0</v>
      </c>
      <c r="S251" s="130" t="e">
        <f aca="false">xSPRDOPT($L251,$J251,$I251,$M251,$O251,$N251,$P251,$Q251-$C$3,$R251,0)</f>
        <v>#NAME?</v>
      </c>
      <c r="T251" s="250" t="e">
        <f aca="false">xSPRDOPT($L251,$J251,$I251,$M251,$O251,$N251,$P251,$Q251-$C$3,$R251,1)*H251</f>
        <v>#NAME?</v>
      </c>
      <c r="U251" s="43" t="e">
        <f aca="false">S251*H251</f>
        <v>#NAME?</v>
      </c>
      <c r="V251" s="250" t="e">
        <f aca="false">xSPRDOPT($L251,$J251,$I251,$M251,$O251,$N251,$P251,$Q251-$C$3,$R251,2)*H251</f>
        <v>#NAME?</v>
      </c>
      <c r="W251" s="250" t="e">
        <f aca="false">+V251+T251</f>
        <v>#NAME?</v>
      </c>
      <c r="X251" s="2" t="str">
        <f aca="false">CONCATENATE(G251,D251)</f>
        <v>36831IF-TRANSCO/Z6</v>
      </c>
      <c r="Y251" s="251" t="n">
        <f aca="false">H251/10000</f>
        <v>-60</v>
      </c>
      <c r="Z251" s="226" t="e">
        <f aca="false">T251/H251</f>
        <v>#NAME?</v>
      </c>
      <c r="AA251" s="226" t="e">
        <f aca="false">xSPRDOPT($L251,$J251,$I251,$M251,$O251,$N251,$P251,$Q251-$C$3,$R251,3)</f>
        <v>#NAME?</v>
      </c>
      <c r="AB251" s="226" t="e">
        <f aca="false">((xSPRDOPT($L251+AB$5,$J251,$I251,$M251,$O251,$N251,$P251,$Q251-$C$3,$R251,3)*$H251)/10000)/100</f>
        <v>#NAME?</v>
      </c>
      <c r="AC251" s="226" t="e">
        <f aca="false">((xSPRDOPT($L251+$AB$5,$J251,$I251,$M251,$O251,$N251,$P251,$Q251-$C$3,$R251,7)*$H251)/100)</f>
        <v>#NAME?</v>
      </c>
      <c r="AD251" s="226" t="e">
        <f aca="false">(xSPRDOPT($L251+$AB$5,$J251,$I251,$M251,$O251,$N251,$P251,$Q251-$C$3,$R251,9)/365)*$H251</f>
        <v>#NAME?</v>
      </c>
      <c r="AE251" s="0" t="e">
        <f aca="false">CD251</f>
        <v>#NAME?</v>
      </c>
      <c r="AF251" s="226" t="e">
        <f aca="false">((O251/N251)*AH251)+AG251</f>
        <v>#NAME?</v>
      </c>
      <c r="AG251" s="226" t="e">
        <f aca="false">((xSPRDOPT($L251,$J251,$I251,$M251,$O251,$N251,$P251,$Q251-$C$3,$R251,6)*$H251)/100)</f>
        <v>#NAME?</v>
      </c>
      <c r="AH251" s="226" t="e">
        <f aca="false">((xSPRDOPT($L251,$J251,$I251,$M251,$O251,$N251,$P251,$Q251-$C$3,$R251,5)*$H251)/100)</f>
        <v>#NAME?</v>
      </c>
      <c r="AI251" s="226" t="e">
        <f aca="false">(((xSPRDOPT($L251,$J251,$I251,$M251,$O251,$N251,$P251,$Q251-$C$3,$R251,4)*$H251)/10000)/100)-AB251</f>
        <v>#NAME?</v>
      </c>
      <c r="AJ251" s="226"/>
      <c r="AK251" s="226"/>
      <c r="AL251" s="226"/>
      <c r="AM251" s="252"/>
      <c r="CC251" s="182" t="n">
        <f aca="false">G251</f>
        <v>36831</v>
      </c>
      <c r="CD251" s="253" t="e">
        <f aca="false">xSPRDOPT((VLOOKUP(G251,NGPrices,2,FALSE())+HLOOKUP(D251,Prices,VLOOKUP(G251,move_down,2,FALSE()),FALSE())),VLOOKUP(G251,NGPrices,2,FALSE()),I251,VLOOKUP(G251,NGPREVPRICES,4,FALSE()),HLOOKUP(D251,PREVVOLS,VLOOKUP(G251,MOVE_DOWN2,2,FALSE()),FALSE()),VLOOKUP(G251,NGPREVPRICES,3,FALSE()),HLOOKUP(D251,Correllate,VLOOKUP(G251,CorMove,2,FALSE()),FALSE()),Q251-$CD$3,R251,$CD$5)*H251-CJ251</f>
        <v>#NAME?</v>
      </c>
      <c r="CE251" s="253" t="e">
        <f aca="false">xSPRDOPT((VLOOKUP(G251,NGPREVPRICES,2,FALSE())+HLOOKUP(D251,PREVCURVES,VLOOKUP(G251,MOVE_DOWN2,2,FALSE()),FALSE())),VLOOKUP(G251,NGPREVPRICES,2,FALSE()),CK251,VLOOKUP(G251,NGPrices,4,FALSE()),HLOOKUP(D251,PREVVOLS,VLOOKUP(G251,MOVE_DOWN2,2,FALSE()),FALSE()),VLOOKUP(G251,NGPREVPRICES,3,FALSE()),HLOOKUP(D251,Correllate,VLOOKUP(G251,CorMove,2,FALSE()),FALSE()),Q251-$CD$3,R251,$CJ$5)*H251-CJ251</f>
        <v>#NAME?</v>
      </c>
      <c r="CF251" s="132" t="e">
        <f aca="false">(CJ251/VLOOKUP(CC251,discount,3,FALSE()))-(CJ251/VLOOKUP(CC251,discount,2,FALSE()))</f>
        <v>#NAME?</v>
      </c>
      <c r="CG251" s="253" t="e">
        <f aca="false">xSPRDOPT((VLOOKUP(G251,NGPREVPRICES,2,FALSE())+HLOOKUP(D251,PREVCURVES,VLOOKUP(G251,MOVE_DOWN2,2,FALSE()),FALSE())),VLOOKUP(G251,NGPREVPRICES,2,FALSE()),CK251,VLOOKUP(G251,NGPREVPRICES,4,FALSE()),HLOOKUP(D251,VOLS,VLOOKUP(G251,move_down,2,FALSE()),FALSE()),VLOOKUP(G251,NGPrices,3,FALSE()),HLOOKUP(D251,Correllate,VLOOKUP(G251,CorMove,2,FALSE()),FALSE()),Q251-$CD$3,R251,$CJ$5)*H251-CJ251</f>
        <v>#NAME?</v>
      </c>
      <c r="CH251" s="253" t="e">
        <f aca="false">xSPRDOPT((VLOOKUP(G251,NGPREVPRICES,2,FALSE())+HLOOKUP(D251,PREVCURVES,VLOOKUP(G251,MOVE_DOWN2,2,FALSE()),FALSE())),VLOOKUP(G251,NGPREVPRICES,2,FALSE()),CK251,VLOOKUP(G251,NGPREVPRICES,4,FALSE()),HLOOKUP(D251,PREVVOLS,VLOOKUP(G251,MOVE_DOWN2,2,FALSE()),FALSE()),VLOOKUP(G251,NGPREVPRICES,3,FALSE()),HLOOKUP(D251,Correllate,VLOOKUP(G251,CorMove,2,FALSE()),FALSE()),Q251-$C$3,R251,$CJ$5)*H251-CJ251</f>
        <v>#NAME?</v>
      </c>
      <c r="CI251" s="253" t="e">
        <f aca="false">SUM(CD251:CH251)</f>
        <v>#NAME?</v>
      </c>
      <c r="CJ251" s="253" t="e">
        <f aca="false">xSPRDOPT((VLOOKUP(G251,NGPREVPRICES,2,FALSE())+HLOOKUP(D251,PREVCURVES,VLOOKUP(G251,MOVE_DOWN2,2,FALSE()),FALSE())),VLOOKUP(G251,NGPREVPRICES,2,FALSE()),CK251,VLOOKUP(G251,NGPREVPRICES,4,FALSE()),HLOOKUP(D251,PREVVOLS,VLOOKUP(G251,MOVE_DOWN2,2,FALSE()),FALSE()),VLOOKUP(G251,NGPREVPRICES,3,FALSE()),HLOOKUP(D251,Correllate,VLOOKUP(G251,CorMove,2,FALSE()),FALSE()),Q251-$CD$3,R251,$CJ$5)*H251</f>
        <v>#NAME?</v>
      </c>
      <c r="CK251" s="254" t="n">
        <f aca="false">I251</f>
        <v>1.15</v>
      </c>
      <c r="CL251" s="253"/>
      <c r="CM251" s="0" t="str">
        <f aca="false">CONCATENATE(CC251,$CD$6)</f>
        <v>36831Curve Shift/Gamma</v>
      </c>
      <c r="CN251" s="0" t="str">
        <f aca="false">CONCATENATE($CC251,$CE$6)</f>
        <v>36831Rho</v>
      </c>
      <c r="CO251" s="0" t="str">
        <f aca="false">CONCATENATE($CC251,$CF$6)</f>
        <v>36831Drift</v>
      </c>
      <c r="CP251" s="0" t="str">
        <f aca="false">CONCATENATE($CC251,$CG$6)</f>
        <v>36831Vega</v>
      </c>
      <c r="CQ251" s="0" t="str">
        <f aca="false">CONCATENATE($CC251,$CH$6)</f>
        <v>36831Theta</v>
      </c>
    </row>
    <row r="252" customFormat="false" ht="12.75" hidden="false" customHeight="false" outlineLevel="0" collapsed="false">
      <c r="A252" s="265" t="s">
        <v>198</v>
      </c>
      <c r="B252" s="0" t="s">
        <v>192</v>
      </c>
      <c r="C252" s="0" t="s">
        <v>286</v>
      </c>
      <c r="D252" s="7" t="s">
        <v>149</v>
      </c>
      <c r="E252" s="0" t="s">
        <v>131</v>
      </c>
      <c r="F252" s="0" t="s">
        <v>132</v>
      </c>
      <c r="G252" s="92" t="n">
        <v>36951</v>
      </c>
      <c r="H252" s="248" t="n">
        <v>-1000000</v>
      </c>
      <c r="I252" s="0" t="n">
        <v>1</v>
      </c>
      <c r="J252" s="124" t="n">
        <f aca="false">VLOOKUP(G252,NGPrices,2,FALSE())</f>
        <v>4.213</v>
      </c>
      <c r="K252" s="125" t="n">
        <f aca="false">HLOOKUP(D252,Prices,VLOOKUP(G252,move_down,2,FALSE()),FALSE())+VLOOKUP(G252,CHANGE,HLOOKUP(D252,CHANGE,2,FALSE()),FALSE())</f>
        <v>1.075</v>
      </c>
      <c r="L252" s="124" t="n">
        <f aca="false">K252+J252</f>
        <v>5.288</v>
      </c>
      <c r="M252" s="126" t="n">
        <f aca="false">VLOOKUP(G252,NGPrices,4,FALSE())</f>
        <v>0.068879814952707</v>
      </c>
      <c r="N252" s="7" t="n">
        <f aca="false">VLOOKUP(G252,NGPrices,3,FALSE())</f>
        <v>0.5325</v>
      </c>
      <c r="O252" s="7" t="n">
        <f aca="false">HLOOKUP(D252,VOLS,VLOOKUP(G252,move_down,2,FALSE()),FALSE())</f>
        <v>0.612</v>
      </c>
      <c r="P252" s="249" t="n">
        <f aca="false">HLOOKUP(D252,Correllate,VLOOKUP(G252,CorMove,2,FALSE()),FALSE())</f>
        <v>0.83</v>
      </c>
      <c r="Q252" s="92" t="n">
        <f aca="false">WORKDAY(G252,-2)</f>
        <v>36949</v>
      </c>
      <c r="R252" s="7" t="n">
        <f aca="false">IF(F252="P",0,1)</f>
        <v>0</v>
      </c>
      <c r="S252" s="130" t="e">
        <f aca="false">xSPRDOPT($L252,$J252,$I252,$M252,$O252,$N252,$P252,$Q252-$C$3,$R252,0)</f>
        <v>#NAME?</v>
      </c>
      <c r="T252" s="250" t="e">
        <f aca="false">xSPRDOPT($L252,$J252,$I252,$M252,$O252,$N252,$P252,$Q252-$C$3,$R252,1)*H252</f>
        <v>#NAME?</v>
      </c>
      <c r="U252" s="43" t="e">
        <f aca="false">S252*H252</f>
        <v>#NAME?</v>
      </c>
      <c r="V252" s="250" t="e">
        <f aca="false">xSPRDOPT($L252,$J252,$I252,$M252,$O252,$N252,$P252,$Q252-$C$3,$R252,2)*H252</f>
        <v>#NAME?</v>
      </c>
      <c r="W252" s="250" t="e">
        <f aca="false">+V252+T252</f>
        <v>#NAME?</v>
      </c>
      <c r="X252" s="2" t="str">
        <f aca="false">CONCATENATE(G252,D252)</f>
        <v>36951IF-TRANSCO/Z6</v>
      </c>
      <c r="Y252" s="251" t="n">
        <f aca="false">H252/10000</f>
        <v>-100</v>
      </c>
      <c r="Z252" s="226" t="e">
        <f aca="false">T252/H252</f>
        <v>#NAME?</v>
      </c>
      <c r="AA252" s="226" t="e">
        <f aca="false">xSPRDOPT($L252,$J252,$I252,$M252,$O252,$N252,$P252,$Q252-$C$3,$R252,3)</f>
        <v>#NAME?</v>
      </c>
      <c r="AB252" s="226" t="e">
        <f aca="false">((xSPRDOPT($L252+AB$5,$J252,$I252,$M252,$O252,$N252,$P252,$Q252-$C$3,$R252,3)*$H252)/10000)/100</f>
        <v>#NAME?</v>
      </c>
      <c r="AC252" s="226" t="e">
        <f aca="false">((xSPRDOPT($L252+$AB$5,$J252,$I252,$M252,$O252,$N252,$P252,$Q252-$C$3,$R252,7)*$H252)/100)</f>
        <v>#NAME?</v>
      </c>
      <c r="AD252" s="226" t="e">
        <f aca="false">(xSPRDOPT($L252+$AB$5,$J252,$I252,$M252,$O252,$N252,$P252,$Q252-$C$3,$R252,9)/365)*$H252</f>
        <v>#NAME?</v>
      </c>
      <c r="AE252" s="0" t="e">
        <f aca="false">CD252</f>
        <v>#NAME?</v>
      </c>
      <c r="AF252" s="226" t="e">
        <f aca="false">((O252/N252)*AH252)+AG252</f>
        <v>#NAME?</v>
      </c>
      <c r="AG252" s="226" t="e">
        <f aca="false">((xSPRDOPT($L252,$J252,$I252,$M252,$O252,$N252,$P252,$Q252-$C$3,$R252,6)*$H252)/100)</f>
        <v>#NAME?</v>
      </c>
      <c r="AH252" s="226" t="e">
        <f aca="false">((xSPRDOPT($L252,$J252,$I252,$M252,$O252,$N252,$P252,$Q252-$C$3,$R252,5)*$H252)/100)</f>
        <v>#NAME?</v>
      </c>
      <c r="AI252" s="226" t="e">
        <f aca="false">(((xSPRDOPT($L252,$J252,$I252,$M252,$O252,$N252,$P252,$Q252-$C$3,$R252,4)*$H252)/10000)/100)-AB252</f>
        <v>#NAME?</v>
      </c>
      <c r="AJ252" s="226"/>
      <c r="AK252" s="226"/>
      <c r="AL252" s="226"/>
      <c r="AM252" s="252"/>
      <c r="CC252" s="182" t="n">
        <f aca="false">G252</f>
        <v>36951</v>
      </c>
      <c r="CD252" s="253" t="e">
        <f aca="false">xSPRDOPT((VLOOKUP(G252,NGPrices,2,FALSE())+HLOOKUP(D252,Prices,VLOOKUP(G252,move_down,2,FALSE()),FALSE())),VLOOKUP(G252,NGPrices,2,FALSE()),I252,VLOOKUP(G252,NGPREVPRICES,4,FALSE()),HLOOKUP(D252,PREVVOLS,VLOOKUP(G252,MOVE_DOWN2,2,FALSE()),FALSE()),VLOOKUP(G252,NGPREVPRICES,3,FALSE()),HLOOKUP(D252,Correllate,VLOOKUP(G252,CorMove,2,FALSE()),FALSE()),Q252-$CD$3,R252,$CD$5)*H252-CJ252</f>
        <v>#NAME?</v>
      </c>
      <c r="CE252" s="253" t="e">
        <f aca="false">xSPRDOPT((VLOOKUP(G252,NGPREVPRICES,2,FALSE())+HLOOKUP(D252,PREVCURVES,VLOOKUP(G252,MOVE_DOWN2,2,FALSE()),FALSE())),VLOOKUP(G252,NGPREVPRICES,2,FALSE()),CK252,VLOOKUP(G252,NGPrices,4,FALSE()),HLOOKUP(D252,PREVVOLS,VLOOKUP(G252,MOVE_DOWN2,2,FALSE()),FALSE()),VLOOKUP(G252,NGPREVPRICES,3,FALSE()),HLOOKUP(D252,Correllate,VLOOKUP(G252,CorMove,2,FALSE()),FALSE()),Q252-$CD$3,R252,$CJ$5)*H252-CJ252</f>
        <v>#NAME?</v>
      </c>
      <c r="CF252" s="132" t="e">
        <f aca="false">(CJ252/VLOOKUP(CC252,discount,3,FALSE()))-(CJ252/VLOOKUP(CC252,discount,2,FALSE()))</f>
        <v>#NAME?</v>
      </c>
      <c r="CG252" s="253" t="e">
        <f aca="false">xSPRDOPT((VLOOKUP(G252,NGPREVPRICES,2,FALSE())+HLOOKUP(D252,PREVCURVES,VLOOKUP(G252,MOVE_DOWN2,2,FALSE()),FALSE())),VLOOKUP(G252,NGPREVPRICES,2,FALSE()),CK252,VLOOKUP(G252,NGPREVPRICES,4,FALSE()),HLOOKUP(D252,VOLS,VLOOKUP(G252,move_down,2,FALSE()),FALSE()),VLOOKUP(G252,NGPrices,3,FALSE()),HLOOKUP(D252,Correllate,VLOOKUP(G252,CorMove,2,FALSE()),FALSE()),Q252-$CD$3,R252,$CJ$5)*H252-CJ252</f>
        <v>#NAME?</v>
      </c>
      <c r="CH252" s="253" t="e">
        <f aca="false">xSPRDOPT((VLOOKUP(G252,NGPREVPRICES,2,FALSE())+HLOOKUP(D252,PREVCURVES,VLOOKUP(G252,MOVE_DOWN2,2,FALSE()),FALSE())),VLOOKUP(G252,NGPREVPRICES,2,FALSE()),CK252,VLOOKUP(G252,NGPREVPRICES,4,FALSE()),HLOOKUP(D252,PREVVOLS,VLOOKUP(G252,MOVE_DOWN2,2,FALSE()),FALSE()),VLOOKUP(G252,NGPREVPRICES,3,FALSE()),HLOOKUP(D252,Correllate,VLOOKUP(G252,CorMove,2,FALSE()),FALSE()),Q252-$C$3,R252,$CJ$5)*H252-CJ252</f>
        <v>#NAME?</v>
      </c>
      <c r="CI252" s="253" t="e">
        <f aca="false">SUM(CD252:CH252)</f>
        <v>#NAME?</v>
      </c>
      <c r="CJ252" s="253" t="e">
        <f aca="false">xSPRDOPT((VLOOKUP(G252,NGPREVPRICES,2,FALSE())+HLOOKUP(D252,PREVCURVES,VLOOKUP(G252,MOVE_DOWN2,2,FALSE()),FALSE())),VLOOKUP(G252,NGPREVPRICES,2,FALSE()),CK252,VLOOKUP(G252,NGPREVPRICES,4,FALSE()),HLOOKUP(D252,PREVVOLS,VLOOKUP(G252,MOVE_DOWN2,2,FALSE()),FALSE()),VLOOKUP(G252,NGPREVPRICES,3,FALSE()),HLOOKUP(D252,Correllate,VLOOKUP(G252,CorMove,2,FALSE()),FALSE()),Q252-$CD$3,R252,$CJ$5)*H252</f>
        <v>#NAME?</v>
      </c>
      <c r="CK252" s="254" t="n">
        <f aca="false">I252</f>
        <v>1</v>
      </c>
      <c r="CL252" s="253"/>
      <c r="CM252" s="0" t="str">
        <f aca="false">CONCATENATE(CC252,$CD$6)</f>
        <v>36951Curve Shift/Gamma</v>
      </c>
      <c r="CN252" s="0" t="str">
        <f aca="false">CONCATENATE($CC252,$CE$6)</f>
        <v>36951Rho</v>
      </c>
      <c r="CO252" s="0" t="str">
        <f aca="false">CONCATENATE($CC252,$CF$6)</f>
        <v>36951Drift</v>
      </c>
      <c r="CP252" s="0" t="str">
        <f aca="false">CONCATENATE($CC252,$CG$6)</f>
        <v>36951Vega</v>
      </c>
      <c r="CQ252" s="0" t="str">
        <f aca="false">CONCATENATE($CC252,$CH$6)</f>
        <v>36951Theta</v>
      </c>
    </row>
    <row r="253" customFormat="false" ht="12.75" hidden="false" customHeight="false" outlineLevel="0" collapsed="false">
      <c r="A253" s="265" t="s">
        <v>198</v>
      </c>
      <c r="B253" s="0" t="s">
        <v>192</v>
      </c>
      <c r="C253" s="0" t="s">
        <v>287</v>
      </c>
      <c r="D253" s="7" t="s">
        <v>149</v>
      </c>
      <c r="E253" s="0" t="s">
        <v>131</v>
      </c>
      <c r="F253" s="0" t="s">
        <v>132</v>
      </c>
      <c r="G253" s="92" t="n">
        <v>36951</v>
      </c>
      <c r="H253" s="248" t="n">
        <v>1000000</v>
      </c>
      <c r="I253" s="0" t="n">
        <v>0.75</v>
      </c>
      <c r="J253" s="124" t="n">
        <f aca="false">VLOOKUP(G253,NGPrices,2,FALSE())</f>
        <v>4.213</v>
      </c>
      <c r="K253" s="125" t="n">
        <f aca="false">HLOOKUP(D253,Prices,VLOOKUP(G253,move_down,2,FALSE()),FALSE())+VLOOKUP(G253,CHANGE,HLOOKUP(D253,CHANGE,2,FALSE()),FALSE())</f>
        <v>1.075</v>
      </c>
      <c r="L253" s="124" t="n">
        <f aca="false">K253+J253</f>
        <v>5.288</v>
      </c>
      <c r="M253" s="126" t="n">
        <f aca="false">VLOOKUP(G253,NGPrices,4,FALSE())</f>
        <v>0.068879814952707</v>
      </c>
      <c r="N253" s="7" t="n">
        <f aca="false">VLOOKUP(G253,NGPrices,3,FALSE())</f>
        <v>0.5325</v>
      </c>
      <c r="O253" s="7" t="n">
        <f aca="false">HLOOKUP(D253,VOLS,VLOOKUP(G253,move_down,2,FALSE()),FALSE())</f>
        <v>0.612</v>
      </c>
      <c r="P253" s="249" t="n">
        <f aca="false">HLOOKUP(D253,Correllate,VLOOKUP(G253,CorMove,2,FALSE()),FALSE())</f>
        <v>0.83</v>
      </c>
      <c r="Q253" s="92" t="n">
        <f aca="false">WORKDAY(G253,-2)</f>
        <v>36949</v>
      </c>
      <c r="R253" s="7" t="n">
        <f aca="false">IF(F253="P",0,1)</f>
        <v>0</v>
      </c>
      <c r="S253" s="130" t="e">
        <f aca="false">xSPRDOPT($L253,$J253,$I253,$M253,$O253,$N253,$P253,$Q253-$C$3,$R253,0)</f>
        <v>#NAME?</v>
      </c>
      <c r="T253" s="250" t="e">
        <f aca="false">xSPRDOPT($L253,$J253,$I253,$M253,$O253,$N253,$P253,$Q253-$C$3,$R253,1)*H253</f>
        <v>#NAME?</v>
      </c>
      <c r="U253" s="43" t="e">
        <f aca="false">S253*H253</f>
        <v>#NAME?</v>
      </c>
      <c r="V253" s="250" t="e">
        <f aca="false">xSPRDOPT($L253,$J253,$I253,$M253,$O253,$N253,$P253,$Q253-$C$3,$R253,2)*H253</f>
        <v>#NAME?</v>
      </c>
      <c r="W253" s="250" t="e">
        <f aca="false">+V253+T253</f>
        <v>#NAME?</v>
      </c>
      <c r="X253" s="2" t="str">
        <f aca="false">CONCATENATE(G253,D253)</f>
        <v>36951IF-TRANSCO/Z6</v>
      </c>
      <c r="Y253" s="251" t="n">
        <f aca="false">H253/10000</f>
        <v>100</v>
      </c>
      <c r="Z253" s="226" t="e">
        <f aca="false">T253/H253</f>
        <v>#NAME?</v>
      </c>
      <c r="AA253" s="226" t="e">
        <f aca="false">xSPRDOPT($L253,$J253,$I253,$M253,$O253,$N253,$P253,$Q253-$C$3,$R253,3)</f>
        <v>#NAME?</v>
      </c>
      <c r="AB253" s="226" t="e">
        <f aca="false">((xSPRDOPT($L253+AB$5,$J253,$I253,$M253,$O253,$N253,$P253,$Q253-$C$3,$R253,3)*$H253)/10000)/100</f>
        <v>#NAME?</v>
      </c>
      <c r="AC253" s="226" t="e">
        <f aca="false">((xSPRDOPT($L253+$AB$5,$J253,$I253,$M253,$O253,$N253,$P253,$Q253-$C$3,$R253,7)*$H253)/100)</f>
        <v>#NAME?</v>
      </c>
      <c r="AD253" s="226" t="e">
        <f aca="false">(xSPRDOPT($L253+$AB$5,$J253,$I253,$M253,$O253,$N253,$P253,$Q253-$C$3,$R253,9)/365)*$H253</f>
        <v>#NAME?</v>
      </c>
      <c r="AE253" s="0" t="e">
        <f aca="false">CD253</f>
        <v>#NAME?</v>
      </c>
      <c r="AF253" s="226" t="e">
        <f aca="false">((O253/N253)*AH253)+AG253</f>
        <v>#NAME?</v>
      </c>
      <c r="AG253" s="226" t="e">
        <f aca="false">((xSPRDOPT($L253,$J253,$I253,$M253,$O253,$N253,$P253,$Q253-$C$3,$R253,6)*$H253)/100)</f>
        <v>#NAME?</v>
      </c>
      <c r="AH253" s="226" t="e">
        <f aca="false">((xSPRDOPT($L253,$J253,$I253,$M253,$O253,$N253,$P253,$Q253-$C$3,$R253,5)*$H253)/100)</f>
        <v>#NAME?</v>
      </c>
      <c r="AI253" s="226" t="e">
        <f aca="false">(((xSPRDOPT($L253,$J253,$I253,$M253,$O253,$N253,$P253,$Q253-$C$3,$R253,4)*$H253)/10000)/100)-AB253</f>
        <v>#NAME?</v>
      </c>
      <c r="AJ253" s="226"/>
      <c r="AK253" s="226"/>
      <c r="AL253" s="226"/>
      <c r="AM253" s="252"/>
      <c r="CC253" s="182" t="n">
        <f aca="false">G253</f>
        <v>36951</v>
      </c>
      <c r="CD253" s="253" t="e">
        <f aca="false">xSPRDOPT((VLOOKUP(G253,NGPrices,2,FALSE())+HLOOKUP(D253,Prices,VLOOKUP(G253,move_down,2,FALSE()),FALSE())),VLOOKUP(G253,NGPrices,2,FALSE()),I253,VLOOKUP(G253,NGPREVPRICES,4,FALSE()),HLOOKUP(D253,PREVVOLS,VLOOKUP(G253,MOVE_DOWN2,2,FALSE()),FALSE()),VLOOKUP(G253,NGPREVPRICES,3,FALSE()),HLOOKUP(D253,Correllate,VLOOKUP(G253,CorMove,2,FALSE()),FALSE()),Q253-$CD$3,R253,$CD$5)*H253-CJ253</f>
        <v>#NAME?</v>
      </c>
      <c r="CE253" s="253" t="e">
        <f aca="false">xSPRDOPT((VLOOKUP(G253,NGPREVPRICES,2,FALSE())+HLOOKUP(D253,PREVCURVES,VLOOKUP(G253,MOVE_DOWN2,2,FALSE()),FALSE())),VLOOKUP(G253,NGPREVPRICES,2,FALSE()),CK253,VLOOKUP(G253,NGPrices,4,FALSE()),HLOOKUP(D253,PREVVOLS,VLOOKUP(G253,MOVE_DOWN2,2,FALSE()),FALSE()),VLOOKUP(G253,NGPREVPRICES,3,FALSE()),HLOOKUP(D253,Correllate,VLOOKUP(G253,CorMove,2,FALSE()),FALSE()),Q253-$CD$3,R253,$CJ$5)*H253-CJ253</f>
        <v>#NAME?</v>
      </c>
      <c r="CF253" s="132" t="e">
        <f aca="false">(CJ253/VLOOKUP(CC253,discount,3,FALSE()))-(CJ253/VLOOKUP(CC253,discount,2,FALSE()))</f>
        <v>#NAME?</v>
      </c>
      <c r="CG253" s="253" t="e">
        <f aca="false">xSPRDOPT((VLOOKUP(G253,NGPREVPRICES,2,FALSE())+HLOOKUP(D253,PREVCURVES,VLOOKUP(G253,MOVE_DOWN2,2,FALSE()),FALSE())),VLOOKUP(G253,NGPREVPRICES,2,FALSE()),CK253,VLOOKUP(G253,NGPREVPRICES,4,FALSE()),HLOOKUP(D253,VOLS,VLOOKUP(G253,move_down,2,FALSE()),FALSE()),VLOOKUP(G253,NGPrices,3,FALSE()),HLOOKUP(D253,Correllate,VLOOKUP(G253,CorMove,2,FALSE()),FALSE()),Q253-$CD$3,R253,$CJ$5)*H253-CJ253</f>
        <v>#NAME?</v>
      </c>
      <c r="CH253" s="253" t="e">
        <f aca="false">xSPRDOPT((VLOOKUP(G253,NGPREVPRICES,2,FALSE())+HLOOKUP(D253,PREVCURVES,VLOOKUP(G253,MOVE_DOWN2,2,FALSE()),FALSE())),VLOOKUP(G253,NGPREVPRICES,2,FALSE()),CK253,VLOOKUP(G253,NGPREVPRICES,4,FALSE()),HLOOKUP(D253,PREVVOLS,VLOOKUP(G253,MOVE_DOWN2,2,FALSE()),FALSE()),VLOOKUP(G253,NGPREVPRICES,3,FALSE()),HLOOKUP(D253,Correllate,VLOOKUP(G253,CorMove,2,FALSE()),FALSE()),Q253-$C$3,R253,$CJ$5)*H253-CJ253</f>
        <v>#NAME?</v>
      </c>
      <c r="CI253" s="253" t="e">
        <f aca="false">SUM(CD253:CH253)</f>
        <v>#NAME?</v>
      </c>
      <c r="CJ253" s="253" t="e">
        <f aca="false">xSPRDOPT((VLOOKUP(G253,NGPREVPRICES,2,FALSE())+HLOOKUP(D253,PREVCURVES,VLOOKUP(G253,MOVE_DOWN2,2,FALSE()),FALSE())),VLOOKUP(G253,NGPREVPRICES,2,FALSE()),CK253,VLOOKUP(G253,NGPREVPRICES,4,FALSE()),HLOOKUP(D253,PREVVOLS,VLOOKUP(G253,MOVE_DOWN2,2,FALSE()),FALSE()),VLOOKUP(G253,NGPREVPRICES,3,FALSE()),HLOOKUP(D253,Correllate,VLOOKUP(G253,CorMove,2,FALSE()),FALSE()),Q253-$CD$3,R253,$CJ$5)*H253</f>
        <v>#NAME?</v>
      </c>
      <c r="CK253" s="254" t="n">
        <f aca="false">I253</f>
        <v>0.75</v>
      </c>
      <c r="CL253" s="253"/>
      <c r="CM253" s="0" t="str">
        <f aca="false">CONCATENATE(CC253,$CD$6)</f>
        <v>36951Curve Shift/Gamma</v>
      </c>
      <c r="CN253" s="0" t="str">
        <f aca="false">CONCATENATE($CC253,$CE$6)</f>
        <v>36951Rho</v>
      </c>
      <c r="CO253" s="0" t="str">
        <f aca="false">CONCATENATE($CC253,$CF$6)</f>
        <v>36951Drift</v>
      </c>
      <c r="CP253" s="0" t="str">
        <f aca="false">CONCATENATE($CC253,$CG$6)</f>
        <v>36951Vega</v>
      </c>
      <c r="CQ253" s="0" t="str">
        <f aca="false">CONCATENATE($CC253,$CH$6)</f>
        <v>36951Theta</v>
      </c>
    </row>
    <row r="254" customFormat="false" ht="12.75" hidden="false" customHeight="false" outlineLevel="0" collapsed="false">
      <c r="A254" s="265" t="s">
        <v>198</v>
      </c>
      <c r="B254" s="0" t="s">
        <v>192</v>
      </c>
      <c r="C254" s="0" t="s">
        <v>287</v>
      </c>
      <c r="D254" s="7" t="s">
        <v>149</v>
      </c>
      <c r="E254" s="0" t="s">
        <v>131</v>
      </c>
      <c r="F254" s="0" t="s">
        <v>132</v>
      </c>
      <c r="G254" s="92" t="n">
        <v>36923</v>
      </c>
      <c r="H254" s="248" t="n">
        <v>1000000</v>
      </c>
      <c r="I254" s="0" t="n">
        <v>0.75</v>
      </c>
      <c r="J254" s="124" t="n">
        <f aca="false">VLOOKUP(G254,NGPrices,2,FALSE())</f>
        <v>4.48</v>
      </c>
      <c r="K254" s="125" t="n">
        <f aca="false">HLOOKUP(D254,Prices,VLOOKUP(G254,move_down,2,FALSE()),FALSE())+VLOOKUP(G254,CHANGE,HLOOKUP(D254,CHANGE,2,FALSE()),FALSE())</f>
        <v>2.09</v>
      </c>
      <c r="L254" s="124" t="n">
        <f aca="false">K254+J254</f>
        <v>6.57</v>
      </c>
      <c r="M254" s="126" t="n">
        <f aca="false">VLOOKUP(G254,NGPrices,4,FALSE())</f>
        <v>0.068640161611372</v>
      </c>
      <c r="N254" s="7" t="n">
        <f aca="false">VLOOKUP(G254,NGPrices,3,FALSE())</f>
        <v>0.5925</v>
      </c>
      <c r="O254" s="7" t="n">
        <f aca="false">HLOOKUP(D254,VOLS,VLOOKUP(G254,move_down,2,FALSE()),FALSE())</f>
        <v>0.681</v>
      </c>
      <c r="P254" s="249" t="n">
        <f aca="false">HLOOKUP(D254,Correllate,VLOOKUP(G254,CorMove,2,FALSE()),FALSE())</f>
        <v>0.83</v>
      </c>
      <c r="Q254" s="92" t="n">
        <f aca="false">WORKDAY(G254,-2)</f>
        <v>36921</v>
      </c>
      <c r="R254" s="7" t="n">
        <f aca="false">IF(F254="P",0,1)</f>
        <v>0</v>
      </c>
      <c r="S254" s="130" t="e">
        <f aca="false">xSPRDOPT($L254,$J254,$I254,$M254,$O254,$N254,$P254,$Q254-$C$3,$R254,0)</f>
        <v>#NAME?</v>
      </c>
      <c r="T254" s="250" t="e">
        <f aca="false">xSPRDOPT($L254,$J254,$I254,$M254,$O254,$N254,$P254,$Q254-$C$3,$R254,1)*H254</f>
        <v>#NAME?</v>
      </c>
      <c r="U254" s="43" t="e">
        <f aca="false">S254*H254</f>
        <v>#NAME?</v>
      </c>
      <c r="V254" s="250" t="e">
        <f aca="false">xSPRDOPT($L254,$J254,$I254,$M254,$O254,$N254,$P254,$Q254-$C$3,$R254,2)*H254</f>
        <v>#NAME?</v>
      </c>
      <c r="W254" s="250" t="e">
        <f aca="false">+V254+T254</f>
        <v>#NAME?</v>
      </c>
      <c r="X254" s="2" t="str">
        <f aca="false">CONCATENATE(G254,D254)</f>
        <v>36923IF-TRANSCO/Z6</v>
      </c>
      <c r="Y254" s="251" t="n">
        <f aca="false">H254/10000</f>
        <v>100</v>
      </c>
      <c r="Z254" s="226" t="e">
        <f aca="false">T254/H254</f>
        <v>#NAME?</v>
      </c>
      <c r="AA254" s="226" t="e">
        <f aca="false">xSPRDOPT($L254,$J254,$I254,$M254,$O254,$N254,$P254,$Q254-$C$3,$R254,3)</f>
        <v>#NAME?</v>
      </c>
      <c r="AB254" s="226" t="e">
        <f aca="false">((xSPRDOPT($L254+AB$5,$J254,$I254,$M254,$O254,$N254,$P254,$Q254-$C$3,$R254,3)*$H254)/10000)/100</f>
        <v>#NAME?</v>
      </c>
      <c r="AC254" s="226" t="e">
        <f aca="false">((xSPRDOPT($L254+$AB$5,$J254,$I254,$M254,$O254,$N254,$P254,$Q254-$C$3,$R254,7)*$H254)/100)</f>
        <v>#NAME?</v>
      </c>
      <c r="AD254" s="226" t="e">
        <f aca="false">(xSPRDOPT($L254+$AB$5,$J254,$I254,$M254,$O254,$N254,$P254,$Q254-$C$3,$R254,9)/365)*$H254</f>
        <v>#NAME?</v>
      </c>
      <c r="AE254" s="0" t="e">
        <f aca="false">CD254</f>
        <v>#NAME?</v>
      </c>
      <c r="AF254" s="226" t="e">
        <f aca="false">((O254/N254)*AH254)+AG254</f>
        <v>#NAME?</v>
      </c>
      <c r="AG254" s="226" t="e">
        <f aca="false">((xSPRDOPT($L254,$J254,$I254,$M254,$O254,$N254,$P254,$Q254-$C$3,$R254,6)*$H254)/100)</f>
        <v>#NAME?</v>
      </c>
      <c r="AH254" s="226" t="e">
        <f aca="false">((xSPRDOPT($L254,$J254,$I254,$M254,$O254,$N254,$P254,$Q254-$C$3,$R254,5)*$H254)/100)</f>
        <v>#NAME?</v>
      </c>
      <c r="AI254" s="226" t="e">
        <f aca="false">(((xSPRDOPT($L254,$J254,$I254,$M254,$O254,$N254,$P254,$Q254-$C$3,$R254,4)*$H254)/10000)/100)-AB254</f>
        <v>#NAME?</v>
      </c>
      <c r="AJ254" s="226"/>
      <c r="AK254" s="226"/>
      <c r="AL254" s="226"/>
      <c r="AM254" s="252"/>
      <c r="CC254" s="182" t="n">
        <f aca="false">G254</f>
        <v>36923</v>
      </c>
      <c r="CD254" s="253" t="e">
        <f aca="false">xSPRDOPT((VLOOKUP(G254,NGPrices,2,FALSE())+HLOOKUP(D254,Prices,VLOOKUP(G254,move_down,2,FALSE()),FALSE())),VLOOKUP(G254,NGPrices,2,FALSE()),I254,VLOOKUP(G254,NGPREVPRICES,4,FALSE()),HLOOKUP(D254,PREVVOLS,VLOOKUP(G254,MOVE_DOWN2,2,FALSE()),FALSE()),VLOOKUP(G254,NGPREVPRICES,3,FALSE()),HLOOKUP(D254,Correllate,VLOOKUP(G254,CorMove,2,FALSE()),FALSE()),Q254-$CD$3,R254,$CD$5)*H254-CJ254</f>
        <v>#NAME?</v>
      </c>
      <c r="CE254" s="253" t="e">
        <f aca="false">xSPRDOPT((VLOOKUP(G254,NGPREVPRICES,2,FALSE())+HLOOKUP(D254,PREVCURVES,VLOOKUP(G254,MOVE_DOWN2,2,FALSE()),FALSE())),VLOOKUP(G254,NGPREVPRICES,2,FALSE()),CK254,VLOOKUP(G254,NGPrices,4,FALSE()),HLOOKUP(D254,PREVVOLS,VLOOKUP(G254,MOVE_DOWN2,2,FALSE()),FALSE()),VLOOKUP(G254,NGPREVPRICES,3,FALSE()),HLOOKUP(D254,Correllate,VLOOKUP(G254,CorMove,2,FALSE()),FALSE()),Q254-$CD$3,R254,$CJ$5)*H254-CJ254</f>
        <v>#NAME?</v>
      </c>
      <c r="CF254" s="132" t="e">
        <f aca="false">(CJ254/VLOOKUP(CC254,discount,3,FALSE()))-(CJ254/VLOOKUP(CC254,discount,2,FALSE()))</f>
        <v>#NAME?</v>
      </c>
      <c r="CG254" s="253" t="e">
        <f aca="false">xSPRDOPT((VLOOKUP(G254,NGPREVPRICES,2,FALSE())+HLOOKUP(D254,PREVCURVES,VLOOKUP(G254,MOVE_DOWN2,2,FALSE()),FALSE())),VLOOKUP(G254,NGPREVPRICES,2,FALSE()),CK254,VLOOKUP(G254,NGPREVPRICES,4,FALSE()),HLOOKUP(D254,VOLS,VLOOKUP(G254,move_down,2,FALSE()),FALSE()),VLOOKUP(G254,NGPrices,3,FALSE()),HLOOKUP(D254,Correllate,VLOOKUP(G254,CorMove,2,FALSE()),FALSE()),Q254-$CD$3,R254,$CJ$5)*H254-CJ254</f>
        <v>#NAME?</v>
      </c>
      <c r="CH254" s="253" t="e">
        <f aca="false">xSPRDOPT((VLOOKUP(G254,NGPREVPRICES,2,FALSE())+HLOOKUP(D254,PREVCURVES,VLOOKUP(G254,MOVE_DOWN2,2,FALSE()),FALSE())),VLOOKUP(G254,NGPREVPRICES,2,FALSE()),CK254,VLOOKUP(G254,NGPREVPRICES,4,FALSE()),HLOOKUP(D254,PREVVOLS,VLOOKUP(G254,MOVE_DOWN2,2,FALSE()),FALSE()),VLOOKUP(G254,NGPREVPRICES,3,FALSE()),HLOOKUP(D254,Correllate,VLOOKUP(G254,CorMove,2,FALSE()),FALSE()),Q254-$C$3,R254,$CJ$5)*H254-CJ254</f>
        <v>#NAME?</v>
      </c>
      <c r="CI254" s="253" t="e">
        <f aca="false">SUM(CD254:CH254)</f>
        <v>#NAME?</v>
      </c>
      <c r="CJ254" s="253" t="e">
        <f aca="false">xSPRDOPT((VLOOKUP(G254,NGPREVPRICES,2,FALSE())+HLOOKUP(D254,PREVCURVES,VLOOKUP(G254,MOVE_DOWN2,2,FALSE()),FALSE())),VLOOKUP(G254,NGPREVPRICES,2,FALSE()),CK254,VLOOKUP(G254,NGPREVPRICES,4,FALSE()),HLOOKUP(D254,PREVVOLS,VLOOKUP(G254,MOVE_DOWN2,2,FALSE()),FALSE()),VLOOKUP(G254,NGPREVPRICES,3,FALSE()),HLOOKUP(D254,Correllate,VLOOKUP(G254,CorMove,2,FALSE()),FALSE()),Q254-$CD$3,R254,$CJ$5)*H254</f>
        <v>#NAME?</v>
      </c>
      <c r="CK254" s="254" t="n">
        <f aca="false">I254</f>
        <v>0.75</v>
      </c>
      <c r="CL254" s="253"/>
      <c r="CM254" s="0" t="str">
        <f aca="false">CONCATENATE(CC254,$CD$6)</f>
        <v>36923Curve Shift/Gamma</v>
      </c>
      <c r="CN254" s="0" t="str">
        <f aca="false">CONCATENATE($CC254,$CE$6)</f>
        <v>36923Rho</v>
      </c>
      <c r="CO254" s="0" t="str">
        <f aca="false">CONCATENATE($CC254,$CF$6)</f>
        <v>36923Drift</v>
      </c>
      <c r="CP254" s="0" t="str">
        <f aca="false">CONCATENATE($CC254,$CG$6)</f>
        <v>36923Vega</v>
      </c>
      <c r="CQ254" s="0" t="str">
        <f aca="false">CONCATENATE($CC254,$CH$6)</f>
        <v>36923Theta</v>
      </c>
    </row>
    <row r="255" customFormat="false" ht="12.75" hidden="false" customHeight="false" outlineLevel="0" collapsed="false">
      <c r="A255" s="265" t="s">
        <v>198</v>
      </c>
      <c r="B255" s="0" t="s">
        <v>192</v>
      </c>
      <c r="C255" s="0" t="s">
        <v>287</v>
      </c>
      <c r="D255" s="7" t="s">
        <v>149</v>
      </c>
      <c r="E255" s="0" t="s">
        <v>131</v>
      </c>
      <c r="F255" s="0" t="s">
        <v>132</v>
      </c>
      <c r="G255" s="92" t="n">
        <v>36892</v>
      </c>
      <c r="H255" s="248" t="n">
        <v>1000000</v>
      </c>
      <c r="I255" s="0" t="n">
        <v>0.75</v>
      </c>
      <c r="J255" s="124" t="n">
        <f aca="false">VLOOKUP(G255,NGPrices,2,FALSE())</f>
        <v>4.744</v>
      </c>
      <c r="K255" s="125" t="n">
        <f aca="false">HLOOKUP(D255,Prices,VLOOKUP(G255,move_down,2,FALSE()),FALSE())+VLOOKUP(G255,CHANGE,HLOOKUP(D255,CHANGE,2,FALSE()),FALSE())</f>
        <v>2.17</v>
      </c>
      <c r="L255" s="124" t="n">
        <f aca="false">K255+J255</f>
        <v>6.914</v>
      </c>
      <c r="M255" s="126" t="n">
        <f aca="false">VLOOKUP(G255,NGPrices,4,FALSE())</f>
        <v>0.068374831148491</v>
      </c>
      <c r="N255" s="7" t="n">
        <f aca="false">VLOOKUP(G255,NGPrices,3,FALSE())</f>
        <v>0.605</v>
      </c>
      <c r="O255" s="7" t="n">
        <f aca="false">HLOOKUP(D255,VOLS,VLOOKUP(G255,move_down,2,FALSE()),FALSE())</f>
        <v>0.696</v>
      </c>
      <c r="P255" s="249" t="n">
        <f aca="false">HLOOKUP(D255,Correllate,VLOOKUP(G255,CorMove,2,FALSE()),FALSE())</f>
        <v>0.83</v>
      </c>
      <c r="Q255" s="92" t="n">
        <f aca="false">WORKDAY(G255,-2)</f>
        <v>36888</v>
      </c>
      <c r="R255" s="7" t="n">
        <f aca="false">IF(F255="P",0,1)</f>
        <v>0</v>
      </c>
      <c r="S255" s="130" t="e">
        <f aca="false">xSPRDOPT($L255,$J255,$I255,$M255,$O255,$N255,$P255,$Q255-$C$3,$R255,0)</f>
        <v>#NAME?</v>
      </c>
      <c r="T255" s="250" t="e">
        <f aca="false">xSPRDOPT($L255,$J255,$I255,$M255,$O255,$N255,$P255,$Q255-$C$3,$R255,1)*H255</f>
        <v>#NAME?</v>
      </c>
      <c r="U255" s="43" t="e">
        <f aca="false">S255*H255</f>
        <v>#NAME?</v>
      </c>
      <c r="V255" s="250" t="e">
        <f aca="false">xSPRDOPT($L255,$J255,$I255,$M255,$O255,$N255,$P255,$Q255-$C$3,$R255,2)*H255</f>
        <v>#NAME?</v>
      </c>
      <c r="W255" s="250" t="e">
        <f aca="false">+V255+T255</f>
        <v>#NAME?</v>
      </c>
      <c r="X255" s="2" t="str">
        <f aca="false">CONCATENATE(G255,D255)</f>
        <v>36892IF-TRANSCO/Z6</v>
      </c>
      <c r="Y255" s="251" t="n">
        <f aca="false">H255/10000</f>
        <v>100</v>
      </c>
      <c r="Z255" s="226" t="e">
        <f aca="false">T255/H255</f>
        <v>#NAME?</v>
      </c>
      <c r="AA255" s="226" t="e">
        <f aca="false">xSPRDOPT($L255,$J255,$I255,$M255,$O255,$N255,$P255,$Q255-$C$3,$R255,3)</f>
        <v>#NAME?</v>
      </c>
      <c r="AB255" s="226" t="e">
        <f aca="false">((xSPRDOPT($L255+AB$5,$J255,$I255,$M255,$O255,$N255,$P255,$Q255-$C$3,$R255,3)*$H255)/10000)/100</f>
        <v>#NAME?</v>
      </c>
      <c r="AC255" s="226" t="e">
        <f aca="false">((xSPRDOPT($L255+$AB$5,$J255,$I255,$M255,$O255,$N255,$P255,$Q255-$C$3,$R255,7)*$H255)/100)</f>
        <v>#NAME?</v>
      </c>
      <c r="AD255" s="226" t="e">
        <f aca="false">(xSPRDOPT($L255+$AB$5,$J255,$I255,$M255,$O255,$N255,$P255,$Q255-$C$3,$R255,9)/365)*$H255</f>
        <v>#NAME?</v>
      </c>
      <c r="AE255" s="0" t="e">
        <f aca="false">CD255</f>
        <v>#NAME?</v>
      </c>
      <c r="AF255" s="226" t="e">
        <f aca="false">((O255/N255)*AH255)+AG255</f>
        <v>#NAME?</v>
      </c>
      <c r="AG255" s="226" t="e">
        <f aca="false">((xSPRDOPT($L255,$J255,$I255,$M255,$O255,$N255,$P255,$Q255-$C$3,$R255,6)*$H255)/100)</f>
        <v>#NAME?</v>
      </c>
      <c r="AH255" s="226" t="e">
        <f aca="false">((xSPRDOPT($L255,$J255,$I255,$M255,$O255,$N255,$P255,$Q255-$C$3,$R255,5)*$H255)/100)</f>
        <v>#NAME?</v>
      </c>
      <c r="AI255" s="226" t="e">
        <f aca="false">(((xSPRDOPT($L255,$J255,$I255,$M255,$O255,$N255,$P255,$Q255-$C$3,$R255,4)*$H255)/10000)/100)-AB255</f>
        <v>#NAME?</v>
      </c>
      <c r="AJ255" s="226"/>
      <c r="AK255" s="226"/>
      <c r="AL255" s="226"/>
      <c r="AM255" s="252"/>
      <c r="CC255" s="182" t="n">
        <f aca="false">G255</f>
        <v>36892</v>
      </c>
      <c r="CD255" s="253" t="e">
        <f aca="false">xSPRDOPT((VLOOKUP(G255,NGPrices,2,FALSE())+HLOOKUP(D255,Prices,VLOOKUP(G255,move_down,2,FALSE()),FALSE())),VLOOKUP(G255,NGPrices,2,FALSE()),I255,VLOOKUP(G255,NGPREVPRICES,4,FALSE()),HLOOKUP(D255,PREVVOLS,VLOOKUP(G255,MOVE_DOWN2,2,FALSE()),FALSE()),VLOOKUP(G255,NGPREVPRICES,3,FALSE()),HLOOKUP(D255,Correllate,VLOOKUP(G255,CorMove,2,FALSE()),FALSE()),Q255-$CD$3,R255,$CD$5)*H255-CJ255</f>
        <v>#NAME?</v>
      </c>
      <c r="CE255" s="253" t="e">
        <f aca="false">xSPRDOPT((VLOOKUP(G255,NGPREVPRICES,2,FALSE())+HLOOKUP(D255,PREVCURVES,VLOOKUP(G255,MOVE_DOWN2,2,FALSE()),FALSE())),VLOOKUP(G255,NGPREVPRICES,2,FALSE()),CK255,VLOOKUP(G255,NGPrices,4,FALSE()),HLOOKUP(D255,PREVVOLS,VLOOKUP(G255,MOVE_DOWN2,2,FALSE()),FALSE()),VLOOKUP(G255,NGPREVPRICES,3,FALSE()),HLOOKUP(D255,Correllate,VLOOKUP(G255,CorMove,2,FALSE()),FALSE()),Q255-$CD$3,R255,$CJ$5)*H255-CJ255</f>
        <v>#NAME?</v>
      </c>
      <c r="CF255" s="132" t="e">
        <f aca="false">(CJ255/VLOOKUP(CC255,discount,3,FALSE()))-(CJ255/VLOOKUP(CC255,discount,2,FALSE()))</f>
        <v>#NAME?</v>
      </c>
      <c r="CG255" s="253" t="e">
        <f aca="false">xSPRDOPT((VLOOKUP(G255,NGPREVPRICES,2,FALSE())+HLOOKUP(D255,PREVCURVES,VLOOKUP(G255,MOVE_DOWN2,2,FALSE()),FALSE())),VLOOKUP(G255,NGPREVPRICES,2,FALSE()),CK255,VLOOKUP(G255,NGPREVPRICES,4,FALSE()),HLOOKUP(D255,VOLS,VLOOKUP(G255,move_down,2,FALSE()),FALSE()),VLOOKUP(G255,NGPrices,3,FALSE()),HLOOKUP(D255,Correllate,VLOOKUP(G255,CorMove,2,FALSE()),FALSE()),Q255-$CD$3,R255,$CJ$5)*H255-CJ255</f>
        <v>#NAME?</v>
      </c>
      <c r="CH255" s="253" t="e">
        <f aca="false">xSPRDOPT((VLOOKUP(G255,NGPREVPRICES,2,FALSE())+HLOOKUP(D255,PREVCURVES,VLOOKUP(G255,MOVE_DOWN2,2,FALSE()),FALSE())),VLOOKUP(G255,NGPREVPRICES,2,FALSE()),CK255,VLOOKUP(G255,NGPREVPRICES,4,FALSE()),HLOOKUP(D255,PREVVOLS,VLOOKUP(G255,MOVE_DOWN2,2,FALSE()),FALSE()),VLOOKUP(G255,NGPREVPRICES,3,FALSE()),HLOOKUP(D255,Correllate,VLOOKUP(G255,CorMove,2,FALSE()),FALSE()),Q255-$C$3,R255,$CJ$5)*H255-CJ255</f>
        <v>#NAME?</v>
      </c>
      <c r="CI255" s="253" t="e">
        <f aca="false">SUM(CD255:CH255)</f>
        <v>#NAME?</v>
      </c>
      <c r="CJ255" s="253" t="e">
        <f aca="false">xSPRDOPT((VLOOKUP(G255,NGPREVPRICES,2,FALSE())+HLOOKUP(D255,PREVCURVES,VLOOKUP(G255,MOVE_DOWN2,2,FALSE()),FALSE())),VLOOKUP(G255,NGPREVPRICES,2,FALSE()),CK255,VLOOKUP(G255,NGPREVPRICES,4,FALSE()),HLOOKUP(D255,PREVVOLS,VLOOKUP(G255,MOVE_DOWN2,2,FALSE()),FALSE()),VLOOKUP(G255,NGPREVPRICES,3,FALSE()),HLOOKUP(D255,Correllate,VLOOKUP(G255,CorMove,2,FALSE()),FALSE()),Q255-$CD$3,R255,$CJ$5)*H255</f>
        <v>#NAME?</v>
      </c>
      <c r="CK255" s="254" t="n">
        <f aca="false">I255</f>
        <v>0.75</v>
      </c>
      <c r="CL255" s="253"/>
      <c r="CM255" s="0" t="str">
        <f aca="false">CONCATENATE(CC255,$CD$6)</f>
        <v>36892Curve Shift/Gamma</v>
      </c>
      <c r="CN255" s="0" t="str">
        <f aca="false">CONCATENATE($CC255,$CE$6)</f>
        <v>36892Rho</v>
      </c>
      <c r="CO255" s="0" t="str">
        <f aca="false">CONCATENATE($CC255,$CF$6)</f>
        <v>36892Drift</v>
      </c>
      <c r="CP255" s="0" t="str">
        <f aca="false">CONCATENATE($CC255,$CG$6)</f>
        <v>36892Vega</v>
      </c>
      <c r="CQ255" s="0" t="str">
        <f aca="false">CONCATENATE($CC255,$CH$6)</f>
        <v>36892Theta</v>
      </c>
    </row>
    <row r="256" customFormat="false" ht="12.75" hidden="false" customHeight="false" outlineLevel="0" collapsed="false">
      <c r="A256" s="265" t="s">
        <v>198</v>
      </c>
      <c r="B256" s="0" t="s">
        <v>192</v>
      </c>
      <c r="C256" s="0" t="s">
        <v>287</v>
      </c>
      <c r="D256" s="7" t="s">
        <v>149</v>
      </c>
      <c r="E256" s="0" t="s">
        <v>131</v>
      </c>
      <c r="F256" s="0" t="s">
        <v>132</v>
      </c>
      <c r="G256" s="92" t="n">
        <v>36861</v>
      </c>
      <c r="H256" s="248" t="n">
        <v>1000000</v>
      </c>
      <c r="I256" s="0" t="n">
        <v>0.75</v>
      </c>
      <c r="J256" s="124" t="n">
        <f aca="false">VLOOKUP(G256,NGPrices,2,FALSE())</f>
        <v>4.8</v>
      </c>
      <c r="K256" s="125" t="n">
        <f aca="false">HLOOKUP(D256,Prices,VLOOKUP(G256,move_down,2,FALSE()),FALSE())+VLOOKUP(G256,CHANGE,HLOOKUP(D256,CHANGE,2,FALSE()),FALSE())</f>
        <v>1.645</v>
      </c>
      <c r="L256" s="124" t="n">
        <f aca="false">K256+J256</f>
        <v>6.445</v>
      </c>
      <c r="M256" s="126" t="n">
        <f aca="false">VLOOKUP(G256,NGPrices,4,FALSE())</f>
        <v>0.068314027999354</v>
      </c>
      <c r="N256" s="7" t="n">
        <f aca="false">VLOOKUP(G256,NGPrices,3,FALSE())</f>
        <v>0.6</v>
      </c>
      <c r="O256" s="7" t="n">
        <f aca="false">HLOOKUP(D256,VOLS,VLOOKUP(G256,move_down,2,FALSE()),FALSE())</f>
        <v>0.69</v>
      </c>
      <c r="P256" s="249" t="n">
        <f aca="false">HLOOKUP(D256,Correllate,VLOOKUP(G256,CorMove,2,FALSE()),FALSE())</f>
        <v>0.83</v>
      </c>
      <c r="Q256" s="92" t="n">
        <f aca="false">WORKDAY(G256,-2)</f>
        <v>36859</v>
      </c>
      <c r="R256" s="7" t="n">
        <f aca="false">IF(F256="P",0,1)</f>
        <v>0</v>
      </c>
      <c r="S256" s="130" t="e">
        <f aca="false">xSPRDOPT($L256,$J256,$I256,$M256,$O256,$N256,$P256,$Q256-$C$3,$R256,0)</f>
        <v>#NAME?</v>
      </c>
      <c r="T256" s="250" t="e">
        <f aca="false">xSPRDOPT($L256,$J256,$I256,$M256,$O256,$N256,$P256,$Q256-$C$3,$R256,1)*H256</f>
        <v>#NAME?</v>
      </c>
      <c r="U256" s="43" t="e">
        <f aca="false">S256*H256</f>
        <v>#NAME?</v>
      </c>
      <c r="V256" s="250" t="e">
        <f aca="false">xSPRDOPT($L256,$J256,$I256,$M256,$O256,$N256,$P256,$Q256-$C$3,$R256,2)*H256</f>
        <v>#NAME?</v>
      </c>
      <c r="W256" s="250" t="e">
        <f aca="false">+V256+T256</f>
        <v>#NAME?</v>
      </c>
      <c r="X256" s="2" t="str">
        <f aca="false">CONCATENATE(G256,D256)</f>
        <v>36861IF-TRANSCO/Z6</v>
      </c>
      <c r="Y256" s="251" t="n">
        <f aca="false">H256/10000</f>
        <v>100</v>
      </c>
      <c r="Z256" s="226" t="e">
        <f aca="false">T256/H256</f>
        <v>#NAME?</v>
      </c>
      <c r="AA256" s="226" t="e">
        <f aca="false">xSPRDOPT($L256,$J256,$I256,$M256,$O256,$N256,$P256,$Q256-$C$3,$R256,3)</f>
        <v>#NAME?</v>
      </c>
      <c r="AB256" s="226" t="e">
        <f aca="false">((xSPRDOPT($L256+AB$5,$J256,$I256,$M256,$O256,$N256,$P256,$Q256-$C$3,$R256,3)*$H256)/10000)/100</f>
        <v>#NAME?</v>
      </c>
      <c r="AC256" s="226" t="e">
        <f aca="false">((xSPRDOPT($L256+$AB$5,$J256,$I256,$M256,$O256,$N256,$P256,$Q256-$C$3,$R256,7)*$H256)/100)</f>
        <v>#NAME?</v>
      </c>
      <c r="AD256" s="226" t="e">
        <f aca="false">(xSPRDOPT($L256+$AB$5,$J256,$I256,$M256,$O256,$N256,$P256,$Q256-$C$3,$R256,9)/365)*$H256</f>
        <v>#NAME?</v>
      </c>
      <c r="AE256" s="0" t="e">
        <f aca="false">CD256</f>
        <v>#NAME?</v>
      </c>
      <c r="AF256" s="226" t="e">
        <f aca="false">((O256/N256)*AH256)+AG256</f>
        <v>#NAME?</v>
      </c>
      <c r="AG256" s="226" t="e">
        <f aca="false">((xSPRDOPT($L256,$J256,$I256,$M256,$O256,$N256,$P256,$Q256-$C$3,$R256,6)*$H256)/100)</f>
        <v>#NAME?</v>
      </c>
      <c r="AH256" s="226" t="e">
        <f aca="false">((xSPRDOPT($L256,$J256,$I256,$M256,$O256,$N256,$P256,$Q256-$C$3,$R256,5)*$H256)/100)</f>
        <v>#NAME?</v>
      </c>
      <c r="AI256" s="226" t="e">
        <f aca="false">(((xSPRDOPT($L256,$J256,$I256,$M256,$O256,$N256,$P256,$Q256-$C$3,$R256,4)*$H256)/10000)/100)-AB256</f>
        <v>#NAME?</v>
      </c>
      <c r="AJ256" s="226"/>
      <c r="AK256" s="226"/>
      <c r="AL256" s="226"/>
      <c r="AM256" s="252"/>
      <c r="CC256" s="182" t="n">
        <f aca="false">G256</f>
        <v>36861</v>
      </c>
      <c r="CD256" s="253" t="e">
        <f aca="false">xSPRDOPT((VLOOKUP(G256,NGPrices,2,FALSE())+HLOOKUP(D256,Prices,VLOOKUP(G256,move_down,2,FALSE()),FALSE())),VLOOKUP(G256,NGPrices,2,FALSE()),I256,VLOOKUP(G256,NGPREVPRICES,4,FALSE()),HLOOKUP(D256,PREVVOLS,VLOOKUP(G256,MOVE_DOWN2,2,FALSE()),FALSE()),VLOOKUP(G256,NGPREVPRICES,3,FALSE()),HLOOKUP(D256,Correllate,VLOOKUP(G256,CorMove,2,FALSE()),FALSE()),Q256-$CD$3,R256,$CD$5)*H256-CJ256</f>
        <v>#NAME?</v>
      </c>
      <c r="CE256" s="253" t="e">
        <f aca="false">xSPRDOPT((VLOOKUP(G256,NGPREVPRICES,2,FALSE())+HLOOKUP(D256,PREVCURVES,VLOOKUP(G256,MOVE_DOWN2,2,FALSE()),FALSE())),VLOOKUP(G256,NGPREVPRICES,2,FALSE()),CK256,VLOOKUP(G256,NGPrices,4,FALSE()),HLOOKUP(D256,PREVVOLS,VLOOKUP(G256,MOVE_DOWN2,2,FALSE()),FALSE()),VLOOKUP(G256,NGPREVPRICES,3,FALSE()),HLOOKUP(D256,Correllate,VLOOKUP(G256,CorMove,2,FALSE()),FALSE()),Q256-$CD$3,R256,$CJ$5)*H256-CJ256</f>
        <v>#NAME?</v>
      </c>
      <c r="CF256" s="132" t="e">
        <f aca="false">(CJ256/VLOOKUP(CC256,discount,3,FALSE()))-(CJ256/VLOOKUP(CC256,discount,2,FALSE()))</f>
        <v>#NAME?</v>
      </c>
      <c r="CG256" s="253" t="e">
        <f aca="false">xSPRDOPT((VLOOKUP(G256,NGPREVPRICES,2,FALSE())+HLOOKUP(D256,PREVCURVES,VLOOKUP(G256,MOVE_DOWN2,2,FALSE()),FALSE())),VLOOKUP(G256,NGPREVPRICES,2,FALSE()),CK256,VLOOKUP(G256,NGPREVPRICES,4,FALSE()),HLOOKUP(D256,VOLS,VLOOKUP(G256,move_down,2,FALSE()),FALSE()),VLOOKUP(G256,NGPrices,3,FALSE()),HLOOKUP(D256,Correllate,VLOOKUP(G256,CorMove,2,FALSE()),FALSE()),Q256-$CD$3,R256,$CJ$5)*H256-CJ256</f>
        <v>#NAME?</v>
      </c>
      <c r="CH256" s="253" t="e">
        <f aca="false">xSPRDOPT((VLOOKUP(G256,NGPREVPRICES,2,FALSE())+HLOOKUP(D256,PREVCURVES,VLOOKUP(G256,MOVE_DOWN2,2,FALSE()),FALSE())),VLOOKUP(G256,NGPREVPRICES,2,FALSE()),CK256,VLOOKUP(G256,NGPREVPRICES,4,FALSE()),HLOOKUP(D256,PREVVOLS,VLOOKUP(G256,MOVE_DOWN2,2,FALSE()),FALSE()),VLOOKUP(G256,NGPREVPRICES,3,FALSE()),HLOOKUP(D256,Correllate,VLOOKUP(G256,CorMove,2,FALSE()),FALSE()),Q256-$C$3,R256,$CJ$5)*H256-CJ256</f>
        <v>#NAME?</v>
      </c>
      <c r="CI256" s="253" t="e">
        <f aca="false">SUM(CD256:CH256)</f>
        <v>#NAME?</v>
      </c>
      <c r="CJ256" s="253" t="e">
        <f aca="false">xSPRDOPT((VLOOKUP(G256,NGPREVPRICES,2,FALSE())+HLOOKUP(D256,PREVCURVES,VLOOKUP(G256,MOVE_DOWN2,2,FALSE()),FALSE())),VLOOKUP(G256,NGPREVPRICES,2,FALSE()),CK256,VLOOKUP(G256,NGPREVPRICES,4,FALSE()),HLOOKUP(D256,PREVVOLS,VLOOKUP(G256,MOVE_DOWN2,2,FALSE()),FALSE()),VLOOKUP(G256,NGPREVPRICES,3,FALSE()),HLOOKUP(D256,Correllate,VLOOKUP(G256,CorMove,2,FALSE()),FALSE()),Q256-$CD$3,R256,$CJ$5)*H256</f>
        <v>#NAME?</v>
      </c>
      <c r="CK256" s="254" t="n">
        <f aca="false">I256</f>
        <v>0.75</v>
      </c>
      <c r="CL256" s="253"/>
      <c r="CM256" s="0" t="str">
        <f aca="false">CONCATENATE(CC256,$CD$6)</f>
        <v>36861Curve Shift/Gamma</v>
      </c>
      <c r="CN256" s="0" t="str">
        <f aca="false">CONCATENATE($CC256,$CE$6)</f>
        <v>36861Rho</v>
      </c>
      <c r="CO256" s="0" t="str">
        <f aca="false">CONCATENATE($CC256,$CF$6)</f>
        <v>36861Drift</v>
      </c>
      <c r="CP256" s="0" t="str">
        <f aca="false">CONCATENATE($CC256,$CG$6)</f>
        <v>36861Vega</v>
      </c>
      <c r="CQ256" s="0" t="str">
        <f aca="false">CONCATENATE($CC256,$CH$6)</f>
        <v>36861Theta</v>
      </c>
    </row>
    <row r="257" customFormat="false" ht="12.75" hidden="false" customHeight="false" outlineLevel="0" collapsed="false">
      <c r="A257" s="265" t="s">
        <v>198</v>
      </c>
      <c r="B257" s="0" t="s">
        <v>192</v>
      </c>
      <c r="C257" s="0" t="s">
        <v>287</v>
      </c>
      <c r="D257" s="7" t="s">
        <v>149</v>
      </c>
      <c r="E257" s="0" t="s">
        <v>131</v>
      </c>
      <c r="F257" s="0" t="s">
        <v>132</v>
      </c>
      <c r="G257" s="92" t="n">
        <v>36831</v>
      </c>
      <c r="H257" s="248" t="n">
        <v>1000000</v>
      </c>
      <c r="I257" s="0" t="n">
        <v>0.75</v>
      </c>
      <c r="J257" s="124" t="n">
        <f aca="false">VLOOKUP(G257,NGPrices,2,FALSE())</f>
        <v>4.736</v>
      </c>
      <c r="K257" s="125" t="n">
        <f aca="false">HLOOKUP(D257,Prices,VLOOKUP(G257,move_down,2,FALSE()),FALSE())+VLOOKUP(G257,CHANGE,HLOOKUP(D257,CHANGE,2,FALSE()),FALSE())</f>
        <v>0.77</v>
      </c>
      <c r="L257" s="124" t="n">
        <f aca="false">K257+J257</f>
        <v>5.506</v>
      </c>
      <c r="M257" s="126" t="n">
        <f aca="false">VLOOKUP(G257,NGPrices,4,FALSE())</f>
        <v>0.06810675983792</v>
      </c>
      <c r="N257" s="7" t="n">
        <f aca="false">VLOOKUP(G257,NGPrices,3,FALSE())</f>
        <v>0.595</v>
      </c>
      <c r="O257" s="7" t="n">
        <f aca="false">HLOOKUP(D257,VOLS,VLOOKUP(G257,move_down,2,FALSE()),FALSE())</f>
        <v>0.625</v>
      </c>
      <c r="P257" s="249" t="n">
        <f aca="false">HLOOKUP(D257,Correllate,VLOOKUP(G257,CorMove,2,FALSE()),FALSE())</f>
        <v>0.89</v>
      </c>
      <c r="Q257" s="92" t="n">
        <f aca="false">WORKDAY(G257,-2)</f>
        <v>36829</v>
      </c>
      <c r="R257" s="7" t="n">
        <f aca="false">IF(F257="P",0,1)</f>
        <v>0</v>
      </c>
      <c r="S257" s="130" t="e">
        <f aca="false">xSPRDOPT($L257,$J257,$I257,$M257,$O257,$N257,$P257,$Q257-$C$3,$R257,0)</f>
        <v>#NAME?</v>
      </c>
      <c r="T257" s="250" t="e">
        <f aca="false">xSPRDOPT($L257,$J257,$I257,$M257,$O257,$N257,$P257,$Q257-$C$3,$R257,1)*H257</f>
        <v>#NAME?</v>
      </c>
      <c r="U257" s="43" t="e">
        <f aca="false">S257*H257</f>
        <v>#NAME?</v>
      </c>
      <c r="V257" s="250" t="e">
        <f aca="false">xSPRDOPT($L257,$J257,$I257,$M257,$O257,$N257,$P257,$Q257-$C$3,$R257,2)*H257</f>
        <v>#NAME?</v>
      </c>
      <c r="W257" s="250" t="e">
        <f aca="false">+V257+T257</f>
        <v>#NAME?</v>
      </c>
      <c r="X257" s="2" t="str">
        <f aca="false">CONCATENATE(G257,D257)</f>
        <v>36831IF-TRANSCO/Z6</v>
      </c>
      <c r="Y257" s="251" t="n">
        <f aca="false">H257/10000</f>
        <v>100</v>
      </c>
      <c r="Z257" s="226" t="e">
        <f aca="false">T257/H257</f>
        <v>#NAME?</v>
      </c>
      <c r="AA257" s="226" t="e">
        <f aca="false">xSPRDOPT($L257,$J257,$I257,$M257,$O257,$N257,$P257,$Q257-$C$3,$R257,3)</f>
        <v>#NAME?</v>
      </c>
      <c r="AB257" s="226" t="e">
        <f aca="false">((xSPRDOPT($L257+AB$5,$J257,$I257,$M257,$O257,$N257,$P257,$Q257-$C$3,$R257,3)*$H257)/10000)/100</f>
        <v>#NAME?</v>
      </c>
      <c r="AC257" s="226" t="e">
        <f aca="false">((xSPRDOPT($L257+$AB$5,$J257,$I257,$M257,$O257,$N257,$P257,$Q257-$C$3,$R257,7)*$H257)/100)</f>
        <v>#NAME?</v>
      </c>
      <c r="AD257" s="226" t="e">
        <f aca="false">(xSPRDOPT($L257+$AB$5,$J257,$I257,$M257,$O257,$N257,$P257,$Q257-$C$3,$R257,9)/365)*$H257</f>
        <v>#NAME?</v>
      </c>
      <c r="AE257" s="0" t="e">
        <f aca="false">CD257</f>
        <v>#NAME?</v>
      </c>
      <c r="AF257" s="226" t="e">
        <f aca="false">((O257/N257)*AH257)+AG257</f>
        <v>#NAME?</v>
      </c>
      <c r="AG257" s="226" t="e">
        <f aca="false">((xSPRDOPT($L257,$J257,$I257,$M257,$O257,$N257,$P257,$Q257-$C$3,$R257,6)*$H257)/100)</f>
        <v>#NAME?</v>
      </c>
      <c r="AH257" s="226" t="e">
        <f aca="false">((xSPRDOPT($L257,$J257,$I257,$M257,$O257,$N257,$P257,$Q257-$C$3,$R257,5)*$H257)/100)</f>
        <v>#NAME?</v>
      </c>
      <c r="AI257" s="226" t="e">
        <f aca="false">(((xSPRDOPT($L257,$J257,$I257,$M257,$O257,$N257,$P257,$Q257-$C$3,$R257,4)*$H257)/10000)/100)-AB257</f>
        <v>#NAME?</v>
      </c>
      <c r="AJ257" s="226"/>
      <c r="AK257" s="226"/>
      <c r="AL257" s="226"/>
      <c r="AM257" s="252"/>
      <c r="CC257" s="182" t="n">
        <f aca="false">G257</f>
        <v>36831</v>
      </c>
      <c r="CD257" s="253" t="e">
        <f aca="false">xSPRDOPT((VLOOKUP(G257,NGPrices,2,FALSE())+HLOOKUP(D257,Prices,VLOOKUP(G257,move_down,2,FALSE()),FALSE())),VLOOKUP(G257,NGPrices,2,FALSE()),I257,VLOOKUP(G257,NGPREVPRICES,4,FALSE()),HLOOKUP(D257,PREVVOLS,VLOOKUP(G257,MOVE_DOWN2,2,FALSE()),FALSE()),VLOOKUP(G257,NGPREVPRICES,3,FALSE()),HLOOKUP(D257,Correllate,VLOOKUP(G257,CorMove,2,FALSE()),FALSE()),Q257-$CD$3,R257,$CD$5)*H257-CJ257</f>
        <v>#NAME?</v>
      </c>
      <c r="CE257" s="253" t="e">
        <f aca="false">xSPRDOPT((VLOOKUP(G257,NGPREVPRICES,2,FALSE())+HLOOKUP(D257,PREVCURVES,VLOOKUP(G257,MOVE_DOWN2,2,FALSE()),FALSE())),VLOOKUP(G257,NGPREVPRICES,2,FALSE()),CK257,VLOOKUP(G257,NGPrices,4,FALSE()),HLOOKUP(D257,PREVVOLS,VLOOKUP(G257,MOVE_DOWN2,2,FALSE()),FALSE()),VLOOKUP(G257,NGPREVPRICES,3,FALSE()),HLOOKUP(D257,Correllate,VLOOKUP(G257,CorMove,2,FALSE()),FALSE()),Q257-$CD$3,R257,$CJ$5)*H257-CJ257</f>
        <v>#NAME?</v>
      </c>
      <c r="CF257" s="132" t="e">
        <f aca="false">(CJ257/VLOOKUP(CC257,discount,3,FALSE()))-(CJ257/VLOOKUP(CC257,discount,2,FALSE()))</f>
        <v>#NAME?</v>
      </c>
      <c r="CG257" s="253" t="e">
        <f aca="false">xSPRDOPT((VLOOKUP(G257,NGPREVPRICES,2,FALSE())+HLOOKUP(D257,PREVCURVES,VLOOKUP(G257,MOVE_DOWN2,2,FALSE()),FALSE())),VLOOKUP(G257,NGPREVPRICES,2,FALSE()),CK257,VLOOKUP(G257,NGPREVPRICES,4,FALSE()),HLOOKUP(D257,VOLS,VLOOKUP(G257,move_down,2,FALSE()),FALSE()),VLOOKUP(G257,NGPrices,3,FALSE()),HLOOKUP(D257,Correllate,VLOOKUP(G257,CorMove,2,FALSE()),FALSE()),Q257-$CD$3,R257,$CJ$5)*H257-CJ257</f>
        <v>#NAME?</v>
      </c>
      <c r="CH257" s="253" t="e">
        <f aca="false">xSPRDOPT((VLOOKUP(G257,NGPREVPRICES,2,FALSE())+HLOOKUP(D257,PREVCURVES,VLOOKUP(G257,MOVE_DOWN2,2,FALSE()),FALSE())),VLOOKUP(G257,NGPREVPRICES,2,FALSE()),CK257,VLOOKUP(G257,NGPREVPRICES,4,FALSE()),HLOOKUP(D257,PREVVOLS,VLOOKUP(G257,MOVE_DOWN2,2,FALSE()),FALSE()),VLOOKUP(G257,NGPREVPRICES,3,FALSE()),HLOOKUP(D257,Correllate,VLOOKUP(G257,CorMove,2,FALSE()),FALSE()),Q257-$C$3,R257,$CJ$5)*H257-CJ257</f>
        <v>#NAME?</v>
      </c>
      <c r="CI257" s="253" t="e">
        <f aca="false">SUM(CD257:CH257)</f>
        <v>#NAME?</v>
      </c>
      <c r="CJ257" s="253" t="e">
        <f aca="false">xSPRDOPT((VLOOKUP(G257,NGPREVPRICES,2,FALSE())+HLOOKUP(D257,PREVCURVES,VLOOKUP(G257,MOVE_DOWN2,2,FALSE()),FALSE())),VLOOKUP(G257,NGPREVPRICES,2,FALSE()),CK257,VLOOKUP(G257,NGPREVPRICES,4,FALSE()),HLOOKUP(D257,PREVVOLS,VLOOKUP(G257,MOVE_DOWN2,2,FALSE()),FALSE()),VLOOKUP(G257,NGPREVPRICES,3,FALSE()),HLOOKUP(D257,Correllate,VLOOKUP(G257,CorMove,2,FALSE()),FALSE()),Q257-$CD$3,R257,$CJ$5)*H257</f>
        <v>#NAME?</v>
      </c>
      <c r="CK257" s="254" t="n">
        <f aca="false">I257</f>
        <v>0.75</v>
      </c>
      <c r="CL257" s="253"/>
      <c r="CM257" s="0" t="str">
        <f aca="false">CONCATENATE(CC257,$CD$6)</f>
        <v>36831Curve Shift/Gamma</v>
      </c>
      <c r="CN257" s="0" t="str">
        <f aca="false">CONCATENATE($CC257,$CE$6)</f>
        <v>36831Rho</v>
      </c>
      <c r="CO257" s="0" t="str">
        <f aca="false">CONCATENATE($CC257,$CF$6)</f>
        <v>36831Drift</v>
      </c>
      <c r="CP257" s="0" t="str">
        <f aca="false">CONCATENATE($CC257,$CG$6)</f>
        <v>36831Vega</v>
      </c>
      <c r="CQ257" s="0" t="str">
        <f aca="false">CONCATENATE($CC257,$CH$6)</f>
        <v>36831Theta</v>
      </c>
    </row>
    <row r="258" customFormat="false" ht="12.75" hidden="false" customHeight="false" outlineLevel="0" collapsed="false">
      <c r="A258" s="265" t="s">
        <v>198</v>
      </c>
      <c r="B258" s="0" t="s">
        <v>192</v>
      </c>
      <c r="C258" s="0" t="s">
        <v>288</v>
      </c>
      <c r="D258" s="7" t="s">
        <v>149</v>
      </c>
      <c r="E258" s="0" t="s">
        <v>131</v>
      </c>
      <c r="F258" s="0" t="s">
        <v>136</v>
      </c>
      <c r="G258" s="92" t="n">
        <v>36951</v>
      </c>
      <c r="H258" s="248" t="n">
        <v>-310000</v>
      </c>
      <c r="I258" s="0" t="n">
        <v>3</v>
      </c>
      <c r="J258" s="124" t="n">
        <f aca="false">VLOOKUP(G258,NGPrices,2,FALSE())</f>
        <v>4.213</v>
      </c>
      <c r="K258" s="125" t="n">
        <f aca="false">HLOOKUP(D258,Prices,VLOOKUP(G258,move_down,2,FALSE()),FALSE())+VLOOKUP(G258,CHANGE,HLOOKUP(D258,CHANGE,2,FALSE()),FALSE())</f>
        <v>1.075</v>
      </c>
      <c r="L258" s="124" t="n">
        <f aca="false">K258+J258</f>
        <v>5.288</v>
      </c>
      <c r="M258" s="126" t="n">
        <f aca="false">VLOOKUP(G258,NGPrices,4,FALSE())</f>
        <v>0.068879814952707</v>
      </c>
      <c r="N258" s="7" t="n">
        <f aca="false">VLOOKUP(G258,NGPrices,3,FALSE())</f>
        <v>0.5325</v>
      </c>
      <c r="O258" s="7" t="n">
        <f aca="false">HLOOKUP(D258,VOLS,VLOOKUP(G258,move_down,2,FALSE()),FALSE())</f>
        <v>0.612</v>
      </c>
      <c r="P258" s="249" t="n">
        <f aca="false">HLOOKUP(D258,Correllate,VLOOKUP(G258,CorMove,2,FALSE()),FALSE())</f>
        <v>0.83</v>
      </c>
      <c r="Q258" s="92" t="n">
        <f aca="false">WORKDAY(G258,-2)</f>
        <v>36949</v>
      </c>
      <c r="R258" s="7" t="n">
        <f aca="false">IF(F258="P",0,1)</f>
        <v>1</v>
      </c>
      <c r="S258" s="130" t="e">
        <f aca="false">xSPRDOPT($L258,$J258,$I258,$M258,$O258,$N258,$P258,$Q258-$C$3,$R258,0)</f>
        <v>#NAME?</v>
      </c>
      <c r="T258" s="250" t="e">
        <f aca="false">xSPRDOPT($L258,$J258,$I258,$M258,$O258,$N258,$P258,$Q258-$C$3,$R258,1)*H258</f>
        <v>#NAME?</v>
      </c>
      <c r="U258" s="43" t="e">
        <f aca="false">S258*H258</f>
        <v>#NAME?</v>
      </c>
      <c r="V258" s="250" t="e">
        <f aca="false">xSPRDOPT($L258,$J258,$I258,$M258,$O258,$N258,$P258,$Q258-$C$3,$R258,2)*H258</f>
        <v>#NAME?</v>
      </c>
      <c r="W258" s="250" t="e">
        <f aca="false">+V258+T258</f>
        <v>#NAME?</v>
      </c>
      <c r="X258" s="2" t="str">
        <f aca="false">CONCATENATE(G258,D258)</f>
        <v>36951IF-TRANSCO/Z6</v>
      </c>
      <c r="Y258" s="251" t="n">
        <f aca="false">H258/10000</f>
        <v>-31</v>
      </c>
      <c r="Z258" s="226" t="e">
        <f aca="false">T258/H258</f>
        <v>#NAME?</v>
      </c>
      <c r="AA258" s="226" t="e">
        <f aca="false">xSPRDOPT($L258,$J258,$I258,$M258,$O258,$N258,$P258,$Q258-$C$3,$R258,3)</f>
        <v>#NAME?</v>
      </c>
      <c r="AB258" s="226" t="e">
        <f aca="false">((xSPRDOPT($L258+AB$5,$J258,$I258,$M258,$O258,$N258,$P258,$Q258-$C$3,$R258,3)*$H258)/10000)/100</f>
        <v>#NAME?</v>
      </c>
      <c r="AC258" s="226" t="e">
        <f aca="false">((xSPRDOPT($L258+$AB$5,$J258,$I258,$M258,$O258,$N258,$P258,$Q258-$C$3,$R258,7)*$H258)/100)</f>
        <v>#NAME?</v>
      </c>
      <c r="AD258" s="226" t="e">
        <f aca="false">(xSPRDOPT($L258+$AB$5,$J258,$I258,$M258,$O258,$N258,$P258,$Q258-$C$3,$R258,9)/365)*$H258</f>
        <v>#NAME?</v>
      </c>
      <c r="AE258" s="0" t="e">
        <f aca="false">CD258</f>
        <v>#NAME?</v>
      </c>
      <c r="AF258" s="226" t="e">
        <f aca="false">((O258/N258)*AH258)+AG258</f>
        <v>#NAME?</v>
      </c>
      <c r="AG258" s="226" t="e">
        <f aca="false">((xSPRDOPT($L258,$J258,$I258,$M258,$O258,$N258,$P258,$Q258-$C$3,$R258,6)*$H258)/100)</f>
        <v>#NAME?</v>
      </c>
      <c r="AH258" s="226" t="e">
        <f aca="false">((xSPRDOPT($L258,$J258,$I258,$M258,$O258,$N258,$P258,$Q258-$C$3,$R258,5)*$H258)/100)</f>
        <v>#NAME?</v>
      </c>
      <c r="AI258" s="226" t="e">
        <f aca="false">(((xSPRDOPT($L258,$J258,$I258,$M258,$O258,$N258,$P258,$Q258-$C$3,$R258,4)*$H258)/10000)/100)-AB258</f>
        <v>#NAME?</v>
      </c>
      <c r="AJ258" s="226"/>
      <c r="AK258" s="226"/>
      <c r="AL258" s="226"/>
      <c r="AM258" s="252"/>
      <c r="CC258" s="182" t="n">
        <f aca="false">G258</f>
        <v>36951</v>
      </c>
      <c r="CD258" s="253" t="e">
        <f aca="false">xSPRDOPT((VLOOKUP(G258,NGPrices,2,FALSE())+HLOOKUP(D258,Prices,VLOOKUP(G258,move_down,2,FALSE()),FALSE())),VLOOKUP(G258,NGPrices,2,FALSE()),I258,VLOOKUP(G258,NGPREVPRICES,4,FALSE()),HLOOKUP(D258,PREVVOLS,VLOOKUP(G258,MOVE_DOWN2,2,FALSE()),FALSE()),VLOOKUP(G258,NGPREVPRICES,3,FALSE()),HLOOKUP(D258,Correllate,VLOOKUP(G258,CorMove,2,FALSE()),FALSE()),Q258-$CD$3,R258,$CD$5)*H258-CJ258</f>
        <v>#NAME?</v>
      </c>
      <c r="CE258" s="253" t="e">
        <f aca="false">xSPRDOPT((VLOOKUP(G258,NGPREVPRICES,2,FALSE())+HLOOKUP(D258,PREVCURVES,VLOOKUP(G258,MOVE_DOWN2,2,FALSE()),FALSE())),VLOOKUP(G258,NGPREVPRICES,2,FALSE()),CK258,VLOOKUP(G258,NGPrices,4,FALSE()),HLOOKUP(D258,PREVVOLS,VLOOKUP(G258,MOVE_DOWN2,2,FALSE()),FALSE()),VLOOKUP(G258,NGPREVPRICES,3,FALSE()),HLOOKUP(D258,Correllate,VLOOKUP(G258,CorMove,2,FALSE()),FALSE()),Q258-$CD$3,R258,$CJ$5)*H258-CJ258</f>
        <v>#NAME?</v>
      </c>
      <c r="CF258" s="132" t="e">
        <f aca="false">(CJ258/VLOOKUP(CC258,discount,3,FALSE()))-(CJ258/VLOOKUP(CC258,discount,2,FALSE()))</f>
        <v>#NAME?</v>
      </c>
      <c r="CG258" s="253" t="e">
        <f aca="false">xSPRDOPT((VLOOKUP(G258,NGPREVPRICES,2,FALSE())+HLOOKUP(D258,PREVCURVES,VLOOKUP(G258,MOVE_DOWN2,2,FALSE()),FALSE())),VLOOKUP(G258,NGPREVPRICES,2,FALSE()),CK258,VLOOKUP(G258,NGPREVPRICES,4,FALSE()),HLOOKUP(D258,VOLS,VLOOKUP(G258,move_down,2,FALSE()),FALSE()),VLOOKUP(G258,NGPrices,3,FALSE()),HLOOKUP(D258,Correllate,VLOOKUP(G258,CorMove,2,FALSE()),FALSE()),Q258-$CD$3,R258,$CJ$5)*H258-CJ258</f>
        <v>#NAME?</v>
      </c>
      <c r="CH258" s="253" t="e">
        <f aca="false">xSPRDOPT((VLOOKUP(G258,NGPREVPRICES,2,FALSE())+HLOOKUP(D258,PREVCURVES,VLOOKUP(G258,MOVE_DOWN2,2,FALSE()),FALSE())),VLOOKUP(G258,NGPREVPRICES,2,FALSE()),CK258,VLOOKUP(G258,NGPREVPRICES,4,FALSE()),HLOOKUP(D258,PREVVOLS,VLOOKUP(G258,MOVE_DOWN2,2,FALSE()),FALSE()),VLOOKUP(G258,NGPREVPRICES,3,FALSE()),HLOOKUP(D258,Correllate,VLOOKUP(G258,CorMove,2,FALSE()),FALSE()),Q258-$C$3,R258,$CJ$5)*H258-CJ258</f>
        <v>#NAME?</v>
      </c>
      <c r="CI258" s="253" t="e">
        <f aca="false">SUM(CD258:CH258)</f>
        <v>#NAME?</v>
      </c>
      <c r="CJ258" s="253" t="e">
        <f aca="false">xSPRDOPT((VLOOKUP(G258,NGPREVPRICES,2,FALSE())+HLOOKUP(D258,PREVCURVES,VLOOKUP(G258,MOVE_DOWN2,2,FALSE()),FALSE())),VLOOKUP(G258,NGPREVPRICES,2,FALSE()),CK258,VLOOKUP(G258,NGPREVPRICES,4,FALSE()),HLOOKUP(D258,PREVVOLS,VLOOKUP(G258,MOVE_DOWN2,2,FALSE()),FALSE()),VLOOKUP(G258,NGPREVPRICES,3,FALSE()),HLOOKUP(D258,Correllate,VLOOKUP(G258,CorMove,2,FALSE()),FALSE()),Q258-$CD$3,R258,$CJ$5)*H258</f>
        <v>#NAME?</v>
      </c>
      <c r="CK258" s="254" t="n">
        <f aca="false">I258</f>
        <v>3</v>
      </c>
      <c r="CL258" s="253"/>
      <c r="CM258" s="0" t="str">
        <f aca="false">CONCATENATE(CC258,$CD$6)</f>
        <v>36951Curve Shift/Gamma</v>
      </c>
      <c r="CN258" s="0" t="str">
        <f aca="false">CONCATENATE($CC258,$CE$6)</f>
        <v>36951Rho</v>
      </c>
      <c r="CO258" s="0" t="str">
        <f aca="false">CONCATENATE($CC258,$CF$6)</f>
        <v>36951Drift</v>
      </c>
      <c r="CP258" s="0" t="str">
        <f aca="false">CONCATENATE($CC258,$CG$6)</f>
        <v>36951Vega</v>
      </c>
      <c r="CQ258" s="0" t="str">
        <f aca="false">CONCATENATE($CC258,$CH$6)</f>
        <v>36951Theta</v>
      </c>
    </row>
    <row r="259" customFormat="false" ht="12.75" hidden="false" customHeight="false" outlineLevel="0" collapsed="false">
      <c r="A259" s="265" t="s">
        <v>198</v>
      </c>
      <c r="B259" s="0" t="s">
        <v>192</v>
      </c>
      <c r="C259" s="0" t="s">
        <v>288</v>
      </c>
      <c r="D259" s="7" t="s">
        <v>149</v>
      </c>
      <c r="E259" s="0" t="s">
        <v>131</v>
      </c>
      <c r="F259" s="0" t="s">
        <v>136</v>
      </c>
      <c r="G259" s="92" t="n">
        <v>36923</v>
      </c>
      <c r="H259" s="248" t="n">
        <v>-280000</v>
      </c>
      <c r="I259" s="0" t="n">
        <v>3</v>
      </c>
      <c r="J259" s="124" t="n">
        <f aca="false">VLOOKUP(G259,NGPrices,2,FALSE())</f>
        <v>4.48</v>
      </c>
      <c r="K259" s="125" t="n">
        <f aca="false">HLOOKUP(D259,Prices,VLOOKUP(G259,move_down,2,FALSE()),FALSE())+VLOOKUP(G259,CHANGE,HLOOKUP(D259,CHANGE,2,FALSE()),FALSE())</f>
        <v>2.09</v>
      </c>
      <c r="L259" s="124" t="n">
        <f aca="false">K259+J259</f>
        <v>6.57</v>
      </c>
      <c r="M259" s="126" t="n">
        <f aca="false">VLOOKUP(G259,NGPrices,4,FALSE())</f>
        <v>0.068640161611372</v>
      </c>
      <c r="N259" s="7" t="n">
        <f aca="false">VLOOKUP(G259,NGPrices,3,FALSE())</f>
        <v>0.5925</v>
      </c>
      <c r="O259" s="7" t="n">
        <f aca="false">HLOOKUP(D259,VOLS,VLOOKUP(G259,move_down,2,FALSE()),FALSE())</f>
        <v>0.681</v>
      </c>
      <c r="P259" s="249" t="n">
        <f aca="false">HLOOKUP(D259,Correllate,VLOOKUP(G259,CorMove,2,FALSE()),FALSE())</f>
        <v>0.83</v>
      </c>
      <c r="Q259" s="92" t="n">
        <f aca="false">WORKDAY(G259,-2)</f>
        <v>36921</v>
      </c>
      <c r="R259" s="7" t="n">
        <f aca="false">IF(F259="P",0,1)</f>
        <v>1</v>
      </c>
      <c r="S259" s="130" t="e">
        <f aca="false">xSPRDOPT($L259,$J259,$I259,$M259,$O259,$N259,$P259,$Q259-$C$3,$R259,0)</f>
        <v>#NAME?</v>
      </c>
      <c r="T259" s="250" t="e">
        <f aca="false">xSPRDOPT($L259,$J259,$I259,$M259,$O259,$N259,$P259,$Q259-$C$3,$R259,1)*H259</f>
        <v>#NAME?</v>
      </c>
      <c r="U259" s="43" t="e">
        <f aca="false">S259*H259</f>
        <v>#NAME?</v>
      </c>
      <c r="V259" s="250" t="e">
        <f aca="false">xSPRDOPT($L259,$J259,$I259,$M259,$O259,$N259,$P259,$Q259-$C$3,$R259,2)*H259</f>
        <v>#NAME?</v>
      </c>
      <c r="W259" s="250" t="e">
        <f aca="false">+V259+T259</f>
        <v>#NAME?</v>
      </c>
      <c r="X259" s="2" t="str">
        <f aca="false">CONCATENATE(G259,D259)</f>
        <v>36923IF-TRANSCO/Z6</v>
      </c>
      <c r="Y259" s="251" t="n">
        <f aca="false">H259/10000</f>
        <v>-28</v>
      </c>
      <c r="Z259" s="226" t="e">
        <f aca="false">T259/H259</f>
        <v>#NAME?</v>
      </c>
      <c r="AA259" s="226" t="e">
        <f aca="false">xSPRDOPT($L259,$J259,$I259,$M259,$O259,$N259,$P259,$Q259-$C$3,$R259,3)</f>
        <v>#NAME?</v>
      </c>
      <c r="AB259" s="226" t="e">
        <f aca="false">((xSPRDOPT($L259+AB$5,$J259,$I259,$M259,$O259,$N259,$P259,$Q259-$C$3,$R259,3)*$H259)/10000)/100</f>
        <v>#NAME?</v>
      </c>
      <c r="AC259" s="226" t="e">
        <f aca="false">((xSPRDOPT($L259+$AB$5,$J259,$I259,$M259,$O259,$N259,$P259,$Q259-$C$3,$R259,7)*$H259)/100)</f>
        <v>#NAME?</v>
      </c>
      <c r="AD259" s="226" t="e">
        <f aca="false">(xSPRDOPT($L259+$AB$5,$J259,$I259,$M259,$O259,$N259,$P259,$Q259-$C$3,$R259,9)/365)*$H259</f>
        <v>#NAME?</v>
      </c>
      <c r="AE259" s="0" t="e">
        <f aca="false">CD259</f>
        <v>#NAME?</v>
      </c>
      <c r="AF259" s="226" t="e">
        <f aca="false">((O259/N259)*AH259)+AG259</f>
        <v>#NAME?</v>
      </c>
      <c r="AG259" s="226" t="e">
        <f aca="false">((xSPRDOPT($L259,$J259,$I259,$M259,$O259,$N259,$P259,$Q259-$C$3,$R259,6)*$H259)/100)</f>
        <v>#NAME?</v>
      </c>
      <c r="AH259" s="226" t="e">
        <f aca="false">((xSPRDOPT($L259,$J259,$I259,$M259,$O259,$N259,$P259,$Q259-$C$3,$R259,5)*$H259)/100)</f>
        <v>#NAME?</v>
      </c>
      <c r="AI259" s="226" t="e">
        <f aca="false">(((xSPRDOPT($L259,$J259,$I259,$M259,$O259,$N259,$P259,$Q259-$C$3,$R259,4)*$H259)/10000)/100)-AB259</f>
        <v>#NAME?</v>
      </c>
      <c r="AJ259" s="226"/>
      <c r="AK259" s="226"/>
      <c r="AL259" s="226"/>
      <c r="AM259" s="252"/>
      <c r="CC259" s="182" t="n">
        <f aca="false">G259</f>
        <v>36923</v>
      </c>
      <c r="CD259" s="253" t="e">
        <f aca="false">xSPRDOPT((VLOOKUP(G259,NGPrices,2,FALSE())+HLOOKUP(D259,Prices,VLOOKUP(G259,move_down,2,FALSE()),FALSE())),VLOOKUP(G259,NGPrices,2,FALSE()),I259,VLOOKUP(G259,NGPREVPRICES,4,FALSE()),HLOOKUP(D259,PREVVOLS,VLOOKUP(G259,MOVE_DOWN2,2,FALSE()),FALSE()),VLOOKUP(G259,NGPREVPRICES,3,FALSE()),HLOOKUP(D259,Correllate,VLOOKUP(G259,CorMove,2,FALSE()),FALSE()),Q259-$CD$3,R259,$CD$5)*H259-CJ259</f>
        <v>#NAME?</v>
      </c>
      <c r="CE259" s="253" t="e">
        <f aca="false">xSPRDOPT((VLOOKUP(G259,NGPREVPRICES,2,FALSE())+HLOOKUP(D259,PREVCURVES,VLOOKUP(G259,MOVE_DOWN2,2,FALSE()),FALSE())),VLOOKUP(G259,NGPREVPRICES,2,FALSE()),CK259,VLOOKUP(G259,NGPrices,4,FALSE()),HLOOKUP(D259,PREVVOLS,VLOOKUP(G259,MOVE_DOWN2,2,FALSE()),FALSE()),VLOOKUP(G259,NGPREVPRICES,3,FALSE()),HLOOKUP(D259,Correllate,VLOOKUP(G259,CorMove,2,FALSE()),FALSE()),Q259-$CD$3,R259,$CJ$5)*H259-CJ259</f>
        <v>#NAME?</v>
      </c>
      <c r="CF259" s="132" t="e">
        <f aca="false">(CJ259/VLOOKUP(CC259,discount,3,FALSE()))-(CJ259/VLOOKUP(CC259,discount,2,FALSE()))</f>
        <v>#NAME?</v>
      </c>
      <c r="CG259" s="253" t="e">
        <f aca="false">xSPRDOPT((VLOOKUP(G259,NGPREVPRICES,2,FALSE())+HLOOKUP(D259,PREVCURVES,VLOOKUP(G259,MOVE_DOWN2,2,FALSE()),FALSE())),VLOOKUP(G259,NGPREVPRICES,2,FALSE()),CK259,VLOOKUP(G259,NGPREVPRICES,4,FALSE()),HLOOKUP(D259,VOLS,VLOOKUP(G259,move_down,2,FALSE()),FALSE()),VLOOKUP(G259,NGPrices,3,FALSE()),HLOOKUP(D259,Correllate,VLOOKUP(G259,CorMove,2,FALSE()),FALSE()),Q259-$CD$3,R259,$CJ$5)*H259-CJ259</f>
        <v>#NAME?</v>
      </c>
      <c r="CH259" s="253" t="e">
        <f aca="false">xSPRDOPT((VLOOKUP(G259,NGPREVPRICES,2,FALSE())+HLOOKUP(D259,PREVCURVES,VLOOKUP(G259,MOVE_DOWN2,2,FALSE()),FALSE())),VLOOKUP(G259,NGPREVPRICES,2,FALSE()),CK259,VLOOKUP(G259,NGPREVPRICES,4,FALSE()),HLOOKUP(D259,PREVVOLS,VLOOKUP(G259,MOVE_DOWN2,2,FALSE()),FALSE()),VLOOKUP(G259,NGPREVPRICES,3,FALSE()),HLOOKUP(D259,Correllate,VLOOKUP(G259,CorMove,2,FALSE()),FALSE()),Q259-$C$3,R259,$CJ$5)*H259-CJ259</f>
        <v>#NAME?</v>
      </c>
      <c r="CI259" s="253" t="e">
        <f aca="false">SUM(CD259:CH259)</f>
        <v>#NAME?</v>
      </c>
      <c r="CJ259" s="253" t="e">
        <f aca="false">xSPRDOPT((VLOOKUP(G259,NGPREVPRICES,2,FALSE())+HLOOKUP(D259,PREVCURVES,VLOOKUP(G259,MOVE_DOWN2,2,FALSE()),FALSE())),VLOOKUP(G259,NGPREVPRICES,2,FALSE()),CK259,VLOOKUP(G259,NGPREVPRICES,4,FALSE()),HLOOKUP(D259,PREVVOLS,VLOOKUP(G259,MOVE_DOWN2,2,FALSE()),FALSE()),VLOOKUP(G259,NGPREVPRICES,3,FALSE()),HLOOKUP(D259,Correllate,VLOOKUP(G259,CorMove,2,FALSE()),FALSE()),Q259-$CD$3,R259,$CJ$5)*H259</f>
        <v>#NAME?</v>
      </c>
      <c r="CK259" s="254" t="n">
        <f aca="false">I259</f>
        <v>3</v>
      </c>
      <c r="CL259" s="253"/>
      <c r="CM259" s="0" t="str">
        <f aca="false">CONCATENATE(CC259,$CD$6)</f>
        <v>36923Curve Shift/Gamma</v>
      </c>
      <c r="CN259" s="0" t="str">
        <f aca="false">CONCATENATE($CC259,$CE$6)</f>
        <v>36923Rho</v>
      </c>
      <c r="CO259" s="0" t="str">
        <f aca="false">CONCATENATE($CC259,$CF$6)</f>
        <v>36923Drift</v>
      </c>
      <c r="CP259" s="0" t="str">
        <f aca="false">CONCATENATE($CC259,$CG$6)</f>
        <v>36923Vega</v>
      </c>
      <c r="CQ259" s="0" t="str">
        <f aca="false">CONCATENATE($CC259,$CH$6)</f>
        <v>36923Theta</v>
      </c>
    </row>
    <row r="260" customFormat="false" ht="12.75" hidden="false" customHeight="false" outlineLevel="0" collapsed="false">
      <c r="A260" s="265" t="s">
        <v>198</v>
      </c>
      <c r="B260" s="0" t="s">
        <v>192</v>
      </c>
      <c r="C260" s="0" t="s">
        <v>288</v>
      </c>
      <c r="D260" s="7" t="s">
        <v>149</v>
      </c>
      <c r="E260" s="0" t="s">
        <v>131</v>
      </c>
      <c r="F260" s="0" t="s">
        <v>136</v>
      </c>
      <c r="G260" s="92" t="n">
        <v>36892</v>
      </c>
      <c r="H260" s="248" t="n">
        <v>-310000</v>
      </c>
      <c r="I260" s="0" t="n">
        <v>3</v>
      </c>
      <c r="J260" s="124" t="n">
        <f aca="false">VLOOKUP(G260,NGPrices,2,FALSE())</f>
        <v>4.744</v>
      </c>
      <c r="K260" s="125" t="n">
        <f aca="false">HLOOKUP(D260,Prices,VLOOKUP(G260,move_down,2,FALSE()),FALSE())+VLOOKUP(G260,CHANGE,HLOOKUP(D260,CHANGE,2,FALSE()),FALSE())</f>
        <v>2.17</v>
      </c>
      <c r="L260" s="124" t="n">
        <f aca="false">K260+J260</f>
        <v>6.914</v>
      </c>
      <c r="M260" s="126" t="n">
        <f aca="false">VLOOKUP(G260,NGPrices,4,FALSE())</f>
        <v>0.068374831148491</v>
      </c>
      <c r="N260" s="7" t="n">
        <f aca="false">VLOOKUP(G260,NGPrices,3,FALSE())</f>
        <v>0.605</v>
      </c>
      <c r="O260" s="7" t="n">
        <f aca="false">HLOOKUP(D260,VOLS,VLOOKUP(G260,move_down,2,FALSE()),FALSE())</f>
        <v>0.696</v>
      </c>
      <c r="P260" s="249" t="n">
        <f aca="false">HLOOKUP(D260,Correllate,VLOOKUP(G260,CorMove,2,FALSE()),FALSE())</f>
        <v>0.83</v>
      </c>
      <c r="Q260" s="92" t="n">
        <f aca="false">WORKDAY(G260,-2)</f>
        <v>36888</v>
      </c>
      <c r="R260" s="7" t="n">
        <f aca="false">IF(F260="P",0,1)</f>
        <v>1</v>
      </c>
      <c r="S260" s="130" t="e">
        <f aca="false">xSPRDOPT($L260,$J260,$I260,$M260,$O260,$N260,$P260,$Q260-$C$3,$R260,0)</f>
        <v>#NAME?</v>
      </c>
      <c r="T260" s="250" t="e">
        <f aca="false">xSPRDOPT($L260,$J260,$I260,$M260,$O260,$N260,$P260,$Q260-$C$3,$R260,1)*H260</f>
        <v>#NAME?</v>
      </c>
      <c r="U260" s="43" t="e">
        <f aca="false">S260*H260</f>
        <v>#NAME?</v>
      </c>
      <c r="V260" s="250" t="e">
        <f aca="false">xSPRDOPT($L260,$J260,$I260,$M260,$O260,$N260,$P260,$Q260-$C$3,$R260,2)*H260</f>
        <v>#NAME?</v>
      </c>
      <c r="W260" s="250" t="e">
        <f aca="false">+V260+T260</f>
        <v>#NAME?</v>
      </c>
      <c r="X260" s="2" t="str">
        <f aca="false">CONCATENATE(G260,D260)</f>
        <v>36892IF-TRANSCO/Z6</v>
      </c>
      <c r="Y260" s="251" t="n">
        <f aca="false">H260/10000</f>
        <v>-31</v>
      </c>
      <c r="Z260" s="226" t="e">
        <f aca="false">T260/H260</f>
        <v>#NAME?</v>
      </c>
      <c r="AA260" s="226" t="e">
        <f aca="false">xSPRDOPT($L260,$J260,$I260,$M260,$O260,$N260,$P260,$Q260-$C$3,$R260,3)</f>
        <v>#NAME?</v>
      </c>
      <c r="AB260" s="226" t="e">
        <f aca="false">((xSPRDOPT($L260+AB$5,$J260,$I260,$M260,$O260,$N260,$P260,$Q260-$C$3,$R260,3)*$H260)/10000)/100</f>
        <v>#NAME?</v>
      </c>
      <c r="AC260" s="226" t="e">
        <f aca="false">((xSPRDOPT($L260+$AB$5,$J260,$I260,$M260,$O260,$N260,$P260,$Q260-$C$3,$R260,7)*$H260)/100)</f>
        <v>#NAME?</v>
      </c>
      <c r="AD260" s="226" t="e">
        <f aca="false">(xSPRDOPT($L260+$AB$5,$J260,$I260,$M260,$O260,$N260,$P260,$Q260-$C$3,$R260,9)/365)*$H260</f>
        <v>#NAME?</v>
      </c>
      <c r="AE260" s="0" t="e">
        <f aca="false">CD260</f>
        <v>#NAME?</v>
      </c>
      <c r="AF260" s="226" t="e">
        <f aca="false">((O260/N260)*AH260)+AG260</f>
        <v>#NAME?</v>
      </c>
      <c r="AG260" s="226" t="e">
        <f aca="false">((xSPRDOPT($L260,$J260,$I260,$M260,$O260,$N260,$P260,$Q260-$C$3,$R260,6)*$H260)/100)</f>
        <v>#NAME?</v>
      </c>
      <c r="AH260" s="226" t="e">
        <f aca="false">((xSPRDOPT($L260,$J260,$I260,$M260,$O260,$N260,$P260,$Q260-$C$3,$R260,5)*$H260)/100)</f>
        <v>#NAME?</v>
      </c>
      <c r="AI260" s="226" t="e">
        <f aca="false">(((xSPRDOPT($L260,$J260,$I260,$M260,$O260,$N260,$P260,$Q260-$C$3,$R260,4)*$H260)/10000)/100)-AB260</f>
        <v>#NAME?</v>
      </c>
      <c r="AJ260" s="226"/>
      <c r="AK260" s="226"/>
      <c r="AL260" s="226"/>
      <c r="AM260" s="252"/>
      <c r="CC260" s="182" t="n">
        <f aca="false">G260</f>
        <v>36892</v>
      </c>
      <c r="CD260" s="253" t="e">
        <f aca="false">xSPRDOPT((VLOOKUP(G260,NGPrices,2,FALSE())+HLOOKUP(D260,Prices,VLOOKUP(G260,move_down,2,FALSE()),FALSE())),VLOOKUP(G260,NGPrices,2,FALSE()),I260,VLOOKUP(G260,NGPREVPRICES,4,FALSE()),HLOOKUP(D260,PREVVOLS,VLOOKUP(G260,MOVE_DOWN2,2,FALSE()),FALSE()),VLOOKUP(G260,NGPREVPRICES,3,FALSE()),HLOOKUP(D260,Correllate,VLOOKUP(G260,CorMove,2,FALSE()),FALSE()),Q260-$CD$3,R260,$CD$5)*H260-CJ260</f>
        <v>#NAME?</v>
      </c>
      <c r="CE260" s="253" t="e">
        <f aca="false">xSPRDOPT((VLOOKUP(G260,NGPREVPRICES,2,FALSE())+HLOOKUP(D260,PREVCURVES,VLOOKUP(G260,MOVE_DOWN2,2,FALSE()),FALSE())),VLOOKUP(G260,NGPREVPRICES,2,FALSE()),CK260,VLOOKUP(G260,NGPrices,4,FALSE()),HLOOKUP(D260,PREVVOLS,VLOOKUP(G260,MOVE_DOWN2,2,FALSE()),FALSE()),VLOOKUP(G260,NGPREVPRICES,3,FALSE()),HLOOKUP(D260,Correllate,VLOOKUP(G260,CorMove,2,FALSE()),FALSE()),Q260-$CD$3,R260,$CJ$5)*H260-CJ260</f>
        <v>#NAME?</v>
      </c>
      <c r="CF260" s="132" t="e">
        <f aca="false">(CJ260/VLOOKUP(CC260,discount,3,FALSE()))-(CJ260/VLOOKUP(CC260,discount,2,FALSE()))</f>
        <v>#NAME?</v>
      </c>
      <c r="CG260" s="253" t="e">
        <f aca="false">xSPRDOPT((VLOOKUP(G260,NGPREVPRICES,2,FALSE())+HLOOKUP(D260,PREVCURVES,VLOOKUP(G260,MOVE_DOWN2,2,FALSE()),FALSE())),VLOOKUP(G260,NGPREVPRICES,2,FALSE()),CK260,VLOOKUP(G260,NGPREVPRICES,4,FALSE()),HLOOKUP(D260,VOLS,VLOOKUP(G260,move_down,2,FALSE()),FALSE()),VLOOKUP(G260,NGPrices,3,FALSE()),HLOOKUP(D260,Correllate,VLOOKUP(G260,CorMove,2,FALSE()),FALSE()),Q260-$CD$3,R260,$CJ$5)*H260-CJ260</f>
        <v>#NAME?</v>
      </c>
      <c r="CH260" s="253" t="e">
        <f aca="false">xSPRDOPT((VLOOKUP(G260,NGPREVPRICES,2,FALSE())+HLOOKUP(D260,PREVCURVES,VLOOKUP(G260,MOVE_DOWN2,2,FALSE()),FALSE())),VLOOKUP(G260,NGPREVPRICES,2,FALSE()),CK260,VLOOKUP(G260,NGPREVPRICES,4,FALSE()),HLOOKUP(D260,PREVVOLS,VLOOKUP(G260,MOVE_DOWN2,2,FALSE()),FALSE()),VLOOKUP(G260,NGPREVPRICES,3,FALSE()),HLOOKUP(D260,Correllate,VLOOKUP(G260,CorMove,2,FALSE()),FALSE()),Q260-$C$3,R260,$CJ$5)*H260-CJ260</f>
        <v>#NAME?</v>
      </c>
      <c r="CI260" s="253" t="e">
        <f aca="false">SUM(CD260:CH260)</f>
        <v>#NAME?</v>
      </c>
      <c r="CJ260" s="253" t="e">
        <f aca="false">xSPRDOPT((VLOOKUP(G260,NGPREVPRICES,2,FALSE())+HLOOKUP(D260,PREVCURVES,VLOOKUP(G260,MOVE_DOWN2,2,FALSE()),FALSE())),VLOOKUP(G260,NGPREVPRICES,2,FALSE()),CK260,VLOOKUP(G260,NGPREVPRICES,4,FALSE()),HLOOKUP(D260,PREVVOLS,VLOOKUP(G260,MOVE_DOWN2,2,FALSE()),FALSE()),VLOOKUP(G260,NGPREVPRICES,3,FALSE()),HLOOKUP(D260,Correllate,VLOOKUP(G260,CorMove,2,FALSE()),FALSE()),Q260-$CD$3,R260,$CJ$5)*H260</f>
        <v>#NAME?</v>
      </c>
      <c r="CK260" s="254" t="n">
        <f aca="false">I260</f>
        <v>3</v>
      </c>
      <c r="CL260" s="253"/>
      <c r="CM260" s="0" t="str">
        <f aca="false">CONCATENATE(CC260,$CD$6)</f>
        <v>36892Curve Shift/Gamma</v>
      </c>
      <c r="CN260" s="0" t="str">
        <f aca="false">CONCATENATE($CC260,$CE$6)</f>
        <v>36892Rho</v>
      </c>
      <c r="CO260" s="0" t="str">
        <f aca="false">CONCATENATE($CC260,$CF$6)</f>
        <v>36892Drift</v>
      </c>
      <c r="CP260" s="0" t="str">
        <f aca="false">CONCATENATE($CC260,$CG$6)</f>
        <v>36892Vega</v>
      </c>
      <c r="CQ260" s="0" t="str">
        <f aca="false">CONCATENATE($CC260,$CH$6)</f>
        <v>36892Theta</v>
      </c>
    </row>
    <row r="261" customFormat="false" ht="12.75" hidden="false" customHeight="false" outlineLevel="0" collapsed="false">
      <c r="A261" s="265" t="s">
        <v>198</v>
      </c>
      <c r="B261" s="0" t="s">
        <v>192</v>
      </c>
      <c r="C261" s="0" t="s">
        <v>288</v>
      </c>
      <c r="D261" s="7" t="s">
        <v>149</v>
      </c>
      <c r="E261" s="0" t="s">
        <v>131</v>
      </c>
      <c r="F261" s="0" t="s">
        <v>136</v>
      </c>
      <c r="G261" s="92" t="n">
        <v>36861</v>
      </c>
      <c r="H261" s="248" t="n">
        <v>-310000</v>
      </c>
      <c r="I261" s="0" t="n">
        <v>3</v>
      </c>
      <c r="J261" s="124" t="n">
        <f aca="false">VLOOKUP(G261,NGPrices,2,FALSE())</f>
        <v>4.8</v>
      </c>
      <c r="K261" s="125" t="n">
        <f aca="false">HLOOKUP(D261,Prices,VLOOKUP(G261,move_down,2,FALSE()),FALSE())+VLOOKUP(G261,CHANGE,HLOOKUP(D261,CHANGE,2,FALSE()),FALSE())</f>
        <v>1.645</v>
      </c>
      <c r="L261" s="124" t="n">
        <f aca="false">K261+J261</f>
        <v>6.445</v>
      </c>
      <c r="M261" s="126" t="n">
        <f aca="false">VLOOKUP(G261,NGPrices,4,FALSE())</f>
        <v>0.068314027999354</v>
      </c>
      <c r="N261" s="7" t="n">
        <f aca="false">VLOOKUP(G261,NGPrices,3,FALSE())</f>
        <v>0.6</v>
      </c>
      <c r="O261" s="7" t="n">
        <f aca="false">HLOOKUP(D261,VOLS,VLOOKUP(G261,move_down,2,FALSE()),FALSE())</f>
        <v>0.69</v>
      </c>
      <c r="P261" s="249" t="n">
        <f aca="false">HLOOKUP(D261,Correllate,VLOOKUP(G261,CorMove,2,FALSE()),FALSE())</f>
        <v>0.83</v>
      </c>
      <c r="Q261" s="92" t="n">
        <f aca="false">WORKDAY(G261,-2)</f>
        <v>36859</v>
      </c>
      <c r="R261" s="7" t="n">
        <f aca="false">IF(F261="P",0,1)</f>
        <v>1</v>
      </c>
      <c r="S261" s="130" t="e">
        <f aca="false">xSPRDOPT($L261,$J261,$I261,$M261,$O261,$N261,$P261,$Q261-$C$3,$R261,0)</f>
        <v>#NAME?</v>
      </c>
      <c r="T261" s="250" t="e">
        <f aca="false">xSPRDOPT($L261,$J261,$I261,$M261,$O261,$N261,$P261,$Q261-$C$3,$R261,1)*H261</f>
        <v>#NAME?</v>
      </c>
      <c r="U261" s="43" t="e">
        <f aca="false">S261*H261</f>
        <v>#NAME?</v>
      </c>
      <c r="V261" s="250" t="e">
        <f aca="false">xSPRDOPT($L261,$J261,$I261,$M261,$O261,$N261,$P261,$Q261-$C$3,$R261,2)*H261</f>
        <v>#NAME?</v>
      </c>
      <c r="W261" s="250" t="e">
        <f aca="false">+V261+T261</f>
        <v>#NAME?</v>
      </c>
      <c r="X261" s="2" t="str">
        <f aca="false">CONCATENATE(G261,D261)</f>
        <v>36861IF-TRANSCO/Z6</v>
      </c>
      <c r="Y261" s="251" t="n">
        <f aca="false">H261/10000</f>
        <v>-31</v>
      </c>
      <c r="Z261" s="226" t="e">
        <f aca="false">T261/H261</f>
        <v>#NAME?</v>
      </c>
      <c r="AA261" s="226" t="e">
        <f aca="false">xSPRDOPT($L261,$J261,$I261,$M261,$O261,$N261,$P261,$Q261-$C$3,$R261,3)</f>
        <v>#NAME?</v>
      </c>
      <c r="AB261" s="226" t="e">
        <f aca="false">((xSPRDOPT($L261+AB$5,$J261,$I261,$M261,$O261,$N261,$P261,$Q261-$C$3,$R261,3)*$H261)/10000)/100</f>
        <v>#NAME?</v>
      </c>
      <c r="AC261" s="226" t="e">
        <f aca="false">((xSPRDOPT($L261+$AB$5,$J261,$I261,$M261,$O261,$N261,$P261,$Q261-$C$3,$R261,7)*$H261)/100)</f>
        <v>#NAME?</v>
      </c>
      <c r="AD261" s="226" t="e">
        <f aca="false">(xSPRDOPT($L261+$AB$5,$J261,$I261,$M261,$O261,$N261,$P261,$Q261-$C$3,$R261,9)/365)*$H261</f>
        <v>#NAME?</v>
      </c>
      <c r="AE261" s="0" t="e">
        <f aca="false">CD261</f>
        <v>#NAME?</v>
      </c>
      <c r="AF261" s="226" t="e">
        <f aca="false">((O261/N261)*AH261)+AG261</f>
        <v>#NAME?</v>
      </c>
      <c r="AG261" s="226" t="e">
        <f aca="false">((xSPRDOPT($L261,$J261,$I261,$M261,$O261,$N261,$P261,$Q261-$C$3,$R261,6)*$H261)/100)</f>
        <v>#NAME?</v>
      </c>
      <c r="AH261" s="226" t="e">
        <f aca="false">((xSPRDOPT($L261,$J261,$I261,$M261,$O261,$N261,$P261,$Q261-$C$3,$R261,5)*$H261)/100)</f>
        <v>#NAME?</v>
      </c>
      <c r="AI261" s="226" t="e">
        <f aca="false">(((xSPRDOPT($L261,$J261,$I261,$M261,$O261,$N261,$P261,$Q261-$C$3,$R261,4)*$H261)/10000)/100)-AB261</f>
        <v>#NAME?</v>
      </c>
      <c r="AJ261" s="226"/>
      <c r="AK261" s="226"/>
      <c r="AL261" s="226"/>
      <c r="AM261" s="252"/>
      <c r="CC261" s="182" t="n">
        <f aca="false">G261</f>
        <v>36861</v>
      </c>
      <c r="CD261" s="253" t="e">
        <f aca="false">xSPRDOPT((VLOOKUP(G261,NGPrices,2,FALSE())+HLOOKUP(D261,Prices,VLOOKUP(G261,move_down,2,FALSE()),FALSE())),VLOOKUP(G261,NGPrices,2,FALSE()),I261,VLOOKUP(G261,NGPREVPRICES,4,FALSE()),HLOOKUP(D261,PREVVOLS,VLOOKUP(G261,MOVE_DOWN2,2,FALSE()),FALSE()),VLOOKUP(G261,NGPREVPRICES,3,FALSE()),HLOOKUP(D261,Correllate,VLOOKUP(G261,CorMove,2,FALSE()),FALSE()),Q261-$CD$3,R261,$CD$5)*H261-CJ261</f>
        <v>#NAME?</v>
      </c>
      <c r="CE261" s="253" t="e">
        <f aca="false">xSPRDOPT((VLOOKUP(G261,NGPREVPRICES,2,FALSE())+HLOOKUP(D261,PREVCURVES,VLOOKUP(G261,MOVE_DOWN2,2,FALSE()),FALSE())),VLOOKUP(G261,NGPREVPRICES,2,FALSE()),CK261,VLOOKUP(G261,NGPrices,4,FALSE()),HLOOKUP(D261,PREVVOLS,VLOOKUP(G261,MOVE_DOWN2,2,FALSE()),FALSE()),VLOOKUP(G261,NGPREVPRICES,3,FALSE()),HLOOKUP(D261,Correllate,VLOOKUP(G261,CorMove,2,FALSE()),FALSE()),Q261-$CD$3,R261,$CJ$5)*H261-CJ261</f>
        <v>#NAME?</v>
      </c>
      <c r="CF261" s="132" t="e">
        <f aca="false">(CJ261/VLOOKUP(CC261,discount,3,FALSE()))-(CJ261/VLOOKUP(CC261,discount,2,FALSE()))</f>
        <v>#NAME?</v>
      </c>
      <c r="CG261" s="253" t="e">
        <f aca="false">xSPRDOPT((VLOOKUP(G261,NGPREVPRICES,2,FALSE())+HLOOKUP(D261,PREVCURVES,VLOOKUP(G261,MOVE_DOWN2,2,FALSE()),FALSE())),VLOOKUP(G261,NGPREVPRICES,2,FALSE()),CK261,VLOOKUP(G261,NGPREVPRICES,4,FALSE()),HLOOKUP(D261,VOLS,VLOOKUP(G261,move_down,2,FALSE()),FALSE()),VLOOKUP(G261,NGPrices,3,FALSE()),HLOOKUP(D261,Correllate,VLOOKUP(G261,CorMove,2,FALSE()),FALSE()),Q261-$CD$3,R261,$CJ$5)*H261-CJ261</f>
        <v>#NAME?</v>
      </c>
      <c r="CH261" s="253" t="e">
        <f aca="false">xSPRDOPT((VLOOKUP(G261,NGPREVPRICES,2,FALSE())+HLOOKUP(D261,PREVCURVES,VLOOKUP(G261,MOVE_DOWN2,2,FALSE()),FALSE())),VLOOKUP(G261,NGPREVPRICES,2,FALSE()),CK261,VLOOKUP(G261,NGPREVPRICES,4,FALSE()),HLOOKUP(D261,PREVVOLS,VLOOKUP(G261,MOVE_DOWN2,2,FALSE()),FALSE()),VLOOKUP(G261,NGPREVPRICES,3,FALSE()),HLOOKUP(D261,Correllate,VLOOKUP(G261,CorMove,2,FALSE()),FALSE()),Q261-$C$3,R261,$CJ$5)*H261-CJ261</f>
        <v>#NAME?</v>
      </c>
      <c r="CI261" s="253" t="e">
        <f aca="false">SUM(CD261:CH261)</f>
        <v>#NAME?</v>
      </c>
      <c r="CJ261" s="253" t="e">
        <f aca="false">xSPRDOPT((VLOOKUP(G261,NGPREVPRICES,2,FALSE())+HLOOKUP(D261,PREVCURVES,VLOOKUP(G261,MOVE_DOWN2,2,FALSE()),FALSE())),VLOOKUP(G261,NGPREVPRICES,2,FALSE()),CK261,VLOOKUP(G261,NGPREVPRICES,4,FALSE()),HLOOKUP(D261,PREVVOLS,VLOOKUP(G261,MOVE_DOWN2,2,FALSE()),FALSE()),VLOOKUP(G261,NGPREVPRICES,3,FALSE()),HLOOKUP(D261,Correllate,VLOOKUP(G261,CorMove,2,FALSE()),FALSE()),Q261-$CD$3,R261,$CJ$5)*H261</f>
        <v>#NAME?</v>
      </c>
      <c r="CK261" s="254" t="n">
        <f aca="false">I261</f>
        <v>3</v>
      </c>
      <c r="CL261" s="253"/>
      <c r="CM261" s="0" t="str">
        <f aca="false">CONCATENATE(CC261,$CD$6)</f>
        <v>36861Curve Shift/Gamma</v>
      </c>
      <c r="CN261" s="0" t="str">
        <f aca="false">CONCATENATE($CC261,$CE$6)</f>
        <v>36861Rho</v>
      </c>
      <c r="CO261" s="0" t="str">
        <f aca="false">CONCATENATE($CC261,$CF$6)</f>
        <v>36861Drift</v>
      </c>
      <c r="CP261" s="0" t="str">
        <f aca="false">CONCATENATE($CC261,$CG$6)</f>
        <v>36861Vega</v>
      </c>
      <c r="CQ261" s="0" t="str">
        <f aca="false">CONCATENATE($CC261,$CH$6)</f>
        <v>36861Theta</v>
      </c>
    </row>
    <row r="262" customFormat="false" ht="12.75" hidden="false" customHeight="false" outlineLevel="0" collapsed="false">
      <c r="A262" s="265" t="s">
        <v>198</v>
      </c>
      <c r="B262" s="0" t="s">
        <v>192</v>
      </c>
      <c r="C262" s="0" t="s">
        <v>288</v>
      </c>
      <c r="D262" s="7" t="s">
        <v>149</v>
      </c>
      <c r="E262" s="0" t="s">
        <v>131</v>
      </c>
      <c r="F262" s="0" t="s">
        <v>136</v>
      </c>
      <c r="G262" s="92" t="n">
        <v>36831</v>
      </c>
      <c r="H262" s="248" t="n">
        <v>-300000</v>
      </c>
      <c r="I262" s="0" t="n">
        <v>3</v>
      </c>
      <c r="J262" s="124" t="n">
        <f aca="false">VLOOKUP(G262,NGPrices,2,FALSE())</f>
        <v>4.736</v>
      </c>
      <c r="K262" s="125" t="n">
        <f aca="false">HLOOKUP(D262,Prices,VLOOKUP(G262,move_down,2,FALSE()),FALSE())+VLOOKUP(G262,CHANGE,HLOOKUP(D262,CHANGE,2,FALSE()),FALSE())</f>
        <v>0.77</v>
      </c>
      <c r="L262" s="124" t="n">
        <f aca="false">K262+J262</f>
        <v>5.506</v>
      </c>
      <c r="M262" s="126" t="n">
        <f aca="false">VLOOKUP(G262,NGPrices,4,FALSE())</f>
        <v>0.06810675983792</v>
      </c>
      <c r="N262" s="7" t="n">
        <f aca="false">VLOOKUP(G262,NGPrices,3,FALSE())</f>
        <v>0.595</v>
      </c>
      <c r="O262" s="7" t="n">
        <f aca="false">HLOOKUP(D262,VOLS,VLOOKUP(G262,move_down,2,FALSE()),FALSE())</f>
        <v>0.625</v>
      </c>
      <c r="P262" s="249" t="n">
        <f aca="false">HLOOKUP(D262,Correllate,VLOOKUP(G262,CorMove,2,FALSE()),FALSE())</f>
        <v>0.89</v>
      </c>
      <c r="Q262" s="92" t="n">
        <f aca="false">WORKDAY(G262,-2)</f>
        <v>36829</v>
      </c>
      <c r="R262" s="7" t="n">
        <f aca="false">IF(F262="P",0,1)</f>
        <v>1</v>
      </c>
      <c r="S262" s="130" t="e">
        <f aca="false">xSPRDOPT($L262,$J262,$I262,$M262,$O262,$N262,$P262,$Q262-$C$3,$R262,0)</f>
        <v>#NAME?</v>
      </c>
      <c r="T262" s="250" t="e">
        <f aca="false">xSPRDOPT($L262,$J262,$I262,$M262,$O262,$N262,$P262,$Q262-$C$3,$R262,1)*H262</f>
        <v>#NAME?</v>
      </c>
      <c r="U262" s="43" t="e">
        <f aca="false">S262*H262</f>
        <v>#NAME?</v>
      </c>
      <c r="V262" s="250" t="e">
        <f aca="false">xSPRDOPT($L262,$J262,$I262,$M262,$O262,$N262,$P262,$Q262-$C$3,$R262,2)*H262</f>
        <v>#NAME?</v>
      </c>
      <c r="W262" s="250" t="e">
        <f aca="false">+V262+T262</f>
        <v>#NAME?</v>
      </c>
      <c r="X262" s="2" t="str">
        <f aca="false">CONCATENATE(G262,D262)</f>
        <v>36831IF-TRANSCO/Z6</v>
      </c>
      <c r="Y262" s="251" t="n">
        <f aca="false">H262/10000</f>
        <v>-30</v>
      </c>
      <c r="Z262" s="226" t="e">
        <f aca="false">T262/H262</f>
        <v>#NAME?</v>
      </c>
      <c r="AA262" s="226" t="e">
        <f aca="false">xSPRDOPT($L262,$J262,$I262,$M262,$O262,$N262,$P262,$Q262-$C$3,$R262,3)</f>
        <v>#NAME?</v>
      </c>
      <c r="AB262" s="226" t="e">
        <f aca="false">((xSPRDOPT($L262+AB$5,$J262,$I262,$M262,$O262,$N262,$P262,$Q262-$C$3,$R262,3)*$H262)/10000)/100</f>
        <v>#NAME?</v>
      </c>
      <c r="AC262" s="226" t="e">
        <f aca="false">((xSPRDOPT($L262+$AB$5,$J262,$I262,$M262,$O262,$N262,$P262,$Q262-$C$3,$R262,7)*$H262)/100)</f>
        <v>#NAME?</v>
      </c>
      <c r="AD262" s="226" t="e">
        <f aca="false">(xSPRDOPT($L262+$AB$5,$J262,$I262,$M262,$O262,$N262,$P262,$Q262-$C$3,$R262,9)/365)*$H262</f>
        <v>#NAME?</v>
      </c>
      <c r="AE262" s="0" t="e">
        <f aca="false">CD262</f>
        <v>#NAME?</v>
      </c>
      <c r="AF262" s="226" t="e">
        <f aca="false">((O262/N262)*AH262)+AG262</f>
        <v>#NAME?</v>
      </c>
      <c r="AG262" s="226" t="e">
        <f aca="false">((xSPRDOPT($L262,$J262,$I262,$M262,$O262,$N262,$P262,$Q262-$C$3,$R262,6)*$H262)/100)</f>
        <v>#NAME?</v>
      </c>
      <c r="AH262" s="226" t="e">
        <f aca="false">((xSPRDOPT($L262,$J262,$I262,$M262,$O262,$N262,$P262,$Q262-$C$3,$R262,5)*$H262)/100)</f>
        <v>#NAME?</v>
      </c>
      <c r="AI262" s="226" t="e">
        <f aca="false">(((xSPRDOPT($L262,$J262,$I262,$M262,$O262,$N262,$P262,$Q262-$C$3,$R262,4)*$H262)/10000)/100)-AB262</f>
        <v>#NAME?</v>
      </c>
      <c r="AJ262" s="226"/>
      <c r="AK262" s="226"/>
      <c r="AL262" s="226"/>
      <c r="AM262" s="252"/>
      <c r="CC262" s="182" t="n">
        <f aca="false">G262</f>
        <v>36831</v>
      </c>
      <c r="CD262" s="253" t="e">
        <f aca="false">xSPRDOPT((VLOOKUP(G262,NGPrices,2,FALSE())+HLOOKUP(D262,Prices,VLOOKUP(G262,move_down,2,FALSE()),FALSE())),VLOOKUP(G262,NGPrices,2,FALSE()),I262,VLOOKUP(G262,NGPREVPRICES,4,FALSE()),HLOOKUP(D262,PREVVOLS,VLOOKUP(G262,MOVE_DOWN2,2,FALSE()),FALSE()),VLOOKUP(G262,NGPREVPRICES,3,FALSE()),HLOOKUP(D262,Correllate,VLOOKUP(G262,CorMove,2,FALSE()),FALSE()),Q262-$CD$3,R262,$CD$5)*H262-CJ262</f>
        <v>#NAME?</v>
      </c>
      <c r="CE262" s="253" t="e">
        <f aca="false">xSPRDOPT((VLOOKUP(G262,NGPREVPRICES,2,FALSE())+HLOOKUP(D262,PREVCURVES,VLOOKUP(G262,MOVE_DOWN2,2,FALSE()),FALSE())),VLOOKUP(G262,NGPREVPRICES,2,FALSE()),CK262,VLOOKUP(G262,NGPrices,4,FALSE()),HLOOKUP(D262,PREVVOLS,VLOOKUP(G262,MOVE_DOWN2,2,FALSE()),FALSE()),VLOOKUP(G262,NGPREVPRICES,3,FALSE()),HLOOKUP(D262,Correllate,VLOOKUP(G262,CorMove,2,FALSE()),FALSE()),Q262-$CD$3,R262,$CJ$5)*H262-CJ262</f>
        <v>#NAME?</v>
      </c>
      <c r="CF262" s="132" t="e">
        <f aca="false">(CJ262/VLOOKUP(CC262,discount,3,FALSE()))-(CJ262/VLOOKUP(CC262,discount,2,FALSE()))</f>
        <v>#NAME?</v>
      </c>
      <c r="CG262" s="253" t="e">
        <f aca="false">xSPRDOPT((VLOOKUP(G262,NGPREVPRICES,2,FALSE())+HLOOKUP(D262,PREVCURVES,VLOOKUP(G262,MOVE_DOWN2,2,FALSE()),FALSE())),VLOOKUP(G262,NGPREVPRICES,2,FALSE()),CK262,VLOOKUP(G262,NGPREVPRICES,4,FALSE()),HLOOKUP(D262,VOLS,VLOOKUP(G262,move_down,2,FALSE()),FALSE()),VLOOKUP(G262,NGPrices,3,FALSE()),HLOOKUP(D262,Correllate,VLOOKUP(G262,CorMove,2,FALSE()),FALSE()),Q262-$CD$3,R262,$CJ$5)*H262-CJ262</f>
        <v>#NAME?</v>
      </c>
      <c r="CH262" s="253" t="e">
        <f aca="false">xSPRDOPT((VLOOKUP(G262,NGPREVPRICES,2,FALSE())+HLOOKUP(D262,PREVCURVES,VLOOKUP(G262,MOVE_DOWN2,2,FALSE()),FALSE())),VLOOKUP(G262,NGPREVPRICES,2,FALSE()),CK262,VLOOKUP(G262,NGPREVPRICES,4,FALSE()),HLOOKUP(D262,PREVVOLS,VLOOKUP(G262,MOVE_DOWN2,2,FALSE()),FALSE()),VLOOKUP(G262,NGPREVPRICES,3,FALSE()),HLOOKUP(D262,Correllate,VLOOKUP(G262,CorMove,2,FALSE()),FALSE()),Q262-$C$3,R262,$CJ$5)*H262-CJ262</f>
        <v>#NAME?</v>
      </c>
      <c r="CI262" s="253" t="e">
        <f aca="false">SUM(CD262:CH262)</f>
        <v>#NAME?</v>
      </c>
      <c r="CJ262" s="253" t="e">
        <f aca="false">xSPRDOPT((VLOOKUP(G262,NGPREVPRICES,2,FALSE())+HLOOKUP(D262,PREVCURVES,VLOOKUP(G262,MOVE_DOWN2,2,FALSE()),FALSE())),VLOOKUP(G262,NGPREVPRICES,2,FALSE()),CK262,VLOOKUP(G262,NGPREVPRICES,4,FALSE()),HLOOKUP(D262,PREVVOLS,VLOOKUP(G262,MOVE_DOWN2,2,FALSE()),FALSE()),VLOOKUP(G262,NGPREVPRICES,3,FALSE()),HLOOKUP(D262,Correllate,VLOOKUP(G262,CorMove,2,FALSE()),FALSE()),Q262-$CD$3,R262,$CJ$5)*H262</f>
        <v>#NAME?</v>
      </c>
      <c r="CK262" s="254" t="n">
        <f aca="false">I262</f>
        <v>3</v>
      </c>
      <c r="CL262" s="253"/>
      <c r="CM262" s="0" t="str">
        <f aca="false">CONCATENATE(CC262,$CD$6)</f>
        <v>36831Curve Shift/Gamma</v>
      </c>
      <c r="CN262" s="0" t="str">
        <f aca="false">CONCATENATE($CC262,$CE$6)</f>
        <v>36831Rho</v>
      </c>
      <c r="CO262" s="0" t="str">
        <f aca="false">CONCATENATE($CC262,$CF$6)</f>
        <v>36831Drift</v>
      </c>
      <c r="CP262" s="0" t="str">
        <f aca="false">CONCATENATE($CC262,$CG$6)</f>
        <v>36831Vega</v>
      </c>
      <c r="CQ262" s="0" t="str">
        <f aca="false">CONCATENATE($CC262,$CH$6)</f>
        <v>36831Theta</v>
      </c>
    </row>
    <row r="263" customFormat="false" ht="12.75" hidden="false" customHeight="false" outlineLevel="0" collapsed="false">
      <c r="A263" s="265" t="s">
        <v>198</v>
      </c>
      <c r="B263" s="0" t="s">
        <v>192</v>
      </c>
      <c r="C263" s="0" t="s">
        <v>289</v>
      </c>
      <c r="D263" s="7" t="s">
        <v>149</v>
      </c>
      <c r="E263" s="0" t="s">
        <v>131</v>
      </c>
      <c r="F263" s="0" t="s">
        <v>132</v>
      </c>
      <c r="G263" s="92" t="n">
        <v>36951</v>
      </c>
      <c r="H263" s="248" t="n">
        <v>500000</v>
      </c>
      <c r="I263" s="0" t="n">
        <v>0.75</v>
      </c>
      <c r="J263" s="124" t="n">
        <f aca="false">VLOOKUP(G263,NGPrices,2,FALSE())</f>
        <v>4.213</v>
      </c>
      <c r="K263" s="125" t="n">
        <f aca="false">HLOOKUP(D263,Prices,VLOOKUP(G263,move_down,2,FALSE()),FALSE())+VLOOKUP(G263,CHANGE,HLOOKUP(D263,CHANGE,2,FALSE()),FALSE())</f>
        <v>1.075</v>
      </c>
      <c r="L263" s="124" t="n">
        <f aca="false">K263+J263</f>
        <v>5.288</v>
      </c>
      <c r="M263" s="126" t="n">
        <f aca="false">VLOOKUP(G263,NGPrices,4,FALSE())</f>
        <v>0.068879814952707</v>
      </c>
      <c r="N263" s="7" t="n">
        <f aca="false">VLOOKUP(G263,NGPrices,3,FALSE())</f>
        <v>0.5325</v>
      </c>
      <c r="O263" s="7" t="n">
        <f aca="false">HLOOKUP(D263,VOLS,VLOOKUP(G263,move_down,2,FALSE()),FALSE())</f>
        <v>0.612</v>
      </c>
      <c r="P263" s="249" t="n">
        <f aca="false">HLOOKUP(D263,Correllate,VLOOKUP(G263,CorMove,2,FALSE()),FALSE())</f>
        <v>0.83</v>
      </c>
      <c r="Q263" s="92" t="n">
        <f aca="false">WORKDAY(G263,-2)</f>
        <v>36949</v>
      </c>
      <c r="R263" s="7" t="n">
        <f aca="false">IF(F263="P",0,1)</f>
        <v>0</v>
      </c>
      <c r="S263" s="130" t="e">
        <f aca="false">xSPRDOPT($L263,$J263,$I263,$M263,$O263,$N263,$P263,$Q263-$C$3,$R263,0)</f>
        <v>#NAME?</v>
      </c>
      <c r="T263" s="250" t="e">
        <f aca="false">xSPRDOPT($L263,$J263,$I263,$M263,$O263,$N263,$P263,$Q263-$C$3,$R263,1)*H263</f>
        <v>#NAME?</v>
      </c>
      <c r="U263" s="43" t="e">
        <f aca="false">S263*H263</f>
        <v>#NAME?</v>
      </c>
      <c r="V263" s="250" t="e">
        <f aca="false">xSPRDOPT($L263,$J263,$I263,$M263,$O263,$N263,$P263,$Q263-$C$3,$R263,2)*H263</f>
        <v>#NAME?</v>
      </c>
      <c r="W263" s="250" t="e">
        <f aca="false">+V263+T263</f>
        <v>#NAME?</v>
      </c>
      <c r="X263" s="2" t="str">
        <f aca="false">CONCATENATE(G263,D263)</f>
        <v>36951IF-TRANSCO/Z6</v>
      </c>
      <c r="Y263" s="251" t="n">
        <f aca="false">H263/10000</f>
        <v>50</v>
      </c>
      <c r="Z263" s="226" t="e">
        <f aca="false">T263/H263</f>
        <v>#NAME?</v>
      </c>
      <c r="AA263" s="226" t="e">
        <f aca="false">xSPRDOPT($L263,$J263,$I263,$M263,$O263,$N263,$P263,$Q263-$C$3,$R263,3)</f>
        <v>#NAME?</v>
      </c>
      <c r="AB263" s="226" t="e">
        <f aca="false">((xSPRDOPT($L263+AB$5,$J263,$I263,$M263,$O263,$N263,$P263,$Q263-$C$3,$R263,3)*$H263)/10000)/100</f>
        <v>#NAME?</v>
      </c>
      <c r="AC263" s="226" t="e">
        <f aca="false">((xSPRDOPT($L263+$AB$5,$J263,$I263,$M263,$O263,$N263,$P263,$Q263-$C$3,$R263,7)*$H263)/100)</f>
        <v>#NAME?</v>
      </c>
      <c r="AD263" s="226" t="e">
        <f aca="false">(xSPRDOPT($L263+$AB$5,$J263,$I263,$M263,$O263,$N263,$P263,$Q263-$C$3,$R263,9)/365)*$H263</f>
        <v>#NAME?</v>
      </c>
      <c r="AE263" s="0" t="e">
        <f aca="false">CD263</f>
        <v>#NAME?</v>
      </c>
      <c r="AF263" s="226" t="e">
        <f aca="false">((O263/N263)*AH263)+AG263</f>
        <v>#NAME?</v>
      </c>
      <c r="AG263" s="226" t="e">
        <f aca="false">((xSPRDOPT($L263,$J263,$I263,$M263,$O263,$N263,$P263,$Q263-$C$3,$R263,6)*$H263)/100)</f>
        <v>#NAME?</v>
      </c>
      <c r="AH263" s="226" t="e">
        <f aca="false">((xSPRDOPT($L263,$J263,$I263,$M263,$O263,$N263,$P263,$Q263-$C$3,$R263,5)*$H263)/100)</f>
        <v>#NAME?</v>
      </c>
      <c r="AI263" s="226" t="e">
        <f aca="false">(((xSPRDOPT($L263,$J263,$I263,$M263,$O263,$N263,$P263,$Q263-$C$3,$R263,4)*$H263)/10000)/100)-AB263</f>
        <v>#NAME?</v>
      </c>
      <c r="AJ263" s="226"/>
      <c r="AK263" s="226"/>
      <c r="AL263" s="226"/>
      <c r="AM263" s="252"/>
      <c r="CC263" s="182" t="n">
        <f aca="false">G263</f>
        <v>36951</v>
      </c>
      <c r="CD263" s="253" t="e">
        <f aca="false">xSPRDOPT((VLOOKUP(G263,NGPrices,2,FALSE())+HLOOKUP(D263,Prices,VLOOKUP(G263,move_down,2,FALSE()),FALSE())),VLOOKUP(G263,NGPrices,2,FALSE()),I263,VLOOKUP(G263,NGPREVPRICES,4,FALSE()),HLOOKUP(D263,PREVVOLS,VLOOKUP(G263,MOVE_DOWN2,2,FALSE()),FALSE()),VLOOKUP(G263,NGPREVPRICES,3,FALSE()),HLOOKUP(D263,Correllate,VLOOKUP(G263,CorMove,2,FALSE()),FALSE()),Q263-$CD$3,R263,$CD$5)*H263-CJ263</f>
        <v>#NAME?</v>
      </c>
      <c r="CE263" s="253" t="e">
        <f aca="false">xSPRDOPT((VLOOKUP(G263,NGPREVPRICES,2,FALSE())+HLOOKUP(D263,PREVCURVES,VLOOKUP(G263,MOVE_DOWN2,2,FALSE()),FALSE())),VLOOKUP(G263,NGPREVPRICES,2,FALSE()),CK263,VLOOKUP(G263,NGPrices,4,FALSE()),HLOOKUP(D263,PREVVOLS,VLOOKUP(G263,MOVE_DOWN2,2,FALSE()),FALSE()),VLOOKUP(G263,NGPREVPRICES,3,FALSE()),HLOOKUP(D263,Correllate,VLOOKUP(G263,CorMove,2,FALSE()),FALSE()),Q263-$CD$3,R263,$CJ$5)*H263-CJ263</f>
        <v>#NAME?</v>
      </c>
      <c r="CF263" s="132" t="e">
        <f aca="false">(CJ263/VLOOKUP(CC263,discount,3,FALSE()))-(CJ263/VLOOKUP(CC263,discount,2,FALSE()))</f>
        <v>#NAME?</v>
      </c>
      <c r="CG263" s="253" t="e">
        <f aca="false">xSPRDOPT((VLOOKUP(G263,NGPREVPRICES,2,FALSE())+HLOOKUP(D263,PREVCURVES,VLOOKUP(G263,MOVE_DOWN2,2,FALSE()),FALSE())),VLOOKUP(G263,NGPREVPRICES,2,FALSE()),CK263,VLOOKUP(G263,NGPREVPRICES,4,FALSE()),HLOOKUP(D263,VOLS,VLOOKUP(G263,move_down,2,FALSE()),FALSE()),VLOOKUP(G263,NGPrices,3,FALSE()),HLOOKUP(D263,Correllate,VLOOKUP(G263,CorMove,2,FALSE()),FALSE()),Q263-$CD$3,R263,$CJ$5)*H263-CJ263</f>
        <v>#NAME?</v>
      </c>
      <c r="CH263" s="253" t="e">
        <f aca="false">xSPRDOPT((VLOOKUP(G263,NGPREVPRICES,2,FALSE())+HLOOKUP(D263,PREVCURVES,VLOOKUP(G263,MOVE_DOWN2,2,FALSE()),FALSE())),VLOOKUP(G263,NGPREVPRICES,2,FALSE()),CK263,VLOOKUP(G263,NGPREVPRICES,4,FALSE()),HLOOKUP(D263,PREVVOLS,VLOOKUP(G263,MOVE_DOWN2,2,FALSE()),FALSE()),VLOOKUP(G263,NGPREVPRICES,3,FALSE()),HLOOKUP(D263,Correllate,VLOOKUP(G263,CorMove,2,FALSE()),FALSE()),Q263-$C$3,R263,$CJ$5)*H263-CJ263</f>
        <v>#NAME?</v>
      </c>
      <c r="CI263" s="253" t="e">
        <f aca="false">SUM(CD263:CH263)</f>
        <v>#NAME?</v>
      </c>
      <c r="CJ263" s="253" t="e">
        <f aca="false">xSPRDOPT((VLOOKUP(G263,NGPREVPRICES,2,FALSE())+HLOOKUP(D263,PREVCURVES,VLOOKUP(G263,MOVE_DOWN2,2,FALSE()),FALSE())),VLOOKUP(G263,NGPREVPRICES,2,FALSE()),CK263,VLOOKUP(G263,NGPREVPRICES,4,FALSE()),HLOOKUP(D263,PREVVOLS,VLOOKUP(G263,MOVE_DOWN2,2,FALSE()),FALSE()),VLOOKUP(G263,NGPREVPRICES,3,FALSE()),HLOOKUP(D263,Correllate,VLOOKUP(G263,CorMove,2,FALSE()),FALSE()),Q263-$CD$3,R263,$CJ$5)*H263</f>
        <v>#NAME?</v>
      </c>
      <c r="CK263" s="254" t="n">
        <f aca="false">I263</f>
        <v>0.75</v>
      </c>
      <c r="CL263" s="253"/>
      <c r="CM263" s="0" t="str">
        <f aca="false">CONCATENATE(CC263,$CD$6)</f>
        <v>36951Curve Shift/Gamma</v>
      </c>
      <c r="CN263" s="0" t="str">
        <f aca="false">CONCATENATE($CC263,$CE$6)</f>
        <v>36951Rho</v>
      </c>
      <c r="CO263" s="0" t="str">
        <f aca="false">CONCATENATE($CC263,$CF$6)</f>
        <v>36951Drift</v>
      </c>
      <c r="CP263" s="0" t="str">
        <f aca="false">CONCATENATE($CC263,$CG$6)</f>
        <v>36951Vega</v>
      </c>
      <c r="CQ263" s="0" t="str">
        <f aca="false">CONCATENATE($CC263,$CH$6)</f>
        <v>36951Theta</v>
      </c>
    </row>
    <row r="264" customFormat="false" ht="12.75" hidden="false" customHeight="false" outlineLevel="0" collapsed="false">
      <c r="A264" s="265" t="s">
        <v>198</v>
      </c>
      <c r="B264" s="0" t="s">
        <v>192</v>
      </c>
      <c r="C264" s="0" t="s">
        <v>290</v>
      </c>
      <c r="D264" s="7" t="s">
        <v>149</v>
      </c>
      <c r="E264" s="0" t="s">
        <v>131</v>
      </c>
      <c r="F264" s="0" t="s">
        <v>136</v>
      </c>
      <c r="G264" s="92" t="n">
        <v>36951</v>
      </c>
      <c r="H264" s="248" t="n">
        <v>-1000000</v>
      </c>
      <c r="I264" s="0" t="n">
        <v>1.75</v>
      </c>
      <c r="J264" s="124" t="n">
        <f aca="false">VLOOKUP(G264,NGPrices,2,FALSE())</f>
        <v>4.213</v>
      </c>
      <c r="K264" s="125" t="n">
        <f aca="false">HLOOKUP(D264,Prices,VLOOKUP(G264,move_down,2,FALSE()),FALSE())+VLOOKUP(G264,CHANGE,HLOOKUP(D264,CHANGE,2,FALSE()),FALSE())</f>
        <v>1.075</v>
      </c>
      <c r="L264" s="124" t="n">
        <f aca="false">K264+J264</f>
        <v>5.288</v>
      </c>
      <c r="M264" s="126" t="n">
        <f aca="false">VLOOKUP(G264,NGPrices,4,FALSE())</f>
        <v>0.068879814952707</v>
      </c>
      <c r="N264" s="7" t="n">
        <f aca="false">VLOOKUP(G264,NGPrices,3,FALSE())</f>
        <v>0.5325</v>
      </c>
      <c r="O264" s="7" t="n">
        <f aca="false">HLOOKUP(D264,VOLS,VLOOKUP(G264,move_down,2,FALSE()),FALSE())</f>
        <v>0.612</v>
      </c>
      <c r="P264" s="249" t="n">
        <f aca="false">HLOOKUP(D264,Correllate,VLOOKUP(G264,CorMove,2,FALSE()),FALSE())</f>
        <v>0.83</v>
      </c>
      <c r="Q264" s="92" t="n">
        <f aca="false">WORKDAY(G264,-2)</f>
        <v>36949</v>
      </c>
      <c r="R264" s="7" t="n">
        <f aca="false">IF(F264="P",0,1)</f>
        <v>1</v>
      </c>
      <c r="S264" s="130" t="e">
        <f aca="false">xSPRDOPT($L264,$J264,$I264,$M264,$O264,$N264,$P264,$Q264-$C$3,$R264,0)</f>
        <v>#NAME?</v>
      </c>
      <c r="T264" s="250" t="e">
        <f aca="false">xSPRDOPT($L264,$J264,$I264,$M264,$O264,$N264,$P264,$Q264-$C$3,$R264,1)*H264</f>
        <v>#NAME?</v>
      </c>
      <c r="U264" s="43" t="e">
        <f aca="false">S264*H264</f>
        <v>#NAME?</v>
      </c>
      <c r="V264" s="250" t="e">
        <f aca="false">xSPRDOPT($L264,$J264,$I264,$M264,$O264,$N264,$P264,$Q264-$C$3,$R264,2)*H264</f>
        <v>#NAME?</v>
      </c>
      <c r="W264" s="250" t="e">
        <f aca="false">+V264+T264</f>
        <v>#NAME?</v>
      </c>
      <c r="X264" s="2" t="str">
        <f aca="false">CONCATENATE(G264,D264)</f>
        <v>36951IF-TRANSCO/Z6</v>
      </c>
      <c r="Y264" s="251" t="n">
        <f aca="false">H264/10000</f>
        <v>-100</v>
      </c>
      <c r="Z264" s="226" t="e">
        <f aca="false">T264/H264</f>
        <v>#NAME?</v>
      </c>
      <c r="AA264" s="226" t="e">
        <f aca="false">xSPRDOPT($L264,$J264,$I264,$M264,$O264,$N264,$P264,$Q264-$C$3,$R264,3)</f>
        <v>#NAME?</v>
      </c>
      <c r="AB264" s="226" t="e">
        <f aca="false">((xSPRDOPT($L264+AB$5,$J264,$I264,$M264,$O264,$N264,$P264,$Q264-$C$3,$R264,3)*$H264)/10000)/100</f>
        <v>#NAME?</v>
      </c>
      <c r="AC264" s="226" t="e">
        <f aca="false">((xSPRDOPT($L264+$AB$5,$J264,$I264,$M264,$O264,$N264,$P264,$Q264-$C$3,$R264,7)*$H264)/100)</f>
        <v>#NAME?</v>
      </c>
      <c r="AD264" s="226" t="e">
        <f aca="false">(xSPRDOPT($L264+$AB$5,$J264,$I264,$M264,$O264,$N264,$P264,$Q264-$C$3,$R264,9)/365)*$H264</f>
        <v>#NAME?</v>
      </c>
      <c r="AE264" s="0" t="e">
        <f aca="false">CD264</f>
        <v>#NAME?</v>
      </c>
      <c r="AF264" s="226" t="e">
        <f aca="false">((O264/N264)*AH264)+AG264</f>
        <v>#NAME?</v>
      </c>
      <c r="AG264" s="226" t="e">
        <f aca="false">((xSPRDOPT($L264,$J264,$I264,$M264,$O264,$N264,$P264,$Q264-$C$3,$R264,6)*$H264)/100)</f>
        <v>#NAME?</v>
      </c>
      <c r="AH264" s="226" t="e">
        <f aca="false">((xSPRDOPT($L264,$J264,$I264,$M264,$O264,$N264,$P264,$Q264-$C$3,$R264,5)*$H264)/100)</f>
        <v>#NAME?</v>
      </c>
      <c r="AI264" s="226" t="e">
        <f aca="false">(((xSPRDOPT($L264,$J264,$I264,$M264,$O264,$N264,$P264,$Q264-$C$3,$R264,4)*$H264)/10000)/100)-AB264</f>
        <v>#NAME?</v>
      </c>
      <c r="AJ264" s="226"/>
      <c r="AK264" s="226"/>
      <c r="AL264" s="226"/>
      <c r="AM264" s="252"/>
      <c r="CC264" s="182" t="n">
        <f aca="false">G264</f>
        <v>36951</v>
      </c>
      <c r="CD264" s="253" t="e">
        <f aca="false">xSPRDOPT((VLOOKUP(G264,NGPrices,2,FALSE())+HLOOKUP(D264,Prices,VLOOKUP(G264,move_down,2,FALSE()),FALSE())),VLOOKUP(G264,NGPrices,2,FALSE()),I264,VLOOKUP(G264,NGPREVPRICES,4,FALSE()),HLOOKUP(D264,PREVVOLS,VLOOKUP(G264,MOVE_DOWN2,2,FALSE()),FALSE()),VLOOKUP(G264,NGPREVPRICES,3,FALSE()),HLOOKUP(D264,Correllate,VLOOKUP(G264,CorMove,2,FALSE()),FALSE()),Q264-$CD$3,R264,$CD$5)*H264-CJ264</f>
        <v>#NAME?</v>
      </c>
      <c r="CE264" s="253" t="e">
        <f aca="false">xSPRDOPT((VLOOKUP(G264,NGPREVPRICES,2,FALSE())+HLOOKUP(D264,PREVCURVES,VLOOKUP(G264,MOVE_DOWN2,2,FALSE()),FALSE())),VLOOKUP(G264,NGPREVPRICES,2,FALSE()),CK264,VLOOKUP(G264,NGPrices,4,FALSE()),HLOOKUP(D264,PREVVOLS,VLOOKUP(G264,MOVE_DOWN2,2,FALSE()),FALSE()),VLOOKUP(G264,NGPREVPRICES,3,FALSE()),HLOOKUP(D264,Correllate,VLOOKUP(G264,CorMove,2,FALSE()),FALSE()),Q264-$CD$3,R264,$CJ$5)*H264-CJ264</f>
        <v>#NAME?</v>
      </c>
      <c r="CF264" s="132" t="e">
        <f aca="false">(CJ264/VLOOKUP(CC264,discount,3,FALSE()))-(CJ264/VLOOKUP(CC264,discount,2,FALSE()))</f>
        <v>#NAME?</v>
      </c>
      <c r="CG264" s="253" t="e">
        <f aca="false">xSPRDOPT((VLOOKUP(G264,NGPREVPRICES,2,FALSE())+HLOOKUP(D264,PREVCURVES,VLOOKUP(G264,MOVE_DOWN2,2,FALSE()),FALSE())),VLOOKUP(G264,NGPREVPRICES,2,FALSE()),CK264,VLOOKUP(G264,NGPREVPRICES,4,FALSE()),HLOOKUP(D264,VOLS,VLOOKUP(G264,move_down,2,FALSE()),FALSE()),VLOOKUP(G264,NGPrices,3,FALSE()),HLOOKUP(D264,Correllate,VLOOKUP(G264,CorMove,2,FALSE()),FALSE()),Q264-$CD$3,R264,$CJ$5)*H264-CJ264</f>
        <v>#NAME?</v>
      </c>
      <c r="CH264" s="253" t="e">
        <f aca="false">xSPRDOPT((VLOOKUP(G264,NGPREVPRICES,2,FALSE())+HLOOKUP(D264,PREVCURVES,VLOOKUP(G264,MOVE_DOWN2,2,FALSE()),FALSE())),VLOOKUP(G264,NGPREVPRICES,2,FALSE()),CK264,VLOOKUP(G264,NGPREVPRICES,4,FALSE()),HLOOKUP(D264,PREVVOLS,VLOOKUP(G264,MOVE_DOWN2,2,FALSE()),FALSE()),VLOOKUP(G264,NGPREVPRICES,3,FALSE()),HLOOKUP(D264,Correllate,VLOOKUP(G264,CorMove,2,FALSE()),FALSE()),Q264-$C$3,R264,$CJ$5)*H264-CJ264</f>
        <v>#NAME?</v>
      </c>
      <c r="CI264" s="253" t="e">
        <f aca="false">SUM(CD264:CH264)</f>
        <v>#NAME?</v>
      </c>
      <c r="CJ264" s="253" t="e">
        <f aca="false">xSPRDOPT((VLOOKUP(G264,NGPREVPRICES,2,FALSE())+HLOOKUP(D264,PREVCURVES,VLOOKUP(G264,MOVE_DOWN2,2,FALSE()),FALSE())),VLOOKUP(G264,NGPREVPRICES,2,FALSE()),CK264,VLOOKUP(G264,NGPREVPRICES,4,FALSE()),HLOOKUP(D264,PREVVOLS,VLOOKUP(G264,MOVE_DOWN2,2,FALSE()),FALSE()),VLOOKUP(G264,NGPREVPRICES,3,FALSE()),HLOOKUP(D264,Correllate,VLOOKUP(G264,CorMove,2,FALSE()),FALSE()),Q264-$CD$3,R264,$CJ$5)*H264</f>
        <v>#NAME?</v>
      </c>
      <c r="CK264" s="254" t="n">
        <f aca="false">I264</f>
        <v>1.75</v>
      </c>
      <c r="CL264" s="253"/>
      <c r="CM264" s="0" t="str">
        <f aca="false">CONCATENATE(CC264,$CD$6)</f>
        <v>36951Curve Shift/Gamma</v>
      </c>
      <c r="CN264" s="0" t="str">
        <f aca="false">CONCATENATE($CC264,$CE$6)</f>
        <v>36951Rho</v>
      </c>
      <c r="CO264" s="0" t="str">
        <f aca="false">CONCATENATE($CC264,$CF$6)</f>
        <v>36951Drift</v>
      </c>
      <c r="CP264" s="0" t="str">
        <f aca="false">CONCATENATE($CC264,$CG$6)</f>
        <v>36951Vega</v>
      </c>
      <c r="CQ264" s="0" t="str">
        <f aca="false">CONCATENATE($CC264,$CH$6)</f>
        <v>36951Theta</v>
      </c>
    </row>
    <row r="265" customFormat="false" ht="12.75" hidden="false" customHeight="false" outlineLevel="0" collapsed="false">
      <c r="A265" s="265" t="s">
        <v>198</v>
      </c>
      <c r="B265" s="0" t="s">
        <v>192</v>
      </c>
      <c r="C265" s="0" t="s">
        <v>290</v>
      </c>
      <c r="D265" s="7" t="s">
        <v>149</v>
      </c>
      <c r="E265" s="0" t="s">
        <v>131</v>
      </c>
      <c r="F265" s="0" t="s">
        <v>136</v>
      </c>
      <c r="G265" s="92" t="n">
        <v>36923</v>
      </c>
      <c r="H265" s="248" t="n">
        <v>-1000000</v>
      </c>
      <c r="I265" s="0" t="n">
        <v>1.75</v>
      </c>
      <c r="J265" s="124" t="n">
        <f aca="false">VLOOKUP(G265,NGPrices,2,FALSE())</f>
        <v>4.48</v>
      </c>
      <c r="K265" s="125" t="n">
        <f aca="false">HLOOKUP(D265,Prices,VLOOKUP(G265,move_down,2,FALSE()),FALSE())+VLOOKUP(G265,CHANGE,HLOOKUP(D265,CHANGE,2,FALSE()),FALSE())</f>
        <v>2.09</v>
      </c>
      <c r="L265" s="124" t="n">
        <f aca="false">K265+J265</f>
        <v>6.57</v>
      </c>
      <c r="M265" s="126" t="n">
        <f aca="false">VLOOKUP(G265,NGPrices,4,FALSE())</f>
        <v>0.068640161611372</v>
      </c>
      <c r="N265" s="7" t="n">
        <f aca="false">VLOOKUP(G265,NGPrices,3,FALSE())</f>
        <v>0.5925</v>
      </c>
      <c r="O265" s="7" t="n">
        <f aca="false">HLOOKUP(D265,VOLS,VLOOKUP(G265,move_down,2,FALSE()),FALSE())</f>
        <v>0.681</v>
      </c>
      <c r="P265" s="249" t="n">
        <f aca="false">HLOOKUP(D265,Correllate,VLOOKUP(G265,CorMove,2,FALSE()),FALSE())</f>
        <v>0.83</v>
      </c>
      <c r="Q265" s="92" t="n">
        <f aca="false">WORKDAY(G265,-2)</f>
        <v>36921</v>
      </c>
      <c r="R265" s="7" t="n">
        <f aca="false">IF(F265="P",0,1)</f>
        <v>1</v>
      </c>
      <c r="S265" s="130" t="e">
        <f aca="false">xSPRDOPT($L265,$J265,$I265,$M265,$O265,$N265,$P265,$Q265-$C$3,$R265,0)</f>
        <v>#NAME?</v>
      </c>
      <c r="T265" s="250" t="e">
        <f aca="false">xSPRDOPT($L265,$J265,$I265,$M265,$O265,$N265,$P265,$Q265-$C$3,$R265,1)*H265</f>
        <v>#NAME?</v>
      </c>
      <c r="U265" s="43" t="e">
        <f aca="false">S265*H265</f>
        <v>#NAME?</v>
      </c>
      <c r="V265" s="250" t="e">
        <f aca="false">xSPRDOPT($L265,$J265,$I265,$M265,$O265,$N265,$P265,$Q265-$C$3,$R265,2)*H265</f>
        <v>#NAME?</v>
      </c>
      <c r="W265" s="250" t="e">
        <f aca="false">+V265+T265</f>
        <v>#NAME?</v>
      </c>
      <c r="X265" s="2" t="str">
        <f aca="false">CONCATENATE(G265,D265)</f>
        <v>36923IF-TRANSCO/Z6</v>
      </c>
      <c r="Y265" s="251" t="n">
        <f aca="false">H265/10000</f>
        <v>-100</v>
      </c>
      <c r="Z265" s="226" t="e">
        <f aca="false">T265/H265</f>
        <v>#NAME?</v>
      </c>
      <c r="AA265" s="226" t="e">
        <f aca="false">xSPRDOPT($L265,$J265,$I265,$M265,$O265,$N265,$P265,$Q265-$C$3,$R265,3)</f>
        <v>#NAME?</v>
      </c>
      <c r="AB265" s="226" t="e">
        <f aca="false">((xSPRDOPT($L265+AB$5,$J265,$I265,$M265,$O265,$N265,$P265,$Q265-$C$3,$R265,3)*$H265)/10000)/100</f>
        <v>#NAME?</v>
      </c>
      <c r="AC265" s="226" t="e">
        <f aca="false">((xSPRDOPT($L265+$AB$5,$J265,$I265,$M265,$O265,$N265,$P265,$Q265-$C$3,$R265,7)*$H265)/100)</f>
        <v>#NAME?</v>
      </c>
      <c r="AD265" s="226" t="e">
        <f aca="false">(xSPRDOPT($L265+$AB$5,$J265,$I265,$M265,$O265,$N265,$P265,$Q265-$C$3,$R265,9)/365)*$H265</f>
        <v>#NAME?</v>
      </c>
      <c r="AE265" s="0" t="e">
        <f aca="false">CD265</f>
        <v>#NAME?</v>
      </c>
      <c r="AF265" s="226" t="e">
        <f aca="false">((O265/N265)*AH265)+AG265</f>
        <v>#NAME?</v>
      </c>
      <c r="AG265" s="226" t="e">
        <f aca="false">((xSPRDOPT($L265,$J265,$I265,$M265,$O265,$N265,$P265,$Q265-$C$3,$R265,6)*$H265)/100)</f>
        <v>#NAME?</v>
      </c>
      <c r="AH265" s="226" t="e">
        <f aca="false">((xSPRDOPT($L265,$J265,$I265,$M265,$O265,$N265,$P265,$Q265-$C$3,$R265,5)*$H265)/100)</f>
        <v>#NAME?</v>
      </c>
      <c r="AI265" s="226" t="e">
        <f aca="false">(((xSPRDOPT($L265,$J265,$I265,$M265,$O265,$N265,$P265,$Q265-$C$3,$R265,4)*$H265)/10000)/100)-AB265</f>
        <v>#NAME?</v>
      </c>
      <c r="AJ265" s="226"/>
      <c r="AK265" s="226"/>
      <c r="AL265" s="226"/>
      <c r="AM265" s="252"/>
      <c r="CC265" s="182" t="n">
        <f aca="false">G265</f>
        <v>36923</v>
      </c>
      <c r="CD265" s="253" t="e">
        <f aca="false">xSPRDOPT((VLOOKUP(G265,NGPrices,2,FALSE())+HLOOKUP(D265,Prices,VLOOKUP(G265,move_down,2,FALSE()),FALSE())),VLOOKUP(G265,NGPrices,2,FALSE()),I265,VLOOKUP(G265,NGPREVPRICES,4,FALSE()),HLOOKUP(D265,PREVVOLS,VLOOKUP(G265,MOVE_DOWN2,2,FALSE()),FALSE()),VLOOKUP(G265,NGPREVPRICES,3,FALSE()),HLOOKUP(D265,Correllate,VLOOKUP(G265,CorMove,2,FALSE()),FALSE()),Q265-$CD$3,R265,$CD$5)*H265-CJ265</f>
        <v>#NAME?</v>
      </c>
      <c r="CE265" s="253" t="e">
        <f aca="false">xSPRDOPT((VLOOKUP(G265,NGPREVPRICES,2,FALSE())+HLOOKUP(D265,PREVCURVES,VLOOKUP(G265,MOVE_DOWN2,2,FALSE()),FALSE())),VLOOKUP(G265,NGPREVPRICES,2,FALSE()),CK265,VLOOKUP(G265,NGPrices,4,FALSE()),HLOOKUP(D265,PREVVOLS,VLOOKUP(G265,MOVE_DOWN2,2,FALSE()),FALSE()),VLOOKUP(G265,NGPREVPRICES,3,FALSE()),HLOOKUP(D265,Correllate,VLOOKUP(G265,CorMove,2,FALSE()),FALSE()),Q265-$CD$3,R265,$CJ$5)*H265-CJ265</f>
        <v>#NAME?</v>
      </c>
      <c r="CF265" s="132" t="e">
        <f aca="false">(CJ265/VLOOKUP(CC265,discount,3,FALSE()))-(CJ265/VLOOKUP(CC265,discount,2,FALSE()))</f>
        <v>#NAME?</v>
      </c>
      <c r="CG265" s="253" t="e">
        <f aca="false">xSPRDOPT((VLOOKUP(G265,NGPREVPRICES,2,FALSE())+HLOOKUP(D265,PREVCURVES,VLOOKUP(G265,MOVE_DOWN2,2,FALSE()),FALSE())),VLOOKUP(G265,NGPREVPRICES,2,FALSE()),CK265,VLOOKUP(G265,NGPREVPRICES,4,FALSE()),HLOOKUP(D265,VOLS,VLOOKUP(G265,move_down,2,FALSE()),FALSE()),VLOOKUP(G265,NGPrices,3,FALSE()),HLOOKUP(D265,Correllate,VLOOKUP(G265,CorMove,2,FALSE()),FALSE()),Q265-$CD$3,R265,$CJ$5)*H265-CJ265</f>
        <v>#NAME?</v>
      </c>
      <c r="CH265" s="253" t="e">
        <f aca="false">xSPRDOPT((VLOOKUP(G265,NGPREVPRICES,2,FALSE())+HLOOKUP(D265,PREVCURVES,VLOOKUP(G265,MOVE_DOWN2,2,FALSE()),FALSE())),VLOOKUP(G265,NGPREVPRICES,2,FALSE()),CK265,VLOOKUP(G265,NGPREVPRICES,4,FALSE()),HLOOKUP(D265,PREVVOLS,VLOOKUP(G265,MOVE_DOWN2,2,FALSE()),FALSE()),VLOOKUP(G265,NGPREVPRICES,3,FALSE()),HLOOKUP(D265,Correllate,VLOOKUP(G265,CorMove,2,FALSE()),FALSE()),Q265-$C$3,R265,$CJ$5)*H265-CJ265</f>
        <v>#NAME?</v>
      </c>
      <c r="CI265" s="253" t="e">
        <f aca="false">SUM(CD265:CH265)</f>
        <v>#NAME?</v>
      </c>
      <c r="CJ265" s="253" t="e">
        <f aca="false">xSPRDOPT((VLOOKUP(G265,NGPREVPRICES,2,FALSE())+HLOOKUP(D265,PREVCURVES,VLOOKUP(G265,MOVE_DOWN2,2,FALSE()),FALSE())),VLOOKUP(G265,NGPREVPRICES,2,FALSE()),CK265,VLOOKUP(G265,NGPREVPRICES,4,FALSE()),HLOOKUP(D265,PREVVOLS,VLOOKUP(G265,MOVE_DOWN2,2,FALSE()),FALSE()),VLOOKUP(G265,NGPREVPRICES,3,FALSE()),HLOOKUP(D265,Correllate,VLOOKUP(G265,CorMove,2,FALSE()),FALSE()),Q265-$CD$3,R265,$CJ$5)*H265</f>
        <v>#NAME?</v>
      </c>
      <c r="CK265" s="254" t="n">
        <f aca="false">I265</f>
        <v>1.75</v>
      </c>
      <c r="CL265" s="253"/>
      <c r="CM265" s="0" t="str">
        <f aca="false">CONCATENATE(CC265,$CD$6)</f>
        <v>36923Curve Shift/Gamma</v>
      </c>
      <c r="CN265" s="0" t="str">
        <f aca="false">CONCATENATE($CC265,$CE$6)</f>
        <v>36923Rho</v>
      </c>
      <c r="CO265" s="0" t="str">
        <f aca="false">CONCATENATE($CC265,$CF$6)</f>
        <v>36923Drift</v>
      </c>
      <c r="CP265" s="0" t="str">
        <f aca="false">CONCATENATE($CC265,$CG$6)</f>
        <v>36923Vega</v>
      </c>
      <c r="CQ265" s="0" t="str">
        <f aca="false">CONCATENATE($CC265,$CH$6)</f>
        <v>36923Theta</v>
      </c>
    </row>
    <row r="266" customFormat="false" ht="12.75" hidden="false" customHeight="false" outlineLevel="0" collapsed="false">
      <c r="A266" s="265" t="s">
        <v>198</v>
      </c>
      <c r="B266" s="0" t="s">
        <v>192</v>
      </c>
      <c r="C266" s="0" t="s">
        <v>290</v>
      </c>
      <c r="D266" s="7" t="s">
        <v>149</v>
      </c>
      <c r="E266" s="0" t="s">
        <v>131</v>
      </c>
      <c r="F266" s="0" t="s">
        <v>136</v>
      </c>
      <c r="G266" s="92" t="n">
        <v>36892</v>
      </c>
      <c r="H266" s="248" t="n">
        <v>-1000000</v>
      </c>
      <c r="I266" s="0" t="n">
        <v>1.75</v>
      </c>
      <c r="J266" s="124" t="n">
        <f aca="false">VLOOKUP(G266,NGPrices,2,FALSE())</f>
        <v>4.744</v>
      </c>
      <c r="K266" s="125" t="n">
        <f aca="false">HLOOKUP(D266,Prices,VLOOKUP(G266,move_down,2,FALSE()),FALSE())+VLOOKUP(G266,CHANGE,HLOOKUP(D266,CHANGE,2,FALSE()),FALSE())</f>
        <v>2.17</v>
      </c>
      <c r="L266" s="124" t="n">
        <f aca="false">K266+J266</f>
        <v>6.914</v>
      </c>
      <c r="M266" s="126" t="n">
        <f aca="false">VLOOKUP(G266,NGPrices,4,FALSE())</f>
        <v>0.068374831148491</v>
      </c>
      <c r="N266" s="7" t="n">
        <f aca="false">VLOOKUP(G266,NGPrices,3,FALSE())</f>
        <v>0.605</v>
      </c>
      <c r="O266" s="7" t="n">
        <f aca="false">HLOOKUP(D266,VOLS,VLOOKUP(G266,move_down,2,FALSE()),FALSE())</f>
        <v>0.696</v>
      </c>
      <c r="P266" s="249" t="n">
        <f aca="false">HLOOKUP(D266,Correllate,VLOOKUP(G266,CorMove,2,FALSE()),FALSE())</f>
        <v>0.83</v>
      </c>
      <c r="Q266" s="92" t="n">
        <f aca="false">WORKDAY(G266,-2)</f>
        <v>36888</v>
      </c>
      <c r="R266" s="7" t="n">
        <f aca="false">IF(F266="P",0,1)</f>
        <v>1</v>
      </c>
      <c r="S266" s="130" t="e">
        <f aca="false">xSPRDOPT($L266,$J266,$I266,$M266,$O266,$N266,$P266,$Q266-$C$3,$R266,0)</f>
        <v>#NAME?</v>
      </c>
      <c r="T266" s="250" t="e">
        <f aca="false">xSPRDOPT($L266,$J266,$I266,$M266,$O266,$N266,$P266,$Q266-$C$3,$R266,1)*H266</f>
        <v>#NAME?</v>
      </c>
      <c r="U266" s="43" t="e">
        <f aca="false">S266*H266</f>
        <v>#NAME?</v>
      </c>
      <c r="V266" s="250" t="e">
        <f aca="false">xSPRDOPT($L266,$J266,$I266,$M266,$O266,$N266,$P266,$Q266-$C$3,$R266,2)*H266</f>
        <v>#NAME?</v>
      </c>
      <c r="W266" s="250" t="e">
        <f aca="false">+V266+T266</f>
        <v>#NAME?</v>
      </c>
      <c r="X266" s="2" t="str">
        <f aca="false">CONCATENATE(G266,D266)</f>
        <v>36892IF-TRANSCO/Z6</v>
      </c>
      <c r="Y266" s="251" t="n">
        <f aca="false">H266/10000</f>
        <v>-100</v>
      </c>
      <c r="Z266" s="226" t="e">
        <f aca="false">T266/H266</f>
        <v>#NAME?</v>
      </c>
      <c r="AA266" s="226" t="e">
        <f aca="false">xSPRDOPT($L266,$J266,$I266,$M266,$O266,$N266,$P266,$Q266-$C$3,$R266,3)</f>
        <v>#NAME?</v>
      </c>
      <c r="AB266" s="226" t="e">
        <f aca="false">((xSPRDOPT($L266+AB$5,$J266,$I266,$M266,$O266,$N266,$P266,$Q266-$C$3,$R266,3)*$H266)/10000)/100</f>
        <v>#NAME?</v>
      </c>
      <c r="AC266" s="226" t="e">
        <f aca="false">((xSPRDOPT($L266+$AB$5,$J266,$I266,$M266,$O266,$N266,$P266,$Q266-$C$3,$R266,7)*$H266)/100)</f>
        <v>#NAME?</v>
      </c>
      <c r="AD266" s="226" t="e">
        <f aca="false">(xSPRDOPT($L266+$AB$5,$J266,$I266,$M266,$O266,$N266,$P266,$Q266-$C$3,$R266,9)/365)*$H266</f>
        <v>#NAME?</v>
      </c>
      <c r="AE266" s="0" t="e">
        <f aca="false">CD266</f>
        <v>#NAME?</v>
      </c>
      <c r="AF266" s="226" t="e">
        <f aca="false">((O266/N266)*AH266)+AG266</f>
        <v>#NAME?</v>
      </c>
      <c r="AG266" s="226" t="e">
        <f aca="false">((xSPRDOPT($L266,$J266,$I266,$M266,$O266,$N266,$P266,$Q266-$C$3,$R266,6)*$H266)/100)</f>
        <v>#NAME?</v>
      </c>
      <c r="AH266" s="226" t="e">
        <f aca="false">((xSPRDOPT($L266,$J266,$I266,$M266,$O266,$N266,$P266,$Q266-$C$3,$R266,5)*$H266)/100)</f>
        <v>#NAME?</v>
      </c>
      <c r="AI266" s="226" t="e">
        <f aca="false">(((xSPRDOPT($L266,$J266,$I266,$M266,$O266,$N266,$P266,$Q266-$C$3,$R266,4)*$H266)/10000)/100)-AB266</f>
        <v>#NAME?</v>
      </c>
      <c r="AJ266" s="226"/>
      <c r="AK266" s="226"/>
      <c r="AL266" s="226"/>
      <c r="AM266" s="252"/>
      <c r="CC266" s="182" t="n">
        <f aca="false">G266</f>
        <v>36892</v>
      </c>
      <c r="CD266" s="253" t="e">
        <f aca="false">xSPRDOPT((VLOOKUP(G266,NGPrices,2,FALSE())+HLOOKUP(D266,Prices,VLOOKUP(G266,move_down,2,FALSE()),FALSE())),VLOOKUP(G266,NGPrices,2,FALSE()),I266,VLOOKUP(G266,NGPREVPRICES,4,FALSE()),HLOOKUP(D266,PREVVOLS,VLOOKUP(G266,MOVE_DOWN2,2,FALSE()),FALSE()),VLOOKUP(G266,NGPREVPRICES,3,FALSE()),HLOOKUP(D266,Correllate,VLOOKUP(G266,CorMove,2,FALSE()),FALSE()),Q266-$CD$3,R266,$CD$5)*H266-CJ266</f>
        <v>#NAME?</v>
      </c>
      <c r="CE266" s="253" t="e">
        <f aca="false">xSPRDOPT((VLOOKUP(G266,NGPREVPRICES,2,FALSE())+HLOOKUP(D266,PREVCURVES,VLOOKUP(G266,MOVE_DOWN2,2,FALSE()),FALSE())),VLOOKUP(G266,NGPREVPRICES,2,FALSE()),CK266,VLOOKUP(G266,NGPrices,4,FALSE()),HLOOKUP(D266,PREVVOLS,VLOOKUP(G266,MOVE_DOWN2,2,FALSE()),FALSE()),VLOOKUP(G266,NGPREVPRICES,3,FALSE()),HLOOKUP(D266,Correllate,VLOOKUP(G266,CorMove,2,FALSE()),FALSE()),Q266-$CD$3,R266,$CJ$5)*H266-CJ266</f>
        <v>#NAME?</v>
      </c>
      <c r="CF266" s="132" t="e">
        <f aca="false">(CJ266/VLOOKUP(CC266,discount,3,FALSE()))-(CJ266/VLOOKUP(CC266,discount,2,FALSE()))</f>
        <v>#NAME?</v>
      </c>
      <c r="CG266" s="253" t="e">
        <f aca="false">xSPRDOPT((VLOOKUP(G266,NGPREVPRICES,2,FALSE())+HLOOKUP(D266,PREVCURVES,VLOOKUP(G266,MOVE_DOWN2,2,FALSE()),FALSE())),VLOOKUP(G266,NGPREVPRICES,2,FALSE()),CK266,VLOOKUP(G266,NGPREVPRICES,4,FALSE()),HLOOKUP(D266,VOLS,VLOOKUP(G266,move_down,2,FALSE()),FALSE()),VLOOKUP(G266,NGPrices,3,FALSE()),HLOOKUP(D266,Correllate,VLOOKUP(G266,CorMove,2,FALSE()),FALSE()),Q266-$CD$3,R266,$CJ$5)*H266-CJ266</f>
        <v>#NAME?</v>
      </c>
      <c r="CH266" s="253" t="e">
        <f aca="false">xSPRDOPT((VLOOKUP(G266,NGPREVPRICES,2,FALSE())+HLOOKUP(D266,PREVCURVES,VLOOKUP(G266,MOVE_DOWN2,2,FALSE()),FALSE())),VLOOKUP(G266,NGPREVPRICES,2,FALSE()),CK266,VLOOKUP(G266,NGPREVPRICES,4,FALSE()),HLOOKUP(D266,PREVVOLS,VLOOKUP(G266,MOVE_DOWN2,2,FALSE()),FALSE()),VLOOKUP(G266,NGPREVPRICES,3,FALSE()),HLOOKUP(D266,Correllate,VLOOKUP(G266,CorMove,2,FALSE()),FALSE()),Q266-$C$3,R266,$CJ$5)*H266-CJ266</f>
        <v>#NAME?</v>
      </c>
      <c r="CI266" s="253" t="e">
        <f aca="false">SUM(CD266:CH266)</f>
        <v>#NAME?</v>
      </c>
      <c r="CJ266" s="253" t="e">
        <f aca="false">xSPRDOPT((VLOOKUP(G266,NGPREVPRICES,2,FALSE())+HLOOKUP(D266,PREVCURVES,VLOOKUP(G266,MOVE_DOWN2,2,FALSE()),FALSE())),VLOOKUP(G266,NGPREVPRICES,2,FALSE()),CK266,VLOOKUP(G266,NGPREVPRICES,4,FALSE()),HLOOKUP(D266,PREVVOLS,VLOOKUP(G266,MOVE_DOWN2,2,FALSE()),FALSE()),VLOOKUP(G266,NGPREVPRICES,3,FALSE()),HLOOKUP(D266,Correllate,VLOOKUP(G266,CorMove,2,FALSE()),FALSE()),Q266-$CD$3,R266,$CJ$5)*H266</f>
        <v>#NAME?</v>
      </c>
      <c r="CK266" s="254" t="n">
        <f aca="false">I266</f>
        <v>1.75</v>
      </c>
      <c r="CL266" s="253"/>
      <c r="CM266" s="0" t="str">
        <f aca="false">CONCATENATE(CC266,$CD$6)</f>
        <v>36892Curve Shift/Gamma</v>
      </c>
      <c r="CN266" s="0" t="str">
        <f aca="false">CONCATENATE($CC266,$CE$6)</f>
        <v>36892Rho</v>
      </c>
      <c r="CO266" s="0" t="str">
        <f aca="false">CONCATENATE($CC266,$CF$6)</f>
        <v>36892Drift</v>
      </c>
      <c r="CP266" s="0" t="str">
        <f aca="false">CONCATENATE($CC266,$CG$6)</f>
        <v>36892Vega</v>
      </c>
      <c r="CQ266" s="0" t="str">
        <f aca="false">CONCATENATE($CC266,$CH$6)</f>
        <v>36892Theta</v>
      </c>
    </row>
    <row r="267" customFormat="false" ht="12.75" hidden="false" customHeight="false" outlineLevel="0" collapsed="false">
      <c r="A267" s="265" t="s">
        <v>198</v>
      </c>
      <c r="B267" s="0" t="s">
        <v>192</v>
      </c>
      <c r="C267" s="0" t="s">
        <v>290</v>
      </c>
      <c r="D267" s="7" t="s">
        <v>149</v>
      </c>
      <c r="E267" s="0" t="s">
        <v>131</v>
      </c>
      <c r="F267" s="0" t="s">
        <v>136</v>
      </c>
      <c r="G267" s="92" t="n">
        <v>36861</v>
      </c>
      <c r="H267" s="248" t="n">
        <v>-1000000</v>
      </c>
      <c r="I267" s="0" t="n">
        <v>1.75</v>
      </c>
      <c r="J267" s="124" t="n">
        <f aca="false">VLOOKUP(G267,NGPrices,2,FALSE())</f>
        <v>4.8</v>
      </c>
      <c r="K267" s="125" t="n">
        <f aca="false">HLOOKUP(D267,Prices,VLOOKUP(G267,move_down,2,FALSE()),FALSE())+VLOOKUP(G267,CHANGE,HLOOKUP(D267,CHANGE,2,FALSE()),FALSE())</f>
        <v>1.645</v>
      </c>
      <c r="L267" s="124" t="n">
        <f aca="false">K267+J267</f>
        <v>6.445</v>
      </c>
      <c r="M267" s="126" t="n">
        <f aca="false">VLOOKUP(G267,NGPrices,4,FALSE())</f>
        <v>0.068314027999354</v>
      </c>
      <c r="N267" s="7" t="n">
        <f aca="false">VLOOKUP(G267,NGPrices,3,FALSE())</f>
        <v>0.6</v>
      </c>
      <c r="O267" s="7" t="n">
        <f aca="false">HLOOKUP(D267,VOLS,VLOOKUP(G267,move_down,2,FALSE()),FALSE())</f>
        <v>0.69</v>
      </c>
      <c r="P267" s="249" t="n">
        <f aca="false">HLOOKUP(D267,Correllate,VLOOKUP(G267,CorMove,2,FALSE()),FALSE())</f>
        <v>0.83</v>
      </c>
      <c r="Q267" s="92" t="n">
        <f aca="false">WORKDAY(G267,-2)</f>
        <v>36859</v>
      </c>
      <c r="R267" s="7" t="n">
        <f aca="false">IF(F267="P",0,1)</f>
        <v>1</v>
      </c>
      <c r="S267" s="130" t="e">
        <f aca="false">xSPRDOPT($L267,$J267,$I267,$M267,$O267,$N267,$P267,$Q267-$C$3,$R267,0)</f>
        <v>#NAME?</v>
      </c>
      <c r="T267" s="250" t="e">
        <f aca="false">xSPRDOPT($L267,$J267,$I267,$M267,$O267,$N267,$P267,$Q267-$C$3,$R267,1)*H267</f>
        <v>#NAME?</v>
      </c>
      <c r="U267" s="43" t="e">
        <f aca="false">S267*H267</f>
        <v>#NAME?</v>
      </c>
      <c r="V267" s="250" t="e">
        <f aca="false">xSPRDOPT($L267,$J267,$I267,$M267,$O267,$N267,$P267,$Q267-$C$3,$R267,2)*H267</f>
        <v>#NAME?</v>
      </c>
      <c r="W267" s="250" t="e">
        <f aca="false">+V267+T267</f>
        <v>#NAME?</v>
      </c>
      <c r="X267" s="2" t="str">
        <f aca="false">CONCATENATE(G267,D267)</f>
        <v>36861IF-TRANSCO/Z6</v>
      </c>
      <c r="Y267" s="251" t="n">
        <f aca="false">H267/10000</f>
        <v>-100</v>
      </c>
      <c r="Z267" s="226" t="e">
        <f aca="false">T267/H267</f>
        <v>#NAME?</v>
      </c>
      <c r="AA267" s="226" t="e">
        <f aca="false">xSPRDOPT($L267,$J267,$I267,$M267,$O267,$N267,$P267,$Q267-$C$3,$R267,3)</f>
        <v>#NAME?</v>
      </c>
      <c r="AB267" s="226" t="e">
        <f aca="false">((xSPRDOPT($L267+AB$5,$J267,$I267,$M267,$O267,$N267,$P267,$Q267-$C$3,$R267,3)*$H267)/10000)/100</f>
        <v>#NAME?</v>
      </c>
      <c r="AC267" s="226" t="e">
        <f aca="false">((xSPRDOPT($L267+$AB$5,$J267,$I267,$M267,$O267,$N267,$P267,$Q267-$C$3,$R267,7)*$H267)/100)</f>
        <v>#NAME?</v>
      </c>
      <c r="AD267" s="226" t="e">
        <f aca="false">(xSPRDOPT($L267+$AB$5,$J267,$I267,$M267,$O267,$N267,$P267,$Q267-$C$3,$R267,9)/365)*$H267</f>
        <v>#NAME?</v>
      </c>
      <c r="AE267" s="0" t="e">
        <f aca="false">CD267</f>
        <v>#NAME?</v>
      </c>
      <c r="AF267" s="226" t="e">
        <f aca="false">((O267/N267)*AH267)+AG267</f>
        <v>#NAME?</v>
      </c>
      <c r="AG267" s="226" t="e">
        <f aca="false">((xSPRDOPT($L267,$J267,$I267,$M267,$O267,$N267,$P267,$Q267-$C$3,$R267,6)*$H267)/100)</f>
        <v>#NAME?</v>
      </c>
      <c r="AH267" s="226" t="e">
        <f aca="false">((xSPRDOPT($L267,$J267,$I267,$M267,$O267,$N267,$P267,$Q267-$C$3,$R267,5)*$H267)/100)</f>
        <v>#NAME?</v>
      </c>
      <c r="AI267" s="226" t="e">
        <f aca="false">(((xSPRDOPT($L267,$J267,$I267,$M267,$O267,$N267,$P267,$Q267-$C$3,$R267,4)*$H267)/10000)/100)-AB267</f>
        <v>#NAME?</v>
      </c>
      <c r="AJ267" s="226"/>
      <c r="AK267" s="226"/>
      <c r="AL267" s="226"/>
      <c r="AM267" s="252"/>
      <c r="CC267" s="182" t="n">
        <f aca="false">G267</f>
        <v>36861</v>
      </c>
      <c r="CD267" s="253" t="e">
        <f aca="false">xSPRDOPT((VLOOKUP(G267,NGPrices,2,FALSE())+HLOOKUP(D267,Prices,VLOOKUP(G267,move_down,2,FALSE()),FALSE())),VLOOKUP(G267,NGPrices,2,FALSE()),I267,VLOOKUP(G267,NGPREVPRICES,4,FALSE()),HLOOKUP(D267,PREVVOLS,VLOOKUP(G267,MOVE_DOWN2,2,FALSE()),FALSE()),VLOOKUP(G267,NGPREVPRICES,3,FALSE()),HLOOKUP(D267,Correllate,VLOOKUP(G267,CorMove,2,FALSE()),FALSE()),Q267-$CD$3,R267,$CD$5)*H267-CJ267</f>
        <v>#NAME?</v>
      </c>
      <c r="CE267" s="253" t="e">
        <f aca="false">xSPRDOPT((VLOOKUP(G267,NGPREVPRICES,2,FALSE())+HLOOKUP(D267,PREVCURVES,VLOOKUP(G267,MOVE_DOWN2,2,FALSE()),FALSE())),VLOOKUP(G267,NGPREVPRICES,2,FALSE()),CK267,VLOOKUP(G267,NGPrices,4,FALSE()),HLOOKUP(D267,PREVVOLS,VLOOKUP(G267,MOVE_DOWN2,2,FALSE()),FALSE()),VLOOKUP(G267,NGPREVPRICES,3,FALSE()),HLOOKUP(D267,Correllate,VLOOKUP(G267,CorMove,2,FALSE()),FALSE()),Q267-$CD$3,R267,$CJ$5)*H267-CJ267</f>
        <v>#NAME?</v>
      </c>
      <c r="CF267" s="132" t="e">
        <f aca="false">(CJ267/VLOOKUP(CC267,discount,3,FALSE()))-(CJ267/VLOOKUP(CC267,discount,2,FALSE()))</f>
        <v>#NAME?</v>
      </c>
      <c r="CG267" s="253" t="e">
        <f aca="false">xSPRDOPT((VLOOKUP(G267,NGPREVPRICES,2,FALSE())+HLOOKUP(D267,PREVCURVES,VLOOKUP(G267,MOVE_DOWN2,2,FALSE()),FALSE())),VLOOKUP(G267,NGPREVPRICES,2,FALSE()),CK267,VLOOKUP(G267,NGPREVPRICES,4,FALSE()),HLOOKUP(D267,VOLS,VLOOKUP(G267,move_down,2,FALSE()),FALSE()),VLOOKUP(G267,NGPrices,3,FALSE()),HLOOKUP(D267,Correllate,VLOOKUP(G267,CorMove,2,FALSE()),FALSE()),Q267-$CD$3,R267,$CJ$5)*H267-CJ267</f>
        <v>#NAME?</v>
      </c>
      <c r="CH267" s="253" t="e">
        <f aca="false">xSPRDOPT((VLOOKUP(G267,NGPREVPRICES,2,FALSE())+HLOOKUP(D267,PREVCURVES,VLOOKUP(G267,MOVE_DOWN2,2,FALSE()),FALSE())),VLOOKUP(G267,NGPREVPRICES,2,FALSE()),CK267,VLOOKUP(G267,NGPREVPRICES,4,FALSE()),HLOOKUP(D267,PREVVOLS,VLOOKUP(G267,MOVE_DOWN2,2,FALSE()),FALSE()),VLOOKUP(G267,NGPREVPRICES,3,FALSE()),HLOOKUP(D267,Correllate,VLOOKUP(G267,CorMove,2,FALSE()),FALSE()),Q267-$C$3,R267,$CJ$5)*H267-CJ267</f>
        <v>#NAME?</v>
      </c>
      <c r="CI267" s="253" t="e">
        <f aca="false">SUM(CD267:CH267)</f>
        <v>#NAME?</v>
      </c>
      <c r="CJ267" s="253" t="e">
        <f aca="false">xSPRDOPT((VLOOKUP(G267,NGPREVPRICES,2,FALSE())+HLOOKUP(D267,PREVCURVES,VLOOKUP(G267,MOVE_DOWN2,2,FALSE()),FALSE())),VLOOKUP(G267,NGPREVPRICES,2,FALSE()),CK267,VLOOKUP(G267,NGPREVPRICES,4,FALSE()),HLOOKUP(D267,PREVVOLS,VLOOKUP(G267,MOVE_DOWN2,2,FALSE()),FALSE()),VLOOKUP(G267,NGPREVPRICES,3,FALSE()),HLOOKUP(D267,Correllate,VLOOKUP(G267,CorMove,2,FALSE()),FALSE()),Q267-$CD$3,R267,$CJ$5)*H267</f>
        <v>#NAME?</v>
      </c>
      <c r="CK267" s="254" t="n">
        <f aca="false">I267</f>
        <v>1.75</v>
      </c>
      <c r="CL267" s="253"/>
      <c r="CM267" s="0" t="str">
        <f aca="false">CONCATENATE(CC267,$CD$6)</f>
        <v>36861Curve Shift/Gamma</v>
      </c>
      <c r="CN267" s="0" t="str">
        <f aca="false">CONCATENATE($CC267,$CE$6)</f>
        <v>36861Rho</v>
      </c>
      <c r="CO267" s="0" t="str">
        <f aca="false">CONCATENATE($CC267,$CF$6)</f>
        <v>36861Drift</v>
      </c>
      <c r="CP267" s="0" t="str">
        <f aca="false">CONCATENATE($CC267,$CG$6)</f>
        <v>36861Vega</v>
      </c>
      <c r="CQ267" s="0" t="str">
        <f aca="false">CONCATENATE($CC267,$CH$6)</f>
        <v>36861Theta</v>
      </c>
    </row>
    <row r="268" customFormat="false" ht="12.75" hidden="false" customHeight="false" outlineLevel="0" collapsed="false">
      <c r="A268" s="265" t="s">
        <v>198</v>
      </c>
      <c r="B268" s="0" t="s">
        <v>192</v>
      </c>
      <c r="C268" s="0" t="s">
        <v>290</v>
      </c>
      <c r="D268" s="7" t="s">
        <v>149</v>
      </c>
      <c r="E268" s="0" t="s">
        <v>131</v>
      </c>
      <c r="F268" s="0" t="s">
        <v>136</v>
      </c>
      <c r="G268" s="92" t="n">
        <v>36831</v>
      </c>
      <c r="H268" s="248" t="n">
        <v>-1000000</v>
      </c>
      <c r="I268" s="0" t="n">
        <v>1.75</v>
      </c>
      <c r="J268" s="124" t="n">
        <f aca="false">VLOOKUP(G268,NGPrices,2,FALSE())</f>
        <v>4.736</v>
      </c>
      <c r="K268" s="125" t="n">
        <f aca="false">HLOOKUP(D268,Prices,VLOOKUP(G268,move_down,2,FALSE()),FALSE())+VLOOKUP(G268,CHANGE,HLOOKUP(D268,CHANGE,2,FALSE()),FALSE())</f>
        <v>0.77</v>
      </c>
      <c r="L268" s="124" t="n">
        <f aca="false">K268+J268</f>
        <v>5.506</v>
      </c>
      <c r="M268" s="126" t="n">
        <f aca="false">VLOOKUP(G268,NGPrices,4,FALSE())</f>
        <v>0.06810675983792</v>
      </c>
      <c r="N268" s="7" t="n">
        <f aca="false">VLOOKUP(G268,NGPrices,3,FALSE())</f>
        <v>0.595</v>
      </c>
      <c r="O268" s="7" t="n">
        <f aca="false">HLOOKUP(D268,VOLS,VLOOKUP(G268,move_down,2,FALSE()),FALSE())</f>
        <v>0.625</v>
      </c>
      <c r="P268" s="249" t="n">
        <f aca="false">HLOOKUP(D268,Correllate,VLOOKUP(G268,CorMove,2,FALSE()),FALSE())</f>
        <v>0.89</v>
      </c>
      <c r="Q268" s="92" t="n">
        <f aca="false">WORKDAY(G268,-2)</f>
        <v>36829</v>
      </c>
      <c r="R268" s="7" t="n">
        <f aca="false">IF(F268="P",0,1)</f>
        <v>1</v>
      </c>
      <c r="S268" s="130" t="e">
        <f aca="false">xSPRDOPT($L268,$J268,$I268,$M268,$O268,$N268,$P268,$Q268-$C$3,$R268,0)</f>
        <v>#NAME?</v>
      </c>
      <c r="T268" s="250" t="e">
        <f aca="false">xSPRDOPT($L268,$J268,$I268,$M268,$O268,$N268,$P268,$Q268-$C$3,$R268,1)*H268</f>
        <v>#NAME?</v>
      </c>
      <c r="U268" s="43" t="e">
        <f aca="false">S268*H268</f>
        <v>#NAME?</v>
      </c>
      <c r="V268" s="250" t="e">
        <f aca="false">xSPRDOPT($L268,$J268,$I268,$M268,$O268,$N268,$P268,$Q268-$C$3,$R268,2)*H268</f>
        <v>#NAME?</v>
      </c>
      <c r="W268" s="250" t="e">
        <f aca="false">+V268+T268</f>
        <v>#NAME?</v>
      </c>
      <c r="X268" s="2" t="str">
        <f aca="false">CONCATENATE(G268,D268)</f>
        <v>36831IF-TRANSCO/Z6</v>
      </c>
      <c r="Y268" s="251" t="n">
        <f aca="false">H268/10000</f>
        <v>-100</v>
      </c>
      <c r="Z268" s="226" t="e">
        <f aca="false">T268/H268</f>
        <v>#NAME?</v>
      </c>
      <c r="AA268" s="226" t="e">
        <f aca="false">xSPRDOPT($L268,$J268,$I268,$M268,$O268,$N268,$P268,$Q268-$C$3,$R268,3)</f>
        <v>#NAME?</v>
      </c>
      <c r="AB268" s="226" t="e">
        <f aca="false">((xSPRDOPT($L268+AB$5,$J268,$I268,$M268,$O268,$N268,$P268,$Q268-$C$3,$R268,3)*$H268)/10000)/100</f>
        <v>#NAME?</v>
      </c>
      <c r="AC268" s="226" t="e">
        <f aca="false">((xSPRDOPT($L268+$AB$5,$J268,$I268,$M268,$O268,$N268,$P268,$Q268-$C$3,$R268,7)*$H268)/100)</f>
        <v>#NAME?</v>
      </c>
      <c r="AD268" s="226" t="e">
        <f aca="false">(xSPRDOPT($L268+$AB$5,$J268,$I268,$M268,$O268,$N268,$P268,$Q268-$C$3,$R268,9)/365)*$H268</f>
        <v>#NAME?</v>
      </c>
      <c r="AE268" s="0" t="e">
        <f aca="false">CD268</f>
        <v>#NAME?</v>
      </c>
      <c r="AF268" s="226" t="e">
        <f aca="false">((O268/N268)*AH268)+AG268</f>
        <v>#NAME?</v>
      </c>
      <c r="AG268" s="226" t="e">
        <f aca="false">((xSPRDOPT($L268,$J268,$I268,$M268,$O268,$N268,$P268,$Q268-$C$3,$R268,6)*$H268)/100)</f>
        <v>#NAME?</v>
      </c>
      <c r="AH268" s="226" t="e">
        <f aca="false">((xSPRDOPT($L268,$J268,$I268,$M268,$O268,$N268,$P268,$Q268-$C$3,$R268,5)*$H268)/100)</f>
        <v>#NAME?</v>
      </c>
      <c r="AI268" s="226" t="e">
        <f aca="false">(((xSPRDOPT($L268,$J268,$I268,$M268,$O268,$N268,$P268,$Q268-$C$3,$R268,4)*$H268)/10000)/100)-AB268</f>
        <v>#NAME?</v>
      </c>
      <c r="AJ268" s="226"/>
      <c r="AK268" s="226"/>
      <c r="AL268" s="226"/>
      <c r="AM268" s="252"/>
      <c r="CC268" s="182" t="n">
        <f aca="false">G268</f>
        <v>36831</v>
      </c>
      <c r="CD268" s="253" t="e">
        <f aca="false">xSPRDOPT((VLOOKUP(G268,NGPrices,2,FALSE())+HLOOKUP(D268,Prices,VLOOKUP(G268,move_down,2,FALSE()),FALSE())),VLOOKUP(G268,NGPrices,2,FALSE()),I268,VLOOKUP(G268,NGPREVPRICES,4,FALSE()),HLOOKUP(D268,PREVVOLS,VLOOKUP(G268,MOVE_DOWN2,2,FALSE()),FALSE()),VLOOKUP(G268,NGPREVPRICES,3,FALSE()),HLOOKUP(D268,Correllate,VLOOKUP(G268,CorMove,2,FALSE()),FALSE()),Q268-$CD$3,R268,$CD$5)*H268-CJ268</f>
        <v>#NAME?</v>
      </c>
      <c r="CE268" s="253" t="e">
        <f aca="false">xSPRDOPT((VLOOKUP(G268,NGPREVPRICES,2,FALSE())+HLOOKUP(D268,PREVCURVES,VLOOKUP(G268,MOVE_DOWN2,2,FALSE()),FALSE())),VLOOKUP(G268,NGPREVPRICES,2,FALSE()),CK268,VLOOKUP(G268,NGPrices,4,FALSE()),HLOOKUP(D268,PREVVOLS,VLOOKUP(G268,MOVE_DOWN2,2,FALSE()),FALSE()),VLOOKUP(G268,NGPREVPRICES,3,FALSE()),HLOOKUP(D268,Correllate,VLOOKUP(G268,CorMove,2,FALSE()),FALSE()),Q268-$CD$3,R268,$CJ$5)*H268-CJ268</f>
        <v>#NAME?</v>
      </c>
      <c r="CF268" s="132" t="e">
        <f aca="false">(CJ268/VLOOKUP(CC268,discount,3,FALSE()))-(CJ268/VLOOKUP(CC268,discount,2,FALSE()))</f>
        <v>#NAME?</v>
      </c>
      <c r="CG268" s="253" t="e">
        <f aca="false">xSPRDOPT((VLOOKUP(G268,NGPREVPRICES,2,FALSE())+HLOOKUP(D268,PREVCURVES,VLOOKUP(G268,MOVE_DOWN2,2,FALSE()),FALSE())),VLOOKUP(G268,NGPREVPRICES,2,FALSE()),CK268,VLOOKUP(G268,NGPREVPRICES,4,FALSE()),HLOOKUP(D268,VOLS,VLOOKUP(G268,move_down,2,FALSE()),FALSE()),VLOOKUP(G268,NGPrices,3,FALSE()),HLOOKUP(D268,Correllate,VLOOKUP(G268,CorMove,2,FALSE()),FALSE()),Q268-$CD$3,R268,$CJ$5)*H268-CJ268</f>
        <v>#NAME?</v>
      </c>
      <c r="CH268" s="253" t="e">
        <f aca="false">xSPRDOPT((VLOOKUP(G268,NGPREVPRICES,2,FALSE())+HLOOKUP(D268,PREVCURVES,VLOOKUP(G268,MOVE_DOWN2,2,FALSE()),FALSE())),VLOOKUP(G268,NGPREVPRICES,2,FALSE()),CK268,VLOOKUP(G268,NGPREVPRICES,4,FALSE()),HLOOKUP(D268,PREVVOLS,VLOOKUP(G268,MOVE_DOWN2,2,FALSE()),FALSE()),VLOOKUP(G268,NGPREVPRICES,3,FALSE()),HLOOKUP(D268,Correllate,VLOOKUP(G268,CorMove,2,FALSE()),FALSE()),Q268-$C$3,R268,$CJ$5)*H268-CJ268</f>
        <v>#NAME?</v>
      </c>
      <c r="CI268" s="253" t="e">
        <f aca="false">SUM(CD268:CH268)</f>
        <v>#NAME?</v>
      </c>
      <c r="CJ268" s="253" t="e">
        <f aca="false">xSPRDOPT((VLOOKUP(G268,NGPREVPRICES,2,FALSE())+HLOOKUP(D268,PREVCURVES,VLOOKUP(G268,MOVE_DOWN2,2,FALSE()),FALSE())),VLOOKUP(G268,NGPREVPRICES,2,FALSE()),CK268,VLOOKUP(G268,NGPREVPRICES,4,FALSE()),HLOOKUP(D268,PREVVOLS,VLOOKUP(G268,MOVE_DOWN2,2,FALSE()),FALSE()),VLOOKUP(G268,NGPREVPRICES,3,FALSE()),HLOOKUP(D268,Correllate,VLOOKUP(G268,CorMove,2,FALSE()),FALSE()),Q268-$CD$3,R268,$CJ$5)*H268</f>
        <v>#NAME?</v>
      </c>
      <c r="CK268" s="254" t="n">
        <f aca="false">I268</f>
        <v>1.75</v>
      </c>
      <c r="CL268" s="253"/>
      <c r="CM268" s="0" t="str">
        <f aca="false">CONCATENATE(CC268,$CD$6)</f>
        <v>36831Curve Shift/Gamma</v>
      </c>
      <c r="CN268" s="0" t="str">
        <f aca="false">CONCATENATE($CC268,$CE$6)</f>
        <v>36831Rho</v>
      </c>
      <c r="CO268" s="0" t="str">
        <f aca="false">CONCATENATE($CC268,$CF$6)</f>
        <v>36831Drift</v>
      </c>
      <c r="CP268" s="0" t="str">
        <f aca="false">CONCATENATE($CC268,$CG$6)</f>
        <v>36831Vega</v>
      </c>
      <c r="CQ268" s="0" t="str">
        <f aca="false">CONCATENATE($CC268,$CH$6)</f>
        <v>36831Theta</v>
      </c>
    </row>
    <row r="269" customFormat="false" ht="12.75" hidden="false" customHeight="false" outlineLevel="0" collapsed="false">
      <c r="A269" s="265" t="s">
        <v>198</v>
      </c>
      <c r="B269" s="0" t="s">
        <v>192</v>
      </c>
      <c r="C269" s="0" t="s">
        <v>291</v>
      </c>
      <c r="D269" s="7" t="s">
        <v>149</v>
      </c>
      <c r="E269" s="0" t="s">
        <v>131</v>
      </c>
      <c r="F269" s="0" t="s">
        <v>136</v>
      </c>
      <c r="G269" s="92" t="n">
        <v>36951</v>
      </c>
      <c r="H269" s="248" t="n">
        <v>1000000</v>
      </c>
      <c r="I269" s="0" t="n">
        <v>2.5</v>
      </c>
      <c r="J269" s="124" t="n">
        <f aca="false">VLOOKUP(G269,NGPrices,2,FALSE())</f>
        <v>4.213</v>
      </c>
      <c r="K269" s="125" t="n">
        <f aca="false">HLOOKUP(D269,Prices,VLOOKUP(G269,move_down,2,FALSE()),FALSE())+VLOOKUP(G269,CHANGE,HLOOKUP(D269,CHANGE,2,FALSE()),FALSE())</f>
        <v>1.075</v>
      </c>
      <c r="L269" s="124" t="n">
        <f aca="false">K269+J269</f>
        <v>5.288</v>
      </c>
      <c r="M269" s="126" t="n">
        <f aca="false">VLOOKUP(G269,NGPrices,4,FALSE())</f>
        <v>0.068879814952707</v>
      </c>
      <c r="N269" s="7" t="n">
        <f aca="false">VLOOKUP(G269,NGPrices,3,FALSE())</f>
        <v>0.5325</v>
      </c>
      <c r="O269" s="7" t="n">
        <f aca="false">HLOOKUP(D269,VOLS,VLOOKUP(G269,move_down,2,FALSE()),FALSE())</f>
        <v>0.612</v>
      </c>
      <c r="P269" s="249" t="n">
        <f aca="false">HLOOKUP(D269,Correllate,VLOOKUP(G269,CorMove,2,FALSE()),FALSE())</f>
        <v>0.83</v>
      </c>
      <c r="Q269" s="92" t="n">
        <f aca="false">WORKDAY(G269,-2)</f>
        <v>36949</v>
      </c>
      <c r="R269" s="7" t="n">
        <f aca="false">IF(F269="P",0,1)</f>
        <v>1</v>
      </c>
      <c r="S269" s="130" t="e">
        <f aca="false">xSPRDOPT($L269,$J269,$I269,$M269,$O269,$N269,$P269,$Q269-$C$3,$R269,0)</f>
        <v>#NAME?</v>
      </c>
      <c r="T269" s="250" t="e">
        <f aca="false">xSPRDOPT($L269,$J269,$I269,$M269,$O269,$N269,$P269,$Q269-$C$3,$R269,1)*H269</f>
        <v>#NAME?</v>
      </c>
      <c r="U269" s="43" t="e">
        <f aca="false">S269*H269</f>
        <v>#NAME?</v>
      </c>
      <c r="V269" s="250" t="e">
        <f aca="false">xSPRDOPT($L269,$J269,$I269,$M269,$O269,$N269,$P269,$Q269-$C$3,$R269,2)*H269</f>
        <v>#NAME?</v>
      </c>
      <c r="W269" s="250" t="e">
        <f aca="false">+V269+T269</f>
        <v>#NAME?</v>
      </c>
      <c r="X269" s="2" t="str">
        <f aca="false">CONCATENATE(G269,D269)</f>
        <v>36951IF-TRANSCO/Z6</v>
      </c>
      <c r="Y269" s="251" t="n">
        <f aca="false">H269/10000</f>
        <v>100</v>
      </c>
      <c r="Z269" s="226" t="e">
        <f aca="false">T269/H269</f>
        <v>#NAME?</v>
      </c>
      <c r="AA269" s="226" t="e">
        <f aca="false">xSPRDOPT($L269,$J269,$I269,$M269,$O269,$N269,$P269,$Q269-$C$3,$R269,3)</f>
        <v>#NAME?</v>
      </c>
      <c r="AB269" s="226" t="e">
        <f aca="false">((xSPRDOPT($L269+AB$5,$J269,$I269,$M269,$O269,$N269,$P269,$Q269-$C$3,$R269,3)*$H269)/10000)/100</f>
        <v>#NAME?</v>
      </c>
      <c r="AC269" s="226" t="e">
        <f aca="false">((xSPRDOPT($L269+$AB$5,$J269,$I269,$M269,$O269,$N269,$P269,$Q269-$C$3,$R269,7)*$H269)/100)</f>
        <v>#NAME?</v>
      </c>
      <c r="AD269" s="226" t="e">
        <f aca="false">(xSPRDOPT($L269+$AB$5,$J269,$I269,$M269,$O269,$N269,$P269,$Q269-$C$3,$R269,9)/365)*$H269</f>
        <v>#NAME?</v>
      </c>
      <c r="AE269" s="0" t="e">
        <f aca="false">CD269</f>
        <v>#NAME?</v>
      </c>
      <c r="AF269" s="226" t="e">
        <f aca="false">((O269/N269)*AH269)+AG269</f>
        <v>#NAME?</v>
      </c>
      <c r="AG269" s="226" t="e">
        <f aca="false">((xSPRDOPT($L269,$J269,$I269,$M269,$O269,$N269,$P269,$Q269-$C$3,$R269,6)*$H269)/100)</f>
        <v>#NAME?</v>
      </c>
      <c r="AH269" s="226" t="e">
        <f aca="false">((xSPRDOPT($L269,$J269,$I269,$M269,$O269,$N269,$P269,$Q269-$C$3,$R269,5)*$H269)/100)</f>
        <v>#NAME?</v>
      </c>
      <c r="AI269" s="226" t="e">
        <f aca="false">(((xSPRDOPT($L269,$J269,$I269,$M269,$O269,$N269,$P269,$Q269-$C$3,$R269,4)*$H269)/10000)/100)-AB269</f>
        <v>#NAME?</v>
      </c>
      <c r="AJ269" s="226"/>
      <c r="AK269" s="226"/>
      <c r="AL269" s="226"/>
      <c r="AM269" s="252"/>
      <c r="CC269" s="182" t="n">
        <f aca="false">G269</f>
        <v>36951</v>
      </c>
      <c r="CD269" s="253" t="e">
        <f aca="false">xSPRDOPT((VLOOKUP(G269,NGPrices,2,FALSE())+HLOOKUP(D269,Prices,VLOOKUP(G269,move_down,2,FALSE()),FALSE())),VLOOKUP(G269,NGPrices,2,FALSE()),I269,VLOOKUP(G269,NGPREVPRICES,4,FALSE()),HLOOKUP(D269,PREVVOLS,VLOOKUP(G269,MOVE_DOWN2,2,FALSE()),FALSE()),VLOOKUP(G269,NGPREVPRICES,3,FALSE()),HLOOKUP(D269,Correllate,VLOOKUP(G269,CorMove,2,FALSE()),FALSE()),Q269-$CD$3,R269,$CD$5)*H269-CJ269</f>
        <v>#NAME?</v>
      </c>
      <c r="CE269" s="253" t="e">
        <f aca="false">xSPRDOPT((VLOOKUP(G269,NGPREVPRICES,2,FALSE())+HLOOKUP(D269,PREVCURVES,VLOOKUP(G269,MOVE_DOWN2,2,FALSE()),FALSE())),VLOOKUP(G269,NGPREVPRICES,2,FALSE()),CK269,VLOOKUP(G269,NGPrices,4,FALSE()),HLOOKUP(D269,PREVVOLS,VLOOKUP(G269,MOVE_DOWN2,2,FALSE()),FALSE()),VLOOKUP(G269,NGPREVPRICES,3,FALSE()),HLOOKUP(D269,Correllate,VLOOKUP(G269,CorMove,2,FALSE()),FALSE()),Q269-$CD$3,R269,$CJ$5)*H269-CJ269</f>
        <v>#NAME?</v>
      </c>
      <c r="CF269" s="132" t="e">
        <f aca="false">(CJ269/VLOOKUP(CC269,discount,3,FALSE()))-(CJ269/VLOOKUP(CC269,discount,2,FALSE()))</f>
        <v>#NAME?</v>
      </c>
      <c r="CG269" s="253" t="e">
        <f aca="false">xSPRDOPT((VLOOKUP(G269,NGPREVPRICES,2,FALSE())+HLOOKUP(D269,PREVCURVES,VLOOKUP(G269,MOVE_DOWN2,2,FALSE()),FALSE())),VLOOKUP(G269,NGPREVPRICES,2,FALSE()),CK269,VLOOKUP(G269,NGPREVPRICES,4,FALSE()),HLOOKUP(D269,VOLS,VLOOKUP(G269,move_down,2,FALSE()),FALSE()),VLOOKUP(G269,NGPrices,3,FALSE()),HLOOKUP(D269,Correllate,VLOOKUP(G269,CorMove,2,FALSE()),FALSE()),Q269-$CD$3,R269,$CJ$5)*H269-CJ269</f>
        <v>#NAME?</v>
      </c>
      <c r="CH269" s="253" t="e">
        <f aca="false">xSPRDOPT((VLOOKUP(G269,NGPREVPRICES,2,FALSE())+HLOOKUP(D269,PREVCURVES,VLOOKUP(G269,MOVE_DOWN2,2,FALSE()),FALSE())),VLOOKUP(G269,NGPREVPRICES,2,FALSE()),CK269,VLOOKUP(G269,NGPREVPRICES,4,FALSE()),HLOOKUP(D269,PREVVOLS,VLOOKUP(G269,MOVE_DOWN2,2,FALSE()),FALSE()),VLOOKUP(G269,NGPREVPRICES,3,FALSE()),HLOOKUP(D269,Correllate,VLOOKUP(G269,CorMove,2,FALSE()),FALSE()),Q269-$C$3,R269,$CJ$5)*H269-CJ269</f>
        <v>#NAME?</v>
      </c>
      <c r="CI269" s="253" t="e">
        <f aca="false">SUM(CD269:CH269)</f>
        <v>#NAME?</v>
      </c>
      <c r="CJ269" s="253" t="e">
        <f aca="false">xSPRDOPT((VLOOKUP(G269,NGPREVPRICES,2,FALSE())+HLOOKUP(D269,PREVCURVES,VLOOKUP(G269,MOVE_DOWN2,2,FALSE()),FALSE())),VLOOKUP(G269,NGPREVPRICES,2,FALSE()),CK269,VLOOKUP(G269,NGPREVPRICES,4,FALSE()),HLOOKUP(D269,PREVVOLS,VLOOKUP(G269,MOVE_DOWN2,2,FALSE()),FALSE()),VLOOKUP(G269,NGPREVPRICES,3,FALSE()),HLOOKUP(D269,Correllate,VLOOKUP(G269,CorMove,2,FALSE()),FALSE()),Q269-$CD$3,R269,$CJ$5)*H269</f>
        <v>#NAME?</v>
      </c>
      <c r="CK269" s="254" t="n">
        <f aca="false">I269</f>
        <v>2.5</v>
      </c>
      <c r="CL269" s="253"/>
      <c r="CM269" s="0" t="str">
        <f aca="false">CONCATENATE(CC269,$CD$6)</f>
        <v>36951Curve Shift/Gamma</v>
      </c>
      <c r="CN269" s="0" t="str">
        <f aca="false">CONCATENATE($CC269,$CE$6)</f>
        <v>36951Rho</v>
      </c>
      <c r="CO269" s="0" t="str">
        <f aca="false">CONCATENATE($CC269,$CF$6)</f>
        <v>36951Drift</v>
      </c>
      <c r="CP269" s="0" t="str">
        <f aca="false">CONCATENATE($CC269,$CG$6)</f>
        <v>36951Vega</v>
      </c>
      <c r="CQ269" s="0" t="str">
        <f aca="false">CONCATENATE($CC269,$CH$6)</f>
        <v>36951Theta</v>
      </c>
    </row>
    <row r="270" customFormat="false" ht="12.75" hidden="false" customHeight="false" outlineLevel="0" collapsed="false">
      <c r="A270" s="265" t="s">
        <v>198</v>
      </c>
      <c r="B270" s="0" t="s">
        <v>192</v>
      </c>
      <c r="C270" s="0" t="s">
        <v>291</v>
      </c>
      <c r="D270" s="7" t="s">
        <v>149</v>
      </c>
      <c r="E270" s="0" t="s">
        <v>131</v>
      </c>
      <c r="F270" s="0" t="s">
        <v>136</v>
      </c>
      <c r="G270" s="92" t="n">
        <v>36923</v>
      </c>
      <c r="H270" s="248" t="n">
        <v>1000000</v>
      </c>
      <c r="I270" s="0" t="n">
        <v>2.5</v>
      </c>
      <c r="J270" s="124" t="n">
        <f aca="false">VLOOKUP(G270,NGPrices,2,FALSE())</f>
        <v>4.48</v>
      </c>
      <c r="K270" s="125" t="n">
        <f aca="false">HLOOKUP(D270,Prices,VLOOKUP(G270,move_down,2,FALSE()),FALSE())+VLOOKUP(G270,CHANGE,HLOOKUP(D270,CHANGE,2,FALSE()),FALSE())</f>
        <v>2.09</v>
      </c>
      <c r="L270" s="124" t="n">
        <f aca="false">K270+J270</f>
        <v>6.57</v>
      </c>
      <c r="M270" s="126" t="n">
        <f aca="false">VLOOKUP(G270,NGPrices,4,FALSE())</f>
        <v>0.068640161611372</v>
      </c>
      <c r="N270" s="7" t="n">
        <f aca="false">VLOOKUP(G270,NGPrices,3,FALSE())</f>
        <v>0.5925</v>
      </c>
      <c r="O270" s="7" t="n">
        <f aca="false">HLOOKUP(D270,VOLS,VLOOKUP(G270,move_down,2,FALSE()),FALSE())</f>
        <v>0.681</v>
      </c>
      <c r="P270" s="249" t="n">
        <f aca="false">HLOOKUP(D270,Correllate,VLOOKUP(G270,CorMove,2,FALSE()),FALSE())</f>
        <v>0.83</v>
      </c>
      <c r="Q270" s="92" t="n">
        <f aca="false">WORKDAY(G270,-2)</f>
        <v>36921</v>
      </c>
      <c r="R270" s="7" t="n">
        <f aca="false">IF(F270="P",0,1)</f>
        <v>1</v>
      </c>
      <c r="S270" s="130" t="e">
        <f aca="false">xSPRDOPT($L270,$J270,$I270,$M270,$O270,$N270,$P270,$Q270-$C$3,$R270,0)</f>
        <v>#NAME?</v>
      </c>
      <c r="T270" s="250" t="e">
        <f aca="false">xSPRDOPT($L270,$J270,$I270,$M270,$O270,$N270,$P270,$Q270-$C$3,$R270,1)*H270</f>
        <v>#NAME?</v>
      </c>
      <c r="U270" s="43" t="e">
        <f aca="false">S270*H270</f>
        <v>#NAME?</v>
      </c>
      <c r="V270" s="250" t="e">
        <f aca="false">xSPRDOPT($L270,$J270,$I270,$M270,$O270,$N270,$P270,$Q270-$C$3,$R270,2)*H270</f>
        <v>#NAME?</v>
      </c>
      <c r="W270" s="250" t="e">
        <f aca="false">+V270+T270</f>
        <v>#NAME?</v>
      </c>
      <c r="X270" s="2" t="str">
        <f aca="false">CONCATENATE(G270,D270)</f>
        <v>36923IF-TRANSCO/Z6</v>
      </c>
      <c r="Y270" s="251" t="n">
        <f aca="false">H270/10000</f>
        <v>100</v>
      </c>
      <c r="Z270" s="226" t="e">
        <f aca="false">T270/H270</f>
        <v>#NAME?</v>
      </c>
      <c r="AA270" s="226" t="e">
        <f aca="false">xSPRDOPT($L270,$J270,$I270,$M270,$O270,$N270,$P270,$Q270-$C$3,$R270,3)</f>
        <v>#NAME?</v>
      </c>
      <c r="AB270" s="226" t="e">
        <f aca="false">((xSPRDOPT($L270+AB$5,$J270,$I270,$M270,$O270,$N270,$P270,$Q270-$C$3,$R270,3)*$H270)/10000)/100</f>
        <v>#NAME?</v>
      </c>
      <c r="AC270" s="226" t="e">
        <f aca="false">((xSPRDOPT($L270+$AB$5,$J270,$I270,$M270,$O270,$N270,$P270,$Q270-$C$3,$R270,7)*$H270)/100)</f>
        <v>#NAME?</v>
      </c>
      <c r="AD270" s="226" t="e">
        <f aca="false">(xSPRDOPT($L270+$AB$5,$J270,$I270,$M270,$O270,$N270,$P270,$Q270-$C$3,$R270,9)/365)*$H270</f>
        <v>#NAME?</v>
      </c>
      <c r="AE270" s="0" t="e">
        <f aca="false">CD270</f>
        <v>#NAME?</v>
      </c>
      <c r="AF270" s="226" t="e">
        <f aca="false">((O270/N270)*AH270)+AG270</f>
        <v>#NAME?</v>
      </c>
      <c r="AG270" s="226" t="e">
        <f aca="false">((xSPRDOPT($L270,$J270,$I270,$M270,$O270,$N270,$P270,$Q270-$C$3,$R270,6)*$H270)/100)</f>
        <v>#NAME?</v>
      </c>
      <c r="AH270" s="226" t="e">
        <f aca="false">((xSPRDOPT($L270,$J270,$I270,$M270,$O270,$N270,$P270,$Q270-$C$3,$R270,5)*$H270)/100)</f>
        <v>#NAME?</v>
      </c>
      <c r="AI270" s="226" t="e">
        <f aca="false">(((xSPRDOPT($L270,$J270,$I270,$M270,$O270,$N270,$P270,$Q270-$C$3,$R270,4)*$H270)/10000)/100)-AB270</f>
        <v>#NAME?</v>
      </c>
      <c r="AJ270" s="226"/>
      <c r="AK270" s="226"/>
      <c r="AL270" s="226"/>
      <c r="AM270" s="252"/>
      <c r="CC270" s="182" t="n">
        <f aca="false">G270</f>
        <v>36923</v>
      </c>
      <c r="CD270" s="253" t="e">
        <f aca="false">xSPRDOPT((VLOOKUP(G270,NGPrices,2,FALSE())+HLOOKUP(D270,Prices,VLOOKUP(G270,move_down,2,FALSE()),FALSE())),VLOOKUP(G270,NGPrices,2,FALSE()),I270,VLOOKUP(G270,NGPREVPRICES,4,FALSE()),HLOOKUP(D270,PREVVOLS,VLOOKUP(G270,MOVE_DOWN2,2,FALSE()),FALSE()),VLOOKUP(G270,NGPREVPRICES,3,FALSE()),HLOOKUP(D270,Correllate,VLOOKUP(G270,CorMove,2,FALSE()),FALSE()),Q270-$CD$3,R270,$CD$5)*H270-CJ270</f>
        <v>#NAME?</v>
      </c>
      <c r="CE270" s="253" t="e">
        <f aca="false">xSPRDOPT((VLOOKUP(G270,NGPREVPRICES,2,FALSE())+HLOOKUP(D270,PREVCURVES,VLOOKUP(G270,MOVE_DOWN2,2,FALSE()),FALSE())),VLOOKUP(G270,NGPREVPRICES,2,FALSE()),CK270,VLOOKUP(G270,NGPrices,4,FALSE()),HLOOKUP(D270,PREVVOLS,VLOOKUP(G270,MOVE_DOWN2,2,FALSE()),FALSE()),VLOOKUP(G270,NGPREVPRICES,3,FALSE()),HLOOKUP(D270,Correllate,VLOOKUP(G270,CorMove,2,FALSE()),FALSE()),Q270-$CD$3,R270,$CJ$5)*H270-CJ270</f>
        <v>#NAME?</v>
      </c>
      <c r="CF270" s="132" t="e">
        <f aca="false">(CJ270/VLOOKUP(CC270,discount,3,FALSE()))-(CJ270/VLOOKUP(CC270,discount,2,FALSE()))</f>
        <v>#NAME?</v>
      </c>
      <c r="CG270" s="253" t="e">
        <f aca="false">xSPRDOPT((VLOOKUP(G270,NGPREVPRICES,2,FALSE())+HLOOKUP(D270,PREVCURVES,VLOOKUP(G270,MOVE_DOWN2,2,FALSE()),FALSE())),VLOOKUP(G270,NGPREVPRICES,2,FALSE()),CK270,VLOOKUP(G270,NGPREVPRICES,4,FALSE()),HLOOKUP(D270,VOLS,VLOOKUP(G270,move_down,2,FALSE()),FALSE()),VLOOKUP(G270,NGPrices,3,FALSE()),HLOOKUP(D270,Correllate,VLOOKUP(G270,CorMove,2,FALSE()),FALSE()),Q270-$CD$3,R270,$CJ$5)*H270-CJ270</f>
        <v>#NAME?</v>
      </c>
      <c r="CH270" s="253" t="e">
        <f aca="false">xSPRDOPT((VLOOKUP(G270,NGPREVPRICES,2,FALSE())+HLOOKUP(D270,PREVCURVES,VLOOKUP(G270,MOVE_DOWN2,2,FALSE()),FALSE())),VLOOKUP(G270,NGPREVPRICES,2,FALSE()),CK270,VLOOKUP(G270,NGPREVPRICES,4,FALSE()),HLOOKUP(D270,PREVVOLS,VLOOKUP(G270,MOVE_DOWN2,2,FALSE()),FALSE()),VLOOKUP(G270,NGPREVPRICES,3,FALSE()),HLOOKUP(D270,Correllate,VLOOKUP(G270,CorMove,2,FALSE()),FALSE()),Q270-$C$3,R270,$CJ$5)*H270-CJ270</f>
        <v>#NAME?</v>
      </c>
      <c r="CI270" s="253" t="e">
        <f aca="false">SUM(CD270:CH270)</f>
        <v>#NAME?</v>
      </c>
      <c r="CJ270" s="253" t="e">
        <f aca="false">xSPRDOPT((VLOOKUP(G270,NGPREVPRICES,2,FALSE())+HLOOKUP(D270,PREVCURVES,VLOOKUP(G270,MOVE_DOWN2,2,FALSE()),FALSE())),VLOOKUP(G270,NGPREVPRICES,2,FALSE()),CK270,VLOOKUP(G270,NGPREVPRICES,4,FALSE()),HLOOKUP(D270,PREVVOLS,VLOOKUP(G270,MOVE_DOWN2,2,FALSE()),FALSE()),VLOOKUP(G270,NGPREVPRICES,3,FALSE()),HLOOKUP(D270,Correllate,VLOOKUP(G270,CorMove,2,FALSE()),FALSE()),Q270-$CD$3,R270,$CJ$5)*H270</f>
        <v>#NAME?</v>
      </c>
      <c r="CK270" s="254" t="n">
        <f aca="false">I270</f>
        <v>2.5</v>
      </c>
      <c r="CL270" s="253"/>
      <c r="CM270" s="0" t="str">
        <f aca="false">CONCATENATE(CC270,$CD$6)</f>
        <v>36923Curve Shift/Gamma</v>
      </c>
      <c r="CN270" s="0" t="str">
        <f aca="false">CONCATENATE($CC270,$CE$6)</f>
        <v>36923Rho</v>
      </c>
      <c r="CO270" s="0" t="str">
        <f aca="false">CONCATENATE($CC270,$CF$6)</f>
        <v>36923Drift</v>
      </c>
      <c r="CP270" s="0" t="str">
        <f aca="false">CONCATENATE($CC270,$CG$6)</f>
        <v>36923Vega</v>
      </c>
      <c r="CQ270" s="0" t="str">
        <f aca="false">CONCATENATE($CC270,$CH$6)</f>
        <v>36923Theta</v>
      </c>
    </row>
    <row r="271" customFormat="false" ht="12.75" hidden="false" customHeight="false" outlineLevel="0" collapsed="false">
      <c r="A271" s="265" t="s">
        <v>198</v>
      </c>
      <c r="B271" s="0" t="s">
        <v>192</v>
      </c>
      <c r="C271" s="0" t="s">
        <v>291</v>
      </c>
      <c r="D271" s="7" t="s">
        <v>149</v>
      </c>
      <c r="E271" s="0" t="s">
        <v>131</v>
      </c>
      <c r="F271" s="0" t="s">
        <v>136</v>
      </c>
      <c r="G271" s="92" t="n">
        <v>36892</v>
      </c>
      <c r="H271" s="248" t="n">
        <v>1000000</v>
      </c>
      <c r="I271" s="0" t="n">
        <v>2.5</v>
      </c>
      <c r="J271" s="124" t="n">
        <f aca="false">VLOOKUP(G271,NGPrices,2,FALSE())</f>
        <v>4.744</v>
      </c>
      <c r="K271" s="125" t="n">
        <f aca="false">HLOOKUP(D271,Prices,VLOOKUP(G271,move_down,2,FALSE()),FALSE())+VLOOKUP(G271,CHANGE,HLOOKUP(D271,CHANGE,2,FALSE()),FALSE())</f>
        <v>2.17</v>
      </c>
      <c r="L271" s="124" t="n">
        <f aca="false">K271+J271</f>
        <v>6.914</v>
      </c>
      <c r="M271" s="126" t="n">
        <f aca="false">VLOOKUP(G271,NGPrices,4,FALSE())</f>
        <v>0.068374831148491</v>
      </c>
      <c r="N271" s="7" t="n">
        <f aca="false">VLOOKUP(G271,NGPrices,3,FALSE())</f>
        <v>0.605</v>
      </c>
      <c r="O271" s="7" t="n">
        <f aca="false">HLOOKUP(D271,VOLS,VLOOKUP(G271,move_down,2,FALSE()),FALSE())</f>
        <v>0.696</v>
      </c>
      <c r="P271" s="249" t="n">
        <f aca="false">HLOOKUP(D271,Correllate,VLOOKUP(G271,CorMove,2,FALSE()),FALSE())</f>
        <v>0.83</v>
      </c>
      <c r="Q271" s="92" t="n">
        <f aca="false">WORKDAY(G271,-2)</f>
        <v>36888</v>
      </c>
      <c r="R271" s="7" t="n">
        <f aca="false">IF(F271="P",0,1)</f>
        <v>1</v>
      </c>
      <c r="S271" s="130" t="e">
        <f aca="false">xSPRDOPT($L271,$J271,$I271,$M271,$O271,$N271,$P271,$Q271-$C$3,$R271,0)</f>
        <v>#NAME?</v>
      </c>
      <c r="T271" s="250" t="e">
        <f aca="false">xSPRDOPT($L271,$J271,$I271,$M271,$O271,$N271,$P271,$Q271-$C$3,$R271,1)*H271</f>
        <v>#NAME?</v>
      </c>
      <c r="U271" s="43" t="e">
        <f aca="false">S271*H271</f>
        <v>#NAME?</v>
      </c>
      <c r="V271" s="250" t="e">
        <f aca="false">xSPRDOPT($L271,$J271,$I271,$M271,$O271,$N271,$P271,$Q271-$C$3,$R271,2)*H271</f>
        <v>#NAME?</v>
      </c>
      <c r="W271" s="250" t="e">
        <f aca="false">+V271+T271</f>
        <v>#NAME?</v>
      </c>
      <c r="X271" s="2" t="str">
        <f aca="false">CONCATENATE(G271,D271)</f>
        <v>36892IF-TRANSCO/Z6</v>
      </c>
      <c r="Y271" s="251" t="n">
        <f aca="false">H271/10000</f>
        <v>100</v>
      </c>
      <c r="Z271" s="226" t="e">
        <f aca="false">T271/H271</f>
        <v>#NAME?</v>
      </c>
      <c r="AA271" s="226" t="e">
        <f aca="false">xSPRDOPT($L271,$J271,$I271,$M271,$O271,$N271,$P271,$Q271-$C$3,$R271,3)</f>
        <v>#NAME?</v>
      </c>
      <c r="AB271" s="226" t="e">
        <f aca="false">((xSPRDOPT($L271+AB$5,$J271,$I271,$M271,$O271,$N271,$P271,$Q271-$C$3,$R271,3)*$H271)/10000)/100</f>
        <v>#NAME?</v>
      </c>
      <c r="AC271" s="226" t="e">
        <f aca="false">((xSPRDOPT($L271+$AB$5,$J271,$I271,$M271,$O271,$N271,$P271,$Q271-$C$3,$R271,7)*$H271)/100)</f>
        <v>#NAME?</v>
      </c>
      <c r="AD271" s="226" t="e">
        <f aca="false">(xSPRDOPT($L271+$AB$5,$J271,$I271,$M271,$O271,$N271,$P271,$Q271-$C$3,$R271,9)/365)*$H271</f>
        <v>#NAME?</v>
      </c>
      <c r="AE271" s="0" t="e">
        <f aca="false">CD271</f>
        <v>#NAME?</v>
      </c>
      <c r="AF271" s="226" t="e">
        <f aca="false">((O271/N271)*AH271)+AG271</f>
        <v>#NAME?</v>
      </c>
      <c r="AG271" s="226" t="e">
        <f aca="false">((xSPRDOPT($L271,$J271,$I271,$M271,$O271,$N271,$P271,$Q271-$C$3,$R271,6)*$H271)/100)</f>
        <v>#NAME?</v>
      </c>
      <c r="AH271" s="226" t="e">
        <f aca="false">((xSPRDOPT($L271,$J271,$I271,$M271,$O271,$N271,$P271,$Q271-$C$3,$R271,5)*$H271)/100)</f>
        <v>#NAME?</v>
      </c>
      <c r="AI271" s="226" t="e">
        <f aca="false">(((xSPRDOPT($L271,$J271,$I271,$M271,$O271,$N271,$P271,$Q271-$C$3,$R271,4)*$H271)/10000)/100)-AB271</f>
        <v>#NAME?</v>
      </c>
      <c r="AJ271" s="226"/>
      <c r="AK271" s="226"/>
      <c r="AL271" s="226"/>
      <c r="AM271" s="252"/>
      <c r="CC271" s="182" t="n">
        <f aca="false">G271</f>
        <v>36892</v>
      </c>
      <c r="CD271" s="253" t="e">
        <f aca="false">xSPRDOPT((VLOOKUP(G271,NGPrices,2,FALSE())+HLOOKUP(D271,Prices,VLOOKUP(G271,move_down,2,FALSE()),FALSE())),VLOOKUP(G271,NGPrices,2,FALSE()),I271,VLOOKUP(G271,NGPREVPRICES,4,FALSE()),HLOOKUP(D271,PREVVOLS,VLOOKUP(G271,MOVE_DOWN2,2,FALSE()),FALSE()),VLOOKUP(G271,NGPREVPRICES,3,FALSE()),HLOOKUP(D271,Correllate,VLOOKUP(G271,CorMove,2,FALSE()),FALSE()),Q271-$CD$3,R271,$CD$5)*H271-CJ271</f>
        <v>#NAME?</v>
      </c>
      <c r="CE271" s="253" t="e">
        <f aca="false">xSPRDOPT((VLOOKUP(G271,NGPREVPRICES,2,FALSE())+HLOOKUP(D271,PREVCURVES,VLOOKUP(G271,MOVE_DOWN2,2,FALSE()),FALSE())),VLOOKUP(G271,NGPREVPRICES,2,FALSE()),CK271,VLOOKUP(G271,NGPrices,4,FALSE()),HLOOKUP(D271,PREVVOLS,VLOOKUP(G271,MOVE_DOWN2,2,FALSE()),FALSE()),VLOOKUP(G271,NGPREVPRICES,3,FALSE()),HLOOKUP(D271,Correllate,VLOOKUP(G271,CorMove,2,FALSE()),FALSE()),Q271-$CD$3,R271,$CJ$5)*H271-CJ271</f>
        <v>#NAME?</v>
      </c>
      <c r="CF271" s="132" t="e">
        <f aca="false">(CJ271/VLOOKUP(CC271,discount,3,FALSE()))-(CJ271/VLOOKUP(CC271,discount,2,FALSE()))</f>
        <v>#NAME?</v>
      </c>
      <c r="CG271" s="253" t="e">
        <f aca="false">xSPRDOPT((VLOOKUP(G271,NGPREVPRICES,2,FALSE())+HLOOKUP(D271,PREVCURVES,VLOOKUP(G271,MOVE_DOWN2,2,FALSE()),FALSE())),VLOOKUP(G271,NGPREVPRICES,2,FALSE()),CK271,VLOOKUP(G271,NGPREVPRICES,4,FALSE()),HLOOKUP(D271,VOLS,VLOOKUP(G271,move_down,2,FALSE()),FALSE()),VLOOKUP(G271,NGPrices,3,FALSE()),HLOOKUP(D271,Correllate,VLOOKUP(G271,CorMove,2,FALSE()),FALSE()),Q271-$CD$3,R271,$CJ$5)*H271-CJ271</f>
        <v>#NAME?</v>
      </c>
      <c r="CH271" s="253" t="e">
        <f aca="false">xSPRDOPT((VLOOKUP(G271,NGPREVPRICES,2,FALSE())+HLOOKUP(D271,PREVCURVES,VLOOKUP(G271,MOVE_DOWN2,2,FALSE()),FALSE())),VLOOKUP(G271,NGPREVPRICES,2,FALSE()),CK271,VLOOKUP(G271,NGPREVPRICES,4,FALSE()),HLOOKUP(D271,PREVVOLS,VLOOKUP(G271,MOVE_DOWN2,2,FALSE()),FALSE()),VLOOKUP(G271,NGPREVPRICES,3,FALSE()),HLOOKUP(D271,Correllate,VLOOKUP(G271,CorMove,2,FALSE()),FALSE()),Q271-$C$3,R271,$CJ$5)*H271-CJ271</f>
        <v>#NAME?</v>
      </c>
      <c r="CI271" s="253" t="e">
        <f aca="false">SUM(CD271:CH271)</f>
        <v>#NAME?</v>
      </c>
      <c r="CJ271" s="253" t="e">
        <f aca="false">xSPRDOPT((VLOOKUP(G271,NGPREVPRICES,2,FALSE())+HLOOKUP(D271,PREVCURVES,VLOOKUP(G271,MOVE_DOWN2,2,FALSE()),FALSE())),VLOOKUP(G271,NGPREVPRICES,2,FALSE()),CK271,VLOOKUP(G271,NGPREVPRICES,4,FALSE()),HLOOKUP(D271,PREVVOLS,VLOOKUP(G271,MOVE_DOWN2,2,FALSE()),FALSE()),VLOOKUP(G271,NGPREVPRICES,3,FALSE()),HLOOKUP(D271,Correllate,VLOOKUP(G271,CorMove,2,FALSE()),FALSE()),Q271-$CD$3,R271,$CJ$5)*H271</f>
        <v>#NAME?</v>
      </c>
      <c r="CK271" s="254" t="n">
        <f aca="false">I271</f>
        <v>2.5</v>
      </c>
      <c r="CL271" s="253"/>
      <c r="CM271" s="0" t="str">
        <f aca="false">CONCATENATE(CC271,$CD$6)</f>
        <v>36892Curve Shift/Gamma</v>
      </c>
      <c r="CN271" s="0" t="str">
        <f aca="false">CONCATENATE($CC271,$CE$6)</f>
        <v>36892Rho</v>
      </c>
      <c r="CO271" s="0" t="str">
        <f aca="false">CONCATENATE($CC271,$CF$6)</f>
        <v>36892Drift</v>
      </c>
      <c r="CP271" s="0" t="str">
        <f aca="false">CONCATENATE($CC271,$CG$6)</f>
        <v>36892Vega</v>
      </c>
      <c r="CQ271" s="0" t="str">
        <f aca="false">CONCATENATE($CC271,$CH$6)</f>
        <v>36892Theta</v>
      </c>
    </row>
    <row r="272" customFormat="false" ht="12.75" hidden="false" customHeight="false" outlineLevel="0" collapsed="false">
      <c r="A272" s="265" t="s">
        <v>198</v>
      </c>
      <c r="B272" s="0" t="s">
        <v>192</v>
      </c>
      <c r="C272" s="0" t="s">
        <v>291</v>
      </c>
      <c r="D272" s="7" t="s">
        <v>149</v>
      </c>
      <c r="E272" s="0" t="s">
        <v>131</v>
      </c>
      <c r="F272" s="0" t="s">
        <v>136</v>
      </c>
      <c r="G272" s="92" t="n">
        <v>36861</v>
      </c>
      <c r="H272" s="248" t="n">
        <v>1000000</v>
      </c>
      <c r="I272" s="0" t="n">
        <v>2.5</v>
      </c>
      <c r="J272" s="124" t="n">
        <f aca="false">VLOOKUP(G272,NGPrices,2,FALSE())</f>
        <v>4.8</v>
      </c>
      <c r="K272" s="125" t="n">
        <f aca="false">HLOOKUP(D272,Prices,VLOOKUP(G272,move_down,2,FALSE()),FALSE())+VLOOKUP(G272,CHANGE,HLOOKUP(D272,CHANGE,2,FALSE()),FALSE())</f>
        <v>1.645</v>
      </c>
      <c r="L272" s="124" t="n">
        <f aca="false">K272+J272</f>
        <v>6.445</v>
      </c>
      <c r="M272" s="126" t="n">
        <f aca="false">VLOOKUP(G272,NGPrices,4,FALSE())</f>
        <v>0.068314027999354</v>
      </c>
      <c r="N272" s="7" t="n">
        <f aca="false">VLOOKUP(G272,NGPrices,3,FALSE())</f>
        <v>0.6</v>
      </c>
      <c r="O272" s="7" t="n">
        <f aca="false">HLOOKUP(D272,VOLS,VLOOKUP(G272,move_down,2,FALSE()),FALSE())</f>
        <v>0.69</v>
      </c>
      <c r="P272" s="249" t="n">
        <f aca="false">HLOOKUP(D272,Correllate,VLOOKUP(G272,CorMove,2,FALSE()),FALSE())</f>
        <v>0.83</v>
      </c>
      <c r="Q272" s="92" t="n">
        <f aca="false">WORKDAY(G272,-2)</f>
        <v>36859</v>
      </c>
      <c r="R272" s="7" t="n">
        <f aca="false">IF(F272="P",0,1)</f>
        <v>1</v>
      </c>
      <c r="S272" s="130" t="e">
        <f aca="false">xSPRDOPT($L272,$J272,$I272,$M272,$O272,$N272,$P272,$Q272-$C$3,$R272,0)</f>
        <v>#NAME?</v>
      </c>
      <c r="T272" s="250" t="e">
        <f aca="false">xSPRDOPT($L272,$J272,$I272,$M272,$O272,$N272,$P272,$Q272-$C$3,$R272,1)*H272</f>
        <v>#NAME?</v>
      </c>
      <c r="U272" s="43" t="e">
        <f aca="false">S272*H272</f>
        <v>#NAME?</v>
      </c>
      <c r="V272" s="250" t="e">
        <f aca="false">xSPRDOPT($L272,$J272,$I272,$M272,$O272,$N272,$P272,$Q272-$C$3,$R272,2)*H272</f>
        <v>#NAME?</v>
      </c>
      <c r="W272" s="250" t="e">
        <f aca="false">+V272+T272</f>
        <v>#NAME?</v>
      </c>
      <c r="X272" s="2" t="str">
        <f aca="false">CONCATENATE(G272,D272)</f>
        <v>36861IF-TRANSCO/Z6</v>
      </c>
      <c r="Y272" s="251" t="n">
        <f aca="false">H272/10000</f>
        <v>100</v>
      </c>
      <c r="Z272" s="226" t="e">
        <f aca="false">T272/H272</f>
        <v>#NAME?</v>
      </c>
      <c r="AA272" s="226" t="e">
        <f aca="false">xSPRDOPT($L272,$J272,$I272,$M272,$O272,$N272,$P272,$Q272-$C$3,$R272,3)</f>
        <v>#NAME?</v>
      </c>
      <c r="AB272" s="226" t="e">
        <f aca="false">((xSPRDOPT($L272+AB$5,$J272,$I272,$M272,$O272,$N272,$P272,$Q272-$C$3,$R272,3)*$H272)/10000)/100</f>
        <v>#NAME?</v>
      </c>
      <c r="AC272" s="226" t="e">
        <f aca="false">((xSPRDOPT($L272+$AB$5,$J272,$I272,$M272,$O272,$N272,$P272,$Q272-$C$3,$R272,7)*$H272)/100)</f>
        <v>#NAME?</v>
      </c>
      <c r="AD272" s="226" t="e">
        <f aca="false">(xSPRDOPT($L272+$AB$5,$J272,$I272,$M272,$O272,$N272,$P272,$Q272-$C$3,$R272,9)/365)*$H272</f>
        <v>#NAME?</v>
      </c>
      <c r="AE272" s="0" t="e">
        <f aca="false">CD272</f>
        <v>#NAME?</v>
      </c>
      <c r="AF272" s="226" t="e">
        <f aca="false">((O272/N272)*AH272)+AG272</f>
        <v>#NAME?</v>
      </c>
      <c r="AG272" s="226" t="e">
        <f aca="false">((xSPRDOPT($L272,$J272,$I272,$M272,$O272,$N272,$P272,$Q272-$C$3,$R272,6)*$H272)/100)</f>
        <v>#NAME?</v>
      </c>
      <c r="AH272" s="226" t="e">
        <f aca="false">((xSPRDOPT($L272,$J272,$I272,$M272,$O272,$N272,$P272,$Q272-$C$3,$R272,5)*$H272)/100)</f>
        <v>#NAME?</v>
      </c>
      <c r="AI272" s="226" t="e">
        <f aca="false">(((xSPRDOPT($L272,$J272,$I272,$M272,$O272,$N272,$P272,$Q272-$C$3,$R272,4)*$H272)/10000)/100)-AB272</f>
        <v>#NAME?</v>
      </c>
      <c r="AJ272" s="226"/>
      <c r="AK272" s="226"/>
      <c r="AL272" s="226"/>
      <c r="AM272" s="252"/>
      <c r="CC272" s="182" t="n">
        <f aca="false">G272</f>
        <v>36861</v>
      </c>
      <c r="CD272" s="253" t="e">
        <f aca="false">xSPRDOPT((VLOOKUP(G272,NGPrices,2,FALSE())+HLOOKUP(D272,Prices,VLOOKUP(G272,move_down,2,FALSE()),FALSE())),VLOOKUP(G272,NGPrices,2,FALSE()),I272,VLOOKUP(G272,NGPREVPRICES,4,FALSE()),HLOOKUP(D272,PREVVOLS,VLOOKUP(G272,MOVE_DOWN2,2,FALSE()),FALSE()),VLOOKUP(G272,NGPREVPRICES,3,FALSE()),HLOOKUP(D272,Correllate,VLOOKUP(G272,CorMove,2,FALSE()),FALSE()),Q272-$CD$3,R272,$CD$5)*H272-CJ272</f>
        <v>#NAME?</v>
      </c>
      <c r="CE272" s="253" t="e">
        <f aca="false">xSPRDOPT((VLOOKUP(G272,NGPREVPRICES,2,FALSE())+HLOOKUP(D272,PREVCURVES,VLOOKUP(G272,MOVE_DOWN2,2,FALSE()),FALSE())),VLOOKUP(G272,NGPREVPRICES,2,FALSE()),CK272,VLOOKUP(G272,NGPrices,4,FALSE()),HLOOKUP(D272,PREVVOLS,VLOOKUP(G272,MOVE_DOWN2,2,FALSE()),FALSE()),VLOOKUP(G272,NGPREVPRICES,3,FALSE()),HLOOKUP(D272,Correllate,VLOOKUP(G272,CorMove,2,FALSE()),FALSE()),Q272-$CD$3,R272,$CJ$5)*H272-CJ272</f>
        <v>#NAME?</v>
      </c>
      <c r="CF272" s="132" t="e">
        <f aca="false">(CJ272/VLOOKUP(CC272,discount,3,FALSE()))-(CJ272/VLOOKUP(CC272,discount,2,FALSE()))</f>
        <v>#NAME?</v>
      </c>
      <c r="CG272" s="253" t="e">
        <f aca="false">xSPRDOPT((VLOOKUP(G272,NGPREVPRICES,2,FALSE())+HLOOKUP(D272,PREVCURVES,VLOOKUP(G272,MOVE_DOWN2,2,FALSE()),FALSE())),VLOOKUP(G272,NGPREVPRICES,2,FALSE()),CK272,VLOOKUP(G272,NGPREVPRICES,4,FALSE()),HLOOKUP(D272,VOLS,VLOOKUP(G272,move_down,2,FALSE()),FALSE()),VLOOKUP(G272,NGPrices,3,FALSE()),HLOOKUP(D272,Correllate,VLOOKUP(G272,CorMove,2,FALSE()),FALSE()),Q272-$CD$3,R272,$CJ$5)*H272-CJ272</f>
        <v>#NAME?</v>
      </c>
      <c r="CH272" s="253" t="e">
        <f aca="false">xSPRDOPT((VLOOKUP(G272,NGPREVPRICES,2,FALSE())+HLOOKUP(D272,PREVCURVES,VLOOKUP(G272,MOVE_DOWN2,2,FALSE()),FALSE())),VLOOKUP(G272,NGPREVPRICES,2,FALSE()),CK272,VLOOKUP(G272,NGPREVPRICES,4,FALSE()),HLOOKUP(D272,PREVVOLS,VLOOKUP(G272,MOVE_DOWN2,2,FALSE()),FALSE()),VLOOKUP(G272,NGPREVPRICES,3,FALSE()),HLOOKUP(D272,Correllate,VLOOKUP(G272,CorMove,2,FALSE()),FALSE()),Q272-$C$3,R272,$CJ$5)*H272-CJ272</f>
        <v>#NAME?</v>
      </c>
      <c r="CI272" s="253" t="e">
        <f aca="false">SUM(CD272:CH272)</f>
        <v>#NAME?</v>
      </c>
      <c r="CJ272" s="253" t="e">
        <f aca="false">xSPRDOPT((VLOOKUP(G272,NGPREVPRICES,2,FALSE())+HLOOKUP(D272,PREVCURVES,VLOOKUP(G272,MOVE_DOWN2,2,FALSE()),FALSE())),VLOOKUP(G272,NGPREVPRICES,2,FALSE()),CK272,VLOOKUP(G272,NGPREVPRICES,4,FALSE()),HLOOKUP(D272,PREVVOLS,VLOOKUP(G272,MOVE_DOWN2,2,FALSE()),FALSE()),VLOOKUP(G272,NGPREVPRICES,3,FALSE()),HLOOKUP(D272,Correllate,VLOOKUP(G272,CorMove,2,FALSE()),FALSE()),Q272-$CD$3,R272,$CJ$5)*H272</f>
        <v>#NAME?</v>
      </c>
      <c r="CK272" s="254" t="n">
        <f aca="false">I272</f>
        <v>2.5</v>
      </c>
      <c r="CL272" s="253"/>
      <c r="CM272" s="0" t="str">
        <f aca="false">CONCATENATE(CC272,$CD$6)</f>
        <v>36861Curve Shift/Gamma</v>
      </c>
      <c r="CN272" s="0" t="str">
        <f aca="false">CONCATENATE($CC272,$CE$6)</f>
        <v>36861Rho</v>
      </c>
      <c r="CO272" s="0" t="str">
        <f aca="false">CONCATENATE($CC272,$CF$6)</f>
        <v>36861Drift</v>
      </c>
      <c r="CP272" s="0" t="str">
        <f aca="false">CONCATENATE($CC272,$CG$6)</f>
        <v>36861Vega</v>
      </c>
      <c r="CQ272" s="0" t="str">
        <f aca="false">CONCATENATE($CC272,$CH$6)</f>
        <v>36861Theta</v>
      </c>
    </row>
    <row r="273" customFormat="false" ht="12.75" hidden="false" customHeight="false" outlineLevel="0" collapsed="false">
      <c r="A273" s="265" t="s">
        <v>198</v>
      </c>
      <c r="B273" s="0" t="s">
        <v>192</v>
      </c>
      <c r="C273" s="0" t="s">
        <v>291</v>
      </c>
      <c r="D273" s="7" t="s">
        <v>149</v>
      </c>
      <c r="E273" s="0" t="s">
        <v>131</v>
      </c>
      <c r="F273" s="0" t="s">
        <v>136</v>
      </c>
      <c r="G273" s="92" t="n">
        <v>36831</v>
      </c>
      <c r="H273" s="248" t="n">
        <v>1000000</v>
      </c>
      <c r="I273" s="0" t="n">
        <v>2.5</v>
      </c>
      <c r="J273" s="124" t="n">
        <f aca="false">VLOOKUP(G273,NGPrices,2,FALSE())</f>
        <v>4.736</v>
      </c>
      <c r="K273" s="125" t="n">
        <f aca="false">HLOOKUP(D273,Prices,VLOOKUP(G273,move_down,2,FALSE()),FALSE())+VLOOKUP(G273,CHANGE,HLOOKUP(D273,CHANGE,2,FALSE()),FALSE())</f>
        <v>0.77</v>
      </c>
      <c r="L273" s="124" t="n">
        <f aca="false">K273+J273</f>
        <v>5.506</v>
      </c>
      <c r="M273" s="126" t="n">
        <f aca="false">VLOOKUP(G273,NGPrices,4,FALSE())</f>
        <v>0.06810675983792</v>
      </c>
      <c r="N273" s="7" t="n">
        <f aca="false">VLOOKUP(G273,NGPrices,3,FALSE())</f>
        <v>0.595</v>
      </c>
      <c r="O273" s="7" t="n">
        <f aca="false">HLOOKUP(D273,VOLS,VLOOKUP(G273,move_down,2,FALSE()),FALSE())</f>
        <v>0.625</v>
      </c>
      <c r="P273" s="249" t="n">
        <f aca="false">HLOOKUP(D273,Correllate,VLOOKUP(G273,CorMove,2,FALSE()),FALSE())</f>
        <v>0.89</v>
      </c>
      <c r="Q273" s="92" t="n">
        <f aca="false">WORKDAY(G273,-2)</f>
        <v>36829</v>
      </c>
      <c r="R273" s="7" t="n">
        <f aca="false">IF(F273="P",0,1)</f>
        <v>1</v>
      </c>
      <c r="S273" s="130" t="e">
        <f aca="false">xSPRDOPT($L273,$J273,$I273,$M273,$O273,$N273,$P273,$Q273-$C$3,$R273,0)</f>
        <v>#NAME?</v>
      </c>
      <c r="T273" s="250" t="e">
        <f aca="false">xSPRDOPT($L273,$J273,$I273,$M273,$O273,$N273,$P273,$Q273-$C$3,$R273,1)*H273</f>
        <v>#NAME?</v>
      </c>
      <c r="U273" s="43" t="e">
        <f aca="false">S273*H273</f>
        <v>#NAME?</v>
      </c>
      <c r="V273" s="250" t="e">
        <f aca="false">xSPRDOPT($L273,$J273,$I273,$M273,$O273,$N273,$P273,$Q273-$C$3,$R273,2)*H273</f>
        <v>#NAME?</v>
      </c>
      <c r="W273" s="250" t="e">
        <f aca="false">+V273+T273</f>
        <v>#NAME?</v>
      </c>
      <c r="X273" s="2" t="str">
        <f aca="false">CONCATENATE(G273,D273)</f>
        <v>36831IF-TRANSCO/Z6</v>
      </c>
      <c r="Y273" s="251" t="n">
        <f aca="false">H273/10000</f>
        <v>100</v>
      </c>
      <c r="Z273" s="226" t="e">
        <f aca="false">T273/H273</f>
        <v>#NAME?</v>
      </c>
      <c r="AA273" s="226" t="e">
        <f aca="false">xSPRDOPT($L273,$J273,$I273,$M273,$O273,$N273,$P273,$Q273-$C$3,$R273,3)</f>
        <v>#NAME?</v>
      </c>
      <c r="AB273" s="226" t="e">
        <f aca="false">((xSPRDOPT($L273+AB$5,$J273,$I273,$M273,$O273,$N273,$P273,$Q273-$C$3,$R273,3)*$H273)/10000)/100</f>
        <v>#NAME?</v>
      </c>
      <c r="AC273" s="226" t="e">
        <f aca="false">((xSPRDOPT($L273+$AB$5,$J273,$I273,$M273,$O273,$N273,$P273,$Q273-$C$3,$R273,7)*$H273)/100)</f>
        <v>#NAME?</v>
      </c>
      <c r="AD273" s="226" t="e">
        <f aca="false">(xSPRDOPT($L273+$AB$5,$J273,$I273,$M273,$O273,$N273,$P273,$Q273-$C$3,$R273,9)/365)*$H273</f>
        <v>#NAME?</v>
      </c>
      <c r="AE273" s="0" t="e">
        <f aca="false">CD273</f>
        <v>#NAME?</v>
      </c>
      <c r="AF273" s="226" t="e">
        <f aca="false">((O273/N273)*AH273)+AG273</f>
        <v>#NAME?</v>
      </c>
      <c r="AG273" s="226" t="e">
        <f aca="false">((xSPRDOPT($L273,$J273,$I273,$M273,$O273,$N273,$P273,$Q273-$C$3,$R273,6)*$H273)/100)</f>
        <v>#NAME?</v>
      </c>
      <c r="AH273" s="226" t="e">
        <f aca="false">((xSPRDOPT($L273,$J273,$I273,$M273,$O273,$N273,$P273,$Q273-$C$3,$R273,5)*$H273)/100)</f>
        <v>#NAME?</v>
      </c>
      <c r="AI273" s="226" t="e">
        <f aca="false">(((xSPRDOPT($L273,$J273,$I273,$M273,$O273,$N273,$P273,$Q273-$C$3,$R273,4)*$H273)/10000)/100)-AB273</f>
        <v>#NAME?</v>
      </c>
      <c r="AJ273" s="226"/>
      <c r="AK273" s="226"/>
      <c r="AL273" s="226"/>
      <c r="AM273" s="252"/>
      <c r="CC273" s="182" t="n">
        <f aca="false">G273</f>
        <v>36831</v>
      </c>
      <c r="CD273" s="253" t="e">
        <f aca="false">xSPRDOPT((VLOOKUP(G273,NGPrices,2,FALSE())+HLOOKUP(D273,Prices,VLOOKUP(G273,move_down,2,FALSE()),FALSE())),VLOOKUP(G273,NGPrices,2,FALSE()),I273,VLOOKUP(G273,NGPREVPRICES,4,FALSE()),HLOOKUP(D273,PREVVOLS,VLOOKUP(G273,MOVE_DOWN2,2,FALSE()),FALSE()),VLOOKUP(G273,NGPREVPRICES,3,FALSE()),HLOOKUP(D273,Correllate,VLOOKUP(G273,CorMove,2,FALSE()),FALSE()),Q273-$CD$3,R273,$CD$5)*H273-CJ273</f>
        <v>#NAME?</v>
      </c>
      <c r="CE273" s="253" t="e">
        <f aca="false">xSPRDOPT((VLOOKUP(G273,NGPREVPRICES,2,FALSE())+HLOOKUP(D273,PREVCURVES,VLOOKUP(G273,MOVE_DOWN2,2,FALSE()),FALSE())),VLOOKUP(G273,NGPREVPRICES,2,FALSE()),CK273,VLOOKUP(G273,NGPrices,4,FALSE()),HLOOKUP(D273,PREVVOLS,VLOOKUP(G273,MOVE_DOWN2,2,FALSE()),FALSE()),VLOOKUP(G273,NGPREVPRICES,3,FALSE()),HLOOKUP(D273,Correllate,VLOOKUP(G273,CorMove,2,FALSE()),FALSE()),Q273-$CD$3,R273,$CJ$5)*H273-CJ273</f>
        <v>#NAME?</v>
      </c>
      <c r="CF273" s="132" t="e">
        <f aca="false">(CJ273/VLOOKUP(CC273,discount,3,FALSE()))-(CJ273/VLOOKUP(CC273,discount,2,FALSE()))</f>
        <v>#NAME?</v>
      </c>
      <c r="CG273" s="253" t="e">
        <f aca="false">xSPRDOPT((VLOOKUP(G273,NGPREVPRICES,2,FALSE())+HLOOKUP(D273,PREVCURVES,VLOOKUP(G273,MOVE_DOWN2,2,FALSE()),FALSE())),VLOOKUP(G273,NGPREVPRICES,2,FALSE()),CK273,VLOOKUP(G273,NGPREVPRICES,4,FALSE()),HLOOKUP(D273,VOLS,VLOOKUP(G273,move_down,2,FALSE()),FALSE()),VLOOKUP(G273,NGPrices,3,FALSE()),HLOOKUP(D273,Correllate,VLOOKUP(G273,CorMove,2,FALSE()),FALSE()),Q273-$CD$3,R273,$CJ$5)*H273-CJ273</f>
        <v>#NAME?</v>
      </c>
      <c r="CH273" s="253" t="e">
        <f aca="false">xSPRDOPT((VLOOKUP(G273,NGPREVPRICES,2,FALSE())+HLOOKUP(D273,PREVCURVES,VLOOKUP(G273,MOVE_DOWN2,2,FALSE()),FALSE())),VLOOKUP(G273,NGPREVPRICES,2,FALSE()),CK273,VLOOKUP(G273,NGPREVPRICES,4,FALSE()),HLOOKUP(D273,PREVVOLS,VLOOKUP(G273,MOVE_DOWN2,2,FALSE()),FALSE()),VLOOKUP(G273,NGPREVPRICES,3,FALSE()),HLOOKUP(D273,Correllate,VLOOKUP(G273,CorMove,2,FALSE()),FALSE()),Q273-$C$3,R273,$CJ$5)*H273-CJ273</f>
        <v>#NAME?</v>
      </c>
      <c r="CI273" s="253" t="e">
        <f aca="false">SUM(CD273:CH273)</f>
        <v>#NAME?</v>
      </c>
      <c r="CJ273" s="253" t="e">
        <f aca="false">xSPRDOPT((VLOOKUP(G273,NGPREVPRICES,2,FALSE())+HLOOKUP(D273,PREVCURVES,VLOOKUP(G273,MOVE_DOWN2,2,FALSE()),FALSE())),VLOOKUP(G273,NGPREVPRICES,2,FALSE()),CK273,VLOOKUP(G273,NGPREVPRICES,4,FALSE()),HLOOKUP(D273,PREVVOLS,VLOOKUP(G273,MOVE_DOWN2,2,FALSE()),FALSE()),VLOOKUP(G273,NGPREVPRICES,3,FALSE()),HLOOKUP(D273,Correllate,VLOOKUP(G273,CorMove,2,FALSE()),FALSE()),Q273-$CD$3,R273,$CJ$5)*H273</f>
        <v>#NAME?</v>
      </c>
      <c r="CK273" s="254" t="n">
        <f aca="false">I273</f>
        <v>2.5</v>
      </c>
      <c r="CL273" s="253"/>
      <c r="CM273" s="0" t="str">
        <f aca="false">CONCATENATE(CC273,$CD$6)</f>
        <v>36831Curve Shift/Gamma</v>
      </c>
      <c r="CN273" s="0" t="str">
        <f aca="false">CONCATENATE($CC273,$CE$6)</f>
        <v>36831Rho</v>
      </c>
      <c r="CO273" s="0" t="str">
        <f aca="false">CONCATENATE($CC273,$CF$6)</f>
        <v>36831Drift</v>
      </c>
      <c r="CP273" s="0" t="str">
        <f aca="false">CONCATENATE($CC273,$CG$6)</f>
        <v>36831Vega</v>
      </c>
      <c r="CQ273" s="0" t="str">
        <f aca="false">CONCATENATE($CC273,$CH$6)</f>
        <v>36831Theta</v>
      </c>
    </row>
    <row r="274" customFormat="false" ht="12.75" hidden="false" customHeight="false" outlineLevel="0" collapsed="false">
      <c r="A274" s="265" t="s">
        <v>198</v>
      </c>
      <c r="B274" s="0" t="s">
        <v>192</v>
      </c>
      <c r="C274" s="0" t="s">
        <v>292</v>
      </c>
      <c r="D274" s="7" t="s">
        <v>149</v>
      </c>
      <c r="E274" s="0" t="s">
        <v>131</v>
      </c>
      <c r="F274" s="0" t="s">
        <v>132</v>
      </c>
      <c r="G274" s="92" t="n">
        <v>36800</v>
      </c>
      <c r="H274" s="248" t="n">
        <v>-1000000</v>
      </c>
      <c r="I274" s="0" t="n">
        <v>0.5</v>
      </c>
      <c r="J274" s="124" t="n">
        <f aca="false">VLOOKUP(G274,NGPrices,2,FALSE())</f>
        <v>4.692</v>
      </c>
      <c r="K274" s="125" t="n">
        <f aca="false">HLOOKUP(D274,Prices,VLOOKUP(G274,move_down,2,FALSE()),FALSE())+VLOOKUP(G274,CHANGE,HLOOKUP(D274,CHANGE,2,FALSE()),FALSE())</f>
        <v>0.415</v>
      </c>
      <c r="L274" s="124" t="n">
        <f aca="false">K274+J274</f>
        <v>5.107</v>
      </c>
      <c r="M274" s="126" t="n">
        <f aca="false">VLOOKUP(G274,NGPrices,4,FALSE())</f>
        <v>0.068050789414654</v>
      </c>
      <c r="N274" s="7" t="n">
        <f aca="false">VLOOKUP(G274,NGPrices,3,FALSE())</f>
        <v>0.575</v>
      </c>
      <c r="O274" s="7" t="n">
        <f aca="false">HLOOKUP(D274,VOLS,VLOOKUP(G274,move_down,2,FALSE()),FALSE())</f>
        <v>0.564</v>
      </c>
      <c r="P274" s="249" t="n">
        <f aca="false">HLOOKUP(D274,Correllate,VLOOKUP(G274,CorMove,2,FALSE()),FALSE())</f>
        <v>0.9925</v>
      </c>
      <c r="Q274" s="92" t="n">
        <f aca="false">WORKDAY(G274,-2)</f>
        <v>36797</v>
      </c>
      <c r="R274" s="7" t="n">
        <f aca="false">IF(F274="P",0,1)</f>
        <v>0</v>
      </c>
      <c r="S274" s="130" t="e">
        <f aca="false">xSPRDOPT($L274,$J274,$I274,$M274,$O274,$N274,$P274,$Q274-$C$3,$R274,0)</f>
        <v>#NAME?</v>
      </c>
      <c r="T274" s="250" t="e">
        <f aca="false">xSPRDOPT($L274,$J274,$I274,$M274,$O274,$N274,$P274,$Q274-$C$3,$R274,1)*H274</f>
        <v>#NAME?</v>
      </c>
      <c r="U274" s="43" t="e">
        <f aca="false">S274*H274</f>
        <v>#NAME?</v>
      </c>
      <c r="V274" s="250" t="e">
        <f aca="false">xSPRDOPT($L274,$J274,$I274,$M274,$O274,$N274,$P274,$Q274-$C$3,$R274,2)*H274</f>
        <v>#NAME?</v>
      </c>
      <c r="W274" s="250" t="e">
        <f aca="false">+V274+T274</f>
        <v>#NAME?</v>
      </c>
      <c r="X274" s="2" t="str">
        <f aca="false">CONCATENATE(G274,D274)</f>
        <v>36800IF-TRANSCO/Z6</v>
      </c>
      <c r="Y274" s="251" t="n">
        <f aca="false">H274/10000</f>
        <v>-100</v>
      </c>
      <c r="Z274" s="226" t="e">
        <f aca="false">T274/H274</f>
        <v>#NAME?</v>
      </c>
      <c r="AA274" s="226" t="e">
        <f aca="false">xSPRDOPT($L274,$J274,$I274,$M274,$O274,$N274,$P274,$Q274-$C$3,$R274,3)</f>
        <v>#NAME?</v>
      </c>
      <c r="AB274" s="226" t="e">
        <f aca="false">((xSPRDOPT($L274+AB$5,$J274,$I274,$M274,$O274,$N274,$P274,$Q274-$C$3,$R274,3)*$H274)/10000)/100</f>
        <v>#NAME?</v>
      </c>
      <c r="AC274" s="226" t="e">
        <f aca="false">((xSPRDOPT($L274+$AB$5,$J274,$I274,$M274,$O274,$N274,$P274,$Q274-$C$3,$R274,7)*$H274)/100)</f>
        <v>#NAME?</v>
      </c>
      <c r="AD274" s="226" t="e">
        <f aca="false">(xSPRDOPT($L274+$AB$5,$J274,$I274,$M274,$O274,$N274,$P274,$Q274-$C$3,$R274,9)/365)*$H274</f>
        <v>#NAME?</v>
      </c>
      <c r="AE274" s="0" t="e">
        <f aca="false">CD274</f>
        <v>#NAME?</v>
      </c>
      <c r="AF274" s="226" t="e">
        <f aca="false">((O274/N274)*AH274)+AG274</f>
        <v>#NAME?</v>
      </c>
      <c r="AG274" s="226" t="e">
        <f aca="false">((xSPRDOPT($L274,$J274,$I274,$M274,$O274,$N274,$P274,$Q274-$C$3,$R274,6)*$H274)/100)</f>
        <v>#NAME?</v>
      </c>
      <c r="AH274" s="226" t="e">
        <f aca="false">((xSPRDOPT($L274,$J274,$I274,$M274,$O274,$N274,$P274,$Q274-$C$3,$R274,5)*$H274)/100)</f>
        <v>#NAME?</v>
      </c>
      <c r="AI274" s="226" t="e">
        <f aca="false">(((xSPRDOPT($L274,$J274,$I274,$M274,$O274,$N274,$P274,$Q274-$C$3,$R274,4)*$H274)/10000)/100)-AB274</f>
        <v>#NAME?</v>
      </c>
      <c r="AJ274" s="226"/>
      <c r="AK274" s="226"/>
      <c r="AL274" s="226"/>
      <c r="AM274" s="252"/>
      <c r="CC274" s="182" t="n">
        <f aca="false">G274</f>
        <v>36800</v>
      </c>
      <c r="CD274" s="253" t="e">
        <f aca="false">xSPRDOPT((VLOOKUP(G274,NGPrices,2,FALSE())+HLOOKUP(D274,Prices,VLOOKUP(G274,move_down,2,FALSE()),FALSE())),VLOOKUP(G274,NGPrices,2,FALSE()),I274,VLOOKUP(G274,NGPREVPRICES,4,FALSE()),HLOOKUP(D274,PREVVOLS,VLOOKUP(G274,MOVE_DOWN2,2,FALSE()),FALSE()),VLOOKUP(G274,NGPREVPRICES,3,FALSE()),HLOOKUP(D274,Correllate,VLOOKUP(G274,CorMove,2,FALSE()),FALSE()),Q274-$CD$3,R274,$CD$5)*H274-CJ274</f>
        <v>#NAME?</v>
      </c>
      <c r="CE274" s="253" t="e">
        <f aca="false">xSPRDOPT((VLOOKUP(G274,NGPREVPRICES,2,FALSE())+HLOOKUP(D274,PREVCURVES,VLOOKUP(G274,MOVE_DOWN2,2,FALSE()),FALSE())),VLOOKUP(G274,NGPREVPRICES,2,FALSE()),CK274,VLOOKUP(G274,NGPrices,4,FALSE()),HLOOKUP(D274,PREVVOLS,VLOOKUP(G274,MOVE_DOWN2,2,FALSE()),FALSE()),VLOOKUP(G274,NGPREVPRICES,3,FALSE()),HLOOKUP(D274,Correllate,VLOOKUP(G274,CorMove,2,FALSE()),FALSE()),Q274-$CD$3,R274,$CJ$5)*H274-CJ274</f>
        <v>#NAME?</v>
      </c>
      <c r="CF274" s="132" t="e">
        <f aca="false">(CJ274/VLOOKUP(CC274,discount,3,FALSE()))-(CJ274/VLOOKUP(CC274,discount,2,FALSE()))</f>
        <v>#NAME?</v>
      </c>
      <c r="CG274" s="253" t="e">
        <f aca="false">xSPRDOPT((VLOOKUP(G274,NGPREVPRICES,2,FALSE())+HLOOKUP(D274,PREVCURVES,VLOOKUP(G274,MOVE_DOWN2,2,FALSE()),FALSE())),VLOOKUP(G274,NGPREVPRICES,2,FALSE()),CK274,VLOOKUP(G274,NGPREVPRICES,4,FALSE()),HLOOKUP(D274,VOLS,VLOOKUP(G274,move_down,2,FALSE()),FALSE()),VLOOKUP(G274,NGPrices,3,FALSE()),HLOOKUP(D274,Correllate,VLOOKUP(G274,CorMove,2,FALSE()),FALSE()),Q274-$CD$3,R274,$CJ$5)*H274-CJ274</f>
        <v>#NAME?</v>
      </c>
      <c r="CH274" s="253" t="e">
        <f aca="false">xSPRDOPT((VLOOKUP(G274,NGPREVPRICES,2,FALSE())+HLOOKUP(D274,PREVCURVES,VLOOKUP(G274,MOVE_DOWN2,2,FALSE()),FALSE())),VLOOKUP(G274,NGPREVPRICES,2,FALSE()),CK274,VLOOKUP(G274,NGPREVPRICES,4,FALSE()),HLOOKUP(D274,PREVVOLS,VLOOKUP(G274,MOVE_DOWN2,2,FALSE()),FALSE()),VLOOKUP(G274,NGPREVPRICES,3,FALSE()),HLOOKUP(D274,Correllate,VLOOKUP(G274,CorMove,2,FALSE()),FALSE()),Q274-$C$3,R274,$CJ$5)*H274-CJ274</f>
        <v>#NAME?</v>
      </c>
      <c r="CI274" s="253" t="e">
        <f aca="false">SUM(CD274:CH274)</f>
        <v>#NAME?</v>
      </c>
      <c r="CJ274" s="253" t="e">
        <f aca="false">xSPRDOPT((VLOOKUP(G274,NGPREVPRICES,2,FALSE())+HLOOKUP(D274,PREVCURVES,VLOOKUP(G274,MOVE_DOWN2,2,FALSE()),FALSE())),VLOOKUP(G274,NGPREVPRICES,2,FALSE()),CK274,VLOOKUP(G274,NGPREVPRICES,4,FALSE()),HLOOKUP(D274,PREVVOLS,VLOOKUP(G274,MOVE_DOWN2,2,FALSE()),FALSE()),VLOOKUP(G274,NGPREVPRICES,3,FALSE()),HLOOKUP(D274,Correllate,VLOOKUP(G274,CorMove,2,FALSE()),FALSE()),Q274-$CD$3,R274,$CJ$5)*H274</f>
        <v>#NAME?</v>
      </c>
      <c r="CK274" s="254" t="n">
        <f aca="false">I274</f>
        <v>0.5</v>
      </c>
      <c r="CL274" s="253"/>
      <c r="CM274" s="0" t="str">
        <f aca="false">CONCATENATE(CC274,$CD$6)</f>
        <v>36800Curve Shift/Gamma</v>
      </c>
      <c r="CN274" s="0" t="str">
        <f aca="false">CONCATENATE($CC274,$CE$6)</f>
        <v>36800Rho</v>
      </c>
      <c r="CO274" s="0" t="str">
        <f aca="false">CONCATENATE($CC274,$CF$6)</f>
        <v>36800Drift</v>
      </c>
      <c r="CP274" s="0" t="str">
        <f aca="false">CONCATENATE($CC274,$CG$6)</f>
        <v>36800Vega</v>
      </c>
      <c r="CQ274" s="0" t="str">
        <f aca="false">CONCATENATE($CC274,$CH$6)</f>
        <v>36800Theta</v>
      </c>
    </row>
    <row r="275" customFormat="false" ht="12.75" hidden="false" customHeight="false" outlineLevel="0" collapsed="false">
      <c r="A275" s="265" t="s">
        <v>198</v>
      </c>
      <c r="B275" s="0" t="s">
        <v>192</v>
      </c>
      <c r="C275" s="0" t="s">
        <v>292</v>
      </c>
      <c r="D275" s="7" t="s">
        <v>149</v>
      </c>
      <c r="E275" s="0" t="s">
        <v>131</v>
      </c>
      <c r="F275" s="0" t="s">
        <v>132</v>
      </c>
      <c r="G275" s="92" t="n">
        <v>36770</v>
      </c>
      <c r="H275" s="248" t="n">
        <v>-1000000</v>
      </c>
      <c r="I275" s="0" t="n">
        <v>0.5</v>
      </c>
      <c r="J275" s="124" t="n">
        <f aca="false">VLOOKUP(G275,NGPrices,2,FALSE())</f>
        <v>4.685</v>
      </c>
      <c r="K275" s="125" t="n">
        <f aca="false">HLOOKUP(D275,Prices,VLOOKUP(G275,move_down,2,FALSE()),FALSE())+VLOOKUP(G275,CHANGE,HLOOKUP(D275,CHANGE,2,FALSE()),FALSE())</f>
        <v>0.315</v>
      </c>
      <c r="L275" s="124" t="n">
        <f aca="false">K275+J275</f>
        <v>5</v>
      </c>
      <c r="M275" s="126" t="n">
        <f aca="false">VLOOKUP(G275,NGPrices,4,FALSE())</f>
        <v>0.067216196212185</v>
      </c>
      <c r="N275" s="7" t="n">
        <f aca="false">VLOOKUP(G275,NGPrices,3,FALSE())</f>
        <v>0.4</v>
      </c>
      <c r="O275" s="7" t="n">
        <f aca="false">HLOOKUP(D275,VOLS,VLOOKUP(G275,move_down,2,FALSE()),FALSE())</f>
        <v>0.392</v>
      </c>
      <c r="P275" s="249" t="n">
        <f aca="false">HLOOKUP(D275,Correllate,VLOOKUP(G275,CorMove,2,FALSE()),FALSE())</f>
        <v>0.9925</v>
      </c>
      <c r="Q275" s="92" t="n">
        <f aca="false">WORKDAY(G275,-2)</f>
        <v>36768</v>
      </c>
      <c r="R275" s="7" t="n">
        <f aca="false">IF(F275="P",0,1)</f>
        <v>0</v>
      </c>
      <c r="S275" s="130" t="e">
        <f aca="false">xSPRDOPT($L275,$J275,$I275,$M275,$O275,$N275,$P275,$Q275-$C$3,$R275,0)</f>
        <v>#NAME?</v>
      </c>
      <c r="T275" s="250" t="e">
        <f aca="false">xSPRDOPT($L275,$J275,$I275,$M275,$O275,$N275,$P275,$Q275-$C$3,$R275,1)*H275</f>
        <v>#NAME?</v>
      </c>
      <c r="U275" s="43" t="e">
        <f aca="false">S275*H275</f>
        <v>#NAME?</v>
      </c>
      <c r="V275" s="250" t="e">
        <f aca="false">xSPRDOPT($L275,$J275,$I275,$M275,$O275,$N275,$P275,$Q275-$C$3,$R275,2)*H275</f>
        <v>#NAME?</v>
      </c>
      <c r="W275" s="250" t="e">
        <f aca="false">+V275+T275</f>
        <v>#NAME?</v>
      </c>
      <c r="X275" s="2" t="str">
        <f aca="false">CONCATENATE(G275,D275)</f>
        <v>36770IF-TRANSCO/Z6</v>
      </c>
      <c r="Y275" s="251" t="n">
        <f aca="false">H275/10000</f>
        <v>-100</v>
      </c>
      <c r="Z275" s="226" t="e">
        <f aca="false">T275/H275</f>
        <v>#NAME?</v>
      </c>
      <c r="AA275" s="226" t="e">
        <f aca="false">xSPRDOPT($L275,$J275,$I275,$M275,$O275,$N275,$P275,$Q275-$C$3,$R275,3)</f>
        <v>#NAME?</v>
      </c>
      <c r="AB275" s="226" t="e">
        <f aca="false">((xSPRDOPT($L275+AB$5,$J275,$I275,$M275,$O275,$N275,$P275,$Q275-$C$3,$R275,3)*$H275)/10000)/100</f>
        <v>#NAME?</v>
      </c>
      <c r="AC275" s="226" t="e">
        <f aca="false">((xSPRDOPT($L275+$AB$5,$J275,$I275,$M275,$O275,$N275,$P275,$Q275-$C$3,$R275,7)*$H275)/100)</f>
        <v>#NAME?</v>
      </c>
      <c r="AD275" s="226" t="e">
        <f aca="false">(xSPRDOPT($L275+$AB$5,$J275,$I275,$M275,$O275,$N275,$P275,$Q275-$C$3,$R275,9)/365)*$H275</f>
        <v>#NAME?</v>
      </c>
      <c r="AE275" s="0" t="e">
        <f aca="false">CD275</f>
        <v>#NAME?</v>
      </c>
      <c r="AF275" s="226" t="e">
        <f aca="false">((O275/N275)*AH275)+AG275</f>
        <v>#NAME?</v>
      </c>
      <c r="AG275" s="226" t="e">
        <f aca="false">((xSPRDOPT($L275,$J275,$I275,$M275,$O275,$N275,$P275,$Q275-$C$3,$R275,6)*$H275)/100)</f>
        <v>#NAME?</v>
      </c>
      <c r="AH275" s="226" t="e">
        <f aca="false">((xSPRDOPT($L275,$J275,$I275,$M275,$O275,$N275,$P275,$Q275-$C$3,$R275,5)*$H275)/100)</f>
        <v>#NAME?</v>
      </c>
      <c r="AI275" s="226" t="e">
        <f aca="false">(((xSPRDOPT($L275,$J275,$I275,$M275,$O275,$N275,$P275,$Q275-$C$3,$R275,4)*$H275)/10000)/100)-AB275</f>
        <v>#NAME?</v>
      </c>
      <c r="AJ275" s="226"/>
      <c r="AK275" s="226"/>
      <c r="AL275" s="226"/>
      <c r="AM275" s="252"/>
      <c r="CC275" s="182" t="n">
        <f aca="false">G275</f>
        <v>36770</v>
      </c>
      <c r="CD275" s="253" t="e">
        <f aca="false">xSPRDOPT((VLOOKUP(G275,NGPrices,2,FALSE())+HLOOKUP(D275,Prices,VLOOKUP(G275,move_down,2,FALSE()),FALSE())),VLOOKUP(G275,NGPrices,2,FALSE()),I275,VLOOKUP(G275,NGPREVPRICES,4,FALSE()),HLOOKUP(D275,PREVVOLS,VLOOKUP(G275,MOVE_DOWN2,2,FALSE()),FALSE()),VLOOKUP(G275,NGPREVPRICES,3,FALSE()),HLOOKUP(D275,Correllate,VLOOKUP(G275,CorMove,2,FALSE()),FALSE()),Q275-$CD$3,R275,$CD$5)*H275-CJ275</f>
        <v>#NAME?</v>
      </c>
      <c r="CE275" s="253" t="e">
        <f aca="false">xSPRDOPT((VLOOKUP(G275,NGPREVPRICES,2,FALSE())+HLOOKUP(D275,PREVCURVES,VLOOKUP(G275,MOVE_DOWN2,2,FALSE()),FALSE())),VLOOKUP(G275,NGPREVPRICES,2,FALSE()),CK275,VLOOKUP(G275,NGPrices,4,FALSE()),HLOOKUP(D275,PREVVOLS,VLOOKUP(G275,MOVE_DOWN2,2,FALSE()),FALSE()),VLOOKUP(G275,NGPREVPRICES,3,FALSE()),HLOOKUP(D275,Correllate,VLOOKUP(G275,CorMove,2,FALSE()),FALSE()),Q275-$CD$3,R275,$CJ$5)*H275-CJ275</f>
        <v>#NAME?</v>
      </c>
      <c r="CF275" s="132" t="e">
        <f aca="false">(CJ275/VLOOKUP(CC275,discount,3,FALSE()))-(CJ275/VLOOKUP(CC275,discount,2,FALSE()))</f>
        <v>#NAME?</v>
      </c>
      <c r="CG275" s="253" t="e">
        <f aca="false">xSPRDOPT((VLOOKUP(G275,NGPREVPRICES,2,FALSE())+HLOOKUP(D275,PREVCURVES,VLOOKUP(G275,MOVE_DOWN2,2,FALSE()),FALSE())),VLOOKUP(G275,NGPREVPRICES,2,FALSE()),CK275,VLOOKUP(G275,NGPREVPRICES,4,FALSE()),HLOOKUP(D275,VOLS,VLOOKUP(G275,move_down,2,FALSE()),FALSE()),VLOOKUP(G275,NGPrices,3,FALSE()),HLOOKUP(D275,Correllate,VLOOKUP(G275,CorMove,2,FALSE()),FALSE()),Q275-$CD$3,R275,$CJ$5)*H275-CJ275</f>
        <v>#NAME?</v>
      </c>
      <c r="CH275" s="253" t="e">
        <f aca="false">xSPRDOPT((VLOOKUP(G275,NGPREVPRICES,2,FALSE())+HLOOKUP(D275,PREVCURVES,VLOOKUP(G275,MOVE_DOWN2,2,FALSE()),FALSE())),VLOOKUP(G275,NGPREVPRICES,2,FALSE()),CK275,VLOOKUP(G275,NGPREVPRICES,4,FALSE()),HLOOKUP(D275,PREVVOLS,VLOOKUP(G275,MOVE_DOWN2,2,FALSE()),FALSE()),VLOOKUP(G275,NGPREVPRICES,3,FALSE()),HLOOKUP(D275,Correllate,VLOOKUP(G275,CorMove,2,FALSE()),FALSE()),Q275-$C$3,R275,$CJ$5)*H275-CJ275</f>
        <v>#NAME?</v>
      </c>
      <c r="CI275" s="253" t="e">
        <f aca="false">SUM(CD275:CH275)</f>
        <v>#NAME?</v>
      </c>
      <c r="CJ275" s="253" t="e">
        <f aca="false">xSPRDOPT((VLOOKUP(G275,NGPREVPRICES,2,FALSE())+HLOOKUP(D275,PREVCURVES,VLOOKUP(G275,MOVE_DOWN2,2,FALSE()),FALSE())),VLOOKUP(G275,NGPREVPRICES,2,FALSE()),CK275,VLOOKUP(G275,NGPREVPRICES,4,FALSE()),HLOOKUP(D275,PREVVOLS,VLOOKUP(G275,MOVE_DOWN2,2,FALSE()),FALSE()),VLOOKUP(G275,NGPREVPRICES,3,FALSE()),HLOOKUP(D275,Correllate,VLOOKUP(G275,CorMove,2,FALSE()),FALSE()),Q275-$CD$3,R275,$CJ$5)*H275</f>
        <v>#NAME?</v>
      </c>
      <c r="CK275" s="254" t="n">
        <f aca="false">I275</f>
        <v>0.5</v>
      </c>
      <c r="CL275" s="253"/>
      <c r="CM275" s="0" t="str">
        <f aca="false">CONCATENATE(CC275,$CD$6)</f>
        <v>36770Curve Shift/Gamma</v>
      </c>
      <c r="CN275" s="0" t="str">
        <f aca="false">CONCATENATE($CC275,$CE$6)</f>
        <v>36770Rho</v>
      </c>
      <c r="CO275" s="0" t="str">
        <f aca="false">CONCATENATE($CC275,$CF$6)</f>
        <v>36770Drift</v>
      </c>
      <c r="CP275" s="0" t="str">
        <f aca="false">CONCATENATE($CC275,$CG$6)</f>
        <v>36770Vega</v>
      </c>
      <c r="CQ275" s="0" t="str">
        <f aca="false">CONCATENATE($CC275,$CH$6)</f>
        <v>36770Theta</v>
      </c>
    </row>
    <row r="276" customFormat="false" ht="12.75" hidden="false" customHeight="false" outlineLevel="0" collapsed="false">
      <c r="A276" s="265" t="s">
        <v>198</v>
      </c>
      <c r="B276" s="0" t="s">
        <v>192</v>
      </c>
      <c r="C276" s="0" t="s">
        <v>293</v>
      </c>
      <c r="D276" s="7" t="s">
        <v>149</v>
      </c>
      <c r="E276" s="0" t="s">
        <v>131</v>
      </c>
      <c r="F276" s="0" t="s">
        <v>132</v>
      </c>
      <c r="G276" s="92" t="n">
        <v>36800</v>
      </c>
      <c r="H276" s="248" t="n">
        <v>1000000</v>
      </c>
      <c r="I276" s="0" t="n">
        <v>0.3</v>
      </c>
      <c r="J276" s="124" t="n">
        <f aca="false">VLOOKUP(G276,NGPrices,2,FALSE())</f>
        <v>4.692</v>
      </c>
      <c r="K276" s="125" t="n">
        <f aca="false">HLOOKUP(D276,Prices,VLOOKUP(G276,move_down,2,FALSE()),FALSE())+VLOOKUP(G276,CHANGE,HLOOKUP(D276,CHANGE,2,FALSE()),FALSE())</f>
        <v>0.415</v>
      </c>
      <c r="L276" s="124" t="n">
        <f aca="false">K276+J276</f>
        <v>5.107</v>
      </c>
      <c r="M276" s="126" t="n">
        <f aca="false">VLOOKUP(G276,NGPrices,4,FALSE())</f>
        <v>0.068050789414654</v>
      </c>
      <c r="N276" s="7" t="n">
        <f aca="false">VLOOKUP(G276,NGPrices,3,FALSE())</f>
        <v>0.575</v>
      </c>
      <c r="O276" s="7" t="n">
        <f aca="false">HLOOKUP(D276,VOLS,VLOOKUP(G276,move_down,2,FALSE()),FALSE())</f>
        <v>0.564</v>
      </c>
      <c r="P276" s="249" t="n">
        <f aca="false">HLOOKUP(D276,Correllate,VLOOKUP(G276,CorMove,2,FALSE()),FALSE())</f>
        <v>0.9925</v>
      </c>
      <c r="Q276" s="92" t="n">
        <f aca="false">WORKDAY(G276,-2)</f>
        <v>36797</v>
      </c>
      <c r="R276" s="7" t="n">
        <f aca="false">IF(F276="P",0,1)</f>
        <v>0</v>
      </c>
      <c r="S276" s="130" t="e">
        <f aca="false">xSPRDOPT($L276,$J276,$I276,$M276,$O276,$N276,$P276,$Q276-$C$3,$R276,0)</f>
        <v>#NAME?</v>
      </c>
      <c r="T276" s="250" t="e">
        <f aca="false">xSPRDOPT($L276,$J276,$I276,$M276,$O276,$N276,$P276,$Q276-$C$3,$R276,1)*H276</f>
        <v>#NAME?</v>
      </c>
      <c r="U276" s="43" t="e">
        <f aca="false">S276*H276</f>
        <v>#NAME?</v>
      </c>
      <c r="V276" s="250" t="e">
        <f aca="false">xSPRDOPT($L276,$J276,$I276,$M276,$O276,$N276,$P276,$Q276-$C$3,$R276,2)*H276</f>
        <v>#NAME?</v>
      </c>
      <c r="W276" s="250" t="e">
        <f aca="false">+V276+T276</f>
        <v>#NAME?</v>
      </c>
      <c r="X276" s="2" t="str">
        <f aca="false">CONCATENATE(G276,D276)</f>
        <v>36800IF-TRANSCO/Z6</v>
      </c>
      <c r="Y276" s="251" t="n">
        <f aca="false">H276/10000</f>
        <v>100</v>
      </c>
      <c r="Z276" s="226" t="e">
        <f aca="false">T276/H276</f>
        <v>#NAME?</v>
      </c>
      <c r="AA276" s="226" t="e">
        <f aca="false">xSPRDOPT($L276,$J276,$I276,$M276,$O276,$N276,$P276,$Q276-$C$3,$R276,3)</f>
        <v>#NAME?</v>
      </c>
      <c r="AB276" s="226" t="e">
        <f aca="false">((xSPRDOPT($L276+AB$5,$J276,$I276,$M276,$O276,$N276,$P276,$Q276-$C$3,$R276,3)*$H276)/10000)/100</f>
        <v>#NAME?</v>
      </c>
      <c r="AC276" s="226" t="e">
        <f aca="false">((xSPRDOPT($L276+$AB$5,$J276,$I276,$M276,$O276,$N276,$P276,$Q276-$C$3,$R276,7)*$H276)/100)</f>
        <v>#NAME?</v>
      </c>
      <c r="AD276" s="226" t="e">
        <f aca="false">(xSPRDOPT($L276+$AB$5,$J276,$I276,$M276,$O276,$N276,$P276,$Q276-$C$3,$R276,9)/365)*$H276</f>
        <v>#NAME?</v>
      </c>
      <c r="AE276" s="0" t="e">
        <f aca="false">CD276</f>
        <v>#NAME?</v>
      </c>
      <c r="AF276" s="226" t="e">
        <f aca="false">((O276/N276)*AH276)+AG276</f>
        <v>#NAME?</v>
      </c>
      <c r="AG276" s="226" t="e">
        <f aca="false">((xSPRDOPT($L276,$J276,$I276,$M276,$O276,$N276,$P276,$Q276-$C$3,$R276,6)*$H276)/100)</f>
        <v>#NAME?</v>
      </c>
      <c r="AH276" s="226" t="e">
        <f aca="false">((xSPRDOPT($L276,$J276,$I276,$M276,$O276,$N276,$P276,$Q276-$C$3,$R276,5)*$H276)/100)</f>
        <v>#NAME?</v>
      </c>
      <c r="AI276" s="226" t="e">
        <f aca="false">(((xSPRDOPT($L276,$J276,$I276,$M276,$O276,$N276,$P276,$Q276-$C$3,$R276,4)*$H276)/10000)/100)-AB276</f>
        <v>#NAME?</v>
      </c>
      <c r="AJ276" s="226"/>
      <c r="AK276" s="226"/>
      <c r="AL276" s="226"/>
      <c r="AM276" s="252"/>
      <c r="CC276" s="182" t="n">
        <f aca="false">G276</f>
        <v>36800</v>
      </c>
      <c r="CD276" s="253" t="e">
        <f aca="false">xSPRDOPT((VLOOKUP(G276,NGPrices,2,FALSE())+HLOOKUP(D276,Prices,VLOOKUP(G276,move_down,2,FALSE()),FALSE())),VLOOKUP(G276,NGPrices,2,FALSE()),I276,VLOOKUP(G276,NGPREVPRICES,4,FALSE()),HLOOKUP(D276,PREVVOLS,VLOOKUP(G276,MOVE_DOWN2,2,FALSE()),FALSE()),VLOOKUP(G276,NGPREVPRICES,3,FALSE()),HLOOKUP(D276,Correllate,VLOOKUP(G276,CorMove,2,FALSE()),FALSE()),Q276-$CD$3,R276,$CD$5)*H276-CJ276</f>
        <v>#NAME?</v>
      </c>
      <c r="CE276" s="253" t="e">
        <f aca="false">xSPRDOPT((VLOOKUP(G276,NGPREVPRICES,2,FALSE())+HLOOKUP(D276,PREVCURVES,VLOOKUP(G276,MOVE_DOWN2,2,FALSE()),FALSE())),VLOOKUP(G276,NGPREVPRICES,2,FALSE()),CK276,VLOOKUP(G276,NGPrices,4,FALSE()),HLOOKUP(D276,PREVVOLS,VLOOKUP(G276,MOVE_DOWN2,2,FALSE()),FALSE()),VLOOKUP(G276,NGPREVPRICES,3,FALSE()),HLOOKUP(D276,Correllate,VLOOKUP(G276,CorMove,2,FALSE()),FALSE()),Q276-$CD$3,R276,$CJ$5)*H276-CJ276</f>
        <v>#NAME?</v>
      </c>
      <c r="CF276" s="132" t="e">
        <f aca="false">(CJ276/VLOOKUP(CC276,discount,3,FALSE()))-(CJ276/VLOOKUP(CC276,discount,2,FALSE()))</f>
        <v>#NAME?</v>
      </c>
      <c r="CG276" s="253" t="e">
        <f aca="false">xSPRDOPT((VLOOKUP(G276,NGPREVPRICES,2,FALSE())+HLOOKUP(D276,PREVCURVES,VLOOKUP(G276,MOVE_DOWN2,2,FALSE()),FALSE())),VLOOKUP(G276,NGPREVPRICES,2,FALSE()),CK276,VLOOKUP(G276,NGPREVPRICES,4,FALSE()),HLOOKUP(D276,VOLS,VLOOKUP(G276,move_down,2,FALSE()),FALSE()),VLOOKUP(G276,NGPrices,3,FALSE()),HLOOKUP(D276,Correllate,VLOOKUP(G276,CorMove,2,FALSE()),FALSE()),Q276-$CD$3,R276,$CJ$5)*H276-CJ276</f>
        <v>#NAME?</v>
      </c>
      <c r="CH276" s="253" t="e">
        <f aca="false">xSPRDOPT((VLOOKUP(G276,NGPREVPRICES,2,FALSE())+HLOOKUP(D276,PREVCURVES,VLOOKUP(G276,MOVE_DOWN2,2,FALSE()),FALSE())),VLOOKUP(G276,NGPREVPRICES,2,FALSE()),CK276,VLOOKUP(G276,NGPREVPRICES,4,FALSE()),HLOOKUP(D276,PREVVOLS,VLOOKUP(G276,MOVE_DOWN2,2,FALSE()),FALSE()),VLOOKUP(G276,NGPREVPRICES,3,FALSE()),HLOOKUP(D276,Correllate,VLOOKUP(G276,CorMove,2,FALSE()),FALSE()),Q276-$C$3,R276,$CJ$5)*H276-CJ276</f>
        <v>#NAME?</v>
      </c>
      <c r="CI276" s="253" t="e">
        <f aca="false">SUM(CD276:CH276)</f>
        <v>#NAME?</v>
      </c>
      <c r="CJ276" s="253" t="e">
        <f aca="false">xSPRDOPT((VLOOKUP(G276,NGPREVPRICES,2,FALSE())+HLOOKUP(D276,PREVCURVES,VLOOKUP(G276,MOVE_DOWN2,2,FALSE()),FALSE())),VLOOKUP(G276,NGPREVPRICES,2,FALSE()),CK276,VLOOKUP(G276,NGPREVPRICES,4,FALSE()),HLOOKUP(D276,PREVVOLS,VLOOKUP(G276,MOVE_DOWN2,2,FALSE()),FALSE()),VLOOKUP(G276,NGPREVPRICES,3,FALSE()),HLOOKUP(D276,Correllate,VLOOKUP(G276,CorMove,2,FALSE()),FALSE()),Q276-$CD$3,R276,$CJ$5)*H276</f>
        <v>#NAME?</v>
      </c>
      <c r="CK276" s="254" t="n">
        <f aca="false">I276</f>
        <v>0.3</v>
      </c>
      <c r="CL276" s="253"/>
      <c r="CM276" s="0" t="str">
        <f aca="false">CONCATENATE(CC276,$CD$6)</f>
        <v>36800Curve Shift/Gamma</v>
      </c>
      <c r="CN276" s="0" t="str">
        <f aca="false">CONCATENATE($CC276,$CE$6)</f>
        <v>36800Rho</v>
      </c>
      <c r="CO276" s="0" t="str">
        <f aca="false">CONCATENATE($CC276,$CF$6)</f>
        <v>36800Drift</v>
      </c>
      <c r="CP276" s="0" t="str">
        <f aca="false">CONCATENATE($CC276,$CG$6)</f>
        <v>36800Vega</v>
      </c>
      <c r="CQ276" s="0" t="str">
        <f aca="false">CONCATENATE($CC276,$CH$6)</f>
        <v>36800Theta</v>
      </c>
    </row>
    <row r="277" customFormat="false" ht="12.75" hidden="false" customHeight="false" outlineLevel="0" collapsed="false">
      <c r="A277" s="265" t="s">
        <v>198</v>
      </c>
      <c r="B277" s="0" t="s">
        <v>192</v>
      </c>
      <c r="C277" s="0" t="s">
        <v>293</v>
      </c>
      <c r="D277" s="7" t="s">
        <v>149</v>
      </c>
      <c r="E277" s="0" t="s">
        <v>131</v>
      </c>
      <c r="F277" s="0" t="s">
        <v>132</v>
      </c>
      <c r="G277" s="92" t="n">
        <v>36770</v>
      </c>
      <c r="H277" s="248" t="n">
        <v>1000000</v>
      </c>
      <c r="I277" s="0" t="n">
        <v>0.3</v>
      </c>
      <c r="J277" s="124" t="n">
        <f aca="false">VLOOKUP(G277,NGPrices,2,FALSE())</f>
        <v>4.685</v>
      </c>
      <c r="K277" s="125" t="n">
        <f aca="false">HLOOKUP(D277,Prices,VLOOKUP(G277,move_down,2,FALSE()),FALSE())+VLOOKUP(G277,CHANGE,HLOOKUP(D277,CHANGE,2,FALSE()),FALSE())</f>
        <v>0.315</v>
      </c>
      <c r="L277" s="124" t="n">
        <f aca="false">K277+J277</f>
        <v>5</v>
      </c>
      <c r="M277" s="126" t="n">
        <f aca="false">VLOOKUP(G277,NGPrices,4,FALSE())</f>
        <v>0.067216196212185</v>
      </c>
      <c r="N277" s="7" t="n">
        <f aca="false">VLOOKUP(G277,NGPrices,3,FALSE())</f>
        <v>0.4</v>
      </c>
      <c r="O277" s="7" t="n">
        <f aca="false">HLOOKUP(D277,VOLS,VLOOKUP(G277,move_down,2,FALSE()),FALSE())</f>
        <v>0.392</v>
      </c>
      <c r="P277" s="249" t="n">
        <f aca="false">HLOOKUP(D277,Correllate,VLOOKUP(G277,CorMove,2,FALSE()),FALSE())</f>
        <v>0.9925</v>
      </c>
      <c r="Q277" s="92" t="n">
        <f aca="false">WORKDAY(G277,-2)</f>
        <v>36768</v>
      </c>
      <c r="R277" s="7" t="n">
        <f aca="false">IF(F277="P",0,1)</f>
        <v>0</v>
      </c>
      <c r="S277" s="130" t="e">
        <f aca="false">xSPRDOPT($L277,$J277,$I277,$M277,$O277,$N277,$P277,$Q277-$C$3,$R277,0)</f>
        <v>#NAME?</v>
      </c>
      <c r="T277" s="250" t="e">
        <f aca="false">xSPRDOPT($L277,$J277,$I277,$M277,$O277,$N277,$P277,$Q277-$C$3,$R277,1)*H277</f>
        <v>#NAME?</v>
      </c>
      <c r="U277" s="43" t="e">
        <f aca="false">S277*H277</f>
        <v>#NAME?</v>
      </c>
      <c r="V277" s="250" t="e">
        <f aca="false">xSPRDOPT($L277,$J277,$I277,$M277,$O277,$N277,$P277,$Q277-$C$3,$R277,2)*H277</f>
        <v>#NAME?</v>
      </c>
      <c r="W277" s="250" t="e">
        <f aca="false">+V277+T277</f>
        <v>#NAME?</v>
      </c>
      <c r="X277" s="2" t="str">
        <f aca="false">CONCATENATE(G277,D277)</f>
        <v>36770IF-TRANSCO/Z6</v>
      </c>
      <c r="Y277" s="251" t="n">
        <f aca="false">H277/10000</f>
        <v>100</v>
      </c>
      <c r="Z277" s="226" t="e">
        <f aca="false">T277/H277</f>
        <v>#NAME?</v>
      </c>
      <c r="AA277" s="226" t="e">
        <f aca="false">xSPRDOPT($L277,$J277,$I277,$M277,$O277,$N277,$P277,$Q277-$C$3,$R277,3)</f>
        <v>#NAME?</v>
      </c>
      <c r="AB277" s="226" t="e">
        <f aca="false">((xSPRDOPT($L277+AB$5,$J277,$I277,$M277,$O277,$N277,$P277,$Q277-$C$3,$R277,3)*$H277)/10000)/100</f>
        <v>#NAME?</v>
      </c>
      <c r="AC277" s="226" t="e">
        <f aca="false">((xSPRDOPT($L277+$AB$5,$J277,$I277,$M277,$O277,$N277,$P277,$Q277-$C$3,$R277,7)*$H277)/100)</f>
        <v>#NAME?</v>
      </c>
      <c r="AD277" s="226" t="e">
        <f aca="false">(xSPRDOPT($L277+$AB$5,$J277,$I277,$M277,$O277,$N277,$P277,$Q277-$C$3,$R277,9)/365)*$H277</f>
        <v>#NAME?</v>
      </c>
      <c r="AE277" s="0" t="e">
        <f aca="false">CD277</f>
        <v>#NAME?</v>
      </c>
      <c r="AF277" s="226" t="e">
        <f aca="false">((O277/N277)*AH277)+AG277</f>
        <v>#NAME?</v>
      </c>
      <c r="AG277" s="226" t="e">
        <f aca="false">((xSPRDOPT($L277,$J277,$I277,$M277,$O277,$N277,$P277,$Q277-$C$3,$R277,6)*$H277)/100)</f>
        <v>#NAME?</v>
      </c>
      <c r="AH277" s="226" t="e">
        <f aca="false">((xSPRDOPT($L277,$J277,$I277,$M277,$O277,$N277,$P277,$Q277-$C$3,$R277,5)*$H277)/100)</f>
        <v>#NAME?</v>
      </c>
      <c r="AI277" s="226" t="e">
        <f aca="false">(((xSPRDOPT($L277,$J277,$I277,$M277,$O277,$N277,$P277,$Q277-$C$3,$R277,4)*$H277)/10000)/100)-AB277</f>
        <v>#NAME?</v>
      </c>
      <c r="AJ277" s="226"/>
      <c r="AK277" s="226"/>
      <c r="AL277" s="226"/>
      <c r="AM277" s="252"/>
      <c r="CC277" s="182" t="n">
        <f aca="false">G277</f>
        <v>36770</v>
      </c>
      <c r="CD277" s="253" t="e">
        <f aca="false">xSPRDOPT((VLOOKUP(G277,NGPrices,2,FALSE())+HLOOKUP(D277,Prices,VLOOKUP(G277,move_down,2,FALSE()),FALSE())),VLOOKUP(G277,NGPrices,2,FALSE()),I277,VLOOKUP(G277,NGPREVPRICES,4,FALSE()),HLOOKUP(D277,PREVVOLS,VLOOKUP(G277,MOVE_DOWN2,2,FALSE()),FALSE()),VLOOKUP(G277,NGPREVPRICES,3,FALSE()),HLOOKUP(D277,Correllate,VLOOKUP(G277,CorMove,2,FALSE()),FALSE()),Q277-$CD$3,R277,$CD$5)*H277-CJ277</f>
        <v>#NAME?</v>
      </c>
      <c r="CE277" s="253" t="e">
        <f aca="false">xSPRDOPT((VLOOKUP(G277,NGPREVPRICES,2,FALSE())+HLOOKUP(D277,PREVCURVES,VLOOKUP(G277,MOVE_DOWN2,2,FALSE()),FALSE())),VLOOKUP(G277,NGPREVPRICES,2,FALSE()),CK277,VLOOKUP(G277,NGPrices,4,FALSE()),HLOOKUP(D277,PREVVOLS,VLOOKUP(G277,MOVE_DOWN2,2,FALSE()),FALSE()),VLOOKUP(G277,NGPREVPRICES,3,FALSE()),HLOOKUP(D277,Correllate,VLOOKUP(G277,CorMove,2,FALSE()),FALSE()),Q277-$CD$3,R277,$CJ$5)*H277-CJ277</f>
        <v>#NAME?</v>
      </c>
      <c r="CF277" s="132" t="e">
        <f aca="false">(CJ277/VLOOKUP(CC277,discount,3,FALSE()))-(CJ277/VLOOKUP(CC277,discount,2,FALSE()))</f>
        <v>#NAME?</v>
      </c>
      <c r="CG277" s="253" t="e">
        <f aca="false">xSPRDOPT((VLOOKUP(G277,NGPREVPRICES,2,FALSE())+HLOOKUP(D277,PREVCURVES,VLOOKUP(G277,MOVE_DOWN2,2,FALSE()),FALSE())),VLOOKUP(G277,NGPREVPRICES,2,FALSE()),CK277,VLOOKUP(G277,NGPREVPRICES,4,FALSE()),HLOOKUP(D277,VOLS,VLOOKUP(G277,move_down,2,FALSE()),FALSE()),VLOOKUP(G277,NGPrices,3,FALSE()),HLOOKUP(D277,Correllate,VLOOKUP(G277,CorMove,2,FALSE()),FALSE()),Q277-$CD$3,R277,$CJ$5)*H277-CJ277</f>
        <v>#NAME?</v>
      </c>
      <c r="CH277" s="253" t="e">
        <f aca="false">xSPRDOPT((VLOOKUP(G277,NGPREVPRICES,2,FALSE())+HLOOKUP(D277,PREVCURVES,VLOOKUP(G277,MOVE_DOWN2,2,FALSE()),FALSE())),VLOOKUP(G277,NGPREVPRICES,2,FALSE()),CK277,VLOOKUP(G277,NGPREVPRICES,4,FALSE()),HLOOKUP(D277,PREVVOLS,VLOOKUP(G277,MOVE_DOWN2,2,FALSE()),FALSE()),VLOOKUP(G277,NGPREVPRICES,3,FALSE()),HLOOKUP(D277,Correllate,VLOOKUP(G277,CorMove,2,FALSE()),FALSE()),Q277-$C$3,R277,$CJ$5)*H277-CJ277</f>
        <v>#NAME?</v>
      </c>
      <c r="CI277" s="253" t="e">
        <f aca="false">SUM(CD277:CH277)</f>
        <v>#NAME?</v>
      </c>
      <c r="CJ277" s="253" t="e">
        <f aca="false">xSPRDOPT((VLOOKUP(G277,NGPREVPRICES,2,FALSE())+HLOOKUP(D277,PREVCURVES,VLOOKUP(G277,MOVE_DOWN2,2,FALSE()),FALSE())),VLOOKUP(G277,NGPREVPRICES,2,FALSE()),CK277,VLOOKUP(G277,NGPREVPRICES,4,FALSE()),HLOOKUP(D277,PREVVOLS,VLOOKUP(G277,MOVE_DOWN2,2,FALSE()),FALSE()),VLOOKUP(G277,NGPREVPRICES,3,FALSE()),HLOOKUP(D277,Correllate,VLOOKUP(G277,CorMove,2,FALSE()),FALSE()),Q277-$CD$3,R277,$CJ$5)*H277</f>
        <v>#NAME?</v>
      </c>
      <c r="CK277" s="254" t="n">
        <f aca="false">I277</f>
        <v>0.3</v>
      </c>
      <c r="CL277" s="253"/>
      <c r="CM277" s="0" t="str">
        <f aca="false">CONCATENATE(CC277,$CD$6)</f>
        <v>36770Curve Shift/Gamma</v>
      </c>
      <c r="CN277" s="0" t="str">
        <f aca="false">CONCATENATE($CC277,$CE$6)</f>
        <v>36770Rho</v>
      </c>
      <c r="CO277" s="0" t="str">
        <f aca="false">CONCATENATE($CC277,$CF$6)</f>
        <v>36770Drift</v>
      </c>
      <c r="CP277" s="0" t="str">
        <f aca="false">CONCATENATE($CC277,$CG$6)</f>
        <v>36770Vega</v>
      </c>
      <c r="CQ277" s="0" t="str">
        <f aca="false">CONCATENATE($CC277,$CH$6)</f>
        <v>36770Theta</v>
      </c>
    </row>
    <row r="278" customFormat="false" ht="12.75" hidden="false" customHeight="false" outlineLevel="0" collapsed="false">
      <c r="A278" s="265" t="s">
        <v>198</v>
      </c>
      <c r="B278" s="0" t="s">
        <v>192</v>
      </c>
      <c r="C278" s="0" t="s">
        <v>294</v>
      </c>
      <c r="D278" s="7" t="s">
        <v>149</v>
      </c>
      <c r="E278" s="0" t="s">
        <v>131</v>
      </c>
      <c r="F278" s="0" t="s">
        <v>136</v>
      </c>
      <c r="G278" s="92" t="n">
        <v>36951</v>
      </c>
      <c r="H278" s="248" t="n">
        <v>-1000000</v>
      </c>
      <c r="I278" s="0" t="n">
        <v>3</v>
      </c>
      <c r="J278" s="124" t="n">
        <f aca="false">VLOOKUP(G278,NGPrices,2,FALSE())</f>
        <v>4.213</v>
      </c>
      <c r="K278" s="125" t="n">
        <f aca="false">HLOOKUP(D278,Prices,VLOOKUP(G278,move_down,2,FALSE()),FALSE())+VLOOKUP(G278,CHANGE,HLOOKUP(D278,CHANGE,2,FALSE()),FALSE())</f>
        <v>1.075</v>
      </c>
      <c r="L278" s="124" t="n">
        <f aca="false">K278+J278</f>
        <v>5.288</v>
      </c>
      <c r="M278" s="126" t="n">
        <f aca="false">VLOOKUP(G278,NGPrices,4,FALSE())</f>
        <v>0.068879814952707</v>
      </c>
      <c r="N278" s="7" t="n">
        <f aca="false">VLOOKUP(G278,NGPrices,3,FALSE())</f>
        <v>0.5325</v>
      </c>
      <c r="O278" s="7" t="n">
        <f aca="false">HLOOKUP(D278,VOLS,VLOOKUP(G278,move_down,2,FALSE()),FALSE())</f>
        <v>0.612</v>
      </c>
      <c r="P278" s="249" t="n">
        <f aca="false">HLOOKUP(D278,Correllate,VLOOKUP(G278,CorMove,2,FALSE()),FALSE())</f>
        <v>0.83</v>
      </c>
      <c r="Q278" s="92" t="n">
        <f aca="false">WORKDAY(G278,-2)</f>
        <v>36949</v>
      </c>
      <c r="R278" s="7" t="n">
        <f aca="false">IF(F278="P",0,1)</f>
        <v>1</v>
      </c>
      <c r="S278" s="130" t="e">
        <f aca="false">xSPRDOPT($L278,$J278,$I278,$M278,$O278,$N278,$P278,$Q278-$C$3,$R278,0)</f>
        <v>#NAME?</v>
      </c>
      <c r="T278" s="250" t="e">
        <f aca="false">xSPRDOPT($L278,$J278,$I278,$M278,$O278,$N278,$P278,$Q278-$C$3,$R278,1)*H278</f>
        <v>#NAME?</v>
      </c>
      <c r="U278" s="43" t="e">
        <f aca="false">S278*H278</f>
        <v>#NAME?</v>
      </c>
      <c r="V278" s="250" t="e">
        <f aca="false">xSPRDOPT($L278,$J278,$I278,$M278,$O278,$N278,$P278,$Q278-$C$3,$R278,2)*H278</f>
        <v>#NAME?</v>
      </c>
      <c r="W278" s="250" t="e">
        <f aca="false">+V278+T278</f>
        <v>#NAME?</v>
      </c>
      <c r="X278" s="2" t="str">
        <f aca="false">CONCATENATE(G278,D278)</f>
        <v>36951IF-TRANSCO/Z6</v>
      </c>
      <c r="Y278" s="251" t="n">
        <f aca="false">H278/10000</f>
        <v>-100</v>
      </c>
      <c r="Z278" s="226" t="e">
        <f aca="false">T278/H278</f>
        <v>#NAME?</v>
      </c>
      <c r="AA278" s="226" t="e">
        <f aca="false">xSPRDOPT($L278,$J278,$I278,$M278,$O278,$N278,$P278,$Q278-$C$3,$R278,3)</f>
        <v>#NAME?</v>
      </c>
      <c r="AB278" s="226" t="e">
        <f aca="false">((xSPRDOPT($L278+AB$5,$J278,$I278,$M278,$O278,$N278,$P278,$Q278-$C$3,$R278,3)*$H278)/10000)/100</f>
        <v>#NAME?</v>
      </c>
      <c r="AC278" s="226" t="e">
        <f aca="false">((xSPRDOPT($L278+$AB$5,$J278,$I278,$M278,$O278,$N278,$P278,$Q278-$C$3,$R278,7)*$H278)/100)</f>
        <v>#NAME?</v>
      </c>
      <c r="AD278" s="226" t="e">
        <f aca="false">(xSPRDOPT($L278+$AB$5,$J278,$I278,$M278,$O278,$N278,$P278,$Q278-$C$3,$R278,9)/365)*$H278</f>
        <v>#NAME?</v>
      </c>
      <c r="AE278" s="0" t="e">
        <f aca="false">CD278</f>
        <v>#NAME?</v>
      </c>
      <c r="AF278" s="226" t="e">
        <f aca="false">((O278/N278)*AH278)+AG278</f>
        <v>#NAME?</v>
      </c>
      <c r="AG278" s="226" t="e">
        <f aca="false">((xSPRDOPT($L278,$J278,$I278,$M278,$O278,$N278,$P278,$Q278-$C$3,$R278,6)*$H278)/100)</f>
        <v>#NAME?</v>
      </c>
      <c r="AH278" s="226" t="e">
        <f aca="false">((xSPRDOPT($L278,$J278,$I278,$M278,$O278,$N278,$P278,$Q278-$C$3,$R278,5)*$H278)/100)</f>
        <v>#NAME?</v>
      </c>
      <c r="AI278" s="226" t="e">
        <f aca="false">(((xSPRDOPT($L278,$J278,$I278,$M278,$O278,$N278,$P278,$Q278-$C$3,$R278,4)*$H278)/10000)/100)-AB278</f>
        <v>#NAME?</v>
      </c>
      <c r="AJ278" s="226"/>
      <c r="AK278" s="226"/>
      <c r="AL278" s="226"/>
      <c r="AM278" s="252"/>
      <c r="CC278" s="182" t="n">
        <f aca="false">G278</f>
        <v>36951</v>
      </c>
      <c r="CD278" s="253" t="e">
        <f aca="false">xSPRDOPT((VLOOKUP(G278,NGPrices,2,FALSE())+HLOOKUP(D278,Prices,VLOOKUP(G278,move_down,2,FALSE()),FALSE())),VLOOKUP(G278,NGPrices,2,FALSE()),I278,VLOOKUP(G278,NGPREVPRICES,4,FALSE()),HLOOKUP(D278,PREVVOLS,VLOOKUP(G278,MOVE_DOWN2,2,FALSE()),FALSE()),VLOOKUP(G278,NGPREVPRICES,3,FALSE()),HLOOKUP(D278,Correllate,VLOOKUP(G278,CorMove,2,FALSE()),FALSE()),Q278-$CD$3,R278,$CD$5)*H278-CJ278</f>
        <v>#NAME?</v>
      </c>
      <c r="CE278" s="253" t="e">
        <f aca="false">xSPRDOPT((VLOOKUP(G278,NGPREVPRICES,2,FALSE())+HLOOKUP(D278,PREVCURVES,VLOOKUP(G278,MOVE_DOWN2,2,FALSE()),FALSE())),VLOOKUP(G278,NGPREVPRICES,2,FALSE()),CK278,VLOOKUP(G278,NGPrices,4,FALSE()),HLOOKUP(D278,PREVVOLS,VLOOKUP(G278,MOVE_DOWN2,2,FALSE()),FALSE()),VLOOKUP(G278,NGPREVPRICES,3,FALSE()),HLOOKUP(D278,Correllate,VLOOKUP(G278,CorMove,2,FALSE()),FALSE()),Q278-$CD$3,R278,$CJ$5)*H278-CJ278</f>
        <v>#NAME?</v>
      </c>
      <c r="CF278" s="132" t="e">
        <f aca="false">(CJ278/VLOOKUP(CC278,discount,3,FALSE()))-(CJ278/VLOOKUP(CC278,discount,2,FALSE()))</f>
        <v>#NAME?</v>
      </c>
      <c r="CG278" s="253" t="e">
        <f aca="false">xSPRDOPT((VLOOKUP(G278,NGPREVPRICES,2,FALSE())+HLOOKUP(D278,PREVCURVES,VLOOKUP(G278,MOVE_DOWN2,2,FALSE()),FALSE())),VLOOKUP(G278,NGPREVPRICES,2,FALSE()),CK278,VLOOKUP(G278,NGPREVPRICES,4,FALSE()),HLOOKUP(D278,VOLS,VLOOKUP(G278,move_down,2,FALSE()),FALSE()),VLOOKUP(G278,NGPrices,3,FALSE()),HLOOKUP(D278,Correllate,VLOOKUP(G278,CorMove,2,FALSE()),FALSE()),Q278-$CD$3,R278,$CJ$5)*H278-CJ278</f>
        <v>#NAME?</v>
      </c>
      <c r="CH278" s="253" t="e">
        <f aca="false">xSPRDOPT((VLOOKUP(G278,NGPREVPRICES,2,FALSE())+HLOOKUP(D278,PREVCURVES,VLOOKUP(G278,MOVE_DOWN2,2,FALSE()),FALSE())),VLOOKUP(G278,NGPREVPRICES,2,FALSE()),CK278,VLOOKUP(G278,NGPREVPRICES,4,FALSE()),HLOOKUP(D278,PREVVOLS,VLOOKUP(G278,MOVE_DOWN2,2,FALSE()),FALSE()),VLOOKUP(G278,NGPREVPRICES,3,FALSE()),HLOOKUP(D278,Correllate,VLOOKUP(G278,CorMove,2,FALSE()),FALSE()),Q278-$C$3,R278,$CJ$5)*H278-CJ278</f>
        <v>#NAME?</v>
      </c>
      <c r="CI278" s="253" t="e">
        <f aca="false">SUM(CD278:CH278)</f>
        <v>#NAME?</v>
      </c>
      <c r="CJ278" s="253" t="e">
        <f aca="false">xSPRDOPT((VLOOKUP(G278,NGPREVPRICES,2,FALSE())+HLOOKUP(D278,PREVCURVES,VLOOKUP(G278,MOVE_DOWN2,2,FALSE()),FALSE())),VLOOKUP(G278,NGPREVPRICES,2,FALSE()),CK278,VLOOKUP(G278,NGPREVPRICES,4,FALSE()),HLOOKUP(D278,PREVVOLS,VLOOKUP(G278,MOVE_DOWN2,2,FALSE()),FALSE()),VLOOKUP(G278,NGPREVPRICES,3,FALSE()),HLOOKUP(D278,Correllate,VLOOKUP(G278,CorMove,2,FALSE()),FALSE()),Q278-$CD$3,R278,$CJ$5)*H278</f>
        <v>#NAME?</v>
      </c>
      <c r="CK278" s="254" t="n">
        <f aca="false">I278</f>
        <v>3</v>
      </c>
      <c r="CL278" s="253"/>
      <c r="CM278" s="0" t="str">
        <f aca="false">CONCATENATE(CC278,$CD$6)</f>
        <v>36951Curve Shift/Gamma</v>
      </c>
      <c r="CN278" s="0" t="str">
        <f aca="false">CONCATENATE($CC278,$CE$6)</f>
        <v>36951Rho</v>
      </c>
      <c r="CO278" s="0" t="str">
        <f aca="false">CONCATENATE($CC278,$CF$6)</f>
        <v>36951Drift</v>
      </c>
      <c r="CP278" s="0" t="str">
        <f aca="false">CONCATENATE($CC278,$CG$6)</f>
        <v>36951Vega</v>
      </c>
      <c r="CQ278" s="0" t="str">
        <f aca="false">CONCATENATE($CC278,$CH$6)</f>
        <v>36951Theta</v>
      </c>
    </row>
    <row r="279" customFormat="false" ht="12.75" hidden="false" customHeight="false" outlineLevel="0" collapsed="false">
      <c r="A279" s="265" t="s">
        <v>198</v>
      </c>
      <c r="B279" s="0" t="s">
        <v>192</v>
      </c>
      <c r="C279" s="0" t="s">
        <v>294</v>
      </c>
      <c r="D279" s="7" t="s">
        <v>149</v>
      </c>
      <c r="E279" s="0" t="s">
        <v>131</v>
      </c>
      <c r="F279" s="0" t="s">
        <v>136</v>
      </c>
      <c r="G279" s="92" t="n">
        <v>36923</v>
      </c>
      <c r="H279" s="248" t="n">
        <v>-1000000</v>
      </c>
      <c r="I279" s="0" t="n">
        <v>3</v>
      </c>
      <c r="J279" s="124" t="n">
        <f aca="false">VLOOKUP(G279,NGPrices,2,FALSE())</f>
        <v>4.48</v>
      </c>
      <c r="K279" s="125" t="n">
        <f aca="false">HLOOKUP(D279,Prices,VLOOKUP(G279,move_down,2,FALSE()),FALSE())+VLOOKUP(G279,CHANGE,HLOOKUP(D279,CHANGE,2,FALSE()),FALSE())</f>
        <v>2.09</v>
      </c>
      <c r="L279" s="124" t="n">
        <f aca="false">K279+J279</f>
        <v>6.57</v>
      </c>
      <c r="M279" s="126" t="n">
        <f aca="false">VLOOKUP(G279,NGPrices,4,FALSE())</f>
        <v>0.068640161611372</v>
      </c>
      <c r="N279" s="7" t="n">
        <f aca="false">VLOOKUP(G279,NGPrices,3,FALSE())</f>
        <v>0.5925</v>
      </c>
      <c r="O279" s="7" t="n">
        <f aca="false">HLOOKUP(D279,VOLS,VLOOKUP(G279,move_down,2,FALSE()),FALSE())</f>
        <v>0.681</v>
      </c>
      <c r="P279" s="249" t="n">
        <f aca="false">HLOOKUP(D279,Correllate,VLOOKUP(G279,CorMove,2,FALSE()),FALSE())</f>
        <v>0.83</v>
      </c>
      <c r="Q279" s="92" t="n">
        <f aca="false">WORKDAY(G279,-2)</f>
        <v>36921</v>
      </c>
      <c r="R279" s="7" t="n">
        <f aca="false">IF(F279="P",0,1)</f>
        <v>1</v>
      </c>
      <c r="S279" s="130" t="e">
        <f aca="false">xSPRDOPT($L279,$J279,$I279,$M279,$O279,$N279,$P279,$Q279-$C$3,$R279,0)</f>
        <v>#NAME?</v>
      </c>
      <c r="T279" s="250" t="e">
        <f aca="false">xSPRDOPT($L279,$J279,$I279,$M279,$O279,$N279,$P279,$Q279-$C$3,$R279,1)*H279</f>
        <v>#NAME?</v>
      </c>
      <c r="U279" s="43" t="e">
        <f aca="false">S279*H279</f>
        <v>#NAME?</v>
      </c>
      <c r="V279" s="250" t="e">
        <f aca="false">xSPRDOPT($L279,$J279,$I279,$M279,$O279,$N279,$P279,$Q279-$C$3,$R279,2)*H279</f>
        <v>#NAME?</v>
      </c>
      <c r="W279" s="250" t="e">
        <f aca="false">+V279+T279</f>
        <v>#NAME?</v>
      </c>
      <c r="X279" s="2" t="str">
        <f aca="false">CONCATENATE(G279,D279)</f>
        <v>36923IF-TRANSCO/Z6</v>
      </c>
      <c r="Y279" s="251" t="n">
        <f aca="false">H279/10000</f>
        <v>-100</v>
      </c>
      <c r="Z279" s="226" t="e">
        <f aca="false">T279/H279</f>
        <v>#NAME?</v>
      </c>
      <c r="AA279" s="226" t="e">
        <f aca="false">xSPRDOPT($L279,$J279,$I279,$M279,$O279,$N279,$P279,$Q279-$C$3,$R279,3)</f>
        <v>#NAME?</v>
      </c>
      <c r="AB279" s="226" t="e">
        <f aca="false">((xSPRDOPT($L279+AB$5,$J279,$I279,$M279,$O279,$N279,$P279,$Q279-$C$3,$R279,3)*$H279)/10000)/100</f>
        <v>#NAME?</v>
      </c>
      <c r="AC279" s="226" t="e">
        <f aca="false">((xSPRDOPT($L279+$AB$5,$J279,$I279,$M279,$O279,$N279,$P279,$Q279-$C$3,$R279,7)*$H279)/100)</f>
        <v>#NAME?</v>
      </c>
      <c r="AD279" s="226" t="e">
        <f aca="false">(xSPRDOPT($L279+$AB$5,$J279,$I279,$M279,$O279,$N279,$P279,$Q279-$C$3,$R279,9)/365)*$H279</f>
        <v>#NAME?</v>
      </c>
      <c r="AE279" s="0" t="e">
        <f aca="false">CD279</f>
        <v>#NAME?</v>
      </c>
      <c r="AF279" s="226" t="e">
        <f aca="false">((O279/N279)*AH279)+AG279</f>
        <v>#NAME?</v>
      </c>
      <c r="AG279" s="226" t="e">
        <f aca="false">((xSPRDOPT($L279,$J279,$I279,$M279,$O279,$N279,$P279,$Q279-$C$3,$R279,6)*$H279)/100)</f>
        <v>#NAME?</v>
      </c>
      <c r="AH279" s="226" t="e">
        <f aca="false">((xSPRDOPT($L279,$J279,$I279,$M279,$O279,$N279,$P279,$Q279-$C$3,$R279,5)*$H279)/100)</f>
        <v>#NAME?</v>
      </c>
      <c r="AI279" s="226" t="e">
        <f aca="false">(((xSPRDOPT($L279,$J279,$I279,$M279,$O279,$N279,$P279,$Q279-$C$3,$R279,4)*$H279)/10000)/100)-AB279</f>
        <v>#NAME?</v>
      </c>
      <c r="AJ279" s="226"/>
      <c r="AK279" s="226"/>
      <c r="AL279" s="226"/>
      <c r="AM279" s="252"/>
      <c r="CC279" s="182" t="n">
        <f aca="false">G279</f>
        <v>36923</v>
      </c>
      <c r="CD279" s="253" t="e">
        <f aca="false">xSPRDOPT((VLOOKUP(G279,NGPrices,2,FALSE())+HLOOKUP(D279,Prices,VLOOKUP(G279,move_down,2,FALSE()),FALSE())),VLOOKUP(G279,NGPrices,2,FALSE()),I279,VLOOKUP(G279,NGPREVPRICES,4,FALSE()),HLOOKUP(D279,PREVVOLS,VLOOKUP(G279,MOVE_DOWN2,2,FALSE()),FALSE()),VLOOKUP(G279,NGPREVPRICES,3,FALSE()),HLOOKUP(D279,Correllate,VLOOKUP(G279,CorMove,2,FALSE()),FALSE()),Q279-$CD$3,R279,$CD$5)*H279-CJ279</f>
        <v>#NAME?</v>
      </c>
      <c r="CE279" s="253" t="e">
        <f aca="false">xSPRDOPT((VLOOKUP(G279,NGPREVPRICES,2,FALSE())+HLOOKUP(D279,PREVCURVES,VLOOKUP(G279,MOVE_DOWN2,2,FALSE()),FALSE())),VLOOKUP(G279,NGPREVPRICES,2,FALSE()),CK279,VLOOKUP(G279,NGPrices,4,FALSE()),HLOOKUP(D279,PREVVOLS,VLOOKUP(G279,MOVE_DOWN2,2,FALSE()),FALSE()),VLOOKUP(G279,NGPREVPRICES,3,FALSE()),HLOOKUP(D279,Correllate,VLOOKUP(G279,CorMove,2,FALSE()),FALSE()),Q279-$CD$3,R279,$CJ$5)*H279-CJ279</f>
        <v>#NAME?</v>
      </c>
      <c r="CF279" s="132" t="e">
        <f aca="false">(CJ279/VLOOKUP(CC279,discount,3,FALSE()))-(CJ279/VLOOKUP(CC279,discount,2,FALSE()))</f>
        <v>#NAME?</v>
      </c>
      <c r="CG279" s="253" t="e">
        <f aca="false">xSPRDOPT((VLOOKUP(G279,NGPREVPRICES,2,FALSE())+HLOOKUP(D279,PREVCURVES,VLOOKUP(G279,MOVE_DOWN2,2,FALSE()),FALSE())),VLOOKUP(G279,NGPREVPRICES,2,FALSE()),CK279,VLOOKUP(G279,NGPREVPRICES,4,FALSE()),HLOOKUP(D279,VOLS,VLOOKUP(G279,move_down,2,FALSE()),FALSE()),VLOOKUP(G279,NGPrices,3,FALSE()),HLOOKUP(D279,Correllate,VLOOKUP(G279,CorMove,2,FALSE()),FALSE()),Q279-$CD$3,R279,$CJ$5)*H279-CJ279</f>
        <v>#NAME?</v>
      </c>
      <c r="CH279" s="253" t="e">
        <f aca="false">xSPRDOPT((VLOOKUP(G279,NGPREVPRICES,2,FALSE())+HLOOKUP(D279,PREVCURVES,VLOOKUP(G279,MOVE_DOWN2,2,FALSE()),FALSE())),VLOOKUP(G279,NGPREVPRICES,2,FALSE()),CK279,VLOOKUP(G279,NGPREVPRICES,4,FALSE()),HLOOKUP(D279,PREVVOLS,VLOOKUP(G279,MOVE_DOWN2,2,FALSE()),FALSE()),VLOOKUP(G279,NGPREVPRICES,3,FALSE()),HLOOKUP(D279,Correllate,VLOOKUP(G279,CorMove,2,FALSE()),FALSE()),Q279-$C$3,R279,$CJ$5)*H279-CJ279</f>
        <v>#NAME?</v>
      </c>
      <c r="CI279" s="253" t="e">
        <f aca="false">SUM(CD279:CH279)</f>
        <v>#NAME?</v>
      </c>
      <c r="CJ279" s="253" t="e">
        <f aca="false">xSPRDOPT((VLOOKUP(G279,NGPREVPRICES,2,FALSE())+HLOOKUP(D279,PREVCURVES,VLOOKUP(G279,MOVE_DOWN2,2,FALSE()),FALSE())),VLOOKUP(G279,NGPREVPRICES,2,FALSE()),CK279,VLOOKUP(G279,NGPREVPRICES,4,FALSE()),HLOOKUP(D279,PREVVOLS,VLOOKUP(G279,MOVE_DOWN2,2,FALSE()),FALSE()),VLOOKUP(G279,NGPREVPRICES,3,FALSE()),HLOOKUP(D279,Correllate,VLOOKUP(G279,CorMove,2,FALSE()),FALSE()),Q279-$CD$3,R279,$CJ$5)*H279</f>
        <v>#NAME?</v>
      </c>
      <c r="CK279" s="254" t="n">
        <f aca="false">I279</f>
        <v>3</v>
      </c>
      <c r="CL279" s="253"/>
      <c r="CM279" s="0" t="str">
        <f aca="false">CONCATENATE(CC279,$CD$6)</f>
        <v>36923Curve Shift/Gamma</v>
      </c>
      <c r="CN279" s="0" t="str">
        <f aca="false">CONCATENATE($CC279,$CE$6)</f>
        <v>36923Rho</v>
      </c>
      <c r="CO279" s="0" t="str">
        <f aca="false">CONCATENATE($CC279,$CF$6)</f>
        <v>36923Drift</v>
      </c>
      <c r="CP279" s="0" t="str">
        <f aca="false">CONCATENATE($CC279,$CG$6)</f>
        <v>36923Vega</v>
      </c>
      <c r="CQ279" s="0" t="str">
        <f aca="false">CONCATENATE($CC279,$CH$6)</f>
        <v>36923Theta</v>
      </c>
    </row>
    <row r="280" customFormat="false" ht="12.75" hidden="false" customHeight="false" outlineLevel="0" collapsed="false">
      <c r="A280" s="265" t="s">
        <v>198</v>
      </c>
      <c r="B280" s="0" t="s">
        <v>192</v>
      </c>
      <c r="C280" s="0" t="s">
        <v>294</v>
      </c>
      <c r="D280" s="7" t="s">
        <v>149</v>
      </c>
      <c r="E280" s="0" t="s">
        <v>131</v>
      </c>
      <c r="F280" s="0" t="s">
        <v>136</v>
      </c>
      <c r="G280" s="92" t="n">
        <v>36892</v>
      </c>
      <c r="H280" s="248" t="n">
        <v>-1000000</v>
      </c>
      <c r="I280" s="0" t="n">
        <v>3</v>
      </c>
      <c r="J280" s="124" t="n">
        <f aca="false">VLOOKUP(G280,NGPrices,2,FALSE())</f>
        <v>4.744</v>
      </c>
      <c r="K280" s="125" t="n">
        <f aca="false">HLOOKUP(D280,Prices,VLOOKUP(G280,move_down,2,FALSE()),FALSE())+VLOOKUP(G280,CHANGE,HLOOKUP(D280,CHANGE,2,FALSE()),FALSE())</f>
        <v>2.17</v>
      </c>
      <c r="L280" s="124" t="n">
        <f aca="false">K280+J280</f>
        <v>6.914</v>
      </c>
      <c r="M280" s="126" t="n">
        <f aca="false">VLOOKUP(G280,NGPrices,4,FALSE())</f>
        <v>0.068374831148491</v>
      </c>
      <c r="N280" s="7" t="n">
        <f aca="false">VLOOKUP(G280,NGPrices,3,FALSE())</f>
        <v>0.605</v>
      </c>
      <c r="O280" s="7" t="n">
        <f aca="false">HLOOKUP(D280,VOLS,VLOOKUP(G280,move_down,2,FALSE()),FALSE())</f>
        <v>0.696</v>
      </c>
      <c r="P280" s="249" t="n">
        <f aca="false">HLOOKUP(D280,Correllate,VLOOKUP(G280,CorMove,2,FALSE()),FALSE())</f>
        <v>0.83</v>
      </c>
      <c r="Q280" s="92" t="n">
        <f aca="false">WORKDAY(G280,-2)</f>
        <v>36888</v>
      </c>
      <c r="R280" s="7" t="n">
        <f aca="false">IF(F280="P",0,1)</f>
        <v>1</v>
      </c>
      <c r="S280" s="130" t="e">
        <f aca="false">xSPRDOPT($L280,$J280,$I280,$M280,$O280,$N280,$P280,$Q280-$C$3,$R280,0)</f>
        <v>#NAME?</v>
      </c>
      <c r="T280" s="250" t="e">
        <f aca="false">xSPRDOPT($L280,$J280,$I280,$M280,$O280,$N280,$P280,$Q280-$C$3,$R280,1)*H280</f>
        <v>#NAME?</v>
      </c>
      <c r="U280" s="43" t="e">
        <f aca="false">S280*H280</f>
        <v>#NAME?</v>
      </c>
      <c r="V280" s="250" t="e">
        <f aca="false">xSPRDOPT($L280,$J280,$I280,$M280,$O280,$N280,$P280,$Q280-$C$3,$R280,2)*H280</f>
        <v>#NAME?</v>
      </c>
      <c r="W280" s="250" t="e">
        <f aca="false">+V280+T280</f>
        <v>#NAME?</v>
      </c>
      <c r="X280" s="2" t="str">
        <f aca="false">CONCATENATE(G280,D280)</f>
        <v>36892IF-TRANSCO/Z6</v>
      </c>
      <c r="Y280" s="251" t="n">
        <f aca="false">H280/10000</f>
        <v>-100</v>
      </c>
      <c r="Z280" s="226" t="e">
        <f aca="false">T280/H280</f>
        <v>#NAME?</v>
      </c>
      <c r="AA280" s="226" t="e">
        <f aca="false">xSPRDOPT($L280,$J280,$I280,$M280,$O280,$N280,$P280,$Q280-$C$3,$R280,3)</f>
        <v>#NAME?</v>
      </c>
      <c r="AB280" s="226" t="e">
        <f aca="false">((xSPRDOPT($L280+AB$5,$J280,$I280,$M280,$O280,$N280,$P280,$Q280-$C$3,$R280,3)*$H280)/10000)/100</f>
        <v>#NAME?</v>
      </c>
      <c r="AC280" s="226" t="e">
        <f aca="false">((xSPRDOPT($L280+$AB$5,$J280,$I280,$M280,$O280,$N280,$P280,$Q280-$C$3,$R280,7)*$H280)/100)</f>
        <v>#NAME?</v>
      </c>
      <c r="AD280" s="226" t="e">
        <f aca="false">(xSPRDOPT($L280+$AB$5,$J280,$I280,$M280,$O280,$N280,$P280,$Q280-$C$3,$R280,9)/365)*$H280</f>
        <v>#NAME?</v>
      </c>
      <c r="AE280" s="0" t="e">
        <f aca="false">CD280</f>
        <v>#NAME?</v>
      </c>
      <c r="AF280" s="226" t="e">
        <f aca="false">((O280/N280)*AH280)+AG280</f>
        <v>#NAME?</v>
      </c>
      <c r="AG280" s="226" t="e">
        <f aca="false">((xSPRDOPT($L280,$J280,$I280,$M280,$O280,$N280,$P280,$Q280-$C$3,$R280,6)*$H280)/100)</f>
        <v>#NAME?</v>
      </c>
      <c r="AH280" s="226" t="e">
        <f aca="false">((xSPRDOPT($L280,$J280,$I280,$M280,$O280,$N280,$P280,$Q280-$C$3,$R280,5)*$H280)/100)</f>
        <v>#NAME?</v>
      </c>
      <c r="AI280" s="226" t="e">
        <f aca="false">(((xSPRDOPT($L280,$J280,$I280,$M280,$O280,$N280,$P280,$Q280-$C$3,$R280,4)*$H280)/10000)/100)-AB280</f>
        <v>#NAME?</v>
      </c>
      <c r="AJ280" s="226"/>
      <c r="AK280" s="226"/>
      <c r="AL280" s="226"/>
      <c r="AM280" s="252"/>
      <c r="CC280" s="182" t="n">
        <f aca="false">G280</f>
        <v>36892</v>
      </c>
      <c r="CD280" s="253" t="e">
        <f aca="false">xSPRDOPT((VLOOKUP(G280,NGPrices,2,FALSE())+HLOOKUP(D280,Prices,VLOOKUP(G280,move_down,2,FALSE()),FALSE())),VLOOKUP(G280,NGPrices,2,FALSE()),I280,VLOOKUP(G280,NGPREVPRICES,4,FALSE()),HLOOKUP(D280,PREVVOLS,VLOOKUP(G280,MOVE_DOWN2,2,FALSE()),FALSE()),VLOOKUP(G280,NGPREVPRICES,3,FALSE()),HLOOKUP(D280,Correllate,VLOOKUP(G280,CorMove,2,FALSE()),FALSE()),Q280-$CD$3,R280,$CD$5)*H280-CJ280</f>
        <v>#NAME?</v>
      </c>
      <c r="CE280" s="253" t="e">
        <f aca="false">xSPRDOPT((VLOOKUP(G280,NGPREVPRICES,2,FALSE())+HLOOKUP(D280,PREVCURVES,VLOOKUP(G280,MOVE_DOWN2,2,FALSE()),FALSE())),VLOOKUP(G280,NGPREVPRICES,2,FALSE()),CK280,VLOOKUP(G280,NGPrices,4,FALSE()),HLOOKUP(D280,PREVVOLS,VLOOKUP(G280,MOVE_DOWN2,2,FALSE()),FALSE()),VLOOKUP(G280,NGPREVPRICES,3,FALSE()),HLOOKUP(D280,Correllate,VLOOKUP(G280,CorMove,2,FALSE()),FALSE()),Q280-$CD$3,R280,$CJ$5)*H280-CJ280</f>
        <v>#NAME?</v>
      </c>
      <c r="CF280" s="132" t="e">
        <f aca="false">(CJ280/VLOOKUP(CC280,discount,3,FALSE()))-(CJ280/VLOOKUP(CC280,discount,2,FALSE()))</f>
        <v>#NAME?</v>
      </c>
      <c r="CG280" s="253" t="e">
        <f aca="false">xSPRDOPT((VLOOKUP(G280,NGPREVPRICES,2,FALSE())+HLOOKUP(D280,PREVCURVES,VLOOKUP(G280,MOVE_DOWN2,2,FALSE()),FALSE())),VLOOKUP(G280,NGPREVPRICES,2,FALSE()),CK280,VLOOKUP(G280,NGPREVPRICES,4,FALSE()),HLOOKUP(D280,VOLS,VLOOKUP(G280,move_down,2,FALSE()),FALSE()),VLOOKUP(G280,NGPrices,3,FALSE()),HLOOKUP(D280,Correllate,VLOOKUP(G280,CorMove,2,FALSE()),FALSE()),Q280-$CD$3,R280,$CJ$5)*H280-CJ280</f>
        <v>#NAME?</v>
      </c>
      <c r="CH280" s="253" t="e">
        <f aca="false">xSPRDOPT((VLOOKUP(G280,NGPREVPRICES,2,FALSE())+HLOOKUP(D280,PREVCURVES,VLOOKUP(G280,MOVE_DOWN2,2,FALSE()),FALSE())),VLOOKUP(G280,NGPREVPRICES,2,FALSE()),CK280,VLOOKUP(G280,NGPREVPRICES,4,FALSE()),HLOOKUP(D280,PREVVOLS,VLOOKUP(G280,MOVE_DOWN2,2,FALSE()),FALSE()),VLOOKUP(G280,NGPREVPRICES,3,FALSE()),HLOOKUP(D280,Correllate,VLOOKUP(G280,CorMove,2,FALSE()),FALSE()),Q280-$C$3,R280,$CJ$5)*H280-CJ280</f>
        <v>#NAME?</v>
      </c>
      <c r="CI280" s="253" t="e">
        <f aca="false">SUM(CD280:CH280)</f>
        <v>#NAME?</v>
      </c>
      <c r="CJ280" s="253" t="e">
        <f aca="false">xSPRDOPT((VLOOKUP(G280,NGPREVPRICES,2,FALSE())+HLOOKUP(D280,PREVCURVES,VLOOKUP(G280,MOVE_DOWN2,2,FALSE()),FALSE())),VLOOKUP(G280,NGPREVPRICES,2,FALSE()),CK280,VLOOKUP(G280,NGPREVPRICES,4,FALSE()),HLOOKUP(D280,PREVVOLS,VLOOKUP(G280,MOVE_DOWN2,2,FALSE()),FALSE()),VLOOKUP(G280,NGPREVPRICES,3,FALSE()),HLOOKUP(D280,Correllate,VLOOKUP(G280,CorMove,2,FALSE()),FALSE()),Q280-$CD$3,R280,$CJ$5)*H280</f>
        <v>#NAME?</v>
      </c>
      <c r="CK280" s="254" t="n">
        <f aca="false">I280</f>
        <v>3</v>
      </c>
      <c r="CL280" s="253"/>
      <c r="CM280" s="0" t="str">
        <f aca="false">CONCATENATE(CC280,$CD$6)</f>
        <v>36892Curve Shift/Gamma</v>
      </c>
      <c r="CN280" s="0" t="str">
        <f aca="false">CONCATENATE($CC280,$CE$6)</f>
        <v>36892Rho</v>
      </c>
      <c r="CO280" s="0" t="str">
        <f aca="false">CONCATENATE($CC280,$CF$6)</f>
        <v>36892Drift</v>
      </c>
      <c r="CP280" s="0" t="str">
        <f aca="false">CONCATENATE($CC280,$CG$6)</f>
        <v>36892Vega</v>
      </c>
      <c r="CQ280" s="0" t="str">
        <f aca="false">CONCATENATE($CC280,$CH$6)</f>
        <v>36892Theta</v>
      </c>
    </row>
    <row r="281" customFormat="false" ht="12.75" hidden="false" customHeight="false" outlineLevel="0" collapsed="false">
      <c r="A281" s="265" t="s">
        <v>198</v>
      </c>
      <c r="B281" s="0" t="s">
        <v>192</v>
      </c>
      <c r="C281" s="0" t="s">
        <v>294</v>
      </c>
      <c r="D281" s="7" t="s">
        <v>149</v>
      </c>
      <c r="E281" s="0" t="s">
        <v>131</v>
      </c>
      <c r="F281" s="0" t="s">
        <v>136</v>
      </c>
      <c r="G281" s="92" t="n">
        <v>36861</v>
      </c>
      <c r="H281" s="248" t="n">
        <v>-1000000</v>
      </c>
      <c r="I281" s="0" t="n">
        <v>3</v>
      </c>
      <c r="J281" s="124" t="n">
        <f aca="false">VLOOKUP(G281,NGPrices,2,FALSE())</f>
        <v>4.8</v>
      </c>
      <c r="K281" s="125" t="n">
        <f aca="false">HLOOKUP(D281,Prices,VLOOKUP(G281,move_down,2,FALSE()),FALSE())+VLOOKUP(G281,CHANGE,HLOOKUP(D281,CHANGE,2,FALSE()),FALSE())</f>
        <v>1.645</v>
      </c>
      <c r="L281" s="124" t="n">
        <f aca="false">K281+J281</f>
        <v>6.445</v>
      </c>
      <c r="M281" s="126" t="n">
        <f aca="false">VLOOKUP(G281,NGPrices,4,FALSE())</f>
        <v>0.068314027999354</v>
      </c>
      <c r="N281" s="7" t="n">
        <f aca="false">VLOOKUP(G281,NGPrices,3,FALSE())</f>
        <v>0.6</v>
      </c>
      <c r="O281" s="7" t="n">
        <f aca="false">HLOOKUP(D281,VOLS,VLOOKUP(G281,move_down,2,FALSE()),FALSE())</f>
        <v>0.69</v>
      </c>
      <c r="P281" s="249" t="n">
        <f aca="false">HLOOKUP(D281,Correllate,VLOOKUP(G281,CorMove,2,FALSE()),FALSE())</f>
        <v>0.83</v>
      </c>
      <c r="Q281" s="92" t="n">
        <f aca="false">WORKDAY(G281,-2)</f>
        <v>36859</v>
      </c>
      <c r="R281" s="7" t="n">
        <f aca="false">IF(F281="P",0,1)</f>
        <v>1</v>
      </c>
      <c r="S281" s="130" t="e">
        <f aca="false">xSPRDOPT($L281,$J281,$I281,$M281,$O281,$N281,$P281,$Q281-$C$3,$R281,0)</f>
        <v>#NAME?</v>
      </c>
      <c r="T281" s="250" t="e">
        <f aca="false">xSPRDOPT($L281,$J281,$I281,$M281,$O281,$N281,$P281,$Q281-$C$3,$R281,1)*H281</f>
        <v>#NAME?</v>
      </c>
      <c r="U281" s="43" t="e">
        <f aca="false">S281*H281</f>
        <v>#NAME?</v>
      </c>
      <c r="V281" s="250" t="e">
        <f aca="false">xSPRDOPT($L281,$J281,$I281,$M281,$O281,$N281,$P281,$Q281-$C$3,$R281,2)*H281</f>
        <v>#NAME?</v>
      </c>
      <c r="W281" s="250" t="e">
        <f aca="false">+V281+T281</f>
        <v>#NAME?</v>
      </c>
      <c r="X281" s="2" t="str">
        <f aca="false">CONCATENATE(G281,D281)</f>
        <v>36861IF-TRANSCO/Z6</v>
      </c>
      <c r="Y281" s="251" t="n">
        <f aca="false">H281/10000</f>
        <v>-100</v>
      </c>
      <c r="Z281" s="226" t="e">
        <f aca="false">T281/H281</f>
        <v>#NAME?</v>
      </c>
      <c r="AA281" s="226" t="e">
        <f aca="false">xSPRDOPT($L281,$J281,$I281,$M281,$O281,$N281,$P281,$Q281-$C$3,$R281,3)</f>
        <v>#NAME?</v>
      </c>
      <c r="AB281" s="226" t="e">
        <f aca="false">((xSPRDOPT($L281+AB$5,$J281,$I281,$M281,$O281,$N281,$P281,$Q281-$C$3,$R281,3)*$H281)/10000)/100</f>
        <v>#NAME?</v>
      </c>
      <c r="AC281" s="226" t="e">
        <f aca="false">((xSPRDOPT($L281+$AB$5,$J281,$I281,$M281,$O281,$N281,$P281,$Q281-$C$3,$R281,7)*$H281)/100)</f>
        <v>#NAME?</v>
      </c>
      <c r="AD281" s="226" t="e">
        <f aca="false">(xSPRDOPT($L281+$AB$5,$J281,$I281,$M281,$O281,$N281,$P281,$Q281-$C$3,$R281,9)/365)*$H281</f>
        <v>#NAME?</v>
      </c>
      <c r="AE281" s="0" t="e">
        <f aca="false">CD281</f>
        <v>#NAME?</v>
      </c>
      <c r="AF281" s="226" t="e">
        <f aca="false">((O281/N281)*AH281)+AG281</f>
        <v>#NAME?</v>
      </c>
      <c r="AG281" s="226" t="e">
        <f aca="false">((xSPRDOPT($L281,$J281,$I281,$M281,$O281,$N281,$P281,$Q281-$C$3,$R281,6)*$H281)/100)</f>
        <v>#NAME?</v>
      </c>
      <c r="AH281" s="226" t="e">
        <f aca="false">((xSPRDOPT($L281,$J281,$I281,$M281,$O281,$N281,$P281,$Q281-$C$3,$R281,5)*$H281)/100)</f>
        <v>#NAME?</v>
      </c>
      <c r="AI281" s="226" t="e">
        <f aca="false">(((xSPRDOPT($L281,$J281,$I281,$M281,$O281,$N281,$P281,$Q281-$C$3,$R281,4)*$H281)/10000)/100)-AB281</f>
        <v>#NAME?</v>
      </c>
      <c r="AJ281" s="226"/>
      <c r="AK281" s="226"/>
      <c r="AL281" s="226"/>
      <c r="AM281" s="252"/>
      <c r="CC281" s="182" t="n">
        <f aca="false">G281</f>
        <v>36861</v>
      </c>
      <c r="CD281" s="253" t="e">
        <f aca="false">xSPRDOPT((VLOOKUP(G281,NGPrices,2,FALSE())+HLOOKUP(D281,Prices,VLOOKUP(G281,move_down,2,FALSE()),FALSE())),VLOOKUP(G281,NGPrices,2,FALSE()),I281,VLOOKUP(G281,NGPREVPRICES,4,FALSE()),HLOOKUP(D281,PREVVOLS,VLOOKUP(G281,MOVE_DOWN2,2,FALSE()),FALSE()),VLOOKUP(G281,NGPREVPRICES,3,FALSE()),HLOOKUP(D281,Correllate,VLOOKUP(G281,CorMove,2,FALSE()),FALSE()),Q281-$CD$3,R281,$CD$5)*H281-CJ281</f>
        <v>#NAME?</v>
      </c>
      <c r="CE281" s="253" t="e">
        <f aca="false">xSPRDOPT((VLOOKUP(G281,NGPREVPRICES,2,FALSE())+HLOOKUP(D281,PREVCURVES,VLOOKUP(G281,MOVE_DOWN2,2,FALSE()),FALSE())),VLOOKUP(G281,NGPREVPRICES,2,FALSE()),CK281,VLOOKUP(G281,NGPrices,4,FALSE()),HLOOKUP(D281,PREVVOLS,VLOOKUP(G281,MOVE_DOWN2,2,FALSE()),FALSE()),VLOOKUP(G281,NGPREVPRICES,3,FALSE()),HLOOKUP(D281,Correllate,VLOOKUP(G281,CorMove,2,FALSE()),FALSE()),Q281-$CD$3,R281,$CJ$5)*H281-CJ281</f>
        <v>#NAME?</v>
      </c>
      <c r="CF281" s="132" t="e">
        <f aca="false">(CJ281/VLOOKUP(CC281,discount,3,FALSE()))-(CJ281/VLOOKUP(CC281,discount,2,FALSE()))</f>
        <v>#NAME?</v>
      </c>
      <c r="CG281" s="253" t="e">
        <f aca="false">xSPRDOPT((VLOOKUP(G281,NGPREVPRICES,2,FALSE())+HLOOKUP(D281,PREVCURVES,VLOOKUP(G281,MOVE_DOWN2,2,FALSE()),FALSE())),VLOOKUP(G281,NGPREVPRICES,2,FALSE()),CK281,VLOOKUP(G281,NGPREVPRICES,4,FALSE()),HLOOKUP(D281,VOLS,VLOOKUP(G281,move_down,2,FALSE()),FALSE()),VLOOKUP(G281,NGPrices,3,FALSE()),HLOOKUP(D281,Correllate,VLOOKUP(G281,CorMove,2,FALSE()),FALSE()),Q281-$CD$3,R281,$CJ$5)*H281-CJ281</f>
        <v>#NAME?</v>
      </c>
      <c r="CH281" s="253" t="e">
        <f aca="false">xSPRDOPT((VLOOKUP(G281,NGPREVPRICES,2,FALSE())+HLOOKUP(D281,PREVCURVES,VLOOKUP(G281,MOVE_DOWN2,2,FALSE()),FALSE())),VLOOKUP(G281,NGPREVPRICES,2,FALSE()),CK281,VLOOKUP(G281,NGPREVPRICES,4,FALSE()),HLOOKUP(D281,PREVVOLS,VLOOKUP(G281,MOVE_DOWN2,2,FALSE()),FALSE()),VLOOKUP(G281,NGPREVPRICES,3,FALSE()),HLOOKUP(D281,Correllate,VLOOKUP(G281,CorMove,2,FALSE()),FALSE()),Q281-$C$3,R281,$CJ$5)*H281-CJ281</f>
        <v>#NAME?</v>
      </c>
      <c r="CI281" s="253" t="e">
        <f aca="false">SUM(CD281:CH281)</f>
        <v>#NAME?</v>
      </c>
      <c r="CJ281" s="253" t="e">
        <f aca="false">xSPRDOPT((VLOOKUP(G281,NGPREVPRICES,2,FALSE())+HLOOKUP(D281,PREVCURVES,VLOOKUP(G281,MOVE_DOWN2,2,FALSE()),FALSE())),VLOOKUP(G281,NGPREVPRICES,2,FALSE()),CK281,VLOOKUP(G281,NGPREVPRICES,4,FALSE()),HLOOKUP(D281,PREVVOLS,VLOOKUP(G281,MOVE_DOWN2,2,FALSE()),FALSE()),VLOOKUP(G281,NGPREVPRICES,3,FALSE()),HLOOKUP(D281,Correllate,VLOOKUP(G281,CorMove,2,FALSE()),FALSE()),Q281-$CD$3,R281,$CJ$5)*H281</f>
        <v>#NAME?</v>
      </c>
      <c r="CK281" s="254" t="n">
        <f aca="false">I281</f>
        <v>3</v>
      </c>
      <c r="CL281" s="253"/>
      <c r="CM281" s="0" t="str">
        <f aca="false">CONCATENATE(CC281,$CD$6)</f>
        <v>36861Curve Shift/Gamma</v>
      </c>
      <c r="CN281" s="0" t="str">
        <f aca="false">CONCATENATE($CC281,$CE$6)</f>
        <v>36861Rho</v>
      </c>
      <c r="CO281" s="0" t="str">
        <f aca="false">CONCATENATE($CC281,$CF$6)</f>
        <v>36861Drift</v>
      </c>
      <c r="CP281" s="0" t="str">
        <f aca="false">CONCATENATE($CC281,$CG$6)</f>
        <v>36861Vega</v>
      </c>
      <c r="CQ281" s="0" t="str">
        <f aca="false">CONCATENATE($CC281,$CH$6)</f>
        <v>36861Theta</v>
      </c>
    </row>
    <row r="282" customFormat="false" ht="12.75" hidden="false" customHeight="false" outlineLevel="0" collapsed="false">
      <c r="A282" s="265" t="s">
        <v>198</v>
      </c>
      <c r="B282" s="0" t="s">
        <v>192</v>
      </c>
      <c r="C282" s="0" t="s">
        <v>294</v>
      </c>
      <c r="D282" s="7" t="s">
        <v>149</v>
      </c>
      <c r="E282" s="0" t="s">
        <v>131</v>
      </c>
      <c r="F282" s="0" t="s">
        <v>136</v>
      </c>
      <c r="G282" s="92" t="n">
        <v>36831</v>
      </c>
      <c r="H282" s="248" t="n">
        <v>-1000000</v>
      </c>
      <c r="I282" s="0" t="n">
        <v>3</v>
      </c>
      <c r="J282" s="124" t="n">
        <f aca="false">VLOOKUP(G282,NGPrices,2,FALSE())</f>
        <v>4.736</v>
      </c>
      <c r="K282" s="125" t="n">
        <f aca="false">HLOOKUP(D282,Prices,VLOOKUP(G282,move_down,2,FALSE()),FALSE())+VLOOKUP(G282,CHANGE,HLOOKUP(D282,CHANGE,2,FALSE()),FALSE())</f>
        <v>0.77</v>
      </c>
      <c r="L282" s="124" t="n">
        <f aca="false">K282+J282</f>
        <v>5.506</v>
      </c>
      <c r="M282" s="126" t="n">
        <f aca="false">VLOOKUP(G282,NGPrices,4,FALSE())</f>
        <v>0.06810675983792</v>
      </c>
      <c r="N282" s="7" t="n">
        <f aca="false">VLOOKUP(G282,NGPrices,3,FALSE())</f>
        <v>0.595</v>
      </c>
      <c r="O282" s="7" t="n">
        <f aca="false">HLOOKUP(D282,VOLS,VLOOKUP(G282,move_down,2,FALSE()),FALSE())</f>
        <v>0.625</v>
      </c>
      <c r="P282" s="249" t="n">
        <f aca="false">HLOOKUP(D282,Correllate,VLOOKUP(G282,CorMove,2,FALSE()),FALSE())</f>
        <v>0.89</v>
      </c>
      <c r="Q282" s="92" t="n">
        <f aca="false">WORKDAY(G282,-2)</f>
        <v>36829</v>
      </c>
      <c r="R282" s="7" t="n">
        <f aca="false">IF(F282="P",0,1)</f>
        <v>1</v>
      </c>
      <c r="S282" s="130" t="e">
        <f aca="false">xSPRDOPT($L282,$J282,$I282,$M282,$O282,$N282,$P282,$Q282-$C$3,$R282,0)</f>
        <v>#NAME?</v>
      </c>
      <c r="T282" s="250" t="e">
        <f aca="false">xSPRDOPT($L282,$J282,$I282,$M282,$O282,$N282,$P282,$Q282-$C$3,$R282,1)*H282</f>
        <v>#NAME?</v>
      </c>
      <c r="U282" s="43" t="e">
        <f aca="false">S282*H282</f>
        <v>#NAME?</v>
      </c>
      <c r="V282" s="250" t="e">
        <f aca="false">xSPRDOPT($L282,$J282,$I282,$M282,$O282,$N282,$P282,$Q282-$C$3,$R282,2)*H282</f>
        <v>#NAME?</v>
      </c>
      <c r="W282" s="250" t="e">
        <f aca="false">+V282+T282</f>
        <v>#NAME?</v>
      </c>
      <c r="X282" s="2" t="str">
        <f aca="false">CONCATENATE(G282,D282)</f>
        <v>36831IF-TRANSCO/Z6</v>
      </c>
      <c r="Y282" s="251" t="n">
        <f aca="false">H282/10000</f>
        <v>-100</v>
      </c>
      <c r="Z282" s="226" t="e">
        <f aca="false">T282/H282</f>
        <v>#NAME?</v>
      </c>
      <c r="AA282" s="226" t="e">
        <f aca="false">xSPRDOPT($L282,$J282,$I282,$M282,$O282,$N282,$P282,$Q282-$C$3,$R282,3)</f>
        <v>#NAME?</v>
      </c>
      <c r="AB282" s="226" t="e">
        <f aca="false">((xSPRDOPT($L282+AB$5,$J282,$I282,$M282,$O282,$N282,$P282,$Q282-$C$3,$R282,3)*$H282)/10000)/100</f>
        <v>#NAME?</v>
      </c>
      <c r="AC282" s="226" t="e">
        <f aca="false">((xSPRDOPT($L282+$AB$5,$J282,$I282,$M282,$O282,$N282,$P282,$Q282-$C$3,$R282,7)*$H282)/100)</f>
        <v>#NAME?</v>
      </c>
      <c r="AD282" s="226" t="e">
        <f aca="false">(xSPRDOPT($L282+$AB$5,$J282,$I282,$M282,$O282,$N282,$P282,$Q282-$C$3,$R282,9)/365)*$H282</f>
        <v>#NAME?</v>
      </c>
      <c r="AE282" s="0" t="e">
        <f aca="false">CD282</f>
        <v>#NAME?</v>
      </c>
      <c r="AF282" s="226" t="e">
        <f aca="false">((O282/N282)*AH282)+AG282</f>
        <v>#NAME?</v>
      </c>
      <c r="AG282" s="226" t="e">
        <f aca="false">((xSPRDOPT($L282,$J282,$I282,$M282,$O282,$N282,$P282,$Q282-$C$3,$R282,6)*$H282)/100)</f>
        <v>#NAME?</v>
      </c>
      <c r="AH282" s="226" t="e">
        <f aca="false">((xSPRDOPT($L282,$J282,$I282,$M282,$O282,$N282,$P282,$Q282-$C$3,$R282,5)*$H282)/100)</f>
        <v>#NAME?</v>
      </c>
      <c r="AI282" s="226" t="e">
        <f aca="false">(((xSPRDOPT($L282,$J282,$I282,$M282,$O282,$N282,$P282,$Q282-$C$3,$R282,4)*$H282)/10000)/100)-AB282</f>
        <v>#NAME?</v>
      </c>
      <c r="AJ282" s="226"/>
      <c r="AK282" s="226"/>
      <c r="AL282" s="226"/>
      <c r="AM282" s="252"/>
      <c r="CC282" s="182" t="n">
        <f aca="false">G282</f>
        <v>36831</v>
      </c>
      <c r="CD282" s="253" t="e">
        <f aca="false">xSPRDOPT((VLOOKUP(G282,NGPrices,2,FALSE())+HLOOKUP(D282,Prices,VLOOKUP(G282,move_down,2,FALSE()),FALSE())),VLOOKUP(G282,NGPrices,2,FALSE()),I282,VLOOKUP(G282,NGPREVPRICES,4,FALSE()),HLOOKUP(D282,PREVVOLS,VLOOKUP(G282,MOVE_DOWN2,2,FALSE()),FALSE()),VLOOKUP(G282,NGPREVPRICES,3,FALSE()),HLOOKUP(D282,Correllate,VLOOKUP(G282,CorMove,2,FALSE()),FALSE()),Q282-$CD$3,R282,$CD$5)*H282-CJ282</f>
        <v>#NAME?</v>
      </c>
      <c r="CE282" s="253" t="e">
        <f aca="false">xSPRDOPT((VLOOKUP(G282,NGPREVPRICES,2,FALSE())+HLOOKUP(D282,PREVCURVES,VLOOKUP(G282,MOVE_DOWN2,2,FALSE()),FALSE())),VLOOKUP(G282,NGPREVPRICES,2,FALSE()),CK282,VLOOKUP(G282,NGPrices,4,FALSE()),HLOOKUP(D282,PREVVOLS,VLOOKUP(G282,MOVE_DOWN2,2,FALSE()),FALSE()),VLOOKUP(G282,NGPREVPRICES,3,FALSE()),HLOOKUP(D282,Correllate,VLOOKUP(G282,CorMove,2,FALSE()),FALSE()),Q282-$CD$3,R282,$CJ$5)*H282-CJ282</f>
        <v>#NAME?</v>
      </c>
      <c r="CF282" s="132" t="e">
        <f aca="false">(CJ282/VLOOKUP(CC282,discount,3,FALSE()))-(CJ282/VLOOKUP(CC282,discount,2,FALSE()))</f>
        <v>#NAME?</v>
      </c>
      <c r="CG282" s="253" t="e">
        <f aca="false">xSPRDOPT((VLOOKUP(G282,NGPREVPRICES,2,FALSE())+HLOOKUP(D282,PREVCURVES,VLOOKUP(G282,MOVE_DOWN2,2,FALSE()),FALSE())),VLOOKUP(G282,NGPREVPRICES,2,FALSE()),CK282,VLOOKUP(G282,NGPREVPRICES,4,FALSE()),HLOOKUP(D282,VOLS,VLOOKUP(G282,move_down,2,FALSE()),FALSE()),VLOOKUP(G282,NGPrices,3,FALSE()),HLOOKUP(D282,Correllate,VLOOKUP(G282,CorMove,2,FALSE()),FALSE()),Q282-$CD$3,R282,$CJ$5)*H282-CJ282</f>
        <v>#NAME?</v>
      </c>
      <c r="CH282" s="253" t="e">
        <f aca="false">xSPRDOPT((VLOOKUP(G282,NGPREVPRICES,2,FALSE())+HLOOKUP(D282,PREVCURVES,VLOOKUP(G282,MOVE_DOWN2,2,FALSE()),FALSE())),VLOOKUP(G282,NGPREVPRICES,2,FALSE()),CK282,VLOOKUP(G282,NGPREVPRICES,4,FALSE()),HLOOKUP(D282,PREVVOLS,VLOOKUP(G282,MOVE_DOWN2,2,FALSE()),FALSE()),VLOOKUP(G282,NGPREVPRICES,3,FALSE()),HLOOKUP(D282,Correllate,VLOOKUP(G282,CorMove,2,FALSE()),FALSE()),Q282-$C$3,R282,$CJ$5)*H282-CJ282</f>
        <v>#NAME?</v>
      </c>
      <c r="CI282" s="253" t="e">
        <f aca="false">SUM(CD282:CH282)</f>
        <v>#NAME?</v>
      </c>
      <c r="CJ282" s="253" t="e">
        <f aca="false">xSPRDOPT((VLOOKUP(G282,NGPREVPRICES,2,FALSE())+HLOOKUP(D282,PREVCURVES,VLOOKUP(G282,MOVE_DOWN2,2,FALSE()),FALSE())),VLOOKUP(G282,NGPREVPRICES,2,FALSE()),CK282,VLOOKUP(G282,NGPREVPRICES,4,FALSE()),HLOOKUP(D282,PREVVOLS,VLOOKUP(G282,MOVE_DOWN2,2,FALSE()),FALSE()),VLOOKUP(G282,NGPREVPRICES,3,FALSE()),HLOOKUP(D282,Correllate,VLOOKUP(G282,CorMove,2,FALSE()),FALSE()),Q282-$CD$3,R282,$CJ$5)*H282</f>
        <v>#NAME?</v>
      </c>
      <c r="CK282" s="254" t="n">
        <f aca="false">I282</f>
        <v>3</v>
      </c>
      <c r="CL282" s="253"/>
      <c r="CM282" s="0" t="str">
        <f aca="false">CONCATENATE(CC282,$CD$6)</f>
        <v>36831Curve Shift/Gamma</v>
      </c>
      <c r="CN282" s="0" t="str">
        <f aca="false">CONCATENATE($CC282,$CE$6)</f>
        <v>36831Rho</v>
      </c>
      <c r="CO282" s="0" t="str">
        <f aca="false">CONCATENATE($CC282,$CF$6)</f>
        <v>36831Drift</v>
      </c>
      <c r="CP282" s="0" t="str">
        <f aca="false">CONCATENATE($CC282,$CG$6)</f>
        <v>36831Vega</v>
      </c>
      <c r="CQ282" s="0" t="str">
        <f aca="false">CONCATENATE($CC282,$CH$6)</f>
        <v>36831Theta</v>
      </c>
    </row>
    <row r="283" customFormat="false" ht="12.75" hidden="false" customHeight="false" outlineLevel="0" collapsed="false">
      <c r="A283" s="265" t="s">
        <v>206</v>
      </c>
      <c r="B283" s="0" t="s">
        <v>192</v>
      </c>
      <c r="C283" s="0" t="s">
        <v>295</v>
      </c>
      <c r="D283" s="7" t="s">
        <v>149</v>
      </c>
      <c r="E283" s="0" t="s">
        <v>131</v>
      </c>
      <c r="F283" s="0" t="s">
        <v>132</v>
      </c>
      <c r="G283" s="92" t="n">
        <v>36951</v>
      </c>
      <c r="H283" s="248" t="n">
        <v>500000</v>
      </c>
      <c r="I283" s="0" t="n">
        <v>0.5</v>
      </c>
      <c r="J283" s="124" t="n">
        <f aca="false">VLOOKUP(G283,NGPrices,2,FALSE())</f>
        <v>4.213</v>
      </c>
      <c r="K283" s="125" t="n">
        <f aca="false">HLOOKUP(D283,Prices,VLOOKUP(G283,move_down,2,FALSE()),FALSE())+VLOOKUP(G283,CHANGE,HLOOKUP(D283,CHANGE,2,FALSE()),FALSE())</f>
        <v>1.075</v>
      </c>
      <c r="L283" s="124" t="n">
        <f aca="false">K283+J283</f>
        <v>5.288</v>
      </c>
      <c r="M283" s="126" t="n">
        <f aca="false">VLOOKUP(G283,NGPrices,4,FALSE())</f>
        <v>0.068879814952707</v>
      </c>
      <c r="N283" s="7" t="n">
        <f aca="false">VLOOKUP(G283,NGPrices,3,FALSE())</f>
        <v>0.5325</v>
      </c>
      <c r="O283" s="7" t="n">
        <f aca="false">HLOOKUP(D283,VOLS,VLOOKUP(G283,move_down,2,FALSE()),FALSE())</f>
        <v>0.612</v>
      </c>
      <c r="P283" s="249" t="n">
        <f aca="false">HLOOKUP(D283,Correllate,VLOOKUP(G283,CorMove,2,FALSE()),FALSE())</f>
        <v>0.83</v>
      </c>
      <c r="Q283" s="92" t="n">
        <f aca="false">WORKDAY(G283,-2)</f>
        <v>36949</v>
      </c>
      <c r="R283" s="7" t="n">
        <f aca="false">IF(F283="P",0,1)</f>
        <v>0</v>
      </c>
      <c r="S283" s="130" t="e">
        <f aca="false">xSPRDOPT($L283,$J283,$I283,$M283,$O283,$N283,$P283,$Q283-$C$3,$R283,0)</f>
        <v>#NAME?</v>
      </c>
      <c r="T283" s="250" t="e">
        <f aca="false">xSPRDOPT($L283,$J283,$I283,$M283,$O283,$N283,$P283,$Q283-$C$3,$R283,1)*H283</f>
        <v>#NAME?</v>
      </c>
      <c r="U283" s="43" t="e">
        <f aca="false">S283*H283</f>
        <v>#NAME?</v>
      </c>
      <c r="V283" s="250" t="e">
        <f aca="false">xSPRDOPT($L283,$J283,$I283,$M283,$O283,$N283,$P283,$Q283-$C$3,$R283,2)*H283</f>
        <v>#NAME?</v>
      </c>
      <c r="W283" s="250" t="e">
        <f aca="false">+V283+T283</f>
        <v>#NAME?</v>
      </c>
      <c r="X283" s="2" t="str">
        <f aca="false">CONCATENATE(G283,D283)</f>
        <v>36951IF-TRANSCO/Z6</v>
      </c>
      <c r="Y283" s="251" t="n">
        <f aca="false">H283/10000</f>
        <v>50</v>
      </c>
      <c r="Z283" s="226" t="e">
        <f aca="false">T283/H283</f>
        <v>#NAME?</v>
      </c>
      <c r="AA283" s="226" t="e">
        <f aca="false">xSPRDOPT($L283,$J283,$I283,$M283,$O283,$N283,$P283,$Q283-$C$3,$R283,3)</f>
        <v>#NAME?</v>
      </c>
      <c r="AB283" s="226" t="e">
        <f aca="false">((xSPRDOPT($L283+AB$5,$J283,$I283,$M283,$O283,$N283,$P283,$Q283-$C$3,$R283,3)*$H283)/10000)/100</f>
        <v>#NAME?</v>
      </c>
      <c r="AC283" s="226" t="e">
        <f aca="false">((xSPRDOPT($L283+$AB$5,$J283,$I283,$M283,$O283,$N283,$P283,$Q283-$C$3,$R283,7)*$H283)/100)</f>
        <v>#NAME?</v>
      </c>
      <c r="AD283" s="226" t="e">
        <f aca="false">(xSPRDOPT($L283+$AB$5,$J283,$I283,$M283,$O283,$N283,$P283,$Q283-$C$3,$R283,9)/365)*$H283</f>
        <v>#NAME?</v>
      </c>
      <c r="AE283" s="0" t="e">
        <f aca="false">CD283</f>
        <v>#NAME?</v>
      </c>
      <c r="AF283" s="226" t="e">
        <f aca="false">((O283/N283)*AH283)+AG283</f>
        <v>#NAME?</v>
      </c>
      <c r="AG283" s="226" t="e">
        <f aca="false">((xSPRDOPT($L283,$J283,$I283,$M283,$O283,$N283,$P283,$Q283-$C$3,$R283,6)*$H283)/100)</f>
        <v>#NAME?</v>
      </c>
      <c r="AH283" s="226" t="e">
        <f aca="false">((xSPRDOPT($L283,$J283,$I283,$M283,$O283,$N283,$P283,$Q283-$C$3,$R283,5)*$H283)/100)</f>
        <v>#NAME?</v>
      </c>
      <c r="AI283" s="226" t="e">
        <f aca="false">(((xSPRDOPT($L283,$J283,$I283,$M283,$O283,$N283,$P283,$Q283-$C$3,$R283,4)*$H283)/10000)/100)-AB283</f>
        <v>#NAME?</v>
      </c>
      <c r="AJ283" s="226"/>
      <c r="AK283" s="226"/>
      <c r="AL283" s="226"/>
      <c r="AM283" s="252"/>
      <c r="CC283" s="182" t="n">
        <f aca="false">G283</f>
        <v>36951</v>
      </c>
      <c r="CD283" s="253" t="e">
        <f aca="false">xSPRDOPT((VLOOKUP(G283,NGPrices,2,FALSE())+HLOOKUP(D283,Prices,VLOOKUP(G283,move_down,2,FALSE()),FALSE())),VLOOKUP(G283,NGPrices,2,FALSE()),I283,VLOOKUP(G283,NGPREVPRICES,4,FALSE()),HLOOKUP(D283,PREVVOLS,VLOOKUP(G283,MOVE_DOWN2,2,FALSE()),FALSE()),VLOOKUP(G283,NGPREVPRICES,3,FALSE()),HLOOKUP(D283,Correllate,VLOOKUP(G283,CorMove,2,FALSE()),FALSE()),Q283-$CD$3,R283,$CD$5)*H283-CJ283</f>
        <v>#NAME?</v>
      </c>
      <c r="CE283" s="253" t="e">
        <f aca="false">xSPRDOPT((VLOOKUP(G283,NGPREVPRICES,2,FALSE())+HLOOKUP(D283,PREVCURVES,VLOOKUP(G283,MOVE_DOWN2,2,FALSE()),FALSE())),VLOOKUP(G283,NGPREVPRICES,2,FALSE()),CK283,VLOOKUP(G283,NGPrices,4,FALSE()),HLOOKUP(D283,PREVVOLS,VLOOKUP(G283,MOVE_DOWN2,2,FALSE()),FALSE()),VLOOKUP(G283,NGPREVPRICES,3,FALSE()),HLOOKUP(D283,Correllate,VLOOKUP(G283,CorMove,2,FALSE()),FALSE()),Q283-$CD$3,R283,$CJ$5)*H283-CJ283</f>
        <v>#NAME?</v>
      </c>
      <c r="CF283" s="132" t="e">
        <f aca="false">(CJ283/VLOOKUP(CC283,discount,3,FALSE()))-(CJ283/VLOOKUP(CC283,discount,2,FALSE()))</f>
        <v>#NAME?</v>
      </c>
      <c r="CG283" s="253" t="e">
        <f aca="false">xSPRDOPT((VLOOKUP(G283,NGPREVPRICES,2,FALSE())+HLOOKUP(D283,PREVCURVES,VLOOKUP(G283,MOVE_DOWN2,2,FALSE()),FALSE())),VLOOKUP(G283,NGPREVPRICES,2,FALSE()),CK283,VLOOKUP(G283,NGPREVPRICES,4,FALSE()),HLOOKUP(D283,VOLS,VLOOKUP(G283,move_down,2,FALSE()),FALSE()),VLOOKUP(G283,NGPrices,3,FALSE()),HLOOKUP(D283,Correllate,VLOOKUP(G283,CorMove,2,FALSE()),FALSE()),Q283-$CD$3,R283,$CJ$5)*H283-CJ283</f>
        <v>#NAME?</v>
      </c>
      <c r="CH283" s="253" t="e">
        <f aca="false">xSPRDOPT((VLOOKUP(G283,NGPREVPRICES,2,FALSE())+HLOOKUP(D283,PREVCURVES,VLOOKUP(G283,MOVE_DOWN2,2,FALSE()),FALSE())),VLOOKUP(G283,NGPREVPRICES,2,FALSE()),CK283,VLOOKUP(G283,NGPREVPRICES,4,FALSE()),HLOOKUP(D283,PREVVOLS,VLOOKUP(G283,MOVE_DOWN2,2,FALSE()),FALSE()),VLOOKUP(G283,NGPREVPRICES,3,FALSE()),HLOOKUP(D283,Correllate,VLOOKUP(G283,CorMove,2,FALSE()),FALSE()),Q283-$C$3,R283,$CJ$5)*H283-CJ283</f>
        <v>#NAME?</v>
      </c>
      <c r="CI283" s="253" t="e">
        <f aca="false">SUM(CD283:CH283)</f>
        <v>#NAME?</v>
      </c>
      <c r="CJ283" s="253" t="e">
        <f aca="false">xSPRDOPT((VLOOKUP(G283,NGPREVPRICES,2,FALSE())+HLOOKUP(D283,PREVCURVES,VLOOKUP(G283,MOVE_DOWN2,2,FALSE()),FALSE())),VLOOKUP(G283,NGPREVPRICES,2,FALSE()),CK283,VLOOKUP(G283,NGPREVPRICES,4,FALSE()),HLOOKUP(D283,PREVVOLS,VLOOKUP(G283,MOVE_DOWN2,2,FALSE()),FALSE()),VLOOKUP(G283,NGPREVPRICES,3,FALSE()),HLOOKUP(D283,Correllate,VLOOKUP(G283,CorMove,2,FALSE()),FALSE()),Q283-$CD$3,R283,$CJ$5)*H283</f>
        <v>#NAME?</v>
      </c>
      <c r="CK283" s="254" t="n">
        <f aca="false">I283</f>
        <v>0.5</v>
      </c>
      <c r="CL283" s="253"/>
      <c r="CM283" s="0" t="str">
        <f aca="false">CONCATENATE(CC283,$CD$6)</f>
        <v>36951Curve Shift/Gamma</v>
      </c>
      <c r="CN283" s="0" t="str">
        <f aca="false">CONCATENATE($CC283,$CE$6)</f>
        <v>36951Rho</v>
      </c>
      <c r="CO283" s="0" t="str">
        <f aca="false">CONCATENATE($CC283,$CF$6)</f>
        <v>36951Drift</v>
      </c>
      <c r="CP283" s="0" t="str">
        <f aca="false">CONCATENATE($CC283,$CG$6)</f>
        <v>36951Vega</v>
      </c>
      <c r="CQ283" s="0" t="str">
        <f aca="false">CONCATENATE($CC283,$CH$6)</f>
        <v>36951Theta</v>
      </c>
    </row>
    <row r="284" customFormat="false" ht="12.75" hidden="false" customHeight="false" outlineLevel="0" collapsed="false">
      <c r="A284" s="265" t="s">
        <v>206</v>
      </c>
      <c r="B284" s="0" t="s">
        <v>192</v>
      </c>
      <c r="C284" s="0" t="s">
        <v>296</v>
      </c>
      <c r="D284" s="7" t="s">
        <v>149</v>
      </c>
      <c r="E284" s="0" t="s">
        <v>131</v>
      </c>
      <c r="F284" s="0" t="s">
        <v>136</v>
      </c>
      <c r="G284" s="92" t="n">
        <v>36951</v>
      </c>
      <c r="H284" s="248" t="n">
        <v>500000</v>
      </c>
      <c r="I284" s="0" t="n">
        <v>1.57</v>
      </c>
      <c r="J284" s="124" t="n">
        <f aca="false">VLOOKUP(G284,NGPrices,2,FALSE())</f>
        <v>4.213</v>
      </c>
      <c r="K284" s="125" t="n">
        <f aca="false">HLOOKUP(D284,Prices,VLOOKUP(G284,move_down,2,FALSE()),FALSE())+VLOOKUP(G284,CHANGE,HLOOKUP(D284,CHANGE,2,FALSE()),FALSE())</f>
        <v>1.075</v>
      </c>
      <c r="L284" s="124" t="n">
        <f aca="false">K284+J284</f>
        <v>5.288</v>
      </c>
      <c r="M284" s="126" t="n">
        <f aca="false">VLOOKUP(G284,NGPrices,4,FALSE())</f>
        <v>0.068879814952707</v>
      </c>
      <c r="N284" s="7" t="n">
        <f aca="false">VLOOKUP(G284,NGPrices,3,FALSE())</f>
        <v>0.5325</v>
      </c>
      <c r="O284" s="7" t="n">
        <f aca="false">HLOOKUP(D284,VOLS,VLOOKUP(G284,move_down,2,FALSE()),FALSE())</f>
        <v>0.612</v>
      </c>
      <c r="P284" s="249" t="n">
        <f aca="false">HLOOKUP(D284,Correllate,VLOOKUP(G284,CorMove,2,FALSE()),FALSE())</f>
        <v>0.83</v>
      </c>
      <c r="Q284" s="92" t="n">
        <f aca="false">WORKDAY(G284,-2)</f>
        <v>36949</v>
      </c>
      <c r="R284" s="7" t="n">
        <f aca="false">IF(F284="P",0,1)</f>
        <v>1</v>
      </c>
      <c r="S284" s="130" t="e">
        <f aca="false">xSPRDOPT($L284,$J284,$I284,$M284,$O284,$N284,$P284,$Q284-$C$3,$R284,0)</f>
        <v>#NAME?</v>
      </c>
      <c r="T284" s="250" t="e">
        <f aca="false">xSPRDOPT($L284,$J284,$I284,$M284,$O284,$N284,$P284,$Q284-$C$3,$R284,1)*H284</f>
        <v>#NAME?</v>
      </c>
      <c r="U284" s="43" t="e">
        <f aca="false">S284*H284</f>
        <v>#NAME?</v>
      </c>
      <c r="V284" s="250" t="e">
        <f aca="false">xSPRDOPT($L284,$J284,$I284,$M284,$O284,$N284,$P284,$Q284-$C$3,$R284,2)*H284</f>
        <v>#NAME?</v>
      </c>
      <c r="W284" s="250" t="e">
        <f aca="false">+V284+T284</f>
        <v>#NAME?</v>
      </c>
      <c r="X284" s="2" t="str">
        <f aca="false">CONCATENATE(G284,D284)</f>
        <v>36951IF-TRANSCO/Z6</v>
      </c>
      <c r="Y284" s="251" t="n">
        <f aca="false">H284/10000</f>
        <v>50</v>
      </c>
      <c r="Z284" s="226" t="e">
        <f aca="false">T284/H284</f>
        <v>#NAME?</v>
      </c>
      <c r="AA284" s="226" t="e">
        <f aca="false">xSPRDOPT($L284,$J284,$I284,$M284,$O284,$N284,$P284,$Q284-$C$3,$R284,3)</f>
        <v>#NAME?</v>
      </c>
      <c r="AB284" s="226" t="e">
        <f aca="false">((xSPRDOPT($L284+AB$5,$J284,$I284,$M284,$O284,$N284,$P284,$Q284-$C$3,$R284,3)*$H284)/10000)/100</f>
        <v>#NAME?</v>
      </c>
      <c r="AC284" s="226" t="e">
        <f aca="false">((xSPRDOPT($L284+$AB$5,$J284,$I284,$M284,$O284,$N284,$P284,$Q284-$C$3,$R284,7)*$H284)/100)</f>
        <v>#NAME?</v>
      </c>
      <c r="AD284" s="226" t="e">
        <f aca="false">(xSPRDOPT($L284+$AB$5,$J284,$I284,$M284,$O284,$N284,$P284,$Q284-$C$3,$R284,9)/365)*$H284</f>
        <v>#NAME?</v>
      </c>
      <c r="AE284" s="0" t="e">
        <f aca="false">CD284</f>
        <v>#NAME?</v>
      </c>
      <c r="AF284" s="226" t="e">
        <f aca="false">((O284/N284)*AH284)+AG284</f>
        <v>#NAME?</v>
      </c>
      <c r="AG284" s="226" t="e">
        <f aca="false">((xSPRDOPT($L284,$J284,$I284,$M284,$O284,$N284,$P284,$Q284-$C$3,$R284,6)*$H284)/100)</f>
        <v>#NAME?</v>
      </c>
      <c r="AH284" s="226" t="e">
        <f aca="false">((xSPRDOPT($L284,$J284,$I284,$M284,$O284,$N284,$P284,$Q284-$C$3,$R284,5)*$H284)/100)</f>
        <v>#NAME?</v>
      </c>
      <c r="AI284" s="226" t="e">
        <f aca="false">(((xSPRDOPT($L284,$J284,$I284,$M284,$O284,$N284,$P284,$Q284-$C$3,$R284,4)*$H284)/10000)/100)-AB284</f>
        <v>#NAME?</v>
      </c>
      <c r="AJ284" s="226"/>
      <c r="AK284" s="226"/>
      <c r="AL284" s="226"/>
      <c r="AM284" s="252"/>
      <c r="CC284" s="182" t="n">
        <f aca="false">G284</f>
        <v>36951</v>
      </c>
      <c r="CD284" s="253" t="e">
        <f aca="false">xSPRDOPT((VLOOKUP(G284,NGPrices,2,FALSE())+HLOOKUP(D284,Prices,VLOOKUP(G284,move_down,2,FALSE()),FALSE())),VLOOKUP(G284,NGPrices,2,FALSE()),I284,VLOOKUP(G284,NGPREVPRICES,4,FALSE()),HLOOKUP(D284,PREVVOLS,VLOOKUP(G284,MOVE_DOWN2,2,FALSE()),FALSE()),VLOOKUP(G284,NGPREVPRICES,3,FALSE()),HLOOKUP(D284,Correllate,VLOOKUP(G284,CorMove,2,FALSE()),FALSE()),Q284-$CD$3,R284,$CD$5)*H284-CJ284</f>
        <v>#NAME?</v>
      </c>
      <c r="CE284" s="253" t="e">
        <f aca="false">xSPRDOPT((VLOOKUP(G284,NGPREVPRICES,2,FALSE())+HLOOKUP(D284,PREVCURVES,VLOOKUP(G284,MOVE_DOWN2,2,FALSE()),FALSE())),VLOOKUP(G284,NGPREVPRICES,2,FALSE()),CK284,VLOOKUP(G284,NGPrices,4,FALSE()),HLOOKUP(D284,PREVVOLS,VLOOKUP(G284,MOVE_DOWN2,2,FALSE()),FALSE()),VLOOKUP(G284,NGPREVPRICES,3,FALSE()),HLOOKUP(D284,Correllate,VLOOKUP(G284,CorMove,2,FALSE()),FALSE()),Q284-$CD$3,R284,$CJ$5)*H284-CJ284</f>
        <v>#NAME?</v>
      </c>
      <c r="CF284" s="132" t="e">
        <f aca="false">(CJ284/VLOOKUP(CC284,discount,3,FALSE()))-(CJ284/VLOOKUP(CC284,discount,2,FALSE()))</f>
        <v>#NAME?</v>
      </c>
      <c r="CG284" s="253" t="e">
        <f aca="false">xSPRDOPT((VLOOKUP(G284,NGPREVPRICES,2,FALSE())+HLOOKUP(D284,PREVCURVES,VLOOKUP(G284,MOVE_DOWN2,2,FALSE()),FALSE())),VLOOKUP(G284,NGPREVPRICES,2,FALSE()),CK284,VLOOKUP(G284,NGPREVPRICES,4,FALSE()),HLOOKUP(D284,VOLS,VLOOKUP(G284,move_down,2,FALSE()),FALSE()),VLOOKUP(G284,NGPrices,3,FALSE()),HLOOKUP(D284,Correllate,VLOOKUP(G284,CorMove,2,FALSE()),FALSE()),Q284-$CD$3,R284,$CJ$5)*H284-CJ284</f>
        <v>#NAME?</v>
      </c>
      <c r="CH284" s="253" t="e">
        <f aca="false">xSPRDOPT((VLOOKUP(G284,NGPREVPRICES,2,FALSE())+HLOOKUP(D284,PREVCURVES,VLOOKUP(G284,MOVE_DOWN2,2,FALSE()),FALSE())),VLOOKUP(G284,NGPREVPRICES,2,FALSE()),CK284,VLOOKUP(G284,NGPREVPRICES,4,FALSE()),HLOOKUP(D284,PREVVOLS,VLOOKUP(G284,MOVE_DOWN2,2,FALSE()),FALSE()),VLOOKUP(G284,NGPREVPRICES,3,FALSE()),HLOOKUP(D284,Correllate,VLOOKUP(G284,CorMove,2,FALSE()),FALSE()),Q284-$C$3,R284,$CJ$5)*H284-CJ284</f>
        <v>#NAME?</v>
      </c>
      <c r="CI284" s="253" t="e">
        <f aca="false">SUM(CD284:CH284)</f>
        <v>#NAME?</v>
      </c>
      <c r="CJ284" s="253" t="e">
        <f aca="false">xSPRDOPT((VLOOKUP(G284,NGPREVPRICES,2,FALSE())+HLOOKUP(D284,PREVCURVES,VLOOKUP(G284,MOVE_DOWN2,2,FALSE()),FALSE())),VLOOKUP(G284,NGPREVPRICES,2,FALSE()),CK284,VLOOKUP(G284,NGPREVPRICES,4,FALSE()),HLOOKUP(D284,PREVVOLS,VLOOKUP(G284,MOVE_DOWN2,2,FALSE()),FALSE()),VLOOKUP(G284,NGPREVPRICES,3,FALSE()),HLOOKUP(D284,Correllate,VLOOKUP(G284,CorMove,2,FALSE()),FALSE()),Q284-$CD$3,R284,$CJ$5)*H284</f>
        <v>#NAME?</v>
      </c>
      <c r="CK284" s="254" t="n">
        <f aca="false">I284</f>
        <v>1.57</v>
      </c>
      <c r="CL284" s="253"/>
      <c r="CM284" s="0" t="str">
        <f aca="false">CONCATENATE(CC284,$CD$6)</f>
        <v>36951Curve Shift/Gamma</v>
      </c>
      <c r="CN284" s="0" t="str">
        <f aca="false">CONCATENATE($CC284,$CE$6)</f>
        <v>36951Rho</v>
      </c>
      <c r="CO284" s="0" t="str">
        <f aca="false">CONCATENATE($CC284,$CF$6)</f>
        <v>36951Drift</v>
      </c>
      <c r="CP284" s="0" t="str">
        <f aca="false">CONCATENATE($CC284,$CG$6)</f>
        <v>36951Vega</v>
      </c>
      <c r="CQ284" s="0" t="str">
        <f aca="false">CONCATENATE($CC284,$CH$6)</f>
        <v>36951Theta</v>
      </c>
    </row>
    <row r="285" customFormat="false" ht="12.75" hidden="false" customHeight="false" outlineLevel="0" collapsed="false">
      <c r="A285" s="265" t="s">
        <v>206</v>
      </c>
      <c r="B285" s="0" t="s">
        <v>192</v>
      </c>
      <c r="C285" s="0" t="s">
        <v>296</v>
      </c>
      <c r="D285" s="7" t="s">
        <v>149</v>
      </c>
      <c r="E285" s="0" t="s">
        <v>131</v>
      </c>
      <c r="F285" s="0" t="s">
        <v>136</v>
      </c>
      <c r="G285" s="92" t="n">
        <v>36923</v>
      </c>
      <c r="H285" s="248" t="n">
        <v>500000</v>
      </c>
      <c r="I285" s="0" t="n">
        <v>1.57</v>
      </c>
      <c r="J285" s="124" t="n">
        <f aca="false">VLOOKUP(G285,NGPrices,2,FALSE())</f>
        <v>4.48</v>
      </c>
      <c r="K285" s="125" t="n">
        <f aca="false">HLOOKUP(D285,Prices,VLOOKUP(G285,move_down,2,FALSE()),FALSE())+VLOOKUP(G285,CHANGE,HLOOKUP(D285,CHANGE,2,FALSE()),FALSE())</f>
        <v>2.09</v>
      </c>
      <c r="L285" s="124" t="n">
        <f aca="false">K285+J285</f>
        <v>6.57</v>
      </c>
      <c r="M285" s="126" t="n">
        <f aca="false">VLOOKUP(G285,NGPrices,4,FALSE())</f>
        <v>0.068640161611372</v>
      </c>
      <c r="N285" s="7" t="n">
        <f aca="false">VLOOKUP(G285,NGPrices,3,FALSE())</f>
        <v>0.5925</v>
      </c>
      <c r="O285" s="7" t="n">
        <f aca="false">HLOOKUP(D285,VOLS,VLOOKUP(G285,move_down,2,FALSE()),FALSE())</f>
        <v>0.681</v>
      </c>
      <c r="P285" s="249" t="n">
        <f aca="false">HLOOKUP(D285,Correllate,VLOOKUP(G285,CorMove,2,FALSE()),FALSE())</f>
        <v>0.83</v>
      </c>
      <c r="Q285" s="92" t="n">
        <f aca="false">WORKDAY(G285,-2)</f>
        <v>36921</v>
      </c>
      <c r="R285" s="7" t="n">
        <f aca="false">IF(F285="P",0,1)</f>
        <v>1</v>
      </c>
      <c r="S285" s="130" t="e">
        <f aca="false">xSPRDOPT($L285,$J285,$I285,$M285,$O285,$N285,$P285,$Q285-$C$3,$R285,0)</f>
        <v>#NAME?</v>
      </c>
      <c r="T285" s="250" t="e">
        <f aca="false">xSPRDOPT($L285,$J285,$I285,$M285,$O285,$N285,$P285,$Q285-$C$3,$R285,1)*H285</f>
        <v>#NAME?</v>
      </c>
      <c r="U285" s="43" t="e">
        <f aca="false">S285*H285</f>
        <v>#NAME?</v>
      </c>
      <c r="V285" s="250" t="e">
        <f aca="false">xSPRDOPT($L285,$J285,$I285,$M285,$O285,$N285,$P285,$Q285-$C$3,$R285,2)*H285</f>
        <v>#NAME?</v>
      </c>
      <c r="W285" s="250" t="e">
        <f aca="false">+V285+T285</f>
        <v>#NAME?</v>
      </c>
      <c r="X285" s="2" t="str">
        <f aca="false">CONCATENATE(G285,D285)</f>
        <v>36923IF-TRANSCO/Z6</v>
      </c>
      <c r="Y285" s="251" t="n">
        <f aca="false">H285/10000</f>
        <v>50</v>
      </c>
      <c r="Z285" s="226" t="e">
        <f aca="false">T285/H285</f>
        <v>#NAME?</v>
      </c>
      <c r="AA285" s="226" t="e">
        <f aca="false">xSPRDOPT($L285,$J285,$I285,$M285,$O285,$N285,$P285,$Q285-$C$3,$R285,3)</f>
        <v>#NAME?</v>
      </c>
      <c r="AB285" s="226" t="e">
        <f aca="false">((xSPRDOPT($L285+AB$5,$J285,$I285,$M285,$O285,$N285,$P285,$Q285-$C$3,$R285,3)*$H285)/10000)/100</f>
        <v>#NAME?</v>
      </c>
      <c r="AC285" s="226" t="e">
        <f aca="false">((xSPRDOPT($L285+$AB$5,$J285,$I285,$M285,$O285,$N285,$P285,$Q285-$C$3,$R285,7)*$H285)/100)</f>
        <v>#NAME?</v>
      </c>
      <c r="AD285" s="226" t="e">
        <f aca="false">(xSPRDOPT($L285+$AB$5,$J285,$I285,$M285,$O285,$N285,$P285,$Q285-$C$3,$R285,9)/365)*$H285</f>
        <v>#NAME?</v>
      </c>
      <c r="AE285" s="0" t="e">
        <f aca="false">CD285</f>
        <v>#NAME?</v>
      </c>
      <c r="AF285" s="226" t="e">
        <f aca="false">((O285/N285)*AH285)+AG285</f>
        <v>#NAME?</v>
      </c>
      <c r="AG285" s="226" t="e">
        <f aca="false">((xSPRDOPT($L285,$J285,$I285,$M285,$O285,$N285,$P285,$Q285-$C$3,$R285,6)*$H285)/100)</f>
        <v>#NAME?</v>
      </c>
      <c r="AH285" s="226" t="e">
        <f aca="false">((xSPRDOPT($L285,$J285,$I285,$M285,$O285,$N285,$P285,$Q285-$C$3,$R285,5)*$H285)/100)</f>
        <v>#NAME?</v>
      </c>
      <c r="AI285" s="226" t="e">
        <f aca="false">(((xSPRDOPT($L285,$J285,$I285,$M285,$O285,$N285,$P285,$Q285-$C$3,$R285,4)*$H285)/10000)/100)-AB285</f>
        <v>#NAME?</v>
      </c>
      <c r="AJ285" s="226"/>
      <c r="AK285" s="226"/>
      <c r="AL285" s="226"/>
      <c r="AM285" s="252"/>
      <c r="CC285" s="182" t="n">
        <f aca="false">G285</f>
        <v>36923</v>
      </c>
      <c r="CD285" s="253" t="e">
        <f aca="false">xSPRDOPT((VLOOKUP(G285,NGPrices,2,FALSE())+HLOOKUP(D285,Prices,VLOOKUP(G285,move_down,2,FALSE()),FALSE())),VLOOKUP(G285,NGPrices,2,FALSE()),I285,VLOOKUP(G285,NGPREVPRICES,4,FALSE()),HLOOKUP(D285,PREVVOLS,VLOOKUP(G285,MOVE_DOWN2,2,FALSE()),FALSE()),VLOOKUP(G285,NGPREVPRICES,3,FALSE()),HLOOKUP(D285,Correllate,VLOOKUP(G285,CorMove,2,FALSE()),FALSE()),Q285-$CD$3,R285,$CD$5)*H285-CJ285</f>
        <v>#NAME?</v>
      </c>
      <c r="CE285" s="253" t="e">
        <f aca="false">xSPRDOPT((VLOOKUP(G285,NGPREVPRICES,2,FALSE())+HLOOKUP(D285,PREVCURVES,VLOOKUP(G285,MOVE_DOWN2,2,FALSE()),FALSE())),VLOOKUP(G285,NGPREVPRICES,2,FALSE()),CK285,VLOOKUP(G285,NGPrices,4,FALSE()),HLOOKUP(D285,PREVVOLS,VLOOKUP(G285,MOVE_DOWN2,2,FALSE()),FALSE()),VLOOKUP(G285,NGPREVPRICES,3,FALSE()),HLOOKUP(D285,Correllate,VLOOKUP(G285,CorMove,2,FALSE()),FALSE()),Q285-$CD$3,R285,$CJ$5)*H285-CJ285</f>
        <v>#NAME?</v>
      </c>
      <c r="CF285" s="132" t="e">
        <f aca="false">(CJ285/VLOOKUP(CC285,discount,3,FALSE()))-(CJ285/VLOOKUP(CC285,discount,2,FALSE()))</f>
        <v>#NAME?</v>
      </c>
      <c r="CG285" s="253" t="e">
        <f aca="false">xSPRDOPT((VLOOKUP(G285,NGPREVPRICES,2,FALSE())+HLOOKUP(D285,PREVCURVES,VLOOKUP(G285,MOVE_DOWN2,2,FALSE()),FALSE())),VLOOKUP(G285,NGPREVPRICES,2,FALSE()),CK285,VLOOKUP(G285,NGPREVPRICES,4,FALSE()),HLOOKUP(D285,VOLS,VLOOKUP(G285,move_down,2,FALSE()),FALSE()),VLOOKUP(G285,NGPrices,3,FALSE()),HLOOKUP(D285,Correllate,VLOOKUP(G285,CorMove,2,FALSE()),FALSE()),Q285-$CD$3,R285,$CJ$5)*H285-CJ285</f>
        <v>#NAME?</v>
      </c>
      <c r="CH285" s="253" t="e">
        <f aca="false">xSPRDOPT((VLOOKUP(G285,NGPREVPRICES,2,FALSE())+HLOOKUP(D285,PREVCURVES,VLOOKUP(G285,MOVE_DOWN2,2,FALSE()),FALSE())),VLOOKUP(G285,NGPREVPRICES,2,FALSE()),CK285,VLOOKUP(G285,NGPREVPRICES,4,FALSE()),HLOOKUP(D285,PREVVOLS,VLOOKUP(G285,MOVE_DOWN2,2,FALSE()),FALSE()),VLOOKUP(G285,NGPREVPRICES,3,FALSE()),HLOOKUP(D285,Correllate,VLOOKUP(G285,CorMove,2,FALSE()),FALSE()),Q285-$C$3,R285,$CJ$5)*H285-CJ285</f>
        <v>#NAME?</v>
      </c>
      <c r="CI285" s="253" t="e">
        <f aca="false">SUM(CD285:CH285)</f>
        <v>#NAME?</v>
      </c>
      <c r="CJ285" s="253" t="e">
        <f aca="false">xSPRDOPT((VLOOKUP(G285,NGPREVPRICES,2,FALSE())+HLOOKUP(D285,PREVCURVES,VLOOKUP(G285,MOVE_DOWN2,2,FALSE()),FALSE())),VLOOKUP(G285,NGPREVPRICES,2,FALSE()),CK285,VLOOKUP(G285,NGPREVPRICES,4,FALSE()),HLOOKUP(D285,PREVVOLS,VLOOKUP(G285,MOVE_DOWN2,2,FALSE()),FALSE()),VLOOKUP(G285,NGPREVPRICES,3,FALSE()),HLOOKUP(D285,Correllate,VLOOKUP(G285,CorMove,2,FALSE()),FALSE()),Q285-$CD$3,R285,$CJ$5)*H285</f>
        <v>#NAME?</v>
      </c>
      <c r="CK285" s="254" t="n">
        <f aca="false">I285</f>
        <v>1.57</v>
      </c>
      <c r="CL285" s="253"/>
      <c r="CM285" s="0" t="str">
        <f aca="false">CONCATENATE(CC285,$CD$6)</f>
        <v>36923Curve Shift/Gamma</v>
      </c>
      <c r="CN285" s="0" t="str">
        <f aca="false">CONCATENATE($CC285,$CE$6)</f>
        <v>36923Rho</v>
      </c>
      <c r="CO285" s="0" t="str">
        <f aca="false">CONCATENATE($CC285,$CF$6)</f>
        <v>36923Drift</v>
      </c>
      <c r="CP285" s="0" t="str">
        <f aca="false">CONCATENATE($CC285,$CG$6)</f>
        <v>36923Vega</v>
      </c>
      <c r="CQ285" s="0" t="str">
        <f aca="false">CONCATENATE($CC285,$CH$6)</f>
        <v>36923Theta</v>
      </c>
    </row>
    <row r="286" customFormat="false" ht="12.75" hidden="false" customHeight="false" outlineLevel="0" collapsed="false">
      <c r="A286" s="265" t="s">
        <v>206</v>
      </c>
      <c r="B286" s="0" t="s">
        <v>192</v>
      </c>
      <c r="C286" s="0" t="s">
        <v>296</v>
      </c>
      <c r="D286" s="7" t="s">
        <v>149</v>
      </c>
      <c r="E286" s="0" t="s">
        <v>131</v>
      </c>
      <c r="F286" s="0" t="s">
        <v>136</v>
      </c>
      <c r="G286" s="92" t="n">
        <v>36892</v>
      </c>
      <c r="H286" s="248" t="n">
        <v>500000</v>
      </c>
      <c r="I286" s="0" t="n">
        <v>1.57</v>
      </c>
      <c r="J286" s="124" t="n">
        <f aca="false">VLOOKUP(G286,NGPrices,2,FALSE())</f>
        <v>4.744</v>
      </c>
      <c r="K286" s="125" t="n">
        <f aca="false">HLOOKUP(D286,Prices,VLOOKUP(G286,move_down,2,FALSE()),FALSE())+VLOOKUP(G286,CHANGE,HLOOKUP(D286,CHANGE,2,FALSE()),FALSE())</f>
        <v>2.17</v>
      </c>
      <c r="L286" s="124" t="n">
        <f aca="false">K286+J286</f>
        <v>6.914</v>
      </c>
      <c r="M286" s="126" t="n">
        <f aca="false">VLOOKUP(G286,NGPrices,4,FALSE())</f>
        <v>0.068374831148491</v>
      </c>
      <c r="N286" s="7" t="n">
        <f aca="false">VLOOKUP(G286,NGPrices,3,FALSE())</f>
        <v>0.605</v>
      </c>
      <c r="O286" s="7" t="n">
        <f aca="false">HLOOKUP(D286,VOLS,VLOOKUP(G286,move_down,2,FALSE()),FALSE())</f>
        <v>0.696</v>
      </c>
      <c r="P286" s="249" t="n">
        <f aca="false">HLOOKUP(D286,Correllate,VLOOKUP(G286,CorMove,2,FALSE()),FALSE())</f>
        <v>0.83</v>
      </c>
      <c r="Q286" s="92" t="n">
        <f aca="false">WORKDAY(G286,-2)</f>
        <v>36888</v>
      </c>
      <c r="R286" s="7" t="n">
        <f aca="false">IF(F286="P",0,1)</f>
        <v>1</v>
      </c>
      <c r="S286" s="130" t="e">
        <f aca="false">xSPRDOPT($L286,$J286,$I286,$M286,$O286,$N286,$P286,$Q286-$C$3,$R286,0)</f>
        <v>#NAME?</v>
      </c>
      <c r="T286" s="250" t="e">
        <f aca="false">xSPRDOPT($L286,$J286,$I286,$M286,$O286,$N286,$P286,$Q286-$C$3,$R286,1)*H286</f>
        <v>#NAME?</v>
      </c>
      <c r="U286" s="43" t="e">
        <f aca="false">S286*H286</f>
        <v>#NAME?</v>
      </c>
      <c r="V286" s="250" t="e">
        <f aca="false">xSPRDOPT($L286,$J286,$I286,$M286,$O286,$N286,$P286,$Q286-$C$3,$R286,2)*H286</f>
        <v>#NAME?</v>
      </c>
      <c r="W286" s="250" t="e">
        <f aca="false">+V286+T286</f>
        <v>#NAME?</v>
      </c>
      <c r="X286" s="2" t="str">
        <f aca="false">CONCATENATE(G286,D286)</f>
        <v>36892IF-TRANSCO/Z6</v>
      </c>
      <c r="Y286" s="251" t="n">
        <f aca="false">H286/10000</f>
        <v>50</v>
      </c>
      <c r="Z286" s="226" t="e">
        <f aca="false">T286/H286</f>
        <v>#NAME?</v>
      </c>
      <c r="AA286" s="226" t="e">
        <f aca="false">xSPRDOPT($L286,$J286,$I286,$M286,$O286,$N286,$P286,$Q286-$C$3,$R286,3)</f>
        <v>#NAME?</v>
      </c>
      <c r="AB286" s="226" t="e">
        <f aca="false">((xSPRDOPT($L286+AB$5,$J286,$I286,$M286,$O286,$N286,$P286,$Q286-$C$3,$R286,3)*$H286)/10000)/100</f>
        <v>#NAME?</v>
      </c>
      <c r="AC286" s="226" t="e">
        <f aca="false">((xSPRDOPT($L286+$AB$5,$J286,$I286,$M286,$O286,$N286,$P286,$Q286-$C$3,$R286,7)*$H286)/100)</f>
        <v>#NAME?</v>
      </c>
      <c r="AD286" s="226" t="e">
        <f aca="false">(xSPRDOPT($L286+$AB$5,$J286,$I286,$M286,$O286,$N286,$P286,$Q286-$C$3,$R286,9)/365)*$H286</f>
        <v>#NAME?</v>
      </c>
      <c r="AE286" s="0" t="e">
        <f aca="false">CD286</f>
        <v>#NAME?</v>
      </c>
      <c r="AF286" s="226" t="e">
        <f aca="false">((O286/N286)*AH286)+AG286</f>
        <v>#NAME?</v>
      </c>
      <c r="AG286" s="226" t="e">
        <f aca="false">((xSPRDOPT($L286,$J286,$I286,$M286,$O286,$N286,$P286,$Q286-$C$3,$R286,6)*$H286)/100)</f>
        <v>#NAME?</v>
      </c>
      <c r="AH286" s="226" t="e">
        <f aca="false">((xSPRDOPT($L286,$J286,$I286,$M286,$O286,$N286,$P286,$Q286-$C$3,$R286,5)*$H286)/100)</f>
        <v>#NAME?</v>
      </c>
      <c r="AI286" s="226" t="e">
        <f aca="false">(((xSPRDOPT($L286,$J286,$I286,$M286,$O286,$N286,$P286,$Q286-$C$3,$R286,4)*$H286)/10000)/100)-AB286</f>
        <v>#NAME?</v>
      </c>
      <c r="AJ286" s="226"/>
      <c r="AK286" s="226"/>
      <c r="AL286" s="226"/>
      <c r="AM286" s="252"/>
      <c r="CC286" s="182" t="n">
        <f aca="false">G286</f>
        <v>36892</v>
      </c>
      <c r="CD286" s="253" t="e">
        <f aca="false">xSPRDOPT((VLOOKUP(G286,NGPrices,2,FALSE())+HLOOKUP(D286,Prices,VLOOKUP(G286,move_down,2,FALSE()),FALSE())),VLOOKUP(G286,NGPrices,2,FALSE()),I286,VLOOKUP(G286,NGPREVPRICES,4,FALSE()),HLOOKUP(D286,PREVVOLS,VLOOKUP(G286,MOVE_DOWN2,2,FALSE()),FALSE()),VLOOKUP(G286,NGPREVPRICES,3,FALSE()),HLOOKUP(D286,Correllate,VLOOKUP(G286,CorMove,2,FALSE()),FALSE()),Q286-$CD$3,R286,$CD$5)*H286-CJ286</f>
        <v>#NAME?</v>
      </c>
      <c r="CE286" s="253" t="e">
        <f aca="false">xSPRDOPT((VLOOKUP(G286,NGPREVPRICES,2,FALSE())+HLOOKUP(D286,PREVCURVES,VLOOKUP(G286,MOVE_DOWN2,2,FALSE()),FALSE())),VLOOKUP(G286,NGPREVPRICES,2,FALSE()),CK286,VLOOKUP(G286,NGPrices,4,FALSE()),HLOOKUP(D286,PREVVOLS,VLOOKUP(G286,MOVE_DOWN2,2,FALSE()),FALSE()),VLOOKUP(G286,NGPREVPRICES,3,FALSE()),HLOOKUP(D286,Correllate,VLOOKUP(G286,CorMove,2,FALSE()),FALSE()),Q286-$CD$3,R286,$CJ$5)*H286-CJ286</f>
        <v>#NAME?</v>
      </c>
      <c r="CF286" s="132" t="e">
        <f aca="false">(CJ286/VLOOKUP(CC286,discount,3,FALSE()))-(CJ286/VLOOKUP(CC286,discount,2,FALSE()))</f>
        <v>#NAME?</v>
      </c>
      <c r="CG286" s="253" t="e">
        <f aca="false">xSPRDOPT((VLOOKUP(G286,NGPREVPRICES,2,FALSE())+HLOOKUP(D286,PREVCURVES,VLOOKUP(G286,MOVE_DOWN2,2,FALSE()),FALSE())),VLOOKUP(G286,NGPREVPRICES,2,FALSE()),CK286,VLOOKUP(G286,NGPREVPRICES,4,FALSE()),HLOOKUP(D286,VOLS,VLOOKUP(G286,move_down,2,FALSE()),FALSE()),VLOOKUP(G286,NGPrices,3,FALSE()),HLOOKUP(D286,Correllate,VLOOKUP(G286,CorMove,2,FALSE()),FALSE()),Q286-$CD$3,R286,$CJ$5)*H286-CJ286</f>
        <v>#NAME?</v>
      </c>
      <c r="CH286" s="253" t="e">
        <f aca="false">xSPRDOPT((VLOOKUP(G286,NGPREVPRICES,2,FALSE())+HLOOKUP(D286,PREVCURVES,VLOOKUP(G286,MOVE_DOWN2,2,FALSE()),FALSE())),VLOOKUP(G286,NGPREVPRICES,2,FALSE()),CK286,VLOOKUP(G286,NGPREVPRICES,4,FALSE()),HLOOKUP(D286,PREVVOLS,VLOOKUP(G286,MOVE_DOWN2,2,FALSE()),FALSE()),VLOOKUP(G286,NGPREVPRICES,3,FALSE()),HLOOKUP(D286,Correllate,VLOOKUP(G286,CorMove,2,FALSE()),FALSE()),Q286-$C$3,R286,$CJ$5)*H286-CJ286</f>
        <v>#NAME?</v>
      </c>
      <c r="CI286" s="253" t="e">
        <f aca="false">SUM(CD286:CH286)</f>
        <v>#NAME?</v>
      </c>
      <c r="CJ286" s="253" t="e">
        <f aca="false">xSPRDOPT((VLOOKUP(G286,NGPREVPRICES,2,FALSE())+HLOOKUP(D286,PREVCURVES,VLOOKUP(G286,MOVE_DOWN2,2,FALSE()),FALSE())),VLOOKUP(G286,NGPREVPRICES,2,FALSE()),CK286,VLOOKUP(G286,NGPREVPRICES,4,FALSE()),HLOOKUP(D286,PREVVOLS,VLOOKUP(G286,MOVE_DOWN2,2,FALSE()),FALSE()),VLOOKUP(G286,NGPREVPRICES,3,FALSE()),HLOOKUP(D286,Correllate,VLOOKUP(G286,CorMove,2,FALSE()),FALSE()),Q286-$CD$3,R286,$CJ$5)*H286</f>
        <v>#NAME?</v>
      </c>
      <c r="CK286" s="254" t="n">
        <f aca="false">I286</f>
        <v>1.57</v>
      </c>
      <c r="CL286" s="253"/>
      <c r="CM286" s="0" t="str">
        <f aca="false">CONCATENATE(CC286,$CD$6)</f>
        <v>36892Curve Shift/Gamma</v>
      </c>
      <c r="CN286" s="0" t="str">
        <f aca="false">CONCATENATE($CC286,$CE$6)</f>
        <v>36892Rho</v>
      </c>
      <c r="CO286" s="0" t="str">
        <f aca="false">CONCATENATE($CC286,$CF$6)</f>
        <v>36892Drift</v>
      </c>
      <c r="CP286" s="0" t="str">
        <f aca="false">CONCATENATE($CC286,$CG$6)</f>
        <v>36892Vega</v>
      </c>
      <c r="CQ286" s="0" t="str">
        <f aca="false">CONCATENATE($CC286,$CH$6)</f>
        <v>36892Theta</v>
      </c>
    </row>
    <row r="287" customFormat="false" ht="12.75" hidden="false" customHeight="false" outlineLevel="0" collapsed="false">
      <c r="A287" s="265" t="s">
        <v>206</v>
      </c>
      <c r="B287" s="0" t="s">
        <v>192</v>
      </c>
      <c r="C287" s="0" t="s">
        <v>296</v>
      </c>
      <c r="D287" s="7" t="s">
        <v>149</v>
      </c>
      <c r="E287" s="0" t="s">
        <v>131</v>
      </c>
      <c r="F287" s="0" t="s">
        <v>136</v>
      </c>
      <c r="G287" s="92" t="n">
        <v>36861</v>
      </c>
      <c r="H287" s="248" t="n">
        <v>500000</v>
      </c>
      <c r="I287" s="0" t="n">
        <v>1.57</v>
      </c>
      <c r="J287" s="124" t="n">
        <f aca="false">VLOOKUP(G287,NGPrices,2,FALSE())</f>
        <v>4.8</v>
      </c>
      <c r="K287" s="125" t="n">
        <f aca="false">HLOOKUP(D287,Prices,VLOOKUP(G287,move_down,2,FALSE()),FALSE())+VLOOKUP(G287,CHANGE,HLOOKUP(D287,CHANGE,2,FALSE()),FALSE())</f>
        <v>1.645</v>
      </c>
      <c r="L287" s="124" t="n">
        <f aca="false">K287+J287</f>
        <v>6.445</v>
      </c>
      <c r="M287" s="126" t="n">
        <f aca="false">VLOOKUP(G287,NGPrices,4,FALSE())</f>
        <v>0.068314027999354</v>
      </c>
      <c r="N287" s="7" t="n">
        <f aca="false">VLOOKUP(G287,NGPrices,3,FALSE())</f>
        <v>0.6</v>
      </c>
      <c r="O287" s="7" t="n">
        <f aca="false">HLOOKUP(D287,VOLS,VLOOKUP(G287,move_down,2,FALSE()),FALSE())</f>
        <v>0.69</v>
      </c>
      <c r="P287" s="249" t="n">
        <f aca="false">HLOOKUP(D287,Correllate,VLOOKUP(G287,CorMove,2,FALSE()),FALSE())</f>
        <v>0.83</v>
      </c>
      <c r="Q287" s="92" t="n">
        <f aca="false">WORKDAY(G287,-2)</f>
        <v>36859</v>
      </c>
      <c r="R287" s="7" t="n">
        <f aca="false">IF(F287="P",0,1)</f>
        <v>1</v>
      </c>
      <c r="S287" s="130" t="e">
        <f aca="false">xSPRDOPT($L287,$J287,$I287,$M287,$O287,$N287,$P287,$Q287-$C$3,$R287,0)</f>
        <v>#NAME?</v>
      </c>
      <c r="T287" s="250" t="e">
        <f aca="false">xSPRDOPT($L287,$J287,$I287,$M287,$O287,$N287,$P287,$Q287-$C$3,$R287,1)*H287</f>
        <v>#NAME?</v>
      </c>
      <c r="U287" s="43" t="e">
        <f aca="false">S287*H287</f>
        <v>#NAME?</v>
      </c>
      <c r="V287" s="250" t="e">
        <f aca="false">xSPRDOPT($L287,$J287,$I287,$M287,$O287,$N287,$P287,$Q287-$C$3,$R287,2)*H287</f>
        <v>#NAME?</v>
      </c>
      <c r="W287" s="250" t="e">
        <f aca="false">+V287+T287</f>
        <v>#NAME?</v>
      </c>
      <c r="X287" s="2" t="str">
        <f aca="false">CONCATENATE(G287,D287)</f>
        <v>36861IF-TRANSCO/Z6</v>
      </c>
      <c r="Y287" s="251" t="n">
        <f aca="false">H287/10000</f>
        <v>50</v>
      </c>
      <c r="Z287" s="226" t="e">
        <f aca="false">T287/H287</f>
        <v>#NAME?</v>
      </c>
      <c r="AA287" s="226" t="e">
        <f aca="false">xSPRDOPT($L287,$J287,$I287,$M287,$O287,$N287,$P287,$Q287-$C$3,$R287,3)</f>
        <v>#NAME?</v>
      </c>
      <c r="AB287" s="226" t="e">
        <f aca="false">((xSPRDOPT($L287+AB$5,$J287,$I287,$M287,$O287,$N287,$P287,$Q287-$C$3,$R287,3)*$H287)/10000)/100</f>
        <v>#NAME?</v>
      </c>
      <c r="AC287" s="226" t="e">
        <f aca="false">((xSPRDOPT($L287+$AB$5,$J287,$I287,$M287,$O287,$N287,$P287,$Q287-$C$3,$R287,7)*$H287)/100)</f>
        <v>#NAME?</v>
      </c>
      <c r="AD287" s="226" t="e">
        <f aca="false">(xSPRDOPT($L287+$AB$5,$J287,$I287,$M287,$O287,$N287,$P287,$Q287-$C$3,$R287,9)/365)*$H287</f>
        <v>#NAME?</v>
      </c>
      <c r="AE287" s="0" t="e">
        <f aca="false">CD287</f>
        <v>#NAME?</v>
      </c>
      <c r="AF287" s="226" t="e">
        <f aca="false">((O287/N287)*AH287)+AG287</f>
        <v>#NAME?</v>
      </c>
      <c r="AG287" s="226" t="e">
        <f aca="false">((xSPRDOPT($L287,$J287,$I287,$M287,$O287,$N287,$P287,$Q287-$C$3,$R287,6)*$H287)/100)</f>
        <v>#NAME?</v>
      </c>
      <c r="AH287" s="226" t="e">
        <f aca="false">((xSPRDOPT($L287,$J287,$I287,$M287,$O287,$N287,$P287,$Q287-$C$3,$R287,5)*$H287)/100)</f>
        <v>#NAME?</v>
      </c>
      <c r="AI287" s="226" t="e">
        <f aca="false">(((xSPRDOPT($L287,$J287,$I287,$M287,$O287,$N287,$P287,$Q287-$C$3,$R287,4)*$H287)/10000)/100)-AB287</f>
        <v>#NAME?</v>
      </c>
      <c r="AJ287" s="226"/>
      <c r="AK287" s="226"/>
      <c r="AL287" s="226"/>
      <c r="AM287" s="252"/>
      <c r="CC287" s="182" t="n">
        <f aca="false">G287</f>
        <v>36861</v>
      </c>
      <c r="CD287" s="253" t="e">
        <f aca="false">xSPRDOPT((VLOOKUP(G287,NGPrices,2,FALSE())+HLOOKUP(D287,Prices,VLOOKUP(G287,move_down,2,FALSE()),FALSE())),VLOOKUP(G287,NGPrices,2,FALSE()),I287,VLOOKUP(G287,NGPREVPRICES,4,FALSE()),HLOOKUP(D287,PREVVOLS,VLOOKUP(G287,MOVE_DOWN2,2,FALSE()),FALSE()),VLOOKUP(G287,NGPREVPRICES,3,FALSE()),HLOOKUP(D287,Correllate,VLOOKUP(G287,CorMove,2,FALSE()),FALSE()),Q287-$CD$3,R287,$CD$5)*H287-CJ287</f>
        <v>#NAME?</v>
      </c>
      <c r="CE287" s="253" t="e">
        <f aca="false">xSPRDOPT((VLOOKUP(G287,NGPREVPRICES,2,FALSE())+HLOOKUP(D287,PREVCURVES,VLOOKUP(G287,MOVE_DOWN2,2,FALSE()),FALSE())),VLOOKUP(G287,NGPREVPRICES,2,FALSE()),CK287,VLOOKUP(G287,NGPrices,4,FALSE()),HLOOKUP(D287,PREVVOLS,VLOOKUP(G287,MOVE_DOWN2,2,FALSE()),FALSE()),VLOOKUP(G287,NGPREVPRICES,3,FALSE()),HLOOKUP(D287,Correllate,VLOOKUP(G287,CorMove,2,FALSE()),FALSE()),Q287-$CD$3,R287,$CJ$5)*H287-CJ287</f>
        <v>#NAME?</v>
      </c>
      <c r="CF287" s="132" t="e">
        <f aca="false">(CJ287/VLOOKUP(CC287,discount,3,FALSE()))-(CJ287/VLOOKUP(CC287,discount,2,FALSE()))</f>
        <v>#NAME?</v>
      </c>
      <c r="CG287" s="253" t="e">
        <f aca="false">xSPRDOPT((VLOOKUP(G287,NGPREVPRICES,2,FALSE())+HLOOKUP(D287,PREVCURVES,VLOOKUP(G287,MOVE_DOWN2,2,FALSE()),FALSE())),VLOOKUP(G287,NGPREVPRICES,2,FALSE()),CK287,VLOOKUP(G287,NGPREVPRICES,4,FALSE()),HLOOKUP(D287,VOLS,VLOOKUP(G287,move_down,2,FALSE()),FALSE()),VLOOKUP(G287,NGPrices,3,FALSE()),HLOOKUP(D287,Correllate,VLOOKUP(G287,CorMove,2,FALSE()),FALSE()),Q287-$CD$3,R287,$CJ$5)*H287-CJ287</f>
        <v>#NAME?</v>
      </c>
      <c r="CH287" s="253" t="e">
        <f aca="false">xSPRDOPT((VLOOKUP(G287,NGPREVPRICES,2,FALSE())+HLOOKUP(D287,PREVCURVES,VLOOKUP(G287,MOVE_DOWN2,2,FALSE()),FALSE())),VLOOKUP(G287,NGPREVPRICES,2,FALSE()),CK287,VLOOKUP(G287,NGPREVPRICES,4,FALSE()),HLOOKUP(D287,PREVVOLS,VLOOKUP(G287,MOVE_DOWN2,2,FALSE()),FALSE()),VLOOKUP(G287,NGPREVPRICES,3,FALSE()),HLOOKUP(D287,Correllate,VLOOKUP(G287,CorMove,2,FALSE()),FALSE()),Q287-$C$3,R287,$CJ$5)*H287-CJ287</f>
        <v>#NAME?</v>
      </c>
      <c r="CI287" s="253" t="e">
        <f aca="false">SUM(CD287:CH287)</f>
        <v>#NAME?</v>
      </c>
      <c r="CJ287" s="253" t="e">
        <f aca="false">xSPRDOPT((VLOOKUP(G287,NGPREVPRICES,2,FALSE())+HLOOKUP(D287,PREVCURVES,VLOOKUP(G287,MOVE_DOWN2,2,FALSE()),FALSE())),VLOOKUP(G287,NGPREVPRICES,2,FALSE()),CK287,VLOOKUP(G287,NGPREVPRICES,4,FALSE()),HLOOKUP(D287,PREVVOLS,VLOOKUP(G287,MOVE_DOWN2,2,FALSE()),FALSE()),VLOOKUP(G287,NGPREVPRICES,3,FALSE()),HLOOKUP(D287,Correllate,VLOOKUP(G287,CorMove,2,FALSE()),FALSE()),Q287-$CD$3,R287,$CJ$5)*H287</f>
        <v>#NAME?</v>
      </c>
      <c r="CK287" s="254" t="n">
        <f aca="false">I287</f>
        <v>1.57</v>
      </c>
      <c r="CL287" s="253"/>
      <c r="CM287" s="0" t="str">
        <f aca="false">CONCATENATE(CC287,$CD$6)</f>
        <v>36861Curve Shift/Gamma</v>
      </c>
      <c r="CN287" s="0" t="str">
        <f aca="false">CONCATENATE($CC287,$CE$6)</f>
        <v>36861Rho</v>
      </c>
      <c r="CO287" s="0" t="str">
        <f aca="false">CONCATENATE($CC287,$CF$6)</f>
        <v>36861Drift</v>
      </c>
      <c r="CP287" s="0" t="str">
        <f aca="false">CONCATENATE($CC287,$CG$6)</f>
        <v>36861Vega</v>
      </c>
      <c r="CQ287" s="0" t="str">
        <f aca="false">CONCATENATE($CC287,$CH$6)</f>
        <v>36861Theta</v>
      </c>
    </row>
    <row r="288" customFormat="false" ht="12.75" hidden="false" customHeight="false" outlineLevel="0" collapsed="false">
      <c r="A288" s="265" t="s">
        <v>206</v>
      </c>
      <c r="B288" s="0" t="s">
        <v>192</v>
      </c>
      <c r="C288" s="0" t="s">
        <v>296</v>
      </c>
      <c r="D288" s="7" t="s">
        <v>149</v>
      </c>
      <c r="E288" s="0" t="s">
        <v>131</v>
      </c>
      <c r="F288" s="0" t="s">
        <v>136</v>
      </c>
      <c r="G288" s="92" t="n">
        <v>36831</v>
      </c>
      <c r="H288" s="248" t="n">
        <v>500000</v>
      </c>
      <c r="I288" s="0" t="n">
        <v>1.57</v>
      </c>
      <c r="J288" s="124" t="n">
        <f aca="false">VLOOKUP(G288,NGPrices,2,FALSE())</f>
        <v>4.736</v>
      </c>
      <c r="K288" s="125" t="n">
        <f aca="false">HLOOKUP(D288,Prices,VLOOKUP(G288,move_down,2,FALSE()),FALSE())+VLOOKUP(G288,CHANGE,HLOOKUP(D288,CHANGE,2,FALSE()),FALSE())</f>
        <v>0.77</v>
      </c>
      <c r="L288" s="124" t="n">
        <f aca="false">K288+J288</f>
        <v>5.506</v>
      </c>
      <c r="M288" s="126" t="n">
        <f aca="false">VLOOKUP(G288,NGPrices,4,FALSE())</f>
        <v>0.06810675983792</v>
      </c>
      <c r="N288" s="7" t="n">
        <f aca="false">VLOOKUP(G288,NGPrices,3,FALSE())</f>
        <v>0.595</v>
      </c>
      <c r="O288" s="7" t="n">
        <f aca="false">HLOOKUP(D288,VOLS,VLOOKUP(G288,move_down,2,FALSE()),FALSE())</f>
        <v>0.625</v>
      </c>
      <c r="P288" s="249" t="n">
        <f aca="false">HLOOKUP(D288,Correllate,VLOOKUP(G288,CorMove,2,FALSE()),FALSE())</f>
        <v>0.89</v>
      </c>
      <c r="Q288" s="92" t="n">
        <f aca="false">WORKDAY(G288,-2)</f>
        <v>36829</v>
      </c>
      <c r="R288" s="7" t="n">
        <f aca="false">IF(F288="P",0,1)</f>
        <v>1</v>
      </c>
      <c r="S288" s="130" t="e">
        <f aca="false">xSPRDOPT($L288,$J288,$I288,$M288,$O288,$N288,$P288,$Q288-$C$3,$R288,0)</f>
        <v>#NAME?</v>
      </c>
      <c r="T288" s="250" t="e">
        <f aca="false">xSPRDOPT($L288,$J288,$I288,$M288,$O288,$N288,$P288,$Q288-$C$3,$R288,1)*H288</f>
        <v>#NAME?</v>
      </c>
      <c r="U288" s="43" t="e">
        <f aca="false">S288*H288</f>
        <v>#NAME?</v>
      </c>
      <c r="V288" s="250" t="e">
        <f aca="false">xSPRDOPT($L288,$J288,$I288,$M288,$O288,$N288,$P288,$Q288-$C$3,$R288,2)*H288</f>
        <v>#NAME?</v>
      </c>
      <c r="W288" s="250" t="e">
        <f aca="false">+V288+T288</f>
        <v>#NAME?</v>
      </c>
      <c r="X288" s="2" t="str">
        <f aca="false">CONCATENATE(G288,D288)</f>
        <v>36831IF-TRANSCO/Z6</v>
      </c>
      <c r="Y288" s="251" t="n">
        <f aca="false">H288/10000</f>
        <v>50</v>
      </c>
      <c r="Z288" s="226" t="e">
        <f aca="false">T288/H288</f>
        <v>#NAME?</v>
      </c>
      <c r="AA288" s="226" t="e">
        <f aca="false">xSPRDOPT($L288,$J288,$I288,$M288,$O288,$N288,$P288,$Q288-$C$3,$R288,3)</f>
        <v>#NAME?</v>
      </c>
      <c r="AB288" s="226" t="e">
        <f aca="false">((xSPRDOPT($L288+AB$5,$J288,$I288,$M288,$O288,$N288,$P288,$Q288-$C$3,$R288,3)*$H288)/10000)/100</f>
        <v>#NAME?</v>
      </c>
      <c r="AC288" s="226" t="e">
        <f aca="false">((xSPRDOPT($L288+$AB$5,$J288,$I288,$M288,$O288,$N288,$P288,$Q288-$C$3,$R288,7)*$H288)/100)</f>
        <v>#NAME?</v>
      </c>
      <c r="AD288" s="226" t="e">
        <f aca="false">(xSPRDOPT($L288+$AB$5,$J288,$I288,$M288,$O288,$N288,$P288,$Q288-$C$3,$R288,9)/365)*$H288</f>
        <v>#NAME?</v>
      </c>
      <c r="AE288" s="0" t="e">
        <f aca="false">CD288</f>
        <v>#NAME?</v>
      </c>
      <c r="AF288" s="226" t="e">
        <f aca="false">((O288/N288)*AH288)+AG288</f>
        <v>#NAME?</v>
      </c>
      <c r="AG288" s="226" t="e">
        <f aca="false">((xSPRDOPT($L288,$J288,$I288,$M288,$O288,$N288,$P288,$Q288-$C$3,$R288,6)*$H288)/100)</f>
        <v>#NAME?</v>
      </c>
      <c r="AH288" s="226" t="e">
        <f aca="false">((xSPRDOPT($L288,$J288,$I288,$M288,$O288,$N288,$P288,$Q288-$C$3,$R288,5)*$H288)/100)</f>
        <v>#NAME?</v>
      </c>
      <c r="AI288" s="226" t="e">
        <f aca="false">(((xSPRDOPT($L288,$J288,$I288,$M288,$O288,$N288,$P288,$Q288-$C$3,$R288,4)*$H288)/10000)/100)-AB288</f>
        <v>#NAME?</v>
      </c>
      <c r="AJ288" s="226"/>
      <c r="AK288" s="226"/>
      <c r="AL288" s="226"/>
      <c r="AM288" s="252"/>
      <c r="CC288" s="182" t="n">
        <f aca="false">G288</f>
        <v>36831</v>
      </c>
      <c r="CD288" s="253" t="e">
        <f aca="false">xSPRDOPT((VLOOKUP(G288,NGPrices,2,FALSE())+HLOOKUP(D288,Prices,VLOOKUP(G288,move_down,2,FALSE()),FALSE())),VLOOKUP(G288,NGPrices,2,FALSE()),I288,VLOOKUP(G288,NGPREVPRICES,4,FALSE()),HLOOKUP(D288,PREVVOLS,VLOOKUP(G288,MOVE_DOWN2,2,FALSE()),FALSE()),VLOOKUP(G288,NGPREVPRICES,3,FALSE()),HLOOKUP(D288,Correllate,VLOOKUP(G288,CorMove,2,FALSE()),FALSE()),Q288-$CD$3,R288,$CD$5)*H288-CJ288</f>
        <v>#NAME?</v>
      </c>
      <c r="CE288" s="253" t="e">
        <f aca="false">xSPRDOPT((VLOOKUP(G288,NGPREVPRICES,2,FALSE())+HLOOKUP(D288,PREVCURVES,VLOOKUP(G288,MOVE_DOWN2,2,FALSE()),FALSE())),VLOOKUP(G288,NGPREVPRICES,2,FALSE()),CK288,VLOOKUP(G288,NGPrices,4,FALSE()),HLOOKUP(D288,PREVVOLS,VLOOKUP(G288,MOVE_DOWN2,2,FALSE()),FALSE()),VLOOKUP(G288,NGPREVPRICES,3,FALSE()),HLOOKUP(D288,Correllate,VLOOKUP(G288,CorMove,2,FALSE()),FALSE()),Q288-$CD$3,R288,$CJ$5)*H288-CJ288</f>
        <v>#NAME?</v>
      </c>
      <c r="CF288" s="132" t="e">
        <f aca="false">(CJ288/VLOOKUP(CC288,discount,3,FALSE()))-(CJ288/VLOOKUP(CC288,discount,2,FALSE()))</f>
        <v>#NAME?</v>
      </c>
      <c r="CG288" s="253" t="e">
        <f aca="false">xSPRDOPT((VLOOKUP(G288,NGPREVPRICES,2,FALSE())+HLOOKUP(D288,PREVCURVES,VLOOKUP(G288,MOVE_DOWN2,2,FALSE()),FALSE())),VLOOKUP(G288,NGPREVPRICES,2,FALSE()),CK288,VLOOKUP(G288,NGPREVPRICES,4,FALSE()),HLOOKUP(D288,VOLS,VLOOKUP(G288,move_down,2,FALSE()),FALSE()),VLOOKUP(G288,NGPrices,3,FALSE()),HLOOKUP(D288,Correllate,VLOOKUP(G288,CorMove,2,FALSE()),FALSE()),Q288-$CD$3,R288,$CJ$5)*H288-CJ288</f>
        <v>#NAME?</v>
      </c>
      <c r="CH288" s="253" t="e">
        <f aca="false">xSPRDOPT((VLOOKUP(G288,NGPREVPRICES,2,FALSE())+HLOOKUP(D288,PREVCURVES,VLOOKUP(G288,MOVE_DOWN2,2,FALSE()),FALSE())),VLOOKUP(G288,NGPREVPRICES,2,FALSE()),CK288,VLOOKUP(G288,NGPREVPRICES,4,FALSE()),HLOOKUP(D288,PREVVOLS,VLOOKUP(G288,MOVE_DOWN2,2,FALSE()),FALSE()),VLOOKUP(G288,NGPREVPRICES,3,FALSE()),HLOOKUP(D288,Correllate,VLOOKUP(G288,CorMove,2,FALSE()),FALSE()),Q288-$C$3,R288,$CJ$5)*H288-CJ288</f>
        <v>#NAME?</v>
      </c>
      <c r="CI288" s="253" t="e">
        <f aca="false">SUM(CD288:CH288)</f>
        <v>#NAME?</v>
      </c>
      <c r="CJ288" s="253" t="e">
        <f aca="false">xSPRDOPT((VLOOKUP(G288,NGPREVPRICES,2,FALSE())+HLOOKUP(D288,PREVCURVES,VLOOKUP(G288,MOVE_DOWN2,2,FALSE()),FALSE())),VLOOKUP(G288,NGPREVPRICES,2,FALSE()),CK288,VLOOKUP(G288,NGPREVPRICES,4,FALSE()),HLOOKUP(D288,PREVVOLS,VLOOKUP(G288,MOVE_DOWN2,2,FALSE()),FALSE()),VLOOKUP(G288,NGPREVPRICES,3,FALSE()),HLOOKUP(D288,Correllate,VLOOKUP(G288,CorMove,2,FALSE()),FALSE()),Q288-$CD$3,R288,$CJ$5)*H288</f>
        <v>#NAME?</v>
      </c>
      <c r="CK288" s="254" t="n">
        <f aca="false">I288</f>
        <v>1.57</v>
      </c>
      <c r="CL288" s="253"/>
      <c r="CM288" s="0" t="str">
        <f aca="false">CONCATENATE(CC288,$CD$6)</f>
        <v>36831Curve Shift/Gamma</v>
      </c>
      <c r="CN288" s="0" t="str">
        <f aca="false">CONCATENATE($CC288,$CE$6)</f>
        <v>36831Rho</v>
      </c>
      <c r="CO288" s="0" t="str">
        <f aca="false">CONCATENATE($CC288,$CF$6)</f>
        <v>36831Drift</v>
      </c>
      <c r="CP288" s="0" t="str">
        <f aca="false">CONCATENATE($CC288,$CG$6)</f>
        <v>36831Vega</v>
      </c>
      <c r="CQ288" s="0" t="str">
        <f aca="false">CONCATENATE($CC288,$CH$6)</f>
        <v>36831Theta</v>
      </c>
    </row>
    <row r="289" customFormat="false" ht="12.75" hidden="false" customHeight="false" outlineLevel="0" collapsed="false">
      <c r="A289" s="265" t="s">
        <v>206</v>
      </c>
      <c r="B289" s="0" t="s">
        <v>192</v>
      </c>
      <c r="C289" s="0" t="s">
        <v>297</v>
      </c>
      <c r="D289" s="7" t="s">
        <v>149</v>
      </c>
      <c r="E289" s="0" t="s">
        <v>131</v>
      </c>
      <c r="F289" s="0" t="s">
        <v>132</v>
      </c>
      <c r="G289" s="92" t="n">
        <v>36951</v>
      </c>
      <c r="H289" s="248" t="n">
        <v>500000</v>
      </c>
      <c r="I289" s="0" t="n">
        <v>1.57</v>
      </c>
      <c r="J289" s="124" t="n">
        <f aca="false">VLOOKUP(G289,NGPrices,2,FALSE())</f>
        <v>4.213</v>
      </c>
      <c r="K289" s="125" t="n">
        <f aca="false">HLOOKUP(D289,Prices,VLOOKUP(G289,move_down,2,FALSE()),FALSE())+VLOOKUP(G289,CHANGE,HLOOKUP(D289,CHANGE,2,FALSE()),FALSE())</f>
        <v>1.075</v>
      </c>
      <c r="L289" s="124" t="n">
        <f aca="false">K289+J289</f>
        <v>5.288</v>
      </c>
      <c r="M289" s="126" t="n">
        <f aca="false">VLOOKUP(G289,NGPrices,4,FALSE())</f>
        <v>0.068879814952707</v>
      </c>
      <c r="N289" s="7" t="n">
        <f aca="false">VLOOKUP(G289,NGPrices,3,FALSE())</f>
        <v>0.5325</v>
      </c>
      <c r="O289" s="7" t="n">
        <f aca="false">HLOOKUP(D289,VOLS,VLOOKUP(G289,move_down,2,FALSE()),FALSE())</f>
        <v>0.612</v>
      </c>
      <c r="P289" s="249" t="n">
        <f aca="false">HLOOKUP(D289,Correllate,VLOOKUP(G289,CorMove,2,FALSE()),FALSE())</f>
        <v>0.83</v>
      </c>
      <c r="Q289" s="92" t="n">
        <f aca="false">WORKDAY(G289,-2)</f>
        <v>36949</v>
      </c>
      <c r="R289" s="7" t="n">
        <f aca="false">IF(F289="P",0,1)</f>
        <v>0</v>
      </c>
      <c r="S289" s="130" t="e">
        <f aca="false">xSPRDOPT($L289,$J289,$I289,$M289,$O289,$N289,$P289,$Q289-$C$3,$R289,0)</f>
        <v>#NAME?</v>
      </c>
      <c r="T289" s="250" t="e">
        <f aca="false">xSPRDOPT($L289,$J289,$I289,$M289,$O289,$N289,$P289,$Q289-$C$3,$R289,1)*H289</f>
        <v>#NAME?</v>
      </c>
      <c r="U289" s="43" t="e">
        <f aca="false">S289*H289</f>
        <v>#NAME?</v>
      </c>
      <c r="V289" s="250" t="e">
        <f aca="false">xSPRDOPT($L289,$J289,$I289,$M289,$O289,$N289,$P289,$Q289-$C$3,$R289,2)*H289</f>
        <v>#NAME?</v>
      </c>
      <c r="W289" s="250" t="e">
        <f aca="false">+V289+T289</f>
        <v>#NAME?</v>
      </c>
      <c r="X289" s="2" t="str">
        <f aca="false">CONCATENATE(G289,D289)</f>
        <v>36951IF-TRANSCO/Z6</v>
      </c>
      <c r="Y289" s="251" t="n">
        <f aca="false">H289/10000</f>
        <v>50</v>
      </c>
      <c r="Z289" s="226" t="e">
        <f aca="false">T289/H289</f>
        <v>#NAME?</v>
      </c>
      <c r="AA289" s="226" t="e">
        <f aca="false">xSPRDOPT($L289,$J289,$I289,$M289,$O289,$N289,$P289,$Q289-$C$3,$R289,3)</f>
        <v>#NAME?</v>
      </c>
      <c r="AB289" s="226" t="e">
        <f aca="false">((xSPRDOPT($L289+AB$5,$J289,$I289,$M289,$O289,$N289,$P289,$Q289-$C$3,$R289,3)*$H289)/10000)/100</f>
        <v>#NAME?</v>
      </c>
      <c r="AC289" s="226" t="e">
        <f aca="false">((xSPRDOPT($L289+$AB$5,$J289,$I289,$M289,$O289,$N289,$P289,$Q289-$C$3,$R289,7)*$H289)/100)</f>
        <v>#NAME?</v>
      </c>
      <c r="AD289" s="226" t="e">
        <f aca="false">(xSPRDOPT($L289+$AB$5,$J289,$I289,$M289,$O289,$N289,$P289,$Q289-$C$3,$R289,9)/365)*$H289</f>
        <v>#NAME?</v>
      </c>
      <c r="AE289" s="0" t="e">
        <f aca="false">CD289</f>
        <v>#NAME?</v>
      </c>
      <c r="AF289" s="226" t="e">
        <f aca="false">((O289/N289)*AH289)+AG289</f>
        <v>#NAME?</v>
      </c>
      <c r="AG289" s="226" t="e">
        <f aca="false">((xSPRDOPT($L289,$J289,$I289,$M289,$O289,$N289,$P289,$Q289-$C$3,$R289,6)*$H289)/100)</f>
        <v>#NAME?</v>
      </c>
      <c r="AH289" s="226" t="e">
        <f aca="false">((xSPRDOPT($L289,$J289,$I289,$M289,$O289,$N289,$P289,$Q289-$C$3,$R289,5)*$H289)/100)</f>
        <v>#NAME?</v>
      </c>
      <c r="AI289" s="226" t="e">
        <f aca="false">(((xSPRDOPT($L289,$J289,$I289,$M289,$O289,$N289,$P289,$Q289-$C$3,$R289,4)*$H289)/10000)/100)-AB289</f>
        <v>#NAME?</v>
      </c>
      <c r="AJ289" s="226"/>
      <c r="AK289" s="226"/>
      <c r="AL289" s="226"/>
      <c r="AM289" s="252"/>
      <c r="CC289" s="182" t="n">
        <f aca="false">G289</f>
        <v>36951</v>
      </c>
      <c r="CD289" s="253" t="e">
        <f aca="false">xSPRDOPT((VLOOKUP(G289,NGPrices,2,FALSE())+HLOOKUP(D289,Prices,VLOOKUP(G289,move_down,2,FALSE()),FALSE())),VLOOKUP(G289,NGPrices,2,FALSE()),I289,VLOOKUP(G289,NGPREVPRICES,4,FALSE()),HLOOKUP(D289,PREVVOLS,VLOOKUP(G289,MOVE_DOWN2,2,FALSE()),FALSE()),VLOOKUP(G289,NGPREVPRICES,3,FALSE()),HLOOKUP(D289,Correllate,VLOOKUP(G289,CorMove,2,FALSE()),FALSE()),Q289-$CD$3,R289,$CD$5)*H289-CJ289</f>
        <v>#NAME?</v>
      </c>
      <c r="CE289" s="253" t="e">
        <f aca="false">xSPRDOPT((VLOOKUP(G289,NGPREVPRICES,2,FALSE())+HLOOKUP(D289,PREVCURVES,VLOOKUP(G289,MOVE_DOWN2,2,FALSE()),FALSE())),VLOOKUP(G289,NGPREVPRICES,2,FALSE()),CK289,VLOOKUP(G289,NGPrices,4,FALSE()),HLOOKUP(D289,PREVVOLS,VLOOKUP(G289,MOVE_DOWN2,2,FALSE()),FALSE()),VLOOKUP(G289,NGPREVPRICES,3,FALSE()),HLOOKUP(D289,Correllate,VLOOKUP(G289,CorMove,2,FALSE()),FALSE()),Q289-$CD$3,R289,$CJ$5)*H289-CJ289</f>
        <v>#NAME?</v>
      </c>
      <c r="CF289" s="132" t="e">
        <f aca="false">(CJ289/VLOOKUP(CC289,discount,3,FALSE()))-(CJ289/VLOOKUP(CC289,discount,2,FALSE()))</f>
        <v>#NAME?</v>
      </c>
      <c r="CG289" s="253" t="e">
        <f aca="false">xSPRDOPT((VLOOKUP(G289,NGPREVPRICES,2,FALSE())+HLOOKUP(D289,PREVCURVES,VLOOKUP(G289,MOVE_DOWN2,2,FALSE()),FALSE())),VLOOKUP(G289,NGPREVPRICES,2,FALSE()),CK289,VLOOKUP(G289,NGPREVPRICES,4,FALSE()),HLOOKUP(D289,VOLS,VLOOKUP(G289,move_down,2,FALSE()),FALSE()),VLOOKUP(G289,NGPrices,3,FALSE()),HLOOKUP(D289,Correllate,VLOOKUP(G289,CorMove,2,FALSE()),FALSE()),Q289-$CD$3,R289,$CJ$5)*H289-CJ289</f>
        <v>#NAME?</v>
      </c>
      <c r="CH289" s="253" t="e">
        <f aca="false">xSPRDOPT((VLOOKUP(G289,NGPREVPRICES,2,FALSE())+HLOOKUP(D289,PREVCURVES,VLOOKUP(G289,MOVE_DOWN2,2,FALSE()),FALSE())),VLOOKUP(G289,NGPREVPRICES,2,FALSE()),CK289,VLOOKUP(G289,NGPREVPRICES,4,FALSE()),HLOOKUP(D289,PREVVOLS,VLOOKUP(G289,MOVE_DOWN2,2,FALSE()),FALSE()),VLOOKUP(G289,NGPREVPRICES,3,FALSE()),HLOOKUP(D289,Correllate,VLOOKUP(G289,CorMove,2,FALSE()),FALSE()),Q289-$C$3,R289,$CJ$5)*H289-CJ289</f>
        <v>#NAME?</v>
      </c>
      <c r="CI289" s="253" t="e">
        <f aca="false">SUM(CD289:CH289)</f>
        <v>#NAME?</v>
      </c>
      <c r="CJ289" s="253" t="e">
        <f aca="false">xSPRDOPT((VLOOKUP(G289,NGPREVPRICES,2,FALSE())+HLOOKUP(D289,PREVCURVES,VLOOKUP(G289,MOVE_DOWN2,2,FALSE()),FALSE())),VLOOKUP(G289,NGPREVPRICES,2,FALSE()),CK289,VLOOKUP(G289,NGPREVPRICES,4,FALSE()),HLOOKUP(D289,PREVVOLS,VLOOKUP(G289,MOVE_DOWN2,2,FALSE()),FALSE()),VLOOKUP(G289,NGPREVPRICES,3,FALSE()),HLOOKUP(D289,Correllate,VLOOKUP(G289,CorMove,2,FALSE()),FALSE()),Q289-$CD$3,R289,$CJ$5)*H289</f>
        <v>#NAME?</v>
      </c>
      <c r="CK289" s="254" t="n">
        <f aca="false">I289</f>
        <v>1.57</v>
      </c>
      <c r="CL289" s="253"/>
      <c r="CM289" s="0" t="str">
        <f aca="false">CONCATENATE(CC289,$CD$6)</f>
        <v>36951Curve Shift/Gamma</v>
      </c>
      <c r="CN289" s="0" t="str">
        <f aca="false">CONCATENATE($CC289,$CE$6)</f>
        <v>36951Rho</v>
      </c>
      <c r="CO289" s="0" t="str">
        <f aca="false">CONCATENATE($CC289,$CF$6)</f>
        <v>36951Drift</v>
      </c>
      <c r="CP289" s="0" t="str">
        <f aca="false">CONCATENATE($CC289,$CG$6)</f>
        <v>36951Vega</v>
      </c>
      <c r="CQ289" s="0" t="str">
        <f aca="false">CONCATENATE($CC289,$CH$6)</f>
        <v>36951Theta</v>
      </c>
    </row>
    <row r="290" customFormat="false" ht="12.75" hidden="false" customHeight="false" outlineLevel="0" collapsed="false">
      <c r="A290" s="265" t="s">
        <v>206</v>
      </c>
      <c r="B290" s="0" t="s">
        <v>192</v>
      </c>
      <c r="C290" s="0" t="s">
        <v>297</v>
      </c>
      <c r="D290" s="7" t="s">
        <v>149</v>
      </c>
      <c r="E290" s="0" t="s">
        <v>131</v>
      </c>
      <c r="F290" s="0" t="s">
        <v>132</v>
      </c>
      <c r="G290" s="92" t="n">
        <v>36923</v>
      </c>
      <c r="H290" s="248" t="n">
        <v>500000</v>
      </c>
      <c r="I290" s="0" t="n">
        <v>1.57</v>
      </c>
      <c r="J290" s="124" t="n">
        <f aca="false">VLOOKUP(G290,NGPrices,2,FALSE())</f>
        <v>4.48</v>
      </c>
      <c r="K290" s="125" t="n">
        <f aca="false">HLOOKUP(D290,Prices,VLOOKUP(G290,move_down,2,FALSE()),FALSE())+VLOOKUP(G290,CHANGE,HLOOKUP(D290,CHANGE,2,FALSE()),FALSE())</f>
        <v>2.09</v>
      </c>
      <c r="L290" s="124" t="n">
        <f aca="false">K290+J290</f>
        <v>6.57</v>
      </c>
      <c r="M290" s="126" t="n">
        <f aca="false">VLOOKUP(G290,NGPrices,4,FALSE())</f>
        <v>0.068640161611372</v>
      </c>
      <c r="N290" s="7" t="n">
        <f aca="false">VLOOKUP(G290,NGPrices,3,FALSE())</f>
        <v>0.5925</v>
      </c>
      <c r="O290" s="7" t="n">
        <f aca="false">HLOOKUP(D290,VOLS,VLOOKUP(G290,move_down,2,FALSE()),FALSE())</f>
        <v>0.681</v>
      </c>
      <c r="P290" s="249" t="n">
        <f aca="false">HLOOKUP(D290,Correllate,VLOOKUP(G290,CorMove,2,FALSE()),FALSE())</f>
        <v>0.83</v>
      </c>
      <c r="Q290" s="92" t="n">
        <f aca="false">WORKDAY(G290,-2)</f>
        <v>36921</v>
      </c>
      <c r="R290" s="7" t="n">
        <f aca="false">IF(F290="P",0,1)</f>
        <v>0</v>
      </c>
      <c r="S290" s="130" t="e">
        <f aca="false">xSPRDOPT($L290,$J290,$I290,$M290,$O290,$N290,$P290,$Q290-$C$3,$R290,0)</f>
        <v>#NAME?</v>
      </c>
      <c r="T290" s="250" t="e">
        <f aca="false">xSPRDOPT($L290,$J290,$I290,$M290,$O290,$N290,$P290,$Q290-$C$3,$R290,1)*H290</f>
        <v>#NAME?</v>
      </c>
      <c r="U290" s="43" t="e">
        <f aca="false">S290*H290</f>
        <v>#NAME?</v>
      </c>
      <c r="V290" s="250" t="e">
        <f aca="false">xSPRDOPT($L290,$J290,$I290,$M290,$O290,$N290,$P290,$Q290-$C$3,$R290,2)*H290</f>
        <v>#NAME?</v>
      </c>
      <c r="W290" s="250" t="e">
        <f aca="false">+V290+T290</f>
        <v>#NAME?</v>
      </c>
      <c r="X290" s="2" t="str">
        <f aca="false">CONCATENATE(G290,D290)</f>
        <v>36923IF-TRANSCO/Z6</v>
      </c>
      <c r="Y290" s="251" t="n">
        <f aca="false">H290/10000</f>
        <v>50</v>
      </c>
      <c r="Z290" s="226" t="e">
        <f aca="false">T290/H290</f>
        <v>#NAME?</v>
      </c>
      <c r="AA290" s="226" t="e">
        <f aca="false">xSPRDOPT($L290,$J290,$I290,$M290,$O290,$N290,$P290,$Q290-$C$3,$R290,3)</f>
        <v>#NAME?</v>
      </c>
      <c r="AB290" s="226" t="e">
        <f aca="false">((xSPRDOPT($L290+AB$5,$J290,$I290,$M290,$O290,$N290,$P290,$Q290-$C$3,$R290,3)*$H290)/10000)/100</f>
        <v>#NAME?</v>
      </c>
      <c r="AC290" s="226" t="e">
        <f aca="false">((xSPRDOPT($L290+$AB$5,$J290,$I290,$M290,$O290,$N290,$P290,$Q290-$C$3,$R290,7)*$H290)/100)</f>
        <v>#NAME?</v>
      </c>
      <c r="AD290" s="226" t="e">
        <f aca="false">(xSPRDOPT($L290+$AB$5,$J290,$I290,$M290,$O290,$N290,$P290,$Q290-$C$3,$R290,9)/365)*$H290</f>
        <v>#NAME?</v>
      </c>
      <c r="AE290" s="0" t="e">
        <f aca="false">CD290</f>
        <v>#NAME?</v>
      </c>
      <c r="AF290" s="226" t="e">
        <f aca="false">((O290/N290)*AH290)+AG290</f>
        <v>#NAME?</v>
      </c>
      <c r="AG290" s="226" t="e">
        <f aca="false">((xSPRDOPT($L290,$J290,$I290,$M290,$O290,$N290,$P290,$Q290-$C$3,$R290,6)*$H290)/100)</f>
        <v>#NAME?</v>
      </c>
      <c r="AH290" s="226" t="e">
        <f aca="false">((xSPRDOPT($L290,$J290,$I290,$M290,$O290,$N290,$P290,$Q290-$C$3,$R290,5)*$H290)/100)</f>
        <v>#NAME?</v>
      </c>
      <c r="AI290" s="226" t="e">
        <f aca="false">(((xSPRDOPT($L290,$J290,$I290,$M290,$O290,$N290,$P290,$Q290-$C$3,$R290,4)*$H290)/10000)/100)-AB290</f>
        <v>#NAME?</v>
      </c>
      <c r="AJ290" s="226"/>
      <c r="AK290" s="226"/>
      <c r="AL290" s="226"/>
      <c r="AM290" s="252"/>
      <c r="CC290" s="182" t="n">
        <f aca="false">G290</f>
        <v>36923</v>
      </c>
      <c r="CD290" s="253" t="e">
        <f aca="false">xSPRDOPT((VLOOKUP(G290,NGPrices,2,FALSE())+HLOOKUP(D290,Prices,VLOOKUP(G290,move_down,2,FALSE()),FALSE())),VLOOKUP(G290,NGPrices,2,FALSE()),I290,VLOOKUP(G290,NGPREVPRICES,4,FALSE()),HLOOKUP(D290,PREVVOLS,VLOOKUP(G290,MOVE_DOWN2,2,FALSE()),FALSE()),VLOOKUP(G290,NGPREVPRICES,3,FALSE()),HLOOKUP(D290,Correllate,VLOOKUP(G290,CorMove,2,FALSE()),FALSE()),Q290-$CD$3,R290,$CD$5)*H290-CJ290</f>
        <v>#NAME?</v>
      </c>
      <c r="CE290" s="253" t="e">
        <f aca="false">xSPRDOPT((VLOOKUP(G290,NGPREVPRICES,2,FALSE())+HLOOKUP(D290,PREVCURVES,VLOOKUP(G290,MOVE_DOWN2,2,FALSE()),FALSE())),VLOOKUP(G290,NGPREVPRICES,2,FALSE()),CK290,VLOOKUP(G290,NGPrices,4,FALSE()),HLOOKUP(D290,PREVVOLS,VLOOKUP(G290,MOVE_DOWN2,2,FALSE()),FALSE()),VLOOKUP(G290,NGPREVPRICES,3,FALSE()),HLOOKUP(D290,Correllate,VLOOKUP(G290,CorMove,2,FALSE()),FALSE()),Q290-$CD$3,R290,$CJ$5)*H290-CJ290</f>
        <v>#NAME?</v>
      </c>
      <c r="CF290" s="132" t="e">
        <f aca="false">(CJ290/VLOOKUP(CC290,discount,3,FALSE()))-(CJ290/VLOOKUP(CC290,discount,2,FALSE()))</f>
        <v>#NAME?</v>
      </c>
      <c r="CG290" s="253" t="e">
        <f aca="false">xSPRDOPT((VLOOKUP(G290,NGPREVPRICES,2,FALSE())+HLOOKUP(D290,PREVCURVES,VLOOKUP(G290,MOVE_DOWN2,2,FALSE()),FALSE())),VLOOKUP(G290,NGPREVPRICES,2,FALSE()),CK290,VLOOKUP(G290,NGPREVPRICES,4,FALSE()),HLOOKUP(D290,VOLS,VLOOKUP(G290,move_down,2,FALSE()),FALSE()),VLOOKUP(G290,NGPrices,3,FALSE()),HLOOKUP(D290,Correllate,VLOOKUP(G290,CorMove,2,FALSE()),FALSE()),Q290-$CD$3,R290,$CJ$5)*H290-CJ290</f>
        <v>#NAME?</v>
      </c>
      <c r="CH290" s="253" t="e">
        <f aca="false">xSPRDOPT((VLOOKUP(G290,NGPREVPRICES,2,FALSE())+HLOOKUP(D290,PREVCURVES,VLOOKUP(G290,MOVE_DOWN2,2,FALSE()),FALSE())),VLOOKUP(G290,NGPREVPRICES,2,FALSE()),CK290,VLOOKUP(G290,NGPREVPRICES,4,FALSE()),HLOOKUP(D290,PREVVOLS,VLOOKUP(G290,MOVE_DOWN2,2,FALSE()),FALSE()),VLOOKUP(G290,NGPREVPRICES,3,FALSE()),HLOOKUP(D290,Correllate,VLOOKUP(G290,CorMove,2,FALSE()),FALSE()),Q290-$C$3,R290,$CJ$5)*H290-CJ290</f>
        <v>#NAME?</v>
      </c>
      <c r="CI290" s="253" t="e">
        <f aca="false">SUM(CD290:CH290)</f>
        <v>#NAME?</v>
      </c>
      <c r="CJ290" s="253" t="e">
        <f aca="false">xSPRDOPT((VLOOKUP(G290,NGPREVPRICES,2,FALSE())+HLOOKUP(D290,PREVCURVES,VLOOKUP(G290,MOVE_DOWN2,2,FALSE()),FALSE())),VLOOKUP(G290,NGPREVPRICES,2,FALSE()),CK290,VLOOKUP(G290,NGPREVPRICES,4,FALSE()),HLOOKUP(D290,PREVVOLS,VLOOKUP(G290,MOVE_DOWN2,2,FALSE()),FALSE()),VLOOKUP(G290,NGPREVPRICES,3,FALSE()),HLOOKUP(D290,Correllate,VLOOKUP(G290,CorMove,2,FALSE()),FALSE()),Q290-$CD$3,R290,$CJ$5)*H290</f>
        <v>#NAME?</v>
      </c>
      <c r="CK290" s="254" t="n">
        <f aca="false">I290</f>
        <v>1.57</v>
      </c>
      <c r="CL290" s="253"/>
      <c r="CM290" s="0" t="str">
        <f aca="false">CONCATENATE(CC290,$CD$6)</f>
        <v>36923Curve Shift/Gamma</v>
      </c>
      <c r="CN290" s="0" t="str">
        <f aca="false">CONCATENATE($CC290,$CE$6)</f>
        <v>36923Rho</v>
      </c>
      <c r="CO290" s="0" t="str">
        <f aca="false">CONCATENATE($CC290,$CF$6)</f>
        <v>36923Drift</v>
      </c>
      <c r="CP290" s="0" t="str">
        <f aca="false">CONCATENATE($CC290,$CG$6)</f>
        <v>36923Vega</v>
      </c>
      <c r="CQ290" s="0" t="str">
        <f aca="false">CONCATENATE($CC290,$CH$6)</f>
        <v>36923Theta</v>
      </c>
    </row>
    <row r="291" customFormat="false" ht="12.75" hidden="false" customHeight="false" outlineLevel="0" collapsed="false">
      <c r="A291" s="265" t="s">
        <v>206</v>
      </c>
      <c r="B291" s="0" t="s">
        <v>192</v>
      </c>
      <c r="C291" s="0" t="s">
        <v>297</v>
      </c>
      <c r="D291" s="7" t="s">
        <v>149</v>
      </c>
      <c r="E291" s="0" t="s">
        <v>131</v>
      </c>
      <c r="F291" s="0" t="s">
        <v>132</v>
      </c>
      <c r="G291" s="92" t="n">
        <v>36892</v>
      </c>
      <c r="H291" s="248" t="n">
        <v>500000</v>
      </c>
      <c r="I291" s="0" t="n">
        <v>1.57</v>
      </c>
      <c r="J291" s="124" t="n">
        <f aca="false">VLOOKUP(G291,NGPrices,2,FALSE())</f>
        <v>4.744</v>
      </c>
      <c r="K291" s="125" t="n">
        <f aca="false">HLOOKUP(D291,Prices,VLOOKUP(G291,move_down,2,FALSE()),FALSE())+VLOOKUP(G291,CHANGE,HLOOKUP(D291,CHANGE,2,FALSE()),FALSE())</f>
        <v>2.17</v>
      </c>
      <c r="L291" s="124" t="n">
        <f aca="false">K291+J291</f>
        <v>6.914</v>
      </c>
      <c r="M291" s="126" t="n">
        <f aca="false">VLOOKUP(G291,NGPrices,4,FALSE())</f>
        <v>0.068374831148491</v>
      </c>
      <c r="N291" s="7" t="n">
        <f aca="false">VLOOKUP(G291,NGPrices,3,FALSE())</f>
        <v>0.605</v>
      </c>
      <c r="O291" s="7" t="n">
        <f aca="false">HLOOKUP(D291,VOLS,VLOOKUP(G291,move_down,2,FALSE()),FALSE())</f>
        <v>0.696</v>
      </c>
      <c r="P291" s="249" t="n">
        <f aca="false">HLOOKUP(D291,Correllate,VLOOKUP(G291,CorMove,2,FALSE()),FALSE())</f>
        <v>0.83</v>
      </c>
      <c r="Q291" s="92" t="n">
        <f aca="false">WORKDAY(G291,-2)</f>
        <v>36888</v>
      </c>
      <c r="R291" s="7" t="n">
        <f aca="false">IF(F291="P",0,1)</f>
        <v>0</v>
      </c>
      <c r="S291" s="130" t="e">
        <f aca="false">xSPRDOPT($L291,$J291,$I291,$M291,$O291,$N291,$P291,$Q291-$C$3,$R291,0)</f>
        <v>#NAME?</v>
      </c>
      <c r="T291" s="250" t="e">
        <f aca="false">xSPRDOPT($L291,$J291,$I291,$M291,$O291,$N291,$P291,$Q291-$C$3,$R291,1)*H291</f>
        <v>#NAME?</v>
      </c>
      <c r="U291" s="43" t="e">
        <f aca="false">S291*H291</f>
        <v>#NAME?</v>
      </c>
      <c r="V291" s="250" t="e">
        <f aca="false">xSPRDOPT($L291,$J291,$I291,$M291,$O291,$N291,$P291,$Q291-$C$3,$R291,2)*H291</f>
        <v>#NAME?</v>
      </c>
      <c r="W291" s="250" t="e">
        <f aca="false">+V291+T291</f>
        <v>#NAME?</v>
      </c>
      <c r="X291" s="2" t="str">
        <f aca="false">CONCATENATE(G291,D291)</f>
        <v>36892IF-TRANSCO/Z6</v>
      </c>
      <c r="Y291" s="251" t="n">
        <f aca="false">H291/10000</f>
        <v>50</v>
      </c>
      <c r="Z291" s="226" t="e">
        <f aca="false">T291/H291</f>
        <v>#NAME?</v>
      </c>
      <c r="AA291" s="226" t="e">
        <f aca="false">xSPRDOPT($L291,$J291,$I291,$M291,$O291,$N291,$P291,$Q291-$C$3,$R291,3)</f>
        <v>#NAME?</v>
      </c>
      <c r="AB291" s="226" t="e">
        <f aca="false">((xSPRDOPT($L291+AB$5,$J291,$I291,$M291,$O291,$N291,$P291,$Q291-$C$3,$R291,3)*$H291)/10000)/100</f>
        <v>#NAME?</v>
      </c>
      <c r="AC291" s="226" t="e">
        <f aca="false">((xSPRDOPT($L291+$AB$5,$J291,$I291,$M291,$O291,$N291,$P291,$Q291-$C$3,$R291,7)*$H291)/100)</f>
        <v>#NAME?</v>
      </c>
      <c r="AD291" s="226" t="e">
        <f aca="false">(xSPRDOPT($L291+$AB$5,$J291,$I291,$M291,$O291,$N291,$P291,$Q291-$C$3,$R291,9)/365)*$H291</f>
        <v>#NAME?</v>
      </c>
      <c r="AE291" s="0" t="e">
        <f aca="false">CD291</f>
        <v>#NAME?</v>
      </c>
      <c r="AF291" s="226" t="e">
        <f aca="false">((O291/N291)*AH291)+AG291</f>
        <v>#NAME?</v>
      </c>
      <c r="AG291" s="226" t="e">
        <f aca="false">((xSPRDOPT($L291,$J291,$I291,$M291,$O291,$N291,$P291,$Q291-$C$3,$R291,6)*$H291)/100)</f>
        <v>#NAME?</v>
      </c>
      <c r="AH291" s="226" t="e">
        <f aca="false">((xSPRDOPT($L291,$J291,$I291,$M291,$O291,$N291,$P291,$Q291-$C$3,$R291,5)*$H291)/100)</f>
        <v>#NAME?</v>
      </c>
      <c r="AI291" s="226" t="e">
        <f aca="false">(((xSPRDOPT($L291,$J291,$I291,$M291,$O291,$N291,$P291,$Q291-$C$3,$R291,4)*$H291)/10000)/100)-AB291</f>
        <v>#NAME?</v>
      </c>
      <c r="AJ291" s="226"/>
      <c r="AK291" s="226"/>
      <c r="AL291" s="226"/>
      <c r="AM291" s="252"/>
      <c r="CC291" s="182" t="n">
        <f aca="false">G291</f>
        <v>36892</v>
      </c>
      <c r="CD291" s="253" t="e">
        <f aca="false">xSPRDOPT((VLOOKUP(G291,NGPrices,2,FALSE())+HLOOKUP(D291,Prices,VLOOKUP(G291,move_down,2,FALSE()),FALSE())),VLOOKUP(G291,NGPrices,2,FALSE()),I291,VLOOKUP(G291,NGPREVPRICES,4,FALSE()),HLOOKUP(D291,PREVVOLS,VLOOKUP(G291,MOVE_DOWN2,2,FALSE()),FALSE()),VLOOKUP(G291,NGPREVPRICES,3,FALSE()),HLOOKUP(D291,Correllate,VLOOKUP(G291,CorMove,2,FALSE()),FALSE()),Q291-$CD$3,R291,$CD$5)*H291-CJ291</f>
        <v>#NAME?</v>
      </c>
      <c r="CE291" s="253" t="e">
        <f aca="false">xSPRDOPT((VLOOKUP(G291,NGPREVPRICES,2,FALSE())+HLOOKUP(D291,PREVCURVES,VLOOKUP(G291,MOVE_DOWN2,2,FALSE()),FALSE())),VLOOKUP(G291,NGPREVPRICES,2,FALSE()),CK291,VLOOKUP(G291,NGPrices,4,FALSE()),HLOOKUP(D291,PREVVOLS,VLOOKUP(G291,MOVE_DOWN2,2,FALSE()),FALSE()),VLOOKUP(G291,NGPREVPRICES,3,FALSE()),HLOOKUP(D291,Correllate,VLOOKUP(G291,CorMove,2,FALSE()),FALSE()),Q291-$CD$3,R291,$CJ$5)*H291-CJ291</f>
        <v>#NAME?</v>
      </c>
      <c r="CF291" s="132" t="e">
        <f aca="false">(CJ291/VLOOKUP(CC291,discount,3,FALSE()))-(CJ291/VLOOKUP(CC291,discount,2,FALSE()))</f>
        <v>#NAME?</v>
      </c>
      <c r="CG291" s="253" t="e">
        <f aca="false">xSPRDOPT((VLOOKUP(G291,NGPREVPRICES,2,FALSE())+HLOOKUP(D291,PREVCURVES,VLOOKUP(G291,MOVE_DOWN2,2,FALSE()),FALSE())),VLOOKUP(G291,NGPREVPRICES,2,FALSE()),CK291,VLOOKUP(G291,NGPREVPRICES,4,FALSE()),HLOOKUP(D291,VOLS,VLOOKUP(G291,move_down,2,FALSE()),FALSE()),VLOOKUP(G291,NGPrices,3,FALSE()),HLOOKUP(D291,Correllate,VLOOKUP(G291,CorMove,2,FALSE()),FALSE()),Q291-$CD$3,R291,$CJ$5)*H291-CJ291</f>
        <v>#NAME?</v>
      </c>
      <c r="CH291" s="253" t="e">
        <f aca="false">xSPRDOPT((VLOOKUP(G291,NGPREVPRICES,2,FALSE())+HLOOKUP(D291,PREVCURVES,VLOOKUP(G291,MOVE_DOWN2,2,FALSE()),FALSE())),VLOOKUP(G291,NGPREVPRICES,2,FALSE()),CK291,VLOOKUP(G291,NGPREVPRICES,4,FALSE()),HLOOKUP(D291,PREVVOLS,VLOOKUP(G291,MOVE_DOWN2,2,FALSE()),FALSE()),VLOOKUP(G291,NGPREVPRICES,3,FALSE()),HLOOKUP(D291,Correllate,VLOOKUP(G291,CorMove,2,FALSE()),FALSE()),Q291-$C$3,R291,$CJ$5)*H291-CJ291</f>
        <v>#NAME?</v>
      </c>
      <c r="CI291" s="253" t="e">
        <f aca="false">SUM(CD291:CH291)</f>
        <v>#NAME?</v>
      </c>
      <c r="CJ291" s="253" t="e">
        <f aca="false">xSPRDOPT((VLOOKUP(G291,NGPREVPRICES,2,FALSE())+HLOOKUP(D291,PREVCURVES,VLOOKUP(G291,MOVE_DOWN2,2,FALSE()),FALSE())),VLOOKUP(G291,NGPREVPRICES,2,FALSE()),CK291,VLOOKUP(G291,NGPREVPRICES,4,FALSE()),HLOOKUP(D291,PREVVOLS,VLOOKUP(G291,MOVE_DOWN2,2,FALSE()),FALSE()),VLOOKUP(G291,NGPREVPRICES,3,FALSE()),HLOOKUP(D291,Correllate,VLOOKUP(G291,CorMove,2,FALSE()),FALSE()),Q291-$CD$3,R291,$CJ$5)*H291</f>
        <v>#NAME?</v>
      </c>
      <c r="CK291" s="254" t="n">
        <f aca="false">I291</f>
        <v>1.57</v>
      </c>
      <c r="CL291" s="253"/>
      <c r="CM291" s="0" t="str">
        <f aca="false">CONCATENATE(CC291,$CD$6)</f>
        <v>36892Curve Shift/Gamma</v>
      </c>
      <c r="CN291" s="0" t="str">
        <f aca="false">CONCATENATE($CC291,$CE$6)</f>
        <v>36892Rho</v>
      </c>
      <c r="CO291" s="0" t="str">
        <f aca="false">CONCATENATE($CC291,$CF$6)</f>
        <v>36892Drift</v>
      </c>
      <c r="CP291" s="0" t="str">
        <f aca="false">CONCATENATE($CC291,$CG$6)</f>
        <v>36892Vega</v>
      </c>
      <c r="CQ291" s="0" t="str">
        <f aca="false">CONCATENATE($CC291,$CH$6)</f>
        <v>36892Theta</v>
      </c>
    </row>
    <row r="292" customFormat="false" ht="12.75" hidden="false" customHeight="false" outlineLevel="0" collapsed="false">
      <c r="A292" s="265" t="s">
        <v>206</v>
      </c>
      <c r="B292" s="0" t="s">
        <v>192</v>
      </c>
      <c r="C292" s="0" t="s">
        <v>297</v>
      </c>
      <c r="D292" s="7" t="s">
        <v>149</v>
      </c>
      <c r="E292" s="0" t="s">
        <v>131</v>
      </c>
      <c r="F292" s="0" t="s">
        <v>132</v>
      </c>
      <c r="G292" s="92" t="n">
        <v>36861</v>
      </c>
      <c r="H292" s="248" t="n">
        <v>500000</v>
      </c>
      <c r="I292" s="0" t="n">
        <v>1.57</v>
      </c>
      <c r="J292" s="124" t="n">
        <f aca="false">VLOOKUP(G292,NGPrices,2,FALSE())</f>
        <v>4.8</v>
      </c>
      <c r="K292" s="125" t="n">
        <f aca="false">HLOOKUP(D292,Prices,VLOOKUP(G292,move_down,2,FALSE()),FALSE())+VLOOKUP(G292,CHANGE,HLOOKUP(D292,CHANGE,2,FALSE()),FALSE())</f>
        <v>1.645</v>
      </c>
      <c r="L292" s="124" t="n">
        <f aca="false">K292+J292</f>
        <v>6.445</v>
      </c>
      <c r="M292" s="126" t="n">
        <f aca="false">VLOOKUP(G292,NGPrices,4,FALSE())</f>
        <v>0.068314027999354</v>
      </c>
      <c r="N292" s="7" t="n">
        <f aca="false">VLOOKUP(G292,NGPrices,3,FALSE())</f>
        <v>0.6</v>
      </c>
      <c r="O292" s="7" t="n">
        <f aca="false">HLOOKUP(D292,VOLS,VLOOKUP(G292,move_down,2,FALSE()),FALSE())</f>
        <v>0.69</v>
      </c>
      <c r="P292" s="249" t="n">
        <f aca="false">HLOOKUP(D292,Correllate,VLOOKUP(G292,CorMove,2,FALSE()),FALSE())</f>
        <v>0.83</v>
      </c>
      <c r="Q292" s="92" t="n">
        <f aca="false">WORKDAY(G292,-2)</f>
        <v>36859</v>
      </c>
      <c r="R292" s="7" t="n">
        <f aca="false">IF(F292="P",0,1)</f>
        <v>0</v>
      </c>
      <c r="S292" s="130" t="e">
        <f aca="false">xSPRDOPT($L292,$J292,$I292,$M292,$O292,$N292,$P292,$Q292-$C$3,$R292,0)</f>
        <v>#NAME?</v>
      </c>
      <c r="T292" s="250" t="e">
        <f aca="false">xSPRDOPT($L292,$J292,$I292,$M292,$O292,$N292,$P292,$Q292-$C$3,$R292,1)*H292</f>
        <v>#NAME?</v>
      </c>
      <c r="U292" s="43" t="e">
        <f aca="false">S292*H292</f>
        <v>#NAME?</v>
      </c>
      <c r="V292" s="250" t="e">
        <f aca="false">xSPRDOPT($L292,$J292,$I292,$M292,$O292,$N292,$P292,$Q292-$C$3,$R292,2)*H292</f>
        <v>#NAME?</v>
      </c>
      <c r="W292" s="250" t="e">
        <f aca="false">+V292+T292</f>
        <v>#NAME?</v>
      </c>
      <c r="X292" s="2" t="str">
        <f aca="false">CONCATENATE(G292,D292)</f>
        <v>36861IF-TRANSCO/Z6</v>
      </c>
      <c r="Y292" s="251" t="n">
        <f aca="false">H292/10000</f>
        <v>50</v>
      </c>
      <c r="Z292" s="226" t="e">
        <f aca="false">T292/H292</f>
        <v>#NAME?</v>
      </c>
      <c r="AA292" s="226" t="e">
        <f aca="false">xSPRDOPT($L292,$J292,$I292,$M292,$O292,$N292,$P292,$Q292-$C$3,$R292,3)</f>
        <v>#NAME?</v>
      </c>
      <c r="AB292" s="226" t="e">
        <f aca="false">((xSPRDOPT($L292+AB$5,$J292,$I292,$M292,$O292,$N292,$P292,$Q292-$C$3,$R292,3)*$H292)/10000)/100</f>
        <v>#NAME?</v>
      </c>
      <c r="AC292" s="226" t="e">
        <f aca="false">((xSPRDOPT($L292+$AB$5,$J292,$I292,$M292,$O292,$N292,$P292,$Q292-$C$3,$R292,7)*$H292)/100)</f>
        <v>#NAME?</v>
      </c>
      <c r="AD292" s="226" t="e">
        <f aca="false">(xSPRDOPT($L292+$AB$5,$J292,$I292,$M292,$O292,$N292,$P292,$Q292-$C$3,$R292,9)/365)*$H292</f>
        <v>#NAME?</v>
      </c>
      <c r="AE292" s="0" t="e">
        <f aca="false">CD292</f>
        <v>#NAME?</v>
      </c>
      <c r="AF292" s="226" t="e">
        <f aca="false">((O292/N292)*AH292)+AG292</f>
        <v>#NAME?</v>
      </c>
      <c r="AG292" s="226" t="e">
        <f aca="false">((xSPRDOPT($L292,$J292,$I292,$M292,$O292,$N292,$P292,$Q292-$C$3,$R292,6)*$H292)/100)</f>
        <v>#NAME?</v>
      </c>
      <c r="AH292" s="226" t="e">
        <f aca="false">((xSPRDOPT($L292,$J292,$I292,$M292,$O292,$N292,$P292,$Q292-$C$3,$R292,5)*$H292)/100)</f>
        <v>#NAME?</v>
      </c>
      <c r="AI292" s="226" t="e">
        <f aca="false">(((xSPRDOPT($L292,$J292,$I292,$M292,$O292,$N292,$P292,$Q292-$C$3,$R292,4)*$H292)/10000)/100)-AB292</f>
        <v>#NAME?</v>
      </c>
      <c r="AJ292" s="226"/>
      <c r="AK292" s="226"/>
      <c r="AL292" s="226"/>
      <c r="AM292" s="252"/>
      <c r="CC292" s="182" t="n">
        <f aca="false">G292</f>
        <v>36861</v>
      </c>
      <c r="CD292" s="253" t="e">
        <f aca="false">xSPRDOPT((VLOOKUP(G292,NGPrices,2,FALSE())+HLOOKUP(D292,Prices,VLOOKUP(G292,move_down,2,FALSE()),FALSE())),VLOOKUP(G292,NGPrices,2,FALSE()),I292,VLOOKUP(G292,NGPREVPRICES,4,FALSE()),HLOOKUP(D292,PREVVOLS,VLOOKUP(G292,MOVE_DOWN2,2,FALSE()),FALSE()),VLOOKUP(G292,NGPREVPRICES,3,FALSE()),HLOOKUP(D292,Correllate,VLOOKUP(G292,CorMove,2,FALSE()),FALSE()),Q292-$CD$3,R292,$CD$5)*H292-CJ292</f>
        <v>#NAME?</v>
      </c>
      <c r="CE292" s="253" t="e">
        <f aca="false">xSPRDOPT((VLOOKUP(G292,NGPREVPRICES,2,FALSE())+HLOOKUP(D292,PREVCURVES,VLOOKUP(G292,MOVE_DOWN2,2,FALSE()),FALSE())),VLOOKUP(G292,NGPREVPRICES,2,FALSE()),CK292,VLOOKUP(G292,NGPrices,4,FALSE()),HLOOKUP(D292,PREVVOLS,VLOOKUP(G292,MOVE_DOWN2,2,FALSE()),FALSE()),VLOOKUP(G292,NGPREVPRICES,3,FALSE()),HLOOKUP(D292,Correllate,VLOOKUP(G292,CorMove,2,FALSE()),FALSE()),Q292-$CD$3,R292,$CJ$5)*H292-CJ292</f>
        <v>#NAME?</v>
      </c>
      <c r="CF292" s="132" t="e">
        <f aca="false">(CJ292/VLOOKUP(CC292,discount,3,FALSE()))-(CJ292/VLOOKUP(CC292,discount,2,FALSE()))</f>
        <v>#NAME?</v>
      </c>
      <c r="CG292" s="253" t="e">
        <f aca="false">xSPRDOPT((VLOOKUP(G292,NGPREVPRICES,2,FALSE())+HLOOKUP(D292,PREVCURVES,VLOOKUP(G292,MOVE_DOWN2,2,FALSE()),FALSE())),VLOOKUP(G292,NGPREVPRICES,2,FALSE()),CK292,VLOOKUP(G292,NGPREVPRICES,4,FALSE()),HLOOKUP(D292,VOLS,VLOOKUP(G292,move_down,2,FALSE()),FALSE()),VLOOKUP(G292,NGPrices,3,FALSE()),HLOOKUP(D292,Correllate,VLOOKUP(G292,CorMove,2,FALSE()),FALSE()),Q292-$CD$3,R292,$CJ$5)*H292-CJ292</f>
        <v>#NAME?</v>
      </c>
      <c r="CH292" s="253" t="e">
        <f aca="false">xSPRDOPT((VLOOKUP(G292,NGPREVPRICES,2,FALSE())+HLOOKUP(D292,PREVCURVES,VLOOKUP(G292,MOVE_DOWN2,2,FALSE()),FALSE())),VLOOKUP(G292,NGPREVPRICES,2,FALSE()),CK292,VLOOKUP(G292,NGPREVPRICES,4,FALSE()),HLOOKUP(D292,PREVVOLS,VLOOKUP(G292,MOVE_DOWN2,2,FALSE()),FALSE()),VLOOKUP(G292,NGPREVPRICES,3,FALSE()),HLOOKUP(D292,Correllate,VLOOKUP(G292,CorMove,2,FALSE()),FALSE()),Q292-$C$3,R292,$CJ$5)*H292-CJ292</f>
        <v>#NAME?</v>
      </c>
      <c r="CI292" s="253" t="e">
        <f aca="false">SUM(CD292:CH292)</f>
        <v>#NAME?</v>
      </c>
      <c r="CJ292" s="253" t="e">
        <f aca="false">xSPRDOPT((VLOOKUP(G292,NGPREVPRICES,2,FALSE())+HLOOKUP(D292,PREVCURVES,VLOOKUP(G292,MOVE_DOWN2,2,FALSE()),FALSE())),VLOOKUP(G292,NGPREVPRICES,2,FALSE()),CK292,VLOOKUP(G292,NGPREVPRICES,4,FALSE()),HLOOKUP(D292,PREVVOLS,VLOOKUP(G292,MOVE_DOWN2,2,FALSE()),FALSE()),VLOOKUP(G292,NGPREVPRICES,3,FALSE()),HLOOKUP(D292,Correllate,VLOOKUP(G292,CorMove,2,FALSE()),FALSE()),Q292-$CD$3,R292,$CJ$5)*H292</f>
        <v>#NAME?</v>
      </c>
      <c r="CK292" s="254" t="n">
        <f aca="false">I292</f>
        <v>1.57</v>
      </c>
      <c r="CL292" s="253"/>
      <c r="CM292" s="0" t="str">
        <f aca="false">CONCATENATE(CC292,$CD$6)</f>
        <v>36861Curve Shift/Gamma</v>
      </c>
      <c r="CN292" s="0" t="str">
        <f aca="false">CONCATENATE($CC292,$CE$6)</f>
        <v>36861Rho</v>
      </c>
      <c r="CO292" s="0" t="str">
        <f aca="false">CONCATENATE($CC292,$CF$6)</f>
        <v>36861Drift</v>
      </c>
      <c r="CP292" s="0" t="str">
        <f aca="false">CONCATENATE($CC292,$CG$6)</f>
        <v>36861Vega</v>
      </c>
      <c r="CQ292" s="0" t="str">
        <f aca="false">CONCATENATE($CC292,$CH$6)</f>
        <v>36861Theta</v>
      </c>
    </row>
    <row r="293" customFormat="false" ht="12.75" hidden="false" customHeight="false" outlineLevel="0" collapsed="false">
      <c r="A293" s="265" t="s">
        <v>206</v>
      </c>
      <c r="B293" s="0" t="s">
        <v>192</v>
      </c>
      <c r="C293" s="0" t="s">
        <v>297</v>
      </c>
      <c r="D293" s="7" t="s">
        <v>149</v>
      </c>
      <c r="E293" s="0" t="s">
        <v>131</v>
      </c>
      <c r="F293" s="0" t="s">
        <v>132</v>
      </c>
      <c r="G293" s="92" t="n">
        <v>36831</v>
      </c>
      <c r="H293" s="248" t="n">
        <v>500000</v>
      </c>
      <c r="I293" s="0" t="n">
        <v>1.57</v>
      </c>
      <c r="J293" s="124" t="n">
        <f aca="false">VLOOKUP(G293,NGPrices,2,FALSE())</f>
        <v>4.736</v>
      </c>
      <c r="K293" s="125" t="n">
        <f aca="false">HLOOKUP(D293,Prices,VLOOKUP(G293,move_down,2,FALSE()),FALSE())+VLOOKUP(G293,CHANGE,HLOOKUP(D293,CHANGE,2,FALSE()),FALSE())</f>
        <v>0.77</v>
      </c>
      <c r="L293" s="124" t="n">
        <f aca="false">K293+J293</f>
        <v>5.506</v>
      </c>
      <c r="M293" s="126" t="n">
        <f aca="false">VLOOKUP(G293,NGPrices,4,FALSE())</f>
        <v>0.06810675983792</v>
      </c>
      <c r="N293" s="7" t="n">
        <f aca="false">VLOOKUP(G293,NGPrices,3,FALSE())</f>
        <v>0.595</v>
      </c>
      <c r="O293" s="7" t="n">
        <f aca="false">HLOOKUP(D293,VOLS,VLOOKUP(G293,move_down,2,FALSE()),FALSE())</f>
        <v>0.625</v>
      </c>
      <c r="P293" s="249" t="n">
        <f aca="false">HLOOKUP(D293,Correllate,VLOOKUP(G293,CorMove,2,FALSE()),FALSE())</f>
        <v>0.89</v>
      </c>
      <c r="Q293" s="92" t="n">
        <f aca="false">WORKDAY(G293,-2)</f>
        <v>36829</v>
      </c>
      <c r="R293" s="7" t="n">
        <f aca="false">IF(F293="P",0,1)</f>
        <v>0</v>
      </c>
      <c r="S293" s="130" t="e">
        <f aca="false">xSPRDOPT($L293,$J293,$I293,$M293,$O293,$N293,$P293,$Q293-$C$3,$R293,0)</f>
        <v>#NAME?</v>
      </c>
      <c r="T293" s="250" t="e">
        <f aca="false">xSPRDOPT($L293,$J293,$I293,$M293,$O293,$N293,$P293,$Q293-$C$3,$R293,1)*H293</f>
        <v>#NAME?</v>
      </c>
      <c r="U293" s="43" t="e">
        <f aca="false">S293*H293</f>
        <v>#NAME?</v>
      </c>
      <c r="V293" s="250" t="e">
        <f aca="false">xSPRDOPT($L293,$J293,$I293,$M293,$O293,$N293,$P293,$Q293-$C$3,$R293,2)*H293</f>
        <v>#NAME?</v>
      </c>
      <c r="W293" s="250" t="e">
        <f aca="false">+V293+T293</f>
        <v>#NAME?</v>
      </c>
      <c r="X293" s="2" t="str">
        <f aca="false">CONCATENATE(G293,D293)</f>
        <v>36831IF-TRANSCO/Z6</v>
      </c>
      <c r="Y293" s="251" t="n">
        <f aca="false">H293/10000</f>
        <v>50</v>
      </c>
      <c r="Z293" s="226" t="e">
        <f aca="false">T293/H293</f>
        <v>#NAME?</v>
      </c>
      <c r="AA293" s="226" t="e">
        <f aca="false">xSPRDOPT($L293,$J293,$I293,$M293,$O293,$N293,$P293,$Q293-$C$3,$R293,3)</f>
        <v>#NAME?</v>
      </c>
      <c r="AB293" s="226" t="e">
        <f aca="false">((xSPRDOPT($L293+AB$5,$J293,$I293,$M293,$O293,$N293,$P293,$Q293-$C$3,$R293,3)*$H293)/10000)/100</f>
        <v>#NAME?</v>
      </c>
      <c r="AC293" s="226" t="e">
        <f aca="false">((xSPRDOPT($L293+$AB$5,$J293,$I293,$M293,$O293,$N293,$P293,$Q293-$C$3,$R293,7)*$H293)/100)</f>
        <v>#NAME?</v>
      </c>
      <c r="AD293" s="226" t="e">
        <f aca="false">(xSPRDOPT($L293+$AB$5,$J293,$I293,$M293,$O293,$N293,$P293,$Q293-$C$3,$R293,9)/365)*$H293</f>
        <v>#NAME?</v>
      </c>
      <c r="AE293" s="0" t="e">
        <f aca="false">CD293</f>
        <v>#NAME?</v>
      </c>
      <c r="AF293" s="226" t="e">
        <f aca="false">((O293/N293)*AH293)+AG293</f>
        <v>#NAME?</v>
      </c>
      <c r="AG293" s="226" t="e">
        <f aca="false">((xSPRDOPT($L293,$J293,$I293,$M293,$O293,$N293,$P293,$Q293-$C$3,$R293,6)*$H293)/100)</f>
        <v>#NAME?</v>
      </c>
      <c r="AH293" s="226" t="e">
        <f aca="false">((xSPRDOPT($L293,$J293,$I293,$M293,$O293,$N293,$P293,$Q293-$C$3,$R293,5)*$H293)/100)</f>
        <v>#NAME?</v>
      </c>
      <c r="AI293" s="226" t="e">
        <f aca="false">(((xSPRDOPT($L293,$J293,$I293,$M293,$O293,$N293,$P293,$Q293-$C$3,$R293,4)*$H293)/10000)/100)-AB293</f>
        <v>#NAME?</v>
      </c>
      <c r="AJ293" s="226"/>
      <c r="AK293" s="226"/>
      <c r="AL293" s="226"/>
      <c r="AM293" s="252"/>
      <c r="CC293" s="182" t="n">
        <f aca="false">G293</f>
        <v>36831</v>
      </c>
      <c r="CD293" s="253" t="e">
        <f aca="false">xSPRDOPT((VLOOKUP(G293,NGPrices,2,FALSE())+HLOOKUP(D293,Prices,VLOOKUP(G293,move_down,2,FALSE()),FALSE())),VLOOKUP(G293,NGPrices,2,FALSE()),I293,VLOOKUP(G293,NGPREVPRICES,4,FALSE()),HLOOKUP(D293,PREVVOLS,VLOOKUP(G293,MOVE_DOWN2,2,FALSE()),FALSE()),VLOOKUP(G293,NGPREVPRICES,3,FALSE()),HLOOKUP(D293,Correllate,VLOOKUP(G293,CorMove,2,FALSE()),FALSE()),Q293-$CD$3,R293,$CD$5)*H293-CJ293</f>
        <v>#NAME?</v>
      </c>
      <c r="CE293" s="253" t="e">
        <f aca="false">xSPRDOPT((VLOOKUP(G293,NGPREVPRICES,2,FALSE())+HLOOKUP(D293,PREVCURVES,VLOOKUP(G293,MOVE_DOWN2,2,FALSE()),FALSE())),VLOOKUP(G293,NGPREVPRICES,2,FALSE()),CK293,VLOOKUP(G293,NGPrices,4,FALSE()),HLOOKUP(D293,PREVVOLS,VLOOKUP(G293,MOVE_DOWN2,2,FALSE()),FALSE()),VLOOKUP(G293,NGPREVPRICES,3,FALSE()),HLOOKUP(D293,Correllate,VLOOKUP(G293,CorMove,2,FALSE()),FALSE()),Q293-$CD$3,R293,$CJ$5)*H293-CJ293</f>
        <v>#NAME?</v>
      </c>
      <c r="CF293" s="132" t="e">
        <f aca="false">(CJ293/VLOOKUP(CC293,discount,3,FALSE()))-(CJ293/VLOOKUP(CC293,discount,2,FALSE()))</f>
        <v>#NAME?</v>
      </c>
      <c r="CG293" s="253" t="e">
        <f aca="false">xSPRDOPT((VLOOKUP(G293,NGPREVPRICES,2,FALSE())+HLOOKUP(D293,PREVCURVES,VLOOKUP(G293,MOVE_DOWN2,2,FALSE()),FALSE())),VLOOKUP(G293,NGPREVPRICES,2,FALSE()),CK293,VLOOKUP(G293,NGPREVPRICES,4,FALSE()),HLOOKUP(D293,VOLS,VLOOKUP(G293,move_down,2,FALSE()),FALSE()),VLOOKUP(G293,NGPrices,3,FALSE()),HLOOKUP(D293,Correllate,VLOOKUP(G293,CorMove,2,FALSE()),FALSE()),Q293-$CD$3,R293,$CJ$5)*H293-CJ293</f>
        <v>#NAME?</v>
      </c>
      <c r="CH293" s="253" t="e">
        <f aca="false">xSPRDOPT((VLOOKUP(G293,NGPREVPRICES,2,FALSE())+HLOOKUP(D293,PREVCURVES,VLOOKUP(G293,MOVE_DOWN2,2,FALSE()),FALSE())),VLOOKUP(G293,NGPREVPRICES,2,FALSE()),CK293,VLOOKUP(G293,NGPREVPRICES,4,FALSE()),HLOOKUP(D293,PREVVOLS,VLOOKUP(G293,MOVE_DOWN2,2,FALSE()),FALSE()),VLOOKUP(G293,NGPREVPRICES,3,FALSE()),HLOOKUP(D293,Correllate,VLOOKUP(G293,CorMove,2,FALSE()),FALSE()),Q293-$C$3,R293,$CJ$5)*H293-CJ293</f>
        <v>#NAME?</v>
      </c>
      <c r="CI293" s="253" t="e">
        <f aca="false">SUM(CD293:CH293)</f>
        <v>#NAME?</v>
      </c>
      <c r="CJ293" s="253" t="e">
        <f aca="false">xSPRDOPT((VLOOKUP(G293,NGPREVPRICES,2,FALSE())+HLOOKUP(D293,PREVCURVES,VLOOKUP(G293,MOVE_DOWN2,2,FALSE()),FALSE())),VLOOKUP(G293,NGPREVPRICES,2,FALSE()),CK293,VLOOKUP(G293,NGPREVPRICES,4,FALSE()),HLOOKUP(D293,PREVVOLS,VLOOKUP(G293,MOVE_DOWN2,2,FALSE()),FALSE()),VLOOKUP(G293,NGPREVPRICES,3,FALSE()),HLOOKUP(D293,Correllate,VLOOKUP(G293,CorMove,2,FALSE()),FALSE()),Q293-$CD$3,R293,$CJ$5)*H293</f>
        <v>#NAME?</v>
      </c>
      <c r="CK293" s="254" t="n">
        <f aca="false">I293</f>
        <v>1.57</v>
      </c>
      <c r="CL293" s="253"/>
      <c r="CM293" s="0" t="str">
        <f aca="false">CONCATENATE(CC293,$CD$6)</f>
        <v>36831Curve Shift/Gamma</v>
      </c>
      <c r="CN293" s="0" t="str">
        <f aca="false">CONCATENATE($CC293,$CE$6)</f>
        <v>36831Rho</v>
      </c>
      <c r="CO293" s="0" t="str">
        <f aca="false">CONCATENATE($CC293,$CF$6)</f>
        <v>36831Drift</v>
      </c>
      <c r="CP293" s="0" t="str">
        <f aca="false">CONCATENATE($CC293,$CG$6)</f>
        <v>36831Vega</v>
      </c>
      <c r="CQ293" s="0" t="str">
        <f aca="false">CONCATENATE($CC293,$CH$6)</f>
        <v>36831Theta</v>
      </c>
    </row>
    <row r="294" customFormat="false" ht="12.75" hidden="false" customHeight="false" outlineLevel="0" collapsed="false">
      <c r="A294" s="265" t="s">
        <v>198</v>
      </c>
      <c r="B294" s="0" t="s">
        <v>192</v>
      </c>
      <c r="C294" s="0" t="s">
        <v>298</v>
      </c>
      <c r="D294" s="7" t="s">
        <v>149</v>
      </c>
      <c r="E294" s="0" t="s">
        <v>131</v>
      </c>
      <c r="F294" s="0" t="s">
        <v>136</v>
      </c>
      <c r="G294" s="92" t="n">
        <v>36831</v>
      </c>
      <c r="H294" s="248" t="n">
        <v>-2000000</v>
      </c>
      <c r="I294" s="0" t="n">
        <v>1.5</v>
      </c>
      <c r="J294" s="124" t="n">
        <f aca="false">VLOOKUP(G294,NGPrices,2,FALSE())</f>
        <v>4.736</v>
      </c>
      <c r="K294" s="125" t="n">
        <f aca="false">HLOOKUP(D294,Prices,VLOOKUP(G294,move_down,2,FALSE()),FALSE())+VLOOKUP(G294,CHANGE,HLOOKUP(D294,CHANGE,2,FALSE()),FALSE())</f>
        <v>0.77</v>
      </c>
      <c r="L294" s="124" t="n">
        <f aca="false">K294+J294</f>
        <v>5.506</v>
      </c>
      <c r="M294" s="126" t="n">
        <f aca="false">VLOOKUP(G294,NGPrices,4,FALSE())</f>
        <v>0.06810675983792</v>
      </c>
      <c r="N294" s="7" t="n">
        <f aca="false">VLOOKUP(G294,NGPrices,3,FALSE())</f>
        <v>0.595</v>
      </c>
      <c r="O294" s="7" t="n">
        <f aca="false">HLOOKUP(D294,VOLS,VLOOKUP(G294,move_down,2,FALSE()),FALSE())</f>
        <v>0.625</v>
      </c>
      <c r="P294" s="249" t="n">
        <f aca="false">HLOOKUP(D294,Correllate,VLOOKUP(G294,CorMove,2,FALSE()),FALSE())</f>
        <v>0.89</v>
      </c>
      <c r="Q294" s="92" t="n">
        <f aca="false">WORKDAY(G294,-2)</f>
        <v>36829</v>
      </c>
      <c r="R294" s="7" t="n">
        <f aca="false">IF(F294="P",0,1)</f>
        <v>1</v>
      </c>
      <c r="S294" s="130" t="e">
        <f aca="false">xSPRDOPT($L294,$J294,$I294,$M294,$O294,$N294,$P294,$Q294-$C$3,$R294,0)</f>
        <v>#NAME?</v>
      </c>
      <c r="T294" s="250" t="e">
        <f aca="false">xSPRDOPT($L294,$J294,$I294,$M294,$O294,$N294,$P294,$Q294-$C$3,$R294,1)*H294</f>
        <v>#NAME?</v>
      </c>
      <c r="U294" s="43" t="e">
        <f aca="false">S294*H294</f>
        <v>#NAME?</v>
      </c>
      <c r="V294" s="250" t="e">
        <f aca="false">xSPRDOPT($L294,$J294,$I294,$M294,$O294,$N294,$P294,$Q294-$C$3,$R294,2)*H294</f>
        <v>#NAME?</v>
      </c>
      <c r="W294" s="250" t="e">
        <f aca="false">+V294+T294</f>
        <v>#NAME?</v>
      </c>
      <c r="X294" s="2" t="str">
        <f aca="false">CONCATENATE(G294,D294)</f>
        <v>36831IF-TRANSCO/Z6</v>
      </c>
      <c r="Y294" s="251" t="n">
        <f aca="false">H294/10000</f>
        <v>-200</v>
      </c>
      <c r="Z294" s="226" t="e">
        <f aca="false">T294/H294</f>
        <v>#NAME?</v>
      </c>
      <c r="AA294" s="226" t="e">
        <f aca="false">xSPRDOPT($L294,$J294,$I294,$M294,$O294,$N294,$P294,$Q294-$C$3,$R294,3)</f>
        <v>#NAME?</v>
      </c>
      <c r="AB294" s="226" t="e">
        <f aca="false">((xSPRDOPT($L294+AB$5,$J294,$I294,$M294,$O294,$N294,$P294,$Q294-$C$3,$R294,3)*$H294)/10000)/100</f>
        <v>#NAME?</v>
      </c>
      <c r="AC294" s="226" t="e">
        <f aca="false">((xSPRDOPT($L294+$AB$5,$J294,$I294,$M294,$O294,$N294,$P294,$Q294-$C$3,$R294,7)*$H294)/100)</f>
        <v>#NAME?</v>
      </c>
      <c r="AD294" s="226" t="e">
        <f aca="false">(xSPRDOPT($L294+$AB$5,$J294,$I294,$M294,$O294,$N294,$P294,$Q294-$C$3,$R294,9)/365)*$H294</f>
        <v>#NAME?</v>
      </c>
      <c r="AE294" s="0" t="e">
        <f aca="false">CD294</f>
        <v>#NAME?</v>
      </c>
      <c r="AF294" s="226" t="e">
        <f aca="false">((O294/N294)*AH294)+AG294</f>
        <v>#NAME?</v>
      </c>
      <c r="AG294" s="226" t="e">
        <f aca="false">((xSPRDOPT($L294,$J294,$I294,$M294,$O294,$N294,$P294,$Q294-$C$3,$R294,6)*$H294)/100)</f>
        <v>#NAME?</v>
      </c>
      <c r="AH294" s="226" t="e">
        <f aca="false">((xSPRDOPT($L294,$J294,$I294,$M294,$O294,$N294,$P294,$Q294-$C$3,$R294,5)*$H294)/100)</f>
        <v>#NAME?</v>
      </c>
      <c r="AI294" s="226" t="e">
        <f aca="false">(((xSPRDOPT($L294,$J294,$I294,$M294,$O294,$N294,$P294,$Q294-$C$3,$R294,4)*$H294)/10000)/100)-AB294</f>
        <v>#NAME?</v>
      </c>
      <c r="AJ294" s="226"/>
      <c r="AK294" s="226"/>
      <c r="AL294" s="226"/>
      <c r="AM294" s="252"/>
      <c r="CC294" s="182" t="n">
        <f aca="false">G294</f>
        <v>36831</v>
      </c>
      <c r="CD294" s="253" t="e">
        <f aca="false">xSPRDOPT((VLOOKUP(G294,NGPrices,2,FALSE())+HLOOKUP(D294,Prices,VLOOKUP(G294,move_down,2,FALSE()),FALSE())),VLOOKUP(G294,NGPrices,2,FALSE()),I294,VLOOKUP(G294,NGPREVPRICES,4,FALSE()),HLOOKUP(D294,PREVVOLS,VLOOKUP(G294,MOVE_DOWN2,2,FALSE()),FALSE()),VLOOKUP(G294,NGPREVPRICES,3,FALSE()),HLOOKUP(D294,Correllate,VLOOKUP(G294,CorMove,2,FALSE()),FALSE()),Q294-$CD$3,R294,$CD$5)*H294-CJ294</f>
        <v>#NAME?</v>
      </c>
      <c r="CE294" s="253" t="e">
        <f aca="false">xSPRDOPT((VLOOKUP(G294,NGPREVPRICES,2,FALSE())+HLOOKUP(D294,PREVCURVES,VLOOKUP(G294,MOVE_DOWN2,2,FALSE()),FALSE())),VLOOKUP(G294,NGPREVPRICES,2,FALSE()),CK294,VLOOKUP(G294,NGPrices,4,FALSE()),HLOOKUP(D294,PREVVOLS,VLOOKUP(G294,MOVE_DOWN2,2,FALSE()),FALSE()),VLOOKUP(G294,NGPREVPRICES,3,FALSE()),HLOOKUP(D294,Correllate,VLOOKUP(G294,CorMove,2,FALSE()),FALSE()),Q294-$CD$3,R294,$CJ$5)*H294-CJ294</f>
        <v>#NAME?</v>
      </c>
      <c r="CF294" s="132" t="e">
        <f aca="false">(CJ294/VLOOKUP(CC294,discount,3,FALSE()))-(CJ294/VLOOKUP(CC294,discount,2,FALSE()))</f>
        <v>#NAME?</v>
      </c>
      <c r="CG294" s="253" t="e">
        <f aca="false">xSPRDOPT((VLOOKUP(G294,NGPREVPRICES,2,FALSE())+HLOOKUP(D294,PREVCURVES,VLOOKUP(G294,MOVE_DOWN2,2,FALSE()),FALSE())),VLOOKUP(G294,NGPREVPRICES,2,FALSE()),CK294,VLOOKUP(G294,NGPREVPRICES,4,FALSE()),HLOOKUP(D294,VOLS,VLOOKUP(G294,move_down,2,FALSE()),FALSE()),VLOOKUP(G294,NGPrices,3,FALSE()),HLOOKUP(D294,Correllate,VLOOKUP(G294,CorMove,2,FALSE()),FALSE()),Q294-$CD$3,R294,$CJ$5)*H294-CJ294</f>
        <v>#NAME?</v>
      </c>
      <c r="CH294" s="253" t="e">
        <f aca="false">xSPRDOPT((VLOOKUP(G294,NGPREVPRICES,2,FALSE())+HLOOKUP(D294,PREVCURVES,VLOOKUP(G294,MOVE_DOWN2,2,FALSE()),FALSE())),VLOOKUP(G294,NGPREVPRICES,2,FALSE()),CK294,VLOOKUP(G294,NGPREVPRICES,4,FALSE()),HLOOKUP(D294,PREVVOLS,VLOOKUP(G294,MOVE_DOWN2,2,FALSE()),FALSE()),VLOOKUP(G294,NGPREVPRICES,3,FALSE()),HLOOKUP(D294,Correllate,VLOOKUP(G294,CorMove,2,FALSE()),FALSE()),Q294-$C$3,R294,$CJ$5)*H294-CJ294</f>
        <v>#NAME?</v>
      </c>
      <c r="CI294" s="253" t="e">
        <f aca="false">SUM(CD294:CH294)</f>
        <v>#NAME?</v>
      </c>
      <c r="CJ294" s="253" t="e">
        <f aca="false">xSPRDOPT((VLOOKUP(G294,NGPREVPRICES,2,FALSE())+HLOOKUP(D294,PREVCURVES,VLOOKUP(G294,MOVE_DOWN2,2,FALSE()),FALSE())),VLOOKUP(G294,NGPREVPRICES,2,FALSE()),CK294,VLOOKUP(G294,NGPREVPRICES,4,FALSE()),HLOOKUP(D294,PREVVOLS,VLOOKUP(G294,MOVE_DOWN2,2,FALSE()),FALSE()),VLOOKUP(G294,NGPREVPRICES,3,FALSE()),HLOOKUP(D294,Correllate,VLOOKUP(G294,CorMove,2,FALSE()),FALSE()),Q294-$CD$3,R294,$CJ$5)*H294</f>
        <v>#NAME?</v>
      </c>
      <c r="CK294" s="254" t="n">
        <f aca="false">I294</f>
        <v>1.5</v>
      </c>
      <c r="CL294" s="253"/>
      <c r="CM294" s="0" t="str">
        <f aca="false">CONCATENATE(CC294,$CD$6)</f>
        <v>36831Curve Shift/Gamma</v>
      </c>
      <c r="CN294" s="0" t="str">
        <f aca="false">CONCATENATE($CC294,$CE$6)</f>
        <v>36831Rho</v>
      </c>
      <c r="CO294" s="0" t="str">
        <f aca="false">CONCATENATE($CC294,$CF$6)</f>
        <v>36831Drift</v>
      </c>
      <c r="CP294" s="0" t="str">
        <f aca="false">CONCATENATE($CC294,$CG$6)</f>
        <v>36831Vega</v>
      </c>
      <c r="CQ294" s="0" t="str">
        <f aca="false">CONCATENATE($CC294,$CH$6)</f>
        <v>36831Theta</v>
      </c>
    </row>
    <row r="295" customFormat="false" ht="12.75" hidden="false" customHeight="false" outlineLevel="0" collapsed="false">
      <c r="A295" s="265" t="s">
        <v>216</v>
      </c>
      <c r="B295" s="0" t="s">
        <v>202</v>
      </c>
      <c r="C295" s="0" t="s">
        <v>299</v>
      </c>
      <c r="D295" s="7" t="s">
        <v>149</v>
      </c>
      <c r="E295" s="0" t="s">
        <v>131</v>
      </c>
      <c r="F295" s="0" t="s">
        <v>136</v>
      </c>
      <c r="G295" s="92" t="n">
        <v>36831</v>
      </c>
      <c r="H295" s="248" t="n">
        <v>1000000</v>
      </c>
      <c r="I295" s="0" t="n">
        <v>1.5</v>
      </c>
      <c r="J295" s="124" t="n">
        <f aca="false">VLOOKUP(G295,NGPrices,2,FALSE())</f>
        <v>4.736</v>
      </c>
      <c r="K295" s="125" t="n">
        <f aca="false">HLOOKUP(D295,Prices,VLOOKUP(G295,move_down,2,FALSE()),FALSE())+VLOOKUP(G295,CHANGE,HLOOKUP(D295,CHANGE,2,FALSE()),FALSE())</f>
        <v>0.77</v>
      </c>
      <c r="L295" s="124" t="n">
        <f aca="false">K295+J295</f>
        <v>5.506</v>
      </c>
      <c r="M295" s="126" t="n">
        <f aca="false">VLOOKUP(G295,NGPrices,4,FALSE())</f>
        <v>0.06810675983792</v>
      </c>
      <c r="N295" s="7" t="n">
        <f aca="false">VLOOKUP(G295,NGPrices,3,FALSE())</f>
        <v>0.595</v>
      </c>
      <c r="O295" s="7" t="n">
        <f aca="false">HLOOKUP(D295,VOLS,VLOOKUP(G295,move_down,2,FALSE()),FALSE())</f>
        <v>0.625</v>
      </c>
      <c r="P295" s="249" t="n">
        <f aca="false">HLOOKUP(D295,Correllate,VLOOKUP(G295,CorMove,2,FALSE()),FALSE())</f>
        <v>0.89</v>
      </c>
      <c r="Q295" s="92" t="n">
        <f aca="false">WORKDAY(G295,-2)</f>
        <v>36829</v>
      </c>
      <c r="R295" s="7" t="n">
        <f aca="false">IF(F295="P",0,1)</f>
        <v>1</v>
      </c>
      <c r="S295" s="130" t="e">
        <f aca="false">xSPRDOPT($L295,$J295,$I295,$M295,$O295,$N295,$P295,$Q295-$C$3,$R295,0)</f>
        <v>#NAME?</v>
      </c>
      <c r="T295" s="250" t="e">
        <f aca="false">xSPRDOPT($L295,$J295,$I295,$M295,$O295,$N295,$P295,$Q295-$C$3,$R295,1)*H295</f>
        <v>#NAME?</v>
      </c>
      <c r="U295" s="43" t="e">
        <f aca="false">S295*H295</f>
        <v>#NAME?</v>
      </c>
      <c r="V295" s="250" t="e">
        <f aca="false">xSPRDOPT($L295,$J295,$I295,$M295,$O295,$N295,$P295,$Q295-$C$3,$R295,2)*H295</f>
        <v>#NAME?</v>
      </c>
      <c r="W295" s="250" t="e">
        <f aca="false">+V295+T295</f>
        <v>#NAME?</v>
      </c>
      <c r="X295" s="2" t="str">
        <f aca="false">CONCATENATE(G295,D295)</f>
        <v>36831IF-TRANSCO/Z6</v>
      </c>
      <c r="Y295" s="251" t="n">
        <f aca="false">H295/10000</f>
        <v>100</v>
      </c>
      <c r="Z295" s="226" t="e">
        <f aca="false">T295/H295</f>
        <v>#NAME?</v>
      </c>
      <c r="AA295" s="226" t="e">
        <f aca="false">xSPRDOPT($L295,$J295,$I295,$M295,$O295,$N295,$P295,$Q295-$C$3,$R295,3)</f>
        <v>#NAME?</v>
      </c>
      <c r="AB295" s="226" t="e">
        <f aca="false">((xSPRDOPT($L295+AB$5,$J295,$I295,$M295,$O295,$N295,$P295,$Q295-$C$3,$R295,3)*$H295)/10000)/100</f>
        <v>#NAME?</v>
      </c>
      <c r="AC295" s="226" t="e">
        <f aca="false">((xSPRDOPT($L295+$AB$5,$J295,$I295,$M295,$O295,$N295,$P295,$Q295-$C$3,$R295,7)*$H295)/100)</f>
        <v>#NAME?</v>
      </c>
      <c r="AD295" s="226" t="e">
        <f aca="false">(xSPRDOPT($L295+$AB$5,$J295,$I295,$M295,$O295,$N295,$P295,$Q295-$C$3,$R295,9)/365)*$H295</f>
        <v>#NAME?</v>
      </c>
      <c r="AE295" s="0" t="e">
        <f aca="false">CD295</f>
        <v>#NAME?</v>
      </c>
      <c r="AF295" s="226" t="e">
        <f aca="false">((O295/N295)*AH295)+AG295</f>
        <v>#NAME?</v>
      </c>
      <c r="AG295" s="226" t="e">
        <f aca="false">((xSPRDOPT($L295,$J295,$I295,$M295,$O295,$N295,$P295,$Q295-$C$3,$R295,6)*$H295)/100)</f>
        <v>#NAME?</v>
      </c>
      <c r="AH295" s="226" t="e">
        <f aca="false">((xSPRDOPT($L295,$J295,$I295,$M295,$O295,$N295,$P295,$Q295-$C$3,$R295,5)*$H295)/100)</f>
        <v>#NAME?</v>
      </c>
      <c r="AI295" s="226" t="e">
        <f aca="false">(((xSPRDOPT($L295,$J295,$I295,$M295,$O295,$N295,$P295,$Q295-$C$3,$R295,4)*$H295)/10000)/100)-AB295</f>
        <v>#NAME?</v>
      </c>
      <c r="AJ295" s="226"/>
      <c r="AK295" s="226"/>
      <c r="AL295" s="226"/>
      <c r="AM295" s="252"/>
      <c r="CC295" s="182" t="n">
        <f aca="false">G295</f>
        <v>36831</v>
      </c>
      <c r="CD295" s="253" t="e">
        <f aca="false">xSPRDOPT((VLOOKUP(G295,NGPrices,2,FALSE())+HLOOKUP(D295,Prices,VLOOKUP(G295,move_down,2,FALSE()),FALSE())),VLOOKUP(G295,NGPrices,2,FALSE()),I295,VLOOKUP(G295,NGPREVPRICES,4,FALSE()),HLOOKUP(D295,PREVVOLS,VLOOKUP(G295,MOVE_DOWN2,2,FALSE()),FALSE()),VLOOKUP(G295,NGPREVPRICES,3,FALSE()),HLOOKUP(D295,Correllate,VLOOKUP(G295,CorMove,2,FALSE()),FALSE()),Q295-$CD$3,R295,$CD$5)*H295-CJ295</f>
        <v>#NAME?</v>
      </c>
      <c r="CE295" s="253" t="e">
        <f aca="false">xSPRDOPT((VLOOKUP(G295,NGPREVPRICES,2,FALSE())+HLOOKUP(D295,PREVCURVES,VLOOKUP(G295,MOVE_DOWN2,2,FALSE()),FALSE())),VLOOKUP(G295,NGPREVPRICES,2,FALSE()),CK295,VLOOKUP(G295,NGPrices,4,FALSE()),HLOOKUP(D295,PREVVOLS,VLOOKUP(G295,MOVE_DOWN2,2,FALSE()),FALSE()),VLOOKUP(G295,NGPREVPRICES,3,FALSE()),HLOOKUP(D295,Correllate,VLOOKUP(G295,CorMove,2,FALSE()),FALSE()),Q295-$CD$3,R295,$CJ$5)*H295-CJ295</f>
        <v>#NAME?</v>
      </c>
      <c r="CF295" s="132" t="e">
        <f aca="false">(CJ295/VLOOKUP(CC295,discount,3,FALSE()))-(CJ295/VLOOKUP(CC295,discount,2,FALSE()))</f>
        <v>#NAME?</v>
      </c>
      <c r="CG295" s="253" t="e">
        <f aca="false">xSPRDOPT((VLOOKUP(G295,NGPREVPRICES,2,FALSE())+HLOOKUP(D295,PREVCURVES,VLOOKUP(G295,MOVE_DOWN2,2,FALSE()),FALSE())),VLOOKUP(G295,NGPREVPRICES,2,FALSE()),CK295,VLOOKUP(G295,NGPREVPRICES,4,FALSE()),HLOOKUP(D295,VOLS,VLOOKUP(G295,move_down,2,FALSE()),FALSE()),VLOOKUP(G295,NGPrices,3,FALSE()),HLOOKUP(D295,Correllate,VLOOKUP(G295,CorMove,2,FALSE()),FALSE()),Q295-$CD$3,R295,$CJ$5)*H295-CJ295</f>
        <v>#NAME?</v>
      </c>
      <c r="CH295" s="253" t="e">
        <f aca="false">xSPRDOPT((VLOOKUP(G295,NGPREVPRICES,2,FALSE())+HLOOKUP(D295,PREVCURVES,VLOOKUP(G295,MOVE_DOWN2,2,FALSE()),FALSE())),VLOOKUP(G295,NGPREVPRICES,2,FALSE()),CK295,VLOOKUP(G295,NGPREVPRICES,4,FALSE()),HLOOKUP(D295,PREVVOLS,VLOOKUP(G295,MOVE_DOWN2,2,FALSE()),FALSE()),VLOOKUP(G295,NGPREVPRICES,3,FALSE()),HLOOKUP(D295,Correllate,VLOOKUP(G295,CorMove,2,FALSE()),FALSE()),Q295-$C$3,R295,$CJ$5)*H295-CJ295</f>
        <v>#NAME?</v>
      </c>
      <c r="CI295" s="253" t="e">
        <f aca="false">SUM(CD295:CH295)</f>
        <v>#NAME?</v>
      </c>
      <c r="CJ295" s="253" t="e">
        <f aca="false">xSPRDOPT((VLOOKUP(G295,NGPREVPRICES,2,FALSE())+HLOOKUP(D295,PREVCURVES,VLOOKUP(G295,MOVE_DOWN2,2,FALSE()),FALSE())),VLOOKUP(G295,NGPREVPRICES,2,FALSE()),CK295,VLOOKUP(G295,NGPREVPRICES,4,FALSE()),HLOOKUP(D295,PREVVOLS,VLOOKUP(G295,MOVE_DOWN2,2,FALSE()),FALSE()),VLOOKUP(G295,NGPREVPRICES,3,FALSE()),HLOOKUP(D295,Correllate,VLOOKUP(G295,CorMove,2,FALSE()),FALSE()),Q295-$CD$3,R295,$CJ$5)*H295</f>
        <v>#NAME?</v>
      </c>
      <c r="CK295" s="254" t="n">
        <f aca="false">I295</f>
        <v>1.5</v>
      </c>
      <c r="CL295" s="253"/>
      <c r="CM295" s="0" t="str">
        <f aca="false">CONCATENATE(CC295,$CD$6)</f>
        <v>36831Curve Shift/Gamma</v>
      </c>
      <c r="CN295" s="0" t="str">
        <f aca="false">CONCATENATE($CC295,$CE$6)</f>
        <v>36831Rho</v>
      </c>
      <c r="CO295" s="0" t="str">
        <f aca="false">CONCATENATE($CC295,$CF$6)</f>
        <v>36831Drift</v>
      </c>
      <c r="CP295" s="0" t="str">
        <f aca="false">CONCATENATE($CC295,$CG$6)</f>
        <v>36831Vega</v>
      </c>
      <c r="CQ295" s="0" t="str">
        <f aca="false">CONCATENATE($CC295,$CH$6)</f>
        <v>36831Theta</v>
      </c>
    </row>
    <row r="296" customFormat="false" ht="12.75" hidden="false" customHeight="false" outlineLevel="0" collapsed="false">
      <c r="A296" s="265" t="s">
        <v>198</v>
      </c>
      <c r="B296" s="0" t="s">
        <v>192</v>
      </c>
      <c r="C296" s="0" t="s">
        <v>300</v>
      </c>
      <c r="D296" s="7" t="s">
        <v>149</v>
      </c>
      <c r="E296" s="0" t="s">
        <v>131</v>
      </c>
      <c r="F296" s="0" t="s">
        <v>136</v>
      </c>
      <c r="G296" s="92" t="n">
        <v>36982</v>
      </c>
      <c r="H296" s="248" t="n">
        <v>-1000000</v>
      </c>
      <c r="I296" s="0" t="n">
        <v>0.7</v>
      </c>
      <c r="J296" s="124" t="n">
        <f aca="false">VLOOKUP(G296,NGPrices,2,FALSE())</f>
        <v>3.938</v>
      </c>
      <c r="K296" s="125" t="n">
        <f aca="false">HLOOKUP(D296,Prices,VLOOKUP(G296,move_down,2,FALSE()),FALSE())+VLOOKUP(G296,CHANGE,HLOOKUP(D296,CHANGE,2,FALSE()),FALSE())</f>
        <v>0.52</v>
      </c>
      <c r="L296" s="124" t="n">
        <f aca="false">K296+J296</f>
        <v>4.458</v>
      </c>
      <c r="M296" s="126" t="n">
        <f aca="false">VLOOKUP(G296,NGPrices,4,FALSE())</f>
        <v>0.069061726541121</v>
      </c>
      <c r="N296" s="7" t="n">
        <f aca="false">VLOOKUP(G296,NGPrices,3,FALSE())</f>
        <v>0.4425</v>
      </c>
      <c r="O296" s="7" t="n">
        <f aca="false">HLOOKUP(D296,VOLS,VLOOKUP(G296,move_down,2,FALSE()),FALSE())</f>
        <v>0.434</v>
      </c>
      <c r="P296" s="249" t="n">
        <f aca="false">HLOOKUP(D296,Correllate,VLOOKUP(G296,CorMove,2,FALSE()),FALSE())</f>
        <v>0.9738</v>
      </c>
      <c r="Q296" s="92" t="n">
        <f aca="false">WORKDAY(G296,-2)</f>
        <v>36979</v>
      </c>
      <c r="R296" s="7" t="n">
        <f aca="false">IF(F296="P",0,1)</f>
        <v>1</v>
      </c>
      <c r="S296" s="130" t="e">
        <f aca="false">xSPRDOPT($L296,$J296,$I296,$M296,$O296,$N296,$P296,$Q296-$C$3,$R296,0)</f>
        <v>#NAME?</v>
      </c>
      <c r="T296" s="250" t="e">
        <f aca="false">xSPRDOPT($L296,$J296,$I296,$M296,$O296,$N296,$P296,$Q296-$C$3,$R296,1)*H296</f>
        <v>#NAME?</v>
      </c>
      <c r="U296" s="43" t="e">
        <f aca="false">S296*H296</f>
        <v>#NAME?</v>
      </c>
      <c r="V296" s="250" t="e">
        <f aca="false">xSPRDOPT($L296,$J296,$I296,$M296,$O296,$N296,$P296,$Q296-$C$3,$R296,2)*H296</f>
        <v>#NAME?</v>
      </c>
      <c r="W296" s="250" t="e">
        <f aca="false">+V296+T296</f>
        <v>#NAME?</v>
      </c>
      <c r="X296" s="2" t="str">
        <f aca="false">CONCATENATE(G296,D296)</f>
        <v>36982IF-TRANSCO/Z6</v>
      </c>
      <c r="Y296" s="251" t="n">
        <f aca="false">H296/10000</f>
        <v>-100</v>
      </c>
      <c r="Z296" s="226" t="e">
        <f aca="false">T296/H296</f>
        <v>#NAME?</v>
      </c>
      <c r="AA296" s="226" t="e">
        <f aca="false">xSPRDOPT($L296,$J296,$I296,$M296,$O296,$N296,$P296,$Q296-$C$3,$R296,3)</f>
        <v>#NAME?</v>
      </c>
      <c r="AB296" s="226" t="e">
        <f aca="false">((xSPRDOPT($L296+AB$5,$J296,$I296,$M296,$O296,$N296,$P296,$Q296-$C$3,$R296,3)*$H296)/10000)/100</f>
        <v>#NAME?</v>
      </c>
      <c r="AC296" s="226" t="e">
        <f aca="false">((xSPRDOPT($L296+$AB$5,$J296,$I296,$M296,$O296,$N296,$P296,$Q296-$C$3,$R296,7)*$H296)/100)</f>
        <v>#NAME?</v>
      </c>
      <c r="AD296" s="226" t="e">
        <f aca="false">(xSPRDOPT($L296+$AB$5,$J296,$I296,$M296,$O296,$N296,$P296,$Q296-$C$3,$R296,9)/365)*$H296</f>
        <v>#NAME?</v>
      </c>
      <c r="AE296" s="0" t="e">
        <f aca="false">CD296</f>
        <v>#NAME?</v>
      </c>
      <c r="AF296" s="226" t="e">
        <f aca="false">((O296/N296)*AH296)+AG296</f>
        <v>#NAME?</v>
      </c>
      <c r="AG296" s="226" t="e">
        <f aca="false">((xSPRDOPT($L296,$J296,$I296,$M296,$O296,$N296,$P296,$Q296-$C$3,$R296,6)*$H296)/100)</f>
        <v>#NAME?</v>
      </c>
      <c r="AH296" s="226" t="e">
        <f aca="false">((xSPRDOPT($L296,$J296,$I296,$M296,$O296,$N296,$P296,$Q296-$C$3,$R296,5)*$H296)/100)</f>
        <v>#NAME?</v>
      </c>
      <c r="AI296" s="226" t="e">
        <f aca="false">(((xSPRDOPT($L296,$J296,$I296,$M296,$O296,$N296,$P296,$Q296-$C$3,$R296,4)*$H296)/10000)/100)-AB296</f>
        <v>#NAME?</v>
      </c>
      <c r="AJ296" s="226"/>
      <c r="AK296" s="226"/>
      <c r="AL296" s="226"/>
      <c r="AM296" s="252"/>
      <c r="CC296" s="182" t="n">
        <f aca="false">G296</f>
        <v>36982</v>
      </c>
      <c r="CD296" s="253" t="e">
        <f aca="false">xSPRDOPT((VLOOKUP(G296,NGPrices,2,FALSE())+HLOOKUP(D296,Prices,VLOOKUP(G296,move_down,2,FALSE()),FALSE())),VLOOKUP(G296,NGPrices,2,FALSE()),I296,VLOOKUP(G296,NGPREVPRICES,4,FALSE()),HLOOKUP(D296,PREVVOLS,VLOOKUP(G296,MOVE_DOWN2,2,FALSE()),FALSE()),VLOOKUP(G296,NGPREVPRICES,3,FALSE()),HLOOKUP(D296,Correllate,VLOOKUP(G296,CorMove,2,FALSE()),FALSE()),Q296-$CD$3,R296,$CD$5)*H296-CJ296</f>
        <v>#NAME?</v>
      </c>
      <c r="CE296" s="253" t="e">
        <f aca="false">xSPRDOPT((VLOOKUP(G296,NGPREVPRICES,2,FALSE())+HLOOKUP(D296,PREVCURVES,VLOOKUP(G296,MOVE_DOWN2,2,FALSE()),FALSE())),VLOOKUP(G296,NGPREVPRICES,2,FALSE()),CK296,VLOOKUP(G296,NGPrices,4,FALSE()),HLOOKUP(D296,PREVVOLS,VLOOKUP(G296,MOVE_DOWN2,2,FALSE()),FALSE()),VLOOKUP(G296,NGPREVPRICES,3,FALSE()),HLOOKUP(D296,Correllate,VLOOKUP(G296,CorMove,2,FALSE()),FALSE()),Q296-$CD$3,R296,$CJ$5)*H296-CJ296</f>
        <v>#NAME?</v>
      </c>
      <c r="CF296" s="132" t="e">
        <f aca="false">(CJ296/VLOOKUP(CC296,discount,3,FALSE()))-(CJ296/VLOOKUP(CC296,discount,2,FALSE()))</f>
        <v>#NAME?</v>
      </c>
      <c r="CG296" s="253" t="e">
        <f aca="false">xSPRDOPT((VLOOKUP(G296,NGPREVPRICES,2,FALSE())+HLOOKUP(D296,PREVCURVES,VLOOKUP(G296,MOVE_DOWN2,2,FALSE()),FALSE())),VLOOKUP(G296,NGPREVPRICES,2,FALSE()),CK296,VLOOKUP(G296,NGPREVPRICES,4,FALSE()),HLOOKUP(D296,VOLS,VLOOKUP(G296,move_down,2,FALSE()),FALSE()),VLOOKUP(G296,NGPrices,3,FALSE()),HLOOKUP(D296,Correllate,VLOOKUP(G296,CorMove,2,FALSE()),FALSE()),Q296-$CD$3,R296,$CJ$5)*H296-CJ296</f>
        <v>#NAME?</v>
      </c>
      <c r="CH296" s="253" t="e">
        <f aca="false">xSPRDOPT((VLOOKUP(G296,NGPREVPRICES,2,FALSE())+HLOOKUP(D296,PREVCURVES,VLOOKUP(G296,MOVE_DOWN2,2,FALSE()),FALSE())),VLOOKUP(G296,NGPREVPRICES,2,FALSE()),CK296,VLOOKUP(G296,NGPREVPRICES,4,FALSE()),HLOOKUP(D296,PREVVOLS,VLOOKUP(G296,MOVE_DOWN2,2,FALSE()),FALSE()),VLOOKUP(G296,NGPREVPRICES,3,FALSE()),HLOOKUP(D296,Correllate,VLOOKUP(G296,CorMove,2,FALSE()),FALSE()),Q296-$C$3,R296,$CJ$5)*H296-CJ296</f>
        <v>#NAME?</v>
      </c>
      <c r="CI296" s="253" t="e">
        <f aca="false">SUM(CD296:CH296)</f>
        <v>#NAME?</v>
      </c>
      <c r="CJ296" s="253" t="e">
        <f aca="false">xSPRDOPT((VLOOKUP(G296,NGPREVPRICES,2,FALSE())+HLOOKUP(D296,PREVCURVES,VLOOKUP(G296,MOVE_DOWN2,2,FALSE()),FALSE())),VLOOKUP(G296,NGPREVPRICES,2,FALSE()),CK296,VLOOKUP(G296,NGPREVPRICES,4,FALSE()),HLOOKUP(D296,PREVVOLS,VLOOKUP(G296,MOVE_DOWN2,2,FALSE()),FALSE()),VLOOKUP(G296,NGPREVPRICES,3,FALSE()),HLOOKUP(D296,Correllate,VLOOKUP(G296,CorMove,2,FALSE()),FALSE()),Q296-$CD$3,R296,$CJ$5)*H296</f>
        <v>#NAME?</v>
      </c>
      <c r="CK296" s="254" t="n">
        <f aca="false">I296</f>
        <v>0.7</v>
      </c>
      <c r="CL296" s="253"/>
      <c r="CM296" s="0" t="str">
        <f aca="false">CONCATENATE(CC296,$CD$6)</f>
        <v>36982Curve Shift/Gamma</v>
      </c>
      <c r="CN296" s="0" t="str">
        <f aca="false">CONCATENATE($CC296,$CE$6)</f>
        <v>36982Rho</v>
      </c>
      <c r="CO296" s="0" t="str">
        <f aca="false">CONCATENATE($CC296,$CF$6)</f>
        <v>36982Drift</v>
      </c>
      <c r="CP296" s="0" t="str">
        <f aca="false">CONCATENATE($CC296,$CG$6)</f>
        <v>36982Vega</v>
      </c>
      <c r="CQ296" s="0" t="str">
        <f aca="false">CONCATENATE($CC296,$CH$6)</f>
        <v>36982Theta</v>
      </c>
    </row>
    <row r="297" customFormat="false" ht="12.75" hidden="false" customHeight="false" outlineLevel="0" collapsed="false">
      <c r="A297" s="265" t="s">
        <v>301</v>
      </c>
      <c r="B297" s="0" t="s">
        <v>192</v>
      </c>
      <c r="C297" s="0" t="s">
        <v>302</v>
      </c>
      <c r="D297" s="7" t="s">
        <v>149</v>
      </c>
      <c r="E297" s="0" t="s">
        <v>131</v>
      </c>
      <c r="F297" s="0" t="s">
        <v>136</v>
      </c>
      <c r="G297" s="92" t="n">
        <v>36982</v>
      </c>
      <c r="H297" s="248" t="n">
        <v>-2100000</v>
      </c>
      <c r="I297" s="0" t="n">
        <v>0.7</v>
      </c>
      <c r="J297" s="124" t="n">
        <f aca="false">VLOOKUP(G297,NGPrices,2,FALSE())</f>
        <v>3.938</v>
      </c>
      <c r="K297" s="125" t="n">
        <f aca="false">HLOOKUP(D297,Prices,VLOOKUP(G297,move_down,2,FALSE()),FALSE())+VLOOKUP(G297,CHANGE,HLOOKUP(D297,CHANGE,2,FALSE()),FALSE())</f>
        <v>0.52</v>
      </c>
      <c r="L297" s="124" t="n">
        <f aca="false">K297+J297</f>
        <v>4.458</v>
      </c>
      <c r="M297" s="126" t="n">
        <f aca="false">VLOOKUP(G297,NGPrices,4,FALSE())</f>
        <v>0.069061726541121</v>
      </c>
      <c r="N297" s="7" t="n">
        <f aca="false">VLOOKUP(G297,NGPrices,3,FALSE())</f>
        <v>0.4425</v>
      </c>
      <c r="O297" s="7" t="n">
        <f aca="false">HLOOKUP(D297,VOLS,VLOOKUP(G297,move_down,2,FALSE()),FALSE())</f>
        <v>0.434</v>
      </c>
      <c r="P297" s="249" t="n">
        <f aca="false">HLOOKUP(D297,Correllate,VLOOKUP(G297,CorMove,2,FALSE()),FALSE())</f>
        <v>0.9738</v>
      </c>
      <c r="Q297" s="92" t="n">
        <f aca="false">WORKDAY(G297,-2)</f>
        <v>36979</v>
      </c>
      <c r="R297" s="7" t="n">
        <f aca="false">IF(F297="P",0,1)</f>
        <v>1</v>
      </c>
      <c r="S297" s="130" t="e">
        <f aca="false">xSPRDOPT($L297,$J297,$I297,$M297,$O297,$N297,$P297,$Q297-$C$3,$R297,0)</f>
        <v>#NAME?</v>
      </c>
      <c r="T297" s="250" t="e">
        <f aca="false">xSPRDOPT($L297,$J297,$I297,$M297,$O297,$N297,$P297,$Q297-$C$3,$R297,1)*H297</f>
        <v>#NAME?</v>
      </c>
      <c r="U297" s="43" t="e">
        <f aca="false">S297*H297</f>
        <v>#NAME?</v>
      </c>
      <c r="V297" s="250" t="e">
        <f aca="false">xSPRDOPT($L297,$J297,$I297,$M297,$O297,$N297,$P297,$Q297-$C$3,$R297,2)*H297</f>
        <v>#NAME?</v>
      </c>
      <c r="W297" s="250" t="e">
        <f aca="false">+V297+T297</f>
        <v>#NAME?</v>
      </c>
      <c r="X297" s="2" t="str">
        <f aca="false">CONCATENATE(G297,D297)</f>
        <v>36982IF-TRANSCO/Z6</v>
      </c>
      <c r="Y297" s="251" t="n">
        <f aca="false">H297/10000</f>
        <v>-210</v>
      </c>
      <c r="Z297" s="226" t="e">
        <f aca="false">T297/H297</f>
        <v>#NAME?</v>
      </c>
      <c r="AA297" s="226" t="e">
        <f aca="false">xSPRDOPT($L297,$J297,$I297,$M297,$O297,$N297,$P297,$Q297-$C$3,$R297,3)</f>
        <v>#NAME?</v>
      </c>
      <c r="AB297" s="226" t="e">
        <f aca="false">((xSPRDOPT($L297+AB$5,$J297,$I297,$M297,$O297,$N297,$P297,$Q297-$C$3,$R297,3)*$H297)/10000)/100</f>
        <v>#NAME?</v>
      </c>
      <c r="AC297" s="226" t="e">
        <f aca="false">((xSPRDOPT($L297+$AB$5,$J297,$I297,$M297,$O297,$N297,$P297,$Q297-$C$3,$R297,7)*$H297)/100)</f>
        <v>#NAME?</v>
      </c>
      <c r="AD297" s="226" t="e">
        <f aca="false">(xSPRDOPT($L297+$AB$5,$J297,$I297,$M297,$O297,$N297,$P297,$Q297-$C$3,$R297,9)/365)*$H297</f>
        <v>#NAME?</v>
      </c>
      <c r="AE297" s="0" t="e">
        <f aca="false">CD297</f>
        <v>#NAME?</v>
      </c>
      <c r="AF297" s="226" t="e">
        <f aca="false">((O297/N297)*AH297)+AG297</f>
        <v>#NAME?</v>
      </c>
      <c r="AG297" s="226" t="e">
        <f aca="false">((xSPRDOPT($L297,$J297,$I297,$M297,$O297,$N297,$P297,$Q297-$C$3,$R297,6)*$H297)/100)</f>
        <v>#NAME?</v>
      </c>
      <c r="AH297" s="226" t="e">
        <f aca="false">((xSPRDOPT($L297,$J297,$I297,$M297,$O297,$N297,$P297,$Q297-$C$3,$R297,5)*$H297)/100)</f>
        <v>#NAME?</v>
      </c>
      <c r="AI297" s="226" t="e">
        <f aca="false">(((xSPRDOPT($L297,$J297,$I297,$M297,$O297,$N297,$P297,$Q297-$C$3,$R297,4)*$H297)/10000)/100)-AB297</f>
        <v>#NAME?</v>
      </c>
      <c r="AJ297" s="226"/>
      <c r="AK297" s="226"/>
      <c r="AL297" s="226"/>
      <c r="AM297" s="252"/>
      <c r="CC297" s="182" t="n">
        <f aca="false">G297</f>
        <v>36982</v>
      </c>
      <c r="CD297" s="253" t="e">
        <f aca="false">xSPRDOPT((VLOOKUP(G297,NGPrices,2,FALSE())+HLOOKUP(D297,Prices,VLOOKUP(G297,move_down,2,FALSE()),FALSE())),VLOOKUP(G297,NGPrices,2,FALSE()),I297,VLOOKUP(G297,NGPREVPRICES,4,FALSE()),HLOOKUP(D297,PREVVOLS,VLOOKUP(G297,MOVE_DOWN2,2,FALSE()),FALSE()),VLOOKUP(G297,NGPREVPRICES,3,FALSE()),HLOOKUP(D297,Correllate,VLOOKUP(G297,CorMove,2,FALSE()),FALSE()),Q297-$CD$3,R297,$CD$5)*H297-CJ297</f>
        <v>#NAME?</v>
      </c>
      <c r="CE297" s="253" t="e">
        <f aca="false">xSPRDOPT((VLOOKUP(G297,NGPREVPRICES,2,FALSE())+HLOOKUP(D297,PREVCURVES,VLOOKUP(G297,MOVE_DOWN2,2,FALSE()),FALSE())),VLOOKUP(G297,NGPREVPRICES,2,FALSE()),CK297,VLOOKUP(G297,NGPrices,4,FALSE()),HLOOKUP(D297,PREVVOLS,VLOOKUP(G297,MOVE_DOWN2,2,FALSE()),FALSE()),VLOOKUP(G297,NGPREVPRICES,3,FALSE()),HLOOKUP(D297,Correllate,VLOOKUP(G297,CorMove,2,FALSE()),FALSE()),Q297-$CD$3,R297,$CJ$5)*H297-CJ297</f>
        <v>#NAME?</v>
      </c>
      <c r="CF297" s="132" t="e">
        <f aca="false">(CJ297/VLOOKUP(CC297,discount,3,FALSE()))-(CJ297/VLOOKUP(CC297,discount,2,FALSE()))</f>
        <v>#NAME?</v>
      </c>
      <c r="CG297" s="253" t="e">
        <f aca="false">xSPRDOPT((VLOOKUP(G297,NGPREVPRICES,2,FALSE())+HLOOKUP(D297,PREVCURVES,VLOOKUP(G297,MOVE_DOWN2,2,FALSE()),FALSE())),VLOOKUP(G297,NGPREVPRICES,2,FALSE()),CK297,VLOOKUP(G297,NGPREVPRICES,4,FALSE()),HLOOKUP(D297,VOLS,VLOOKUP(G297,move_down,2,FALSE()),FALSE()),VLOOKUP(G297,NGPrices,3,FALSE()),HLOOKUP(D297,Correllate,VLOOKUP(G297,CorMove,2,FALSE()),FALSE()),Q297-$CD$3,R297,$CJ$5)*H297-CJ297</f>
        <v>#NAME?</v>
      </c>
      <c r="CH297" s="253" t="e">
        <f aca="false">xSPRDOPT((VLOOKUP(G297,NGPREVPRICES,2,FALSE())+HLOOKUP(D297,PREVCURVES,VLOOKUP(G297,MOVE_DOWN2,2,FALSE()),FALSE())),VLOOKUP(G297,NGPREVPRICES,2,FALSE()),CK297,VLOOKUP(G297,NGPREVPRICES,4,FALSE()),HLOOKUP(D297,PREVVOLS,VLOOKUP(G297,MOVE_DOWN2,2,FALSE()),FALSE()),VLOOKUP(G297,NGPREVPRICES,3,FALSE()),HLOOKUP(D297,Correllate,VLOOKUP(G297,CorMove,2,FALSE()),FALSE()),Q297-$C$3,R297,$CJ$5)*H297-CJ297</f>
        <v>#NAME?</v>
      </c>
      <c r="CI297" s="253" t="e">
        <f aca="false">SUM(CD297:CH297)</f>
        <v>#NAME?</v>
      </c>
      <c r="CJ297" s="253" t="e">
        <f aca="false">xSPRDOPT((VLOOKUP(G297,NGPREVPRICES,2,FALSE())+HLOOKUP(D297,PREVCURVES,VLOOKUP(G297,MOVE_DOWN2,2,FALSE()),FALSE())),VLOOKUP(G297,NGPREVPRICES,2,FALSE()),CK297,VLOOKUP(G297,NGPREVPRICES,4,FALSE()),HLOOKUP(D297,PREVVOLS,VLOOKUP(G297,MOVE_DOWN2,2,FALSE()),FALSE()),VLOOKUP(G297,NGPREVPRICES,3,FALSE()),HLOOKUP(D297,Correllate,VLOOKUP(G297,CorMove,2,FALSE()),FALSE()),Q297-$CD$3,R297,$CJ$5)*H297</f>
        <v>#NAME?</v>
      </c>
      <c r="CK297" s="254" t="n">
        <f aca="false">I297</f>
        <v>0.7</v>
      </c>
      <c r="CL297" s="253"/>
      <c r="CM297" s="0" t="str">
        <f aca="false">CONCATENATE(CC297,$CD$6)</f>
        <v>36982Curve Shift/Gamma</v>
      </c>
      <c r="CN297" s="0" t="str">
        <f aca="false">CONCATENATE($CC297,$CE$6)</f>
        <v>36982Rho</v>
      </c>
      <c r="CO297" s="0" t="str">
        <f aca="false">CONCATENATE($CC297,$CF$6)</f>
        <v>36982Drift</v>
      </c>
      <c r="CP297" s="0" t="str">
        <f aca="false">CONCATENATE($CC297,$CG$6)</f>
        <v>36982Vega</v>
      </c>
      <c r="CQ297" s="0" t="str">
        <f aca="false">CONCATENATE($CC297,$CH$6)</f>
        <v>36982Theta</v>
      </c>
    </row>
    <row r="298" customFormat="false" ht="12.75" hidden="false" customHeight="false" outlineLevel="0" collapsed="false">
      <c r="A298" s="265" t="s">
        <v>210</v>
      </c>
      <c r="B298" s="0" t="s">
        <v>192</v>
      </c>
      <c r="C298" s="0" t="s">
        <v>303</v>
      </c>
      <c r="D298" s="7" t="s">
        <v>149</v>
      </c>
      <c r="E298" s="0" t="s">
        <v>131</v>
      </c>
      <c r="F298" s="0" t="s">
        <v>132</v>
      </c>
      <c r="G298" s="92" t="n">
        <v>36951</v>
      </c>
      <c r="H298" s="248" t="n">
        <v>930000</v>
      </c>
      <c r="I298" s="0" t="n">
        <v>0.75</v>
      </c>
      <c r="J298" s="124" t="n">
        <f aca="false">VLOOKUP(G298,NGPrices,2,FALSE())</f>
        <v>4.213</v>
      </c>
      <c r="K298" s="125" t="n">
        <f aca="false">HLOOKUP(D298,Prices,VLOOKUP(G298,move_down,2,FALSE()),FALSE())+VLOOKUP(G298,CHANGE,HLOOKUP(D298,CHANGE,2,FALSE()),FALSE())</f>
        <v>1.075</v>
      </c>
      <c r="L298" s="124" t="n">
        <f aca="false">K298+J298</f>
        <v>5.288</v>
      </c>
      <c r="M298" s="126" t="n">
        <f aca="false">VLOOKUP(G298,NGPrices,4,FALSE())</f>
        <v>0.068879814952707</v>
      </c>
      <c r="N298" s="7" t="n">
        <f aca="false">VLOOKUP(G298,NGPrices,3,FALSE())</f>
        <v>0.5325</v>
      </c>
      <c r="O298" s="7" t="n">
        <f aca="false">HLOOKUP(D298,VOLS,VLOOKUP(G298,move_down,2,FALSE()),FALSE())</f>
        <v>0.612</v>
      </c>
      <c r="P298" s="249" t="n">
        <f aca="false">HLOOKUP(D298,Correllate,VLOOKUP(G298,CorMove,2,FALSE()),FALSE())</f>
        <v>0.83</v>
      </c>
      <c r="Q298" s="92" t="n">
        <f aca="false">WORKDAY(G298,-2)</f>
        <v>36949</v>
      </c>
      <c r="R298" s="7" t="n">
        <f aca="false">IF(F298="P",0,1)</f>
        <v>0</v>
      </c>
      <c r="S298" s="130" t="e">
        <f aca="false">xSPRDOPT($L298,$J298,$I298,$M298,$O298,$N298,$P298,$Q298-$C$3,$R298,0)</f>
        <v>#NAME?</v>
      </c>
      <c r="T298" s="250" t="e">
        <f aca="false">xSPRDOPT($L298,$J298,$I298,$M298,$O298,$N298,$P298,$Q298-$C$3,$R298,1)*H298</f>
        <v>#NAME?</v>
      </c>
      <c r="U298" s="43" t="e">
        <f aca="false">S298*H298</f>
        <v>#NAME?</v>
      </c>
      <c r="V298" s="250" t="e">
        <f aca="false">xSPRDOPT($L298,$J298,$I298,$M298,$O298,$N298,$P298,$Q298-$C$3,$R298,2)*H298</f>
        <v>#NAME?</v>
      </c>
      <c r="W298" s="250" t="e">
        <f aca="false">+V298+T298</f>
        <v>#NAME?</v>
      </c>
      <c r="X298" s="2" t="str">
        <f aca="false">CONCATENATE(G298,D298)</f>
        <v>36951IF-TRANSCO/Z6</v>
      </c>
      <c r="Y298" s="251" t="n">
        <f aca="false">H298/10000</f>
        <v>93</v>
      </c>
      <c r="Z298" s="226" t="e">
        <f aca="false">T298/H298</f>
        <v>#NAME?</v>
      </c>
      <c r="AA298" s="226" t="e">
        <f aca="false">xSPRDOPT($L298,$J298,$I298,$M298,$O298,$N298,$P298,$Q298-$C$3,$R298,3)</f>
        <v>#NAME?</v>
      </c>
      <c r="AB298" s="226" t="e">
        <f aca="false">((xSPRDOPT($L298+AB$5,$J298,$I298,$M298,$O298,$N298,$P298,$Q298-$C$3,$R298,3)*$H298)/10000)/100</f>
        <v>#NAME?</v>
      </c>
      <c r="AC298" s="226" t="e">
        <f aca="false">((xSPRDOPT($L298+$AB$5,$J298,$I298,$M298,$O298,$N298,$P298,$Q298-$C$3,$R298,7)*$H298)/100)</f>
        <v>#NAME?</v>
      </c>
      <c r="AD298" s="226" t="e">
        <f aca="false">(xSPRDOPT($L298+$AB$5,$J298,$I298,$M298,$O298,$N298,$P298,$Q298-$C$3,$R298,9)/365)*$H298</f>
        <v>#NAME?</v>
      </c>
      <c r="AE298" s="0" t="e">
        <f aca="false">CD298</f>
        <v>#NAME?</v>
      </c>
      <c r="AF298" s="226" t="e">
        <f aca="false">((O298/N298)*AH298)+AG298</f>
        <v>#NAME?</v>
      </c>
      <c r="AG298" s="226" t="e">
        <f aca="false">((xSPRDOPT($L298,$J298,$I298,$M298,$O298,$N298,$P298,$Q298-$C$3,$R298,6)*$H298)/100)</f>
        <v>#NAME?</v>
      </c>
      <c r="AH298" s="226" t="e">
        <f aca="false">((xSPRDOPT($L298,$J298,$I298,$M298,$O298,$N298,$P298,$Q298-$C$3,$R298,5)*$H298)/100)</f>
        <v>#NAME?</v>
      </c>
      <c r="AI298" s="226" t="e">
        <f aca="false">(((xSPRDOPT($L298,$J298,$I298,$M298,$O298,$N298,$P298,$Q298-$C$3,$R298,4)*$H298)/10000)/100)-AB298</f>
        <v>#NAME?</v>
      </c>
      <c r="AJ298" s="226"/>
      <c r="AK298" s="226"/>
      <c r="AL298" s="226"/>
      <c r="AM298" s="252"/>
      <c r="CC298" s="182" t="n">
        <f aca="false">G298</f>
        <v>36951</v>
      </c>
      <c r="CD298" s="253" t="e">
        <f aca="false">xSPRDOPT((VLOOKUP(G298,NGPrices,2,FALSE())+HLOOKUP(D298,Prices,VLOOKUP(G298,move_down,2,FALSE()),FALSE())),VLOOKUP(G298,NGPrices,2,FALSE()),I298,VLOOKUP(G298,NGPREVPRICES,4,FALSE()),HLOOKUP(D298,PREVVOLS,VLOOKUP(G298,MOVE_DOWN2,2,FALSE()),FALSE()),VLOOKUP(G298,NGPREVPRICES,3,FALSE()),HLOOKUP(D298,Correllate,VLOOKUP(G298,CorMove,2,FALSE()),FALSE()),Q298-$CD$3,R298,$CD$5)*H298-CJ298</f>
        <v>#NAME?</v>
      </c>
      <c r="CE298" s="253" t="e">
        <f aca="false">xSPRDOPT((VLOOKUP(G298,NGPREVPRICES,2,FALSE())+HLOOKUP(D298,PREVCURVES,VLOOKUP(G298,MOVE_DOWN2,2,FALSE()),FALSE())),VLOOKUP(G298,NGPREVPRICES,2,FALSE()),CK298,VLOOKUP(G298,NGPrices,4,FALSE()),HLOOKUP(D298,PREVVOLS,VLOOKUP(G298,MOVE_DOWN2,2,FALSE()),FALSE()),VLOOKUP(G298,NGPREVPRICES,3,FALSE()),HLOOKUP(D298,Correllate,VLOOKUP(G298,CorMove,2,FALSE()),FALSE()),Q298-$CD$3,R298,$CJ$5)*H298-CJ298</f>
        <v>#NAME?</v>
      </c>
      <c r="CF298" s="132" t="e">
        <f aca="false">(CJ298/VLOOKUP(CC298,discount,3,FALSE()))-(CJ298/VLOOKUP(CC298,discount,2,FALSE()))</f>
        <v>#NAME?</v>
      </c>
      <c r="CG298" s="253" t="e">
        <f aca="false">xSPRDOPT((VLOOKUP(G298,NGPREVPRICES,2,FALSE())+HLOOKUP(D298,PREVCURVES,VLOOKUP(G298,MOVE_DOWN2,2,FALSE()),FALSE())),VLOOKUP(G298,NGPREVPRICES,2,FALSE()),CK298,VLOOKUP(G298,NGPREVPRICES,4,FALSE()),HLOOKUP(D298,VOLS,VLOOKUP(G298,move_down,2,FALSE()),FALSE()),VLOOKUP(G298,NGPrices,3,FALSE()),HLOOKUP(D298,Correllate,VLOOKUP(G298,CorMove,2,FALSE()),FALSE()),Q298-$CD$3,R298,$CJ$5)*H298-CJ298</f>
        <v>#NAME?</v>
      </c>
      <c r="CH298" s="253" t="e">
        <f aca="false">xSPRDOPT((VLOOKUP(G298,NGPREVPRICES,2,FALSE())+HLOOKUP(D298,PREVCURVES,VLOOKUP(G298,MOVE_DOWN2,2,FALSE()),FALSE())),VLOOKUP(G298,NGPREVPRICES,2,FALSE()),CK298,VLOOKUP(G298,NGPREVPRICES,4,FALSE()),HLOOKUP(D298,PREVVOLS,VLOOKUP(G298,MOVE_DOWN2,2,FALSE()),FALSE()),VLOOKUP(G298,NGPREVPRICES,3,FALSE()),HLOOKUP(D298,Correllate,VLOOKUP(G298,CorMove,2,FALSE()),FALSE()),Q298-$C$3,R298,$CJ$5)*H298-CJ298</f>
        <v>#NAME?</v>
      </c>
      <c r="CI298" s="253" t="e">
        <f aca="false">SUM(CD298:CH298)</f>
        <v>#NAME?</v>
      </c>
      <c r="CJ298" s="253" t="e">
        <f aca="false">xSPRDOPT((VLOOKUP(G298,NGPREVPRICES,2,FALSE())+HLOOKUP(D298,PREVCURVES,VLOOKUP(G298,MOVE_DOWN2,2,FALSE()),FALSE())),VLOOKUP(G298,NGPREVPRICES,2,FALSE()),CK298,VLOOKUP(G298,NGPREVPRICES,4,FALSE()),HLOOKUP(D298,PREVVOLS,VLOOKUP(G298,MOVE_DOWN2,2,FALSE()),FALSE()),VLOOKUP(G298,NGPREVPRICES,3,FALSE()),HLOOKUP(D298,Correllate,VLOOKUP(G298,CorMove,2,FALSE()),FALSE()),Q298-$CD$3,R298,$CJ$5)*H298</f>
        <v>#NAME?</v>
      </c>
      <c r="CK298" s="254" t="n">
        <f aca="false">I298</f>
        <v>0.75</v>
      </c>
      <c r="CL298" s="253"/>
      <c r="CM298" s="0" t="str">
        <f aca="false">CONCATENATE(CC298,$CD$6)</f>
        <v>36951Curve Shift/Gamma</v>
      </c>
      <c r="CN298" s="0" t="str">
        <f aca="false">CONCATENATE($CC298,$CE$6)</f>
        <v>36951Rho</v>
      </c>
      <c r="CO298" s="0" t="str">
        <f aca="false">CONCATENATE($CC298,$CF$6)</f>
        <v>36951Drift</v>
      </c>
      <c r="CP298" s="0" t="str">
        <f aca="false">CONCATENATE($CC298,$CG$6)</f>
        <v>36951Vega</v>
      </c>
      <c r="CQ298" s="0" t="str">
        <f aca="false">CONCATENATE($CC298,$CH$6)</f>
        <v>36951Theta</v>
      </c>
    </row>
    <row r="299" customFormat="false" ht="12.75" hidden="false" customHeight="false" outlineLevel="0" collapsed="false">
      <c r="A299" s="265" t="s">
        <v>210</v>
      </c>
      <c r="B299" s="0" t="s">
        <v>192</v>
      </c>
      <c r="C299" s="0" t="s">
        <v>303</v>
      </c>
      <c r="D299" s="7" t="s">
        <v>149</v>
      </c>
      <c r="E299" s="0" t="s">
        <v>131</v>
      </c>
      <c r="F299" s="0" t="s">
        <v>132</v>
      </c>
      <c r="G299" s="92" t="n">
        <v>36923</v>
      </c>
      <c r="H299" s="248" t="n">
        <v>840000</v>
      </c>
      <c r="I299" s="0" t="n">
        <v>0.75</v>
      </c>
      <c r="J299" s="124" t="n">
        <f aca="false">VLOOKUP(G299,NGPrices,2,FALSE())</f>
        <v>4.48</v>
      </c>
      <c r="K299" s="125" t="n">
        <f aca="false">HLOOKUP(D299,Prices,VLOOKUP(G299,move_down,2,FALSE()),FALSE())+VLOOKUP(G299,CHANGE,HLOOKUP(D299,CHANGE,2,FALSE()),FALSE())</f>
        <v>2.09</v>
      </c>
      <c r="L299" s="124" t="n">
        <f aca="false">K299+J299</f>
        <v>6.57</v>
      </c>
      <c r="M299" s="126" t="n">
        <f aca="false">VLOOKUP(G299,NGPrices,4,FALSE())</f>
        <v>0.068640161611372</v>
      </c>
      <c r="N299" s="7" t="n">
        <f aca="false">VLOOKUP(G299,NGPrices,3,FALSE())</f>
        <v>0.5925</v>
      </c>
      <c r="O299" s="7" t="n">
        <f aca="false">HLOOKUP(D299,VOLS,VLOOKUP(G299,move_down,2,FALSE()),FALSE())</f>
        <v>0.681</v>
      </c>
      <c r="P299" s="249" t="n">
        <f aca="false">HLOOKUP(D299,Correllate,VLOOKUP(G299,CorMove,2,FALSE()),FALSE())</f>
        <v>0.83</v>
      </c>
      <c r="Q299" s="92" t="n">
        <f aca="false">WORKDAY(G299,-2)</f>
        <v>36921</v>
      </c>
      <c r="R299" s="7" t="n">
        <f aca="false">IF(F299="P",0,1)</f>
        <v>0</v>
      </c>
      <c r="S299" s="130" t="e">
        <f aca="false">xSPRDOPT($L299,$J299,$I299,$M299,$O299,$N299,$P299,$Q299-$C$3,$R299,0)</f>
        <v>#NAME?</v>
      </c>
      <c r="T299" s="250" t="e">
        <f aca="false">xSPRDOPT($L299,$J299,$I299,$M299,$O299,$N299,$P299,$Q299-$C$3,$R299,1)*H299</f>
        <v>#NAME?</v>
      </c>
      <c r="U299" s="43" t="e">
        <f aca="false">S299*H299</f>
        <v>#NAME?</v>
      </c>
      <c r="V299" s="250" t="e">
        <f aca="false">xSPRDOPT($L299,$J299,$I299,$M299,$O299,$N299,$P299,$Q299-$C$3,$R299,2)*H299</f>
        <v>#NAME?</v>
      </c>
      <c r="W299" s="250" t="e">
        <f aca="false">+V299+T299</f>
        <v>#NAME?</v>
      </c>
      <c r="X299" s="2" t="str">
        <f aca="false">CONCATENATE(G299,D299)</f>
        <v>36923IF-TRANSCO/Z6</v>
      </c>
      <c r="Y299" s="251" t="n">
        <f aca="false">H299/10000</f>
        <v>84</v>
      </c>
      <c r="Z299" s="226" t="e">
        <f aca="false">T299/H299</f>
        <v>#NAME?</v>
      </c>
      <c r="AA299" s="226" t="e">
        <f aca="false">xSPRDOPT($L299,$J299,$I299,$M299,$O299,$N299,$P299,$Q299-$C$3,$R299,3)</f>
        <v>#NAME?</v>
      </c>
      <c r="AB299" s="226" t="e">
        <f aca="false">((xSPRDOPT($L299+AB$5,$J299,$I299,$M299,$O299,$N299,$P299,$Q299-$C$3,$R299,3)*$H299)/10000)/100</f>
        <v>#NAME?</v>
      </c>
      <c r="AC299" s="226" t="e">
        <f aca="false">((xSPRDOPT($L299+$AB$5,$J299,$I299,$M299,$O299,$N299,$P299,$Q299-$C$3,$R299,7)*$H299)/100)</f>
        <v>#NAME?</v>
      </c>
      <c r="AD299" s="226" t="e">
        <f aca="false">(xSPRDOPT($L299+$AB$5,$J299,$I299,$M299,$O299,$N299,$P299,$Q299-$C$3,$R299,9)/365)*$H299</f>
        <v>#NAME?</v>
      </c>
      <c r="AE299" s="0" t="e">
        <f aca="false">CD299</f>
        <v>#NAME?</v>
      </c>
      <c r="AF299" s="226" t="e">
        <f aca="false">((O299/N299)*AH299)+AG299</f>
        <v>#NAME?</v>
      </c>
      <c r="AG299" s="226" t="e">
        <f aca="false">((xSPRDOPT($L299,$J299,$I299,$M299,$O299,$N299,$P299,$Q299-$C$3,$R299,6)*$H299)/100)</f>
        <v>#NAME?</v>
      </c>
      <c r="AH299" s="226" t="e">
        <f aca="false">((xSPRDOPT($L299,$J299,$I299,$M299,$O299,$N299,$P299,$Q299-$C$3,$R299,5)*$H299)/100)</f>
        <v>#NAME?</v>
      </c>
      <c r="AI299" s="226" t="e">
        <f aca="false">(((xSPRDOPT($L299,$J299,$I299,$M299,$O299,$N299,$P299,$Q299-$C$3,$R299,4)*$H299)/10000)/100)-AB299</f>
        <v>#NAME?</v>
      </c>
      <c r="AJ299" s="226"/>
      <c r="AK299" s="226"/>
      <c r="AL299" s="226"/>
      <c r="AM299" s="252"/>
      <c r="CC299" s="182" t="n">
        <f aca="false">G299</f>
        <v>36923</v>
      </c>
      <c r="CD299" s="253" t="e">
        <f aca="false">xSPRDOPT((VLOOKUP(G299,NGPrices,2,FALSE())+HLOOKUP(D299,Prices,VLOOKUP(G299,move_down,2,FALSE()),FALSE())),VLOOKUP(G299,NGPrices,2,FALSE()),I299,VLOOKUP(G299,NGPREVPRICES,4,FALSE()),HLOOKUP(D299,PREVVOLS,VLOOKUP(G299,MOVE_DOWN2,2,FALSE()),FALSE()),VLOOKUP(G299,NGPREVPRICES,3,FALSE()),HLOOKUP(D299,Correllate,VLOOKUP(G299,CorMove,2,FALSE()),FALSE()),Q299-$CD$3,R299,$CD$5)*H299-CJ299</f>
        <v>#NAME?</v>
      </c>
      <c r="CE299" s="253" t="e">
        <f aca="false">xSPRDOPT((VLOOKUP(G299,NGPREVPRICES,2,FALSE())+HLOOKUP(D299,PREVCURVES,VLOOKUP(G299,MOVE_DOWN2,2,FALSE()),FALSE())),VLOOKUP(G299,NGPREVPRICES,2,FALSE()),CK299,VLOOKUP(G299,NGPrices,4,FALSE()),HLOOKUP(D299,PREVVOLS,VLOOKUP(G299,MOVE_DOWN2,2,FALSE()),FALSE()),VLOOKUP(G299,NGPREVPRICES,3,FALSE()),HLOOKUP(D299,Correllate,VLOOKUP(G299,CorMove,2,FALSE()),FALSE()),Q299-$CD$3,R299,$CJ$5)*H299-CJ299</f>
        <v>#NAME?</v>
      </c>
      <c r="CF299" s="132" t="e">
        <f aca="false">(CJ299/VLOOKUP(CC299,discount,3,FALSE()))-(CJ299/VLOOKUP(CC299,discount,2,FALSE()))</f>
        <v>#NAME?</v>
      </c>
      <c r="CG299" s="253" t="e">
        <f aca="false">xSPRDOPT((VLOOKUP(G299,NGPREVPRICES,2,FALSE())+HLOOKUP(D299,PREVCURVES,VLOOKUP(G299,MOVE_DOWN2,2,FALSE()),FALSE())),VLOOKUP(G299,NGPREVPRICES,2,FALSE()),CK299,VLOOKUP(G299,NGPREVPRICES,4,FALSE()),HLOOKUP(D299,VOLS,VLOOKUP(G299,move_down,2,FALSE()),FALSE()),VLOOKUP(G299,NGPrices,3,FALSE()),HLOOKUP(D299,Correllate,VLOOKUP(G299,CorMove,2,FALSE()),FALSE()),Q299-$CD$3,R299,$CJ$5)*H299-CJ299</f>
        <v>#NAME?</v>
      </c>
      <c r="CH299" s="253" t="e">
        <f aca="false">xSPRDOPT((VLOOKUP(G299,NGPREVPRICES,2,FALSE())+HLOOKUP(D299,PREVCURVES,VLOOKUP(G299,MOVE_DOWN2,2,FALSE()),FALSE())),VLOOKUP(G299,NGPREVPRICES,2,FALSE()),CK299,VLOOKUP(G299,NGPREVPRICES,4,FALSE()),HLOOKUP(D299,PREVVOLS,VLOOKUP(G299,MOVE_DOWN2,2,FALSE()),FALSE()),VLOOKUP(G299,NGPREVPRICES,3,FALSE()),HLOOKUP(D299,Correllate,VLOOKUP(G299,CorMove,2,FALSE()),FALSE()),Q299-$C$3,R299,$CJ$5)*H299-CJ299</f>
        <v>#NAME?</v>
      </c>
      <c r="CI299" s="253" t="e">
        <f aca="false">SUM(CD299:CH299)</f>
        <v>#NAME?</v>
      </c>
      <c r="CJ299" s="253" t="e">
        <f aca="false">xSPRDOPT((VLOOKUP(G299,NGPREVPRICES,2,FALSE())+HLOOKUP(D299,PREVCURVES,VLOOKUP(G299,MOVE_DOWN2,2,FALSE()),FALSE())),VLOOKUP(G299,NGPREVPRICES,2,FALSE()),CK299,VLOOKUP(G299,NGPREVPRICES,4,FALSE()),HLOOKUP(D299,PREVVOLS,VLOOKUP(G299,MOVE_DOWN2,2,FALSE()),FALSE()),VLOOKUP(G299,NGPREVPRICES,3,FALSE()),HLOOKUP(D299,Correllate,VLOOKUP(G299,CorMove,2,FALSE()),FALSE()),Q299-$CD$3,R299,$CJ$5)*H299</f>
        <v>#NAME?</v>
      </c>
      <c r="CK299" s="254" t="n">
        <f aca="false">I299</f>
        <v>0.75</v>
      </c>
      <c r="CL299" s="253"/>
      <c r="CM299" s="0" t="str">
        <f aca="false">CONCATENATE(CC299,$CD$6)</f>
        <v>36923Curve Shift/Gamma</v>
      </c>
      <c r="CN299" s="0" t="str">
        <f aca="false">CONCATENATE($CC299,$CE$6)</f>
        <v>36923Rho</v>
      </c>
      <c r="CO299" s="0" t="str">
        <f aca="false">CONCATENATE($CC299,$CF$6)</f>
        <v>36923Drift</v>
      </c>
      <c r="CP299" s="0" t="str">
        <f aca="false">CONCATENATE($CC299,$CG$6)</f>
        <v>36923Vega</v>
      </c>
      <c r="CQ299" s="0" t="str">
        <f aca="false">CONCATENATE($CC299,$CH$6)</f>
        <v>36923Theta</v>
      </c>
    </row>
    <row r="300" customFormat="false" ht="12.75" hidden="false" customHeight="false" outlineLevel="0" collapsed="false">
      <c r="A300" s="265" t="s">
        <v>210</v>
      </c>
      <c r="B300" s="0" t="s">
        <v>192</v>
      </c>
      <c r="C300" s="0" t="s">
        <v>303</v>
      </c>
      <c r="D300" s="7" t="s">
        <v>149</v>
      </c>
      <c r="E300" s="0" t="s">
        <v>131</v>
      </c>
      <c r="F300" s="0" t="s">
        <v>132</v>
      </c>
      <c r="G300" s="92" t="n">
        <v>36892</v>
      </c>
      <c r="H300" s="248" t="n">
        <v>930000</v>
      </c>
      <c r="I300" s="0" t="n">
        <v>0.75</v>
      </c>
      <c r="J300" s="124" t="n">
        <f aca="false">VLOOKUP(G300,NGPrices,2,FALSE())</f>
        <v>4.744</v>
      </c>
      <c r="K300" s="125" t="n">
        <f aca="false">HLOOKUP(D300,Prices,VLOOKUP(G300,move_down,2,FALSE()),FALSE())+VLOOKUP(G300,CHANGE,HLOOKUP(D300,CHANGE,2,FALSE()),FALSE())</f>
        <v>2.17</v>
      </c>
      <c r="L300" s="124" t="n">
        <f aca="false">K300+J300</f>
        <v>6.914</v>
      </c>
      <c r="M300" s="126" t="n">
        <f aca="false">VLOOKUP(G300,NGPrices,4,FALSE())</f>
        <v>0.068374831148491</v>
      </c>
      <c r="N300" s="7" t="n">
        <f aca="false">VLOOKUP(G300,NGPrices,3,FALSE())</f>
        <v>0.605</v>
      </c>
      <c r="O300" s="7" t="n">
        <f aca="false">HLOOKUP(D300,VOLS,VLOOKUP(G300,move_down,2,FALSE()),FALSE())</f>
        <v>0.696</v>
      </c>
      <c r="P300" s="249" t="n">
        <f aca="false">HLOOKUP(D300,Correllate,VLOOKUP(G300,CorMove,2,FALSE()),FALSE())</f>
        <v>0.83</v>
      </c>
      <c r="Q300" s="92" t="n">
        <f aca="false">WORKDAY(G300,-2)</f>
        <v>36888</v>
      </c>
      <c r="R300" s="7" t="n">
        <f aca="false">IF(F300="P",0,1)</f>
        <v>0</v>
      </c>
      <c r="S300" s="130" t="e">
        <f aca="false">xSPRDOPT($L300,$J300,$I300,$M300,$O300,$N300,$P300,$Q300-$C$3,$R300,0)</f>
        <v>#NAME?</v>
      </c>
      <c r="T300" s="250" t="e">
        <f aca="false">xSPRDOPT($L300,$J300,$I300,$M300,$O300,$N300,$P300,$Q300-$C$3,$R300,1)*H300</f>
        <v>#NAME?</v>
      </c>
      <c r="U300" s="43" t="e">
        <f aca="false">S300*H300</f>
        <v>#NAME?</v>
      </c>
      <c r="V300" s="250" t="e">
        <f aca="false">xSPRDOPT($L300,$J300,$I300,$M300,$O300,$N300,$P300,$Q300-$C$3,$R300,2)*H300</f>
        <v>#NAME?</v>
      </c>
      <c r="W300" s="250" t="e">
        <f aca="false">+V300+T300</f>
        <v>#NAME?</v>
      </c>
      <c r="X300" s="2" t="str">
        <f aca="false">CONCATENATE(G300,D300)</f>
        <v>36892IF-TRANSCO/Z6</v>
      </c>
      <c r="Y300" s="251" t="n">
        <f aca="false">H300/10000</f>
        <v>93</v>
      </c>
      <c r="Z300" s="226" t="e">
        <f aca="false">T300/H300</f>
        <v>#NAME?</v>
      </c>
      <c r="AA300" s="226" t="e">
        <f aca="false">xSPRDOPT($L300,$J300,$I300,$M300,$O300,$N300,$P300,$Q300-$C$3,$R300,3)</f>
        <v>#NAME?</v>
      </c>
      <c r="AB300" s="226" t="e">
        <f aca="false">((xSPRDOPT($L300+AB$5,$J300,$I300,$M300,$O300,$N300,$P300,$Q300-$C$3,$R300,3)*$H300)/10000)/100</f>
        <v>#NAME?</v>
      </c>
      <c r="AC300" s="226" t="e">
        <f aca="false">((xSPRDOPT($L300+$AB$5,$J300,$I300,$M300,$O300,$N300,$P300,$Q300-$C$3,$R300,7)*$H300)/100)</f>
        <v>#NAME?</v>
      </c>
      <c r="AD300" s="226" t="e">
        <f aca="false">(xSPRDOPT($L300+$AB$5,$J300,$I300,$M300,$O300,$N300,$P300,$Q300-$C$3,$R300,9)/365)*$H300</f>
        <v>#NAME?</v>
      </c>
      <c r="AE300" s="0" t="e">
        <f aca="false">CD300</f>
        <v>#NAME?</v>
      </c>
      <c r="AF300" s="226" t="e">
        <f aca="false">((O300/N300)*AH300)+AG300</f>
        <v>#NAME?</v>
      </c>
      <c r="AG300" s="226" t="e">
        <f aca="false">((xSPRDOPT($L300,$J300,$I300,$M300,$O300,$N300,$P300,$Q300-$C$3,$R300,6)*$H300)/100)</f>
        <v>#NAME?</v>
      </c>
      <c r="AH300" s="226" t="e">
        <f aca="false">((xSPRDOPT($L300,$J300,$I300,$M300,$O300,$N300,$P300,$Q300-$C$3,$R300,5)*$H300)/100)</f>
        <v>#NAME?</v>
      </c>
      <c r="AI300" s="226" t="e">
        <f aca="false">(((xSPRDOPT($L300,$J300,$I300,$M300,$O300,$N300,$P300,$Q300-$C$3,$R300,4)*$H300)/10000)/100)-AB300</f>
        <v>#NAME?</v>
      </c>
      <c r="AJ300" s="226"/>
      <c r="AK300" s="226"/>
      <c r="AL300" s="226"/>
      <c r="AM300" s="252"/>
      <c r="CC300" s="182" t="n">
        <f aca="false">G300</f>
        <v>36892</v>
      </c>
      <c r="CD300" s="253" t="e">
        <f aca="false">xSPRDOPT((VLOOKUP(G300,NGPrices,2,FALSE())+HLOOKUP(D300,Prices,VLOOKUP(G300,move_down,2,FALSE()),FALSE())),VLOOKUP(G300,NGPrices,2,FALSE()),I300,VLOOKUP(G300,NGPREVPRICES,4,FALSE()),HLOOKUP(D300,PREVVOLS,VLOOKUP(G300,MOVE_DOWN2,2,FALSE()),FALSE()),VLOOKUP(G300,NGPREVPRICES,3,FALSE()),HLOOKUP(D300,Correllate,VLOOKUP(G300,CorMove,2,FALSE()),FALSE()),Q300-$CD$3,R300,$CD$5)*H300-CJ300</f>
        <v>#NAME?</v>
      </c>
      <c r="CE300" s="253" t="e">
        <f aca="false">xSPRDOPT((VLOOKUP(G300,NGPREVPRICES,2,FALSE())+HLOOKUP(D300,PREVCURVES,VLOOKUP(G300,MOVE_DOWN2,2,FALSE()),FALSE())),VLOOKUP(G300,NGPREVPRICES,2,FALSE()),CK300,VLOOKUP(G300,NGPrices,4,FALSE()),HLOOKUP(D300,PREVVOLS,VLOOKUP(G300,MOVE_DOWN2,2,FALSE()),FALSE()),VLOOKUP(G300,NGPREVPRICES,3,FALSE()),HLOOKUP(D300,Correllate,VLOOKUP(G300,CorMove,2,FALSE()),FALSE()),Q300-$CD$3,R300,$CJ$5)*H300-CJ300</f>
        <v>#NAME?</v>
      </c>
      <c r="CF300" s="132" t="e">
        <f aca="false">(CJ300/VLOOKUP(CC300,discount,3,FALSE()))-(CJ300/VLOOKUP(CC300,discount,2,FALSE()))</f>
        <v>#NAME?</v>
      </c>
      <c r="CG300" s="253" t="e">
        <f aca="false">xSPRDOPT((VLOOKUP(G300,NGPREVPRICES,2,FALSE())+HLOOKUP(D300,PREVCURVES,VLOOKUP(G300,MOVE_DOWN2,2,FALSE()),FALSE())),VLOOKUP(G300,NGPREVPRICES,2,FALSE()),CK300,VLOOKUP(G300,NGPREVPRICES,4,FALSE()),HLOOKUP(D300,VOLS,VLOOKUP(G300,move_down,2,FALSE()),FALSE()),VLOOKUP(G300,NGPrices,3,FALSE()),HLOOKUP(D300,Correllate,VLOOKUP(G300,CorMove,2,FALSE()),FALSE()),Q300-$CD$3,R300,$CJ$5)*H300-CJ300</f>
        <v>#NAME?</v>
      </c>
      <c r="CH300" s="253" t="e">
        <f aca="false">xSPRDOPT((VLOOKUP(G300,NGPREVPRICES,2,FALSE())+HLOOKUP(D300,PREVCURVES,VLOOKUP(G300,MOVE_DOWN2,2,FALSE()),FALSE())),VLOOKUP(G300,NGPREVPRICES,2,FALSE()),CK300,VLOOKUP(G300,NGPREVPRICES,4,FALSE()),HLOOKUP(D300,PREVVOLS,VLOOKUP(G300,MOVE_DOWN2,2,FALSE()),FALSE()),VLOOKUP(G300,NGPREVPRICES,3,FALSE()),HLOOKUP(D300,Correllate,VLOOKUP(G300,CorMove,2,FALSE()),FALSE()),Q300-$C$3,R300,$CJ$5)*H300-CJ300</f>
        <v>#NAME?</v>
      </c>
      <c r="CI300" s="253" t="e">
        <f aca="false">SUM(CD300:CH300)</f>
        <v>#NAME?</v>
      </c>
      <c r="CJ300" s="253" t="e">
        <f aca="false">xSPRDOPT((VLOOKUP(G300,NGPREVPRICES,2,FALSE())+HLOOKUP(D300,PREVCURVES,VLOOKUP(G300,MOVE_DOWN2,2,FALSE()),FALSE())),VLOOKUP(G300,NGPREVPRICES,2,FALSE()),CK300,VLOOKUP(G300,NGPREVPRICES,4,FALSE()),HLOOKUP(D300,PREVVOLS,VLOOKUP(G300,MOVE_DOWN2,2,FALSE()),FALSE()),VLOOKUP(G300,NGPREVPRICES,3,FALSE()),HLOOKUP(D300,Correllate,VLOOKUP(G300,CorMove,2,FALSE()),FALSE()),Q300-$CD$3,R300,$CJ$5)*H300</f>
        <v>#NAME?</v>
      </c>
      <c r="CK300" s="254" t="n">
        <f aca="false">I300</f>
        <v>0.75</v>
      </c>
      <c r="CL300" s="253"/>
      <c r="CM300" s="0" t="str">
        <f aca="false">CONCATENATE(CC300,$CD$6)</f>
        <v>36892Curve Shift/Gamma</v>
      </c>
      <c r="CN300" s="0" t="str">
        <f aca="false">CONCATENATE($CC300,$CE$6)</f>
        <v>36892Rho</v>
      </c>
      <c r="CO300" s="0" t="str">
        <f aca="false">CONCATENATE($CC300,$CF$6)</f>
        <v>36892Drift</v>
      </c>
      <c r="CP300" s="0" t="str">
        <f aca="false">CONCATENATE($CC300,$CG$6)</f>
        <v>36892Vega</v>
      </c>
      <c r="CQ300" s="0" t="str">
        <f aca="false">CONCATENATE($CC300,$CH$6)</f>
        <v>36892Theta</v>
      </c>
    </row>
    <row r="301" customFormat="false" ht="12.75" hidden="false" customHeight="false" outlineLevel="0" collapsed="false">
      <c r="A301" s="265" t="s">
        <v>210</v>
      </c>
      <c r="B301" s="0" t="s">
        <v>192</v>
      </c>
      <c r="C301" s="0" t="s">
        <v>303</v>
      </c>
      <c r="D301" s="7" t="s">
        <v>149</v>
      </c>
      <c r="E301" s="0" t="s">
        <v>131</v>
      </c>
      <c r="F301" s="0" t="s">
        <v>132</v>
      </c>
      <c r="G301" s="92" t="n">
        <v>36861</v>
      </c>
      <c r="H301" s="248" t="n">
        <v>930000</v>
      </c>
      <c r="I301" s="0" t="n">
        <v>0.75</v>
      </c>
      <c r="J301" s="124" t="n">
        <f aca="false">VLOOKUP(G301,NGPrices,2,FALSE())</f>
        <v>4.8</v>
      </c>
      <c r="K301" s="125" t="n">
        <f aca="false">HLOOKUP(D301,Prices,VLOOKUP(G301,move_down,2,FALSE()),FALSE())+VLOOKUP(G301,CHANGE,HLOOKUP(D301,CHANGE,2,FALSE()),FALSE())</f>
        <v>1.645</v>
      </c>
      <c r="L301" s="124" t="n">
        <f aca="false">K301+J301</f>
        <v>6.445</v>
      </c>
      <c r="M301" s="126" t="n">
        <f aca="false">VLOOKUP(G301,NGPrices,4,FALSE())</f>
        <v>0.068314027999354</v>
      </c>
      <c r="N301" s="7" t="n">
        <f aca="false">VLOOKUP(G301,NGPrices,3,FALSE())</f>
        <v>0.6</v>
      </c>
      <c r="O301" s="7" t="n">
        <f aca="false">HLOOKUP(D301,VOLS,VLOOKUP(G301,move_down,2,FALSE()),FALSE())</f>
        <v>0.69</v>
      </c>
      <c r="P301" s="249" t="n">
        <f aca="false">HLOOKUP(D301,Correllate,VLOOKUP(G301,CorMove,2,FALSE()),FALSE())</f>
        <v>0.83</v>
      </c>
      <c r="Q301" s="92" t="n">
        <f aca="false">WORKDAY(G301,-2)</f>
        <v>36859</v>
      </c>
      <c r="R301" s="7" t="n">
        <f aca="false">IF(F301="P",0,1)</f>
        <v>0</v>
      </c>
      <c r="S301" s="130" t="e">
        <f aca="false">xSPRDOPT($L301,$J301,$I301,$M301,$O301,$N301,$P301,$Q301-$C$3,$R301,0)</f>
        <v>#NAME?</v>
      </c>
      <c r="T301" s="250" t="e">
        <f aca="false">xSPRDOPT($L301,$J301,$I301,$M301,$O301,$N301,$P301,$Q301-$C$3,$R301,1)*H301</f>
        <v>#NAME?</v>
      </c>
      <c r="U301" s="43" t="e">
        <f aca="false">S301*H301</f>
        <v>#NAME?</v>
      </c>
      <c r="V301" s="250" t="e">
        <f aca="false">xSPRDOPT($L301,$J301,$I301,$M301,$O301,$N301,$P301,$Q301-$C$3,$R301,2)*H301</f>
        <v>#NAME?</v>
      </c>
      <c r="W301" s="250" t="e">
        <f aca="false">+V301+T301</f>
        <v>#NAME?</v>
      </c>
      <c r="X301" s="2" t="str">
        <f aca="false">CONCATENATE(G301,D301)</f>
        <v>36861IF-TRANSCO/Z6</v>
      </c>
      <c r="Y301" s="251" t="n">
        <f aca="false">H301/10000</f>
        <v>93</v>
      </c>
      <c r="Z301" s="226" t="e">
        <f aca="false">T301/H301</f>
        <v>#NAME?</v>
      </c>
      <c r="AA301" s="226" t="e">
        <f aca="false">xSPRDOPT($L301,$J301,$I301,$M301,$O301,$N301,$P301,$Q301-$C$3,$R301,3)</f>
        <v>#NAME?</v>
      </c>
      <c r="AB301" s="226" t="e">
        <f aca="false">((xSPRDOPT($L301+AB$5,$J301,$I301,$M301,$O301,$N301,$P301,$Q301-$C$3,$R301,3)*$H301)/10000)/100</f>
        <v>#NAME?</v>
      </c>
      <c r="AC301" s="226" t="e">
        <f aca="false">((xSPRDOPT($L301+$AB$5,$J301,$I301,$M301,$O301,$N301,$P301,$Q301-$C$3,$R301,7)*$H301)/100)</f>
        <v>#NAME?</v>
      </c>
      <c r="AD301" s="226" t="e">
        <f aca="false">(xSPRDOPT($L301+$AB$5,$J301,$I301,$M301,$O301,$N301,$P301,$Q301-$C$3,$R301,9)/365)*$H301</f>
        <v>#NAME?</v>
      </c>
      <c r="AE301" s="0" t="e">
        <f aca="false">CD301</f>
        <v>#NAME?</v>
      </c>
      <c r="AF301" s="226" t="e">
        <f aca="false">((O301/N301)*AH301)+AG301</f>
        <v>#NAME?</v>
      </c>
      <c r="AG301" s="226" t="e">
        <f aca="false">((xSPRDOPT($L301,$J301,$I301,$M301,$O301,$N301,$P301,$Q301-$C$3,$R301,6)*$H301)/100)</f>
        <v>#NAME?</v>
      </c>
      <c r="AH301" s="226" t="e">
        <f aca="false">((xSPRDOPT($L301,$J301,$I301,$M301,$O301,$N301,$P301,$Q301-$C$3,$R301,5)*$H301)/100)</f>
        <v>#NAME?</v>
      </c>
      <c r="AI301" s="226" t="e">
        <f aca="false">(((xSPRDOPT($L301,$J301,$I301,$M301,$O301,$N301,$P301,$Q301-$C$3,$R301,4)*$H301)/10000)/100)-AB301</f>
        <v>#NAME?</v>
      </c>
      <c r="AJ301" s="226"/>
      <c r="AK301" s="226"/>
      <c r="AL301" s="226"/>
      <c r="AM301" s="252"/>
      <c r="CC301" s="182" t="n">
        <f aca="false">G301</f>
        <v>36861</v>
      </c>
      <c r="CD301" s="253" t="e">
        <f aca="false">xSPRDOPT((VLOOKUP(G301,NGPrices,2,FALSE())+HLOOKUP(D301,Prices,VLOOKUP(G301,move_down,2,FALSE()),FALSE())),VLOOKUP(G301,NGPrices,2,FALSE()),I301,VLOOKUP(G301,NGPREVPRICES,4,FALSE()),HLOOKUP(D301,PREVVOLS,VLOOKUP(G301,MOVE_DOWN2,2,FALSE()),FALSE()),VLOOKUP(G301,NGPREVPRICES,3,FALSE()),HLOOKUP(D301,Correllate,VLOOKUP(G301,CorMove,2,FALSE()),FALSE()),Q301-$CD$3,R301,$CD$5)*H301-CJ301</f>
        <v>#NAME?</v>
      </c>
      <c r="CE301" s="253" t="e">
        <f aca="false">xSPRDOPT((VLOOKUP(G301,NGPREVPRICES,2,FALSE())+HLOOKUP(D301,PREVCURVES,VLOOKUP(G301,MOVE_DOWN2,2,FALSE()),FALSE())),VLOOKUP(G301,NGPREVPRICES,2,FALSE()),CK301,VLOOKUP(G301,NGPrices,4,FALSE()),HLOOKUP(D301,PREVVOLS,VLOOKUP(G301,MOVE_DOWN2,2,FALSE()),FALSE()),VLOOKUP(G301,NGPREVPRICES,3,FALSE()),HLOOKUP(D301,Correllate,VLOOKUP(G301,CorMove,2,FALSE()),FALSE()),Q301-$CD$3,R301,$CJ$5)*H301-CJ301</f>
        <v>#NAME?</v>
      </c>
      <c r="CF301" s="132" t="e">
        <f aca="false">(CJ301/VLOOKUP(CC301,discount,3,FALSE()))-(CJ301/VLOOKUP(CC301,discount,2,FALSE()))</f>
        <v>#NAME?</v>
      </c>
      <c r="CG301" s="253" t="e">
        <f aca="false">xSPRDOPT((VLOOKUP(G301,NGPREVPRICES,2,FALSE())+HLOOKUP(D301,PREVCURVES,VLOOKUP(G301,MOVE_DOWN2,2,FALSE()),FALSE())),VLOOKUP(G301,NGPREVPRICES,2,FALSE()),CK301,VLOOKUP(G301,NGPREVPRICES,4,FALSE()),HLOOKUP(D301,VOLS,VLOOKUP(G301,move_down,2,FALSE()),FALSE()),VLOOKUP(G301,NGPrices,3,FALSE()),HLOOKUP(D301,Correllate,VLOOKUP(G301,CorMove,2,FALSE()),FALSE()),Q301-$CD$3,R301,$CJ$5)*H301-CJ301</f>
        <v>#NAME?</v>
      </c>
      <c r="CH301" s="253" t="e">
        <f aca="false">xSPRDOPT((VLOOKUP(G301,NGPREVPRICES,2,FALSE())+HLOOKUP(D301,PREVCURVES,VLOOKUP(G301,MOVE_DOWN2,2,FALSE()),FALSE())),VLOOKUP(G301,NGPREVPRICES,2,FALSE()),CK301,VLOOKUP(G301,NGPREVPRICES,4,FALSE()),HLOOKUP(D301,PREVVOLS,VLOOKUP(G301,MOVE_DOWN2,2,FALSE()),FALSE()),VLOOKUP(G301,NGPREVPRICES,3,FALSE()),HLOOKUP(D301,Correllate,VLOOKUP(G301,CorMove,2,FALSE()),FALSE()),Q301-$C$3,R301,$CJ$5)*H301-CJ301</f>
        <v>#NAME?</v>
      </c>
      <c r="CI301" s="253" t="e">
        <f aca="false">SUM(CD301:CH301)</f>
        <v>#NAME?</v>
      </c>
      <c r="CJ301" s="253" t="e">
        <f aca="false">xSPRDOPT((VLOOKUP(G301,NGPREVPRICES,2,FALSE())+HLOOKUP(D301,PREVCURVES,VLOOKUP(G301,MOVE_DOWN2,2,FALSE()),FALSE())),VLOOKUP(G301,NGPREVPRICES,2,FALSE()),CK301,VLOOKUP(G301,NGPREVPRICES,4,FALSE()),HLOOKUP(D301,PREVVOLS,VLOOKUP(G301,MOVE_DOWN2,2,FALSE()),FALSE()),VLOOKUP(G301,NGPREVPRICES,3,FALSE()),HLOOKUP(D301,Correllate,VLOOKUP(G301,CorMove,2,FALSE()),FALSE()),Q301-$CD$3,R301,$CJ$5)*H301</f>
        <v>#NAME?</v>
      </c>
      <c r="CK301" s="254" t="n">
        <f aca="false">I301</f>
        <v>0.75</v>
      </c>
      <c r="CL301" s="253"/>
      <c r="CM301" s="0" t="str">
        <f aca="false">CONCATENATE(CC301,$CD$6)</f>
        <v>36861Curve Shift/Gamma</v>
      </c>
      <c r="CN301" s="0" t="str">
        <f aca="false">CONCATENATE($CC301,$CE$6)</f>
        <v>36861Rho</v>
      </c>
      <c r="CO301" s="0" t="str">
        <f aca="false">CONCATENATE($CC301,$CF$6)</f>
        <v>36861Drift</v>
      </c>
      <c r="CP301" s="0" t="str">
        <f aca="false">CONCATENATE($CC301,$CG$6)</f>
        <v>36861Vega</v>
      </c>
      <c r="CQ301" s="0" t="str">
        <f aca="false">CONCATENATE($CC301,$CH$6)</f>
        <v>36861Theta</v>
      </c>
    </row>
    <row r="302" customFormat="false" ht="12.75" hidden="false" customHeight="false" outlineLevel="0" collapsed="false">
      <c r="A302" s="265" t="s">
        <v>210</v>
      </c>
      <c r="B302" s="0" t="s">
        <v>192</v>
      </c>
      <c r="C302" s="0" t="s">
        <v>303</v>
      </c>
      <c r="D302" s="7" t="s">
        <v>149</v>
      </c>
      <c r="E302" s="0" t="s">
        <v>131</v>
      </c>
      <c r="F302" s="0" t="s">
        <v>132</v>
      </c>
      <c r="G302" s="92" t="n">
        <v>36831</v>
      </c>
      <c r="H302" s="248" t="n">
        <v>900000</v>
      </c>
      <c r="I302" s="0" t="n">
        <v>0.75</v>
      </c>
      <c r="J302" s="124" t="n">
        <f aca="false">VLOOKUP(G302,NGPrices,2,FALSE())</f>
        <v>4.736</v>
      </c>
      <c r="K302" s="125" t="n">
        <f aca="false">HLOOKUP(D302,Prices,VLOOKUP(G302,move_down,2,FALSE()),FALSE())+VLOOKUP(G302,CHANGE,HLOOKUP(D302,CHANGE,2,FALSE()),FALSE())</f>
        <v>0.77</v>
      </c>
      <c r="L302" s="124" t="n">
        <f aca="false">K302+J302</f>
        <v>5.506</v>
      </c>
      <c r="M302" s="126" t="n">
        <f aca="false">VLOOKUP(G302,NGPrices,4,FALSE())</f>
        <v>0.06810675983792</v>
      </c>
      <c r="N302" s="7" t="n">
        <f aca="false">VLOOKUP(G302,NGPrices,3,FALSE())</f>
        <v>0.595</v>
      </c>
      <c r="O302" s="7" t="n">
        <f aca="false">HLOOKUP(D302,VOLS,VLOOKUP(G302,move_down,2,FALSE()),FALSE())</f>
        <v>0.625</v>
      </c>
      <c r="P302" s="249" t="n">
        <f aca="false">HLOOKUP(D302,Correllate,VLOOKUP(G302,CorMove,2,FALSE()),FALSE())</f>
        <v>0.89</v>
      </c>
      <c r="Q302" s="92" t="n">
        <f aca="false">WORKDAY(G302,-2)</f>
        <v>36829</v>
      </c>
      <c r="R302" s="7" t="n">
        <f aca="false">IF(F302="P",0,1)</f>
        <v>0</v>
      </c>
      <c r="S302" s="130" t="e">
        <f aca="false">xSPRDOPT($L302,$J302,$I302,$M302,$O302,$N302,$P302,$Q302-$C$3,$R302,0)</f>
        <v>#NAME?</v>
      </c>
      <c r="T302" s="250" t="e">
        <f aca="false">xSPRDOPT($L302,$J302,$I302,$M302,$O302,$N302,$P302,$Q302-$C$3,$R302,1)*H302</f>
        <v>#NAME?</v>
      </c>
      <c r="U302" s="43" t="e">
        <f aca="false">S302*H302</f>
        <v>#NAME?</v>
      </c>
      <c r="V302" s="250" t="e">
        <f aca="false">xSPRDOPT($L302,$J302,$I302,$M302,$O302,$N302,$P302,$Q302-$C$3,$R302,2)*H302</f>
        <v>#NAME?</v>
      </c>
      <c r="W302" s="250" t="e">
        <f aca="false">+V302+T302</f>
        <v>#NAME?</v>
      </c>
      <c r="X302" s="2" t="str">
        <f aca="false">CONCATENATE(G302,D302)</f>
        <v>36831IF-TRANSCO/Z6</v>
      </c>
      <c r="Y302" s="251" t="n">
        <f aca="false">H302/10000</f>
        <v>90</v>
      </c>
      <c r="Z302" s="226" t="e">
        <f aca="false">T302/H302</f>
        <v>#NAME?</v>
      </c>
      <c r="AA302" s="226" t="e">
        <f aca="false">xSPRDOPT($L302,$J302,$I302,$M302,$O302,$N302,$P302,$Q302-$C$3,$R302,3)</f>
        <v>#NAME?</v>
      </c>
      <c r="AB302" s="226" t="e">
        <f aca="false">((xSPRDOPT($L302+AB$5,$J302,$I302,$M302,$O302,$N302,$P302,$Q302-$C$3,$R302,3)*$H302)/10000)/100</f>
        <v>#NAME?</v>
      </c>
      <c r="AC302" s="226" t="e">
        <f aca="false">((xSPRDOPT($L302+$AB$5,$J302,$I302,$M302,$O302,$N302,$P302,$Q302-$C$3,$R302,7)*$H302)/100)</f>
        <v>#NAME?</v>
      </c>
      <c r="AD302" s="226" t="e">
        <f aca="false">(xSPRDOPT($L302+$AB$5,$J302,$I302,$M302,$O302,$N302,$P302,$Q302-$C$3,$R302,9)/365)*$H302</f>
        <v>#NAME?</v>
      </c>
      <c r="AE302" s="0" t="e">
        <f aca="false">CD302</f>
        <v>#NAME?</v>
      </c>
      <c r="AF302" s="226" t="e">
        <f aca="false">((O302/N302)*AH302)+AG302</f>
        <v>#NAME?</v>
      </c>
      <c r="AG302" s="226" t="e">
        <f aca="false">((xSPRDOPT($L302,$J302,$I302,$M302,$O302,$N302,$P302,$Q302-$C$3,$R302,6)*$H302)/100)</f>
        <v>#NAME?</v>
      </c>
      <c r="AH302" s="226" t="e">
        <f aca="false">((xSPRDOPT($L302,$J302,$I302,$M302,$O302,$N302,$P302,$Q302-$C$3,$R302,5)*$H302)/100)</f>
        <v>#NAME?</v>
      </c>
      <c r="AI302" s="226" t="e">
        <f aca="false">(((xSPRDOPT($L302,$J302,$I302,$M302,$O302,$N302,$P302,$Q302-$C$3,$R302,4)*$H302)/10000)/100)-AB302</f>
        <v>#NAME?</v>
      </c>
      <c r="AJ302" s="226"/>
      <c r="AK302" s="226"/>
      <c r="AL302" s="226"/>
      <c r="AM302" s="252"/>
      <c r="CC302" s="182" t="n">
        <f aca="false">G302</f>
        <v>36831</v>
      </c>
      <c r="CD302" s="253" t="e">
        <f aca="false">xSPRDOPT((VLOOKUP(G302,NGPrices,2,FALSE())+HLOOKUP(D302,Prices,VLOOKUP(G302,move_down,2,FALSE()),FALSE())),VLOOKUP(G302,NGPrices,2,FALSE()),I302,VLOOKUP(G302,NGPREVPRICES,4,FALSE()),HLOOKUP(D302,PREVVOLS,VLOOKUP(G302,MOVE_DOWN2,2,FALSE()),FALSE()),VLOOKUP(G302,NGPREVPRICES,3,FALSE()),HLOOKUP(D302,Correllate,VLOOKUP(G302,CorMove,2,FALSE()),FALSE()),Q302-$CD$3,R302,$CD$5)*H302-CJ302</f>
        <v>#NAME?</v>
      </c>
      <c r="CE302" s="253" t="e">
        <f aca="false">xSPRDOPT((VLOOKUP(G302,NGPREVPRICES,2,FALSE())+HLOOKUP(D302,PREVCURVES,VLOOKUP(G302,MOVE_DOWN2,2,FALSE()),FALSE())),VLOOKUP(G302,NGPREVPRICES,2,FALSE()),CK302,VLOOKUP(G302,NGPrices,4,FALSE()),HLOOKUP(D302,PREVVOLS,VLOOKUP(G302,MOVE_DOWN2,2,FALSE()),FALSE()),VLOOKUP(G302,NGPREVPRICES,3,FALSE()),HLOOKUP(D302,Correllate,VLOOKUP(G302,CorMove,2,FALSE()),FALSE()),Q302-$CD$3,R302,$CJ$5)*H302-CJ302</f>
        <v>#NAME?</v>
      </c>
      <c r="CF302" s="132" t="e">
        <f aca="false">(CJ302/VLOOKUP(CC302,discount,3,FALSE()))-(CJ302/VLOOKUP(CC302,discount,2,FALSE()))</f>
        <v>#NAME?</v>
      </c>
      <c r="CG302" s="253" t="e">
        <f aca="false">xSPRDOPT((VLOOKUP(G302,NGPREVPRICES,2,FALSE())+HLOOKUP(D302,PREVCURVES,VLOOKUP(G302,MOVE_DOWN2,2,FALSE()),FALSE())),VLOOKUP(G302,NGPREVPRICES,2,FALSE()),CK302,VLOOKUP(G302,NGPREVPRICES,4,FALSE()),HLOOKUP(D302,VOLS,VLOOKUP(G302,move_down,2,FALSE()),FALSE()),VLOOKUP(G302,NGPrices,3,FALSE()),HLOOKUP(D302,Correllate,VLOOKUP(G302,CorMove,2,FALSE()),FALSE()),Q302-$CD$3,R302,$CJ$5)*H302-CJ302</f>
        <v>#NAME?</v>
      </c>
      <c r="CH302" s="253" t="e">
        <f aca="false">xSPRDOPT((VLOOKUP(G302,NGPREVPRICES,2,FALSE())+HLOOKUP(D302,PREVCURVES,VLOOKUP(G302,MOVE_DOWN2,2,FALSE()),FALSE())),VLOOKUP(G302,NGPREVPRICES,2,FALSE()),CK302,VLOOKUP(G302,NGPREVPRICES,4,FALSE()),HLOOKUP(D302,PREVVOLS,VLOOKUP(G302,MOVE_DOWN2,2,FALSE()),FALSE()),VLOOKUP(G302,NGPREVPRICES,3,FALSE()),HLOOKUP(D302,Correllate,VLOOKUP(G302,CorMove,2,FALSE()),FALSE()),Q302-$C$3,R302,$CJ$5)*H302-CJ302</f>
        <v>#NAME?</v>
      </c>
      <c r="CI302" s="253" t="e">
        <f aca="false">SUM(CD302:CH302)</f>
        <v>#NAME?</v>
      </c>
      <c r="CJ302" s="253" t="e">
        <f aca="false">xSPRDOPT((VLOOKUP(G302,NGPREVPRICES,2,FALSE())+HLOOKUP(D302,PREVCURVES,VLOOKUP(G302,MOVE_DOWN2,2,FALSE()),FALSE())),VLOOKUP(G302,NGPREVPRICES,2,FALSE()),CK302,VLOOKUP(G302,NGPREVPRICES,4,FALSE()),HLOOKUP(D302,PREVVOLS,VLOOKUP(G302,MOVE_DOWN2,2,FALSE()),FALSE()),VLOOKUP(G302,NGPREVPRICES,3,FALSE()),HLOOKUP(D302,Correllate,VLOOKUP(G302,CorMove,2,FALSE()),FALSE()),Q302-$CD$3,R302,$CJ$5)*H302</f>
        <v>#NAME?</v>
      </c>
      <c r="CK302" s="254" t="n">
        <f aca="false">I302</f>
        <v>0.75</v>
      </c>
      <c r="CL302" s="253"/>
      <c r="CM302" s="0" t="str">
        <f aca="false">CONCATENATE(CC302,$CD$6)</f>
        <v>36831Curve Shift/Gamma</v>
      </c>
      <c r="CN302" s="0" t="str">
        <f aca="false">CONCATENATE($CC302,$CE$6)</f>
        <v>36831Rho</v>
      </c>
      <c r="CO302" s="0" t="str">
        <f aca="false">CONCATENATE($CC302,$CF$6)</f>
        <v>36831Drift</v>
      </c>
      <c r="CP302" s="0" t="str">
        <f aca="false">CONCATENATE($CC302,$CG$6)</f>
        <v>36831Vega</v>
      </c>
      <c r="CQ302" s="0" t="str">
        <f aca="false">CONCATENATE($CC302,$CH$6)</f>
        <v>36831Theta</v>
      </c>
    </row>
    <row r="303" customFormat="false" ht="12.75" hidden="false" customHeight="false" outlineLevel="0" collapsed="false">
      <c r="A303" s="265" t="s">
        <v>198</v>
      </c>
      <c r="B303" s="0" t="s">
        <v>192</v>
      </c>
      <c r="C303" s="0" t="s">
        <v>304</v>
      </c>
      <c r="D303" s="7" t="s">
        <v>149</v>
      </c>
      <c r="E303" s="0" t="s">
        <v>131</v>
      </c>
      <c r="F303" s="0" t="s">
        <v>136</v>
      </c>
      <c r="G303" s="92" t="n">
        <v>36800</v>
      </c>
      <c r="H303" s="248" t="n">
        <v>-1000000</v>
      </c>
      <c r="I303" s="0" t="n">
        <v>0.7</v>
      </c>
      <c r="J303" s="124" t="n">
        <f aca="false">VLOOKUP(G303,NGPrices,2,FALSE())</f>
        <v>4.692</v>
      </c>
      <c r="K303" s="125" t="n">
        <f aca="false">HLOOKUP(D303,Prices,VLOOKUP(G303,move_down,2,FALSE()),FALSE())+VLOOKUP(G303,CHANGE,HLOOKUP(D303,CHANGE,2,FALSE()),FALSE())</f>
        <v>0.415</v>
      </c>
      <c r="L303" s="124" t="n">
        <f aca="false">K303+J303</f>
        <v>5.107</v>
      </c>
      <c r="M303" s="126" t="n">
        <f aca="false">VLOOKUP(G303,NGPrices,4,FALSE())</f>
        <v>0.068050789414654</v>
      </c>
      <c r="N303" s="7" t="n">
        <f aca="false">VLOOKUP(G303,NGPrices,3,FALSE())</f>
        <v>0.575</v>
      </c>
      <c r="O303" s="7" t="n">
        <f aca="false">HLOOKUP(D303,VOLS,VLOOKUP(G303,move_down,2,FALSE()),FALSE())</f>
        <v>0.564</v>
      </c>
      <c r="P303" s="249" t="n">
        <f aca="false">HLOOKUP(D303,Correllate,VLOOKUP(G303,CorMove,2,FALSE()),FALSE())</f>
        <v>0.9925</v>
      </c>
      <c r="Q303" s="92" t="n">
        <f aca="false">WORKDAY(G303,-2)</f>
        <v>36797</v>
      </c>
      <c r="R303" s="7" t="n">
        <f aca="false">IF(F303="P",0,1)</f>
        <v>1</v>
      </c>
      <c r="S303" s="130" t="e">
        <f aca="false">xSPRDOPT($L303,$J303,$I303,$M303,$O303,$N303,$P303,$Q303-$C$3,$R303,0)</f>
        <v>#NAME?</v>
      </c>
      <c r="T303" s="250" t="e">
        <f aca="false">xSPRDOPT($L303,$J303,$I303,$M303,$O303,$N303,$P303,$Q303-$C$3,$R303,1)*H303</f>
        <v>#NAME?</v>
      </c>
      <c r="U303" s="43" t="e">
        <f aca="false">S303*H303</f>
        <v>#NAME?</v>
      </c>
      <c r="V303" s="250" t="e">
        <f aca="false">xSPRDOPT($L303,$J303,$I303,$M303,$O303,$N303,$P303,$Q303-$C$3,$R303,2)*H303</f>
        <v>#NAME?</v>
      </c>
      <c r="W303" s="250" t="e">
        <f aca="false">+V303+T303</f>
        <v>#NAME?</v>
      </c>
      <c r="X303" s="2" t="str">
        <f aca="false">CONCATENATE(G303,D303)</f>
        <v>36800IF-TRANSCO/Z6</v>
      </c>
      <c r="Y303" s="251" t="n">
        <f aca="false">H303/10000</f>
        <v>-100</v>
      </c>
      <c r="Z303" s="226" t="e">
        <f aca="false">T303/H303</f>
        <v>#NAME?</v>
      </c>
      <c r="AA303" s="226" t="e">
        <f aca="false">xSPRDOPT($L303,$J303,$I303,$M303,$O303,$N303,$P303,$Q303-$C$3,$R303,3)</f>
        <v>#NAME?</v>
      </c>
      <c r="AB303" s="226" t="e">
        <f aca="false">((xSPRDOPT($L303+AB$5,$J303,$I303,$M303,$O303,$N303,$P303,$Q303-$C$3,$R303,3)*$H303)/10000)/100</f>
        <v>#NAME?</v>
      </c>
      <c r="AC303" s="226" t="e">
        <f aca="false">((xSPRDOPT($L303+$AB$5,$J303,$I303,$M303,$O303,$N303,$P303,$Q303-$C$3,$R303,7)*$H303)/100)</f>
        <v>#NAME?</v>
      </c>
      <c r="AD303" s="226" t="e">
        <f aca="false">(xSPRDOPT($L303+$AB$5,$J303,$I303,$M303,$O303,$N303,$P303,$Q303-$C$3,$R303,9)/365)*$H303</f>
        <v>#NAME?</v>
      </c>
      <c r="AE303" s="0" t="e">
        <f aca="false">CD303</f>
        <v>#NAME?</v>
      </c>
      <c r="AF303" s="226" t="e">
        <f aca="false">((O303/N303)*AH303)+AG303</f>
        <v>#NAME?</v>
      </c>
      <c r="AG303" s="226" t="e">
        <f aca="false">((xSPRDOPT($L303,$J303,$I303,$M303,$O303,$N303,$P303,$Q303-$C$3,$R303,6)*$H303)/100)</f>
        <v>#NAME?</v>
      </c>
      <c r="AH303" s="226" t="e">
        <f aca="false">((xSPRDOPT($L303,$J303,$I303,$M303,$O303,$N303,$P303,$Q303-$C$3,$R303,5)*$H303)/100)</f>
        <v>#NAME?</v>
      </c>
      <c r="AI303" s="226" t="e">
        <f aca="false">(((xSPRDOPT($L303,$J303,$I303,$M303,$O303,$N303,$P303,$Q303-$C$3,$R303,4)*$H303)/10000)/100)-AB303</f>
        <v>#NAME?</v>
      </c>
      <c r="AJ303" s="226"/>
      <c r="AK303" s="226"/>
      <c r="AL303" s="226"/>
      <c r="AM303" s="252"/>
      <c r="CC303" s="182" t="n">
        <f aca="false">G303</f>
        <v>36800</v>
      </c>
      <c r="CD303" s="253" t="e">
        <f aca="false">xSPRDOPT((VLOOKUP(G303,NGPrices,2,FALSE())+HLOOKUP(D303,Prices,VLOOKUP(G303,move_down,2,FALSE()),FALSE())),VLOOKUP(G303,NGPrices,2,FALSE()),I303,VLOOKUP(G303,NGPREVPRICES,4,FALSE()),HLOOKUP(D303,PREVVOLS,VLOOKUP(G303,MOVE_DOWN2,2,FALSE()),FALSE()),VLOOKUP(G303,NGPREVPRICES,3,FALSE()),HLOOKUP(D303,Correllate,VLOOKUP(G303,CorMove,2,FALSE()),FALSE()),Q303-$CD$3,R303,$CD$5)*H303-CJ303</f>
        <v>#NAME?</v>
      </c>
      <c r="CE303" s="253" t="e">
        <f aca="false">xSPRDOPT((VLOOKUP(G303,NGPREVPRICES,2,FALSE())+HLOOKUP(D303,PREVCURVES,VLOOKUP(G303,MOVE_DOWN2,2,FALSE()),FALSE())),VLOOKUP(G303,NGPREVPRICES,2,FALSE()),CK303,VLOOKUP(G303,NGPrices,4,FALSE()),HLOOKUP(D303,PREVVOLS,VLOOKUP(G303,MOVE_DOWN2,2,FALSE()),FALSE()),VLOOKUP(G303,NGPREVPRICES,3,FALSE()),HLOOKUP(D303,Correllate,VLOOKUP(G303,CorMove,2,FALSE()),FALSE()),Q303-$CD$3,R303,$CJ$5)*H303-CJ303</f>
        <v>#NAME?</v>
      </c>
      <c r="CF303" s="132" t="e">
        <f aca="false">(CJ303/VLOOKUP(CC303,discount,3,FALSE()))-(CJ303/VLOOKUP(CC303,discount,2,FALSE()))</f>
        <v>#NAME?</v>
      </c>
      <c r="CG303" s="253" t="e">
        <f aca="false">xSPRDOPT((VLOOKUP(G303,NGPREVPRICES,2,FALSE())+HLOOKUP(D303,PREVCURVES,VLOOKUP(G303,MOVE_DOWN2,2,FALSE()),FALSE())),VLOOKUP(G303,NGPREVPRICES,2,FALSE()),CK303,VLOOKUP(G303,NGPREVPRICES,4,FALSE()),HLOOKUP(D303,VOLS,VLOOKUP(G303,move_down,2,FALSE()),FALSE()),VLOOKUP(G303,NGPrices,3,FALSE()),HLOOKUP(D303,Correllate,VLOOKUP(G303,CorMove,2,FALSE()),FALSE()),Q303-$CD$3,R303,$CJ$5)*H303-CJ303</f>
        <v>#NAME?</v>
      </c>
      <c r="CH303" s="253" t="e">
        <f aca="false">xSPRDOPT((VLOOKUP(G303,NGPREVPRICES,2,FALSE())+HLOOKUP(D303,PREVCURVES,VLOOKUP(G303,MOVE_DOWN2,2,FALSE()),FALSE())),VLOOKUP(G303,NGPREVPRICES,2,FALSE()),CK303,VLOOKUP(G303,NGPREVPRICES,4,FALSE()),HLOOKUP(D303,PREVVOLS,VLOOKUP(G303,MOVE_DOWN2,2,FALSE()),FALSE()),VLOOKUP(G303,NGPREVPRICES,3,FALSE()),HLOOKUP(D303,Correllate,VLOOKUP(G303,CorMove,2,FALSE()),FALSE()),Q303-$C$3,R303,$CJ$5)*H303-CJ303</f>
        <v>#NAME?</v>
      </c>
      <c r="CI303" s="253" t="e">
        <f aca="false">SUM(CD303:CH303)</f>
        <v>#NAME?</v>
      </c>
      <c r="CJ303" s="253" t="e">
        <f aca="false">xSPRDOPT((VLOOKUP(G303,NGPREVPRICES,2,FALSE())+HLOOKUP(D303,PREVCURVES,VLOOKUP(G303,MOVE_DOWN2,2,FALSE()),FALSE())),VLOOKUP(G303,NGPREVPRICES,2,FALSE()),CK303,VLOOKUP(G303,NGPREVPRICES,4,FALSE()),HLOOKUP(D303,PREVVOLS,VLOOKUP(G303,MOVE_DOWN2,2,FALSE()),FALSE()),VLOOKUP(G303,NGPREVPRICES,3,FALSE()),HLOOKUP(D303,Correllate,VLOOKUP(G303,CorMove,2,FALSE()),FALSE()),Q303-$CD$3,R303,$CJ$5)*H303</f>
        <v>#NAME?</v>
      </c>
      <c r="CK303" s="254" t="n">
        <f aca="false">I303</f>
        <v>0.7</v>
      </c>
      <c r="CL303" s="253"/>
      <c r="CM303" s="0" t="str">
        <f aca="false">CONCATENATE(CC303,$CD$6)</f>
        <v>36800Curve Shift/Gamma</v>
      </c>
      <c r="CN303" s="0" t="str">
        <f aca="false">CONCATENATE($CC303,$CE$6)</f>
        <v>36800Rho</v>
      </c>
      <c r="CO303" s="0" t="str">
        <f aca="false">CONCATENATE($CC303,$CF$6)</f>
        <v>36800Drift</v>
      </c>
      <c r="CP303" s="0" t="str">
        <f aca="false">CONCATENATE($CC303,$CG$6)</f>
        <v>36800Vega</v>
      </c>
      <c r="CQ303" s="0" t="str">
        <f aca="false">CONCATENATE($CC303,$CH$6)</f>
        <v>36800Theta</v>
      </c>
    </row>
    <row r="304" customFormat="false" ht="12.75" hidden="false" customHeight="false" outlineLevel="0" collapsed="false">
      <c r="A304" s="265" t="s">
        <v>198</v>
      </c>
      <c r="B304" s="0" t="s">
        <v>192</v>
      </c>
      <c r="C304" s="0" t="s">
        <v>305</v>
      </c>
      <c r="D304" s="7" t="s">
        <v>149</v>
      </c>
      <c r="E304" s="0" t="s">
        <v>131</v>
      </c>
      <c r="F304" s="0" t="s">
        <v>136</v>
      </c>
      <c r="G304" s="92" t="n">
        <v>36800</v>
      </c>
      <c r="H304" s="248" t="n">
        <v>-1000000</v>
      </c>
      <c r="I304" s="0" t="n">
        <v>0.7</v>
      </c>
      <c r="J304" s="124" t="n">
        <f aca="false">VLOOKUP(G304,NGPrices,2,FALSE())</f>
        <v>4.692</v>
      </c>
      <c r="K304" s="125" t="n">
        <f aca="false">HLOOKUP(D304,Prices,VLOOKUP(G304,move_down,2,FALSE()),FALSE())+VLOOKUP(G304,CHANGE,HLOOKUP(D304,CHANGE,2,FALSE()),FALSE())</f>
        <v>0.415</v>
      </c>
      <c r="L304" s="124" t="n">
        <f aca="false">K304+J304</f>
        <v>5.107</v>
      </c>
      <c r="M304" s="126" t="n">
        <f aca="false">VLOOKUP(G304,NGPrices,4,FALSE())</f>
        <v>0.068050789414654</v>
      </c>
      <c r="N304" s="7" t="n">
        <f aca="false">VLOOKUP(G304,NGPrices,3,FALSE())</f>
        <v>0.575</v>
      </c>
      <c r="O304" s="7" t="n">
        <f aca="false">HLOOKUP(D304,VOLS,VLOOKUP(G304,move_down,2,FALSE()),FALSE())</f>
        <v>0.564</v>
      </c>
      <c r="P304" s="249" t="n">
        <f aca="false">HLOOKUP(D304,Correllate,VLOOKUP(G304,CorMove,2,FALSE()),FALSE())</f>
        <v>0.9925</v>
      </c>
      <c r="Q304" s="92" t="n">
        <f aca="false">WORKDAY(G304,-2)</f>
        <v>36797</v>
      </c>
      <c r="R304" s="7" t="n">
        <f aca="false">IF(F304="P",0,1)</f>
        <v>1</v>
      </c>
      <c r="S304" s="130" t="e">
        <f aca="false">xSPRDOPT($L304,$J304,$I304,$M304,$O304,$N304,$P304,$Q304-$C$3,$R304,0)</f>
        <v>#NAME?</v>
      </c>
      <c r="T304" s="250" t="e">
        <f aca="false">xSPRDOPT($L304,$J304,$I304,$M304,$O304,$N304,$P304,$Q304-$C$3,$R304,1)*H304</f>
        <v>#NAME?</v>
      </c>
      <c r="U304" s="43" t="e">
        <f aca="false">S304*H304</f>
        <v>#NAME?</v>
      </c>
      <c r="V304" s="250" t="e">
        <f aca="false">xSPRDOPT($L304,$J304,$I304,$M304,$O304,$N304,$P304,$Q304-$C$3,$R304,2)*H304</f>
        <v>#NAME?</v>
      </c>
      <c r="W304" s="250" t="e">
        <f aca="false">+V304+T304</f>
        <v>#NAME?</v>
      </c>
      <c r="X304" s="2" t="str">
        <f aca="false">CONCATENATE(G304,D304)</f>
        <v>36800IF-TRANSCO/Z6</v>
      </c>
      <c r="Y304" s="251" t="n">
        <f aca="false">H304/10000</f>
        <v>-100</v>
      </c>
      <c r="Z304" s="226" t="e">
        <f aca="false">T304/H304</f>
        <v>#NAME?</v>
      </c>
      <c r="AA304" s="226" t="e">
        <f aca="false">xSPRDOPT($L304,$J304,$I304,$M304,$O304,$N304,$P304,$Q304-$C$3,$R304,3)</f>
        <v>#NAME?</v>
      </c>
      <c r="AB304" s="226" t="e">
        <f aca="false">((xSPRDOPT($L304+AB$5,$J304,$I304,$M304,$O304,$N304,$P304,$Q304-$C$3,$R304,3)*$H304)/10000)/100</f>
        <v>#NAME?</v>
      </c>
      <c r="AC304" s="226" t="e">
        <f aca="false">((xSPRDOPT($L304+$AB$5,$J304,$I304,$M304,$O304,$N304,$P304,$Q304-$C$3,$R304,7)*$H304)/100)</f>
        <v>#NAME?</v>
      </c>
      <c r="AD304" s="226" t="e">
        <f aca="false">(xSPRDOPT($L304+$AB$5,$J304,$I304,$M304,$O304,$N304,$P304,$Q304-$C$3,$R304,9)/365)*$H304</f>
        <v>#NAME?</v>
      </c>
      <c r="AE304" s="0" t="e">
        <f aca="false">CD304</f>
        <v>#NAME?</v>
      </c>
      <c r="AF304" s="226" t="e">
        <f aca="false">((O304/N304)*AH304)+AG304</f>
        <v>#NAME?</v>
      </c>
      <c r="AG304" s="226" t="e">
        <f aca="false">((xSPRDOPT($L304,$J304,$I304,$M304,$O304,$N304,$P304,$Q304-$C$3,$R304,6)*$H304)/100)</f>
        <v>#NAME?</v>
      </c>
      <c r="AH304" s="226" t="e">
        <f aca="false">((xSPRDOPT($L304,$J304,$I304,$M304,$O304,$N304,$P304,$Q304-$C$3,$R304,5)*$H304)/100)</f>
        <v>#NAME?</v>
      </c>
      <c r="AI304" s="226" t="e">
        <f aca="false">(((xSPRDOPT($L304,$J304,$I304,$M304,$O304,$N304,$P304,$Q304-$C$3,$R304,4)*$H304)/10000)/100)-AB304</f>
        <v>#NAME?</v>
      </c>
      <c r="AJ304" s="226"/>
      <c r="AK304" s="226"/>
      <c r="AL304" s="226"/>
      <c r="AM304" s="252"/>
      <c r="CC304" s="182" t="n">
        <f aca="false">G304</f>
        <v>36800</v>
      </c>
      <c r="CD304" s="253" t="e">
        <f aca="false">xSPRDOPT((VLOOKUP(G304,NGPrices,2,FALSE())+HLOOKUP(D304,Prices,VLOOKUP(G304,move_down,2,FALSE()),FALSE())),VLOOKUP(G304,NGPrices,2,FALSE()),I304,VLOOKUP(G304,NGPREVPRICES,4,FALSE()),HLOOKUP(D304,PREVVOLS,VLOOKUP(G304,MOVE_DOWN2,2,FALSE()),FALSE()),VLOOKUP(G304,NGPREVPRICES,3,FALSE()),HLOOKUP(D304,Correllate,VLOOKUP(G304,CorMove,2,FALSE()),FALSE()),Q304-$CD$3,R304,$CD$5)*H304-CJ304</f>
        <v>#NAME?</v>
      </c>
      <c r="CE304" s="253" t="e">
        <f aca="false">xSPRDOPT((VLOOKUP(G304,NGPREVPRICES,2,FALSE())+HLOOKUP(D304,PREVCURVES,VLOOKUP(G304,MOVE_DOWN2,2,FALSE()),FALSE())),VLOOKUP(G304,NGPREVPRICES,2,FALSE()),CK304,VLOOKUP(G304,NGPrices,4,FALSE()),HLOOKUP(D304,PREVVOLS,VLOOKUP(G304,MOVE_DOWN2,2,FALSE()),FALSE()),VLOOKUP(G304,NGPREVPRICES,3,FALSE()),HLOOKUP(D304,Correllate,VLOOKUP(G304,CorMove,2,FALSE()),FALSE()),Q304-$CD$3,R304,$CJ$5)*H304-CJ304</f>
        <v>#NAME?</v>
      </c>
      <c r="CF304" s="132" t="e">
        <f aca="false">(CJ304/VLOOKUP(CC304,discount,3,FALSE()))-(CJ304/VLOOKUP(CC304,discount,2,FALSE()))</f>
        <v>#NAME?</v>
      </c>
      <c r="CG304" s="253" t="e">
        <f aca="false">xSPRDOPT((VLOOKUP(G304,NGPREVPRICES,2,FALSE())+HLOOKUP(D304,PREVCURVES,VLOOKUP(G304,MOVE_DOWN2,2,FALSE()),FALSE())),VLOOKUP(G304,NGPREVPRICES,2,FALSE()),CK304,VLOOKUP(G304,NGPREVPRICES,4,FALSE()),HLOOKUP(D304,VOLS,VLOOKUP(G304,move_down,2,FALSE()),FALSE()),VLOOKUP(G304,NGPrices,3,FALSE()),HLOOKUP(D304,Correllate,VLOOKUP(G304,CorMove,2,FALSE()),FALSE()),Q304-$CD$3,R304,$CJ$5)*H304-CJ304</f>
        <v>#NAME?</v>
      </c>
      <c r="CH304" s="253" t="e">
        <f aca="false">xSPRDOPT((VLOOKUP(G304,NGPREVPRICES,2,FALSE())+HLOOKUP(D304,PREVCURVES,VLOOKUP(G304,MOVE_DOWN2,2,FALSE()),FALSE())),VLOOKUP(G304,NGPREVPRICES,2,FALSE()),CK304,VLOOKUP(G304,NGPREVPRICES,4,FALSE()),HLOOKUP(D304,PREVVOLS,VLOOKUP(G304,MOVE_DOWN2,2,FALSE()),FALSE()),VLOOKUP(G304,NGPREVPRICES,3,FALSE()),HLOOKUP(D304,Correllate,VLOOKUP(G304,CorMove,2,FALSE()),FALSE()),Q304-$C$3,R304,$CJ$5)*H304-CJ304</f>
        <v>#NAME?</v>
      </c>
      <c r="CI304" s="253" t="e">
        <f aca="false">SUM(CD304:CH304)</f>
        <v>#NAME?</v>
      </c>
      <c r="CJ304" s="253" t="e">
        <f aca="false">xSPRDOPT((VLOOKUP(G304,NGPREVPRICES,2,FALSE())+HLOOKUP(D304,PREVCURVES,VLOOKUP(G304,MOVE_DOWN2,2,FALSE()),FALSE())),VLOOKUP(G304,NGPREVPRICES,2,FALSE()),CK304,VLOOKUP(G304,NGPREVPRICES,4,FALSE()),HLOOKUP(D304,PREVVOLS,VLOOKUP(G304,MOVE_DOWN2,2,FALSE()),FALSE()),VLOOKUP(G304,NGPREVPRICES,3,FALSE()),HLOOKUP(D304,Correllate,VLOOKUP(G304,CorMove,2,FALSE()),FALSE()),Q304-$CD$3,R304,$CJ$5)*H304</f>
        <v>#NAME?</v>
      </c>
      <c r="CK304" s="254" t="n">
        <f aca="false">I304</f>
        <v>0.7</v>
      </c>
      <c r="CL304" s="253"/>
      <c r="CM304" s="0" t="str">
        <f aca="false">CONCATENATE(CC304,$CD$6)</f>
        <v>36800Curve Shift/Gamma</v>
      </c>
      <c r="CN304" s="0" t="str">
        <f aca="false">CONCATENATE($CC304,$CE$6)</f>
        <v>36800Rho</v>
      </c>
      <c r="CO304" s="0" t="str">
        <f aca="false">CONCATENATE($CC304,$CF$6)</f>
        <v>36800Drift</v>
      </c>
      <c r="CP304" s="0" t="str">
        <f aca="false">CONCATENATE($CC304,$CG$6)</f>
        <v>36800Vega</v>
      </c>
      <c r="CQ304" s="0" t="str">
        <f aca="false">CONCATENATE($CC304,$CH$6)</f>
        <v>36800Theta</v>
      </c>
    </row>
    <row r="305" customFormat="false" ht="12.75" hidden="false" customHeight="false" outlineLevel="0" collapsed="false">
      <c r="A305" s="265" t="s">
        <v>198</v>
      </c>
      <c r="B305" s="0" t="s">
        <v>192</v>
      </c>
      <c r="C305" s="0" t="s">
        <v>306</v>
      </c>
      <c r="D305" s="7" t="s">
        <v>149</v>
      </c>
      <c r="E305" s="0" t="s">
        <v>131</v>
      </c>
      <c r="F305" s="0" t="s">
        <v>136</v>
      </c>
      <c r="G305" s="92" t="n">
        <v>36800</v>
      </c>
      <c r="H305" s="248" t="n">
        <v>-1000000</v>
      </c>
      <c r="I305" s="0" t="n">
        <v>0.7</v>
      </c>
      <c r="J305" s="124" t="n">
        <f aca="false">VLOOKUP(G305,NGPrices,2,FALSE())</f>
        <v>4.692</v>
      </c>
      <c r="K305" s="125" t="n">
        <f aca="false">HLOOKUP(D305,Prices,VLOOKUP(G305,move_down,2,FALSE()),FALSE())+VLOOKUP(G305,CHANGE,HLOOKUP(D305,CHANGE,2,FALSE()),FALSE())</f>
        <v>0.415</v>
      </c>
      <c r="L305" s="124" t="n">
        <f aca="false">K305+J305</f>
        <v>5.107</v>
      </c>
      <c r="M305" s="126" t="n">
        <f aca="false">VLOOKUP(G305,NGPrices,4,FALSE())</f>
        <v>0.068050789414654</v>
      </c>
      <c r="N305" s="7" t="n">
        <f aca="false">VLOOKUP(G305,NGPrices,3,FALSE())</f>
        <v>0.575</v>
      </c>
      <c r="O305" s="7" t="n">
        <f aca="false">HLOOKUP(D305,VOLS,VLOOKUP(G305,move_down,2,FALSE()),FALSE())</f>
        <v>0.564</v>
      </c>
      <c r="P305" s="249" t="n">
        <f aca="false">HLOOKUP(D305,Correllate,VLOOKUP(G305,CorMove,2,FALSE()),FALSE())</f>
        <v>0.9925</v>
      </c>
      <c r="Q305" s="92" t="n">
        <f aca="false">WORKDAY(G305,-2)</f>
        <v>36797</v>
      </c>
      <c r="R305" s="7" t="n">
        <f aca="false">IF(F305="P",0,1)</f>
        <v>1</v>
      </c>
      <c r="S305" s="130" t="e">
        <f aca="false">xSPRDOPT($L305,$J305,$I305,$M305,$O305,$N305,$P305,$Q305-$C$3,$R305,0)</f>
        <v>#NAME?</v>
      </c>
      <c r="T305" s="250" t="e">
        <f aca="false">xSPRDOPT($L305,$J305,$I305,$M305,$O305,$N305,$P305,$Q305-$C$3,$R305,1)*H305</f>
        <v>#NAME?</v>
      </c>
      <c r="U305" s="43" t="e">
        <f aca="false">S305*H305</f>
        <v>#NAME?</v>
      </c>
      <c r="V305" s="250" t="e">
        <f aca="false">xSPRDOPT($L305,$J305,$I305,$M305,$O305,$N305,$P305,$Q305-$C$3,$R305,2)*H305</f>
        <v>#NAME?</v>
      </c>
      <c r="W305" s="250" t="e">
        <f aca="false">+V305+T305</f>
        <v>#NAME?</v>
      </c>
      <c r="X305" s="2" t="str">
        <f aca="false">CONCATENATE(G305,D305)</f>
        <v>36800IF-TRANSCO/Z6</v>
      </c>
      <c r="Y305" s="251" t="n">
        <f aca="false">H305/10000</f>
        <v>-100</v>
      </c>
      <c r="Z305" s="226" t="e">
        <f aca="false">T305/H305</f>
        <v>#NAME?</v>
      </c>
      <c r="AA305" s="226" t="e">
        <f aca="false">xSPRDOPT($L305,$J305,$I305,$M305,$O305,$N305,$P305,$Q305-$C$3,$R305,3)</f>
        <v>#NAME?</v>
      </c>
      <c r="AB305" s="226" t="e">
        <f aca="false">((xSPRDOPT($L305+AB$5,$J305,$I305,$M305,$O305,$N305,$P305,$Q305-$C$3,$R305,3)*$H305)/10000)/100</f>
        <v>#NAME?</v>
      </c>
      <c r="AC305" s="226" t="e">
        <f aca="false">((xSPRDOPT($L305+$AB$5,$J305,$I305,$M305,$O305,$N305,$P305,$Q305-$C$3,$R305,7)*$H305)/100)</f>
        <v>#NAME?</v>
      </c>
      <c r="AD305" s="226" t="e">
        <f aca="false">(xSPRDOPT($L305+$AB$5,$J305,$I305,$M305,$O305,$N305,$P305,$Q305-$C$3,$R305,9)/365)*$H305</f>
        <v>#NAME?</v>
      </c>
      <c r="AE305" s="0" t="e">
        <f aca="false">CD305</f>
        <v>#NAME?</v>
      </c>
      <c r="AF305" s="226" t="e">
        <f aca="false">((O305/N305)*AH305)+AG305</f>
        <v>#NAME?</v>
      </c>
      <c r="AG305" s="226" t="e">
        <f aca="false">((xSPRDOPT($L305,$J305,$I305,$M305,$O305,$N305,$P305,$Q305-$C$3,$R305,6)*$H305)/100)</f>
        <v>#NAME?</v>
      </c>
      <c r="AH305" s="226" t="e">
        <f aca="false">((xSPRDOPT($L305,$J305,$I305,$M305,$O305,$N305,$P305,$Q305-$C$3,$R305,5)*$H305)/100)</f>
        <v>#NAME?</v>
      </c>
      <c r="AI305" s="226" t="e">
        <f aca="false">(((xSPRDOPT($L305,$J305,$I305,$M305,$O305,$N305,$P305,$Q305-$C$3,$R305,4)*$H305)/10000)/100)-AB305</f>
        <v>#NAME?</v>
      </c>
      <c r="AJ305" s="226"/>
      <c r="AK305" s="226"/>
      <c r="AL305" s="226"/>
      <c r="AM305" s="252"/>
      <c r="CC305" s="182" t="n">
        <f aca="false">G305</f>
        <v>36800</v>
      </c>
      <c r="CD305" s="253" t="e">
        <f aca="false">xSPRDOPT((VLOOKUP(G305,NGPrices,2,FALSE())+HLOOKUP(D305,Prices,VLOOKUP(G305,move_down,2,FALSE()),FALSE())),VLOOKUP(G305,NGPrices,2,FALSE()),I305,VLOOKUP(G305,NGPREVPRICES,4,FALSE()),HLOOKUP(D305,PREVVOLS,VLOOKUP(G305,MOVE_DOWN2,2,FALSE()),FALSE()),VLOOKUP(G305,NGPREVPRICES,3,FALSE()),HLOOKUP(D305,Correllate,VLOOKUP(G305,CorMove,2,FALSE()),FALSE()),Q305-$CD$3,R305,$CD$5)*H305-CJ305</f>
        <v>#NAME?</v>
      </c>
      <c r="CE305" s="253" t="e">
        <f aca="false">xSPRDOPT((VLOOKUP(G305,NGPREVPRICES,2,FALSE())+HLOOKUP(D305,PREVCURVES,VLOOKUP(G305,MOVE_DOWN2,2,FALSE()),FALSE())),VLOOKUP(G305,NGPREVPRICES,2,FALSE()),CK305,VLOOKUP(G305,NGPrices,4,FALSE()),HLOOKUP(D305,PREVVOLS,VLOOKUP(G305,MOVE_DOWN2,2,FALSE()),FALSE()),VLOOKUP(G305,NGPREVPRICES,3,FALSE()),HLOOKUP(D305,Correllate,VLOOKUP(G305,CorMove,2,FALSE()),FALSE()),Q305-$CD$3,R305,$CJ$5)*H305-CJ305</f>
        <v>#NAME?</v>
      </c>
      <c r="CF305" s="132" t="e">
        <f aca="false">(CJ305/VLOOKUP(CC305,discount,3,FALSE()))-(CJ305/VLOOKUP(CC305,discount,2,FALSE()))</f>
        <v>#NAME?</v>
      </c>
      <c r="CG305" s="253" t="e">
        <f aca="false">xSPRDOPT((VLOOKUP(G305,NGPREVPRICES,2,FALSE())+HLOOKUP(D305,PREVCURVES,VLOOKUP(G305,MOVE_DOWN2,2,FALSE()),FALSE())),VLOOKUP(G305,NGPREVPRICES,2,FALSE()),CK305,VLOOKUP(G305,NGPREVPRICES,4,FALSE()),HLOOKUP(D305,VOLS,VLOOKUP(G305,move_down,2,FALSE()),FALSE()),VLOOKUP(G305,NGPrices,3,FALSE()),HLOOKUP(D305,Correllate,VLOOKUP(G305,CorMove,2,FALSE()),FALSE()),Q305-$CD$3,R305,$CJ$5)*H305-CJ305</f>
        <v>#NAME?</v>
      </c>
      <c r="CH305" s="253" t="e">
        <f aca="false">xSPRDOPT((VLOOKUP(G305,NGPREVPRICES,2,FALSE())+HLOOKUP(D305,PREVCURVES,VLOOKUP(G305,MOVE_DOWN2,2,FALSE()),FALSE())),VLOOKUP(G305,NGPREVPRICES,2,FALSE()),CK305,VLOOKUP(G305,NGPREVPRICES,4,FALSE()),HLOOKUP(D305,PREVVOLS,VLOOKUP(G305,MOVE_DOWN2,2,FALSE()),FALSE()),VLOOKUP(G305,NGPREVPRICES,3,FALSE()),HLOOKUP(D305,Correllate,VLOOKUP(G305,CorMove,2,FALSE()),FALSE()),Q305-$C$3,R305,$CJ$5)*H305-CJ305</f>
        <v>#NAME?</v>
      </c>
      <c r="CI305" s="253" t="e">
        <f aca="false">SUM(CD305:CH305)</f>
        <v>#NAME?</v>
      </c>
      <c r="CJ305" s="253" t="e">
        <f aca="false">xSPRDOPT((VLOOKUP(G305,NGPREVPRICES,2,FALSE())+HLOOKUP(D305,PREVCURVES,VLOOKUP(G305,MOVE_DOWN2,2,FALSE()),FALSE())),VLOOKUP(G305,NGPREVPRICES,2,FALSE()),CK305,VLOOKUP(G305,NGPREVPRICES,4,FALSE()),HLOOKUP(D305,PREVVOLS,VLOOKUP(G305,MOVE_DOWN2,2,FALSE()),FALSE()),VLOOKUP(G305,NGPREVPRICES,3,FALSE()),HLOOKUP(D305,Correllate,VLOOKUP(G305,CorMove,2,FALSE()),FALSE()),Q305-$CD$3,R305,$CJ$5)*H305</f>
        <v>#NAME?</v>
      </c>
      <c r="CK305" s="254" t="n">
        <f aca="false">I305</f>
        <v>0.7</v>
      </c>
      <c r="CL305" s="253"/>
      <c r="CM305" s="0" t="str">
        <f aca="false">CONCATENATE(CC305,$CD$6)</f>
        <v>36800Curve Shift/Gamma</v>
      </c>
      <c r="CN305" s="0" t="str">
        <f aca="false">CONCATENATE($CC305,$CE$6)</f>
        <v>36800Rho</v>
      </c>
      <c r="CO305" s="0" t="str">
        <f aca="false">CONCATENATE($CC305,$CF$6)</f>
        <v>36800Drift</v>
      </c>
      <c r="CP305" s="0" t="str">
        <f aca="false">CONCATENATE($CC305,$CG$6)</f>
        <v>36800Vega</v>
      </c>
      <c r="CQ305" s="0" t="str">
        <f aca="false">CONCATENATE($CC305,$CH$6)</f>
        <v>36800Theta</v>
      </c>
    </row>
    <row r="306" customFormat="false" ht="12.75" hidden="false" customHeight="false" outlineLevel="0" collapsed="false">
      <c r="A306" s="265" t="s">
        <v>212</v>
      </c>
      <c r="B306" s="0" t="s">
        <v>192</v>
      </c>
      <c r="C306" s="0" t="s">
        <v>307</v>
      </c>
      <c r="D306" s="7" t="s">
        <v>149</v>
      </c>
      <c r="E306" s="0" t="s">
        <v>131</v>
      </c>
      <c r="F306" s="0" t="s">
        <v>136</v>
      </c>
      <c r="G306" s="92" t="n">
        <v>36951</v>
      </c>
      <c r="H306" s="248" t="n">
        <v>-310000</v>
      </c>
      <c r="I306" s="0" t="n">
        <v>1.75</v>
      </c>
      <c r="J306" s="124" t="n">
        <f aca="false">VLOOKUP(G306,NGPrices,2,FALSE())</f>
        <v>4.213</v>
      </c>
      <c r="K306" s="125" t="n">
        <f aca="false">HLOOKUP(D306,Prices,VLOOKUP(G306,move_down,2,FALSE()),FALSE())+VLOOKUP(G306,CHANGE,HLOOKUP(D306,CHANGE,2,FALSE()),FALSE())</f>
        <v>1.075</v>
      </c>
      <c r="L306" s="124" t="n">
        <f aca="false">K306+J306</f>
        <v>5.288</v>
      </c>
      <c r="M306" s="126" t="n">
        <f aca="false">VLOOKUP(G306,NGPrices,4,FALSE())</f>
        <v>0.068879814952707</v>
      </c>
      <c r="N306" s="7" t="n">
        <f aca="false">VLOOKUP(G306,NGPrices,3,FALSE())</f>
        <v>0.5325</v>
      </c>
      <c r="O306" s="7" t="n">
        <f aca="false">HLOOKUP(D306,VOLS,VLOOKUP(G306,move_down,2,FALSE()),FALSE())</f>
        <v>0.612</v>
      </c>
      <c r="P306" s="249" t="n">
        <f aca="false">HLOOKUP(D306,Correllate,VLOOKUP(G306,CorMove,2,FALSE()),FALSE())</f>
        <v>0.83</v>
      </c>
      <c r="Q306" s="92" t="n">
        <f aca="false">WORKDAY(G306,-2)</f>
        <v>36949</v>
      </c>
      <c r="R306" s="7" t="n">
        <f aca="false">IF(F306="P",0,1)</f>
        <v>1</v>
      </c>
      <c r="S306" s="130" t="e">
        <f aca="false">xSPRDOPT($L306,$J306,$I306,$M306,$O306,$N306,$P306,$Q306-$C$3,$R306,0)</f>
        <v>#NAME?</v>
      </c>
      <c r="T306" s="250" t="e">
        <f aca="false">xSPRDOPT($L306,$J306,$I306,$M306,$O306,$N306,$P306,$Q306-$C$3,$R306,1)*H306</f>
        <v>#NAME?</v>
      </c>
      <c r="U306" s="43" t="e">
        <f aca="false">S306*H306</f>
        <v>#NAME?</v>
      </c>
      <c r="V306" s="250" t="e">
        <f aca="false">xSPRDOPT($L306,$J306,$I306,$M306,$O306,$N306,$P306,$Q306-$C$3,$R306,2)*H306</f>
        <v>#NAME?</v>
      </c>
      <c r="W306" s="250" t="e">
        <f aca="false">+V306+T306</f>
        <v>#NAME?</v>
      </c>
      <c r="X306" s="2" t="str">
        <f aca="false">CONCATENATE(G306,D306)</f>
        <v>36951IF-TRANSCO/Z6</v>
      </c>
      <c r="Y306" s="251" t="n">
        <f aca="false">H306/10000</f>
        <v>-31</v>
      </c>
      <c r="Z306" s="226" t="e">
        <f aca="false">T306/H306</f>
        <v>#NAME?</v>
      </c>
      <c r="AA306" s="226" t="e">
        <f aca="false">xSPRDOPT($L306,$J306,$I306,$M306,$O306,$N306,$P306,$Q306-$C$3,$R306,3)</f>
        <v>#NAME?</v>
      </c>
      <c r="AB306" s="226" t="e">
        <f aca="false">((xSPRDOPT($L306+AB$5,$J306,$I306,$M306,$O306,$N306,$P306,$Q306-$C$3,$R306,3)*$H306)/10000)/100</f>
        <v>#NAME?</v>
      </c>
      <c r="AC306" s="226" t="e">
        <f aca="false">((xSPRDOPT($L306+$AB$5,$J306,$I306,$M306,$O306,$N306,$P306,$Q306-$C$3,$R306,7)*$H306)/100)</f>
        <v>#NAME?</v>
      </c>
      <c r="AD306" s="226" t="e">
        <f aca="false">(xSPRDOPT($L306+$AB$5,$J306,$I306,$M306,$O306,$N306,$P306,$Q306-$C$3,$R306,9)/365)*$H306</f>
        <v>#NAME?</v>
      </c>
      <c r="AE306" s="0" t="e">
        <f aca="false">CD306</f>
        <v>#NAME?</v>
      </c>
      <c r="AF306" s="226" t="e">
        <f aca="false">((O306/N306)*AH306)+AG306</f>
        <v>#NAME?</v>
      </c>
      <c r="AG306" s="226" t="e">
        <f aca="false">((xSPRDOPT($L306,$J306,$I306,$M306,$O306,$N306,$P306,$Q306-$C$3,$R306,6)*$H306)/100)</f>
        <v>#NAME?</v>
      </c>
      <c r="AH306" s="226" t="e">
        <f aca="false">((xSPRDOPT($L306,$J306,$I306,$M306,$O306,$N306,$P306,$Q306-$C$3,$R306,5)*$H306)/100)</f>
        <v>#NAME?</v>
      </c>
      <c r="AI306" s="226" t="e">
        <f aca="false">(((xSPRDOPT($L306,$J306,$I306,$M306,$O306,$N306,$P306,$Q306-$C$3,$R306,4)*$H306)/10000)/100)-AB306</f>
        <v>#NAME?</v>
      </c>
      <c r="AJ306" s="226"/>
      <c r="AK306" s="226"/>
      <c r="AL306" s="226"/>
      <c r="AM306" s="252"/>
      <c r="CC306" s="182" t="n">
        <f aca="false">G306</f>
        <v>36951</v>
      </c>
      <c r="CD306" s="253" t="e">
        <f aca="false">xSPRDOPT((VLOOKUP(G306,NGPrices,2,FALSE())+HLOOKUP(D306,Prices,VLOOKUP(G306,move_down,2,FALSE()),FALSE())),VLOOKUP(G306,NGPrices,2,FALSE()),I306,VLOOKUP(G306,NGPREVPRICES,4,FALSE()),HLOOKUP(D306,PREVVOLS,VLOOKUP(G306,MOVE_DOWN2,2,FALSE()),FALSE()),VLOOKUP(G306,NGPREVPRICES,3,FALSE()),HLOOKUP(D306,Correllate,VLOOKUP(G306,CorMove,2,FALSE()),FALSE()),Q306-$CD$3,R306,$CD$5)*H306-CJ306</f>
        <v>#NAME?</v>
      </c>
      <c r="CE306" s="253" t="e">
        <f aca="false">xSPRDOPT((VLOOKUP(G306,NGPREVPRICES,2,FALSE())+HLOOKUP(D306,PREVCURVES,VLOOKUP(G306,MOVE_DOWN2,2,FALSE()),FALSE())),VLOOKUP(G306,NGPREVPRICES,2,FALSE()),CK306,VLOOKUP(G306,NGPrices,4,FALSE()),HLOOKUP(D306,PREVVOLS,VLOOKUP(G306,MOVE_DOWN2,2,FALSE()),FALSE()),VLOOKUP(G306,NGPREVPRICES,3,FALSE()),HLOOKUP(D306,Correllate,VLOOKUP(G306,CorMove,2,FALSE()),FALSE()),Q306-$CD$3,R306,$CJ$5)*H306-CJ306</f>
        <v>#NAME?</v>
      </c>
      <c r="CF306" s="132" t="e">
        <f aca="false">(CJ306/VLOOKUP(CC306,discount,3,FALSE()))-(CJ306/VLOOKUP(CC306,discount,2,FALSE()))</f>
        <v>#NAME?</v>
      </c>
      <c r="CG306" s="253" t="e">
        <f aca="false">xSPRDOPT((VLOOKUP(G306,NGPREVPRICES,2,FALSE())+HLOOKUP(D306,PREVCURVES,VLOOKUP(G306,MOVE_DOWN2,2,FALSE()),FALSE())),VLOOKUP(G306,NGPREVPRICES,2,FALSE()),CK306,VLOOKUP(G306,NGPREVPRICES,4,FALSE()),HLOOKUP(D306,VOLS,VLOOKUP(G306,move_down,2,FALSE()),FALSE()),VLOOKUP(G306,NGPrices,3,FALSE()),HLOOKUP(D306,Correllate,VLOOKUP(G306,CorMove,2,FALSE()),FALSE()),Q306-$CD$3,R306,$CJ$5)*H306-CJ306</f>
        <v>#NAME?</v>
      </c>
      <c r="CH306" s="253" t="e">
        <f aca="false">xSPRDOPT((VLOOKUP(G306,NGPREVPRICES,2,FALSE())+HLOOKUP(D306,PREVCURVES,VLOOKUP(G306,MOVE_DOWN2,2,FALSE()),FALSE())),VLOOKUP(G306,NGPREVPRICES,2,FALSE()),CK306,VLOOKUP(G306,NGPREVPRICES,4,FALSE()),HLOOKUP(D306,PREVVOLS,VLOOKUP(G306,MOVE_DOWN2,2,FALSE()),FALSE()),VLOOKUP(G306,NGPREVPRICES,3,FALSE()),HLOOKUP(D306,Correllate,VLOOKUP(G306,CorMove,2,FALSE()),FALSE()),Q306-$C$3,R306,$CJ$5)*H306-CJ306</f>
        <v>#NAME?</v>
      </c>
      <c r="CI306" s="253" t="e">
        <f aca="false">SUM(CD306:CH306)</f>
        <v>#NAME?</v>
      </c>
      <c r="CJ306" s="253" t="e">
        <f aca="false">xSPRDOPT((VLOOKUP(G306,NGPREVPRICES,2,FALSE())+HLOOKUP(D306,PREVCURVES,VLOOKUP(G306,MOVE_DOWN2,2,FALSE()),FALSE())),VLOOKUP(G306,NGPREVPRICES,2,FALSE()),CK306,VLOOKUP(G306,NGPREVPRICES,4,FALSE()),HLOOKUP(D306,PREVVOLS,VLOOKUP(G306,MOVE_DOWN2,2,FALSE()),FALSE()),VLOOKUP(G306,NGPREVPRICES,3,FALSE()),HLOOKUP(D306,Correllate,VLOOKUP(G306,CorMove,2,FALSE()),FALSE()),Q306-$CD$3,R306,$CJ$5)*H306</f>
        <v>#NAME?</v>
      </c>
      <c r="CK306" s="254" t="n">
        <f aca="false">I306</f>
        <v>1.75</v>
      </c>
      <c r="CM306" s="0" t="str">
        <f aca="false">CONCATENATE(CC306,$CD$6)</f>
        <v>36951Curve Shift/Gamma</v>
      </c>
      <c r="CN306" s="0" t="str">
        <f aca="false">CONCATENATE($CC306,$CE$6)</f>
        <v>36951Rho</v>
      </c>
      <c r="CO306" s="0" t="str">
        <f aca="false">CONCATENATE($CC306,$CF$6)</f>
        <v>36951Drift</v>
      </c>
      <c r="CP306" s="0" t="str">
        <f aca="false">CONCATENATE($CC306,$CG$6)</f>
        <v>36951Vega</v>
      </c>
      <c r="CQ306" s="0" t="str">
        <f aca="false">CONCATENATE($CC306,$CH$6)</f>
        <v>36951Theta</v>
      </c>
    </row>
    <row r="307" customFormat="false" ht="12.75" hidden="false" customHeight="false" outlineLevel="0" collapsed="false">
      <c r="A307" s="265" t="s">
        <v>212</v>
      </c>
      <c r="B307" s="0" t="s">
        <v>192</v>
      </c>
      <c r="C307" s="0" t="s">
        <v>307</v>
      </c>
      <c r="D307" s="7" t="s">
        <v>149</v>
      </c>
      <c r="E307" s="0" t="s">
        <v>131</v>
      </c>
      <c r="F307" s="0" t="s">
        <v>136</v>
      </c>
      <c r="G307" s="92" t="n">
        <v>36923</v>
      </c>
      <c r="H307" s="248" t="n">
        <v>-280000</v>
      </c>
      <c r="I307" s="0" t="n">
        <v>1.75</v>
      </c>
      <c r="J307" s="124" t="n">
        <f aca="false">VLOOKUP(G307,NGPrices,2,FALSE())</f>
        <v>4.48</v>
      </c>
      <c r="K307" s="125" t="n">
        <f aca="false">HLOOKUP(D307,Prices,VLOOKUP(G307,move_down,2,FALSE()),FALSE())+VLOOKUP(G307,CHANGE,HLOOKUP(D307,CHANGE,2,FALSE()),FALSE())</f>
        <v>2.09</v>
      </c>
      <c r="L307" s="124" t="n">
        <f aca="false">K307+J307</f>
        <v>6.57</v>
      </c>
      <c r="M307" s="126" t="n">
        <f aca="false">VLOOKUP(G307,NGPrices,4,FALSE())</f>
        <v>0.068640161611372</v>
      </c>
      <c r="N307" s="7" t="n">
        <f aca="false">VLOOKUP(G307,NGPrices,3,FALSE())</f>
        <v>0.5925</v>
      </c>
      <c r="O307" s="7" t="n">
        <f aca="false">HLOOKUP(D307,VOLS,VLOOKUP(G307,move_down,2,FALSE()),FALSE())</f>
        <v>0.681</v>
      </c>
      <c r="P307" s="249" t="n">
        <f aca="false">HLOOKUP(D307,Correllate,VLOOKUP(G307,CorMove,2,FALSE()),FALSE())</f>
        <v>0.83</v>
      </c>
      <c r="Q307" s="92" t="n">
        <f aca="false">WORKDAY(G307,-2)</f>
        <v>36921</v>
      </c>
      <c r="R307" s="7" t="n">
        <f aca="false">IF(F307="P",0,1)</f>
        <v>1</v>
      </c>
      <c r="S307" s="130" t="e">
        <f aca="false">xSPRDOPT($L307,$J307,$I307,$M307,$O307,$N307,$P307,$Q307-$C$3,$R307,0)</f>
        <v>#NAME?</v>
      </c>
      <c r="T307" s="250" t="e">
        <f aca="false">xSPRDOPT($L307,$J307,$I307,$M307,$O307,$N307,$P307,$Q307-$C$3,$R307,1)*H307</f>
        <v>#NAME?</v>
      </c>
      <c r="U307" s="43" t="e">
        <f aca="false">S307*H307</f>
        <v>#NAME?</v>
      </c>
      <c r="V307" s="250" t="e">
        <f aca="false">xSPRDOPT($L307,$J307,$I307,$M307,$O307,$N307,$P307,$Q307-$C$3,$R307,2)*H307</f>
        <v>#NAME?</v>
      </c>
      <c r="W307" s="250" t="e">
        <f aca="false">+V307+T307</f>
        <v>#NAME?</v>
      </c>
      <c r="X307" s="2" t="str">
        <f aca="false">CONCATENATE(G307,D307)</f>
        <v>36923IF-TRANSCO/Z6</v>
      </c>
      <c r="Y307" s="251" t="n">
        <f aca="false">H307/10000</f>
        <v>-28</v>
      </c>
      <c r="Z307" s="226" t="e">
        <f aca="false">T307/H307</f>
        <v>#NAME?</v>
      </c>
      <c r="AA307" s="226" t="e">
        <f aca="false">xSPRDOPT($L307,$J307,$I307,$M307,$O307,$N307,$P307,$Q307-$C$3,$R307,3)</f>
        <v>#NAME?</v>
      </c>
      <c r="AB307" s="226" t="e">
        <f aca="false">((xSPRDOPT($L307+AB$5,$J307,$I307,$M307,$O307,$N307,$P307,$Q307-$C$3,$R307,3)*$H307)/10000)/100</f>
        <v>#NAME?</v>
      </c>
      <c r="AC307" s="226" t="e">
        <f aca="false">((xSPRDOPT($L307+$AB$5,$J307,$I307,$M307,$O307,$N307,$P307,$Q307-$C$3,$R307,7)*$H307)/100)</f>
        <v>#NAME?</v>
      </c>
      <c r="AD307" s="226" t="e">
        <f aca="false">(xSPRDOPT($L307+$AB$5,$J307,$I307,$M307,$O307,$N307,$P307,$Q307-$C$3,$R307,9)/365)*$H307</f>
        <v>#NAME?</v>
      </c>
      <c r="AE307" s="0" t="e">
        <f aca="false">CD307</f>
        <v>#NAME?</v>
      </c>
      <c r="AF307" s="226" t="e">
        <f aca="false">((O307/N307)*AH307)+AG307</f>
        <v>#NAME?</v>
      </c>
      <c r="AG307" s="226" t="e">
        <f aca="false">((xSPRDOPT($L307,$J307,$I307,$M307,$O307,$N307,$P307,$Q307-$C$3,$R307,6)*$H307)/100)</f>
        <v>#NAME?</v>
      </c>
      <c r="AH307" s="226" t="e">
        <f aca="false">((xSPRDOPT($L307,$J307,$I307,$M307,$O307,$N307,$P307,$Q307-$C$3,$R307,5)*$H307)/100)</f>
        <v>#NAME?</v>
      </c>
      <c r="AI307" s="226" t="e">
        <f aca="false">(((xSPRDOPT($L307,$J307,$I307,$M307,$O307,$N307,$P307,$Q307-$C$3,$R307,4)*$H307)/10000)/100)-AB307</f>
        <v>#NAME?</v>
      </c>
      <c r="AJ307" s="226"/>
      <c r="AK307" s="226"/>
      <c r="AL307" s="226"/>
      <c r="AM307" s="252"/>
      <c r="CC307" s="182" t="n">
        <f aca="false">G307</f>
        <v>36923</v>
      </c>
      <c r="CD307" s="253" t="e">
        <f aca="false">xSPRDOPT((VLOOKUP(G307,NGPrices,2,FALSE())+HLOOKUP(D307,Prices,VLOOKUP(G307,move_down,2,FALSE()),FALSE())),VLOOKUP(G307,NGPrices,2,FALSE()),I307,VLOOKUP(G307,NGPREVPRICES,4,FALSE()),HLOOKUP(D307,PREVVOLS,VLOOKUP(G307,MOVE_DOWN2,2,FALSE()),FALSE()),VLOOKUP(G307,NGPREVPRICES,3,FALSE()),HLOOKUP(D307,Correllate,VLOOKUP(G307,CorMove,2,FALSE()),FALSE()),Q307-$CD$3,R307,$CD$5)*H307-CJ307</f>
        <v>#NAME?</v>
      </c>
      <c r="CE307" s="253" t="e">
        <f aca="false">xSPRDOPT((VLOOKUP(G307,NGPREVPRICES,2,FALSE())+HLOOKUP(D307,PREVCURVES,VLOOKUP(G307,MOVE_DOWN2,2,FALSE()),FALSE())),VLOOKUP(G307,NGPREVPRICES,2,FALSE()),CK307,VLOOKUP(G307,NGPrices,4,FALSE()),HLOOKUP(D307,PREVVOLS,VLOOKUP(G307,MOVE_DOWN2,2,FALSE()),FALSE()),VLOOKUP(G307,NGPREVPRICES,3,FALSE()),HLOOKUP(D307,Correllate,VLOOKUP(G307,CorMove,2,FALSE()),FALSE()),Q307-$CD$3,R307,$CJ$5)*H307-CJ307</f>
        <v>#NAME?</v>
      </c>
      <c r="CF307" s="132" t="e">
        <f aca="false">(CJ307/VLOOKUP(CC307,discount,3,FALSE()))-(CJ307/VLOOKUP(CC307,discount,2,FALSE()))</f>
        <v>#NAME?</v>
      </c>
      <c r="CG307" s="253" t="e">
        <f aca="false">xSPRDOPT((VLOOKUP(G307,NGPREVPRICES,2,FALSE())+HLOOKUP(D307,PREVCURVES,VLOOKUP(G307,MOVE_DOWN2,2,FALSE()),FALSE())),VLOOKUP(G307,NGPREVPRICES,2,FALSE()),CK307,VLOOKUP(G307,NGPREVPRICES,4,FALSE()),HLOOKUP(D307,VOLS,VLOOKUP(G307,move_down,2,FALSE()),FALSE()),VLOOKUP(G307,NGPrices,3,FALSE()),HLOOKUP(D307,Correllate,VLOOKUP(G307,CorMove,2,FALSE()),FALSE()),Q307-$CD$3,R307,$CJ$5)*H307-CJ307</f>
        <v>#NAME?</v>
      </c>
      <c r="CH307" s="253" t="e">
        <f aca="false">xSPRDOPT((VLOOKUP(G307,NGPREVPRICES,2,FALSE())+HLOOKUP(D307,PREVCURVES,VLOOKUP(G307,MOVE_DOWN2,2,FALSE()),FALSE())),VLOOKUP(G307,NGPREVPRICES,2,FALSE()),CK307,VLOOKUP(G307,NGPREVPRICES,4,FALSE()),HLOOKUP(D307,PREVVOLS,VLOOKUP(G307,MOVE_DOWN2,2,FALSE()),FALSE()),VLOOKUP(G307,NGPREVPRICES,3,FALSE()),HLOOKUP(D307,Correllate,VLOOKUP(G307,CorMove,2,FALSE()),FALSE()),Q307-$C$3,R307,$CJ$5)*H307-CJ307</f>
        <v>#NAME?</v>
      </c>
      <c r="CI307" s="253" t="e">
        <f aca="false">SUM(CD307:CH307)</f>
        <v>#NAME?</v>
      </c>
      <c r="CJ307" s="253" t="e">
        <f aca="false">xSPRDOPT((VLOOKUP(G307,NGPREVPRICES,2,FALSE())+HLOOKUP(D307,PREVCURVES,VLOOKUP(G307,MOVE_DOWN2,2,FALSE()),FALSE())),VLOOKUP(G307,NGPREVPRICES,2,FALSE()),CK307,VLOOKUP(G307,NGPREVPRICES,4,FALSE()),HLOOKUP(D307,PREVVOLS,VLOOKUP(G307,MOVE_DOWN2,2,FALSE()),FALSE()),VLOOKUP(G307,NGPREVPRICES,3,FALSE()),HLOOKUP(D307,Correllate,VLOOKUP(G307,CorMove,2,FALSE()),FALSE()),Q307-$CD$3,R307,$CJ$5)*H307</f>
        <v>#NAME?</v>
      </c>
      <c r="CK307" s="254" t="n">
        <f aca="false">I307</f>
        <v>1.75</v>
      </c>
      <c r="CM307" s="0" t="str">
        <f aca="false">CONCATENATE(CC307,$CD$6)</f>
        <v>36923Curve Shift/Gamma</v>
      </c>
      <c r="CN307" s="0" t="str">
        <f aca="false">CONCATENATE($CC307,$CE$6)</f>
        <v>36923Rho</v>
      </c>
      <c r="CO307" s="0" t="str">
        <f aca="false">CONCATENATE($CC307,$CF$6)</f>
        <v>36923Drift</v>
      </c>
      <c r="CP307" s="0" t="str">
        <f aca="false">CONCATENATE($CC307,$CG$6)</f>
        <v>36923Vega</v>
      </c>
      <c r="CQ307" s="0" t="str">
        <f aca="false">CONCATENATE($CC307,$CH$6)</f>
        <v>36923Theta</v>
      </c>
    </row>
    <row r="308" customFormat="false" ht="12.75" hidden="false" customHeight="false" outlineLevel="0" collapsed="false">
      <c r="A308" s="265" t="s">
        <v>212</v>
      </c>
      <c r="B308" s="0" t="s">
        <v>192</v>
      </c>
      <c r="C308" s="0" t="s">
        <v>307</v>
      </c>
      <c r="D308" s="7" t="s">
        <v>149</v>
      </c>
      <c r="E308" s="0" t="s">
        <v>131</v>
      </c>
      <c r="F308" s="0" t="s">
        <v>136</v>
      </c>
      <c r="G308" s="92" t="n">
        <v>36892</v>
      </c>
      <c r="H308" s="248" t="n">
        <v>-310000</v>
      </c>
      <c r="I308" s="0" t="n">
        <v>1.75</v>
      </c>
      <c r="J308" s="124" t="n">
        <f aca="false">VLOOKUP(G308,NGPrices,2,FALSE())</f>
        <v>4.744</v>
      </c>
      <c r="K308" s="125" t="n">
        <f aca="false">HLOOKUP(D308,Prices,VLOOKUP(G308,move_down,2,FALSE()),FALSE())+VLOOKUP(G308,CHANGE,HLOOKUP(D308,CHANGE,2,FALSE()),FALSE())</f>
        <v>2.17</v>
      </c>
      <c r="L308" s="124" t="n">
        <f aca="false">K308+J308</f>
        <v>6.914</v>
      </c>
      <c r="M308" s="126" t="n">
        <f aca="false">VLOOKUP(G308,NGPrices,4,FALSE())</f>
        <v>0.068374831148491</v>
      </c>
      <c r="N308" s="7" t="n">
        <f aca="false">VLOOKUP(G308,NGPrices,3,FALSE())</f>
        <v>0.605</v>
      </c>
      <c r="O308" s="7" t="n">
        <f aca="false">HLOOKUP(D308,VOLS,VLOOKUP(G308,move_down,2,FALSE()),FALSE())</f>
        <v>0.696</v>
      </c>
      <c r="P308" s="249" t="n">
        <f aca="false">HLOOKUP(D308,Correllate,VLOOKUP(G308,CorMove,2,FALSE()),FALSE())</f>
        <v>0.83</v>
      </c>
      <c r="Q308" s="92" t="n">
        <f aca="false">WORKDAY(G308,-2)</f>
        <v>36888</v>
      </c>
      <c r="R308" s="7" t="n">
        <f aca="false">IF(F308="P",0,1)</f>
        <v>1</v>
      </c>
      <c r="S308" s="130" t="e">
        <f aca="false">xSPRDOPT($L308,$J308,$I308,$M308,$O308,$N308,$P308,$Q308-$C$3,$R308,0)</f>
        <v>#NAME?</v>
      </c>
      <c r="T308" s="250" t="e">
        <f aca="false">xSPRDOPT($L308,$J308,$I308,$M308,$O308,$N308,$P308,$Q308-$C$3,$R308,1)*H308</f>
        <v>#NAME?</v>
      </c>
      <c r="U308" s="43" t="e">
        <f aca="false">S308*H308</f>
        <v>#NAME?</v>
      </c>
      <c r="V308" s="250" t="e">
        <f aca="false">xSPRDOPT($L308,$J308,$I308,$M308,$O308,$N308,$P308,$Q308-$C$3,$R308,2)*H308</f>
        <v>#NAME?</v>
      </c>
      <c r="W308" s="250" t="e">
        <f aca="false">+V308+T308</f>
        <v>#NAME?</v>
      </c>
      <c r="X308" s="2" t="str">
        <f aca="false">CONCATENATE(G308,D308)</f>
        <v>36892IF-TRANSCO/Z6</v>
      </c>
      <c r="Y308" s="251" t="n">
        <f aca="false">H308/10000</f>
        <v>-31</v>
      </c>
      <c r="Z308" s="226" t="e">
        <f aca="false">T308/H308</f>
        <v>#NAME?</v>
      </c>
      <c r="AA308" s="226" t="e">
        <f aca="false">xSPRDOPT($L308,$J308,$I308,$M308,$O308,$N308,$P308,$Q308-$C$3,$R308,3)</f>
        <v>#NAME?</v>
      </c>
      <c r="AB308" s="226" t="e">
        <f aca="false">((xSPRDOPT($L308+AB$5,$J308,$I308,$M308,$O308,$N308,$P308,$Q308-$C$3,$R308,3)*$H308)/10000)/100</f>
        <v>#NAME?</v>
      </c>
      <c r="AC308" s="226" t="e">
        <f aca="false">((xSPRDOPT($L308+$AB$5,$J308,$I308,$M308,$O308,$N308,$P308,$Q308-$C$3,$R308,7)*$H308)/100)</f>
        <v>#NAME?</v>
      </c>
      <c r="AD308" s="226" t="e">
        <f aca="false">(xSPRDOPT($L308+$AB$5,$J308,$I308,$M308,$O308,$N308,$P308,$Q308-$C$3,$R308,9)/365)*$H308</f>
        <v>#NAME?</v>
      </c>
      <c r="AE308" s="0" t="e">
        <f aca="false">CD308</f>
        <v>#NAME?</v>
      </c>
      <c r="AF308" s="226" t="e">
        <f aca="false">((O308/N308)*AH308)+AG308</f>
        <v>#NAME?</v>
      </c>
      <c r="AG308" s="226" t="e">
        <f aca="false">((xSPRDOPT($L308,$J308,$I308,$M308,$O308,$N308,$P308,$Q308-$C$3,$R308,6)*$H308)/100)</f>
        <v>#NAME?</v>
      </c>
      <c r="AH308" s="226" t="e">
        <f aca="false">((xSPRDOPT($L308,$J308,$I308,$M308,$O308,$N308,$P308,$Q308-$C$3,$R308,5)*$H308)/100)</f>
        <v>#NAME?</v>
      </c>
      <c r="AI308" s="226" t="e">
        <f aca="false">(((xSPRDOPT($L308,$J308,$I308,$M308,$O308,$N308,$P308,$Q308-$C$3,$R308,4)*$H308)/10000)/100)-AB308</f>
        <v>#NAME?</v>
      </c>
      <c r="AJ308" s="226"/>
      <c r="AK308" s="226"/>
      <c r="AL308" s="226"/>
      <c r="AM308" s="252"/>
      <c r="CC308" s="182" t="n">
        <f aca="false">G308</f>
        <v>36892</v>
      </c>
      <c r="CD308" s="253" t="e">
        <f aca="false">xSPRDOPT((VLOOKUP(G308,NGPrices,2,FALSE())+HLOOKUP(D308,Prices,VLOOKUP(G308,move_down,2,FALSE()),FALSE())),VLOOKUP(G308,NGPrices,2,FALSE()),I308,VLOOKUP(G308,NGPREVPRICES,4,FALSE()),HLOOKUP(D308,PREVVOLS,VLOOKUP(G308,MOVE_DOWN2,2,FALSE()),FALSE()),VLOOKUP(G308,NGPREVPRICES,3,FALSE()),HLOOKUP(D308,Correllate,VLOOKUP(G308,CorMove,2,FALSE()),FALSE()),Q308-$CD$3,R308,$CD$5)*H308-CJ308</f>
        <v>#NAME?</v>
      </c>
      <c r="CE308" s="253" t="e">
        <f aca="false">xSPRDOPT((VLOOKUP(G308,NGPREVPRICES,2,FALSE())+HLOOKUP(D308,PREVCURVES,VLOOKUP(G308,MOVE_DOWN2,2,FALSE()),FALSE())),VLOOKUP(G308,NGPREVPRICES,2,FALSE()),CK308,VLOOKUP(G308,NGPrices,4,FALSE()),HLOOKUP(D308,PREVVOLS,VLOOKUP(G308,MOVE_DOWN2,2,FALSE()),FALSE()),VLOOKUP(G308,NGPREVPRICES,3,FALSE()),HLOOKUP(D308,Correllate,VLOOKUP(G308,CorMove,2,FALSE()),FALSE()),Q308-$CD$3,R308,$CJ$5)*H308-CJ308</f>
        <v>#NAME?</v>
      </c>
      <c r="CF308" s="132" t="e">
        <f aca="false">(CJ308/VLOOKUP(CC308,discount,3,FALSE()))-(CJ308/VLOOKUP(CC308,discount,2,FALSE()))</f>
        <v>#NAME?</v>
      </c>
      <c r="CG308" s="253" t="e">
        <f aca="false">xSPRDOPT((VLOOKUP(G308,NGPREVPRICES,2,FALSE())+HLOOKUP(D308,PREVCURVES,VLOOKUP(G308,MOVE_DOWN2,2,FALSE()),FALSE())),VLOOKUP(G308,NGPREVPRICES,2,FALSE()),CK308,VLOOKUP(G308,NGPREVPRICES,4,FALSE()),HLOOKUP(D308,VOLS,VLOOKUP(G308,move_down,2,FALSE()),FALSE()),VLOOKUP(G308,NGPrices,3,FALSE()),HLOOKUP(D308,Correllate,VLOOKUP(G308,CorMove,2,FALSE()),FALSE()),Q308-$CD$3,R308,$CJ$5)*H308-CJ308</f>
        <v>#NAME?</v>
      </c>
      <c r="CH308" s="253" t="e">
        <f aca="false">xSPRDOPT((VLOOKUP(G308,NGPREVPRICES,2,FALSE())+HLOOKUP(D308,PREVCURVES,VLOOKUP(G308,MOVE_DOWN2,2,FALSE()),FALSE())),VLOOKUP(G308,NGPREVPRICES,2,FALSE()),CK308,VLOOKUP(G308,NGPREVPRICES,4,FALSE()),HLOOKUP(D308,PREVVOLS,VLOOKUP(G308,MOVE_DOWN2,2,FALSE()),FALSE()),VLOOKUP(G308,NGPREVPRICES,3,FALSE()),HLOOKUP(D308,Correllate,VLOOKUP(G308,CorMove,2,FALSE()),FALSE()),Q308-$C$3,R308,$CJ$5)*H308-CJ308</f>
        <v>#NAME?</v>
      </c>
      <c r="CI308" s="253" t="e">
        <f aca="false">SUM(CD308:CH308)</f>
        <v>#NAME?</v>
      </c>
      <c r="CJ308" s="253" t="e">
        <f aca="false">xSPRDOPT((VLOOKUP(G308,NGPREVPRICES,2,FALSE())+HLOOKUP(D308,PREVCURVES,VLOOKUP(G308,MOVE_DOWN2,2,FALSE()),FALSE())),VLOOKUP(G308,NGPREVPRICES,2,FALSE()),CK308,VLOOKUP(G308,NGPREVPRICES,4,FALSE()),HLOOKUP(D308,PREVVOLS,VLOOKUP(G308,MOVE_DOWN2,2,FALSE()),FALSE()),VLOOKUP(G308,NGPREVPRICES,3,FALSE()),HLOOKUP(D308,Correllate,VLOOKUP(G308,CorMove,2,FALSE()),FALSE()),Q308-$CD$3,R308,$CJ$5)*H308</f>
        <v>#NAME?</v>
      </c>
      <c r="CK308" s="254" t="n">
        <f aca="false">I308</f>
        <v>1.75</v>
      </c>
      <c r="CM308" s="0" t="str">
        <f aca="false">CONCATENATE(CC308,$CD$6)</f>
        <v>36892Curve Shift/Gamma</v>
      </c>
      <c r="CN308" s="0" t="str">
        <f aca="false">CONCATENATE($CC308,$CE$6)</f>
        <v>36892Rho</v>
      </c>
      <c r="CO308" s="0" t="str">
        <f aca="false">CONCATENATE($CC308,$CF$6)</f>
        <v>36892Drift</v>
      </c>
      <c r="CP308" s="0" t="str">
        <f aca="false">CONCATENATE($CC308,$CG$6)</f>
        <v>36892Vega</v>
      </c>
      <c r="CQ308" s="0" t="str">
        <f aca="false">CONCATENATE($CC308,$CH$6)</f>
        <v>36892Theta</v>
      </c>
    </row>
    <row r="309" customFormat="false" ht="12.75" hidden="false" customHeight="false" outlineLevel="0" collapsed="false">
      <c r="A309" s="265" t="s">
        <v>212</v>
      </c>
      <c r="B309" s="0" t="s">
        <v>192</v>
      </c>
      <c r="C309" s="0" t="s">
        <v>307</v>
      </c>
      <c r="D309" s="7" t="s">
        <v>149</v>
      </c>
      <c r="E309" s="0" t="s">
        <v>131</v>
      </c>
      <c r="F309" s="0" t="s">
        <v>136</v>
      </c>
      <c r="G309" s="92" t="n">
        <v>36861</v>
      </c>
      <c r="H309" s="248" t="n">
        <v>-310000</v>
      </c>
      <c r="I309" s="0" t="n">
        <v>1.75</v>
      </c>
      <c r="J309" s="124" t="n">
        <f aca="false">VLOOKUP(G309,NGPrices,2,FALSE())</f>
        <v>4.8</v>
      </c>
      <c r="K309" s="125" t="n">
        <f aca="false">HLOOKUP(D309,Prices,VLOOKUP(G309,move_down,2,FALSE()),FALSE())+VLOOKUP(G309,CHANGE,HLOOKUP(D309,CHANGE,2,FALSE()),FALSE())</f>
        <v>1.645</v>
      </c>
      <c r="L309" s="124" t="n">
        <f aca="false">K309+J309</f>
        <v>6.445</v>
      </c>
      <c r="M309" s="126" t="n">
        <f aca="false">VLOOKUP(G309,NGPrices,4,FALSE())</f>
        <v>0.068314027999354</v>
      </c>
      <c r="N309" s="7" t="n">
        <f aca="false">VLOOKUP(G309,NGPrices,3,FALSE())</f>
        <v>0.6</v>
      </c>
      <c r="O309" s="7" t="n">
        <f aca="false">HLOOKUP(D309,VOLS,VLOOKUP(G309,move_down,2,FALSE()),FALSE())</f>
        <v>0.69</v>
      </c>
      <c r="P309" s="249" t="n">
        <f aca="false">HLOOKUP(D309,Correllate,VLOOKUP(G309,CorMove,2,FALSE()),FALSE())</f>
        <v>0.83</v>
      </c>
      <c r="Q309" s="92" t="n">
        <f aca="false">WORKDAY(G309,-2)</f>
        <v>36859</v>
      </c>
      <c r="R309" s="7" t="n">
        <f aca="false">IF(F309="P",0,1)</f>
        <v>1</v>
      </c>
      <c r="S309" s="130" t="e">
        <f aca="false">xSPRDOPT($L309,$J309,$I309,$M309,$O309,$N309,$P309,$Q309-$C$3,$R309,0)</f>
        <v>#NAME?</v>
      </c>
      <c r="T309" s="250" t="e">
        <f aca="false">xSPRDOPT($L309,$J309,$I309,$M309,$O309,$N309,$P309,$Q309-$C$3,$R309,1)*H309</f>
        <v>#NAME?</v>
      </c>
      <c r="U309" s="43" t="e">
        <f aca="false">S309*H309</f>
        <v>#NAME?</v>
      </c>
      <c r="V309" s="250" t="e">
        <f aca="false">xSPRDOPT($L309,$J309,$I309,$M309,$O309,$N309,$P309,$Q309-$C$3,$R309,2)*H309</f>
        <v>#NAME?</v>
      </c>
      <c r="W309" s="250" t="e">
        <f aca="false">+V309+T309</f>
        <v>#NAME?</v>
      </c>
      <c r="X309" s="2" t="str">
        <f aca="false">CONCATENATE(G309,D309)</f>
        <v>36861IF-TRANSCO/Z6</v>
      </c>
      <c r="Y309" s="251" t="n">
        <f aca="false">H309/10000</f>
        <v>-31</v>
      </c>
      <c r="Z309" s="226" t="e">
        <f aca="false">T309/H309</f>
        <v>#NAME?</v>
      </c>
      <c r="AA309" s="226" t="e">
        <f aca="false">xSPRDOPT($L309,$J309,$I309,$M309,$O309,$N309,$P309,$Q309-$C$3,$R309,3)</f>
        <v>#NAME?</v>
      </c>
      <c r="AB309" s="226" t="e">
        <f aca="false">((xSPRDOPT($L309+AB$5,$J309,$I309,$M309,$O309,$N309,$P309,$Q309-$C$3,$R309,3)*$H309)/10000)/100</f>
        <v>#NAME?</v>
      </c>
      <c r="AC309" s="226" t="e">
        <f aca="false">((xSPRDOPT($L309+$AB$5,$J309,$I309,$M309,$O309,$N309,$P309,$Q309-$C$3,$R309,7)*$H309)/100)</f>
        <v>#NAME?</v>
      </c>
      <c r="AD309" s="226" t="e">
        <f aca="false">(xSPRDOPT($L309+$AB$5,$J309,$I309,$M309,$O309,$N309,$P309,$Q309-$C$3,$R309,9)/365)*$H309</f>
        <v>#NAME?</v>
      </c>
      <c r="AE309" s="0" t="e">
        <f aca="false">CD309</f>
        <v>#NAME?</v>
      </c>
      <c r="AF309" s="226" t="e">
        <f aca="false">((O309/N309)*AH309)+AG309</f>
        <v>#NAME?</v>
      </c>
      <c r="AG309" s="226" t="e">
        <f aca="false">((xSPRDOPT($L309,$J309,$I309,$M309,$O309,$N309,$P309,$Q309-$C$3,$R309,6)*$H309)/100)</f>
        <v>#NAME?</v>
      </c>
      <c r="AH309" s="226" t="e">
        <f aca="false">((xSPRDOPT($L309,$J309,$I309,$M309,$O309,$N309,$P309,$Q309-$C$3,$R309,5)*$H309)/100)</f>
        <v>#NAME?</v>
      </c>
      <c r="AI309" s="226" t="e">
        <f aca="false">(((xSPRDOPT($L309,$J309,$I309,$M309,$O309,$N309,$P309,$Q309-$C$3,$R309,4)*$H309)/10000)/100)-AB309</f>
        <v>#NAME?</v>
      </c>
      <c r="AJ309" s="226"/>
      <c r="AK309" s="226"/>
      <c r="AL309" s="226"/>
      <c r="AM309" s="252"/>
      <c r="CC309" s="182" t="n">
        <f aca="false">G309</f>
        <v>36861</v>
      </c>
      <c r="CD309" s="253" t="e">
        <f aca="false">xSPRDOPT((VLOOKUP(G309,NGPrices,2,FALSE())+HLOOKUP(D309,Prices,VLOOKUP(G309,move_down,2,FALSE()),FALSE())),VLOOKUP(G309,NGPrices,2,FALSE()),I309,VLOOKUP(G309,NGPREVPRICES,4,FALSE()),HLOOKUP(D309,PREVVOLS,VLOOKUP(G309,MOVE_DOWN2,2,FALSE()),FALSE()),VLOOKUP(G309,NGPREVPRICES,3,FALSE()),HLOOKUP(D309,Correllate,VLOOKUP(G309,CorMove,2,FALSE()),FALSE()),Q309-$CD$3,R309,$CD$5)*H309-CJ309</f>
        <v>#NAME?</v>
      </c>
      <c r="CE309" s="253" t="e">
        <f aca="false">xSPRDOPT((VLOOKUP(G309,NGPREVPRICES,2,FALSE())+HLOOKUP(D309,PREVCURVES,VLOOKUP(G309,MOVE_DOWN2,2,FALSE()),FALSE())),VLOOKUP(G309,NGPREVPRICES,2,FALSE()),CK309,VLOOKUP(G309,NGPrices,4,FALSE()),HLOOKUP(D309,PREVVOLS,VLOOKUP(G309,MOVE_DOWN2,2,FALSE()),FALSE()),VLOOKUP(G309,NGPREVPRICES,3,FALSE()),HLOOKUP(D309,Correllate,VLOOKUP(G309,CorMove,2,FALSE()),FALSE()),Q309-$CD$3,R309,$CJ$5)*H309-CJ309</f>
        <v>#NAME?</v>
      </c>
      <c r="CF309" s="132" t="e">
        <f aca="false">(CJ309/VLOOKUP(CC309,discount,3,FALSE()))-(CJ309/VLOOKUP(CC309,discount,2,FALSE()))</f>
        <v>#NAME?</v>
      </c>
      <c r="CG309" s="253" t="e">
        <f aca="false">xSPRDOPT((VLOOKUP(G309,NGPREVPRICES,2,FALSE())+HLOOKUP(D309,PREVCURVES,VLOOKUP(G309,MOVE_DOWN2,2,FALSE()),FALSE())),VLOOKUP(G309,NGPREVPRICES,2,FALSE()),CK309,VLOOKUP(G309,NGPREVPRICES,4,FALSE()),HLOOKUP(D309,VOLS,VLOOKUP(G309,move_down,2,FALSE()),FALSE()),VLOOKUP(G309,NGPrices,3,FALSE()),HLOOKUP(D309,Correllate,VLOOKUP(G309,CorMove,2,FALSE()),FALSE()),Q309-$CD$3,R309,$CJ$5)*H309-CJ309</f>
        <v>#NAME?</v>
      </c>
      <c r="CH309" s="253" t="e">
        <f aca="false">xSPRDOPT((VLOOKUP(G309,NGPREVPRICES,2,FALSE())+HLOOKUP(D309,PREVCURVES,VLOOKUP(G309,MOVE_DOWN2,2,FALSE()),FALSE())),VLOOKUP(G309,NGPREVPRICES,2,FALSE()),CK309,VLOOKUP(G309,NGPREVPRICES,4,FALSE()),HLOOKUP(D309,PREVVOLS,VLOOKUP(G309,MOVE_DOWN2,2,FALSE()),FALSE()),VLOOKUP(G309,NGPREVPRICES,3,FALSE()),HLOOKUP(D309,Correllate,VLOOKUP(G309,CorMove,2,FALSE()),FALSE()),Q309-$C$3,R309,$CJ$5)*H309-CJ309</f>
        <v>#NAME?</v>
      </c>
      <c r="CI309" s="253" t="e">
        <f aca="false">SUM(CD309:CH309)</f>
        <v>#NAME?</v>
      </c>
      <c r="CJ309" s="253" t="e">
        <f aca="false">xSPRDOPT((VLOOKUP(G309,NGPREVPRICES,2,FALSE())+HLOOKUP(D309,PREVCURVES,VLOOKUP(G309,MOVE_DOWN2,2,FALSE()),FALSE())),VLOOKUP(G309,NGPREVPRICES,2,FALSE()),CK309,VLOOKUP(G309,NGPREVPRICES,4,FALSE()),HLOOKUP(D309,PREVVOLS,VLOOKUP(G309,MOVE_DOWN2,2,FALSE()),FALSE()),VLOOKUP(G309,NGPREVPRICES,3,FALSE()),HLOOKUP(D309,Correllate,VLOOKUP(G309,CorMove,2,FALSE()),FALSE()),Q309-$CD$3,R309,$CJ$5)*H309</f>
        <v>#NAME?</v>
      </c>
      <c r="CK309" s="254" t="n">
        <f aca="false">I309</f>
        <v>1.75</v>
      </c>
      <c r="CM309" s="0" t="str">
        <f aca="false">CONCATENATE(CC309,$CD$6)</f>
        <v>36861Curve Shift/Gamma</v>
      </c>
      <c r="CN309" s="0" t="str">
        <f aca="false">CONCATENATE($CC309,$CE$6)</f>
        <v>36861Rho</v>
      </c>
      <c r="CO309" s="0" t="str">
        <f aca="false">CONCATENATE($CC309,$CF$6)</f>
        <v>36861Drift</v>
      </c>
      <c r="CP309" s="0" t="str">
        <f aca="false">CONCATENATE($CC309,$CG$6)</f>
        <v>36861Vega</v>
      </c>
      <c r="CQ309" s="0" t="str">
        <f aca="false">CONCATENATE($CC309,$CH$6)</f>
        <v>36861Theta</v>
      </c>
    </row>
    <row r="310" customFormat="false" ht="12.75" hidden="false" customHeight="false" outlineLevel="0" collapsed="false">
      <c r="A310" s="265" t="s">
        <v>212</v>
      </c>
      <c r="B310" s="0" t="s">
        <v>192</v>
      </c>
      <c r="C310" s="0" t="s">
        <v>307</v>
      </c>
      <c r="D310" s="7" t="s">
        <v>149</v>
      </c>
      <c r="E310" s="0" t="s">
        <v>131</v>
      </c>
      <c r="F310" s="0" t="s">
        <v>136</v>
      </c>
      <c r="G310" s="92" t="n">
        <v>36831</v>
      </c>
      <c r="H310" s="248" t="n">
        <v>-300000</v>
      </c>
      <c r="I310" s="0" t="n">
        <v>1.75</v>
      </c>
      <c r="J310" s="124" t="n">
        <f aca="false">VLOOKUP(G310,NGPrices,2,FALSE())</f>
        <v>4.736</v>
      </c>
      <c r="K310" s="125" t="n">
        <f aca="false">HLOOKUP(D310,Prices,VLOOKUP(G310,move_down,2,FALSE()),FALSE())+VLOOKUP(G310,CHANGE,HLOOKUP(D310,CHANGE,2,FALSE()),FALSE())</f>
        <v>0.77</v>
      </c>
      <c r="L310" s="124" t="n">
        <f aca="false">K310+J310</f>
        <v>5.506</v>
      </c>
      <c r="M310" s="126" t="n">
        <f aca="false">VLOOKUP(G310,NGPrices,4,FALSE())</f>
        <v>0.06810675983792</v>
      </c>
      <c r="N310" s="7" t="n">
        <f aca="false">VLOOKUP(G310,NGPrices,3,FALSE())</f>
        <v>0.595</v>
      </c>
      <c r="O310" s="7" t="n">
        <f aca="false">HLOOKUP(D310,VOLS,VLOOKUP(G310,move_down,2,FALSE()),FALSE())</f>
        <v>0.625</v>
      </c>
      <c r="P310" s="249" t="n">
        <f aca="false">HLOOKUP(D310,Correllate,VLOOKUP(G310,CorMove,2,FALSE()),FALSE())</f>
        <v>0.89</v>
      </c>
      <c r="Q310" s="92" t="n">
        <f aca="false">WORKDAY(G310,-2)</f>
        <v>36829</v>
      </c>
      <c r="R310" s="7" t="n">
        <f aca="false">IF(F310="P",0,1)</f>
        <v>1</v>
      </c>
      <c r="S310" s="130" t="e">
        <f aca="false">xSPRDOPT($L310,$J310,$I310,$M310,$O310,$N310,$P310,$Q310-$C$3,$R310,0)</f>
        <v>#NAME?</v>
      </c>
      <c r="T310" s="250" t="e">
        <f aca="false">xSPRDOPT($L310,$J310,$I310,$M310,$O310,$N310,$P310,$Q310-$C$3,$R310,1)*H310</f>
        <v>#NAME?</v>
      </c>
      <c r="U310" s="43" t="e">
        <f aca="false">S310*H310</f>
        <v>#NAME?</v>
      </c>
      <c r="V310" s="250" t="e">
        <f aca="false">xSPRDOPT($L310,$J310,$I310,$M310,$O310,$N310,$P310,$Q310-$C$3,$R310,2)*H310</f>
        <v>#NAME?</v>
      </c>
      <c r="W310" s="250" t="e">
        <f aca="false">+V310+T310</f>
        <v>#NAME?</v>
      </c>
      <c r="X310" s="2" t="str">
        <f aca="false">CONCATENATE(G310,D310)</f>
        <v>36831IF-TRANSCO/Z6</v>
      </c>
      <c r="Y310" s="251" t="n">
        <f aca="false">H310/10000</f>
        <v>-30</v>
      </c>
      <c r="Z310" s="226" t="e">
        <f aca="false">T310/H310</f>
        <v>#NAME?</v>
      </c>
      <c r="AA310" s="226" t="e">
        <f aca="false">xSPRDOPT($L310,$J310,$I310,$M310,$O310,$N310,$P310,$Q310-$C$3,$R310,3)</f>
        <v>#NAME?</v>
      </c>
      <c r="AB310" s="226" t="e">
        <f aca="false">((xSPRDOPT($L310+AB$5,$J310,$I310,$M310,$O310,$N310,$P310,$Q310-$C$3,$R310,3)*$H310)/10000)/100</f>
        <v>#NAME?</v>
      </c>
      <c r="AC310" s="226" t="e">
        <f aca="false">((xSPRDOPT($L310+$AB$5,$J310,$I310,$M310,$O310,$N310,$P310,$Q310-$C$3,$R310,7)*$H310)/100)</f>
        <v>#NAME?</v>
      </c>
      <c r="AD310" s="226" t="e">
        <f aca="false">(xSPRDOPT($L310+$AB$5,$J310,$I310,$M310,$O310,$N310,$P310,$Q310-$C$3,$R310,9)/365)*$H310</f>
        <v>#NAME?</v>
      </c>
      <c r="AE310" s="0" t="e">
        <f aca="false">CD310</f>
        <v>#NAME?</v>
      </c>
      <c r="AF310" s="226" t="e">
        <f aca="false">((O310/N310)*AH310)+AG310</f>
        <v>#NAME?</v>
      </c>
      <c r="AG310" s="226" t="e">
        <f aca="false">((xSPRDOPT($L310,$J310,$I310,$M310,$O310,$N310,$P310,$Q310-$C$3,$R310,6)*$H310)/100)</f>
        <v>#NAME?</v>
      </c>
      <c r="AH310" s="226" t="e">
        <f aca="false">((xSPRDOPT($L310,$J310,$I310,$M310,$O310,$N310,$P310,$Q310-$C$3,$R310,5)*$H310)/100)</f>
        <v>#NAME?</v>
      </c>
      <c r="AI310" s="226" t="e">
        <f aca="false">(((xSPRDOPT($L310,$J310,$I310,$M310,$O310,$N310,$P310,$Q310-$C$3,$R310,4)*$H310)/10000)/100)-AB310</f>
        <v>#NAME?</v>
      </c>
      <c r="AJ310" s="226"/>
      <c r="AK310" s="226"/>
      <c r="AL310" s="226"/>
      <c r="AM310" s="252"/>
      <c r="CC310" s="182" t="n">
        <f aca="false">G310</f>
        <v>36831</v>
      </c>
      <c r="CD310" s="253" t="e">
        <f aca="false">xSPRDOPT((VLOOKUP(G310,NGPrices,2,FALSE())+HLOOKUP(D310,Prices,VLOOKUP(G310,move_down,2,FALSE()),FALSE())),VLOOKUP(G310,NGPrices,2,FALSE()),I310,VLOOKUP(G310,NGPREVPRICES,4,FALSE()),HLOOKUP(D310,PREVVOLS,VLOOKUP(G310,MOVE_DOWN2,2,FALSE()),FALSE()),VLOOKUP(G310,NGPREVPRICES,3,FALSE()),HLOOKUP(D310,Correllate,VLOOKUP(G310,CorMove,2,FALSE()),FALSE()),Q310-$CD$3,R310,$CD$5)*H310-CJ310</f>
        <v>#NAME?</v>
      </c>
      <c r="CE310" s="253" t="e">
        <f aca="false">xSPRDOPT((VLOOKUP(G310,NGPREVPRICES,2,FALSE())+HLOOKUP(D310,PREVCURVES,VLOOKUP(G310,MOVE_DOWN2,2,FALSE()),FALSE())),VLOOKUP(G310,NGPREVPRICES,2,FALSE()),CK310,VLOOKUP(G310,NGPrices,4,FALSE()),HLOOKUP(D310,PREVVOLS,VLOOKUP(G310,MOVE_DOWN2,2,FALSE()),FALSE()),VLOOKUP(G310,NGPREVPRICES,3,FALSE()),HLOOKUP(D310,Correllate,VLOOKUP(G310,CorMove,2,FALSE()),FALSE()),Q310-$CD$3,R310,$CJ$5)*H310-CJ310</f>
        <v>#NAME?</v>
      </c>
      <c r="CF310" s="132" t="e">
        <f aca="false">(CJ310/VLOOKUP(CC310,discount,3,FALSE()))-(CJ310/VLOOKUP(CC310,discount,2,FALSE()))</f>
        <v>#NAME?</v>
      </c>
      <c r="CG310" s="253" t="e">
        <f aca="false">xSPRDOPT((VLOOKUP(G310,NGPREVPRICES,2,FALSE())+HLOOKUP(D310,PREVCURVES,VLOOKUP(G310,MOVE_DOWN2,2,FALSE()),FALSE())),VLOOKUP(G310,NGPREVPRICES,2,FALSE()),CK310,VLOOKUP(G310,NGPREVPRICES,4,FALSE()),HLOOKUP(D310,VOLS,VLOOKUP(G310,move_down,2,FALSE()),FALSE()),VLOOKUP(G310,NGPrices,3,FALSE()),HLOOKUP(D310,Correllate,VLOOKUP(G310,CorMove,2,FALSE()),FALSE()),Q310-$CD$3,R310,$CJ$5)*H310-CJ310</f>
        <v>#NAME?</v>
      </c>
      <c r="CH310" s="253" t="e">
        <f aca="false">xSPRDOPT((VLOOKUP(G310,NGPREVPRICES,2,FALSE())+HLOOKUP(D310,PREVCURVES,VLOOKUP(G310,MOVE_DOWN2,2,FALSE()),FALSE())),VLOOKUP(G310,NGPREVPRICES,2,FALSE()),CK310,VLOOKUP(G310,NGPREVPRICES,4,FALSE()),HLOOKUP(D310,PREVVOLS,VLOOKUP(G310,MOVE_DOWN2,2,FALSE()),FALSE()),VLOOKUP(G310,NGPREVPRICES,3,FALSE()),HLOOKUP(D310,Correllate,VLOOKUP(G310,CorMove,2,FALSE()),FALSE()),Q310-$C$3,R310,$CJ$5)*H310-CJ310</f>
        <v>#NAME?</v>
      </c>
      <c r="CI310" s="253" t="e">
        <f aca="false">SUM(CD310:CH310)</f>
        <v>#NAME?</v>
      </c>
      <c r="CJ310" s="253" t="e">
        <f aca="false">xSPRDOPT((VLOOKUP(G310,NGPREVPRICES,2,FALSE())+HLOOKUP(D310,PREVCURVES,VLOOKUP(G310,MOVE_DOWN2,2,FALSE()),FALSE())),VLOOKUP(G310,NGPREVPRICES,2,FALSE()),CK310,VLOOKUP(G310,NGPREVPRICES,4,FALSE()),HLOOKUP(D310,PREVVOLS,VLOOKUP(G310,MOVE_DOWN2,2,FALSE()),FALSE()),VLOOKUP(G310,NGPREVPRICES,3,FALSE()),HLOOKUP(D310,Correllate,VLOOKUP(G310,CorMove,2,FALSE()),FALSE()),Q310-$CD$3,R310,$CJ$5)*H310</f>
        <v>#NAME?</v>
      </c>
      <c r="CK310" s="254" t="n">
        <f aca="false">I310</f>
        <v>1.75</v>
      </c>
      <c r="CM310" s="0" t="str">
        <f aca="false">CONCATENATE(CC310,$CD$6)</f>
        <v>36831Curve Shift/Gamma</v>
      </c>
      <c r="CN310" s="0" t="str">
        <f aca="false">CONCATENATE($CC310,$CE$6)</f>
        <v>36831Rho</v>
      </c>
      <c r="CO310" s="0" t="str">
        <f aca="false">CONCATENATE($CC310,$CF$6)</f>
        <v>36831Drift</v>
      </c>
      <c r="CP310" s="0" t="str">
        <f aca="false">CONCATENATE($CC310,$CG$6)</f>
        <v>36831Vega</v>
      </c>
      <c r="CQ310" s="0" t="str">
        <f aca="false">CONCATENATE($CC310,$CH$6)</f>
        <v>36831Theta</v>
      </c>
    </row>
    <row r="311" customFormat="false" ht="12.75" hidden="false" customHeight="false" outlineLevel="0" collapsed="false">
      <c r="A311" s="265" t="s">
        <v>212</v>
      </c>
      <c r="B311" s="0" t="s">
        <v>192</v>
      </c>
      <c r="C311" s="0" t="s">
        <v>308</v>
      </c>
      <c r="D311" s="7" t="s">
        <v>149</v>
      </c>
      <c r="E311" s="0" t="s">
        <v>131</v>
      </c>
      <c r="F311" s="0" t="s">
        <v>136</v>
      </c>
      <c r="G311" s="92" t="n">
        <v>36951</v>
      </c>
      <c r="H311" s="248" t="n">
        <v>310000</v>
      </c>
      <c r="I311" s="0" t="n">
        <v>2.5</v>
      </c>
      <c r="J311" s="124" t="n">
        <f aca="false">VLOOKUP(G311,NGPrices,2,FALSE())</f>
        <v>4.213</v>
      </c>
      <c r="K311" s="125" t="n">
        <f aca="false">HLOOKUP(D311,Prices,VLOOKUP(G311,move_down,2,FALSE()),FALSE())+VLOOKUP(G311,CHANGE,HLOOKUP(D311,CHANGE,2,FALSE()),FALSE())</f>
        <v>1.075</v>
      </c>
      <c r="L311" s="124" t="n">
        <f aca="false">K311+J311</f>
        <v>5.288</v>
      </c>
      <c r="M311" s="126" t="n">
        <f aca="false">VLOOKUP(G311,NGPrices,4,FALSE())</f>
        <v>0.068879814952707</v>
      </c>
      <c r="N311" s="7" t="n">
        <f aca="false">VLOOKUP(G311,NGPrices,3,FALSE())</f>
        <v>0.5325</v>
      </c>
      <c r="O311" s="7" t="n">
        <f aca="false">HLOOKUP(D311,VOLS,VLOOKUP(G311,move_down,2,FALSE()),FALSE())</f>
        <v>0.612</v>
      </c>
      <c r="P311" s="249" t="n">
        <f aca="false">HLOOKUP(D311,Correllate,VLOOKUP(G311,CorMove,2,FALSE()),FALSE())</f>
        <v>0.83</v>
      </c>
      <c r="Q311" s="92" t="n">
        <f aca="false">WORKDAY(G311,-2)</f>
        <v>36949</v>
      </c>
      <c r="R311" s="7" t="n">
        <f aca="false">IF(F311="P",0,1)</f>
        <v>1</v>
      </c>
      <c r="S311" s="130" t="e">
        <f aca="false">xSPRDOPT($L311,$J311,$I311,$M311,$O311,$N311,$P311,$Q311-$C$3,$R311,0)</f>
        <v>#NAME?</v>
      </c>
      <c r="T311" s="250" t="e">
        <f aca="false">xSPRDOPT($L311,$J311,$I311,$M311,$O311,$N311,$P311,$Q311-$C$3,$R311,1)*H311</f>
        <v>#NAME?</v>
      </c>
      <c r="U311" s="43" t="e">
        <f aca="false">S311*H311</f>
        <v>#NAME?</v>
      </c>
      <c r="V311" s="250" t="e">
        <f aca="false">xSPRDOPT($L311,$J311,$I311,$M311,$O311,$N311,$P311,$Q311-$C$3,$R311,2)*H311</f>
        <v>#NAME?</v>
      </c>
      <c r="W311" s="250" t="e">
        <f aca="false">+V311+T311</f>
        <v>#NAME?</v>
      </c>
      <c r="X311" s="2" t="str">
        <f aca="false">CONCATENATE(G311,D311)</f>
        <v>36951IF-TRANSCO/Z6</v>
      </c>
      <c r="Y311" s="251" t="n">
        <f aca="false">H311/10000</f>
        <v>31</v>
      </c>
      <c r="Z311" s="226" t="e">
        <f aca="false">T311/H311</f>
        <v>#NAME?</v>
      </c>
      <c r="AA311" s="226" t="e">
        <f aca="false">xSPRDOPT($L311,$J311,$I311,$M311,$O311,$N311,$P311,$Q311-$C$3,$R311,3)</f>
        <v>#NAME?</v>
      </c>
      <c r="AB311" s="226" t="e">
        <f aca="false">((xSPRDOPT($L311+AB$5,$J311,$I311,$M311,$O311,$N311,$P311,$Q311-$C$3,$R311,3)*$H311)/10000)/100</f>
        <v>#NAME?</v>
      </c>
      <c r="AC311" s="226" t="e">
        <f aca="false">((xSPRDOPT($L311+$AB$5,$J311,$I311,$M311,$O311,$N311,$P311,$Q311-$C$3,$R311,7)*$H311)/100)</f>
        <v>#NAME?</v>
      </c>
      <c r="AD311" s="226" t="e">
        <f aca="false">(xSPRDOPT($L311+$AB$5,$J311,$I311,$M311,$O311,$N311,$P311,$Q311-$C$3,$R311,9)/365)*$H311</f>
        <v>#NAME?</v>
      </c>
      <c r="AE311" s="0" t="e">
        <f aca="false">CD311</f>
        <v>#NAME?</v>
      </c>
      <c r="AF311" s="226" t="e">
        <f aca="false">((O311/N311)*AH311)+AG311</f>
        <v>#NAME?</v>
      </c>
      <c r="AG311" s="226" t="e">
        <f aca="false">((xSPRDOPT($L311,$J311,$I311,$M311,$O311,$N311,$P311,$Q311-$C$3,$R311,6)*$H311)/100)</f>
        <v>#NAME?</v>
      </c>
      <c r="AH311" s="226" t="e">
        <f aca="false">((xSPRDOPT($L311,$J311,$I311,$M311,$O311,$N311,$P311,$Q311-$C$3,$R311,5)*$H311)/100)</f>
        <v>#NAME?</v>
      </c>
      <c r="AI311" s="226" t="e">
        <f aca="false">(((xSPRDOPT($L311,$J311,$I311,$M311,$O311,$N311,$P311,$Q311-$C$3,$R311,4)*$H311)/10000)/100)-AB311</f>
        <v>#NAME?</v>
      </c>
      <c r="AJ311" s="226"/>
      <c r="AK311" s="226"/>
      <c r="AL311" s="226"/>
      <c r="AM311" s="252"/>
      <c r="CC311" s="182" t="n">
        <f aca="false">G311</f>
        <v>36951</v>
      </c>
      <c r="CD311" s="253" t="e">
        <f aca="false">xSPRDOPT((VLOOKUP(G311,NGPrices,2,FALSE())+HLOOKUP(D311,Prices,VLOOKUP(G311,move_down,2,FALSE()),FALSE())),VLOOKUP(G311,NGPrices,2,FALSE()),I311,VLOOKUP(G311,NGPREVPRICES,4,FALSE()),HLOOKUP(D311,PREVVOLS,VLOOKUP(G311,MOVE_DOWN2,2,FALSE()),FALSE()),VLOOKUP(G311,NGPREVPRICES,3,FALSE()),HLOOKUP(D311,Correllate,VLOOKUP(G311,CorMove,2,FALSE()),FALSE()),Q311-$CD$3,R311,$CD$5)*H311-CJ311</f>
        <v>#NAME?</v>
      </c>
      <c r="CE311" s="253" t="e">
        <f aca="false">xSPRDOPT((VLOOKUP(G311,NGPREVPRICES,2,FALSE())+HLOOKUP(D311,PREVCURVES,VLOOKUP(G311,MOVE_DOWN2,2,FALSE()),FALSE())),VLOOKUP(G311,NGPREVPRICES,2,FALSE()),CK311,VLOOKUP(G311,NGPrices,4,FALSE()),HLOOKUP(D311,PREVVOLS,VLOOKUP(G311,MOVE_DOWN2,2,FALSE()),FALSE()),VLOOKUP(G311,NGPREVPRICES,3,FALSE()),HLOOKUP(D311,Correllate,VLOOKUP(G311,CorMove,2,FALSE()),FALSE()),Q311-$CD$3,R311,$CJ$5)*H311-CJ311</f>
        <v>#NAME?</v>
      </c>
      <c r="CF311" s="132" t="e">
        <f aca="false">(CJ311/VLOOKUP(CC311,discount,3,FALSE()))-(CJ311/VLOOKUP(CC311,discount,2,FALSE()))</f>
        <v>#NAME?</v>
      </c>
      <c r="CG311" s="253" t="e">
        <f aca="false">xSPRDOPT((VLOOKUP(G311,NGPREVPRICES,2,FALSE())+HLOOKUP(D311,PREVCURVES,VLOOKUP(G311,MOVE_DOWN2,2,FALSE()),FALSE())),VLOOKUP(G311,NGPREVPRICES,2,FALSE()),CK311,VLOOKUP(G311,NGPREVPRICES,4,FALSE()),HLOOKUP(D311,VOLS,VLOOKUP(G311,move_down,2,FALSE()),FALSE()),VLOOKUP(G311,NGPrices,3,FALSE()),HLOOKUP(D311,Correllate,VLOOKUP(G311,CorMove,2,FALSE()),FALSE()),Q311-$CD$3,R311,$CJ$5)*H311-CJ311</f>
        <v>#NAME?</v>
      </c>
      <c r="CH311" s="253" t="e">
        <f aca="false">xSPRDOPT((VLOOKUP(G311,NGPREVPRICES,2,FALSE())+HLOOKUP(D311,PREVCURVES,VLOOKUP(G311,MOVE_DOWN2,2,FALSE()),FALSE())),VLOOKUP(G311,NGPREVPRICES,2,FALSE()),CK311,VLOOKUP(G311,NGPREVPRICES,4,FALSE()),HLOOKUP(D311,PREVVOLS,VLOOKUP(G311,MOVE_DOWN2,2,FALSE()),FALSE()),VLOOKUP(G311,NGPREVPRICES,3,FALSE()),HLOOKUP(D311,Correllate,VLOOKUP(G311,CorMove,2,FALSE()),FALSE()),Q311-$C$3,R311,$CJ$5)*H311-CJ311</f>
        <v>#NAME?</v>
      </c>
      <c r="CI311" s="253" t="e">
        <f aca="false">SUM(CD311:CH311)</f>
        <v>#NAME?</v>
      </c>
      <c r="CJ311" s="253" t="e">
        <f aca="false">xSPRDOPT((VLOOKUP(G311,NGPREVPRICES,2,FALSE())+HLOOKUP(D311,PREVCURVES,VLOOKUP(G311,MOVE_DOWN2,2,FALSE()),FALSE())),VLOOKUP(G311,NGPREVPRICES,2,FALSE()),CK311,VLOOKUP(G311,NGPREVPRICES,4,FALSE()),HLOOKUP(D311,PREVVOLS,VLOOKUP(G311,MOVE_DOWN2,2,FALSE()),FALSE()),VLOOKUP(G311,NGPREVPRICES,3,FALSE()),HLOOKUP(D311,Correllate,VLOOKUP(G311,CorMove,2,FALSE()),FALSE()),Q311-$CD$3,R311,$CJ$5)*H311</f>
        <v>#NAME?</v>
      </c>
      <c r="CK311" s="254" t="n">
        <f aca="false">I311</f>
        <v>2.5</v>
      </c>
      <c r="CM311" s="0" t="str">
        <f aca="false">CONCATENATE(CC311,$CD$6)</f>
        <v>36951Curve Shift/Gamma</v>
      </c>
      <c r="CN311" s="0" t="str">
        <f aca="false">CONCATENATE($CC311,$CE$6)</f>
        <v>36951Rho</v>
      </c>
      <c r="CO311" s="0" t="str">
        <f aca="false">CONCATENATE($CC311,$CF$6)</f>
        <v>36951Drift</v>
      </c>
      <c r="CP311" s="0" t="str">
        <f aca="false">CONCATENATE($CC311,$CG$6)</f>
        <v>36951Vega</v>
      </c>
      <c r="CQ311" s="0" t="str">
        <f aca="false">CONCATENATE($CC311,$CH$6)</f>
        <v>36951Theta</v>
      </c>
    </row>
    <row r="312" customFormat="false" ht="12.75" hidden="false" customHeight="false" outlineLevel="0" collapsed="false">
      <c r="A312" s="265" t="s">
        <v>212</v>
      </c>
      <c r="B312" s="0" t="s">
        <v>192</v>
      </c>
      <c r="C312" s="0" t="s">
        <v>308</v>
      </c>
      <c r="D312" s="7" t="s">
        <v>149</v>
      </c>
      <c r="E312" s="0" t="s">
        <v>131</v>
      </c>
      <c r="F312" s="0" t="s">
        <v>136</v>
      </c>
      <c r="G312" s="92" t="n">
        <v>36923</v>
      </c>
      <c r="H312" s="248" t="n">
        <v>280000</v>
      </c>
      <c r="I312" s="0" t="n">
        <v>2.5</v>
      </c>
      <c r="J312" s="124" t="n">
        <f aca="false">VLOOKUP(G312,NGPrices,2,FALSE())</f>
        <v>4.48</v>
      </c>
      <c r="K312" s="125" t="n">
        <f aca="false">HLOOKUP(D312,Prices,VLOOKUP(G312,move_down,2,FALSE()),FALSE())+VLOOKUP(G312,CHANGE,HLOOKUP(D312,CHANGE,2,FALSE()),FALSE())</f>
        <v>2.09</v>
      </c>
      <c r="L312" s="124" t="n">
        <f aca="false">K312+J312</f>
        <v>6.57</v>
      </c>
      <c r="M312" s="126" t="n">
        <f aca="false">VLOOKUP(G312,NGPrices,4,FALSE())</f>
        <v>0.068640161611372</v>
      </c>
      <c r="N312" s="7" t="n">
        <f aca="false">VLOOKUP(G312,NGPrices,3,FALSE())</f>
        <v>0.5925</v>
      </c>
      <c r="O312" s="7" t="n">
        <f aca="false">HLOOKUP(D312,VOLS,VLOOKUP(G312,move_down,2,FALSE()),FALSE())</f>
        <v>0.681</v>
      </c>
      <c r="P312" s="249" t="n">
        <f aca="false">HLOOKUP(D312,Correllate,VLOOKUP(G312,CorMove,2,FALSE()),FALSE())</f>
        <v>0.83</v>
      </c>
      <c r="Q312" s="92" t="n">
        <f aca="false">WORKDAY(G312,-2)</f>
        <v>36921</v>
      </c>
      <c r="R312" s="7" t="n">
        <f aca="false">IF(F312="P",0,1)</f>
        <v>1</v>
      </c>
      <c r="S312" s="130" t="e">
        <f aca="false">xSPRDOPT($L312,$J312,$I312,$M312,$O312,$N312,$P312,$Q312-$C$3,$R312,0)</f>
        <v>#NAME?</v>
      </c>
      <c r="T312" s="250" t="e">
        <f aca="false">xSPRDOPT($L312,$J312,$I312,$M312,$O312,$N312,$P312,$Q312-$C$3,$R312,1)*H312</f>
        <v>#NAME?</v>
      </c>
      <c r="U312" s="43" t="e">
        <f aca="false">S312*H312</f>
        <v>#NAME?</v>
      </c>
      <c r="V312" s="250" t="e">
        <f aca="false">xSPRDOPT($L312,$J312,$I312,$M312,$O312,$N312,$P312,$Q312-$C$3,$R312,2)*H312</f>
        <v>#NAME?</v>
      </c>
      <c r="W312" s="250" t="e">
        <f aca="false">+V312+T312</f>
        <v>#NAME?</v>
      </c>
      <c r="X312" s="2" t="str">
        <f aca="false">CONCATENATE(G312,D312)</f>
        <v>36923IF-TRANSCO/Z6</v>
      </c>
      <c r="Y312" s="251" t="n">
        <f aca="false">H312/10000</f>
        <v>28</v>
      </c>
      <c r="Z312" s="226" t="e">
        <f aca="false">T312/H312</f>
        <v>#NAME?</v>
      </c>
      <c r="AA312" s="226" t="e">
        <f aca="false">xSPRDOPT($L312,$J312,$I312,$M312,$O312,$N312,$P312,$Q312-$C$3,$R312,3)</f>
        <v>#NAME?</v>
      </c>
      <c r="AB312" s="226" t="e">
        <f aca="false">((xSPRDOPT($L312+AB$5,$J312,$I312,$M312,$O312,$N312,$P312,$Q312-$C$3,$R312,3)*$H312)/10000)/100</f>
        <v>#NAME?</v>
      </c>
      <c r="AC312" s="226" t="e">
        <f aca="false">((xSPRDOPT($L312+$AB$5,$J312,$I312,$M312,$O312,$N312,$P312,$Q312-$C$3,$R312,7)*$H312)/100)</f>
        <v>#NAME?</v>
      </c>
      <c r="AD312" s="226" t="e">
        <f aca="false">(xSPRDOPT($L312+$AB$5,$J312,$I312,$M312,$O312,$N312,$P312,$Q312-$C$3,$R312,9)/365)*$H312</f>
        <v>#NAME?</v>
      </c>
      <c r="AE312" s="0" t="e">
        <f aca="false">CD312</f>
        <v>#NAME?</v>
      </c>
      <c r="AF312" s="226" t="e">
        <f aca="false">((O312/N312)*AH312)+AG312</f>
        <v>#NAME?</v>
      </c>
      <c r="AG312" s="226" t="e">
        <f aca="false">((xSPRDOPT($L312,$J312,$I312,$M312,$O312,$N312,$P312,$Q312-$C$3,$R312,6)*$H312)/100)</f>
        <v>#NAME?</v>
      </c>
      <c r="AH312" s="226" t="e">
        <f aca="false">((xSPRDOPT($L312,$J312,$I312,$M312,$O312,$N312,$P312,$Q312-$C$3,$R312,5)*$H312)/100)</f>
        <v>#NAME?</v>
      </c>
      <c r="AI312" s="226" t="e">
        <f aca="false">(((xSPRDOPT($L312,$J312,$I312,$M312,$O312,$N312,$P312,$Q312-$C$3,$R312,4)*$H312)/10000)/100)-AB312</f>
        <v>#NAME?</v>
      </c>
      <c r="AJ312" s="226"/>
      <c r="AK312" s="226"/>
      <c r="AL312" s="226"/>
      <c r="AM312" s="252"/>
      <c r="CC312" s="182" t="n">
        <f aca="false">G312</f>
        <v>36923</v>
      </c>
      <c r="CD312" s="253" t="e">
        <f aca="false">xSPRDOPT((VLOOKUP(G312,NGPrices,2,FALSE())+HLOOKUP(D312,Prices,VLOOKUP(G312,move_down,2,FALSE()),FALSE())),VLOOKUP(G312,NGPrices,2,FALSE()),I312,VLOOKUP(G312,NGPREVPRICES,4,FALSE()),HLOOKUP(D312,PREVVOLS,VLOOKUP(G312,MOVE_DOWN2,2,FALSE()),FALSE()),VLOOKUP(G312,NGPREVPRICES,3,FALSE()),HLOOKUP(D312,Correllate,VLOOKUP(G312,CorMove,2,FALSE()),FALSE()),Q312-$CD$3,R312,$CD$5)*H312-CJ312</f>
        <v>#NAME?</v>
      </c>
      <c r="CE312" s="253" t="e">
        <f aca="false">xSPRDOPT((VLOOKUP(G312,NGPREVPRICES,2,FALSE())+HLOOKUP(D312,PREVCURVES,VLOOKUP(G312,MOVE_DOWN2,2,FALSE()),FALSE())),VLOOKUP(G312,NGPREVPRICES,2,FALSE()),CK312,VLOOKUP(G312,NGPrices,4,FALSE()),HLOOKUP(D312,PREVVOLS,VLOOKUP(G312,MOVE_DOWN2,2,FALSE()),FALSE()),VLOOKUP(G312,NGPREVPRICES,3,FALSE()),HLOOKUP(D312,Correllate,VLOOKUP(G312,CorMove,2,FALSE()),FALSE()),Q312-$CD$3,R312,$CJ$5)*H312-CJ312</f>
        <v>#NAME?</v>
      </c>
      <c r="CF312" s="132" t="e">
        <f aca="false">(CJ312/VLOOKUP(CC312,discount,3,FALSE()))-(CJ312/VLOOKUP(CC312,discount,2,FALSE()))</f>
        <v>#NAME?</v>
      </c>
      <c r="CG312" s="253" t="e">
        <f aca="false">xSPRDOPT((VLOOKUP(G312,NGPREVPRICES,2,FALSE())+HLOOKUP(D312,PREVCURVES,VLOOKUP(G312,MOVE_DOWN2,2,FALSE()),FALSE())),VLOOKUP(G312,NGPREVPRICES,2,FALSE()),CK312,VLOOKUP(G312,NGPREVPRICES,4,FALSE()),HLOOKUP(D312,VOLS,VLOOKUP(G312,move_down,2,FALSE()),FALSE()),VLOOKUP(G312,NGPrices,3,FALSE()),HLOOKUP(D312,Correllate,VLOOKUP(G312,CorMove,2,FALSE()),FALSE()),Q312-$CD$3,R312,$CJ$5)*H312-CJ312</f>
        <v>#NAME?</v>
      </c>
      <c r="CH312" s="253" t="e">
        <f aca="false">xSPRDOPT((VLOOKUP(G312,NGPREVPRICES,2,FALSE())+HLOOKUP(D312,PREVCURVES,VLOOKUP(G312,MOVE_DOWN2,2,FALSE()),FALSE())),VLOOKUP(G312,NGPREVPRICES,2,FALSE()),CK312,VLOOKUP(G312,NGPREVPRICES,4,FALSE()),HLOOKUP(D312,PREVVOLS,VLOOKUP(G312,MOVE_DOWN2,2,FALSE()),FALSE()),VLOOKUP(G312,NGPREVPRICES,3,FALSE()),HLOOKUP(D312,Correllate,VLOOKUP(G312,CorMove,2,FALSE()),FALSE()),Q312-$C$3,R312,$CJ$5)*H312-CJ312</f>
        <v>#NAME?</v>
      </c>
      <c r="CI312" s="253" t="e">
        <f aca="false">SUM(CD312:CH312)</f>
        <v>#NAME?</v>
      </c>
      <c r="CJ312" s="253" t="e">
        <f aca="false">xSPRDOPT((VLOOKUP(G312,NGPREVPRICES,2,FALSE())+HLOOKUP(D312,PREVCURVES,VLOOKUP(G312,MOVE_DOWN2,2,FALSE()),FALSE())),VLOOKUP(G312,NGPREVPRICES,2,FALSE()),CK312,VLOOKUP(G312,NGPREVPRICES,4,FALSE()),HLOOKUP(D312,PREVVOLS,VLOOKUP(G312,MOVE_DOWN2,2,FALSE()),FALSE()),VLOOKUP(G312,NGPREVPRICES,3,FALSE()),HLOOKUP(D312,Correllate,VLOOKUP(G312,CorMove,2,FALSE()),FALSE()),Q312-$CD$3,R312,$CJ$5)*H312</f>
        <v>#NAME?</v>
      </c>
      <c r="CK312" s="254" t="n">
        <f aca="false">I312</f>
        <v>2.5</v>
      </c>
      <c r="CM312" s="0" t="str">
        <f aca="false">CONCATENATE(CC312,$CD$6)</f>
        <v>36923Curve Shift/Gamma</v>
      </c>
      <c r="CN312" s="0" t="str">
        <f aca="false">CONCATENATE($CC312,$CE$6)</f>
        <v>36923Rho</v>
      </c>
      <c r="CO312" s="0" t="str">
        <f aca="false">CONCATENATE($CC312,$CF$6)</f>
        <v>36923Drift</v>
      </c>
      <c r="CP312" s="0" t="str">
        <f aca="false">CONCATENATE($CC312,$CG$6)</f>
        <v>36923Vega</v>
      </c>
      <c r="CQ312" s="0" t="str">
        <f aca="false">CONCATENATE($CC312,$CH$6)</f>
        <v>36923Theta</v>
      </c>
    </row>
    <row r="313" customFormat="false" ht="12.75" hidden="false" customHeight="false" outlineLevel="0" collapsed="false">
      <c r="A313" s="265" t="s">
        <v>212</v>
      </c>
      <c r="B313" s="0" t="s">
        <v>192</v>
      </c>
      <c r="C313" s="0" t="s">
        <v>308</v>
      </c>
      <c r="D313" s="7" t="s">
        <v>149</v>
      </c>
      <c r="E313" s="0" t="s">
        <v>131</v>
      </c>
      <c r="F313" s="0" t="s">
        <v>136</v>
      </c>
      <c r="G313" s="92" t="n">
        <v>36892</v>
      </c>
      <c r="H313" s="248" t="n">
        <v>310000</v>
      </c>
      <c r="I313" s="0" t="n">
        <v>2.5</v>
      </c>
      <c r="J313" s="124" t="n">
        <f aca="false">VLOOKUP(G313,NGPrices,2,FALSE())</f>
        <v>4.744</v>
      </c>
      <c r="K313" s="125" t="n">
        <f aca="false">HLOOKUP(D313,Prices,VLOOKUP(G313,move_down,2,FALSE()),FALSE())+VLOOKUP(G313,CHANGE,HLOOKUP(D313,CHANGE,2,FALSE()),FALSE())</f>
        <v>2.17</v>
      </c>
      <c r="L313" s="124" t="n">
        <f aca="false">K313+J313</f>
        <v>6.914</v>
      </c>
      <c r="M313" s="126" t="n">
        <f aca="false">VLOOKUP(G313,NGPrices,4,FALSE())</f>
        <v>0.068374831148491</v>
      </c>
      <c r="N313" s="7" t="n">
        <f aca="false">VLOOKUP(G313,NGPrices,3,FALSE())</f>
        <v>0.605</v>
      </c>
      <c r="O313" s="7" t="n">
        <f aca="false">HLOOKUP(D313,VOLS,VLOOKUP(G313,move_down,2,FALSE()),FALSE())</f>
        <v>0.696</v>
      </c>
      <c r="P313" s="249" t="n">
        <f aca="false">HLOOKUP(D313,Correllate,VLOOKUP(G313,CorMove,2,FALSE()),FALSE())</f>
        <v>0.83</v>
      </c>
      <c r="Q313" s="92" t="n">
        <f aca="false">WORKDAY(G313,-2)</f>
        <v>36888</v>
      </c>
      <c r="R313" s="7" t="n">
        <f aca="false">IF(F313="P",0,1)</f>
        <v>1</v>
      </c>
      <c r="S313" s="130" t="e">
        <f aca="false">xSPRDOPT($L313,$J313,$I313,$M313,$O313,$N313,$P313,$Q313-$C$3,$R313,0)</f>
        <v>#NAME?</v>
      </c>
      <c r="T313" s="250" t="e">
        <f aca="false">xSPRDOPT($L313,$J313,$I313,$M313,$O313,$N313,$P313,$Q313-$C$3,$R313,1)*H313</f>
        <v>#NAME?</v>
      </c>
      <c r="U313" s="43" t="e">
        <f aca="false">S313*H313</f>
        <v>#NAME?</v>
      </c>
      <c r="V313" s="250" t="e">
        <f aca="false">xSPRDOPT($L313,$J313,$I313,$M313,$O313,$N313,$P313,$Q313-$C$3,$R313,2)*H313</f>
        <v>#NAME?</v>
      </c>
      <c r="W313" s="250" t="e">
        <f aca="false">+V313+T313</f>
        <v>#NAME?</v>
      </c>
      <c r="X313" s="2" t="str">
        <f aca="false">CONCATENATE(G313,D313)</f>
        <v>36892IF-TRANSCO/Z6</v>
      </c>
      <c r="Y313" s="251" t="n">
        <f aca="false">H313/10000</f>
        <v>31</v>
      </c>
      <c r="Z313" s="226" t="e">
        <f aca="false">T313/H313</f>
        <v>#NAME?</v>
      </c>
      <c r="AA313" s="226" t="e">
        <f aca="false">xSPRDOPT($L313,$J313,$I313,$M313,$O313,$N313,$P313,$Q313-$C$3,$R313,3)</f>
        <v>#NAME?</v>
      </c>
      <c r="AB313" s="226" t="e">
        <f aca="false">((xSPRDOPT($L313+AB$5,$J313,$I313,$M313,$O313,$N313,$P313,$Q313-$C$3,$R313,3)*$H313)/10000)/100</f>
        <v>#NAME?</v>
      </c>
      <c r="AC313" s="226" t="e">
        <f aca="false">((xSPRDOPT($L313+$AB$5,$J313,$I313,$M313,$O313,$N313,$P313,$Q313-$C$3,$R313,7)*$H313)/100)</f>
        <v>#NAME?</v>
      </c>
      <c r="AD313" s="226" t="e">
        <f aca="false">(xSPRDOPT($L313+$AB$5,$J313,$I313,$M313,$O313,$N313,$P313,$Q313-$C$3,$R313,9)/365)*$H313</f>
        <v>#NAME?</v>
      </c>
      <c r="AE313" s="0" t="e">
        <f aca="false">CD313</f>
        <v>#NAME?</v>
      </c>
      <c r="AF313" s="226" t="e">
        <f aca="false">((O313/N313)*AH313)+AG313</f>
        <v>#NAME?</v>
      </c>
      <c r="AG313" s="226" t="e">
        <f aca="false">((xSPRDOPT($L313,$J313,$I313,$M313,$O313,$N313,$P313,$Q313-$C$3,$R313,6)*$H313)/100)</f>
        <v>#NAME?</v>
      </c>
      <c r="AH313" s="226" t="e">
        <f aca="false">((xSPRDOPT($L313,$J313,$I313,$M313,$O313,$N313,$P313,$Q313-$C$3,$R313,5)*$H313)/100)</f>
        <v>#NAME?</v>
      </c>
      <c r="AI313" s="226" t="e">
        <f aca="false">(((xSPRDOPT($L313,$J313,$I313,$M313,$O313,$N313,$P313,$Q313-$C$3,$R313,4)*$H313)/10000)/100)-AB313</f>
        <v>#NAME?</v>
      </c>
      <c r="AJ313" s="226"/>
      <c r="AK313" s="226"/>
      <c r="AL313" s="226"/>
      <c r="AM313" s="252"/>
      <c r="CC313" s="182" t="n">
        <f aca="false">G313</f>
        <v>36892</v>
      </c>
      <c r="CD313" s="253" t="e">
        <f aca="false">xSPRDOPT((VLOOKUP(G313,NGPrices,2,FALSE())+HLOOKUP(D313,Prices,VLOOKUP(G313,move_down,2,FALSE()),FALSE())),VLOOKUP(G313,NGPrices,2,FALSE()),I313,VLOOKUP(G313,NGPREVPRICES,4,FALSE()),HLOOKUP(D313,PREVVOLS,VLOOKUP(G313,MOVE_DOWN2,2,FALSE()),FALSE()),VLOOKUP(G313,NGPREVPRICES,3,FALSE()),HLOOKUP(D313,Correllate,VLOOKUP(G313,CorMove,2,FALSE()),FALSE()),Q313-$CD$3,R313,$CD$5)*H313-CJ313</f>
        <v>#NAME?</v>
      </c>
      <c r="CE313" s="253" t="e">
        <f aca="false">xSPRDOPT((VLOOKUP(G313,NGPREVPRICES,2,FALSE())+HLOOKUP(D313,PREVCURVES,VLOOKUP(G313,MOVE_DOWN2,2,FALSE()),FALSE())),VLOOKUP(G313,NGPREVPRICES,2,FALSE()),CK313,VLOOKUP(G313,NGPrices,4,FALSE()),HLOOKUP(D313,PREVVOLS,VLOOKUP(G313,MOVE_DOWN2,2,FALSE()),FALSE()),VLOOKUP(G313,NGPREVPRICES,3,FALSE()),HLOOKUP(D313,Correllate,VLOOKUP(G313,CorMove,2,FALSE()),FALSE()),Q313-$CD$3,R313,$CJ$5)*H313-CJ313</f>
        <v>#NAME?</v>
      </c>
      <c r="CF313" s="132" t="e">
        <f aca="false">(CJ313/VLOOKUP(CC313,discount,3,FALSE()))-(CJ313/VLOOKUP(CC313,discount,2,FALSE()))</f>
        <v>#NAME?</v>
      </c>
      <c r="CG313" s="253" t="e">
        <f aca="false">xSPRDOPT((VLOOKUP(G313,NGPREVPRICES,2,FALSE())+HLOOKUP(D313,PREVCURVES,VLOOKUP(G313,MOVE_DOWN2,2,FALSE()),FALSE())),VLOOKUP(G313,NGPREVPRICES,2,FALSE()),CK313,VLOOKUP(G313,NGPREVPRICES,4,FALSE()),HLOOKUP(D313,VOLS,VLOOKUP(G313,move_down,2,FALSE()),FALSE()),VLOOKUP(G313,NGPrices,3,FALSE()),HLOOKUP(D313,Correllate,VLOOKUP(G313,CorMove,2,FALSE()),FALSE()),Q313-$CD$3,R313,$CJ$5)*H313-CJ313</f>
        <v>#NAME?</v>
      </c>
      <c r="CH313" s="253" t="e">
        <f aca="false">xSPRDOPT((VLOOKUP(G313,NGPREVPRICES,2,FALSE())+HLOOKUP(D313,PREVCURVES,VLOOKUP(G313,MOVE_DOWN2,2,FALSE()),FALSE())),VLOOKUP(G313,NGPREVPRICES,2,FALSE()),CK313,VLOOKUP(G313,NGPREVPRICES,4,FALSE()),HLOOKUP(D313,PREVVOLS,VLOOKUP(G313,MOVE_DOWN2,2,FALSE()),FALSE()),VLOOKUP(G313,NGPREVPRICES,3,FALSE()),HLOOKUP(D313,Correllate,VLOOKUP(G313,CorMove,2,FALSE()),FALSE()),Q313-$C$3,R313,$CJ$5)*H313-CJ313</f>
        <v>#NAME?</v>
      </c>
      <c r="CI313" s="253" t="e">
        <f aca="false">SUM(CD313:CH313)</f>
        <v>#NAME?</v>
      </c>
      <c r="CJ313" s="253" t="e">
        <f aca="false">xSPRDOPT((VLOOKUP(G313,NGPREVPRICES,2,FALSE())+HLOOKUP(D313,PREVCURVES,VLOOKUP(G313,MOVE_DOWN2,2,FALSE()),FALSE())),VLOOKUP(G313,NGPREVPRICES,2,FALSE()),CK313,VLOOKUP(G313,NGPREVPRICES,4,FALSE()),HLOOKUP(D313,PREVVOLS,VLOOKUP(G313,MOVE_DOWN2,2,FALSE()),FALSE()),VLOOKUP(G313,NGPREVPRICES,3,FALSE()),HLOOKUP(D313,Correllate,VLOOKUP(G313,CorMove,2,FALSE()),FALSE()),Q313-$CD$3,R313,$CJ$5)*H313</f>
        <v>#NAME?</v>
      </c>
      <c r="CK313" s="254" t="n">
        <f aca="false">I313</f>
        <v>2.5</v>
      </c>
      <c r="CM313" s="0" t="str">
        <f aca="false">CONCATENATE(CC313,$CD$6)</f>
        <v>36892Curve Shift/Gamma</v>
      </c>
      <c r="CN313" s="0" t="str">
        <f aca="false">CONCATENATE($CC313,$CE$6)</f>
        <v>36892Rho</v>
      </c>
      <c r="CO313" s="0" t="str">
        <f aca="false">CONCATENATE($CC313,$CF$6)</f>
        <v>36892Drift</v>
      </c>
      <c r="CP313" s="0" t="str">
        <f aca="false">CONCATENATE($CC313,$CG$6)</f>
        <v>36892Vega</v>
      </c>
      <c r="CQ313" s="0" t="str">
        <f aca="false">CONCATENATE($CC313,$CH$6)</f>
        <v>36892Theta</v>
      </c>
    </row>
    <row r="314" customFormat="false" ht="12.75" hidden="false" customHeight="false" outlineLevel="0" collapsed="false">
      <c r="A314" s="265" t="s">
        <v>212</v>
      </c>
      <c r="B314" s="0" t="s">
        <v>192</v>
      </c>
      <c r="C314" s="0" t="s">
        <v>308</v>
      </c>
      <c r="D314" s="7" t="s">
        <v>149</v>
      </c>
      <c r="E314" s="0" t="s">
        <v>131</v>
      </c>
      <c r="F314" s="0" t="s">
        <v>136</v>
      </c>
      <c r="G314" s="92" t="n">
        <v>36861</v>
      </c>
      <c r="H314" s="248" t="n">
        <v>310000</v>
      </c>
      <c r="I314" s="0" t="n">
        <v>2.5</v>
      </c>
      <c r="J314" s="124" t="n">
        <f aca="false">VLOOKUP(G314,NGPrices,2,FALSE())</f>
        <v>4.8</v>
      </c>
      <c r="K314" s="125" t="n">
        <f aca="false">HLOOKUP(D314,Prices,VLOOKUP(G314,move_down,2,FALSE()),FALSE())+VLOOKUP(G314,CHANGE,HLOOKUP(D314,CHANGE,2,FALSE()),FALSE())</f>
        <v>1.645</v>
      </c>
      <c r="L314" s="124" t="n">
        <f aca="false">K314+J314</f>
        <v>6.445</v>
      </c>
      <c r="M314" s="126" t="n">
        <f aca="false">VLOOKUP(G314,NGPrices,4,FALSE())</f>
        <v>0.068314027999354</v>
      </c>
      <c r="N314" s="7" t="n">
        <f aca="false">VLOOKUP(G314,NGPrices,3,FALSE())</f>
        <v>0.6</v>
      </c>
      <c r="O314" s="7" t="n">
        <f aca="false">HLOOKUP(D314,VOLS,VLOOKUP(G314,move_down,2,FALSE()),FALSE())</f>
        <v>0.69</v>
      </c>
      <c r="P314" s="249" t="n">
        <f aca="false">HLOOKUP(D314,Correllate,VLOOKUP(G314,CorMove,2,FALSE()),FALSE())</f>
        <v>0.83</v>
      </c>
      <c r="Q314" s="92" t="n">
        <f aca="false">WORKDAY(G314,-2)</f>
        <v>36859</v>
      </c>
      <c r="R314" s="7" t="n">
        <f aca="false">IF(F314="P",0,1)</f>
        <v>1</v>
      </c>
      <c r="S314" s="130" t="e">
        <f aca="false">xSPRDOPT($L314,$J314,$I314,$M314,$O314,$N314,$P314,$Q314-$C$3,$R314,0)</f>
        <v>#NAME?</v>
      </c>
      <c r="T314" s="250" t="e">
        <f aca="false">xSPRDOPT($L314,$J314,$I314,$M314,$O314,$N314,$P314,$Q314-$C$3,$R314,1)*H314</f>
        <v>#NAME?</v>
      </c>
      <c r="U314" s="43" t="e">
        <f aca="false">S314*H314</f>
        <v>#NAME?</v>
      </c>
      <c r="V314" s="250" t="e">
        <f aca="false">xSPRDOPT($L314,$J314,$I314,$M314,$O314,$N314,$P314,$Q314-$C$3,$R314,2)*H314</f>
        <v>#NAME?</v>
      </c>
      <c r="W314" s="250" t="e">
        <f aca="false">+V314+T314</f>
        <v>#NAME?</v>
      </c>
      <c r="X314" s="2" t="str">
        <f aca="false">CONCATENATE(G314,D314)</f>
        <v>36861IF-TRANSCO/Z6</v>
      </c>
      <c r="Y314" s="251" t="n">
        <f aca="false">H314/10000</f>
        <v>31</v>
      </c>
      <c r="Z314" s="226" t="e">
        <f aca="false">T314/H314</f>
        <v>#NAME?</v>
      </c>
      <c r="AA314" s="226" t="e">
        <f aca="false">xSPRDOPT($L314,$J314,$I314,$M314,$O314,$N314,$P314,$Q314-$C$3,$R314,3)</f>
        <v>#NAME?</v>
      </c>
      <c r="AB314" s="226" t="e">
        <f aca="false">((xSPRDOPT($L314+AB$5,$J314,$I314,$M314,$O314,$N314,$P314,$Q314-$C$3,$R314,3)*$H314)/10000)/100</f>
        <v>#NAME?</v>
      </c>
      <c r="AC314" s="226" t="e">
        <f aca="false">((xSPRDOPT($L314+$AB$5,$J314,$I314,$M314,$O314,$N314,$P314,$Q314-$C$3,$R314,7)*$H314)/100)</f>
        <v>#NAME?</v>
      </c>
      <c r="AD314" s="226" t="e">
        <f aca="false">(xSPRDOPT($L314+$AB$5,$J314,$I314,$M314,$O314,$N314,$P314,$Q314-$C$3,$R314,9)/365)*$H314</f>
        <v>#NAME?</v>
      </c>
      <c r="AE314" s="0" t="e">
        <f aca="false">CD314</f>
        <v>#NAME?</v>
      </c>
      <c r="AF314" s="226" t="e">
        <f aca="false">((O314/N314)*AH314)+AG314</f>
        <v>#NAME?</v>
      </c>
      <c r="AG314" s="226" t="e">
        <f aca="false">((xSPRDOPT($L314,$J314,$I314,$M314,$O314,$N314,$P314,$Q314-$C$3,$R314,6)*$H314)/100)</f>
        <v>#NAME?</v>
      </c>
      <c r="AH314" s="226" t="e">
        <f aca="false">((xSPRDOPT($L314,$J314,$I314,$M314,$O314,$N314,$P314,$Q314-$C$3,$R314,5)*$H314)/100)</f>
        <v>#NAME?</v>
      </c>
      <c r="AI314" s="226" t="e">
        <f aca="false">(((xSPRDOPT($L314,$J314,$I314,$M314,$O314,$N314,$P314,$Q314-$C$3,$R314,4)*$H314)/10000)/100)-AB314</f>
        <v>#NAME?</v>
      </c>
      <c r="AJ314" s="226"/>
      <c r="AK314" s="226"/>
      <c r="AL314" s="226"/>
      <c r="AM314" s="252"/>
      <c r="CC314" s="182" t="n">
        <f aca="false">G314</f>
        <v>36861</v>
      </c>
      <c r="CD314" s="253" t="e">
        <f aca="false">xSPRDOPT((VLOOKUP(G314,NGPrices,2,FALSE())+HLOOKUP(D314,Prices,VLOOKUP(G314,move_down,2,FALSE()),FALSE())),VLOOKUP(G314,NGPrices,2,FALSE()),I314,VLOOKUP(G314,NGPREVPRICES,4,FALSE()),HLOOKUP(D314,PREVVOLS,VLOOKUP(G314,MOVE_DOWN2,2,FALSE()),FALSE()),VLOOKUP(G314,NGPREVPRICES,3,FALSE()),HLOOKUP(D314,Correllate,VLOOKUP(G314,CorMove,2,FALSE()),FALSE()),Q314-$CD$3,R314,$CD$5)*H314-CJ314</f>
        <v>#NAME?</v>
      </c>
      <c r="CE314" s="253" t="e">
        <f aca="false">xSPRDOPT((VLOOKUP(G314,NGPREVPRICES,2,FALSE())+HLOOKUP(D314,PREVCURVES,VLOOKUP(G314,MOVE_DOWN2,2,FALSE()),FALSE())),VLOOKUP(G314,NGPREVPRICES,2,FALSE()),CK314,VLOOKUP(G314,NGPrices,4,FALSE()),HLOOKUP(D314,PREVVOLS,VLOOKUP(G314,MOVE_DOWN2,2,FALSE()),FALSE()),VLOOKUP(G314,NGPREVPRICES,3,FALSE()),HLOOKUP(D314,Correllate,VLOOKUP(G314,CorMove,2,FALSE()),FALSE()),Q314-$CD$3,R314,$CJ$5)*H314-CJ314</f>
        <v>#NAME?</v>
      </c>
      <c r="CF314" s="132" t="e">
        <f aca="false">(CJ314/VLOOKUP(CC314,discount,3,FALSE()))-(CJ314/VLOOKUP(CC314,discount,2,FALSE()))</f>
        <v>#NAME?</v>
      </c>
      <c r="CG314" s="253" t="e">
        <f aca="false">xSPRDOPT((VLOOKUP(G314,NGPREVPRICES,2,FALSE())+HLOOKUP(D314,PREVCURVES,VLOOKUP(G314,MOVE_DOWN2,2,FALSE()),FALSE())),VLOOKUP(G314,NGPREVPRICES,2,FALSE()),CK314,VLOOKUP(G314,NGPREVPRICES,4,FALSE()),HLOOKUP(D314,VOLS,VLOOKUP(G314,move_down,2,FALSE()),FALSE()),VLOOKUP(G314,NGPrices,3,FALSE()),HLOOKUP(D314,Correllate,VLOOKUP(G314,CorMove,2,FALSE()),FALSE()),Q314-$CD$3,R314,$CJ$5)*H314-CJ314</f>
        <v>#NAME?</v>
      </c>
      <c r="CH314" s="253" t="e">
        <f aca="false">xSPRDOPT((VLOOKUP(G314,NGPREVPRICES,2,FALSE())+HLOOKUP(D314,PREVCURVES,VLOOKUP(G314,MOVE_DOWN2,2,FALSE()),FALSE())),VLOOKUP(G314,NGPREVPRICES,2,FALSE()),CK314,VLOOKUP(G314,NGPREVPRICES,4,FALSE()),HLOOKUP(D314,PREVVOLS,VLOOKUP(G314,MOVE_DOWN2,2,FALSE()),FALSE()),VLOOKUP(G314,NGPREVPRICES,3,FALSE()),HLOOKUP(D314,Correllate,VLOOKUP(G314,CorMove,2,FALSE()),FALSE()),Q314-$C$3,R314,$CJ$5)*H314-CJ314</f>
        <v>#NAME?</v>
      </c>
      <c r="CI314" s="253" t="e">
        <f aca="false">SUM(CD314:CH314)</f>
        <v>#NAME?</v>
      </c>
      <c r="CJ314" s="253" t="e">
        <f aca="false">xSPRDOPT((VLOOKUP(G314,NGPREVPRICES,2,FALSE())+HLOOKUP(D314,PREVCURVES,VLOOKUP(G314,MOVE_DOWN2,2,FALSE()),FALSE())),VLOOKUP(G314,NGPREVPRICES,2,FALSE()),CK314,VLOOKUP(G314,NGPREVPRICES,4,FALSE()),HLOOKUP(D314,PREVVOLS,VLOOKUP(G314,MOVE_DOWN2,2,FALSE()),FALSE()),VLOOKUP(G314,NGPREVPRICES,3,FALSE()),HLOOKUP(D314,Correllate,VLOOKUP(G314,CorMove,2,FALSE()),FALSE()),Q314-$CD$3,R314,$CJ$5)*H314</f>
        <v>#NAME?</v>
      </c>
      <c r="CK314" s="254" t="n">
        <f aca="false">I314</f>
        <v>2.5</v>
      </c>
      <c r="CM314" s="0" t="str">
        <f aca="false">CONCATENATE(CC314,$CD$6)</f>
        <v>36861Curve Shift/Gamma</v>
      </c>
      <c r="CN314" s="0" t="str">
        <f aca="false">CONCATENATE($CC314,$CE$6)</f>
        <v>36861Rho</v>
      </c>
      <c r="CO314" s="0" t="str">
        <f aca="false">CONCATENATE($CC314,$CF$6)</f>
        <v>36861Drift</v>
      </c>
      <c r="CP314" s="0" t="str">
        <f aca="false">CONCATENATE($CC314,$CG$6)</f>
        <v>36861Vega</v>
      </c>
      <c r="CQ314" s="0" t="str">
        <f aca="false">CONCATENATE($CC314,$CH$6)</f>
        <v>36861Theta</v>
      </c>
    </row>
    <row r="315" customFormat="false" ht="12.75" hidden="false" customHeight="false" outlineLevel="0" collapsed="false">
      <c r="A315" s="265" t="s">
        <v>212</v>
      </c>
      <c r="B315" s="0" t="s">
        <v>192</v>
      </c>
      <c r="C315" s="0" t="s">
        <v>308</v>
      </c>
      <c r="D315" s="7" t="s">
        <v>149</v>
      </c>
      <c r="E315" s="0" t="s">
        <v>131</v>
      </c>
      <c r="F315" s="0" t="s">
        <v>136</v>
      </c>
      <c r="G315" s="92" t="n">
        <v>36831</v>
      </c>
      <c r="H315" s="248" t="n">
        <v>300000</v>
      </c>
      <c r="I315" s="0" t="n">
        <v>2.5</v>
      </c>
      <c r="J315" s="124" t="n">
        <f aca="false">VLOOKUP(G315,NGPrices,2,FALSE())</f>
        <v>4.736</v>
      </c>
      <c r="K315" s="125" t="n">
        <f aca="false">HLOOKUP(D315,Prices,VLOOKUP(G315,move_down,2,FALSE()),FALSE())+VLOOKUP(G315,CHANGE,HLOOKUP(D315,CHANGE,2,FALSE()),FALSE())</f>
        <v>0.77</v>
      </c>
      <c r="L315" s="124" t="n">
        <f aca="false">K315+J315</f>
        <v>5.506</v>
      </c>
      <c r="M315" s="126" t="n">
        <f aca="false">VLOOKUP(G315,NGPrices,4,FALSE())</f>
        <v>0.06810675983792</v>
      </c>
      <c r="N315" s="7" t="n">
        <f aca="false">VLOOKUP(G315,NGPrices,3,FALSE())</f>
        <v>0.595</v>
      </c>
      <c r="O315" s="7" t="n">
        <f aca="false">HLOOKUP(D315,VOLS,VLOOKUP(G315,move_down,2,FALSE()),FALSE())</f>
        <v>0.625</v>
      </c>
      <c r="P315" s="249" t="n">
        <f aca="false">HLOOKUP(D315,Correllate,VLOOKUP(G315,CorMove,2,FALSE()),FALSE())</f>
        <v>0.89</v>
      </c>
      <c r="Q315" s="92" t="n">
        <f aca="false">WORKDAY(G315,-2)</f>
        <v>36829</v>
      </c>
      <c r="R315" s="7" t="n">
        <f aca="false">IF(F315="P",0,1)</f>
        <v>1</v>
      </c>
      <c r="S315" s="130" t="e">
        <f aca="false">xSPRDOPT($L315,$J315,$I315,$M315,$O315,$N315,$P315,$Q315-$C$3,$R315,0)</f>
        <v>#NAME?</v>
      </c>
      <c r="T315" s="250" t="e">
        <f aca="false">xSPRDOPT($L315,$J315,$I315,$M315,$O315,$N315,$P315,$Q315-$C$3,$R315,1)*H315</f>
        <v>#NAME?</v>
      </c>
      <c r="U315" s="43" t="e">
        <f aca="false">S315*H315</f>
        <v>#NAME?</v>
      </c>
      <c r="V315" s="250" t="e">
        <f aca="false">xSPRDOPT($L315,$J315,$I315,$M315,$O315,$N315,$P315,$Q315-$C$3,$R315,2)*H315</f>
        <v>#NAME?</v>
      </c>
      <c r="W315" s="250" t="e">
        <f aca="false">+V315+T315</f>
        <v>#NAME?</v>
      </c>
      <c r="X315" s="2" t="str">
        <f aca="false">CONCATENATE(G315,D315)</f>
        <v>36831IF-TRANSCO/Z6</v>
      </c>
      <c r="Y315" s="251" t="n">
        <f aca="false">H315/10000</f>
        <v>30</v>
      </c>
      <c r="Z315" s="226" t="e">
        <f aca="false">T315/H315</f>
        <v>#NAME?</v>
      </c>
      <c r="AA315" s="226" t="e">
        <f aca="false">xSPRDOPT($L315,$J315,$I315,$M315,$O315,$N315,$P315,$Q315-$C$3,$R315,3)</f>
        <v>#NAME?</v>
      </c>
      <c r="AB315" s="226" t="e">
        <f aca="false">((xSPRDOPT($L315+AB$5,$J315,$I315,$M315,$O315,$N315,$P315,$Q315-$C$3,$R315,3)*$H315)/10000)/100</f>
        <v>#NAME?</v>
      </c>
      <c r="AC315" s="226" t="e">
        <f aca="false">((xSPRDOPT($L315+$AB$5,$J315,$I315,$M315,$O315,$N315,$P315,$Q315-$C$3,$R315,7)*$H315)/100)</f>
        <v>#NAME?</v>
      </c>
      <c r="AD315" s="226" t="e">
        <f aca="false">(xSPRDOPT($L315+$AB$5,$J315,$I315,$M315,$O315,$N315,$P315,$Q315-$C$3,$R315,9)/365)*$H315</f>
        <v>#NAME?</v>
      </c>
      <c r="AE315" s="0" t="e">
        <f aca="false">CD315</f>
        <v>#NAME?</v>
      </c>
      <c r="AF315" s="226" t="e">
        <f aca="false">((O315/N315)*AH315)+AG315</f>
        <v>#NAME?</v>
      </c>
      <c r="AG315" s="226" t="e">
        <f aca="false">((xSPRDOPT($L315,$J315,$I315,$M315,$O315,$N315,$P315,$Q315-$C$3,$R315,6)*$H315)/100)</f>
        <v>#NAME?</v>
      </c>
      <c r="AH315" s="226" t="e">
        <f aca="false">((xSPRDOPT($L315,$J315,$I315,$M315,$O315,$N315,$P315,$Q315-$C$3,$R315,5)*$H315)/100)</f>
        <v>#NAME?</v>
      </c>
      <c r="AI315" s="226" t="e">
        <f aca="false">(((xSPRDOPT($L315,$J315,$I315,$M315,$O315,$N315,$P315,$Q315-$C$3,$R315,4)*$H315)/10000)/100)-AB315</f>
        <v>#NAME?</v>
      </c>
      <c r="AJ315" s="226"/>
      <c r="AK315" s="226"/>
      <c r="AL315" s="226"/>
      <c r="AM315" s="252"/>
      <c r="CC315" s="182" t="n">
        <f aca="false">G315</f>
        <v>36831</v>
      </c>
      <c r="CD315" s="253" t="e">
        <f aca="false">xSPRDOPT((VLOOKUP(G315,NGPrices,2,FALSE())+HLOOKUP(D315,Prices,VLOOKUP(G315,move_down,2,FALSE()),FALSE())),VLOOKUP(G315,NGPrices,2,FALSE()),I315,VLOOKUP(G315,NGPREVPRICES,4,FALSE()),HLOOKUP(D315,PREVVOLS,VLOOKUP(G315,MOVE_DOWN2,2,FALSE()),FALSE()),VLOOKUP(G315,NGPREVPRICES,3,FALSE()),HLOOKUP(D315,Correllate,VLOOKUP(G315,CorMove,2,FALSE()),FALSE()),Q315-$CD$3,R315,$CD$5)*H315-CJ315</f>
        <v>#NAME?</v>
      </c>
      <c r="CE315" s="253" t="e">
        <f aca="false">xSPRDOPT((VLOOKUP(G315,NGPREVPRICES,2,FALSE())+HLOOKUP(D315,PREVCURVES,VLOOKUP(G315,MOVE_DOWN2,2,FALSE()),FALSE())),VLOOKUP(G315,NGPREVPRICES,2,FALSE()),CK315,VLOOKUP(G315,NGPrices,4,FALSE()),HLOOKUP(D315,PREVVOLS,VLOOKUP(G315,MOVE_DOWN2,2,FALSE()),FALSE()),VLOOKUP(G315,NGPREVPRICES,3,FALSE()),HLOOKUP(D315,Correllate,VLOOKUP(G315,CorMove,2,FALSE()),FALSE()),Q315-$CD$3,R315,$CJ$5)*H315-CJ315</f>
        <v>#NAME?</v>
      </c>
      <c r="CF315" s="132" t="e">
        <f aca="false">(CJ315/VLOOKUP(CC315,discount,3,FALSE()))-(CJ315/VLOOKUP(CC315,discount,2,FALSE()))</f>
        <v>#NAME?</v>
      </c>
      <c r="CG315" s="253" t="e">
        <f aca="false">xSPRDOPT((VLOOKUP(G315,NGPREVPRICES,2,FALSE())+HLOOKUP(D315,PREVCURVES,VLOOKUP(G315,MOVE_DOWN2,2,FALSE()),FALSE())),VLOOKUP(G315,NGPREVPRICES,2,FALSE()),CK315,VLOOKUP(G315,NGPREVPRICES,4,FALSE()),HLOOKUP(D315,VOLS,VLOOKUP(G315,move_down,2,FALSE()),FALSE()),VLOOKUP(G315,NGPrices,3,FALSE()),HLOOKUP(D315,Correllate,VLOOKUP(G315,CorMove,2,FALSE()),FALSE()),Q315-$CD$3,R315,$CJ$5)*H315-CJ315</f>
        <v>#NAME?</v>
      </c>
      <c r="CH315" s="253" t="e">
        <f aca="false">xSPRDOPT((VLOOKUP(G315,NGPREVPRICES,2,FALSE())+HLOOKUP(D315,PREVCURVES,VLOOKUP(G315,MOVE_DOWN2,2,FALSE()),FALSE())),VLOOKUP(G315,NGPREVPRICES,2,FALSE()),CK315,VLOOKUP(G315,NGPREVPRICES,4,FALSE()),HLOOKUP(D315,PREVVOLS,VLOOKUP(G315,MOVE_DOWN2,2,FALSE()),FALSE()),VLOOKUP(G315,NGPREVPRICES,3,FALSE()),HLOOKUP(D315,Correllate,VLOOKUP(G315,CorMove,2,FALSE()),FALSE()),Q315-$C$3,R315,$CJ$5)*H315-CJ315</f>
        <v>#NAME?</v>
      </c>
      <c r="CI315" s="253" t="e">
        <f aca="false">SUM(CD315:CH315)</f>
        <v>#NAME?</v>
      </c>
      <c r="CJ315" s="253" t="e">
        <f aca="false">xSPRDOPT((VLOOKUP(G315,NGPREVPRICES,2,FALSE())+HLOOKUP(D315,PREVCURVES,VLOOKUP(G315,MOVE_DOWN2,2,FALSE()),FALSE())),VLOOKUP(G315,NGPREVPRICES,2,FALSE()),CK315,VLOOKUP(G315,NGPREVPRICES,4,FALSE()),HLOOKUP(D315,PREVVOLS,VLOOKUP(G315,MOVE_DOWN2,2,FALSE()),FALSE()),VLOOKUP(G315,NGPREVPRICES,3,FALSE()),HLOOKUP(D315,Correllate,VLOOKUP(G315,CorMove,2,FALSE()),FALSE()),Q315-$CD$3,R315,$CJ$5)*H315</f>
        <v>#NAME?</v>
      </c>
      <c r="CK315" s="254" t="n">
        <f aca="false">I315</f>
        <v>2.5</v>
      </c>
      <c r="CM315" s="0" t="str">
        <f aca="false">CONCATENATE(CC315,$CD$6)</f>
        <v>36831Curve Shift/Gamma</v>
      </c>
      <c r="CN315" s="0" t="str">
        <f aca="false">CONCATENATE($CC315,$CE$6)</f>
        <v>36831Rho</v>
      </c>
      <c r="CO315" s="0" t="str">
        <f aca="false">CONCATENATE($CC315,$CF$6)</f>
        <v>36831Drift</v>
      </c>
      <c r="CP315" s="0" t="str">
        <f aca="false">CONCATENATE($CC315,$CG$6)</f>
        <v>36831Vega</v>
      </c>
      <c r="CQ315" s="0" t="str">
        <f aca="false">CONCATENATE($CC315,$CH$6)</f>
        <v>36831Theta</v>
      </c>
    </row>
    <row r="316" customFormat="false" ht="12.75" hidden="false" customHeight="false" outlineLevel="0" collapsed="false">
      <c r="A316" s="265" t="s">
        <v>309</v>
      </c>
      <c r="B316" s="0" t="s">
        <v>192</v>
      </c>
      <c r="C316" s="0" t="s">
        <v>310</v>
      </c>
      <c r="D316" s="7" t="s">
        <v>149</v>
      </c>
      <c r="E316" s="0" t="s">
        <v>131</v>
      </c>
      <c r="F316" s="0" t="s">
        <v>132</v>
      </c>
      <c r="G316" s="92" t="n">
        <v>36951</v>
      </c>
      <c r="H316" s="248" t="n">
        <v>500000</v>
      </c>
      <c r="I316" s="0" t="n">
        <v>0.4</v>
      </c>
      <c r="J316" s="124" t="n">
        <f aca="false">VLOOKUP(G316,NGPrices,2,FALSE())</f>
        <v>4.213</v>
      </c>
      <c r="K316" s="125" t="n">
        <f aca="false">HLOOKUP(D316,Prices,VLOOKUP(G316,move_down,2,FALSE()),FALSE())+VLOOKUP(G316,CHANGE,HLOOKUP(D316,CHANGE,2,FALSE()),FALSE())</f>
        <v>1.075</v>
      </c>
      <c r="L316" s="124" t="n">
        <f aca="false">K316+J316</f>
        <v>5.288</v>
      </c>
      <c r="M316" s="126" t="n">
        <f aca="false">VLOOKUP(G316,NGPrices,4,FALSE())</f>
        <v>0.068879814952707</v>
      </c>
      <c r="N316" s="7" t="n">
        <f aca="false">VLOOKUP(G316,NGPrices,3,FALSE())</f>
        <v>0.5325</v>
      </c>
      <c r="O316" s="7" t="n">
        <f aca="false">HLOOKUP(D316,VOLS,VLOOKUP(G316,move_down,2,FALSE()),FALSE())</f>
        <v>0.612</v>
      </c>
      <c r="P316" s="249" t="n">
        <f aca="false">HLOOKUP(D316,Correllate,VLOOKUP(G316,CorMove,2,FALSE()),FALSE())</f>
        <v>0.83</v>
      </c>
      <c r="Q316" s="92" t="n">
        <f aca="false">WORKDAY(G316,-2)</f>
        <v>36949</v>
      </c>
      <c r="R316" s="7" t="n">
        <f aca="false">IF(F316="P",0,1)</f>
        <v>0</v>
      </c>
      <c r="S316" s="130" t="e">
        <f aca="false">xSPRDOPT($L316,$J316,$I316,$M316,$O316,$N316,$P316,$Q316-$C$3,$R316,0)</f>
        <v>#NAME?</v>
      </c>
      <c r="T316" s="250" t="e">
        <f aca="false">xSPRDOPT($L316,$J316,$I316,$M316,$O316,$N316,$P316,$Q316-$C$3,$R316,1)*H316</f>
        <v>#NAME?</v>
      </c>
      <c r="U316" s="43" t="e">
        <f aca="false">S316*H316</f>
        <v>#NAME?</v>
      </c>
      <c r="V316" s="250" t="e">
        <f aca="false">xSPRDOPT($L316,$J316,$I316,$M316,$O316,$N316,$P316,$Q316-$C$3,$R316,2)*H316</f>
        <v>#NAME?</v>
      </c>
      <c r="W316" s="250" t="e">
        <f aca="false">+V316+T316</f>
        <v>#NAME?</v>
      </c>
      <c r="X316" s="2" t="str">
        <f aca="false">CONCATENATE(G316,D316)</f>
        <v>36951IF-TRANSCO/Z6</v>
      </c>
      <c r="Y316" s="251" t="n">
        <f aca="false">H316/10000</f>
        <v>50</v>
      </c>
      <c r="Z316" s="226" t="e">
        <f aca="false">T316/H316</f>
        <v>#NAME?</v>
      </c>
      <c r="AA316" s="226" t="e">
        <f aca="false">xSPRDOPT($L316,$J316,$I316,$M316,$O316,$N316,$P316,$Q316-$C$3,$R316,3)</f>
        <v>#NAME?</v>
      </c>
      <c r="AB316" s="226" t="e">
        <f aca="false">((xSPRDOPT($L316+AB$5,$J316,$I316,$M316,$O316,$N316,$P316,$Q316-$C$3,$R316,3)*$H316)/10000)/100</f>
        <v>#NAME?</v>
      </c>
      <c r="AC316" s="226" t="e">
        <f aca="false">((xSPRDOPT($L316+$AB$5,$J316,$I316,$M316,$O316,$N316,$P316,$Q316-$C$3,$R316,7)*$H316)/100)</f>
        <v>#NAME?</v>
      </c>
      <c r="AD316" s="226" t="e">
        <f aca="false">(xSPRDOPT($L316+$AB$5,$J316,$I316,$M316,$O316,$N316,$P316,$Q316-$C$3,$R316,9)/365)*$H316</f>
        <v>#NAME?</v>
      </c>
      <c r="AE316" s="0" t="e">
        <f aca="false">CD316</f>
        <v>#NAME?</v>
      </c>
      <c r="AF316" s="226" t="e">
        <f aca="false">((O316/N316)*AH316)+AG316</f>
        <v>#NAME?</v>
      </c>
      <c r="AG316" s="226" t="e">
        <f aca="false">((xSPRDOPT($L316,$J316,$I316,$M316,$O316,$N316,$P316,$Q316-$C$3,$R316,6)*$H316)/100)</f>
        <v>#NAME?</v>
      </c>
      <c r="AH316" s="226" t="e">
        <f aca="false">((xSPRDOPT($L316,$J316,$I316,$M316,$O316,$N316,$P316,$Q316-$C$3,$R316,5)*$H316)/100)</f>
        <v>#NAME?</v>
      </c>
      <c r="AI316" s="226" t="e">
        <f aca="false">(((xSPRDOPT($L316,$J316,$I316,$M316,$O316,$N316,$P316,$Q316-$C$3,$R316,4)*$H316)/10000)/100)-AB316</f>
        <v>#NAME?</v>
      </c>
      <c r="AJ316" s="226"/>
      <c r="AK316" s="226"/>
      <c r="AL316" s="226"/>
      <c r="AM316" s="252"/>
      <c r="CC316" s="182" t="n">
        <f aca="false">G316</f>
        <v>36951</v>
      </c>
      <c r="CD316" s="253" t="e">
        <f aca="false">xSPRDOPT((VLOOKUP(G316,NGPrices,2,FALSE())+HLOOKUP(D316,Prices,VLOOKUP(G316,move_down,2,FALSE()),FALSE())),VLOOKUP(G316,NGPrices,2,FALSE()),I316,VLOOKUP(G316,NGPREVPRICES,4,FALSE()),HLOOKUP(D316,PREVVOLS,VLOOKUP(G316,MOVE_DOWN2,2,FALSE()),FALSE()),VLOOKUP(G316,NGPREVPRICES,3,FALSE()),HLOOKUP(D316,Correllate,VLOOKUP(G316,CorMove,2,FALSE()),FALSE()),Q316-$CD$3,R316,$CD$5)*H316-CJ316</f>
        <v>#NAME?</v>
      </c>
      <c r="CE316" s="253" t="e">
        <f aca="false">xSPRDOPT((VLOOKUP(G316,NGPREVPRICES,2,FALSE())+HLOOKUP(D316,PREVCURVES,VLOOKUP(G316,MOVE_DOWN2,2,FALSE()),FALSE())),VLOOKUP(G316,NGPREVPRICES,2,FALSE()),CK316,VLOOKUP(G316,NGPrices,4,FALSE()),HLOOKUP(D316,PREVVOLS,VLOOKUP(G316,MOVE_DOWN2,2,FALSE()),FALSE()),VLOOKUP(G316,NGPREVPRICES,3,FALSE()),HLOOKUP(D316,Correllate,VLOOKUP(G316,CorMove,2,FALSE()),FALSE()),Q316-$CD$3,R316,$CJ$5)*H316-CJ316</f>
        <v>#NAME?</v>
      </c>
      <c r="CF316" s="132" t="e">
        <f aca="false">(CJ316/VLOOKUP(CC316,discount,3,FALSE()))-(CJ316/VLOOKUP(CC316,discount,2,FALSE()))</f>
        <v>#NAME?</v>
      </c>
      <c r="CG316" s="253" t="e">
        <f aca="false">xSPRDOPT((VLOOKUP(G316,NGPREVPRICES,2,FALSE())+HLOOKUP(D316,PREVCURVES,VLOOKUP(G316,MOVE_DOWN2,2,FALSE()),FALSE())),VLOOKUP(G316,NGPREVPRICES,2,FALSE()),CK316,VLOOKUP(G316,NGPREVPRICES,4,FALSE()),HLOOKUP(D316,VOLS,VLOOKUP(G316,move_down,2,FALSE()),FALSE()),VLOOKUP(G316,NGPrices,3,FALSE()),HLOOKUP(D316,Correllate,VLOOKUP(G316,CorMove,2,FALSE()),FALSE()),Q316-$CD$3,R316,$CJ$5)*H316-CJ316</f>
        <v>#NAME?</v>
      </c>
      <c r="CH316" s="253" t="e">
        <f aca="false">xSPRDOPT((VLOOKUP(G316,NGPREVPRICES,2,FALSE())+HLOOKUP(D316,PREVCURVES,VLOOKUP(G316,MOVE_DOWN2,2,FALSE()),FALSE())),VLOOKUP(G316,NGPREVPRICES,2,FALSE()),CK316,VLOOKUP(G316,NGPREVPRICES,4,FALSE()),HLOOKUP(D316,PREVVOLS,VLOOKUP(G316,MOVE_DOWN2,2,FALSE()),FALSE()),VLOOKUP(G316,NGPREVPRICES,3,FALSE()),HLOOKUP(D316,Correllate,VLOOKUP(G316,CorMove,2,FALSE()),FALSE()),Q316-$C$3,R316,$CJ$5)*H316-CJ316</f>
        <v>#NAME?</v>
      </c>
      <c r="CI316" s="253" t="e">
        <f aca="false">SUM(CD316:CH316)</f>
        <v>#NAME?</v>
      </c>
      <c r="CJ316" s="253" t="e">
        <f aca="false">xSPRDOPT((VLOOKUP(G316,NGPREVPRICES,2,FALSE())+HLOOKUP(D316,PREVCURVES,VLOOKUP(G316,MOVE_DOWN2,2,FALSE()),FALSE())),VLOOKUP(G316,NGPREVPRICES,2,FALSE()),CK316,VLOOKUP(G316,NGPREVPRICES,4,FALSE()),HLOOKUP(D316,PREVVOLS,VLOOKUP(G316,MOVE_DOWN2,2,FALSE()),FALSE()),VLOOKUP(G316,NGPREVPRICES,3,FALSE()),HLOOKUP(D316,Correllate,VLOOKUP(G316,CorMove,2,FALSE()),FALSE()),Q316-$CD$3,R316,$CJ$5)*H316</f>
        <v>#NAME?</v>
      </c>
      <c r="CK316" s="254" t="n">
        <f aca="false">I316</f>
        <v>0.4</v>
      </c>
      <c r="CM316" s="0" t="str">
        <f aca="false">CONCATENATE(CC316,$CD$6)</f>
        <v>36951Curve Shift/Gamma</v>
      </c>
      <c r="CN316" s="0" t="str">
        <f aca="false">CONCATENATE($CC316,$CE$6)</f>
        <v>36951Rho</v>
      </c>
      <c r="CO316" s="0" t="str">
        <f aca="false">CONCATENATE($CC316,$CF$6)</f>
        <v>36951Drift</v>
      </c>
      <c r="CP316" s="0" t="str">
        <f aca="false">CONCATENATE($CC316,$CG$6)</f>
        <v>36951Vega</v>
      </c>
      <c r="CQ316" s="0" t="str">
        <f aca="false">CONCATENATE($CC316,$CH$6)</f>
        <v>36951Theta</v>
      </c>
    </row>
    <row r="317" customFormat="false" ht="12.75" hidden="false" customHeight="false" outlineLevel="0" collapsed="false">
      <c r="A317" s="265" t="s">
        <v>309</v>
      </c>
      <c r="B317" s="0" t="s">
        <v>192</v>
      </c>
      <c r="C317" s="0" t="s">
        <v>310</v>
      </c>
      <c r="D317" s="7" t="s">
        <v>149</v>
      </c>
      <c r="E317" s="0" t="s">
        <v>131</v>
      </c>
      <c r="F317" s="0" t="s">
        <v>132</v>
      </c>
      <c r="G317" s="92" t="n">
        <v>36923</v>
      </c>
      <c r="H317" s="248" t="n">
        <v>500000</v>
      </c>
      <c r="I317" s="0" t="n">
        <v>0.4</v>
      </c>
      <c r="J317" s="124" t="n">
        <f aca="false">VLOOKUP(G317,NGPrices,2,FALSE())</f>
        <v>4.48</v>
      </c>
      <c r="K317" s="125" t="n">
        <f aca="false">HLOOKUP(D317,Prices,VLOOKUP(G317,move_down,2,FALSE()),FALSE())+VLOOKUP(G317,CHANGE,HLOOKUP(D317,CHANGE,2,FALSE()),FALSE())</f>
        <v>2.09</v>
      </c>
      <c r="L317" s="124" t="n">
        <f aca="false">K317+J317</f>
        <v>6.57</v>
      </c>
      <c r="M317" s="126" t="n">
        <f aca="false">VLOOKUP(G317,NGPrices,4,FALSE())</f>
        <v>0.068640161611372</v>
      </c>
      <c r="N317" s="7" t="n">
        <f aca="false">VLOOKUP(G317,NGPrices,3,FALSE())</f>
        <v>0.5925</v>
      </c>
      <c r="O317" s="7" t="n">
        <f aca="false">HLOOKUP(D317,VOLS,VLOOKUP(G317,move_down,2,FALSE()),FALSE())</f>
        <v>0.681</v>
      </c>
      <c r="P317" s="249" t="n">
        <f aca="false">HLOOKUP(D317,Correllate,VLOOKUP(G317,CorMove,2,FALSE()),FALSE())</f>
        <v>0.83</v>
      </c>
      <c r="Q317" s="92" t="n">
        <f aca="false">WORKDAY(G317,-2)</f>
        <v>36921</v>
      </c>
      <c r="R317" s="7" t="n">
        <f aca="false">IF(F317="P",0,1)</f>
        <v>0</v>
      </c>
      <c r="S317" s="130" t="e">
        <f aca="false">xSPRDOPT($L317,$J317,$I317,$M317,$O317,$N317,$P317,$Q317-$C$3,$R317,0)</f>
        <v>#NAME?</v>
      </c>
      <c r="T317" s="250" t="e">
        <f aca="false">xSPRDOPT($L317,$J317,$I317,$M317,$O317,$N317,$P317,$Q317-$C$3,$R317,1)*H317</f>
        <v>#NAME?</v>
      </c>
      <c r="U317" s="43" t="e">
        <f aca="false">S317*H317</f>
        <v>#NAME?</v>
      </c>
      <c r="V317" s="250" t="e">
        <f aca="false">xSPRDOPT($L317,$J317,$I317,$M317,$O317,$N317,$P317,$Q317-$C$3,$R317,2)*H317</f>
        <v>#NAME?</v>
      </c>
      <c r="W317" s="250" t="e">
        <f aca="false">+V317+T317</f>
        <v>#NAME?</v>
      </c>
      <c r="X317" s="2" t="str">
        <f aca="false">CONCATENATE(G317,D317)</f>
        <v>36923IF-TRANSCO/Z6</v>
      </c>
      <c r="Y317" s="251" t="n">
        <f aca="false">H317/10000</f>
        <v>50</v>
      </c>
      <c r="Z317" s="226" t="e">
        <f aca="false">T317/H317</f>
        <v>#NAME?</v>
      </c>
      <c r="AA317" s="226" t="e">
        <f aca="false">xSPRDOPT($L317,$J317,$I317,$M317,$O317,$N317,$P317,$Q317-$C$3,$R317,3)</f>
        <v>#NAME?</v>
      </c>
      <c r="AB317" s="226" t="e">
        <f aca="false">((xSPRDOPT($L317+AB$5,$J317,$I317,$M317,$O317,$N317,$P317,$Q317-$C$3,$R317,3)*$H317)/10000)/100</f>
        <v>#NAME?</v>
      </c>
      <c r="AC317" s="226" t="e">
        <f aca="false">((xSPRDOPT($L317+$AB$5,$J317,$I317,$M317,$O317,$N317,$P317,$Q317-$C$3,$R317,7)*$H317)/100)</f>
        <v>#NAME?</v>
      </c>
      <c r="AD317" s="226" t="e">
        <f aca="false">(xSPRDOPT($L317+$AB$5,$J317,$I317,$M317,$O317,$N317,$P317,$Q317-$C$3,$R317,9)/365)*$H317</f>
        <v>#NAME?</v>
      </c>
      <c r="AE317" s="0" t="e">
        <f aca="false">CD317</f>
        <v>#NAME?</v>
      </c>
      <c r="AF317" s="226" t="e">
        <f aca="false">((O317/N317)*AH317)+AG317</f>
        <v>#NAME?</v>
      </c>
      <c r="AG317" s="226" t="e">
        <f aca="false">((xSPRDOPT($L317,$J317,$I317,$M317,$O317,$N317,$P317,$Q317-$C$3,$R317,6)*$H317)/100)</f>
        <v>#NAME?</v>
      </c>
      <c r="AH317" s="226" t="e">
        <f aca="false">((xSPRDOPT($L317,$J317,$I317,$M317,$O317,$N317,$P317,$Q317-$C$3,$R317,5)*$H317)/100)</f>
        <v>#NAME?</v>
      </c>
      <c r="AI317" s="226" t="e">
        <f aca="false">(((xSPRDOPT($L317,$J317,$I317,$M317,$O317,$N317,$P317,$Q317-$C$3,$R317,4)*$H317)/10000)/100)-AB317</f>
        <v>#NAME?</v>
      </c>
      <c r="AJ317" s="226"/>
      <c r="AK317" s="226"/>
      <c r="AL317" s="226"/>
      <c r="AM317" s="252"/>
      <c r="CC317" s="182" t="n">
        <f aca="false">G317</f>
        <v>36923</v>
      </c>
      <c r="CD317" s="253" t="e">
        <f aca="false">xSPRDOPT((VLOOKUP(G317,NGPrices,2,FALSE())+HLOOKUP(D317,Prices,VLOOKUP(G317,move_down,2,FALSE()),FALSE())),VLOOKUP(G317,NGPrices,2,FALSE()),I317,VLOOKUP(G317,NGPREVPRICES,4,FALSE()),HLOOKUP(D317,PREVVOLS,VLOOKUP(G317,MOVE_DOWN2,2,FALSE()),FALSE()),VLOOKUP(G317,NGPREVPRICES,3,FALSE()),HLOOKUP(D317,Correllate,VLOOKUP(G317,CorMove,2,FALSE()),FALSE()),Q317-$CD$3,R317,$CD$5)*H317-CJ317</f>
        <v>#NAME?</v>
      </c>
      <c r="CE317" s="253" t="e">
        <f aca="false">xSPRDOPT((VLOOKUP(G317,NGPREVPRICES,2,FALSE())+HLOOKUP(D317,PREVCURVES,VLOOKUP(G317,MOVE_DOWN2,2,FALSE()),FALSE())),VLOOKUP(G317,NGPREVPRICES,2,FALSE()),CK317,VLOOKUP(G317,NGPrices,4,FALSE()),HLOOKUP(D317,PREVVOLS,VLOOKUP(G317,MOVE_DOWN2,2,FALSE()),FALSE()),VLOOKUP(G317,NGPREVPRICES,3,FALSE()),HLOOKUP(D317,Correllate,VLOOKUP(G317,CorMove,2,FALSE()),FALSE()),Q317-$CD$3,R317,$CJ$5)*H317-CJ317</f>
        <v>#NAME?</v>
      </c>
      <c r="CF317" s="132" t="e">
        <f aca="false">(CJ317/VLOOKUP(CC317,discount,3,FALSE()))-(CJ317/VLOOKUP(CC317,discount,2,FALSE()))</f>
        <v>#NAME?</v>
      </c>
      <c r="CG317" s="253" t="e">
        <f aca="false">xSPRDOPT((VLOOKUP(G317,NGPREVPRICES,2,FALSE())+HLOOKUP(D317,PREVCURVES,VLOOKUP(G317,MOVE_DOWN2,2,FALSE()),FALSE())),VLOOKUP(G317,NGPREVPRICES,2,FALSE()),CK317,VLOOKUP(G317,NGPREVPRICES,4,FALSE()),HLOOKUP(D317,VOLS,VLOOKUP(G317,move_down,2,FALSE()),FALSE()),VLOOKUP(G317,NGPrices,3,FALSE()),HLOOKUP(D317,Correllate,VLOOKUP(G317,CorMove,2,FALSE()),FALSE()),Q317-$CD$3,R317,$CJ$5)*H317-CJ317</f>
        <v>#NAME?</v>
      </c>
      <c r="CH317" s="253" t="e">
        <f aca="false">xSPRDOPT((VLOOKUP(G317,NGPREVPRICES,2,FALSE())+HLOOKUP(D317,PREVCURVES,VLOOKUP(G317,MOVE_DOWN2,2,FALSE()),FALSE())),VLOOKUP(G317,NGPREVPRICES,2,FALSE()),CK317,VLOOKUP(G317,NGPREVPRICES,4,FALSE()),HLOOKUP(D317,PREVVOLS,VLOOKUP(G317,MOVE_DOWN2,2,FALSE()),FALSE()),VLOOKUP(G317,NGPREVPRICES,3,FALSE()),HLOOKUP(D317,Correllate,VLOOKUP(G317,CorMove,2,FALSE()),FALSE()),Q317-$C$3,R317,$CJ$5)*H317-CJ317</f>
        <v>#NAME?</v>
      </c>
      <c r="CI317" s="253" t="e">
        <f aca="false">SUM(CD317:CH317)</f>
        <v>#NAME?</v>
      </c>
      <c r="CJ317" s="253" t="e">
        <f aca="false">xSPRDOPT((VLOOKUP(G317,NGPREVPRICES,2,FALSE())+HLOOKUP(D317,PREVCURVES,VLOOKUP(G317,MOVE_DOWN2,2,FALSE()),FALSE())),VLOOKUP(G317,NGPREVPRICES,2,FALSE()),CK317,VLOOKUP(G317,NGPREVPRICES,4,FALSE()),HLOOKUP(D317,PREVVOLS,VLOOKUP(G317,MOVE_DOWN2,2,FALSE()),FALSE()),VLOOKUP(G317,NGPREVPRICES,3,FALSE()),HLOOKUP(D317,Correllate,VLOOKUP(G317,CorMove,2,FALSE()),FALSE()),Q317-$CD$3,R317,$CJ$5)*H317</f>
        <v>#NAME?</v>
      </c>
      <c r="CK317" s="254" t="n">
        <f aca="false">I317</f>
        <v>0.4</v>
      </c>
      <c r="CM317" s="0" t="str">
        <f aca="false">CONCATENATE(CC317,$CD$6)</f>
        <v>36923Curve Shift/Gamma</v>
      </c>
      <c r="CN317" s="0" t="str">
        <f aca="false">CONCATENATE($CC317,$CE$6)</f>
        <v>36923Rho</v>
      </c>
      <c r="CO317" s="0" t="str">
        <f aca="false">CONCATENATE($CC317,$CF$6)</f>
        <v>36923Drift</v>
      </c>
      <c r="CP317" s="0" t="str">
        <f aca="false">CONCATENATE($CC317,$CG$6)</f>
        <v>36923Vega</v>
      </c>
      <c r="CQ317" s="0" t="str">
        <f aca="false">CONCATENATE($CC317,$CH$6)</f>
        <v>36923Theta</v>
      </c>
    </row>
    <row r="318" customFormat="false" ht="12.75" hidden="false" customHeight="false" outlineLevel="0" collapsed="false">
      <c r="A318" s="265" t="s">
        <v>309</v>
      </c>
      <c r="B318" s="0" t="s">
        <v>192</v>
      </c>
      <c r="C318" s="0" t="s">
        <v>310</v>
      </c>
      <c r="D318" s="7" t="s">
        <v>149</v>
      </c>
      <c r="E318" s="0" t="s">
        <v>131</v>
      </c>
      <c r="F318" s="0" t="s">
        <v>132</v>
      </c>
      <c r="G318" s="92" t="n">
        <v>36892</v>
      </c>
      <c r="H318" s="248" t="n">
        <v>500000</v>
      </c>
      <c r="I318" s="0" t="n">
        <v>0.4</v>
      </c>
      <c r="J318" s="124" t="n">
        <f aca="false">VLOOKUP(G318,NGPrices,2,FALSE())</f>
        <v>4.744</v>
      </c>
      <c r="K318" s="125" t="n">
        <f aca="false">HLOOKUP(D318,Prices,VLOOKUP(G318,move_down,2,FALSE()),FALSE())+VLOOKUP(G318,CHANGE,HLOOKUP(D318,CHANGE,2,FALSE()),FALSE())</f>
        <v>2.17</v>
      </c>
      <c r="L318" s="124" t="n">
        <f aca="false">K318+J318</f>
        <v>6.914</v>
      </c>
      <c r="M318" s="126" t="n">
        <f aca="false">VLOOKUP(G318,NGPrices,4,FALSE())</f>
        <v>0.068374831148491</v>
      </c>
      <c r="N318" s="7" t="n">
        <f aca="false">VLOOKUP(G318,NGPrices,3,FALSE())</f>
        <v>0.605</v>
      </c>
      <c r="O318" s="7" t="n">
        <f aca="false">HLOOKUP(D318,VOLS,VLOOKUP(G318,move_down,2,FALSE()),FALSE())</f>
        <v>0.696</v>
      </c>
      <c r="P318" s="249" t="n">
        <f aca="false">HLOOKUP(D318,Correllate,VLOOKUP(G318,CorMove,2,FALSE()),FALSE())</f>
        <v>0.83</v>
      </c>
      <c r="Q318" s="92" t="n">
        <f aca="false">WORKDAY(G318,-2)</f>
        <v>36888</v>
      </c>
      <c r="R318" s="7" t="n">
        <f aca="false">IF(F318="P",0,1)</f>
        <v>0</v>
      </c>
      <c r="S318" s="130" t="e">
        <f aca="false">xSPRDOPT($L318,$J318,$I318,$M318,$O318,$N318,$P318,$Q318-$C$3,$R318,0)</f>
        <v>#NAME?</v>
      </c>
      <c r="T318" s="250" t="e">
        <f aca="false">xSPRDOPT($L318,$J318,$I318,$M318,$O318,$N318,$P318,$Q318-$C$3,$R318,1)*H318</f>
        <v>#NAME?</v>
      </c>
      <c r="U318" s="43" t="e">
        <f aca="false">S318*H318</f>
        <v>#NAME?</v>
      </c>
      <c r="V318" s="250" t="e">
        <f aca="false">xSPRDOPT($L318,$J318,$I318,$M318,$O318,$N318,$P318,$Q318-$C$3,$R318,2)*H318</f>
        <v>#NAME?</v>
      </c>
      <c r="W318" s="250" t="e">
        <f aca="false">+V318+T318</f>
        <v>#NAME?</v>
      </c>
      <c r="X318" s="2" t="str">
        <f aca="false">CONCATENATE(G318,D318)</f>
        <v>36892IF-TRANSCO/Z6</v>
      </c>
      <c r="Y318" s="251" t="n">
        <f aca="false">H318/10000</f>
        <v>50</v>
      </c>
      <c r="Z318" s="226" t="e">
        <f aca="false">T318/H318</f>
        <v>#NAME?</v>
      </c>
      <c r="AA318" s="226" t="e">
        <f aca="false">xSPRDOPT($L318,$J318,$I318,$M318,$O318,$N318,$P318,$Q318-$C$3,$R318,3)</f>
        <v>#NAME?</v>
      </c>
      <c r="AB318" s="226" t="e">
        <f aca="false">((xSPRDOPT($L318+AB$5,$J318,$I318,$M318,$O318,$N318,$P318,$Q318-$C$3,$R318,3)*$H318)/10000)/100</f>
        <v>#NAME?</v>
      </c>
      <c r="AC318" s="226" t="e">
        <f aca="false">((xSPRDOPT($L318+$AB$5,$J318,$I318,$M318,$O318,$N318,$P318,$Q318-$C$3,$R318,7)*$H318)/100)</f>
        <v>#NAME?</v>
      </c>
      <c r="AD318" s="226" t="e">
        <f aca="false">(xSPRDOPT($L318+$AB$5,$J318,$I318,$M318,$O318,$N318,$P318,$Q318-$C$3,$R318,9)/365)*$H318</f>
        <v>#NAME?</v>
      </c>
      <c r="AE318" s="0" t="e">
        <f aca="false">CD318</f>
        <v>#NAME?</v>
      </c>
      <c r="AF318" s="226" t="e">
        <f aca="false">((O318/N318)*AH318)+AG318</f>
        <v>#NAME?</v>
      </c>
      <c r="AG318" s="226" t="e">
        <f aca="false">((xSPRDOPT($L318,$J318,$I318,$M318,$O318,$N318,$P318,$Q318-$C$3,$R318,6)*$H318)/100)</f>
        <v>#NAME?</v>
      </c>
      <c r="AH318" s="226" t="e">
        <f aca="false">((xSPRDOPT($L318,$J318,$I318,$M318,$O318,$N318,$P318,$Q318-$C$3,$R318,5)*$H318)/100)</f>
        <v>#NAME?</v>
      </c>
      <c r="AI318" s="226" t="e">
        <f aca="false">(((xSPRDOPT($L318,$J318,$I318,$M318,$O318,$N318,$P318,$Q318-$C$3,$R318,4)*$H318)/10000)/100)-AB318</f>
        <v>#NAME?</v>
      </c>
      <c r="AJ318" s="226"/>
      <c r="AK318" s="226"/>
      <c r="AL318" s="226"/>
      <c r="AM318" s="252"/>
      <c r="CC318" s="182" t="n">
        <f aca="false">G318</f>
        <v>36892</v>
      </c>
      <c r="CD318" s="253" t="e">
        <f aca="false">xSPRDOPT((VLOOKUP(G318,NGPrices,2,FALSE())+HLOOKUP(D318,Prices,VLOOKUP(G318,move_down,2,FALSE()),FALSE())),VLOOKUP(G318,NGPrices,2,FALSE()),I318,VLOOKUP(G318,NGPREVPRICES,4,FALSE()),HLOOKUP(D318,PREVVOLS,VLOOKUP(G318,MOVE_DOWN2,2,FALSE()),FALSE()),VLOOKUP(G318,NGPREVPRICES,3,FALSE()),HLOOKUP(D318,Correllate,VLOOKUP(G318,CorMove,2,FALSE()),FALSE()),Q318-$CD$3,R318,$CD$5)*H318-CJ318</f>
        <v>#NAME?</v>
      </c>
      <c r="CE318" s="253" t="e">
        <f aca="false">xSPRDOPT((VLOOKUP(G318,NGPREVPRICES,2,FALSE())+HLOOKUP(D318,PREVCURVES,VLOOKUP(G318,MOVE_DOWN2,2,FALSE()),FALSE())),VLOOKUP(G318,NGPREVPRICES,2,FALSE()),CK318,VLOOKUP(G318,NGPrices,4,FALSE()),HLOOKUP(D318,PREVVOLS,VLOOKUP(G318,MOVE_DOWN2,2,FALSE()),FALSE()),VLOOKUP(G318,NGPREVPRICES,3,FALSE()),HLOOKUP(D318,Correllate,VLOOKUP(G318,CorMove,2,FALSE()),FALSE()),Q318-$CD$3,R318,$CJ$5)*H318-CJ318</f>
        <v>#NAME?</v>
      </c>
      <c r="CF318" s="132" t="e">
        <f aca="false">(CJ318/VLOOKUP(CC318,discount,3,FALSE()))-(CJ318/VLOOKUP(CC318,discount,2,FALSE()))</f>
        <v>#NAME?</v>
      </c>
      <c r="CG318" s="253" t="e">
        <f aca="false">xSPRDOPT((VLOOKUP(G318,NGPREVPRICES,2,FALSE())+HLOOKUP(D318,PREVCURVES,VLOOKUP(G318,MOVE_DOWN2,2,FALSE()),FALSE())),VLOOKUP(G318,NGPREVPRICES,2,FALSE()),CK318,VLOOKUP(G318,NGPREVPRICES,4,FALSE()),HLOOKUP(D318,VOLS,VLOOKUP(G318,move_down,2,FALSE()),FALSE()),VLOOKUP(G318,NGPrices,3,FALSE()),HLOOKUP(D318,Correllate,VLOOKUP(G318,CorMove,2,FALSE()),FALSE()),Q318-$CD$3,R318,$CJ$5)*H318-CJ318</f>
        <v>#NAME?</v>
      </c>
      <c r="CH318" s="253" t="e">
        <f aca="false">xSPRDOPT((VLOOKUP(G318,NGPREVPRICES,2,FALSE())+HLOOKUP(D318,PREVCURVES,VLOOKUP(G318,MOVE_DOWN2,2,FALSE()),FALSE())),VLOOKUP(G318,NGPREVPRICES,2,FALSE()),CK318,VLOOKUP(G318,NGPREVPRICES,4,FALSE()),HLOOKUP(D318,PREVVOLS,VLOOKUP(G318,MOVE_DOWN2,2,FALSE()),FALSE()),VLOOKUP(G318,NGPREVPRICES,3,FALSE()),HLOOKUP(D318,Correllate,VLOOKUP(G318,CorMove,2,FALSE()),FALSE()),Q318-$C$3,R318,$CJ$5)*H318-CJ318</f>
        <v>#NAME?</v>
      </c>
      <c r="CI318" s="253" t="e">
        <f aca="false">SUM(CD318:CH318)</f>
        <v>#NAME?</v>
      </c>
      <c r="CJ318" s="253" t="e">
        <f aca="false">xSPRDOPT((VLOOKUP(G318,NGPREVPRICES,2,FALSE())+HLOOKUP(D318,PREVCURVES,VLOOKUP(G318,MOVE_DOWN2,2,FALSE()),FALSE())),VLOOKUP(G318,NGPREVPRICES,2,FALSE()),CK318,VLOOKUP(G318,NGPREVPRICES,4,FALSE()),HLOOKUP(D318,PREVVOLS,VLOOKUP(G318,MOVE_DOWN2,2,FALSE()),FALSE()),VLOOKUP(G318,NGPREVPRICES,3,FALSE()),HLOOKUP(D318,Correllate,VLOOKUP(G318,CorMove,2,FALSE()),FALSE()),Q318-$CD$3,R318,$CJ$5)*H318</f>
        <v>#NAME?</v>
      </c>
      <c r="CK318" s="254" t="n">
        <f aca="false">I318</f>
        <v>0.4</v>
      </c>
      <c r="CM318" s="0" t="str">
        <f aca="false">CONCATENATE(CC318,$CD$6)</f>
        <v>36892Curve Shift/Gamma</v>
      </c>
      <c r="CN318" s="0" t="str">
        <f aca="false">CONCATENATE($CC318,$CE$6)</f>
        <v>36892Rho</v>
      </c>
      <c r="CO318" s="0" t="str">
        <f aca="false">CONCATENATE($CC318,$CF$6)</f>
        <v>36892Drift</v>
      </c>
      <c r="CP318" s="0" t="str">
        <f aca="false">CONCATENATE($CC318,$CG$6)</f>
        <v>36892Vega</v>
      </c>
      <c r="CQ318" s="0" t="str">
        <f aca="false">CONCATENATE($CC318,$CH$6)</f>
        <v>36892Theta</v>
      </c>
    </row>
    <row r="319" customFormat="false" ht="12.75" hidden="false" customHeight="false" outlineLevel="0" collapsed="false">
      <c r="A319" s="265" t="s">
        <v>309</v>
      </c>
      <c r="B319" s="0" t="s">
        <v>192</v>
      </c>
      <c r="C319" s="0" t="s">
        <v>310</v>
      </c>
      <c r="D319" s="7" t="s">
        <v>149</v>
      </c>
      <c r="E319" s="0" t="s">
        <v>131</v>
      </c>
      <c r="F319" s="0" t="s">
        <v>132</v>
      </c>
      <c r="G319" s="92" t="n">
        <v>36861</v>
      </c>
      <c r="H319" s="248" t="n">
        <v>500000</v>
      </c>
      <c r="I319" s="0" t="n">
        <v>0.4</v>
      </c>
      <c r="J319" s="124" t="n">
        <f aca="false">VLOOKUP(G319,NGPrices,2,FALSE())</f>
        <v>4.8</v>
      </c>
      <c r="K319" s="125" t="n">
        <f aca="false">HLOOKUP(D319,Prices,VLOOKUP(G319,move_down,2,FALSE()),FALSE())+VLOOKUP(G319,CHANGE,HLOOKUP(D319,CHANGE,2,FALSE()),FALSE())</f>
        <v>1.645</v>
      </c>
      <c r="L319" s="124" t="n">
        <f aca="false">K319+J319</f>
        <v>6.445</v>
      </c>
      <c r="M319" s="126" t="n">
        <f aca="false">VLOOKUP(G319,NGPrices,4,FALSE())</f>
        <v>0.068314027999354</v>
      </c>
      <c r="N319" s="7" t="n">
        <f aca="false">VLOOKUP(G319,NGPrices,3,FALSE())</f>
        <v>0.6</v>
      </c>
      <c r="O319" s="7" t="n">
        <f aca="false">HLOOKUP(D319,VOLS,VLOOKUP(G319,move_down,2,FALSE()),FALSE())</f>
        <v>0.69</v>
      </c>
      <c r="P319" s="249" t="n">
        <f aca="false">HLOOKUP(D319,Correllate,VLOOKUP(G319,CorMove,2,FALSE()),FALSE())</f>
        <v>0.83</v>
      </c>
      <c r="Q319" s="92" t="n">
        <f aca="false">WORKDAY(G319,-2)</f>
        <v>36859</v>
      </c>
      <c r="R319" s="7" t="n">
        <f aca="false">IF(F319="P",0,1)</f>
        <v>0</v>
      </c>
      <c r="S319" s="130" t="e">
        <f aca="false">xSPRDOPT($L319,$J319,$I319,$M319,$O319,$N319,$P319,$Q319-$C$3,$R319,0)</f>
        <v>#NAME?</v>
      </c>
      <c r="T319" s="250" t="e">
        <f aca="false">xSPRDOPT($L319,$J319,$I319,$M319,$O319,$N319,$P319,$Q319-$C$3,$R319,1)*H319</f>
        <v>#NAME?</v>
      </c>
      <c r="U319" s="43" t="e">
        <f aca="false">S319*H319</f>
        <v>#NAME?</v>
      </c>
      <c r="V319" s="250" t="e">
        <f aca="false">xSPRDOPT($L319,$J319,$I319,$M319,$O319,$N319,$P319,$Q319-$C$3,$R319,2)*H319</f>
        <v>#NAME?</v>
      </c>
      <c r="W319" s="250" t="e">
        <f aca="false">+V319+T319</f>
        <v>#NAME?</v>
      </c>
      <c r="X319" s="2" t="str">
        <f aca="false">CONCATENATE(G319,D319)</f>
        <v>36861IF-TRANSCO/Z6</v>
      </c>
      <c r="Y319" s="251" t="n">
        <f aca="false">H319/10000</f>
        <v>50</v>
      </c>
      <c r="Z319" s="226" t="e">
        <f aca="false">T319/H319</f>
        <v>#NAME?</v>
      </c>
      <c r="AA319" s="226" t="e">
        <f aca="false">xSPRDOPT($L319,$J319,$I319,$M319,$O319,$N319,$P319,$Q319-$C$3,$R319,3)</f>
        <v>#NAME?</v>
      </c>
      <c r="AB319" s="226" t="e">
        <f aca="false">((xSPRDOPT($L319+AB$5,$J319,$I319,$M319,$O319,$N319,$P319,$Q319-$C$3,$R319,3)*$H319)/10000)/100</f>
        <v>#NAME?</v>
      </c>
      <c r="AC319" s="226" t="e">
        <f aca="false">((xSPRDOPT($L319+$AB$5,$J319,$I319,$M319,$O319,$N319,$P319,$Q319-$C$3,$R319,7)*$H319)/100)</f>
        <v>#NAME?</v>
      </c>
      <c r="AD319" s="226" t="e">
        <f aca="false">(xSPRDOPT($L319+$AB$5,$J319,$I319,$M319,$O319,$N319,$P319,$Q319-$C$3,$R319,9)/365)*$H319</f>
        <v>#NAME?</v>
      </c>
      <c r="AE319" s="0" t="e">
        <f aca="false">CD319</f>
        <v>#NAME?</v>
      </c>
      <c r="AF319" s="226" t="e">
        <f aca="false">((O319/N319)*AH319)+AG319</f>
        <v>#NAME?</v>
      </c>
      <c r="AG319" s="226" t="e">
        <f aca="false">((xSPRDOPT($L319,$J319,$I319,$M319,$O319,$N319,$P319,$Q319-$C$3,$R319,6)*$H319)/100)</f>
        <v>#NAME?</v>
      </c>
      <c r="AH319" s="226" t="e">
        <f aca="false">((xSPRDOPT($L319,$J319,$I319,$M319,$O319,$N319,$P319,$Q319-$C$3,$R319,5)*$H319)/100)</f>
        <v>#NAME?</v>
      </c>
      <c r="AI319" s="226" t="e">
        <f aca="false">(((xSPRDOPT($L319,$J319,$I319,$M319,$O319,$N319,$P319,$Q319-$C$3,$R319,4)*$H319)/10000)/100)-AB319</f>
        <v>#NAME?</v>
      </c>
      <c r="AJ319" s="226"/>
      <c r="AK319" s="226"/>
      <c r="AL319" s="226"/>
      <c r="AM319" s="252"/>
      <c r="CC319" s="182" t="n">
        <f aca="false">G319</f>
        <v>36861</v>
      </c>
      <c r="CD319" s="253" t="e">
        <f aca="false">xSPRDOPT((VLOOKUP(G319,NGPrices,2,FALSE())+HLOOKUP(D319,Prices,VLOOKUP(G319,move_down,2,FALSE()),FALSE())),VLOOKUP(G319,NGPrices,2,FALSE()),I319,VLOOKUP(G319,NGPREVPRICES,4,FALSE()),HLOOKUP(D319,PREVVOLS,VLOOKUP(G319,MOVE_DOWN2,2,FALSE()),FALSE()),VLOOKUP(G319,NGPREVPRICES,3,FALSE()),HLOOKUP(D319,Correllate,VLOOKUP(G319,CorMove,2,FALSE()),FALSE()),Q319-$CD$3,R319,$CD$5)*H319-CJ319</f>
        <v>#NAME?</v>
      </c>
      <c r="CE319" s="253" t="e">
        <f aca="false">xSPRDOPT((VLOOKUP(G319,NGPREVPRICES,2,FALSE())+HLOOKUP(D319,PREVCURVES,VLOOKUP(G319,MOVE_DOWN2,2,FALSE()),FALSE())),VLOOKUP(G319,NGPREVPRICES,2,FALSE()),CK319,VLOOKUP(G319,NGPrices,4,FALSE()),HLOOKUP(D319,PREVVOLS,VLOOKUP(G319,MOVE_DOWN2,2,FALSE()),FALSE()),VLOOKUP(G319,NGPREVPRICES,3,FALSE()),HLOOKUP(D319,Correllate,VLOOKUP(G319,CorMove,2,FALSE()),FALSE()),Q319-$CD$3,R319,$CJ$5)*H319-CJ319</f>
        <v>#NAME?</v>
      </c>
      <c r="CF319" s="132" t="e">
        <f aca="false">(CJ319/VLOOKUP(CC319,discount,3,FALSE()))-(CJ319/VLOOKUP(CC319,discount,2,FALSE()))</f>
        <v>#NAME?</v>
      </c>
      <c r="CG319" s="253" t="e">
        <f aca="false">xSPRDOPT((VLOOKUP(G319,NGPREVPRICES,2,FALSE())+HLOOKUP(D319,PREVCURVES,VLOOKUP(G319,MOVE_DOWN2,2,FALSE()),FALSE())),VLOOKUP(G319,NGPREVPRICES,2,FALSE()),CK319,VLOOKUP(G319,NGPREVPRICES,4,FALSE()),HLOOKUP(D319,VOLS,VLOOKUP(G319,move_down,2,FALSE()),FALSE()),VLOOKUP(G319,NGPrices,3,FALSE()),HLOOKUP(D319,Correllate,VLOOKUP(G319,CorMove,2,FALSE()),FALSE()),Q319-$CD$3,R319,$CJ$5)*H319-CJ319</f>
        <v>#NAME?</v>
      </c>
      <c r="CH319" s="253" t="e">
        <f aca="false">xSPRDOPT((VLOOKUP(G319,NGPREVPRICES,2,FALSE())+HLOOKUP(D319,PREVCURVES,VLOOKUP(G319,MOVE_DOWN2,2,FALSE()),FALSE())),VLOOKUP(G319,NGPREVPRICES,2,FALSE()),CK319,VLOOKUP(G319,NGPREVPRICES,4,FALSE()),HLOOKUP(D319,PREVVOLS,VLOOKUP(G319,MOVE_DOWN2,2,FALSE()),FALSE()),VLOOKUP(G319,NGPREVPRICES,3,FALSE()),HLOOKUP(D319,Correllate,VLOOKUP(G319,CorMove,2,FALSE()),FALSE()),Q319-$C$3,R319,$CJ$5)*H319-CJ319</f>
        <v>#NAME?</v>
      </c>
      <c r="CI319" s="253" t="e">
        <f aca="false">SUM(CD319:CH319)</f>
        <v>#NAME?</v>
      </c>
      <c r="CJ319" s="253" t="e">
        <f aca="false">xSPRDOPT((VLOOKUP(G319,NGPREVPRICES,2,FALSE())+HLOOKUP(D319,PREVCURVES,VLOOKUP(G319,MOVE_DOWN2,2,FALSE()),FALSE())),VLOOKUP(G319,NGPREVPRICES,2,FALSE()),CK319,VLOOKUP(G319,NGPREVPRICES,4,FALSE()),HLOOKUP(D319,PREVVOLS,VLOOKUP(G319,MOVE_DOWN2,2,FALSE()),FALSE()),VLOOKUP(G319,NGPREVPRICES,3,FALSE()),HLOOKUP(D319,Correllate,VLOOKUP(G319,CorMove,2,FALSE()),FALSE()),Q319-$CD$3,R319,$CJ$5)*H319</f>
        <v>#NAME?</v>
      </c>
      <c r="CK319" s="254" t="n">
        <f aca="false">I319</f>
        <v>0.4</v>
      </c>
      <c r="CM319" s="0" t="str">
        <f aca="false">CONCATENATE(CC319,$CD$6)</f>
        <v>36861Curve Shift/Gamma</v>
      </c>
      <c r="CN319" s="0" t="str">
        <f aca="false">CONCATENATE($CC319,$CE$6)</f>
        <v>36861Rho</v>
      </c>
      <c r="CO319" s="0" t="str">
        <f aca="false">CONCATENATE($CC319,$CF$6)</f>
        <v>36861Drift</v>
      </c>
      <c r="CP319" s="0" t="str">
        <f aca="false">CONCATENATE($CC319,$CG$6)</f>
        <v>36861Vega</v>
      </c>
      <c r="CQ319" s="0" t="str">
        <f aca="false">CONCATENATE($CC319,$CH$6)</f>
        <v>36861Theta</v>
      </c>
    </row>
    <row r="320" customFormat="false" ht="12.75" hidden="false" customHeight="false" outlineLevel="0" collapsed="false">
      <c r="A320" s="265" t="s">
        <v>309</v>
      </c>
      <c r="B320" s="0" t="s">
        <v>192</v>
      </c>
      <c r="C320" s="0" t="s">
        <v>310</v>
      </c>
      <c r="D320" s="7" t="s">
        <v>149</v>
      </c>
      <c r="E320" s="0" t="s">
        <v>131</v>
      </c>
      <c r="F320" s="0" t="s">
        <v>132</v>
      </c>
      <c r="G320" s="92" t="n">
        <v>36831</v>
      </c>
      <c r="H320" s="248" t="n">
        <v>500000</v>
      </c>
      <c r="I320" s="0" t="n">
        <v>0.4</v>
      </c>
      <c r="J320" s="124" t="n">
        <f aca="false">VLOOKUP(G320,NGPrices,2,FALSE())</f>
        <v>4.736</v>
      </c>
      <c r="K320" s="125" t="n">
        <f aca="false">HLOOKUP(D320,Prices,VLOOKUP(G320,move_down,2,FALSE()),FALSE())+VLOOKUP(G320,CHANGE,HLOOKUP(D320,CHANGE,2,FALSE()),FALSE())</f>
        <v>0.77</v>
      </c>
      <c r="L320" s="124" t="n">
        <f aca="false">K320+J320</f>
        <v>5.506</v>
      </c>
      <c r="M320" s="126" t="n">
        <f aca="false">VLOOKUP(G320,NGPrices,4,FALSE())</f>
        <v>0.06810675983792</v>
      </c>
      <c r="N320" s="7" t="n">
        <f aca="false">VLOOKUP(G320,NGPrices,3,FALSE())</f>
        <v>0.595</v>
      </c>
      <c r="O320" s="7" t="n">
        <f aca="false">HLOOKUP(D320,VOLS,VLOOKUP(G320,move_down,2,FALSE()),FALSE())</f>
        <v>0.625</v>
      </c>
      <c r="P320" s="249" t="n">
        <f aca="false">HLOOKUP(D320,Correllate,VLOOKUP(G320,CorMove,2,FALSE()),FALSE())</f>
        <v>0.89</v>
      </c>
      <c r="Q320" s="92" t="n">
        <f aca="false">WORKDAY(G320,-2)</f>
        <v>36829</v>
      </c>
      <c r="R320" s="7" t="n">
        <f aca="false">IF(F320="P",0,1)</f>
        <v>0</v>
      </c>
      <c r="S320" s="130" t="e">
        <f aca="false">xSPRDOPT($L320,$J320,$I320,$M320,$O320,$N320,$P320,$Q320-$C$3,$R320,0)</f>
        <v>#NAME?</v>
      </c>
      <c r="T320" s="250" t="e">
        <f aca="false">xSPRDOPT($L320,$J320,$I320,$M320,$O320,$N320,$P320,$Q320-$C$3,$R320,1)*H320</f>
        <v>#NAME?</v>
      </c>
      <c r="U320" s="43" t="e">
        <f aca="false">S320*H320</f>
        <v>#NAME?</v>
      </c>
      <c r="V320" s="250" t="e">
        <f aca="false">xSPRDOPT($L320,$J320,$I320,$M320,$O320,$N320,$P320,$Q320-$C$3,$R320,2)*H320</f>
        <v>#NAME?</v>
      </c>
      <c r="W320" s="250" t="e">
        <f aca="false">+V320+T320</f>
        <v>#NAME?</v>
      </c>
      <c r="X320" s="2" t="str">
        <f aca="false">CONCATENATE(G320,D320)</f>
        <v>36831IF-TRANSCO/Z6</v>
      </c>
      <c r="Y320" s="251" t="n">
        <f aca="false">H320/10000</f>
        <v>50</v>
      </c>
      <c r="Z320" s="226" t="e">
        <f aca="false">T320/H320</f>
        <v>#NAME?</v>
      </c>
      <c r="AA320" s="226" t="e">
        <f aca="false">xSPRDOPT($L320,$J320,$I320,$M320,$O320,$N320,$P320,$Q320-$C$3,$R320,3)</f>
        <v>#NAME?</v>
      </c>
      <c r="AB320" s="226" t="e">
        <f aca="false">((xSPRDOPT($L320+AB$5,$J320,$I320,$M320,$O320,$N320,$P320,$Q320-$C$3,$R320,3)*$H320)/10000)/100</f>
        <v>#NAME?</v>
      </c>
      <c r="AC320" s="226" t="e">
        <f aca="false">((xSPRDOPT($L320+$AB$5,$J320,$I320,$M320,$O320,$N320,$P320,$Q320-$C$3,$R320,7)*$H320)/100)</f>
        <v>#NAME?</v>
      </c>
      <c r="AD320" s="226" t="e">
        <f aca="false">(xSPRDOPT($L320+$AB$5,$J320,$I320,$M320,$O320,$N320,$P320,$Q320-$C$3,$R320,9)/365)*$H320</f>
        <v>#NAME?</v>
      </c>
      <c r="AE320" s="0" t="e">
        <f aca="false">CD320</f>
        <v>#NAME?</v>
      </c>
      <c r="AF320" s="226" t="e">
        <f aca="false">((O320/N320)*AH320)+AG320</f>
        <v>#NAME?</v>
      </c>
      <c r="AG320" s="226" t="e">
        <f aca="false">((xSPRDOPT($L320,$J320,$I320,$M320,$O320,$N320,$P320,$Q320-$C$3,$R320,6)*$H320)/100)</f>
        <v>#NAME?</v>
      </c>
      <c r="AH320" s="226" t="e">
        <f aca="false">((xSPRDOPT($L320,$J320,$I320,$M320,$O320,$N320,$P320,$Q320-$C$3,$R320,5)*$H320)/100)</f>
        <v>#NAME?</v>
      </c>
      <c r="AI320" s="226" t="e">
        <f aca="false">(((xSPRDOPT($L320,$J320,$I320,$M320,$O320,$N320,$P320,$Q320-$C$3,$R320,4)*$H320)/10000)/100)-AB320</f>
        <v>#NAME?</v>
      </c>
      <c r="AJ320" s="226"/>
      <c r="AK320" s="226"/>
      <c r="AL320" s="226"/>
      <c r="AM320" s="252"/>
      <c r="CC320" s="182" t="n">
        <f aca="false">G320</f>
        <v>36831</v>
      </c>
      <c r="CD320" s="253" t="e">
        <f aca="false">xSPRDOPT((VLOOKUP(G320,NGPrices,2,FALSE())+HLOOKUP(D320,Prices,VLOOKUP(G320,move_down,2,FALSE()),FALSE())),VLOOKUP(G320,NGPrices,2,FALSE()),I320,VLOOKUP(G320,NGPREVPRICES,4,FALSE()),HLOOKUP(D320,PREVVOLS,VLOOKUP(G320,MOVE_DOWN2,2,FALSE()),FALSE()),VLOOKUP(G320,NGPREVPRICES,3,FALSE()),HLOOKUP(D320,Correllate,VLOOKUP(G320,CorMove,2,FALSE()),FALSE()),Q320-$CD$3,R320,$CD$5)*H320-CJ320</f>
        <v>#NAME?</v>
      </c>
      <c r="CE320" s="253" t="e">
        <f aca="false">xSPRDOPT((VLOOKUP(G320,NGPREVPRICES,2,FALSE())+HLOOKUP(D320,PREVCURVES,VLOOKUP(G320,MOVE_DOWN2,2,FALSE()),FALSE())),VLOOKUP(G320,NGPREVPRICES,2,FALSE()),CK320,VLOOKUP(G320,NGPrices,4,FALSE()),HLOOKUP(D320,PREVVOLS,VLOOKUP(G320,MOVE_DOWN2,2,FALSE()),FALSE()),VLOOKUP(G320,NGPREVPRICES,3,FALSE()),HLOOKUP(D320,Correllate,VLOOKUP(G320,CorMove,2,FALSE()),FALSE()),Q320-$CD$3,R320,$CJ$5)*H320-CJ320</f>
        <v>#NAME?</v>
      </c>
      <c r="CF320" s="132" t="e">
        <f aca="false">(CJ320/VLOOKUP(CC320,discount,3,FALSE()))-(CJ320/VLOOKUP(CC320,discount,2,FALSE()))</f>
        <v>#NAME?</v>
      </c>
      <c r="CG320" s="253" t="e">
        <f aca="false">xSPRDOPT((VLOOKUP(G320,NGPREVPRICES,2,FALSE())+HLOOKUP(D320,PREVCURVES,VLOOKUP(G320,MOVE_DOWN2,2,FALSE()),FALSE())),VLOOKUP(G320,NGPREVPRICES,2,FALSE()),CK320,VLOOKUP(G320,NGPREVPRICES,4,FALSE()),HLOOKUP(D320,VOLS,VLOOKUP(G320,move_down,2,FALSE()),FALSE()),VLOOKUP(G320,NGPrices,3,FALSE()),HLOOKUP(D320,Correllate,VLOOKUP(G320,CorMove,2,FALSE()),FALSE()),Q320-$CD$3,R320,$CJ$5)*H320-CJ320</f>
        <v>#NAME?</v>
      </c>
      <c r="CH320" s="253" t="e">
        <f aca="false">xSPRDOPT((VLOOKUP(G320,NGPREVPRICES,2,FALSE())+HLOOKUP(D320,PREVCURVES,VLOOKUP(G320,MOVE_DOWN2,2,FALSE()),FALSE())),VLOOKUP(G320,NGPREVPRICES,2,FALSE()),CK320,VLOOKUP(G320,NGPREVPRICES,4,FALSE()),HLOOKUP(D320,PREVVOLS,VLOOKUP(G320,MOVE_DOWN2,2,FALSE()),FALSE()),VLOOKUP(G320,NGPREVPRICES,3,FALSE()),HLOOKUP(D320,Correllate,VLOOKUP(G320,CorMove,2,FALSE()),FALSE()),Q320-$C$3,R320,$CJ$5)*H320-CJ320</f>
        <v>#NAME?</v>
      </c>
      <c r="CI320" s="253" t="e">
        <f aca="false">SUM(CD320:CH320)</f>
        <v>#NAME?</v>
      </c>
      <c r="CJ320" s="253" t="e">
        <f aca="false">xSPRDOPT((VLOOKUP(G320,NGPREVPRICES,2,FALSE())+HLOOKUP(D320,PREVCURVES,VLOOKUP(G320,MOVE_DOWN2,2,FALSE()),FALSE())),VLOOKUP(G320,NGPREVPRICES,2,FALSE()),CK320,VLOOKUP(G320,NGPREVPRICES,4,FALSE()),HLOOKUP(D320,PREVVOLS,VLOOKUP(G320,MOVE_DOWN2,2,FALSE()),FALSE()),VLOOKUP(G320,NGPREVPRICES,3,FALSE()),HLOOKUP(D320,Correllate,VLOOKUP(G320,CorMove,2,FALSE()),FALSE()),Q320-$CD$3,R320,$CJ$5)*H320</f>
        <v>#NAME?</v>
      </c>
      <c r="CK320" s="254" t="n">
        <f aca="false">I320</f>
        <v>0.4</v>
      </c>
      <c r="CM320" s="0" t="str">
        <f aca="false">CONCATENATE(CC320,$CD$6)</f>
        <v>36831Curve Shift/Gamma</v>
      </c>
      <c r="CN320" s="0" t="str">
        <f aca="false">CONCATENATE($CC320,$CE$6)</f>
        <v>36831Rho</v>
      </c>
      <c r="CO320" s="0" t="str">
        <f aca="false">CONCATENATE($CC320,$CF$6)</f>
        <v>36831Drift</v>
      </c>
      <c r="CP320" s="0" t="str">
        <f aca="false">CONCATENATE($CC320,$CG$6)</f>
        <v>36831Vega</v>
      </c>
      <c r="CQ320" s="0" t="str">
        <f aca="false">CONCATENATE($CC320,$CH$6)</f>
        <v>36831Theta</v>
      </c>
    </row>
    <row r="321" customFormat="false" ht="12.75" hidden="false" customHeight="false" outlineLevel="0" collapsed="false">
      <c r="A321" s="265" t="s">
        <v>198</v>
      </c>
      <c r="B321" s="0" t="s">
        <v>192</v>
      </c>
      <c r="C321" s="0" t="s">
        <v>311</v>
      </c>
      <c r="D321" s="7" t="s">
        <v>149</v>
      </c>
      <c r="E321" s="0" t="s">
        <v>131</v>
      </c>
      <c r="F321" s="0" t="s">
        <v>136</v>
      </c>
      <c r="G321" s="92" t="n">
        <v>36951</v>
      </c>
      <c r="H321" s="248" t="n">
        <v>-500000</v>
      </c>
      <c r="I321" s="0" t="n">
        <v>1.7</v>
      </c>
      <c r="J321" s="124" t="n">
        <f aca="false">VLOOKUP(G321,NGPrices,2,FALSE())</f>
        <v>4.213</v>
      </c>
      <c r="K321" s="125" t="n">
        <f aca="false">HLOOKUP(D321,Prices,VLOOKUP(G321,move_down,2,FALSE()),FALSE())+VLOOKUP(G321,CHANGE,HLOOKUP(D321,CHANGE,2,FALSE()),FALSE())</f>
        <v>1.075</v>
      </c>
      <c r="L321" s="124" t="n">
        <f aca="false">K321+J321</f>
        <v>5.288</v>
      </c>
      <c r="M321" s="126" t="n">
        <f aca="false">VLOOKUP(G321,NGPrices,4,FALSE())</f>
        <v>0.068879814952707</v>
      </c>
      <c r="N321" s="7" t="n">
        <f aca="false">VLOOKUP(G321,NGPrices,3,FALSE())</f>
        <v>0.5325</v>
      </c>
      <c r="O321" s="7" t="n">
        <f aca="false">HLOOKUP(D321,VOLS,VLOOKUP(G321,move_down,2,FALSE()),FALSE())</f>
        <v>0.612</v>
      </c>
      <c r="P321" s="249" t="n">
        <f aca="false">HLOOKUP(D321,Correllate,VLOOKUP(G321,CorMove,2,FALSE()),FALSE())</f>
        <v>0.83</v>
      </c>
      <c r="Q321" s="92" t="n">
        <f aca="false">WORKDAY(G321,-2)</f>
        <v>36949</v>
      </c>
      <c r="R321" s="7" t="n">
        <f aca="false">IF(F321="P",0,1)</f>
        <v>1</v>
      </c>
      <c r="S321" s="130" t="e">
        <f aca="false">xSPRDOPT($L321,$J321,$I321,$M321,$O321,$N321,$P321,$Q321-$C$3,$R321,0)</f>
        <v>#NAME?</v>
      </c>
      <c r="T321" s="250" t="e">
        <f aca="false">xSPRDOPT($L321,$J321,$I321,$M321,$O321,$N321,$P321,$Q321-$C$3,$R321,1)*H321</f>
        <v>#NAME?</v>
      </c>
      <c r="U321" s="43" t="e">
        <f aca="false">S321*H321</f>
        <v>#NAME?</v>
      </c>
      <c r="V321" s="250" t="e">
        <f aca="false">xSPRDOPT($L321,$J321,$I321,$M321,$O321,$N321,$P321,$Q321-$C$3,$R321,2)*H321</f>
        <v>#NAME?</v>
      </c>
      <c r="W321" s="250" t="e">
        <f aca="false">+V321+T321</f>
        <v>#NAME?</v>
      </c>
      <c r="X321" s="2" t="str">
        <f aca="false">CONCATENATE(G321,D321)</f>
        <v>36951IF-TRANSCO/Z6</v>
      </c>
      <c r="Y321" s="251" t="n">
        <f aca="false">H321/10000</f>
        <v>-50</v>
      </c>
      <c r="Z321" s="226" t="e">
        <f aca="false">T321/H321</f>
        <v>#NAME?</v>
      </c>
      <c r="AA321" s="226" t="e">
        <f aca="false">xSPRDOPT($L321,$J321,$I321,$M321,$O321,$N321,$P321,$Q321-$C$3,$R321,3)</f>
        <v>#NAME?</v>
      </c>
      <c r="AB321" s="226" t="e">
        <f aca="false">((xSPRDOPT($L321+AB$5,$J321,$I321,$M321,$O321,$N321,$P321,$Q321-$C$3,$R321,3)*$H321)/10000)/100</f>
        <v>#NAME?</v>
      </c>
      <c r="AC321" s="226" t="e">
        <f aca="false">((xSPRDOPT($L321+$AB$5,$J321,$I321,$M321,$O321,$N321,$P321,$Q321-$C$3,$R321,7)*$H321)/100)</f>
        <v>#NAME?</v>
      </c>
      <c r="AD321" s="226" t="e">
        <f aca="false">(xSPRDOPT($L321+$AB$5,$J321,$I321,$M321,$O321,$N321,$P321,$Q321-$C$3,$R321,9)/365)*$H321</f>
        <v>#NAME?</v>
      </c>
      <c r="AE321" s="0" t="e">
        <f aca="false">CD321</f>
        <v>#NAME?</v>
      </c>
      <c r="AF321" s="226" t="e">
        <f aca="false">((O321/N321)*AH321)+AG321</f>
        <v>#NAME?</v>
      </c>
      <c r="AG321" s="226" t="e">
        <f aca="false">((xSPRDOPT($L321,$J321,$I321,$M321,$O321,$N321,$P321,$Q321-$C$3,$R321,6)*$H321)/100)</f>
        <v>#NAME?</v>
      </c>
      <c r="AH321" s="226" t="e">
        <f aca="false">((xSPRDOPT($L321,$J321,$I321,$M321,$O321,$N321,$P321,$Q321-$C$3,$R321,5)*$H321)/100)</f>
        <v>#NAME?</v>
      </c>
      <c r="AI321" s="226" t="e">
        <f aca="false">(((xSPRDOPT($L321,$J321,$I321,$M321,$O321,$N321,$P321,$Q321-$C$3,$R321,4)*$H321)/10000)/100)-AB321</f>
        <v>#NAME?</v>
      </c>
      <c r="AJ321" s="226"/>
      <c r="AK321" s="226"/>
      <c r="AL321" s="226"/>
      <c r="AM321" s="252"/>
      <c r="CC321" s="182" t="n">
        <f aca="false">G321</f>
        <v>36951</v>
      </c>
      <c r="CD321" s="253" t="e">
        <f aca="false">xSPRDOPT((VLOOKUP(G321,NGPrices,2,FALSE())+HLOOKUP(D321,Prices,VLOOKUP(G321,move_down,2,FALSE()),FALSE())),VLOOKUP(G321,NGPrices,2,FALSE()),I321,VLOOKUP(G321,NGPREVPRICES,4,FALSE()),HLOOKUP(D321,PREVVOLS,VLOOKUP(G321,MOVE_DOWN2,2,FALSE()),FALSE()),VLOOKUP(G321,NGPREVPRICES,3,FALSE()),HLOOKUP(D321,Correllate,VLOOKUP(G321,CorMove,2,FALSE()),FALSE()),Q321-$CD$3,R321,$CD$5)*H321-CJ321</f>
        <v>#NAME?</v>
      </c>
      <c r="CE321" s="253" t="e">
        <f aca="false">xSPRDOPT((VLOOKUP(G321,NGPREVPRICES,2,FALSE())+HLOOKUP(D321,PREVCURVES,VLOOKUP(G321,MOVE_DOWN2,2,FALSE()),FALSE())),VLOOKUP(G321,NGPREVPRICES,2,FALSE()),CK321,VLOOKUP(G321,NGPrices,4,FALSE()),HLOOKUP(D321,PREVVOLS,VLOOKUP(G321,MOVE_DOWN2,2,FALSE()),FALSE()),VLOOKUP(G321,NGPREVPRICES,3,FALSE()),HLOOKUP(D321,Correllate,VLOOKUP(G321,CorMove,2,FALSE()),FALSE()),Q321-$CD$3,R321,$CJ$5)*H321-CJ321</f>
        <v>#NAME?</v>
      </c>
      <c r="CF321" s="132" t="e">
        <f aca="false">(CJ321/VLOOKUP(CC321,discount,3,FALSE()))-(CJ321/VLOOKUP(CC321,discount,2,FALSE()))</f>
        <v>#NAME?</v>
      </c>
      <c r="CG321" s="253" t="e">
        <f aca="false">xSPRDOPT((VLOOKUP(G321,NGPREVPRICES,2,FALSE())+HLOOKUP(D321,PREVCURVES,VLOOKUP(G321,MOVE_DOWN2,2,FALSE()),FALSE())),VLOOKUP(G321,NGPREVPRICES,2,FALSE()),CK321,VLOOKUP(G321,NGPREVPRICES,4,FALSE()),HLOOKUP(D321,VOLS,VLOOKUP(G321,move_down,2,FALSE()),FALSE()),VLOOKUP(G321,NGPrices,3,FALSE()),HLOOKUP(D321,Correllate,VLOOKUP(G321,CorMove,2,FALSE()),FALSE()),Q321-$CD$3,R321,$CJ$5)*H321-CJ321</f>
        <v>#NAME?</v>
      </c>
      <c r="CH321" s="253" t="e">
        <f aca="false">xSPRDOPT((VLOOKUP(G321,NGPREVPRICES,2,FALSE())+HLOOKUP(D321,PREVCURVES,VLOOKUP(G321,MOVE_DOWN2,2,FALSE()),FALSE())),VLOOKUP(G321,NGPREVPRICES,2,FALSE()),CK321,VLOOKUP(G321,NGPREVPRICES,4,FALSE()),HLOOKUP(D321,PREVVOLS,VLOOKUP(G321,MOVE_DOWN2,2,FALSE()),FALSE()),VLOOKUP(G321,NGPREVPRICES,3,FALSE()),HLOOKUP(D321,Correllate,VLOOKUP(G321,CorMove,2,FALSE()),FALSE()),Q321-$C$3,R321,$CJ$5)*H321-CJ321</f>
        <v>#NAME?</v>
      </c>
      <c r="CI321" s="253" t="e">
        <f aca="false">SUM(CD321:CH321)</f>
        <v>#NAME?</v>
      </c>
      <c r="CJ321" s="253" t="e">
        <f aca="false">xSPRDOPT((VLOOKUP(G321,NGPREVPRICES,2,FALSE())+HLOOKUP(D321,PREVCURVES,VLOOKUP(G321,MOVE_DOWN2,2,FALSE()),FALSE())),VLOOKUP(G321,NGPREVPRICES,2,FALSE()),CK321,VLOOKUP(G321,NGPREVPRICES,4,FALSE()),HLOOKUP(D321,PREVVOLS,VLOOKUP(G321,MOVE_DOWN2,2,FALSE()),FALSE()),VLOOKUP(G321,NGPREVPRICES,3,FALSE()),HLOOKUP(D321,Correllate,VLOOKUP(G321,CorMove,2,FALSE()),FALSE()),Q321-$CD$3,R321,$CJ$5)*H321</f>
        <v>#NAME?</v>
      </c>
      <c r="CK321" s="254" t="n">
        <f aca="false">I321</f>
        <v>1.7</v>
      </c>
      <c r="CM321" s="0" t="str">
        <f aca="false">CONCATENATE(CC321,$CD$6)</f>
        <v>36951Curve Shift/Gamma</v>
      </c>
      <c r="CN321" s="0" t="str">
        <f aca="false">CONCATENATE($CC321,$CE$6)</f>
        <v>36951Rho</v>
      </c>
      <c r="CO321" s="0" t="str">
        <f aca="false">CONCATENATE($CC321,$CF$6)</f>
        <v>36951Drift</v>
      </c>
      <c r="CP321" s="0" t="str">
        <f aca="false">CONCATENATE($CC321,$CG$6)</f>
        <v>36951Vega</v>
      </c>
      <c r="CQ321" s="0" t="str">
        <f aca="false">CONCATENATE($CC321,$CH$6)</f>
        <v>36951Theta</v>
      </c>
    </row>
    <row r="322" customFormat="false" ht="12.75" hidden="false" customHeight="false" outlineLevel="0" collapsed="false">
      <c r="A322" s="265" t="s">
        <v>198</v>
      </c>
      <c r="B322" s="0" t="s">
        <v>192</v>
      </c>
      <c r="C322" s="0" t="s">
        <v>312</v>
      </c>
      <c r="D322" s="7" t="s">
        <v>149</v>
      </c>
      <c r="E322" s="0" t="s">
        <v>131</v>
      </c>
      <c r="F322" s="0" t="s">
        <v>136</v>
      </c>
      <c r="G322" s="92" t="n">
        <v>36951</v>
      </c>
      <c r="H322" s="248" t="n">
        <v>1000000</v>
      </c>
      <c r="I322" s="0" t="n">
        <v>2.5</v>
      </c>
      <c r="J322" s="124" t="n">
        <f aca="false">VLOOKUP(G322,NGPrices,2,FALSE())</f>
        <v>4.213</v>
      </c>
      <c r="K322" s="125" t="n">
        <f aca="false">HLOOKUP(D322,Prices,VLOOKUP(G322,move_down,2,FALSE()),FALSE())+VLOOKUP(G322,CHANGE,HLOOKUP(D322,CHANGE,2,FALSE()),FALSE())</f>
        <v>1.075</v>
      </c>
      <c r="L322" s="124" t="n">
        <f aca="false">K322+J322</f>
        <v>5.288</v>
      </c>
      <c r="M322" s="126" t="n">
        <f aca="false">VLOOKUP(G322,NGPrices,4,FALSE())</f>
        <v>0.068879814952707</v>
      </c>
      <c r="N322" s="7" t="n">
        <f aca="false">VLOOKUP(G322,NGPrices,3,FALSE())</f>
        <v>0.5325</v>
      </c>
      <c r="O322" s="7" t="n">
        <f aca="false">HLOOKUP(D322,VOLS,VLOOKUP(G322,move_down,2,FALSE()),FALSE())</f>
        <v>0.612</v>
      </c>
      <c r="P322" s="249" t="n">
        <f aca="false">HLOOKUP(D322,Correllate,VLOOKUP(G322,CorMove,2,FALSE()),FALSE())</f>
        <v>0.83</v>
      </c>
      <c r="Q322" s="92" t="n">
        <f aca="false">WORKDAY(G322,-2)</f>
        <v>36949</v>
      </c>
      <c r="R322" s="7" t="n">
        <f aca="false">IF(F322="P",0,1)</f>
        <v>1</v>
      </c>
      <c r="S322" s="130" t="e">
        <f aca="false">xSPRDOPT($L322,$J322,$I322,$M322,$O322,$N322,$P322,$Q322-$C$3,$R322,0)</f>
        <v>#NAME?</v>
      </c>
      <c r="T322" s="250" t="e">
        <f aca="false">xSPRDOPT($L322,$J322,$I322,$M322,$O322,$N322,$P322,$Q322-$C$3,$R322,1)*H322</f>
        <v>#NAME?</v>
      </c>
      <c r="U322" s="43" t="e">
        <f aca="false">S322*H322</f>
        <v>#NAME?</v>
      </c>
      <c r="V322" s="250" t="e">
        <f aca="false">xSPRDOPT($L322,$J322,$I322,$M322,$O322,$N322,$P322,$Q322-$C$3,$R322,2)*H322</f>
        <v>#NAME?</v>
      </c>
      <c r="W322" s="250" t="e">
        <f aca="false">+V322+T322</f>
        <v>#NAME?</v>
      </c>
      <c r="X322" s="2" t="str">
        <f aca="false">CONCATENATE(G322,D322)</f>
        <v>36951IF-TRANSCO/Z6</v>
      </c>
      <c r="Y322" s="251" t="n">
        <f aca="false">H322/10000</f>
        <v>100</v>
      </c>
      <c r="Z322" s="226" t="e">
        <f aca="false">T322/H322</f>
        <v>#NAME?</v>
      </c>
      <c r="AA322" s="226" t="e">
        <f aca="false">xSPRDOPT($L322,$J322,$I322,$M322,$O322,$N322,$P322,$Q322-$C$3,$R322,3)</f>
        <v>#NAME?</v>
      </c>
      <c r="AB322" s="226" t="e">
        <f aca="false">((xSPRDOPT($L322+AB$5,$J322,$I322,$M322,$O322,$N322,$P322,$Q322-$C$3,$R322,3)*$H322)/10000)/100</f>
        <v>#NAME?</v>
      </c>
      <c r="AC322" s="226" t="e">
        <f aca="false">((xSPRDOPT($L322+$AB$5,$J322,$I322,$M322,$O322,$N322,$P322,$Q322-$C$3,$R322,7)*$H322)/100)</f>
        <v>#NAME?</v>
      </c>
      <c r="AD322" s="226" t="e">
        <f aca="false">(xSPRDOPT($L322+$AB$5,$J322,$I322,$M322,$O322,$N322,$P322,$Q322-$C$3,$R322,9)/365)*$H322</f>
        <v>#NAME?</v>
      </c>
      <c r="AE322" s="0" t="e">
        <f aca="false">CD322</f>
        <v>#NAME?</v>
      </c>
      <c r="AF322" s="226" t="e">
        <f aca="false">((O322/N322)*AH322)+AG322</f>
        <v>#NAME?</v>
      </c>
      <c r="AG322" s="226" t="e">
        <f aca="false">((xSPRDOPT($L322,$J322,$I322,$M322,$O322,$N322,$P322,$Q322-$C$3,$R322,6)*$H322)/100)</f>
        <v>#NAME?</v>
      </c>
      <c r="AH322" s="226" t="e">
        <f aca="false">((xSPRDOPT($L322,$J322,$I322,$M322,$O322,$N322,$P322,$Q322-$C$3,$R322,5)*$H322)/100)</f>
        <v>#NAME?</v>
      </c>
      <c r="AI322" s="226" t="e">
        <f aca="false">(((xSPRDOPT($L322,$J322,$I322,$M322,$O322,$N322,$P322,$Q322-$C$3,$R322,4)*$H322)/10000)/100)-AB322</f>
        <v>#NAME?</v>
      </c>
      <c r="AJ322" s="226"/>
      <c r="AK322" s="226"/>
      <c r="AL322" s="226"/>
      <c r="AM322" s="252"/>
      <c r="CC322" s="182" t="n">
        <f aca="false">G322</f>
        <v>36951</v>
      </c>
      <c r="CD322" s="253" t="e">
        <f aca="false">xSPRDOPT((VLOOKUP(G322,NGPrices,2,FALSE())+HLOOKUP(D322,Prices,VLOOKUP(G322,move_down,2,FALSE()),FALSE())),VLOOKUP(G322,NGPrices,2,FALSE()),I322,VLOOKUP(G322,NGPREVPRICES,4,FALSE()),HLOOKUP(D322,PREVVOLS,VLOOKUP(G322,MOVE_DOWN2,2,FALSE()),FALSE()),VLOOKUP(G322,NGPREVPRICES,3,FALSE()),HLOOKUP(D322,Correllate,VLOOKUP(G322,CorMove,2,FALSE()),FALSE()),Q322-$CD$3,R322,$CD$5)*H322-CJ322</f>
        <v>#NAME?</v>
      </c>
      <c r="CE322" s="253" t="e">
        <f aca="false">xSPRDOPT((VLOOKUP(G322,NGPREVPRICES,2,FALSE())+HLOOKUP(D322,PREVCURVES,VLOOKUP(G322,MOVE_DOWN2,2,FALSE()),FALSE())),VLOOKUP(G322,NGPREVPRICES,2,FALSE()),CK322,VLOOKUP(G322,NGPrices,4,FALSE()),HLOOKUP(D322,PREVVOLS,VLOOKUP(G322,MOVE_DOWN2,2,FALSE()),FALSE()),VLOOKUP(G322,NGPREVPRICES,3,FALSE()),HLOOKUP(D322,Correllate,VLOOKUP(G322,CorMove,2,FALSE()),FALSE()),Q322-$CD$3,R322,$CJ$5)*H322-CJ322</f>
        <v>#NAME?</v>
      </c>
      <c r="CF322" s="132" t="e">
        <f aca="false">(CJ322/VLOOKUP(CC322,discount,3,FALSE()))-(CJ322/VLOOKUP(CC322,discount,2,FALSE()))</f>
        <v>#NAME?</v>
      </c>
      <c r="CG322" s="253" t="e">
        <f aca="false">xSPRDOPT((VLOOKUP(G322,NGPREVPRICES,2,FALSE())+HLOOKUP(D322,PREVCURVES,VLOOKUP(G322,MOVE_DOWN2,2,FALSE()),FALSE())),VLOOKUP(G322,NGPREVPRICES,2,FALSE()),CK322,VLOOKUP(G322,NGPREVPRICES,4,FALSE()),HLOOKUP(D322,VOLS,VLOOKUP(G322,move_down,2,FALSE()),FALSE()),VLOOKUP(G322,NGPrices,3,FALSE()),HLOOKUP(D322,Correllate,VLOOKUP(G322,CorMove,2,FALSE()),FALSE()),Q322-$CD$3,R322,$CJ$5)*H322-CJ322</f>
        <v>#NAME?</v>
      </c>
      <c r="CH322" s="253" t="e">
        <f aca="false">xSPRDOPT((VLOOKUP(G322,NGPREVPRICES,2,FALSE())+HLOOKUP(D322,PREVCURVES,VLOOKUP(G322,MOVE_DOWN2,2,FALSE()),FALSE())),VLOOKUP(G322,NGPREVPRICES,2,FALSE()),CK322,VLOOKUP(G322,NGPREVPRICES,4,FALSE()),HLOOKUP(D322,PREVVOLS,VLOOKUP(G322,MOVE_DOWN2,2,FALSE()),FALSE()),VLOOKUP(G322,NGPREVPRICES,3,FALSE()),HLOOKUP(D322,Correllate,VLOOKUP(G322,CorMove,2,FALSE()),FALSE()),Q322-$C$3,R322,$CJ$5)*H322-CJ322</f>
        <v>#NAME?</v>
      </c>
      <c r="CI322" s="253" t="e">
        <f aca="false">SUM(CD322:CH322)</f>
        <v>#NAME?</v>
      </c>
      <c r="CJ322" s="253" t="e">
        <f aca="false">xSPRDOPT((VLOOKUP(G322,NGPREVPRICES,2,FALSE())+HLOOKUP(D322,PREVCURVES,VLOOKUP(G322,MOVE_DOWN2,2,FALSE()),FALSE())),VLOOKUP(G322,NGPREVPRICES,2,FALSE()),CK322,VLOOKUP(G322,NGPREVPRICES,4,FALSE()),HLOOKUP(D322,PREVVOLS,VLOOKUP(G322,MOVE_DOWN2,2,FALSE()),FALSE()),VLOOKUP(G322,NGPREVPRICES,3,FALSE()),HLOOKUP(D322,Correllate,VLOOKUP(G322,CorMove,2,FALSE()),FALSE()),Q322-$CD$3,R322,$CJ$5)*H322</f>
        <v>#NAME?</v>
      </c>
      <c r="CK322" s="254" t="n">
        <f aca="false">I322</f>
        <v>2.5</v>
      </c>
      <c r="CM322" s="0" t="str">
        <f aca="false">CONCATENATE(CC322,$CD$6)</f>
        <v>36951Curve Shift/Gamma</v>
      </c>
      <c r="CN322" s="0" t="str">
        <f aca="false">CONCATENATE($CC322,$CE$6)</f>
        <v>36951Rho</v>
      </c>
      <c r="CO322" s="0" t="str">
        <f aca="false">CONCATENATE($CC322,$CF$6)</f>
        <v>36951Drift</v>
      </c>
      <c r="CP322" s="0" t="str">
        <f aca="false">CONCATENATE($CC322,$CG$6)</f>
        <v>36951Vega</v>
      </c>
      <c r="CQ322" s="0" t="str">
        <f aca="false">CONCATENATE($CC322,$CH$6)</f>
        <v>36951Theta</v>
      </c>
    </row>
    <row r="323" customFormat="false" ht="12.75" hidden="false" customHeight="false" outlineLevel="0" collapsed="false">
      <c r="A323" s="265" t="s">
        <v>198</v>
      </c>
      <c r="B323" s="0" t="s">
        <v>192</v>
      </c>
      <c r="C323" s="0" t="s">
        <v>313</v>
      </c>
      <c r="D323" s="7" t="s">
        <v>149</v>
      </c>
      <c r="E323" s="0" t="s">
        <v>131</v>
      </c>
      <c r="F323" s="0" t="s">
        <v>132</v>
      </c>
      <c r="G323" s="92" t="n">
        <v>36951</v>
      </c>
      <c r="H323" s="248" t="n">
        <v>-1000000</v>
      </c>
      <c r="I323" s="0" t="n">
        <v>1.7</v>
      </c>
      <c r="J323" s="124" t="n">
        <f aca="false">VLOOKUP(G323,NGPrices,2,FALSE())</f>
        <v>4.213</v>
      </c>
      <c r="K323" s="125" t="n">
        <f aca="false">HLOOKUP(D323,Prices,VLOOKUP(G323,move_down,2,FALSE()),FALSE())+VLOOKUP(G323,CHANGE,HLOOKUP(D323,CHANGE,2,FALSE()),FALSE())</f>
        <v>1.075</v>
      </c>
      <c r="L323" s="124" t="n">
        <f aca="false">K323+J323</f>
        <v>5.288</v>
      </c>
      <c r="M323" s="126" t="n">
        <f aca="false">VLOOKUP(G323,NGPrices,4,FALSE())</f>
        <v>0.068879814952707</v>
      </c>
      <c r="N323" s="7" t="n">
        <f aca="false">VLOOKUP(G323,NGPrices,3,FALSE())</f>
        <v>0.5325</v>
      </c>
      <c r="O323" s="7" t="n">
        <f aca="false">HLOOKUP(D323,VOLS,VLOOKUP(G323,move_down,2,FALSE()),FALSE())</f>
        <v>0.612</v>
      </c>
      <c r="P323" s="249" t="n">
        <f aca="false">HLOOKUP(D323,Correllate,VLOOKUP(G323,CorMove,2,FALSE()),FALSE())</f>
        <v>0.83</v>
      </c>
      <c r="Q323" s="92" t="n">
        <f aca="false">WORKDAY(G323,-2)</f>
        <v>36949</v>
      </c>
      <c r="R323" s="7" t="n">
        <f aca="false">IF(F323="P",0,1)</f>
        <v>0</v>
      </c>
      <c r="S323" s="130" t="e">
        <f aca="false">xSPRDOPT($L323,$J323,$I323,$M323,$O323,$N323,$P323,$Q323-$C$3,$R323,0)</f>
        <v>#NAME?</v>
      </c>
      <c r="T323" s="250" t="e">
        <f aca="false">xSPRDOPT($L323,$J323,$I323,$M323,$O323,$N323,$P323,$Q323-$C$3,$R323,1)*H323</f>
        <v>#NAME?</v>
      </c>
      <c r="U323" s="43" t="e">
        <f aca="false">S323*H323</f>
        <v>#NAME?</v>
      </c>
      <c r="V323" s="250" t="e">
        <f aca="false">xSPRDOPT($L323,$J323,$I323,$M323,$O323,$N323,$P323,$Q323-$C$3,$R323,2)*H323</f>
        <v>#NAME?</v>
      </c>
      <c r="W323" s="250" t="e">
        <f aca="false">+V323+T323</f>
        <v>#NAME?</v>
      </c>
      <c r="X323" s="2" t="str">
        <f aca="false">CONCATENATE(G323,D323)</f>
        <v>36951IF-TRANSCO/Z6</v>
      </c>
      <c r="Y323" s="251" t="n">
        <f aca="false">H323/10000</f>
        <v>-100</v>
      </c>
      <c r="Z323" s="226" t="e">
        <f aca="false">T323/H323</f>
        <v>#NAME?</v>
      </c>
      <c r="AA323" s="226" t="e">
        <f aca="false">xSPRDOPT($L323,$J323,$I323,$M323,$O323,$N323,$P323,$Q323-$C$3,$R323,3)</f>
        <v>#NAME?</v>
      </c>
      <c r="AB323" s="226" t="e">
        <f aca="false">((xSPRDOPT($L323+AB$5,$J323,$I323,$M323,$O323,$N323,$P323,$Q323-$C$3,$R323,3)*$H323)/10000)/100</f>
        <v>#NAME?</v>
      </c>
      <c r="AC323" s="226" t="e">
        <f aca="false">((xSPRDOPT($L323+$AB$5,$J323,$I323,$M323,$O323,$N323,$P323,$Q323-$C$3,$R323,7)*$H323)/100)</f>
        <v>#NAME?</v>
      </c>
      <c r="AD323" s="226" t="e">
        <f aca="false">(xSPRDOPT($L323+$AB$5,$J323,$I323,$M323,$O323,$N323,$P323,$Q323-$C$3,$R323,9)/365)*$H323</f>
        <v>#NAME?</v>
      </c>
      <c r="AE323" s="0" t="e">
        <f aca="false">CD323</f>
        <v>#NAME?</v>
      </c>
      <c r="AF323" s="226" t="e">
        <f aca="false">((O323/N323)*AH323)+AG323</f>
        <v>#NAME?</v>
      </c>
      <c r="AG323" s="226" t="e">
        <f aca="false">((xSPRDOPT($L323,$J323,$I323,$M323,$O323,$N323,$P323,$Q323-$C$3,$R323,6)*$H323)/100)</f>
        <v>#NAME?</v>
      </c>
      <c r="AH323" s="226" t="e">
        <f aca="false">((xSPRDOPT($L323,$J323,$I323,$M323,$O323,$N323,$P323,$Q323-$C$3,$R323,5)*$H323)/100)</f>
        <v>#NAME?</v>
      </c>
      <c r="AI323" s="226" t="e">
        <f aca="false">(((xSPRDOPT($L323,$J323,$I323,$M323,$O323,$N323,$P323,$Q323-$C$3,$R323,4)*$H323)/10000)/100)-AB323</f>
        <v>#NAME?</v>
      </c>
      <c r="AJ323" s="226"/>
      <c r="AK323" s="226"/>
      <c r="AL323" s="226"/>
      <c r="AM323" s="252"/>
      <c r="CC323" s="182" t="n">
        <f aca="false">G323</f>
        <v>36951</v>
      </c>
      <c r="CD323" s="253" t="e">
        <f aca="false">xSPRDOPT((VLOOKUP(G323,NGPrices,2,FALSE())+HLOOKUP(D323,Prices,VLOOKUP(G323,move_down,2,FALSE()),FALSE())),VLOOKUP(G323,NGPrices,2,FALSE()),I323,VLOOKUP(G323,NGPREVPRICES,4,FALSE()),HLOOKUP(D323,PREVVOLS,VLOOKUP(G323,MOVE_DOWN2,2,FALSE()),FALSE()),VLOOKUP(G323,NGPREVPRICES,3,FALSE()),HLOOKUP(D323,Correllate,VLOOKUP(G323,CorMove,2,FALSE()),FALSE()),Q323-$CD$3,R323,$CD$5)*H323-CJ323</f>
        <v>#NAME?</v>
      </c>
      <c r="CE323" s="253" t="e">
        <f aca="false">xSPRDOPT((VLOOKUP(G323,NGPREVPRICES,2,FALSE())+HLOOKUP(D323,PREVCURVES,VLOOKUP(G323,MOVE_DOWN2,2,FALSE()),FALSE())),VLOOKUP(G323,NGPREVPRICES,2,FALSE()),CK323,VLOOKUP(G323,NGPrices,4,FALSE()),HLOOKUP(D323,PREVVOLS,VLOOKUP(G323,MOVE_DOWN2,2,FALSE()),FALSE()),VLOOKUP(G323,NGPREVPRICES,3,FALSE()),HLOOKUP(D323,Correllate,VLOOKUP(G323,CorMove,2,FALSE()),FALSE()),Q323-$CD$3,R323,$CJ$5)*H323-CJ323</f>
        <v>#NAME?</v>
      </c>
      <c r="CF323" s="132" t="e">
        <f aca="false">(CJ323/VLOOKUP(CC323,discount,3,FALSE()))-(CJ323/VLOOKUP(CC323,discount,2,FALSE()))</f>
        <v>#NAME?</v>
      </c>
      <c r="CG323" s="253" t="e">
        <f aca="false">xSPRDOPT((VLOOKUP(G323,NGPREVPRICES,2,FALSE())+HLOOKUP(D323,PREVCURVES,VLOOKUP(G323,MOVE_DOWN2,2,FALSE()),FALSE())),VLOOKUP(G323,NGPREVPRICES,2,FALSE()),CK323,VLOOKUP(G323,NGPREVPRICES,4,FALSE()),HLOOKUP(D323,VOLS,VLOOKUP(G323,move_down,2,FALSE()),FALSE()),VLOOKUP(G323,NGPrices,3,FALSE()),HLOOKUP(D323,Correllate,VLOOKUP(G323,CorMove,2,FALSE()),FALSE()),Q323-$CD$3,R323,$CJ$5)*H323-CJ323</f>
        <v>#NAME?</v>
      </c>
      <c r="CH323" s="253" t="e">
        <f aca="false">xSPRDOPT((VLOOKUP(G323,NGPREVPRICES,2,FALSE())+HLOOKUP(D323,PREVCURVES,VLOOKUP(G323,MOVE_DOWN2,2,FALSE()),FALSE())),VLOOKUP(G323,NGPREVPRICES,2,FALSE()),CK323,VLOOKUP(G323,NGPREVPRICES,4,FALSE()),HLOOKUP(D323,PREVVOLS,VLOOKUP(G323,MOVE_DOWN2,2,FALSE()),FALSE()),VLOOKUP(G323,NGPREVPRICES,3,FALSE()),HLOOKUP(D323,Correllate,VLOOKUP(G323,CorMove,2,FALSE()),FALSE()),Q323-$C$3,R323,$CJ$5)*H323-CJ323</f>
        <v>#NAME?</v>
      </c>
      <c r="CI323" s="253" t="e">
        <f aca="false">SUM(CD323:CH323)</f>
        <v>#NAME?</v>
      </c>
      <c r="CJ323" s="253" t="e">
        <f aca="false">xSPRDOPT((VLOOKUP(G323,NGPREVPRICES,2,FALSE())+HLOOKUP(D323,PREVCURVES,VLOOKUP(G323,MOVE_DOWN2,2,FALSE()),FALSE())),VLOOKUP(G323,NGPREVPRICES,2,FALSE()),CK323,VLOOKUP(G323,NGPREVPRICES,4,FALSE()),HLOOKUP(D323,PREVVOLS,VLOOKUP(G323,MOVE_DOWN2,2,FALSE()),FALSE()),VLOOKUP(G323,NGPREVPRICES,3,FALSE()),HLOOKUP(D323,Correllate,VLOOKUP(G323,CorMove,2,FALSE()),FALSE()),Q323-$CD$3,R323,$CJ$5)*H323</f>
        <v>#NAME?</v>
      </c>
      <c r="CK323" s="254" t="n">
        <f aca="false">I323</f>
        <v>1.7</v>
      </c>
      <c r="CM323" s="0" t="str">
        <f aca="false">CONCATENATE(CC323,$CD$6)</f>
        <v>36951Curve Shift/Gamma</v>
      </c>
      <c r="CN323" s="0" t="str">
        <f aca="false">CONCATENATE($CC323,$CE$6)</f>
        <v>36951Rho</v>
      </c>
      <c r="CO323" s="0" t="str">
        <f aca="false">CONCATENATE($CC323,$CF$6)</f>
        <v>36951Drift</v>
      </c>
      <c r="CP323" s="0" t="str">
        <f aca="false">CONCATENATE($CC323,$CG$6)</f>
        <v>36951Vega</v>
      </c>
      <c r="CQ323" s="0" t="str">
        <f aca="false">CONCATENATE($CC323,$CH$6)</f>
        <v>36951Theta</v>
      </c>
    </row>
    <row r="324" customFormat="false" ht="12.75" hidden="false" customHeight="false" outlineLevel="0" collapsed="false">
      <c r="A324" s="265" t="s">
        <v>198</v>
      </c>
      <c r="B324" s="0" t="s">
        <v>192</v>
      </c>
      <c r="C324" s="0" t="s">
        <v>313</v>
      </c>
      <c r="D324" s="7" t="s">
        <v>149</v>
      </c>
      <c r="E324" s="0" t="s">
        <v>131</v>
      </c>
      <c r="F324" s="0" t="s">
        <v>132</v>
      </c>
      <c r="G324" s="92" t="n">
        <v>36923</v>
      </c>
      <c r="H324" s="248" t="n">
        <v>-1000000</v>
      </c>
      <c r="I324" s="0" t="n">
        <v>1.7</v>
      </c>
      <c r="J324" s="124" t="n">
        <f aca="false">VLOOKUP(G324,NGPrices,2,FALSE())</f>
        <v>4.48</v>
      </c>
      <c r="K324" s="125" t="n">
        <f aca="false">HLOOKUP(D324,Prices,VLOOKUP(G324,move_down,2,FALSE()),FALSE())+VLOOKUP(G324,CHANGE,HLOOKUP(D324,CHANGE,2,FALSE()),FALSE())</f>
        <v>2.09</v>
      </c>
      <c r="L324" s="124" t="n">
        <f aca="false">K324+J324</f>
        <v>6.57</v>
      </c>
      <c r="M324" s="126" t="n">
        <f aca="false">VLOOKUP(G324,NGPrices,4,FALSE())</f>
        <v>0.068640161611372</v>
      </c>
      <c r="N324" s="7" t="n">
        <f aca="false">VLOOKUP(G324,NGPrices,3,FALSE())</f>
        <v>0.5925</v>
      </c>
      <c r="O324" s="7" t="n">
        <f aca="false">HLOOKUP(D324,VOLS,VLOOKUP(G324,move_down,2,FALSE()),FALSE())</f>
        <v>0.681</v>
      </c>
      <c r="P324" s="249" t="n">
        <f aca="false">HLOOKUP(D324,Correllate,VLOOKUP(G324,CorMove,2,FALSE()),FALSE())</f>
        <v>0.83</v>
      </c>
      <c r="Q324" s="92" t="n">
        <f aca="false">WORKDAY(G324,-2)</f>
        <v>36921</v>
      </c>
      <c r="R324" s="7" t="n">
        <f aca="false">IF(F324="P",0,1)</f>
        <v>0</v>
      </c>
      <c r="S324" s="130" t="e">
        <f aca="false">xSPRDOPT($L324,$J324,$I324,$M324,$O324,$N324,$P324,$Q324-$C$3,$R324,0)</f>
        <v>#NAME?</v>
      </c>
      <c r="T324" s="250" t="e">
        <f aca="false">xSPRDOPT($L324,$J324,$I324,$M324,$O324,$N324,$P324,$Q324-$C$3,$R324,1)*H324</f>
        <v>#NAME?</v>
      </c>
      <c r="U324" s="43" t="e">
        <f aca="false">S324*H324</f>
        <v>#NAME?</v>
      </c>
      <c r="V324" s="250" t="e">
        <f aca="false">xSPRDOPT($L324,$J324,$I324,$M324,$O324,$N324,$P324,$Q324-$C$3,$R324,2)*H324</f>
        <v>#NAME?</v>
      </c>
      <c r="W324" s="250" t="e">
        <f aca="false">+V324+T324</f>
        <v>#NAME?</v>
      </c>
      <c r="X324" s="2" t="str">
        <f aca="false">CONCATENATE(G324,D324)</f>
        <v>36923IF-TRANSCO/Z6</v>
      </c>
      <c r="Y324" s="251" t="n">
        <f aca="false">H324/10000</f>
        <v>-100</v>
      </c>
      <c r="Z324" s="226" t="e">
        <f aca="false">T324/H324</f>
        <v>#NAME?</v>
      </c>
      <c r="AA324" s="226" t="e">
        <f aca="false">xSPRDOPT($L324,$J324,$I324,$M324,$O324,$N324,$P324,$Q324-$C$3,$R324,3)</f>
        <v>#NAME?</v>
      </c>
      <c r="AB324" s="226" t="e">
        <f aca="false">((xSPRDOPT($L324+AB$5,$J324,$I324,$M324,$O324,$N324,$P324,$Q324-$C$3,$R324,3)*$H324)/10000)/100</f>
        <v>#NAME?</v>
      </c>
      <c r="AC324" s="226" t="e">
        <f aca="false">((xSPRDOPT($L324+$AB$5,$J324,$I324,$M324,$O324,$N324,$P324,$Q324-$C$3,$R324,7)*$H324)/100)</f>
        <v>#NAME?</v>
      </c>
      <c r="AD324" s="226" t="e">
        <f aca="false">(xSPRDOPT($L324+$AB$5,$J324,$I324,$M324,$O324,$N324,$P324,$Q324-$C$3,$R324,9)/365)*$H324</f>
        <v>#NAME?</v>
      </c>
      <c r="AE324" s="0" t="e">
        <f aca="false">CD324</f>
        <v>#NAME?</v>
      </c>
      <c r="AF324" s="226" t="e">
        <f aca="false">((O324/N324)*AH324)+AG324</f>
        <v>#NAME?</v>
      </c>
      <c r="AG324" s="226" t="e">
        <f aca="false">((xSPRDOPT($L324,$J324,$I324,$M324,$O324,$N324,$P324,$Q324-$C$3,$R324,6)*$H324)/100)</f>
        <v>#NAME?</v>
      </c>
      <c r="AH324" s="226" t="e">
        <f aca="false">((xSPRDOPT($L324,$J324,$I324,$M324,$O324,$N324,$P324,$Q324-$C$3,$R324,5)*$H324)/100)</f>
        <v>#NAME?</v>
      </c>
      <c r="AI324" s="226" t="e">
        <f aca="false">(((xSPRDOPT($L324,$J324,$I324,$M324,$O324,$N324,$P324,$Q324-$C$3,$R324,4)*$H324)/10000)/100)-AB324</f>
        <v>#NAME?</v>
      </c>
      <c r="AJ324" s="226"/>
      <c r="AK324" s="226"/>
      <c r="AL324" s="226"/>
      <c r="AM324" s="252"/>
      <c r="CC324" s="182" t="n">
        <f aca="false">G324</f>
        <v>36923</v>
      </c>
      <c r="CD324" s="253" t="e">
        <f aca="false">xSPRDOPT((VLOOKUP(G324,NGPrices,2,FALSE())+HLOOKUP(D324,Prices,VLOOKUP(G324,move_down,2,FALSE()),FALSE())),VLOOKUP(G324,NGPrices,2,FALSE()),I324,VLOOKUP(G324,NGPREVPRICES,4,FALSE()),HLOOKUP(D324,PREVVOLS,VLOOKUP(G324,MOVE_DOWN2,2,FALSE()),FALSE()),VLOOKUP(G324,NGPREVPRICES,3,FALSE()),HLOOKUP(D324,Correllate,VLOOKUP(G324,CorMove,2,FALSE()),FALSE()),Q324-$CD$3,R324,$CD$5)*H324-CJ324</f>
        <v>#NAME?</v>
      </c>
      <c r="CE324" s="253" t="e">
        <f aca="false">xSPRDOPT((VLOOKUP(G324,NGPREVPRICES,2,FALSE())+HLOOKUP(D324,PREVCURVES,VLOOKUP(G324,MOVE_DOWN2,2,FALSE()),FALSE())),VLOOKUP(G324,NGPREVPRICES,2,FALSE()),CK324,VLOOKUP(G324,NGPrices,4,FALSE()),HLOOKUP(D324,PREVVOLS,VLOOKUP(G324,MOVE_DOWN2,2,FALSE()),FALSE()),VLOOKUP(G324,NGPREVPRICES,3,FALSE()),HLOOKUP(D324,Correllate,VLOOKUP(G324,CorMove,2,FALSE()),FALSE()),Q324-$CD$3,R324,$CJ$5)*H324-CJ324</f>
        <v>#NAME?</v>
      </c>
      <c r="CF324" s="132" t="e">
        <f aca="false">(CJ324/VLOOKUP(CC324,discount,3,FALSE()))-(CJ324/VLOOKUP(CC324,discount,2,FALSE()))</f>
        <v>#NAME?</v>
      </c>
      <c r="CG324" s="253" t="e">
        <f aca="false">xSPRDOPT((VLOOKUP(G324,NGPREVPRICES,2,FALSE())+HLOOKUP(D324,PREVCURVES,VLOOKUP(G324,MOVE_DOWN2,2,FALSE()),FALSE())),VLOOKUP(G324,NGPREVPRICES,2,FALSE()),CK324,VLOOKUP(G324,NGPREVPRICES,4,FALSE()),HLOOKUP(D324,VOLS,VLOOKUP(G324,move_down,2,FALSE()),FALSE()),VLOOKUP(G324,NGPrices,3,FALSE()),HLOOKUP(D324,Correllate,VLOOKUP(G324,CorMove,2,FALSE()),FALSE()),Q324-$CD$3,R324,$CJ$5)*H324-CJ324</f>
        <v>#NAME?</v>
      </c>
      <c r="CH324" s="253" t="e">
        <f aca="false">xSPRDOPT((VLOOKUP(G324,NGPREVPRICES,2,FALSE())+HLOOKUP(D324,PREVCURVES,VLOOKUP(G324,MOVE_DOWN2,2,FALSE()),FALSE())),VLOOKUP(G324,NGPREVPRICES,2,FALSE()),CK324,VLOOKUP(G324,NGPREVPRICES,4,FALSE()),HLOOKUP(D324,PREVVOLS,VLOOKUP(G324,MOVE_DOWN2,2,FALSE()),FALSE()),VLOOKUP(G324,NGPREVPRICES,3,FALSE()),HLOOKUP(D324,Correllate,VLOOKUP(G324,CorMove,2,FALSE()),FALSE()),Q324-$C$3,R324,$CJ$5)*H324-CJ324</f>
        <v>#NAME?</v>
      </c>
      <c r="CI324" s="253" t="e">
        <f aca="false">SUM(CD324:CH324)</f>
        <v>#NAME?</v>
      </c>
      <c r="CJ324" s="253" t="e">
        <f aca="false">xSPRDOPT((VLOOKUP(G324,NGPREVPRICES,2,FALSE())+HLOOKUP(D324,PREVCURVES,VLOOKUP(G324,MOVE_DOWN2,2,FALSE()),FALSE())),VLOOKUP(G324,NGPREVPRICES,2,FALSE()),CK324,VLOOKUP(G324,NGPREVPRICES,4,FALSE()),HLOOKUP(D324,PREVVOLS,VLOOKUP(G324,MOVE_DOWN2,2,FALSE()),FALSE()),VLOOKUP(G324,NGPREVPRICES,3,FALSE()),HLOOKUP(D324,Correllate,VLOOKUP(G324,CorMove,2,FALSE()),FALSE()),Q324-$CD$3,R324,$CJ$5)*H324</f>
        <v>#NAME?</v>
      </c>
      <c r="CK324" s="254" t="n">
        <f aca="false">I324</f>
        <v>1.7</v>
      </c>
      <c r="CM324" s="0" t="str">
        <f aca="false">CONCATENATE(CC324,$CD$6)</f>
        <v>36923Curve Shift/Gamma</v>
      </c>
      <c r="CN324" s="0" t="str">
        <f aca="false">CONCATENATE($CC324,$CE$6)</f>
        <v>36923Rho</v>
      </c>
      <c r="CO324" s="0" t="str">
        <f aca="false">CONCATENATE($CC324,$CF$6)</f>
        <v>36923Drift</v>
      </c>
      <c r="CP324" s="0" t="str">
        <f aca="false">CONCATENATE($CC324,$CG$6)</f>
        <v>36923Vega</v>
      </c>
      <c r="CQ324" s="0" t="str">
        <f aca="false">CONCATENATE($CC324,$CH$6)</f>
        <v>36923Theta</v>
      </c>
    </row>
    <row r="325" customFormat="false" ht="12.75" hidden="false" customHeight="false" outlineLevel="0" collapsed="false">
      <c r="A325" s="265" t="s">
        <v>198</v>
      </c>
      <c r="B325" s="0" t="s">
        <v>192</v>
      </c>
      <c r="C325" s="0" t="s">
        <v>313</v>
      </c>
      <c r="D325" s="7" t="s">
        <v>149</v>
      </c>
      <c r="E325" s="0" t="s">
        <v>131</v>
      </c>
      <c r="F325" s="0" t="s">
        <v>132</v>
      </c>
      <c r="G325" s="92" t="n">
        <v>36892</v>
      </c>
      <c r="H325" s="248" t="n">
        <v>-1000000</v>
      </c>
      <c r="I325" s="0" t="n">
        <v>1.7</v>
      </c>
      <c r="J325" s="124" t="n">
        <f aca="false">VLOOKUP(G325,NGPrices,2,FALSE())</f>
        <v>4.744</v>
      </c>
      <c r="K325" s="125" t="n">
        <f aca="false">HLOOKUP(D325,Prices,VLOOKUP(G325,move_down,2,FALSE()),FALSE())+VLOOKUP(G325,CHANGE,HLOOKUP(D325,CHANGE,2,FALSE()),FALSE())</f>
        <v>2.17</v>
      </c>
      <c r="L325" s="124" t="n">
        <f aca="false">K325+J325</f>
        <v>6.914</v>
      </c>
      <c r="M325" s="126" t="n">
        <f aca="false">VLOOKUP(G325,NGPrices,4,FALSE())</f>
        <v>0.068374831148491</v>
      </c>
      <c r="N325" s="7" t="n">
        <f aca="false">VLOOKUP(G325,NGPrices,3,FALSE())</f>
        <v>0.605</v>
      </c>
      <c r="O325" s="7" t="n">
        <f aca="false">HLOOKUP(D325,VOLS,VLOOKUP(G325,move_down,2,FALSE()),FALSE())</f>
        <v>0.696</v>
      </c>
      <c r="P325" s="249" t="n">
        <f aca="false">HLOOKUP(D325,Correllate,VLOOKUP(G325,CorMove,2,FALSE()),FALSE())</f>
        <v>0.83</v>
      </c>
      <c r="Q325" s="92" t="n">
        <f aca="false">WORKDAY(G325,-2)</f>
        <v>36888</v>
      </c>
      <c r="R325" s="7" t="n">
        <f aca="false">IF(F325="P",0,1)</f>
        <v>0</v>
      </c>
      <c r="S325" s="130" t="e">
        <f aca="false">xSPRDOPT($L325,$J325,$I325,$M325,$O325,$N325,$P325,$Q325-$C$3,$R325,0)</f>
        <v>#NAME?</v>
      </c>
      <c r="T325" s="250" t="e">
        <f aca="false">xSPRDOPT($L325,$J325,$I325,$M325,$O325,$N325,$P325,$Q325-$C$3,$R325,1)*H325</f>
        <v>#NAME?</v>
      </c>
      <c r="U325" s="43" t="e">
        <f aca="false">S325*H325</f>
        <v>#NAME?</v>
      </c>
      <c r="V325" s="250" t="e">
        <f aca="false">xSPRDOPT($L325,$J325,$I325,$M325,$O325,$N325,$P325,$Q325-$C$3,$R325,2)*H325</f>
        <v>#NAME?</v>
      </c>
      <c r="W325" s="250" t="e">
        <f aca="false">+V325+T325</f>
        <v>#NAME?</v>
      </c>
      <c r="X325" s="2" t="str">
        <f aca="false">CONCATENATE(G325,D325)</f>
        <v>36892IF-TRANSCO/Z6</v>
      </c>
      <c r="Y325" s="251" t="n">
        <f aca="false">H325/10000</f>
        <v>-100</v>
      </c>
      <c r="Z325" s="226" t="e">
        <f aca="false">T325/H325</f>
        <v>#NAME?</v>
      </c>
      <c r="AA325" s="226" t="e">
        <f aca="false">xSPRDOPT($L325,$J325,$I325,$M325,$O325,$N325,$P325,$Q325-$C$3,$R325,3)</f>
        <v>#NAME?</v>
      </c>
      <c r="AB325" s="226" t="e">
        <f aca="false">((xSPRDOPT($L325+AB$5,$J325,$I325,$M325,$O325,$N325,$P325,$Q325-$C$3,$R325,3)*$H325)/10000)/100</f>
        <v>#NAME?</v>
      </c>
      <c r="AC325" s="226" t="e">
        <f aca="false">((xSPRDOPT($L325+$AB$5,$J325,$I325,$M325,$O325,$N325,$P325,$Q325-$C$3,$R325,7)*$H325)/100)</f>
        <v>#NAME?</v>
      </c>
      <c r="AD325" s="226" t="e">
        <f aca="false">(xSPRDOPT($L325+$AB$5,$J325,$I325,$M325,$O325,$N325,$P325,$Q325-$C$3,$R325,9)/365)*$H325</f>
        <v>#NAME?</v>
      </c>
      <c r="AE325" s="0" t="e">
        <f aca="false">CD325</f>
        <v>#NAME?</v>
      </c>
      <c r="AF325" s="226" t="e">
        <f aca="false">((O325/N325)*AH325)+AG325</f>
        <v>#NAME?</v>
      </c>
      <c r="AG325" s="226" t="e">
        <f aca="false">((xSPRDOPT($L325,$J325,$I325,$M325,$O325,$N325,$P325,$Q325-$C$3,$R325,6)*$H325)/100)</f>
        <v>#NAME?</v>
      </c>
      <c r="AH325" s="226" t="e">
        <f aca="false">((xSPRDOPT($L325,$J325,$I325,$M325,$O325,$N325,$P325,$Q325-$C$3,$R325,5)*$H325)/100)</f>
        <v>#NAME?</v>
      </c>
      <c r="AI325" s="226" t="e">
        <f aca="false">(((xSPRDOPT($L325,$J325,$I325,$M325,$O325,$N325,$P325,$Q325-$C$3,$R325,4)*$H325)/10000)/100)-AB325</f>
        <v>#NAME?</v>
      </c>
      <c r="AJ325" s="226"/>
      <c r="AK325" s="226"/>
      <c r="AL325" s="226"/>
      <c r="AM325" s="252"/>
      <c r="CC325" s="182" t="n">
        <f aca="false">G325</f>
        <v>36892</v>
      </c>
      <c r="CD325" s="253" t="e">
        <f aca="false">xSPRDOPT((VLOOKUP(G325,NGPrices,2,FALSE())+HLOOKUP(D325,Prices,VLOOKUP(G325,move_down,2,FALSE()),FALSE())),VLOOKUP(G325,NGPrices,2,FALSE()),I325,VLOOKUP(G325,NGPREVPRICES,4,FALSE()),HLOOKUP(D325,PREVVOLS,VLOOKUP(G325,MOVE_DOWN2,2,FALSE()),FALSE()),VLOOKUP(G325,NGPREVPRICES,3,FALSE()),HLOOKUP(D325,Correllate,VLOOKUP(G325,CorMove,2,FALSE()),FALSE()),Q325-$CD$3,R325,$CD$5)*H325-CJ325</f>
        <v>#NAME?</v>
      </c>
      <c r="CE325" s="253" t="e">
        <f aca="false">xSPRDOPT((VLOOKUP(G325,NGPREVPRICES,2,FALSE())+HLOOKUP(D325,PREVCURVES,VLOOKUP(G325,MOVE_DOWN2,2,FALSE()),FALSE())),VLOOKUP(G325,NGPREVPRICES,2,FALSE()),CK325,VLOOKUP(G325,NGPrices,4,FALSE()),HLOOKUP(D325,PREVVOLS,VLOOKUP(G325,MOVE_DOWN2,2,FALSE()),FALSE()),VLOOKUP(G325,NGPREVPRICES,3,FALSE()),HLOOKUP(D325,Correllate,VLOOKUP(G325,CorMove,2,FALSE()),FALSE()),Q325-$CD$3,R325,$CJ$5)*H325-CJ325</f>
        <v>#NAME?</v>
      </c>
      <c r="CF325" s="132" t="e">
        <f aca="false">(CJ325/VLOOKUP(CC325,discount,3,FALSE()))-(CJ325/VLOOKUP(CC325,discount,2,FALSE()))</f>
        <v>#NAME?</v>
      </c>
      <c r="CG325" s="253" t="e">
        <f aca="false">xSPRDOPT((VLOOKUP(G325,NGPREVPRICES,2,FALSE())+HLOOKUP(D325,PREVCURVES,VLOOKUP(G325,MOVE_DOWN2,2,FALSE()),FALSE())),VLOOKUP(G325,NGPREVPRICES,2,FALSE()),CK325,VLOOKUP(G325,NGPREVPRICES,4,FALSE()),HLOOKUP(D325,VOLS,VLOOKUP(G325,move_down,2,FALSE()),FALSE()),VLOOKUP(G325,NGPrices,3,FALSE()),HLOOKUP(D325,Correllate,VLOOKUP(G325,CorMove,2,FALSE()),FALSE()),Q325-$CD$3,R325,$CJ$5)*H325-CJ325</f>
        <v>#NAME?</v>
      </c>
      <c r="CH325" s="253" t="e">
        <f aca="false">xSPRDOPT((VLOOKUP(G325,NGPREVPRICES,2,FALSE())+HLOOKUP(D325,PREVCURVES,VLOOKUP(G325,MOVE_DOWN2,2,FALSE()),FALSE())),VLOOKUP(G325,NGPREVPRICES,2,FALSE()),CK325,VLOOKUP(G325,NGPREVPRICES,4,FALSE()),HLOOKUP(D325,PREVVOLS,VLOOKUP(G325,MOVE_DOWN2,2,FALSE()),FALSE()),VLOOKUP(G325,NGPREVPRICES,3,FALSE()),HLOOKUP(D325,Correllate,VLOOKUP(G325,CorMove,2,FALSE()),FALSE()),Q325-$C$3,R325,$CJ$5)*H325-CJ325</f>
        <v>#NAME?</v>
      </c>
      <c r="CI325" s="253" t="e">
        <f aca="false">SUM(CD325:CH325)</f>
        <v>#NAME?</v>
      </c>
      <c r="CJ325" s="253" t="e">
        <f aca="false">xSPRDOPT((VLOOKUP(G325,NGPREVPRICES,2,FALSE())+HLOOKUP(D325,PREVCURVES,VLOOKUP(G325,MOVE_DOWN2,2,FALSE()),FALSE())),VLOOKUP(G325,NGPREVPRICES,2,FALSE()),CK325,VLOOKUP(G325,NGPREVPRICES,4,FALSE()),HLOOKUP(D325,PREVVOLS,VLOOKUP(G325,MOVE_DOWN2,2,FALSE()),FALSE()),VLOOKUP(G325,NGPREVPRICES,3,FALSE()),HLOOKUP(D325,Correllate,VLOOKUP(G325,CorMove,2,FALSE()),FALSE()),Q325-$CD$3,R325,$CJ$5)*H325</f>
        <v>#NAME?</v>
      </c>
      <c r="CK325" s="254" t="n">
        <f aca="false">I325</f>
        <v>1.7</v>
      </c>
      <c r="CM325" s="0" t="str">
        <f aca="false">CONCATENATE(CC325,$CD$6)</f>
        <v>36892Curve Shift/Gamma</v>
      </c>
      <c r="CN325" s="0" t="str">
        <f aca="false">CONCATENATE($CC325,$CE$6)</f>
        <v>36892Rho</v>
      </c>
      <c r="CO325" s="0" t="str">
        <f aca="false">CONCATENATE($CC325,$CF$6)</f>
        <v>36892Drift</v>
      </c>
      <c r="CP325" s="0" t="str">
        <f aca="false">CONCATENATE($CC325,$CG$6)</f>
        <v>36892Vega</v>
      </c>
      <c r="CQ325" s="0" t="str">
        <f aca="false">CONCATENATE($CC325,$CH$6)</f>
        <v>36892Theta</v>
      </c>
    </row>
    <row r="326" customFormat="false" ht="12.75" hidden="false" customHeight="false" outlineLevel="0" collapsed="false">
      <c r="A326" s="265" t="s">
        <v>198</v>
      </c>
      <c r="B326" s="0" t="s">
        <v>192</v>
      </c>
      <c r="C326" s="0" t="s">
        <v>314</v>
      </c>
      <c r="D326" s="7" t="s">
        <v>149</v>
      </c>
      <c r="E326" s="0" t="s">
        <v>131</v>
      </c>
      <c r="F326" s="0" t="s">
        <v>132</v>
      </c>
      <c r="G326" s="92" t="n">
        <v>36951</v>
      </c>
      <c r="H326" s="248" t="n">
        <v>1000000</v>
      </c>
      <c r="I326" s="0" t="n">
        <v>1</v>
      </c>
      <c r="J326" s="124" t="n">
        <f aca="false">VLOOKUP(G326,NGPrices,2,FALSE())</f>
        <v>4.213</v>
      </c>
      <c r="K326" s="125" t="n">
        <f aca="false">HLOOKUP(D326,Prices,VLOOKUP(G326,move_down,2,FALSE()),FALSE())+VLOOKUP(G326,CHANGE,HLOOKUP(D326,CHANGE,2,FALSE()),FALSE())</f>
        <v>1.075</v>
      </c>
      <c r="L326" s="124" t="n">
        <f aca="false">K326+J326</f>
        <v>5.288</v>
      </c>
      <c r="M326" s="126" t="n">
        <f aca="false">VLOOKUP(G326,NGPrices,4,FALSE())</f>
        <v>0.068879814952707</v>
      </c>
      <c r="N326" s="7" t="n">
        <f aca="false">VLOOKUP(G326,NGPrices,3,FALSE())</f>
        <v>0.5325</v>
      </c>
      <c r="O326" s="7" t="n">
        <f aca="false">HLOOKUP(D326,VOLS,VLOOKUP(G326,move_down,2,FALSE()),FALSE())</f>
        <v>0.612</v>
      </c>
      <c r="P326" s="249" t="n">
        <f aca="false">HLOOKUP(D326,Correllate,VLOOKUP(G326,CorMove,2,FALSE()),FALSE())</f>
        <v>0.83</v>
      </c>
      <c r="Q326" s="92" t="n">
        <f aca="false">WORKDAY(G326,-2)</f>
        <v>36949</v>
      </c>
      <c r="R326" s="7" t="n">
        <f aca="false">IF(F326="P",0,1)</f>
        <v>0</v>
      </c>
      <c r="S326" s="130" t="e">
        <f aca="false">xSPRDOPT($L326,$J326,$I326,$M326,$O326,$N326,$P326,$Q326-$C$3,$R326,0)</f>
        <v>#NAME?</v>
      </c>
      <c r="T326" s="250" t="e">
        <f aca="false">xSPRDOPT($L326,$J326,$I326,$M326,$O326,$N326,$P326,$Q326-$C$3,$R326,1)*H326</f>
        <v>#NAME?</v>
      </c>
      <c r="U326" s="43" t="e">
        <f aca="false">S326*H326</f>
        <v>#NAME?</v>
      </c>
      <c r="V326" s="250" t="e">
        <f aca="false">xSPRDOPT($L326,$J326,$I326,$M326,$O326,$N326,$P326,$Q326-$C$3,$R326,2)*H326</f>
        <v>#NAME?</v>
      </c>
      <c r="W326" s="250" t="e">
        <f aca="false">+V326+T326</f>
        <v>#NAME?</v>
      </c>
      <c r="X326" s="2" t="str">
        <f aca="false">CONCATENATE(G326,D326)</f>
        <v>36951IF-TRANSCO/Z6</v>
      </c>
      <c r="Y326" s="251" t="n">
        <f aca="false">H326/10000</f>
        <v>100</v>
      </c>
      <c r="Z326" s="226" t="e">
        <f aca="false">T326/H326</f>
        <v>#NAME?</v>
      </c>
      <c r="AA326" s="226" t="e">
        <f aca="false">xSPRDOPT($L326,$J326,$I326,$M326,$O326,$N326,$P326,$Q326-$C$3,$R326,3)</f>
        <v>#NAME?</v>
      </c>
      <c r="AB326" s="226" t="e">
        <f aca="false">((xSPRDOPT($L326+AB$5,$J326,$I326,$M326,$O326,$N326,$P326,$Q326-$C$3,$R326,3)*$H326)/10000)/100</f>
        <v>#NAME?</v>
      </c>
      <c r="AC326" s="226" t="e">
        <f aca="false">((xSPRDOPT($L326+$AB$5,$J326,$I326,$M326,$O326,$N326,$P326,$Q326-$C$3,$R326,7)*$H326)/100)</f>
        <v>#NAME?</v>
      </c>
      <c r="AD326" s="226" t="e">
        <f aca="false">(xSPRDOPT($L326+$AB$5,$J326,$I326,$M326,$O326,$N326,$P326,$Q326-$C$3,$R326,9)/365)*$H326</f>
        <v>#NAME?</v>
      </c>
      <c r="AE326" s="0" t="e">
        <f aca="false">CD326</f>
        <v>#NAME?</v>
      </c>
      <c r="AF326" s="226" t="e">
        <f aca="false">((O326/N326)*AH326)+AG326</f>
        <v>#NAME?</v>
      </c>
      <c r="AG326" s="226" t="e">
        <f aca="false">((xSPRDOPT($L326,$J326,$I326,$M326,$O326,$N326,$P326,$Q326-$C$3,$R326,6)*$H326)/100)</f>
        <v>#NAME?</v>
      </c>
      <c r="AH326" s="226" t="e">
        <f aca="false">((xSPRDOPT($L326,$J326,$I326,$M326,$O326,$N326,$P326,$Q326-$C$3,$R326,5)*$H326)/100)</f>
        <v>#NAME?</v>
      </c>
      <c r="AI326" s="226" t="e">
        <f aca="false">(((xSPRDOPT($L326,$J326,$I326,$M326,$O326,$N326,$P326,$Q326-$C$3,$R326,4)*$H326)/10000)/100)-AB326</f>
        <v>#NAME?</v>
      </c>
      <c r="AJ326" s="226"/>
      <c r="AK326" s="226"/>
      <c r="AL326" s="226"/>
      <c r="AM326" s="252"/>
      <c r="CC326" s="182" t="n">
        <f aca="false">G326</f>
        <v>36951</v>
      </c>
      <c r="CD326" s="253" t="e">
        <f aca="false">xSPRDOPT((VLOOKUP(G326,NGPrices,2,FALSE())+HLOOKUP(D326,Prices,VLOOKUP(G326,move_down,2,FALSE()),FALSE())),VLOOKUP(G326,NGPrices,2,FALSE()),I326,VLOOKUP(G326,NGPREVPRICES,4,FALSE()),HLOOKUP(D326,PREVVOLS,VLOOKUP(G326,MOVE_DOWN2,2,FALSE()),FALSE()),VLOOKUP(G326,NGPREVPRICES,3,FALSE()),HLOOKUP(D326,Correllate,VLOOKUP(G326,CorMove,2,FALSE()),FALSE()),Q326-$CD$3,R326,$CD$5)*H326-CJ326</f>
        <v>#NAME?</v>
      </c>
      <c r="CE326" s="253" t="e">
        <f aca="false">xSPRDOPT((VLOOKUP(G326,NGPREVPRICES,2,FALSE())+HLOOKUP(D326,PREVCURVES,VLOOKUP(G326,MOVE_DOWN2,2,FALSE()),FALSE())),VLOOKUP(G326,NGPREVPRICES,2,FALSE()),CK326,VLOOKUP(G326,NGPrices,4,FALSE()),HLOOKUP(D326,PREVVOLS,VLOOKUP(G326,MOVE_DOWN2,2,FALSE()),FALSE()),VLOOKUP(G326,NGPREVPRICES,3,FALSE()),HLOOKUP(D326,Correllate,VLOOKUP(G326,CorMove,2,FALSE()),FALSE()),Q326-$CD$3,R326,$CJ$5)*H326-CJ326</f>
        <v>#NAME?</v>
      </c>
      <c r="CF326" s="132" t="e">
        <f aca="false">(CJ326/VLOOKUP(CC326,discount,3,FALSE()))-(CJ326/VLOOKUP(CC326,discount,2,FALSE()))</f>
        <v>#NAME?</v>
      </c>
      <c r="CG326" s="253" t="e">
        <f aca="false">xSPRDOPT((VLOOKUP(G326,NGPREVPRICES,2,FALSE())+HLOOKUP(D326,PREVCURVES,VLOOKUP(G326,MOVE_DOWN2,2,FALSE()),FALSE())),VLOOKUP(G326,NGPREVPRICES,2,FALSE()),CK326,VLOOKUP(G326,NGPREVPRICES,4,FALSE()),HLOOKUP(D326,VOLS,VLOOKUP(G326,move_down,2,FALSE()),FALSE()),VLOOKUP(G326,NGPrices,3,FALSE()),HLOOKUP(D326,Correllate,VLOOKUP(G326,CorMove,2,FALSE()),FALSE()),Q326-$CD$3,R326,$CJ$5)*H326-CJ326</f>
        <v>#NAME?</v>
      </c>
      <c r="CH326" s="253" t="e">
        <f aca="false">xSPRDOPT((VLOOKUP(G326,NGPREVPRICES,2,FALSE())+HLOOKUP(D326,PREVCURVES,VLOOKUP(G326,MOVE_DOWN2,2,FALSE()),FALSE())),VLOOKUP(G326,NGPREVPRICES,2,FALSE()),CK326,VLOOKUP(G326,NGPREVPRICES,4,FALSE()),HLOOKUP(D326,PREVVOLS,VLOOKUP(G326,MOVE_DOWN2,2,FALSE()),FALSE()),VLOOKUP(G326,NGPREVPRICES,3,FALSE()),HLOOKUP(D326,Correllate,VLOOKUP(G326,CorMove,2,FALSE()),FALSE()),Q326-$C$3,R326,$CJ$5)*H326-CJ326</f>
        <v>#NAME?</v>
      </c>
      <c r="CI326" s="253" t="e">
        <f aca="false">SUM(CD326:CH326)</f>
        <v>#NAME?</v>
      </c>
      <c r="CJ326" s="253" t="e">
        <f aca="false">xSPRDOPT((VLOOKUP(G326,NGPREVPRICES,2,FALSE())+HLOOKUP(D326,PREVCURVES,VLOOKUP(G326,MOVE_DOWN2,2,FALSE()),FALSE())),VLOOKUP(G326,NGPREVPRICES,2,FALSE()),CK326,VLOOKUP(G326,NGPREVPRICES,4,FALSE()),HLOOKUP(D326,PREVVOLS,VLOOKUP(G326,MOVE_DOWN2,2,FALSE()),FALSE()),VLOOKUP(G326,NGPREVPRICES,3,FALSE()),HLOOKUP(D326,Correllate,VLOOKUP(G326,CorMove,2,FALSE()),FALSE()),Q326-$CD$3,R326,$CJ$5)*H326</f>
        <v>#NAME?</v>
      </c>
      <c r="CK326" s="254" t="n">
        <f aca="false">I326</f>
        <v>1</v>
      </c>
      <c r="CM326" s="0" t="str">
        <f aca="false">CONCATENATE(CC326,$CD$6)</f>
        <v>36951Curve Shift/Gamma</v>
      </c>
      <c r="CN326" s="0" t="str">
        <f aca="false">CONCATENATE($CC326,$CE$6)</f>
        <v>36951Rho</v>
      </c>
      <c r="CO326" s="0" t="str">
        <f aca="false">CONCATENATE($CC326,$CF$6)</f>
        <v>36951Drift</v>
      </c>
      <c r="CP326" s="0" t="str">
        <f aca="false">CONCATENATE($CC326,$CG$6)</f>
        <v>36951Vega</v>
      </c>
      <c r="CQ326" s="0" t="str">
        <f aca="false">CONCATENATE($CC326,$CH$6)</f>
        <v>36951Theta</v>
      </c>
    </row>
    <row r="327" customFormat="false" ht="12.75" hidden="false" customHeight="false" outlineLevel="0" collapsed="false">
      <c r="A327" s="265" t="s">
        <v>198</v>
      </c>
      <c r="B327" s="0" t="s">
        <v>192</v>
      </c>
      <c r="C327" s="0" t="s">
        <v>314</v>
      </c>
      <c r="D327" s="7" t="s">
        <v>149</v>
      </c>
      <c r="E327" s="0" t="s">
        <v>131</v>
      </c>
      <c r="F327" s="0" t="s">
        <v>132</v>
      </c>
      <c r="G327" s="92" t="n">
        <v>36923</v>
      </c>
      <c r="H327" s="248" t="n">
        <v>1000000</v>
      </c>
      <c r="I327" s="0" t="n">
        <v>1</v>
      </c>
      <c r="J327" s="124" t="n">
        <f aca="false">VLOOKUP(G327,NGPrices,2,FALSE())</f>
        <v>4.48</v>
      </c>
      <c r="K327" s="125" t="n">
        <f aca="false">HLOOKUP(D327,Prices,VLOOKUP(G327,move_down,2,FALSE()),FALSE())+VLOOKUP(G327,CHANGE,HLOOKUP(D327,CHANGE,2,FALSE()),FALSE())</f>
        <v>2.09</v>
      </c>
      <c r="L327" s="124" t="n">
        <f aca="false">K327+J327</f>
        <v>6.57</v>
      </c>
      <c r="M327" s="126" t="n">
        <f aca="false">VLOOKUP(G327,NGPrices,4,FALSE())</f>
        <v>0.068640161611372</v>
      </c>
      <c r="N327" s="7" t="n">
        <f aca="false">VLOOKUP(G327,NGPrices,3,FALSE())</f>
        <v>0.5925</v>
      </c>
      <c r="O327" s="7" t="n">
        <f aca="false">HLOOKUP(D327,VOLS,VLOOKUP(G327,move_down,2,FALSE()),FALSE())</f>
        <v>0.681</v>
      </c>
      <c r="P327" s="249" t="n">
        <f aca="false">HLOOKUP(D327,Correllate,VLOOKUP(G327,CorMove,2,FALSE()),FALSE())</f>
        <v>0.83</v>
      </c>
      <c r="Q327" s="92" t="n">
        <f aca="false">WORKDAY(G327,-2)</f>
        <v>36921</v>
      </c>
      <c r="R327" s="7" t="n">
        <f aca="false">IF(F327="P",0,1)</f>
        <v>0</v>
      </c>
      <c r="S327" s="130" t="e">
        <f aca="false">xSPRDOPT($L327,$J327,$I327,$M327,$O327,$N327,$P327,$Q327-$C$3,$R327,0)</f>
        <v>#NAME?</v>
      </c>
      <c r="T327" s="250" t="e">
        <f aca="false">xSPRDOPT($L327,$J327,$I327,$M327,$O327,$N327,$P327,$Q327-$C$3,$R327,1)*H327</f>
        <v>#NAME?</v>
      </c>
      <c r="U327" s="43" t="e">
        <f aca="false">S327*H327</f>
        <v>#NAME?</v>
      </c>
      <c r="V327" s="250" t="e">
        <f aca="false">xSPRDOPT($L327,$J327,$I327,$M327,$O327,$N327,$P327,$Q327-$C$3,$R327,2)*H327</f>
        <v>#NAME?</v>
      </c>
      <c r="W327" s="250" t="e">
        <f aca="false">+V327+T327</f>
        <v>#NAME?</v>
      </c>
      <c r="X327" s="2" t="str">
        <f aca="false">CONCATENATE(G327,D327)</f>
        <v>36923IF-TRANSCO/Z6</v>
      </c>
      <c r="Y327" s="251" t="n">
        <f aca="false">H327/10000</f>
        <v>100</v>
      </c>
      <c r="Z327" s="226" t="e">
        <f aca="false">T327/H327</f>
        <v>#NAME?</v>
      </c>
      <c r="AA327" s="226" t="e">
        <f aca="false">xSPRDOPT($L327,$J327,$I327,$M327,$O327,$N327,$P327,$Q327-$C$3,$R327,3)</f>
        <v>#NAME?</v>
      </c>
      <c r="AB327" s="226" t="e">
        <f aca="false">((xSPRDOPT($L327+AB$5,$J327,$I327,$M327,$O327,$N327,$P327,$Q327-$C$3,$R327,3)*$H327)/10000)/100</f>
        <v>#NAME?</v>
      </c>
      <c r="AC327" s="226" t="e">
        <f aca="false">((xSPRDOPT($L327+$AB$5,$J327,$I327,$M327,$O327,$N327,$P327,$Q327-$C$3,$R327,7)*$H327)/100)</f>
        <v>#NAME?</v>
      </c>
      <c r="AD327" s="226" t="e">
        <f aca="false">(xSPRDOPT($L327+$AB$5,$J327,$I327,$M327,$O327,$N327,$P327,$Q327-$C$3,$R327,9)/365)*$H327</f>
        <v>#NAME?</v>
      </c>
      <c r="AE327" s="0" t="e">
        <f aca="false">CD327</f>
        <v>#NAME?</v>
      </c>
      <c r="AF327" s="226" t="e">
        <f aca="false">((O327/N327)*AH327)+AG327</f>
        <v>#NAME?</v>
      </c>
      <c r="AG327" s="226" t="e">
        <f aca="false">((xSPRDOPT($L327,$J327,$I327,$M327,$O327,$N327,$P327,$Q327-$C$3,$R327,6)*$H327)/100)</f>
        <v>#NAME?</v>
      </c>
      <c r="AH327" s="226" t="e">
        <f aca="false">((xSPRDOPT($L327,$J327,$I327,$M327,$O327,$N327,$P327,$Q327-$C$3,$R327,5)*$H327)/100)</f>
        <v>#NAME?</v>
      </c>
      <c r="AI327" s="226" t="e">
        <f aca="false">(((xSPRDOPT($L327,$J327,$I327,$M327,$O327,$N327,$P327,$Q327-$C$3,$R327,4)*$H327)/10000)/100)-AB327</f>
        <v>#NAME?</v>
      </c>
      <c r="AJ327" s="226"/>
      <c r="AK327" s="226"/>
      <c r="AL327" s="226"/>
      <c r="AM327" s="252"/>
      <c r="CC327" s="182" t="n">
        <f aca="false">G327</f>
        <v>36923</v>
      </c>
      <c r="CD327" s="253" t="e">
        <f aca="false">xSPRDOPT((VLOOKUP(G327,NGPrices,2,FALSE())+HLOOKUP(D327,Prices,VLOOKUP(G327,move_down,2,FALSE()),FALSE())),VLOOKUP(G327,NGPrices,2,FALSE()),I327,VLOOKUP(G327,NGPREVPRICES,4,FALSE()),HLOOKUP(D327,PREVVOLS,VLOOKUP(G327,MOVE_DOWN2,2,FALSE()),FALSE()),VLOOKUP(G327,NGPREVPRICES,3,FALSE()),HLOOKUP(D327,Correllate,VLOOKUP(G327,CorMove,2,FALSE()),FALSE()),Q327-$CD$3,R327,$CD$5)*H327-CJ327</f>
        <v>#NAME?</v>
      </c>
      <c r="CE327" s="253" t="e">
        <f aca="false">xSPRDOPT((VLOOKUP(G327,NGPREVPRICES,2,FALSE())+HLOOKUP(D327,PREVCURVES,VLOOKUP(G327,MOVE_DOWN2,2,FALSE()),FALSE())),VLOOKUP(G327,NGPREVPRICES,2,FALSE()),CK327,VLOOKUP(G327,NGPrices,4,FALSE()),HLOOKUP(D327,PREVVOLS,VLOOKUP(G327,MOVE_DOWN2,2,FALSE()),FALSE()),VLOOKUP(G327,NGPREVPRICES,3,FALSE()),HLOOKUP(D327,Correllate,VLOOKUP(G327,CorMove,2,FALSE()),FALSE()),Q327-$CD$3,R327,$CJ$5)*H327-CJ327</f>
        <v>#NAME?</v>
      </c>
      <c r="CF327" s="132" t="e">
        <f aca="false">(CJ327/VLOOKUP(CC327,discount,3,FALSE()))-(CJ327/VLOOKUP(CC327,discount,2,FALSE()))</f>
        <v>#NAME?</v>
      </c>
      <c r="CG327" s="253" t="e">
        <f aca="false">xSPRDOPT((VLOOKUP(G327,NGPREVPRICES,2,FALSE())+HLOOKUP(D327,PREVCURVES,VLOOKUP(G327,MOVE_DOWN2,2,FALSE()),FALSE())),VLOOKUP(G327,NGPREVPRICES,2,FALSE()),CK327,VLOOKUP(G327,NGPREVPRICES,4,FALSE()),HLOOKUP(D327,VOLS,VLOOKUP(G327,move_down,2,FALSE()),FALSE()),VLOOKUP(G327,NGPrices,3,FALSE()),HLOOKUP(D327,Correllate,VLOOKUP(G327,CorMove,2,FALSE()),FALSE()),Q327-$CD$3,R327,$CJ$5)*H327-CJ327</f>
        <v>#NAME?</v>
      </c>
      <c r="CH327" s="253" t="e">
        <f aca="false">xSPRDOPT((VLOOKUP(G327,NGPREVPRICES,2,FALSE())+HLOOKUP(D327,PREVCURVES,VLOOKUP(G327,MOVE_DOWN2,2,FALSE()),FALSE())),VLOOKUP(G327,NGPREVPRICES,2,FALSE()),CK327,VLOOKUP(G327,NGPREVPRICES,4,FALSE()),HLOOKUP(D327,PREVVOLS,VLOOKUP(G327,MOVE_DOWN2,2,FALSE()),FALSE()),VLOOKUP(G327,NGPREVPRICES,3,FALSE()),HLOOKUP(D327,Correllate,VLOOKUP(G327,CorMove,2,FALSE()),FALSE()),Q327-$C$3,R327,$CJ$5)*H327-CJ327</f>
        <v>#NAME?</v>
      </c>
      <c r="CI327" s="253" t="e">
        <f aca="false">SUM(CD327:CH327)</f>
        <v>#NAME?</v>
      </c>
      <c r="CJ327" s="253" t="e">
        <f aca="false">xSPRDOPT((VLOOKUP(G327,NGPREVPRICES,2,FALSE())+HLOOKUP(D327,PREVCURVES,VLOOKUP(G327,MOVE_DOWN2,2,FALSE()),FALSE())),VLOOKUP(G327,NGPREVPRICES,2,FALSE()),CK327,VLOOKUP(G327,NGPREVPRICES,4,FALSE()),HLOOKUP(D327,PREVVOLS,VLOOKUP(G327,MOVE_DOWN2,2,FALSE()),FALSE()),VLOOKUP(G327,NGPREVPRICES,3,FALSE()),HLOOKUP(D327,Correllate,VLOOKUP(G327,CorMove,2,FALSE()),FALSE()),Q327-$CD$3,R327,$CJ$5)*H327</f>
        <v>#NAME?</v>
      </c>
      <c r="CK327" s="254" t="n">
        <f aca="false">I327</f>
        <v>1</v>
      </c>
      <c r="CM327" s="0" t="str">
        <f aca="false">CONCATENATE(CC327,$CD$6)</f>
        <v>36923Curve Shift/Gamma</v>
      </c>
      <c r="CN327" s="0" t="str">
        <f aca="false">CONCATENATE($CC327,$CE$6)</f>
        <v>36923Rho</v>
      </c>
      <c r="CO327" s="0" t="str">
        <f aca="false">CONCATENATE($CC327,$CF$6)</f>
        <v>36923Drift</v>
      </c>
      <c r="CP327" s="0" t="str">
        <f aca="false">CONCATENATE($CC327,$CG$6)</f>
        <v>36923Vega</v>
      </c>
      <c r="CQ327" s="0" t="str">
        <f aca="false">CONCATENATE($CC327,$CH$6)</f>
        <v>36923Theta</v>
      </c>
    </row>
    <row r="328" customFormat="false" ht="12.75" hidden="false" customHeight="false" outlineLevel="0" collapsed="false">
      <c r="A328" s="265" t="s">
        <v>198</v>
      </c>
      <c r="B328" s="0" t="s">
        <v>192</v>
      </c>
      <c r="C328" s="0" t="s">
        <v>314</v>
      </c>
      <c r="D328" s="7" t="s">
        <v>149</v>
      </c>
      <c r="E328" s="0" t="s">
        <v>131</v>
      </c>
      <c r="F328" s="0" t="s">
        <v>132</v>
      </c>
      <c r="G328" s="92" t="n">
        <v>36892</v>
      </c>
      <c r="H328" s="248" t="n">
        <v>1000000</v>
      </c>
      <c r="I328" s="0" t="n">
        <v>1</v>
      </c>
      <c r="J328" s="124" t="n">
        <f aca="false">VLOOKUP(G328,NGPrices,2,FALSE())</f>
        <v>4.744</v>
      </c>
      <c r="K328" s="125" t="n">
        <f aca="false">HLOOKUP(D328,Prices,VLOOKUP(G328,move_down,2,FALSE()),FALSE())+VLOOKUP(G328,CHANGE,HLOOKUP(D328,CHANGE,2,FALSE()),FALSE())</f>
        <v>2.17</v>
      </c>
      <c r="L328" s="124" t="n">
        <f aca="false">K328+J328</f>
        <v>6.914</v>
      </c>
      <c r="M328" s="126" t="n">
        <f aca="false">VLOOKUP(G328,NGPrices,4,FALSE())</f>
        <v>0.068374831148491</v>
      </c>
      <c r="N328" s="7" t="n">
        <f aca="false">VLOOKUP(G328,NGPrices,3,FALSE())</f>
        <v>0.605</v>
      </c>
      <c r="O328" s="7" t="n">
        <f aca="false">HLOOKUP(D328,VOLS,VLOOKUP(G328,move_down,2,FALSE()),FALSE())</f>
        <v>0.696</v>
      </c>
      <c r="P328" s="249" t="n">
        <f aca="false">HLOOKUP(D328,Correllate,VLOOKUP(G328,CorMove,2,FALSE()),FALSE())</f>
        <v>0.83</v>
      </c>
      <c r="Q328" s="92" t="n">
        <f aca="false">WORKDAY(G328,-2)</f>
        <v>36888</v>
      </c>
      <c r="R328" s="7" t="n">
        <f aca="false">IF(F328="P",0,1)</f>
        <v>0</v>
      </c>
      <c r="S328" s="130" t="e">
        <f aca="false">xSPRDOPT($L328,$J328,$I328,$M328,$O328,$N328,$P328,$Q328-$C$3,$R328,0)</f>
        <v>#NAME?</v>
      </c>
      <c r="T328" s="250" t="e">
        <f aca="false">xSPRDOPT($L328,$J328,$I328,$M328,$O328,$N328,$P328,$Q328-$C$3,$R328,1)*H328</f>
        <v>#NAME?</v>
      </c>
      <c r="U328" s="43" t="e">
        <f aca="false">S328*H328</f>
        <v>#NAME?</v>
      </c>
      <c r="V328" s="250" t="e">
        <f aca="false">xSPRDOPT($L328,$J328,$I328,$M328,$O328,$N328,$P328,$Q328-$C$3,$R328,2)*H328</f>
        <v>#NAME?</v>
      </c>
      <c r="W328" s="250" t="e">
        <f aca="false">+V328+T328</f>
        <v>#NAME?</v>
      </c>
      <c r="X328" s="2" t="str">
        <f aca="false">CONCATENATE(G328,D328)</f>
        <v>36892IF-TRANSCO/Z6</v>
      </c>
      <c r="Y328" s="251" t="n">
        <f aca="false">H328/10000</f>
        <v>100</v>
      </c>
      <c r="Z328" s="226" t="e">
        <f aca="false">T328/H328</f>
        <v>#NAME?</v>
      </c>
      <c r="AA328" s="226" t="e">
        <f aca="false">xSPRDOPT($L328,$J328,$I328,$M328,$O328,$N328,$P328,$Q328-$C$3,$R328,3)</f>
        <v>#NAME?</v>
      </c>
      <c r="AB328" s="226" t="e">
        <f aca="false">((xSPRDOPT($L328+AB$5,$J328,$I328,$M328,$O328,$N328,$P328,$Q328-$C$3,$R328,3)*$H328)/10000)/100</f>
        <v>#NAME?</v>
      </c>
      <c r="AC328" s="226" t="e">
        <f aca="false">((xSPRDOPT($L328+$AB$5,$J328,$I328,$M328,$O328,$N328,$P328,$Q328-$C$3,$R328,7)*$H328)/100)</f>
        <v>#NAME?</v>
      </c>
      <c r="AD328" s="226" t="e">
        <f aca="false">(xSPRDOPT($L328+$AB$5,$J328,$I328,$M328,$O328,$N328,$P328,$Q328-$C$3,$R328,9)/365)*$H328</f>
        <v>#NAME?</v>
      </c>
      <c r="AE328" s="0" t="e">
        <f aca="false">CD328</f>
        <v>#NAME?</v>
      </c>
      <c r="AF328" s="226" t="e">
        <f aca="false">((O328/N328)*AH328)+AG328</f>
        <v>#NAME?</v>
      </c>
      <c r="AG328" s="226" t="e">
        <f aca="false">((xSPRDOPT($L328,$J328,$I328,$M328,$O328,$N328,$P328,$Q328-$C$3,$R328,6)*$H328)/100)</f>
        <v>#NAME?</v>
      </c>
      <c r="AH328" s="226" t="e">
        <f aca="false">((xSPRDOPT($L328,$J328,$I328,$M328,$O328,$N328,$P328,$Q328-$C$3,$R328,5)*$H328)/100)</f>
        <v>#NAME?</v>
      </c>
      <c r="AI328" s="226" t="e">
        <f aca="false">(((xSPRDOPT($L328,$J328,$I328,$M328,$O328,$N328,$P328,$Q328-$C$3,$R328,4)*$H328)/10000)/100)-AB328</f>
        <v>#NAME?</v>
      </c>
      <c r="AJ328" s="226"/>
      <c r="AK328" s="226"/>
      <c r="AL328" s="226"/>
      <c r="AM328" s="252"/>
      <c r="CC328" s="182" t="n">
        <f aca="false">G328</f>
        <v>36892</v>
      </c>
      <c r="CD328" s="253" t="e">
        <f aca="false">xSPRDOPT((VLOOKUP(G328,NGPrices,2,FALSE())+HLOOKUP(D328,Prices,VLOOKUP(G328,move_down,2,FALSE()),FALSE())),VLOOKUP(G328,NGPrices,2,FALSE()),I328,VLOOKUP(G328,NGPREVPRICES,4,FALSE()),HLOOKUP(D328,PREVVOLS,VLOOKUP(G328,MOVE_DOWN2,2,FALSE()),FALSE()),VLOOKUP(G328,NGPREVPRICES,3,FALSE()),HLOOKUP(D328,Correllate,VLOOKUP(G328,CorMove,2,FALSE()),FALSE()),Q328-$CD$3,R328,$CD$5)*H328-CJ328</f>
        <v>#NAME?</v>
      </c>
      <c r="CE328" s="253" t="e">
        <f aca="false">xSPRDOPT((VLOOKUP(G328,NGPREVPRICES,2,FALSE())+HLOOKUP(D328,PREVCURVES,VLOOKUP(G328,MOVE_DOWN2,2,FALSE()),FALSE())),VLOOKUP(G328,NGPREVPRICES,2,FALSE()),CK328,VLOOKUP(G328,NGPrices,4,FALSE()),HLOOKUP(D328,PREVVOLS,VLOOKUP(G328,MOVE_DOWN2,2,FALSE()),FALSE()),VLOOKUP(G328,NGPREVPRICES,3,FALSE()),HLOOKUP(D328,Correllate,VLOOKUP(G328,CorMove,2,FALSE()),FALSE()),Q328-$CD$3,R328,$CJ$5)*H328-CJ328</f>
        <v>#NAME?</v>
      </c>
      <c r="CF328" s="132" t="e">
        <f aca="false">(CJ328/VLOOKUP(CC328,discount,3,FALSE()))-(CJ328/VLOOKUP(CC328,discount,2,FALSE()))</f>
        <v>#NAME?</v>
      </c>
      <c r="CG328" s="253" t="e">
        <f aca="false">xSPRDOPT((VLOOKUP(G328,NGPREVPRICES,2,FALSE())+HLOOKUP(D328,PREVCURVES,VLOOKUP(G328,MOVE_DOWN2,2,FALSE()),FALSE())),VLOOKUP(G328,NGPREVPRICES,2,FALSE()),CK328,VLOOKUP(G328,NGPREVPRICES,4,FALSE()),HLOOKUP(D328,VOLS,VLOOKUP(G328,move_down,2,FALSE()),FALSE()),VLOOKUP(G328,NGPrices,3,FALSE()),HLOOKUP(D328,Correllate,VLOOKUP(G328,CorMove,2,FALSE()),FALSE()),Q328-$CD$3,R328,$CJ$5)*H328-CJ328</f>
        <v>#NAME?</v>
      </c>
      <c r="CH328" s="253" t="e">
        <f aca="false">xSPRDOPT((VLOOKUP(G328,NGPREVPRICES,2,FALSE())+HLOOKUP(D328,PREVCURVES,VLOOKUP(G328,MOVE_DOWN2,2,FALSE()),FALSE())),VLOOKUP(G328,NGPREVPRICES,2,FALSE()),CK328,VLOOKUP(G328,NGPREVPRICES,4,FALSE()),HLOOKUP(D328,PREVVOLS,VLOOKUP(G328,MOVE_DOWN2,2,FALSE()),FALSE()),VLOOKUP(G328,NGPREVPRICES,3,FALSE()),HLOOKUP(D328,Correllate,VLOOKUP(G328,CorMove,2,FALSE()),FALSE()),Q328-$C$3,R328,$CJ$5)*H328-CJ328</f>
        <v>#NAME?</v>
      </c>
      <c r="CI328" s="253" t="e">
        <f aca="false">SUM(CD328:CH328)</f>
        <v>#NAME?</v>
      </c>
      <c r="CJ328" s="253" t="e">
        <f aca="false">xSPRDOPT((VLOOKUP(G328,NGPREVPRICES,2,FALSE())+HLOOKUP(D328,PREVCURVES,VLOOKUP(G328,MOVE_DOWN2,2,FALSE()),FALSE())),VLOOKUP(G328,NGPREVPRICES,2,FALSE()),CK328,VLOOKUP(G328,NGPREVPRICES,4,FALSE()),HLOOKUP(D328,PREVVOLS,VLOOKUP(G328,MOVE_DOWN2,2,FALSE()),FALSE()),VLOOKUP(G328,NGPREVPRICES,3,FALSE()),HLOOKUP(D328,Correllate,VLOOKUP(G328,CorMove,2,FALSE()),FALSE()),Q328-$CD$3,R328,$CJ$5)*H328</f>
        <v>#NAME?</v>
      </c>
      <c r="CK328" s="254" t="n">
        <f aca="false">I328</f>
        <v>1</v>
      </c>
      <c r="CM328" s="0" t="str">
        <f aca="false">CONCATENATE(CC328,$CD$6)</f>
        <v>36892Curve Shift/Gamma</v>
      </c>
      <c r="CN328" s="0" t="str">
        <f aca="false">CONCATENATE($CC328,$CE$6)</f>
        <v>36892Rho</v>
      </c>
      <c r="CO328" s="0" t="str">
        <f aca="false">CONCATENATE($CC328,$CF$6)</f>
        <v>36892Drift</v>
      </c>
      <c r="CP328" s="0" t="str">
        <f aca="false">CONCATENATE($CC328,$CG$6)</f>
        <v>36892Vega</v>
      </c>
      <c r="CQ328" s="0" t="str">
        <f aca="false">CONCATENATE($CC328,$CH$6)</f>
        <v>36892Theta</v>
      </c>
    </row>
    <row r="329" customFormat="false" ht="12.75" hidden="false" customHeight="false" outlineLevel="0" collapsed="false">
      <c r="A329" s="265" t="s">
        <v>198</v>
      </c>
      <c r="B329" s="0" t="s">
        <v>192</v>
      </c>
      <c r="C329" s="0" t="s">
        <v>315</v>
      </c>
      <c r="D329" s="7" t="s">
        <v>149</v>
      </c>
      <c r="E329" s="0" t="s">
        <v>131</v>
      </c>
      <c r="F329" s="0" t="s">
        <v>136</v>
      </c>
      <c r="G329" s="92" t="n">
        <v>36800</v>
      </c>
      <c r="H329" s="248" t="n">
        <v>-1000000</v>
      </c>
      <c r="I329" s="0" t="n">
        <v>0.7</v>
      </c>
      <c r="J329" s="124" t="n">
        <f aca="false">VLOOKUP(G329,NGPrices,2,FALSE())</f>
        <v>4.692</v>
      </c>
      <c r="K329" s="125" t="n">
        <f aca="false">HLOOKUP(D329,Prices,VLOOKUP(G329,move_down,2,FALSE()),FALSE())+VLOOKUP(G329,CHANGE,HLOOKUP(D329,CHANGE,2,FALSE()),FALSE())</f>
        <v>0.415</v>
      </c>
      <c r="L329" s="124" t="n">
        <f aca="false">K329+J329</f>
        <v>5.107</v>
      </c>
      <c r="M329" s="126" t="n">
        <f aca="false">VLOOKUP(G329,NGPrices,4,FALSE())</f>
        <v>0.068050789414654</v>
      </c>
      <c r="N329" s="7" t="n">
        <f aca="false">VLOOKUP(G329,NGPrices,3,FALSE())</f>
        <v>0.575</v>
      </c>
      <c r="O329" s="7" t="n">
        <f aca="false">HLOOKUP(D329,VOLS,VLOOKUP(G329,move_down,2,FALSE()),FALSE())</f>
        <v>0.564</v>
      </c>
      <c r="P329" s="249" t="n">
        <f aca="false">HLOOKUP(D329,Correllate,VLOOKUP(G329,CorMove,2,FALSE()),FALSE())</f>
        <v>0.9925</v>
      </c>
      <c r="Q329" s="92" t="n">
        <f aca="false">WORKDAY(G329,-2)</f>
        <v>36797</v>
      </c>
      <c r="R329" s="7" t="n">
        <f aca="false">IF(F329="P",0,1)</f>
        <v>1</v>
      </c>
      <c r="S329" s="130" t="e">
        <f aca="false">xSPRDOPT($L329,$J329,$I329,$M329,$O329,$N329,$P329,$Q329-$C$3,$R329,0)</f>
        <v>#NAME?</v>
      </c>
      <c r="T329" s="250" t="e">
        <f aca="false">xSPRDOPT($L329,$J329,$I329,$M329,$O329,$N329,$P329,$Q329-$C$3,$R329,1)*H329</f>
        <v>#NAME?</v>
      </c>
      <c r="U329" s="43" t="e">
        <f aca="false">S329*H329</f>
        <v>#NAME?</v>
      </c>
      <c r="V329" s="250" t="e">
        <f aca="false">xSPRDOPT($L329,$J329,$I329,$M329,$O329,$N329,$P329,$Q329-$C$3,$R329,2)*H329</f>
        <v>#NAME?</v>
      </c>
      <c r="W329" s="250" t="e">
        <f aca="false">+V329+T329</f>
        <v>#NAME?</v>
      </c>
      <c r="X329" s="2" t="str">
        <f aca="false">CONCATENATE(G329,D329)</f>
        <v>36800IF-TRANSCO/Z6</v>
      </c>
      <c r="Y329" s="251" t="n">
        <f aca="false">H329/10000</f>
        <v>-100</v>
      </c>
      <c r="Z329" s="226" t="e">
        <f aca="false">T329/H329</f>
        <v>#NAME?</v>
      </c>
      <c r="AA329" s="226" t="e">
        <f aca="false">xSPRDOPT($L329,$J329,$I329,$M329,$O329,$N329,$P329,$Q329-$C$3,$R329,3)</f>
        <v>#NAME?</v>
      </c>
      <c r="AB329" s="226" t="e">
        <f aca="false">((xSPRDOPT($L329+AB$5,$J329,$I329,$M329,$O329,$N329,$P329,$Q329-$C$3,$R329,3)*$H329)/10000)/100</f>
        <v>#NAME?</v>
      </c>
      <c r="AC329" s="226" t="e">
        <f aca="false">((xSPRDOPT($L329+$AB$5,$J329,$I329,$M329,$O329,$N329,$P329,$Q329-$C$3,$R329,7)*$H329)/100)</f>
        <v>#NAME?</v>
      </c>
      <c r="AD329" s="226" t="e">
        <f aca="false">(xSPRDOPT($L329+$AB$5,$J329,$I329,$M329,$O329,$N329,$P329,$Q329-$C$3,$R329,9)/365)*$H329</f>
        <v>#NAME?</v>
      </c>
      <c r="AE329" s="0" t="e">
        <f aca="false">CD329</f>
        <v>#NAME?</v>
      </c>
      <c r="AF329" s="226" t="e">
        <f aca="false">((O329/N329)*AH329)+AG329</f>
        <v>#NAME?</v>
      </c>
      <c r="AG329" s="226" t="e">
        <f aca="false">((xSPRDOPT($L329,$J329,$I329,$M329,$O329,$N329,$P329,$Q329-$C$3,$R329,6)*$H329)/100)</f>
        <v>#NAME?</v>
      </c>
      <c r="AH329" s="226" t="e">
        <f aca="false">((xSPRDOPT($L329,$J329,$I329,$M329,$O329,$N329,$P329,$Q329-$C$3,$R329,5)*$H329)/100)</f>
        <v>#NAME?</v>
      </c>
      <c r="AI329" s="226" t="e">
        <f aca="false">(((xSPRDOPT($L329,$J329,$I329,$M329,$O329,$N329,$P329,$Q329-$C$3,$R329,4)*$H329)/10000)/100)-AB329</f>
        <v>#NAME?</v>
      </c>
      <c r="AJ329" s="226"/>
      <c r="AK329" s="226"/>
      <c r="AL329" s="226"/>
      <c r="AM329" s="252"/>
      <c r="CC329" s="182" t="n">
        <f aca="false">G329</f>
        <v>36800</v>
      </c>
      <c r="CD329" s="253" t="e">
        <f aca="false">xSPRDOPT((VLOOKUP(G329,NGPrices,2,FALSE())+HLOOKUP(D329,Prices,VLOOKUP(G329,move_down,2,FALSE()),FALSE())),VLOOKUP(G329,NGPrices,2,FALSE()),I329,VLOOKUP(G329,NGPREVPRICES,4,FALSE()),HLOOKUP(D329,PREVVOLS,VLOOKUP(G329,MOVE_DOWN2,2,FALSE()),FALSE()),VLOOKUP(G329,NGPREVPRICES,3,FALSE()),HLOOKUP(D329,Correllate,VLOOKUP(G329,CorMove,2,FALSE()),FALSE()),Q329-$CD$3,R329,$CD$5)*H329-CJ329</f>
        <v>#NAME?</v>
      </c>
      <c r="CE329" s="253" t="e">
        <f aca="false">xSPRDOPT((VLOOKUP(G329,NGPREVPRICES,2,FALSE())+HLOOKUP(D329,PREVCURVES,VLOOKUP(G329,MOVE_DOWN2,2,FALSE()),FALSE())),VLOOKUP(G329,NGPREVPRICES,2,FALSE()),CK329,VLOOKUP(G329,NGPrices,4,FALSE()),HLOOKUP(D329,PREVVOLS,VLOOKUP(G329,MOVE_DOWN2,2,FALSE()),FALSE()),VLOOKUP(G329,NGPREVPRICES,3,FALSE()),HLOOKUP(D329,Correllate,VLOOKUP(G329,CorMove,2,FALSE()),FALSE()),Q329-$CD$3,R329,$CJ$5)*H329-CJ329</f>
        <v>#NAME?</v>
      </c>
      <c r="CF329" s="132" t="e">
        <f aca="false">(CJ329/VLOOKUP(CC329,discount,3,FALSE()))-(CJ329/VLOOKUP(CC329,discount,2,FALSE()))</f>
        <v>#NAME?</v>
      </c>
      <c r="CG329" s="253" t="e">
        <f aca="false">xSPRDOPT((VLOOKUP(G329,NGPREVPRICES,2,FALSE())+HLOOKUP(D329,PREVCURVES,VLOOKUP(G329,MOVE_DOWN2,2,FALSE()),FALSE())),VLOOKUP(G329,NGPREVPRICES,2,FALSE()),CK329,VLOOKUP(G329,NGPREVPRICES,4,FALSE()),HLOOKUP(D329,VOLS,VLOOKUP(G329,move_down,2,FALSE()),FALSE()),VLOOKUP(G329,NGPrices,3,FALSE()),HLOOKUP(D329,Correllate,VLOOKUP(G329,CorMove,2,FALSE()),FALSE()),Q329-$CD$3,R329,$CJ$5)*H329-CJ329</f>
        <v>#NAME?</v>
      </c>
      <c r="CH329" s="253" t="e">
        <f aca="false">xSPRDOPT((VLOOKUP(G329,NGPREVPRICES,2,FALSE())+HLOOKUP(D329,PREVCURVES,VLOOKUP(G329,MOVE_DOWN2,2,FALSE()),FALSE())),VLOOKUP(G329,NGPREVPRICES,2,FALSE()),CK329,VLOOKUP(G329,NGPREVPRICES,4,FALSE()),HLOOKUP(D329,PREVVOLS,VLOOKUP(G329,MOVE_DOWN2,2,FALSE()),FALSE()),VLOOKUP(G329,NGPREVPRICES,3,FALSE()),HLOOKUP(D329,Correllate,VLOOKUP(G329,CorMove,2,FALSE()),FALSE()),Q329-$C$3,R329,$CJ$5)*H329-CJ329</f>
        <v>#NAME?</v>
      </c>
      <c r="CI329" s="253" t="e">
        <f aca="false">SUM(CD329:CH329)</f>
        <v>#NAME?</v>
      </c>
      <c r="CJ329" s="253" t="e">
        <f aca="false">xSPRDOPT((VLOOKUP(G329,NGPREVPRICES,2,FALSE())+HLOOKUP(D329,PREVCURVES,VLOOKUP(G329,MOVE_DOWN2,2,FALSE()),FALSE())),VLOOKUP(G329,NGPREVPRICES,2,FALSE()),CK329,VLOOKUP(G329,NGPREVPRICES,4,FALSE()),HLOOKUP(D329,PREVVOLS,VLOOKUP(G329,MOVE_DOWN2,2,FALSE()),FALSE()),VLOOKUP(G329,NGPREVPRICES,3,FALSE()),HLOOKUP(D329,Correllate,VLOOKUP(G329,CorMove,2,FALSE()),FALSE()),Q329-$CD$3,R329,$CJ$5)*H329</f>
        <v>#NAME?</v>
      </c>
      <c r="CK329" s="254" t="n">
        <f aca="false">I329</f>
        <v>0.7</v>
      </c>
      <c r="CM329" s="0" t="str">
        <f aca="false">CONCATENATE(CC329,$CD$6)</f>
        <v>36800Curve Shift/Gamma</v>
      </c>
      <c r="CN329" s="0" t="str">
        <f aca="false">CONCATENATE($CC329,$CE$6)</f>
        <v>36800Rho</v>
      </c>
      <c r="CO329" s="0" t="str">
        <f aca="false">CONCATENATE($CC329,$CF$6)</f>
        <v>36800Drift</v>
      </c>
      <c r="CP329" s="0" t="str">
        <f aca="false">CONCATENATE($CC329,$CG$6)</f>
        <v>36800Vega</v>
      </c>
      <c r="CQ329" s="0" t="str">
        <f aca="false">CONCATENATE($CC329,$CH$6)</f>
        <v>36800Theta</v>
      </c>
    </row>
    <row r="330" customFormat="false" ht="12.75" hidden="false" customHeight="false" outlineLevel="0" collapsed="false">
      <c r="A330" s="265" t="s">
        <v>198</v>
      </c>
      <c r="B330" s="0" t="s">
        <v>192</v>
      </c>
      <c r="C330" s="0" t="s">
        <v>316</v>
      </c>
      <c r="D330" s="7" t="s">
        <v>149</v>
      </c>
      <c r="E330" s="0" t="s">
        <v>131</v>
      </c>
      <c r="F330" s="0" t="s">
        <v>136</v>
      </c>
      <c r="G330" s="92" t="n">
        <v>36800</v>
      </c>
      <c r="H330" s="248" t="n">
        <v>-1000000</v>
      </c>
      <c r="I330" s="0" t="n">
        <v>0.7</v>
      </c>
      <c r="J330" s="124" t="n">
        <f aca="false">VLOOKUP(G330,NGPrices,2,FALSE())</f>
        <v>4.692</v>
      </c>
      <c r="K330" s="125" t="n">
        <f aca="false">HLOOKUP(D330,Prices,VLOOKUP(G330,move_down,2,FALSE()),FALSE())+VLOOKUP(G330,CHANGE,HLOOKUP(D330,CHANGE,2,FALSE()),FALSE())</f>
        <v>0.415</v>
      </c>
      <c r="L330" s="124" t="n">
        <f aca="false">K330+J330</f>
        <v>5.107</v>
      </c>
      <c r="M330" s="126" t="n">
        <f aca="false">VLOOKUP(G330,NGPrices,4,FALSE())</f>
        <v>0.068050789414654</v>
      </c>
      <c r="N330" s="7" t="n">
        <f aca="false">VLOOKUP(G330,NGPrices,3,FALSE())</f>
        <v>0.575</v>
      </c>
      <c r="O330" s="7" t="n">
        <f aca="false">HLOOKUP(D330,VOLS,VLOOKUP(G330,move_down,2,FALSE()),FALSE())</f>
        <v>0.564</v>
      </c>
      <c r="P330" s="249" t="n">
        <f aca="false">HLOOKUP(D330,Correllate,VLOOKUP(G330,CorMove,2,FALSE()),FALSE())</f>
        <v>0.9925</v>
      </c>
      <c r="Q330" s="92" t="n">
        <f aca="false">WORKDAY(G330,-2)</f>
        <v>36797</v>
      </c>
      <c r="R330" s="7" t="n">
        <f aca="false">IF(F330="P",0,1)</f>
        <v>1</v>
      </c>
      <c r="S330" s="130" t="e">
        <f aca="false">xSPRDOPT($L330,$J330,$I330,$M330,$O330,$N330,$P330,$Q330-$C$3,$R330,0)</f>
        <v>#NAME?</v>
      </c>
      <c r="T330" s="250" t="e">
        <f aca="false">xSPRDOPT($L330,$J330,$I330,$M330,$O330,$N330,$P330,$Q330-$C$3,$R330,1)*H330</f>
        <v>#NAME?</v>
      </c>
      <c r="U330" s="43" t="e">
        <f aca="false">S330*H330</f>
        <v>#NAME?</v>
      </c>
      <c r="V330" s="250" t="e">
        <f aca="false">xSPRDOPT($L330,$J330,$I330,$M330,$O330,$N330,$P330,$Q330-$C$3,$R330,2)*H330</f>
        <v>#NAME?</v>
      </c>
      <c r="W330" s="250" t="e">
        <f aca="false">+V330+T330</f>
        <v>#NAME?</v>
      </c>
      <c r="X330" s="2" t="str">
        <f aca="false">CONCATENATE(G330,D330)</f>
        <v>36800IF-TRANSCO/Z6</v>
      </c>
      <c r="Y330" s="251" t="n">
        <f aca="false">H330/10000</f>
        <v>-100</v>
      </c>
      <c r="Z330" s="226" t="e">
        <f aca="false">T330/H330</f>
        <v>#NAME?</v>
      </c>
      <c r="AA330" s="226" t="e">
        <f aca="false">xSPRDOPT($L330,$J330,$I330,$M330,$O330,$N330,$P330,$Q330-$C$3,$R330,3)</f>
        <v>#NAME?</v>
      </c>
      <c r="AB330" s="226" t="e">
        <f aca="false">((xSPRDOPT($L330+AB$5,$J330,$I330,$M330,$O330,$N330,$P330,$Q330-$C$3,$R330,3)*$H330)/10000)/100</f>
        <v>#NAME?</v>
      </c>
      <c r="AC330" s="226" t="e">
        <f aca="false">((xSPRDOPT($L330+$AB$5,$J330,$I330,$M330,$O330,$N330,$P330,$Q330-$C$3,$R330,7)*$H330)/100)</f>
        <v>#NAME?</v>
      </c>
      <c r="AD330" s="226" t="e">
        <f aca="false">(xSPRDOPT($L330+$AB$5,$J330,$I330,$M330,$O330,$N330,$P330,$Q330-$C$3,$R330,9)/365)*$H330</f>
        <v>#NAME?</v>
      </c>
      <c r="AE330" s="0" t="e">
        <f aca="false">CD330</f>
        <v>#NAME?</v>
      </c>
      <c r="AF330" s="226" t="e">
        <f aca="false">((O330/N330)*AH330)+AG330</f>
        <v>#NAME?</v>
      </c>
      <c r="AG330" s="226" t="e">
        <f aca="false">((xSPRDOPT($L330,$J330,$I330,$M330,$O330,$N330,$P330,$Q330-$C$3,$R330,6)*$H330)/100)</f>
        <v>#NAME?</v>
      </c>
      <c r="AH330" s="226" t="e">
        <f aca="false">((xSPRDOPT($L330,$J330,$I330,$M330,$O330,$N330,$P330,$Q330-$C$3,$R330,5)*$H330)/100)</f>
        <v>#NAME?</v>
      </c>
      <c r="AI330" s="226" t="e">
        <f aca="false">(((xSPRDOPT($L330,$J330,$I330,$M330,$O330,$N330,$P330,$Q330-$C$3,$R330,4)*$H330)/10000)/100)-AB330</f>
        <v>#NAME?</v>
      </c>
      <c r="AJ330" s="226"/>
      <c r="AK330" s="226"/>
      <c r="AL330" s="226"/>
      <c r="AM330" s="252"/>
      <c r="CC330" s="182" t="n">
        <f aca="false">G330</f>
        <v>36800</v>
      </c>
      <c r="CD330" s="253" t="e">
        <f aca="false">xSPRDOPT((VLOOKUP(G330,NGPrices,2,FALSE())+HLOOKUP(D330,Prices,VLOOKUP(G330,move_down,2,FALSE()),FALSE())),VLOOKUP(G330,NGPrices,2,FALSE()),I330,VLOOKUP(G330,NGPREVPRICES,4,FALSE()),HLOOKUP(D330,PREVVOLS,VLOOKUP(G330,MOVE_DOWN2,2,FALSE()),FALSE()),VLOOKUP(G330,NGPREVPRICES,3,FALSE()),HLOOKUP(D330,Correllate,VLOOKUP(G330,CorMove,2,FALSE()),FALSE()),Q330-$CD$3,R330,$CD$5)*H330-CJ330</f>
        <v>#NAME?</v>
      </c>
      <c r="CE330" s="253" t="e">
        <f aca="false">xSPRDOPT((VLOOKUP(G330,NGPREVPRICES,2,FALSE())+HLOOKUP(D330,PREVCURVES,VLOOKUP(G330,MOVE_DOWN2,2,FALSE()),FALSE())),VLOOKUP(G330,NGPREVPRICES,2,FALSE()),CK330,VLOOKUP(G330,NGPrices,4,FALSE()),HLOOKUP(D330,PREVVOLS,VLOOKUP(G330,MOVE_DOWN2,2,FALSE()),FALSE()),VLOOKUP(G330,NGPREVPRICES,3,FALSE()),HLOOKUP(D330,Correllate,VLOOKUP(G330,CorMove,2,FALSE()),FALSE()),Q330-$CD$3,R330,$CJ$5)*H330-CJ330</f>
        <v>#NAME?</v>
      </c>
      <c r="CF330" s="132" t="e">
        <f aca="false">(CJ330/VLOOKUP(CC330,discount,3,FALSE()))-(CJ330/VLOOKUP(CC330,discount,2,FALSE()))</f>
        <v>#NAME?</v>
      </c>
      <c r="CG330" s="253" t="e">
        <f aca="false">xSPRDOPT((VLOOKUP(G330,NGPREVPRICES,2,FALSE())+HLOOKUP(D330,PREVCURVES,VLOOKUP(G330,MOVE_DOWN2,2,FALSE()),FALSE())),VLOOKUP(G330,NGPREVPRICES,2,FALSE()),CK330,VLOOKUP(G330,NGPREVPRICES,4,FALSE()),HLOOKUP(D330,VOLS,VLOOKUP(G330,move_down,2,FALSE()),FALSE()),VLOOKUP(G330,NGPrices,3,FALSE()),HLOOKUP(D330,Correllate,VLOOKUP(G330,CorMove,2,FALSE()),FALSE()),Q330-$CD$3,R330,$CJ$5)*H330-CJ330</f>
        <v>#NAME?</v>
      </c>
      <c r="CH330" s="253" t="e">
        <f aca="false">xSPRDOPT((VLOOKUP(G330,NGPREVPRICES,2,FALSE())+HLOOKUP(D330,PREVCURVES,VLOOKUP(G330,MOVE_DOWN2,2,FALSE()),FALSE())),VLOOKUP(G330,NGPREVPRICES,2,FALSE()),CK330,VLOOKUP(G330,NGPREVPRICES,4,FALSE()),HLOOKUP(D330,PREVVOLS,VLOOKUP(G330,MOVE_DOWN2,2,FALSE()),FALSE()),VLOOKUP(G330,NGPREVPRICES,3,FALSE()),HLOOKUP(D330,Correllate,VLOOKUP(G330,CorMove,2,FALSE()),FALSE()),Q330-$C$3,R330,$CJ$5)*H330-CJ330</f>
        <v>#NAME?</v>
      </c>
      <c r="CI330" s="253" t="e">
        <f aca="false">SUM(CD330:CH330)</f>
        <v>#NAME?</v>
      </c>
      <c r="CJ330" s="253" t="e">
        <f aca="false">xSPRDOPT((VLOOKUP(G330,NGPREVPRICES,2,FALSE())+HLOOKUP(D330,PREVCURVES,VLOOKUP(G330,MOVE_DOWN2,2,FALSE()),FALSE())),VLOOKUP(G330,NGPREVPRICES,2,FALSE()),CK330,VLOOKUP(G330,NGPREVPRICES,4,FALSE()),HLOOKUP(D330,PREVVOLS,VLOOKUP(G330,MOVE_DOWN2,2,FALSE()),FALSE()),VLOOKUP(G330,NGPREVPRICES,3,FALSE()),HLOOKUP(D330,Correllate,VLOOKUP(G330,CorMove,2,FALSE()),FALSE()),Q330-$CD$3,R330,$CJ$5)*H330</f>
        <v>#NAME?</v>
      </c>
      <c r="CK330" s="254" t="n">
        <f aca="false">I330</f>
        <v>0.7</v>
      </c>
      <c r="CM330" s="0" t="str">
        <f aca="false">CONCATENATE(CC330,$CD$6)</f>
        <v>36800Curve Shift/Gamma</v>
      </c>
      <c r="CN330" s="0" t="str">
        <f aca="false">CONCATENATE($CC330,$CE$6)</f>
        <v>36800Rho</v>
      </c>
      <c r="CO330" s="0" t="str">
        <f aca="false">CONCATENATE($CC330,$CF$6)</f>
        <v>36800Drift</v>
      </c>
      <c r="CP330" s="0" t="str">
        <f aca="false">CONCATENATE($CC330,$CG$6)</f>
        <v>36800Vega</v>
      </c>
      <c r="CQ330" s="0" t="str">
        <f aca="false">CONCATENATE($CC330,$CH$6)</f>
        <v>36800Theta</v>
      </c>
    </row>
    <row r="331" customFormat="false" ht="12.75" hidden="false" customHeight="false" outlineLevel="0" collapsed="false">
      <c r="A331" s="265" t="s">
        <v>210</v>
      </c>
      <c r="B331" s="0" t="s">
        <v>192</v>
      </c>
      <c r="C331" s="0" t="s">
        <v>317</v>
      </c>
      <c r="D331" s="7" t="s">
        <v>149</v>
      </c>
      <c r="E331" s="0" t="s">
        <v>131</v>
      </c>
      <c r="F331" s="0" t="s">
        <v>132</v>
      </c>
      <c r="G331" s="92" t="n">
        <v>36800</v>
      </c>
      <c r="H331" s="248" t="n">
        <v>3100000</v>
      </c>
      <c r="I331" s="0" t="n">
        <v>0.4</v>
      </c>
      <c r="J331" s="124" t="n">
        <f aca="false">VLOOKUP(G331,NGPrices,2,FALSE())</f>
        <v>4.692</v>
      </c>
      <c r="K331" s="125" t="n">
        <f aca="false">HLOOKUP(D331,Prices,VLOOKUP(G331,move_down,2,FALSE()),FALSE())+VLOOKUP(G331,CHANGE,HLOOKUP(D331,CHANGE,2,FALSE()),FALSE())</f>
        <v>0.415</v>
      </c>
      <c r="L331" s="124" t="n">
        <f aca="false">K331+J331</f>
        <v>5.107</v>
      </c>
      <c r="M331" s="126" t="n">
        <f aca="false">VLOOKUP(G331,NGPrices,4,FALSE())</f>
        <v>0.068050789414654</v>
      </c>
      <c r="N331" s="7" t="n">
        <f aca="false">VLOOKUP(G331,NGPrices,3,FALSE())</f>
        <v>0.575</v>
      </c>
      <c r="O331" s="7" t="n">
        <f aca="false">HLOOKUP(D331,VOLS,VLOOKUP(G331,move_down,2,FALSE()),FALSE())</f>
        <v>0.564</v>
      </c>
      <c r="P331" s="249" t="n">
        <f aca="false">HLOOKUP(D331,Correllate,VLOOKUP(G331,CorMove,2,FALSE()),FALSE())</f>
        <v>0.9925</v>
      </c>
      <c r="Q331" s="92" t="n">
        <f aca="false">WORKDAY(G331,-2)</f>
        <v>36797</v>
      </c>
      <c r="R331" s="7" t="n">
        <f aca="false">IF(F331="P",0,1)</f>
        <v>0</v>
      </c>
      <c r="S331" s="130" t="e">
        <f aca="false">xSPRDOPT($L331,$J331,$I331,$M331,$O331,$N331,$P331,$Q331-$C$3,$R331,0)</f>
        <v>#NAME?</v>
      </c>
      <c r="T331" s="250" t="e">
        <f aca="false">xSPRDOPT($L331,$J331,$I331,$M331,$O331,$N331,$P331,$Q331-$C$3,$R331,1)*H331</f>
        <v>#NAME?</v>
      </c>
      <c r="U331" s="43" t="e">
        <f aca="false">S331*H331</f>
        <v>#NAME?</v>
      </c>
      <c r="V331" s="250" t="e">
        <f aca="false">xSPRDOPT($L331,$J331,$I331,$M331,$O331,$N331,$P331,$Q331-$C$3,$R331,2)*H331</f>
        <v>#NAME?</v>
      </c>
      <c r="W331" s="250" t="e">
        <f aca="false">+V331+T331</f>
        <v>#NAME?</v>
      </c>
      <c r="X331" s="2" t="str">
        <f aca="false">CONCATENATE(G331,D331)</f>
        <v>36800IF-TRANSCO/Z6</v>
      </c>
      <c r="Y331" s="251" t="n">
        <f aca="false">H331/10000</f>
        <v>310</v>
      </c>
      <c r="Z331" s="226" t="e">
        <f aca="false">T331/H331</f>
        <v>#NAME?</v>
      </c>
      <c r="AA331" s="226" t="e">
        <f aca="false">xSPRDOPT($L331,$J331,$I331,$M331,$O331,$N331,$P331,$Q331-$C$3,$R331,3)</f>
        <v>#NAME?</v>
      </c>
      <c r="AB331" s="226" t="e">
        <f aca="false">((xSPRDOPT($L331+AB$5,$J331,$I331,$M331,$O331,$N331,$P331,$Q331-$C$3,$R331,3)*$H331)/10000)/100</f>
        <v>#NAME?</v>
      </c>
      <c r="AC331" s="226" t="e">
        <f aca="false">((xSPRDOPT($L331+$AB$5,$J331,$I331,$M331,$O331,$N331,$P331,$Q331-$C$3,$R331,7)*$H331)/100)</f>
        <v>#NAME?</v>
      </c>
      <c r="AD331" s="226" t="e">
        <f aca="false">(xSPRDOPT($L331+$AB$5,$J331,$I331,$M331,$O331,$N331,$P331,$Q331-$C$3,$R331,9)/365)*$H331</f>
        <v>#NAME?</v>
      </c>
      <c r="AE331" s="0" t="e">
        <f aca="false">CD331</f>
        <v>#NAME?</v>
      </c>
      <c r="AF331" s="226" t="e">
        <f aca="false">((O331/N331)*AH331)+AG331</f>
        <v>#NAME?</v>
      </c>
      <c r="AG331" s="226" t="e">
        <f aca="false">((xSPRDOPT($L331,$J331,$I331,$M331,$O331,$N331,$P331,$Q331-$C$3,$R331,6)*$H331)/100)</f>
        <v>#NAME?</v>
      </c>
      <c r="AH331" s="226" t="e">
        <f aca="false">((xSPRDOPT($L331,$J331,$I331,$M331,$O331,$N331,$P331,$Q331-$C$3,$R331,5)*$H331)/100)</f>
        <v>#NAME?</v>
      </c>
      <c r="AI331" s="226" t="e">
        <f aca="false">(((xSPRDOPT($L331,$J331,$I331,$M331,$O331,$N331,$P331,$Q331-$C$3,$R331,4)*$H331)/10000)/100)-AB331</f>
        <v>#NAME?</v>
      </c>
      <c r="AJ331" s="226"/>
      <c r="AK331" s="226"/>
      <c r="AL331" s="226"/>
      <c r="AM331" s="252"/>
      <c r="CC331" s="182" t="n">
        <f aca="false">G331</f>
        <v>36800</v>
      </c>
      <c r="CD331" s="253" t="e">
        <f aca="false">xSPRDOPT((VLOOKUP(G331,NGPrices,2,FALSE())+HLOOKUP(D331,Prices,VLOOKUP(G331,move_down,2,FALSE()),FALSE())),VLOOKUP(G331,NGPrices,2,FALSE()),I331,VLOOKUP(G331,NGPREVPRICES,4,FALSE()),HLOOKUP(D331,PREVVOLS,VLOOKUP(G331,MOVE_DOWN2,2,FALSE()),FALSE()),VLOOKUP(G331,NGPREVPRICES,3,FALSE()),HLOOKUP(D331,Correllate,VLOOKUP(G331,CorMove,2,FALSE()),FALSE()),Q331-$CD$3,R331,$CD$5)*H331-CJ331</f>
        <v>#NAME?</v>
      </c>
      <c r="CE331" s="253" t="e">
        <f aca="false">xSPRDOPT((VLOOKUP(G331,NGPREVPRICES,2,FALSE())+HLOOKUP(D331,PREVCURVES,VLOOKUP(G331,MOVE_DOWN2,2,FALSE()),FALSE())),VLOOKUP(G331,NGPREVPRICES,2,FALSE()),CK331,VLOOKUP(G331,NGPrices,4,FALSE()),HLOOKUP(D331,PREVVOLS,VLOOKUP(G331,MOVE_DOWN2,2,FALSE()),FALSE()),VLOOKUP(G331,NGPREVPRICES,3,FALSE()),HLOOKUP(D331,Correllate,VLOOKUP(G331,CorMove,2,FALSE()),FALSE()),Q331-$CD$3,R331,$CJ$5)*H331-CJ331</f>
        <v>#NAME?</v>
      </c>
      <c r="CF331" s="132" t="e">
        <f aca="false">(CJ331/VLOOKUP(CC331,discount,3,FALSE()))-(CJ331/VLOOKUP(CC331,discount,2,FALSE()))</f>
        <v>#NAME?</v>
      </c>
      <c r="CG331" s="253" t="e">
        <f aca="false">xSPRDOPT((VLOOKUP(G331,NGPREVPRICES,2,FALSE())+HLOOKUP(D331,PREVCURVES,VLOOKUP(G331,MOVE_DOWN2,2,FALSE()),FALSE())),VLOOKUP(G331,NGPREVPRICES,2,FALSE()),CK331,VLOOKUP(G331,NGPREVPRICES,4,FALSE()),HLOOKUP(D331,VOLS,VLOOKUP(G331,move_down,2,FALSE()),FALSE()),VLOOKUP(G331,NGPrices,3,FALSE()),HLOOKUP(D331,Correllate,VLOOKUP(G331,CorMove,2,FALSE()),FALSE()),Q331-$CD$3,R331,$CJ$5)*H331-CJ331</f>
        <v>#NAME?</v>
      </c>
      <c r="CH331" s="253" t="e">
        <f aca="false">xSPRDOPT((VLOOKUP(G331,NGPREVPRICES,2,FALSE())+HLOOKUP(D331,PREVCURVES,VLOOKUP(G331,MOVE_DOWN2,2,FALSE()),FALSE())),VLOOKUP(G331,NGPREVPRICES,2,FALSE()),CK331,VLOOKUP(G331,NGPREVPRICES,4,FALSE()),HLOOKUP(D331,PREVVOLS,VLOOKUP(G331,MOVE_DOWN2,2,FALSE()),FALSE()),VLOOKUP(G331,NGPREVPRICES,3,FALSE()),HLOOKUP(D331,Correllate,VLOOKUP(G331,CorMove,2,FALSE()),FALSE()),Q331-$C$3,R331,$CJ$5)*H331-CJ331</f>
        <v>#NAME?</v>
      </c>
      <c r="CI331" s="253" t="e">
        <f aca="false">SUM(CD331:CH331)</f>
        <v>#NAME?</v>
      </c>
      <c r="CJ331" s="253" t="e">
        <f aca="false">xSPRDOPT((VLOOKUP(G331,NGPREVPRICES,2,FALSE())+HLOOKUP(D331,PREVCURVES,VLOOKUP(G331,MOVE_DOWN2,2,FALSE()),FALSE())),VLOOKUP(G331,NGPREVPRICES,2,FALSE()),CK331,VLOOKUP(G331,NGPREVPRICES,4,FALSE()),HLOOKUP(D331,PREVVOLS,VLOOKUP(G331,MOVE_DOWN2,2,FALSE()),FALSE()),VLOOKUP(G331,NGPREVPRICES,3,FALSE()),HLOOKUP(D331,Correllate,VLOOKUP(G331,CorMove,2,FALSE()),FALSE()),Q331-$CD$3,R331,$CJ$5)*H331</f>
        <v>#NAME?</v>
      </c>
      <c r="CK331" s="254" t="n">
        <f aca="false">I331</f>
        <v>0.4</v>
      </c>
      <c r="CM331" s="0" t="str">
        <f aca="false">CONCATENATE(CC331,$CD$6)</f>
        <v>36800Curve Shift/Gamma</v>
      </c>
      <c r="CN331" s="0" t="str">
        <f aca="false">CONCATENATE($CC331,$CE$6)</f>
        <v>36800Rho</v>
      </c>
      <c r="CO331" s="0" t="str">
        <f aca="false">CONCATENATE($CC331,$CF$6)</f>
        <v>36800Drift</v>
      </c>
      <c r="CP331" s="0" t="str">
        <f aca="false">CONCATENATE($CC331,$CG$6)</f>
        <v>36800Vega</v>
      </c>
      <c r="CQ331" s="0" t="str">
        <f aca="false">CONCATENATE($CC331,$CH$6)</f>
        <v>36800Theta</v>
      </c>
    </row>
    <row r="332" customFormat="false" ht="12.75" hidden="false" customHeight="false" outlineLevel="0" collapsed="false">
      <c r="A332" s="265" t="s">
        <v>198</v>
      </c>
      <c r="B332" s="0" t="s">
        <v>192</v>
      </c>
      <c r="C332" s="0" t="s">
        <v>318</v>
      </c>
      <c r="D332" s="7" t="s">
        <v>149</v>
      </c>
      <c r="E332" s="0" t="s">
        <v>131</v>
      </c>
      <c r="F332" s="0" t="s">
        <v>132</v>
      </c>
      <c r="G332" s="92" t="n">
        <v>36831</v>
      </c>
      <c r="H332" s="248" t="n">
        <v>-500000</v>
      </c>
      <c r="I332" s="0" t="n">
        <v>0.4</v>
      </c>
      <c r="J332" s="124" t="n">
        <f aca="false">VLOOKUP(G332,NGPrices,2,FALSE())</f>
        <v>4.736</v>
      </c>
      <c r="K332" s="125" t="n">
        <f aca="false">HLOOKUP(D332,Prices,VLOOKUP(G332,move_down,2,FALSE()),FALSE())+VLOOKUP(G332,CHANGE,HLOOKUP(D332,CHANGE,2,FALSE()),FALSE())</f>
        <v>0.77</v>
      </c>
      <c r="L332" s="124" t="n">
        <f aca="false">K332+J332</f>
        <v>5.506</v>
      </c>
      <c r="M332" s="126" t="n">
        <f aca="false">VLOOKUP(G332,NGPrices,4,FALSE())</f>
        <v>0.06810675983792</v>
      </c>
      <c r="N332" s="7" t="n">
        <f aca="false">VLOOKUP(G332,NGPrices,3,FALSE())</f>
        <v>0.595</v>
      </c>
      <c r="O332" s="7" t="n">
        <f aca="false">HLOOKUP(D332,VOLS,VLOOKUP(G332,move_down,2,FALSE()),FALSE())</f>
        <v>0.625</v>
      </c>
      <c r="P332" s="249" t="n">
        <f aca="false">HLOOKUP(D332,Correllate,VLOOKUP(G332,CorMove,2,FALSE()),FALSE())</f>
        <v>0.89</v>
      </c>
      <c r="Q332" s="92" t="n">
        <f aca="false">WORKDAY(G332,-2)</f>
        <v>36829</v>
      </c>
      <c r="R332" s="7" t="n">
        <f aca="false">IF(F332="P",0,1)</f>
        <v>0</v>
      </c>
      <c r="S332" s="130" t="e">
        <f aca="false">xSPRDOPT($L332,$J332,$I332,$M332,$O332,$N332,$P332,$Q332-$C$3,$R332,0)</f>
        <v>#NAME?</v>
      </c>
      <c r="T332" s="250" t="e">
        <f aca="false">xSPRDOPT($L332,$J332,$I332,$M332,$O332,$N332,$P332,$Q332-$C$3,$R332,1)*H332</f>
        <v>#NAME?</v>
      </c>
      <c r="U332" s="43" t="e">
        <f aca="false">S332*H332</f>
        <v>#NAME?</v>
      </c>
      <c r="V332" s="250" t="e">
        <f aca="false">xSPRDOPT($L332,$J332,$I332,$M332,$O332,$N332,$P332,$Q332-$C$3,$R332,2)*H332</f>
        <v>#NAME?</v>
      </c>
      <c r="W332" s="250" t="e">
        <f aca="false">+V332+T332</f>
        <v>#NAME?</v>
      </c>
      <c r="X332" s="2" t="str">
        <f aca="false">CONCATENATE(G332,D332)</f>
        <v>36831IF-TRANSCO/Z6</v>
      </c>
      <c r="Y332" s="251" t="n">
        <f aca="false">H332/10000</f>
        <v>-50</v>
      </c>
      <c r="Z332" s="226" t="e">
        <f aca="false">T332/H332</f>
        <v>#NAME?</v>
      </c>
      <c r="AA332" s="226" t="e">
        <f aca="false">xSPRDOPT($L332,$J332,$I332,$M332,$O332,$N332,$P332,$Q332-$C$3,$R332,3)</f>
        <v>#NAME?</v>
      </c>
      <c r="AB332" s="226" t="e">
        <f aca="false">((xSPRDOPT($L332+AB$5,$J332,$I332,$M332,$O332,$N332,$P332,$Q332-$C$3,$R332,3)*$H332)/10000)/100</f>
        <v>#NAME?</v>
      </c>
      <c r="AC332" s="226" t="e">
        <f aca="false">((xSPRDOPT($L332+$AB$5,$J332,$I332,$M332,$O332,$N332,$P332,$Q332-$C$3,$R332,7)*$H332)/100)</f>
        <v>#NAME?</v>
      </c>
      <c r="AD332" s="226" t="e">
        <f aca="false">(xSPRDOPT($L332+$AB$5,$J332,$I332,$M332,$O332,$N332,$P332,$Q332-$C$3,$R332,9)/365)*$H332</f>
        <v>#NAME?</v>
      </c>
      <c r="AE332" s="0" t="e">
        <f aca="false">CD332</f>
        <v>#NAME?</v>
      </c>
      <c r="AF332" s="226" t="e">
        <f aca="false">((O332/N332)*AH332)+AG332</f>
        <v>#NAME?</v>
      </c>
      <c r="AG332" s="226" t="e">
        <f aca="false">((xSPRDOPT($L332,$J332,$I332,$M332,$O332,$N332,$P332,$Q332-$C$3,$R332,6)*$H332)/100)</f>
        <v>#NAME?</v>
      </c>
      <c r="AH332" s="226" t="e">
        <f aca="false">((xSPRDOPT($L332,$J332,$I332,$M332,$O332,$N332,$P332,$Q332-$C$3,$R332,5)*$H332)/100)</f>
        <v>#NAME?</v>
      </c>
      <c r="AI332" s="226" t="e">
        <f aca="false">(((xSPRDOPT($L332,$J332,$I332,$M332,$O332,$N332,$P332,$Q332-$C$3,$R332,4)*$H332)/10000)/100)-AB332</f>
        <v>#NAME?</v>
      </c>
      <c r="AJ332" s="226"/>
      <c r="AK332" s="226"/>
      <c r="AL332" s="226"/>
      <c r="AM332" s="252"/>
      <c r="CC332" s="182" t="n">
        <f aca="false">G332</f>
        <v>36831</v>
      </c>
      <c r="CD332" s="253" t="e">
        <f aca="false">xSPRDOPT((VLOOKUP(G332,NGPrices,2,FALSE())+HLOOKUP(D332,Prices,VLOOKUP(G332,move_down,2,FALSE()),FALSE())),VLOOKUP(G332,NGPrices,2,FALSE()),I332,VLOOKUP(G332,NGPREVPRICES,4,FALSE()),HLOOKUP(D332,PREVVOLS,VLOOKUP(G332,MOVE_DOWN2,2,FALSE()),FALSE()),VLOOKUP(G332,NGPREVPRICES,3,FALSE()),HLOOKUP(D332,Correllate,VLOOKUP(G332,CorMove,2,FALSE()),FALSE()),Q332-$CD$3,R332,$CD$5)*H332-CJ332</f>
        <v>#NAME?</v>
      </c>
      <c r="CE332" s="253" t="e">
        <f aca="false">xSPRDOPT((VLOOKUP(G332,NGPREVPRICES,2,FALSE())+HLOOKUP(D332,PREVCURVES,VLOOKUP(G332,MOVE_DOWN2,2,FALSE()),FALSE())),VLOOKUP(G332,NGPREVPRICES,2,FALSE()),CK332,VLOOKUP(G332,NGPrices,4,FALSE()),HLOOKUP(D332,PREVVOLS,VLOOKUP(G332,MOVE_DOWN2,2,FALSE()),FALSE()),VLOOKUP(G332,NGPREVPRICES,3,FALSE()),HLOOKUP(D332,Correllate,VLOOKUP(G332,CorMove,2,FALSE()),FALSE()),Q332-$CD$3,R332,$CJ$5)*H332-CJ332</f>
        <v>#NAME?</v>
      </c>
      <c r="CF332" s="132" t="e">
        <f aca="false">(CJ332/VLOOKUP(CC332,discount,3,FALSE()))-(CJ332/VLOOKUP(CC332,discount,2,FALSE()))</f>
        <v>#NAME?</v>
      </c>
      <c r="CG332" s="253" t="e">
        <f aca="false">xSPRDOPT((VLOOKUP(G332,NGPREVPRICES,2,FALSE())+HLOOKUP(D332,PREVCURVES,VLOOKUP(G332,MOVE_DOWN2,2,FALSE()),FALSE())),VLOOKUP(G332,NGPREVPRICES,2,FALSE()),CK332,VLOOKUP(G332,NGPREVPRICES,4,FALSE()),HLOOKUP(D332,VOLS,VLOOKUP(G332,move_down,2,FALSE()),FALSE()),VLOOKUP(G332,NGPrices,3,FALSE()),HLOOKUP(D332,Correllate,VLOOKUP(G332,CorMove,2,FALSE()),FALSE()),Q332-$CD$3,R332,$CJ$5)*H332-CJ332</f>
        <v>#NAME?</v>
      </c>
      <c r="CH332" s="253" t="e">
        <f aca="false">xSPRDOPT((VLOOKUP(G332,NGPREVPRICES,2,FALSE())+HLOOKUP(D332,PREVCURVES,VLOOKUP(G332,MOVE_DOWN2,2,FALSE()),FALSE())),VLOOKUP(G332,NGPREVPRICES,2,FALSE()),CK332,VLOOKUP(G332,NGPREVPRICES,4,FALSE()),HLOOKUP(D332,PREVVOLS,VLOOKUP(G332,MOVE_DOWN2,2,FALSE()),FALSE()),VLOOKUP(G332,NGPREVPRICES,3,FALSE()),HLOOKUP(D332,Correllate,VLOOKUP(G332,CorMove,2,FALSE()),FALSE()),Q332-$C$3,R332,$CJ$5)*H332-CJ332</f>
        <v>#NAME?</v>
      </c>
      <c r="CI332" s="253" t="e">
        <f aca="false">SUM(CD332:CH332)</f>
        <v>#NAME?</v>
      </c>
      <c r="CJ332" s="253" t="e">
        <f aca="false">xSPRDOPT((VLOOKUP(G332,NGPREVPRICES,2,FALSE())+HLOOKUP(D332,PREVCURVES,VLOOKUP(G332,MOVE_DOWN2,2,FALSE()),FALSE())),VLOOKUP(G332,NGPREVPRICES,2,FALSE()),CK332,VLOOKUP(G332,NGPREVPRICES,4,FALSE()),HLOOKUP(D332,PREVVOLS,VLOOKUP(G332,MOVE_DOWN2,2,FALSE()),FALSE()),VLOOKUP(G332,NGPREVPRICES,3,FALSE()),HLOOKUP(D332,Correllate,VLOOKUP(G332,CorMove,2,FALSE()),FALSE()),Q332-$CD$3,R332,$CJ$5)*H332</f>
        <v>#NAME?</v>
      </c>
      <c r="CK332" s="254" t="n">
        <f aca="false">I332</f>
        <v>0.4</v>
      </c>
      <c r="CM332" s="0" t="str">
        <f aca="false">CONCATENATE(CC332,$CD$6)</f>
        <v>36831Curve Shift/Gamma</v>
      </c>
      <c r="CN332" s="0" t="str">
        <f aca="false">CONCATENATE($CC332,$CE$6)</f>
        <v>36831Rho</v>
      </c>
      <c r="CO332" s="0" t="str">
        <f aca="false">CONCATENATE($CC332,$CF$6)</f>
        <v>36831Drift</v>
      </c>
      <c r="CP332" s="0" t="str">
        <f aca="false">CONCATENATE($CC332,$CG$6)</f>
        <v>36831Vega</v>
      </c>
      <c r="CQ332" s="0" t="str">
        <f aca="false">CONCATENATE($CC332,$CH$6)</f>
        <v>36831Theta</v>
      </c>
    </row>
    <row r="333" customFormat="false" ht="12.75" hidden="false" customHeight="false" outlineLevel="0" collapsed="false">
      <c r="A333" s="265" t="s">
        <v>309</v>
      </c>
      <c r="B333" s="0" t="s">
        <v>192</v>
      </c>
      <c r="C333" s="0" t="s">
        <v>319</v>
      </c>
      <c r="D333" s="7" t="s">
        <v>149</v>
      </c>
      <c r="E333" s="0" t="s">
        <v>131</v>
      </c>
      <c r="F333" s="0" t="s">
        <v>132</v>
      </c>
      <c r="G333" s="92" t="n">
        <v>36831</v>
      </c>
      <c r="H333" s="248" t="n">
        <v>500000</v>
      </c>
      <c r="I333" s="0" t="n">
        <v>0.4</v>
      </c>
      <c r="J333" s="124" t="n">
        <f aca="false">VLOOKUP(G333,NGPrices,2,FALSE())</f>
        <v>4.736</v>
      </c>
      <c r="K333" s="125" t="n">
        <f aca="false">HLOOKUP(D333,Prices,VLOOKUP(G333,move_down,2,FALSE()),FALSE())+VLOOKUP(G333,CHANGE,HLOOKUP(D333,CHANGE,2,FALSE()),FALSE())</f>
        <v>0.77</v>
      </c>
      <c r="L333" s="124" t="n">
        <f aca="false">K333+J333</f>
        <v>5.506</v>
      </c>
      <c r="M333" s="126" t="n">
        <f aca="false">VLOOKUP(G333,NGPrices,4,FALSE())</f>
        <v>0.06810675983792</v>
      </c>
      <c r="N333" s="7" t="n">
        <f aca="false">VLOOKUP(G333,NGPrices,3,FALSE())</f>
        <v>0.595</v>
      </c>
      <c r="O333" s="7" t="n">
        <f aca="false">HLOOKUP(D333,VOLS,VLOOKUP(G333,move_down,2,FALSE()),FALSE())</f>
        <v>0.625</v>
      </c>
      <c r="P333" s="249" t="n">
        <f aca="false">HLOOKUP(D333,Correllate,VLOOKUP(G333,CorMove,2,FALSE()),FALSE())</f>
        <v>0.89</v>
      </c>
      <c r="Q333" s="92" t="n">
        <f aca="false">WORKDAY(G333,-2)</f>
        <v>36829</v>
      </c>
      <c r="R333" s="7" t="n">
        <f aca="false">IF(F333="P",0,1)</f>
        <v>0</v>
      </c>
      <c r="S333" s="130" t="e">
        <f aca="false">xSPRDOPT($L333,$J333,$I333,$M333,$O333,$N333,$P333,$Q333-$C$3,$R333,0)</f>
        <v>#NAME?</v>
      </c>
      <c r="T333" s="250" t="e">
        <f aca="false">xSPRDOPT($L333,$J333,$I333,$M333,$O333,$N333,$P333,$Q333-$C$3,$R333,1)*H333</f>
        <v>#NAME?</v>
      </c>
      <c r="U333" s="43" t="e">
        <f aca="false">S333*H333</f>
        <v>#NAME?</v>
      </c>
      <c r="V333" s="250" t="e">
        <f aca="false">xSPRDOPT($L333,$J333,$I333,$M333,$O333,$N333,$P333,$Q333-$C$3,$R333,2)*H333</f>
        <v>#NAME?</v>
      </c>
      <c r="W333" s="250" t="e">
        <f aca="false">+V333+T333</f>
        <v>#NAME?</v>
      </c>
      <c r="X333" s="2" t="str">
        <f aca="false">CONCATENATE(G333,D333)</f>
        <v>36831IF-TRANSCO/Z6</v>
      </c>
      <c r="Y333" s="251" t="n">
        <f aca="false">H333/10000</f>
        <v>50</v>
      </c>
      <c r="Z333" s="226" t="e">
        <f aca="false">T333/H333</f>
        <v>#NAME?</v>
      </c>
      <c r="AA333" s="226" t="e">
        <f aca="false">xSPRDOPT($L333,$J333,$I333,$M333,$O333,$N333,$P333,$Q333-$C$3,$R333,3)</f>
        <v>#NAME?</v>
      </c>
      <c r="AB333" s="226" t="e">
        <f aca="false">((xSPRDOPT($L333+AB$5,$J333,$I333,$M333,$O333,$N333,$P333,$Q333-$C$3,$R333,3)*$H333)/10000)/100</f>
        <v>#NAME?</v>
      </c>
      <c r="AC333" s="226" t="e">
        <f aca="false">((xSPRDOPT($L333+$AB$5,$J333,$I333,$M333,$O333,$N333,$P333,$Q333-$C$3,$R333,7)*$H333)/100)</f>
        <v>#NAME?</v>
      </c>
      <c r="AD333" s="226" t="e">
        <f aca="false">(xSPRDOPT($L333+$AB$5,$J333,$I333,$M333,$O333,$N333,$P333,$Q333-$C$3,$R333,9)/365)*$H333</f>
        <v>#NAME?</v>
      </c>
      <c r="AE333" s="0" t="e">
        <f aca="false">CD333</f>
        <v>#NAME?</v>
      </c>
      <c r="AF333" s="226" t="e">
        <f aca="false">((O333/N333)*AH333)+AG333</f>
        <v>#NAME?</v>
      </c>
      <c r="AG333" s="226" t="e">
        <f aca="false">((xSPRDOPT($L333,$J333,$I333,$M333,$O333,$N333,$P333,$Q333-$C$3,$R333,6)*$H333)/100)</f>
        <v>#NAME?</v>
      </c>
      <c r="AH333" s="226" t="e">
        <f aca="false">((xSPRDOPT($L333,$J333,$I333,$M333,$O333,$N333,$P333,$Q333-$C$3,$R333,5)*$H333)/100)</f>
        <v>#NAME?</v>
      </c>
      <c r="AI333" s="226" t="e">
        <f aca="false">(((xSPRDOPT($L333,$J333,$I333,$M333,$O333,$N333,$P333,$Q333-$C$3,$R333,4)*$H333)/10000)/100)-AB333</f>
        <v>#NAME?</v>
      </c>
      <c r="AJ333" s="226"/>
      <c r="AK333" s="226"/>
      <c r="AL333" s="226"/>
      <c r="AM333" s="252"/>
      <c r="CC333" s="182" t="n">
        <f aca="false">G333</f>
        <v>36831</v>
      </c>
      <c r="CD333" s="253" t="e">
        <f aca="false">xSPRDOPT((VLOOKUP(G333,NGPrices,2,FALSE())+HLOOKUP(D333,Prices,VLOOKUP(G333,move_down,2,FALSE()),FALSE())),VLOOKUP(G333,NGPrices,2,FALSE()),I333,VLOOKUP(G333,NGPREVPRICES,4,FALSE()),HLOOKUP(D333,PREVVOLS,VLOOKUP(G333,MOVE_DOWN2,2,FALSE()),FALSE()),VLOOKUP(G333,NGPREVPRICES,3,FALSE()),HLOOKUP(D333,Correllate,VLOOKUP(G333,CorMove,2,FALSE()),FALSE()),Q333-$CD$3,R333,$CD$5)*H333-CJ333</f>
        <v>#NAME?</v>
      </c>
      <c r="CE333" s="253" t="e">
        <f aca="false">xSPRDOPT((VLOOKUP(G333,NGPREVPRICES,2,FALSE())+HLOOKUP(D333,PREVCURVES,VLOOKUP(G333,MOVE_DOWN2,2,FALSE()),FALSE())),VLOOKUP(G333,NGPREVPRICES,2,FALSE()),CK333,VLOOKUP(G333,NGPrices,4,FALSE()),HLOOKUP(D333,PREVVOLS,VLOOKUP(G333,MOVE_DOWN2,2,FALSE()),FALSE()),VLOOKUP(G333,NGPREVPRICES,3,FALSE()),HLOOKUP(D333,Correllate,VLOOKUP(G333,CorMove,2,FALSE()),FALSE()),Q333-$CD$3,R333,$CJ$5)*H333-CJ333</f>
        <v>#NAME?</v>
      </c>
      <c r="CF333" s="132" t="e">
        <f aca="false">(CJ333/VLOOKUP(CC333,discount,3,FALSE()))-(CJ333/VLOOKUP(CC333,discount,2,FALSE()))</f>
        <v>#NAME?</v>
      </c>
      <c r="CG333" s="253" t="e">
        <f aca="false">xSPRDOPT((VLOOKUP(G333,NGPREVPRICES,2,FALSE())+HLOOKUP(D333,PREVCURVES,VLOOKUP(G333,MOVE_DOWN2,2,FALSE()),FALSE())),VLOOKUP(G333,NGPREVPRICES,2,FALSE()),CK333,VLOOKUP(G333,NGPREVPRICES,4,FALSE()),HLOOKUP(D333,VOLS,VLOOKUP(G333,move_down,2,FALSE()),FALSE()),VLOOKUP(G333,NGPrices,3,FALSE()),HLOOKUP(D333,Correllate,VLOOKUP(G333,CorMove,2,FALSE()),FALSE()),Q333-$CD$3,R333,$CJ$5)*H333-CJ333</f>
        <v>#NAME?</v>
      </c>
      <c r="CH333" s="253" t="e">
        <f aca="false">xSPRDOPT((VLOOKUP(G333,NGPREVPRICES,2,FALSE())+HLOOKUP(D333,PREVCURVES,VLOOKUP(G333,MOVE_DOWN2,2,FALSE()),FALSE())),VLOOKUP(G333,NGPREVPRICES,2,FALSE()),CK333,VLOOKUP(G333,NGPREVPRICES,4,FALSE()),HLOOKUP(D333,PREVVOLS,VLOOKUP(G333,MOVE_DOWN2,2,FALSE()),FALSE()),VLOOKUP(G333,NGPREVPRICES,3,FALSE()),HLOOKUP(D333,Correllate,VLOOKUP(G333,CorMove,2,FALSE()),FALSE()),Q333-$C$3,R333,$CJ$5)*H333-CJ333</f>
        <v>#NAME?</v>
      </c>
      <c r="CI333" s="253" t="e">
        <f aca="false">SUM(CD333:CH333)</f>
        <v>#NAME?</v>
      </c>
      <c r="CJ333" s="253" t="e">
        <f aca="false">xSPRDOPT((VLOOKUP(G333,NGPREVPRICES,2,FALSE())+HLOOKUP(D333,PREVCURVES,VLOOKUP(G333,MOVE_DOWN2,2,FALSE()),FALSE())),VLOOKUP(G333,NGPREVPRICES,2,FALSE()),CK333,VLOOKUP(G333,NGPREVPRICES,4,FALSE()),HLOOKUP(D333,PREVVOLS,VLOOKUP(G333,MOVE_DOWN2,2,FALSE()),FALSE()),VLOOKUP(G333,NGPREVPRICES,3,FALSE()),HLOOKUP(D333,Correllate,VLOOKUP(G333,CorMove,2,FALSE()),FALSE()),Q333-$CD$3,R333,$CJ$5)*H333</f>
        <v>#NAME?</v>
      </c>
      <c r="CK333" s="254" t="n">
        <f aca="false">I333</f>
        <v>0.4</v>
      </c>
      <c r="CM333" s="0" t="str">
        <f aca="false">CONCATENATE(CC333,$CD$6)</f>
        <v>36831Curve Shift/Gamma</v>
      </c>
      <c r="CN333" s="0" t="str">
        <f aca="false">CONCATENATE($CC333,$CE$6)</f>
        <v>36831Rho</v>
      </c>
      <c r="CO333" s="0" t="str">
        <f aca="false">CONCATENATE($CC333,$CF$6)</f>
        <v>36831Drift</v>
      </c>
      <c r="CP333" s="0" t="str">
        <f aca="false">CONCATENATE($CC333,$CG$6)</f>
        <v>36831Vega</v>
      </c>
      <c r="CQ333" s="0" t="str">
        <f aca="false">CONCATENATE($CC333,$CH$6)</f>
        <v>36831Theta</v>
      </c>
    </row>
    <row r="334" customFormat="false" ht="12.75" hidden="false" customHeight="false" outlineLevel="0" collapsed="false">
      <c r="A334" s="265" t="s">
        <v>198</v>
      </c>
      <c r="B334" s="0" t="s">
        <v>192</v>
      </c>
      <c r="C334" s="0" t="s">
        <v>320</v>
      </c>
      <c r="D334" s="7" t="s">
        <v>149</v>
      </c>
      <c r="E334" s="0" t="s">
        <v>131</v>
      </c>
      <c r="F334" s="0" t="s">
        <v>136</v>
      </c>
      <c r="G334" s="92" t="n">
        <v>36800</v>
      </c>
      <c r="H334" s="248" t="n">
        <v>-620000</v>
      </c>
      <c r="I334" s="0" t="n">
        <v>0.7</v>
      </c>
      <c r="J334" s="124" t="n">
        <f aca="false">VLOOKUP(G334,NGPrices,2,FALSE())</f>
        <v>4.692</v>
      </c>
      <c r="K334" s="125" t="n">
        <f aca="false">HLOOKUP(D334,Prices,VLOOKUP(G334,move_down,2,FALSE()),FALSE())+VLOOKUP(G334,CHANGE,HLOOKUP(D334,CHANGE,2,FALSE()),FALSE())</f>
        <v>0.415</v>
      </c>
      <c r="L334" s="124" t="n">
        <f aca="false">K334+J334</f>
        <v>5.107</v>
      </c>
      <c r="M334" s="126" t="n">
        <f aca="false">VLOOKUP(G334,NGPrices,4,FALSE())</f>
        <v>0.068050789414654</v>
      </c>
      <c r="N334" s="7" t="n">
        <f aca="false">VLOOKUP(G334,NGPrices,3,FALSE())</f>
        <v>0.575</v>
      </c>
      <c r="O334" s="7" t="n">
        <f aca="false">HLOOKUP(D334,VOLS,VLOOKUP(G334,move_down,2,FALSE()),FALSE())</f>
        <v>0.564</v>
      </c>
      <c r="P334" s="249" t="n">
        <f aca="false">HLOOKUP(D334,Correllate,VLOOKUP(G334,CorMove,2,FALSE()),FALSE())</f>
        <v>0.9925</v>
      </c>
      <c r="Q334" s="92" t="n">
        <f aca="false">WORKDAY(G334,-2)</f>
        <v>36797</v>
      </c>
      <c r="R334" s="7" t="n">
        <f aca="false">IF(F334="P",0,1)</f>
        <v>1</v>
      </c>
      <c r="S334" s="130" t="e">
        <f aca="false">xSPRDOPT($L334,$J334,$I334,$M334,$O334,$N334,$P334,$Q334-$C$3,$R334,0)</f>
        <v>#NAME?</v>
      </c>
      <c r="T334" s="250" t="e">
        <f aca="false">xSPRDOPT($L334,$J334,$I334,$M334,$O334,$N334,$P334,$Q334-$C$3,$R334,1)*H334</f>
        <v>#NAME?</v>
      </c>
      <c r="U334" s="43" t="e">
        <f aca="false">S334*H334</f>
        <v>#NAME?</v>
      </c>
      <c r="V334" s="250" t="e">
        <f aca="false">xSPRDOPT($L334,$J334,$I334,$M334,$O334,$N334,$P334,$Q334-$C$3,$R334,2)*H334</f>
        <v>#NAME?</v>
      </c>
      <c r="W334" s="250" t="e">
        <f aca="false">+V334+T334</f>
        <v>#NAME?</v>
      </c>
      <c r="X334" s="2" t="str">
        <f aca="false">CONCATENATE(G334,D334)</f>
        <v>36800IF-TRANSCO/Z6</v>
      </c>
      <c r="Y334" s="251" t="n">
        <f aca="false">H334/10000</f>
        <v>-62</v>
      </c>
      <c r="Z334" s="226" t="e">
        <f aca="false">T334/H334</f>
        <v>#NAME?</v>
      </c>
      <c r="AA334" s="226" t="e">
        <f aca="false">xSPRDOPT($L334,$J334,$I334,$M334,$O334,$N334,$P334,$Q334-$C$3,$R334,3)</f>
        <v>#NAME?</v>
      </c>
      <c r="AB334" s="226" t="e">
        <f aca="false">((xSPRDOPT($L334+AB$5,$J334,$I334,$M334,$O334,$N334,$P334,$Q334-$C$3,$R334,3)*$H334)/10000)/100</f>
        <v>#NAME?</v>
      </c>
      <c r="AC334" s="226" t="e">
        <f aca="false">((xSPRDOPT($L334+$AB$5,$J334,$I334,$M334,$O334,$N334,$P334,$Q334-$C$3,$R334,7)*$H334)/100)</f>
        <v>#NAME?</v>
      </c>
      <c r="AD334" s="226" t="e">
        <f aca="false">(xSPRDOPT($L334+$AB$5,$J334,$I334,$M334,$O334,$N334,$P334,$Q334-$C$3,$R334,9)/365)*$H334</f>
        <v>#NAME?</v>
      </c>
      <c r="AE334" s="0" t="e">
        <f aca="false">CD334</f>
        <v>#NAME?</v>
      </c>
      <c r="AF334" s="226" t="e">
        <f aca="false">((O334/N334)*AH334)+AG334</f>
        <v>#NAME?</v>
      </c>
      <c r="AG334" s="226" t="e">
        <f aca="false">((xSPRDOPT($L334,$J334,$I334,$M334,$O334,$N334,$P334,$Q334-$C$3,$R334,6)*$H334)/100)</f>
        <v>#NAME?</v>
      </c>
      <c r="AH334" s="226" t="e">
        <f aca="false">((xSPRDOPT($L334,$J334,$I334,$M334,$O334,$N334,$P334,$Q334-$C$3,$R334,5)*$H334)/100)</f>
        <v>#NAME?</v>
      </c>
      <c r="AI334" s="226" t="e">
        <f aca="false">(((xSPRDOPT($L334,$J334,$I334,$M334,$O334,$N334,$P334,$Q334-$C$3,$R334,4)*$H334)/10000)/100)-AB334</f>
        <v>#NAME?</v>
      </c>
      <c r="AJ334" s="226"/>
      <c r="AK334" s="226"/>
      <c r="AL334" s="226"/>
      <c r="AM334" s="252"/>
      <c r="CC334" s="182" t="n">
        <f aca="false">G334</f>
        <v>36800</v>
      </c>
      <c r="CD334" s="253" t="e">
        <f aca="false">xSPRDOPT((VLOOKUP(G334,NGPrices,2,FALSE())+HLOOKUP(D334,Prices,VLOOKUP(G334,move_down,2,FALSE()),FALSE())),VLOOKUP(G334,NGPrices,2,FALSE()),I334,VLOOKUP(G334,NGPREVPRICES,4,FALSE()),HLOOKUP(D334,PREVVOLS,VLOOKUP(G334,MOVE_DOWN2,2,FALSE()),FALSE()),VLOOKUP(G334,NGPREVPRICES,3,FALSE()),HLOOKUP(D334,Correllate,VLOOKUP(G334,CorMove,2,FALSE()),FALSE()),Q334-$CD$3,R334,$CD$5)*H334-CJ334</f>
        <v>#NAME?</v>
      </c>
      <c r="CE334" s="253" t="e">
        <f aca="false">xSPRDOPT((VLOOKUP(G334,NGPREVPRICES,2,FALSE())+HLOOKUP(D334,PREVCURVES,VLOOKUP(G334,MOVE_DOWN2,2,FALSE()),FALSE())),VLOOKUP(G334,NGPREVPRICES,2,FALSE()),CK334,VLOOKUP(G334,NGPrices,4,FALSE()),HLOOKUP(D334,PREVVOLS,VLOOKUP(G334,MOVE_DOWN2,2,FALSE()),FALSE()),VLOOKUP(G334,NGPREVPRICES,3,FALSE()),HLOOKUP(D334,Correllate,VLOOKUP(G334,CorMove,2,FALSE()),FALSE()),Q334-$CD$3,R334,$CJ$5)*H334-CJ334</f>
        <v>#NAME?</v>
      </c>
      <c r="CF334" s="132" t="e">
        <f aca="false">(CJ334/VLOOKUP(CC334,discount,3,FALSE()))-(CJ334/VLOOKUP(CC334,discount,2,FALSE()))</f>
        <v>#NAME?</v>
      </c>
      <c r="CG334" s="253" t="e">
        <f aca="false">xSPRDOPT((VLOOKUP(G334,NGPREVPRICES,2,FALSE())+HLOOKUP(D334,PREVCURVES,VLOOKUP(G334,MOVE_DOWN2,2,FALSE()),FALSE())),VLOOKUP(G334,NGPREVPRICES,2,FALSE()),CK334,VLOOKUP(G334,NGPREVPRICES,4,FALSE()),HLOOKUP(D334,VOLS,VLOOKUP(G334,move_down,2,FALSE()),FALSE()),VLOOKUP(G334,NGPrices,3,FALSE()),HLOOKUP(D334,Correllate,VLOOKUP(G334,CorMove,2,FALSE()),FALSE()),Q334-$CD$3,R334,$CJ$5)*H334-CJ334</f>
        <v>#NAME?</v>
      </c>
      <c r="CH334" s="253" t="e">
        <f aca="false">xSPRDOPT((VLOOKUP(G334,NGPREVPRICES,2,FALSE())+HLOOKUP(D334,PREVCURVES,VLOOKUP(G334,MOVE_DOWN2,2,FALSE()),FALSE())),VLOOKUP(G334,NGPREVPRICES,2,FALSE()),CK334,VLOOKUP(G334,NGPREVPRICES,4,FALSE()),HLOOKUP(D334,PREVVOLS,VLOOKUP(G334,MOVE_DOWN2,2,FALSE()),FALSE()),VLOOKUP(G334,NGPREVPRICES,3,FALSE()),HLOOKUP(D334,Correllate,VLOOKUP(G334,CorMove,2,FALSE()),FALSE()),Q334-$C$3,R334,$CJ$5)*H334-CJ334</f>
        <v>#NAME?</v>
      </c>
      <c r="CI334" s="253" t="e">
        <f aca="false">SUM(CD334:CH334)</f>
        <v>#NAME?</v>
      </c>
      <c r="CJ334" s="253" t="e">
        <f aca="false">xSPRDOPT((VLOOKUP(G334,NGPREVPRICES,2,FALSE())+HLOOKUP(D334,PREVCURVES,VLOOKUP(G334,MOVE_DOWN2,2,FALSE()),FALSE())),VLOOKUP(G334,NGPREVPRICES,2,FALSE()),CK334,VLOOKUP(G334,NGPREVPRICES,4,FALSE()),HLOOKUP(D334,PREVVOLS,VLOOKUP(G334,MOVE_DOWN2,2,FALSE()),FALSE()),VLOOKUP(G334,NGPREVPRICES,3,FALSE()),HLOOKUP(D334,Correllate,VLOOKUP(G334,CorMove,2,FALSE()),FALSE()),Q334-$CD$3,R334,$CJ$5)*H334</f>
        <v>#NAME?</v>
      </c>
      <c r="CK334" s="254" t="n">
        <f aca="false">I334</f>
        <v>0.7</v>
      </c>
      <c r="CM334" s="0" t="str">
        <f aca="false">CONCATENATE(CC334,$CD$6)</f>
        <v>36800Curve Shift/Gamma</v>
      </c>
      <c r="CN334" s="0" t="str">
        <f aca="false">CONCATENATE($CC334,$CE$6)</f>
        <v>36800Rho</v>
      </c>
      <c r="CO334" s="0" t="str">
        <f aca="false">CONCATENATE($CC334,$CF$6)</f>
        <v>36800Drift</v>
      </c>
      <c r="CP334" s="0" t="str">
        <f aca="false">CONCATENATE($CC334,$CG$6)</f>
        <v>36800Vega</v>
      </c>
      <c r="CQ334" s="0" t="str">
        <f aca="false">CONCATENATE($CC334,$CH$6)</f>
        <v>36800Theta</v>
      </c>
    </row>
    <row r="335" customFormat="false" ht="12.75" hidden="false" customHeight="false" outlineLevel="0" collapsed="false">
      <c r="A335" s="265" t="s">
        <v>198</v>
      </c>
      <c r="B335" s="0" t="s">
        <v>192</v>
      </c>
      <c r="C335" s="0" t="s">
        <v>321</v>
      </c>
      <c r="D335" s="7" t="s">
        <v>149</v>
      </c>
      <c r="E335" s="0" t="s">
        <v>131</v>
      </c>
      <c r="F335" s="0" t="s">
        <v>136</v>
      </c>
      <c r="G335" s="92" t="n">
        <v>36951</v>
      </c>
      <c r="H335" s="248" t="n">
        <v>-500000</v>
      </c>
      <c r="I335" s="0" t="n">
        <v>5</v>
      </c>
      <c r="J335" s="124" t="n">
        <f aca="false">VLOOKUP(G335,NGPrices,2,FALSE())</f>
        <v>4.213</v>
      </c>
      <c r="K335" s="125" t="n">
        <f aca="false">HLOOKUP(D335,Prices,VLOOKUP(G335,move_down,2,FALSE()),FALSE())+VLOOKUP(G335,CHANGE,HLOOKUP(D335,CHANGE,2,FALSE()),FALSE())</f>
        <v>1.075</v>
      </c>
      <c r="L335" s="124" t="n">
        <f aca="false">K335+J335</f>
        <v>5.288</v>
      </c>
      <c r="M335" s="126" t="n">
        <f aca="false">VLOOKUP(G335,NGPrices,4,FALSE())</f>
        <v>0.068879814952707</v>
      </c>
      <c r="N335" s="7" t="n">
        <f aca="false">VLOOKUP(G335,NGPrices,3,FALSE())</f>
        <v>0.5325</v>
      </c>
      <c r="O335" s="7" t="n">
        <f aca="false">HLOOKUP(D335,VOLS,VLOOKUP(G335,move_down,2,FALSE()),FALSE())</f>
        <v>0.612</v>
      </c>
      <c r="P335" s="249" t="n">
        <f aca="false">HLOOKUP(D335,Correllate,VLOOKUP(G335,CorMove,2,FALSE()),FALSE())</f>
        <v>0.83</v>
      </c>
      <c r="Q335" s="92" t="n">
        <f aca="false">WORKDAY(G335,-2)</f>
        <v>36949</v>
      </c>
      <c r="R335" s="7" t="n">
        <f aca="false">IF(F335="P",0,1)</f>
        <v>1</v>
      </c>
      <c r="S335" s="130" t="e">
        <f aca="false">xSPRDOPT($L335,$J335,$I335,$M335,$O335,$N335,$P335,$Q335-$C$3,$R335,0)</f>
        <v>#NAME?</v>
      </c>
      <c r="T335" s="250" t="e">
        <f aca="false">xSPRDOPT($L335,$J335,$I335,$M335,$O335,$N335,$P335,$Q335-$C$3,$R335,1)*H335</f>
        <v>#NAME?</v>
      </c>
      <c r="U335" s="43" t="e">
        <f aca="false">S335*H335</f>
        <v>#NAME?</v>
      </c>
      <c r="V335" s="250" t="e">
        <f aca="false">xSPRDOPT($L335,$J335,$I335,$M335,$O335,$N335,$P335,$Q335-$C$3,$R335,2)*H335</f>
        <v>#NAME?</v>
      </c>
      <c r="W335" s="250" t="e">
        <f aca="false">+V335+T335</f>
        <v>#NAME?</v>
      </c>
      <c r="X335" s="2" t="str">
        <f aca="false">CONCATENATE(G335,D335)</f>
        <v>36951IF-TRANSCO/Z6</v>
      </c>
      <c r="Y335" s="251" t="n">
        <f aca="false">H335/10000</f>
        <v>-50</v>
      </c>
      <c r="Z335" s="226" t="e">
        <f aca="false">T335/H335</f>
        <v>#NAME?</v>
      </c>
      <c r="AA335" s="226" t="e">
        <f aca="false">xSPRDOPT($L335,$J335,$I335,$M335,$O335,$N335,$P335,$Q335-$C$3,$R335,3)</f>
        <v>#NAME?</v>
      </c>
      <c r="AB335" s="226" t="e">
        <f aca="false">((xSPRDOPT($L335+AB$5,$J335,$I335,$M335,$O335,$N335,$P335,$Q335-$C$3,$R335,3)*$H335)/10000)/100</f>
        <v>#NAME?</v>
      </c>
      <c r="AC335" s="226" t="e">
        <f aca="false">((xSPRDOPT($L335+$AB$5,$J335,$I335,$M335,$O335,$N335,$P335,$Q335-$C$3,$R335,7)*$H335)/100)</f>
        <v>#NAME?</v>
      </c>
      <c r="AD335" s="226" t="e">
        <f aca="false">(xSPRDOPT($L335+$AB$5,$J335,$I335,$M335,$O335,$N335,$P335,$Q335-$C$3,$R335,9)/365)*$H335</f>
        <v>#NAME?</v>
      </c>
      <c r="AE335" s="0" t="e">
        <f aca="false">CD335</f>
        <v>#NAME?</v>
      </c>
      <c r="AF335" s="226" t="e">
        <f aca="false">((O335/N335)*AH335)+AG335</f>
        <v>#NAME?</v>
      </c>
      <c r="AG335" s="226" t="e">
        <f aca="false">((xSPRDOPT($L335,$J335,$I335,$M335,$O335,$N335,$P335,$Q335-$C$3,$R335,6)*$H335)/100)</f>
        <v>#NAME?</v>
      </c>
      <c r="AH335" s="226" t="e">
        <f aca="false">((xSPRDOPT($L335,$J335,$I335,$M335,$O335,$N335,$P335,$Q335-$C$3,$R335,5)*$H335)/100)</f>
        <v>#NAME?</v>
      </c>
      <c r="AI335" s="226" t="e">
        <f aca="false">(((xSPRDOPT($L335,$J335,$I335,$M335,$O335,$N335,$P335,$Q335-$C$3,$R335,4)*$H335)/10000)/100)-AB335</f>
        <v>#NAME?</v>
      </c>
      <c r="AJ335" s="226"/>
      <c r="AK335" s="226"/>
      <c r="AL335" s="226"/>
      <c r="AM335" s="252"/>
      <c r="CC335" s="182" t="n">
        <f aca="false">G335</f>
        <v>36951</v>
      </c>
      <c r="CD335" s="253" t="e">
        <f aca="false">xSPRDOPT((VLOOKUP(G335,NGPrices,2,FALSE())+HLOOKUP(D335,Prices,VLOOKUP(G335,move_down,2,FALSE()),FALSE())),VLOOKUP(G335,NGPrices,2,FALSE()),I335,VLOOKUP(G335,NGPREVPRICES,4,FALSE()),HLOOKUP(D335,PREVVOLS,VLOOKUP(G335,MOVE_DOWN2,2,FALSE()),FALSE()),VLOOKUP(G335,NGPREVPRICES,3,FALSE()),HLOOKUP(D335,Correllate,VLOOKUP(G335,CorMove,2,FALSE()),FALSE()),Q335-$CD$3,R335,$CD$5)*H335-CJ335</f>
        <v>#NAME?</v>
      </c>
      <c r="CE335" s="253" t="e">
        <f aca="false">xSPRDOPT((VLOOKUP(G335,NGPREVPRICES,2,FALSE())+HLOOKUP(D335,PREVCURVES,VLOOKUP(G335,MOVE_DOWN2,2,FALSE()),FALSE())),VLOOKUP(G335,NGPREVPRICES,2,FALSE()),CK335,VLOOKUP(G335,NGPrices,4,FALSE()),HLOOKUP(D335,PREVVOLS,VLOOKUP(G335,MOVE_DOWN2,2,FALSE()),FALSE()),VLOOKUP(G335,NGPREVPRICES,3,FALSE()),HLOOKUP(D335,Correllate,VLOOKUP(G335,CorMove,2,FALSE()),FALSE()),Q335-$CD$3,R335,$CJ$5)*H335-CJ335</f>
        <v>#NAME?</v>
      </c>
      <c r="CF335" s="132" t="e">
        <f aca="false">(CJ335/VLOOKUP(CC335,discount,3,FALSE()))-(CJ335/VLOOKUP(CC335,discount,2,FALSE()))</f>
        <v>#NAME?</v>
      </c>
      <c r="CG335" s="253" t="e">
        <f aca="false">xSPRDOPT((VLOOKUP(G335,NGPREVPRICES,2,FALSE())+HLOOKUP(D335,PREVCURVES,VLOOKUP(G335,MOVE_DOWN2,2,FALSE()),FALSE())),VLOOKUP(G335,NGPREVPRICES,2,FALSE()),CK335,VLOOKUP(G335,NGPREVPRICES,4,FALSE()),HLOOKUP(D335,VOLS,VLOOKUP(G335,move_down,2,FALSE()),FALSE()),VLOOKUP(G335,NGPrices,3,FALSE()),HLOOKUP(D335,Correllate,VLOOKUP(G335,CorMove,2,FALSE()),FALSE()),Q335-$CD$3,R335,$CJ$5)*H335-CJ335</f>
        <v>#NAME?</v>
      </c>
      <c r="CH335" s="253" t="e">
        <f aca="false">xSPRDOPT((VLOOKUP(G335,NGPREVPRICES,2,FALSE())+HLOOKUP(D335,PREVCURVES,VLOOKUP(G335,MOVE_DOWN2,2,FALSE()),FALSE())),VLOOKUP(G335,NGPREVPRICES,2,FALSE()),CK335,VLOOKUP(G335,NGPREVPRICES,4,FALSE()),HLOOKUP(D335,PREVVOLS,VLOOKUP(G335,MOVE_DOWN2,2,FALSE()),FALSE()),VLOOKUP(G335,NGPREVPRICES,3,FALSE()),HLOOKUP(D335,Correllate,VLOOKUP(G335,CorMove,2,FALSE()),FALSE()),Q335-$C$3,R335,$CJ$5)*H335-CJ335</f>
        <v>#NAME?</v>
      </c>
      <c r="CI335" s="253" t="e">
        <f aca="false">SUM(CD335:CH335)</f>
        <v>#NAME?</v>
      </c>
      <c r="CJ335" s="253" t="e">
        <f aca="false">xSPRDOPT((VLOOKUP(G335,NGPREVPRICES,2,FALSE())+HLOOKUP(D335,PREVCURVES,VLOOKUP(G335,MOVE_DOWN2,2,FALSE()),FALSE())),VLOOKUP(G335,NGPREVPRICES,2,FALSE()),CK335,VLOOKUP(G335,NGPREVPRICES,4,FALSE()),HLOOKUP(D335,PREVVOLS,VLOOKUP(G335,MOVE_DOWN2,2,FALSE()),FALSE()),VLOOKUP(G335,NGPREVPRICES,3,FALSE()),HLOOKUP(D335,Correllate,VLOOKUP(G335,CorMove,2,FALSE()),FALSE()),Q335-$CD$3,R335,$CJ$5)*H335</f>
        <v>#NAME?</v>
      </c>
      <c r="CK335" s="254" t="n">
        <f aca="false">I335</f>
        <v>5</v>
      </c>
      <c r="CM335" s="0" t="str">
        <f aca="false">CONCATENATE(CC335,$CD$6)</f>
        <v>36951Curve Shift/Gamma</v>
      </c>
      <c r="CN335" s="0" t="str">
        <f aca="false">CONCATENATE($CC335,$CE$6)</f>
        <v>36951Rho</v>
      </c>
      <c r="CO335" s="0" t="str">
        <f aca="false">CONCATENATE($CC335,$CF$6)</f>
        <v>36951Drift</v>
      </c>
      <c r="CP335" s="0" t="str">
        <f aca="false">CONCATENATE($CC335,$CG$6)</f>
        <v>36951Vega</v>
      </c>
      <c r="CQ335" s="0" t="str">
        <f aca="false">CONCATENATE($CC335,$CH$6)</f>
        <v>36951Theta</v>
      </c>
    </row>
    <row r="336" customFormat="false" ht="12.75" hidden="false" customHeight="false" outlineLevel="0" collapsed="false">
      <c r="A336" s="265" t="s">
        <v>198</v>
      </c>
      <c r="B336" s="0" t="s">
        <v>192</v>
      </c>
      <c r="C336" s="0" t="s">
        <v>321</v>
      </c>
      <c r="D336" s="7" t="s">
        <v>149</v>
      </c>
      <c r="E336" s="0" t="s">
        <v>131</v>
      </c>
      <c r="F336" s="0" t="s">
        <v>136</v>
      </c>
      <c r="G336" s="92" t="n">
        <v>36923</v>
      </c>
      <c r="H336" s="248" t="n">
        <v>-500000</v>
      </c>
      <c r="I336" s="0" t="n">
        <v>5</v>
      </c>
      <c r="J336" s="124" t="n">
        <f aca="false">VLOOKUP(G336,NGPrices,2,FALSE())</f>
        <v>4.48</v>
      </c>
      <c r="K336" s="125" t="n">
        <f aca="false">HLOOKUP(D336,Prices,VLOOKUP(G336,move_down,2,FALSE()),FALSE())+VLOOKUP(G336,CHANGE,HLOOKUP(D336,CHANGE,2,FALSE()),FALSE())</f>
        <v>2.09</v>
      </c>
      <c r="L336" s="124" t="n">
        <f aca="false">K336+J336</f>
        <v>6.57</v>
      </c>
      <c r="M336" s="126" t="n">
        <f aca="false">VLOOKUP(G336,NGPrices,4,FALSE())</f>
        <v>0.068640161611372</v>
      </c>
      <c r="N336" s="7" t="n">
        <f aca="false">VLOOKUP(G336,NGPrices,3,FALSE())</f>
        <v>0.5925</v>
      </c>
      <c r="O336" s="7" t="n">
        <f aca="false">HLOOKUP(D336,VOLS,VLOOKUP(G336,move_down,2,FALSE()),FALSE())</f>
        <v>0.681</v>
      </c>
      <c r="P336" s="249" t="n">
        <f aca="false">HLOOKUP(D336,Correllate,VLOOKUP(G336,CorMove,2,FALSE()),FALSE())</f>
        <v>0.83</v>
      </c>
      <c r="Q336" s="92" t="n">
        <f aca="false">WORKDAY(G336,-2)</f>
        <v>36921</v>
      </c>
      <c r="R336" s="7" t="n">
        <f aca="false">IF(F336="P",0,1)</f>
        <v>1</v>
      </c>
      <c r="S336" s="130" t="e">
        <f aca="false">xSPRDOPT($L336,$J336,$I336,$M336,$O336,$N336,$P336,$Q336-$C$3,$R336,0)</f>
        <v>#NAME?</v>
      </c>
      <c r="T336" s="250" t="e">
        <f aca="false">xSPRDOPT($L336,$J336,$I336,$M336,$O336,$N336,$P336,$Q336-$C$3,$R336,1)*H336</f>
        <v>#NAME?</v>
      </c>
      <c r="U336" s="43" t="e">
        <f aca="false">S336*H336</f>
        <v>#NAME?</v>
      </c>
      <c r="V336" s="250" t="e">
        <f aca="false">xSPRDOPT($L336,$J336,$I336,$M336,$O336,$N336,$P336,$Q336-$C$3,$R336,2)*H336</f>
        <v>#NAME?</v>
      </c>
      <c r="W336" s="250" t="e">
        <f aca="false">+V336+T336</f>
        <v>#NAME?</v>
      </c>
      <c r="X336" s="2" t="str">
        <f aca="false">CONCATENATE(G336,D336)</f>
        <v>36923IF-TRANSCO/Z6</v>
      </c>
      <c r="Y336" s="251" t="n">
        <f aca="false">H336/10000</f>
        <v>-50</v>
      </c>
      <c r="Z336" s="226" t="e">
        <f aca="false">T336/H336</f>
        <v>#NAME?</v>
      </c>
      <c r="AA336" s="226" t="e">
        <f aca="false">xSPRDOPT($L336,$J336,$I336,$M336,$O336,$N336,$P336,$Q336-$C$3,$R336,3)</f>
        <v>#NAME?</v>
      </c>
      <c r="AB336" s="226" t="e">
        <f aca="false">((xSPRDOPT($L336+AB$5,$J336,$I336,$M336,$O336,$N336,$P336,$Q336-$C$3,$R336,3)*$H336)/10000)/100</f>
        <v>#NAME?</v>
      </c>
      <c r="AC336" s="226" t="e">
        <f aca="false">((xSPRDOPT($L336+$AB$5,$J336,$I336,$M336,$O336,$N336,$P336,$Q336-$C$3,$R336,7)*$H336)/100)</f>
        <v>#NAME?</v>
      </c>
      <c r="AD336" s="226" t="e">
        <f aca="false">(xSPRDOPT($L336+$AB$5,$J336,$I336,$M336,$O336,$N336,$P336,$Q336-$C$3,$R336,9)/365)*$H336</f>
        <v>#NAME?</v>
      </c>
      <c r="AE336" s="0" t="e">
        <f aca="false">CD336</f>
        <v>#NAME?</v>
      </c>
      <c r="AF336" s="226" t="e">
        <f aca="false">((O336/N336)*AH336)+AG336</f>
        <v>#NAME?</v>
      </c>
      <c r="AG336" s="226" t="e">
        <f aca="false">((xSPRDOPT($L336,$J336,$I336,$M336,$O336,$N336,$P336,$Q336-$C$3,$R336,6)*$H336)/100)</f>
        <v>#NAME?</v>
      </c>
      <c r="AH336" s="226" t="e">
        <f aca="false">((xSPRDOPT($L336,$J336,$I336,$M336,$O336,$N336,$P336,$Q336-$C$3,$R336,5)*$H336)/100)</f>
        <v>#NAME?</v>
      </c>
      <c r="AI336" s="226" t="e">
        <f aca="false">(((xSPRDOPT($L336,$J336,$I336,$M336,$O336,$N336,$P336,$Q336-$C$3,$R336,4)*$H336)/10000)/100)-AB336</f>
        <v>#NAME?</v>
      </c>
      <c r="AJ336" s="226"/>
      <c r="AK336" s="226"/>
      <c r="AL336" s="226"/>
      <c r="AM336" s="252"/>
      <c r="CC336" s="182" t="n">
        <f aca="false">G336</f>
        <v>36923</v>
      </c>
      <c r="CD336" s="253" t="e">
        <f aca="false">xSPRDOPT((VLOOKUP(G336,NGPrices,2,FALSE())+HLOOKUP(D336,Prices,VLOOKUP(G336,move_down,2,FALSE()),FALSE())),VLOOKUP(G336,NGPrices,2,FALSE()),I336,VLOOKUP(G336,NGPREVPRICES,4,FALSE()),HLOOKUP(D336,PREVVOLS,VLOOKUP(G336,MOVE_DOWN2,2,FALSE()),FALSE()),VLOOKUP(G336,NGPREVPRICES,3,FALSE()),HLOOKUP(D336,Correllate,VLOOKUP(G336,CorMove,2,FALSE()),FALSE()),Q336-$CD$3,R336,$CD$5)*H336-CJ336</f>
        <v>#NAME?</v>
      </c>
      <c r="CE336" s="253" t="e">
        <f aca="false">xSPRDOPT((VLOOKUP(G336,NGPREVPRICES,2,FALSE())+HLOOKUP(D336,PREVCURVES,VLOOKUP(G336,MOVE_DOWN2,2,FALSE()),FALSE())),VLOOKUP(G336,NGPREVPRICES,2,FALSE()),CK336,VLOOKUP(G336,NGPrices,4,FALSE()),HLOOKUP(D336,PREVVOLS,VLOOKUP(G336,MOVE_DOWN2,2,FALSE()),FALSE()),VLOOKUP(G336,NGPREVPRICES,3,FALSE()),HLOOKUP(D336,Correllate,VLOOKUP(G336,CorMove,2,FALSE()),FALSE()),Q336-$CD$3,R336,$CJ$5)*H336-CJ336</f>
        <v>#NAME?</v>
      </c>
      <c r="CF336" s="132" t="e">
        <f aca="false">(CJ336/VLOOKUP(CC336,discount,3,FALSE()))-(CJ336/VLOOKUP(CC336,discount,2,FALSE()))</f>
        <v>#NAME?</v>
      </c>
      <c r="CG336" s="253" t="e">
        <f aca="false">xSPRDOPT((VLOOKUP(G336,NGPREVPRICES,2,FALSE())+HLOOKUP(D336,PREVCURVES,VLOOKUP(G336,MOVE_DOWN2,2,FALSE()),FALSE())),VLOOKUP(G336,NGPREVPRICES,2,FALSE()),CK336,VLOOKUP(G336,NGPREVPRICES,4,FALSE()),HLOOKUP(D336,VOLS,VLOOKUP(G336,move_down,2,FALSE()),FALSE()),VLOOKUP(G336,NGPrices,3,FALSE()),HLOOKUP(D336,Correllate,VLOOKUP(G336,CorMove,2,FALSE()),FALSE()),Q336-$CD$3,R336,$CJ$5)*H336-CJ336</f>
        <v>#NAME?</v>
      </c>
      <c r="CH336" s="253" t="e">
        <f aca="false">xSPRDOPT((VLOOKUP(G336,NGPREVPRICES,2,FALSE())+HLOOKUP(D336,PREVCURVES,VLOOKUP(G336,MOVE_DOWN2,2,FALSE()),FALSE())),VLOOKUP(G336,NGPREVPRICES,2,FALSE()),CK336,VLOOKUP(G336,NGPREVPRICES,4,FALSE()),HLOOKUP(D336,PREVVOLS,VLOOKUP(G336,MOVE_DOWN2,2,FALSE()),FALSE()),VLOOKUP(G336,NGPREVPRICES,3,FALSE()),HLOOKUP(D336,Correllate,VLOOKUP(G336,CorMove,2,FALSE()),FALSE()),Q336-$C$3,R336,$CJ$5)*H336-CJ336</f>
        <v>#NAME?</v>
      </c>
      <c r="CI336" s="253" t="e">
        <f aca="false">SUM(CD336:CH336)</f>
        <v>#NAME?</v>
      </c>
      <c r="CJ336" s="253" t="e">
        <f aca="false">xSPRDOPT((VLOOKUP(G336,NGPREVPRICES,2,FALSE())+HLOOKUP(D336,PREVCURVES,VLOOKUP(G336,MOVE_DOWN2,2,FALSE()),FALSE())),VLOOKUP(G336,NGPREVPRICES,2,FALSE()),CK336,VLOOKUP(G336,NGPREVPRICES,4,FALSE()),HLOOKUP(D336,PREVVOLS,VLOOKUP(G336,MOVE_DOWN2,2,FALSE()),FALSE()),VLOOKUP(G336,NGPREVPRICES,3,FALSE()),HLOOKUP(D336,Correllate,VLOOKUP(G336,CorMove,2,FALSE()),FALSE()),Q336-$CD$3,R336,$CJ$5)*H336</f>
        <v>#NAME?</v>
      </c>
      <c r="CK336" s="254" t="n">
        <f aca="false">I336</f>
        <v>5</v>
      </c>
      <c r="CM336" s="0" t="str">
        <f aca="false">CONCATENATE(CC336,$CD$6)</f>
        <v>36923Curve Shift/Gamma</v>
      </c>
      <c r="CN336" s="0" t="str">
        <f aca="false">CONCATENATE($CC336,$CE$6)</f>
        <v>36923Rho</v>
      </c>
      <c r="CO336" s="0" t="str">
        <f aca="false">CONCATENATE($CC336,$CF$6)</f>
        <v>36923Drift</v>
      </c>
      <c r="CP336" s="0" t="str">
        <f aca="false">CONCATENATE($CC336,$CG$6)</f>
        <v>36923Vega</v>
      </c>
      <c r="CQ336" s="0" t="str">
        <f aca="false">CONCATENATE($CC336,$CH$6)</f>
        <v>36923Theta</v>
      </c>
    </row>
    <row r="337" customFormat="false" ht="12.75" hidden="false" customHeight="false" outlineLevel="0" collapsed="false">
      <c r="A337" s="265" t="s">
        <v>198</v>
      </c>
      <c r="B337" s="0" t="s">
        <v>192</v>
      </c>
      <c r="C337" s="0" t="s">
        <v>321</v>
      </c>
      <c r="D337" s="7" t="s">
        <v>149</v>
      </c>
      <c r="E337" s="0" t="s">
        <v>131</v>
      </c>
      <c r="F337" s="0" t="s">
        <v>136</v>
      </c>
      <c r="G337" s="92" t="n">
        <v>36892</v>
      </c>
      <c r="H337" s="248" t="n">
        <v>-500000</v>
      </c>
      <c r="I337" s="0" t="n">
        <v>5</v>
      </c>
      <c r="J337" s="124" t="n">
        <f aca="false">VLOOKUP(G337,NGPrices,2,FALSE())</f>
        <v>4.744</v>
      </c>
      <c r="K337" s="125" t="n">
        <f aca="false">HLOOKUP(D337,Prices,VLOOKUP(G337,move_down,2,FALSE()),FALSE())+VLOOKUP(G337,CHANGE,HLOOKUP(D337,CHANGE,2,FALSE()),FALSE())</f>
        <v>2.17</v>
      </c>
      <c r="L337" s="124" t="n">
        <f aca="false">K337+J337</f>
        <v>6.914</v>
      </c>
      <c r="M337" s="126" t="n">
        <f aca="false">VLOOKUP(G337,NGPrices,4,FALSE())</f>
        <v>0.068374831148491</v>
      </c>
      <c r="N337" s="7" t="n">
        <f aca="false">VLOOKUP(G337,NGPrices,3,FALSE())</f>
        <v>0.605</v>
      </c>
      <c r="O337" s="7" t="n">
        <f aca="false">HLOOKUP(D337,VOLS,VLOOKUP(G337,move_down,2,FALSE()),FALSE())</f>
        <v>0.696</v>
      </c>
      <c r="P337" s="249" t="n">
        <f aca="false">HLOOKUP(D337,Correllate,VLOOKUP(G337,CorMove,2,FALSE()),FALSE())</f>
        <v>0.83</v>
      </c>
      <c r="Q337" s="92" t="n">
        <f aca="false">WORKDAY(G337,-2)</f>
        <v>36888</v>
      </c>
      <c r="R337" s="7" t="n">
        <f aca="false">IF(F337="P",0,1)</f>
        <v>1</v>
      </c>
      <c r="S337" s="130" t="e">
        <f aca="false">xSPRDOPT($L337,$J337,$I337,$M337,$O337,$N337,$P337,$Q337-$C$3,$R337,0)</f>
        <v>#NAME?</v>
      </c>
      <c r="T337" s="250" t="e">
        <f aca="false">xSPRDOPT($L337,$J337,$I337,$M337,$O337,$N337,$P337,$Q337-$C$3,$R337,1)*H337</f>
        <v>#NAME?</v>
      </c>
      <c r="U337" s="43" t="e">
        <f aca="false">S337*H337</f>
        <v>#NAME?</v>
      </c>
      <c r="V337" s="250" t="e">
        <f aca="false">xSPRDOPT($L337,$J337,$I337,$M337,$O337,$N337,$P337,$Q337-$C$3,$R337,2)*H337</f>
        <v>#NAME?</v>
      </c>
      <c r="W337" s="250" t="e">
        <f aca="false">+V337+T337</f>
        <v>#NAME?</v>
      </c>
      <c r="X337" s="2" t="str">
        <f aca="false">CONCATENATE(G337,D337)</f>
        <v>36892IF-TRANSCO/Z6</v>
      </c>
      <c r="Y337" s="251" t="n">
        <f aca="false">H337/10000</f>
        <v>-50</v>
      </c>
      <c r="Z337" s="226" t="e">
        <f aca="false">T337/H337</f>
        <v>#NAME?</v>
      </c>
      <c r="AA337" s="226" t="e">
        <f aca="false">xSPRDOPT($L337,$J337,$I337,$M337,$O337,$N337,$P337,$Q337-$C$3,$R337,3)</f>
        <v>#NAME?</v>
      </c>
      <c r="AB337" s="226" t="e">
        <f aca="false">((xSPRDOPT($L337+AB$5,$J337,$I337,$M337,$O337,$N337,$P337,$Q337-$C$3,$R337,3)*$H337)/10000)/100</f>
        <v>#NAME?</v>
      </c>
      <c r="AC337" s="226" t="e">
        <f aca="false">((xSPRDOPT($L337+$AB$5,$J337,$I337,$M337,$O337,$N337,$P337,$Q337-$C$3,$R337,7)*$H337)/100)</f>
        <v>#NAME?</v>
      </c>
      <c r="AD337" s="226" t="e">
        <f aca="false">(xSPRDOPT($L337+$AB$5,$J337,$I337,$M337,$O337,$N337,$P337,$Q337-$C$3,$R337,9)/365)*$H337</f>
        <v>#NAME?</v>
      </c>
      <c r="AE337" s="0" t="e">
        <f aca="false">CD337</f>
        <v>#NAME?</v>
      </c>
      <c r="AF337" s="226" t="e">
        <f aca="false">((O337/N337)*AH337)+AG337</f>
        <v>#NAME?</v>
      </c>
      <c r="AG337" s="226" t="e">
        <f aca="false">((xSPRDOPT($L337,$J337,$I337,$M337,$O337,$N337,$P337,$Q337-$C$3,$R337,6)*$H337)/100)</f>
        <v>#NAME?</v>
      </c>
      <c r="AH337" s="226" t="e">
        <f aca="false">((xSPRDOPT($L337,$J337,$I337,$M337,$O337,$N337,$P337,$Q337-$C$3,$R337,5)*$H337)/100)</f>
        <v>#NAME?</v>
      </c>
      <c r="AI337" s="226" t="e">
        <f aca="false">(((xSPRDOPT($L337,$J337,$I337,$M337,$O337,$N337,$P337,$Q337-$C$3,$R337,4)*$H337)/10000)/100)-AB337</f>
        <v>#NAME?</v>
      </c>
      <c r="AJ337" s="226"/>
      <c r="AK337" s="226"/>
      <c r="AL337" s="226"/>
      <c r="AM337" s="252"/>
      <c r="CC337" s="182" t="n">
        <f aca="false">G337</f>
        <v>36892</v>
      </c>
      <c r="CD337" s="253" t="e">
        <f aca="false">xSPRDOPT((VLOOKUP(G337,NGPrices,2,FALSE())+HLOOKUP(D337,Prices,VLOOKUP(G337,move_down,2,FALSE()),FALSE())),VLOOKUP(G337,NGPrices,2,FALSE()),I337,VLOOKUP(G337,NGPREVPRICES,4,FALSE()),HLOOKUP(D337,PREVVOLS,VLOOKUP(G337,MOVE_DOWN2,2,FALSE()),FALSE()),VLOOKUP(G337,NGPREVPRICES,3,FALSE()),HLOOKUP(D337,Correllate,VLOOKUP(G337,CorMove,2,FALSE()),FALSE()),Q337-$CD$3,R337,$CD$5)*H337-CJ337</f>
        <v>#NAME?</v>
      </c>
      <c r="CE337" s="253" t="e">
        <f aca="false">xSPRDOPT((VLOOKUP(G337,NGPREVPRICES,2,FALSE())+HLOOKUP(D337,PREVCURVES,VLOOKUP(G337,MOVE_DOWN2,2,FALSE()),FALSE())),VLOOKUP(G337,NGPREVPRICES,2,FALSE()),CK337,VLOOKUP(G337,NGPrices,4,FALSE()),HLOOKUP(D337,PREVVOLS,VLOOKUP(G337,MOVE_DOWN2,2,FALSE()),FALSE()),VLOOKUP(G337,NGPREVPRICES,3,FALSE()),HLOOKUP(D337,Correllate,VLOOKUP(G337,CorMove,2,FALSE()),FALSE()),Q337-$CD$3,R337,$CJ$5)*H337-CJ337</f>
        <v>#NAME?</v>
      </c>
      <c r="CF337" s="132" t="e">
        <f aca="false">(CJ337/VLOOKUP(CC337,discount,3,FALSE()))-(CJ337/VLOOKUP(CC337,discount,2,FALSE()))</f>
        <v>#NAME?</v>
      </c>
      <c r="CG337" s="253" t="e">
        <f aca="false">xSPRDOPT((VLOOKUP(G337,NGPREVPRICES,2,FALSE())+HLOOKUP(D337,PREVCURVES,VLOOKUP(G337,MOVE_DOWN2,2,FALSE()),FALSE())),VLOOKUP(G337,NGPREVPRICES,2,FALSE()),CK337,VLOOKUP(G337,NGPREVPRICES,4,FALSE()),HLOOKUP(D337,VOLS,VLOOKUP(G337,move_down,2,FALSE()),FALSE()),VLOOKUP(G337,NGPrices,3,FALSE()),HLOOKUP(D337,Correllate,VLOOKUP(G337,CorMove,2,FALSE()),FALSE()),Q337-$CD$3,R337,$CJ$5)*H337-CJ337</f>
        <v>#NAME?</v>
      </c>
      <c r="CH337" s="253" t="e">
        <f aca="false">xSPRDOPT((VLOOKUP(G337,NGPREVPRICES,2,FALSE())+HLOOKUP(D337,PREVCURVES,VLOOKUP(G337,MOVE_DOWN2,2,FALSE()),FALSE())),VLOOKUP(G337,NGPREVPRICES,2,FALSE()),CK337,VLOOKUP(G337,NGPREVPRICES,4,FALSE()),HLOOKUP(D337,PREVVOLS,VLOOKUP(G337,MOVE_DOWN2,2,FALSE()),FALSE()),VLOOKUP(G337,NGPREVPRICES,3,FALSE()),HLOOKUP(D337,Correllate,VLOOKUP(G337,CorMove,2,FALSE()),FALSE()),Q337-$C$3,R337,$CJ$5)*H337-CJ337</f>
        <v>#NAME?</v>
      </c>
      <c r="CI337" s="253" t="e">
        <f aca="false">SUM(CD337:CH337)</f>
        <v>#NAME?</v>
      </c>
      <c r="CJ337" s="253" t="e">
        <f aca="false">xSPRDOPT((VLOOKUP(G337,NGPREVPRICES,2,FALSE())+HLOOKUP(D337,PREVCURVES,VLOOKUP(G337,MOVE_DOWN2,2,FALSE()),FALSE())),VLOOKUP(G337,NGPREVPRICES,2,FALSE()),CK337,VLOOKUP(G337,NGPREVPRICES,4,FALSE()),HLOOKUP(D337,PREVVOLS,VLOOKUP(G337,MOVE_DOWN2,2,FALSE()),FALSE()),VLOOKUP(G337,NGPREVPRICES,3,FALSE()),HLOOKUP(D337,Correllate,VLOOKUP(G337,CorMove,2,FALSE()),FALSE()),Q337-$CD$3,R337,$CJ$5)*H337</f>
        <v>#NAME?</v>
      </c>
      <c r="CK337" s="254" t="n">
        <f aca="false">I337</f>
        <v>5</v>
      </c>
      <c r="CM337" s="0" t="str">
        <f aca="false">CONCATENATE(CC337,$CD$6)</f>
        <v>36892Curve Shift/Gamma</v>
      </c>
      <c r="CN337" s="0" t="str">
        <f aca="false">CONCATENATE($CC337,$CE$6)</f>
        <v>36892Rho</v>
      </c>
      <c r="CO337" s="0" t="str">
        <f aca="false">CONCATENATE($CC337,$CF$6)</f>
        <v>36892Drift</v>
      </c>
      <c r="CP337" s="0" t="str">
        <f aca="false">CONCATENATE($CC337,$CG$6)</f>
        <v>36892Vega</v>
      </c>
      <c r="CQ337" s="0" t="str">
        <f aca="false">CONCATENATE($CC337,$CH$6)</f>
        <v>36892Theta</v>
      </c>
    </row>
    <row r="338" customFormat="false" ht="12.75" hidden="false" customHeight="false" outlineLevel="0" collapsed="false">
      <c r="A338" s="265" t="s">
        <v>198</v>
      </c>
      <c r="B338" s="0" t="s">
        <v>192</v>
      </c>
      <c r="C338" s="0" t="s">
        <v>321</v>
      </c>
      <c r="D338" s="7" t="s">
        <v>149</v>
      </c>
      <c r="E338" s="0" t="s">
        <v>131</v>
      </c>
      <c r="F338" s="0" t="s">
        <v>136</v>
      </c>
      <c r="G338" s="92" t="n">
        <v>36861</v>
      </c>
      <c r="H338" s="248" t="n">
        <v>-500000</v>
      </c>
      <c r="I338" s="0" t="n">
        <v>5</v>
      </c>
      <c r="J338" s="124" t="n">
        <f aca="false">VLOOKUP(G338,NGPrices,2,FALSE())</f>
        <v>4.8</v>
      </c>
      <c r="K338" s="125" t="n">
        <f aca="false">HLOOKUP(D338,Prices,VLOOKUP(G338,move_down,2,FALSE()),FALSE())+VLOOKUP(G338,CHANGE,HLOOKUP(D338,CHANGE,2,FALSE()),FALSE())</f>
        <v>1.645</v>
      </c>
      <c r="L338" s="124" t="n">
        <f aca="false">K338+J338</f>
        <v>6.445</v>
      </c>
      <c r="M338" s="126" t="n">
        <f aca="false">VLOOKUP(G338,NGPrices,4,FALSE())</f>
        <v>0.068314027999354</v>
      </c>
      <c r="N338" s="7" t="n">
        <f aca="false">VLOOKUP(G338,NGPrices,3,FALSE())</f>
        <v>0.6</v>
      </c>
      <c r="O338" s="7" t="n">
        <f aca="false">HLOOKUP(D338,VOLS,VLOOKUP(G338,move_down,2,FALSE()),FALSE())</f>
        <v>0.69</v>
      </c>
      <c r="P338" s="249" t="n">
        <f aca="false">HLOOKUP(D338,Correllate,VLOOKUP(G338,CorMove,2,FALSE()),FALSE())</f>
        <v>0.83</v>
      </c>
      <c r="Q338" s="92" t="n">
        <f aca="false">WORKDAY(G338,-2)</f>
        <v>36859</v>
      </c>
      <c r="R338" s="7" t="n">
        <f aca="false">IF(F338="P",0,1)</f>
        <v>1</v>
      </c>
      <c r="S338" s="130" t="e">
        <f aca="false">xSPRDOPT($L338,$J338,$I338,$M338,$O338,$N338,$P338,$Q338-$C$3,$R338,0)</f>
        <v>#NAME?</v>
      </c>
      <c r="T338" s="250" t="e">
        <f aca="false">xSPRDOPT($L338,$J338,$I338,$M338,$O338,$N338,$P338,$Q338-$C$3,$R338,1)*H338</f>
        <v>#NAME?</v>
      </c>
      <c r="U338" s="43" t="e">
        <f aca="false">S338*H338</f>
        <v>#NAME?</v>
      </c>
      <c r="V338" s="250" t="e">
        <f aca="false">xSPRDOPT($L338,$J338,$I338,$M338,$O338,$N338,$P338,$Q338-$C$3,$R338,2)*H338</f>
        <v>#NAME?</v>
      </c>
      <c r="W338" s="250" t="e">
        <f aca="false">+V338+T338</f>
        <v>#NAME?</v>
      </c>
      <c r="X338" s="2" t="str">
        <f aca="false">CONCATENATE(G338,D338)</f>
        <v>36861IF-TRANSCO/Z6</v>
      </c>
      <c r="Y338" s="251" t="n">
        <f aca="false">H338/10000</f>
        <v>-50</v>
      </c>
      <c r="Z338" s="226" t="e">
        <f aca="false">T338/H338</f>
        <v>#NAME?</v>
      </c>
      <c r="AA338" s="226" t="e">
        <f aca="false">xSPRDOPT($L338,$J338,$I338,$M338,$O338,$N338,$P338,$Q338-$C$3,$R338,3)</f>
        <v>#NAME?</v>
      </c>
      <c r="AB338" s="226" t="e">
        <f aca="false">((xSPRDOPT($L338+AB$5,$J338,$I338,$M338,$O338,$N338,$P338,$Q338-$C$3,$R338,3)*$H338)/10000)/100</f>
        <v>#NAME?</v>
      </c>
      <c r="AC338" s="226" t="e">
        <f aca="false">((xSPRDOPT($L338+$AB$5,$J338,$I338,$M338,$O338,$N338,$P338,$Q338-$C$3,$R338,7)*$H338)/100)</f>
        <v>#NAME?</v>
      </c>
      <c r="AD338" s="226" t="e">
        <f aca="false">(xSPRDOPT($L338+$AB$5,$J338,$I338,$M338,$O338,$N338,$P338,$Q338-$C$3,$R338,9)/365)*$H338</f>
        <v>#NAME?</v>
      </c>
      <c r="AE338" s="0" t="e">
        <f aca="false">CD338</f>
        <v>#NAME?</v>
      </c>
      <c r="AF338" s="226" t="e">
        <f aca="false">((O338/N338)*AH338)+AG338</f>
        <v>#NAME?</v>
      </c>
      <c r="AG338" s="226" t="e">
        <f aca="false">((xSPRDOPT($L338,$J338,$I338,$M338,$O338,$N338,$P338,$Q338-$C$3,$R338,6)*$H338)/100)</f>
        <v>#NAME?</v>
      </c>
      <c r="AH338" s="226" t="e">
        <f aca="false">((xSPRDOPT($L338,$J338,$I338,$M338,$O338,$N338,$P338,$Q338-$C$3,$R338,5)*$H338)/100)</f>
        <v>#NAME?</v>
      </c>
      <c r="AI338" s="226" t="e">
        <f aca="false">(((xSPRDOPT($L338,$J338,$I338,$M338,$O338,$N338,$P338,$Q338-$C$3,$R338,4)*$H338)/10000)/100)-AB338</f>
        <v>#NAME?</v>
      </c>
      <c r="AJ338" s="226"/>
      <c r="AK338" s="226"/>
      <c r="AL338" s="226"/>
      <c r="AM338" s="252"/>
      <c r="CC338" s="182" t="n">
        <f aca="false">G338</f>
        <v>36861</v>
      </c>
      <c r="CD338" s="253" t="e">
        <f aca="false">xSPRDOPT((VLOOKUP(G338,NGPrices,2,FALSE())+HLOOKUP(D338,Prices,VLOOKUP(G338,move_down,2,FALSE()),FALSE())),VLOOKUP(G338,NGPrices,2,FALSE()),I338,VLOOKUP(G338,NGPREVPRICES,4,FALSE()),HLOOKUP(D338,PREVVOLS,VLOOKUP(G338,MOVE_DOWN2,2,FALSE()),FALSE()),VLOOKUP(G338,NGPREVPRICES,3,FALSE()),HLOOKUP(D338,Correllate,VLOOKUP(G338,CorMove,2,FALSE()),FALSE()),Q338-$CD$3,R338,$CD$5)*H338-CJ338</f>
        <v>#NAME?</v>
      </c>
      <c r="CE338" s="253" t="e">
        <f aca="false">xSPRDOPT((VLOOKUP(G338,NGPREVPRICES,2,FALSE())+HLOOKUP(D338,PREVCURVES,VLOOKUP(G338,MOVE_DOWN2,2,FALSE()),FALSE())),VLOOKUP(G338,NGPREVPRICES,2,FALSE()),CK338,VLOOKUP(G338,NGPrices,4,FALSE()),HLOOKUP(D338,PREVVOLS,VLOOKUP(G338,MOVE_DOWN2,2,FALSE()),FALSE()),VLOOKUP(G338,NGPREVPRICES,3,FALSE()),HLOOKUP(D338,Correllate,VLOOKUP(G338,CorMove,2,FALSE()),FALSE()),Q338-$CD$3,R338,$CJ$5)*H338-CJ338</f>
        <v>#NAME?</v>
      </c>
      <c r="CF338" s="132" t="e">
        <f aca="false">(CJ338/VLOOKUP(CC338,discount,3,FALSE()))-(CJ338/VLOOKUP(CC338,discount,2,FALSE()))</f>
        <v>#NAME?</v>
      </c>
      <c r="CG338" s="253" t="e">
        <f aca="false">xSPRDOPT((VLOOKUP(G338,NGPREVPRICES,2,FALSE())+HLOOKUP(D338,PREVCURVES,VLOOKUP(G338,MOVE_DOWN2,2,FALSE()),FALSE())),VLOOKUP(G338,NGPREVPRICES,2,FALSE()),CK338,VLOOKUP(G338,NGPREVPRICES,4,FALSE()),HLOOKUP(D338,VOLS,VLOOKUP(G338,move_down,2,FALSE()),FALSE()),VLOOKUP(G338,NGPrices,3,FALSE()),HLOOKUP(D338,Correllate,VLOOKUP(G338,CorMove,2,FALSE()),FALSE()),Q338-$CD$3,R338,$CJ$5)*H338-CJ338</f>
        <v>#NAME?</v>
      </c>
      <c r="CH338" s="253" t="e">
        <f aca="false">xSPRDOPT((VLOOKUP(G338,NGPREVPRICES,2,FALSE())+HLOOKUP(D338,PREVCURVES,VLOOKUP(G338,MOVE_DOWN2,2,FALSE()),FALSE())),VLOOKUP(G338,NGPREVPRICES,2,FALSE()),CK338,VLOOKUP(G338,NGPREVPRICES,4,FALSE()),HLOOKUP(D338,PREVVOLS,VLOOKUP(G338,MOVE_DOWN2,2,FALSE()),FALSE()),VLOOKUP(G338,NGPREVPRICES,3,FALSE()),HLOOKUP(D338,Correllate,VLOOKUP(G338,CorMove,2,FALSE()),FALSE()),Q338-$C$3,R338,$CJ$5)*H338-CJ338</f>
        <v>#NAME?</v>
      </c>
      <c r="CI338" s="253" t="e">
        <f aca="false">SUM(CD338:CH338)</f>
        <v>#NAME?</v>
      </c>
      <c r="CJ338" s="253" t="e">
        <f aca="false">xSPRDOPT((VLOOKUP(G338,NGPREVPRICES,2,FALSE())+HLOOKUP(D338,PREVCURVES,VLOOKUP(G338,MOVE_DOWN2,2,FALSE()),FALSE())),VLOOKUP(G338,NGPREVPRICES,2,FALSE()),CK338,VLOOKUP(G338,NGPREVPRICES,4,FALSE()),HLOOKUP(D338,PREVVOLS,VLOOKUP(G338,MOVE_DOWN2,2,FALSE()),FALSE()),VLOOKUP(G338,NGPREVPRICES,3,FALSE()),HLOOKUP(D338,Correllate,VLOOKUP(G338,CorMove,2,FALSE()),FALSE()),Q338-$CD$3,R338,$CJ$5)*H338</f>
        <v>#NAME?</v>
      </c>
      <c r="CK338" s="254" t="n">
        <f aca="false">I338</f>
        <v>5</v>
      </c>
      <c r="CM338" s="0" t="str">
        <f aca="false">CONCATENATE(CC338,$CD$6)</f>
        <v>36861Curve Shift/Gamma</v>
      </c>
      <c r="CN338" s="0" t="str">
        <f aca="false">CONCATENATE($CC338,$CE$6)</f>
        <v>36861Rho</v>
      </c>
      <c r="CO338" s="0" t="str">
        <f aca="false">CONCATENATE($CC338,$CF$6)</f>
        <v>36861Drift</v>
      </c>
      <c r="CP338" s="0" t="str">
        <f aca="false">CONCATENATE($CC338,$CG$6)</f>
        <v>36861Vega</v>
      </c>
      <c r="CQ338" s="0" t="str">
        <f aca="false">CONCATENATE($CC338,$CH$6)</f>
        <v>36861Theta</v>
      </c>
    </row>
    <row r="339" customFormat="false" ht="12.75" hidden="false" customHeight="false" outlineLevel="0" collapsed="false">
      <c r="A339" s="265" t="s">
        <v>198</v>
      </c>
      <c r="B339" s="0" t="s">
        <v>192</v>
      </c>
      <c r="C339" s="0" t="s">
        <v>321</v>
      </c>
      <c r="D339" s="7" t="s">
        <v>149</v>
      </c>
      <c r="E339" s="0" t="s">
        <v>131</v>
      </c>
      <c r="F339" s="0" t="s">
        <v>136</v>
      </c>
      <c r="G339" s="92" t="n">
        <v>36831</v>
      </c>
      <c r="H339" s="248" t="n">
        <v>-500000</v>
      </c>
      <c r="I339" s="0" t="n">
        <v>5</v>
      </c>
      <c r="J339" s="124" t="n">
        <f aca="false">VLOOKUP(G339,NGPrices,2,FALSE())</f>
        <v>4.736</v>
      </c>
      <c r="K339" s="125" t="n">
        <f aca="false">HLOOKUP(D339,Prices,VLOOKUP(G339,move_down,2,FALSE()),FALSE())+VLOOKUP(G339,CHANGE,HLOOKUP(D339,CHANGE,2,FALSE()),FALSE())</f>
        <v>0.77</v>
      </c>
      <c r="L339" s="124" t="n">
        <f aca="false">K339+J339</f>
        <v>5.506</v>
      </c>
      <c r="M339" s="126" t="n">
        <f aca="false">VLOOKUP(G339,NGPrices,4,FALSE())</f>
        <v>0.06810675983792</v>
      </c>
      <c r="N339" s="7" t="n">
        <f aca="false">VLOOKUP(G339,NGPrices,3,FALSE())</f>
        <v>0.595</v>
      </c>
      <c r="O339" s="7" t="n">
        <f aca="false">HLOOKUP(D339,VOLS,VLOOKUP(G339,move_down,2,FALSE()),FALSE())</f>
        <v>0.625</v>
      </c>
      <c r="P339" s="249" t="n">
        <f aca="false">HLOOKUP(D339,Correllate,VLOOKUP(G339,CorMove,2,FALSE()),FALSE())</f>
        <v>0.89</v>
      </c>
      <c r="Q339" s="92" t="n">
        <f aca="false">WORKDAY(G339,-2)</f>
        <v>36829</v>
      </c>
      <c r="R339" s="7" t="n">
        <f aca="false">IF(F339="P",0,1)</f>
        <v>1</v>
      </c>
      <c r="S339" s="130" t="e">
        <f aca="false">xSPRDOPT($L339,$J339,$I339,$M339,$O339,$N339,$P339,$Q339-$C$3,$R339,0)</f>
        <v>#NAME?</v>
      </c>
      <c r="T339" s="250" t="e">
        <f aca="false">xSPRDOPT($L339,$J339,$I339,$M339,$O339,$N339,$P339,$Q339-$C$3,$R339,1)*H339</f>
        <v>#NAME?</v>
      </c>
      <c r="U339" s="43" t="e">
        <f aca="false">S339*H339</f>
        <v>#NAME?</v>
      </c>
      <c r="V339" s="250" t="e">
        <f aca="false">xSPRDOPT($L339,$J339,$I339,$M339,$O339,$N339,$P339,$Q339-$C$3,$R339,2)*H339</f>
        <v>#NAME?</v>
      </c>
      <c r="W339" s="250" t="e">
        <f aca="false">+V339+T339</f>
        <v>#NAME?</v>
      </c>
      <c r="X339" s="2" t="str">
        <f aca="false">CONCATENATE(G339,D339)</f>
        <v>36831IF-TRANSCO/Z6</v>
      </c>
      <c r="Y339" s="251" t="n">
        <f aca="false">H339/10000</f>
        <v>-50</v>
      </c>
      <c r="Z339" s="226" t="e">
        <f aca="false">T339/H339</f>
        <v>#NAME?</v>
      </c>
      <c r="AA339" s="226" t="e">
        <f aca="false">xSPRDOPT($L339,$J339,$I339,$M339,$O339,$N339,$P339,$Q339-$C$3,$R339,3)</f>
        <v>#NAME?</v>
      </c>
      <c r="AB339" s="226" t="e">
        <f aca="false">((xSPRDOPT($L339+AB$5,$J339,$I339,$M339,$O339,$N339,$P339,$Q339-$C$3,$R339,3)*$H339)/10000)/100</f>
        <v>#NAME?</v>
      </c>
      <c r="AC339" s="226" t="e">
        <f aca="false">((xSPRDOPT($L339+$AB$5,$J339,$I339,$M339,$O339,$N339,$P339,$Q339-$C$3,$R339,7)*$H339)/100)</f>
        <v>#NAME?</v>
      </c>
      <c r="AD339" s="226" t="e">
        <f aca="false">(xSPRDOPT($L339+$AB$5,$J339,$I339,$M339,$O339,$N339,$P339,$Q339-$C$3,$R339,9)/365)*$H339</f>
        <v>#NAME?</v>
      </c>
      <c r="AE339" s="0" t="e">
        <f aca="false">CD339</f>
        <v>#NAME?</v>
      </c>
      <c r="AF339" s="226" t="e">
        <f aca="false">((O339/N339)*AH339)+AG339</f>
        <v>#NAME?</v>
      </c>
      <c r="AG339" s="226" t="e">
        <f aca="false">((xSPRDOPT($L339,$J339,$I339,$M339,$O339,$N339,$P339,$Q339-$C$3,$R339,6)*$H339)/100)</f>
        <v>#NAME?</v>
      </c>
      <c r="AH339" s="226" t="e">
        <f aca="false">((xSPRDOPT($L339,$J339,$I339,$M339,$O339,$N339,$P339,$Q339-$C$3,$R339,5)*$H339)/100)</f>
        <v>#NAME?</v>
      </c>
      <c r="AI339" s="226" t="e">
        <f aca="false">(((xSPRDOPT($L339,$J339,$I339,$M339,$O339,$N339,$P339,$Q339-$C$3,$R339,4)*$H339)/10000)/100)-AB339</f>
        <v>#NAME?</v>
      </c>
      <c r="AJ339" s="226"/>
      <c r="AK339" s="226"/>
      <c r="AL339" s="226"/>
      <c r="AM339" s="252"/>
      <c r="CC339" s="182" t="n">
        <f aca="false">G339</f>
        <v>36831</v>
      </c>
      <c r="CD339" s="253" t="e">
        <f aca="false">xSPRDOPT((VLOOKUP(G339,NGPrices,2,FALSE())+HLOOKUP(D339,Prices,VLOOKUP(G339,move_down,2,FALSE()),FALSE())),VLOOKUP(G339,NGPrices,2,FALSE()),I339,VLOOKUP(G339,NGPREVPRICES,4,FALSE()),HLOOKUP(D339,PREVVOLS,VLOOKUP(G339,MOVE_DOWN2,2,FALSE()),FALSE()),VLOOKUP(G339,NGPREVPRICES,3,FALSE()),HLOOKUP(D339,Correllate,VLOOKUP(G339,CorMove,2,FALSE()),FALSE()),Q339-$CD$3,R339,$CD$5)*H339-CJ339</f>
        <v>#NAME?</v>
      </c>
      <c r="CE339" s="253" t="e">
        <f aca="false">xSPRDOPT((VLOOKUP(G339,NGPREVPRICES,2,FALSE())+HLOOKUP(D339,PREVCURVES,VLOOKUP(G339,MOVE_DOWN2,2,FALSE()),FALSE())),VLOOKUP(G339,NGPREVPRICES,2,FALSE()),CK339,VLOOKUP(G339,NGPrices,4,FALSE()),HLOOKUP(D339,PREVVOLS,VLOOKUP(G339,MOVE_DOWN2,2,FALSE()),FALSE()),VLOOKUP(G339,NGPREVPRICES,3,FALSE()),HLOOKUP(D339,Correllate,VLOOKUP(G339,CorMove,2,FALSE()),FALSE()),Q339-$CD$3,R339,$CJ$5)*H339-CJ339</f>
        <v>#NAME?</v>
      </c>
      <c r="CF339" s="132" t="e">
        <f aca="false">(CJ339/VLOOKUP(CC339,discount,3,FALSE()))-(CJ339/VLOOKUP(CC339,discount,2,FALSE()))</f>
        <v>#NAME?</v>
      </c>
      <c r="CG339" s="253" t="e">
        <f aca="false">xSPRDOPT((VLOOKUP(G339,NGPREVPRICES,2,FALSE())+HLOOKUP(D339,PREVCURVES,VLOOKUP(G339,MOVE_DOWN2,2,FALSE()),FALSE())),VLOOKUP(G339,NGPREVPRICES,2,FALSE()),CK339,VLOOKUP(G339,NGPREVPRICES,4,FALSE()),HLOOKUP(D339,VOLS,VLOOKUP(G339,move_down,2,FALSE()),FALSE()),VLOOKUP(G339,NGPrices,3,FALSE()),HLOOKUP(D339,Correllate,VLOOKUP(G339,CorMove,2,FALSE()),FALSE()),Q339-$CD$3,R339,$CJ$5)*H339-CJ339</f>
        <v>#NAME?</v>
      </c>
      <c r="CH339" s="253" t="e">
        <f aca="false">xSPRDOPT((VLOOKUP(G339,NGPREVPRICES,2,FALSE())+HLOOKUP(D339,PREVCURVES,VLOOKUP(G339,MOVE_DOWN2,2,FALSE()),FALSE())),VLOOKUP(G339,NGPREVPRICES,2,FALSE()),CK339,VLOOKUP(G339,NGPREVPRICES,4,FALSE()),HLOOKUP(D339,PREVVOLS,VLOOKUP(G339,MOVE_DOWN2,2,FALSE()),FALSE()),VLOOKUP(G339,NGPREVPRICES,3,FALSE()),HLOOKUP(D339,Correllate,VLOOKUP(G339,CorMove,2,FALSE()),FALSE()),Q339-$C$3,R339,$CJ$5)*H339-CJ339</f>
        <v>#NAME?</v>
      </c>
      <c r="CI339" s="253" t="e">
        <f aca="false">SUM(CD339:CH339)</f>
        <v>#NAME?</v>
      </c>
      <c r="CJ339" s="253" t="e">
        <f aca="false">xSPRDOPT((VLOOKUP(G339,NGPREVPRICES,2,FALSE())+HLOOKUP(D339,PREVCURVES,VLOOKUP(G339,MOVE_DOWN2,2,FALSE()),FALSE())),VLOOKUP(G339,NGPREVPRICES,2,FALSE()),CK339,VLOOKUP(G339,NGPREVPRICES,4,FALSE()),HLOOKUP(D339,PREVVOLS,VLOOKUP(G339,MOVE_DOWN2,2,FALSE()),FALSE()),VLOOKUP(G339,NGPREVPRICES,3,FALSE()),HLOOKUP(D339,Correllate,VLOOKUP(G339,CorMove,2,FALSE()),FALSE()),Q339-$CD$3,R339,$CJ$5)*H339</f>
        <v>#NAME?</v>
      </c>
      <c r="CK339" s="254" t="n">
        <f aca="false">I339</f>
        <v>5</v>
      </c>
      <c r="CM339" s="0" t="str">
        <f aca="false">CONCATENATE(CC339,$CD$6)</f>
        <v>36831Curve Shift/Gamma</v>
      </c>
      <c r="CN339" s="0" t="str">
        <f aca="false">CONCATENATE($CC339,$CE$6)</f>
        <v>36831Rho</v>
      </c>
      <c r="CO339" s="0" t="str">
        <f aca="false">CONCATENATE($CC339,$CF$6)</f>
        <v>36831Drift</v>
      </c>
      <c r="CP339" s="0" t="str">
        <f aca="false">CONCATENATE($CC339,$CG$6)</f>
        <v>36831Vega</v>
      </c>
      <c r="CQ339" s="0" t="str">
        <f aca="false">CONCATENATE($CC339,$CH$6)</f>
        <v>36831Theta</v>
      </c>
    </row>
    <row r="340" customFormat="false" ht="12.75" hidden="false" customHeight="false" outlineLevel="0" collapsed="false">
      <c r="A340" s="265" t="s">
        <v>198</v>
      </c>
      <c r="B340" s="0" t="s">
        <v>192</v>
      </c>
      <c r="C340" s="0" t="s">
        <v>322</v>
      </c>
      <c r="D340" s="7" t="s">
        <v>149</v>
      </c>
      <c r="E340" s="0" t="s">
        <v>131</v>
      </c>
      <c r="F340" s="0" t="s">
        <v>132</v>
      </c>
      <c r="G340" s="92" t="n">
        <v>36982</v>
      </c>
      <c r="H340" s="248" t="n">
        <v>-1000000</v>
      </c>
      <c r="I340" s="0" t="n">
        <v>0.4</v>
      </c>
      <c r="J340" s="124" t="n">
        <f aca="false">VLOOKUP(G340,NGPrices,2,FALSE())</f>
        <v>3.938</v>
      </c>
      <c r="K340" s="125" t="n">
        <f aca="false">HLOOKUP(D340,Prices,VLOOKUP(G340,move_down,2,FALSE()),FALSE())+VLOOKUP(G340,CHANGE,HLOOKUP(D340,CHANGE,2,FALSE()),FALSE())</f>
        <v>0.52</v>
      </c>
      <c r="L340" s="124" t="n">
        <f aca="false">K340+J340</f>
        <v>4.458</v>
      </c>
      <c r="M340" s="126" t="n">
        <f aca="false">VLOOKUP(G340,NGPrices,4,FALSE())</f>
        <v>0.069061726541121</v>
      </c>
      <c r="N340" s="7" t="n">
        <f aca="false">VLOOKUP(G340,NGPrices,3,FALSE())</f>
        <v>0.4425</v>
      </c>
      <c r="O340" s="7" t="n">
        <f aca="false">HLOOKUP(D340,VOLS,VLOOKUP(G340,move_down,2,FALSE()),FALSE())</f>
        <v>0.434</v>
      </c>
      <c r="P340" s="249" t="n">
        <f aca="false">HLOOKUP(D340,Correllate,VLOOKUP(G340,CorMove,2,FALSE()),FALSE())</f>
        <v>0.9738</v>
      </c>
      <c r="Q340" s="92" t="n">
        <f aca="false">WORKDAY(G340,-2)</f>
        <v>36979</v>
      </c>
      <c r="R340" s="7" t="n">
        <f aca="false">IF(F340="P",0,1)</f>
        <v>0</v>
      </c>
      <c r="S340" s="130" t="e">
        <f aca="false">xSPRDOPT($L340,$J340,$I340,$M340,$O340,$N340,$P340,$Q340-$C$3,$R340,0)</f>
        <v>#NAME?</v>
      </c>
      <c r="T340" s="250" t="e">
        <f aca="false">xSPRDOPT($L340,$J340,$I340,$M340,$O340,$N340,$P340,$Q340-$C$3,$R340,1)*H340</f>
        <v>#NAME?</v>
      </c>
      <c r="U340" s="43" t="e">
        <f aca="false">S340*H340</f>
        <v>#NAME?</v>
      </c>
      <c r="V340" s="250" t="e">
        <f aca="false">xSPRDOPT($L340,$J340,$I340,$M340,$O340,$N340,$P340,$Q340-$C$3,$R340,2)*H340</f>
        <v>#NAME?</v>
      </c>
      <c r="W340" s="250" t="e">
        <f aca="false">+V340+T340</f>
        <v>#NAME?</v>
      </c>
      <c r="X340" s="2" t="str">
        <f aca="false">CONCATENATE(G340,D340)</f>
        <v>36982IF-TRANSCO/Z6</v>
      </c>
      <c r="Y340" s="251" t="n">
        <f aca="false">H340/10000</f>
        <v>-100</v>
      </c>
      <c r="Z340" s="226" t="e">
        <f aca="false">T340/H340</f>
        <v>#NAME?</v>
      </c>
      <c r="AA340" s="226" t="e">
        <f aca="false">xSPRDOPT($L340,$J340,$I340,$M340,$O340,$N340,$P340,$Q340-$C$3,$R340,3)</f>
        <v>#NAME?</v>
      </c>
      <c r="AB340" s="226" t="e">
        <f aca="false">((xSPRDOPT($L340+AB$5,$J340,$I340,$M340,$O340,$N340,$P340,$Q340-$C$3,$R340,3)*$H340)/10000)/100</f>
        <v>#NAME?</v>
      </c>
      <c r="AC340" s="226" t="e">
        <f aca="false">((xSPRDOPT($L340+$AB$5,$J340,$I340,$M340,$O340,$N340,$P340,$Q340-$C$3,$R340,7)*$H340)/100)</f>
        <v>#NAME?</v>
      </c>
      <c r="AD340" s="226" t="e">
        <f aca="false">(xSPRDOPT($L340+$AB$5,$J340,$I340,$M340,$O340,$N340,$P340,$Q340-$C$3,$R340,9)/365)*$H340</f>
        <v>#NAME?</v>
      </c>
      <c r="AE340" s="0" t="e">
        <f aca="false">CD340</f>
        <v>#NAME?</v>
      </c>
      <c r="AF340" s="226" t="e">
        <f aca="false">((O340/N340)*AH340)+AG340</f>
        <v>#NAME?</v>
      </c>
      <c r="AG340" s="226" t="e">
        <f aca="false">((xSPRDOPT($L340,$J340,$I340,$M340,$O340,$N340,$P340,$Q340-$C$3,$R340,6)*$H340)/100)</f>
        <v>#NAME?</v>
      </c>
      <c r="AH340" s="226" t="e">
        <f aca="false">((xSPRDOPT($L340,$J340,$I340,$M340,$O340,$N340,$P340,$Q340-$C$3,$R340,5)*$H340)/100)</f>
        <v>#NAME?</v>
      </c>
      <c r="AI340" s="226" t="e">
        <f aca="false">(((xSPRDOPT($L340,$J340,$I340,$M340,$O340,$N340,$P340,$Q340-$C$3,$R340,4)*$H340)/10000)/100)-AB340</f>
        <v>#NAME?</v>
      </c>
      <c r="AJ340" s="226"/>
      <c r="AK340" s="226"/>
      <c r="AL340" s="226"/>
      <c r="AM340" s="252"/>
      <c r="CC340" s="182" t="n">
        <f aca="false">G340</f>
        <v>36982</v>
      </c>
      <c r="CD340" s="253" t="e">
        <f aca="false">xSPRDOPT((VLOOKUP(G340,NGPrices,2,FALSE())+HLOOKUP(D340,Prices,VLOOKUP(G340,move_down,2,FALSE()),FALSE())),VLOOKUP(G340,NGPrices,2,FALSE()),I340,VLOOKUP(G340,NGPREVPRICES,4,FALSE()),HLOOKUP(D340,PREVVOLS,VLOOKUP(G340,MOVE_DOWN2,2,FALSE()),FALSE()),VLOOKUP(G340,NGPREVPRICES,3,FALSE()),HLOOKUP(D340,Correllate,VLOOKUP(G340,CorMove,2,FALSE()),FALSE()),Q340-$CD$3,R340,$CD$5)*H340-CJ340</f>
        <v>#NAME?</v>
      </c>
      <c r="CE340" s="253" t="e">
        <f aca="false">xSPRDOPT((VLOOKUP(G340,NGPREVPRICES,2,FALSE())+HLOOKUP(D340,PREVCURVES,VLOOKUP(G340,MOVE_DOWN2,2,FALSE()),FALSE())),VLOOKUP(G340,NGPREVPRICES,2,FALSE()),CK340,VLOOKUP(G340,NGPrices,4,FALSE()),HLOOKUP(D340,PREVVOLS,VLOOKUP(G340,MOVE_DOWN2,2,FALSE()),FALSE()),VLOOKUP(G340,NGPREVPRICES,3,FALSE()),HLOOKUP(D340,Correllate,VLOOKUP(G340,CorMove,2,FALSE()),FALSE()),Q340-$CD$3,R340,$CJ$5)*H340-CJ340</f>
        <v>#NAME?</v>
      </c>
      <c r="CF340" s="132" t="e">
        <f aca="false">(CJ340/VLOOKUP(CC340,discount,3,FALSE()))-(CJ340/VLOOKUP(CC340,discount,2,FALSE()))</f>
        <v>#NAME?</v>
      </c>
      <c r="CG340" s="253" t="e">
        <f aca="false">xSPRDOPT((VLOOKUP(G340,NGPREVPRICES,2,FALSE())+HLOOKUP(D340,PREVCURVES,VLOOKUP(G340,MOVE_DOWN2,2,FALSE()),FALSE())),VLOOKUP(G340,NGPREVPRICES,2,FALSE()),CK340,VLOOKUP(G340,NGPREVPRICES,4,FALSE()),HLOOKUP(D340,VOLS,VLOOKUP(G340,move_down,2,FALSE()),FALSE()),VLOOKUP(G340,NGPrices,3,FALSE()),HLOOKUP(D340,Correllate,VLOOKUP(G340,CorMove,2,FALSE()),FALSE()),Q340-$CD$3,R340,$CJ$5)*H340-CJ340</f>
        <v>#NAME?</v>
      </c>
      <c r="CH340" s="253" t="e">
        <f aca="false">xSPRDOPT((VLOOKUP(G340,NGPREVPRICES,2,FALSE())+HLOOKUP(D340,PREVCURVES,VLOOKUP(G340,MOVE_DOWN2,2,FALSE()),FALSE())),VLOOKUP(G340,NGPREVPRICES,2,FALSE()),CK340,VLOOKUP(G340,NGPREVPRICES,4,FALSE()),HLOOKUP(D340,PREVVOLS,VLOOKUP(G340,MOVE_DOWN2,2,FALSE()),FALSE()),VLOOKUP(G340,NGPREVPRICES,3,FALSE()),HLOOKUP(D340,Correllate,VLOOKUP(G340,CorMove,2,FALSE()),FALSE()),Q340-$C$3,R340,$CJ$5)*H340-CJ340</f>
        <v>#NAME?</v>
      </c>
      <c r="CI340" s="253" t="e">
        <f aca="false">SUM(CD340:CH340)</f>
        <v>#NAME?</v>
      </c>
      <c r="CJ340" s="253" t="e">
        <f aca="false">xSPRDOPT((VLOOKUP(G340,NGPREVPRICES,2,FALSE())+HLOOKUP(D340,PREVCURVES,VLOOKUP(G340,MOVE_DOWN2,2,FALSE()),FALSE())),VLOOKUP(G340,NGPREVPRICES,2,FALSE()),CK340,VLOOKUP(G340,NGPREVPRICES,4,FALSE()),HLOOKUP(D340,PREVVOLS,VLOOKUP(G340,MOVE_DOWN2,2,FALSE()),FALSE()),VLOOKUP(G340,NGPREVPRICES,3,FALSE()),HLOOKUP(D340,Correllate,VLOOKUP(G340,CorMove,2,FALSE()),FALSE()),Q340-$CD$3,R340,$CJ$5)*H340</f>
        <v>#NAME?</v>
      </c>
      <c r="CK340" s="254" t="n">
        <f aca="false">I340</f>
        <v>0.4</v>
      </c>
      <c r="CM340" s="0" t="str">
        <f aca="false">CONCATENATE(CC340,$CD$6)</f>
        <v>36982Curve Shift/Gamma</v>
      </c>
      <c r="CN340" s="0" t="str">
        <f aca="false">CONCATENATE($CC340,$CE$6)</f>
        <v>36982Rho</v>
      </c>
      <c r="CO340" s="0" t="str">
        <f aca="false">CONCATENATE($CC340,$CF$6)</f>
        <v>36982Drift</v>
      </c>
      <c r="CP340" s="0" t="str">
        <f aca="false">CONCATENATE($CC340,$CG$6)</f>
        <v>36982Vega</v>
      </c>
      <c r="CQ340" s="0" t="str">
        <f aca="false">CONCATENATE($CC340,$CH$6)</f>
        <v>36982Theta</v>
      </c>
    </row>
    <row r="341" customFormat="false" ht="12.75" hidden="false" customHeight="false" outlineLevel="0" collapsed="false">
      <c r="A341" s="265" t="s">
        <v>198</v>
      </c>
      <c r="B341" s="0" t="s">
        <v>192</v>
      </c>
      <c r="C341" s="0" t="s">
        <v>323</v>
      </c>
      <c r="D341" s="7" t="s">
        <v>149</v>
      </c>
      <c r="E341" s="0" t="s">
        <v>131</v>
      </c>
      <c r="F341" s="0" t="s">
        <v>136</v>
      </c>
      <c r="G341" s="92" t="n">
        <v>36982</v>
      </c>
      <c r="H341" s="248" t="n">
        <v>-1000000</v>
      </c>
      <c r="I341" s="0" t="n">
        <v>0.7</v>
      </c>
      <c r="J341" s="124" t="n">
        <f aca="false">VLOOKUP(G341,NGPrices,2,FALSE())</f>
        <v>3.938</v>
      </c>
      <c r="K341" s="125" t="n">
        <f aca="false">HLOOKUP(D341,Prices,VLOOKUP(G341,move_down,2,FALSE()),FALSE())+VLOOKUP(G341,CHANGE,HLOOKUP(D341,CHANGE,2,FALSE()),FALSE())</f>
        <v>0.52</v>
      </c>
      <c r="L341" s="124" t="n">
        <f aca="false">K341+J341</f>
        <v>4.458</v>
      </c>
      <c r="M341" s="126" t="n">
        <f aca="false">VLOOKUP(G341,NGPrices,4,FALSE())</f>
        <v>0.069061726541121</v>
      </c>
      <c r="N341" s="7" t="n">
        <f aca="false">VLOOKUP(G341,NGPrices,3,FALSE())</f>
        <v>0.4425</v>
      </c>
      <c r="O341" s="7" t="n">
        <f aca="false">HLOOKUP(D341,VOLS,VLOOKUP(G341,move_down,2,FALSE()),FALSE())</f>
        <v>0.434</v>
      </c>
      <c r="P341" s="249" t="n">
        <f aca="false">HLOOKUP(D341,Correllate,VLOOKUP(G341,CorMove,2,FALSE()),FALSE())</f>
        <v>0.9738</v>
      </c>
      <c r="Q341" s="92" t="n">
        <f aca="false">WORKDAY(G341,-2)</f>
        <v>36979</v>
      </c>
      <c r="R341" s="7" t="n">
        <f aca="false">IF(F341="P",0,1)</f>
        <v>1</v>
      </c>
      <c r="S341" s="130" t="e">
        <f aca="false">xSPRDOPT($L341,$J341,$I341,$M341,$O341,$N341,$P341,$Q341-$C$3,$R341,0)</f>
        <v>#NAME?</v>
      </c>
      <c r="T341" s="250" t="e">
        <f aca="false">xSPRDOPT($L341,$J341,$I341,$M341,$O341,$N341,$P341,$Q341-$C$3,$R341,1)*H341</f>
        <v>#NAME?</v>
      </c>
      <c r="U341" s="43" t="e">
        <f aca="false">S341*H341</f>
        <v>#NAME?</v>
      </c>
      <c r="V341" s="250" t="e">
        <f aca="false">xSPRDOPT($L341,$J341,$I341,$M341,$O341,$N341,$P341,$Q341-$C$3,$R341,2)*H341</f>
        <v>#NAME?</v>
      </c>
      <c r="W341" s="250" t="e">
        <f aca="false">+V341+T341</f>
        <v>#NAME?</v>
      </c>
      <c r="X341" s="2" t="str">
        <f aca="false">CONCATENATE(G341,D341)</f>
        <v>36982IF-TRANSCO/Z6</v>
      </c>
      <c r="Y341" s="251" t="n">
        <f aca="false">H341/10000</f>
        <v>-100</v>
      </c>
      <c r="Z341" s="226" t="e">
        <f aca="false">T341/H341</f>
        <v>#NAME?</v>
      </c>
      <c r="AA341" s="226" t="e">
        <f aca="false">xSPRDOPT($L341,$J341,$I341,$M341,$O341,$N341,$P341,$Q341-$C$3,$R341,3)</f>
        <v>#NAME?</v>
      </c>
      <c r="AB341" s="226" t="e">
        <f aca="false">((xSPRDOPT($L341+AB$5,$J341,$I341,$M341,$O341,$N341,$P341,$Q341-$C$3,$R341,3)*$H341)/10000)/100</f>
        <v>#NAME?</v>
      </c>
      <c r="AC341" s="226" t="e">
        <f aca="false">((xSPRDOPT($L341+$AB$5,$J341,$I341,$M341,$O341,$N341,$P341,$Q341-$C$3,$R341,7)*$H341)/100)</f>
        <v>#NAME?</v>
      </c>
      <c r="AD341" s="226" t="e">
        <f aca="false">(xSPRDOPT($L341+$AB$5,$J341,$I341,$M341,$O341,$N341,$P341,$Q341-$C$3,$R341,9)/365)*$H341</f>
        <v>#NAME?</v>
      </c>
      <c r="AE341" s="0" t="e">
        <f aca="false">CD341</f>
        <v>#NAME?</v>
      </c>
      <c r="AF341" s="226" t="e">
        <f aca="false">((O341/N341)*AH341)+AG341</f>
        <v>#NAME?</v>
      </c>
      <c r="AG341" s="226" t="e">
        <f aca="false">((xSPRDOPT($L341,$J341,$I341,$M341,$O341,$N341,$P341,$Q341-$C$3,$R341,6)*$H341)/100)</f>
        <v>#NAME?</v>
      </c>
      <c r="AH341" s="226" t="e">
        <f aca="false">((xSPRDOPT($L341,$J341,$I341,$M341,$O341,$N341,$P341,$Q341-$C$3,$R341,5)*$H341)/100)</f>
        <v>#NAME?</v>
      </c>
      <c r="AI341" s="226" t="e">
        <f aca="false">(((xSPRDOPT($L341,$J341,$I341,$M341,$O341,$N341,$P341,$Q341-$C$3,$R341,4)*$H341)/10000)/100)-AB341</f>
        <v>#NAME?</v>
      </c>
      <c r="AJ341" s="226"/>
      <c r="AK341" s="226"/>
      <c r="AL341" s="226"/>
      <c r="AM341" s="252"/>
      <c r="CC341" s="182" t="n">
        <f aca="false">G341</f>
        <v>36982</v>
      </c>
      <c r="CD341" s="253" t="e">
        <f aca="false">xSPRDOPT((VLOOKUP(G341,NGPrices,2,FALSE())+HLOOKUP(D341,Prices,VLOOKUP(G341,move_down,2,FALSE()),FALSE())),VLOOKUP(G341,NGPrices,2,FALSE()),I341,VLOOKUP(G341,NGPREVPRICES,4,FALSE()),HLOOKUP(D341,PREVVOLS,VLOOKUP(G341,MOVE_DOWN2,2,FALSE()),FALSE()),VLOOKUP(G341,NGPREVPRICES,3,FALSE()),HLOOKUP(D341,Correllate,VLOOKUP(G341,CorMove,2,FALSE()),FALSE()),Q341-$CD$3,R341,$CD$5)*H341-CJ341</f>
        <v>#NAME?</v>
      </c>
      <c r="CE341" s="253" t="e">
        <f aca="false">xSPRDOPT((VLOOKUP(G341,NGPREVPRICES,2,FALSE())+HLOOKUP(D341,PREVCURVES,VLOOKUP(G341,MOVE_DOWN2,2,FALSE()),FALSE())),VLOOKUP(G341,NGPREVPRICES,2,FALSE()),CK341,VLOOKUP(G341,NGPrices,4,FALSE()),HLOOKUP(D341,PREVVOLS,VLOOKUP(G341,MOVE_DOWN2,2,FALSE()),FALSE()),VLOOKUP(G341,NGPREVPRICES,3,FALSE()),HLOOKUP(D341,Correllate,VLOOKUP(G341,CorMove,2,FALSE()),FALSE()),Q341-$CD$3,R341,$CJ$5)*H341-CJ341</f>
        <v>#NAME?</v>
      </c>
      <c r="CF341" s="132" t="e">
        <f aca="false">(CJ341/VLOOKUP(CC341,discount,3,FALSE()))-(CJ341/VLOOKUP(CC341,discount,2,FALSE()))</f>
        <v>#NAME?</v>
      </c>
      <c r="CG341" s="253" t="e">
        <f aca="false">xSPRDOPT((VLOOKUP(G341,NGPREVPRICES,2,FALSE())+HLOOKUP(D341,PREVCURVES,VLOOKUP(G341,MOVE_DOWN2,2,FALSE()),FALSE())),VLOOKUP(G341,NGPREVPRICES,2,FALSE()),CK341,VLOOKUP(G341,NGPREVPRICES,4,FALSE()),HLOOKUP(D341,VOLS,VLOOKUP(G341,move_down,2,FALSE()),FALSE()),VLOOKUP(G341,NGPrices,3,FALSE()),HLOOKUP(D341,Correllate,VLOOKUP(G341,CorMove,2,FALSE()),FALSE()),Q341-$CD$3,R341,$CJ$5)*H341-CJ341</f>
        <v>#NAME?</v>
      </c>
      <c r="CH341" s="253" t="e">
        <f aca="false">xSPRDOPT((VLOOKUP(G341,NGPREVPRICES,2,FALSE())+HLOOKUP(D341,PREVCURVES,VLOOKUP(G341,MOVE_DOWN2,2,FALSE()),FALSE())),VLOOKUP(G341,NGPREVPRICES,2,FALSE()),CK341,VLOOKUP(G341,NGPREVPRICES,4,FALSE()),HLOOKUP(D341,PREVVOLS,VLOOKUP(G341,MOVE_DOWN2,2,FALSE()),FALSE()),VLOOKUP(G341,NGPREVPRICES,3,FALSE()),HLOOKUP(D341,Correllate,VLOOKUP(G341,CorMove,2,FALSE()),FALSE()),Q341-$C$3,R341,$CJ$5)*H341-CJ341</f>
        <v>#NAME?</v>
      </c>
      <c r="CI341" s="253" t="e">
        <f aca="false">SUM(CD341:CH341)</f>
        <v>#NAME?</v>
      </c>
      <c r="CJ341" s="253" t="e">
        <f aca="false">xSPRDOPT((VLOOKUP(G341,NGPREVPRICES,2,FALSE())+HLOOKUP(D341,PREVCURVES,VLOOKUP(G341,MOVE_DOWN2,2,FALSE()),FALSE())),VLOOKUP(G341,NGPREVPRICES,2,FALSE()),CK341,VLOOKUP(G341,NGPREVPRICES,4,FALSE()),HLOOKUP(D341,PREVVOLS,VLOOKUP(G341,MOVE_DOWN2,2,FALSE()),FALSE()),VLOOKUP(G341,NGPREVPRICES,3,FALSE()),HLOOKUP(D341,Correllate,VLOOKUP(G341,CorMove,2,FALSE()),FALSE()),Q341-$CD$3,R341,$CJ$5)*H341</f>
        <v>#NAME?</v>
      </c>
      <c r="CK341" s="254" t="n">
        <f aca="false">I341</f>
        <v>0.7</v>
      </c>
      <c r="CM341" s="0" t="str">
        <f aca="false">CONCATENATE(CC341,$CD$6)</f>
        <v>36982Curve Shift/Gamma</v>
      </c>
      <c r="CN341" s="0" t="str">
        <f aca="false">CONCATENATE($CC341,$CE$6)</f>
        <v>36982Rho</v>
      </c>
      <c r="CO341" s="0" t="str">
        <f aca="false">CONCATENATE($CC341,$CF$6)</f>
        <v>36982Drift</v>
      </c>
      <c r="CP341" s="0" t="str">
        <f aca="false">CONCATENATE($CC341,$CG$6)</f>
        <v>36982Vega</v>
      </c>
      <c r="CQ341" s="0" t="str">
        <f aca="false">CONCATENATE($CC341,$CH$6)</f>
        <v>36982Theta</v>
      </c>
    </row>
    <row r="342" customFormat="false" ht="12.75" hidden="false" customHeight="false" outlineLevel="0" collapsed="false">
      <c r="A342" s="265" t="s">
        <v>198</v>
      </c>
      <c r="B342" s="0" t="s">
        <v>192</v>
      </c>
      <c r="C342" s="0" t="s">
        <v>324</v>
      </c>
      <c r="D342" s="7" t="s">
        <v>149</v>
      </c>
      <c r="E342" s="0" t="s">
        <v>131</v>
      </c>
      <c r="F342" s="0" t="s">
        <v>136</v>
      </c>
      <c r="G342" s="92" t="n">
        <v>36951</v>
      </c>
      <c r="H342" s="248" t="n">
        <v>-500000</v>
      </c>
      <c r="I342" s="0" t="n">
        <v>1.6</v>
      </c>
      <c r="J342" s="124" t="n">
        <f aca="false">VLOOKUP(G342,NGPrices,2,FALSE())</f>
        <v>4.213</v>
      </c>
      <c r="K342" s="125" t="n">
        <f aca="false">HLOOKUP(D342,Prices,VLOOKUP(G342,move_down,2,FALSE()),FALSE())+VLOOKUP(G342,CHANGE,HLOOKUP(D342,CHANGE,2,FALSE()),FALSE())</f>
        <v>1.075</v>
      </c>
      <c r="L342" s="124" t="n">
        <f aca="false">K342+J342</f>
        <v>5.288</v>
      </c>
      <c r="M342" s="126" t="n">
        <f aca="false">VLOOKUP(G342,NGPrices,4,FALSE())</f>
        <v>0.068879814952707</v>
      </c>
      <c r="N342" s="7" t="n">
        <f aca="false">VLOOKUP(G342,NGPrices,3,FALSE())</f>
        <v>0.5325</v>
      </c>
      <c r="O342" s="7" t="n">
        <f aca="false">HLOOKUP(D342,VOLS,VLOOKUP(G342,move_down,2,FALSE()),FALSE())</f>
        <v>0.612</v>
      </c>
      <c r="P342" s="249" t="n">
        <f aca="false">HLOOKUP(D342,Correllate,VLOOKUP(G342,CorMove,2,FALSE()),FALSE())</f>
        <v>0.83</v>
      </c>
      <c r="Q342" s="92" t="n">
        <f aca="false">WORKDAY(G342,-2)</f>
        <v>36949</v>
      </c>
      <c r="R342" s="7" t="n">
        <f aca="false">IF(F342="P",0,1)</f>
        <v>1</v>
      </c>
      <c r="S342" s="130" t="e">
        <f aca="false">xSPRDOPT($L342,$J342,$I342,$M342,$O342,$N342,$P342,$Q342-$C$3,$R342,0)</f>
        <v>#NAME?</v>
      </c>
      <c r="T342" s="250" t="e">
        <f aca="false">xSPRDOPT($L342,$J342,$I342,$M342,$O342,$N342,$P342,$Q342-$C$3,$R342,1)*H342</f>
        <v>#NAME?</v>
      </c>
      <c r="U342" s="43" t="e">
        <f aca="false">S342*H342</f>
        <v>#NAME?</v>
      </c>
      <c r="V342" s="250" t="e">
        <f aca="false">xSPRDOPT($L342,$J342,$I342,$M342,$O342,$N342,$P342,$Q342-$C$3,$R342,2)*H342</f>
        <v>#NAME?</v>
      </c>
      <c r="W342" s="250" t="e">
        <f aca="false">+V342+T342</f>
        <v>#NAME?</v>
      </c>
      <c r="X342" s="2" t="str">
        <f aca="false">CONCATENATE(G342,D342)</f>
        <v>36951IF-TRANSCO/Z6</v>
      </c>
      <c r="Y342" s="251" t="n">
        <f aca="false">H342/10000</f>
        <v>-50</v>
      </c>
      <c r="Z342" s="226" t="e">
        <f aca="false">T342/H342</f>
        <v>#NAME?</v>
      </c>
      <c r="AA342" s="226" t="e">
        <f aca="false">xSPRDOPT($L342,$J342,$I342,$M342,$O342,$N342,$P342,$Q342-$C$3,$R342,3)</f>
        <v>#NAME?</v>
      </c>
      <c r="AB342" s="226" t="e">
        <f aca="false">((xSPRDOPT($L342+AB$5,$J342,$I342,$M342,$O342,$N342,$P342,$Q342-$C$3,$R342,3)*$H342)/10000)/100</f>
        <v>#NAME?</v>
      </c>
      <c r="AC342" s="226" t="e">
        <f aca="false">((xSPRDOPT($L342+$AB$5,$J342,$I342,$M342,$O342,$N342,$P342,$Q342-$C$3,$R342,7)*$H342)/100)</f>
        <v>#NAME?</v>
      </c>
      <c r="AD342" s="226" t="e">
        <f aca="false">(xSPRDOPT($L342+$AB$5,$J342,$I342,$M342,$O342,$N342,$P342,$Q342-$C$3,$R342,9)/365)*$H342</f>
        <v>#NAME?</v>
      </c>
      <c r="AE342" s="0" t="e">
        <f aca="false">CD342</f>
        <v>#NAME?</v>
      </c>
      <c r="AF342" s="226" t="e">
        <f aca="false">((O342/N342)*AH342)+AG342</f>
        <v>#NAME?</v>
      </c>
      <c r="AG342" s="226" t="e">
        <f aca="false">((xSPRDOPT($L342,$J342,$I342,$M342,$O342,$N342,$P342,$Q342-$C$3,$R342,6)*$H342)/100)</f>
        <v>#NAME?</v>
      </c>
      <c r="AH342" s="226" t="e">
        <f aca="false">((xSPRDOPT($L342,$J342,$I342,$M342,$O342,$N342,$P342,$Q342-$C$3,$R342,5)*$H342)/100)</f>
        <v>#NAME?</v>
      </c>
      <c r="AI342" s="226" t="e">
        <f aca="false">(((xSPRDOPT($L342,$J342,$I342,$M342,$O342,$N342,$P342,$Q342-$C$3,$R342,4)*$H342)/10000)/100)-AB342</f>
        <v>#NAME?</v>
      </c>
      <c r="AJ342" s="226"/>
      <c r="AK342" s="226"/>
      <c r="AL342" s="226"/>
      <c r="AM342" s="252"/>
      <c r="CC342" s="182" t="n">
        <f aca="false">G342</f>
        <v>36951</v>
      </c>
      <c r="CD342" s="253" t="e">
        <f aca="false">xSPRDOPT((VLOOKUP(G342,NGPrices,2,FALSE())+HLOOKUP(D342,Prices,VLOOKUP(G342,move_down,2,FALSE()),FALSE())),VLOOKUP(G342,NGPrices,2,FALSE()),I342,VLOOKUP(G342,NGPREVPRICES,4,FALSE()),HLOOKUP(D342,PREVVOLS,VLOOKUP(G342,MOVE_DOWN2,2,FALSE()),FALSE()),VLOOKUP(G342,NGPREVPRICES,3,FALSE()),HLOOKUP(D342,Correllate,VLOOKUP(G342,CorMove,2,FALSE()),FALSE()),Q342-$CD$3,R342,$CD$5)*H342-CJ342</f>
        <v>#NAME?</v>
      </c>
      <c r="CE342" s="253" t="e">
        <f aca="false">xSPRDOPT((VLOOKUP(G342,NGPREVPRICES,2,FALSE())+HLOOKUP(D342,PREVCURVES,VLOOKUP(G342,MOVE_DOWN2,2,FALSE()),FALSE())),VLOOKUP(G342,NGPREVPRICES,2,FALSE()),CK342,VLOOKUP(G342,NGPrices,4,FALSE()),HLOOKUP(D342,PREVVOLS,VLOOKUP(G342,MOVE_DOWN2,2,FALSE()),FALSE()),VLOOKUP(G342,NGPREVPRICES,3,FALSE()),HLOOKUP(D342,Correllate,VLOOKUP(G342,CorMove,2,FALSE()),FALSE()),Q342-$CD$3,R342,$CJ$5)*H342-CJ342</f>
        <v>#NAME?</v>
      </c>
      <c r="CF342" s="132" t="e">
        <f aca="false">(CJ342/VLOOKUP(CC342,discount,3,FALSE()))-(CJ342/VLOOKUP(CC342,discount,2,FALSE()))</f>
        <v>#NAME?</v>
      </c>
      <c r="CG342" s="253" t="e">
        <f aca="false">xSPRDOPT((VLOOKUP(G342,NGPREVPRICES,2,FALSE())+HLOOKUP(D342,PREVCURVES,VLOOKUP(G342,MOVE_DOWN2,2,FALSE()),FALSE())),VLOOKUP(G342,NGPREVPRICES,2,FALSE()),CK342,VLOOKUP(G342,NGPREVPRICES,4,FALSE()),HLOOKUP(D342,VOLS,VLOOKUP(G342,move_down,2,FALSE()),FALSE()),VLOOKUP(G342,NGPrices,3,FALSE()),HLOOKUP(D342,Correllate,VLOOKUP(G342,CorMove,2,FALSE()),FALSE()),Q342-$CD$3,R342,$CJ$5)*H342-CJ342</f>
        <v>#NAME?</v>
      </c>
      <c r="CH342" s="253" t="e">
        <f aca="false">xSPRDOPT((VLOOKUP(G342,NGPREVPRICES,2,FALSE())+HLOOKUP(D342,PREVCURVES,VLOOKUP(G342,MOVE_DOWN2,2,FALSE()),FALSE())),VLOOKUP(G342,NGPREVPRICES,2,FALSE()),CK342,VLOOKUP(G342,NGPREVPRICES,4,FALSE()),HLOOKUP(D342,PREVVOLS,VLOOKUP(G342,MOVE_DOWN2,2,FALSE()),FALSE()),VLOOKUP(G342,NGPREVPRICES,3,FALSE()),HLOOKUP(D342,Correllate,VLOOKUP(G342,CorMove,2,FALSE()),FALSE()),Q342-$C$3,R342,$CJ$5)*H342-CJ342</f>
        <v>#NAME?</v>
      </c>
      <c r="CI342" s="253" t="e">
        <f aca="false">SUM(CD342:CH342)</f>
        <v>#NAME?</v>
      </c>
      <c r="CJ342" s="253" t="e">
        <f aca="false">xSPRDOPT((VLOOKUP(G342,NGPREVPRICES,2,FALSE())+HLOOKUP(D342,PREVCURVES,VLOOKUP(G342,MOVE_DOWN2,2,FALSE()),FALSE())),VLOOKUP(G342,NGPREVPRICES,2,FALSE()),CK342,VLOOKUP(G342,NGPREVPRICES,4,FALSE()),HLOOKUP(D342,PREVVOLS,VLOOKUP(G342,MOVE_DOWN2,2,FALSE()),FALSE()),VLOOKUP(G342,NGPREVPRICES,3,FALSE()),HLOOKUP(D342,Correllate,VLOOKUP(G342,CorMove,2,FALSE()),FALSE()),Q342-$CD$3,R342,$CJ$5)*H342</f>
        <v>#NAME?</v>
      </c>
      <c r="CK342" s="254" t="n">
        <f aca="false">I342</f>
        <v>1.6</v>
      </c>
      <c r="CM342" s="0" t="str">
        <f aca="false">CONCATENATE(CC342,$CD$6)</f>
        <v>36951Curve Shift/Gamma</v>
      </c>
      <c r="CN342" s="0" t="str">
        <f aca="false">CONCATENATE($CC342,$CE$6)</f>
        <v>36951Rho</v>
      </c>
      <c r="CO342" s="0" t="str">
        <f aca="false">CONCATENATE($CC342,$CF$6)</f>
        <v>36951Drift</v>
      </c>
      <c r="CP342" s="0" t="str">
        <f aca="false">CONCATENATE($CC342,$CG$6)</f>
        <v>36951Vega</v>
      </c>
      <c r="CQ342" s="0" t="str">
        <f aca="false">CONCATENATE($CC342,$CH$6)</f>
        <v>36951Theta</v>
      </c>
    </row>
    <row r="343" customFormat="false" ht="12.75" hidden="false" customHeight="false" outlineLevel="0" collapsed="false">
      <c r="A343" s="265" t="s">
        <v>198</v>
      </c>
      <c r="B343" s="0" t="s">
        <v>192</v>
      </c>
      <c r="C343" s="0" t="s">
        <v>324</v>
      </c>
      <c r="D343" s="7" t="s">
        <v>149</v>
      </c>
      <c r="E343" s="0" t="s">
        <v>131</v>
      </c>
      <c r="F343" s="0" t="s">
        <v>136</v>
      </c>
      <c r="G343" s="92" t="n">
        <v>36923</v>
      </c>
      <c r="H343" s="248" t="n">
        <v>-500000</v>
      </c>
      <c r="I343" s="0" t="n">
        <v>1.6</v>
      </c>
      <c r="J343" s="124" t="n">
        <f aca="false">VLOOKUP(G343,NGPrices,2,FALSE())</f>
        <v>4.48</v>
      </c>
      <c r="K343" s="125" t="n">
        <f aca="false">HLOOKUP(D343,Prices,VLOOKUP(G343,move_down,2,FALSE()),FALSE())+VLOOKUP(G343,CHANGE,HLOOKUP(D343,CHANGE,2,FALSE()),FALSE())</f>
        <v>2.09</v>
      </c>
      <c r="L343" s="124" t="n">
        <f aca="false">K343+J343</f>
        <v>6.57</v>
      </c>
      <c r="M343" s="126" t="n">
        <f aca="false">VLOOKUP(G343,NGPrices,4,FALSE())</f>
        <v>0.068640161611372</v>
      </c>
      <c r="N343" s="7" t="n">
        <f aca="false">VLOOKUP(G343,NGPrices,3,FALSE())</f>
        <v>0.5925</v>
      </c>
      <c r="O343" s="7" t="n">
        <f aca="false">HLOOKUP(D343,VOLS,VLOOKUP(G343,move_down,2,FALSE()),FALSE())</f>
        <v>0.681</v>
      </c>
      <c r="P343" s="249" t="n">
        <f aca="false">HLOOKUP(D343,Correllate,VLOOKUP(G343,CorMove,2,FALSE()),FALSE())</f>
        <v>0.83</v>
      </c>
      <c r="Q343" s="92" t="n">
        <f aca="false">WORKDAY(G343,-2)</f>
        <v>36921</v>
      </c>
      <c r="R343" s="7" t="n">
        <f aca="false">IF(F343="P",0,1)</f>
        <v>1</v>
      </c>
      <c r="S343" s="130" t="e">
        <f aca="false">xSPRDOPT($L343,$J343,$I343,$M343,$O343,$N343,$P343,$Q343-$C$3,$R343,0)</f>
        <v>#NAME?</v>
      </c>
      <c r="T343" s="250" t="e">
        <f aca="false">xSPRDOPT($L343,$J343,$I343,$M343,$O343,$N343,$P343,$Q343-$C$3,$R343,1)*H343</f>
        <v>#NAME?</v>
      </c>
      <c r="U343" s="43" t="e">
        <f aca="false">S343*H343</f>
        <v>#NAME?</v>
      </c>
      <c r="V343" s="250" t="e">
        <f aca="false">xSPRDOPT($L343,$J343,$I343,$M343,$O343,$N343,$P343,$Q343-$C$3,$R343,2)*H343</f>
        <v>#NAME?</v>
      </c>
      <c r="W343" s="250" t="e">
        <f aca="false">+V343+T343</f>
        <v>#NAME?</v>
      </c>
      <c r="X343" s="2" t="str">
        <f aca="false">CONCATENATE(G343,D343)</f>
        <v>36923IF-TRANSCO/Z6</v>
      </c>
      <c r="Y343" s="251" t="n">
        <f aca="false">H343/10000</f>
        <v>-50</v>
      </c>
      <c r="Z343" s="226" t="e">
        <f aca="false">T343/H343</f>
        <v>#NAME?</v>
      </c>
      <c r="AA343" s="226" t="e">
        <f aca="false">xSPRDOPT($L343,$J343,$I343,$M343,$O343,$N343,$P343,$Q343-$C$3,$R343,3)</f>
        <v>#NAME?</v>
      </c>
      <c r="AB343" s="226" t="e">
        <f aca="false">((xSPRDOPT($L343+AB$5,$J343,$I343,$M343,$O343,$N343,$P343,$Q343-$C$3,$R343,3)*$H343)/10000)/100</f>
        <v>#NAME?</v>
      </c>
      <c r="AC343" s="226" t="e">
        <f aca="false">((xSPRDOPT($L343+$AB$5,$J343,$I343,$M343,$O343,$N343,$P343,$Q343-$C$3,$R343,7)*$H343)/100)</f>
        <v>#NAME?</v>
      </c>
      <c r="AD343" s="226" t="e">
        <f aca="false">(xSPRDOPT($L343+$AB$5,$J343,$I343,$M343,$O343,$N343,$P343,$Q343-$C$3,$R343,9)/365)*$H343</f>
        <v>#NAME?</v>
      </c>
      <c r="AE343" s="0" t="e">
        <f aca="false">CD343</f>
        <v>#NAME?</v>
      </c>
      <c r="AF343" s="226" t="e">
        <f aca="false">((O343/N343)*AH343)+AG343</f>
        <v>#NAME?</v>
      </c>
      <c r="AG343" s="226" t="e">
        <f aca="false">((xSPRDOPT($L343,$J343,$I343,$M343,$O343,$N343,$P343,$Q343-$C$3,$R343,6)*$H343)/100)</f>
        <v>#NAME?</v>
      </c>
      <c r="AH343" s="226" t="e">
        <f aca="false">((xSPRDOPT($L343,$J343,$I343,$M343,$O343,$N343,$P343,$Q343-$C$3,$R343,5)*$H343)/100)</f>
        <v>#NAME?</v>
      </c>
      <c r="AI343" s="226" t="e">
        <f aca="false">(((xSPRDOPT($L343,$J343,$I343,$M343,$O343,$N343,$P343,$Q343-$C$3,$R343,4)*$H343)/10000)/100)-AB343</f>
        <v>#NAME?</v>
      </c>
      <c r="AJ343" s="226"/>
      <c r="AK343" s="226"/>
      <c r="AL343" s="226"/>
      <c r="AM343" s="252"/>
      <c r="CC343" s="182" t="n">
        <f aca="false">G343</f>
        <v>36923</v>
      </c>
      <c r="CD343" s="253" t="e">
        <f aca="false">xSPRDOPT((VLOOKUP(G343,NGPrices,2,FALSE())+HLOOKUP(D343,Prices,VLOOKUP(G343,move_down,2,FALSE()),FALSE())),VLOOKUP(G343,NGPrices,2,FALSE()),I343,VLOOKUP(G343,NGPREVPRICES,4,FALSE()),HLOOKUP(D343,PREVVOLS,VLOOKUP(G343,MOVE_DOWN2,2,FALSE()),FALSE()),VLOOKUP(G343,NGPREVPRICES,3,FALSE()),HLOOKUP(D343,Correllate,VLOOKUP(G343,CorMove,2,FALSE()),FALSE()),Q343-$CD$3,R343,$CD$5)*H343-CJ343</f>
        <v>#NAME?</v>
      </c>
      <c r="CE343" s="253" t="e">
        <f aca="false">xSPRDOPT((VLOOKUP(G343,NGPREVPRICES,2,FALSE())+HLOOKUP(D343,PREVCURVES,VLOOKUP(G343,MOVE_DOWN2,2,FALSE()),FALSE())),VLOOKUP(G343,NGPREVPRICES,2,FALSE()),CK343,VLOOKUP(G343,NGPrices,4,FALSE()),HLOOKUP(D343,PREVVOLS,VLOOKUP(G343,MOVE_DOWN2,2,FALSE()),FALSE()),VLOOKUP(G343,NGPREVPRICES,3,FALSE()),HLOOKUP(D343,Correllate,VLOOKUP(G343,CorMove,2,FALSE()),FALSE()),Q343-$CD$3,R343,$CJ$5)*H343-CJ343</f>
        <v>#NAME?</v>
      </c>
      <c r="CF343" s="132" t="e">
        <f aca="false">(CJ343/VLOOKUP(CC343,discount,3,FALSE()))-(CJ343/VLOOKUP(CC343,discount,2,FALSE()))</f>
        <v>#NAME?</v>
      </c>
      <c r="CG343" s="253" t="e">
        <f aca="false">xSPRDOPT((VLOOKUP(G343,NGPREVPRICES,2,FALSE())+HLOOKUP(D343,PREVCURVES,VLOOKUP(G343,MOVE_DOWN2,2,FALSE()),FALSE())),VLOOKUP(G343,NGPREVPRICES,2,FALSE()),CK343,VLOOKUP(G343,NGPREVPRICES,4,FALSE()),HLOOKUP(D343,VOLS,VLOOKUP(G343,move_down,2,FALSE()),FALSE()),VLOOKUP(G343,NGPrices,3,FALSE()),HLOOKUP(D343,Correllate,VLOOKUP(G343,CorMove,2,FALSE()),FALSE()),Q343-$CD$3,R343,$CJ$5)*H343-CJ343</f>
        <v>#NAME?</v>
      </c>
      <c r="CH343" s="253" t="e">
        <f aca="false">xSPRDOPT((VLOOKUP(G343,NGPREVPRICES,2,FALSE())+HLOOKUP(D343,PREVCURVES,VLOOKUP(G343,MOVE_DOWN2,2,FALSE()),FALSE())),VLOOKUP(G343,NGPREVPRICES,2,FALSE()),CK343,VLOOKUP(G343,NGPREVPRICES,4,FALSE()),HLOOKUP(D343,PREVVOLS,VLOOKUP(G343,MOVE_DOWN2,2,FALSE()),FALSE()),VLOOKUP(G343,NGPREVPRICES,3,FALSE()),HLOOKUP(D343,Correllate,VLOOKUP(G343,CorMove,2,FALSE()),FALSE()),Q343-$C$3,R343,$CJ$5)*H343-CJ343</f>
        <v>#NAME?</v>
      </c>
      <c r="CI343" s="253" t="e">
        <f aca="false">SUM(CD343:CH343)</f>
        <v>#NAME?</v>
      </c>
      <c r="CJ343" s="253" t="e">
        <f aca="false">xSPRDOPT((VLOOKUP(G343,NGPREVPRICES,2,FALSE())+HLOOKUP(D343,PREVCURVES,VLOOKUP(G343,MOVE_DOWN2,2,FALSE()),FALSE())),VLOOKUP(G343,NGPREVPRICES,2,FALSE()),CK343,VLOOKUP(G343,NGPREVPRICES,4,FALSE()),HLOOKUP(D343,PREVVOLS,VLOOKUP(G343,MOVE_DOWN2,2,FALSE()),FALSE()),VLOOKUP(G343,NGPREVPRICES,3,FALSE()),HLOOKUP(D343,Correllate,VLOOKUP(G343,CorMove,2,FALSE()),FALSE()),Q343-$CD$3,R343,$CJ$5)*H343</f>
        <v>#NAME?</v>
      </c>
      <c r="CK343" s="254" t="n">
        <f aca="false">I343</f>
        <v>1.6</v>
      </c>
      <c r="CM343" s="0" t="str">
        <f aca="false">CONCATENATE(CC343,$CD$6)</f>
        <v>36923Curve Shift/Gamma</v>
      </c>
      <c r="CN343" s="0" t="str">
        <f aca="false">CONCATENATE($CC343,$CE$6)</f>
        <v>36923Rho</v>
      </c>
      <c r="CO343" s="0" t="str">
        <f aca="false">CONCATENATE($CC343,$CF$6)</f>
        <v>36923Drift</v>
      </c>
      <c r="CP343" s="0" t="str">
        <f aca="false">CONCATENATE($CC343,$CG$6)</f>
        <v>36923Vega</v>
      </c>
      <c r="CQ343" s="0" t="str">
        <f aca="false">CONCATENATE($CC343,$CH$6)</f>
        <v>36923Theta</v>
      </c>
    </row>
    <row r="344" customFormat="false" ht="12.75" hidden="false" customHeight="false" outlineLevel="0" collapsed="false">
      <c r="A344" s="265" t="s">
        <v>198</v>
      </c>
      <c r="B344" s="0" t="s">
        <v>192</v>
      </c>
      <c r="C344" s="0" t="s">
        <v>324</v>
      </c>
      <c r="D344" s="7" t="s">
        <v>149</v>
      </c>
      <c r="E344" s="0" t="s">
        <v>131</v>
      </c>
      <c r="F344" s="0" t="s">
        <v>136</v>
      </c>
      <c r="G344" s="92" t="n">
        <v>36892</v>
      </c>
      <c r="H344" s="248" t="n">
        <v>-500000</v>
      </c>
      <c r="I344" s="0" t="n">
        <v>1.6</v>
      </c>
      <c r="J344" s="124" t="n">
        <f aca="false">VLOOKUP(G344,NGPrices,2,FALSE())</f>
        <v>4.744</v>
      </c>
      <c r="K344" s="125" t="n">
        <f aca="false">HLOOKUP(D344,Prices,VLOOKUP(G344,move_down,2,FALSE()),FALSE())+VLOOKUP(G344,CHANGE,HLOOKUP(D344,CHANGE,2,FALSE()),FALSE())</f>
        <v>2.17</v>
      </c>
      <c r="L344" s="124" t="n">
        <f aca="false">K344+J344</f>
        <v>6.914</v>
      </c>
      <c r="M344" s="126" t="n">
        <f aca="false">VLOOKUP(G344,NGPrices,4,FALSE())</f>
        <v>0.068374831148491</v>
      </c>
      <c r="N344" s="7" t="n">
        <f aca="false">VLOOKUP(G344,NGPrices,3,FALSE())</f>
        <v>0.605</v>
      </c>
      <c r="O344" s="7" t="n">
        <f aca="false">HLOOKUP(D344,VOLS,VLOOKUP(G344,move_down,2,FALSE()),FALSE())</f>
        <v>0.696</v>
      </c>
      <c r="P344" s="249" t="n">
        <f aca="false">HLOOKUP(D344,Correllate,VLOOKUP(G344,CorMove,2,FALSE()),FALSE())</f>
        <v>0.83</v>
      </c>
      <c r="Q344" s="92" t="n">
        <f aca="false">WORKDAY(G344,-2)</f>
        <v>36888</v>
      </c>
      <c r="R344" s="7" t="n">
        <f aca="false">IF(F344="P",0,1)</f>
        <v>1</v>
      </c>
      <c r="S344" s="130" t="e">
        <f aca="false">xSPRDOPT($L344,$J344,$I344,$M344,$O344,$N344,$P344,$Q344-$C$3,$R344,0)</f>
        <v>#NAME?</v>
      </c>
      <c r="T344" s="250" t="e">
        <f aca="false">xSPRDOPT($L344,$J344,$I344,$M344,$O344,$N344,$P344,$Q344-$C$3,$R344,1)*H344</f>
        <v>#NAME?</v>
      </c>
      <c r="U344" s="43" t="e">
        <f aca="false">S344*H344</f>
        <v>#NAME?</v>
      </c>
      <c r="V344" s="250" t="e">
        <f aca="false">xSPRDOPT($L344,$J344,$I344,$M344,$O344,$N344,$P344,$Q344-$C$3,$R344,2)*H344</f>
        <v>#NAME?</v>
      </c>
      <c r="W344" s="250" t="e">
        <f aca="false">+V344+T344</f>
        <v>#NAME?</v>
      </c>
      <c r="X344" s="2" t="str">
        <f aca="false">CONCATENATE(G344,D344)</f>
        <v>36892IF-TRANSCO/Z6</v>
      </c>
      <c r="Y344" s="251" t="n">
        <f aca="false">H344/10000</f>
        <v>-50</v>
      </c>
      <c r="Z344" s="226" t="e">
        <f aca="false">T344/H344</f>
        <v>#NAME?</v>
      </c>
      <c r="AA344" s="226" t="e">
        <f aca="false">xSPRDOPT($L344,$J344,$I344,$M344,$O344,$N344,$P344,$Q344-$C$3,$R344,3)</f>
        <v>#NAME?</v>
      </c>
      <c r="AB344" s="226" t="e">
        <f aca="false">((xSPRDOPT($L344+AB$5,$J344,$I344,$M344,$O344,$N344,$P344,$Q344-$C$3,$R344,3)*$H344)/10000)/100</f>
        <v>#NAME?</v>
      </c>
      <c r="AC344" s="226" t="e">
        <f aca="false">((xSPRDOPT($L344+$AB$5,$J344,$I344,$M344,$O344,$N344,$P344,$Q344-$C$3,$R344,7)*$H344)/100)</f>
        <v>#NAME?</v>
      </c>
      <c r="AD344" s="226" t="e">
        <f aca="false">(xSPRDOPT($L344+$AB$5,$J344,$I344,$M344,$O344,$N344,$P344,$Q344-$C$3,$R344,9)/365)*$H344</f>
        <v>#NAME?</v>
      </c>
      <c r="AE344" s="0" t="e">
        <f aca="false">CD344</f>
        <v>#NAME?</v>
      </c>
      <c r="AF344" s="226" t="e">
        <f aca="false">((O344/N344)*AH344)+AG344</f>
        <v>#NAME?</v>
      </c>
      <c r="AG344" s="226" t="e">
        <f aca="false">((xSPRDOPT($L344,$J344,$I344,$M344,$O344,$N344,$P344,$Q344-$C$3,$R344,6)*$H344)/100)</f>
        <v>#NAME?</v>
      </c>
      <c r="AH344" s="226" t="e">
        <f aca="false">((xSPRDOPT($L344,$J344,$I344,$M344,$O344,$N344,$P344,$Q344-$C$3,$R344,5)*$H344)/100)</f>
        <v>#NAME?</v>
      </c>
      <c r="AI344" s="226" t="e">
        <f aca="false">(((xSPRDOPT($L344,$J344,$I344,$M344,$O344,$N344,$P344,$Q344-$C$3,$R344,4)*$H344)/10000)/100)-AB344</f>
        <v>#NAME?</v>
      </c>
      <c r="AJ344" s="226"/>
      <c r="AK344" s="226"/>
      <c r="AL344" s="226"/>
      <c r="AM344" s="252"/>
      <c r="CC344" s="182" t="n">
        <f aca="false">G344</f>
        <v>36892</v>
      </c>
      <c r="CD344" s="253" t="e">
        <f aca="false">xSPRDOPT((VLOOKUP(G344,NGPrices,2,FALSE())+HLOOKUP(D344,Prices,VLOOKUP(G344,move_down,2,FALSE()),FALSE())),VLOOKUP(G344,NGPrices,2,FALSE()),I344,VLOOKUP(G344,NGPREVPRICES,4,FALSE()),HLOOKUP(D344,PREVVOLS,VLOOKUP(G344,MOVE_DOWN2,2,FALSE()),FALSE()),VLOOKUP(G344,NGPREVPRICES,3,FALSE()),HLOOKUP(D344,Correllate,VLOOKUP(G344,CorMove,2,FALSE()),FALSE()),Q344-$CD$3,R344,$CD$5)*H344-CJ344</f>
        <v>#NAME?</v>
      </c>
      <c r="CE344" s="253" t="e">
        <f aca="false">xSPRDOPT((VLOOKUP(G344,NGPREVPRICES,2,FALSE())+HLOOKUP(D344,PREVCURVES,VLOOKUP(G344,MOVE_DOWN2,2,FALSE()),FALSE())),VLOOKUP(G344,NGPREVPRICES,2,FALSE()),CK344,VLOOKUP(G344,NGPrices,4,FALSE()),HLOOKUP(D344,PREVVOLS,VLOOKUP(G344,MOVE_DOWN2,2,FALSE()),FALSE()),VLOOKUP(G344,NGPREVPRICES,3,FALSE()),HLOOKUP(D344,Correllate,VLOOKUP(G344,CorMove,2,FALSE()),FALSE()),Q344-$CD$3,R344,$CJ$5)*H344-CJ344</f>
        <v>#NAME?</v>
      </c>
      <c r="CF344" s="132" t="e">
        <f aca="false">(CJ344/VLOOKUP(CC344,discount,3,FALSE()))-(CJ344/VLOOKUP(CC344,discount,2,FALSE()))</f>
        <v>#NAME?</v>
      </c>
      <c r="CG344" s="253" t="e">
        <f aca="false">xSPRDOPT((VLOOKUP(G344,NGPREVPRICES,2,FALSE())+HLOOKUP(D344,PREVCURVES,VLOOKUP(G344,MOVE_DOWN2,2,FALSE()),FALSE())),VLOOKUP(G344,NGPREVPRICES,2,FALSE()),CK344,VLOOKUP(G344,NGPREVPRICES,4,FALSE()),HLOOKUP(D344,VOLS,VLOOKUP(G344,move_down,2,FALSE()),FALSE()),VLOOKUP(G344,NGPrices,3,FALSE()),HLOOKUP(D344,Correllate,VLOOKUP(G344,CorMove,2,FALSE()),FALSE()),Q344-$CD$3,R344,$CJ$5)*H344-CJ344</f>
        <v>#NAME?</v>
      </c>
      <c r="CH344" s="253" t="e">
        <f aca="false">xSPRDOPT((VLOOKUP(G344,NGPREVPRICES,2,FALSE())+HLOOKUP(D344,PREVCURVES,VLOOKUP(G344,MOVE_DOWN2,2,FALSE()),FALSE())),VLOOKUP(G344,NGPREVPRICES,2,FALSE()),CK344,VLOOKUP(G344,NGPREVPRICES,4,FALSE()),HLOOKUP(D344,PREVVOLS,VLOOKUP(G344,MOVE_DOWN2,2,FALSE()),FALSE()),VLOOKUP(G344,NGPREVPRICES,3,FALSE()),HLOOKUP(D344,Correllate,VLOOKUP(G344,CorMove,2,FALSE()),FALSE()),Q344-$C$3,R344,$CJ$5)*H344-CJ344</f>
        <v>#NAME?</v>
      </c>
      <c r="CI344" s="253" t="e">
        <f aca="false">SUM(CD344:CH344)</f>
        <v>#NAME?</v>
      </c>
      <c r="CJ344" s="253" t="e">
        <f aca="false">xSPRDOPT((VLOOKUP(G344,NGPREVPRICES,2,FALSE())+HLOOKUP(D344,PREVCURVES,VLOOKUP(G344,MOVE_DOWN2,2,FALSE()),FALSE())),VLOOKUP(G344,NGPREVPRICES,2,FALSE()),CK344,VLOOKUP(G344,NGPREVPRICES,4,FALSE()),HLOOKUP(D344,PREVVOLS,VLOOKUP(G344,MOVE_DOWN2,2,FALSE()),FALSE()),VLOOKUP(G344,NGPREVPRICES,3,FALSE()),HLOOKUP(D344,Correllate,VLOOKUP(G344,CorMove,2,FALSE()),FALSE()),Q344-$CD$3,R344,$CJ$5)*H344</f>
        <v>#NAME?</v>
      </c>
      <c r="CK344" s="254" t="n">
        <f aca="false">I344</f>
        <v>1.6</v>
      </c>
      <c r="CM344" s="0" t="str">
        <f aca="false">CONCATENATE(CC344,$CD$6)</f>
        <v>36892Curve Shift/Gamma</v>
      </c>
      <c r="CN344" s="0" t="str">
        <f aca="false">CONCATENATE($CC344,$CE$6)</f>
        <v>36892Rho</v>
      </c>
      <c r="CO344" s="0" t="str">
        <f aca="false">CONCATENATE($CC344,$CF$6)</f>
        <v>36892Drift</v>
      </c>
      <c r="CP344" s="0" t="str">
        <f aca="false">CONCATENATE($CC344,$CG$6)</f>
        <v>36892Vega</v>
      </c>
      <c r="CQ344" s="0" t="str">
        <f aca="false">CONCATENATE($CC344,$CH$6)</f>
        <v>36892Theta</v>
      </c>
    </row>
    <row r="345" customFormat="false" ht="12.75" hidden="false" customHeight="false" outlineLevel="0" collapsed="false">
      <c r="A345" s="265" t="s">
        <v>198</v>
      </c>
      <c r="B345" s="0" t="s">
        <v>192</v>
      </c>
      <c r="C345" s="0" t="s">
        <v>324</v>
      </c>
      <c r="D345" s="7" t="s">
        <v>149</v>
      </c>
      <c r="E345" s="0" t="s">
        <v>131</v>
      </c>
      <c r="F345" s="0" t="s">
        <v>136</v>
      </c>
      <c r="G345" s="92" t="n">
        <v>36861</v>
      </c>
      <c r="H345" s="248" t="n">
        <v>-500000</v>
      </c>
      <c r="I345" s="0" t="n">
        <v>1.6</v>
      </c>
      <c r="J345" s="124" t="n">
        <f aca="false">VLOOKUP(G345,NGPrices,2,FALSE())</f>
        <v>4.8</v>
      </c>
      <c r="K345" s="125" t="n">
        <f aca="false">HLOOKUP(D345,Prices,VLOOKUP(G345,move_down,2,FALSE()),FALSE())+VLOOKUP(G345,CHANGE,HLOOKUP(D345,CHANGE,2,FALSE()),FALSE())</f>
        <v>1.645</v>
      </c>
      <c r="L345" s="124" t="n">
        <f aca="false">K345+J345</f>
        <v>6.445</v>
      </c>
      <c r="M345" s="126" t="n">
        <f aca="false">VLOOKUP(G345,NGPrices,4,FALSE())</f>
        <v>0.068314027999354</v>
      </c>
      <c r="N345" s="7" t="n">
        <f aca="false">VLOOKUP(G345,NGPrices,3,FALSE())</f>
        <v>0.6</v>
      </c>
      <c r="O345" s="7" t="n">
        <f aca="false">HLOOKUP(D345,VOLS,VLOOKUP(G345,move_down,2,FALSE()),FALSE())</f>
        <v>0.69</v>
      </c>
      <c r="P345" s="249" t="n">
        <f aca="false">HLOOKUP(D345,Correllate,VLOOKUP(G345,CorMove,2,FALSE()),FALSE())</f>
        <v>0.83</v>
      </c>
      <c r="Q345" s="92" t="n">
        <f aca="false">WORKDAY(G345,-2)</f>
        <v>36859</v>
      </c>
      <c r="R345" s="7" t="n">
        <f aca="false">IF(F345="P",0,1)</f>
        <v>1</v>
      </c>
      <c r="S345" s="130" t="e">
        <f aca="false">xSPRDOPT($L345,$J345,$I345,$M345,$O345,$N345,$P345,$Q345-$C$3,$R345,0)</f>
        <v>#NAME?</v>
      </c>
      <c r="T345" s="250" t="e">
        <f aca="false">xSPRDOPT($L345,$J345,$I345,$M345,$O345,$N345,$P345,$Q345-$C$3,$R345,1)*H345</f>
        <v>#NAME?</v>
      </c>
      <c r="U345" s="43" t="e">
        <f aca="false">S345*H345</f>
        <v>#NAME?</v>
      </c>
      <c r="V345" s="250" t="e">
        <f aca="false">xSPRDOPT($L345,$J345,$I345,$M345,$O345,$N345,$P345,$Q345-$C$3,$R345,2)*H345</f>
        <v>#NAME?</v>
      </c>
      <c r="W345" s="250" t="e">
        <f aca="false">+V345+T345</f>
        <v>#NAME?</v>
      </c>
      <c r="X345" s="2" t="str">
        <f aca="false">CONCATENATE(G345,D345)</f>
        <v>36861IF-TRANSCO/Z6</v>
      </c>
      <c r="Y345" s="251" t="n">
        <f aca="false">H345/10000</f>
        <v>-50</v>
      </c>
      <c r="Z345" s="226" t="e">
        <f aca="false">T345/H345</f>
        <v>#NAME?</v>
      </c>
      <c r="AA345" s="226" t="e">
        <f aca="false">xSPRDOPT($L345,$J345,$I345,$M345,$O345,$N345,$P345,$Q345-$C$3,$R345,3)</f>
        <v>#NAME?</v>
      </c>
      <c r="AB345" s="226" t="e">
        <f aca="false">((xSPRDOPT($L345+AB$5,$J345,$I345,$M345,$O345,$N345,$P345,$Q345-$C$3,$R345,3)*$H345)/10000)/100</f>
        <v>#NAME?</v>
      </c>
      <c r="AC345" s="226" t="e">
        <f aca="false">((xSPRDOPT($L345+$AB$5,$J345,$I345,$M345,$O345,$N345,$P345,$Q345-$C$3,$R345,7)*$H345)/100)</f>
        <v>#NAME?</v>
      </c>
      <c r="AD345" s="226" t="e">
        <f aca="false">(xSPRDOPT($L345+$AB$5,$J345,$I345,$M345,$O345,$N345,$P345,$Q345-$C$3,$R345,9)/365)*$H345</f>
        <v>#NAME?</v>
      </c>
      <c r="AE345" s="0" t="e">
        <f aca="false">CD345</f>
        <v>#NAME?</v>
      </c>
      <c r="AF345" s="226" t="e">
        <f aca="false">((O345/N345)*AH345)+AG345</f>
        <v>#NAME?</v>
      </c>
      <c r="AG345" s="226" t="e">
        <f aca="false">((xSPRDOPT($L345,$J345,$I345,$M345,$O345,$N345,$P345,$Q345-$C$3,$R345,6)*$H345)/100)</f>
        <v>#NAME?</v>
      </c>
      <c r="AH345" s="226" t="e">
        <f aca="false">((xSPRDOPT($L345,$J345,$I345,$M345,$O345,$N345,$P345,$Q345-$C$3,$R345,5)*$H345)/100)</f>
        <v>#NAME?</v>
      </c>
      <c r="AI345" s="226" t="e">
        <f aca="false">(((xSPRDOPT($L345,$J345,$I345,$M345,$O345,$N345,$P345,$Q345-$C$3,$R345,4)*$H345)/10000)/100)-AB345</f>
        <v>#NAME?</v>
      </c>
      <c r="AJ345" s="226"/>
      <c r="AK345" s="226"/>
      <c r="AL345" s="226"/>
      <c r="AM345" s="252"/>
      <c r="CC345" s="182" t="n">
        <f aca="false">G345</f>
        <v>36861</v>
      </c>
      <c r="CD345" s="253" t="e">
        <f aca="false">xSPRDOPT((VLOOKUP(G345,NGPrices,2,FALSE())+HLOOKUP(D345,Prices,VLOOKUP(G345,move_down,2,FALSE()),FALSE())),VLOOKUP(G345,NGPrices,2,FALSE()),I345,VLOOKUP(G345,NGPREVPRICES,4,FALSE()),HLOOKUP(D345,PREVVOLS,VLOOKUP(G345,MOVE_DOWN2,2,FALSE()),FALSE()),VLOOKUP(G345,NGPREVPRICES,3,FALSE()),HLOOKUP(D345,Correllate,VLOOKUP(G345,CorMove,2,FALSE()),FALSE()),Q345-$CD$3,R345,$CD$5)*H345-CJ345</f>
        <v>#NAME?</v>
      </c>
      <c r="CE345" s="253" t="e">
        <f aca="false">xSPRDOPT((VLOOKUP(G345,NGPREVPRICES,2,FALSE())+HLOOKUP(D345,PREVCURVES,VLOOKUP(G345,MOVE_DOWN2,2,FALSE()),FALSE())),VLOOKUP(G345,NGPREVPRICES,2,FALSE()),CK345,VLOOKUP(G345,NGPrices,4,FALSE()),HLOOKUP(D345,PREVVOLS,VLOOKUP(G345,MOVE_DOWN2,2,FALSE()),FALSE()),VLOOKUP(G345,NGPREVPRICES,3,FALSE()),HLOOKUP(D345,Correllate,VLOOKUP(G345,CorMove,2,FALSE()),FALSE()),Q345-$CD$3,R345,$CJ$5)*H345-CJ345</f>
        <v>#NAME?</v>
      </c>
      <c r="CF345" s="132" t="e">
        <f aca="false">(CJ345/VLOOKUP(CC345,discount,3,FALSE()))-(CJ345/VLOOKUP(CC345,discount,2,FALSE()))</f>
        <v>#NAME?</v>
      </c>
      <c r="CG345" s="253" t="e">
        <f aca="false">xSPRDOPT((VLOOKUP(G345,NGPREVPRICES,2,FALSE())+HLOOKUP(D345,PREVCURVES,VLOOKUP(G345,MOVE_DOWN2,2,FALSE()),FALSE())),VLOOKUP(G345,NGPREVPRICES,2,FALSE()),CK345,VLOOKUP(G345,NGPREVPRICES,4,FALSE()),HLOOKUP(D345,VOLS,VLOOKUP(G345,move_down,2,FALSE()),FALSE()),VLOOKUP(G345,NGPrices,3,FALSE()),HLOOKUP(D345,Correllate,VLOOKUP(G345,CorMove,2,FALSE()),FALSE()),Q345-$CD$3,R345,$CJ$5)*H345-CJ345</f>
        <v>#NAME?</v>
      </c>
      <c r="CH345" s="253" t="e">
        <f aca="false">xSPRDOPT((VLOOKUP(G345,NGPREVPRICES,2,FALSE())+HLOOKUP(D345,PREVCURVES,VLOOKUP(G345,MOVE_DOWN2,2,FALSE()),FALSE())),VLOOKUP(G345,NGPREVPRICES,2,FALSE()),CK345,VLOOKUP(G345,NGPREVPRICES,4,FALSE()),HLOOKUP(D345,PREVVOLS,VLOOKUP(G345,MOVE_DOWN2,2,FALSE()),FALSE()),VLOOKUP(G345,NGPREVPRICES,3,FALSE()),HLOOKUP(D345,Correllate,VLOOKUP(G345,CorMove,2,FALSE()),FALSE()),Q345-$C$3,R345,$CJ$5)*H345-CJ345</f>
        <v>#NAME?</v>
      </c>
      <c r="CI345" s="253" t="e">
        <f aca="false">SUM(CD345:CH345)</f>
        <v>#NAME?</v>
      </c>
      <c r="CJ345" s="253" t="e">
        <f aca="false">xSPRDOPT((VLOOKUP(G345,NGPREVPRICES,2,FALSE())+HLOOKUP(D345,PREVCURVES,VLOOKUP(G345,MOVE_DOWN2,2,FALSE()),FALSE())),VLOOKUP(G345,NGPREVPRICES,2,FALSE()),CK345,VLOOKUP(G345,NGPREVPRICES,4,FALSE()),HLOOKUP(D345,PREVVOLS,VLOOKUP(G345,MOVE_DOWN2,2,FALSE()),FALSE()),VLOOKUP(G345,NGPREVPRICES,3,FALSE()),HLOOKUP(D345,Correllate,VLOOKUP(G345,CorMove,2,FALSE()),FALSE()),Q345-$CD$3,R345,$CJ$5)*H345</f>
        <v>#NAME?</v>
      </c>
      <c r="CK345" s="254" t="n">
        <f aca="false">I345</f>
        <v>1.6</v>
      </c>
      <c r="CM345" s="0" t="str">
        <f aca="false">CONCATENATE(CC345,$CD$6)</f>
        <v>36861Curve Shift/Gamma</v>
      </c>
      <c r="CN345" s="0" t="str">
        <f aca="false">CONCATENATE($CC345,$CE$6)</f>
        <v>36861Rho</v>
      </c>
      <c r="CO345" s="0" t="str">
        <f aca="false">CONCATENATE($CC345,$CF$6)</f>
        <v>36861Drift</v>
      </c>
      <c r="CP345" s="0" t="str">
        <f aca="false">CONCATENATE($CC345,$CG$6)</f>
        <v>36861Vega</v>
      </c>
      <c r="CQ345" s="0" t="str">
        <f aca="false">CONCATENATE($CC345,$CH$6)</f>
        <v>36861Theta</v>
      </c>
    </row>
    <row r="346" customFormat="false" ht="12.75" hidden="false" customHeight="false" outlineLevel="0" collapsed="false">
      <c r="A346" s="265" t="s">
        <v>198</v>
      </c>
      <c r="B346" s="0" t="s">
        <v>192</v>
      </c>
      <c r="C346" s="0" t="s">
        <v>324</v>
      </c>
      <c r="D346" s="7" t="s">
        <v>149</v>
      </c>
      <c r="E346" s="0" t="s">
        <v>131</v>
      </c>
      <c r="F346" s="0" t="s">
        <v>136</v>
      </c>
      <c r="G346" s="92" t="n">
        <v>36831</v>
      </c>
      <c r="H346" s="248" t="n">
        <v>-500000</v>
      </c>
      <c r="I346" s="0" t="n">
        <v>1.6</v>
      </c>
      <c r="J346" s="124" t="n">
        <f aca="false">VLOOKUP(G346,NGPrices,2,FALSE())</f>
        <v>4.736</v>
      </c>
      <c r="K346" s="125" t="n">
        <f aca="false">HLOOKUP(D346,Prices,VLOOKUP(G346,move_down,2,FALSE()),FALSE())+VLOOKUP(G346,CHANGE,HLOOKUP(D346,CHANGE,2,FALSE()),FALSE())</f>
        <v>0.77</v>
      </c>
      <c r="L346" s="124" t="n">
        <f aca="false">K346+J346</f>
        <v>5.506</v>
      </c>
      <c r="M346" s="126" t="n">
        <f aca="false">VLOOKUP(G346,NGPrices,4,FALSE())</f>
        <v>0.06810675983792</v>
      </c>
      <c r="N346" s="7" t="n">
        <f aca="false">VLOOKUP(G346,NGPrices,3,FALSE())</f>
        <v>0.595</v>
      </c>
      <c r="O346" s="7" t="n">
        <f aca="false">HLOOKUP(D346,VOLS,VLOOKUP(G346,move_down,2,FALSE()),FALSE())</f>
        <v>0.625</v>
      </c>
      <c r="P346" s="249" t="n">
        <f aca="false">HLOOKUP(D346,Correllate,VLOOKUP(G346,CorMove,2,FALSE()),FALSE())</f>
        <v>0.89</v>
      </c>
      <c r="Q346" s="92" t="n">
        <f aca="false">WORKDAY(G346,-2)</f>
        <v>36829</v>
      </c>
      <c r="R346" s="7" t="n">
        <f aca="false">IF(F346="P",0,1)</f>
        <v>1</v>
      </c>
      <c r="S346" s="130" t="e">
        <f aca="false">xSPRDOPT($L346,$J346,$I346,$M346,$O346,$N346,$P346,$Q346-$C$3,$R346,0)</f>
        <v>#NAME?</v>
      </c>
      <c r="T346" s="250" t="e">
        <f aca="false">xSPRDOPT($L346,$J346,$I346,$M346,$O346,$N346,$P346,$Q346-$C$3,$R346,1)*H346</f>
        <v>#NAME?</v>
      </c>
      <c r="U346" s="43" t="e">
        <f aca="false">S346*H346</f>
        <v>#NAME?</v>
      </c>
      <c r="V346" s="250" t="e">
        <f aca="false">xSPRDOPT($L346,$J346,$I346,$M346,$O346,$N346,$P346,$Q346-$C$3,$R346,2)*H346</f>
        <v>#NAME?</v>
      </c>
      <c r="W346" s="250" t="e">
        <f aca="false">+V346+T346</f>
        <v>#NAME?</v>
      </c>
      <c r="X346" s="2" t="str">
        <f aca="false">CONCATENATE(G346,D346)</f>
        <v>36831IF-TRANSCO/Z6</v>
      </c>
      <c r="Y346" s="251" t="n">
        <f aca="false">H346/10000</f>
        <v>-50</v>
      </c>
      <c r="Z346" s="226" t="e">
        <f aca="false">T346/H346</f>
        <v>#NAME?</v>
      </c>
      <c r="AA346" s="226" t="e">
        <f aca="false">xSPRDOPT($L346,$J346,$I346,$M346,$O346,$N346,$P346,$Q346-$C$3,$R346,3)</f>
        <v>#NAME?</v>
      </c>
      <c r="AB346" s="226" t="e">
        <f aca="false">((xSPRDOPT($L346+AB$5,$J346,$I346,$M346,$O346,$N346,$P346,$Q346-$C$3,$R346,3)*$H346)/10000)/100</f>
        <v>#NAME?</v>
      </c>
      <c r="AC346" s="226" t="e">
        <f aca="false">((xSPRDOPT($L346+$AB$5,$J346,$I346,$M346,$O346,$N346,$P346,$Q346-$C$3,$R346,7)*$H346)/100)</f>
        <v>#NAME?</v>
      </c>
      <c r="AD346" s="226" t="e">
        <f aca="false">(xSPRDOPT($L346+$AB$5,$J346,$I346,$M346,$O346,$N346,$P346,$Q346-$C$3,$R346,9)/365)*$H346</f>
        <v>#NAME?</v>
      </c>
      <c r="AE346" s="0" t="e">
        <f aca="false">CD346</f>
        <v>#NAME?</v>
      </c>
      <c r="AF346" s="226" t="e">
        <f aca="false">((O346/N346)*AH346)+AG346</f>
        <v>#NAME?</v>
      </c>
      <c r="AG346" s="226" t="e">
        <f aca="false">((xSPRDOPT($L346,$J346,$I346,$M346,$O346,$N346,$P346,$Q346-$C$3,$R346,6)*$H346)/100)</f>
        <v>#NAME?</v>
      </c>
      <c r="AH346" s="226" t="e">
        <f aca="false">((xSPRDOPT($L346,$J346,$I346,$M346,$O346,$N346,$P346,$Q346-$C$3,$R346,5)*$H346)/100)</f>
        <v>#NAME?</v>
      </c>
      <c r="AI346" s="226" t="e">
        <f aca="false">(((xSPRDOPT($L346,$J346,$I346,$M346,$O346,$N346,$P346,$Q346-$C$3,$R346,4)*$H346)/10000)/100)-AB346</f>
        <v>#NAME?</v>
      </c>
      <c r="AJ346" s="226"/>
      <c r="AK346" s="226"/>
      <c r="AL346" s="226"/>
      <c r="AM346" s="252"/>
      <c r="CC346" s="182" t="n">
        <f aca="false">G346</f>
        <v>36831</v>
      </c>
      <c r="CD346" s="253" t="e">
        <f aca="false">xSPRDOPT((VLOOKUP(G346,NGPrices,2,FALSE())+HLOOKUP(D346,Prices,VLOOKUP(G346,move_down,2,FALSE()),FALSE())),VLOOKUP(G346,NGPrices,2,FALSE()),I346,VLOOKUP(G346,NGPREVPRICES,4,FALSE()),HLOOKUP(D346,PREVVOLS,VLOOKUP(G346,MOVE_DOWN2,2,FALSE()),FALSE()),VLOOKUP(G346,NGPREVPRICES,3,FALSE()),HLOOKUP(D346,Correllate,VLOOKUP(G346,CorMove,2,FALSE()),FALSE()),Q346-$CD$3,R346,$CD$5)*H346-CJ346</f>
        <v>#NAME?</v>
      </c>
      <c r="CE346" s="253" t="e">
        <f aca="false">xSPRDOPT((VLOOKUP(G346,NGPREVPRICES,2,FALSE())+HLOOKUP(D346,PREVCURVES,VLOOKUP(G346,MOVE_DOWN2,2,FALSE()),FALSE())),VLOOKUP(G346,NGPREVPRICES,2,FALSE()),CK346,VLOOKUP(G346,NGPrices,4,FALSE()),HLOOKUP(D346,PREVVOLS,VLOOKUP(G346,MOVE_DOWN2,2,FALSE()),FALSE()),VLOOKUP(G346,NGPREVPRICES,3,FALSE()),HLOOKUP(D346,Correllate,VLOOKUP(G346,CorMove,2,FALSE()),FALSE()),Q346-$CD$3,R346,$CJ$5)*H346-CJ346</f>
        <v>#NAME?</v>
      </c>
      <c r="CF346" s="132" t="e">
        <f aca="false">(CJ346/VLOOKUP(CC346,discount,3,FALSE()))-(CJ346/VLOOKUP(CC346,discount,2,FALSE()))</f>
        <v>#NAME?</v>
      </c>
      <c r="CG346" s="253" t="e">
        <f aca="false">xSPRDOPT((VLOOKUP(G346,NGPREVPRICES,2,FALSE())+HLOOKUP(D346,PREVCURVES,VLOOKUP(G346,MOVE_DOWN2,2,FALSE()),FALSE())),VLOOKUP(G346,NGPREVPRICES,2,FALSE()),CK346,VLOOKUP(G346,NGPREVPRICES,4,FALSE()),HLOOKUP(D346,VOLS,VLOOKUP(G346,move_down,2,FALSE()),FALSE()),VLOOKUP(G346,NGPrices,3,FALSE()),HLOOKUP(D346,Correllate,VLOOKUP(G346,CorMove,2,FALSE()),FALSE()),Q346-$CD$3,R346,$CJ$5)*H346-CJ346</f>
        <v>#NAME?</v>
      </c>
      <c r="CH346" s="253" t="e">
        <f aca="false">xSPRDOPT((VLOOKUP(G346,NGPREVPRICES,2,FALSE())+HLOOKUP(D346,PREVCURVES,VLOOKUP(G346,MOVE_DOWN2,2,FALSE()),FALSE())),VLOOKUP(G346,NGPREVPRICES,2,FALSE()),CK346,VLOOKUP(G346,NGPREVPRICES,4,FALSE()),HLOOKUP(D346,PREVVOLS,VLOOKUP(G346,MOVE_DOWN2,2,FALSE()),FALSE()),VLOOKUP(G346,NGPREVPRICES,3,FALSE()),HLOOKUP(D346,Correllate,VLOOKUP(G346,CorMove,2,FALSE()),FALSE()),Q346-$C$3,R346,$CJ$5)*H346-CJ346</f>
        <v>#NAME?</v>
      </c>
      <c r="CI346" s="253" t="e">
        <f aca="false">SUM(CD346:CH346)</f>
        <v>#NAME?</v>
      </c>
      <c r="CJ346" s="253" t="e">
        <f aca="false">xSPRDOPT((VLOOKUP(G346,NGPREVPRICES,2,FALSE())+HLOOKUP(D346,PREVCURVES,VLOOKUP(G346,MOVE_DOWN2,2,FALSE()),FALSE())),VLOOKUP(G346,NGPREVPRICES,2,FALSE()),CK346,VLOOKUP(G346,NGPREVPRICES,4,FALSE()),HLOOKUP(D346,PREVVOLS,VLOOKUP(G346,MOVE_DOWN2,2,FALSE()),FALSE()),VLOOKUP(G346,NGPREVPRICES,3,FALSE()),HLOOKUP(D346,Correllate,VLOOKUP(G346,CorMove,2,FALSE()),FALSE()),Q346-$CD$3,R346,$CJ$5)*H346</f>
        <v>#NAME?</v>
      </c>
      <c r="CK346" s="254" t="n">
        <f aca="false">I346</f>
        <v>1.6</v>
      </c>
      <c r="CM346" s="0" t="str">
        <f aca="false">CONCATENATE(CC346,$CD$6)</f>
        <v>36831Curve Shift/Gamma</v>
      </c>
      <c r="CN346" s="0" t="str">
        <f aca="false">CONCATENATE($CC346,$CE$6)</f>
        <v>36831Rho</v>
      </c>
      <c r="CO346" s="0" t="str">
        <f aca="false">CONCATENATE($CC346,$CF$6)</f>
        <v>36831Drift</v>
      </c>
      <c r="CP346" s="0" t="str">
        <f aca="false">CONCATENATE($CC346,$CG$6)</f>
        <v>36831Vega</v>
      </c>
      <c r="CQ346" s="0" t="str">
        <f aca="false">CONCATENATE($CC346,$CH$6)</f>
        <v>36831Theta</v>
      </c>
    </row>
    <row r="347" customFormat="false" ht="12.75" hidden="false" customHeight="false" outlineLevel="0" collapsed="false">
      <c r="A347" s="265" t="s">
        <v>198</v>
      </c>
      <c r="B347" s="0" t="s">
        <v>192</v>
      </c>
      <c r="C347" s="0" t="s">
        <v>325</v>
      </c>
      <c r="D347" s="7" t="s">
        <v>149</v>
      </c>
      <c r="E347" s="0" t="s">
        <v>131</v>
      </c>
      <c r="F347" s="0" t="s">
        <v>132</v>
      </c>
      <c r="G347" s="92" t="n">
        <v>36951</v>
      </c>
      <c r="H347" s="248" t="n">
        <v>-500000</v>
      </c>
      <c r="I347" s="0" t="n">
        <v>1.6</v>
      </c>
      <c r="J347" s="124" t="n">
        <f aca="false">VLOOKUP(G347,NGPrices,2,FALSE())</f>
        <v>4.213</v>
      </c>
      <c r="K347" s="125" t="n">
        <f aca="false">HLOOKUP(D347,Prices,VLOOKUP(G347,move_down,2,FALSE()),FALSE())+VLOOKUP(G347,CHANGE,HLOOKUP(D347,CHANGE,2,FALSE()),FALSE())</f>
        <v>1.075</v>
      </c>
      <c r="L347" s="124" t="n">
        <f aca="false">K347+J347</f>
        <v>5.288</v>
      </c>
      <c r="M347" s="126" t="n">
        <f aca="false">VLOOKUP(G347,NGPrices,4,FALSE())</f>
        <v>0.068879814952707</v>
      </c>
      <c r="N347" s="7" t="n">
        <f aca="false">VLOOKUP(G347,NGPrices,3,FALSE())</f>
        <v>0.5325</v>
      </c>
      <c r="O347" s="7" t="n">
        <f aca="false">HLOOKUP(D347,VOLS,VLOOKUP(G347,move_down,2,FALSE()),FALSE())</f>
        <v>0.612</v>
      </c>
      <c r="P347" s="249" t="n">
        <f aca="false">HLOOKUP(D347,Correllate,VLOOKUP(G347,CorMove,2,FALSE()),FALSE())</f>
        <v>0.83</v>
      </c>
      <c r="Q347" s="92" t="n">
        <f aca="false">WORKDAY(G347,-2)</f>
        <v>36949</v>
      </c>
      <c r="R347" s="7" t="n">
        <f aca="false">IF(F347="P",0,1)</f>
        <v>0</v>
      </c>
      <c r="S347" s="130" t="e">
        <f aca="false">xSPRDOPT($L347,$J347,$I347,$M347,$O347,$N347,$P347,$Q347-$C$3,$R347,0)</f>
        <v>#NAME?</v>
      </c>
      <c r="T347" s="250" t="e">
        <f aca="false">xSPRDOPT($L347,$J347,$I347,$M347,$O347,$N347,$P347,$Q347-$C$3,$R347,1)*H347</f>
        <v>#NAME?</v>
      </c>
      <c r="U347" s="43" t="e">
        <f aca="false">S347*H347</f>
        <v>#NAME?</v>
      </c>
      <c r="V347" s="250" t="e">
        <f aca="false">xSPRDOPT($L347,$J347,$I347,$M347,$O347,$N347,$P347,$Q347-$C$3,$R347,2)*H347</f>
        <v>#NAME?</v>
      </c>
      <c r="W347" s="250" t="e">
        <f aca="false">+V347+T347</f>
        <v>#NAME?</v>
      </c>
      <c r="X347" s="2" t="str">
        <f aca="false">CONCATENATE(G347,D347)</f>
        <v>36951IF-TRANSCO/Z6</v>
      </c>
      <c r="Y347" s="251" t="n">
        <f aca="false">H347/10000</f>
        <v>-50</v>
      </c>
      <c r="Z347" s="226" t="e">
        <f aca="false">T347/H347</f>
        <v>#NAME?</v>
      </c>
      <c r="AA347" s="226" t="e">
        <f aca="false">xSPRDOPT($L347,$J347,$I347,$M347,$O347,$N347,$P347,$Q347-$C$3,$R347,3)</f>
        <v>#NAME?</v>
      </c>
      <c r="AB347" s="226" t="e">
        <f aca="false">((xSPRDOPT($L347+AB$5,$J347,$I347,$M347,$O347,$N347,$P347,$Q347-$C$3,$R347,3)*$H347)/10000)/100</f>
        <v>#NAME?</v>
      </c>
      <c r="AC347" s="226" t="e">
        <f aca="false">((xSPRDOPT($L347+$AB$5,$J347,$I347,$M347,$O347,$N347,$P347,$Q347-$C$3,$R347,7)*$H347)/100)</f>
        <v>#NAME?</v>
      </c>
      <c r="AD347" s="226" t="e">
        <f aca="false">(xSPRDOPT($L347+$AB$5,$J347,$I347,$M347,$O347,$N347,$P347,$Q347-$C$3,$R347,9)/365)*$H347</f>
        <v>#NAME?</v>
      </c>
      <c r="AE347" s="0" t="e">
        <f aca="false">CD347</f>
        <v>#NAME?</v>
      </c>
      <c r="AF347" s="226" t="e">
        <f aca="false">((O347/N347)*AH347)+AG347</f>
        <v>#NAME?</v>
      </c>
      <c r="AG347" s="226" t="e">
        <f aca="false">((xSPRDOPT($L347,$J347,$I347,$M347,$O347,$N347,$P347,$Q347-$C$3,$R347,6)*$H347)/100)</f>
        <v>#NAME?</v>
      </c>
      <c r="AH347" s="226" t="e">
        <f aca="false">((xSPRDOPT($L347,$J347,$I347,$M347,$O347,$N347,$P347,$Q347-$C$3,$R347,5)*$H347)/100)</f>
        <v>#NAME?</v>
      </c>
      <c r="AI347" s="226" t="e">
        <f aca="false">(((xSPRDOPT($L347,$J347,$I347,$M347,$O347,$N347,$P347,$Q347-$C$3,$R347,4)*$H347)/10000)/100)-AB347</f>
        <v>#NAME?</v>
      </c>
      <c r="AJ347" s="226"/>
      <c r="AK347" s="226"/>
      <c r="AL347" s="226"/>
      <c r="AM347" s="252"/>
      <c r="CC347" s="182" t="n">
        <f aca="false">G347</f>
        <v>36951</v>
      </c>
      <c r="CD347" s="253" t="e">
        <f aca="false">xSPRDOPT((VLOOKUP(G347,NGPrices,2,FALSE())+HLOOKUP(D347,Prices,VLOOKUP(G347,move_down,2,FALSE()),FALSE())),VLOOKUP(G347,NGPrices,2,FALSE()),I347,VLOOKUP(G347,NGPREVPRICES,4,FALSE()),HLOOKUP(D347,PREVVOLS,VLOOKUP(G347,MOVE_DOWN2,2,FALSE()),FALSE()),VLOOKUP(G347,NGPREVPRICES,3,FALSE()),HLOOKUP(D347,Correllate,VLOOKUP(G347,CorMove,2,FALSE()),FALSE()),Q347-$CD$3,R347,$CD$5)*H347-CJ347</f>
        <v>#NAME?</v>
      </c>
      <c r="CE347" s="253" t="e">
        <f aca="false">xSPRDOPT((VLOOKUP(G347,NGPREVPRICES,2,FALSE())+HLOOKUP(D347,PREVCURVES,VLOOKUP(G347,MOVE_DOWN2,2,FALSE()),FALSE())),VLOOKUP(G347,NGPREVPRICES,2,FALSE()),CK347,VLOOKUP(G347,NGPrices,4,FALSE()),HLOOKUP(D347,PREVVOLS,VLOOKUP(G347,MOVE_DOWN2,2,FALSE()),FALSE()),VLOOKUP(G347,NGPREVPRICES,3,FALSE()),HLOOKUP(D347,Correllate,VLOOKUP(G347,CorMove,2,FALSE()),FALSE()),Q347-$CD$3,R347,$CJ$5)*H347-CJ347</f>
        <v>#NAME?</v>
      </c>
      <c r="CF347" s="132" t="e">
        <f aca="false">(CJ347/VLOOKUP(CC347,discount,3,FALSE()))-(CJ347/VLOOKUP(CC347,discount,2,FALSE()))</f>
        <v>#NAME?</v>
      </c>
      <c r="CG347" s="253" t="e">
        <f aca="false">xSPRDOPT((VLOOKUP(G347,NGPREVPRICES,2,FALSE())+HLOOKUP(D347,PREVCURVES,VLOOKUP(G347,MOVE_DOWN2,2,FALSE()),FALSE())),VLOOKUP(G347,NGPREVPRICES,2,FALSE()),CK347,VLOOKUP(G347,NGPREVPRICES,4,FALSE()),HLOOKUP(D347,VOLS,VLOOKUP(G347,move_down,2,FALSE()),FALSE()),VLOOKUP(G347,NGPrices,3,FALSE()),HLOOKUP(D347,Correllate,VLOOKUP(G347,CorMove,2,FALSE()),FALSE()),Q347-$CD$3,R347,$CJ$5)*H347-CJ347</f>
        <v>#NAME?</v>
      </c>
      <c r="CH347" s="253" t="e">
        <f aca="false">xSPRDOPT((VLOOKUP(G347,NGPREVPRICES,2,FALSE())+HLOOKUP(D347,PREVCURVES,VLOOKUP(G347,MOVE_DOWN2,2,FALSE()),FALSE())),VLOOKUP(G347,NGPREVPRICES,2,FALSE()),CK347,VLOOKUP(G347,NGPREVPRICES,4,FALSE()),HLOOKUP(D347,PREVVOLS,VLOOKUP(G347,MOVE_DOWN2,2,FALSE()),FALSE()),VLOOKUP(G347,NGPREVPRICES,3,FALSE()),HLOOKUP(D347,Correllate,VLOOKUP(G347,CorMove,2,FALSE()),FALSE()),Q347-$C$3,R347,$CJ$5)*H347-CJ347</f>
        <v>#NAME?</v>
      </c>
      <c r="CI347" s="253" t="e">
        <f aca="false">SUM(CD347:CH347)</f>
        <v>#NAME?</v>
      </c>
      <c r="CJ347" s="253" t="e">
        <f aca="false">xSPRDOPT((VLOOKUP(G347,NGPREVPRICES,2,FALSE())+HLOOKUP(D347,PREVCURVES,VLOOKUP(G347,MOVE_DOWN2,2,FALSE()),FALSE())),VLOOKUP(G347,NGPREVPRICES,2,FALSE()),CK347,VLOOKUP(G347,NGPREVPRICES,4,FALSE()),HLOOKUP(D347,PREVVOLS,VLOOKUP(G347,MOVE_DOWN2,2,FALSE()),FALSE()),VLOOKUP(G347,NGPREVPRICES,3,FALSE()),HLOOKUP(D347,Correllate,VLOOKUP(G347,CorMove,2,FALSE()),FALSE()),Q347-$CD$3,R347,$CJ$5)*H347</f>
        <v>#NAME?</v>
      </c>
      <c r="CK347" s="254" t="n">
        <f aca="false">I347</f>
        <v>1.6</v>
      </c>
      <c r="CM347" s="0" t="str">
        <f aca="false">CONCATENATE(CC347,$CD$6)</f>
        <v>36951Curve Shift/Gamma</v>
      </c>
      <c r="CN347" s="0" t="str">
        <f aca="false">CONCATENATE($CC347,$CE$6)</f>
        <v>36951Rho</v>
      </c>
      <c r="CO347" s="0" t="str">
        <f aca="false">CONCATENATE($CC347,$CF$6)</f>
        <v>36951Drift</v>
      </c>
      <c r="CP347" s="0" t="str">
        <f aca="false">CONCATENATE($CC347,$CG$6)</f>
        <v>36951Vega</v>
      </c>
      <c r="CQ347" s="0" t="str">
        <f aca="false">CONCATENATE($CC347,$CH$6)</f>
        <v>36951Theta</v>
      </c>
    </row>
    <row r="348" customFormat="false" ht="12.75" hidden="false" customHeight="false" outlineLevel="0" collapsed="false">
      <c r="A348" s="265" t="s">
        <v>198</v>
      </c>
      <c r="B348" s="0" t="s">
        <v>192</v>
      </c>
      <c r="C348" s="0" t="s">
        <v>325</v>
      </c>
      <c r="D348" s="7" t="s">
        <v>149</v>
      </c>
      <c r="E348" s="0" t="s">
        <v>131</v>
      </c>
      <c r="F348" s="0" t="s">
        <v>132</v>
      </c>
      <c r="G348" s="92" t="n">
        <v>36923</v>
      </c>
      <c r="H348" s="248" t="n">
        <v>-500000</v>
      </c>
      <c r="I348" s="0" t="n">
        <v>1.6</v>
      </c>
      <c r="J348" s="124" t="n">
        <f aca="false">VLOOKUP(G348,NGPrices,2,FALSE())</f>
        <v>4.48</v>
      </c>
      <c r="K348" s="125" t="n">
        <f aca="false">HLOOKUP(D348,Prices,VLOOKUP(G348,move_down,2,FALSE()),FALSE())+VLOOKUP(G348,CHANGE,HLOOKUP(D348,CHANGE,2,FALSE()),FALSE())</f>
        <v>2.09</v>
      </c>
      <c r="L348" s="124" t="n">
        <f aca="false">K348+J348</f>
        <v>6.57</v>
      </c>
      <c r="M348" s="126" t="n">
        <f aca="false">VLOOKUP(G348,NGPrices,4,FALSE())</f>
        <v>0.068640161611372</v>
      </c>
      <c r="N348" s="7" t="n">
        <f aca="false">VLOOKUP(G348,NGPrices,3,FALSE())</f>
        <v>0.5925</v>
      </c>
      <c r="O348" s="7" t="n">
        <f aca="false">HLOOKUP(D348,VOLS,VLOOKUP(G348,move_down,2,FALSE()),FALSE())</f>
        <v>0.681</v>
      </c>
      <c r="P348" s="249" t="n">
        <f aca="false">HLOOKUP(D348,Correllate,VLOOKUP(G348,CorMove,2,FALSE()),FALSE())</f>
        <v>0.83</v>
      </c>
      <c r="Q348" s="92" t="n">
        <f aca="false">WORKDAY(G348,-2)</f>
        <v>36921</v>
      </c>
      <c r="R348" s="7" t="n">
        <f aca="false">IF(F348="P",0,1)</f>
        <v>0</v>
      </c>
      <c r="S348" s="130" t="e">
        <f aca="false">xSPRDOPT($L348,$J348,$I348,$M348,$O348,$N348,$P348,$Q348-$C$3,$R348,0)</f>
        <v>#NAME?</v>
      </c>
      <c r="T348" s="250" t="e">
        <f aca="false">xSPRDOPT($L348,$J348,$I348,$M348,$O348,$N348,$P348,$Q348-$C$3,$R348,1)*H348</f>
        <v>#NAME?</v>
      </c>
      <c r="U348" s="43" t="e">
        <f aca="false">S348*H348</f>
        <v>#NAME?</v>
      </c>
      <c r="V348" s="250" t="e">
        <f aca="false">xSPRDOPT($L348,$J348,$I348,$M348,$O348,$N348,$P348,$Q348-$C$3,$R348,2)*H348</f>
        <v>#NAME?</v>
      </c>
      <c r="W348" s="250" t="e">
        <f aca="false">+V348+T348</f>
        <v>#NAME?</v>
      </c>
      <c r="X348" s="2" t="str">
        <f aca="false">CONCATENATE(G348,D348)</f>
        <v>36923IF-TRANSCO/Z6</v>
      </c>
      <c r="Y348" s="251" t="n">
        <f aca="false">H348/10000</f>
        <v>-50</v>
      </c>
      <c r="Z348" s="226" t="e">
        <f aca="false">T348/H348</f>
        <v>#NAME?</v>
      </c>
      <c r="AA348" s="226" t="e">
        <f aca="false">xSPRDOPT($L348,$J348,$I348,$M348,$O348,$N348,$P348,$Q348-$C$3,$R348,3)</f>
        <v>#NAME?</v>
      </c>
      <c r="AB348" s="226" t="e">
        <f aca="false">((xSPRDOPT($L348+AB$5,$J348,$I348,$M348,$O348,$N348,$P348,$Q348-$C$3,$R348,3)*$H348)/10000)/100</f>
        <v>#NAME?</v>
      </c>
      <c r="AC348" s="226" t="e">
        <f aca="false">((xSPRDOPT($L348+$AB$5,$J348,$I348,$M348,$O348,$N348,$P348,$Q348-$C$3,$R348,7)*$H348)/100)</f>
        <v>#NAME?</v>
      </c>
      <c r="AD348" s="226" t="e">
        <f aca="false">(xSPRDOPT($L348+$AB$5,$J348,$I348,$M348,$O348,$N348,$P348,$Q348-$C$3,$R348,9)/365)*$H348</f>
        <v>#NAME?</v>
      </c>
      <c r="AE348" s="0" t="e">
        <f aca="false">CD348</f>
        <v>#NAME?</v>
      </c>
      <c r="AF348" s="226" t="e">
        <f aca="false">((O348/N348)*AH348)+AG348</f>
        <v>#NAME?</v>
      </c>
      <c r="AG348" s="226" t="e">
        <f aca="false">((xSPRDOPT($L348,$J348,$I348,$M348,$O348,$N348,$P348,$Q348-$C$3,$R348,6)*$H348)/100)</f>
        <v>#NAME?</v>
      </c>
      <c r="AH348" s="226" t="e">
        <f aca="false">((xSPRDOPT($L348,$J348,$I348,$M348,$O348,$N348,$P348,$Q348-$C$3,$R348,5)*$H348)/100)</f>
        <v>#NAME?</v>
      </c>
      <c r="AI348" s="226" t="e">
        <f aca="false">(((xSPRDOPT($L348,$J348,$I348,$M348,$O348,$N348,$P348,$Q348-$C$3,$R348,4)*$H348)/10000)/100)-AB348</f>
        <v>#NAME?</v>
      </c>
      <c r="AJ348" s="226"/>
      <c r="AK348" s="226"/>
      <c r="AL348" s="226"/>
      <c r="AM348" s="252"/>
      <c r="CC348" s="182" t="n">
        <f aca="false">G348</f>
        <v>36923</v>
      </c>
      <c r="CD348" s="253" t="e">
        <f aca="false">xSPRDOPT((VLOOKUP(G348,NGPrices,2,FALSE())+HLOOKUP(D348,Prices,VLOOKUP(G348,move_down,2,FALSE()),FALSE())),VLOOKUP(G348,NGPrices,2,FALSE()),I348,VLOOKUP(G348,NGPREVPRICES,4,FALSE()),HLOOKUP(D348,PREVVOLS,VLOOKUP(G348,MOVE_DOWN2,2,FALSE()),FALSE()),VLOOKUP(G348,NGPREVPRICES,3,FALSE()),HLOOKUP(D348,Correllate,VLOOKUP(G348,CorMove,2,FALSE()),FALSE()),Q348-$CD$3,R348,$CD$5)*H348-CJ348</f>
        <v>#NAME?</v>
      </c>
      <c r="CE348" s="253" t="e">
        <f aca="false">xSPRDOPT((VLOOKUP(G348,NGPREVPRICES,2,FALSE())+HLOOKUP(D348,PREVCURVES,VLOOKUP(G348,MOVE_DOWN2,2,FALSE()),FALSE())),VLOOKUP(G348,NGPREVPRICES,2,FALSE()),CK348,VLOOKUP(G348,NGPrices,4,FALSE()),HLOOKUP(D348,PREVVOLS,VLOOKUP(G348,MOVE_DOWN2,2,FALSE()),FALSE()),VLOOKUP(G348,NGPREVPRICES,3,FALSE()),HLOOKUP(D348,Correllate,VLOOKUP(G348,CorMove,2,FALSE()),FALSE()),Q348-$CD$3,R348,$CJ$5)*H348-CJ348</f>
        <v>#NAME?</v>
      </c>
      <c r="CF348" s="132" t="e">
        <f aca="false">(CJ348/VLOOKUP(CC348,discount,3,FALSE()))-(CJ348/VLOOKUP(CC348,discount,2,FALSE()))</f>
        <v>#NAME?</v>
      </c>
      <c r="CG348" s="253" t="e">
        <f aca="false">xSPRDOPT((VLOOKUP(G348,NGPREVPRICES,2,FALSE())+HLOOKUP(D348,PREVCURVES,VLOOKUP(G348,MOVE_DOWN2,2,FALSE()),FALSE())),VLOOKUP(G348,NGPREVPRICES,2,FALSE()),CK348,VLOOKUP(G348,NGPREVPRICES,4,FALSE()),HLOOKUP(D348,VOLS,VLOOKUP(G348,move_down,2,FALSE()),FALSE()),VLOOKUP(G348,NGPrices,3,FALSE()),HLOOKUP(D348,Correllate,VLOOKUP(G348,CorMove,2,FALSE()),FALSE()),Q348-$CD$3,R348,$CJ$5)*H348-CJ348</f>
        <v>#NAME?</v>
      </c>
      <c r="CH348" s="253" t="e">
        <f aca="false">xSPRDOPT((VLOOKUP(G348,NGPREVPRICES,2,FALSE())+HLOOKUP(D348,PREVCURVES,VLOOKUP(G348,MOVE_DOWN2,2,FALSE()),FALSE())),VLOOKUP(G348,NGPREVPRICES,2,FALSE()),CK348,VLOOKUP(G348,NGPREVPRICES,4,FALSE()),HLOOKUP(D348,PREVVOLS,VLOOKUP(G348,MOVE_DOWN2,2,FALSE()),FALSE()),VLOOKUP(G348,NGPREVPRICES,3,FALSE()),HLOOKUP(D348,Correllate,VLOOKUP(G348,CorMove,2,FALSE()),FALSE()),Q348-$C$3,R348,$CJ$5)*H348-CJ348</f>
        <v>#NAME?</v>
      </c>
      <c r="CI348" s="253" t="e">
        <f aca="false">SUM(CD348:CH348)</f>
        <v>#NAME?</v>
      </c>
      <c r="CJ348" s="253" t="e">
        <f aca="false">xSPRDOPT((VLOOKUP(G348,NGPREVPRICES,2,FALSE())+HLOOKUP(D348,PREVCURVES,VLOOKUP(G348,MOVE_DOWN2,2,FALSE()),FALSE())),VLOOKUP(G348,NGPREVPRICES,2,FALSE()),CK348,VLOOKUP(G348,NGPREVPRICES,4,FALSE()),HLOOKUP(D348,PREVVOLS,VLOOKUP(G348,MOVE_DOWN2,2,FALSE()),FALSE()),VLOOKUP(G348,NGPREVPRICES,3,FALSE()),HLOOKUP(D348,Correllate,VLOOKUP(G348,CorMove,2,FALSE()),FALSE()),Q348-$CD$3,R348,$CJ$5)*H348</f>
        <v>#NAME?</v>
      </c>
      <c r="CK348" s="254" t="n">
        <f aca="false">I348</f>
        <v>1.6</v>
      </c>
      <c r="CM348" s="0" t="str">
        <f aca="false">CONCATENATE(CC348,$CD$6)</f>
        <v>36923Curve Shift/Gamma</v>
      </c>
      <c r="CN348" s="0" t="str">
        <f aca="false">CONCATENATE($CC348,$CE$6)</f>
        <v>36923Rho</v>
      </c>
      <c r="CO348" s="0" t="str">
        <f aca="false">CONCATENATE($CC348,$CF$6)</f>
        <v>36923Drift</v>
      </c>
      <c r="CP348" s="0" t="str">
        <f aca="false">CONCATENATE($CC348,$CG$6)</f>
        <v>36923Vega</v>
      </c>
      <c r="CQ348" s="0" t="str">
        <f aca="false">CONCATENATE($CC348,$CH$6)</f>
        <v>36923Theta</v>
      </c>
    </row>
    <row r="349" customFormat="false" ht="12.75" hidden="false" customHeight="false" outlineLevel="0" collapsed="false">
      <c r="A349" s="265" t="s">
        <v>198</v>
      </c>
      <c r="B349" s="0" t="s">
        <v>192</v>
      </c>
      <c r="C349" s="0" t="s">
        <v>325</v>
      </c>
      <c r="D349" s="7" t="s">
        <v>149</v>
      </c>
      <c r="E349" s="0" t="s">
        <v>131</v>
      </c>
      <c r="F349" s="0" t="s">
        <v>132</v>
      </c>
      <c r="G349" s="92" t="n">
        <v>36892</v>
      </c>
      <c r="H349" s="248" t="n">
        <v>-500000</v>
      </c>
      <c r="I349" s="0" t="n">
        <v>1.6</v>
      </c>
      <c r="J349" s="124" t="n">
        <f aca="false">VLOOKUP(G349,NGPrices,2,FALSE())</f>
        <v>4.744</v>
      </c>
      <c r="K349" s="125" t="n">
        <f aca="false">HLOOKUP(D349,Prices,VLOOKUP(G349,move_down,2,FALSE()),FALSE())+VLOOKUP(G349,CHANGE,HLOOKUP(D349,CHANGE,2,FALSE()),FALSE())</f>
        <v>2.17</v>
      </c>
      <c r="L349" s="124" t="n">
        <f aca="false">K349+J349</f>
        <v>6.914</v>
      </c>
      <c r="M349" s="126" t="n">
        <f aca="false">VLOOKUP(G349,NGPrices,4,FALSE())</f>
        <v>0.068374831148491</v>
      </c>
      <c r="N349" s="7" t="n">
        <f aca="false">VLOOKUP(G349,NGPrices,3,FALSE())</f>
        <v>0.605</v>
      </c>
      <c r="O349" s="7" t="n">
        <f aca="false">HLOOKUP(D349,VOLS,VLOOKUP(G349,move_down,2,FALSE()),FALSE())</f>
        <v>0.696</v>
      </c>
      <c r="P349" s="249" t="n">
        <f aca="false">HLOOKUP(D349,Correllate,VLOOKUP(G349,CorMove,2,FALSE()),FALSE())</f>
        <v>0.83</v>
      </c>
      <c r="Q349" s="92" t="n">
        <f aca="false">WORKDAY(G349,-2)</f>
        <v>36888</v>
      </c>
      <c r="R349" s="7" t="n">
        <f aca="false">IF(F349="P",0,1)</f>
        <v>0</v>
      </c>
      <c r="S349" s="130" t="e">
        <f aca="false">xSPRDOPT($L349,$J349,$I349,$M349,$O349,$N349,$P349,$Q349-$C$3,$R349,0)</f>
        <v>#NAME?</v>
      </c>
      <c r="T349" s="250" t="e">
        <f aca="false">xSPRDOPT($L349,$J349,$I349,$M349,$O349,$N349,$P349,$Q349-$C$3,$R349,1)*H349</f>
        <v>#NAME?</v>
      </c>
      <c r="U349" s="43" t="e">
        <f aca="false">S349*H349</f>
        <v>#NAME?</v>
      </c>
      <c r="V349" s="250" t="e">
        <f aca="false">xSPRDOPT($L349,$J349,$I349,$M349,$O349,$N349,$P349,$Q349-$C$3,$R349,2)*H349</f>
        <v>#NAME?</v>
      </c>
      <c r="W349" s="250" t="e">
        <f aca="false">+V349+T349</f>
        <v>#NAME?</v>
      </c>
      <c r="X349" s="2" t="str">
        <f aca="false">CONCATENATE(G349,D349)</f>
        <v>36892IF-TRANSCO/Z6</v>
      </c>
      <c r="Y349" s="251" t="n">
        <f aca="false">H349/10000</f>
        <v>-50</v>
      </c>
      <c r="Z349" s="226" t="e">
        <f aca="false">T349/H349</f>
        <v>#NAME?</v>
      </c>
      <c r="AA349" s="226" t="e">
        <f aca="false">xSPRDOPT($L349,$J349,$I349,$M349,$O349,$N349,$P349,$Q349-$C$3,$R349,3)</f>
        <v>#NAME?</v>
      </c>
      <c r="AB349" s="226" t="e">
        <f aca="false">((xSPRDOPT($L349+AB$5,$J349,$I349,$M349,$O349,$N349,$P349,$Q349-$C$3,$R349,3)*$H349)/10000)/100</f>
        <v>#NAME?</v>
      </c>
      <c r="AC349" s="226" t="e">
        <f aca="false">((xSPRDOPT($L349+$AB$5,$J349,$I349,$M349,$O349,$N349,$P349,$Q349-$C$3,$R349,7)*$H349)/100)</f>
        <v>#NAME?</v>
      </c>
      <c r="AD349" s="226" t="e">
        <f aca="false">(xSPRDOPT($L349+$AB$5,$J349,$I349,$M349,$O349,$N349,$P349,$Q349-$C$3,$R349,9)/365)*$H349</f>
        <v>#NAME?</v>
      </c>
      <c r="AE349" s="0" t="e">
        <f aca="false">CD349</f>
        <v>#NAME?</v>
      </c>
      <c r="AF349" s="226" t="e">
        <f aca="false">((O349/N349)*AH349)+AG349</f>
        <v>#NAME?</v>
      </c>
      <c r="AG349" s="226" t="e">
        <f aca="false">((xSPRDOPT($L349,$J349,$I349,$M349,$O349,$N349,$P349,$Q349-$C$3,$R349,6)*$H349)/100)</f>
        <v>#NAME?</v>
      </c>
      <c r="AH349" s="226" t="e">
        <f aca="false">((xSPRDOPT($L349,$J349,$I349,$M349,$O349,$N349,$P349,$Q349-$C$3,$R349,5)*$H349)/100)</f>
        <v>#NAME?</v>
      </c>
      <c r="AI349" s="226" t="e">
        <f aca="false">(((xSPRDOPT($L349,$J349,$I349,$M349,$O349,$N349,$P349,$Q349-$C$3,$R349,4)*$H349)/10000)/100)-AB349</f>
        <v>#NAME?</v>
      </c>
      <c r="AJ349" s="226"/>
      <c r="AK349" s="226"/>
      <c r="AL349" s="226"/>
      <c r="AM349" s="252"/>
      <c r="CC349" s="182" t="n">
        <f aca="false">G349</f>
        <v>36892</v>
      </c>
      <c r="CD349" s="253" t="e">
        <f aca="false">xSPRDOPT((VLOOKUP(G349,NGPrices,2,FALSE())+HLOOKUP(D349,Prices,VLOOKUP(G349,move_down,2,FALSE()),FALSE())),VLOOKUP(G349,NGPrices,2,FALSE()),I349,VLOOKUP(G349,NGPREVPRICES,4,FALSE()),HLOOKUP(D349,PREVVOLS,VLOOKUP(G349,MOVE_DOWN2,2,FALSE()),FALSE()),VLOOKUP(G349,NGPREVPRICES,3,FALSE()),HLOOKUP(D349,Correllate,VLOOKUP(G349,CorMove,2,FALSE()),FALSE()),Q349-$CD$3,R349,$CD$5)*H349-CJ349</f>
        <v>#NAME?</v>
      </c>
      <c r="CE349" s="253" t="e">
        <f aca="false">xSPRDOPT((VLOOKUP(G349,NGPREVPRICES,2,FALSE())+HLOOKUP(D349,PREVCURVES,VLOOKUP(G349,MOVE_DOWN2,2,FALSE()),FALSE())),VLOOKUP(G349,NGPREVPRICES,2,FALSE()),CK349,VLOOKUP(G349,NGPrices,4,FALSE()),HLOOKUP(D349,PREVVOLS,VLOOKUP(G349,MOVE_DOWN2,2,FALSE()),FALSE()),VLOOKUP(G349,NGPREVPRICES,3,FALSE()),HLOOKUP(D349,Correllate,VLOOKUP(G349,CorMove,2,FALSE()),FALSE()),Q349-$CD$3,R349,$CJ$5)*H349-CJ349</f>
        <v>#NAME?</v>
      </c>
      <c r="CF349" s="132" t="e">
        <f aca="false">(CJ349/VLOOKUP(CC349,discount,3,FALSE()))-(CJ349/VLOOKUP(CC349,discount,2,FALSE()))</f>
        <v>#NAME?</v>
      </c>
      <c r="CG349" s="253" t="e">
        <f aca="false">xSPRDOPT((VLOOKUP(G349,NGPREVPRICES,2,FALSE())+HLOOKUP(D349,PREVCURVES,VLOOKUP(G349,MOVE_DOWN2,2,FALSE()),FALSE())),VLOOKUP(G349,NGPREVPRICES,2,FALSE()),CK349,VLOOKUP(G349,NGPREVPRICES,4,FALSE()),HLOOKUP(D349,VOLS,VLOOKUP(G349,move_down,2,FALSE()),FALSE()),VLOOKUP(G349,NGPrices,3,FALSE()),HLOOKUP(D349,Correllate,VLOOKUP(G349,CorMove,2,FALSE()),FALSE()),Q349-$CD$3,R349,$CJ$5)*H349-CJ349</f>
        <v>#NAME?</v>
      </c>
      <c r="CH349" s="253" t="e">
        <f aca="false">xSPRDOPT((VLOOKUP(G349,NGPREVPRICES,2,FALSE())+HLOOKUP(D349,PREVCURVES,VLOOKUP(G349,MOVE_DOWN2,2,FALSE()),FALSE())),VLOOKUP(G349,NGPREVPRICES,2,FALSE()),CK349,VLOOKUP(G349,NGPREVPRICES,4,FALSE()),HLOOKUP(D349,PREVVOLS,VLOOKUP(G349,MOVE_DOWN2,2,FALSE()),FALSE()),VLOOKUP(G349,NGPREVPRICES,3,FALSE()),HLOOKUP(D349,Correllate,VLOOKUP(G349,CorMove,2,FALSE()),FALSE()),Q349-$C$3,R349,$CJ$5)*H349-CJ349</f>
        <v>#NAME?</v>
      </c>
      <c r="CI349" s="253" t="e">
        <f aca="false">SUM(CD349:CH349)</f>
        <v>#NAME?</v>
      </c>
      <c r="CJ349" s="253" t="e">
        <f aca="false">xSPRDOPT((VLOOKUP(G349,NGPREVPRICES,2,FALSE())+HLOOKUP(D349,PREVCURVES,VLOOKUP(G349,MOVE_DOWN2,2,FALSE()),FALSE())),VLOOKUP(G349,NGPREVPRICES,2,FALSE()),CK349,VLOOKUP(G349,NGPREVPRICES,4,FALSE()),HLOOKUP(D349,PREVVOLS,VLOOKUP(G349,MOVE_DOWN2,2,FALSE()),FALSE()),VLOOKUP(G349,NGPREVPRICES,3,FALSE()),HLOOKUP(D349,Correllate,VLOOKUP(G349,CorMove,2,FALSE()),FALSE()),Q349-$CD$3,R349,$CJ$5)*H349</f>
        <v>#NAME?</v>
      </c>
      <c r="CK349" s="254" t="n">
        <f aca="false">I349</f>
        <v>1.6</v>
      </c>
      <c r="CM349" s="0" t="str">
        <f aca="false">CONCATENATE(CC349,$CD$6)</f>
        <v>36892Curve Shift/Gamma</v>
      </c>
      <c r="CN349" s="0" t="str">
        <f aca="false">CONCATENATE($CC349,$CE$6)</f>
        <v>36892Rho</v>
      </c>
      <c r="CO349" s="0" t="str">
        <f aca="false">CONCATENATE($CC349,$CF$6)</f>
        <v>36892Drift</v>
      </c>
      <c r="CP349" s="0" t="str">
        <f aca="false">CONCATENATE($CC349,$CG$6)</f>
        <v>36892Vega</v>
      </c>
      <c r="CQ349" s="0" t="str">
        <f aca="false">CONCATENATE($CC349,$CH$6)</f>
        <v>36892Theta</v>
      </c>
    </row>
    <row r="350" customFormat="false" ht="12.75" hidden="false" customHeight="false" outlineLevel="0" collapsed="false">
      <c r="A350" s="265" t="s">
        <v>198</v>
      </c>
      <c r="B350" s="0" t="s">
        <v>192</v>
      </c>
      <c r="C350" s="0" t="s">
        <v>325</v>
      </c>
      <c r="D350" s="7" t="s">
        <v>149</v>
      </c>
      <c r="E350" s="0" t="s">
        <v>131</v>
      </c>
      <c r="F350" s="0" t="s">
        <v>132</v>
      </c>
      <c r="G350" s="92" t="n">
        <v>36861</v>
      </c>
      <c r="H350" s="248" t="n">
        <v>-500000</v>
      </c>
      <c r="I350" s="0" t="n">
        <v>1.6</v>
      </c>
      <c r="J350" s="124" t="n">
        <f aca="false">VLOOKUP(G350,NGPrices,2,FALSE())</f>
        <v>4.8</v>
      </c>
      <c r="K350" s="125" t="n">
        <f aca="false">HLOOKUP(D350,Prices,VLOOKUP(G350,move_down,2,FALSE()),FALSE())+VLOOKUP(G350,CHANGE,HLOOKUP(D350,CHANGE,2,FALSE()),FALSE())</f>
        <v>1.645</v>
      </c>
      <c r="L350" s="124" t="n">
        <f aca="false">K350+J350</f>
        <v>6.445</v>
      </c>
      <c r="M350" s="126" t="n">
        <f aca="false">VLOOKUP(G350,NGPrices,4,FALSE())</f>
        <v>0.068314027999354</v>
      </c>
      <c r="N350" s="7" t="n">
        <f aca="false">VLOOKUP(G350,NGPrices,3,FALSE())</f>
        <v>0.6</v>
      </c>
      <c r="O350" s="7" t="n">
        <f aca="false">HLOOKUP(D350,VOLS,VLOOKUP(G350,move_down,2,FALSE()),FALSE())</f>
        <v>0.69</v>
      </c>
      <c r="P350" s="249" t="n">
        <f aca="false">HLOOKUP(D350,Correllate,VLOOKUP(G350,CorMove,2,FALSE()),FALSE())</f>
        <v>0.83</v>
      </c>
      <c r="Q350" s="92" t="n">
        <f aca="false">WORKDAY(G350,-2)</f>
        <v>36859</v>
      </c>
      <c r="R350" s="7" t="n">
        <f aca="false">IF(F350="P",0,1)</f>
        <v>0</v>
      </c>
      <c r="S350" s="130" t="e">
        <f aca="false">xSPRDOPT($L350,$J350,$I350,$M350,$O350,$N350,$P350,$Q350-$C$3,$R350,0)</f>
        <v>#NAME?</v>
      </c>
      <c r="T350" s="250" t="e">
        <f aca="false">xSPRDOPT($L350,$J350,$I350,$M350,$O350,$N350,$P350,$Q350-$C$3,$R350,1)*H350</f>
        <v>#NAME?</v>
      </c>
      <c r="U350" s="43" t="e">
        <f aca="false">S350*H350</f>
        <v>#NAME?</v>
      </c>
      <c r="V350" s="250" t="e">
        <f aca="false">xSPRDOPT($L350,$J350,$I350,$M350,$O350,$N350,$P350,$Q350-$C$3,$R350,2)*H350</f>
        <v>#NAME?</v>
      </c>
      <c r="W350" s="250" t="e">
        <f aca="false">+V350+T350</f>
        <v>#NAME?</v>
      </c>
      <c r="X350" s="2" t="str">
        <f aca="false">CONCATENATE(G350,D350)</f>
        <v>36861IF-TRANSCO/Z6</v>
      </c>
      <c r="Y350" s="251" t="n">
        <f aca="false">H350/10000</f>
        <v>-50</v>
      </c>
      <c r="Z350" s="226" t="e">
        <f aca="false">T350/H350</f>
        <v>#NAME?</v>
      </c>
      <c r="AA350" s="226" t="e">
        <f aca="false">xSPRDOPT($L350,$J350,$I350,$M350,$O350,$N350,$P350,$Q350-$C$3,$R350,3)</f>
        <v>#NAME?</v>
      </c>
      <c r="AB350" s="226" t="e">
        <f aca="false">((xSPRDOPT($L350+AB$5,$J350,$I350,$M350,$O350,$N350,$P350,$Q350-$C$3,$R350,3)*$H350)/10000)/100</f>
        <v>#NAME?</v>
      </c>
      <c r="AC350" s="226" t="e">
        <f aca="false">((xSPRDOPT($L350+$AB$5,$J350,$I350,$M350,$O350,$N350,$P350,$Q350-$C$3,$R350,7)*$H350)/100)</f>
        <v>#NAME?</v>
      </c>
      <c r="AD350" s="226" t="e">
        <f aca="false">(xSPRDOPT($L350+$AB$5,$J350,$I350,$M350,$O350,$N350,$P350,$Q350-$C$3,$R350,9)/365)*$H350</f>
        <v>#NAME?</v>
      </c>
      <c r="AE350" s="0" t="e">
        <f aca="false">CD350</f>
        <v>#NAME?</v>
      </c>
      <c r="AF350" s="226" t="e">
        <f aca="false">((O350/N350)*AH350)+AG350</f>
        <v>#NAME?</v>
      </c>
      <c r="AG350" s="226" t="e">
        <f aca="false">((xSPRDOPT($L350,$J350,$I350,$M350,$O350,$N350,$P350,$Q350-$C$3,$R350,6)*$H350)/100)</f>
        <v>#NAME?</v>
      </c>
      <c r="AH350" s="226" t="e">
        <f aca="false">((xSPRDOPT($L350,$J350,$I350,$M350,$O350,$N350,$P350,$Q350-$C$3,$R350,5)*$H350)/100)</f>
        <v>#NAME?</v>
      </c>
      <c r="AI350" s="226" t="e">
        <f aca="false">(((xSPRDOPT($L350,$J350,$I350,$M350,$O350,$N350,$P350,$Q350-$C$3,$R350,4)*$H350)/10000)/100)-AB350</f>
        <v>#NAME?</v>
      </c>
      <c r="AJ350" s="226"/>
      <c r="AK350" s="226"/>
      <c r="AL350" s="226"/>
      <c r="AM350" s="252"/>
      <c r="CC350" s="182" t="n">
        <f aca="false">G350</f>
        <v>36861</v>
      </c>
      <c r="CD350" s="253" t="e">
        <f aca="false">xSPRDOPT((VLOOKUP(G350,NGPrices,2,FALSE())+HLOOKUP(D350,Prices,VLOOKUP(G350,move_down,2,FALSE()),FALSE())),VLOOKUP(G350,NGPrices,2,FALSE()),I350,VLOOKUP(G350,NGPREVPRICES,4,FALSE()),HLOOKUP(D350,PREVVOLS,VLOOKUP(G350,MOVE_DOWN2,2,FALSE()),FALSE()),VLOOKUP(G350,NGPREVPRICES,3,FALSE()),HLOOKUP(D350,Correllate,VLOOKUP(G350,CorMove,2,FALSE()),FALSE()),Q350-$CD$3,R350,$CD$5)*H350-CJ350</f>
        <v>#NAME?</v>
      </c>
      <c r="CE350" s="253" t="e">
        <f aca="false">xSPRDOPT((VLOOKUP(G350,NGPREVPRICES,2,FALSE())+HLOOKUP(D350,PREVCURVES,VLOOKUP(G350,MOVE_DOWN2,2,FALSE()),FALSE())),VLOOKUP(G350,NGPREVPRICES,2,FALSE()),CK350,VLOOKUP(G350,NGPrices,4,FALSE()),HLOOKUP(D350,PREVVOLS,VLOOKUP(G350,MOVE_DOWN2,2,FALSE()),FALSE()),VLOOKUP(G350,NGPREVPRICES,3,FALSE()),HLOOKUP(D350,Correllate,VLOOKUP(G350,CorMove,2,FALSE()),FALSE()),Q350-$CD$3,R350,$CJ$5)*H350-CJ350</f>
        <v>#NAME?</v>
      </c>
      <c r="CF350" s="132" t="e">
        <f aca="false">(CJ350/VLOOKUP(CC350,discount,3,FALSE()))-(CJ350/VLOOKUP(CC350,discount,2,FALSE()))</f>
        <v>#NAME?</v>
      </c>
      <c r="CG350" s="253" t="e">
        <f aca="false">xSPRDOPT((VLOOKUP(G350,NGPREVPRICES,2,FALSE())+HLOOKUP(D350,PREVCURVES,VLOOKUP(G350,MOVE_DOWN2,2,FALSE()),FALSE())),VLOOKUP(G350,NGPREVPRICES,2,FALSE()),CK350,VLOOKUP(G350,NGPREVPRICES,4,FALSE()),HLOOKUP(D350,VOLS,VLOOKUP(G350,move_down,2,FALSE()),FALSE()),VLOOKUP(G350,NGPrices,3,FALSE()),HLOOKUP(D350,Correllate,VLOOKUP(G350,CorMove,2,FALSE()),FALSE()),Q350-$CD$3,R350,$CJ$5)*H350-CJ350</f>
        <v>#NAME?</v>
      </c>
      <c r="CH350" s="253" t="e">
        <f aca="false">xSPRDOPT((VLOOKUP(G350,NGPREVPRICES,2,FALSE())+HLOOKUP(D350,PREVCURVES,VLOOKUP(G350,MOVE_DOWN2,2,FALSE()),FALSE())),VLOOKUP(G350,NGPREVPRICES,2,FALSE()),CK350,VLOOKUP(G350,NGPREVPRICES,4,FALSE()),HLOOKUP(D350,PREVVOLS,VLOOKUP(G350,MOVE_DOWN2,2,FALSE()),FALSE()),VLOOKUP(G350,NGPREVPRICES,3,FALSE()),HLOOKUP(D350,Correllate,VLOOKUP(G350,CorMove,2,FALSE()),FALSE()),Q350-$C$3,R350,$CJ$5)*H350-CJ350</f>
        <v>#NAME?</v>
      </c>
      <c r="CI350" s="253" t="e">
        <f aca="false">SUM(CD350:CH350)</f>
        <v>#NAME?</v>
      </c>
      <c r="CJ350" s="253" t="e">
        <f aca="false">xSPRDOPT((VLOOKUP(G350,NGPREVPRICES,2,FALSE())+HLOOKUP(D350,PREVCURVES,VLOOKUP(G350,MOVE_DOWN2,2,FALSE()),FALSE())),VLOOKUP(G350,NGPREVPRICES,2,FALSE()),CK350,VLOOKUP(G350,NGPREVPRICES,4,FALSE()),HLOOKUP(D350,PREVVOLS,VLOOKUP(G350,MOVE_DOWN2,2,FALSE()),FALSE()),VLOOKUP(G350,NGPREVPRICES,3,FALSE()),HLOOKUP(D350,Correllate,VLOOKUP(G350,CorMove,2,FALSE()),FALSE()),Q350-$CD$3,R350,$CJ$5)*H350</f>
        <v>#NAME?</v>
      </c>
      <c r="CK350" s="254" t="n">
        <f aca="false">I350</f>
        <v>1.6</v>
      </c>
      <c r="CM350" s="0" t="str">
        <f aca="false">CONCATENATE(CC350,$CD$6)</f>
        <v>36861Curve Shift/Gamma</v>
      </c>
      <c r="CN350" s="0" t="str">
        <f aca="false">CONCATENATE($CC350,$CE$6)</f>
        <v>36861Rho</v>
      </c>
      <c r="CO350" s="0" t="str">
        <f aca="false">CONCATENATE($CC350,$CF$6)</f>
        <v>36861Drift</v>
      </c>
      <c r="CP350" s="0" t="str">
        <f aca="false">CONCATENATE($CC350,$CG$6)</f>
        <v>36861Vega</v>
      </c>
      <c r="CQ350" s="0" t="str">
        <f aca="false">CONCATENATE($CC350,$CH$6)</f>
        <v>36861Theta</v>
      </c>
    </row>
    <row r="351" customFormat="false" ht="12.75" hidden="false" customHeight="false" outlineLevel="0" collapsed="false">
      <c r="A351" s="265" t="s">
        <v>198</v>
      </c>
      <c r="B351" s="0" t="s">
        <v>192</v>
      </c>
      <c r="C351" s="0" t="s">
        <v>325</v>
      </c>
      <c r="D351" s="7" t="s">
        <v>149</v>
      </c>
      <c r="E351" s="0" t="s">
        <v>131</v>
      </c>
      <c r="F351" s="0" t="s">
        <v>132</v>
      </c>
      <c r="G351" s="92" t="n">
        <v>36831</v>
      </c>
      <c r="H351" s="248" t="n">
        <v>-500000</v>
      </c>
      <c r="I351" s="0" t="n">
        <v>1.6</v>
      </c>
      <c r="J351" s="124" t="n">
        <f aca="false">VLOOKUP(G351,NGPrices,2,FALSE())</f>
        <v>4.736</v>
      </c>
      <c r="K351" s="125" t="n">
        <f aca="false">HLOOKUP(D351,Prices,VLOOKUP(G351,move_down,2,FALSE()),FALSE())+VLOOKUP(G351,CHANGE,HLOOKUP(D351,CHANGE,2,FALSE()),FALSE())</f>
        <v>0.77</v>
      </c>
      <c r="L351" s="124" t="n">
        <f aca="false">K351+J351</f>
        <v>5.506</v>
      </c>
      <c r="M351" s="126" t="n">
        <f aca="false">VLOOKUP(G351,NGPrices,4,FALSE())</f>
        <v>0.06810675983792</v>
      </c>
      <c r="N351" s="7" t="n">
        <f aca="false">VLOOKUP(G351,NGPrices,3,FALSE())</f>
        <v>0.595</v>
      </c>
      <c r="O351" s="7" t="n">
        <f aca="false">HLOOKUP(D351,VOLS,VLOOKUP(G351,move_down,2,FALSE()),FALSE())</f>
        <v>0.625</v>
      </c>
      <c r="P351" s="249" t="n">
        <f aca="false">HLOOKUP(D351,Correllate,VLOOKUP(G351,CorMove,2,FALSE()),FALSE())</f>
        <v>0.89</v>
      </c>
      <c r="Q351" s="92" t="n">
        <f aca="false">WORKDAY(G351,-2)</f>
        <v>36829</v>
      </c>
      <c r="R351" s="7" t="n">
        <f aca="false">IF(F351="P",0,1)</f>
        <v>0</v>
      </c>
      <c r="S351" s="130" t="e">
        <f aca="false">xSPRDOPT($L351,$J351,$I351,$M351,$O351,$N351,$P351,$Q351-$C$3,$R351,0)</f>
        <v>#NAME?</v>
      </c>
      <c r="T351" s="250" t="e">
        <f aca="false">xSPRDOPT($L351,$J351,$I351,$M351,$O351,$N351,$P351,$Q351-$C$3,$R351,1)*H351</f>
        <v>#NAME?</v>
      </c>
      <c r="U351" s="43" t="e">
        <f aca="false">S351*H351</f>
        <v>#NAME?</v>
      </c>
      <c r="V351" s="250" t="e">
        <f aca="false">xSPRDOPT($L351,$J351,$I351,$M351,$O351,$N351,$P351,$Q351-$C$3,$R351,2)*H351</f>
        <v>#NAME?</v>
      </c>
      <c r="W351" s="250" t="e">
        <f aca="false">+V351+T351</f>
        <v>#NAME?</v>
      </c>
      <c r="X351" s="2" t="str">
        <f aca="false">CONCATENATE(G351,D351)</f>
        <v>36831IF-TRANSCO/Z6</v>
      </c>
      <c r="Y351" s="251" t="n">
        <f aca="false">H351/10000</f>
        <v>-50</v>
      </c>
      <c r="Z351" s="226" t="e">
        <f aca="false">T351/H351</f>
        <v>#NAME?</v>
      </c>
      <c r="AA351" s="226" t="e">
        <f aca="false">xSPRDOPT($L351,$J351,$I351,$M351,$O351,$N351,$P351,$Q351-$C$3,$R351,3)</f>
        <v>#NAME?</v>
      </c>
      <c r="AB351" s="226" t="e">
        <f aca="false">((xSPRDOPT($L351+AB$5,$J351,$I351,$M351,$O351,$N351,$P351,$Q351-$C$3,$R351,3)*$H351)/10000)/100</f>
        <v>#NAME?</v>
      </c>
      <c r="AC351" s="226" t="e">
        <f aca="false">((xSPRDOPT($L351+$AB$5,$J351,$I351,$M351,$O351,$N351,$P351,$Q351-$C$3,$R351,7)*$H351)/100)</f>
        <v>#NAME?</v>
      </c>
      <c r="AD351" s="226" t="e">
        <f aca="false">(xSPRDOPT($L351+$AB$5,$J351,$I351,$M351,$O351,$N351,$P351,$Q351-$C$3,$R351,9)/365)*$H351</f>
        <v>#NAME?</v>
      </c>
      <c r="AE351" s="0" t="e">
        <f aca="false">CD351</f>
        <v>#NAME?</v>
      </c>
      <c r="AF351" s="226" t="e">
        <f aca="false">((O351/N351)*AH351)+AG351</f>
        <v>#NAME?</v>
      </c>
      <c r="AG351" s="226" t="e">
        <f aca="false">((xSPRDOPT($L351,$J351,$I351,$M351,$O351,$N351,$P351,$Q351-$C$3,$R351,6)*$H351)/100)</f>
        <v>#NAME?</v>
      </c>
      <c r="AH351" s="226" t="e">
        <f aca="false">((xSPRDOPT($L351,$J351,$I351,$M351,$O351,$N351,$P351,$Q351-$C$3,$R351,5)*$H351)/100)</f>
        <v>#NAME?</v>
      </c>
      <c r="AI351" s="226" t="e">
        <f aca="false">(((xSPRDOPT($L351,$J351,$I351,$M351,$O351,$N351,$P351,$Q351-$C$3,$R351,4)*$H351)/10000)/100)-AB351</f>
        <v>#NAME?</v>
      </c>
      <c r="AJ351" s="226"/>
      <c r="AK351" s="226"/>
      <c r="AL351" s="226"/>
      <c r="AM351" s="252"/>
      <c r="CC351" s="182" t="n">
        <f aca="false">G351</f>
        <v>36831</v>
      </c>
      <c r="CD351" s="253" t="e">
        <f aca="false">xSPRDOPT((VLOOKUP(G351,NGPrices,2,FALSE())+HLOOKUP(D351,Prices,VLOOKUP(G351,move_down,2,FALSE()),FALSE())),VLOOKUP(G351,NGPrices,2,FALSE()),I351,VLOOKUP(G351,NGPREVPRICES,4,FALSE()),HLOOKUP(D351,PREVVOLS,VLOOKUP(G351,MOVE_DOWN2,2,FALSE()),FALSE()),VLOOKUP(G351,NGPREVPRICES,3,FALSE()),HLOOKUP(D351,Correllate,VLOOKUP(G351,CorMove,2,FALSE()),FALSE()),Q351-$CD$3,R351,$CD$5)*H351-CJ351</f>
        <v>#NAME?</v>
      </c>
      <c r="CE351" s="253" t="e">
        <f aca="false">xSPRDOPT((VLOOKUP(G351,NGPREVPRICES,2,FALSE())+HLOOKUP(D351,PREVCURVES,VLOOKUP(G351,MOVE_DOWN2,2,FALSE()),FALSE())),VLOOKUP(G351,NGPREVPRICES,2,FALSE()),CK351,VLOOKUP(G351,NGPrices,4,FALSE()),HLOOKUP(D351,PREVVOLS,VLOOKUP(G351,MOVE_DOWN2,2,FALSE()),FALSE()),VLOOKUP(G351,NGPREVPRICES,3,FALSE()),HLOOKUP(D351,Correllate,VLOOKUP(G351,CorMove,2,FALSE()),FALSE()),Q351-$CD$3,R351,$CJ$5)*H351-CJ351</f>
        <v>#NAME?</v>
      </c>
      <c r="CF351" s="132" t="e">
        <f aca="false">(CJ351/VLOOKUP(CC351,discount,3,FALSE()))-(CJ351/VLOOKUP(CC351,discount,2,FALSE()))</f>
        <v>#NAME?</v>
      </c>
      <c r="CG351" s="253" t="e">
        <f aca="false">xSPRDOPT((VLOOKUP(G351,NGPREVPRICES,2,FALSE())+HLOOKUP(D351,PREVCURVES,VLOOKUP(G351,MOVE_DOWN2,2,FALSE()),FALSE())),VLOOKUP(G351,NGPREVPRICES,2,FALSE()),CK351,VLOOKUP(G351,NGPREVPRICES,4,FALSE()),HLOOKUP(D351,VOLS,VLOOKUP(G351,move_down,2,FALSE()),FALSE()),VLOOKUP(G351,NGPrices,3,FALSE()),HLOOKUP(D351,Correllate,VLOOKUP(G351,CorMove,2,FALSE()),FALSE()),Q351-$CD$3,R351,$CJ$5)*H351-CJ351</f>
        <v>#NAME?</v>
      </c>
      <c r="CH351" s="253" t="e">
        <f aca="false">xSPRDOPT((VLOOKUP(G351,NGPREVPRICES,2,FALSE())+HLOOKUP(D351,PREVCURVES,VLOOKUP(G351,MOVE_DOWN2,2,FALSE()),FALSE())),VLOOKUP(G351,NGPREVPRICES,2,FALSE()),CK351,VLOOKUP(G351,NGPREVPRICES,4,FALSE()),HLOOKUP(D351,PREVVOLS,VLOOKUP(G351,MOVE_DOWN2,2,FALSE()),FALSE()),VLOOKUP(G351,NGPREVPRICES,3,FALSE()),HLOOKUP(D351,Correllate,VLOOKUP(G351,CorMove,2,FALSE()),FALSE()),Q351-$C$3,R351,$CJ$5)*H351-CJ351</f>
        <v>#NAME?</v>
      </c>
      <c r="CI351" s="253" t="e">
        <f aca="false">SUM(CD351:CH351)</f>
        <v>#NAME?</v>
      </c>
      <c r="CJ351" s="253" t="e">
        <f aca="false">xSPRDOPT((VLOOKUP(G351,NGPREVPRICES,2,FALSE())+HLOOKUP(D351,PREVCURVES,VLOOKUP(G351,MOVE_DOWN2,2,FALSE()),FALSE())),VLOOKUP(G351,NGPREVPRICES,2,FALSE()),CK351,VLOOKUP(G351,NGPREVPRICES,4,FALSE()),HLOOKUP(D351,PREVVOLS,VLOOKUP(G351,MOVE_DOWN2,2,FALSE()),FALSE()),VLOOKUP(G351,NGPREVPRICES,3,FALSE()),HLOOKUP(D351,Correllate,VLOOKUP(G351,CorMove,2,FALSE()),FALSE()),Q351-$CD$3,R351,$CJ$5)*H351</f>
        <v>#NAME?</v>
      </c>
      <c r="CK351" s="254" t="n">
        <f aca="false">I351</f>
        <v>1.6</v>
      </c>
      <c r="CM351" s="0" t="str">
        <f aca="false">CONCATENATE(CC351,$CD$6)</f>
        <v>36831Curve Shift/Gamma</v>
      </c>
      <c r="CN351" s="0" t="str">
        <f aca="false">CONCATENATE($CC351,$CE$6)</f>
        <v>36831Rho</v>
      </c>
      <c r="CO351" s="0" t="str">
        <f aca="false">CONCATENATE($CC351,$CF$6)</f>
        <v>36831Drift</v>
      </c>
      <c r="CP351" s="0" t="str">
        <f aca="false">CONCATENATE($CC351,$CG$6)</f>
        <v>36831Vega</v>
      </c>
      <c r="CQ351" s="0" t="str">
        <f aca="false">CONCATENATE($CC351,$CH$6)</f>
        <v>36831Theta</v>
      </c>
    </row>
    <row r="352" customFormat="false" ht="12.75" hidden="false" customHeight="false" outlineLevel="0" collapsed="false">
      <c r="A352" s="265" t="s">
        <v>198</v>
      </c>
      <c r="B352" s="0" t="s">
        <v>192</v>
      </c>
      <c r="C352" s="0" t="s">
        <v>326</v>
      </c>
      <c r="D352" s="7" t="s">
        <v>149</v>
      </c>
      <c r="E352" s="0" t="s">
        <v>131</v>
      </c>
      <c r="F352" s="0" t="s">
        <v>136</v>
      </c>
      <c r="G352" s="92" t="n">
        <v>36923</v>
      </c>
      <c r="H352" s="248" t="n">
        <v>-500000</v>
      </c>
      <c r="I352" s="0" t="n">
        <v>2.5</v>
      </c>
      <c r="J352" s="124" t="n">
        <f aca="false">VLOOKUP(G352,NGPrices,2,FALSE())</f>
        <v>4.48</v>
      </c>
      <c r="K352" s="125" t="n">
        <f aca="false">HLOOKUP(D352,Prices,VLOOKUP(G352,move_down,2,FALSE()),FALSE())+VLOOKUP(G352,CHANGE,HLOOKUP(D352,CHANGE,2,FALSE()),FALSE())</f>
        <v>2.09</v>
      </c>
      <c r="L352" s="124" t="n">
        <f aca="false">K352+J352</f>
        <v>6.57</v>
      </c>
      <c r="M352" s="126" t="n">
        <f aca="false">VLOOKUP(G352,NGPrices,4,FALSE())</f>
        <v>0.068640161611372</v>
      </c>
      <c r="N352" s="7" t="n">
        <f aca="false">VLOOKUP(G352,NGPrices,3,FALSE())</f>
        <v>0.5925</v>
      </c>
      <c r="O352" s="7" t="n">
        <f aca="false">HLOOKUP(D352,VOLS,VLOOKUP(G352,move_down,2,FALSE()),FALSE())</f>
        <v>0.681</v>
      </c>
      <c r="P352" s="249" t="n">
        <f aca="false">HLOOKUP(D352,Correllate,VLOOKUP(G352,CorMove,2,FALSE()),FALSE())</f>
        <v>0.83</v>
      </c>
      <c r="Q352" s="92" t="n">
        <f aca="false">WORKDAY(G352,-2)</f>
        <v>36921</v>
      </c>
      <c r="R352" s="7" t="n">
        <f aca="false">IF(F352="P",0,1)</f>
        <v>1</v>
      </c>
      <c r="S352" s="130" t="e">
        <f aca="false">xSPRDOPT($L352,$J352,$I352,$M352,$O352,$N352,$P352,$Q352-$C$3,$R352,0)</f>
        <v>#NAME?</v>
      </c>
      <c r="T352" s="250" t="e">
        <f aca="false">xSPRDOPT($L352,$J352,$I352,$M352,$O352,$N352,$P352,$Q352-$C$3,$R352,1)*H352</f>
        <v>#NAME?</v>
      </c>
      <c r="U352" s="43" t="e">
        <f aca="false">S352*H352</f>
        <v>#NAME?</v>
      </c>
      <c r="V352" s="250" t="e">
        <f aca="false">xSPRDOPT($L352,$J352,$I352,$M352,$O352,$N352,$P352,$Q352-$C$3,$R352,2)*H352</f>
        <v>#NAME?</v>
      </c>
      <c r="W352" s="250" t="e">
        <f aca="false">+V352+T352</f>
        <v>#NAME?</v>
      </c>
      <c r="X352" s="2" t="str">
        <f aca="false">CONCATENATE(G352,D352)</f>
        <v>36923IF-TRANSCO/Z6</v>
      </c>
      <c r="Y352" s="251" t="n">
        <f aca="false">H352/10000</f>
        <v>-50</v>
      </c>
      <c r="Z352" s="226" t="e">
        <f aca="false">T352/H352</f>
        <v>#NAME?</v>
      </c>
      <c r="AA352" s="226" t="e">
        <f aca="false">xSPRDOPT($L352,$J352,$I352,$M352,$O352,$N352,$P352,$Q352-$C$3,$R352,3)</f>
        <v>#NAME?</v>
      </c>
      <c r="AB352" s="226" t="e">
        <f aca="false">((xSPRDOPT($L352+AB$5,$J352,$I352,$M352,$O352,$N352,$P352,$Q352-$C$3,$R352,3)*$H352)/10000)/100</f>
        <v>#NAME?</v>
      </c>
      <c r="AC352" s="226" t="e">
        <f aca="false">((xSPRDOPT($L352+$AB$5,$J352,$I352,$M352,$O352,$N352,$P352,$Q352-$C$3,$R352,7)*$H352)/100)</f>
        <v>#NAME?</v>
      </c>
      <c r="AD352" s="226" t="e">
        <f aca="false">(xSPRDOPT($L352+$AB$5,$J352,$I352,$M352,$O352,$N352,$P352,$Q352-$C$3,$R352,9)/365)*$H352</f>
        <v>#NAME?</v>
      </c>
      <c r="AE352" s="0" t="e">
        <f aca="false">CD352</f>
        <v>#NAME?</v>
      </c>
      <c r="AF352" s="226" t="e">
        <f aca="false">((O352/N352)*AH352)+AG352</f>
        <v>#NAME?</v>
      </c>
      <c r="AG352" s="226" t="e">
        <f aca="false">((xSPRDOPT($L352,$J352,$I352,$M352,$O352,$N352,$P352,$Q352-$C$3,$R352,6)*$H352)/100)</f>
        <v>#NAME?</v>
      </c>
      <c r="AH352" s="226" t="e">
        <f aca="false">((xSPRDOPT($L352,$J352,$I352,$M352,$O352,$N352,$P352,$Q352-$C$3,$R352,5)*$H352)/100)</f>
        <v>#NAME?</v>
      </c>
      <c r="AI352" s="226" t="e">
        <f aca="false">(((xSPRDOPT($L352,$J352,$I352,$M352,$O352,$N352,$P352,$Q352-$C$3,$R352,4)*$H352)/10000)/100)-AB352</f>
        <v>#NAME?</v>
      </c>
      <c r="AJ352" s="226"/>
      <c r="AK352" s="226"/>
      <c r="AL352" s="226"/>
      <c r="AM352" s="252"/>
      <c r="CC352" s="182" t="n">
        <f aca="false">G352</f>
        <v>36923</v>
      </c>
      <c r="CD352" s="253" t="e">
        <f aca="false">xSPRDOPT((VLOOKUP(G352,NGPrices,2,FALSE())+HLOOKUP(D352,Prices,VLOOKUP(G352,move_down,2,FALSE()),FALSE())),VLOOKUP(G352,NGPrices,2,FALSE()),I352,VLOOKUP(G352,NGPREVPRICES,4,FALSE()),HLOOKUP(D352,PREVVOLS,VLOOKUP(G352,MOVE_DOWN2,2,FALSE()),FALSE()),VLOOKUP(G352,NGPREVPRICES,3,FALSE()),HLOOKUP(D352,Correllate,VLOOKUP(G352,CorMove,2,FALSE()),FALSE()),Q352-$CD$3,R352,$CD$5)*H352-CJ352</f>
        <v>#NAME?</v>
      </c>
      <c r="CE352" s="253" t="e">
        <f aca="false">xSPRDOPT((VLOOKUP(G352,NGPREVPRICES,2,FALSE())+HLOOKUP(D352,PREVCURVES,VLOOKUP(G352,MOVE_DOWN2,2,FALSE()),FALSE())),VLOOKUP(G352,NGPREVPRICES,2,FALSE()),CK352,VLOOKUP(G352,NGPrices,4,FALSE()),HLOOKUP(D352,PREVVOLS,VLOOKUP(G352,MOVE_DOWN2,2,FALSE()),FALSE()),VLOOKUP(G352,NGPREVPRICES,3,FALSE()),HLOOKUP(D352,Correllate,VLOOKUP(G352,CorMove,2,FALSE()),FALSE()),Q352-$CD$3,R352,$CJ$5)*H352-CJ352</f>
        <v>#NAME?</v>
      </c>
      <c r="CF352" s="132" t="e">
        <f aca="false">(CJ352/VLOOKUP(CC352,discount,3,FALSE()))-(CJ352/VLOOKUP(CC352,discount,2,FALSE()))</f>
        <v>#NAME?</v>
      </c>
      <c r="CG352" s="253" t="e">
        <f aca="false">xSPRDOPT((VLOOKUP(G352,NGPREVPRICES,2,FALSE())+HLOOKUP(D352,PREVCURVES,VLOOKUP(G352,MOVE_DOWN2,2,FALSE()),FALSE())),VLOOKUP(G352,NGPREVPRICES,2,FALSE()),CK352,VLOOKUP(G352,NGPREVPRICES,4,FALSE()),HLOOKUP(D352,VOLS,VLOOKUP(G352,move_down,2,FALSE()),FALSE()),VLOOKUP(G352,NGPrices,3,FALSE()),HLOOKUP(D352,Correllate,VLOOKUP(G352,CorMove,2,FALSE()),FALSE()),Q352-$CD$3,R352,$CJ$5)*H352-CJ352</f>
        <v>#NAME?</v>
      </c>
      <c r="CH352" s="253" t="e">
        <f aca="false">xSPRDOPT((VLOOKUP(G352,NGPREVPRICES,2,FALSE())+HLOOKUP(D352,PREVCURVES,VLOOKUP(G352,MOVE_DOWN2,2,FALSE()),FALSE())),VLOOKUP(G352,NGPREVPRICES,2,FALSE()),CK352,VLOOKUP(G352,NGPREVPRICES,4,FALSE()),HLOOKUP(D352,PREVVOLS,VLOOKUP(G352,MOVE_DOWN2,2,FALSE()),FALSE()),VLOOKUP(G352,NGPREVPRICES,3,FALSE()),HLOOKUP(D352,Correllate,VLOOKUP(G352,CorMove,2,FALSE()),FALSE()),Q352-$C$3,R352,$CJ$5)*H352-CJ352</f>
        <v>#NAME?</v>
      </c>
      <c r="CI352" s="253" t="e">
        <f aca="false">SUM(CD352:CH352)</f>
        <v>#NAME?</v>
      </c>
      <c r="CJ352" s="253" t="e">
        <f aca="false">xSPRDOPT((VLOOKUP(G352,NGPREVPRICES,2,FALSE())+HLOOKUP(D352,PREVCURVES,VLOOKUP(G352,MOVE_DOWN2,2,FALSE()),FALSE())),VLOOKUP(G352,NGPREVPRICES,2,FALSE()),CK352,VLOOKUP(G352,NGPREVPRICES,4,FALSE()),HLOOKUP(D352,PREVVOLS,VLOOKUP(G352,MOVE_DOWN2,2,FALSE()),FALSE()),VLOOKUP(G352,NGPREVPRICES,3,FALSE()),HLOOKUP(D352,Correllate,VLOOKUP(G352,CorMove,2,FALSE()),FALSE()),Q352-$CD$3,R352,$CJ$5)*H352</f>
        <v>#NAME?</v>
      </c>
      <c r="CK352" s="254" t="n">
        <f aca="false">I352</f>
        <v>2.5</v>
      </c>
      <c r="CM352" s="0" t="str">
        <f aca="false">CONCATENATE(CC352,$CD$6)</f>
        <v>36923Curve Shift/Gamma</v>
      </c>
      <c r="CN352" s="0" t="str">
        <f aca="false">CONCATENATE($CC352,$CE$6)</f>
        <v>36923Rho</v>
      </c>
      <c r="CO352" s="0" t="str">
        <f aca="false">CONCATENATE($CC352,$CF$6)</f>
        <v>36923Drift</v>
      </c>
      <c r="CP352" s="0" t="str">
        <f aca="false">CONCATENATE($CC352,$CG$6)</f>
        <v>36923Vega</v>
      </c>
      <c r="CQ352" s="0" t="str">
        <f aca="false">CONCATENATE($CC352,$CH$6)</f>
        <v>36923Theta</v>
      </c>
    </row>
    <row r="353" customFormat="false" ht="12.75" hidden="false" customHeight="false" outlineLevel="0" collapsed="false">
      <c r="A353" s="265" t="s">
        <v>198</v>
      </c>
      <c r="B353" s="0" t="s">
        <v>192</v>
      </c>
      <c r="C353" s="0" t="s">
        <v>326</v>
      </c>
      <c r="D353" s="7" t="s">
        <v>149</v>
      </c>
      <c r="E353" s="0" t="s">
        <v>131</v>
      </c>
      <c r="F353" s="0" t="s">
        <v>136</v>
      </c>
      <c r="G353" s="92" t="n">
        <v>36892</v>
      </c>
      <c r="H353" s="248" t="n">
        <v>-500000</v>
      </c>
      <c r="I353" s="0" t="n">
        <v>2.5</v>
      </c>
      <c r="J353" s="124" t="n">
        <f aca="false">VLOOKUP(G353,NGPrices,2,FALSE())</f>
        <v>4.744</v>
      </c>
      <c r="K353" s="125" t="n">
        <f aca="false">HLOOKUP(D353,Prices,VLOOKUP(G353,move_down,2,FALSE()),FALSE())+VLOOKUP(G353,CHANGE,HLOOKUP(D353,CHANGE,2,FALSE()),FALSE())</f>
        <v>2.17</v>
      </c>
      <c r="L353" s="124" t="n">
        <f aca="false">K353+J353</f>
        <v>6.914</v>
      </c>
      <c r="M353" s="126" t="n">
        <f aca="false">VLOOKUP(G353,NGPrices,4,FALSE())</f>
        <v>0.068374831148491</v>
      </c>
      <c r="N353" s="7" t="n">
        <f aca="false">VLOOKUP(G353,NGPrices,3,FALSE())</f>
        <v>0.605</v>
      </c>
      <c r="O353" s="7" t="n">
        <f aca="false">HLOOKUP(D353,VOLS,VLOOKUP(G353,move_down,2,FALSE()),FALSE())</f>
        <v>0.696</v>
      </c>
      <c r="P353" s="249" t="n">
        <f aca="false">HLOOKUP(D353,Correllate,VLOOKUP(G353,CorMove,2,FALSE()),FALSE())</f>
        <v>0.83</v>
      </c>
      <c r="Q353" s="92" t="n">
        <f aca="false">WORKDAY(G353,-2)</f>
        <v>36888</v>
      </c>
      <c r="R353" s="7" t="n">
        <f aca="false">IF(F353="P",0,1)</f>
        <v>1</v>
      </c>
      <c r="S353" s="130" t="e">
        <f aca="false">xSPRDOPT($L353,$J353,$I353,$M353,$O353,$N353,$P353,$Q353-$C$3,$R353,0)</f>
        <v>#NAME?</v>
      </c>
      <c r="T353" s="250" t="e">
        <f aca="false">xSPRDOPT($L353,$J353,$I353,$M353,$O353,$N353,$P353,$Q353-$C$3,$R353,1)*H353</f>
        <v>#NAME?</v>
      </c>
      <c r="U353" s="43" t="e">
        <f aca="false">S353*H353</f>
        <v>#NAME?</v>
      </c>
      <c r="V353" s="250" t="e">
        <f aca="false">xSPRDOPT($L353,$J353,$I353,$M353,$O353,$N353,$P353,$Q353-$C$3,$R353,2)*H353</f>
        <v>#NAME?</v>
      </c>
      <c r="W353" s="250" t="e">
        <f aca="false">+V353+T353</f>
        <v>#NAME?</v>
      </c>
      <c r="X353" s="2" t="str">
        <f aca="false">CONCATENATE(G353,D353)</f>
        <v>36892IF-TRANSCO/Z6</v>
      </c>
      <c r="Y353" s="251" t="n">
        <f aca="false">H353/10000</f>
        <v>-50</v>
      </c>
      <c r="Z353" s="226" t="e">
        <f aca="false">T353/H353</f>
        <v>#NAME?</v>
      </c>
      <c r="AA353" s="226" t="e">
        <f aca="false">xSPRDOPT($L353,$J353,$I353,$M353,$O353,$N353,$P353,$Q353-$C$3,$R353,3)</f>
        <v>#NAME?</v>
      </c>
      <c r="AB353" s="226" t="e">
        <f aca="false">((xSPRDOPT($L353+AB$5,$J353,$I353,$M353,$O353,$N353,$P353,$Q353-$C$3,$R353,3)*$H353)/10000)/100</f>
        <v>#NAME?</v>
      </c>
      <c r="AC353" s="226" t="e">
        <f aca="false">((xSPRDOPT($L353+$AB$5,$J353,$I353,$M353,$O353,$N353,$P353,$Q353-$C$3,$R353,7)*$H353)/100)</f>
        <v>#NAME?</v>
      </c>
      <c r="AD353" s="226" t="e">
        <f aca="false">(xSPRDOPT($L353+$AB$5,$J353,$I353,$M353,$O353,$N353,$P353,$Q353-$C$3,$R353,9)/365)*$H353</f>
        <v>#NAME?</v>
      </c>
      <c r="AE353" s="0" t="e">
        <f aca="false">CD353</f>
        <v>#NAME?</v>
      </c>
      <c r="AF353" s="226" t="e">
        <f aca="false">((O353/N353)*AH353)+AG353</f>
        <v>#NAME?</v>
      </c>
      <c r="AG353" s="226" t="e">
        <f aca="false">((xSPRDOPT($L353,$J353,$I353,$M353,$O353,$N353,$P353,$Q353-$C$3,$R353,6)*$H353)/100)</f>
        <v>#NAME?</v>
      </c>
      <c r="AH353" s="226" t="e">
        <f aca="false">((xSPRDOPT($L353,$J353,$I353,$M353,$O353,$N353,$P353,$Q353-$C$3,$R353,5)*$H353)/100)</f>
        <v>#NAME?</v>
      </c>
      <c r="AI353" s="226" t="e">
        <f aca="false">(((xSPRDOPT($L353,$J353,$I353,$M353,$O353,$N353,$P353,$Q353-$C$3,$R353,4)*$H353)/10000)/100)-AB353</f>
        <v>#NAME?</v>
      </c>
      <c r="AJ353" s="226"/>
      <c r="AK353" s="226"/>
      <c r="AL353" s="226"/>
      <c r="AM353" s="252"/>
      <c r="CC353" s="182" t="n">
        <f aca="false">G353</f>
        <v>36892</v>
      </c>
      <c r="CD353" s="253" t="e">
        <f aca="false">xSPRDOPT((VLOOKUP(G353,NGPrices,2,FALSE())+HLOOKUP(D353,Prices,VLOOKUP(G353,move_down,2,FALSE()),FALSE())),VLOOKUP(G353,NGPrices,2,FALSE()),I353,VLOOKUP(G353,NGPREVPRICES,4,FALSE()),HLOOKUP(D353,PREVVOLS,VLOOKUP(G353,MOVE_DOWN2,2,FALSE()),FALSE()),VLOOKUP(G353,NGPREVPRICES,3,FALSE()),HLOOKUP(D353,Correllate,VLOOKUP(G353,CorMove,2,FALSE()),FALSE()),Q353-$CD$3,R353,$CD$5)*H353-CJ353</f>
        <v>#NAME?</v>
      </c>
      <c r="CE353" s="253" t="e">
        <f aca="false">xSPRDOPT((VLOOKUP(G353,NGPREVPRICES,2,FALSE())+HLOOKUP(D353,PREVCURVES,VLOOKUP(G353,MOVE_DOWN2,2,FALSE()),FALSE())),VLOOKUP(G353,NGPREVPRICES,2,FALSE()),CK353,VLOOKUP(G353,NGPrices,4,FALSE()),HLOOKUP(D353,PREVVOLS,VLOOKUP(G353,MOVE_DOWN2,2,FALSE()),FALSE()),VLOOKUP(G353,NGPREVPRICES,3,FALSE()),HLOOKUP(D353,Correllate,VLOOKUP(G353,CorMove,2,FALSE()),FALSE()),Q353-$CD$3,R353,$CJ$5)*H353-CJ353</f>
        <v>#NAME?</v>
      </c>
      <c r="CF353" s="132" t="e">
        <f aca="false">(CJ353/VLOOKUP(CC353,discount,3,FALSE()))-(CJ353/VLOOKUP(CC353,discount,2,FALSE()))</f>
        <v>#NAME?</v>
      </c>
      <c r="CG353" s="253" t="e">
        <f aca="false">xSPRDOPT((VLOOKUP(G353,NGPREVPRICES,2,FALSE())+HLOOKUP(D353,PREVCURVES,VLOOKUP(G353,MOVE_DOWN2,2,FALSE()),FALSE())),VLOOKUP(G353,NGPREVPRICES,2,FALSE()),CK353,VLOOKUP(G353,NGPREVPRICES,4,FALSE()),HLOOKUP(D353,VOLS,VLOOKUP(G353,move_down,2,FALSE()),FALSE()),VLOOKUP(G353,NGPrices,3,FALSE()),HLOOKUP(D353,Correllate,VLOOKUP(G353,CorMove,2,FALSE()),FALSE()),Q353-$CD$3,R353,$CJ$5)*H353-CJ353</f>
        <v>#NAME?</v>
      </c>
      <c r="CH353" s="253" t="e">
        <f aca="false">xSPRDOPT((VLOOKUP(G353,NGPREVPRICES,2,FALSE())+HLOOKUP(D353,PREVCURVES,VLOOKUP(G353,MOVE_DOWN2,2,FALSE()),FALSE())),VLOOKUP(G353,NGPREVPRICES,2,FALSE()),CK353,VLOOKUP(G353,NGPREVPRICES,4,FALSE()),HLOOKUP(D353,PREVVOLS,VLOOKUP(G353,MOVE_DOWN2,2,FALSE()),FALSE()),VLOOKUP(G353,NGPREVPRICES,3,FALSE()),HLOOKUP(D353,Correllate,VLOOKUP(G353,CorMove,2,FALSE()),FALSE()),Q353-$C$3,R353,$CJ$5)*H353-CJ353</f>
        <v>#NAME?</v>
      </c>
      <c r="CI353" s="253" t="e">
        <f aca="false">SUM(CD353:CH353)</f>
        <v>#NAME?</v>
      </c>
      <c r="CJ353" s="253" t="e">
        <f aca="false">xSPRDOPT((VLOOKUP(G353,NGPREVPRICES,2,FALSE())+HLOOKUP(D353,PREVCURVES,VLOOKUP(G353,MOVE_DOWN2,2,FALSE()),FALSE())),VLOOKUP(G353,NGPREVPRICES,2,FALSE()),CK353,VLOOKUP(G353,NGPREVPRICES,4,FALSE()),HLOOKUP(D353,PREVVOLS,VLOOKUP(G353,MOVE_DOWN2,2,FALSE()),FALSE()),VLOOKUP(G353,NGPREVPRICES,3,FALSE()),HLOOKUP(D353,Correllate,VLOOKUP(G353,CorMove,2,FALSE()),FALSE()),Q353-$CD$3,R353,$CJ$5)*H353</f>
        <v>#NAME?</v>
      </c>
      <c r="CK353" s="254" t="n">
        <f aca="false">I353</f>
        <v>2.5</v>
      </c>
      <c r="CM353" s="0" t="str">
        <f aca="false">CONCATENATE(CC353,$CD$6)</f>
        <v>36892Curve Shift/Gamma</v>
      </c>
      <c r="CN353" s="0" t="str">
        <f aca="false">CONCATENATE($CC353,$CE$6)</f>
        <v>36892Rho</v>
      </c>
      <c r="CO353" s="0" t="str">
        <f aca="false">CONCATENATE($CC353,$CF$6)</f>
        <v>36892Drift</v>
      </c>
      <c r="CP353" s="0" t="str">
        <f aca="false">CONCATENATE($CC353,$CG$6)</f>
        <v>36892Vega</v>
      </c>
      <c r="CQ353" s="0" t="str">
        <f aca="false">CONCATENATE($CC353,$CH$6)</f>
        <v>36892Theta</v>
      </c>
    </row>
    <row r="354" customFormat="false" ht="12.75" hidden="false" customHeight="false" outlineLevel="0" collapsed="false">
      <c r="A354" s="265" t="s">
        <v>198</v>
      </c>
      <c r="B354" s="0" t="s">
        <v>192</v>
      </c>
      <c r="C354" s="0" t="s">
        <v>326</v>
      </c>
      <c r="D354" s="7" t="s">
        <v>149</v>
      </c>
      <c r="E354" s="0" t="s">
        <v>131</v>
      </c>
      <c r="F354" s="0" t="s">
        <v>136</v>
      </c>
      <c r="G354" s="92" t="n">
        <v>36861</v>
      </c>
      <c r="H354" s="248" t="n">
        <v>-500000</v>
      </c>
      <c r="I354" s="0" t="n">
        <v>2.5</v>
      </c>
      <c r="J354" s="124" t="n">
        <f aca="false">VLOOKUP(G354,NGPrices,2,FALSE())</f>
        <v>4.8</v>
      </c>
      <c r="K354" s="125" t="n">
        <f aca="false">HLOOKUP(D354,Prices,VLOOKUP(G354,move_down,2,FALSE()),FALSE())+VLOOKUP(G354,CHANGE,HLOOKUP(D354,CHANGE,2,FALSE()),FALSE())</f>
        <v>1.645</v>
      </c>
      <c r="L354" s="124" t="n">
        <f aca="false">K354+J354</f>
        <v>6.445</v>
      </c>
      <c r="M354" s="126" t="n">
        <f aca="false">VLOOKUP(G354,NGPrices,4,FALSE())</f>
        <v>0.068314027999354</v>
      </c>
      <c r="N354" s="7" t="n">
        <f aca="false">VLOOKUP(G354,NGPrices,3,FALSE())</f>
        <v>0.6</v>
      </c>
      <c r="O354" s="7" t="n">
        <f aca="false">HLOOKUP(D354,VOLS,VLOOKUP(G354,move_down,2,FALSE()),FALSE())</f>
        <v>0.69</v>
      </c>
      <c r="P354" s="249" t="n">
        <f aca="false">HLOOKUP(D354,Correllate,VLOOKUP(G354,CorMove,2,FALSE()),FALSE())</f>
        <v>0.83</v>
      </c>
      <c r="Q354" s="92" t="n">
        <f aca="false">WORKDAY(G354,-2)</f>
        <v>36859</v>
      </c>
      <c r="R354" s="7" t="n">
        <f aca="false">IF(F354="P",0,1)</f>
        <v>1</v>
      </c>
      <c r="S354" s="130" t="e">
        <f aca="false">xSPRDOPT($L354,$J354,$I354,$M354,$O354,$N354,$P354,$Q354-$C$3,$R354,0)</f>
        <v>#NAME?</v>
      </c>
      <c r="T354" s="250" t="e">
        <f aca="false">xSPRDOPT($L354,$J354,$I354,$M354,$O354,$N354,$P354,$Q354-$C$3,$R354,1)*H354</f>
        <v>#NAME?</v>
      </c>
      <c r="U354" s="43" t="e">
        <f aca="false">S354*H354</f>
        <v>#NAME?</v>
      </c>
      <c r="V354" s="250" t="e">
        <f aca="false">xSPRDOPT($L354,$J354,$I354,$M354,$O354,$N354,$P354,$Q354-$C$3,$R354,2)*H354</f>
        <v>#NAME?</v>
      </c>
      <c r="W354" s="250" t="e">
        <f aca="false">+V354+T354</f>
        <v>#NAME?</v>
      </c>
      <c r="X354" s="2" t="str">
        <f aca="false">CONCATENATE(G354,D354)</f>
        <v>36861IF-TRANSCO/Z6</v>
      </c>
      <c r="Y354" s="251" t="n">
        <f aca="false">H354/10000</f>
        <v>-50</v>
      </c>
      <c r="Z354" s="226" t="e">
        <f aca="false">T354/H354</f>
        <v>#NAME?</v>
      </c>
      <c r="AA354" s="226" t="e">
        <f aca="false">xSPRDOPT($L354,$J354,$I354,$M354,$O354,$N354,$P354,$Q354-$C$3,$R354,3)</f>
        <v>#NAME?</v>
      </c>
      <c r="AB354" s="226" t="e">
        <f aca="false">((xSPRDOPT($L354+AB$5,$J354,$I354,$M354,$O354,$N354,$P354,$Q354-$C$3,$R354,3)*$H354)/10000)/100</f>
        <v>#NAME?</v>
      </c>
      <c r="AC354" s="226" t="e">
        <f aca="false">((xSPRDOPT($L354+$AB$5,$J354,$I354,$M354,$O354,$N354,$P354,$Q354-$C$3,$R354,7)*$H354)/100)</f>
        <v>#NAME?</v>
      </c>
      <c r="AD354" s="226" t="e">
        <f aca="false">(xSPRDOPT($L354+$AB$5,$J354,$I354,$M354,$O354,$N354,$P354,$Q354-$C$3,$R354,9)/365)*$H354</f>
        <v>#NAME?</v>
      </c>
      <c r="AE354" s="0" t="e">
        <f aca="false">CD354</f>
        <v>#NAME?</v>
      </c>
      <c r="AF354" s="226" t="e">
        <f aca="false">((O354/N354)*AH354)+AG354</f>
        <v>#NAME?</v>
      </c>
      <c r="AG354" s="226" t="e">
        <f aca="false">((xSPRDOPT($L354,$J354,$I354,$M354,$O354,$N354,$P354,$Q354-$C$3,$R354,6)*$H354)/100)</f>
        <v>#NAME?</v>
      </c>
      <c r="AH354" s="226" t="e">
        <f aca="false">((xSPRDOPT($L354,$J354,$I354,$M354,$O354,$N354,$P354,$Q354-$C$3,$R354,5)*$H354)/100)</f>
        <v>#NAME?</v>
      </c>
      <c r="AI354" s="226" t="e">
        <f aca="false">(((xSPRDOPT($L354,$J354,$I354,$M354,$O354,$N354,$P354,$Q354-$C$3,$R354,4)*$H354)/10000)/100)-AB354</f>
        <v>#NAME?</v>
      </c>
      <c r="AJ354" s="226"/>
      <c r="AK354" s="226"/>
      <c r="AL354" s="226"/>
      <c r="AM354" s="252"/>
      <c r="CC354" s="182" t="n">
        <f aca="false">G354</f>
        <v>36861</v>
      </c>
      <c r="CD354" s="253" t="e">
        <f aca="false">xSPRDOPT((VLOOKUP(G354,NGPrices,2,FALSE())+HLOOKUP(D354,Prices,VLOOKUP(G354,move_down,2,FALSE()),FALSE())),VLOOKUP(G354,NGPrices,2,FALSE()),I354,VLOOKUP(G354,NGPREVPRICES,4,FALSE()),HLOOKUP(D354,PREVVOLS,VLOOKUP(G354,MOVE_DOWN2,2,FALSE()),FALSE()),VLOOKUP(G354,NGPREVPRICES,3,FALSE()),HLOOKUP(D354,Correllate,VLOOKUP(G354,CorMove,2,FALSE()),FALSE()),Q354-$CD$3,R354,$CD$5)*H354-CJ354</f>
        <v>#NAME?</v>
      </c>
      <c r="CE354" s="253" t="e">
        <f aca="false">xSPRDOPT((VLOOKUP(G354,NGPREVPRICES,2,FALSE())+HLOOKUP(D354,PREVCURVES,VLOOKUP(G354,MOVE_DOWN2,2,FALSE()),FALSE())),VLOOKUP(G354,NGPREVPRICES,2,FALSE()),CK354,VLOOKUP(G354,NGPrices,4,FALSE()),HLOOKUP(D354,PREVVOLS,VLOOKUP(G354,MOVE_DOWN2,2,FALSE()),FALSE()),VLOOKUP(G354,NGPREVPRICES,3,FALSE()),HLOOKUP(D354,Correllate,VLOOKUP(G354,CorMove,2,FALSE()),FALSE()),Q354-$CD$3,R354,$CJ$5)*H354-CJ354</f>
        <v>#NAME?</v>
      </c>
      <c r="CF354" s="132" t="e">
        <f aca="false">(CJ354/VLOOKUP(CC354,discount,3,FALSE()))-(CJ354/VLOOKUP(CC354,discount,2,FALSE()))</f>
        <v>#NAME?</v>
      </c>
      <c r="CG354" s="253" t="e">
        <f aca="false">xSPRDOPT((VLOOKUP(G354,NGPREVPRICES,2,FALSE())+HLOOKUP(D354,PREVCURVES,VLOOKUP(G354,MOVE_DOWN2,2,FALSE()),FALSE())),VLOOKUP(G354,NGPREVPRICES,2,FALSE()),CK354,VLOOKUP(G354,NGPREVPRICES,4,FALSE()),HLOOKUP(D354,VOLS,VLOOKUP(G354,move_down,2,FALSE()),FALSE()),VLOOKUP(G354,NGPrices,3,FALSE()),HLOOKUP(D354,Correllate,VLOOKUP(G354,CorMove,2,FALSE()),FALSE()),Q354-$CD$3,R354,$CJ$5)*H354-CJ354</f>
        <v>#NAME?</v>
      </c>
      <c r="CH354" s="253" t="e">
        <f aca="false">xSPRDOPT((VLOOKUP(G354,NGPREVPRICES,2,FALSE())+HLOOKUP(D354,PREVCURVES,VLOOKUP(G354,MOVE_DOWN2,2,FALSE()),FALSE())),VLOOKUP(G354,NGPREVPRICES,2,FALSE()),CK354,VLOOKUP(G354,NGPREVPRICES,4,FALSE()),HLOOKUP(D354,PREVVOLS,VLOOKUP(G354,MOVE_DOWN2,2,FALSE()),FALSE()),VLOOKUP(G354,NGPREVPRICES,3,FALSE()),HLOOKUP(D354,Correllate,VLOOKUP(G354,CorMove,2,FALSE()),FALSE()),Q354-$C$3,R354,$CJ$5)*H354-CJ354</f>
        <v>#NAME?</v>
      </c>
      <c r="CI354" s="253" t="e">
        <f aca="false">SUM(CD354:CH354)</f>
        <v>#NAME?</v>
      </c>
      <c r="CJ354" s="253" t="e">
        <f aca="false">xSPRDOPT((VLOOKUP(G354,NGPREVPRICES,2,FALSE())+HLOOKUP(D354,PREVCURVES,VLOOKUP(G354,MOVE_DOWN2,2,FALSE()),FALSE())),VLOOKUP(G354,NGPREVPRICES,2,FALSE()),CK354,VLOOKUP(G354,NGPREVPRICES,4,FALSE()),HLOOKUP(D354,PREVVOLS,VLOOKUP(G354,MOVE_DOWN2,2,FALSE()),FALSE()),VLOOKUP(G354,NGPREVPRICES,3,FALSE()),HLOOKUP(D354,Correllate,VLOOKUP(G354,CorMove,2,FALSE()),FALSE()),Q354-$CD$3,R354,$CJ$5)*H354</f>
        <v>#NAME?</v>
      </c>
      <c r="CK354" s="254" t="n">
        <f aca="false">I354</f>
        <v>2.5</v>
      </c>
      <c r="CM354" s="0" t="str">
        <f aca="false">CONCATENATE(CC354,$CD$6)</f>
        <v>36861Curve Shift/Gamma</v>
      </c>
      <c r="CN354" s="0" t="str">
        <f aca="false">CONCATENATE($CC354,$CE$6)</f>
        <v>36861Rho</v>
      </c>
      <c r="CO354" s="0" t="str">
        <f aca="false">CONCATENATE($CC354,$CF$6)</f>
        <v>36861Drift</v>
      </c>
      <c r="CP354" s="0" t="str">
        <f aca="false">CONCATENATE($CC354,$CG$6)</f>
        <v>36861Vega</v>
      </c>
      <c r="CQ354" s="0" t="str">
        <f aca="false">CONCATENATE($CC354,$CH$6)</f>
        <v>36861Theta</v>
      </c>
    </row>
    <row r="355" customFormat="false" ht="12.75" hidden="false" customHeight="false" outlineLevel="0" collapsed="false">
      <c r="A355" s="265" t="s">
        <v>198</v>
      </c>
      <c r="B355" s="0" t="s">
        <v>192</v>
      </c>
      <c r="C355" s="0" t="s">
        <v>327</v>
      </c>
      <c r="D355" s="7" t="s">
        <v>149</v>
      </c>
      <c r="E355" s="0" t="s">
        <v>131</v>
      </c>
      <c r="F355" s="0" t="s">
        <v>132</v>
      </c>
      <c r="G355" s="92" t="n">
        <v>36951</v>
      </c>
      <c r="H355" s="248" t="n">
        <v>500000</v>
      </c>
      <c r="I355" s="0" t="n">
        <v>0.75</v>
      </c>
      <c r="J355" s="124" t="n">
        <f aca="false">VLOOKUP(G355,NGPrices,2,FALSE())</f>
        <v>4.213</v>
      </c>
      <c r="K355" s="125" t="n">
        <f aca="false">HLOOKUP(D355,Prices,VLOOKUP(G355,move_down,2,FALSE()),FALSE())+VLOOKUP(G355,CHANGE,HLOOKUP(D355,CHANGE,2,FALSE()),FALSE())</f>
        <v>1.075</v>
      </c>
      <c r="L355" s="124" t="n">
        <f aca="false">K355+J355</f>
        <v>5.288</v>
      </c>
      <c r="M355" s="126" t="n">
        <f aca="false">VLOOKUP(G355,NGPrices,4,FALSE())</f>
        <v>0.068879814952707</v>
      </c>
      <c r="N355" s="7" t="n">
        <f aca="false">VLOOKUP(G355,NGPrices,3,FALSE())</f>
        <v>0.5325</v>
      </c>
      <c r="O355" s="7" t="n">
        <f aca="false">HLOOKUP(D355,VOLS,VLOOKUP(G355,move_down,2,FALSE()),FALSE())</f>
        <v>0.612</v>
      </c>
      <c r="P355" s="249" t="n">
        <f aca="false">HLOOKUP(D355,Correllate,VLOOKUP(G355,CorMove,2,FALSE()),FALSE())</f>
        <v>0.83</v>
      </c>
      <c r="Q355" s="92" t="n">
        <f aca="false">WORKDAY(G355,-2)</f>
        <v>36949</v>
      </c>
      <c r="R355" s="7" t="n">
        <f aca="false">IF(F355="P",0,1)</f>
        <v>0</v>
      </c>
      <c r="S355" s="130" t="e">
        <f aca="false">xSPRDOPT($L355,$J355,$I355,$M355,$O355,$N355,$P355,$Q355-$C$3,$R355,0)</f>
        <v>#NAME?</v>
      </c>
      <c r="T355" s="250" t="e">
        <f aca="false">xSPRDOPT($L355,$J355,$I355,$M355,$O355,$N355,$P355,$Q355-$C$3,$R355,1)*H355</f>
        <v>#NAME?</v>
      </c>
      <c r="U355" s="43" t="e">
        <f aca="false">S355*H355</f>
        <v>#NAME?</v>
      </c>
      <c r="V355" s="250" t="e">
        <f aca="false">xSPRDOPT($L355,$J355,$I355,$M355,$O355,$N355,$P355,$Q355-$C$3,$R355,2)*H355</f>
        <v>#NAME?</v>
      </c>
      <c r="W355" s="250" t="e">
        <f aca="false">+V355+T355</f>
        <v>#NAME?</v>
      </c>
      <c r="X355" s="2" t="str">
        <f aca="false">CONCATENATE(G355,D355)</f>
        <v>36951IF-TRANSCO/Z6</v>
      </c>
      <c r="Y355" s="251" t="n">
        <f aca="false">H355/10000</f>
        <v>50</v>
      </c>
      <c r="Z355" s="226" t="e">
        <f aca="false">T355/H355</f>
        <v>#NAME?</v>
      </c>
      <c r="AA355" s="226" t="e">
        <f aca="false">xSPRDOPT($L355,$J355,$I355,$M355,$O355,$N355,$P355,$Q355-$C$3,$R355,3)</f>
        <v>#NAME?</v>
      </c>
      <c r="AB355" s="226" t="e">
        <f aca="false">((xSPRDOPT($L355+AB$5,$J355,$I355,$M355,$O355,$N355,$P355,$Q355-$C$3,$R355,3)*$H355)/10000)/100</f>
        <v>#NAME?</v>
      </c>
      <c r="AC355" s="226" t="e">
        <f aca="false">((xSPRDOPT($L355+$AB$5,$J355,$I355,$M355,$O355,$N355,$P355,$Q355-$C$3,$R355,7)*$H355)/100)</f>
        <v>#NAME?</v>
      </c>
      <c r="AD355" s="226" t="e">
        <f aca="false">(xSPRDOPT($L355+$AB$5,$J355,$I355,$M355,$O355,$N355,$P355,$Q355-$C$3,$R355,9)/365)*$H355</f>
        <v>#NAME?</v>
      </c>
      <c r="AE355" s="0" t="e">
        <f aca="false">CD355</f>
        <v>#NAME?</v>
      </c>
      <c r="AF355" s="226" t="e">
        <f aca="false">((O355/N355)*AH355)+AG355</f>
        <v>#NAME?</v>
      </c>
      <c r="AG355" s="226" t="e">
        <f aca="false">((xSPRDOPT($L355,$J355,$I355,$M355,$O355,$N355,$P355,$Q355-$C$3,$R355,6)*$H355)/100)</f>
        <v>#NAME?</v>
      </c>
      <c r="AH355" s="226" t="e">
        <f aca="false">((xSPRDOPT($L355,$J355,$I355,$M355,$O355,$N355,$P355,$Q355-$C$3,$R355,5)*$H355)/100)</f>
        <v>#NAME?</v>
      </c>
      <c r="AI355" s="226" t="e">
        <f aca="false">(((xSPRDOPT($L355,$J355,$I355,$M355,$O355,$N355,$P355,$Q355-$C$3,$R355,4)*$H355)/10000)/100)-AB355</f>
        <v>#NAME?</v>
      </c>
      <c r="AJ355" s="226"/>
      <c r="AK355" s="226"/>
      <c r="AL355" s="226"/>
      <c r="AM355" s="252"/>
      <c r="CC355" s="182" t="n">
        <f aca="false">G355</f>
        <v>36951</v>
      </c>
      <c r="CD355" s="253" t="e">
        <f aca="false">xSPRDOPT((VLOOKUP(G355,NGPrices,2,FALSE())+HLOOKUP(D355,Prices,VLOOKUP(G355,move_down,2,FALSE()),FALSE())),VLOOKUP(G355,NGPrices,2,FALSE()),I355,VLOOKUP(G355,NGPREVPRICES,4,FALSE()),HLOOKUP(D355,PREVVOLS,VLOOKUP(G355,MOVE_DOWN2,2,FALSE()),FALSE()),VLOOKUP(G355,NGPREVPRICES,3,FALSE()),HLOOKUP(D355,Correllate,VLOOKUP(G355,CorMove,2,FALSE()),FALSE()),Q355-$CD$3,R355,$CD$5)*H355-CJ355</f>
        <v>#NAME?</v>
      </c>
      <c r="CE355" s="253" t="e">
        <f aca="false">xSPRDOPT((VLOOKUP(G355,NGPREVPRICES,2,FALSE())+HLOOKUP(D355,PREVCURVES,VLOOKUP(G355,MOVE_DOWN2,2,FALSE()),FALSE())),VLOOKUP(G355,NGPREVPRICES,2,FALSE()),CK355,VLOOKUP(G355,NGPrices,4,FALSE()),HLOOKUP(D355,PREVVOLS,VLOOKUP(G355,MOVE_DOWN2,2,FALSE()),FALSE()),VLOOKUP(G355,NGPREVPRICES,3,FALSE()),HLOOKUP(D355,Correllate,VLOOKUP(G355,CorMove,2,FALSE()),FALSE()),Q355-$CD$3,R355,$CJ$5)*H355-CJ355</f>
        <v>#NAME?</v>
      </c>
      <c r="CF355" s="132" t="e">
        <f aca="false">(CJ355/VLOOKUP(CC355,discount,3,FALSE()))-(CJ355/VLOOKUP(CC355,discount,2,FALSE()))</f>
        <v>#NAME?</v>
      </c>
      <c r="CG355" s="253" t="e">
        <f aca="false">xSPRDOPT((VLOOKUP(G355,NGPREVPRICES,2,FALSE())+HLOOKUP(D355,PREVCURVES,VLOOKUP(G355,MOVE_DOWN2,2,FALSE()),FALSE())),VLOOKUP(G355,NGPREVPRICES,2,FALSE()),CK355,VLOOKUP(G355,NGPREVPRICES,4,FALSE()),HLOOKUP(D355,VOLS,VLOOKUP(G355,move_down,2,FALSE()),FALSE()),VLOOKUP(G355,NGPrices,3,FALSE()),HLOOKUP(D355,Correllate,VLOOKUP(G355,CorMove,2,FALSE()),FALSE()),Q355-$CD$3,R355,$CJ$5)*H355-CJ355</f>
        <v>#NAME?</v>
      </c>
      <c r="CH355" s="253" t="e">
        <f aca="false">xSPRDOPT((VLOOKUP(G355,NGPREVPRICES,2,FALSE())+HLOOKUP(D355,PREVCURVES,VLOOKUP(G355,MOVE_DOWN2,2,FALSE()),FALSE())),VLOOKUP(G355,NGPREVPRICES,2,FALSE()),CK355,VLOOKUP(G355,NGPREVPRICES,4,FALSE()),HLOOKUP(D355,PREVVOLS,VLOOKUP(G355,MOVE_DOWN2,2,FALSE()),FALSE()),VLOOKUP(G355,NGPREVPRICES,3,FALSE()),HLOOKUP(D355,Correllate,VLOOKUP(G355,CorMove,2,FALSE()),FALSE()),Q355-$C$3,R355,$CJ$5)*H355-CJ355</f>
        <v>#NAME?</v>
      </c>
      <c r="CI355" s="253" t="e">
        <f aca="false">SUM(CD355:CH355)</f>
        <v>#NAME?</v>
      </c>
      <c r="CJ355" s="253" t="e">
        <f aca="false">xSPRDOPT((VLOOKUP(G355,NGPREVPRICES,2,FALSE())+HLOOKUP(D355,PREVCURVES,VLOOKUP(G355,MOVE_DOWN2,2,FALSE()),FALSE())),VLOOKUP(G355,NGPREVPRICES,2,FALSE()),CK355,VLOOKUP(G355,NGPREVPRICES,4,FALSE()),HLOOKUP(D355,PREVVOLS,VLOOKUP(G355,MOVE_DOWN2,2,FALSE()),FALSE()),VLOOKUP(G355,NGPREVPRICES,3,FALSE()),HLOOKUP(D355,Correllate,VLOOKUP(G355,CorMove,2,FALSE()),FALSE()),Q355-$CD$3,R355,$CJ$5)*H355</f>
        <v>#NAME?</v>
      </c>
      <c r="CK355" s="254" t="n">
        <f aca="false">I355</f>
        <v>0.75</v>
      </c>
      <c r="CM355" s="0" t="str">
        <f aca="false">CONCATENATE(CC355,$CD$6)</f>
        <v>36951Curve Shift/Gamma</v>
      </c>
      <c r="CN355" s="0" t="str">
        <f aca="false">CONCATENATE($CC355,$CE$6)</f>
        <v>36951Rho</v>
      </c>
      <c r="CO355" s="0" t="str">
        <f aca="false">CONCATENATE($CC355,$CF$6)</f>
        <v>36951Drift</v>
      </c>
      <c r="CP355" s="0" t="str">
        <f aca="false">CONCATENATE($CC355,$CG$6)</f>
        <v>36951Vega</v>
      </c>
      <c r="CQ355" s="0" t="str">
        <f aca="false">CONCATENATE($CC355,$CH$6)</f>
        <v>36951Theta</v>
      </c>
    </row>
    <row r="356" customFormat="false" ht="12.75" hidden="false" customHeight="false" outlineLevel="0" collapsed="false">
      <c r="A356" s="265" t="s">
        <v>198</v>
      </c>
      <c r="B356" s="0" t="s">
        <v>192</v>
      </c>
      <c r="C356" s="0" t="s">
        <v>327</v>
      </c>
      <c r="D356" s="7" t="s">
        <v>149</v>
      </c>
      <c r="E356" s="0" t="s">
        <v>131</v>
      </c>
      <c r="F356" s="0" t="s">
        <v>132</v>
      </c>
      <c r="G356" s="92" t="n">
        <v>36923</v>
      </c>
      <c r="H356" s="248" t="n">
        <v>500000</v>
      </c>
      <c r="I356" s="0" t="n">
        <v>0.75</v>
      </c>
      <c r="J356" s="124" t="n">
        <f aca="false">VLOOKUP(G356,NGPrices,2,FALSE())</f>
        <v>4.48</v>
      </c>
      <c r="K356" s="125" t="n">
        <f aca="false">HLOOKUP(D356,Prices,VLOOKUP(G356,move_down,2,FALSE()),FALSE())+VLOOKUP(G356,CHANGE,HLOOKUP(D356,CHANGE,2,FALSE()),FALSE())</f>
        <v>2.09</v>
      </c>
      <c r="L356" s="124" t="n">
        <f aca="false">K356+J356</f>
        <v>6.57</v>
      </c>
      <c r="M356" s="126" t="n">
        <f aca="false">VLOOKUP(G356,NGPrices,4,FALSE())</f>
        <v>0.068640161611372</v>
      </c>
      <c r="N356" s="7" t="n">
        <f aca="false">VLOOKUP(G356,NGPrices,3,FALSE())</f>
        <v>0.5925</v>
      </c>
      <c r="O356" s="7" t="n">
        <f aca="false">HLOOKUP(D356,VOLS,VLOOKUP(G356,move_down,2,FALSE()),FALSE())</f>
        <v>0.681</v>
      </c>
      <c r="P356" s="249" t="n">
        <f aca="false">HLOOKUP(D356,Correllate,VLOOKUP(G356,CorMove,2,FALSE()),FALSE())</f>
        <v>0.83</v>
      </c>
      <c r="Q356" s="92" t="n">
        <f aca="false">WORKDAY(G356,-2)</f>
        <v>36921</v>
      </c>
      <c r="R356" s="7" t="n">
        <f aca="false">IF(F356="P",0,1)</f>
        <v>0</v>
      </c>
      <c r="S356" s="130" t="e">
        <f aca="false">xSPRDOPT($L356,$J356,$I356,$M356,$O356,$N356,$P356,$Q356-$C$3,$R356,0)</f>
        <v>#NAME?</v>
      </c>
      <c r="T356" s="250" t="e">
        <f aca="false">xSPRDOPT($L356,$J356,$I356,$M356,$O356,$N356,$P356,$Q356-$C$3,$R356,1)*H356</f>
        <v>#NAME?</v>
      </c>
      <c r="U356" s="43" t="e">
        <f aca="false">S356*H356</f>
        <v>#NAME?</v>
      </c>
      <c r="V356" s="250" t="e">
        <f aca="false">xSPRDOPT($L356,$J356,$I356,$M356,$O356,$N356,$P356,$Q356-$C$3,$R356,2)*H356</f>
        <v>#NAME?</v>
      </c>
      <c r="W356" s="250" t="e">
        <f aca="false">+V356+T356</f>
        <v>#NAME?</v>
      </c>
      <c r="X356" s="2" t="str">
        <f aca="false">CONCATENATE(G356,D356)</f>
        <v>36923IF-TRANSCO/Z6</v>
      </c>
      <c r="Y356" s="251" t="n">
        <f aca="false">H356/10000</f>
        <v>50</v>
      </c>
      <c r="Z356" s="226" t="e">
        <f aca="false">T356/H356</f>
        <v>#NAME?</v>
      </c>
      <c r="AA356" s="226" t="e">
        <f aca="false">xSPRDOPT($L356,$J356,$I356,$M356,$O356,$N356,$P356,$Q356-$C$3,$R356,3)</f>
        <v>#NAME?</v>
      </c>
      <c r="AB356" s="226" t="e">
        <f aca="false">((xSPRDOPT($L356+AB$5,$J356,$I356,$M356,$O356,$N356,$P356,$Q356-$C$3,$R356,3)*$H356)/10000)/100</f>
        <v>#NAME?</v>
      </c>
      <c r="AC356" s="226" t="e">
        <f aca="false">((xSPRDOPT($L356+$AB$5,$J356,$I356,$M356,$O356,$N356,$P356,$Q356-$C$3,$R356,7)*$H356)/100)</f>
        <v>#NAME?</v>
      </c>
      <c r="AD356" s="226" t="e">
        <f aca="false">(xSPRDOPT($L356+$AB$5,$J356,$I356,$M356,$O356,$N356,$P356,$Q356-$C$3,$R356,9)/365)*$H356</f>
        <v>#NAME?</v>
      </c>
      <c r="AE356" s="0" t="e">
        <f aca="false">CD356</f>
        <v>#NAME?</v>
      </c>
      <c r="AF356" s="226" t="e">
        <f aca="false">((O356/N356)*AH356)+AG356</f>
        <v>#NAME?</v>
      </c>
      <c r="AG356" s="226" t="e">
        <f aca="false">((xSPRDOPT($L356,$J356,$I356,$M356,$O356,$N356,$P356,$Q356-$C$3,$R356,6)*$H356)/100)</f>
        <v>#NAME?</v>
      </c>
      <c r="AH356" s="226" t="e">
        <f aca="false">((xSPRDOPT($L356,$J356,$I356,$M356,$O356,$N356,$P356,$Q356-$C$3,$R356,5)*$H356)/100)</f>
        <v>#NAME?</v>
      </c>
      <c r="AI356" s="226" t="e">
        <f aca="false">(((xSPRDOPT($L356,$J356,$I356,$M356,$O356,$N356,$P356,$Q356-$C$3,$R356,4)*$H356)/10000)/100)-AB356</f>
        <v>#NAME?</v>
      </c>
      <c r="AJ356" s="226"/>
      <c r="AK356" s="226"/>
      <c r="AL356" s="226"/>
      <c r="AM356" s="252"/>
      <c r="CC356" s="182" t="n">
        <f aca="false">G356</f>
        <v>36923</v>
      </c>
      <c r="CD356" s="253" t="e">
        <f aca="false">xSPRDOPT((VLOOKUP(G356,NGPrices,2,FALSE())+HLOOKUP(D356,Prices,VLOOKUP(G356,move_down,2,FALSE()),FALSE())),VLOOKUP(G356,NGPrices,2,FALSE()),I356,VLOOKUP(G356,NGPREVPRICES,4,FALSE()),HLOOKUP(D356,PREVVOLS,VLOOKUP(G356,MOVE_DOWN2,2,FALSE()),FALSE()),VLOOKUP(G356,NGPREVPRICES,3,FALSE()),HLOOKUP(D356,Correllate,VLOOKUP(G356,CorMove,2,FALSE()),FALSE()),Q356-$CD$3,R356,$CD$5)*H356-CJ356</f>
        <v>#NAME?</v>
      </c>
      <c r="CE356" s="253" t="e">
        <f aca="false">xSPRDOPT((VLOOKUP(G356,NGPREVPRICES,2,FALSE())+HLOOKUP(D356,PREVCURVES,VLOOKUP(G356,MOVE_DOWN2,2,FALSE()),FALSE())),VLOOKUP(G356,NGPREVPRICES,2,FALSE()),CK356,VLOOKUP(G356,NGPrices,4,FALSE()),HLOOKUP(D356,PREVVOLS,VLOOKUP(G356,MOVE_DOWN2,2,FALSE()),FALSE()),VLOOKUP(G356,NGPREVPRICES,3,FALSE()),HLOOKUP(D356,Correllate,VLOOKUP(G356,CorMove,2,FALSE()),FALSE()),Q356-$CD$3,R356,$CJ$5)*H356-CJ356</f>
        <v>#NAME?</v>
      </c>
      <c r="CF356" s="132" t="e">
        <f aca="false">(CJ356/VLOOKUP(CC356,discount,3,FALSE()))-(CJ356/VLOOKUP(CC356,discount,2,FALSE()))</f>
        <v>#NAME?</v>
      </c>
      <c r="CG356" s="253" t="e">
        <f aca="false">xSPRDOPT((VLOOKUP(G356,NGPREVPRICES,2,FALSE())+HLOOKUP(D356,PREVCURVES,VLOOKUP(G356,MOVE_DOWN2,2,FALSE()),FALSE())),VLOOKUP(G356,NGPREVPRICES,2,FALSE()),CK356,VLOOKUP(G356,NGPREVPRICES,4,FALSE()),HLOOKUP(D356,VOLS,VLOOKUP(G356,move_down,2,FALSE()),FALSE()),VLOOKUP(G356,NGPrices,3,FALSE()),HLOOKUP(D356,Correllate,VLOOKUP(G356,CorMove,2,FALSE()),FALSE()),Q356-$CD$3,R356,$CJ$5)*H356-CJ356</f>
        <v>#NAME?</v>
      </c>
      <c r="CH356" s="253" t="e">
        <f aca="false">xSPRDOPT((VLOOKUP(G356,NGPREVPRICES,2,FALSE())+HLOOKUP(D356,PREVCURVES,VLOOKUP(G356,MOVE_DOWN2,2,FALSE()),FALSE())),VLOOKUP(G356,NGPREVPRICES,2,FALSE()),CK356,VLOOKUP(G356,NGPREVPRICES,4,FALSE()),HLOOKUP(D356,PREVVOLS,VLOOKUP(G356,MOVE_DOWN2,2,FALSE()),FALSE()),VLOOKUP(G356,NGPREVPRICES,3,FALSE()),HLOOKUP(D356,Correllate,VLOOKUP(G356,CorMove,2,FALSE()),FALSE()),Q356-$C$3,R356,$CJ$5)*H356-CJ356</f>
        <v>#NAME?</v>
      </c>
      <c r="CI356" s="253" t="e">
        <f aca="false">SUM(CD356:CH356)</f>
        <v>#NAME?</v>
      </c>
      <c r="CJ356" s="253" t="e">
        <f aca="false">xSPRDOPT((VLOOKUP(G356,NGPREVPRICES,2,FALSE())+HLOOKUP(D356,PREVCURVES,VLOOKUP(G356,MOVE_DOWN2,2,FALSE()),FALSE())),VLOOKUP(G356,NGPREVPRICES,2,FALSE()),CK356,VLOOKUP(G356,NGPREVPRICES,4,FALSE()),HLOOKUP(D356,PREVVOLS,VLOOKUP(G356,MOVE_DOWN2,2,FALSE()),FALSE()),VLOOKUP(G356,NGPREVPRICES,3,FALSE()),HLOOKUP(D356,Correllate,VLOOKUP(G356,CorMove,2,FALSE()),FALSE()),Q356-$CD$3,R356,$CJ$5)*H356</f>
        <v>#NAME?</v>
      </c>
      <c r="CK356" s="254" t="n">
        <f aca="false">I356</f>
        <v>0.75</v>
      </c>
      <c r="CM356" s="0" t="str">
        <f aca="false">CONCATENATE(CC356,$CD$6)</f>
        <v>36923Curve Shift/Gamma</v>
      </c>
      <c r="CN356" s="0" t="str">
        <f aca="false">CONCATENATE($CC356,$CE$6)</f>
        <v>36923Rho</v>
      </c>
      <c r="CO356" s="0" t="str">
        <f aca="false">CONCATENATE($CC356,$CF$6)</f>
        <v>36923Drift</v>
      </c>
      <c r="CP356" s="0" t="str">
        <f aca="false">CONCATENATE($CC356,$CG$6)</f>
        <v>36923Vega</v>
      </c>
      <c r="CQ356" s="0" t="str">
        <f aca="false">CONCATENATE($CC356,$CH$6)</f>
        <v>36923Theta</v>
      </c>
    </row>
    <row r="357" customFormat="false" ht="12.75" hidden="false" customHeight="false" outlineLevel="0" collapsed="false">
      <c r="A357" s="265" t="s">
        <v>198</v>
      </c>
      <c r="B357" s="0" t="s">
        <v>192</v>
      </c>
      <c r="C357" s="0" t="s">
        <v>327</v>
      </c>
      <c r="D357" s="7" t="s">
        <v>149</v>
      </c>
      <c r="E357" s="0" t="s">
        <v>131</v>
      </c>
      <c r="F357" s="0" t="s">
        <v>132</v>
      </c>
      <c r="G357" s="92" t="n">
        <v>36892</v>
      </c>
      <c r="H357" s="248" t="n">
        <v>500000</v>
      </c>
      <c r="I357" s="0" t="n">
        <v>0.75</v>
      </c>
      <c r="J357" s="124" t="n">
        <f aca="false">VLOOKUP(G357,NGPrices,2,FALSE())</f>
        <v>4.744</v>
      </c>
      <c r="K357" s="125" t="n">
        <f aca="false">HLOOKUP(D357,Prices,VLOOKUP(G357,move_down,2,FALSE()),FALSE())+VLOOKUP(G357,CHANGE,HLOOKUP(D357,CHANGE,2,FALSE()),FALSE())</f>
        <v>2.17</v>
      </c>
      <c r="L357" s="124" t="n">
        <f aca="false">K357+J357</f>
        <v>6.914</v>
      </c>
      <c r="M357" s="126" t="n">
        <f aca="false">VLOOKUP(G357,NGPrices,4,FALSE())</f>
        <v>0.068374831148491</v>
      </c>
      <c r="N357" s="7" t="n">
        <f aca="false">VLOOKUP(G357,NGPrices,3,FALSE())</f>
        <v>0.605</v>
      </c>
      <c r="O357" s="7" t="n">
        <f aca="false">HLOOKUP(D357,VOLS,VLOOKUP(G357,move_down,2,FALSE()),FALSE())</f>
        <v>0.696</v>
      </c>
      <c r="P357" s="249" t="n">
        <f aca="false">HLOOKUP(D357,Correllate,VLOOKUP(G357,CorMove,2,FALSE()),FALSE())</f>
        <v>0.83</v>
      </c>
      <c r="Q357" s="92" t="n">
        <f aca="false">WORKDAY(G357,-2)</f>
        <v>36888</v>
      </c>
      <c r="R357" s="7" t="n">
        <f aca="false">IF(F357="P",0,1)</f>
        <v>0</v>
      </c>
      <c r="S357" s="130" t="e">
        <f aca="false">xSPRDOPT($L357,$J357,$I357,$M357,$O357,$N357,$P357,$Q357-$C$3,$R357,0)</f>
        <v>#NAME?</v>
      </c>
      <c r="T357" s="250" t="e">
        <f aca="false">xSPRDOPT($L357,$J357,$I357,$M357,$O357,$N357,$P357,$Q357-$C$3,$R357,1)*H357</f>
        <v>#NAME?</v>
      </c>
      <c r="U357" s="43" t="e">
        <f aca="false">S357*H357</f>
        <v>#NAME?</v>
      </c>
      <c r="V357" s="250" t="e">
        <f aca="false">xSPRDOPT($L357,$J357,$I357,$M357,$O357,$N357,$P357,$Q357-$C$3,$R357,2)*H357</f>
        <v>#NAME?</v>
      </c>
      <c r="W357" s="250" t="e">
        <f aca="false">+V357+T357</f>
        <v>#NAME?</v>
      </c>
      <c r="X357" s="2" t="str">
        <f aca="false">CONCATENATE(G357,D357)</f>
        <v>36892IF-TRANSCO/Z6</v>
      </c>
      <c r="Y357" s="251" t="n">
        <f aca="false">H357/10000</f>
        <v>50</v>
      </c>
      <c r="Z357" s="226" t="e">
        <f aca="false">T357/H357</f>
        <v>#NAME?</v>
      </c>
      <c r="AA357" s="226" t="e">
        <f aca="false">xSPRDOPT($L357,$J357,$I357,$M357,$O357,$N357,$P357,$Q357-$C$3,$R357,3)</f>
        <v>#NAME?</v>
      </c>
      <c r="AB357" s="226" t="e">
        <f aca="false">((xSPRDOPT($L357+AB$5,$J357,$I357,$M357,$O357,$N357,$P357,$Q357-$C$3,$R357,3)*$H357)/10000)/100</f>
        <v>#NAME?</v>
      </c>
      <c r="AC357" s="226" t="e">
        <f aca="false">((xSPRDOPT($L357+$AB$5,$J357,$I357,$M357,$O357,$N357,$P357,$Q357-$C$3,$R357,7)*$H357)/100)</f>
        <v>#NAME?</v>
      </c>
      <c r="AD357" s="226" t="e">
        <f aca="false">(xSPRDOPT($L357+$AB$5,$J357,$I357,$M357,$O357,$N357,$P357,$Q357-$C$3,$R357,9)/365)*$H357</f>
        <v>#NAME?</v>
      </c>
      <c r="AE357" s="0" t="e">
        <f aca="false">CD357</f>
        <v>#NAME?</v>
      </c>
      <c r="AF357" s="226" t="e">
        <f aca="false">((O357/N357)*AH357)+AG357</f>
        <v>#NAME?</v>
      </c>
      <c r="AG357" s="226" t="e">
        <f aca="false">((xSPRDOPT($L357,$J357,$I357,$M357,$O357,$N357,$P357,$Q357-$C$3,$R357,6)*$H357)/100)</f>
        <v>#NAME?</v>
      </c>
      <c r="AH357" s="226" t="e">
        <f aca="false">((xSPRDOPT($L357,$J357,$I357,$M357,$O357,$N357,$P357,$Q357-$C$3,$R357,5)*$H357)/100)</f>
        <v>#NAME?</v>
      </c>
      <c r="AI357" s="226" t="e">
        <f aca="false">(((xSPRDOPT($L357,$J357,$I357,$M357,$O357,$N357,$P357,$Q357-$C$3,$R357,4)*$H357)/10000)/100)-AB357</f>
        <v>#NAME?</v>
      </c>
      <c r="AJ357" s="226"/>
      <c r="AK357" s="226"/>
      <c r="AL357" s="226"/>
      <c r="AM357" s="252"/>
      <c r="CC357" s="182" t="n">
        <f aca="false">G357</f>
        <v>36892</v>
      </c>
      <c r="CD357" s="253" t="e">
        <f aca="false">xSPRDOPT((VLOOKUP(G357,NGPrices,2,FALSE())+HLOOKUP(D357,Prices,VLOOKUP(G357,move_down,2,FALSE()),FALSE())),VLOOKUP(G357,NGPrices,2,FALSE()),I357,VLOOKUP(G357,NGPREVPRICES,4,FALSE()),HLOOKUP(D357,PREVVOLS,VLOOKUP(G357,MOVE_DOWN2,2,FALSE()),FALSE()),VLOOKUP(G357,NGPREVPRICES,3,FALSE()),HLOOKUP(D357,Correllate,VLOOKUP(G357,CorMove,2,FALSE()),FALSE()),Q357-$CD$3,R357,$CD$5)*H357-CJ357</f>
        <v>#NAME?</v>
      </c>
      <c r="CE357" s="253" t="e">
        <f aca="false">xSPRDOPT((VLOOKUP(G357,NGPREVPRICES,2,FALSE())+HLOOKUP(D357,PREVCURVES,VLOOKUP(G357,MOVE_DOWN2,2,FALSE()),FALSE())),VLOOKUP(G357,NGPREVPRICES,2,FALSE()),CK357,VLOOKUP(G357,NGPrices,4,FALSE()),HLOOKUP(D357,PREVVOLS,VLOOKUP(G357,MOVE_DOWN2,2,FALSE()),FALSE()),VLOOKUP(G357,NGPREVPRICES,3,FALSE()),HLOOKUP(D357,Correllate,VLOOKUP(G357,CorMove,2,FALSE()),FALSE()),Q357-$CD$3,R357,$CJ$5)*H357-CJ357</f>
        <v>#NAME?</v>
      </c>
      <c r="CF357" s="132" t="e">
        <f aca="false">(CJ357/VLOOKUP(CC357,discount,3,FALSE()))-(CJ357/VLOOKUP(CC357,discount,2,FALSE()))</f>
        <v>#NAME?</v>
      </c>
      <c r="CG357" s="253" t="e">
        <f aca="false">xSPRDOPT((VLOOKUP(G357,NGPREVPRICES,2,FALSE())+HLOOKUP(D357,PREVCURVES,VLOOKUP(G357,MOVE_DOWN2,2,FALSE()),FALSE())),VLOOKUP(G357,NGPREVPRICES,2,FALSE()),CK357,VLOOKUP(G357,NGPREVPRICES,4,FALSE()),HLOOKUP(D357,VOLS,VLOOKUP(G357,move_down,2,FALSE()),FALSE()),VLOOKUP(G357,NGPrices,3,FALSE()),HLOOKUP(D357,Correllate,VLOOKUP(G357,CorMove,2,FALSE()),FALSE()),Q357-$CD$3,R357,$CJ$5)*H357-CJ357</f>
        <v>#NAME?</v>
      </c>
      <c r="CH357" s="253" t="e">
        <f aca="false">xSPRDOPT((VLOOKUP(G357,NGPREVPRICES,2,FALSE())+HLOOKUP(D357,PREVCURVES,VLOOKUP(G357,MOVE_DOWN2,2,FALSE()),FALSE())),VLOOKUP(G357,NGPREVPRICES,2,FALSE()),CK357,VLOOKUP(G357,NGPREVPRICES,4,FALSE()),HLOOKUP(D357,PREVVOLS,VLOOKUP(G357,MOVE_DOWN2,2,FALSE()),FALSE()),VLOOKUP(G357,NGPREVPRICES,3,FALSE()),HLOOKUP(D357,Correllate,VLOOKUP(G357,CorMove,2,FALSE()),FALSE()),Q357-$C$3,R357,$CJ$5)*H357-CJ357</f>
        <v>#NAME?</v>
      </c>
      <c r="CI357" s="253" t="e">
        <f aca="false">SUM(CD357:CH357)</f>
        <v>#NAME?</v>
      </c>
      <c r="CJ357" s="253" t="e">
        <f aca="false">xSPRDOPT((VLOOKUP(G357,NGPREVPRICES,2,FALSE())+HLOOKUP(D357,PREVCURVES,VLOOKUP(G357,MOVE_DOWN2,2,FALSE()),FALSE())),VLOOKUP(G357,NGPREVPRICES,2,FALSE()),CK357,VLOOKUP(G357,NGPREVPRICES,4,FALSE()),HLOOKUP(D357,PREVVOLS,VLOOKUP(G357,MOVE_DOWN2,2,FALSE()),FALSE()),VLOOKUP(G357,NGPREVPRICES,3,FALSE()),HLOOKUP(D357,Correllate,VLOOKUP(G357,CorMove,2,FALSE()),FALSE()),Q357-$CD$3,R357,$CJ$5)*H357</f>
        <v>#NAME?</v>
      </c>
      <c r="CK357" s="254" t="n">
        <f aca="false">I357</f>
        <v>0.75</v>
      </c>
      <c r="CM357" s="0" t="str">
        <f aca="false">CONCATENATE(CC357,$CD$6)</f>
        <v>36892Curve Shift/Gamma</v>
      </c>
      <c r="CN357" s="0" t="str">
        <f aca="false">CONCATENATE($CC357,$CE$6)</f>
        <v>36892Rho</v>
      </c>
      <c r="CO357" s="0" t="str">
        <f aca="false">CONCATENATE($CC357,$CF$6)</f>
        <v>36892Drift</v>
      </c>
      <c r="CP357" s="0" t="str">
        <f aca="false">CONCATENATE($CC357,$CG$6)</f>
        <v>36892Vega</v>
      </c>
      <c r="CQ357" s="0" t="str">
        <f aca="false">CONCATENATE($CC357,$CH$6)</f>
        <v>36892Theta</v>
      </c>
    </row>
    <row r="358" customFormat="false" ht="12.75" hidden="false" customHeight="false" outlineLevel="0" collapsed="false">
      <c r="A358" s="265" t="s">
        <v>198</v>
      </c>
      <c r="B358" s="0" t="s">
        <v>192</v>
      </c>
      <c r="C358" s="0" t="s">
        <v>327</v>
      </c>
      <c r="D358" s="7" t="s">
        <v>149</v>
      </c>
      <c r="E358" s="0" t="s">
        <v>131</v>
      </c>
      <c r="F358" s="0" t="s">
        <v>132</v>
      </c>
      <c r="G358" s="92" t="n">
        <v>36861</v>
      </c>
      <c r="H358" s="248" t="n">
        <v>500000</v>
      </c>
      <c r="I358" s="0" t="n">
        <v>0.75</v>
      </c>
      <c r="J358" s="124" t="n">
        <f aca="false">VLOOKUP(G358,NGPrices,2,FALSE())</f>
        <v>4.8</v>
      </c>
      <c r="K358" s="125" t="n">
        <f aca="false">HLOOKUP(D358,Prices,VLOOKUP(G358,move_down,2,FALSE()),FALSE())+VLOOKUP(G358,CHANGE,HLOOKUP(D358,CHANGE,2,FALSE()),FALSE())</f>
        <v>1.645</v>
      </c>
      <c r="L358" s="124" t="n">
        <f aca="false">K358+J358</f>
        <v>6.445</v>
      </c>
      <c r="M358" s="126" t="n">
        <f aca="false">VLOOKUP(G358,NGPrices,4,FALSE())</f>
        <v>0.068314027999354</v>
      </c>
      <c r="N358" s="7" t="n">
        <f aca="false">VLOOKUP(G358,NGPrices,3,FALSE())</f>
        <v>0.6</v>
      </c>
      <c r="O358" s="7" t="n">
        <f aca="false">HLOOKUP(D358,VOLS,VLOOKUP(G358,move_down,2,FALSE()),FALSE())</f>
        <v>0.69</v>
      </c>
      <c r="P358" s="249" t="n">
        <f aca="false">HLOOKUP(D358,Correllate,VLOOKUP(G358,CorMove,2,FALSE()),FALSE())</f>
        <v>0.83</v>
      </c>
      <c r="Q358" s="92" t="n">
        <f aca="false">WORKDAY(G358,-2)</f>
        <v>36859</v>
      </c>
      <c r="R358" s="7" t="n">
        <f aca="false">IF(F358="P",0,1)</f>
        <v>0</v>
      </c>
      <c r="S358" s="130" t="e">
        <f aca="false">xSPRDOPT($L358,$J358,$I358,$M358,$O358,$N358,$P358,$Q358-$C$3,$R358,0)</f>
        <v>#NAME?</v>
      </c>
      <c r="T358" s="250" t="e">
        <f aca="false">xSPRDOPT($L358,$J358,$I358,$M358,$O358,$N358,$P358,$Q358-$C$3,$R358,1)*H358</f>
        <v>#NAME?</v>
      </c>
      <c r="U358" s="43" t="e">
        <f aca="false">S358*H358</f>
        <v>#NAME?</v>
      </c>
      <c r="V358" s="250" t="e">
        <f aca="false">xSPRDOPT($L358,$J358,$I358,$M358,$O358,$N358,$P358,$Q358-$C$3,$R358,2)*H358</f>
        <v>#NAME?</v>
      </c>
      <c r="W358" s="250" t="e">
        <f aca="false">+V358+T358</f>
        <v>#NAME?</v>
      </c>
      <c r="X358" s="2" t="str">
        <f aca="false">CONCATENATE(G358,D358)</f>
        <v>36861IF-TRANSCO/Z6</v>
      </c>
      <c r="Y358" s="251" t="n">
        <f aca="false">H358/10000</f>
        <v>50</v>
      </c>
      <c r="Z358" s="226" t="e">
        <f aca="false">T358/H358</f>
        <v>#NAME?</v>
      </c>
      <c r="AA358" s="226" t="e">
        <f aca="false">xSPRDOPT($L358,$J358,$I358,$M358,$O358,$N358,$P358,$Q358-$C$3,$R358,3)</f>
        <v>#NAME?</v>
      </c>
      <c r="AB358" s="226" t="e">
        <f aca="false">((xSPRDOPT($L358+AB$5,$J358,$I358,$M358,$O358,$N358,$P358,$Q358-$C$3,$R358,3)*$H358)/10000)/100</f>
        <v>#NAME?</v>
      </c>
      <c r="AC358" s="226" t="e">
        <f aca="false">((xSPRDOPT($L358+$AB$5,$J358,$I358,$M358,$O358,$N358,$P358,$Q358-$C$3,$R358,7)*$H358)/100)</f>
        <v>#NAME?</v>
      </c>
      <c r="AD358" s="226" t="e">
        <f aca="false">(xSPRDOPT($L358+$AB$5,$J358,$I358,$M358,$O358,$N358,$P358,$Q358-$C$3,$R358,9)/365)*$H358</f>
        <v>#NAME?</v>
      </c>
      <c r="AE358" s="0" t="e">
        <f aca="false">CD358</f>
        <v>#NAME?</v>
      </c>
      <c r="AF358" s="226" t="e">
        <f aca="false">((O358/N358)*AH358)+AG358</f>
        <v>#NAME?</v>
      </c>
      <c r="AG358" s="226" t="e">
        <f aca="false">((xSPRDOPT($L358,$J358,$I358,$M358,$O358,$N358,$P358,$Q358-$C$3,$R358,6)*$H358)/100)</f>
        <v>#NAME?</v>
      </c>
      <c r="AH358" s="226" t="e">
        <f aca="false">((xSPRDOPT($L358,$J358,$I358,$M358,$O358,$N358,$P358,$Q358-$C$3,$R358,5)*$H358)/100)</f>
        <v>#NAME?</v>
      </c>
      <c r="AI358" s="226" t="e">
        <f aca="false">(((xSPRDOPT($L358,$J358,$I358,$M358,$O358,$N358,$P358,$Q358-$C$3,$R358,4)*$H358)/10000)/100)-AB358</f>
        <v>#NAME?</v>
      </c>
      <c r="AJ358" s="226"/>
      <c r="AK358" s="226"/>
      <c r="AL358" s="226"/>
      <c r="AM358" s="252"/>
      <c r="CC358" s="182" t="n">
        <f aca="false">G358</f>
        <v>36861</v>
      </c>
      <c r="CD358" s="253" t="e">
        <f aca="false">xSPRDOPT((VLOOKUP(G358,NGPrices,2,FALSE())+HLOOKUP(D358,Prices,VLOOKUP(G358,move_down,2,FALSE()),FALSE())),VLOOKUP(G358,NGPrices,2,FALSE()),I358,VLOOKUP(G358,NGPREVPRICES,4,FALSE()),HLOOKUP(D358,PREVVOLS,VLOOKUP(G358,MOVE_DOWN2,2,FALSE()),FALSE()),VLOOKUP(G358,NGPREVPRICES,3,FALSE()),HLOOKUP(D358,Correllate,VLOOKUP(G358,CorMove,2,FALSE()),FALSE()),Q358-$CD$3,R358,$CD$5)*H358-CJ358</f>
        <v>#NAME?</v>
      </c>
      <c r="CE358" s="253" t="e">
        <f aca="false">xSPRDOPT((VLOOKUP(G358,NGPREVPRICES,2,FALSE())+HLOOKUP(D358,PREVCURVES,VLOOKUP(G358,MOVE_DOWN2,2,FALSE()),FALSE())),VLOOKUP(G358,NGPREVPRICES,2,FALSE()),CK358,VLOOKUP(G358,NGPrices,4,FALSE()),HLOOKUP(D358,PREVVOLS,VLOOKUP(G358,MOVE_DOWN2,2,FALSE()),FALSE()),VLOOKUP(G358,NGPREVPRICES,3,FALSE()),HLOOKUP(D358,Correllate,VLOOKUP(G358,CorMove,2,FALSE()),FALSE()),Q358-$CD$3,R358,$CJ$5)*H358-CJ358</f>
        <v>#NAME?</v>
      </c>
      <c r="CF358" s="132" t="e">
        <f aca="false">(CJ358/VLOOKUP(CC358,discount,3,FALSE()))-(CJ358/VLOOKUP(CC358,discount,2,FALSE()))</f>
        <v>#NAME?</v>
      </c>
      <c r="CG358" s="253" t="e">
        <f aca="false">xSPRDOPT((VLOOKUP(G358,NGPREVPRICES,2,FALSE())+HLOOKUP(D358,PREVCURVES,VLOOKUP(G358,MOVE_DOWN2,2,FALSE()),FALSE())),VLOOKUP(G358,NGPREVPRICES,2,FALSE()),CK358,VLOOKUP(G358,NGPREVPRICES,4,FALSE()),HLOOKUP(D358,VOLS,VLOOKUP(G358,move_down,2,FALSE()),FALSE()),VLOOKUP(G358,NGPrices,3,FALSE()),HLOOKUP(D358,Correllate,VLOOKUP(G358,CorMove,2,FALSE()),FALSE()),Q358-$CD$3,R358,$CJ$5)*H358-CJ358</f>
        <v>#NAME?</v>
      </c>
      <c r="CH358" s="253" t="e">
        <f aca="false">xSPRDOPT((VLOOKUP(G358,NGPREVPRICES,2,FALSE())+HLOOKUP(D358,PREVCURVES,VLOOKUP(G358,MOVE_DOWN2,2,FALSE()),FALSE())),VLOOKUP(G358,NGPREVPRICES,2,FALSE()),CK358,VLOOKUP(G358,NGPREVPRICES,4,FALSE()),HLOOKUP(D358,PREVVOLS,VLOOKUP(G358,MOVE_DOWN2,2,FALSE()),FALSE()),VLOOKUP(G358,NGPREVPRICES,3,FALSE()),HLOOKUP(D358,Correllate,VLOOKUP(G358,CorMove,2,FALSE()),FALSE()),Q358-$C$3,R358,$CJ$5)*H358-CJ358</f>
        <v>#NAME?</v>
      </c>
      <c r="CI358" s="253" t="e">
        <f aca="false">SUM(CD358:CH358)</f>
        <v>#NAME?</v>
      </c>
      <c r="CJ358" s="253" t="e">
        <f aca="false">xSPRDOPT((VLOOKUP(G358,NGPREVPRICES,2,FALSE())+HLOOKUP(D358,PREVCURVES,VLOOKUP(G358,MOVE_DOWN2,2,FALSE()),FALSE())),VLOOKUP(G358,NGPREVPRICES,2,FALSE()),CK358,VLOOKUP(G358,NGPREVPRICES,4,FALSE()),HLOOKUP(D358,PREVVOLS,VLOOKUP(G358,MOVE_DOWN2,2,FALSE()),FALSE()),VLOOKUP(G358,NGPREVPRICES,3,FALSE()),HLOOKUP(D358,Correllate,VLOOKUP(G358,CorMove,2,FALSE()),FALSE()),Q358-$CD$3,R358,$CJ$5)*H358</f>
        <v>#NAME?</v>
      </c>
      <c r="CK358" s="254" t="n">
        <f aca="false">I358</f>
        <v>0.75</v>
      </c>
      <c r="CM358" s="0" t="str">
        <f aca="false">CONCATENATE(CC358,$CD$6)</f>
        <v>36861Curve Shift/Gamma</v>
      </c>
      <c r="CN358" s="0" t="str">
        <f aca="false">CONCATENATE($CC358,$CE$6)</f>
        <v>36861Rho</v>
      </c>
      <c r="CO358" s="0" t="str">
        <f aca="false">CONCATENATE($CC358,$CF$6)</f>
        <v>36861Drift</v>
      </c>
      <c r="CP358" s="0" t="str">
        <f aca="false">CONCATENATE($CC358,$CG$6)</f>
        <v>36861Vega</v>
      </c>
      <c r="CQ358" s="0" t="str">
        <f aca="false">CONCATENATE($CC358,$CH$6)</f>
        <v>36861Theta</v>
      </c>
    </row>
    <row r="359" customFormat="false" ht="12.75" hidden="false" customHeight="false" outlineLevel="0" collapsed="false">
      <c r="A359" s="265" t="s">
        <v>198</v>
      </c>
      <c r="B359" s="0" t="s">
        <v>192</v>
      </c>
      <c r="C359" s="0" t="s">
        <v>327</v>
      </c>
      <c r="D359" s="7" t="s">
        <v>149</v>
      </c>
      <c r="E359" s="0" t="s">
        <v>131</v>
      </c>
      <c r="F359" s="0" t="s">
        <v>132</v>
      </c>
      <c r="G359" s="92" t="n">
        <v>36831</v>
      </c>
      <c r="H359" s="248" t="n">
        <v>500000</v>
      </c>
      <c r="I359" s="0" t="n">
        <v>0.75</v>
      </c>
      <c r="J359" s="124" t="n">
        <f aca="false">VLOOKUP(G359,NGPrices,2,FALSE())</f>
        <v>4.736</v>
      </c>
      <c r="K359" s="125" t="n">
        <f aca="false">HLOOKUP(D359,Prices,VLOOKUP(G359,move_down,2,FALSE()),FALSE())+VLOOKUP(G359,CHANGE,HLOOKUP(D359,CHANGE,2,FALSE()),FALSE())</f>
        <v>0.77</v>
      </c>
      <c r="L359" s="124" t="n">
        <f aca="false">K359+J359</f>
        <v>5.506</v>
      </c>
      <c r="M359" s="126" t="n">
        <f aca="false">VLOOKUP(G359,NGPrices,4,FALSE())</f>
        <v>0.06810675983792</v>
      </c>
      <c r="N359" s="7" t="n">
        <f aca="false">VLOOKUP(G359,NGPrices,3,FALSE())</f>
        <v>0.595</v>
      </c>
      <c r="O359" s="7" t="n">
        <f aca="false">HLOOKUP(D359,VOLS,VLOOKUP(G359,move_down,2,FALSE()),FALSE())</f>
        <v>0.625</v>
      </c>
      <c r="P359" s="249" t="n">
        <f aca="false">HLOOKUP(D359,Correllate,VLOOKUP(G359,CorMove,2,FALSE()),FALSE())</f>
        <v>0.89</v>
      </c>
      <c r="Q359" s="92" t="n">
        <f aca="false">WORKDAY(G359,-2)</f>
        <v>36829</v>
      </c>
      <c r="R359" s="7" t="n">
        <f aca="false">IF(F359="P",0,1)</f>
        <v>0</v>
      </c>
      <c r="S359" s="130" t="e">
        <f aca="false">xSPRDOPT($L359,$J359,$I359,$M359,$O359,$N359,$P359,$Q359-$C$3,$R359,0)</f>
        <v>#NAME?</v>
      </c>
      <c r="T359" s="250" t="e">
        <f aca="false">xSPRDOPT($L359,$J359,$I359,$M359,$O359,$N359,$P359,$Q359-$C$3,$R359,1)*H359</f>
        <v>#NAME?</v>
      </c>
      <c r="U359" s="43" t="e">
        <f aca="false">S359*H359</f>
        <v>#NAME?</v>
      </c>
      <c r="V359" s="250" t="e">
        <f aca="false">xSPRDOPT($L359,$J359,$I359,$M359,$O359,$N359,$P359,$Q359-$C$3,$R359,2)*H359</f>
        <v>#NAME?</v>
      </c>
      <c r="W359" s="250" t="e">
        <f aca="false">+V359+T359</f>
        <v>#NAME?</v>
      </c>
      <c r="X359" s="2" t="str">
        <f aca="false">CONCATENATE(G359,D359)</f>
        <v>36831IF-TRANSCO/Z6</v>
      </c>
      <c r="Y359" s="251" t="n">
        <f aca="false">H359/10000</f>
        <v>50</v>
      </c>
      <c r="Z359" s="226" t="e">
        <f aca="false">T359/H359</f>
        <v>#NAME?</v>
      </c>
      <c r="AA359" s="226" t="e">
        <f aca="false">xSPRDOPT($L359,$J359,$I359,$M359,$O359,$N359,$P359,$Q359-$C$3,$R359,3)</f>
        <v>#NAME?</v>
      </c>
      <c r="AB359" s="226" t="e">
        <f aca="false">((xSPRDOPT($L359+AB$5,$J359,$I359,$M359,$O359,$N359,$P359,$Q359-$C$3,$R359,3)*$H359)/10000)/100</f>
        <v>#NAME?</v>
      </c>
      <c r="AC359" s="226" t="e">
        <f aca="false">((xSPRDOPT($L359+$AB$5,$J359,$I359,$M359,$O359,$N359,$P359,$Q359-$C$3,$R359,7)*$H359)/100)</f>
        <v>#NAME?</v>
      </c>
      <c r="AD359" s="226" t="e">
        <f aca="false">(xSPRDOPT($L359+$AB$5,$J359,$I359,$M359,$O359,$N359,$P359,$Q359-$C$3,$R359,9)/365)*$H359</f>
        <v>#NAME?</v>
      </c>
      <c r="AE359" s="0" t="e">
        <f aca="false">CD359</f>
        <v>#NAME?</v>
      </c>
      <c r="AF359" s="226" t="e">
        <f aca="false">((O359/N359)*AH359)+AG359</f>
        <v>#NAME?</v>
      </c>
      <c r="AG359" s="226" t="e">
        <f aca="false">((xSPRDOPT($L359,$J359,$I359,$M359,$O359,$N359,$P359,$Q359-$C$3,$R359,6)*$H359)/100)</f>
        <v>#NAME?</v>
      </c>
      <c r="AH359" s="226" t="e">
        <f aca="false">((xSPRDOPT($L359,$J359,$I359,$M359,$O359,$N359,$P359,$Q359-$C$3,$R359,5)*$H359)/100)</f>
        <v>#NAME?</v>
      </c>
      <c r="AI359" s="226" t="e">
        <f aca="false">(((xSPRDOPT($L359,$J359,$I359,$M359,$O359,$N359,$P359,$Q359-$C$3,$R359,4)*$H359)/10000)/100)-AB359</f>
        <v>#NAME?</v>
      </c>
      <c r="AJ359" s="226"/>
      <c r="AK359" s="226"/>
      <c r="AL359" s="226"/>
      <c r="AM359" s="252"/>
      <c r="CC359" s="182" t="n">
        <f aca="false">G359</f>
        <v>36831</v>
      </c>
      <c r="CD359" s="253" t="e">
        <f aca="false">xSPRDOPT((VLOOKUP(G359,NGPrices,2,FALSE())+HLOOKUP(D359,Prices,VLOOKUP(G359,move_down,2,FALSE()),FALSE())),VLOOKUP(G359,NGPrices,2,FALSE()),I359,VLOOKUP(G359,NGPREVPRICES,4,FALSE()),HLOOKUP(D359,PREVVOLS,VLOOKUP(G359,MOVE_DOWN2,2,FALSE()),FALSE()),VLOOKUP(G359,NGPREVPRICES,3,FALSE()),HLOOKUP(D359,Correllate,VLOOKUP(G359,CorMove,2,FALSE()),FALSE()),Q359-$CD$3,R359,$CD$5)*H359-CJ359</f>
        <v>#NAME?</v>
      </c>
      <c r="CE359" s="253" t="e">
        <f aca="false">xSPRDOPT((VLOOKUP(G359,NGPREVPRICES,2,FALSE())+HLOOKUP(D359,PREVCURVES,VLOOKUP(G359,MOVE_DOWN2,2,FALSE()),FALSE())),VLOOKUP(G359,NGPREVPRICES,2,FALSE()),CK359,VLOOKUP(G359,NGPrices,4,FALSE()),HLOOKUP(D359,PREVVOLS,VLOOKUP(G359,MOVE_DOWN2,2,FALSE()),FALSE()),VLOOKUP(G359,NGPREVPRICES,3,FALSE()),HLOOKUP(D359,Correllate,VLOOKUP(G359,CorMove,2,FALSE()),FALSE()),Q359-$CD$3,R359,$CJ$5)*H359-CJ359</f>
        <v>#NAME?</v>
      </c>
      <c r="CF359" s="132" t="e">
        <f aca="false">(CJ359/VLOOKUP(CC359,discount,3,FALSE()))-(CJ359/VLOOKUP(CC359,discount,2,FALSE()))</f>
        <v>#NAME?</v>
      </c>
      <c r="CG359" s="253" t="e">
        <f aca="false">xSPRDOPT((VLOOKUP(G359,NGPREVPRICES,2,FALSE())+HLOOKUP(D359,PREVCURVES,VLOOKUP(G359,MOVE_DOWN2,2,FALSE()),FALSE())),VLOOKUP(G359,NGPREVPRICES,2,FALSE()),CK359,VLOOKUP(G359,NGPREVPRICES,4,FALSE()),HLOOKUP(D359,VOLS,VLOOKUP(G359,move_down,2,FALSE()),FALSE()),VLOOKUP(G359,NGPrices,3,FALSE()),HLOOKUP(D359,Correllate,VLOOKUP(G359,CorMove,2,FALSE()),FALSE()),Q359-$CD$3,R359,$CJ$5)*H359-CJ359</f>
        <v>#NAME?</v>
      </c>
      <c r="CH359" s="253" t="e">
        <f aca="false">xSPRDOPT((VLOOKUP(G359,NGPREVPRICES,2,FALSE())+HLOOKUP(D359,PREVCURVES,VLOOKUP(G359,MOVE_DOWN2,2,FALSE()),FALSE())),VLOOKUP(G359,NGPREVPRICES,2,FALSE()),CK359,VLOOKUP(G359,NGPREVPRICES,4,FALSE()),HLOOKUP(D359,PREVVOLS,VLOOKUP(G359,MOVE_DOWN2,2,FALSE()),FALSE()),VLOOKUP(G359,NGPREVPRICES,3,FALSE()),HLOOKUP(D359,Correllate,VLOOKUP(G359,CorMove,2,FALSE()),FALSE()),Q359-$C$3,R359,$CJ$5)*H359-CJ359</f>
        <v>#NAME?</v>
      </c>
      <c r="CI359" s="253" t="e">
        <f aca="false">SUM(CD359:CH359)</f>
        <v>#NAME?</v>
      </c>
      <c r="CJ359" s="253" t="e">
        <f aca="false">xSPRDOPT((VLOOKUP(G359,NGPREVPRICES,2,FALSE())+HLOOKUP(D359,PREVCURVES,VLOOKUP(G359,MOVE_DOWN2,2,FALSE()),FALSE())),VLOOKUP(G359,NGPREVPRICES,2,FALSE()),CK359,VLOOKUP(G359,NGPREVPRICES,4,FALSE()),HLOOKUP(D359,PREVVOLS,VLOOKUP(G359,MOVE_DOWN2,2,FALSE()),FALSE()),VLOOKUP(G359,NGPREVPRICES,3,FALSE()),HLOOKUP(D359,Correllate,VLOOKUP(G359,CorMove,2,FALSE()),FALSE()),Q359-$CD$3,R359,$CJ$5)*H359</f>
        <v>#NAME?</v>
      </c>
      <c r="CK359" s="254" t="n">
        <f aca="false">I359</f>
        <v>0.75</v>
      </c>
      <c r="CM359" s="0" t="str">
        <f aca="false">CONCATENATE(CC359,$CD$6)</f>
        <v>36831Curve Shift/Gamma</v>
      </c>
      <c r="CN359" s="0" t="str">
        <f aca="false">CONCATENATE($CC359,$CE$6)</f>
        <v>36831Rho</v>
      </c>
      <c r="CO359" s="0" t="str">
        <f aca="false">CONCATENATE($CC359,$CF$6)</f>
        <v>36831Drift</v>
      </c>
      <c r="CP359" s="0" t="str">
        <f aca="false">CONCATENATE($CC359,$CG$6)</f>
        <v>36831Vega</v>
      </c>
      <c r="CQ359" s="0" t="str">
        <f aca="false">CONCATENATE($CC359,$CH$6)</f>
        <v>36831Theta</v>
      </c>
    </row>
    <row r="360" customFormat="false" ht="12.75" hidden="false" customHeight="false" outlineLevel="0" collapsed="false">
      <c r="A360" s="265" t="s">
        <v>198</v>
      </c>
      <c r="B360" s="0" t="s">
        <v>192</v>
      </c>
      <c r="C360" s="0" t="s">
        <v>328</v>
      </c>
      <c r="D360" s="7" t="s">
        <v>149</v>
      </c>
      <c r="E360" s="0" t="s">
        <v>131</v>
      </c>
      <c r="F360" s="0" t="s">
        <v>136</v>
      </c>
      <c r="G360" s="92" t="n">
        <v>37316</v>
      </c>
      <c r="H360" s="248" t="n">
        <v>500000</v>
      </c>
      <c r="I360" s="0" t="n">
        <v>1.33</v>
      </c>
      <c r="J360" s="124" t="n">
        <f aca="false">VLOOKUP(G360,NGPrices,2,FALSE())</f>
        <v>3.605</v>
      </c>
      <c r="K360" s="125" t="n">
        <f aca="false">HLOOKUP(D360,Prices,VLOOKUP(G360,move_down,2,FALSE()),FALSE())+VLOOKUP(G360,CHANGE,HLOOKUP(D360,CHANGE,2,FALSE()),FALSE())</f>
        <v>0.99</v>
      </c>
      <c r="L360" s="124" t="n">
        <f aca="false">K360+J360</f>
        <v>4.595</v>
      </c>
      <c r="M360" s="126" t="n">
        <f aca="false">VLOOKUP(G360,NGPrices,4,FALSE())</f>
        <v>0.069499863695119</v>
      </c>
      <c r="N360" s="7" t="n">
        <f aca="false">VLOOKUP(G360,NGPrices,3,FALSE())</f>
        <v>0.365</v>
      </c>
      <c r="O360" s="7" t="n">
        <f aca="false">HLOOKUP(D360,VOLS,VLOOKUP(G360,move_down,2,FALSE()),FALSE())</f>
        <v>0.402</v>
      </c>
      <c r="P360" s="249" t="n">
        <f aca="false">HLOOKUP(D360,Correllate,VLOOKUP(G360,CorMove,2,FALSE()),FALSE())</f>
        <v>0.95</v>
      </c>
      <c r="Q360" s="92" t="n">
        <f aca="false">WORKDAY(G360,-2)</f>
        <v>37314</v>
      </c>
      <c r="R360" s="7" t="n">
        <f aca="false">IF(F360="P",0,1)</f>
        <v>1</v>
      </c>
      <c r="S360" s="130" t="e">
        <f aca="false">xSPRDOPT($L360,$J360,$I360,$M360,$O360,$N360,$P360,$Q360-$C$3,$R360,0)</f>
        <v>#NAME?</v>
      </c>
      <c r="T360" s="250" t="e">
        <f aca="false">xSPRDOPT($L360,$J360,$I360,$M360,$O360,$N360,$P360,$Q360-$C$3,$R360,1)*H360</f>
        <v>#NAME?</v>
      </c>
      <c r="U360" s="43" t="e">
        <f aca="false">S360*H360</f>
        <v>#NAME?</v>
      </c>
      <c r="V360" s="250" t="e">
        <f aca="false">xSPRDOPT($L360,$J360,$I360,$M360,$O360,$N360,$P360,$Q360-$C$3,$R360,2)*H360</f>
        <v>#NAME?</v>
      </c>
      <c r="W360" s="250" t="e">
        <f aca="false">+V360+T360</f>
        <v>#NAME?</v>
      </c>
      <c r="X360" s="2" t="str">
        <f aca="false">CONCATENATE(G360,D360)</f>
        <v>37316IF-TRANSCO/Z6</v>
      </c>
      <c r="Y360" s="251" t="n">
        <f aca="false">H360/10000</f>
        <v>50</v>
      </c>
      <c r="Z360" s="226" t="e">
        <f aca="false">T360/H360</f>
        <v>#NAME?</v>
      </c>
      <c r="AA360" s="226" t="e">
        <f aca="false">xSPRDOPT($L360,$J360,$I360,$M360,$O360,$N360,$P360,$Q360-$C$3,$R360,3)</f>
        <v>#NAME?</v>
      </c>
      <c r="AB360" s="226" t="e">
        <f aca="false">((xSPRDOPT($L360+AB$5,$J360,$I360,$M360,$O360,$N360,$P360,$Q360-$C$3,$R360,3)*$H360)/10000)/100</f>
        <v>#NAME?</v>
      </c>
      <c r="AC360" s="226" t="e">
        <f aca="false">((xSPRDOPT($L360+$AB$5,$J360,$I360,$M360,$O360,$N360,$P360,$Q360-$C$3,$R360,7)*$H360)/100)</f>
        <v>#NAME?</v>
      </c>
      <c r="AD360" s="226" t="e">
        <f aca="false">(xSPRDOPT($L360+$AB$5,$J360,$I360,$M360,$O360,$N360,$P360,$Q360-$C$3,$R360,9)/365)*$H360</f>
        <v>#NAME?</v>
      </c>
      <c r="AE360" s="0" t="e">
        <f aca="false">CD360</f>
        <v>#NAME?</v>
      </c>
      <c r="AF360" s="226" t="e">
        <f aca="false">((O360/N360)*AH360)+AG360</f>
        <v>#NAME?</v>
      </c>
      <c r="AG360" s="226" t="e">
        <f aca="false">((xSPRDOPT($L360,$J360,$I360,$M360,$O360,$N360,$P360,$Q360-$C$3,$R360,6)*$H360)/100)</f>
        <v>#NAME?</v>
      </c>
      <c r="AH360" s="226" t="e">
        <f aca="false">((xSPRDOPT($L360,$J360,$I360,$M360,$O360,$N360,$P360,$Q360-$C$3,$R360,5)*$H360)/100)</f>
        <v>#NAME?</v>
      </c>
      <c r="AI360" s="226" t="e">
        <f aca="false">(((xSPRDOPT($L360,$J360,$I360,$M360,$O360,$N360,$P360,$Q360-$C$3,$R360,4)*$H360)/10000)/100)-AB360</f>
        <v>#NAME?</v>
      </c>
      <c r="AJ360" s="226"/>
      <c r="AK360" s="226"/>
      <c r="AL360" s="226"/>
      <c r="AM360" s="252"/>
      <c r="CC360" s="182" t="n">
        <f aca="false">G360</f>
        <v>37316</v>
      </c>
      <c r="CD360" s="253" t="e">
        <f aca="false">xSPRDOPT((VLOOKUP(G360,NGPrices,2,FALSE())+HLOOKUP(D360,Prices,VLOOKUP(G360,move_down,2,FALSE()),FALSE())),VLOOKUP(G360,NGPrices,2,FALSE()),I360,VLOOKUP(G360,NGPREVPRICES,4,FALSE()),HLOOKUP(D360,PREVVOLS,VLOOKUP(G360,MOVE_DOWN2,2,FALSE()),FALSE()),VLOOKUP(G360,NGPREVPRICES,3,FALSE()),HLOOKUP(D360,Correllate,VLOOKUP(G360,CorMove,2,FALSE()),FALSE()),Q360-$CD$3,R360,$CD$5)*H360-CJ360</f>
        <v>#NAME?</v>
      </c>
      <c r="CE360" s="253" t="e">
        <f aca="false">xSPRDOPT((VLOOKUP(G360,NGPREVPRICES,2,FALSE())+HLOOKUP(D360,PREVCURVES,VLOOKUP(G360,MOVE_DOWN2,2,FALSE()),FALSE())),VLOOKUP(G360,NGPREVPRICES,2,FALSE()),CK360,VLOOKUP(G360,NGPrices,4,FALSE()),HLOOKUP(D360,PREVVOLS,VLOOKUP(G360,MOVE_DOWN2,2,FALSE()),FALSE()),VLOOKUP(G360,NGPREVPRICES,3,FALSE()),HLOOKUP(D360,Correllate,VLOOKUP(G360,CorMove,2,FALSE()),FALSE()),Q360-$CD$3,R360,$CJ$5)*H360-CJ360</f>
        <v>#NAME?</v>
      </c>
      <c r="CF360" s="132" t="e">
        <f aca="false">(CJ360/VLOOKUP(CC360,discount,3,FALSE()))-(CJ360/VLOOKUP(CC360,discount,2,FALSE()))</f>
        <v>#NAME?</v>
      </c>
      <c r="CG360" s="253" t="e">
        <f aca="false">xSPRDOPT((VLOOKUP(G360,NGPREVPRICES,2,FALSE())+HLOOKUP(D360,PREVCURVES,VLOOKUP(G360,MOVE_DOWN2,2,FALSE()),FALSE())),VLOOKUP(G360,NGPREVPRICES,2,FALSE()),CK360,VLOOKUP(G360,NGPREVPRICES,4,FALSE()),HLOOKUP(D360,VOLS,VLOOKUP(G360,move_down,2,FALSE()),FALSE()),VLOOKUP(G360,NGPrices,3,FALSE()),HLOOKUP(D360,Correllate,VLOOKUP(G360,CorMove,2,FALSE()),FALSE()),Q360-$CD$3,R360,$CJ$5)*H360-CJ360</f>
        <v>#NAME?</v>
      </c>
      <c r="CH360" s="253" t="e">
        <f aca="false">xSPRDOPT((VLOOKUP(G360,NGPREVPRICES,2,FALSE())+HLOOKUP(D360,PREVCURVES,VLOOKUP(G360,MOVE_DOWN2,2,FALSE()),FALSE())),VLOOKUP(G360,NGPREVPRICES,2,FALSE()),CK360,VLOOKUP(G360,NGPREVPRICES,4,FALSE()),HLOOKUP(D360,PREVVOLS,VLOOKUP(G360,MOVE_DOWN2,2,FALSE()),FALSE()),VLOOKUP(G360,NGPREVPRICES,3,FALSE()),HLOOKUP(D360,Correllate,VLOOKUP(G360,CorMove,2,FALSE()),FALSE()),Q360-$C$3,R360,$CJ$5)*H360-CJ360</f>
        <v>#NAME?</v>
      </c>
      <c r="CI360" s="253" t="e">
        <f aca="false">SUM(CD360:CH360)</f>
        <v>#NAME?</v>
      </c>
      <c r="CJ360" s="253" t="e">
        <f aca="false">xSPRDOPT((VLOOKUP(G360,NGPREVPRICES,2,FALSE())+HLOOKUP(D360,PREVCURVES,VLOOKUP(G360,MOVE_DOWN2,2,FALSE()),FALSE())),VLOOKUP(G360,NGPREVPRICES,2,FALSE()),CK360,VLOOKUP(G360,NGPREVPRICES,4,FALSE()),HLOOKUP(D360,PREVVOLS,VLOOKUP(G360,MOVE_DOWN2,2,FALSE()),FALSE()),VLOOKUP(G360,NGPREVPRICES,3,FALSE()),HLOOKUP(D360,Correllate,VLOOKUP(G360,CorMove,2,FALSE()),FALSE()),Q360-$CD$3,R360,$CJ$5)*H360</f>
        <v>#NAME?</v>
      </c>
      <c r="CK360" s="254" t="n">
        <f aca="false">I360</f>
        <v>1.33</v>
      </c>
      <c r="CM360" s="0" t="str">
        <f aca="false">CONCATENATE(CC360,$CD$6)</f>
        <v>37316Curve Shift/Gamma</v>
      </c>
      <c r="CN360" s="0" t="str">
        <f aca="false">CONCATENATE($CC360,$CE$6)</f>
        <v>37316Rho</v>
      </c>
      <c r="CO360" s="0" t="str">
        <f aca="false">CONCATENATE($CC360,$CF$6)</f>
        <v>37316Drift</v>
      </c>
      <c r="CP360" s="0" t="str">
        <f aca="false">CONCATENATE($CC360,$CG$6)</f>
        <v>37316Vega</v>
      </c>
      <c r="CQ360" s="0" t="str">
        <f aca="false">CONCATENATE($CC360,$CH$6)</f>
        <v>37316Theta</v>
      </c>
    </row>
    <row r="361" customFormat="false" ht="12.75" hidden="false" customHeight="false" outlineLevel="0" collapsed="false">
      <c r="A361" s="265" t="s">
        <v>198</v>
      </c>
      <c r="B361" s="0" t="s">
        <v>192</v>
      </c>
      <c r="C361" s="0" t="s">
        <v>328</v>
      </c>
      <c r="D361" s="7" t="s">
        <v>149</v>
      </c>
      <c r="E361" s="0" t="s">
        <v>131</v>
      </c>
      <c r="F361" s="0" t="s">
        <v>136</v>
      </c>
      <c r="G361" s="92" t="n">
        <v>37288</v>
      </c>
      <c r="H361" s="248" t="n">
        <v>500000</v>
      </c>
      <c r="I361" s="0" t="n">
        <v>1.33</v>
      </c>
      <c r="J361" s="124" t="n">
        <f aca="false">VLOOKUP(G361,NGPrices,2,FALSE())</f>
        <v>3.77</v>
      </c>
      <c r="K361" s="125" t="n">
        <f aca="false">HLOOKUP(D361,Prices,VLOOKUP(G361,move_down,2,FALSE()),FALSE())+VLOOKUP(G361,CHANGE,HLOOKUP(D361,CHANGE,2,FALSE()),FALSE())</f>
        <v>1.56</v>
      </c>
      <c r="L361" s="124" t="n">
        <f aca="false">K361+J361</f>
        <v>5.33</v>
      </c>
      <c r="M361" s="126" t="n">
        <f aca="false">VLOOKUP(G361,NGPrices,4,FALSE())</f>
        <v>0.069453688628792</v>
      </c>
      <c r="N361" s="7" t="n">
        <f aca="false">VLOOKUP(G361,NGPrices,3,FALSE())</f>
        <v>0.395</v>
      </c>
      <c r="O361" s="7" t="n">
        <f aca="false">HLOOKUP(D361,VOLS,VLOOKUP(G361,move_down,2,FALSE()),FALSE())</f>
        <v>0.435</v>
      </c>
      <c r="P361" s="249" t="n">
        <f aca="false">HLOOKUP(D361,Correllate,VLOOKUP(G361,CorMove,2,FALSE()),FALSE())</f>
        <v>0.95</v>
      </c>
      <c r="Q361" s="92" t="n">
        <f aca="false">WORKDAY(G361,-2)</f>
        <v>37286</v>
      </c>
      <c r="R361" s="7" t="n">
        <f aca="false">IF(F361="P",0,1)</f>
        <v>1</v>
      </c>
      <c r="S361" s="130" t="e">
        <f aca="false">xSPRDOPT($L361,$J361,$I361,$M361,$O361,$N361,$P361,$Q361-$C$3,$R361,0)</f>
        <v>#NAME?</v>
      </c>
      <c r="T361" s="250" t="e">
        <f aca="false">xSPRDOPT($L361,$J361,$I361,$M361,$O361,$N361,$P361,$Q361-$C$3,$R361,1)*H361</f>
        <v>#NAME?</v>
      </c>
      <c r="U361" s="43" t="e">
        <f aca="false">S361*H361</f>
        <v>#NAME?</v>
      </c>
      <c r="V361" s="250" t="e">
        <f aca="false">xSPRDOPT($L361,$J361,$I361,$M361,$O361,$N361,$P361,$Q361-$C$3,$R361,2)*H361</f>
        <v>#NAME?</v>
      </c>
      <c r="W361" s="250" t="e">
        <f aca="false">+V361+T361</f>
        <v>#NAME?</v>
      </c>
      <c r="X361" s="2" t="str">
        <f aca="false">CONCATENATE(G361,D361)</f>
        <v>37288IF-TRANSCO/Z6</v>
      </c>
      <c r="Y361" s="251" t="n">
        <f aca="false">H361/10000</f>
        <v>50</v>
      </c>
      <c r="Z361" s="226" t="e">
        <f aca="false">T361/H361</f>
        <v>#NAME?</v>
      </c>
      <c r="AA361" s="226" t="e">
        <f aca="false">xSPRDOPT($L361,$J361,$I361,$M361,$O361,$N361,$P361,$Q361-$C$3,$R361,3)</f>
        <v>#NAME?</v>
      </c>
      <c r="AB361" s="226" t="e">
        <f aca="false">((xSPRDOPT($L361+AB$5,$J361,$I361,$M361,$O361,$N361,$P361,$Q361-$C$3,$R361,3)*$H361)/10000)/100</f>
        <v>#NAME?</v>
      </c>
      <c r="AC361" s="226" t="e">
        <f aca="false">((xSPRDOPT($L361+$AB$5,$J361,$I361,$M361,$O361,$N361,$P361,$Q361-$C$3,$R361,7)*$H361)/100)</f>
        <v>#NAME?</v>
      </c>
      <c r="AD361" s="226" t="e">
        <f aca="false">(xSPRDOPT($L361+$AB$5,$J361,$I361,$M361,$O361,$N361,$P361,$Q361-$C$3,$R361,9)/365)*$H361</f>
        <v>#NAME?</v>
      </c>
      <c r="AE361" s="0" t="e">
        <f aca="false">CD361</f>
        <v>#NAME?</v>
      </c>
      <c r="AF361" s="226" t="e">
        <f aca="false">((O361/N361)*AH361)+AG361</f>
        <v>#NAME?</v>
      </c>
      <c r="AG361" s="226" t="e">
        <f aca="false">((xSPRDOPT($L361,$J361,$I361,$M361,$O361,$N361,$P361,$Q361-$C$3,$R361,6)*$H361)/100)</f>
        <v>#NAME?</v>
      </c>
      <c r="AH361" s="226" t="e">
        <f aca="false">((xSPRDOPT($L361,$J361,$I361,$M361,$O361,$N361,$P361,$Q361-$C$3,$R361,5)*$H361)/100)</f>
        <v>#NAME?</v>
      </c>
      <c r="AI361" s="226" t="e">
        <f aca="false">(((xSPRDOPT($L361,$J361,$I361,$M361,$O361,$N361,$P361,$Q361-$C$3,$R361,4)*$H361)/10000)/100)-AB361</f>
        <v>#NAME?</v>
      </c>
      <c r="AJ361" s="226"/>
      <c r="AK361" s="226"/>
      <c r="AL361" s="226"/>
      <c r="AM361" s="252"/>
      <c r="CC361" s="182" t="n">
        <f aca="false">G361</f>
        <v>37288</v>
      </c>
      <c r="CD361" s="253" t="e">
        <f aca="false">xSPRDOPT((VLOOKUP(G361,NGPrices,2,FALSE())+HLOOKUP(D361,Prices,VLOOKUP(G361,move_down,2,FALSE()),FALSE())),VLOOKUP(G361,NGPrices,2,FALSE()),I361,VLOOKUP(G361,NGPREVPRICES,4,FALSE()),HLOOKUP(D361,PREVVOLS,VLOOKUP(G361,MOVE_DOWN2,2,FALSE()),FALSE()),VLOOKUP(G361,NGPREVPRICES,3,FALSE()),HLOOKUP(D361,Correllate,VLOOKUP(G361,CorMove,2,FALSE()),FALSE()),Q361-$CD$3,R361,$CD$5)*H361-CJ361</f>
        <v>#NAME?</v>
      </c>
      <c r="CE361" s="253" t="e">
        <f aca="false">xSPRDOPT((VLOOKUP(G361,NGPREVPRICES,2,FALSE())+HLOOKUP(D361,PREVCURVES,VLOOKUP(G361,MOVE_DOWN2,2,FALSE()),FALSE())),VLOOKUP(G361,NGPREVPRICES,2,FALSE()),CK361,VLOOKUP(G361,NGPrices,4,FALSE()),HLOOKUP(D361,PREVVOLS,VLOOKUP(G361,MOVE_DOWN2,2,FALSE()),FALSE()),VLOOKUP(G361,NGPREVPRICES,3,FALSE()),HLOOKUP(D361,Correllate,VLOOKUP(G361,CorMove,2,FALSE()),FALSE()),Q361-$CD$3,R361,$CJ$5)*H361-CJ361</f>
        <v>#NAME?</v>
      </c>
      <c r="CF361" s="132" t="e">
        <f aca="false">(CJ361/VLOOKUP(CC361,discount,3,FALSE()))-(CJ361/VLOOKUP(CC361,discount,2,FALSE()))</f>
        <v>#NAME?</v>
      </c>
      <c r="CG361" s="253" t="e">
        <f aca="false">xSPRDOPT((VLOOKUP(G361,NGPREVPRICES,2,FALSE())+HLOOKUP(D361,PREVCURVES,VLOOKUP(G361,MOVE_DOWN2,2,FALSE()),FALSE())),VLOOKUP(G361,NGPREVPRICES,2,FALSE()),CK361,VLOOKUP(G361,NGPREVPRICES,4,FALSE()),HLOOKUP(D361,VOLS,VLOOKUP(G361,move_down,2,FALSE()),FALSE()),VLOOKUP(G361,NGPrices,3,FALSE()),HLOOKUP(D361,Correllate,VLOOKUP(G361,CorMove,2,FALSE()),FALSE()),Q361-$CD$3,R361,$CJ$5)*H361-CJ361</f>
        <v>#NAME?</v>
      </c>
      <c r="CH361" s="253" t="e">
        <f aca="false">xSPRDOPT((VLOOKUP(G361,NGPREVPRICES,2,FALSE())+HLOOKUP(D361,PREVCURVES,VLOOKUP(G361,MOVE_DOWN2,2,FALSE()),FALSE())),VLOOKUP(G361,NGPREVPRICES,2,FALSE()),CK361,VLOOKUP(G361,NGPREVPRICES,4,FALSE()),HLOOKUP(D361,PREVVOLS,VLOOKUP(G361,MOVE_DOWN2,2,FALSE()),FALSE()),VLOOKUP(G361,NGPREVPRICES,3,FALSE()),HLOOKUP(D361,Correllate,VLOOKUP(G361,CorMove,2,FALSE()),FALSE()),Q361-$C$3,R361,$CJ$5)*H361-CJ361</f>
        <v>#NAME?</v>
      </c>
      <c r="CI361" s="253" t="e">
        <f aca="false">SUM(CD361:CH361)</f>
        <v>#NAME?</v>
      </c>
      <c r="CJ361" s="253" t="e">
        <f aca="false">xSPRDOPT((VLOOKUP(G361,NGPREVPRICES,2,FALSE())+HLOOKUP(D361,PREVCURVES,VLOOKUP(G361,MOVE_DOWN2,2,FALSE()),FALSE())),VLOOKUP(G361,NGPREVPRICES,2,FALSE()),CK361,VLOOKUP(G361,NGPREVPRICES,4,FALSE()),HLOOKUP(D361,PREVVOLS,VLOOKUP(G361,MOVE_DOWN2,2,FALSE()),FALSE()),VLOOKUP(G361,NGPREVPRICES,3,FALSE()),HLOOKUP(D361,Correllate,VLOOKUP(G361,CorMove,2,FALSE()),FALSE()),Q361-$CD$3,R361,$CJ$5)*H361</f>
        <v>#NAME?</v>
      </c>
      <c r="CK361" s="254" t="n">
        <f aca="false">I361</f>
        <v>1.33</v>
      </c>
      <c r="CM361" s="0" t="str">
        <f aca="false">CONCATENATE(CC361,$CD$6)</f>
        <v>37288Curve Shift/Gamma</v>
      </c>
      <c r="CN361" s="0" t="str">
        <f aca="false">CONCATENATE($CC361,$CE$6)</f>
        <v>37288Rho</v>
      </c>
      <c r="CO361" s="0" t="str">
        <f aca="false">CONCATENATE($CC361,$CF$6)</f>
        <v>37288Drift</v>
      </c>
      <c r="CP361" s="0" t="str">
        <f aca="false">CONCATENATE($CC361,$CG$6)</f>
        <v>37288Vega</v>
      </c>
      <c r="CQ361" s="0" t="str">
        <f aca="false">CONCATENATE($CC361,$CH$6)</f>
        <v>37288Theta</v>
      </c>
    </row>
    <row r="362" customFormat="false" ht="12.75" hidden="false" customHeight="false" outlineLevel="0" collapsed="false">
      <c r="A362" s="265" t="s">
        <v>198</v>
      </c>
      <c r="B362" s="0" t="s">
        <v>192</v>
      </c>
      <c r="C362" s="0" t="s">
        <v>328</v>
      </c>
      <c r="D362" s="7" t="s">
        <v>149</v>
      </c>
      <c r="E362" s="0" t="s">
        <v>131</v>
      </c>
      <c r="F362" s="0" t="s">
        <v>136</v>
      </c>
      <c r="G362" s="92" t="n">
        <v>37257</v>
      </c>
      <c r="H362" s="248" t="n">
        <v>500000</v>
      </c>
      <c r="I362" s="0" t="n">
        <v>1.33</v>
      </c>
      <c r="J362" s="124" t="n">
        <f aca="false">VLOOKUP(G362,NGPrices,2,FALSE())</f>
        <v>3.94</v>
      </c>
      <c r="K362" s="125" t="n">
        <f aca="false">HLOOKUP(D362,Prices,VLOOKUP(G362,move_down,2,FALSE()),FALSE())+VLOOKUP(G362,CHANGE,HLOOKUP(D362,CHANGE,2,FALSE()),FALSE())</f>
        <v>1.56</v>
      </c>
      <c r="L362" s="124" t="n">
        <f aca="false">K362+J362</f>
        <v>5.5</v>
      </c>
      <c r="M362" s="126" t="n">
        <f aca="false">VLOOKUP(G362,NGPrices,4,FALSE())</f>
        <v>0.069402566234751</v>
      </c>
      <c r="N362" s="7" t="n">
        <f aca="false">VLOOKUP(G362,NGPrices,3,FALSE())</f>
        <v>0.4125</v>
      </c>
      <c r="O362" s="7" t="n">
        <f aca="false">HLOOKUP(D362,VOLS,VLOOKUP(G362,move_down,2,FALSE()),FALSE())</f>
        <v>0.454</v>
      </c>
      <c r="P362" s="249" t="n">
        <f aca="false">HLOOKUP(D362,Correllate,VLOOKUP(G362,CorMove,2,FALSE()),FALSE())</f>
        <v>0.95</v>
      </c>
      <c r="Q362" s="92" t="n">
        <f aca="false">WORKDAY(G362,-2)</f>
        <v>37253</v>
      </c>
      <c r="R362" s="7" t="n">
        <f aca="false">IF(F362="P",0,1)</f>
        <v>1</v>
      </c>
      <c r="S362" s="130" t="e">
        <f aca="false">xSPRDOPT($L362,$J362,$I362,$M362,$O362,$N362,$P362,$Q362-$C$3,$R362,0)</f>
        <v>#NAME?</v>
      </c>
      <c r="T362" s="250" t="e">
        <f aca="false">xSPRDOPT($L362,$J362,$I362,$M362,$O362,$N362,$P362,$Q362-$C$3,$R362,1)*H362</f>
        <v>#NAME?</v>
      </c>
      <c r="U362" s="43" t="e">
        <f aca="false">S362*H362</f>
        <v>#NAME?</v>
      </c>
      <c r="V362" s="250" t="e">
        <f aca="false">xSPRDOPT($L362,$J362,$I362,$M362,$O362,$N362,$P362,$Q362-$C$3,$R362,2)*H362</f>
        <v>#NAME?</v>
      </c>
      <c r="W362" s="250" t="e">
        <f aca="false">+V362+T362</f>
        <v>#NAME?</v>
      </c>
      <c r="X362" s="2" t="str">
        <f aca="false">CONCATENATE(G362,D362)</f>
        <v>37257IF-TRANSCO/Z6</v>
      </c>
      <c r="Y362" s="251" t="n">
        <f aca="false">H362/10000</f>
        <v>50</v>
      </c>
      <c r="Z362" s="226" t="e">
        <f aca="false">T362/H362</f>
        <v>#NAME?</v>
      </c>
      <c r="AA362" s="226" t="e">
        <f aca="false">xSPRDOPT($L362,$J362,$I362,$M362,$O362,$N362,$P362,$Q362-$C$3,$R362,3)</f>
        <v>#NAME?</v>
      </c>
      <c r="AB362" s="226" t="e">
        <f aca="false">((xSPRDOPT($L362+AB$5,$J362,$I362,$M362,$O362,$N362,$P362,$Q362-$C$3,$R362,3)*$H362)/10000)/100</f>
        <v>#NAME?</v>
      </c>
      <c r="AC362" s="226" t="e">
        <f aca="false">((xSPRDOPT($L362+$AB$5,$J362,$I362,$M362,$O362,$N362,$P362,$Q362-$C$3,$R362,7)*$H362)/100)</f>
        <v>#NAME?</v>
      </c>
      <c r="AD362" s="226" t="e">
        <f aca="false">(xSPRDOPT($L362+$AB$5,$J362,$I362,$M362,$O362,$N362,$P362,$Q362-$C$3,$R362,9)/365)*$H362</f>
        <v>#NAME?</v>
      </c>
      <c r="AE362" s="0" t="e">
        <f aca="false">CD362</f>
        <v>#NAME?</v>
      </c>
      <c r="AF362" s="226" t="e">
        <f aca="false">((O362/N362)*AH362)+AG362</f>
        <v>#NAME?</v>
      </c>
      <c r="AG362" s="226" t="e">
        <f aca="false">((xSPRDOPT($L362,$J362,$I362,$M362,$O362,$N362,$P362,$Q362-$C$3,$R362,6)*$H362)/100)</f>
        <v>#NAME?</v>
      </c>
      <c r="AH362" s="226" t="e">
        <f aca="false">((xSPRDOPT($L362,$J362,$I362,$M362,$O362,$N362,$P362,$Q362-$C$3,$R362,5)*$H362)/100)</f>
        <v>#NAME?</v>
      </c>
      <c r="AI362" s="226" t="e">
        <f aca="false">(((xSPRDOPT($L362,$J362,$I362,$M362,$O362,$N362,$P362,$Q362-$C$3,$R362,4)*$H362)/10000)/100)-AB362</f>
        <v>#NAME?</v>
      </c>
      <c r="AJ362" s="226"/>
      <c r="AK362" s="226"/>
      <c r="AL362" s="226"/>
      <c r="AM362" s="252"/>
      <c r="CC362" s="182" t="n">
        <f aca="false">G362</f>
        <v>37257</v>
      </c>
      <c r="CD362" s="253" t="e">
        <f aca="false">xSPRDOPT((VLOOKUP(G362,NGPrices,2,FALSE())+HLOOKUP(D362,Prices,VLOOKUP(G362,move_down,2,FALSE()),FALSE())),VLOOKUP(G362,NGPrices,2,FALSE()),I362,VLOOKUP(G362,NGPREVPRICES,4,FALSE()),HLOOKUP(D362,PREVVOLS,VLOOKUP(G362,MOVE_DOWN2,2,FALSE()),FALSE()),VLOOKUP(G362,NGPREVPRICES,3,FALSE()),HLOOKUP(D362,Correllate,VLOOKUP(G362,CorMove,2,FALSE()),FALSE()),Q362-$CD$3,R362,$CD$5)*H362-CJ362</f>
        <v>#NAME?</v>
      </c>
      <c r="CE362" s="253" t="e">
        <f aca="false">xSPRDOPT((VLOOKUP(G362,NGPREVPRICES,2,FALSE())+HLOOKUP(D362,PREVCURVES,VLOOKUP(G362,MOVE_DOWN2,2,FALSE()),FALSE())),VLOOKUP(G362,NGPREVPRICES,2,FALSE()),CK362,VLOOKUP(G362,NGPrices,4,FALSE()),HLOOKUP(D362,PREVVOLS,VLOOKUP(G362,MOVE_DOWN2,2,FALSE()),FALSE()),VLOOKUP(G362,NGPREVPRICES,3,FALSE()),HLOOKUP(D362,Correllate,VLOOKUP(G362,CorMove,2,FALSE()),FALSE()),Q362-$CD$3,R362,$CJ$5)*H362-CJ362</f>
        <v>#NAME?</v>
      </c>
      <c r="CF362" s="132" t="e">
        <f aca="false">(CJ362/VLOOKUP(CC362,discount,3,FALSE()))-(CJ362/VLOOKUP(CC362,discount,2,FALSE()))</f>
        <v>#NAME?</v>
      </c>
      <c r="CG362" s="253" t="e">
        <f aca="false">xSPRDOPT((VLOOKUP(G362,NGPREVPRICES,2,FALSE())+HLOOKUP(D362,PREVCURVES,VLOOKUP(G362,MOVE_DOWN2,2,FALSE()),FALSE())),VLOOKUP(G362,NGPREVPRICES,2,FALSE()),CK362,VLOOKUP(G362,NGPREVPRICES,4,FALSE()),HLOOKUP(D362,VOLS,VLOOKUP(G362,move_down,2,FALSE()),FALSE()),VLOOKUP(G362,NGPrices,3,FALSE()),HLOOKUP(D362,Correllate,VLOOKUP(G362,CorMove,2,FALSE()),FALSE()),Q362-$CD$3,R362,$CJ$5)*H362-CJ362</f>
        <v>#NAME?</v>
      </c>
      <c r="CH362" s="253" t="e">
        <f aca="false">xSPRDOPT((VLOOKUP(G362,NGPREVPRICES,2,FALSE())+HLOOKUP(D362,PREVCURVES,VLOOKUP(G362,MOVE_DOWN2,2,FALSE()),FALSE())),VLOOKUP(G362,NGPREVPRICES,2,FALSE()),CK362,VLOOKUP(G362,NGPREVPRICES,4,FALSE()),HLOOKUP(D362,PREVVOLS,VLOOKUP(G362,MOVE_DOWN2,2,FALSE()),FALSE()),VLOOKUP(G362,NGPREVPRICES,3,FALSE()),HLOOKUP(D362,Correllate,VLOOKUP(G362,CorMove,2,FALSE()),FALSE()),Q362-$C$3,R362,$CJ$5)*H362-CJ362</f>
        <v>#NAME?</v>
      </c>
      <c r="CI362" s="253" t="e">
        <f aca="false">SUM(CD362:CH362)</f>
        <v>#NAME?</v>
      </c>
      <c r="CJ362" s="253" t="e">
        <f aca="false">xSPRDOPT((VLOOKUP(G362,NGPREVPRICES,2,FALSE())+HLOOKUP(D362,PREVCURVES,VLOOKUP(G362,MOVE_DOWN2,2,FALSE()),FALSE())),VLOOKUP(G362,NGPREVPRICES,2,FALSE()),CK362,VLOOKUP(G362,NGPREVPRICES,4,FALSE()),HLOOKUP(D362,PREVVOLS,VLOOKUP(G362,MOVE_DOWN2,2,FALSE()),FALSE()),VLOOKUP(G362,NGPREVPRICES,3,FALSE()),HLOOKUP(D362,Correllate,VLOOKUP(G362,CorMove,2,FALSE()),FALSE()),Q362-$CD$3,R362,$CJ$5)*H362</f>
        <v>#NAME?</v>
      </c>
      <c r="CK362" s="254" t="n">
        <f aca="false">I362</f>
        <v>1.33</v>
      </c>
      <c r="CM362" s="0" t="str">
        <f aca="false">CONCATENATE(CC362,$CD$6)</f>
        <v>37257Curve Shift/Gamma</v>
      </c>
      <c r="CN362" s="0" t="str">
        <f aca="false">CONCATENATE($CC362,$CE$6)</f>
        <v>37257Rho</v>
      </c>
      <c r="CO362" s="0" t="str">
        <f aca="false">CONCATENATE($CC362,$CF$6)</f>
        <v>37257Drift</v>
      </c>
      <c r="CP362" s="0" t="str">
        <f aca="false">CONCATENATE($CC362,$CG$6)</f>
        <v>37257Vega</v>
      </c>
      <c r="CQ362" s="0" t="str">
        <f aca="false">CONCATENATE($CC362,$CH$6)</f>
        <v>37257Theta</v>
      </c>
    </row>
    <row r="363" customFormat="false" ht="12.75" hidden="false" customHeight="false" outlineLevel="0" collapsed="false">
      <c r="A363" s="265" t="s">
        <v>198</v>
      </c>
      <c r="B363" s="0" t="s">
        <v>192</v>
      </c>
      <c r="C363" s="0" t="s">
        <v>328</v>
      </c>
      <c r="D363" s="7" t="s">
        <v>149</v>
      </c>
      <c r="E363" s="0" t="s">
        <v>131</v>
      </c>
      <c r="F363" s="0" t="s">
        <v>136</v>
      </c>
      <c r="G363" s="92" t="n">
        <v>37226</v>
      </c>
      <c r="H363" s="248" t="n">
        <v>500000</v>
      </c>
      <c r="I363" s="0" t="n">
        <v>1.33</v>
      </c>
      <c r="J363" s="124" t="n">
        <f aca="false">VLOOKUP(G363,NGPrices,2,FALSE())</f>
        <v>3.968</v>
      </c>
      <c r="K363" s="125" t="n">
        <f aca="false">HLOOKUP(D363,Prices,VLOOKUP(G363,move_down,2,FALSE()),FALSE())+VLOOKUP(G363,CHANGE,HLOOKUP(D363,CHANGE,2,FALSE()),FALSE())</f>
        <v>1.31</v>
      </c>
      <c r="L363" s="124" t="n">
        <f aca="false">K363+J363</f>
        <v>5.278</v>
      </c>
      <c r="M363" s="126" t="n">
        <f aca="false">VLOOKUP(G363,NGPrices,4,FALSE())</f>
        <v>0.069362858204931</v>
      </c>
      <c r="N363" s="7" t="n">
        <f aca="false">VLOOKUP(G363,NGPrices,3,FALSE())</f>
        <v>0.4075</v>
      </c>
      <c r="O363" s="7" t="n">
        <f aca="false">HLOOKUP(D363,VOLS,VLOOKUP(G363,move_down,2,FALSE()),FALSE())</f>
        <v>0.448</v>
      </c>
      <c r="P363" s="249" t="n">
        <f aca="false">HLOOKUP(D363,Correllate,VLOOKUP(G363,CorMove,2,FALSE()),FALSE())</f>
        <v>0.95</v>
      </c>
      <c r="Q363" s="92" t="n">
        <f aca="false">WORKDAY(G363,-2)</f>
        <v>37224</v>
      </c>
      <c r="R363" s="7" t="n">
        <f aca="false">IF(F363="P",0,1)</f>
        <v>1</v>
      </c>
      <c r="S363" s="130" t="e">
        <f aca="false">xSPRDOPT($L363,$J363,$I363,$M363,$O363,$N363,$P363,$Q363-$C$3,$R363,0)</f>
        <v>#NAME?</v>
      </c>
      <c r="T363" s="250" t="e">
        <f aca="false">xSPRDOPT($L363,$J363,$I363,$M363,$O363,$N363,$P363,$Q363-$C$3,$R363,1)*H363</f>
        <v>#NAME?</v>
      </c>
      <c r="U363" s="43" t="e">
        <f aca="false">S363*H363</f>
        <v>#NAME?</v>
      </c>
      <c r="V363" s="250" t="e">
        <f aca="false">xSPRDOPT($L363,$J363,$I363,$M363,$O363,$N363,$P363,$Q363-$C$3,$R363,2)*H363</f>
        <v>#NAME?</v>
      </c>
      <c r="W363" s="250" t="e">
        <f aca="false">+V363+T363</f>
        <v>#NAME?</v>
      </c>
      <c r="X363" s="2" t="str">
        <f aca="false">CONCATENATE(G363,D363)</f>
        <v>37226IF-TRANSCO/Z6</v>
      </c>
      <c r="Y363" s="251" t="n">
        <f aca="false">H363/10000</f>
        <v>50</v>
      </c>
      <c r="Z363" s="226" t="e">
        <f aca="false">T363/H363</f>
        <v>#NAME?</v>
      </c>
      <c r="AA363" s="226" t="e">
        <f aca="false">xSPRDOPT($L363,$J363,$I363,$M363,$O363,$N363,$P363,$Q363-$C$3,$R363,3)</f>
        <v>#NAME?</v>
      </c>
      <c r="AB363" s="226" t="e">
        <f aca="false">((xSPRDOPT($L363+AB$5,$J363,$I363,$M363,$O363,$N363,$P363,$Q363-$C$3,$R363,3)*$H363)/10000)/100</f>
        <v>#NAME?</v>
      </c>
      <c r="AC363" s="226" t="e">
        <f aca="false">((xSPRDOPT($L363+$AB$5,$J363,$I363,$M363,$O363,$N363,$P363,$Q363-$C$3,$R363,7)*$H363)/100)</f>
        <v>#NAME?</v>
      </c>
      <c r="AD363" s="226" t="e">
        <f aca="false">(xSPRDOPT($L363+$AB$5,$J363,$I363,$M363,$O363,$N363,$P363,$Q363-$C$3,$R363,9)/365)*$H363</f>
        <v>#NAME?</v>
      </c>
      <c r="AE363" s="0" t="e">
        <f aca="false">CD363</f>
        <v>#NAME?</v>
      </c>
      <c r="AF363" s="226" t="e">
        <f aca="false">((O363/N363)*AH363)+AG363</f>
        <v>#NAME?</v>
      </c>
      <c r="AG363" s="226" t="e">
        <f aca="false">((xSPRDOPT($L363,$J363,$I363,$M363,$O363,$N363,$P363,$Q363-$C$3,$R363,6)*$H363)/100)</f>
        <v>#NAME?</v>
      </c>
      <c r="AH363" s="226" t="e">
        <f aca="false">((xSPRDOPT($L363,$J363,$I363,$M363,$O363,$N363,$P363,$Q363-$C$3,$R363,5)*$H363)/100)</f>
        <v>#NAME?</v>
      </c>
      <c r="AI363" s="226" t="e">
        <f aca="false">(((xSPRDOPT($L363,$J363,$I363,$M363,$O363,$N363,$P363,$Q363-$C$3,$R363,4)*$H363)/10000)/100)-AB363</f>
        <v>#NAME?</v>
      </c>
      <c r="AJ363" s="226"/>
      <c r="AK363" s="226"/>
      <c r="AL363" s="226"/>
      <c r="AM363" s="252"/>
      <c r="CC363" s="182" t="n">
        <f aca="false">G363</f>
        <v>37226</v>
      </c>
      <c r="CD363" s="253" t="e">
        <f aca="false">xSPRDOPT((VLOOKUP(G363,NGPrices,2,FALSE())+HLOOKUP(D363,Prices,VLOOKUP(G363,move_down,2,FALSE()),FALSE())),VLOOKUP(G363,NGPrices,2,FALSE()),I363,VLOOKUP(G363,NGPREVPRICES,4,FALSE()),HLOOKUP(D363,PREVVOLS,VLOOKUP(G363,MOVE_DOWN2,2,FALSE()),FALSE()),VLOOKUP(G363,NGPREVPRICES,3,FALSE()),HLOOKUP(D363,Correllate,VLOOKUP(G363,CorMove,2,FALSE()),FALSE()),Q363-$CD$3,R363,$CD$5)*H363-CJ363</f>
        <v>#NAME?</v>
      </c>
      <c r="CE363" s="253" t="e">
        <f aca="false">xSPRDOPT((VLOOKUP(G363,NGPREVPRICES,2,FALSE())+HLOOKUP(D363,PREVCURVES,VLOOKUP(G363,MOVE_DOWN2,2,FALSE()),FALSE())),VLOOKUP(G363,NGPREVPRICES,2,FALSE()),CK363,VLOOKUP(G363,NGPrices,4,FALSE()),HLOOKUP(D363,PREVVOLS,VLOOKUP(G363,MOVE_DOWN2,2,FALSE()),FALSE()),VLOOKUP(G363,NGPREVPRICES,3,FALSE()),HLOOKUP(D363,Correllate,VLOOKUP(G363,CorMove,2,FALSE()),FALSE()),Q363-$CD$3,R363,$CJ$5)*H363-CJ363</f>
        <v>#NAME?</v>
      </c>
      <c r="CF363" s="132" t="e">
        <f aca="false">(CJ363/VLOOKUP(CC363,discount,3,FALSE()))-(CJ363/VLOOKUP(CC363,discount,2,FALSE()))</f>
        <v>#NAME?</v>
      </c>
      <c r="CG363" s="253" t="e">
        <f aca="false">xSPRDOPT((VLOOKUP(G363,NGPREVPRICES,2,FALSE())+HLOOKUP(D363,PREVCURVES,VLOOKUP(G363,MOVE_DOWN2,2,FALSE()),FALSE())),VLOOKUP(G363,NGPREVPRICES,2,FALSE()),CK363,VLOOKUP(G363,NGPREVPRICES,4,FALSE()),HLOOKUP(D363,VOLS,VLOOKUP(G363,move_down,2,FALSE()),FALSE()),VLOOKUP(G363,NGPrices,3,FALSE()),HLOOKUP(D363,Correllate,VLOOKUP(G363,CorMove,2,FALSE()),FALSE()),Q363-$CD$3,R363,$CJ$5)*H363-CJ363</f>
        <v>#NAME?</v>
      </c>
      <c r="CH363" s="253" t="e">
        <f aca="false">xSPRDOPT((VLOOKUP(G363,NGPREVPRICES,2,FALSE())+HLOOKUP(D363,PREVCURVES,VLOOKUP(G363,MOVE_DOWN2,2,FALSE()),FALSE())),VLOOKUP(G363,NGPREVPRICES,2,FALSE()),CK363,VLOOKUP(G363,NGPREVPRICES,4,FALSE()),HLOOKUP(D363,PREVVOLS,VLOOKUP(G363,MOVE_DOWN2,2,FALSE()),FALSE()),VLOOKUP(G363,NGPREVPRICES,3,FALSE()),HLOOKUP(D363,Correllate,VLOOKUP(G363,CorMove,2,FALSE()),FALSE()),Q363-$C$3,R363,$CJ$5)*H363-CJ363</f>
        <v>#NAME?</v>
      </c>
      <c r="CI363" s="253" t="e">
        <f aca="false">SUM(CD363:CH363)</f>
        <v>#NAME?</v>
      </c>
      <c r="CJ363" s="253" t="e">
        <f aca="false">xSPRDOPT((VLOOKUP(G363,NGPREVPRICES,2,FALSE())+HLOOKUP(D363,PREVCURVES,VLOOKUP(G363,MOVE_DOWN2,2,FALSE()),FALSE())),VLOOKUP(G363,NGPREVPRICES,2,FALSE()),CK363,VLOOKUP(G363,NGPREVPRICES,4,FALSE()),HLOOKUP(D363,PREVVOLS,VLOOKUP(G363,MOVE_DOWN2,2,FALSE()),FALSE()),VLOOKUP(G363,NGPREVPRICES,3,FALSE()),HLOOKUP(D363,Correllate,VLOOKUP(G363,CorMove,2,FALSE()),FALSE()),Q363-$CD$3,R363,$CJ$5)*H363</f>
        <v>#NAME?</v>
      </c>
      <c r="CK363" s="254" t="n">
        <f aca="false">I363</f>
        <v>1.33</v>
      </c>
      <c r="CM363" s="0" t="str">
        <f aca="false">CONCATENATE(CC363,$CD$6)</f>
        <v>37226Curve Shift/Gamma</v>
      </c>
      <c r="CN363" s="0" t="str">
        <f aca="false">CONCATENATE($CC363,$CE$6)</f>
        <v>37226Rho</v>
      </c>
      <c r="CO363" s="0" t="str">
        <f aca="false">CONCATENATE($CC363,$CF$6)</f>
        <v>37226Drift</v>
      </c>
      <c r="CP363" s="0" t="str">
        <f aca="false">CONCATENATE($CC363,$CG$6)</f>
        <v>37226Vega</v>
      </c>
      <c r="CQ363" s="0" t="str">
        <f aca="false">CONCATENATE($CC363,$CH$6)</f>
        <v>37226Theta</v>
      </c>
    </row>
    <row r="364" customFormat="false" ht="12.75" hidden="false" customHeight="false" outlineLevel="0" collapsed="false">
      <c r="A364" s="265" t="s">
        <v>198</v>
      </c>
      <c r="B364" s="0" t="s">
        <v>192</v>
      </c>
      <c r="C364" s="0" t="s">
        <v>328</v>
      </c>
      <c r="D364" s="7" t="s">
        <v>149</v>
      </c>
      <c r="E364" s="0" t="s">
        <v>131</v>
      </c>
      <c r="F364" s="0" t="s">
        <v>136</v>
      </c>
      <c r="G364" s="92" t="n">
        <v>37196</v>
      </c>
      <c r="H364" s="248" t="n">
        <v>500000</v>
      </c>
      <c r="I364" s="0" t="n">
        <v>1.33</v>
      </c>
      <c r="J364" s="124" t="n">
        <f aca="false">VLOOKUP(G364,NGPrices,2,FALSE())</f>
        <v>3.878</v>
      </c>
      <c r="K364" s="125" t="n">
        <f aca="false">HLOOKUP(D364,Prices,VLOOKUP(G364,move_down,2,FALSE()),FALSE())+VLOOKUP(G364,CHANGE,HLOOKUP(D364,CHANGE,2,FALSE()),FALSE())</f>
        <v>0.89</v>
      </c>
      <c r="L364" s="124" t="n">
        <f aca="false">K364+J364</f>
        <v>4.768</v>
      </c>
      <c r="M364" s="126" t="n">
        <f aca="false">VLOOKUP(G364,NGPrices,4,FALSE())</f>
        <v>0.069332408860559</v>
      </c>
      <c r="N364" s="7" t="n">
        <f aca="false">VLOOKUP(G364,NGPrices,3,FALSE())</f>
        <v>0.4025</v>
      </c>
      <c r="O364" s="7" t="n">
        <f aca="false">HLOOKUP(D364,VOLS,VLOOKUP(G364,move_down,2,FALSE()),FALSE())</f>
        <v>0.443</v>
      </c>
      <c r="P364" s="249" t="n">
        <f aca="false">HLOOKUP(D364,Correllate,VLOOKUP(G364,CorMove,2,FALSE()),FALSE())</f>
        <v>0.95</v>
      </c>
      <c r="Q364" s="92" t="n">
        <f aca="false">WORKDAY(G364,-2)</f>
        <v>37194</v>
      </c>
      <c r="R364" s="7" t="n">
        <f aca="false">IF(F364="P",0,1)</f>
        <v>1</v>
      </c>
      <c r="S364" s="130" t="e">
        <f aca="false">xSPRDOPT($L364,$J364,$I364,$M364,$O364,$N364,$P364,$Q364-$C$3,$R364,0)</f>
        <v>#NAME?</v>
      </c>
      <c r="T364" s="250" t="e">
        <f aca="false">xSPRDOPT($L364,$J364,$I364,$M364,$O364,$N364,$P364,$Q364-$C$3,$R364,1)*H364</f>
        <v>#NAME?</v>
      </c>
      <c r="U364" s="43" t="e">
        <f aca="false">S364*H364</f>
        <v>#NAME?</v>
      </c>
      <c r="V364" s="250" t="e">
        <f aca="false">xSPRDOPT($L364,$J364,$I364,$M364,$O364,$N364,$P364,$Q364-$C$3,$R364,2)*H364</f>
        <v>#NAME?</v>
      </c>
      <c r="W364" s="250" t="e">
        <f aca="false">+V364+T364</f>
        <v>#NAME?</v>
      </c>
      <c r="X364" s="2" t="str">
        <f aca="false">CONCATENATE(G364,D364)</f>
        <v>37196IF-TRANSCO/Z6</v>
      </c>
      <c r="Y364" s="251" t="n">
        <f aca="false">H364/10000</f>
        <v>50</v>
      </c>
      <c r="Z364" s="226" t="e">
        <f aca="false">T364/H364</f>
        <v>#NAME?</v>
      </c>
      <c r="AA364" s="226" t="e">
        <f aca="false">xSPRDOPT($L364,$J364,$I364,$M364,$O364,$N364,$P364,$Q364-$C$3,$R364,3)</f>
        <v>#NAME?</v>
      </c>
      <c r="AB364" s="226" t="e">
        <f aca="false">((xSPRDOPT($L364+AB$5,$J364,$I364,$M364,$O364,$N364,$P364,$Q364-$C$3,$R364,3)*$H364)/10000)/100</f>
        <v>#NAME?</v>
      </c>
      <c r="AC364" s="226" t="e">
        <f aca="false">((xSPRDOPT($L364+$AB$5,$J364,$I364,$M364,$O364,$N364,$P364,$Q364-$C$3,$R364,7)*$H364)/100)</f>
        <v>#NAME?</v>
      </c>
      <c r="AD364" s="226" t="e">
        <f aca="false">(xSPRDOPT($L364+$AB$5,$J364,$I364,$M364,$O364,$N364,$P364,$Q364-$C$3,$R364,9)/365)*$H364</f>
        <v>#NAME?</v>
      </c>
      <c r="AE364" s="0" t="e">
        <f aca="false">CD364</f>
        <v>#NAME?</v>
      </c>
      <c r="AF364" s="226" t="e">
        <f aca="false">((O364/N364)*AH364)+AG364</f>
        <v>#NAME?</v>
      </c>
      <c r="AG364" s="226" t="e">
        <f aca="false">((xSPRDOPT($L364,$J364,$I364,$M364,$O364,$N364,$P364,$Q364-$C$3,$R364,6)*$H364)/100)</f>
        <v>#NAME?</v>
      </c>
      <c r="AH364" s="226" t="e">
        <f aca="false">((xSPRDOPT($L364,$J364,$I364,$M364,$O364,$N364,$P364,$Q364-$C$3,$R364,5)*$H364)/100)</f>
        <v>#NAME?</v>
      </c>
      <c r="AI364" s="226" t="e">
        <f aca="false">(((xSPRDOPT($L364,$J364,$I364,$M364,$O364,$N364,$P364,$Q364-$C$3,$R364,4)*$H364)/10000)/100)-AB364</f>
        <v>#NAME?</v>
      </c>
      <c r="AJ364" s="226"/>
      <c r="AK364" s="226"/>
      <c r="AL364" s="226"/>
      <c r="AM364" s="252"/>
      <c r="CC364" s="182" t="n">
        <f aca="false">G364</f>
        <v>37196</v>
      </c>
      <c r="CD364" s="253" t="e">
        <f aca="false">xSPRDOPT((VLOOKUP(G364,NGPrices,2,FALSE())+HLOOKUP(D364,Prices,VLOOKUP(G364,move_down,2,FALSE()),FALSE())),VLOOKUP(G364,NGPrices,2,FALSE()),I364,VLOOKUP(G364,NGPREVPRICES,4,FALSE()),HLOOKUP(D364,PREVVOLS,VLOOKUP(G364,MOVE_DOWN2,2,FALSE()),FALSE()),VLOOKUP(G364,NGPREVPRICES,3,FALSE()),HLOOKUP(D364,Correllate,VLOOKUP(G364,CorMove,2,FALSE()),FALSE()),Q364-$CD$3,R364,$CD$5)*H364-CJ364</f>
        <v>#NAME?</v>
      </c>
      <c r="CE364" s="253" t="e">
        <f aca="false">xSPRDOPT((VLOOKUP(G364,NGPREVPRICES,2,FALSE())+HLOOKUP(D364,PREVCURVES,VLOOKUP(G364,MOVE_DOWN2,2,FALSE()),FALSE())),VLOOKUP(G364,NGPREVPRICES,2,FALSE()),CK364,VLOOKUP(G364,NGPrices,4,FALSE()),HLOOKUP(D364,PREVVOLS,VLOOKUP(G364,MOVE_DOWN2,2,FALSE()),FALSE()),VLOOKUP(G364,NGPREVPRICES,3,FALSE()),HLOOKUP(D364,Correllate,VLOOKUP(G364,CorMove,2,FALSE()),FALSE()),Q364-$CD$3,R364,$CJ$5)*H364-CJ364</f>
        <v>#NAME?</v>
      </c>
      <c r="CF364" s="132" t="e">
        <f aca="false">(CJ364/VLOOKUP(CC364,discount,3,FALSE()))-(CJ364/VLOOKUP(CC364,discount,2,FALSE()))</f>
        <v>#NAME?</v>
      </c>
      <c r="CG364" s="253" t="e">
        <f aca="false">xSPRDOPT((VLOOKUP(G364,NGPREVPRICES,2,FALSE())+HLOOKUP(D364,PREVCURVES,VLOOKUP(G364,MOVE_DOWN2,2,FALSE()),FALSE())),VLOOKUP(G364,NGPREVPRICES,2,FALSE()),CK364,VLOOKUP(G364,NGPREVPRICES,4,FALSE()),HLOOKUP(D364,VOLS,VLOOKUP(G364,move_down,2,FALSE()),FALSE()),VLOOKUP(G364,NGPrices,3,FALSE()),HLOOKUP(D364,Correllate,VLOOKUP(G364,CorMove,2,FALSE()),FALSE()),Q364-$CD$3,R364,$CJ$5)*H364-CJ364</f>
        <v>#NAME?</v>
      </c>
      <c r="CH364" s="253" t="e">
        <f aca="false">xSPRDOPT((VLOOKUP(G364,NGPREVPRICES,2,FALSE())+HLOOKUP(D364,PREVCURVES,VLOOKUP(G364,MOVE_DOWN2,2,FALSE()),FALSE())),VLOOKUP(G364,NGPREVPRICES,2,FALSE()),CK364,VLOOKUP(G364,NGPREVPRICES,4,FALSE()),HLOOKUP(D364,PREVVOLS,VLOOKUP(G364,MOVE_DOWN2,2,FALSE()),FALSE()),VLOOKUP(G364,NGPREVPRICES,3,FALSE()),HLOOKUP(D364,Correllate,VLOOKUP(G364,CorMove,2,FALSE()),FALSE()),Q364-$C$3,R364,$CJ$5)*H364-CJ364</f>
        <v>#NAME?</v>
      </c>
      <c r="CI364" s="253" t="e">
        <f aca="false">SUM(CD364:CH364)</f>
        <v>#NAME?</v>
      </c>
      <c r="CJ364" s="253" t="e">
        <f aca="false">xSPRDOPT((VLOOKUP(G364,NGPREVPRICES,2,FALSE())+HLOOKUP(D364,PREVCURVES,VLOOKUP(G364,MOVE_DOWN2,2,FALSE()),FALSE())),VLOOKUP(G364,NGPREVPRICES,2,FALSE()),CK364,VLOOKUP(G364,NGPREVPRICES,4,FALSE()),HLOOKUP(D364,PREVVOLS,VLOOKUP(G364,MOVE_DOWN2,2,FALSE()),FALSE()),VLOOKUP(G364,NGPREVPRICES,3,FALSE()),HLOOKUP(D364,Correllate,VLOOKUP(G364,CorMove,2,FALSE()),FALSE()),Q364-$CD$3,R364,$CJ$5)*H364</f>
        <v>#NAME?</v>
      </c>
      <c r="CK364" s="254" t="n">
        <f aca="false">I364</f>
        <v>1.33</v>
      </c>
      <c r="CM364" s="0" t="str">
        <f aca="false">CONCATENATE(CC364,$CD$6)</f>
        <v>37196Curve Shift/Gamma</v>
      </c>
      <c r="CN364" s="0" t="str">
        <f aca="false">CONCATENATE($CC364,$CE$6)</f>
        <v>37196Rho</v>
      </c>
      <c r="CO364" s="0" t="str">
        <f aca="false">CONCATENATE($CC364,$CF$6)</f>
        <v>37196Drift</v>
      </c>
      <c r="CP364" s="0" t="str">
        <f aca="false">CONCATENATE($CC364,$CG$6)</f>
        <v>37196Vega</v>
      </c>
      <c r="CQ364" s="0" t="str">
        <f aca="false">CONCATENATE($CC364,$CH$6)</f>
        <v>37196Theta</v>
      </c>
    </row>
    <row r="365" customFormat="false" ht="12.75" hidden="false" customHeight="false" outlineLevel="0" collapsed="false">
      <c r="A365" s="265" t="s">
        <v>198</v>
      </c>
      <c r="B365" s="0" t="s">
        <v>192</v>
      </c>
      <c r="C365" s="0" t="s">
        <v>329</v>
      </c>
      <c r="D365" s="7" t="s">
        <v>149</v>
      </c>
      <c r="E365" s="0" t="s">
        <v>131</v>
      </c>
      <c r="F365" s="0" t="s">
        <v>132</v>
      </c>
      <c r="G365" s="92" t="n">
        <v>37316</v>
      </c>
      <c r="H365" s="248" t="n">
        <v>500000</v>
      </c>
      <c r="I365" s="0" t="n">
        <v>1.33</v>
      </c>
      <c r="J365" s="124" t="n">
        <f aca="false">VLOOKUP(G365,NGPrices,2,FALSE())</f>
        <v>3.605</v>
      </c>
      <c r="K365" s="125" t="n">
        <f aca="false">HLOOKUP(D365,Prices,VLOOKUP(G365,move_down,2,FALSE()),FALSE())+VLOOKUP(G365,CHANGE,HLOOKUP(D365,CHANGE,2,FALSE()),FALSE())</f>
        <v>0.99</v>
      </c>
      <c r="L365" s="124" t="n">
        <f aca="false">K365+J365</f>
        <v>4.595</v>
      </c>
      <c r="M365" s="126" t="n">
        <f aca="false">VLOOKUP(G365,NGPrices,4,FALSE())</f>
        <v>0.069499863695119</v>
      </c>
      <c r="N365" s="7" t="n">
        <f aca="false">VLOOKUP(G365,NGPrices,3,FALSE())</f>
        <v>0.365</v>
      </c>
      <c r="O365" s="7" t="n">
        <f aca="false">HLOOKUP(D365,VOLS,VLOOKUP(G365,move_down,2,FALSE()),FALSE())</f>
        <v>0.402</v>
      </c>
      <c r="P365" s="249" t="n">
        <f aca="false">HLOOKUP(D365,Correllate,VLOOKUP(G365,CorMove,2,FALSE()),FALSE())</f>
        <v>0.95</v>
      </c>
      <c r="Q365" s="92" t="n">
        <f aca="false">WORKDAY(G365,-2)</f>
        <v>37314</v>
      </c>
      <c r="R365" s="7" t="n">
        <f aca="false">IF(F365="P",0,1)</f>
        <v>0</v>
      </c>
      <c r="S365" s="130" t="e">
        <f aca="false">xSPRDOPT($L365,$J365,$I365,$M365,$O365,$N365,$P365,$Q365-$C$3,$R365,0)</f>
        <v>#NAME?</v>
      </c>
      <c r="T365" s="250" t="e">
        <f aca="false">xSPRDOPT($L365,$J365,$I365,$M365,$O365,$N365,$P365,$Q365-$C$3,$R365,1)*H365</f>
        <v>#NAME?</v>
      </c>
      <c r="U365" s="43" t="e">
        <f aca="false">S365*H365</f>
        <v>#NAME?</v>
      </c>
      <c r="V365" s="250" t="e">
        <f aca="false">xSPRDOPT($L365,$J365,$I365,$M365,$O365,$N365,$P365,$Q365-$C$3,$R365,2)*H365</f>
        <v>#NAME?</v>
      </c>
      <c r="W365" s="250" t="e">
        <f aca="false">+V365+T365</f>
        <v>#NAME?</v>
      </c>
      <c r="X365" s="2" t="str">
        <f aca="false">CONCATENATE(G365,D365)</f>
        <v>37316IF-TRANSCO/Z6</v>
      </c>
      <c r="Y365" s="251" t="n">
        <f aca="false">H365/10000</f>
        <v>50</v>
      </c>
      <c r="Z365" s="226" t="e">
        <f aca="false">T365/H365</f>
        <v>#NAME?</v>
      </c>
      <c r="AA365" s="226" t="e">
        <f aca="false">xSPRDOPT($L365,$J365,$I365,$M365,$O365,$N365,$P365,$Q365-$C$3,$R365,3)</f>
        <v>#NAME?</v>
      </c>
      <c r="AB365" s="226" t="e">
        <f aca="false">((xSPRDOPT($L365+AB$5,$J365,$I365,$M365,$O365,$N365,$P365,$Q365-$C$3,$R365,3)*$H365)/10000)/100</f>
        <v>#NAME?</v>
      </c>
      <c r="AC365" s="226" t="e">
        <f aca="false">((xSPRDOPT($L365+$AB$5,$J365,$I365,$M365,$O365,$N365,$P365,$Q365-$C$3,$R365,7)*$H365)/100)</f>
        <v>#NAME?</v>
      </c>
      <c r="AD365" s="226" t="e">
        <f aca="false">(xSPRDOPT($L365+$AB$5,$J365,$I365,$M365,$O365,$N365,$P365,$Q365-$C$3,$R365,9)/365)*$H365</f>
        <v>#NAME?</v>
      </c>
      <c r="AE365" s="0" t="e">
        <f aca="false">CD365</f>
        <v>#NAME?</v>
      </c>
      <c r="AF365" s="226" t="e">
        <f aca="false">((O365/N365)*AH365)+AG365</f>
        <v>#NAME?</v>
      </c>
      <c r="AG365" s="226" t="e">
        <f aca="false">((xSPRDOPT($L365,$J365,$I365,$M365,$O365,$N365,$P365,$Q365-$C$3,$R365,6)*$H365)/100)</f>
        <v>#NAME?</v>
      </c>
      <c r="AH365" s="226" t="e">
        <f aca="false">((xSPRDOPT($L365,$J365,$I365,$M365,$O365,$N365,$P365,$Q365-$C$3,$R365,5)*$H365)/100)</f>
        <v>#NAME?</v>
      </c>
      <c r="AI365" s="226" t="e">
        <f aca="false">(((xSPRDOPT($L365,$J365,$I365,$M365,$O365,$N365,$P365,$Q365-$C$3,$R365,4)*$H365)/10000)/100)-AB365</f>
        <v>#NAME?</v>
      </c>
      <c r="AJ365" s="226"/>
      <c r="AK365" s="226"/>
      <c r="AL365" s="226"/>
      <c r="AM365" s="252"/>
      <c r="CC365" s="182" t="n">
        <f aca="false">G365</f>
        <v>37316</v>
      </c>
      <c r="CD365" s="253" t="e">
        <f aca="false">xSPRDOPT((VLOOKUP(G365,NGPrices,2,FALSE())+HLOOKUP(D365,Prices,VLOOKUP(G365,move_down,2,FALSE()),FALSE())),VLOOKUP(G365,NGPrices,2,FALSE()),I365,VLOOKUP(G365,NGPREVPRICES,4,FALSE()),HLOOKUP(D365,PREVVOLS,VLOOKUP(G365,MOVE_DOWN2,2,FALSE()),FALSE()),VLOOKUP(G365,NGPREVPRICES,3,FALSE()),HLOOKUP(D365,Correllate,VLOOKUP(G365,CorMove,2,FALSE()),FALSE()),Q365-$CD$3,R365,$CD$5)*H365-CJ365</f>
        <v>#NAME?</v>
      </c>
      <c r="CE365" s="253" t="e">
        <f aca="false">xSPRDOPT((VLOOKUP(G365,NGPREVPRICES,2,FALSE())+HLOOKUP(D365,PREVCURVES,VLOOKUP(G365,MOVE_DOWN2,2,FALSE()),FALSE())),VLOOKUP(G365,NGPREVPRICES,2,FALSE()),CK365,VLOOKUP(G365,NGPrices,4,FALSE()),HLOOKUP(D365,PREVVOLS,VLOOKUP(G365,MOVE_DOWN2,2,FALSE()),FALSE()),VLOOKUP(G365,NGPREVPRICES,3,FALSE()),HLOOKUP(D365,Correllate,VLOOKUP(G365,CorMove,2,FALSE()),FALSE()),Q365-$CD$3,R365,$CJ$5)*H365-CJ365</f>
        <v>#NAME?</v>
      </c>
      <c r="CF365" s="132" t="e">
        <f aca="false">(CJ365/VLOOKUP(CC365,discount,3,FALSE()))-(CJ365/VLOOKUP(CC365,discount,2,FALSE()))</f>
        <v>#NAME?</v>
      </c>
      <c r="CG365" s="253" t="e">
        <f aca="false">xSPRDOPT((VLOOKUP(G365,NGPREVPRICES,2,FALSE())+HLOOKUP(D365,PREVCURVES,VLOOKUP(G365,MOVE_DOWN2,2,FALSE()),FALSE())),VLOOKUP(G365,NGPREVPRICES,2,FALSE()),CK365,VLOOKUP(G365,NGPREVPRICES,4,FALSE()),HLOOKUP(D365,VOLS,VLOOKUP(G365,move_down,2,FALSE()),FALSE()),VLOOKUP(G365,NGPrices,3,FALSE()),HLOOKUP(D365,Correllate,VLOOKUP(G365,CorMove,2,FALSE()),FALSE()),Q365-$CD$3,R365,$CJ$5)*H365-CJ365</f>
        <v>#NAME?</v>
      </c>
      <c r="CH365" s="253" t="e">
        <f aca="false">xSPRDOPT((VLOOKUP(G365,NGPREVPRICES,2,FALSE())+HLOOKUP(D365,PREVCURVES,VLOOKUP(G365,MOVE_DOWN2,2,FALSE()),FALSE())),VLOOKUP(G365,NGPREVPRICES,2,FALSE()),CK365,VLOOKUP(G365,NGPREVPRICES,4,FALSE()),HLOOKUP(D365,PREVVOLS,VLOOKUP(G365,MOVE_DOWN2,2,FALSE()),FALSE()),VLOOKUP(G365,NGPREVPRICES,3,FALSE()),HLOOKUP(D365,Correllate,VLOOKUP(G365,CorMove,2,FALSE()),FALSE()),Q365-$C$3,R365,$CJ$5)*H365-CJ365</f>
        <v>#NAME?</v>
      </c>
      <c r="CI365" s="253" t="e">
        <f aca="false">SUM(CD365:CH365)</f>
        <v>#NAME?</v>
      </c>
      <c r="CJ365" s="253" t="e">
        <f aca="false">xSPRDOPT((VLOOKUP(G365,NGPREVPRICES,2,FALSE())+HLOOKUP(D365,PREVCURVES,VLOOKUP(G365,MOVE_DOWN2,2,FALSE()),FALSE())),VLOOKUP(G365,NGPREVPRICES,2,FALSE()),CK365,VLOOKUP(G365,NGPREVPRICES,4,FALSE()),HLOOKUP(D365,PREVVOLS,VLOOKUP(G365,MOVE_DOWN2,2,FALSE()),FALSE()),VLOOKUP(G365,NGPREVPRICES,3,FALSE()),HLOOKUP(D365,Correllate,VLOOKUP(G365,CorMove,2,FALSE()),FALSE()),Q365-$CD$3,R365,$CJ$5)*H365</f>
        <v>#NAME?</v>
      </c>
      <c r="CK365" s="254" t="n">
        <f aca="false">I365</f>
        <v>1.33</v>
      </c>
      <c r="CM365" s="0" t="str">
        <f aca="false">CONCATENATE(CC365,$CD$6)</f>
        <v>37316Curve Shift/Gamma</v>
      </c>
      <c r="CN365" s="0" t="str">
        <f aca="false">CONCATENATE($CC365,$CE$6)</f>
        <v>37316Rho</v>
      </c>
      <c r="CO365" s="0" t="str">
        <f aca="false">CONCATENATE($CC365,$CF$6)</f>
        <v>37316Drift</v>
      </c>
      <c r="CP365" s="0" t="str">
        <f aca="false">CONCATENATE($CC365,$CG$6)</f>
        <v>37316Vega</v>
      </c>
      <c r="CQ365" s="0" t="str">
        <f aca="false">CONCATENATE($CC365,$CH$6)</f>
        <v>37316Theta</v>
      </c>
    </row>
    <row r="366" customFormat="false" ht="12.75" hidden="false" customHeight="false" outlineLevel="0" collapsed="false">
      <c r="A366" s="265" t="s">
        <v>198</v>
      </c>
      <c r="B366" s="0" t="s">
        <v>192</v>
      </c>
      <c r="C366" s="0" t="s">
        <v>329</v>
      </c>
      <c r="D366" s="7" t="s">
        <v>149</v>
      </c>
      <c r="E366" s="0" t="s">
        <v>131</v>
      </c>
      <c r="F366" s="0" t="s">
        <v>132</v>
      </c>
      <c r="G366" s="92" t="n">
        <v>37288</v>
      </c>
      <c r="H366" s="248" t="n">
        <v>500000</v>
      </c>
      <c r="I366" s="0" t="n">
        <v>1.33</v>
      </c>
      <c r="J366" s="124" t="n">
        <f aca="false">VLOOKUP(G366,NGPrices,2,FALSE())</f>
        <v>3.77</v>
      </c>
      <c r="K366" s="125" t="n">
        <f aca="false">HLOOKUP(D366,Prices,VLOOKUP(G366,move_down,2,FALSE()),FALSE())+VLOOKUP(G366,CHANGE,HLOOKUP(D366,CHANGE,2,FALSE()),FALSE())</f>
        <v>1.56</v>
      </c>
      <c r="L366" s="124" t="n">
        <f aca="false">K366+J366</f>
        <v>5.33</v>
      </c>
      <c r="M366" s="126" t="n">
        <f aca="false">VLOOKUP(G366,NGPrices,4,FALSE())</f>
        <v>0.069453688628792</v>
      </c>
      <c r="N366" s="7" t="n">
        <f aca="false">VLOOKUP(G366,NGPrices,3,FALSE())</f>
        <v>0.395</v>
      </c>
      <c r="O366" s="7" t="n">
        <f aca="false">HLOOKUP(D366,VOLS,VLOOKUP(G366,move_down,2,FALSE()),FALSE())</f>
        <v>0.435</v>
      </c>
      <c r="P366" s="249" t="n">
        <f aca="false">HLOOKUP(D366,Correllate,VLOOKUP(G366,CorMove,2,FALSE()),FALSE())</f>
        <v>0.95</v>
      </c>
      <c r="Q366" s="92" t="n">
        <f aca="false">WORKDAY(G366,-2)</f>
        <v>37286</v>
      </c>
      <c r="R366" s="7" t="n">
        <f aca="false">IF(F366="P",0,1)</f>
        <v>0</v>
      </c>
      <c r="S366" s="130" t="e">
        <f aca="false">xSPRDOPT($L366,$J366,$I366,$M366,$O366,$N366,$P366,$Q366-$C$3,$R366,0)</f>
        <v>#NAME?</v>
      </c>
      <c r="T366" s="250" t="e">
        <f aca="false">xSPRDOPT($L366,$J366,$I366,$M366,$O366,$N366,$P366,$Q366-$C$3,$R366,1)*H366</f>
        <v>#NAME?</v>
      </c>
      <c r="U366" s="43" t="e">
        <f aca="false">S366*H366</f>
        <v>#NAME?</v>
      </c>
      <c r="V366" s="250" t="e">
        <f aca="false">xSPRDOPT($L366,$J366,$I366,$M366,$O366,$N366,$P366,$Q366-$C$3,$R366,2)*H366</f>
        <v>#NAME?</v>
      </c>
      <c r="W366" s="250" t="e">
        <f aca="false">+V366+T366</f>
        <v>#NAME?</v>
      </c>
      <c r="X366" s="2" t="str">
        <f aca="false">CONCATENATE(G366,D366)</f>
        <v>37288IF-TRANSCO/Z6</v>
      </c>
      <c r="Y366" s="251" t="n">
        <f aca="false">H366/10000</f>
        <v>50</v>
      </c>
      <c r="Z366" s="226" t="e">
        <f aca="false">T366/H366</f>
        <v>#NAME?</v>
      </c>
      <c r="AA366" s="226" t="e">
        <f aca="false">xSPRDOPT($L366,$J366,$I366,$M366,$O366,$N366,$P366,$Q366-$C$3,$R366,3)</f>
        <v>#NAME?</v>
      </c>
      <c r="AB366" s="226" t="e">
        <f aca="false">((xSPRDOPT($L366+AB$5,$J366,$I366,$M366,$O366,$N366,$P366,$Q366-$C$3,$R366,3)*$H366)/10000)/100</f>
        <v>#NAME?</v>
      </c>
      <c r="AC366" s="226" t="e">
        <f aca="false">((xSPRDOPT($L366+$AB$5,$J366,$I366,$M366,$O366,$N366,$P366,$Q366-$C$3,$R366,7)*$H366)/100)</f>
        <v>#NAME?</v>
      </c>
      <c r="AD366" s="226" t="e">
        <f aca="false">(xSPRDOPT($L366+$AB$5,$J366,$I366,$M366,$O366,$N366,$P366,$Q366-$C$3,$R366,9)/365)*$H366</f>
        <v>#NAME?</v>
      </c>
      <c r="AE366" s="0" t="e">
        <f aca="false">CD366</f>
        <v>#NAME?</v>
      </c>
      <c r="AF366" s="226" t="e">
        <f aca="false">((O366/N366)*AH366)+AG366</f>
        <v>#NAME?</v>
      </c>
      <c r="AG366" s="226" t="e">
        <f aca="false">((xSPRDOPT($L366,$J366,$I366,$M366,$O366,$N366,$P366,$Q366-$C$3,$R366,6)*$H366)/100)</f>
        <v>#NAME?</v>
      </c>
      <c r="AH366" s="226" t="e">
        <f aca="false">((xSPRDOPT($L366,$J366,$I366,$M366,$O366,$N366,$P366,$Q366-$C$3,$R366,5)*$H366)/100)</f>
        <v>#NAME?</v>
      </c>
      <c r="AI366" s="226" t="e">
        <f aca="false">(((xSPRDOPT($L366,$J366,$I366,$M366,$O366,$N366,$P366,$Q366-$C$3,$R366,4)*$H366)/10000)/100)-AB366</f>
        <v>#NAME?</v>
      </c>
      <c r="AJ366" s="226"/>
      <c r="AK366" s="226"/>
      <c r="AL366" s="226"/>
      <c r="AM366" s="252"/>
      <c r="CC366" s="182" t="n">
        <f aca="false">G366</f>
        <v>37288</v>
      </c>
      <c r="CD366" s="253" t="e">
        <f aca="false">xSPRDOPT((VLOOKUP(G366,NGPrices,2,FALSE())+HLOOKUP(D366,Prices,VLOOKUP(G366,move_down,2,FALSE()),FALSE())),VLOOKUP(G366,NGPrices,2,FALSE()),I366,VLOOKUP(G366,NGPREVPRICES,4,FALSE()),HLOOKUP(D366,PREVVOLS,VLOOKUP(G366,MOVE_DOWN2,2,FALSE()),FALSE()),VLOOKUP(G366,NGPREVPRICES,3,FALSE()),HLOOKUP(D366,Correllate,VLOOKUP(G366,CorMove,2,FALSE()),FALSE()),Q366-$CD$3,R366,$CD$5)*H366-CJ366</f>
        <v>#NAME?</v>
      </c>
      <c r="CE366" s="253" t="e">
        <f aca="false">xSPRDOPT((VLOOKUP(G366,NGPREVPRICES,2,FALSE())+HLOOKUP(D366,PREVCURVES,VLOOKUP(G366,MOVE_DOWN2,2,FALSE()),FALSE())),VLOOKUP(G366,NGPREVPRICES,2,FALSE()),CK366,VLOOKUP(G366,NGPrices,4,FALSE()),HLOOKUP(D366,PREVVOLS,VLOOKUP(G366,MOVE_DOWN2,2,FALSE()),FALSE()),VLOOKUP(G366,NGPREVPRICES,3,FALSE()),HLOOKUP(D366,Correllate,VLOOKUP(G366,CorMove,2,FALSE()),FALSE()),Q366-$CD$3,R366,$CJ$5)*H366-CJ366</f>
        <v>#NAME?</v>
      </c>
      <c r="CF366" s="132" t="e">
        <f aca="false">(CJ366/VLOOKUP(CC366,discount,3,FALSE()))-(CJ366/VLOOKUP(CC366,discount,2,FALSE()))</f>
        <v>#NAME?</v>
      </c>
      <c r="CG366" s="253" t="e">
        <f aca="false">xSPRDOPT((VLOOKUP(G366,NGPREVPRICES,2,FALSE())+HLOOKUP(D366,PREVCURVES,VLOOKUP(G366,MOVE_DOWN2,2,FALSE()),FALSE())),VLOOKUP(G366,NGPREVPRICES,2,FALSE()),CK366,VLOOKUP(G366,NGPREVPRICES,4,FALSE()),HLOOKUP(D366,VOLS,VLOOKUP(G366,move_down,2,FALSE()),FALSE()),VLOOKUP(G366,NGPrices,3,FALSE()),HLOOKUP(D366,Correllate,VLOOKUP(G366,CorMove,2,FALSE()),FALSE()),Q366-$CD$3,R366,$CJ$5)*H366-CJ366</f>
        <v>#NAME?</v>
      </c>
      <c r="CH366" s="253" t="e">
        <f aca="false">xSPRDOPT((VLOOKUP(G366,NGPREVPRICES,2,FALSE())+HLOOKUP(D366,PREVCURVES,VLOOKUP(G366,MOVE_DOWN2,2,FALSE()),FALSE())),VLOOKUP(G366,NGPREVPRICES,2,FALSE()),CK366,VLOOKUP(G366,NGPREVPRICES,4,FALSE()),HLOOKUP(D366,PREVVOLS,VLOOKUP(G366,MOVE_DOWN2,2,FALSE()),FALSE()),VLOOKUP(G366,NGPREVPRICES,3,FALSE()),HLOOKUP(D366,Correllate,VLOOKUP(G366,CorMove,2,FALSE()),FALSE()),Q366-$C$3,R366,$CJ$5)*H366-CJ366</f>
        <v>#NAME?</v>
      </c>
      <c r="CI366" s="253" t="e">
        <f aca="false">SUM(CD366:CH366)</f>
        <v>#NAME?</v>
      </c>
      <c r="CJ366" s="253" t="e">
        <f aca="false">xSPRDOPT((VLOOKUP(G366,NGPREVPRICES,2,FALSE())+HLOOKUP(D366,PREVCURVES,VLOOKUP(G366,MOVE_DOWN2,2,FALSE()),FALSE())),VLOOKUP(G366,NGPREVPRICES,2,FALSE()),CK366,VLOOKUP(G366,NGPREVPRICES,4,FALSE()),HLOOKUP(D366,PREVVOLS,VLOOKUP(G366,MOVE_DOWN2,2,FALSE()),FALSE()),VLOOKUP(G366,NGPREVPRICES,3,FALSE()),HLOOKUP(D366,Correllate,VLOOKUP(G366,CorMove,2,FALSE()),FALSE()),Q366-$CD$3,R366,$CJ$5)*H366</f>
        <v>#NAME?</v>
      </c>
      <c r="CK366" s="254" t="n">
        <f aca="false">I366</f>
        <v>1.33</v>
      </c>
      <c r="CM366" s="0" t="str">
        <f aca="false">CONCATENATE(CC366,$CD$6)</f>
        <v>37288Curve Shift/Gamma</v>
      </c>
      <c r="CN366" s="0" t="str">
        <f aca="false">CONCATENATE($CC366,$CE$6)</f>
        <v>37288Rho</v>
      </c>
      <c r="CO366" s="0" t="str">
        <f aca="false">CONCATENATE($CC366,$CF$6)</f>
        <v>37288Drift</v>
      </c>
      <c r="CP366" s="0" t="str">
        <f aca="false">CONCATENATE($CC366,$CG$6)</f>
        <v>37288Vega</v>
      </c>
      <c r="CQ366" s="0" t="str">
        <f aca="false">CONCATENATE($CC366,$CH$6)</f>
        <v>37288Theta</v>
      </c>
    </row>
    <row r="367" customFormat="false" ht="12.75" hidden="false" customHeight="false" outlineLevel="0" collapsed="false">
      <c r="A367" s="265" t="s">
        <v>198</v>
      </c>
      <c r="B367" s="0" t="s">
        <v>192</v>
      </c>
      <c r="C367" s="0" t="s">
        <v>329</v>
      </c>
      <c r="D367" s="7" t="s">
        <v>149</v>
      </c>
      <c r="E367" s="0" t="s">
        <v>131</v>
      </c>
      <c r="F367" s="0" t="s">
        <v>132</v>
      </c>
      <c r="G367" s="92" t="n">
        <v>37257</v>
      </c>
      <c r="H367" s="248" t="n">
        <v>500000</v>
      </c>
      <c r="I367" s="0" t="n">
        <v>1.33</v>
      </c>
      <c r="J367" s="124" t="n">
        <f aca="false">VLOOKUP(G367,NGPrices,2,FALSE())</f>
        <v>3.94</v>
      </c>
      <c r="K367" s="125" t="n">
        <f aca="false">HLOOKUP(D367,Prices,VLOOKUP(G367,move_down,2,FALSE()),FALSE())+VLOOKUP(G367,CHANGE,HLOOKUP(D367,CHANGE,2,FALSE()),FALSE())</f>
        <v>1.56</v>
      </c>
      <c r="L367" s="124" t="n">
        <f aca="false">K367+J367</f>
        <v>5.5</v>
      </c>
      <c r="M367" s="126" t="n">
        <f aca="false">VLOOKUP(G367,NGPrices,4,FALSE())</f>
        <v>0.069402566234751</v>
      </c>
      <c r="N367" s="7" t="n">
        <f aca="false">VLOOKUP(G367,NGPrices,3,FALSE())</f>
        <v>0.4125</v>
      </c>
      <c r="O367" s="7" t="n">
        <f aca="false">HLOOKUP(D367,VOLS,VLOOKUP(G367,move_down,2,FALSE()),FALSE())</f>
        <v>0.454</v>
      </c>
      <c r="P367" s="249" t="n">
        <f aca="false">HLOOKUP(D367,Correllate,VLOOKUP(G367,CorMove,2,FALSE()),FALSE())</f>
        <v>0.95</v>
      </c>
      <c r="Q367" s="92" t="n">
        <f aca="false">WORKDAY(G367,-2)</f>
        <v>37253</v>
      </c>
      <c r="R367" s="7" t="n">
        <f aca="false">IF(F367="P",0,1)</f>
        <v>0</v>
      </c>
      <c r="S367" s="130" t="e">
        <f aca="false">xSPRDOPT($L367,$J367,$I367,$M367,$O367,$N367,$P367,$Q367-$C$3,$R367,0)</f>
        <v>#NAME?</v>
      </c>
      <c r="T367" s="250" t="e">
        <f aca="false">xSPRDOPT($L367,$J367,$I367,$M367,$O367,$N367,$P367,$Q367-$C$3,$R367,1)*H367</f>
        <v>#NAME?</v>
      </c>
      <c r="U367" s="43" t="e">
        <f aca="false">S367*H367</f>
        <v>#NAME?</v>
      </c>
      <c r="V367" s="250" t="e">
        <f aca="false">xSPRDOPT($L367,$J367,$I367,$M367,$O367,$N367,$P367,$Q367-$C$3,$R367,2)*H367</f>
        <v>#NAME?</v>
      </c>
      <c r="W367" s="250" t="e">
        <f aca="false">+V367+T367</f>
        <v>#NAME?</v>
      </c>
      <c r="X367" s="2" t="str">
        <f aca="false">CONCATENATE(G367,D367)</f>
        <v>37257IF-TRANSCO/Z6</v>
      </c>
      <c r="Y367" s="251" t="n">
        <f aca="false">H367/10000</f>
        <v>50</v>
      </c>
      <c r="Z367" s="226" t="e">
        <f aca="false">T367/H367</f>
        <v>#NAME?</v>
      </c>
      <c r="AA367" s="226" t="e">
        <f aca="false">xSPRDOPT($L367,$J367,$I367,$M367,$O367,$N367,$P367,$Q367-$C$3,$R367,3)</f>
        <v>#NAME?</v>
      </c>
      <c r="AB367" s="226" t="e">
        <f aca="false">((xSPRDOPT($L367+AB$5,$J367,$I367,$M367,$O367,$N367,$P367,$Q367-$C$3,$R367,3)*$H367)/10000)/100</f>
        <v>#NAME?</v>
      </c>
      <c r="AC367" s="226" t="e">
        <f aca="false">((xSPRDOPT($L367+$AB$5,$J367,$I367,$M367,$O367,$N367,$P367,$Q367-$C$3,$R367,7)*$H367)/100)</f>
        <v>#NAME?</v>
      </c>
      <c r="AD367" s="226" t="e">
        <f aca="false">(xSPRDOPT($L367+$AB$5,$J367,$I367,$M367,$O367,$N367,$P367,$Q367-$C$3,$R367,9)/365)*$H367</f>
        <v>#NAME?</v>
      </c>
      <c r="AE367" s="0" t="e">
        <f aca="false">CD367</f>
        <v>#NAME?</v>
      </c>
      <c r="AF367" s="226" t="e">
        <f aca="false">((O367/N367)*AH367)+AG367</f>
        <v>#NAME?</v>
      </c>
      <c r="AG367" s="226" t="e">
        <f aca="false">((xSPRDOPT($L367,$J367,$I367,$M367,$O367,$N367,$P367,$Q367-$C$3,$R367,6)*$H367)/100)</f>
        <v>#NAME?</v>
      </c>
      <c r="AH367" s="226" t="e">
        <f aca="false">((xSPRDOPT($L367,$J367,$I367,$M367,$O367,$N367,$P367,$Q367-$C$3,$R367,5)*$H367)/100)</f>
        <v>#NAME?</v>
      </c>
      <c r="AI367" s="226" t="e">
        <f aca="false">(((xSPRDOPT($L367,$J367,$I367,$M367,$O367,$N367,$P367,$Q367-$C$3,$R367,4)*$H367)/10000)/100)-AB367</f>
        <v>#NAME?</v>
      </c>
      <c r="AJ367" s="226"/>
      <c r="AK367" s="226"/>
      <c r="AL367" s="226"/>
      <c r="AM367" s="252"/>
      <c r="CC367" s="182" t="n">
        <f aca="false">G367</f>
        <v>37257</v>
      </c>
      <c r="CD367" s="253" t="e">
        <f aca="false">xSPRDOPT((VLOOKUP(G367,NGPrices,2,FALSE())+HLOOKUP(D367,Prices,VLOOKUP(G367,move_down,2,FALSE()),FALSE())),VLOOKUP(G367,NGPrices,2,FALSE()),I367,VLOOKUP(G367,NGPREVPRICES,4,FALSE()),HLOOKUP(D367,PREVVOLS,VLOOKUP(G367,MOVE_DOWN2,2,FALSE()),FALSE()),VLOOKUP(G367,NGPREVPRICES,3,FALSE()),HLOOKUP(D367,Correllate,VLOOKUP(G367,CorMove,2,FALSE()),FALSE()),Q367-$CD$3,R367,$CD$5)*H367-CJ367</f>
        <v>#NAME?</v>
      </c>
      <c r="CE367" s="253" t="e">
        <f aca="false">xSPRDOPT((VLOOKUP(G367,NGPREVPRICES,2,FALSE())+HLOOKUP(D367,PREVCURVES,VLOOKUP(G367,MOVE_DOWN2,2,FALSE()),FALSE())),VLOOKUP(G367,NGPREVPRICES,2,FALSE()),CK367,VLOOKUP(G367,NGPrices,4,FALSE()),HLOOKUP(D367,PREVVOLS,VLOOKUP(G367,MOVE_DOWN2,2,FALSE()),FALSE()),VLOOKUP(G367,NGPREVPRICES,3,FALSE()),HLOOKUP(D367,Correllate,VLOOKUP(G367,CorMove,2,FALSE()),FALSE()),Q367-$CD$3,R367,$CJ$5)*H367-CJ367</f>
        <v>#NAME?</v>
      </c>
      <c r="CF367" s="132" t="e">
        <f aca="false">(CJ367/VLOOKUP(CC367,discount,3,FALSE()))-(CJ367/VLOOKUP(CC367,discount,2,FALSE()))</f>
        <v>#NAME?</v>
      </c>
      <c r="CG367" s="253" t="e">
        <f aca="false">xSPRDOPT((VLOOKUP(G367,NGPREVPRICES,2,FALSE())+HLOOKUP(D367,PREVCURVES,VLOOKUP(G367,MOVE_DOWN2,2,FALSE()),FALSE())),VLOOKUP(G367,NGPREVPRICES,2,FALSE()),CK367,VLOOKUP(G367,NGPREVPRICES,4,FALSE()),HLOOKUP(D367,VOLS,VLOOKUP(G367,move_down,2,FALSE()),FALSE()),VLOOKUP(G367,NGPrices,3,FALSE()),HLOOKUP(D367,Correllate,VLOOKUP(G367,CorMove,2,FALSE()),FALSE()),Q367-$CD$3,R367,$CJ$5)*H367-CJ367</f>
        <v>#NAME?</v>
      </c>
      <c r="CH367" s="253" t="e">
        <f aca="false">xSPRDOPT((VLOOKUP(G367,NGPREVPRICES,2,FALSE())+HLOOKUP(D367,PREVCURVES,VLOOKUP(G367,MOVE_DOWN2,2,FALSE()),FALSE())),VLOOKUP(G367,NGPREVPRICES,2,FALSE()),CK367,VLOOKUP(G367,NGPREVPRICES,4,FALSE()),HLOOKUP(D367,PREVVOLS,VLOOKUP(G367,MOVE_DOWN2,2,FALSE()),FALSE()),VLOOKUP(G367,NGPREVPRICES,3,FALSE()),HLOOKUP(D367,Correllate,VLOOKUP(G367,CorMove,2,FALSE()),FALSE()),Q367-$C$3,R367,$CJ$5)*H367-CJ367</f>
        <v>#NAME?</v>
      </c>
      <c r="CI367" s="253" t="e">
        <f aca="false">SUM(CD367:CH367)</f>
        <v>#NAME?</v>
      </c>
      <c r="CJ367" s="253" t="e">
        <f aca="false">xSPRDOPT((VLOOKUP(G367,NGPREVPRICES,2,FALSE())+HLOOKUP(D367,PREVCURVES,VLOOKUP(G367,MOVE_DOWN2,2,FALSE()),FALSE())),VLOOKUP(G367,NGPREVPRICES,2,FALSE()),CK367,VLOOKUP(G367,NGPREVPRICES,4,FALSE()),HLOOKUP(D367,PREVVOLS,VLOOKUP(G367,MOVE_DOWN2,2,FALSE()),FALSE()),VLOOKUP(G367,NGPREVPRICES,3,FALSE()),HLOOKUP(D367,Correllate,VLOOKUP(G367,CorMove,2,FALSE()),FALSE()),Q367-$CD$3,R367,$CJ$5)*H367</f>
        <v>#NAME?</v>
      </c>
      <c r="CK367" s="254" t="n">
        <f aca="false">I367</f>
        <v>1.33</v>
      </c>
      <c r="CM367" s="0" t="str">
        <f aca="false">CONCATENATE(CC367,$CD$6)</f>
        <v>37257Curve Shift/Gamma</v>
      </c>
      <c r="CN367" s="0" t="str">
        <f aca="false">CONCATENATE($CC367,$CE$6)</f>
        <v>37257Rho</v>
      </c>
      <c r="CO367" s="0" t="str">
        <f aca="false">CONCATENATE($CC367,$CF$6)</f>
        <v>37257Drift</v>
      </c>
      <c r="CP367" s="0" t="str">
        <f aca="false">CONCATENATE($CC367,$CG$6)</f>
        <v>37257Vega</v>
      </c>
      <c r="CQ367" s="0" t="str">
        <f aca="false">CONCATENATE($CC367,$CH$6)</f>
        <v>37257Theta</v>
      </c>
    </row>
    <row r="368" customFormat="false" ht="12.75" hidden="false" customHeight="false" outlineLevel="0" collapsed="false">
      <c r="A368" s="265" t="s">
        <v>198</v>
      </c>
      <c r="B368" s="0" t="s">
        <v>192</v>
      </c>
      <c r="C368" s="0" t="s">
        <v>329</v>
      </c>
      <c r="D368" s="7" t="s">
        <v>149</v>
      </c>
      <c r="E368" s="0" t="s">
        <v>131</v>
      </c>
      <c r="F368" s="0" t="s">
        <v>132</v>
      </c>
      <c r="G368" s="92" t="n">
        <v>37226</v>
      </c>
      <c r="H368" s="248" t="n">
        <v>500000</v>
      </c>
      <c r="I368" s="0" t="n">
        <v>1.33</v>
      </c>
      <c r="J368" s="124" t="n">
        <f aca="false">VLOOKUP(G368,NGPrices,2,FALSE())</f>
        <v>3.968</v>
      </c>
      <c r="K368" s="125" t="n">
        <f aca="false">HLOOKUP(D368,Prices,VLOOKUP(G368,move_down,2,FALSE()),FALSE())+VLOOKUP(G368,CHANGE,HLOOKUP(D368,CHANGE,2,FALSE()),FALSE())</f>
        <v>1.31</v>
      </c>
      <c r="L368" s="124" t="n">
        <f aca="false">K368+J368</f>
        <v>5.278</v>
      </c>
      <c r="M368" s="126" t="n">
        <f aca="false">VLOOKUP(G368,NGPrices,4,FALSE())</f>
        <v>0.069362858204931</v>
      </c>
      <c r="N368" s="7" t="n">
        <f aca="false">VLOOKUP(G368,NGPrices,3,FALSE())</f>
        <v>0.4075</v>
      </c>
      <c r="O368" s="7" t="n">
        <f aca="false">HLOOKUP(D368,VOLS,VLOOKUP(G368,move_down,2,FALSE()),FALSE())</f>
        <v>0.448</v>
      </c>
      <c r="P368" s="249" t="n">
        <f aca="false">HLOOKUP(D368,Correllate,VLOOKUP(G368,CorMove,2,FALSE()),FALSE())</f>
        <v>0.95</v>
      </c>
      <c r="Q368" s="92" t="n">
        <f aca="false">WORKDAY(G368,-2)</f>
        <v>37224</v>
      </c>
      <c r="R368" s="7" t="n">
        <f aca="false">IF(F368="P",0,1)</f>
        <v>0</v>
      </c>
      <c r="S368" s="130" t="e">
        <f aca="false">xSPRDOPT($L368,$J368,$I368,$M368,$O368,$N368,$P368,$Q368-$C$3,$R368,0)</f>
        <v>#NAME?</v>
      </c>
      <c r="T368" s="250" t="e">
        <f aca="false">xSPRDOPT($L368,$J368,$I368,$M368,$O368,$N368,$P368,$Q368-$C$3,$R368,1)*H368</f>
        <v>#NAME?</v>
      </c>
      <c r="U368" s="43" t="e">
        <f aca="false">S368*H368</f>
        <v>#NAME?</v>
      </c>
      <c r="V368" s="250" t="e">
        <f aca="false">xSPRDOPT($L368,$J368,$I368,$M368,$O368,$N368,$P368,$Q368-$C$3,$R368,2)*H368</f>
        <v>#NAME?</v>
      </c>
      <c r="W368" s="250" t="e">
        <f aca="false">+V368+T368</f>
        <v>#NAME?</v>
      </c>
      <c r="X368" s="2" t="str">
        <f aca="false">CONCATENATE(G368,D368)</f>
        <v>37226IF-TRANSCO/Z6</v>
      </c>
      <c r="Y368" s="251" t="n">
        <f aca="false">H368/10000</f>
        <v>50</v>
      </c>
      <c r="Z368" s="226" t="e">
        <f aca="false">T368/H368</f>
        <v>#NAME?</v>
      </c>
      <c r="AA368" s="226" t="e">
        <f aca="false">xSPRDOPT($L368,$J368,$I368,$M368,$O368,$N368,$P368,$Q368-$C$3,$R368,3)</f>
        <v>#NAME?</v>
      </c>
      <c r="AB368" s="226" t="e">
        <f aca="false">((xSPRDOPT($L368+AB$5,$J368,$I368,$M368,$O368,$N368,$P368,$Q368-$C$3,$R368,3)*$H368)/10000)/100</f>
        <v>#NAME?</v>
      </c>
      <c r="AC368" s="226" t="e">
        <f aca="false">((xSPRDOPT($L368+$AB$5,$J368,$I368,$M368,$O368,$N368,$P368,$Q368-$C$3,$R368,7)*$H368)/100)</f>
        <v>#NAME?</v>
      </c>
      <c r="AD368" s="226" t="e">
        <f aca="false">(xSPRDOPT($L368+$AB$5,$J368,$I368,$M368,$O368,$N368,$P368,$Q368-$C$3,$R368,9)/365)*$H368</f>
        <v>#NAME?</v>
      </c>
      <c r="AE368" s="0" t="e">
        <f aca="false">CD368</f>
        <v>#NAME?</v>
      </c>
      <c r="AF368" s="226" t="e">
        <f aca="false">((O368/N368)*AH368)+AG368</f>
        <v>#NAME?</v>
      </c>
      <c r="AG368" s="226" t="e">
        <f aca="false">((xSPRDOPT($L368,$J368,$I368,$M368,$O368,$N368,$P368,$Q368-$C$3,$R368,6)*$H368)/100)</f>
        <v>#NAME?</v>
      </c>
      <c r="AH368" s="226" t="e">
        <f aca="false">((xSPRDOPT($L368,$J368,$I368,$M368,$O368,$N368,$P368,$Q368-$C$3,$R368,5)*$H368)/100)</f>
        <v>#NAME?</v>
      </c>
      <c r="AI368" s="226" t="e">
        <f aca="false">(((xSPRDOPT($L368,$J368,$I368,$M368,$O368,$N368,$P368,$Q368-$C$3,$R368,4)*$H368)/10000)/100)-AB368</f>
        <v>#NAME?</v>
      </c>
      <c r="AJ368" s="226"/>
      <c r="AK368" s="226"/>
      <c r="AL368" s="226"/>
      <c r="AM368" s="252"/>
      <c r="CC368" s="182" t="n">
        <f aca="false">G368</f>
        <v>37226</v>
      </c>
      <c r="CD368" s="253" t="e">
        <f aca="false">xSPRDOPT((VLOOKUP(G368,NGPrices,2,FALSE())+HLOOKUP(D368,Prices,VLOOKUP(G368,move_down,2,FALSE()),FALSE())),VLOOKUP(G368,NGPrices,2,FALSE()),I368,VLOOKUP(G368,NGPREVPRICES,4,FALSE()),HLOOKUP(D368,PREVVOLS,VLOOKUP(G368,MOVE_DOWN2,2,FALSE()),FALSE()),VLOOKUP(G368,NGPREVPRICES,3,FALSE()),HLOOKUP(D368,Correllate,VLOOKUP(G368,CorMove,2,FALSE()),FALSE()),Q368-$CD$3,R368,$CD$5)*H368-CJ368</f>
        <v>#NAME?</v>
      </c>
      <c r="CE368" s="253" t="e">
        <f aca="false">xSPRDOPT((VLOOKUP(G368,NGPREVPRICES,2,FALSE())+HLOOKUP(D368,PREVCURVES,VLOOKUP(G368,MOVE_DOWN2,2,FALSE()),FALSE())),VLOOKUP(G368,NGPREVPRICES,2,FALSE()),CK368,VLOOKUP(G368,NGPrices,4,FALSE()),HLOOKUP(D368,PREVVOLS,VLOOKUP(G368,MOVE_DOWN2,2,FALSE()),FALSE()),VLOOKUP(G368,NGPREVPRICES,3,FALSE()),HLOOKUP(D368,Correllate,VLOOKUP(G368,CorMove,2,FALSE()),FALSE()),Q368-$CD$3,R368,$CJ$5)*H368-CJ368</f>
        <v>#NAME?</v>
      </c>
      <c r="CF368" s="132" t="e">
        <f aca="false">(CJ368/VLOOKUP(CC368,discount,3,FALSE()))-(CJ368/VLOOKUP(CC368,discount,2,FALSE()))</f>
        <v>#NAME?</v>
      </c>
      <c r="CG368" s="253" t="e">
        <f aca="false">xSPRDOPT((VLOOKUP(G368,NGPREVPRICES,2,FALSE())+HLOOKUP(D368,PREVCURVES,VLOOKUP(G368,MOVE_DOWN2,2,FALSE()),FALSE())),VLOOKUP(G368,NGPREVPRICES,2,FALSE()),CK368,VLOOKUP(G368,NGPREVPRICES,4,FALSE()),HLOOKUP(D368,VOLS,VLOOKUP(G368,move_down,2,FALSE()),FALSE()),VLOOKUP(G368,NGPrices,3,FALSE()),HLOOKUP(D368,Correllate,VLOOKUP(G368,CorMove,2,FALSE()),FALSE()),Q368-$CD$3,R368,$CJ$5)*H368-CJ368</f>
        <v>#NAME?</v>
      </c>
      <c r="CH368" s="253" t="e">
        <f aca="false">xSPRDOPT((VLOOKUP(G368,NGPREVPRICES,2,FALSE())+HLOOKUP(D368,PREVCURVES,VLOOKUP(G368,MOVE_DOWN2,2,FALSE()),FALSE())),VLOOKUP(G368,NGPREVPRICES,2,FALSE()),CK368,VLOOKUP(G368,NGPREVPRICES,4,FALSE()),HLOOKUP(D368,PREVVOLS,VLOOKUP(G368,MOVE_DOWN2,2,FALSE()),FALSE()),VLOOKUP(G368,NGPREVPRICES,3,FALSE()),HLOOKUP(D368,Correllate,VLOOKUP(G368,CorMove,2,FALSE()),FALSE()),Q368-$C$3,R368,$CJ$5)*H368-CJ368</f>
        <v>#NAME?</v>
      </c>
      <c r="CI368" s="253" t="e">
        <f aca="false">SUM(CD368:CH368)</f>
        <v>#NAME?</v>
      </c>
      <c r="CJ368" s="253" t="e">
        <f aca="false">xSPRDOPT((VLOOKUP(G368,NGPREVPRICES,2,FALSE())+HLOOKUP(D368,PREVCURVES,VLOOKUP(G368,MOVE_DOWN2,2,FALSE()),FALSE())),VLOOKUP(G368,NGPREVPRICES,2,FALSE()),CK368,VLOOKUP(G368,NGPREVPRICES,4,FALSE()),HLOOKUP(D368,PREVVOLS,VLOOKUP(G368,MOVE_DOWN2,2,FALSE()),FALSE()),VLOOKUP(G368,NGPREVPRICES,3,FALSE()),HLOOKUP(D368,Correllate,VLOOKUP(G368,CorMove,2,FALSE()),FALSE()),Q368-$CD$3,R368,$CJ$5)*H368</f>
        <v>#NAME?</v>
      </c>
      <c r="CK368" s="254" t="n">
        <f aca="false">I368</f>
        <v>1.33</v>
      </c>
      <c r="CM368" s="0" t="str">
        <f aca="false">CONCATENATE(CC368,$CD$6)</f>
        <v>37226Curve Shift/Gamma</v>
      </c>
      <c r="CN368" s="0" t="str">
        <f aca="false">CONCATENATE($CC368,$CE$6)</f>
        <v>37226Rho</v>
      </c>
      <c r="CO368" s="0" t="str">
        <f aca="false">CONCATENATE($CC368,$CF$6)</f>
        <v>37226Drift</v>
      </c>
      <c r="CP368" s="0" t="str">
        <f aca="false">CONCATENATE($CC368,$CG$6)</f>
        <v>37226Vega</v>
      </c>
      <c r="CQ368" s="0" t="str">
        <f aca="false">CONCATENATE($CC368,$CH$6)</f>
        <v>37226Theta</v>
      </c>
    </row>
    <row r="369" customFormat="false" ht="12.75" hidden="false" customHeight="false" outlineLevel="0" collapsed="false">
      <c r="A369" s="265" t="s">
        <v>198</v>
      </c>
      <c r="B369" s="0" t="s">
        <v>192</v>
      </c>
      <c r="C369" s="0" t="s">
        <v>329</v>
      </c>
      <c r="D369" s="7" t="s">
        <v>149</v>
      </c>
      <c r="E369" s="0" t="s">
        <v>131</v>
      </c>
      <c r="F369" s="0" t="s">
        <v>132</v>
      </c>
      <c r="G369" s="92" t="n">
        <v>37196</v>
      </c>
      <c r="H369" s="248" t="n">
        <v>500000</v>
      </c>
      <c r="I369" s="0" t="n">
        <v>1.33</v>
      </c>
      <c r="J369" s="124" t="n">
        <f aca="false">VLOOKUP(G369,NGPrices,2,FALSE())</f>
        <v>3.878</v>
      </c>
      <c r="K369" s="125" t="n">
        <f aca="false">HLOOKUP(D369,Prices,VLOOKUP(G369,move_down,2,FALSE()),FALSE())+VLOOKUP(G369,CHANGE,HLOOKUP(D369,CHANGE,2,FALSE()),FALSE())</f>
        <v>0.89</v>
      </c>
      <c r="L369" s="124" t="n">
        <f aca="false">K369+J369</f>
        <v>4.768</v>
      </c>
      <c r="M369" s="126" t="n">
        <f aca="false">VLOOKUP(G369,NGPrices,4,FALSE())</f>
        <v>0.069332408860559</v>
      </c>
      <c r="N369" s="7" t="n">
        <f aca="false">VLOOKUP(G369,NGPrices,3,FALSE())</f>
        <v>0.4025</v>
      </c>
      <c r="O369" s="7" t="n">
        <f aca="false">HLOOKUP(D369,VOLS,VLOOKUP(G369,move_down,2,FALSE()),FALSE())</f>
        <v>0.443</v>
      </c>
      <c r="P369" s="249" t="n">
        <f aca="false">HLOOKUP(D369,Correllate,VLOOKUP(G369,CorMove,2,FALSE()),FALSE())</f>
        <v>0.95</v>
      </c>
      <c r="Q369" s="92" t="n">
        <f aca="false">WORKDAY(G369,-2)</f>
        <v>37194</v>
      </c>
      <c r="R369" s="7" t="n">
        <f aca="false">IF(F369="P",0,1)</f>
        <v>0</v>
      </c>
      <c r="S369" s="130" t="e">
        <f aca="false">xSPRDOPT($L369,$J369,$I369,$M369,$O369,$N369,$P369,$Q369-$C$3,$R369,0)</f>
        <v>#NAME?</v>
      </c>
      <c r="T369" s="250" t="e">
        <f aca="false">xSPRDOPT($L369,$J369,$I369,$M369,$O369,$N369,$P369,$Q369-$C$3,$R369,1)*H369</f>
        <v>#NAME?</v>
      </c>
      <c r="U369" s="43" t="e">
        <f aca="false">S369*H369</f>
        <v>#NAME?</v>
      </c>
      <c r="V369" s="250" t="e">
        <f aca="false">xSPRDOPT($L369,$J369,$I369,$M369,$O369,$N369,$P369,$Q369-$C$3,$R369,2)*H369</f>
        <v>#NAME?</v>
      </c>
      <c r="W369" s="250" t="e">
        <f aca="false">+V369+T369</f>
        <v>#NAME?</v>
      </c>
      <c r="X369" s="2" t="str">
        <f aca="false">CONCATENATE(G369,D369)</f>
        <v>37196IF-TRANSCO/Z6</v>
      </c>
      <c r="Y369" s="251" t="n">
        <f aca="false">H369/10000</f>
        <v>50</v>
      </c>
      <c r="Z369" s="226" t="e">
        <f aca="false">T369/H369</f>
        <v>#NAME?</v>
      </c>
      <c r="AA369" s="226" t="e">
        <f aca="false">xSPRDOPT($L369,$J369,$I369,$M369,$O369,$N369,$P369,$Q369-$C$3,$R369,3)</f>
        <v>#NAME?</v>
      </c>
      <c r="AB369" s="226" t="e">
        <f aca="false">((xSPRDOPT($L369+AB$5,$J369,$I369,$M369,$O369,$N369,$P369,$Q369-$C$3,$R369,3)*$H369)/10000)/100</f>
        <v>#NAME?</v>
      </c>
      <c r="AC369" s="226" t="e">
        <f aca="false">((xSPRDOPT($L369+$AB$5,$J369,$I369,$M369,$O369,$N369,$P369,$Q369-$C$3,$R369,7)*$H369)/100)</f>
        <v>#NAME?</v>
      </c>
      <c r="AD369" s="226" t="e">
        <f aca="false">(xSPRDOPT($L369+$AB$5,$J369,$I369,$M369,$O369,$N369,$P369,$Q369-$C$3,$R369,9)/365)*$H369</f>
        <v>#NAME?</v>
      </c>
      <c r="AE369" s="0" t="e">
        <f aca="false">CD369</f>
        <v>#NAME?</v>
      </c>
      <c r="AF369" s="226" t="e">
        <f aca="false">((O369/N369)*AH369)+AG369</f>
        <v>#NAME?</v>
      </c>
      <c r="AG369" s="226" t="e">
        <f aca="false">((xSPRDOPT($L369,$J369,$I369,$M369,$O369,$N369,$P369,$Q369-$C$3,$R369,6)*$H369)/100)</f>
        <v>#NAME?</v>
      </c>
      <c r="AH369" s="226" t="e">
        <f aca="false">((xSPRDOPT($L369,$J369,$I369,$M369,$O369,$N369,$P369,$Q369-$C$3,$R369,5)*$H369)/100)</f>
        <v>#NAME?</v>
      </c>
      <c r="AI369" s="226" t="e">
        <f aca="false">(((xSPRDOPT($L369,$J369,$I369,$M369,$O369,$N369,$P369,$Q369-$C$3,$R369,4)*$H369)/10000)/100)-AB369</f>
        <v>#NAME?</v>
      </c>
      <c r="AJ369" s="226"/>
      <c r="AK369" s="226"/>
      <c r="AL369" s="226"/>
      <c r="AM369" s="252"/>
      <c r="CC369" s="182" t="n">
        <f aca="false">G369</f>
        <v>37196</v>
      </c>
      <c r="CD369" s="253" t="e">
        <f aca="false">xSPRDOPT((VLOOKUP(G369,NGPrices,2,FALSE())+HLOOKUP(D369,Prices,VLOOKUP(G369,move_down,2,FALSE()),FALSE())),VLOOKUP(G369,NGPrices,2,FALSE()),I369,VLOOKUP(G369,NGPREVPRICES,4,FALSE()),HLOOKUP(D369,PREVVOLS,VLOOKUP(G369,MOVE_DOWN2,2,FALSE()),FALSE()),VLOOKUP(G369,NGPREVPRICES,3,FALSE()),HLOOKUP(D369,Correllate,VLOOKUP(G369,CorMove,2,FALSE()),FALSE()),Q369-$CD$3,R369,$CD$5)*H369-CJ369</f>
        <v>#NAME?</v>
      </c>
      <c r="CE369" s="253" t="e">
        <f aca="false">xSPRDOPT((VLOOKUP(G369,NGPREVPRICES,2,FALSE())+HLOOKUP(D369,PREVCURVES,VLOOKUP(G369,MOVE_DOWN2,2,FALSE()),FALSE())),VLOOKUP(G369,NGPREVPRICES,2,FALSE()),CK369,VLOOKUP(G369,NGPrices,4,FALSE()),HLOOKUP(D369,PREVVOLS,VLOOKUP(G369,MOVE_DOWN2,2,FALSE()),FALSE()),VLOOKUP(G369,NGPREVPRICES,3,FALSE()),HLOOKUP(D369,Correllate,VLOOKUP(G369,CorMove,2,FALSE()),FALSE()),Q369-$CD$3,R369,$CJ$5)*H369-CJ369</f>
        <v>#NAME?</v>
      </c>
      <c r="CF369" s="132" t="e">
        <f aca="false">(CJ369/VLOOKUP(CC369,discount,3,FALSE()))-(CJ369/VLOOKUP(CC369,discount,2,FALSE()))</f>
        <v>#NAME?</v>
      </c>
      <c r="CG369" s="253" t="e">
        <f aca="false">xSPRDOPT((VLOOKUP(G369,NGPREVPRICES,2,FALSE())+HLOOKUP(D369,PREVCURVES,VLOOKUP(G369,MOVE_DOWN2,2,FALSE()),FALSE())),VLOOKUP(G369,NGPREVPRICES,2,FALSE()),CK369,VLOOKUP(G369,NGPREVPRICES,4,FALSE()),HLOOKUP(D369,VOLS,VLOOKUP(G369,move_down,2,FALSE()),FALSE()),VLOOKUP(G369,NGPrices,3,FALSE()),HLOOKUP(D369,Correllate,VLOOKUP(G369,CorMove,2,FALSE()),FALSE()),Q369-$CD$3,R369,$CJ$5)*H369-CJ369</f>
        <v>#NAME?</v>
      </c>
      <c r="CH369" s="253" t="e">
        <f aca="false">xSPRDOPT((VLOOKUP(G369,NGPREVPRICES,2,FALSE())+HLOOKUP(D369,PREVCURVES,VLOOKUP(G369,MOVE_DOWN2,2,FALSE()),FALSE())),VLOOKUP(G369,NGPREVPRICES,2,FALSE()),CK369,VLOOKUP(G369,NGPREVPRICES,4,FALSE()),HLOOKUP(D369,PREVVOLS,VLOOKUP(G369,MOVE_DOWN2,2,FALSE()),FALSE()),VLOOKUP(G369,NGPREVPRICES,3,FALSE()),HLOOKUP(D369,Correllate,VLOOKUP(G369,CorMove,2,FALSE()),FALSE()),Q369-$C$3,R369,$CJ$5)*H369-CJ369</f>
        <v>#NAME?</v>
      </c>
      <c r="CI369" s="253" t="e">
        <f aca="false">SUM(CD369:CH369)</f>
        <v>#NAME?</v>
      </c>
      <c r="CJ369" s="253" t="e">
        <f aca="false">xSPRDOPT((VLOOKUP(G369,NGPREVPRICES,2,FALSE())+HLOOKUP(D369,PREVCURVES,VLOOKUP(G369,MOVE_DOWN2,2,FALSE()),FALSE())),VLOOKUP(G369,NGPREVPRICES,2,FALSE()),CK369,VLOOKUP(G369,NGPREVPRICES,4,FALSE()),HLOOKUP(D369,PREVVOLS,VLOOKUP(G369,MOVE_DOWN2,2,FALSE()),FALSE()),VLOOKUP(G369,NGPREVPRICES,3,FALSE()),HLOOKUP(D369,Correllate,VLOOKUP(G369,CorMove,2,FALSE()),FALSE()),Q369-$CD$3,R369,$CJ$5)*H369</f>
        <v>#NAME?</v>
      </c>
      <c r="CK369" s="254" t="n">
        <f aca="false">I369</f>
        <v>1.33</v>
      </c>
      <c r="CM369" s="0" t="str">
        <f aca="false">CONCATENATE(CC369,$CD$6)</f>
        <v>37196Curve Shift/Gamma</v>
      </c>
      <c r="CN369" s="0" t="str">
        <f aca="false">CONCATENATE($CC369,$CE$6)</f>
        <v>37196Rho</v>
      </c>
      <c r="CO369" s="0" t="str">
        <f aca="false">CONCATENATE($CC369,$CF$6)</f>
        <v>37196Drift</v>
      </c>
      <c r="CP369" s="0" t="str">
        <f aca="false">CONCATENATE($CC369,$CG$6)</f>
        <v>37196Vega</v>
      </c>
      <c r="CQ369" s="0" t="str">
        <f aca="false">CONCATENATE($CC369,$CH$6)</f>
        <v>37196Theta</v>
      </c>
    </row>
    <row r="370" customFormat="false" ht="12.75" hidden="false" customHeight="false" outlineLevel="0" collapsed="false">
      <c r="A370" s="265" t="s">
        <v>198</v>
      </c>
      <c r="B370" s="0" t="s">
        <v>192</v>
      </c>
      <c r="C370" s="0" t="s">
        <v>330</v>
      </c>
      <c r="D370" s="7" t="s">
        <v>149</v>
      </c>
      <c r="E370" s="0" t="s">
        <v>131</v>
      </c>
      <c r="F370" s="0" t="s">
        <v>136</v>
      </c>
      <c r="G370" s="92" t="n">
        <v>36951</v>
      </c>
      <c r="H370" s="248" t="n">
        <v>-500000</v>
      </c>
      <c r="I370" s="0" t="n">
        <v>2.5</v>
      </c>
      <c r="J370" s="124" t="n">
        <f aca="false">VLOOKUP(G370,NGPrices,2,FALSE())</f>
        <v>4.213</v>
      </c>
      <c r="K370" s="125" t="n">
        <f aca="false">HLOOKUP(D370,Prices,VLOOKUP(G370,move_down,2,FALSE()),FALSE())+VLOOKUP(G370,CHANGE,HLOOKUP(D370,CHANGE,2,FALSE()),FALSE())</f>
        <v>1.075</v>
      </c>
      <c r="L370" s="124" t="n">
        <f aca="false">K370+J370</f>
        <v>5.288</v>
      </c>
      <c r="M370" s="126" t="n">
        <f aca="false">VLOOKUP(G370,NGPrices,4,FALSE())</f>
        <v>0.068879814952707</v>
      </c>
      <c r="N370" s="7" t="n">
        <f aca="false">VLOOKUP(G370,NGPrices,3,FALSE())</f>
        <v>0.5325</v>
      </c>
      <c r="O370" s="7" t="n">
        <f aca="false">HLOOKUP(D370,VOLS,VLOOKUP(G370,move_down,2,FALSE()),FALSE())</f>
        <v>0.612</v>
      </c>
      <c r="P370" s="249" t="n">
        <f aca="false">HLOOKUP(D370,Correllate,VLOOKUP(G370,CorMove,2,FALSE()),FALSE())</f>
        <v>0.83</v>
      </c>
      <c r="Q370" s="92" t="n">
        <f aca="false">WORKDAY(G370,-2)</f>
        <v>36949</v>
      </c>
      <c r="R370" s="7" t="n">
        <f aca="false">IF(F370="P",0,1)</f>
        <v>1</v>
      </c>
      <c r="S370" s="130" t="e">
        <f aca="false">xSPRDOPT($L370,$J370,$I370,$M370,$O370,$N370,$P370,$Q370-$C$3,$R370,0)</f>
        <v>#NAME?</v>
      </c>
      <c r="T370" s="250" t="e">
        <f aca="false">xSPRDOPT($L370,$J370,$I370,$M370,$O370,$N370,$P370,$Q370-$C$3,$R370,1)*H370</f>
        <v>#NAME?</v>
      </c>
      <c r="U370" s="43" t="e">
        <f aca="false">S370*H370</f>
        <v>#NAME?</v>
      </c>
      <c r="V370" s="250" t="e">
        <f aca="false">xSPRDOPT($L370,$J370,$I370,$M370,$O370,$N370,$P370,$Q370-$C$3,$R370,2)*H370</f>
        <v>#NAME?</v>
      </c>
      <c r="W370" s="250" t="e">
        <f aca="false">+V370+T370</f>
        <v>#NAME?</v>
      </c>
      <c r="X370" s="2" t="str">
        <f aca="false">CONCATENATE(G370,D370)</f>
        <v>36951IF-TRANSCO/Z6</v>
      </c>
      <c r="Y370" s="251" t="n">
        <f aca="false">H370/10000</f>
        <v>-50</v>
      </c>
      <c r="Z370" s="226" t="e">
        <f aca="false">T370/H370</f>
        <v>#NAME?</v>
      </c>
      <c r="AA370" s="226" t="e">
        <f aca="false">xSPRDOPT($L370,$J370,$I370,$M370,$O370,$N370,$P370,$Q370-$C$3,$R370,3)</f>
        <v>#NAME?</v>
      </c>
      <c r="AB370" s="226" t="e">
        <f aca="false">((xSPRDOPT($L370+AB$5,$J370,$I370,$M370,$O370,$N370,$P370,$Q370-$C$3,$R370,3)*$H370)/10000)/100</f>
        <v>#NAME?</v>
      </c>
      <c r="AC370" s="226" t="e">
        <f aca="false">((xSPRDOPT($L370+$AB$5,$J370,$I370,$M370,$O370,$N370,$P370,$Q370-$C$3,$R370,7)*$H370)/100)</f>
        <v>#NAME?</v>
      </c>
      <c r="AD370" s="226" t="e">
        <f aca="false">(xSPRDOPT($L370+$AB$5,$J370,$I370,$M370,$O370,$N370,$P370,$Q370-$C$3,$R370,9)/365)*$H370</f>
        <v>#NAME?</v>
      </c>
      <c r="AE370" s="0" t="e">
        <f aca="false">CD370</f>
        <v>#NAME?</v>
      </c>
      <c r="AF370" s="226" t="e">
        <f aca="false">((O370/N370)*AH370)+AG370</f>
        <v>#NAME?</v>
      </c>
      <c r="AG370" s="226" t="e">
        <f aca="false">((xSPRDOPT($L370,$J370,$I370,$M370,$O370,$N370,$P370,$Q370-$C$3,$R370,6)*$H370)/100)</f>
        <v>#NAME?</v>
      </c>
      <c r="AH370" s="226" t="e">
        <f aca="false">((xSPRDOPT($L370,$J370,$I370,$M370,$O370,$N370,$P370,$Q370-$C$3,$R370,5)*$H370)/100)</f>
        <v>#NAME?</v>
      </c>
      <c r="AI370" s="226" t="e">
        <f aca="false">(((xSPRDOPT($L370,$J370,$I370,$M370,$O370,$N370,$P370,$Q370-$C$3,$R370,4)*$H370)/10000)/100)-AB370</f>
        <v>#NAME?</v>
      </c>
      <c r="AJ370" s="226"/>
      <c r="AK370" s="226"/>
      <c r="AL370" s="226"/>
      <c r="AM370" s="252"/>
      <c r="CC370" s="182" t="n">
        <f aca="false">G370</f>
        <v>36951</v>
      </c>
      <c r="CD370" s="253" t="e">
        <f aca="false">xSPRDOPT((VLOOKUP(G370,NGPrices,2,FALSE())+HLOOKUP(D370,Prices,VLOOKUP(G370,move_down,2,FALSE()),FALSE())),VLOOKUP(G370,NGPrices,2,FALSE()),I370,VLOOKUP(G370,NGPREVPRICES,4,FALSE()),HLOOKUP(D370,PREVVOLS,VLOOKUP(G370,MOVE_DOWN2,2,FALSE()),FALSE()),VLOOKUP(G370,NGPREVPRICES,3,FALSE()),HLOOKUP(D370,Correllate,VLOOKUP(G370,CorMove,2,FALSE()),FALSE()),Q370-$CD$3,R370,$CD$5)*H370-CJ370</f>
        <v>#NAME?</v>
      </c>
      <c r="CE370" s="253" t="e">
        <f aca="false">xSPRDOPT((VLOOKUP(G370,NGPREVPRICES,2,FALSE())+HLOOKUP(D370,PREVCURVES,VLOOKUP(G370,MOVE_DOWN2,2,FALSE()),FALSE())),VLOOKUP(G370,NGPREVPRICES,2,FALSE()),CK370,VLOOKUP(G370,NGPrices,4,FALSE()),HLOOKUP(D370,PREVVOLS,VLOOKUP(G370,MOVE_DOWN2,2,FALSE()),FALSE()),VLOOKUP(G370,NGPREVPRICES,3,FALSE()),HLOOKUP(D370,Correllate,VLOOKUP(G370,CorMove,2,FALSE()),FALSE()),Q370-$CD$3,R370,$CJ$5)*H370-CJ370</f>
        <v>#NAME?</v>
      </c>
      <c r="CF370" s="132" t="e">
        <f aca="false">(CJ370/VLOOKUP(CC370,discount,3,FALSE()))-(CJ370/VLOOKUP(CC370,discount,2,FALSE()))</f>
        <v>#NAME?</v>
      </c>
      <c r="CG370" s="253" t="e">
        <f aca="false">xSPRDOPT((VLOOKUP(G370,NGPREVPRICES,2,FALSE())+HLOOKUP(D370,PREVCURVES,VLOOKUP(G370,MOVE_DOWN2,2,FALSE()),FALSE())),VLOOKUP(G370,NGPREVPRICES,2,FALSE()),CK370,VLOOKUP(G370,NGPREVPRICES,4,FALSE()),HLOOKUP(D370,VOLS,VLOOKUP(G370,move_down,2,FALSE()),FALSE()),VLOOKUP(G370,NGPrices,3,FALSE()),HLOOKUP(D370,Correllate,VLOOKUP(G370,CorMove,2,FALSE()),FALSE()),Q370-$CD$3,R370,$CJ$5)*H370-CJ370</f>
        <v>#NAME?</v>
      </c>
      <c r="CH370" s="253" t="e">
        <f aca="false">xSPRDOPT((VLOOKUP(G370,NGPREVPRICES,2,FALSE())+HLOOKUP(D370,PREVCURVES,VLOOKUP(G370,MOVE_DOWN2,2,FALSE()),FALSE())),VLOOKUP(G370,NGPREVPRICES,2,FALSE()),CK370,VLOOKUP(G370,NGPREVPRICES,4,FALSE()),HLOOKUP(D370,PREVVOLS,VLOOKUP(G370,MOVE_DOWN2,2,FALSE()),FALSE()),VLOOKUP(G370,NGPREVPRICES,3,FALSE()),HLOOKUP(D370,Correllate,VLOOKUP(G370,CorMove,2,FALSE()),FALSE()),Q370-$C$3,R370,$CJ$5)*H370-CJ370</f>
        <v>#NAME?</v>
      </c>
      <c r="CI370" s="253" t="e">
        <f aca="false">SUM(CD370:CH370)</f>
        <v>#NAME?</v>
      </c>
      <c r="CJ370" s="253" t="e">
        <f aca="false">xSPRDOPT((VLOOKUP(G370,NGPREVPRICES,2,FALSE())+HLOOKUP(D370,PREVCURVES,VLOOKUP(G370,MOVE_DOWN2,2,FALSE()),FALSE())),VLOOKUP(G370,NGPREVPRICES,2,FALSE()),CK370,VLOOKUP(G370,NGPREVPRICES,4,FALSE()),HLOOKUP(D370,PREVVOLS,VLOOKUP(G370,MOVE_DOWN2,2,FALSE()),FALSE()),VLOOKUP(G370,NGPREVPRICES,3,FALSE()),HLOOKUP(D370,Correllate,VLOOKUP(G370,CorMove,2,FALSE()),FALSE()),Q370-$CD$3,R370,$CJ$5)*H370</f>
        <v>#NAME?</v>
      </c>
      <c r="CK370" s="254" t="n">
        <f aca="false">I370</f>
        <v>2.5</v>
      </c>
      <c r="CM370" s="0" t="str">
        <f aca="false">CONCATENATE(CC370,$CD$6)</f>
        <v>36951Curve Shift/Gamma</v>
      </c>
      <c r="CN370" s="0" t="str">
        <f aca="false">CONCATENATE($CC370,$CE$6)</f>
        <v>36951Rho</v>
      </c>
      <c r="CO370" s="0" t="str">
        <f aca="false">CONCATENATE($CC370,$CF$6)</f>
        <v>36951Drift</v>
      </c>
      <c r="CP370" s="0" t="str">
        <f aca="false">CONCATENATE($CC370,$CG$6)</f>
        <v>36951Vega</v>
      </c>
      <c r="CQ370" s="0" t="str">
        <f aca="false">CONCATENATE($CC370,$CH$6)</f>
        <v>36951Theta</v>
      </c>
    </row>
    <row r="371" customFormat="false" ht="12.75" hidden="false" customHeight="false" outlineLevel="0" collapsed="false">
      <c r="A371" s="265" t="s">
        <v>198</v>
      </c>
      <c r="B371" s="0" t="s">
        <v>192</v>
      </c>
      <c r="C371" s="0" t="s">
        <v>330</v>
      </c>
      <c r="D371" s="7" t="s">
        <v>149</v>
      </c>
      <c r="E371" s="0" t="s">
        <v>131</v>
      </c>
      <c r="F371" s="0" t="s">
        <v>136</v>
      </c>
      <c r="G371" s="92" t="n">
        <v>36923</v>
      </c>
      <c r="H371" s="248" t="n">
        <v>-500000</v>
      </c>
      <c r="I371" s="0" t="n">
        <v>2.5</v>
      </c>
      <c r="J371" s="124" t="n">
        <f aca="false">VLOOKUP(G371,NGPrices,2,FALSE())</f>
        <v>4.48</v>
      </c>
      <c r="K371" s="125" t="n">
        <f aca="false">HLOOKUP(D371,Prices,VLOOKUP(G371,move_down,2,FALSE()),FALSE())+VLOOKUP(G371,CHANGE,HLOOKUP(D371,CHANGE,2,FALSE()),FALSE())</f>
        <v>2.09</v>
      </c>
      <c r="L371" s="124" t="n">
        <f aca="false">K371+J371</f>
        <v>6.57</v>
      </c>
      <c r="M371" s="126" t="n">
        <f aca="false">VLOOKUP(G371,NGPrices,4,FALSE())</f>
        <v>0.068640161611372</v>
      </c>
      <c r="N371" s="7" t="n">
        <f aca="false">VLOOKUP(G371,NGPrices,3,FALSE())</f>
        <v>0.5925</v>
      </c>
      <c r="O371" s="7" t="n">
        <f aca="false">HLOOKUP(D371,VOLS,VLOOKUP(G371,move_down,2,FALSE()),FALSE())</f>
        <v>0.681</v>
      </c>
      <c r="P371" s="249" t="n">
        <f aca="false">HLOOKUP(D371,Correllate,VLOOKUP(G371,CorMove,2,FALSE()),FALSE())</f>
        <v>0.83</v>
      </c>
      <c r="Q371" s="92" t="n">
        <f aca="false">WORKDAY(G371,-2)</f>
        <v>36921</v>
      </c>
      <c r="R371" s="7" t="n">
        <f aca="false">IF(F371="P",0,1)</f>
        <v>1</v>
      </c>
      <c r="S371" s="130" t="e">
        <f aca="false">xSPRDOPT($L371,$J371,$I371,$M371,$O371,$N371,$P371,$Q371-$C$3,$R371,0)</f>
        <v>#NAME?</v>
      </c>
      <c r="T371" s="250" t="e">
        <f aca="false">xSPRDOPT($L371,$J371,$I371,$M371,$O371,$N371,$P371,$Q371-$C$3,$R371,1)*H371</f>
        <v>#NAME?</v>
      </c>
      <c r="U371" s="43" t="e">
        <f aca="false">S371*H371</f>
        <v>#NAME?</v>
      </c>
      <c r="V371" s="250" t="e">
        <f aca="false">xSPRDOPT($L371,$J371,$I371,$M371,$O371,$N371,$P371,$Q371-$C$3,$R371,2)*H371</f>
        <v>#NAME?</v>
      </c>
      <c r="W371" s="250" t="e">
        <f aca="false">+V371+T371</f>
        <v>#NAME?</v>
      </c>
      <c r="X371" s="2" t="str">
        <f aca="false">CONCATENATE(G371,D371)</f>
        <v>36923IF-TRANSCO/Z6</v>
      </c>
      <c r="Y371" s="251" t="n">
        <f aca="false">H371/10000</f>
        <v>-50</v>
      </c>
      <c r="Z371" s="226" t="e">
        <f aca="false">T371/H371</f>
        <v>#NAME?</v>
      </c>
      <c r="AA371" s="226" t="e">
        <f aca="false">xSPRDOPT($L371,$J371,$I371,$M371,$O371,$N371,$P371,$Q371-$C$3,$R371,3)</f>
        <v>#NAME?</v>
      </c>
      <c r="AB371" s="226" t="e">
        <f aca="false">((xSPRDOPT($L371+AB$5,$J371,$I371,$M371,$O371,$N371,$P371,$Q371-$C$3,$R371,3)*$H371)/10000)/100</f>
        <v>#NAME?</v>
      </c>
      <c r="AC371" s="226" t="e">
        <f aca="false">((xSPRDOPT($L371+$AB$5,$J371,$I371,$M371,$O371,$N371,$P371,$Q371-$C$3,$R371,7)*$H371)/100)</f>
        <v>#NAME?</v>
      </c>
      <c r="AD371" s="226" t="e">
        <f aca="false">(xSPRDOPT($L371+$AB$5,$J371,$I371,$M371,$O371,$N371,$P371,$Q371-$C$3,$R371,9)/365)*$H371</f>
        <v>#NAME?</v>
      </c>
      <c r="AE371" s="0" t="e">
        <f aca="false">CD371</f>
        <v>#NAME?</v>
      </c>
      <c r="AF371" s="226" t="e">
        <f aca="false">((O371/N371)*AH371)+AG371</f>
        <v>#NAME?</v>
      </c>
      <c r="AG371" s="226" t="e">
        <f aca="false">((xSPRDOPT($L371,$J371,$I371,$M371,$O371,$N371,$P371,$Q371-$C$3,$R371,6)*$H371)/100)</f>
        <v>#NAME?</v>
      </c>
      <c r="AH371" s="226" t="e">
        <f aca="false">((xSPRDOPT($L371,$J371,$I371,$M371,$O371,$N371,$P371,$Q371-$C$3,$R371,5)*$H371)/100)</f>
        <v>#NAME?</v>
      </c>
      <c r="AI371" s="226" t="e">
        <f aca="false">(((xSPRDOPT($L371,$J371,$I371,$M371,$O371,$N371,$P371,$Q371-$C$3,$R371,4)*$H371)/10000)/100)-AB371</f>
        <v>#NAME?</v>
      </c>
      <c r="AJ371" s="226"/>
      <c r="AK371" s="226"/>
      <c r="AL371" s="226"/>
      <c r="AM371" s="252"/>
      <c r="CC371" s="182" t="n">
        <f aca="false">G371</f>
        <v>36923</v>
      </c>
      <c r="CD371" s="253" t="e">
        <f aca="false">xSPRDOPT((VLOOKUP(G371,NGPrices,2,FALSE())+HLOOKUP(D371,Prices,VLOOKUP(G371,move_down,2,FALSE()),FALSE())),VLOOKUP(G371,NGPrices,2,FALSE()),I371,VLOOKUP(G371,NGPREVPRICES,4,FALSE()),HLOOKUP(D371,PREVVOLS,VLOOKUP(G371,MOVE_DOWN2,2,FALSE()),FALSE()),VLOOKUP(G371,NGPREVPRICES,3,FALSE()),HLOOKUP(D371,Correllate,VLOOKUP(G371,CorMove,2,FALSE()),FALSE()),Q371-$CD$3,R371,$CD$5)*H371-CJ371</f>
        <v>#NAME?</v>
      </c>
      <c r="CE371" s="253" t="e">
        <f aca="false">xSPRDOPT((VLOOKUP(G371,NGPREVPRICES,2,FALSE())+HLOOKUP(D371,PREVCURVES,VLOOKUP(G371,MOVE_DOWN2,2,FALSE()),FALSE())),VLOOKUP(G371,NGPREVPRICES,2,FALSE()),CK371,VLOOKUP(G371,NGPrices,4,FALSE()),HLOOKUP(D371,PREVVOLS,VLOOKUP(G371,MOVE_DOWN2,2,FALSE()),FALSE()),VLOOKUP(G371,NGPREVPRICES,3,FALSE()),HLOOKUP(D371,Correllate,VLOOKUP(G371,CorMove,2,FALSE()),FALSE()),Q371-$CD$3,R371,$CJ$5)*H371-CJ371</f>
        <v>#NAME?</v>
      </c>
      <c r="CF371" s="132" t="e">
        <f aca="false">(CJ371/VLOOKUP(CC371,discount,3,FALSE()))-(CJ371/VLOOKUP(CC371,discount,2,FALSE()))</f>
        <v>#NAME?</v>
      </c>
      <c r="CG371" s="253" t="e">
        <f aca="false">xSPRDOPT((VLOOKUP(G371,NGPREVPRICES,2,FALSE())+HLOOKUP(D371,PREVCURVES,VLOOKUP(G371,MOVE_DOWN2,2,FALSE()),FALSE())),VLOOKUP(G371,NGPREVPRICES,2,FALSE()),CK371,VLOOKUP(G371,NGPREVPRICES,4,FALSE()),HLOOKUP(D371,VOLS,VLOOKUP(G371,move_down,2,FALSE()),FALSE()),VLOOKUP(G371,NGPrices,3,FALSE()),HLOOKUP(D371,Correllate,VLOOKUP(G371,CorMove,2,FALSE()),FALSE()),Q371-$CD$3,R371,$CJ$5)*H371-CJ371</f>
        <v>#NAME?</v>
      </c>
      <c r="CH371" s="253" t="e">
        <f aca="false">xSPRDOPT((VLOOKUP(G371,NGPREVPRICES,2,FALSE())+HLOOKUP(D371,PREVCURVES,VLOOKUP(G371,MOVE_DOWN2,2,FALSE()),FALSE())),VLOOKUP(G371,NGPREVPRICES,2,FALSE()),CK371,VLOOKUP(G371,NGPREVPRICES,4,FALSE()),HLOOKUP(D371,PREVVOLS,VLOOKUP(G371,MOVE_DOWN2,2,FALSE()),FALSE()),VLOOKUP(G371,NGPREVPRICES,3,FALSE()),HLOOKUP(D371,Correllate,VLOOKUP(G371,CorMove,2,FALSE()),FALSE()),Q371-$C$3,R371,$CJ$5)*H371-CJ371</f>
        <v>#NAME?</v>
      </c>
      <c r="CI371" s="253" t="e">
        <f aca="false">SUM(CD371:CH371)</f>
        <v>#NAME?</v>
      </c>
      <c r="CJ371" s="253" t="e">
        <f aca="false">xSPRDOPT((VLOOKUP(G371,NGPREVPRICES,2,FALSE())+HLOOKUP(D371,PREVCURVES,VLOOKUP(G371,MOVE_DOWN2,2,FALSE()),FALSE())),VLOOKUP(G371,NGPREVPRICES,2,FALSE()),CK371,VLOOKUP(G371,NGPREVPRICES,4,FALSE()),HLOOKUP(D371,PREVVOLS,VLOOKUP(G371,MOVE_DOWN2,2,FALSE()),FALSE()),VLOOKUP(G371,NGPREVPRICES,3,FALSE()),HLOOKUP(D371,Correllate,VLOOKUP(G371,CorMove,2,FALSE()),FALSE()),Q371-$CD$3,R371,$CJ$5)*H371</f>
        <v>#NAME?</v>
      </c>
      <c r="CK371" s="254" t="n">
        <f aca="false">I371</f>
        <v>2.5</v>
      </c>
      <c r="CM371" s="0" t="str">
        <f aca="false">CONCATENATE(CC371,$CD$6)</f>
        <v>36923Curve Shift/Gamma</v>
      </c>
      <c r="CN371" s="0" t="str">
        <f aca="false">CONCATENATE($CC371,$CE$6)</f>
        <v>36923Rho</v>
      </c>
      <c r="CO371" s="0" t="str">
        <f aca="false">CONCATENATE($CC371,$CF$6)</f>
        <v>36923Drift</v>
      </c>
      <c r="CP371" s="0" t="str">
        <f aca="false">CONCATENATE($CC371,$CG$6)</f>
        <v>36923Vega</v>
      </c>
      <c r="CQ371" s="0" t="str">
        <f aca="false">CONCATENATE($CC371,$CH$6)</f>
        <v>36923Theta</v>
      </c>
    </row>
    <row r="372" customFormat="false" ht="12.75" hidden="false" customHeight="false" outlineLevel="0" collapsed="false">
      <c r="A372" s="265" t="s">
        <v>198</v>
      </c>
      <c r="B372" s="0" t="s">
        <v>192</v>
      </c>
      <c r="C372" s="0" t="s">
        <v>330</v>
      </c>
      <c r="D372" s="7" t="s">
        <v>149</v>
      </c>
      <c r="E372" s="0" t="s">
        <v>131</v>
      </c>
      <c r="F372" s="0" t="s">
        <v>136</v>
      </c>
      <c r="G372" s="92" t="n">
        <v>36892</v>
      </c>
      <c r="H372" s="248" t="n">
        <v>-500000</v>
      </c>
      <c r="I372" s="0" t="n">
        <v>2.5</v>
      </c>
      <c r="J372" s="124" t="n">
        <f aca="false">VLOOKUP(G372,NGPrices,2,FALSE())</f>
        <v>4.744</v>
      </c>
      <c r="K372" s="125" t="n">
        <f aca="false">HLOOKUP(D372,Prices,VLOOKUP(G372,move_down,2,FALSE()),FALSE())+VLOOKUP(G372,CHANGE,HLOOKUP(D372,CHANGE,2,FALSE()),FALSE())</f>
        <v>2.17</v>
      </c>
      <c r="L372" s="124" t="n">
        <f aca="false">K372+J372</f>
        <v>6.914</v>
      </c>
      <c r="M372" s="126" t="n">
        <f aca="false">VLOOKUP(G372,NGPrices,4,FALSE())</f>
        <v>0.068374831148491</v>
      </c>
      <c r="N372" s="7" t="n">
        <f aca="false">VLOOKUP(G372,NGPrices,3,FALSE())</f>
        <v>0.605</v>
      </c>
      <c r="O372" s="7" t="n">
        <f aca="false">HLOOKUP(D372,VOLS,VLOOKUP(G372,move_down,2,FALSE()),FALSE())</f>
        <v>0.696</v>
      </c>
      <c r="P372" s="249" t="n">
        <f aca="false">HLOOKUP(D372,Correllate,VLOOKUP(G372,CorMove,2,FALSE()),FALSE())</f>
        <v>0.83</v>
      </c>
      <c r="Q372" s="92" t="n">
        <f aca="false">WORKDAY(G372,-2)</f>
        <v>36888</v>
      </c>
      <c r="R372" s="7" t="n">
        <f aca="false">IF(F372="P",0,1)</f>
        <v>1</v>
      </c>
      <c r="S372" s="130" t="e">
        <f aca="false">xSPRDOPT($L372,$J372,$I372,$M372,$O372,$N372,$P372,$Q372-$C$3,$R372,0)</f>
        <v>#NAME?</v>
      </c>
      <c r="T372" s="250" t="e">
        <f aca="false">xSPRDOPT($L372,$J372,$I372,$M372,$O372,$N372,$P372,$Q372-$C$3,$R372,1)*H372</f>
        <v>#NAME?</v>
      </c>
      <c r="U372" s="43" t="e">
        <f aca="false">S372*H372</f>
        <v>#NAME?</v>
      </c>
      <c r="V372" s="250" t="e">
        <f aca="false">xSPRDOPT($L372,$J372,$I372,$M372,$O372,$N372,$P372,$Q372-$C$3,$R372,2)*H372</f>
        <v>#NAME?</v>
      </c>
      <c r="W372" s="250" t="e">
        <f aca="false">+V372+T372</f>
        <v>#NAME?</v>
      </c>
      <c r="X372" s="2" t="str">
        <f aca="false">CONCATENATE(G372,D372)</f>
        <v>36892IF-TRANSCO/Z6</v>
      </c>
      <c r="Y372" s="251" t="n">
        <f aca="false">H372/10000</f>
        <v>-50</v>
      </c>
      <c r="Z372" s="226" t="e">
        <f aca="false">T372/H372</f>
        <v>#NAME?</v>
      </c>
      <c r="AA372" s="226" t="e">
        <f aca="false">xSPRDOPT($L372,$J372,$I372,$M372,$O372,$N372,$P372,$Q372-$C$3,$R372,3)</f>
        <v>#NAME?</v>
      </c>
      <c r="AB372" s="226" t="e">
        <f aca="false">((xSPRDOPT($L372+AB$5,$J372,$I372,$M372,$O372,$N372,$P372,$Q372-$C$3,$R372,3)*$H372)/10000)/100</f>
        <v>#NAME?</v>
      </c>
      <c r="AC372" s="226" t="e">
        <f aca="false">((xSPRDOPT($L372+$AB$5,$J372,$I372,$M372,$O372,$N372,$P372,$Q372-$C$3,$R372,7)*$H372)/100)</f>
        <v>#NAME?</v>
      </c>
      <c r="AD372" s="226" t="e">
        <f aca="false">(xSPRDOPT($L372+$AB$5,$J372,$I372,$M372,$O372,$N372,$P372,$Q372-$C$3,$R372,9)/365)*$H372</f>
        <v>#NAME?</v>
      </c>
      <c r="AE372" s="0" t="e">
        <f aca="false">CD372</f>
        <v>#NAME?</v>
      </c>
      <c r="AF372" s="226" t="e">
        <f aca="false">((O372/N372)*AH372)+AG372</f>
        <v>#NAME?</v>
      </c>
      <c r="AG372" s="226" t="e">
        <f aca="false">((xSPRDOPT($L372,$J372,$I372,$M372,$O372,$N372,$P372,$Q372-$C$3,$R372,6)*$H372)/100)</f>
        <v>#NAME?</v>
      </c>
      <c r="AH372" s="226" t="e">
        <f aca="false">((xSPRDOPT($L372,$J372,$I372,$M372,$O372,$N372,$P372,$Q372-$C$3,$R372,5)*$H372)/100)</f>
        <v>#NAME?</v>
      </c>
      <c r="AI372" s="226" t="e">
        <f aca="false">(((xSPRDOPT($L372,$J372,$I372,$M372,$O372,$N372,$P372,$Q372-$C$3,$R372,4)*$H372)/10000)/100)-AB372</f>
        <v>#NAME?</v>
      </c>
      <c r="AJ372" s="226"/>
      <c r="AK372" s="226"/>
      <c r="AL372" s="226"/>
      <c r="AM372" s="252"/>
      <c r="CC372" s="182" t="n">
        <f aca="false">G372</f>
        <v>36892</v>
      </c>
      <c r="CD372" s="253" t="e">
        <f aca="false">xSPRDOPT((VLOOKUP(G372,NGPrices,2,FALSE())+HLOOKUP(D372,Prices,VLOOKUP(G372,move_down,2,FALSE()),FALSE())),VLOOKUP(G372,NGPrices,2,FALSE()),I372,VLOOKUP(G372,NGPREVPRICES,4,FALSE()),HLOOKUP(D372,PREVVOLS,VLOOKUP(G372,MOVE_DOWN2,2,FALSE()),FALSE()),VLOOKUP(G372,NGPREVPRICES,3,FALSE()),HLOOKUP(D372,Correllate,VLOOKUP(G372,CorMove,2,FALSE()),FALSE()),Q372-$CD$3,R372,$CD$5)*H372-CJ372</f>
        <v>#NAME?</v>
      </c>
      <c r="CE372" s="253" t="e">
        <f aca="false">xSPRDOPT((VLOOKUP(G372,NGPREVPRICES,2,FALSE())+HLOOKUP(D372,PREVCURVES,VLOOKUP(G372,MOVE_DOWN2,2,FALSE()),FALSE())),VLOOKUP(G372,NGPREVPRICES,2,FALSE()),CK372,VLOOKUP(G372,NGPrices,4,FALSE()),HLOOKUP(D372,PREVVOLS,VLOOKUP(G372,MOVE_DOWN2,2,FALSE()),FALSE()),VLOOKUP(G372,NGPREVPRICES,3,FALSE()),HLOOKUP(D372,Correllate,VLOOKUP(G372,CorMove,2,FALSE()),FALSE()),Q372-$CD$3,R372,$CJ$5)*H372-CJ372</f>
        <v>#NAME?</v>
      </c>
      <c r="CF372" s="132" t="e">
        <f aca="false">(CJ372/VLOOKUP(CC372,discount,3,FALSE()))-(CJ372/VLOOKUP(CC372,discount,2,FALSE()))</f>
        <v>#NAME?</v>
      </c>
      <c r="CG372" s="253" t="e">
        <f aca="false">xSPRDOPT((VLOOKUP(G372,NGPREVPRICES,2,FALSE())+HLOOKUP(D372,PREVCURVES,VLOOKUP(G372,MOVE_DOWN2,2,FALSE()),FALSE())),VLOOKUP(G372,NGPREVPRICES,2,FALSE()),CK372,VLOOKUP(G372,NGPREVPRICES,4,FALSE()),HLOOKUP(D372,VOLS,VLOOKUP(G372,move_down,2,FALSE()),FALSE()),VLOOKUP(G372,NGPrices,3,FALSE()),HLOOKUP(D372,Correllate,VLOOKUP(G372,CorMove,2,FALSE()),FALSE()),Q372-$CD$3,R372,$CJ$5)*H372-CJ372</f>
        <v>#NAME?</v>
      </c>
      <c r="CH372" s="253" t="e">
        <f aca="false">xSPRDOPT((VLOOKUP(G372,NGPREVPRICES,2,FALSE())+HLOOKUP(D372,PREVCURVES,VLOOKUP(G372,MOVE_DOWN2,2,FALSE()),FALSE())),VLOOKUP(G372,NGPREVPRICES,2,FALSE()),CK372,VLOOKUP(G372,NGPREVPRICES,4,FALSE()),HLOOKUP(D372,PREVVOLS,VLOOKUP(G372,MOVE_DOWN2,2,FALSE()),FALSE()),VLOOKUP(G372,NGPREVPRICES,3,FALSE()),HLOOKUP(D372,Correllate,VLOOKUP(G372,CorMove,2,FALSE()),FALSE()),Q372-$C$3,R372,$CJ$5)*H372-CJ372</f>
        <v>#NAME?</v>
      </c>
      <c r="CI372" s="253" t="e">
        <f aca="false">SUM(CD372:CH372)</f>
        <v>#NAME?</v>
      </c>
      <c r="CJ372" s="253" t="e">
        <f aca="false">xSPRDOPT((VLOOKUP(G372,NGPREVPRICES,2,FALSE())+HLOOKUP(D372,PREVCURVES,VLOOKUP(G372,MOVE_DOWN2,2,FALSE()),FALSE())),VLOOKUP(G372,NGPREVPRICES,2,FALSE()),CK372,VLOOKUP(G372,NGPREVPRICES,4,FALSE()),HLOOKUP(D372,PREVVOLS,VLOOKUP(G372,MOVE_DOWN2,2,FALSE()),FALSE()),VLOOKUP(G372,NGPREVPRICES,3,FALSE()),HLOOKUP(D372,Correllate,VLOOKUP(G372,CorMove,2,FALSE()),FALSE()),Q372-$CD$3,R372,$CJ$5)*H372</f>
        <v>#NAME?</v>
      </c>
      <c r="CK372" s="254" t="n">
        <f aca="false">I372</f>
        <v>2.5</v>
      </c>
      <c r="CM372" s="0" t="str">
        <f aca="false">CONCATENATE(CC372,$CD$6)</f>
        <v>36892Curve Shift/Gamma</v>
      </c>
      <c r="CN372" s="0" t="str">
        <f aca="false">CONCATENATE($CC372,$CE$6)</f>
        <v>36892Rho</v>
      </c>
      <c r="CO372" s="0" t="str">
        <f aca="false">CONCATENATE($CC372,$CF$6)</f>
        <v>36892Drift</v>
      </c>
      <c r="CP372" s="0" t="str">
        <f aca="false">CONCATENATE($CC372,$CG$6)</f>
        <v>36892Vega</v>
      </c>
      <c r="CQ372" s="0" t="str">
        <f aca="false">CONCATENATE($CC372,$CH$6)</f>
        <v>36892Theta</v>
      </c>
    </row>
    <row r="373" customFormat="false" ht="12.75" hidden="false" customHeight="false" outlineLevel="0" collapsed="false">
      <c r="A373" s="265" t="s">
        <v>198</v>
      </c>
      <c r="B373" s="0" t="s">
        <v>192</v>
      </c>
      <c r="C373" s="0" t="s">
        <v>330</v>
      </c>
      <c r="D373" s="7" t="s">
        <v>149</v>
      </c>
      <c r="E373" s="0" t="s">
        <v>131</v>
      </c>
      <c r="F373" s="0" t="s">
        <v>136</v>
      </c>
      <c r="G373" s="92" t="n">
        <v>36861</v>
      </c>
      <c r="H373" s="248" t="n">
        <v>-500000</v>
      </c>
      <c r="I373" s="0" t="n">
        <v>2.5</v>
      </c>
      <c r="J373" s="124" t="n">
        <f aca="false">VLOOKUP(G373,NGPrices,2,FALSE())</f>
        <v>4.8</v>
      </c>
      <c r="K373" s="125" t="n">
        <f aca="false">HLOOKUP(D373,Prices,VLOOKUP(G373,move_down,2,FALSE()),FALSE())+VLOOKUP(G373,CHANGE,HLOOKUP(D373,CHANGE,2,FALSE()),FALSE())</f>
        <v>1.645</v>
      </c>
      <c r="L373" s="124" t="n">
        <f aca="false">K373+J373</f>
        <v>6.445</v>
      </c>
      <c r="M373" s="126" t="n">
        <f aca="false">VLOOKUP(G373,NGPrices,4,FALSE())</f>
        <v>0.068314027999354</v>
      </c>
      <c r="N373" s="7" t="n">
        <f aca="false">VLOOKUP(G373,NGPrices,3,FALSE())</f>
        <v>0.6</v>
      </c>
      <c r="O373" s="7" t="n">
        <f aca="false">HLOOKUP(D373,VOLS,VLOOKUP(G373,move_down,2,FALSE()),FALSE())</f>
        <v>0.69</v>
      </c>
      <c r="P373" s="249" t="n">
        <f aca="false">HLOOKUP(D373,Correllate,VLOOKUP(G373,CorMove,2,FALSE()),FALSE())</f>
        <v>0.83</v>
      </c>
      <c r="Q373" s="92" t="n">
        <f aca="false">WORKDAY(G373,-2)</f>
        <v>36859</v>
      </c>
      <c r="R373" s="7" t="n">
        <f aca="false">IF(F373="P",0,1)</f>
        <v>1</v>
      </c>
      <c r="S373" s="130" t="e">
        <f aca="false">xSPRDOPT($L373,$J373,$I373,$M373,$O373,$N373,$P373,$Q373-$C$3,$R373,0)</f>
        <v>#NAME?</v>
      </c>
      <c r="T373" s="250" t="e">
        <f aca="false">xSPRDOPT($L373,$J373,$I373,$M373,$O373,$N373,$P373,$Q373-$C$3,$R373,1)*H373</f>
        <v>#NAME?</v>
      </c>
      <c r="U373" s="43" t="e">
        <f aca="false">S373*H373</f>
        <v>#NAME?</v>
      </c>
      <c r="V373" s="250" t="e">
        <f aca="false">xSPRDOPT($L373,$J373,$I373,$M373,$O373,$N373,$P373,$Q373-$C$3,$R373,2)*H373</f>
        <v>#NAME?</v>
      </c>
      <c r="W373" s="250" t="e">
        <f aca="false">+V373+T373</f>
        <v>#NAME?</v>
      </c>
      <c r="X373" s="2" t="str">
        <f aca="false">CONCATENATE(G373,D373)</f>
        <v>36861IF-TRANSCO/Z6</v>
      </c>
      <c r="Y373" s="251" t="n">
        <f aca="false">H373/10000</f>
        <v>-50</v>
      </c>
      <c r="Z373" s="226" t="e">
        <f aca="false">T373/H373</f>
        <v>#NAME?</v>
      </c>
      <c r="AA373" s="226" t="e">
        <f aca="false">xSPRDOPT($L373,$J373,$I373,$M373,$O373,$N373,$P373,$Q373-$C$3,$R373,3)</f>
        <v>#NAME?</v>
      </c>
      <c r="AB373" s="226" t="e">
        <f aca="false">((xSPRDOPT($L373+AB$5,$J373,$I373,$M373,$O373,$N373,$P373,$Q373-$C$3,$R373,3)*$H373)/10000)/100</f>
        <v>#NAME?</v>
      </c>
      <c r="AC373" s="226" t="e">
        <f aca="false">((xSPRDOPT($L373+$AB$5,$J373,$I373,$M373,$O373,$N373,$P373,$Q373-$C$3,$R373,7)*$H373)/100)</f>
        <v>#NAME?</v>
      </c>
      <c r="AD373" s="226" t="e">
        <f aca="false">(xSPRDOPT($L373+$AB$5,$J373,$I373,$M373,$O373,$N373,$P373,$Q373-$C$3,$R373,9)/365)*$H373</f>
        <v>#NAME?</v>
      </c>
      <c r="AE373" s="0" t="e">
        <f aca="false">CD373</f>
        <v>#NAME?</v>
      </c>
      <c r="AF373" s="226" t="e">
        <f aca="false">((O373/N373)*AH373)+AG373</f>
        <v>#NAME?</v>
      </c>
      <c r="AG373" s="226" t="e">
        <f aca="false">((xSPRDOPT($L373,$J373,$I373,$M373,$O373,$N373,$P373,$Q373-$C$3,$R373,6)*$H373)/100)</f>
        <v>#NAME?</v>
      </c>
      <c r="AH373" s="226" t="e">
        <f aca="false">((xSPRDOPT($L373,$J373,$I373,$M373,$O373,$N373,$P373,$Q373-$C$3,$R373,5)*$H373)/100)</f>
        <v>#NAME?</v>
      </c>
      <c r="AI373" s="226" t="e">
        <f aca="false">(((xSPRDOPT($L373,$J373,$I373,$M373,$O373,$N373,$P373,$Q373-$C$3,$R373,4)*$H373)/10000)/100)-AB373</f>
        <v>#NAME?</v>
      </c>
      <c r="AJ373" s="226"/>
      <c r="AK373" s="226"/>
      <c r="AL373" s="226"/>
      <c r="AM373" s="252"/>
      <c r="CC373" s="182" t="n">
        <f aca="false">G373</f>
        <v>36861</v>
      </c>
      <c r="CD373" s="253" t="e">
        <f aca="false">xSPRDOPT((VLOOKUP(G373,NGPrices,2,FALSE())+HLOOKUP(D373,Prices,VLOOKUP(G373,move_down,2,FALSE()),FALSE())),VLOOKUP(G373,NGPrices,2,FALSE()),I373,VLOOKUP(G373,NGPREVPRICES,4,FALSE()),HLOOKUP(D373,PREVVOLS,VLOOKUP(G373,MOVE_DOWN2,2,FALSE()),FALSE()),VLOOKUP(G373,NGPREVPRICES,3,FALSE()),HLOOKUP(D373,Correllate,VLOOKUP(G373,CorMove,2,FALSE()),FALSE()),Q373-$CD$3,R373,$CD$5)*H373-CJ373</f>
        <v>#NAME?</v>
      </c>
      <c r="CE373" s="253" t="e">
        <f aca="false">xSPRDOPT((VLOOKUP(G373,NGPREVPRICES,2,FALSE())+HLOOKUP(D373,PREVCURVES,VLOOKUP(G373,MOVE_DOWN2,2,FALSE()),FALSE())),VLOOKUP(G373,NGPREVPRICES,2,FALSE()),CK373,VLOOKUP(G373,NGPrices,4,FALSE()),HLOOKUP(D373,PREVVOLS,VLOOKUP(G373,MOVE_DOWN2,2,FALSE()),FALSE()),VLOOKUP(G373,NGPREVPRICES,3,FALSE()),HLOOKUP(D373,Correllate,VLOOKUP(G373,CorMove,2,FALSE()),FALSE()),Q373-$CD$3,R373,$CJ$5)*H373-CJ373</f>
        <v>#NAME?</v>
      </c>
      <c r="CF373" s="132" t="e">
        <f aca="false">(CJ373/VLOOKUP(CC373,discount,3,FALSE()))-(CJ373/VLOOKUP(CC373,discount,2,FALSE()))</f>
        <v>#NAME?</v>
      </c>
      <c r="CG373" s="253" t="e">
        <f aca="false">xSPRDOPT((VLOOKUP(G373,NGPREVPRICES,2,FALSE())+HLOOKUP(D373,PREVCURVES,VLOOKUP(G373,MOVE_DOWN2,2,FALSE()),FALSE())),VLOOKUP(G373,NGPREVPRICES,2,FALSE()),CK373,VLOOKUP(G373,NGPREVPRICES,4,FALSE()),HLOOKUP(D373,VOLS,VLOOKUP(G373,move_down,2,FALSE()),FALSE()),VLOOKUP(G373,NGPrices,3,FALSE()),HLOOKUP(D373,Correllate,VLOOKUP(G373,CorMove,2,FALSE()),FALSE()),Q373-$CD$3,R373,$CJ$5)*H373-CJ373</f>
        <v>#NAME?</v>
      </c>
      <c r="CH373" s="253" t="e">
        <f aca="false">xSPRDOPT((VLOOKUP(G373,NGPREVPRICES,2,FALSE())+HLOOKUP(D373,PREVCURVES,VLOOKUP(G373,MOVE_DOWN2,2,FALSE()),FALSE())),VLOOKUP(G373,NGPREVPRICES,2,FALSE()),CK373,VLOOKUP(G373,NGPREVPRICES,4,FALSE()),HLOOKUP(D373,PREVVOLS,VLOOKUP(G373,MOVE_DOWN2,2,FALSE()),FALSE()),VLOOKUP(G373,NGPREVPRICES,3,FALSE()),HLOOKUP(D373,Correllate,VLOOKUP(G373,CorMove,2,FALSE()),FALSE()),Q373-$C$3,R373,$CJ$5)*H373-CJ373</f>
        <v>#NAME?</v>
      </c>
      <c r="CI373" s="253" t="e">
        <f aca="false">SUM(CD373:CH373)</f>
        <v>#NAME?</v>
      </c>
      <c r="CJ373" s="253" t="e">
        <f aca="false">xSPRDOPT((VLOOKUP(G373,NGPREVPRICES,2,FALSE())+HLOOKUP(D373,PREVCURVES,VLOOKUP(G373,MOVE_DOWN2,2,FALSE()),FALSE())),VLOOKUP(G373,NGPREVPRICES,2,FALSE()),CK373,VLOOKUP(G373,NGPREVPRICES,4,FALSE()),HLOOKUP(D373,PREVVOLS,VLOOKUP(G373,MOVE_DOWN2,2,FALSE()),FALSE()),VLOOKUP(G373,NGPREVPRICES,3,FALSE()),HLOOKUP(D373,Correllate,VLOOKUP(G373,CorMove,2,FALSE()),FALSE()),Q373-$CD$3,R373,$CJ$5)*H373</f>
        <v>#NAME?</v>
      </c>
      <c r="CK373" s="254" t="n">
        <f aca="false">I373</f>
        <v>2.5</v>
      </c>
      <c r="CM373" s="0" t="str">
        <f aca="false">CONCATENATE(CC373,$CD$6)</f>
        <v>36861Curve Shift/Gamma</v>
      </c>
      <c r="CN373" s="0" t="str">
        <f aca="false">CONCATENATE($CC373,$CE$6)</f>
        <v>36861Rho</v>
      </c>
      <c r="CO373" s="0" t="str">
        <f aca="false">CONCATENATE($CC373,$CF$6)</f>
        <v>36861Drift</v>
      </c>
      <c r="CP373" s="0" t="str">
        <f aca="false">CONCATENATE($CC373,$CG$6)</f>
        <v>36861Vega</v>
      </c>
      <c r="CQ373" s="0" t="str">
        <f aca="false">CONCATENATE($CC373,$CH$6)</f>
        <v>36861Theta</v>
      </c>
    </row>
    <row r="374" customFormat="false" ht="12.75" hidden="false" customHeight="false" outlineLevel="0" collapsed="false">
      <c r="A374" s="265" t="s">
        <v>198</v>
      </c>
      <c r="B374" s="0" t="s">
        <v>192</v>
      </c>
      <c r="C374" s="0" t="s">
        <v>330</v>
      </c>
      <c r="D374" s="7" t="s">
        <v>149</v>
      </c>
      <c r="E374" s="0" t="s">
        <v>131</v>
      </c>
      <c r="F374" s="0" t="s">
        <v>136</v>
      </c>
      <c r="G374" s="92" t="n">
        <v>36831</v>
      </c>
      <c r="H374" s="248" t="n">
        <v>-500000</v>
      </c>
      <c r="I374" s="0" t="n">
        <v>2.5</v>
      </c>
      <c r="J374" s="124" t="n">
        <f aca="false">VLOOKUP(G374,NGPrices,2,FALSE())</f>
        <v>4.736</v>
      </c>
      <c r="K374" s="125" t="n">
        <f aca="false">HLOOKUP(D374,Prices,VLOOKUP(G374,move_down,2,FALSE()),FALSE())+VLOOKUP(G374,CHANGE,HLOOKUP(D374,CHANGE,2,FALSE()),FALSE())</f>
        <v>0.77</v>
      </c>
      <c r="L374" s="124" t="n">
        <f aca="false">K374+J374</f>
        <v>5.506</v>
      </c>
      <c r="M374" s="126" t="n">
        <f aca="false">VLOOKUP(G374,NGPrices,4,FALSE())</f>
        <v>0.06810675983792</v>
      </c>
      <c r="N374" s="7" t="n">
        <f aca="false">VLOOKUP(G374,NGPrices,3,FALSE())</f>
        <v>0.595</v>
      </c>
      <c r="O374" s="7" t="n">
        <f aca="false">HLOOKUP(D374,VOLS,VLOOKUP(G374,move_down,2,FALSE()),FALSE())</f>
        <v>0.625</v>
      </c>
      <c r="P374" s="249" t="n">
        <f aca="false">HLOOKUP(D374,Correllate,VLOOKUP(G374,CorMove,2,FALSE()),FALSE())</f>
        <v>0.89</v>
      </c>
      <c r="Q374" s="92" t="n">
        <f aca="false">WORKDAY(G374,-2)</f>
        <v>36829</v>
      </c>
      <c r="R374" s="7" t="n">
        <f aca="false">IF(F374="P",0,1)</f>
        <v>1</v>
      </c>
      <c r="S374" s="130" t="e">
        <f aca="false">xSPRDOPT($L374,$J374,$I374,$M374,$O374,$N374,$P374,$Q374-$C$3,$R374,0)</f>
        <v>#NAME?</v>
      </c>
      <c r="T374" s="250" t="e">
        <f aca="false">xSPRDOPT($L374,$J374,$I374,$M374,$O374,$N374,$P374,$Q374-$C$3,$R374,1)*H374</f>
        <v>#NAME?</v>
      </c>
      <c r="U374" s="43" t="e">
        <f aca="false">S374*H374</f>
        <v>#NAME?</v>
      </c>
      <c r="V374" s="250" t="e">
        <f aca="false">xSPRDOPT($L374,$J374,$I374,$M374,$O374,$N374,$P374,$Q374-$C$3,$R374,2)*H374</f>
        <v>#NAME?</v>
      </c>
      <c r="W374" s="250" t="e">
        <f aca="false">+V374+T374</f>
        <v>#NAME?</v>
      </c>
      <c r="X374" s="2" t="str">
        <f aca="false">CONCATENATE(G374,D374)</f>
        <v>36831IF-TRANSCO/Z6</v>
      </c>
      <c r="Y374" s="251" t="n">
        <f aca="false">H374/10000</f>
        <v>-50</v>
      </c>
      <c r="Z374" s="226" t="e">
        <f aca="false">T374/H374</f>
        <v>#NAME?</v>
      </c>
      <c r="AA374" s="226" t="e">
        <f aca="false">xSPRDOPT($L374,$J374,$I374,$M374,$O374,$N374,$P374,$Q374-$C$3,$R374,3)</f>
        <v>#NAME?</v>
      </c>
      <c r="AB374" s="226" t="e">
        <f aca="false">((xSPRDOPT($L374+AB$5,$J374,$I374,$M374,$O374,$N374,$P374,$Q374-$C$3,$R374,3)*$H374)/10000)/100</f>
        <v>#NAME?</v>
      </c>
      <c r="AC374" s="226" t="e">
        <f aca="false">((xSPRDOPT($L374+$AB$5,$J374,$I374,$M374,$O374,$N374,$P374,$Q374-$C$3,$R374,7)*$H374)/100)</f>
        <v>#NAME?</v>
      </c>
      <c r="AD374" s="226" t="e">
        <f aca="false">(xSPRDOPT($L374+$AB$5,$J374,$I374,$M374,$O374,$N374,$P374,$Q374-$C$3,$R374,9)/365)*$H374</f>
        <v>#NAME?</v>
      </c>
      <c r="AE374" s="0" t="e">
        <f aca="false">CD374</f>
        <v>#NAME?</v>
      </c>
      <c r="AF374" s="226" t="e">
        <f aca="false">((O374/N374)*AH374)+AG374</f>
        <v>#NAME?</v>
      </c>
      <c r="AG374" s="226" t="e">
        <f aca="false">((xSPRDOPT($L374,$J374,$I374,$M374,$O374,$N374,$P374,$Q374-$C$3,$R374,6)*$H374)/100)</f>
        <v>#NAME?</v>
      </c>
      <c r="AH374" s="226" t="e">
        <f aca="false">((xSPRDOPT($L374,$J374,$I374,$M374,$O374,$N374,$P374,$Q374-$C$3,$R374,5)*$H374)/100)</f>
        <v>#NAME?</v>
      </c>
      <c r="AI374" s="226" t="e">
        <f aca="false">(((xSPRDOPT($L374,$J374,$I374,$M374,$O374,$N374,$P374,$Q374-$C$3,$R374,4)*$H374)/10000)/100)-AB374</f>
        <v>#NAME?</v>
      </c>
      <c r="AJ374" s="226"/>
      <c r="AK374" s="226"/>
      <c r="AL374" s="226"/>
      <c r="AM374" s="252"/>
      <c r="CC374" s="182" t="n">
        <f aca="false">G374</f>
        <v>36831</v>
      </c>
      <c r="CD374" s="253" t="e">
        <f aca="false">xSPRDOPT((VLOOKUP(G374,NGPrices,2,FALSE())+HLOOKUP(D374,Prices,VLOOKUP(G374,move_down,2,FALSE()),FALSE())),VLOOKUP(G374,NGPrices,2,FALSE()),I374,VLOOKUP(G374,NGPREVPRICES,4,FALSE()),HLOOKUP(D374,PREVVOLS,VLOOKUP(G374,MOVE_DOWN2,2,FALSE()),FALSE()),VLOOKUP(G374,NGPREVPRICES,3,FALSE()),HLOOKUP(D374,Correllate,VLOOKUP(G374,CorMove,2,FALSE()),FALSE()),Q374-$CD$3,R374,$CD$5)*H374-CJ374</f>
        <v>#NAME?</v>
      </c>
      <c r="CE374" s="253" t="e">
        <f aca="false">xSPRDOPT((VLOOKUP(G374,NGPREVPRICES,2,FALSE())+HLOOKUP(D374,PREVCURVES,VLOOKUP(G374,MOVE_DOWN2,2,FALSE()),FALSE())),VLOOKUP(G374,NGPREVPRICES,2,FALSE()),CK374,VLOOKUP(G374,NGPrices,4,FALSE()),HLOOKUP(D374,PREVVOLS,VLOOKUP(G374,MOVE_DOWN2,2,FALSE()),FALSE()),VLOOKUP(G374,NGPREVPRICES,3,FALSE()),HLOOKUP(D374,Correllate,VLOOKUP(G374,CorMove,2,FALSE()),FALSE()),Q374-$CD$3,R374,$CJ$5)*H374-CJ374</f>
        <v>#NAME?</v>
      </c>
      <c r="CF374" s="132" t="e">
        <f aca="false">(CJ374/VLOOKUP(CC374,discount,3,FALSE()))-(CJ374/VLOOKUP(CC374,discount,2,FALSE()))</f>
        <v>#NAME?</v>
      </c>
      <c r="CG374" s="253" t="e">
        <f aca="false">xSPRDOPT((VLOOKUP(G374,NGPREVPRICES,2,FALSE())+HLOOKUP(D374,PREVCURVES,VLOOKUP(G374,MOVE_DOWN2,2,FALSE()),FALSE())),VLOOKUP(G374,NGPREVPRICES,2,FALSE()),CK374,VLOOKUP(G374,NGPREVPRICES,4,FALSE()),HLOOKUP(D374,VOLS,VLOOKUP(G374,move_down,2,FALSE()),FALSE()),VLOOKUP(G374,NGPrices,3,FALSE()),HLOOKUP(D374,Correllate,VLOOKUP(G374,CorMove,2,FALSE()),FALSE()),Q374-$CD$3,R374,$CJ$5)*H374-CJ374</f>
        <v>#NAME?</v>
      </c>
      <c r="CH374" s="253" t="e">
        <f aca="false">xSPRDOPT((VLOOKUP(G374,NGPREVPRICES,2,FALSE())+HLOOKUP(D374,PREVCURVES,VLOOKUP(G374,MOVE_DOWN2,2,FALSE()),FALSE())),VLOOKUP(G374,NGPREVPRICES,2,FALSE()),CK374,VLOOKUP(G374,NGPREVPRICES,4,FALSE()),HLOOKUP(D374,PREVVOLS,VLOOKUP(G374,MOVE_DOWN2,2,FALSE()),FALSE()),VLOOKUP(G374,NGPREVPRICES,3,FALSE()),HLOOKUP(D374,Correllate,VLOOKUP(G374,CorMove,2,FALSE()),FALSE()),Q374-$C$3,R374,$CJ$5)*H374-CJ374</f>
        <v>#NAME?</v>
      </c>
      <c r="CI374" s="253" t="e">
        <f aca="false">SUM(CD374:CH374)</f>
        <v>#NAME?</v>
      </c>
      <c r="CJ374" s="253" t="e">
        <f aca="false">xSPRDOPT((VLOOKUP(G374,NGPREVPRICES,2,FALSE())+HLOOKUP(D374,PREVCURVES,VLOOKUP(G374,MOVE_DOWN2,2,FALSE()),FALSE())),VLOOKUP(G374,NGPREVPRICES,2,FALSE()),CK374,VLOOKUP(G374,NGPREVPRICES,4,FALSE()),HLOOKUP(D374,PREVVOLS,VLOOKUP(G374,MOVE_DOWN2,2,FALSE()),FALSE()),VLOOKUP(G374,NGPREVPRICES,3,FALSE()),HLOOKUP(D374,Correllate,VLOOKUP(G374,CorMove,2,FALSE()),FALSE()),Q374-$CD$3,R374,$CJ$5)*H374</f>
        <v>#NAME?</v>
      </c>
      <c r="CK374" s="254" t="n">
        <f aca="false">I374</f>
        <v>2.5</v>
      </c>
      <c r="CM374" s="0" t="str">
        <f aca="false">CONCATENATE(CC374,$CD$6)</f>
        <v>36831Curve Shift/Gamma</v>
      </c>
      <c r="CN374" s="0" t="str">
        <f aca="false">CONCATENATE($CC374,$CE$6)</f>
        <v>36831Rho</v>
      </c>
      <c r="CO374" s="0" t="str">
        <f aca="false">CONCATENATE($CC374,$CF$6)</f>
        <v>36831Drift</v>
      </c>
      <c r="CP374" s="0" t="str">
        <f aca="false">CONCATENATE($CC374,$CG$6)</f>
        <v>36831Vega</v>
      </c>
      <c r="CQ374" s="0" t="str">
        <f aca="false">CONCATENATE($CC374,$CH$6)</f>
        <v>36831Theta</v>
      </c>
    </row>
    <row r="375" customFormat="false" ht="12.75" hidden="false" customHeight="false" outlineLevel="0" collapsed="false">
      <c r="A375" s="265" t="s">
        <v>218</v>
      </c>
      <c r="B375" s="0" t="s">
        <v>192</v>
      </c>
      <c r="C375" s="0" t="s">
        <v>331</v>
      </c>
      <c r="D375" s="7" t="s">
        <v>149</v>
      </c>
      <c r="E375" s="0" t="s">
        <v>131</v>
      </c>
      <c r="F375" s="0" t="s">
        <v>132</v>
      </c>
      <c r="G375" s="92" t="n">
        <v>36951</v>
      </c>
      <c r="H375" s="248" t="n">
        <v>500000</v>
      </c>
      <c r="I375" s="0" t="n">
        <v>0.7</v>
      </c>
      <c r="J375" s="124" t="n">
        <f aca="false">VLOOKUP(G375,NGPrices,2,FALSE())</f>
        <v>4.213</v>
      </c>
      <c r="K375" s="125" t="n">
        <f aca="false">HLOOKUP(D375,Prices,VLOOKUP(G375,move_down,2,FALSE()),FALSE())+VLOOKUP(G375,CHANGE,HLOOKUP(D375,CHANGE,2,FALSE()),FALSE())</f>
        <v>1.075</v>
      </c>
      <c r="L375" s="124" t="n">
        <f aca="false">K375+J375</f>
        <v>5.288</v>
      </c>
      <c r="M375" s="126" t="n">
        <f aca="false">VLOOKUP(G375,NGPrices,4,FALSE())</f>
        <v>0.068879814952707</v>
      </c>
      <c r="N375" s="7" t="n">
        <f aca="false">VLOOKUP(G375,NGPrices,3,FALSE())</f>
        <v>0.5325</v>
      </c>
      <c r="O375" s="7" t="n">
        <f aca="false">HLOOKUP(D375,VOLS,VLOOKUP(G375,move_down,2,FALSE()),FALSE())</f>
        <v>0.612</v>
      </c>
      <c r="P375" s="249" t="n">
        <f aca="false">HLOOKUP(D375,Correllate,VLOOKUP(G375,CorMove,2,FALSE()),FALSE())</f>
        <v>0.83</v>
      </c>
      <c r="Q375" s="92" t="n">
        <f aca="false">WORKDAY(G375,-2)</f>
        <v>36949</v>
      </c>
      <c r="R375" s="7" t="n">
        <f aca="false">IF(F375="P",0,1)</f>
        <v>0</v>
      </c>
      <c r="S375" s="130" t="e">
        <f aca="false">xSPRDOPT($L375,$J375,$I375,$M375,$O375,$N375,$P375,$Q375-$C$3,$R375,0)</f>
        <v>#NAME?</v>
      </c>
      <c r="T375" s="250" t="e">
        <f aca="false">xSPRDOPT($L375,$J375,$I375,$M375,$O375,$N375,$P375,$Q375-$C$3,$R375,1)*H375</f>
        <v>#NAME?</v>
      </c>
      <c r="U375" s="43" t="e">
        <f aca="false">S375*H375</f>
        <v>#NAME?</v>
      </c>
      <c r="V375" s="250" t="e">
        <f aca="false">xSPRDOPT($L375,$J375,$I375,$M375,$O375,$N375,$P375,$Q375-$C$3,$R375,2)*H375</f>
        <v>#NAME?</v>
      </c>
      <c r="W375" s="250" t="e">
        <f aca="false">+V375+T375</f>
        <v>#NAME?</v>
      </c>
      <c r="X375" s="2" t="str">
        <f aca="false">CONCATENATE(G375,D375)</f>
        <v>36951IF-TRANSCO/Z6</v>
      </c>
      <c r="Y375" s="251" t="n">
        <f aca="false">H375/10000</f>
        <v>50</v>
      </c>
      <c r="Z375" s="226" t="e">
        <f aca="false">T375/H375</f>
        <v>#NAME?</v>
      </c>
      <c r="AA375" s="226" t="e">
        <f aca="false">xSPRDOPT($L375,$J375,$I375,$M375,$O375,$N375,$P375,$Q375-$C$3,$R375,3)</f>
        <v>#NAME?</v>
      </c>
      <c r="AB375" s="226" t="e">
        <f aca="false">((xSPRDOPT($L375+AB$5,$J375,$I375,$M375,$O375,$N375,$P375,$Q375-$C$3,$R375,3)*$H375)/10000)/100</f>
        <v>#NAME?</v>
      </c>
      <c r="AC375" s="226" t="e">
        <f aca="false">((xSPRDOPT($L375+$AB$5,$J375,$I375,$M375,$O375,$N375,$P375,$Q375-$C$3,$R375,7)*$H375)/100)</f>
        <v>#NAME?</v>
      </c>
      <c r="AD375" s="226" t="e">
        <f aca="false">(xSPRDOPT($L375+$AB$5,$J375,$I375,$M375,$O375,$N375,$P375,$Q375-$C$3,$R375,9)/365)*$H375</f>
        <v>#NAME?</v>
      </c>
      <c r="AE375" s="0" t="e">
        <f aca="false">CD375</f>
        <v>#NAME?</v>
      </c>
      <c r="AF375" s="226" t="e">
        <f aca="false">((O375/N375)*AH375)+AG375</f>
        <v>#NAME?</v>
      </c>
      <c r="AG375" s="226" t="e">
        <f aca="false">((xSPRDOPT($L375,$J375,$I375,$M375,$O375,$N375,$P375,$Q375-$C$3,$R375,6)*$H375)/100)</f>
        <v>#NAME?</v>
      </c>
      <c r="AH375" s="226" t="e">
        <f aca="false">((xSPRDOPT($L375,$J375,$I375,$M375,$O375,$N375,$P375,$Q375-$C$3,$R375,5)*$H375)/100)</f>
        <v>#NAME?</v>
      </c>
      <c r="AI375" s="226" t="e">
        <f aca="false">(((xSPRDOPT($L375,$J375,$I375,$M375,$O375,$N375,$P375,$Q375-$C$3,$R375,4)*$H375)/10000)/100)-AB375</f>
        <v>#NAME?</v>
      </c>
      <c r="AJ375" s="226"/>
      <c r="AK375" s="226"/>
      <c r="AL375" s="226"/>
      <c r="AM375" s="252"/>
      <c r="CC375" s="182" t="n">
        <f aca="false">G375</f>
        <v>36951</v>
      </c>
      <c r="CD375" s="253" t="e">
        <f aca="false">xSPRDOPT((VLOOKUP(G375,NGPrices,2,FALSE())+HLOOKUP(D375,Prices,VLOOKUP(G375,move_down,2,FALSE()),FALSE())),VLOOKUP(G375,NGPrices,2,FALSE()),I375,VLOOKUP(G375,NGPREVPRICES,4,FALSE()),HLOOKUP(D375,PREVVOLS,VLOOKUP(G375,MOVE_DOWN2,2,FALSE()),FALSE()),VLOOKUP(G375,NGPREVPRICES,3,FALSE()),HLOOKUP(D375,Correllate,VLOOKUP(G375,CorMove,2,FALSE()),FALSE()),Q375-$CD$3,R375,$CD$5)*H375-CJ375</f>
        <v>#NAME?</v>
      </c>
      <c r="CE375" s="253" t="e">
        <f aca="false">xSPRDOPT((VLOOKUP(G375,NGPREVPRICES,2,FALSE())+HLOOKUP(D375,PREVCURVES,VLOOKUP(G375,MOVE_DOWN2,2,FALSE()),FALSE())),VLOOKUP(G375,NGPREVPRICES,2,FALSE()),CK375,VLOOKUP(G375,NGPrices,4,FALSE()),HLOOKUP(D375,PREVVOLS,VLOOKUP(G375,MOVE_DOWN2,2,FALSE()),FALSE()),VLOOKUP(G375,NGPREVPRICES,3,FALSE()),HLOOKUP(D375,Correllate,VLOOKUP(G375,CorMove,2,FALSE()),FALSE()),Q375-$CD$3,R375,$CJ$5)*H375-CJ375</f>
        <v>#NAME?</v>
      </c>
      <c r="CF375" s="132" t="e">
        <f aca="false">(CJ375/VLOOKUP(CC375,discount,3,FALSE()))-(CJ375/VLOOKUP(CC375,discount,2,FALSE()))</f>
        <v>#NAME?</v>
      </c>
      <c r="CG375" s="253" t="e">
        <f aca="false">xSPRDOPT((VLOOKUP(G375,NGPREVPRICES,2,FALSE())+HLOOKUP(D375,PREVCURVES,VLOOKUP(G375,MOVE_DOWN2,2,FALSE()),FALSE())),VLOOKUP(G375,NGPREVPRICES,2,FALSE()),CK375,VLOOKUP(G375,NGPREVPRICES,4,FALSE()),HLOOKUP(D375,VOLS,VLOOKUP(G375,move_down,2,FALSE()),FALSE()),VLOOKUP(G375,NGPrices,3,FALSE()),HLOOKUP(D375,Correllate,VLOOKUP(G375,CorMove,2,FALSE()),FALSE()),Q375-$CD$3,R375,$CJ$5)*H375-CJ375</f>
        <v>#NAME?</v>
      </c>
      <c r="CH375" s="253" t="e">
        <f aca="false">xSPRDOPT((VLOOKUP(G375,NGPREVPRICES,2,FALSE())+HLOOKUP(D375,PREVCURVES,VLOOKUP(G375,MOVE_DOWN2,2,FALSE()),FALSE())),VLOOKUP(G375,NGPREVPRICES,2,FALSE()),CK375,VLOOKUP(G375,NGPREVPRICES,4,FALSE()),HLOOKUP(D375,PREVVOLS,VLOOKUP(G375,MOVE_DOWN2,2,FALSE()),FALSE()),VLOOKUP(G375,NGPREVPRICES,3,FALSE()),HLOOKUP(D375,Correllate,VLOOKUP(G375,CorMove,2,FALSE()),FALSE()),Q375-$C$3,R375,$CJ$5)*H375-CJ375</f>
        <v>#NAME?</v>
      </c>
      <c r="CI375" s="253" t="e">
        <f aca="false">SUM(CD375:CH375)</f>
        <v>#NAME?</v>
      </c>
      <c r="CJ375" s="253" t="e">
        <f aca="false">xSPRDOPT((VLOOKUP(G375,NGPREVPRICES,2,FALSE())+HLOOKUP(D375,PREVCURVES,VLOOKUP(G375,MOVE_DOWN2,2,FALSE()),FALSE())),VLOOKUP(G375,NGPREVPRICES,2,FALSE()),CK375,VLOOKUP(G375,NGPREVPRICES,4,FALSE()),HLOOKUP(D375,PREVVOLS,VLOOKUP(G375,MOVE_DOWN2,2,FALSE()),FALSE()),VLOOKUP(G375,NGPREVPRICES,3,FALSE()),HLOOKUP(D375,Correllate,VLOOKUP(G375,CorMove,2,FALSE()),FALSE()),Q375-$CD$3,R375,$CJ$5)*H375</f>
        <v>#NAME?</v>
      </c>
      <c r="CK375" s="254" t="n">
        <f aca="false">I375</f>
        <v>0.7</v>
      </c>
      <c r="CM375" s="0" t="str">
        <f aca="false">CONCATENATE(CC375,$CD$6)</f>
        <v>36951Curve Shift/Gamma</v>
      </c>
      <c r="CN375" s="0" t="str">
        <f aca="false">CONCATENATE($CC375,$CE$6)</f>
        <v>36951Rho</v>
      </c>
      <c r="CO375" s="0" t="str">
        <f aca="false">CONCATENATE($CC375,$CF$6)</f>
        <v>36951Drift</v>
      </c>
      <c r="CP375" s="0" t="str">
        <f aca="false">CONCATENATE($CC375,$CG$6)</f>
        <v>36951Vega</v>
      </c>
      <c r="CQ375" s="0" t="str">
        <f aca="false">CONCATENATE($CC375,$CH$6)</f>
        <v>36951Theta</v>
      </c>
    </row>
    <row r="376" customFormat="false" ht="12.75" hidden="false" customHeight="false" outlineLevel="0" collapsed="false">
      <c r="A376" s="265" t="s">
        <v>218</v>
      </c>
      <c r="B376" s="0" t="s">
        <v>192</v>
      </c>
      <c r="C376" s="0" t="s">
        <v>331</v>
      </c>
      <c r="D376" s="7" t="s">
        <v>149</v>
      </c>
      <c r="E376" s="0" t="s">
        <v>131</v>
      </c>
      <c r="F376" s="0" t="s">
        <v>132</v>
      </c>
      <c r="G376" s="92" t="n">
        <v>36923</v>
      </c>
      <c r="H376" s="248" t="n">
        <v>500000</v>
      </c>
      <c r="I376" s="0" t="n">
        <v>0.7</v>
      </c>
      <c r="J376" s="124" t="n">
        <f aca="false">VLOOKUP(G376,NGPrices,2,FALSE())</f>
        <v>4.48</v>
      </c>
      <c r="K376" s="125" t="n">
        <f aca="false">HLOOKUP(D376,Prices,VLOOKUP(G376,move_down,2,FALSE()),FALSE())+VLOOKUP(G376,CHANGE,HLOOKUP(D376,CHANGE,2,FALSE()),FALSE())</f>
        <v>2.09</v>
      </c>
      <c r="L376" s="124" t="n">
        <f aca="false">K376+J376</f>
        <v>6.57</v>
      </c>
      <c r="M376" s="126" t="n">
        <f aca="false">VLOOKUP(G376,NGPrices,4,FALSE())</f>
        <v>0.068640161611372</v>
      </c>
      <c r="N376" s="7" t="n">
        <f aca="false">VLOOKUP(G376,NGPrices,3,FALSE())</f>
        <v>0.5925</v>
      </c>
      <c r="O376" s="7" t="n">
        <f aca="false">HLOOKUP(D376,VOLS,VLOOKUP(G376,move_down,2,FALSE()),FALSE())</f>
        <v>0.681</v>
      </c>
      <c r="P376" s="249" t="n">
        <f aca="false">HLOOKUP(D376,Correllate,VLOOKUP(G376,CorMove,2,FALSE()),FALSE())</f>
        <v>0.83</v>
      </c>
      <c r="Q376" s="92" t="n">
        <f aca="false">WORKDAY(G376,-2)</f>
        <v>36921</v>
      </c>
      <c r="R376" s="7" t="n">
        <f aca="false">IF(F376="P",0,1)</f>
        <v>0</v>
      </c>
      <c r="S376" s="130" t="e">
        <f aca="false">xSPRDOPT($L376,$J376,$I376,$M376,$O376,$N376,$P376,$Q376-$C$3,$R376,0)</f>
        <v>#NAME?</v>
      </c>
      <c r="T376" s="250" t="e">
        <f aca="false">xSPRDOPT($L376,$J376,$I376,$M376,$O376,$N376,$P376,$Q376-$C$3,$R376,1)*H376</f>
        <v>#NAME?</v>
      </c>
      <c r="U376" s="43" t="e">
        <f aca="false">S376*H376</f>
        <v>#NAME?</v>
      </c>
      <c r="V376" s="250" t="e">
        <f aca="false">xSPRDOPT($L376,$J376,$I376,$M376,$O376,$N376,$P376,$Q376-$C$3,$R376,2)*H376</f>
        <v>#NAME?</v>
      </c>
      <c r="W376" s="250" t="e">
        <f aca="false">+V376+T376</f>
        <v>#NAME?</v>
      </c>
      <c r="X376" s="2" t="str">
        <f aca="false">CONCATENATE(G376,D376)</f>
        <v>36923IF-TRANSCO/Z6</v>
      </c>
      <c r="Y376" s="251" t="n">
        <f aca="false">H376/10000</f>
        <v>50</v>
      </c>
      <c r="Z376" s="226" t="e">
        <f aca="false">T376/H376</f>
        <v>#NAME?</v>
      </c>
      <c r="AA376" s="226" t="e">
        <f aca="false">xSPRDOPT($L376,$J376,$I376,$M376,$O376,$N376,$P376,$Q376-$C$3,$R376,3)</f>
        <v>#NAME?</v>
      </c>
      <c r="AB376" s="226" t="e">
        <f aca="false">((xSPRDOPT($L376+AB$5,$J376,$I376,$M376,$O376,$N376,$P376,$Q376-$C$3,$R376,3)*$H376)/10000)/100</f>
        <v>#NAME?</v>
      </c>
      <c r="AC376" s="226" t="e">
        <f aca="false">((xSPRDOPT($L376+$AB$5,$J376,$I376,$M376,$O376,$N376,$P376,$Q376-$C$3,$R376,7)*$H376)/100)</f>
        <v>#NAME?</v>
      </c>
      <c r="AD376" s="226" t="e">
        <f aca="false">(xSPRDOPT($L376+$AB$5,$J376,$I376,$M376,$O376,$N376,$P376,$Q376-$C$3,$R376,9)/365)*$H376</f>
        <v>#NAME?</v>
      </c>
      <c r="AE376" s="0" t="e">
        <f aca="false">CD376</f>
        <v>#NAME?</v>
      </c>
      <c r="AF376" s="226" t="e">
        <f aca="false">((O376/N376)*AH376)+AG376</f>
        <v>#NAME?</v>
      </c>
      <c r="AG376" s="226" t="e">
        <f aca="false">((xSPRDOPT($L376,$J376,$I376,$M376,$O376,$N376,$P376,$Q376-$C$3,$R376,6)*$H376)/100)</f>
        <v>#NAME?</v>
      </c>
      <c r="AH376" s="226" t="e">
        <f aca="false">((xSPRDOPT($L376,$J376,$I376,$M376,$O376,$N376,$P376,$Q376-$C$3,$R376,5)*$H376)/100)</f>
        <v>#NAME?</v>
      </c>
      <c r="AI376" s="226" t="e">
        <f aca="false">(((xSPRDOPT($L376,$J376,$I376,$M376,$O376,$N376,$P376,$Q376-$C$3,$R376,4)*$H376)/10000)/100)-AB376</f>
        <v>#NAME?</v>
      </c>
      <c r="AJ376" s="226"/>
      <c r="AK376" s="226"/>
      <c r="AL376" s="226"/>
      <c r="AM376" s="252"/>
      <c r="CC376" s="182" t="n">
        <f aca="false">G376</f>
        <v>36923</v>
      </c>
      <c r="CD376" s="253" t="e">
        <f aca="false">xSPRDOPT((VLOOKUP(G376,NGPrices,2,FALSE())+HLOOKUP(D376,Prices,VLOOKUP(G376,move_down,2,FALSE()),FALSE())),VLOOKUP(G376,NGPrices,2,FALSE()),I376,VLOOKUP(G376,NGPREVPRICES,4,FALSE()),HLOOKUP(D376,PREVVOLS,VLOOKUP(G376,MOVE_DOWN2,2,FALSE()),FALSE()),VLOOKUP(G376,NGPREVPRICES,3,FALSE()),HLOOKUP(D376,Correllate,VLOOKUP(G376,CorMove,2,FALSE()),FALSE()),Q376-$CD$3,R376,$CD$5)*H376-CJ376</f>
        <v>#NAME?</v>
      </c>
      <c r="CE376" s="253" t="e">
        <f aca="false">xSPRDOPT((VLOOKUP(G376,NGPREVPRICES,2,FALSE())+HLOOKUP(D376,PREVCURVES,VLOOKUP(G376,MOVE_DOWN2,2,FALSE()),FALSE())),VLOOKUP(G376,NGPREVPRICES,2,FALSE()),CK376,VLOOKUP(G376,NGPrices,4,FALSE()),HLOOKUP(D376,PREVVOLS,VLOOKUP(G376,MOVE_DOWN2,2,FALSE()),FALSE()),VLOOKUP(G376,NGPREVPRICES,3,FALSE()),HLOOKUP(D376,Correllate,VLOOKUP(G376,CorMove,2,FALSE()),FALSE()),Q376-$CD$3,R376,$CJ$5)*H376-CJ376</f>
        <v>#NAME?</v>
      </c>
      <c r="CF376" s="132" t="e">
        <f aca="false">(CJ376/VLOOKUP(CC376,discount,3,FALSE()))-(CJ376/VLOOKUP(CC376,discount,2,FALSE()))</f>
        <v>#NAME?</v>
      </c>
      <c r="CG376" s="253" t="e">
        <f aca="false">xSPRDOPT((VLOOKUP(G376,NGPREVPRICES,2,FALSE())+HLOOKUP(D376,PREVCURVES,VLOOKUP(G376,MOVE_DOWN2,2,FALSE()),FALSE())),VLOOKUP(G376,NGPREVPRICES,2,FALSE()),CK376,VLOOKUP(G376,NGPREVPRICES,4,FALSE()),HLOOKUP(D376,VOLS,VLOOKUP(G376,move_down,2,FALSE()),FALSE()),VLOOKUP(G376,NGPrices,3,FALSE()),HLOOKUP(D376,Correllate,VLOOKUP(G376,CorMove,2,FALSE()),FALSE()),Q376-$CD$3,R376,$CJ$5)*H376-CJ376</f>
        <v>#NAME?</v>
      </c>
      <c r="CH376" s="253" t="e">
        <f aca="false">xSPRDOPT((VLOOKUP(G376,NGPREVPRICES,2,FALSE())+HLOOKUP(D376,PREVCURVES,VLOOKUP(G376,MOVE_DOWN2,2,FALSE()),FALSE())),VLOOKUP(G376,NGPREVPRICES,2,FALSE()),CK376,VLOOKUP(G376,NGPREVPRICES,4,FALSE()),HLOOKUP(D376,PREVVOLS,VLOOKUP(G376,MOVE_DOWN2,2,FALSE()),FALSE()),VLOOKUP(G376,NGPREVPRICES,3,FALSE()),HLOOKUP(D376,Correllate,VLOOKUP(G376,CorMove,2,FALSE()),FALSE()),Q376-$C$3,R376,$CJ$5)*H376-CJ376</f>
        <v>#NAME?</v>
      </c>
      <c r="CI376" s="253" t="e">
        <f aca="false">SUM(CD376:CH376)</f>
        <v>#NAME?</v>
      </c>
      <c r="CJ376" s="253" t="e">
        <f aca="false">xSPRDOPT((VLOOKUP(G376,NGPREVPRICES,2,FALSE())+HLOOKUP(D376,PREVCURVES,VLOOKUP(G376,MOVE_DOWN2,2,FALSE()),FALSE())),VLOOKUP(G376,NGPREVPRICES,2,FALSE()),CK376,VLOOKUP(G376,NGPREVPRICES,4,FALSE()),HLOOKUP(D376,PREVVOLS,VLOOKUP(G376,MOVE_DOWN2,2,FALSE()),FALSE()),VLOOKUP(G376,NGPREVPRICES,3,FALSE()),HLOOKUP(D376,Correllate,VLOOKUP(G376,CorMove,2,FALSE()),FALSE()),Q376-$CD$3,R376,$CJ$5)*H376</f>
        <v>#NAME?</v>
      </c>
      <c r="CK376" s="254" t="n">
        <f aca="false">I376</f>
        <v>0.7</v>
      </c>
      <c r="CM376" s="0" t="str">
        <f aca="false">CONCATENATE(CC376,$CD$6)</f>
        <v>36923Curve Shift/Gamma</v>
      </c>
      <c r="CN376" s="0" t="str">
        <f aca="false">CONCATENATE($CC376,$CE$6)</f>
        <v>36923Rho</v>
      </c>
      <c r="CO376" s="0" t="str">
        <f aca="false">CONCATENATE($CC376,$CF$6)</f>
        <v>36923Drift</v>
      </c>
      <c r="CP376" s="0" t="str">
        <f aca="false">CONCATENATE($CC376,$CG$6)</f>
        <v>36923Vega</v>
      </c>
      <c r="CQ376" s="0" t="str">
        <f aca="false">CONCATENATE($CC376,$CH$6)</f>
        <v>36923Theta</v>
      </c>
    </row>
    <row r="377" customFormat="false" ht="12.75" hidden="false" customHeight="false" outlineLevel="0" collapsed="false">
      <c r="A377" s="265" t="s">
        <v>218</v>
      </c>
      <c r="B377" s="0" t="s">
        <v>192</v>
      </c>
      <c r="C377" s="0" t="s">
        <v>331</v>
      </c>
      <c r="D377" s="7" t="s">
        <v>149</v>
      </c>
      <c r="E377" s="0" t="s">
        <v>131</v>
      </c>
      <c r="F377" s="0" t="s">
        <v>132</v>
      </c>
      <c r="G377" s="92" t="n">
        <v>36892</v>
      </c>
      <c r="H377" s="248" t="n">
        <v>500000</v>
      </c>
      <c r="I377" s="0" t="n">
        <v>0.7</v>
      </c>
      <c r="J377" s="124" t="n">
        <f aca="false">VLOOKUP(G377,NGPrices,2,FALSE())</f>
        <v>4.744</v>
      </c>
      <c r="K377" s="125" t="n">
        <f aca="false">HLOOKUP(D377,Prices,VLOOKUP(G377,move_down,2,FALSE()),FALSE())+VLOOKUP(G377,CHANGE,HLOOKUP(D377,CHANGE,2,FALSE()),FALSE())</f>
        <v>2.17</v>
      </c>
      <c r="L377" s="124" t="n">
        <f aca="false">K377+J377</f>
        <v>6.914</v>
      </c>
      <c r="M377" s="126" t="n">
        <f aca="false">VLOOKUP(G377,NGPrices,4,FALSE())</f>
        <v>0.068374831148491</v>
      </c>
      <c r="N377" s="7" t="n">
        <f aca="false">VLOOKUP(G377,NGPrices,3,FALSE())</f>
        <v>0.605</v>
      </c>
      <c r="O377" s="7" t="n">
        <f aca="false">HLOOKUP(D377,VOLS,VLOOKUP(G377,move_down,2,FALSE()),FALSE())</f>
        <v>0.696</v>
      </c>
      <c r="P377" s="249" t="n">
        <f aca="false">HLOOKUP(D377,Correllate,VLOOKUP(G377,CorMove,2,FALSE()),FALSE())</f>
        <v>0.83</v>
      </c>
      <c r="Q377" s="92" t="n">
        <f aca="false">WORKDAY(G377,-2)</f>
        <v>36888</v>
      </c>
      <c r="R377" s="7" t="n">
        <f aca="false">IF(F377="P",0,1)</f>
        <v>0</v>
      </c>
      <c r="S377" s="130" t="e">
        <f aca="false">xSPRDOPT($L377,$J377,$I377,$M377,$O377,$N377,$P377,$Q377-$C$3,$R377,0)</f>
        <v>#NAME?</v>
      </c>
      <c r="T377" s="250" t="e">
        <f aca="false">xSPRDOPT($L377,$J377,$I377,$M377,$O377,$N377,$P377,$Q377-$C$3,$R377,1)*H377</f>
        <v>#NAME?</v>
      </c>
      <c r="U377" s="43" t="e">
        <f aca="false">S377*H377</f>
        <v>#NAME?</v>
      </c>
      <c r="V377" s="250" t="e">
        <f aca="false">xSPRDOPT($L377,$J377,$I377,$M377,$O377,$N377,$P377,$Q377-$C$3,$R377,2)*H377</f>
        <v>#NAME?</v>
      </c>
      <c r="W377" s="250" t="e">
        <f aca="false">+V377+T377</f>
        <v>#NAME?</v>
      </c>
      <c r="X377" s="2" t="str">
        <f aca="false">CONCATENATE(G377,D377)</f>
        <v>36892IF-TRANSCO/Z6</v>
      </c>
      <c r="Y377" s="251" t="n">
        <f aca="false">H377/10000</f>
        <v>50</v>
      </c>
      <c r="Z377" s="226" t="e">
        <f aca="false">T377/H377</f>
        <v>#NAME?</v>
      </c>
      <c r="AA377" s="226" t="e">
        <f aca="false">xSPRDOPT($L377,$J377,$I377,$M377,$O377,$N377,$P377,$Q377-$C$3,$R377,3)</f>
        <v>#NAME?</v>
      </c>
      <c r="AB377" s="226" t="e">
        <f aca="false">((xSPRDOPT($L377+AB$5,$J377,$I377,$M377,$O377,$N377,$P377,$Q377-$C$3,$R377,3)*$H377)/10000)/100</f>
        <v>#NAME?</v>
      </c>
      <c r="AC377" s="226" t="e">
        <f aca="false">((xSPRDOPT($L377+$AB$5,$J377,$I377,$M377,$O377,$N377,$P377,$Q377-$C$3,$R377,7)*$H377)/100)</f>
        <v>#NAME?</v>
      </c>
      <c r="AD377" s="226" t="e">
        <f aca="false">(xSPRDOPT($L377+$AB$5,$J377,$I377,$M377,$O377,$N377,$P377,$Q377-$C$3,$R377,9)/365)*$H377</f>
        <v>#NAME?</v>
      </c>
      <c r="AE377" s="0" t="e">
        <f aca="false">CD377</f>
        <v>#NAME?</v>
      </c>
      <c r="AF377" s="226" t="e">
        <f aca="false">((O377/N377)*AH377)+AG377</f>
        <v>#NAME?</v>
      </c>
      <c r="AG377" s="226" t="e">
        <f aca="false">((xSPRDOPT($L377,$J377,$I377,$M377,$O377,$N377,$P377,$Q377-$C$3,$R377,6)*$H377)/100)</f>
        <v>#NAME?</v>
      </c>
      <c r="AH377" s="226" t="e">
        <f aca="false">((xSPRDOPT($L377,$J377,$I377,$M377,$O377,$N377,$P377,$Q377-$C$3,$R377,5)*$H377)/100)</f>
        <v>#NAME?</v>
      </c>
      <c r="AI377" s="226" t="e">
        <f aca="false">(((xSPRDOPT($L377,$J377,$I377,$M377,$O377,$N377,$P377,$Q377-$C$3,$R377,4)*$H377)/10000)/100)-AB377</f>
        <v>#NAME?</v>
      </c>
      <c r="AJ377" s="226"/>
      <c r="AK377" s="226"/>
      <c r="AL377" s="226"/>
      <c r="AM377" s="252"/>
      <c r="CC377" s="182" t="n">
        <f aca="false">G377</f>
        <v>36892</v>
      </c>
      <c r="CD377" s="253" t="e">
        <f aca="false">xSPRDOPT((VLOOKUP(G377,NGPrices,2,FALSE())+HLOOKUP(D377,Prices,VLOOKUP(G377,move_down,2,FALSE()),FALSE())),VLOOKUP(G377,NGPrices,2,FALSE()),I377,VLOOKUP(G377,NGPREVPRICES,4,FALSE()),HLOOKUP(D377,PREVVOLS,VLOOKUP(G377,MOVE_DOWN2,2,FALSE()),FALSE()),VLOOKUP(G377,NGPREVPRICES,3,FALSE()),HLOOKUP(D377,Correllate,VLOOKUP(G377,CorMove,2,FALSE()),FALSE()),Q377-$CD$3,R377,$CD$5)*H377-CJ377</f>
        <v>#NAME?</v>
      </c>
      <c r="CE377" s="253" t="e">
        <f aca="false">xSPRDOPT((VLOOKUP(G377,NGPREVPRICES,2,FALSE())+HLOOKUP(D377,PREVCURVES,VLOOKUP(G377,MOVE_DOWN2,2,FALSE()),FALSE())),VLOOKUP(G377,NGPREVPRICES,2,FALSE()),CK377,VLOOKUP(G377,NGPrices,4,FALSE()),HLOOKUP(D377,PREVVOLS,VLOOKUP(G377,MOVE_DOWN2,2,FALSE()),FALSE()),VLOOKUP(G377,NGPREVPRICES,3,FALSE()),HLOOKUP(D377,Correllate,VLOOKUP(G377,CorMove,2,FALSE()),FALSE()),Q377-$CD$3,R377,$CJ$5)*H377-CJ377</f>
        <v>#NAME?</v>
      </c>
      <c r="CF377" s="132" t="e">
        <f aca="false">(CJ377/VLOOKUP(CC377,discount,3,FALSE()))-(CJ377/VLOOKUP(CC377,discount,2,FALSE()))</f>
        <v>#NAME?</v>
      </c>
      <c r="CG377" s="253" t="e">
        <f aca="false">xSPRDOPT((VLOOKUP(G377,NGPREVPRICES,2,FALSE())+HLOOKUP(D377,PREVCURVES,VLOOKUP(G377,MOVE_DOWN2,2,FALSE()),FALSE())),VLOOKUP(G377,NGPREVPRICES,2,FALSE()),CK377,VLOOKUP(G377,NGPREVPRICES,4,FALSE()),HLOOKUP(D377,VOLS,VLOOKUP(G377,move_down,2,FALSE()),FALSE()),VLOOKUP(G377,NGPrices,3,FALSE()),HLOOKUP(D377,Correllate,VLOOKUP(G377,CorMove,2,FALSE()),FALSE()),Q377-$CD$3,R377,$CJ$5)*H377-CJ377</f>
        <v>#NAME?</v>
      </c>
      <c r="CH377" s="253" t="e">
        <f aca="false">xSPRDOPT((VLOOKUP(G377,NGPREVPRICES,2,FALSE())+HLOOKUP(D377,PREVCURVES,VLOOKUP(G377,MOVE_DOWN2,2,FALSE()),FALSE())),VLOOKUP(G377,NGPREVPRICES,2,FALSE()),CK377,VLOOKUP(G377,NGPREVPRICES,4,FALSE()),HLOOKUP(D377,PREVVOLS,VLOOKUP(G377,MOVE_DOWN2,2,FALSE()),FALSE()),VLOOKUP(G377,NGPREVPRICES,3,FALSE()),HLOOKUP(D377,Correllate,VLOOKUP(G377,CorMove,2,FALSE()),FALSE()),Q377-$C$3,R377,$CJ$5)*H377-CJ377</f>
        <v>#NAME?</v>
      </c>
      <c r="CI377" s="253" t="e">
        <f aca="false">SUM(CD377:CH377)</f>
        <v>#NAME?</v>
      </c>
      <c r="CJ377" s="253" t="e">
        <f aca="false">xSPRDOPT((VLOOKUP(G377,NGPREVPRICES,2,FALSE())+HLOOKUP(D377,PREVCURVES,VLOOKUP(G377,MOVE_DOWN2,2,FALSE()),FALSE())),VLOOKUP(G377,NGPREVPRICES,2,FALSE()),CK377,VLOOKUP(G377,NGPREVPRICES,4,FALSE()),HLOOKUP(D377,PREVVOLS,VLOOKUP(G377,MOVE_DOWN2,2,FALSE()),FALSE()),VLOOKUP(G377,NGPREVPRICES,3,FALSE()),HLOOKUP(D377,Correllate,VLOOKUP(G377,CorMove,2,FALSE()),FALSE()),Q377-$CD$3,R377,$CJ$5)*H377</f>
        <v>#NAME?</v>
      </c>
      <c r="CK377" s="254" t="n">
        <f aca="false">I377</f>
        <v>0.7</v>
      </c>
      <c r="CM377" s="0" t="str">
        <f aca="false">CONCATENATE(CC377,$CD$6)</f>
        <v>36892Curve Shift/Gamma</v>
      </c>
      <c r="CN377" s="0" t="str">
        <f aca="false">CONCATENATE($CC377,$CE$6)</f>
        <v>36892Rho</v>
      </c>
      <c r="CO377" s="0" t="str">
        <f aca="false">CONCATENATE($CC377,$CF$6)</f>
        <v>36892Drift</v>
      </c>
      <c r="CP377" s="0" t="str">
        <f aca="false">CONCATENATE($CC377,$CG$6)</f>
        <v>36892Vega</v>
      </c>
      <c r="CQ377" s="0" t="str">
        <f aca="false">CONCATENATE($CC377,$CH$6)</f>
        <v>36892Theta</v>
      </c>
    </row>
    <row r="378" customFormat="false" ht="12.75" hidden="false" customHeight="false" outlineLevel="0" collapsed="false">
      <c r="A378" s="265" t="s">
        <v>218</v>
      </c>
      <c r="B378" s="0" t="s">
        <v>192</v>
      </c>
      <c r="C378" s="0" t="s">
        <v>331</v>
      </c>
      <c r="D378" s="7" t="s">
        <v>149</v>
      </c>
      <c r="E378" s="0" t="s">
        <v>131</v>
      </c>
      <c r="F378" s="0" t="s">
        <v>132</v>
      </c>
      <c r="G378" s="92" t="n">
        <v>36861</v>
      </c>
      <c r="H378" s="248" t="n">
        <v>500000</v>
      </c>
      <c r="I378" s="0" t="n">
        <v>0.7</v>
      </c>
      <c r="J378" s="124" t="n">
        <f aca="false">VLOOKUP(G378,NGPrices,2,FALSE())</f>
        <v>4.8</v>
      </c>
      <c r="K378" s="125" t="n">
        <f aca="false">HLOOKUP(D378,Prices,VLOOKUP(G378,move_down,2,FALSE()),FALSE())+VLOOKUP(G378,CHANGE,HLOOKUP(D378,CHANGE,2,FALSE()),FALSE())</f>
        <v>1.645</v>
      </c>
      <c r="L378" s="124" t="n">
        <f aca="false">K378+J378</f>
        <v>6.445</v>
      </c>
      <c r="M378" s="126" t="n">
        <f aca="false">VLOOKUP(G378,NGPrices,4,FALSE())</f>
        <v>0.068314027999354</v>
      </c>
      <c r="N378" s="7" t="n">
        <f aca="false">VLOOKUP(G378,NGPrices,3,FALSE())</f>
        <v>0.6</v>
      </c>
      <c r="O378" s="7" t="n">
        <f aca="false">HLOOKUP(D378,VOLS,VLOOKUP(G378,move_down,2,FALSE()),FALSE())</f>
        <v>0.69</v>
      </c>
      <c r="P378" s="249" t="n">
        <f aca="false">HLOOKUP(D378,Correllate,VLOOKUP(G378,CorMove,2,FALSE()),FALSE())</f>
        <v>0.83</v>
      </c>
      <c r="Q378" s="92" t="n">
        <f aca="false">WORKDAY(G378,-2)</f>
        <v>36859</v>
      </c>
      <c r="R378" s="7" t="n">
        <f aca="false">IF(F378="P",0,1)</f>
        <v>0</v>
      </c>
      <c r="S378" s="130" t="e">
        <f aca="false">xSPRDOPT($L378,$J378,$I378,$M378,$O378,$N378,$P378,$Q378-$C$3,$R378,0)</f>
        <v>#NAME?</v>
      </c>
      <c r="T378" s="250" t="e">
        <f aca="false">xSPRDOPT($L378,$J378,$I378,$M378,$O378,$N378,$P378,$Q378-$C$3,$R378,1)*H378</f>
        <v>#NAME?</v>
      </c>
      <c r="U378" s="43" t="e">
        <f aca="false">S378*H378</f>
        <v>#NAME?</v>
      </c>
      <c r="V378" s="250" t="e">
        <f aca="false">xSPRDOPT($L378,$J378,$I378,$M378,$O378,$N378,$P378,$Q378-$C$3,$R378,2)*H378</f>
        <v>#NAME?</v>
      </c>
      <c r="W378" s="250" t="e">
        <f aca="false">+V378+T378</f>
        <v>#NAME?</v>
      </c>
      <c r="X378" s="2" t="str">
        <f aca="false">CONCATENATE(G378,D378)</f>
        <v>36861IF-TRANSCO/Z6</v>
      </c>
      <c r="Y378" s="251" t="n">
        <f aca="false">H378/10000</f>
        <v>50</v>
      </c>
      <c r="Z378" s="226" t="e">
        <f aca="false">T378/H378</f>
        <v>#NAME?</v>
      </c>
      <c r="AA378" s="226" t="e">
        <f aca="false">xSPRDOPT($L378,$J378,$I378,$M378,$O378,$N378,$P378,$Q378-$C$3,$R378,3)</f>
        <v>#NAME?</v>
      </c>
      <c r="AB378" s="226" t="e">
        <f aca="false">((xSPRDOPT($L378+AB$5,$J378,$I378,$M378,$O378,$N378,$P378,$Q378-$C$3,$R378,3)*$H378)/10000)/100</f>
        <v>#NAME?</v>
      </c>
      <c r="AC378" s="226" t="e">
        <f aca="false">((xSPRDOPT($L378+$AB$5,$J378,$I378,$M378,$O378,$N378,$P378,$Q378-$C$3,$R378,7)*$H378)/100)</f>
        <v>#NAME?</v>
      </c>
      <c r="AD378" s="226" t="e">
        <f aca="false">(xSPRDOPT($L378+$AB$5,$J378,$I378,$M378,$O378,$N378,$P378,$Q378-$C$3,$R378,9)/365)*$H378</f>
        <v>#NAME?</v>
      </c>
      <c r="AE378" s="0" t="e">
        <f aca="false">CD378</f>
        <v>#NAME?</v>
      </c>
      <c r="AF378" s="226" t="e">
        <f aca="false">((O378/N378)*AH378)+AG378</f>
        <v>#NAME?</v>
      </c>
      <c r="AG378" s="226" t="e">
        <f aca="false">((xSPRDOPT($L378,$J378,$I378,$M378,$O378,$N378,$P378,$Q378-$C$3,$R378,6)*$H378)/100)</f>
        <v>#NAME?</v>
      </c>
      <c r="AH378" s="226" t="e">
        <f aca="false">((xSPRDOPT($L378,$J378,$I378,$M378,$O378,$N378,$P378,$Q378-$C$3,$R378,5)*$H378)/100)</f>
        <v>#NAME?</v>
      </c>
      <c r="AI378" s="226" t="e">
        <f aca="false">(((xSPRDOPT($L378,$J378,$I378,$M378,$O378,$N378,$P378,$Q378-$C$3,$R378,4)*$H378)/10000)/100)-AB378</f>
        <v>#NAME?</v>
      </c>
      <c r="AJ378" s="226"/>
      <c r="AK378" s="226"/>
      <c r="AL378" s="226"/>
      <c r="AM378" s="252"/>
      <c r="CC378" s="182" t="n">
        <f aca="false">G378</f>
        <v>36861</v>
      </c>
      <c r="CD378" s="253" t="e">
        <f aca="false">xSPRDOPT((VLOOKUP(G378,NGPrices,2,FALSE())+HLOOKUP(D378,Prices,VLOOKUP(G378,move_down,2,FALSE()),FALSE())),VLOOKUP(G378,NGPrices,2,FALSE()),I378,VLOOKUP(G378,NGPREVPRICES,4,FALSE()),HLOOKUP(D378,PREVVOLS,VLOOKUP(G378,MOVE_DOWN2,2,FALSE()),FALSE()),VLOOKUP(G378,NGPREVPRICES,3,FALSE()),HLOOKUP(D378,Correllate,VLOOKUP(G378,CorMove,2,FALSE()),FALSE()),Q378-$CD$3,R378,$CD$5)*H378-CJ378</f>
        <v>#NAME?</v>
      </c>
      <c r="CE378" s="253" t="e">
        <f aca="false">xSPRDOPT((VLOOKUP(G378,NGPREVPRICES,2,FALSE())+HLOOKUP(D378,PREVCURVES,VLOOKUP(G378,MOVE_DOWN2,2,FALSE()),FALSE())),VLOOKUP(G378,NGPREVPRICES,2,FALSE()),CK378,VLOOKUP(G378,NGPrices,4,FALSE()),HLOOKUP(D378,PREVVOLS,VLOOKUP(G378,MOVE_DOWN2,2,FALSE()),FALSE()),VLOOKUP(G378,NGPREVPRICES,3,FALSE()),HLOOKUP(D378,Correllate,VLOOKUP(G378,CorMove,2,FALSE()),FALSE()),Q378-$CD$3,R378,$CJ$5)*H378-CJ378</f>
        <v>#NAME?</v>
      </c>
      <c r="CF378" s="132" t="e">
        <f aca="false">(CJ378/VLOOKUP(CC378,discount,3,FALSE()))-(CJ378/VLOOKUP(CC378,discount,2,FALSE()))</f>
        <v>#NAME?</v>
      </c>
      <c r="CG378" s="253" t="e">
        <f aca="false">xSPRDOPT((VLOOKUP(G378,NGPREVPRICES,2,FALSE())+HLOOKUP(D378,PREVCURVES,VLOOKUP(G378,MOVE_DOWN2,2,FALSE()),FALSE())),VLOOKUP(G378,NGPREVPRICES,2,FALSE()),CK378,VLOOKUP(G378,NGPREVPRICES,4,FALSE()),HLOOKUP(D378,VOLS,VLOOKUP(G378,move_down,2,FALSE()),FALSE()),VLOOKUP(G378,NGPrices,3,FALSE()),HLOOKUP(D378,Correllate,VLOOKUP(G378,CorMove,2,FALSE()),FALSE()),Q378-$CD$3,R378,$CJ$5)*H378-CJ378</f>
        <v>#NAME?</v>
      </c>
      <c r="CH378" s="253" t="e">
        <f aca="false">xSPRDOPT((VLOOKUP(G378,NGPREVPRICES,2,FALSE())+HLOOKUP(D378,PREVCURVES,VLOOKUP(G378,MOVE_DOWN2,2,FALSE()),FALSE())),VLOOKUP(G378,NGPREVPRICES,2,FALSE()),CK378,VLOOKUP(G378,NGPREVPRICES,4,FALSE()),HLOOKUP(D378,PREVVOLS,VLOOKUP(G378,MOVE_DOWN2,2,FALSE()),FALSE()),VLOOKUP(G378,NGPREVPRICES,3,FALSE()),HLOOKUP(D378,Correllate,VLOOKUP(G378,CorMove,2,FALSE()),FALSE()),Q378-$C$3,R378,$CJ$5)*H378-CJ378</f>
        <v>#NAME?</v>
      </c>
      <c r="CI378" s="253" t="e">
        <f aca="false">SUM(CD378:CH378)</f>
        <v>#NAME?</v>
      </c>
      <c r="CJ378" s="253" t="e">
        <f aca="false">xSPRDOPT((VLOOKUP(G378,NGPREVPRICES,2,FALSE())+HLOOKUP(D378,PREVCURVES,VLOOKUP(G378,MOVE_DOWN2,2,FALSE()),FALSE())),VLOOKUP(G378,NGPREVPRICES,2,FALSE()),CK378,VLOOKUP(G378,NGPREVPRICES,4,FALSE()),HLOOKUP(D378,PREVVOLS,VLOOKUP(G378,MOVE_DOWN2,2,FALSE()),FALSE()),VLOOKUP(G378,NGPREVPRICES,3,FALSE()),HLOOKUP(D378,Correllate,VLOOKUP(G378,CorMove,2,FALSE()),FALSE()),Q378-$CD$3,R378,$CJ$5)*H378</f>
        <v>#NAME?</v>
      </c>
      <c r="CK378" s="254" t="n">
        <f aca="false">I378</f>
        <v>0.7</v>
      </c>
      <c r="CM378" s="0" t="str">
        <f aca="false">CONCATENATE(CC378,$CD$6)</f>
        <v>36861Curve Shift/Gamma</v>
      </c>
      <c r="CN378" s="0" t="str">
        <f aca="false">CONCATENATE($CC378,$CE$6)</f>
        <v>36861Rho</v>
      </c>
      <c r="CO378" s="0" t="str">
        <f aca="false">CONCATENATE($CC378,$CF$6)</f>
        <v>36861Drift</v>
      </c>
      <c r="CP378" s="0" t="str">
        <f aca="false">CONCATENATE($CC378,$CG$6)</f>
        <v>36861Vega</v>
      </c>
      <c r="CQ378" s="0" t="str">
        <f aca="false">CONCATENATE($CC378,$CH$6)</f>
        <v>36861Theta</v>
      </c>
    </row>
    <row r="379" customFormat="false" ht="12.75" hidden="false" customHeight="false" outlineLevel="0" collapsed="false">
      <c r="A379" s="265" t="s">
        <v>218</v>
      </c>
      <c r="B379" s="0" t="s">
        <v>192</v>
      </c>
      <c r="C379" s="0" t="s">
        <v>331</v>
      </c>
      <c r="D379" s="7" t="s">
        <v>149</v>
      </c>
      <c r="E379" s="0" t="s">
        <v>131</v>
      </c>
      <c r="F379" s="0" t="s">
        <v>132</v>
      </c>
      <c r="G379" s="92" t="n">
        <v>36831</v>
      </c>
      <c r="H379" s="248" t="n">
        <v>500000</v>
      </c>
      <c r="I379" s="0" t="n">
        <v>0.7</v>
      </c>
      <c r="J379" s="124" t="n">
        <f aca="false">VLOOKUP(G379,NGPrices,2,FALSE())</f>
        <v>4.736</v>
      </c>
      <c r="K379" s="125" t="n">
        <f aca="false">HLOOKUP(D379,Prices,VLOOKUP(G379,move_down,2,FALSE()),FALSE())+VLOOKUP(G379,CHANGE,HLOOKUP(D379,CHANGE,2,FALSE()),FALSE())</f>
        <v>0.77</v>
      </c>
      <c r="L379" s="124" t="n">
        <f aca="false">K379+J379</f>
        <v>5.506</v>
      </c>
      <c r="M379" s="126" t="n">
        <f aca="false">VLOOKUP(G379,NGPrices,4,FALSE())</f>
        <v>0.06810675983792</v>
      </c>
      <c r="N379" s="7" t="n">
        <f aca="false">VLOOKUP(G379,NGPrices,3,FALSE())</f>
        <v>0.595</v>
      </c>
      <c r="O379" s="7" t="n">
        <f aca="false">HLOOKUP(D379,VOLS,VLOOKUP(G379,move_down,2,FALSE()),FALSE())</f>
        <v>0.625</v>
      </c>
      <c r="P379" s="249" t="n">
        <f aca="false">HLOOKUP(D379,Correllate,VLOOKUP(G379,CorMove,2,FALSE()),FALSE())</f>
        <v>0.89</v>
      </c>
      <c r="Q379" s="92" t="n">
        <f aca="false">WORKDAY(G379,-2)</f>
        <v>36829</v>
      </c>
      <c r="R379" s="7" t="n">
        <f aca="false">IF(F379="P",0,1)</f>
        <v>0</v>
      </c>
      <c r="S379" s="130" t="e">
        <f aca="false">xSPRDOPT($L379,$J379,$I379,$M379,$O379,$N379,$P379,$Q379-$C$3,$R379,0)</f>
        <v>#NAME?</v>
      </c>
      <c r="T379" s="250" t="e">
        <f aca="false">xSPRDOPT($L379,$J379,$I379,$M379,$O379,$N379,$P379,$Q379-$C$3,$R379,1)*H379</f>
        <v>#NAME?</v>
      </c>
      <c r="U379" s="43" t="e">
        <f aca="false">S379*H379</f>
        <v>#NAME?</v>
      </c>
      <c r="V379" s="250" t="e">
        <f aca="false">xSPRDOPT($L379,$J379,$I379,$M379,$O379,$N379,$P379,$Q379-$C$3,$R379,2)*H379</f>
        <v>#NAME?</v>
      </c>
      <c r="W379" s="250" t="e">
        <f aca="false">+V379+T379</f>
        <v>#NAME?</v>
      </c>
      <c r="X379" s="2" t="str">
        <f aca="false">CONCATENATE(G379,D379)</f>
        <v>36831IF-TRANSCO/Z6</v>
      </c>
      <c r="Y379" s="251" t="n">
        <f aca="false">H379/10000</f>
        <v>50</v>
      </c>
      <c r="Z379" s="226" t="e">
        <f aca="false">T379/H379</f>
        <v>#NAME?</v>
      </c>
      <c r="AA379" s="226" t="e">
        <f aca="false">xSPRDOPT($L379,$J379,$I379,$M379,$O379,$N379,$P379,$Q379-$C$3,$R379,3)</f>
        <v>#NAME?</v>
      </c>
      <c r="AB379" s="226" t="e">
        <f aca="false">((xSPRDOPT($L379+AB$5,$J379,$I379,$M379,$O379,$N379,$P379,$Q379-$C$3,$R379,3)*$H379)/10000)/100</f>
        <v>#NAME?</v>
      </c>
      <c r="AC379" s="226" t="e">
        <f aca="false">((xSPRDOPT($L379+$AB$5,$J379,$I379,$M379,$O379,$N379,$P379,$Q379-$C$3,$R379,7)*$H379)/100)</f>
        <v>#NAME?</v>
      </c>
      <c r="AD379" s="226" t="e">
        <f aca="false">(xSPRDOPT($L379+$AB$5,$J379,$I379,$M379,$O379,$N379,$P379,$Q379-$C$3,$R379,9)/365)*$H379</f>
        <v>#NAME?</v>
      </c>
      <c r="AE379" s="0" t="e">
        <f aca="false">CD379</f>
        <v>#NAME?</v>
      </c>
      <c r="AF379" s="226" t="e">
        <f aca="false">((O379/N379)*AH379)+AG379</f>
        <v>#NAME?</v>
      </c>
      <c r="AG379" s="226" t="e">
        <f aca="false">((xSPRDOPT($L379,$J379,$I379,$M379,$O379,$N379,$P379,$Q379-$C$3,$R379,6)*$H379)/100)</f>
        <v>#NAME?</v>
      </c>
      <c r="AH379" s="226" t="e">
        <f aca="false">((xSPRDOPT($L379,$J379,$I379,$M379,$O379,$N379,$P379,$Q379-$C$3,$R379,5)*$H379)/100)</f>
        <v>#NAME?</v>
      </c>
      <c r="AI379" s="226" t="e">
        <f aca="false">(((xSPRDOPT($L379,$J379,$I379,$M379,$O379,$N379,$P379,$Q379-$C$3,$R379,4)*$H379)/10000)/100)-AB379</f>
        <v>#NAME?</v>
      </c>
      <c r="AJ379" s="226"/>
      <c r="AK379" s="226"/>
      <c r="AL379" s="226"/>
      <c r="AM379" s="252"/>
      <c r="CC379" s="182" t="n">
        <f aca="false">G379</f>
        <v>36831</v>
      </c>
      <c r="CD379" s="253" t="e">
        <f aca="false">xSPRDOPT((VLOOKUP(G379,NGPrices,2,FALSE())+HLOOKUP(D379,Prices,VLOOKUP(G379,move_down,2,FALSE()),FALSE())),VLOOKUP(G379,NGPrices,2,FALSE()),I379,VLOOKUP(G379,NGPREVPRICES,4,FALSE()),HLOOKUP(D379,PREVVOLS,VLOOKUP(G379,MOVE_DOWN2,2,FALSE()),FALSE()),VLOOKUP(G379,NGPREVPRICES,3,FALSE()),HLOOKUP(D379,Correllate,VLOOKUP(G379,CorMove,2,FALSE()),FALSE()),Q379-$CD$3,R379,$CD$5)*H379-CJ379</f>
        <v>#NAME?</v>
      </c>
      <c r="CE379" s="253" t="e">
        <f aca="false">xSPRDOPT((VLOOKUP(G379,NGPREVPRICES,2,FALSE())+HLOOKUP(D379,PREVCURVES,VLOOKUP(G379,MOVE_DOWN2,2,FALSE()),FALSE())),VLOOKUP(G379,NGPREVPRICES,2,FALSE()),CK379,VLOOKUP(G379,NGPrices,4,FALSE()),HLOOKUP(D379,PREVVOLS,VLOOKUP(G379,MOVE_DOWN2,2,FALSE()),FALSE()),VLOOKUP(G379,NGPREVPRICES,3,FALSE()),HLOOKUP(D379,Correllate,VLOOKUP(G379,CorMove,2,FALSE()),FALSE()),Q379-$CD$3,R379,$CJ$5)*H379-CJ379</f>
        <v>#NAME?</v>
      </c>
      <c r="CF379" s="132" t="e">
        <f aca="false">(CJ379/VLOOKUP(CC379,discount,3,FALSE()))-(CJ379/VLOOKUP(CC379,discount,2,FALSE()))</f>
        <v>#NAME?</v>
      </c>
      <c r="CG379" s="253" t="e">
        <f aca="false">xSPRDOPT((VLOOKUP(G379,NGPREVPRICES,2,FALSE())+HLOOKUP(D379,PREVCURVES,VLOOKUP(G379,MOVE_DOWN2,2,FALSE()),FALSE())),VLOOKUP(G379,NGPREVPRICES,2,FALSE()),CK379,VLOOKUP(G379,NGPREVPRICES,4,FALSE()),HLOOKUP(D379,VOLS,VLOOKUP(G379,move_down,2,FALSE()),FALSE()),VLOOKUP(G379,NGPrices,3,FALSE()),HLOOKUP(D379,Correllate,VLOOKUP(G379,CorMove,2,FALSE()),FALSE()),Q379-$CD$3,R379,$CJ$5)*H379-CJ379</f>
        <v>#NAME?</v>
      </c>
      <c r="CH379" s="253" t="e">
        <f aca="false">xSPRDOPT((VLOOKUP(G379,NGPREVPRICES,2,FALSE())+HLOOKUP(D379,PREVCURVES,VLOOKUP(G379,MOVE_DOWN2,2,FALSE()),FALSE())),VLOOKUP(G379,NGPREVPRICES,2,FALSE()),CK379,VLOOKUP(G379,NGPREVPRICES,4,FALSE()),HLOOKUP(D379,PREVVOLS,VLOOKUP(G379,MOVE_DOWN2,2,FALSE()),FALSE()),VLOOKUP(G379,NGPREVPRICES,3,FALSE()),HLOOKUP(D379,Correllate,VLOOKUP(G379,CorMove,2,FALSE()),FALSE()),Q379-$C$3,R379,$CJ$5)*H379-CJ379</f>
        <v>#NAME?</v>
      </c>
      <c r="CI379" s="253" t="e">
        <f aca="false">SUM(CD379:CH379)</f>
        <v>#NAME?</v>
      </c>
      <c r="CJ379" s="253" t="e">
        <f aca="false">xSPRDOPT((VLOOKUP(G379,NGPREVPRICES,2,FALSE())+HLOOKUP(D379,PREVCURVES,VLOOKUP(G379,MOVE_DOWN2,2,FALSE()),FALSE())),VLOOKUP(G379,NGPREVPRICES,2,FALSE()),CK379,VLOOKUP(G379,NGPREVPRICES,4,FALSE()),HLOOKUP(D379,PREVVOLS,VLOOKUP(G379,MOVE_DOWN2,2,FALSE()),FALSE()),VLOOKUP(G379,NGPREVPRICES,3,FALSE()),HLOOKUP(D379,Correllate,VLOOKUP(G379,CorMove,2,FALSE()),FALSE()),Q379-$CD$3,R379,$CJ$5)*H379</f>
        <v>#NAME?</v>
      </c>
      <c r="CK379" s="254" t="n">
        <f aca="false">I379</f>
        <v>0.7</v>
      </c>
      <c r="CM379" s="0" t="str">
        <f aca="false">CONCATENATE(CC379,$CD$6)</f>
        <v>36831Curve Shift/Gamma</v>
      </c>
      <c r="CN379" s="0" t="str">
        <f aca="false">CONCATENATE($CC379,$CE$6)</f>
        <v>36831Rho</v>
      </c>
      <c r="CO379" s="0" t="str">
        <f aca="false">CONCATENATE($CC379,$CF$6)</f>
        <v>36831Drift</v>
      </c>
      <c r="CP379" s="0" t="str">
        <f aca="false">CONCATENATE($CC379,$CG$6)</f>
        <v>36831Vega</v>
      </c>
      <c r="CQ379" s="0" t="str">
        <f aca="false">CONCATENATE($CC379,$CH$6)</f>
        <v>36831Theta</v>
      </c>
    </row>
    <row r="380" customFormat="false" ht="12.75" hidden="false" customHeight="false" outlineLevel="0" collapsed="false">
      <c r="A380" s="265" t="s">
        <v>210</v>
      </c>
      <c r="B380" s="0" t="s">
        <v>192</v>
      </c>
      <c r="C380" s="0" t="s">
        <v>332</v>
      </c>
      <c r="D380" s="7" t="s">
        <v>149</v>
      </c>
      <c r="E380" s="0" t="s">
        <v>131</v>
      </c>
      <c r="F380" s="0" t="s">
        <v>132</v>
      </c>
      <c r="G380" s="92" t="n">
        <v>36951</v>
      </c>
      <c r="H380" s="248" t="n">
        <v>1500000</v>
      </c>
      <c r="I380" s="0" t="n">
        <v>0.75</v>
      </c>
      <c r="J380" s="124" t="n">
        <f aca="false">VLOOKUP(G380,NGPrices,2,FALSE())</f>
        <v>4.213</v>
      </c>
      <c r="K380" s="125" t="n">
        <f aca="false">HLOOKUP(D380,Prices,VLOOKUP(G380,move_down,2,FALSE()),FALSE())+VLOOKUP(G380,CHANGE,HLOOKUP(D380,CHANGE,2,FALSE()),FALSE())</f>
        <v>1.075</v>
      </c>
      <c r="L380" s="124" t="n">
        <f aca="false">K380+J380</f>
        <v>5.288</v>
      </c>
      <c r="M380" s="126" t="n">
        <f aca="false">VLOOKUP(G380,NGPrices,4,FALSE())</f>
        <v>0.068879814952707</v>
      </c>
      <c r="N380" s="7" t="n">
        <f aca="false">VLOOKUP(G380,NGPrices,3,FALSE())</f>
        <v>0.5325</v>
      </c>
      <c r="O380" s="7" t="n">
        <f aca="false">HLOOKUP(D380,VOLS,VLOOKUP(G380,move_down,2,FALSE()),FALSE())</f>
        <v>0.612</v>
      </c>
      <c r="P380" s="249" t="n">
        <f aca="false">HLOOKUP(D380,Correllate,VLOOKUP(G380,CorMove,2,FALSE()),FALSE())</f>
        <v>0.83</v>
      </c>
      <c r="Q380" s="92" t="n">
        <f aca="false">WORKDAY(G380,-2)</f>
        <v>36949</v>
      </c>
      <c r="R380" s="7" t="n">
        <f aca="false">IF(F380="P",0,1)</f>
        <v>0</v>
      </c>
      <c r="S380" s="130" t="e">
        <f aca="false">xSPRDOPT($L380,$J380,$I380,$M380,$O380,$N380,$P380,$Q380-$C$3,$R380,0)</f>
        <v>#NAME?</v>
      </c>
      <c r="T380" s="250" t="e">
        <f aca="false">xSPRDOPT($L380,$J380,$I380,$M380,$O380,$N380,$P380,$Q380-$C$3,$R380,1)*H380</f>
        <v>#NAME?</v>
      </c>
      <c r="U380" s="43" t="e">
        <f aca="false">S380*H380</f>
        <v>#NAME?</v>
      </c>
      <c r="V380" s="250" t="e">
        <f aca="false">xSPRDOPT($L380,$J380,$I380,$M380,$O380,$N380,$P380,$Q380-$C$3,$R380,2)*H380</f>
        <v>#NAME?</v>
      </c>
      <c r="W380" s="250" t="e">
        <f aca="false">+V380+T380</f>
        <v>#NAME?</v>
      </c>
      <c r="X380" s="2" t="str">
        <f aca="false">CONCATENATE(G380,D380)</f>
        <v>36951IF-TRANSCO/Z6</v>
      </c>
      <c r="Y380" s="251" t="n">
        <f aca="false">H380/10000</f>
        <v>150</v>
      </c>
      <c r="Z380" s="226" t="e">
        <f aca="false">T380/H380</f>
        <v>#NAME?</v>
      </c>
      <c r="AA380" s="226" t="e">
        <f aca="false">xSPRDOPT($L380,$J380,$I380,$M380,$O380,$N380,$P380,$Q380-$C$3,$R380,3)</f>
        <v>#NAME?</v>
      </c>
      <c r="AB380" s="226" t="e">
        <f aca="false">((xSPRDOPT($L380+AB$5,$J380,$I380,$M380,$O380,$N380,$P380,$Q380-$C$3,$R380,3)*$H380)/10000)/100</f>
        <v>#NAME?</v>
      </c>
      <c r="AC380" s="226" t="e">
        <f aca="false">((xSPRDOPT($L380+$AB$5,$J380,$I380,$M380,$O380,$N380,$P380,$Q380-$C$3,$R380,7)*$H380)/100)</f>
        <v>#NAME?</v>
      </c>
      <c r="AD380" s="226" t="e">
        <f aca="false">(xSPRDOPT($L380+$AB$5,$J380,$I380,$M380,$O380,$N380,$P380,$Q380-$C$3,$R380,9)/365)*$H380</f>
        <v>#NAME?</v>
      </c>
      <c r="AE380" s="0" t="e">
        <f aca="false">CD380</f>
        <v>#NAME?</v>
      </c>
      <c r="AF380" s="226" t="e">
        <f aca="false">((O380/N380)*AH380)+AG380</f>
        <v>#NAME?</v>
      </c>
      <c r="AG380" s="226" t="e">
        <f aca="false">((xSPRDOPT($L380,$J380,$I380,$M380,$O380,$N380,$P380,$Q380-$C$3,$R380,6)*$H380)/100)</f>
        <v>#NAME?</v>
      </c>
      <c r="AH380" s="226" t="e">
        <f aca="false">((xSPRDOPT($L380,$J380,$I380,$M380,$O380,$N380,$P380,$Q380-$C$3,$R380,5)*$H380)/100)</f>
        <v>#NAME?</v>
      </c>
      <c r="AI380" s="226" t="e">
        <f aca="false">(((xSPRDOPT($L380,$J380,$I380,$M380,$O380,$N380,$P380,$Q380-$C$3,$R380,4)*$H380)/10000)/100)-AB380</f>
        <v>#NAME?</v>
      </c>
      <c r="AJ380" s="226"/>
      <c r="AK380" s="226"/>
      <c r="AL380" s="226"/>
      <c r="AM380" s="252"/>
      <c r="CC380" s="182" t="n">
        <f aca="false">G380</f>
        <v>36951</v>
      </c>
      <c r="CD380" s="253" t="e">
        <f aca="false">xSPRDOPT((VLOOKUP(G380,NGPrices,2,FALSE())+HLOOKUP(D380,Prices,VLOOKUP(G380,move_down,2,FALSE()),FALSE())),VLOOKUP(G380,NGPrices,2,FALSE()),I380,VLOOKUP(G380,NGPREVPRICES,4,FALSE()),HLOOKUP(D380,PREVVOLS,VLOOKUP(G380,MOVE_DOWN2,2,FALSE()),FALSE()),VLOOKUP(G380,NGPREVPRICES,3,FALSE()),HLOOKUP(D380,Correllate,VLOOKUP(G380,CorMove,2,FALSE()),FALSE()),Q380-$CD$3,R380,$CD$5)*H380-CJ380</f>
        <v>#NAME?</v>
      </c>
      <c r="CE380" s="253" t="e">
        <f aca="false">xSPRDOPT((VLOOKUP(G380,NGPREVPRICES,2,FALSE())+HLOOKUP(D380,PREVCURVES,VLOOKUP(G380,MOVE_DOWN2,2,FALSE()),FALSE())),VLOOKUP(G380,NGPREVPRICES,2,FALSE()),CK380,VLOOKUP(G380,NGPrices,4,FALSE()),HLOOKUP(D380,PREVVOLS,VLOOKUP(G380,MOVE_DOWN2,2,FALSE()),FALSE()),VLOOKUP(G380,NGPREVPRICES,3,FALSE()),HLOOKUP(D380,Correllate,VLOOKUP(G380,CorMove,2,FALSE()),FALSE()),Q380-$CD$3,R380,$CJ$5)*H380-CJ380</f>
        <v>#NAME?</v>
      </c>
      <c r="CF380" s="132" t="e">
        <f aca="false">(CJ380/VLOOKUP(CC380,discount,3,FALSE()))-(CJ380/VLOOKUP(CC380,discount,2,FALSE()))</f>
        <v>#NAME?</v>
      </c>
      <c r="CG380" s="253" t="e">
        <f aca="false">xSPRDOPT((VLOOKUP(G380,NGPREVPRICES,2,FALSE())+HLOOKUP(D380,PREVCURVES,VLOOKUP(G380,MOVE_DOWN2,2,FALSE()),FALSE())),VLOOKUP(G380,NGPREVPRICES,2,FALSE()),CK380,VLOOKUP(G380,NGPREVPRICES,4,FALSE()),HLOOKUP(D380,VOLS,VLOOKUP(G380,move_down,2,FALSE()),FALSE()),VLOOKUP(G380,NGPrices,3,FALSE()),HLOOKUP(D380,Correllate,VLOOKUP(G380,CorMove,2,FALSE()),FALSE()),Q380-$CD$3,R380,$CJ$5)*H380-CJ380</f>
        <v>#NAME?</v>
      </c>
      <c r="CH380" s="253" t="e">
        <f aca="false">xSPRDOPT((VLOOKUP(G380,NGPREVPRICES,2,FALSE())+HLOOKUP(D380,PREVCURVES,VLOOKUP(G380,MOVE_DOWN2,2,FALSE()),FALSE())),VLOOKUP(G380,NGPREVPRICES,2,FALSE()),CK380,VLOOKUP(G380,NGPREVPRICES,4,FALSE()),HLOOKUP(D380,PREVVOLS,VLOOKUP(G380,MOVE_DOWN2,2,FALSE()),FALSE()),VLOOKUP(G380,NGPREVPRICES,3,FALSE()),HLOOKUP(D380,Correllate,VLOOKUP(G380,CorMove,2,FALSE()),FALSE()),Q380-$C$3,R380,$CJ$5)*H380-CJ380</f>
        <v>#NAME?</v>
      </c>
      <c r="CI380" s="253" t="e">
        <f aca="false">SUM(CD380:CH380)</f>
        <v>#NAME?</v>
      </c>
      <c r="CJ380" s="253" t="e">
        <f aca="false">xSPRDOPT((VLOOKUP(G380,NGPREVPRICES,2,FALSE())+HLOOKUP(D380,PREVCURVES,VLOOKUP(G380,MOVE_DOWN2,2,FALSE()),FALSE())),VLOOKUP(G380,NGPREVPRICES,2,FALSE()),CK380,VLOOKUP(G380,NGPREVPRICES,4,FALSE()),HLOOKUP(D380,PREVVOLS,VLOOKUP(G380,MOVE_DOWN2,2,FALSE()),FALSE()),VLOOKUP(G380,NGPREVPRICES,3,FALSE()),HLOOKUP(D380,Correllate,VLOOKUP(G380,CorMove,2,FALSE()),FALSE()),Q380-$CD$3,R380,$CJ$5)*H380</f>
        <v>#NAME?</v>
      </c>
      <c r="CK380" s="254" t="n">
        <f aca="false">I380</f>
        <v>0.75</v>
      </c>
      <c r="CM380" s="0" t="str">
        <f aca="false">CONCATENATE(CC380,$CD$6)</f>
        <v>36951Curve Shift/Gamma</v>
      </c>
      <c r="CN380" s="0" t="str">
        <f aca="false">CONCATENATE($CC380,$CE$6)</f>
        <v>36951Rho</v>
      </c>
      <c r="CO380" s="0" t="str">
        <f aca="false">CONCATENATE($CC380,$CF$6)</f>
        <v>36951Drift</v>
      </c>
      <c r="CP380" s="0" t="str">
        <f aca="false">CONCATENATE($CC380,$CG$6)</f>
        <v>36951Vega</v>
      </c>
      <c r="CQ380" s="0" t="str">
        <f aca="false">CONCATENATE($CC380,$CH$6)</f>
        <v>36951Theta</v>
      </c>
    </row>
    <row r="381" customFormat="false" ht="12.75" hidden="false" customHeight="false" outlineLevel="0" collapsed="false">
      <c r="A381" s="265" t="s">
        <v>210</v>
      </c>
      <c r="B381" s="0" t="s">
        <v>192</v>
      </c>
      <c r="C381" s="0" t="s">
        <v>332</v>
      </c>
      <c r="D381" s="7" t="s">
        <v>149</v>
      </c>
      <c r="E381" s="0" t="s">
        <v>131</v>
      </c>
      <c r="F381" s="0" t="s">
        <v>132</v>
      </c>
      <c r="G381" s="92" t="n">
        <v>36923</v>
      </c>
      <c r="H381" s="248" t="n">
        <v>1500000</v>
      </c>
      <c r="I381" s="0" t="n">
        <v>0.75</v>
      </c>
      <c r="J381" s="124" t="n">
        <f aca="false">VLOOKUP(G381,NGPrices,2,FALSE())</f>
        <v>4.48</v>
      </c>
      <c r="K381" s="125" t="n">
        <f aca="false">HLOOKUP(D381,Prices,VLOOKUP(G381,move_down,2,FALSE()),FALSE())+VLOOKUP(G381,CHANGE,HLOOKUP(D381,CHANGE,2,FALSE()),FALSE())</f>
        <v>2.09</v>
      </c>
      <c r="L381" s="124" t="n">
        <f aca="false">K381+J381</f>
        <v>6.57</v>
      </c>
      <c r="M381" s="126" t="n">
        <f aca="false">VLOOKUP(G381,NGPrices,4,FALSE())</f>
        <v>0.068640161611372</v>
      </c>
      <c r="N381" s="7" t="n">
        <f aca="false">VLOOKUP(G381,NGPrices,3,FALSE())</f>
        <v>0.5925</v>
      </c>
      <c r="O381" s="7" t="n">
        <f aca="false">HLOOKUP(D381,VOLS,VLOOKUP(G381,move_down,2,FALSE()),FALSE())</f>
        <v>0.681</v>
      </c>
      <c r="P381" s="249" t="n">
        <f aca="false">HLOOKUP(D381,Correllate,VLOOKUP(G381,CorMove,2,FALSE()),FALSE())</f>
        <v>0.83</v>
      </c>
      <c r="Q381" s="92" t="n">
        <f aca="false">WORKDAY(G381,-2)</f>
        <v>36921</v>
      </c>
      <c r="R381" s="7" t="n">
        <f aca="false">IF(F381="P",0,1)</f>
        <v>0</v>
      </c>
      <c r="S381" s="130" t="e">
        <f aca="false">xSPRDOPT($L381,$J381,$I381,$M381,$O381,$N381,$P381,$Q381-$C$3,$R381,0)</f>
        <v>#NAME?</v>
      </c>
      <c r="T381" s="250" t="e">
        <f aca="false">xSPRDOPT($L381,$J381,$I381,$M381,$O381,$N381,$P381,$Q381-$C$3,$R381,1)*H381</f>
        <v>#NAME?</v>
      </c>
      <c r="U381" s="43" t="e">
        <f aca="false">S381*H381</f>
        <v>#NAME?</v>
      </c>
      <c r="V381" s="250" t="e">
        <f aca="false">xSPRDOPT($L381,$J381,$I381,$M381,$O381,$N381,$P381,$Q381-$C$3,$R381,2)*H381</f>
        <v>#NAME?</v>
      </c>
      <c r="W381" s="250" t="e">
        <f aca="false">+V381+T381</f>
        <v>#NAME?</v>
      </c>
      <c r="X381" s="2" t="str">
        <f aca="false">CONCATENATE(G381,D381)</f>
        <v>36923IF-TRANSCO/Z6</v>
      </c>
      <c r="Y381" s="251" t="n">
        <f aca="false">H381/10000</f>
        <v>150</v>
      </c>
      <c r="Z381" s="226" t="e">
        <f aca="false">T381/H381</f>
        <v>#NAME?</v>
      </c>
      <c r="AA381" s="226" t="e">
        <f aca="false">xSPRDOPT($L381,$J381,$I381,$M381,$O381,$N381,$P381,$Q381-$C$3,$R381,3)</f>
        <v>#NAME?</v>
      </c>
      <c r="AB381" s="226" t="e">
        <f aca="false">((xSPRDOPT($L381+AB$5,$J381,$I381,$M381,$O381,$N381,$P381,$Q381-$C$3,$R381,3)*$H381)/10000)/100</f>
        <v>#NAME?</v>
      </c>
      <c r="AC381" s="226" t="e">
        <f aca="false">((xSPRDOPT($L381+$AB$5,$J381,$I381,$M381,$O381,$N381,$P381,$Q381-$C$3,$R381,7)*$H381)/100)</f>
        <v>#NAME?</v>
      </c>
      <c r="AD381" s="226" t="e">
        <f aca="false">(xSPRDOPT($L381+$AB$5,$J381,$I381,$M381,$O381,$N381,$P381,$Q381-$C$3,$R381,9)/365)*$H381</f>
        <v>#NAME?</v>
      </c>
      <c r="AE381" s="0" t="e">
        <f aca="false">CD381</f>
        <v>#NAME?</v>
      </c>
      <c r="AF381" s="226" t="e">
        <f aca="false">((O381/N381)*AH381)+AG381</f>
        <v>#NAME?</v>
      </c>
      <c r="AG381" s="226" t="e">
        <f aca="false">((xSPRDOPT($L381,$J381,$I381,$M381,$O381,$N381,$P381,$Q381-$C$3,$R381,6)*$H381)/100)</f>
        <v>#NAME?</v>
      </c>
      <c r="AH381" s="226" t="e">
        <f aca="false">((xSPRDOPT($L381,$J381,$I381,$M381,$O381,$N381,$P381,$Q381-$C$3,$R381,5)*$H381)/100)</f>
        <v>#NAME?</v>
      </c>
      <c r="AI381" s="226" t="e">
        <f aca="false">(((xSPRDOPT($L381,$J381,$I381,$M381,$O381,$N381,$P381,$Q381-$C$3,$R381,4)*$H381)/10000)/100)-AB381</f>
        <v>#NAME?</v>
      </c>
      <c r="AJ381" s="226"/>
      <c r="AK381" s="226"/>
      <c r="AL381" s="226"/>
      <c r="AM381" s="252"/>
      <c r="CC381" s="182" t="n">
        <f aca="false">G381</f>
        <v>36923</v>
      </c>
      <c r="CD381" s="253" t="e">
        <f aca="false">xSPRDOPT((VLOOKUP(G381,NGPrices,2,FALSE())+HLOOKUP(D381,Prices,VLOOKUP(G381,move_down,2,FALSE()),FALSE())),VLOOKUP(G381,NGPrices,2,FALSE()),I381,VLOOKUP(G381,NGPREVPRICES,4,FALSE()),HLOOKUP(D381,PREVVOLS,VLOOKUP(G381,MOVE_DOWN2,2,FALSE()),FALSE()),VLOOKUP(G381,NGPREVPRICES,3,FALSE()),HLOOKUP(D381,Correllate,VLOOKUP(G381,CorMove,2,FALSE()),FALSE()),Q381-$CD$3,R381,$CD$5)*H381-CJ381</f>
        <v>#NAME?</v>
      </c>
      <c r="CE381" s="253" t="e">
        <f aca="false">xSPRDOPT((VLOOKUP(G381,NGPREVPRICES,2,FALSE())+HLOOKUP(D381,PREVCURVES,VLOOKUP(G381,MOVE_DOWN2,2,FALSE()),FALSE())),VLOOKUP(G381,NGPREVPRICES,2,FALSE()),CK381,VLOOKUP(G381,NGPrices,4,FALSE()),HLOOKUP(D381,PREVVOLS,VLOOKUP(G381,MOVE_DOWN2,2,FALSE()),FALSE()),VLOOKUP(G381,NGPREVPRICES,3,FALSE()),HLOOKUP(D381,Correllate,VLOOKUP(G381,CorMove,2,FALSE()),FALSE()),Q381-$CD$3,R381,$CJ$5)*H381-CJ381</f>
        <v>#NAME?</v>
      </c>
      <c r="CF381" s="132" t="e">
        <f aca="false">(CJ381/VLOOKUP(CC381,discount,3,FALSE()))-(CJ381/VLOOKUP(CC381,discount,2,FALSE()))</f>
        <v>#NAME?</v>
      </c>
      <c r="CG381" s="253" t="e">
        <f aca="false">xSPRDOPT((VLOOKUP(G381,NGPREVPRICES,2,FALSE())+HLOOKUP(D381,PREVCURVES,VLOOKUP(G381,MOVE_DOWN2,2,FALSE()),FALSE())),VLOOKUP(G381,NGPREVPRICES,2,FALSE()),CK381,VLOOKUP(G381,NGPREVPRICES,4,FALSE()),HLOOKUP(D381,VOLS,VLOOKUP(G381,move_down,2,FALSE()),FALSE()),VLOOKUP(G381,NGPrices,3,FALSE()),HLOOKUP(D381,Correllate,VLOOKUP(G381,CorMove,2,FALSE()),FALSE()),Q381-$CD$3,R381,$CJ$5)*H381-CJ381</f>
        <v>#NAME?</v>
      </c>
      <c r="CH381" s="253" t="e">
        <f aca="false">xSPRDOPT((VLOOKUP(G381,NGPREVPRICES,2,FALSE())+HLOOKUP(D381,PREVCURVES,VLOOKUP(G381,MOVE_DOWN2,2,FALSE()),FALSE())),VLOOKUP(G381,NGPREVPRICES,2,FALSE()),CK381,VLOOKUP(G381,NGPREVPRICES,4,FALSE()),HLOOKUP(D381,PREVVOLS,VLOOKUP(G381,MOVE_DOWN2,2,FALSE()),FALSE()),VLOOKUP(G381,NGPREVPRICES,3,FALSE()),HLOOKUP(D381,Correllate,VLOOKUP(G381,CorMove,2,FALSE()),FALSE()),Q381-$C$3,R381,$CJ$5)*H381-CJ381</f>
        <v>#NAME?</v>
      </c>
      <c r="CI381" s="253" t="e">
        <f aca="false">SUM(CD381:CH381)</f>
        <v>#NAME?</v>
      </c>
      <c r="CJ381" s="253" t="e">
        <f aca="false">xSPRDOPT((VLOOKUP(G381,NGPREVPRICES,2,FALSE())+HLOOKUP(D381,PREVCURVES,VLOOKUP(G381,MOVE_DOWN2,2,FALSE()),FALSE())),VLOOKUP(G381,NGPREVPRICES,2,FALSE()),CK381,VLOOKUP(G381,NGPREVPRICES,4,FALSE()),HLOOKUP(D381,PREVVOLS,VLOOKUP(G381,MOVE_DOWN2,2,FALSE()),FALSE()),VLOOKUP(G381,NGPREVPRICES,3,FALSE()),HLOOKUP(D381,Correllate,VLOOKUP(G381,CorMove,2,FALSE()),FALSE()),Q381-$CD$3,R381,$CJ$5)*H381</f>
        <v>#NAME?</v>
      </c>
      <c r="CK381" s="254" t="n">
        <f aca="false">I381</f>
        <v>0.75</v>
      </c>
      <c r="CM381" s="0" t="str">
        <f aca="false">CONCATENATE(CC381,$CD$6)</f>
        <v>36923Curve Shift/Gamma</v>
      </c>
      <c r="CN381" s="0" t="str">
        <f aca="false">CONCATENATE($CC381,$CE$6)</f>
        <v>36923Rho</v>
      </c>
      <c r="CO381" s="0" t="str">
        <f aca="false">CONCATENATE($CC381,$CF$6)</f>
        <v>36923Drift</v>
      </c>
      <c r="CP381" s="0" t="str">
        <f aca="false">CONCATENATE($CC381,$CG$6)</f>
        <v>36923Vega</v>
      </c>
      <c r="CQ381" s="0" t="str">
        <f aca="false">CONCATENATE($CC381,$CH$6)</f>
        <v>36923Theta</v>
      </c>
    </row>
    <row r="382" customFormat="false" ht="12.75" hidden="false" customHeight="false" outlineLevel="0" collapsed="false">
      <c r="A382" s="265" t="s">
        <v>210</v>
      </c>
      <c r="B382" s="0" t="s">
        <v>192</v>
      </c>
      <c r="C382" s="0" t="s">
        <v>332</v>
      </c>
      <c r="D382" s="7" t="s">
        <v>149</v>
      </c>
      <c r="E382" s="0" t="s">
        <v>131</v>
      </c>
      <c r="F382" s="0" t="s">
        <v>132</v>
      </c>
      <c r="G382" s="92" t="n">
        <v>36892</v>
      </c>
      <c r="H382" s="248" t="n">
        <v>1500000</v>
      </c>
      <c r="I382" s="0" t="n">
        <v>0.75</v>
      </c>
      <c r="J382" s="124" t="n">
        <f aca="false">VLOOKUP(G382,NGPrices,2,FALSE())</f>
        <v>4.744</v>
      </c>
      <c r="K382" s="125" t="n">
        <f aca="false">HLOOKUP(D382,Prices,VLOOKUP(G382,move_down,2,FALSE()),FALSE())+VLOOKUP(G382,CHANGE,HLOOKUP(D382,CHANGE,2,FALSE()),FALSE())</f>
        <v>2.17</v>
      </c>
      <c r="L382" s="124" t="n">
        <f aca="false">K382+J382</f>
        <v>6.914</v>
      </c>
      <c r="M382" s="126" t="n">
        <f aca="false">VLOOKUP(G382,NGPrices,4,FALSE())</f>
        <v>0.068374831148491</v>
      </c>
      <c r="N382" s="7" t="n">
        <f aca="false">VLOOKUP(G382,NGPrices,3,FALSE())</f>
        <v>0.605</v>
      </c>
      <c r="O382" s="7" t="n">
        <f aca="false">HLOOKUP(D382,VOLS,VLOOKUP(G382,move_down,2,FALSE()),FALSE())</f>
        <v>0.696</v>
      </c>
      <c r="P382" s="249" t="n">
        <f aca="false">HLOOKUP(D382,Correllate,VLOOKUP(G382,CorMove,2,FALSE()),FALSE())</f>
        <v>0.83</v>
      </c>
      <c r="Q382" s="92" t="n">
        <f aca="false">WORKDAY(G382,-2)</f>
        <v>36888</v>
      </c>
      <c r="R382" s="7" t="n">
        <f aca="false">IF(F382="P",0,1)</f>
        <v>0</v>
      </c>
      <c r="S382" s="130" t="e">
        <f aca="false">xSPRDOPT($L382,$J382,$I382,$M382,$O382,$N382,$P382,$Q382-$C$3,$R382,0)</f>
        <v>#NAME?</v>
      </c>
      <c r="T382" s="250" t="e">
        <f aca="false">xSPRDOPT($L382,$J382,$I382,$M382,$O382,$N382,$P382,$Q382-$C$3,$R382,1)*H382</f>
        <v>#NAME?</v>
      </c>
      <c r="U382" s="43" t="e">
        <f aca="false">S382*H382</f>
        <v>#NAME?</v>
      </c>
      <c r="V382" s="250" t="e">
        <f aca="false">xSPRDOPT($L382,$J382,$I382,$M382,$O382,$N382,$P382,$Q382-$C$3,$R382,2)*H382</f>
        <v>#NAME?</v>
      </c>
      <c r="W382" s="250" t="e">
        <f aca="false">+V382+T382</f>
        <v>#NAME?</v>
      </c>
      <c r="X382" s="2" t="str">
        <f aca="false">CONCATENATE(G382,D382)</f>
        <v>36892IF-TRANSCO/Z6</v>
      </c>
      <c r="Y382" s="251" t="n">
        <f aca="false">H382/10000</f>
        <v>150</v>
      </c>
      <c r="Z382" s="226" t="e">
        <f aca="false">T382/H382</f>
        <v>#NAME?</v>
      </c>
      <c r="AA382" s="226" t="e">
        <f aca="false">xSPRDOPT($L382,$J382,$I382,$M382,$O382,$N382,$P382,$Q382-$C$3,$R382,3)</f>
        <v>#NAME?</v>
      </c>
      <c r="AB382" s="226" t="e">
        <f aca="false">((xSPRDOPT($L382+AB$5,$J382,$I382,$M382,$O382,$N382,$P382,$Q382-$C$3,$R382,3)*$H382)/10000)/100</f>
        <v>#NAME?</v>
      </c>
      <c r="AC382" s="226" t="e">
        <f aca="false">((xSPRDOPT($L382+$AB$5,$J382,$I382,$M382,$O382,$N382,$P382,$Q382-$C$3,$R382,7)*$H382)/100)</f>
        <v>#NAME?</v>
      </c>
      <c r="AD382" s="226" t="e">
        <f aca="false">(xSPRDOPT($L382+$AB$5,$J382,$I382,$M382,$O382,$N382,$P382,$Q382-$C$3,$R382,9)/365)*$H382</f>
        <v>#NAME?</v>
      </c>
      <c r="AE382" s="0" t="e">
        <f aca="false">CD382</f>
        <v>#NAME?</v>
      </c>
      <c r="AF382" s="226" t="e">
        <f aca="false">((O382/N382)*AH382)+AG382</f>
        <v>#NAME?</v>
      </c>
      <c r="AG382" s="226" t="e">
        <f aca="false">((xSPRDOPT($L382,$J382,$I382,$M382,$O382,$N382,$P382,$Q382-$C$3,$R382,6)*$H382)/100)</f>
        <v>#NAME?</v>
      </c>
      <c r="AH382" s="226" t="e">
        <f aca="false">((xSPRDOPT($L382,$J382,$I382,$M382,$O382,$N382,$P382,$Q382-$C$3,$R382,5)*$H382)/100)</f>
        <v>#NAME?</v>
      </c>
      <c r="AI382" s="226" t="e">
        <f aca="false">(((xSPRDOPT($L382,$J382,$I382,$M382,$O382,$N382,$P382,$Q382-$C$3,$R382,4)*$H382)/10000)/100)-AB382</f>
        <v>#NAME?</v>
      </c>
      <c r="AJ382" s="226"/>
      <c r="AK382" s="226"/>
      <c r="AL382" s="226"/>
      <c r="AM382" s="252"/>
      <c r="CC382" s="182" t="n">
        <f aca="false">G382</f>
        <v>36892</v>
      </c>
      <c r="CD382" s="253" t="e">
        <f aca="false">xSPRDOPT((VLOOKUP(G382,NGPrices,2,FALSE())+HLOOKUP(D382,Prices,VLOOKUP(G382,move_down,2,FALSE()),FALSE())),VLOOKUP(G382,NGPrices,2,FALSE()),I382,VLOOKUP(G382,NGPREVPRICES,4,FALSE()),HLOOKUP(D382,PREVVOLS,VLOOKUP(G382,MOVE_DOWN2,2,FALSE()),FALSE()),VLOOKUP(G382,NGPREVPRICES,3,FALSE()),HLOOKUP(D382,Correllate,VLOOKUP(G382,CorMove,2,FALSE()),FALSE()),Q382-$CD$3,R382,$CD$5)*H382-CJ382</f>
        <v>#NAME?</v>
      </c>
      <c r="CE382" s="253" t="e">
        <f aca="false">xSPRDOPT((VLOOKUP(G382,NGPREVPRICES,2,FALSE())+HLOOKUP(D382,PREVCURVES,VLOOKUP(G382,MOVE_DOWN2,2,FALSE()),FALSE())),VLOOKUP(G382,NGPREVPRICES,2,FALSE()),CK382,VLOOKUP(G382,NGPrices,4,FALSE()),HLOOKUP(D382,PREVVOLS,VLOOKUP(G382,MOVE_DOWN2,2,FALSE()),FALSE()),VLOOKUP(G382,NGPREVPRICES,3,FALSE()),HLOOKUP(D382,Correllate,VLOOKUP(G382,CorMove,2,FALSE()),FALSE()),Q382-$CD$3,R382,$CJ$5)*H382-CJ382</f>
        <v>#NAME?</v>
      </c>
      <c r="CF382" s="132" t="e">
        <f aca="false">(CJ382/VLOOKUP(CC382,discount,3,FALSE()))-(CJ382/VLOOKUP(CC382,discount,2,FALSE()))</f>
        <v>#NAME?</v>
      </c>
      <c r="CG382" s="253" t="e">
        <f aca="false">xSPRDOPT((VLOOKUP(G382,NGPREVPRICES,2,FALSE())+HLOOKUP(D382,PREVCURVES,VLOOKUP(G382,MOVE_DOWN2,2,FALSE()),FALSE())),VLOOKUP(G382,NGPREVPRICES,2,FALSE()),CK382,VLOOKUP(G382,NGPREVPRICES,4,FALSE()),HLOOKUP(D382,VOLS,VLOOKUP(G382,move_down,2,FALSE()),FALSE()),VLOOKUP(G382,NGPrices,3,FALSE()),HLOOKUP(D382,Correllate,VLOOKUP(G382,CorMove,2,FALSE()),FALSE()),Q382-$CD$3,R382,$CJ$5)*H382-CJ382</f>
        <v>#NAME?</v>
      </c>
      <c r="CH382" s="253" t="e">
        <f aca="false">xSPRDOPT((VLOOKUP(G382,NGPREVPRICES,2,FALSE())+HLOOKUP(D382,PREVCURVES,VLOOKUP(G382,MOVE_DOWN2,2,FALSE()),FALSE())),VLOOKUP(G382,NGPREVPRICES,2,FALSE()),CK382,VLOOKUP(G382,NGPREVPRICES,4,FALSE()),HLOOKUP(D382,PREVVOLS,VLOOKUP(G382,MOVE_DOWN2,2,FALSE()),FALSE()),VLOOKUP(G382,NGPREVPRICES,3,FALSE()),HLOOKUP(D382,Correllate,VLOOKUP(G382,CorMove,2,FALSE()),FALSE()),Q382-$C$3,R382,$CJ$5)*H382-CJ382</f>
        <v>#NAME?</v>
      </c>
      <c r="CI382" s="253" t="e">
        <f aca="false">SUM(CD382:CH382)</f>
        <v>#NAME?</v>
      </c>
      <c r="CJ382" s="253" t="e">
        <f aca="false">xSPRDOPT((VLOOKUP(G382,NGPREVPRICES,2,FALSE())+HLOOKUP(D382,PREVCURVES,VLOOKUP(G382,MOVE_DOWN2,2,FALSE()),FALSE())),VLOOKUP(G382,NGPREVPRICES,2,FALSE()),CK382,VLOOKUP(G382,NGPREVPRICES,4,FALSE()),HLOOKUP(D382,PREVVOLS,VLOOKUP(G382,MOVE_DOWN2,2,FALSE()),FALSE()),VLOOKUP(G382,NGPREVPRICES,3,FALSE()),HLOOKUP(D382,Correllate,VLOOKUP(G382,CorMove,2,FALSE()),FALSE()),Q382-$CD$3,R382,$CJ$5)*H382</f>
        <v>#NAME?</v>
      </c>
      <c r="CK382" s="254" t="n">
        <f aca="false">I382</f>
        <v>0.75</v>
      </c>
      <c r="CM382" s="0" t="str">
        <f aca="false">CONCATENATE(CC382,$CD$6)</f>
        <v>36892Curve Shift/Gamma</v>
      </c>
      <c r="CN382" s="0" t="str">
        <f aca="false">CONCATENATE($CC382,$CE$6)</f>
        <v>36892Rho</v>
      </c>
      <c r="CO382" s="0" t="str">
        <f aca="false">CONCATENATE($CC382,$CF$6)</f>
        <v>36892Drift</v>
      </c>
      <c r="CP382" s="0" t="str">
        <f aca="false">CONCATENATE($CC382,$CG$6)</f>
        <v>36892Vega</v>
      </c>
      <c r="CQ382" s="0" t="str">
        <f aca="false">CONCATENATE($CC382,$CH$6)</f>
        <v>36892Theta</v>
      </c>
    </row>
    <row r="383" customFormat="false" ht="12.75" hidden="false" customHeight="false" outlineLevel="0" collapsed="false">
      <c r="A383" s="265" t="s">
        <v>210</v>
      </c>
      <c r="B383" s="0" t="s">
        <v>192</v>
      </c>
      <c r="C383" s="0" t="s">
        <v>332</v>
      </c>
      <c r="D383" s="7" t="s">
        <v>149</v>
      </c>
      <c r="E383" s="0" t="s">
        <v>131</v>
      </c>
      <c r="F383" s="0" t="s">
        <v>132</v>
      </c>
      <c r="G383" s="92" t="n">
        <v>36861</v>
      </c>
      <c r="H383" s="248" t="n">
        <v>1500000</v>
      </c>
      <c r="I383" s="0" t="n">
        <v>0.75</v>
      </c>
      <c r="J383" s="124" t="n">
        <f aca="false">VLOOKUP(G383,NGPrices,2,FALSE())</f>
        <v>4.8</v>
      </c>
      <c r="K383" s="125" t="n">
        <f aca="false">HLOOKUP(D383,Prices,VLOOKUP(G383,move_down,2,FALSE()),FALSE())+VLOOKUP(G383,CHANGE,HLOOKUP(D383,CHANGE,2,FALSE()),FALSE())</f>
        <v>1.645</v>
      </c>
      <c r="L383" s="124" t="n">
        <f aca="false">K383+J383</f>
        <v>6.445</v>
      </c>
      <c r="M383" s="126" t="n">
        <f aca="false">VLOOKUP(G383,NGPrices,4,FALSE())</f>
        <v>0.068314027999354</v>
      </c>
      <c r="N383" s="7" t="n">
        <f aca="false">VLOOKUP(G383,NGPrices,3,FALSE())</f>
        <v>0.6</v>
      </c>
      <c r="O383" s="7" t="n">
        <f aca="false">HLOOKUP(D383,VOLS,VLOOKUP(G383,move_down,2,FALSE()),FALSE())</f>
        <v>0.69</v>
      </c>
      <c r="P383" s="249" t="n">
        <f aca="false">HLOOKUP(D383,Correllate,VLOOKUP(G383,CorMove,2,FALSE()),FALSE())</f>
        <v>0.83</v>
      </c>
      <c r="Q383" s="92" t="n">
        <f aca="false">WORKDAY(G383,-2)</f>
        <v>36859</v>
      </c>
      <c r="R383" s="7" t="n">
        <f aca="false">IF(F383="P",0,1)</f>
        <v>0</v>
      </c>
      <c r="S383" s="130" t="e">
        <f aca="false">xSPRDOPT($L383,$J383,$I383,$M383,$O383,$N383,$P383,$Q383-$C$3,$R383,0)</f>
        <v>#NAME?</v>
      </c>
      <c r="T383" s="250" t="e">
        <f aca="false">xSPRDOPT($L383,$J383,$I383,$M383,$O383,$N383,$P383,$Q383-$C$3,$R383,1)*H383</f>
        <v>#NAME?</v>
      </c>
      <c r="U383" s="43" t="e">
        <f aca="false">S383*H383</f>
        <v>#NAME?</v>
      </c>
      <c r="V383" s="250" t="e">
        <f aca="false">xSPRDOPT($L383,$J383,$I383,$M383,$O383,$N383,$P383,$Q383-$C$3,$R383,2)*H383</f>
        <v>#NAME?</v>
      </c>
      <c r="W383" s="250" t="e">
        <f aca="false">+V383+T383</f>
        <v>#NAME?</v>
      </c>
      <c r="X383" s="2" t="str">
        <f aca="false">CONCATENATE(G383,D383)</f>
        <v>36861IF-TRANSCO/Z6</v>
      </c>
      <c r="Y383" s="251" t="n">
        <f aca="false">H383/10000</f>
        <v>150</v>
      </c>
      <c r="Z383" s="226" t="e">
        <f aca="false">T383/H383</f>
        <v>#NAME?</v>
      </c>
      <c r="AA383" s="226" t="e">
        <f aca="false">xSPRDOPT($L383,$J383,$I383,$M383,$O383,$N383,$P383,$Q383-$C$3,$R383,3)</f>
        <v>#NAME?</v>
      </c>
      <c r="AB383" s="226" t="e">
        <f aca="false">((xSPRDOPT($L383+AB$5,$J383,$I383,$M383,$O383,$N383,$P383,$Q383-$C$3,$R383,3)*$H383)/10000)/100</f>
        <v>#NAME?</v>
      </c>
      <c r="AC383" s="226" t="e">
        <f aca="false">((xSPRDOPT($L383+$AB$5,$J383,$I383,$M383,$O383,$N383,$P383,$Q383-$C$3,$R383,7)*$H383)/100)</f>
        <v>#NAME?</v>
      </c>
      <c r="AD383" s="226" t="e">
        <f aca="false">(xSPRDOPT($L383+$AB$5,$J383,$I383,$M383,$O383,$N383,$P383,$Q383-$C$3,$R383,9)/365)*$H383</f>
        <v>#NAME?</v>
      </c>
      <c r="AE383" s="0" t="e">
        <f aca="false">CD383</f>
        <v>#NAME?</v>
      </c>
      <c r="AF383" s="226" t="e">
        <f aca="false">((O383/N383)*AH383)+AG383</f>
        <v>#NAME?</v>
      </c>
      <c r="AG383" s="226" t="e">
        <f aca="false">((xSPRDOPT($L383,$J383,$I383,$M383,$O383,$N383,$P383,$Q383-$C$3,$R383,6)*$H383)/100)</f>
        <v>#NAME?</v>
      </c>
      <c r="AH383" s="226" t="e">
        <f aca="false">((xSPRDOPT($L383,$J383,$I383,$M383,$O383,$N383,$P383,$Q383-$C$3,$R383,5)*$H383)/100)</f>
        <v>#NAME?</v>
      </c>
      <c r="AI383" s="226" t="e">
        <f aca="false">(((xSPRDOPT($L383,$J383,$I383,$M383,$O383,$N383,$P383,$Q383-$C$3,$R383,4)*$H383)/10000)/100)-AB383</f>
        <v>#NAME?</v>
      </c>
      <c r="AJ383" s="226"/>
      <c r="AK383" s="226"/>
      <c r="AL383" s="226"/>
      <c r="AM383" s="252"/>
      <c r="CC383" s="182" t="n">
        <f aca="false">G383</f>
        <v>36861</v>
      </c>
      <c r="CD383" s="253" t="e">
        <f aca="false">xSPRDOPT((VLOOKUP(G383,NGPrices,2,FALSE())+HLOOKUP(D383,Prices,VLOOKUP(G383,move_down,2,FALSE()),FALSE())),VLOOKUP(G383,NGPrices,2,FALSE()),I383,VLOOKUP(G383,NGPREVPRICES,4,FALSE()),HLOOKUP(D383,PREVVOLS,VLOOKUP(G383,MOVE_DOWN2,2,FALSE()),FALSE()),VLOOKUP(G383,NGPREVPRICES,3,FALSE()),HLOOKUP(D383,Correllate,VLOOKUP(G383,CorMove,2,FALSE()),FALSE()),Q383-$CD$3,R383,$CD$5)*H383-CJ383</f>
        <v>#NAME?</v>
      </c>
      <c r="CE383" s="253" t="e">
        <f aca="false">xSPRDOPT((VLOOKUP(G383,NGPREVPRICES,2,FALSE())+HLOOKUP(D383,PREVCURVES,VLOOKUP(G383,MOVE_DOWN2,2,FALSE()),FALSE())),VLOOKUP(G383,NGPREVPRICES,2,FALSE()),CK383,VLOOKUP(G383,NGPrices,4,FALSE()),HLOOKUP(D383,PREVVOLS,VLOOKUP(G383,MOVE_DOWN2,2,FALSE()),FALSE()),VLOOKUP(G383,NGPREVPRICES,3,FALSE()),HLOOKUP(D383,Correllate,VLOOKUP(G383,CorMove,2,FALSE()),FALSE()),Q383-$CD$3,R383,$CJ$5)*H383-CJ383</f>
        <v>#NAME?</v>
      </c>
      <c r="CF383" s="132" t="e">
        <f aca="false">(CJ383/VLOOKUP(CC383,discount,3,FALSE()))-(CJ383/VLOOKUP(CC383,discount,2,FALSE()))</f>
        <v>#NAME?</v>
      </c>
      <c r="CG383" s="253" t="e">
        <f aca="false">xSPRDOPT((VLOOKUP(G383,NGPREVPRICES,2,FALSE())+HLOOKUP(D383,PREVCURVES,VLOOKUP(G383,MOVE_DOWN2,2,FALSE()),FALSE())),VLOOKUP(G383,NGPREVPRICES,2,FALSE()),CK383,VLOOKUP(G383,NGPREVPRICES,4,FALSE()),HLOOKUP(D383,VOLS,VLOOKUP(G383,move_down,2,FALSE()),FALSE()),VLOOKUP(G383,NGPrices,3,FALSE()),HLOOKUP(D383,Correllate,VLOOKUP(G383,CorMove,2,FALSE()),FALSE()),Q383-$CD$3,R383,$CJ$5)*H383-CJ383</f>
        <v>#NAME?</v>
      </c>
      <c r="CH383" s="253" t="e">
        <f aca="false">xSPRDOPT((VLOOKUP(G383,NGPREVPRICES,2,FALSE())+HLOOKUP(D383,PREVCURVES,VLOOKUP(G383,MOVE_DOWN2,2,FALSE()),FALSE())),VLOOKUP(G383,NGPREVPRICES,2,FALSE()),CK383,VLOOKUP(G383,NGPREVPRICES,4,FALSE()),HLOOKUP(D383,PREVVOLS,VLOOKUP(G383,MOVE_DOWN2,2,FALSE()),FALSE()),VLOOKUP(G383,NGPREVPRICES,3,FALSE()),HLOOKUP(D383,Correllate,VLOOKUP(G383,CorMove,2,FALSE()),FALSE()),Q383-$C$3,R383,$CJ$5)*H383-CJ383</f>
        <v>#NAME?</v>
      </c>
      <c r="CI383" s="253" t="e">
        <f aca="false">SUM(CD383:CH383)</f>
        <v>#NAME?</v>
      </c>
      <c r="CJ383" s="253" t="e">
        <f aca="false">xSPRDOPT((VLOOKUP(G383,NGPREVPRICES,2,FALSE())+HLOOKUP(D383,PREVCURVES,VLOOKUP(G383,MOVE_DOWN2,2,FALSE()),FALSE())),VLOOKUP(G383,NGPREVPRICES,2,FALSE()),CK383,VLOOKUP(G383,NGPREVPRICES,4,FALSE()),HLOOKUP(D383,PREVVOLS,VLOOKUP(G383,MOVE_DOWN2,2,FALSE()),FALSE()),VLOOKUP(G383,NGPREVPRICES,3,FALSE()),HLOOKUP(D383,Correllate,VLOOKUP(G383,CorMove,2,FALSE()),FALSE()),Q383-$CD$3,R383,$CJ$5)*H383</f>
        <v>#NAME?</v>
      </c>
      <c r="CK383" s="254" t="n">
        <f aca="false">I383</f>
        <v>0.75</v>
      </c>
      <c r="CM383" s="0" t="str">
        <f aca="false">CONCATENATE(CC383,$CD$6)</f>
        <v>36861Curve Shift/Gamma</v>
      </c>
      <c r="CN383" s="0" t="str">
        <f aca="false">CONCATENATE($CC383,$CE$6)</f>
        <v>36861Rho</v>
      </c>
      <c r="CO383" s="0" t="str">
        <f aca="false">CONCATENATE($CC383,$CF$6)</f>
        <v>36861Drift</v>
      </c>
      <c r="CP383" s="0" t="str">
        <f aca="false">CONCATENATE($CC383,$CG$6)</f>
        <v>36861Vega</v>
      </c>
      <c r="CQ383" s="0" t="str">
        <f aca="false">CONCATENATE($CC383,$CH$6)</f>
        <v>36861Theta</v>
      </c>
    </row>
    <row r="384" customFormat="false" ht="12.75" hidden="false" customHeight="false" outlineLevel="0" collapsed="false">
      <c r="A384" s="265" t="s">
        <v>210</v>
      </c>
      <c r="B384" s="0" t="s">
        <v>192</v>
      </c>
      <c r="C384" s="0" t="s">
        <v>332</v>
      </c>
      <c r="D384" s="7" t="s">
        <v>149</v>
      </c>
      <c r="E384" s="0" t="s">
        <v>131</v>
      </c>
      <c r="F384" s="0" t="s">
        <v>132</v>
      </c>
      <c r="G384" s="92" t="n">
        <v>36831</v>
      </c>
      <c r="H384" s="248" t="n">
        <v>1500000</v>
      </c>
      <c r="I384" s="0" t="n">
        <v>0.75</v>
      </c>
      <c r="J384" s="124" t="n">
        <f aca="false">VLOOKUP(G384,NGPrices,2,FALSE())</f>
        <v>4.736</v>
      </c>
      <c r="K384" s="125" t="n">
        <f aca="false">HLOOKUP(D384,Prices,VLOOKUP(G384,move_down,2,FALSE()),FALSE())+VLOOKUP(G384,CHANGE,HLOOKUP(D384,CHANGE,2,FALSE()),FALSE())</f>
        <v>0.77</v>
      </c>
      <c r="L384" s="124" t="n">
        <f aca="false">K384+J384</f>
        <v>5.506</v>
      </c>
      <c r="M384" s="126" t="n">
        <f aca="false">VLOOKUP(G384,NGPrices,4,FALSE())</f>
        <v>0.06810675983792</v>
      </c>
      <c r="N384" s="7" t="n">
        <f aca="false">VLOOKUP(G384,NGPrices,3,FALSE())</f>
        <v>0.595</v>
      </c>
      <c r="O384" s="7" t="n">
        <f aca="false">HLOOKUP(D384,VOLS,VLOOKUP(G384,move_down,2,FALSE()),FALSE())</f>
        <v>0.625</v>
      </c>
      <c r="P384" s="249" t="n">
        <f aca="false">HLOOKUP(D384,Correllate,VLOOKUP(G384,CorMove,2,FALSE()),FALSE())</f>
        <v>0.89</v>
      </c>
      <c r="Q384" s="92" t="n">
        <f aca="false">WORKDAY(G384,-2)</f>
        <v>36829</v>
      </c>
      <c r="R384" s="7" t="n">
        <f aca="false">IF(F384="P",0,1)</f>
        <v>0</v>
      </c>
      <c r="S384" s="130" t="e">
        <f aca="false">xSPRDOPT($L384,$J384,$I384,$M384,$O384,$N384,$P384,$Q384-$C$3,$R384,0)</f>
        <v>#NAME?</v>
      </c>
      <c r="T384" s="250" t="e">
        <f aca="false">xSPRDOPT($L384,$J384,$I384,$M384,$O384,$N384,$P384,$Q384-$C$3,$R384,1)*H384</f>
        <v>#NAME?</v>
      </c>
      <c r="U384" s="43" t="e">
        <f aca="false">S384*H384</f>
        <v>#NAME?</v>
      </c>
      <c r="V384" s="250" t="e">
        <f aca="false">xSPRDOPT($L384,$J384,$I384,$M384,$O384,$N384,$P384,$Q384-$C$3,$R384,2)*H384</f>
        <v>#NAME?</v>
      </c>
      <c r="W384" s="250" t="e">
        <f aca="false">+V384+T384</f>
        <v>#NAME?</v>
      </c>
      <c r="X384" s="2" t="str">
        <f aca="false">CONCATENATE(G384,D384)</f>
        <v>36831IF-TRANSCO/Z6</v>
      </c>
      <c r="Y384" s="251" t="n">
        <f aca="false">H384/10000</f>
        <v>150</v>
      </c>
      <c r="Z384" s="226" t="e">
        <f aca="false">T384/H384</f>
        <v>#NAME?</v>
      </c>
      <c r="AA384" s="226" t="e">
        <f aca="false">xSPRDOPT($L384,$J384,$I384,$M384,$O384,$N384,$P384,$Q384-$C$3,$R384,3)</f>
        <v>#NAME?</v>
      </c>
      <c r="AB384" s="226" t="e">
        <f aca="false">((xSPRDOPT($L384+AB$5,$J384,$I384,$M384,$O384,$N384,$P384,$Q384-$C$3,$R384,3)*$H384)/10000)/100</f>
        <v>#NAME?</v>
      </c>
      <c r="AC384" s="226" t="e">
        <f aca="false">((xSPRDOPT($L384+$AB$5,$J384,$I384,$M384,$O384,$N384,$P384,$Q384-$C$3,$R384,7)*$H384)/100)</f>
        <v>#NAME?</v>
      </c>
      <c r="AD384" s="226" t="e">
        <f aca="false">(xSPRDOPT($L384+$AB$5,$J384,$I384,$M384,$O384,$N384,$P384,$Q384-$C$3,$R384,9)/365)*$H384</f>
        <v>#NAME?</v>
      </c>
      <c r="AE384" s="0" t="e">
        <f aca="false">CD384</f>
        <v>#NAME?</v>
      </c>
      <c r="AF384" s="226" t="e">
        <f aca="false">((O384/N384)*AH384)+AG384</f>
        <v>#NAME?</v>
      </c>
      <c r="AG384" s="226" t="e">
        <f aca="false">((xSPRDOPT($L384,$J384,$I384,$M384,$O384,$N384,$P384,$Q384-$C$3,$R384,6)*$H384)/100)</f>
        <v>#NAME?</v>
      </c>
      <c r="AH384" s="226" t="e">
        <f aca="false">((xSPRDOPT($L384,$J384,$I384,$M384,$O384,$N384,$P384,$Q384-$C$3,$R384,5)*$H384)/100)</f>
        <v>#NAME?</v>
      </c>
      <c r="AI384" s="226" t="e">
        <f aca="false">(((xSPRDOPT($L384,$J384,$I384,$M384,$O384,$N384,$P384,$Q384-$C$3,$R384,4)*$H384)/10000)/100)-AB384</f>
        <v>#NAME?</v>
      </c>
      <c r="AJ384" s="226"/>
      <c r="AK384" s="226"/>
      <c r="AL384" s="226"/>
      <c r="AM384" s="252"/>
      <c r="CC384" s="182" t="n">
        <f aca="false">G384</f>
        <v>36831</v>
      </c>
      <c r="CD384" s="253" t="e">
        <f aca="false">xSPRDOPT((VLOOKUP(G384,NGPrices,2,FALSE())+HLOOKUP(D384,Prices,VLOOKUP(G384,move_down,2,FALSE()),FALSE())),VLOOKUP(G384,NGPrices,2,FALSE()),I384,VLOOKUP(G384,NGPREVPRICES,4,FALSE()),HLOOKUP(D384,PREVVOLS,VLOOKUP(G384,MOVE_DOWN2,2,FALSE()),FALSE()),VLOOKUP(G384,NGPREVPRICES,3,FALSE()),HLOOKUP(D384,Correllate,VLOOKUP(G384,CorMove,2,FALSE()),FALSE()),Q384-$CD$3,R384,$CD$5)*H384-CJ384</f>
        <v>#NAME?</v>
      </c>
      <c r="CE384" s="253" t="e">
        <f aca="false">xSPRDOPT((VLOOKUP(G384,NGPREVPRICES,2,FALSE())+HLOOKUP(D384,PREVCURVES,VLOOKUP(G384,MOVE_DOWN2,2,FALSE()),FALSE())),VLOOKUP(G384,NGPREVPRICES,2,FALSE()),CK384,VLOOKUP(G384,NGPrices,4,FALSE()),HLOOKUP(D384,PREVVOLS,VLOOKUP(G384,MOVE_DOWN2,2,FALSE()),FALSE()),VLOOKUP(G384,NGPREVPRICES,3,FALSE()),HLOOKUP(D384,Correllate,VLOOKUP(G384,CorMove,2,FALSE()),FALSE()),Q384-$CD$3,R384,$CJ$5)*H384-CJ384</f>
        <v>#NAME?</v>
      </c>
      <c r="CF384" s="132" t="e">
        <f aca="false">(CJ384/VLOOKUP(CC384,discount,3,FALSE()))-(CJ384/VLOOKUP(CC384,discount,2,FALSE()))</f>
        <v>#NAME?</v>
      </c>
      <c r="CG384" s="253" t="e">
        <f aca="false">xSPRDOPT((VLOOKUP(G384,NGPREVPRICES,2,FALSE())+HLOOKUP(D384,PREVCURVES,VLOOKUP(G384,MOVE_DOWN2,2,FALSE()),FALSE())),VLOOKUP(G384,NGPREVPRICES,2,FALSE()),CK384,VLOOKUP(G384,NGPREVPRICES,4,FALSE()),HLOOKUP(D384,VOLS,VLOOKUP(G384,move_down,2,FALSE()),FALSE()),VLOOKUP(G384,NGPrices,3,FALSE()),HLOOKUP(D384,Correllate,VLOOKUP(G384,CorMove,2,FALSE()),FALSE()),Q384-$CD$3,R384,$CJ$5)*H384-CJ384</f>
        <v>#NAME?</v>
      </c>
      <c r="CH384" s="253" t="e">
        <f aca="false">xSPRDOPT((VLOOKUP(G384,NGPREVPRICES,2,FALSE())+HLOOKUP(D384,PREVCURVES,VLOOKUP(G384,MOVE_DOWN2,2,FALSE()),FALSE())),VLOOKUP(G384,NGPREVPRICES,2,FALSE()),CK384,VLOOKUP(G384,NGPREVPRICES,4,FALSE()),HLOOKUP(D384,PREVVOLS,VLOOKUP(G384,MOVE_DOWN2,2,FALSE()),FALSE()),VLOOKUP(G384,NGPREVPRICES,3,FALSE()),HLOOKUP(D384,Correllate,VLOOKUP(G384,CorMove,2,FALSE()),FALSE()),Q384-$C$3,R384,$CJ$5)*H384-CJ384</f>
        <v>#NAME?</v>
      </c>
      <c r="CI384" s="253" t="e">
        <f aca="false">SUM(CD384:CH384)</f>
        <v>#NAME?</v>
      </c>
      <c r="CJ384" s="253" t="e">
        <f aca="false">xSPRDOPT((VLOOKUP(G384,NGPREVPRICES,2,FALSE())+HLOOKUP(D384,PREVCURVES,VLOOKUP(G384,MOVE_DOWN2,2,FALSE()),FALSE())),VLOOKUP(G384,NGPREVPRICES,2,FALSE()),CK384,VLOOKUP(G384,NGPREVPRICES,4,FALSE()),HLOOKUP(D384,PREVVOLS,VLOOKUP(G384,MOVE_DOWN2,2,FALSE()),FALSE()),VLOOKUP(G384,NGPREVPRICES,3,FALSE()),HLOOKUP(D384,Correllate,VLOOKUP(G384,CorMove,2,FALSE()),FALSE()),Q384-$CD$3,R384,$CJ$5)*H384</f>
        <v>#NAME?</v>
      </c>
      <c r="CK384" s="254" t="n">
        <f aca="false">I384</f>
        <v>0.75</v>
      </c>
      <c r="CM384" s="0" t="str">
        <f aca="false">CONCATENATE(CC384,$CD$6)</f>
        <v>36831Curve Shift/Gamma</v>
      </c>
      <c r="CN384" s="0" t="str">
        <f aca="false">CONCATENATE($CC384,$CE$6)</f>
        <v>36831Rho</v>
      </c>
      <c r="CO384" s="0" t="str">
        <f aca="false">CONCATENATE($CC384,$CF$6)</f>
        <v>36831Drift</v>
      </c>
      <c r="CP384" s="0" t="str">
        <f aca="false">CONCATENATE($CC384,$CG$6)</f>
        <v>36831Vega</v>
      </c>
      <c r="CQ384" s="0" t="str">
        <f aca="false">CONCATENATE($CC384,$CH$6)</f>
        <v>36831Theta</v>
      </c>
    </row>
    <row r="385" customFormat="false" ht="12.75" hidden="false" customHeight="false" outlineLevel="0" collapsed="false">
      <c r="A385" s="265" t="s">
        <v>198</v>
      </c>
      <c r="B385" s="0" t="s">
        <v>192</v>
      </c>
      <c r="C385" s="0" t="s">
        <v>333</v>
      </c>
      <c r="D385" s="7" t="s">
        <v>149</v>
      </c>
      <c r="E385" s="0" t="s">
        <v>131</v>
      </c>
      <c r="F385" s="0" t="s">
        <v>132</v>
      </c>
      <c r="G385" s="92" t="n">
        <v>36800</v>
      </c>
      <c r="H385" s="248" t="n">
        <v>-500000</v>
      </c>
      <c r="I385" s="0" t="n">
        <v>0.65</v>
      </c>
      <c r="J385" s="124" t="n">
        <f aca="false">VLOOKUP(G385,NGPrices,2,FALSE())</f>
        <v>4.692</v>
      </c>
      <c r="K385" s="125" t="n">
        <f aca="false">HLOOKUP(D385,Prices,VLOOKUP(G385,move_down,2,FALSE()),FALSE())+VLOOKUP(G385,CHANGE,HLOOKUP(D385,CHANGE,2,FALSE()),FALSE())</f>
        <v>0.415</v>
      </c>
      <c r="L385" s="124" t="n">
        <f aca="false">K385+J385</f>
        <v>5.107</v>
      </c>
      <c r="M385" s="126" t="n">
        <f aca="false">VLOOKUP(G385,NGPrices,4,FALSE())</f>
        <v>0.068050789414654</v>
      </c>
      <c r="N385" s="7" t="n">
        <f aca="false">VLOOKUP(G385,NGPrices,3,FALSE())</f>
        <v>0.575</v>
      </c>
      <c r="O385" s="7" t="n">
        <f aca="false">HLOOKUP(D385,VOLS,VLOOKUP(G385,move_down,2,FALSE()),FALSE())</f>
        <v>0.564</v>
      </c>
      <c r="P385" s="249" t="n">
        <f aca="false">HLOOKUP(D385,Correllate,VLOOKUP(G385,CorMove,2,FALSE()),FALSE())</f>
        <v>0.9925</v>
      </c>
      <c r="Q385" s="92" t="n">
        <f aca="false">WORKDAY(G385,-2)</f>
        <v>36797</v>
      </c>
      <c r="R385" s="7" t="n">
        <f aca="false">IF(F385="P",0,1)</f>
        <v>0</v>
      </c>
      <c r="S385" s="130" t="e">
        <f aca="false">xSPRDOPT($L385,$J385,$I385,$M385,$O385,$N385,$P385,$Q385-$C$3,$R385,0)</f>
        <v>#NAME?</v>
      </c>
      <c r="T385" s="250" t="e">
        <f aca="false">xSPRDOPT($L385,$J385,$I385,$M385,$O385,$N385,$P385,$Q385-$C$3,$R385,1)*H385</f>
        <v>#NAME?</v>
      </c>
      <c r="U385" s="43" t="e">
        <f aca="false">S385*H385</f>
        <v>#NAME?</v>
      </c>
      <c r="V385" s="250" t="e">
        <f aca="false">xSPRDOPT($L385,$J385,$I385,$M385,$O385,$N385,$P385,$Q385-$C$3,$R385,2)*H385</f>
        <v>#NAME?</v>
      </c>
      <c r="W385" s="250" t="e">
        <f aca="false">+V385+T385</f>
        <v>#NAME?</v>
      </c>
      <c r="X385" s="2" t="str">
        <f aca="false">CONCATENATE(G385,D385)</f>
        <v>36800IF-TRANSCO/Z6</v>
      </c>
      <c r="Y385" s="251" t="n">
        <f aca="false">H385/10000</f>
        <v>-50</v>
      </c>
      <c r="Z385" s="226" t="e">
        <f aca="false">T385/H385</f>
        <v>#NAME?</v>
      </c>
      <c r="AA385" s="226" t="e">
        <f aca="false">xSPRDOPT($L385,$J385,$I385,$M385,$O385,$N385,$P385,$Q385-$C$3,$R385,3)</f>
        <v>#NAME?</v>
      </c>
      <c r="AB385" s="226" t="e">
        <f aca="false">((xSPRDOPT($L385+AB$5,$J385,$I385,$M385,$O385,$N385,$P385,$Q385-$C$3,$R385,3)*$H385)/10000)/100</f>
        <v>#NAME?</v>
      </c>
      <c r="AC385" s="226" t="e">
        <f aca="false">((xSPRDOPT($L385+$AB$5,$J385,$I385,$M385,$O385,$N385,$P385,$Q385-$C$3,$R385,7)*$H385)/100)</f>
        <v>#NAME?</v>
      </c>
      <c r="AD385" s="226" t="e">
        <f aca="false">(xSPRDOPT($L385+$AB$5,$J385,$I385,$M385,$O385,$N385,$P385,$Q385-$C$3,$R385,9)/365)*$H385</f>
        <v>#NAME?</v>
      </c>
      <c r="AE385" s="0" t="e">
        <f aca="false">CD385</f>
        <v>#NAME?</v>
      </c>
      <c r="AF385" s="226" t="e">
        <f aca="false">((O385/N385)*AH385)+AG385</f>
        <v>#NAME?</v>
      </c>
      <c r="AG385" s="226" t="e">
        <f aca="false">((xSPRDOPT($L385,$J385,$I385,$M385,$O385,$N385,$P385,$Q385-$C$3,$R385,6)*$H385)/100)</f>
        <v>#NAME?</v>
      </c>
      <c r="AH385" s="226" t="e">
        <f aca="false">((xSPRDOPT($L385,$J385,$I385,$M385,$O385,$N385,$P385,$Q385-$C$3,$R385,5)*$H385)/100)</f>
        <v>#NAME?</v>
      </c>
      <c r="AI385" s="226" t="e">
        <f aca="false">(((xSPRDOPT($L385,$J385,$I385,$M385,$O385,$N385,$P385,$Q385-$C$3,$R385,4)*$H385)/10000)/100)-AB385</f>
        <v>#NAME?</v>
      </c>
      <c r="AJ385" s="226"/>
      <c r="AK385" s="226"/>
      <c r="AL385" s="226"/>
      <c r="AM385" s="252"/>
      <c r="CC385" s="182" t="n">
        <f aca="false">G385</f>
        <v>36800</v>
      </c>
      <c r="CD385" s="253" t="e">
        <f aca="false">xSPRDOPT((VLOOKUP(G385,NGPrices,2,FALSE())+HLOOKUP(D385,Prices,VLOOKUP(G385,move_down,2,FALSE()),FALSE())),VLOOKUP(G385,NGPrices,2,FALSE()),I385,VLOOKUP(G385,NGPREVPRICES,4,FALSE()),HLOOKUP(D385,PREVVOLS,VLOOKUP(G385,MOVE_DOWN2,2,FALSE()),FALSE()),VLOOKUP(G385,NGPREVPRICES,3,FALSE()),HLOOKUP(D385,Correllate,VLOOKUP(G385,CorMove,2,FALSE()),FALSE()),Q385-$CD$3,R385,$CD$5)*H385-CJ385</f>
        <v>#NAME?</v>
      </c>
      <c r="CE385" s="253" t="e">
        <f aca="false">xSPRDOPT((VLOOKUP(G385,NGPREVPRICES,2,FALSE())+HLOOKUP(D385,PREVCURVES,VLOOKUP(G385,MOVE_DOWN2,2,FALSE()),FALSE())),VLOOKUP(G385,NGPREVPRICES,2,FALSE()),CK385,VLOOKUP(G385,NGPrices,4,FALSE()),HLOOKUP(D385,PREVVOLS,VLOOKUP(G385,MOVE_DOWN2,2,FALSE()),FALSE()),VLOOKUP(G385,NGPREVPRICES,3,FALSE()),HLOOKUP(D385,Correllate,VLOOKUP(G385,CorMove,2,FALSE()),FALSE()),Q385-$CD$3,R385,$CJ$5)*H385-CJ385</f>
        <v>#NAME?</v>
      </c>
      <c r="CF385" s="132" t="e">
        <f aca="false">(CJ385/VLOOKUP(CC385,discount,3,FALSE()))-(CJ385/VLOOKUP(CC385,discount,2,FALSE()))</f>
        <v>#NAME?</v>
      </c>
      <c r="CG385" s="253" t="e">
        <f aca="false">xSPRDOPT((VLOOKUP(G385,NGPREVPRICES,2,FALSE())+HLOOKUP(D385,PREVCURVES,VLOOKUP(G385,MOVE_DOWN2,2,FALSE()),FALSE())),VLOOKUP(G385,NGPREVPRICES,2,FALSE()),CK385,VLOOKUP(G385,NGPREVPRICES,4,FALSE()),HLOOKUP(D385,VOLS,VLOOKUP(G385,move_down,2,FALSE()),FALSE()),VLOOKUP(G385,NGPrices,3,FALSE()),HLOOKUP(D385,Correllate,VLOOKUP(G385,CorMove,2,FALSE()),FALSE()),Q385-$CD$3,R385,$CJ$5)*H385-CJ385</f>
        <v>#NAME?</v>
      </c>
      <c r="CH385" s="253" t="e">
        <f aca="false">xSPRDOPT((VLOOKUP(G385,NGPREVPRICES,2,FALSE())+HLOOKUP(D385,PREVCURVES,VLOOKUP(G385,MOVE_DOWN2,2,FALSE()),FALSE())),VLOOKUP(G385,NGPREVPRICES,2,FALSE()),CK385,VLOOKUP(G385,NGPREVPRICES,4,FALSE()),HLOOKUP(D385,PREVVOLS,VLOOKUP(G385,MOVE_DOWN2,2,FALSE()),FALSE()),VLOOKUP(G385,NGPREVPRICES,3,FALSE()),HLOOKUP(D385,Correllate,VLOOKUP(G385,CorMove,2,FALSE()),FALSE()),Q385-$C$3,R385,$CJ$5)*H385-CJ385</f>
        <v>#NAME?</v>
      </c>
      <c r="CI385" s="253" t="e">
        <f aca="false">SUM(CD385:CH385)</f>
        <v>#NAME?</v>
      </c>
      <c r="CJ385" s="253" t="e">
        <f aca="false">xSPRDOPT((VLOOKUP(G385,NGPREVPRICES,2,FALSE())+HLOOKUP(D385,PREVCURVES,VLOOKUP(G385,MOVE_DOWN2,2,FALSE()),FALSE())),VLOOKUP(G385,NGPREVPRICES,2,FALSE()),CK385,VLOOKUP(G385,NGPREVPRICES,4,FALSE()),HLOOKUP(D385,PREVVOLS,VLOOKUP(G385,MOVE_DOWN2,2,FALSE()),FALSE()),VLOOKUP(G385,NGPREVPRICES,3,FALSE()),HLOOKUP(D385,Correllate,VLOOKUP(G385,CorMove,2,FALSE()),FALSE()),Q385-$CD$3,R385,$CJ$5)*H385</f>
        <v>#NAME?</v>
      </c>
      <c r="CK385" s="254" t="n">
        <f aca="false">I385</f>
        <v>0.65</v>
      </c>
      <c r="CM385" s="0" t="str">
        <f aca="false">CONCATENATE(CC385,$CD$6)</f>
        <v>36800Curve Shift/Gamma</v>
      </c>
      <c r="CN385" s="0" t="str">
        <f aca="false">CONCATENATE($CC385,$CE$6)</f>
        <v>36800Rho</v>
      </c>
      <c r="CO385" s="0" t="str">
        <f aca="false">CONCATENATE($CC385,$CF$6)</f>
        <v>36800Drift</v>
      </c>
      <c r="CP385" s="0" t="str">
        <f aca="false">CONCATENATE($CC385,$CG$6)</f>
        <v>36800Vega</v>
      </c>
      <c r="CQ385" s="0" t="str">
        <f aca="false">CONCATENATE($CC385,$CH$6)</f>
        <v>36800Theta</v>
      </c>
    </row>
    <row r="386" customFormat="false" ht="12.75" hidden="false" customHeight="false" outlineLevel="0" collapsed="false">
      <c r="A386" s="265" t="s">
        <v>198</v>
      </c>
      <c r="B386" s="0" t="s">
        <v>192</v>
      </c>
      <c r="C386" s="0" t="s">
        <v>334</v>
      </c>
      <c r="D386" s="7" t="s">
        <v>149</v>
      </c>
      <c r="E386" s="0" t="s">
        <v>131</v>
      </c>
      <c r="F386" s="0" t="s">
        <v>132</v>
      </c>
      <c r="G386" s="92" t="n">
        <v>36800</v>
      </c>
      <c r="H386" s="248" t="n">
        <v>500000</v>
      </c>
      <c r="I386" s="0" t="n">
        <v>0.35</v>
      </c>
      <c r="J386" s="124" t="n">
        <f aca="false">VLOOKUP(G386,NGPrices,2,FALSE())</f>
        <v>4.692</v>
      </c>
      <c r="K386" s="125" t="n">
        <f aca="false">HLOOKUP(D386,Prices,VLOOKUP(G386,move_down,2,FALSE()),FALSE())+VLOOKUP(G386,CHANGE,HLOOKUP(D386,CHANGE,2,FALSE()),FALSE())</f>
        <v>0.415</v>
      </c>
      <c r="L386" s="124" t="n">
        <f aca="false">K386+J386</f>
        <v>5.107</v>
      </c>
      <c r="M386" s="126" t="n">
        <f aca="false">VLOOKUP(G386,NGPrices,4,FALSE())</f>
        <v>0.068050789414654</v>
      </c>
      <c r="N386" s="7" t="n">
        <f aca="false">VLOOKUP(G386,NGPrices,3,FALSE())</f>
        <v>0.575</v>
      </c>
      <c r="O386" s="7" t="n">
        <f aca="false">HLOOKUP(D386,VOLS,VLOOKUP(G386,move_down,2,FALSE()),FALSE())</f>
        <v>0.564</v>
      </c>
      <c r="P386" s="249" t="n">
        <f aca="false">HLOOKUP(D386,Correllate,VLOOKUP(G386,CorMove,2,FALSE()),FALSE())</f>
        <v>0.9925</v>
      </c>
      <c r="Q386" s="92" t="n">
        <f aca="false">WORKDAY(G386,-2)</f>
        <v>36797</v>
      </c>
      <c r="R386" s="7" t="n">
        <f aca="false">IF(F386="P",0,1)</f>
        <v>0</v>
      </c>
      <c r="S386" s="130" t="e">
        <f aca="false">xSPRDOPT($L386,$J386,$I386,$M386,$O386,$N386,$P386,$Q386-$C$3,$R386,0)</f>
        <v>#NAME?</v>
      </c>
      <c r="T386" s="250" t="e">
        <f aca="false">xSPRDOPT($L386,$J386,$I386,$M386,$O386,$N386,$P386,$Q386-$C$3,$R386,1)*H386</f>
        <v>#NAME?</v>
      </c>
      <c r="U386" s="43" t="e">
        <f aca="false">S386*H386</f>
        <v>#NAME?</v>
      </c>
      <c r="V386" s="250" t="e">
        <f aca="false">xSPRDOPT($L386,$J386,$I386,$M386,$O386,$N386,$P386,$Q386-$C$3,$R386,2)*H386</f>
        <v>#NAME?</v>
      </c>
      <c r="W386" s="250" t="e">
        <f aca="false">+V386+T386</f>
        <v>#NAME?</v>
      </c>
      <c r="X386" s="2" t="str">
        <f aca="false">CONCATENATE(G386,D386)</f>
        <v>36800IF-TRANSCO/Z6</v>
      </c>
      <c r="Y386" s="251" t="n">
        <f aca="false">H386/10000</f>
        <v>50</v>
      </c>
      <c r="Z386" s="226" t="e">
        <f aca="false">T386/H386</f>
        <v>#NAME?</v>
      </c>
      <c r="AA386" s="226" t="e">
        <f aca="false">xSPRDOPT($L386,$J386,$I386,$M386,$O386,$N386,$P386,$Q386-$C$3,$R386,3)</f>
        <v>#NAME?</v>
      </c>
      <c r="AB386" s="226" t="e">
        <f aca="false">((xSPRDOPT($L386+AB$5,$J386,$I386,$M386,$O386,$N386,$P386,$Q386-$C$3,$R386,3)*$H386)/10000)/100</f>
        <v>#NAME?</v>
      </c>
      <c r="AC386" s="226" t="e">
        <f aca="false">((xSPRDOPT($L386+$AB$5,$J386,$I386,$M386,$O386,$N386,$P386,$Q386-$C$3,$R386,7)*$H386)/100)</f>
        <v>#NAME?</v>
      </c>
      <c r="AD386" s="226" t="e">
        <f aca="false">(xSPRDOPT($L386+$AB$5,$J386,$I386,$M386,$O386,$N386,$P386,$Q386-$C$3,$R386,9)/365)*$H386</f>
        <v>#NAME?</v>
      </c>
      <c r="AE386" s="0" t="e">
        <f aca="false">CD386</f>
        <v>#NAME?</v>
      </c>
      <c r="AF386" s="226" t="e">
        <f aca="false">((O386/N386)*AH386)+AG386</f>
        <v>#NAME?</v>
      </c>
      <c r="AG386" s="226" t="e">
        <f aca="false">((xSPRDOPT($L386,$J386,$I386,$M386,$O386,$N386,$P386,$Q386-$C$3,$R386,6)*$H386)/100)</f>
        <v>#NAME?</v>
      </c>
      <c r="AH386" s="226" t="e">
        <f aca="false">((xSPRDOPT($L386,$J386,$I386,$M386,$O386,$N386,$P386,$Q386-$C$3,$R386,5)*$H386)/100)</f>
        <v>#NAME?</v>
      </c>
      <c r="AI386" s="226" t="e">
        <f aca="false">(((xSPRDOPT($L386,$J386,$I386,$M386,$O386,$N386,$P386,$Q386-$C$3,$R386,4)*$H386)/10000)/100)-AB386</f>
        <v>#NAME?</v>
      </c>
      <c r="AJ386" s="226"/>
      <c r="AK386" s="226"/>
      <c r="AL386" s="226"/>
      <c r="AM386" s="252"/>
      <c r="CC386" s="182" t="n">
        <f aca="false">G386</f>
        <v>36800</v>
      </c>
      <c r="CD386" s="253" t="e">
        <f aca="false">xSPRDOPT((VLOOKUP(G386,NGPrices,2,FALSE())+HLOOKUP(D386,Prices,VLOOKUP(G386,move_down,2,FALSE()),FALSE())),VLOOKUP(G386,NGPrices,2,FALSE()),I386,VLOOKUP(G386,NGPREVPRICES,4,FALSE()),HLOOKUP(D386,PREVVOLS,VLOOKUP(G386,MOVE_DOWN2,2,FALSE()),FALSE()),VLOOKUP(G386,NGPREVPRICES,3,FALSE()),HLOOKUP(D386,Correllate,VLOOKUP(G386,CorMove,2,FALSE()),FALSE()),Q386-$CD$3,R386,$CD$5)*H386-CJ386</f>
        <v>#NAME?</v>
      </c>
      <c r="CE386" s="253" t="e">
        <f aca="false">xSPRDOPT((VLOOKUP(G386,NGPREVPRICES,2,FALSE())+HLOOKUP(D386,PREVCURVES,VLOOKUP(G386,MOVE_DOWN2,2,FALSE()),FALSE())),VLOOKUP(G386,NGPREVPRICES,2,FALSE()),CK386,VLOOKUP(G386,NGPrices,4,FALSE()),HLOOKUP(D386,PREVVOLS,VLOOKUP(G386,MOVE_DOWN2,2,FALSE()),FALSE()),VLOOKUP(G386,NGPREVPRICES,3,FALSE()),HLOOKUP(D386,Correllate,VLOOKUP(G386,CorMove,2,FALSE()),FALSE()),Q386-$CD$3,R386,$CJ$5)*H386-CJ386</f>
        <v>#NAME?</v>
      </c>
      <c r="CF386" s="132" t="e">
        <f aca="false">(CJ386/VLOOKUP(CC386,discount,3,FALSE()))-(CJ386/VLOOKUP(CC386,discount,2,FALSE()))</f>
        <v>#NAME?</v>
      </c>
      <c r="CG386" s="253" t="e">
        <f aca="false">xSPRDOPT((VLOOKUP(G386,NGPREVPRICES,2,FALSE())+HLOOKUP(D386,PREVCURVES,VLOOKUP(G386,MOVE_DOWN2,2,FALSE()),FALSE())),VLOOKUP(G386,NGPREVPRICES,2,FALSE()),CK386,VLOOKUP(G386,NGPREVPRICES,4,FALSE()),HLOOKUP(D386,VOLS,VLOOKUP(G386,move_down,2,FALSE()),FALSE()),VLOOKUP(G386,NGPrices,3,FALSE()),HLOOKUP(D386,Correllate,VLOOKUP(G386,CorMove,2,FALSE()),FALSE()),Q386-$CD$3,R386,$CJ$5)*H386-CJ386</f>
        <v>#NAME?</v>
      </c>
      <c r="CH386" s="253" t="e">
        <f aca="false">xSPRDOPT((VLOOKUP(G386,NGPREVPRICES,2,FALSE())+HLOOKUP(D386,PREVCURVES,VLOOKUP(G386,MOVE_DOWN2,2,FALSE()),FALSE())),VLOOKUP(G386,NGPREVPRICES,2,FALSE()),CK386,VLOOKUP(G386,NGPREVPRICES,4,FALSE()),HLOOKUP(D386,PREVVOLS,VLOOKUP(G386,MOVE_DOWN2,2,FALSE()),FALSE()),VLOOKUP(G386,NGPREVPRICES,3,FALSE()),HLOOKUP(D386,Correllate,VLOOKUP(G386,CorMove,2,FALSE()),FALSE()),Q386-$C$3,R386,$CJ$5)*H386-CJ386</f>
        <v>#NAME?</v>
      </c>
      <c r="CI386" s="253" t="e">
        <f aca="false">SUM(CD386:CH386)</f>
        <v>#NAME?</v>
      </c>
      <c r="CJ386" s="253" t="e">
        <f aca="false">xSPRDOPT((VLOOKUP(G386,NGPREVPRICES,2,FALSE())+HLOOKUP(D386,PREVCURVES,VLOOKUP(G386,MOVE_DOWN2,2,FALSE()),FALSE())),VLOOKUP(G386,NGPREVPRICES,2,FALSE()),CK386,VLOOKUP(G386,NGPREVPRICES,4,FALSE()),HLOOKUP(D386,PREVVOLS,VLOOKUP(G386,MOVE_DOWN2,2,FALSE()),FALSE()),VLOOKUP(G386,NGPREVPRICES,3,FALSE()),HLOOKUP(D386,Correllate,VLOOKUP(G386,CorMove,2,FALSE()),FALSE()),Q386-$CD$3,R386,$CJ$5)*H386</f>
        <v>#NAME?</v>
      </c>
      <c r="CK386" s="254" t="n">
        <f aca="false">I386</f>
        <v>0.35</v>
      </c>
      <c r="CM386" s="0" t="str">
        <f aca="false">CONCATENATE(CC386,$CD$6)</f>
        <v>36800Curve Shift/Gamma</v>
      </c>
      <c r="CN386" s="0" t="str">
        <f aca="false">CONCATENATE($CC386,$CE$6)</f>
        <v>36800Rho</v>
      </c>
      <c r="CO386" s="0" t="str">
        <f aca="false">CONCATENATE($CC386,$CF$6)</f>
        <v>36800Drift</v>
      </c>
      <c r="CP386" s="0" t="str">
        <f aca="false">CONCATENATE($CC386,$CG$6)</f>
        <v>36800Vega</v>
      </c>
      <c r="CQ386" s="0" t="str">
        <f aca="false">CONCATENATE($CC386,$CH$6)</f>
        <v>36800Theta</v>
      </c>
    </row>
    <row r="387" customFormat="false" ht="12.75" hidden="false" customHeight="false" outlineLevel="0" collapsed="false">
      <c r="A387" s="265" t="s">
        <v>198</v>
      </c>
      <c r="B387" s="0" t="s">
        <v>192</v>
      </c>
      <c r="C387" s="0" t="s">
        <v>335</v>
      </c>
      <c r="D387" s="7" t="s">
        <v>149</v>
      </c>
      <c r="E387" s="0" t="s">
        <v>131</v>
      </c>
      <c r="F387" s="0" t="s">
        <v>132</v>
      </c>
      <c r="G387" s="92" t="n">
        <v>36951</v>
      </c>
      <c r="H387" s="248" t="n">
        <v>1000000</v>
      </c>
      <c r="I387" s="0" t="n">
        <v>1</v>
      </c>
      <c r="J387" s="124" t="n">
        <f aca="false">VLOOKUP(G387,NGPrices,2,FALSE())</f>
        <v>4.213</v>
      </c>
      <c r="K387" s="125" t="n">
        <f aca="false">HLOOKUP(D387,Prices,VLOOKUP(G387,move_down,2,FALSE()),FALSE())+VLOOKUP(G387,CHANGE,HLOOKUP(D387,CHANGE,2,FALSE()),FALSE())</f>
        <v>1.075</v>
      </c>
      <c r="L387" s="124" t="n">
        <f aca="false">K387+J387</f>
        <v>5.288</v>
      </c>
      <c r="M387" s="126" t="n">
        <f aca="false">VLOOKUP(G387,NGPrices,4,FALSE())</f>
        <v>0.068879814952707</v>
      </c>
      <c r="N387" s="7" t="n">
        <f aca="false">VLOOKUP(G387,NGPrices,3,FALSE())</f>
        <v>0.5325</v>
      </c>
      <c r="O387" s="7" t="n">
        <f aca="false">HLOOKUP(D387,VOLS,VLOOKUP(G387,move_down,2,FALSE()),FALSE())</f>
        <v>0.612</v>
      </c>
      <c r="P387" s="249" t="n">
        <f aca="false">HLOOKUP(D387,Correllate,VLOOKUP(G387,CorMove,2,FALSE()),FALSE())</f>
        <v>0.83</v>
      </c>
      <c r="Q387" s="92" t="n">
        <f aca="false">WORKDAY(G387,-2)</f>
        <v>36949</v>
      </c>
      <c r="R387" s="7" t="n">
        <f aca="false">IF(F387="P",0,1)</f>
        <v>0</v>
      </c>
      <c r="S387" s="130" t="e">
        <f aca="false">xSPRDOPT($L387,$J387,$I387,$M387,$O387,$N387,$P387,$Q387-$C$3,$R387,0)</f>
        <v>#NAME?</v>
      </c>
      <c r="T387" s="250" t="e">
        <f aca="false">xSPRDOPT($L387,$J387,$I387,$M387,$O387,$N387,$P387,$Q387-$C$3,$R387,1)*H387</f>
        <v>#NAME?</v>
      </c>
      <c r="U387" s="43" t="e">
        <f aca="false">S387*H387</f>
        <v>#NAME?</v>
      </c>
      <c r="V387" s="250" t="e">
        <f aca="false">xSPRDOPT($L387,$J387,$I387,$M387,$O387,$N387,$P387,$Q387-$C$3,$R387,2)*H387</f>
        <v>#NAME?</v>
      </c>
      <c r="W387" s="250" t="e">
        <f aca="false">+V387+T387</f>
        <v>#NAME?</v>
      </c>
      <c r="X387" s="2" t="str">
        <f aca="false">CONCATENATE(G387,D387)</f>
        <v>36951IF-TRANSCO/Z6</v>
      </c>
      <c r="Y387" s="251" t="n">
        <f aca="false">H387/10000</f>
        <v>100</v>
      </c>
      <c r="Z387" s="226" t="e">
        <f aca="false">T387/H387</f>
        <v>#NAME?</v>
      </c>
      <c r="AA387" s="226" t="e">
        <f aca="false">xSPRDOPT($L387,$J387,$I387,$M387,$O387,$N387,$P387,$Q387-$C$3,$R387,3)</f>
        <v>#NAME?</v>
      </c>
      <c r="AB387" s="226" t="e">
        <f aca="false">((xSPRDOPT($L387+AB$5,$J387,$I387,$M387,$O387,$N387,$P387,$Q387-$C$3,$R387,3)*$H387)/10000)/100</f>
        <v>#NAME?</v>
      </c>
      <c r="AC387" s="226" t="e">
        <f aca="false">((xSPRDOPT($L387+$AB$5,$J387,$I387,$M387,$O387,$N387,$P387,$Q387-$C$3,$R387,7)*$H387)/100)</f>
        <v>#NAME?</v>
      </c>
      <c r="AD387" s="226" t="e">
        <f aca="false">(xSPRDOPT($L387+$AB$5,$J387,$I387,$M387,$O387,$N387,$P387,$Q387-$C$3,$R387,9)/365)*$H387</f>
        <v>#NAME?</v>
      </c>
      <c r="AE387" s="0" t="e">
        <f aca="false">CD387</f>
        <v>#NAME?</v>
      </c>
      <c r="AF387" s="226" t="e">
        <f aca="false">((O387/N387)*AH387)+AG387</f>
        <v>#NAME?</v>
      </c>
      <c r="AG387" s="226" t="e">
        <f aca="false">((xSPRDOPT($L387,$J387,$I387,$M387,$O387,$N387,$P387,$Q387-$C$3,$R387,6)*$H387)/100)</f>
        <v>#NAME?</v>
      </c>
      <c r="AH387" s="226" t="e">
        <f aca="false">((xSPRDOPT($L387,$J387,$I387,$M387,$O387,$N387,$P387,$Q387-$C$3,$R387,5)*$H387)/100)</f>
        <v>#NAME?</v>
      </c>
      <c r="AI387" s="226" t="e">
        <f aca="false">(((xSPRDOPT($L387,$J387,$I387,$M387,$O387,$N387,$P387,$Q387-$C$3,$R387,4)*$H387)/10000)/100)-AB387</f>
        <v>#NAME?</v>
      </c>
      <c r="AJ387" s="226"/>
      <c r="AK387" s="226"/>
      <c r="AL387" s="226"/>
      <c r="AM387" s="252"/>
      <c r="CC387" s="182" t="n">
        <f aca="false">G387</f>
        <v>36951</v>
      </c>
      <c r="CD387" s="253" t="e">
        <f aca="false">xSPRDOPT((VLOOKUP(G387,NGPrices,2,FALSE())+HLOOKUP(D387,Prices,VLOOKUP(G387,move_down,2,FALSE()),FALSE())),VLOOKUP(G387,NGPrices,2,FALSE()),I387,VLOOKUP(G387,NGPREVPRICES,4,FALSE()),HLOOKUP(D387,PREVVOLS,VLOOKUP(G387,MOVE_DOWN2,2,FALSE()),FALSE()),VLOOKUP(G387,NGPREVPRICES,3,FALSE()),HLOOKUP(D387,Correllate,VLOOKUP(G387,CorMove,2,FALSE()),FALSE()),Q387-$CD$3,R387,$CD$5)*H387-CJ387</f>
        <v>#NAME?</v>
      </c>
      <c r="CE387" s="253" t="e">
        <f aca="false">xSPRDOPT((VLOOKUP(G387,NGPREVPRICES,2,FALSE())+HLOOKUP(D387,PREVCURVES,VLOOKUP(G387,MOVE_DOWN2,2,FALSE()),FALSE())),VLOOKUP(G387,NGPREVPRICES,2,FALSE()),CK387,VLOOKUP(G387,NGPrices,4,FALSE()),HLOOKUP(D387,PREVVOLS,VLOOKUP(G387,MOVE_DOWN2,2,FALSE()),FALSE()),VLOOKUP(G387,NGPREVPRICES,3,FALSE()),HLOOKUP(D387,Correllate,VLOOKUP(G387,CorMove,2,FALSE()),FALSE()),Q387-$CD$3,R387,$CJ$5)*H387-CJ387</f>
        <v>#NAME?</v>
      </c>
      <c r="CF387" s="132" t="e">
        <f aca="false">(CJ387/VLOOKUP(CC387,discount,3,FALSE()))-(CJ387/VLOOKUP(CC387,discount,2,FALSE()))</f>
        <v>#NAME?</v>
      </c>
      <c r="CG387" s="253" t="e">
        <f aca="false">xSPRDOPT((VLOOKUP(G387,NGPREVPRICES,2,FALSE())+HLOOKUP(D387,PREVCURVES,VLOOKUP(G387,MOVE_DOWN2,2,FALSE()),FALSE())),VLOOKUP(G387,NGPREVPRICES,2,FALSE()),CK387,VLOOKUP(G387,NGPREVPRICES,4,FALSE()),HLOOKUP(D387,VOLS,VLOOKUP(G387,move_down,2,FALSE()),FALSE()),VLOOKUP(G387,NGPrices,3,FALSE()),HLOOKUP(D387,Correllate,VLOOKUP(G387,CorMove,2,FALSE()),FALSE()),Q387-$CD$3,R387,$CJ$5)*H387-CJ387</f>
        <v>#NAME?</v>
      </c>
      <c r="CH387" s="253" t="e">
        <f aca="false">xSPRDOPT((VLOOKUP(G387,NGPREVPRICES,2,FALSE())+HLOOKUP(D387,PREVCURVES,VLOOKUP(G387,MOVE_DOWN2,2,FALSE()),FALSE())),VLOOKUP(G387,NGPREVPRICES,2,FALSE()),CK387,VLOOKUP(G387,NGPREVPRICES,4,FALSE()),HLOOKUP(D387,PREVVOLS,VLOOKUP(G387,MOVE_DOWN2,2,FALSE()),FALSE()),VLOOKUP(G387,NGPREVPRICES,3,FALSE()),HLOOKUP(D387,Correllate,VLOOKUP(G387,CorMove,2,FALSE()),FALSE()),Q387-$C$3,R387,$CJ$5)*H387-CJ387</f>
        <v>#NAME?</v>
      </c>
      <c r="CI387" s="253" t="e">
        <f aca="false">SUM(CD387:CH387)</f>
        <v>#NAME?</v>
      </c>
      <c r="CJ387" s="253" t="e">
        <f aca="false">xSPRDOPT((VLOOKUP(G387,NGPREVPRICES,2,FALSE())+HLOOKUP(D387,PREVCURVES,VLOOKUP(G387,MOVE_DOWN2,2,FALSE()),FALSE())),VLOOKUP(G387,NGPREVPRICES,2,FALSE()),CK387,VLOOKUP(G387,NGPREVPRICES,4,FALSE()),HLOOKUP(D387,PREVVOLS,VLOOKUP(G387,MOVE_DOWN2,2,FALSE()),FALSE()),VLOOKUP(G387,NGPREVPRICES,3,FALSE()),HLOOKUP(D387,Correllate,VLOOKUP(G387,CorMove,2,FALSE()),FALSE()),Q387-$CD$3,R387,$CJ$5)*H387</f>
        <v>#NAME?</v>
      </c>
      <c r="CK387" s="254" t="n">
        <f aca="false">I387</f>
        <v>1</v>
      </c>
      <c r="CM387" s="0" t="str">
        <f aca="false">CONCATENATE(CC387,$CD$6)</f>
        <v>36951Curve Shift/Gamma</v>
      </c>
      <c r="CN387" s="0" t="str">
        <f aca="false">CONCATENATE($CC387,$CE$6)</f>
        <v>36951Rho</v>
      </c>
      <c r="CO387" s="0" t="str">
        <f aca="false">CONCATENATE($CC387,$CF$6)</f>
        <v>36951Drift</v>
      </c>
      <c r="CP387" s="0" t="str">
        <f aca="false">CONCATENATE($CC387,$CG$6)</f>
        <v>36951Vega</v>
      </c>
      <c r="CQ387" s="0" t="str">
        <f aca="false">CONCATENATE($CC387,$CH$6)</f>
        <v>36951Theta</v>
      </c>
    </row>
    <row r="388" customFormat="false" ht="12.75" hidden="false" customHeight="false" outlineLevel="0" collapsed="false">
      <c r="A388" s="265" t="s">
        <v>198</v>
      </c>
      <c r="B388" s="0" t="s">
        <v>192</v>
      </c>
      <c r="C388" s="0" t="s">
        <v>336</v>
      </c>
      <c r="D388" s="7" t="s">
        <v>149</v>
      </c>
      <c r="E388" s="0" t="s">
        <v>131</v>
      </c>
      <c r="F388" s="0" t="s">
        <v>132</v>
      </c>
      <c r="G388" s="92" t="n">
        <v>36951</v>
      </c>
      <c r="H388" s="248" t="n">
        <v>1000000</v>
      </c>
      <c r="I388" s="0" t="n">
        <v>1.15</v>
      </c>
      <c r="J388" s="124" t="n">
        <f aca="false">VLOOKUP(G388,NGPrices,2,FALSE())</f>
        <v>4.213</v>
      </c>
      <c r="K388" s="125" t="n">
        <f aca="false">HLOOKUP(D388,Prices,VLOOKUP(G388,move_down,2,FALSE()),FALSE())+VLOOKUP(G388,CHANGE,HLOOKUP(D388,CHANGE,2,FALSE()),FALSE())</f>
        <v>1.075</v>
      </c>
      <c r="L388" s="124" t="n">
        <f aca="false">K388+J388</f>
        <v>5.288</v>
      </c>
      <c r="M388" s="126" t="n">
        <f aca="false">VLOOKUP(G388,NGPrices,4,FALSE())</f>
        <v>0.068879814952707</v>
      </c>
      <c r="N388" s="7" t="n">
        <f aca="false">VLOOKUP(G388,NGPrices,3,FALSE())</f>
        <v>0.5325</v>
      </c>
      <c r="O388" s="7" t="n">
        <f aca="false">HLOOKUP(D388,VOLS,VLOOKUP(G388,move_down,2,FALSE()),FALSE())</f>
        <v>0.612</v>
      </c>
      <c r="P388" s="249" t="n">
        <f aca="false">HLOOKUP(D388,Correllate,VLOOKUP(G388,CorMove,2,FALSE()),FALSE())</f>
        <v>0.83</v>
      </c>
      <c r="Q388" s="92" t="n">
        <f aca="false">WORKDAY(G388,-2)</f>
        <v>36949</v>
      </c>
      <c r="R388" s="7" t="n">
        <f aca="false">IF(F388="P",0,1)</f>
        <v>0</v>
      </c>
      <c r="S388" s="130" t="e">
        <f aca="false">xSPRDOPT($L388,$J388,$I388,$M388,$O388,$N388,$P388,$Q388-$C$3,$R388,0)</f>
        <v>#NAME?</v>
      </c>
      <c r="T388" s="250" t="e">
        <f aca="false">xSPRDOPT($L388,$J388,$I388,$M388,$O388,$N388,$P388,$Q388-$C$3,$R388,1)*H388</f>
        <v>#NAME?</v>
      </c>
      <c r="U388" s="43" t="e">
        <f aca="false">S388*H388</f>
        <v>#NAME?</v>
      </c>
      <c r="V388" s="250" t="e">
        <f aca="false">xSPRDOPT($L388,$J388,$I388,$M388,$O388,$N388,$P388,$Q388-$C$3,$R388,2)*H388</f>
        <v>#NAME?</v>
      </c>
      <c r="W388" s="250" t="e">
        <f aca="false">+V388+T388</f>
        <v>#NAME?</v>
      </c>
      <c r="X388" s="2" t="str">
        <f aca="false">CONCATENATE(G388,D388)</f>
        <v>36951IF-TRANSCO/Z6</v>
      </c>
      <c r="Y388" s="251" t="n">
        <f aca="false">H388/10000</f>
        <v>100</v>
      </c>
      <c r="Z388" s="226" t="e">
        <f aca="false">T388/H388</f>
        <v>#NAME?</v>
      </c>
      <c r="AA388" s="226" t="e">
        <f aca="false">xSPRDOPT($L388,$J388,$I388,$M388,$O388,$N388,$P388,$Q388-$C$3,$R388,3)</f>
        <v>#NAME?</v>
      </c>
      <c r="AB388" s="226" t="e">
        <f aca="false">((xSPRDOPT($L388+AB$5,$J388,$I388,$M388,$O388,$N388,$P388,$Q388-$C$3,$R388,3)*$H388)/10000)/100</f>
        <v>#NAME?</v>
      </c>
      <c r="AC388" s="226" t="e">
        <f aca="false">((xSPRDOPT($L388+$AB$5,$J388,$I388,$M388,$O388,$N388,$P388,$Q388-$C$3,$R388,7)*$H388)/100)</f>
        <v>#NAME?</v>
      </c>
      <c r="AD388" s="226" t="e">
        <f aca="false">(xSPRDOPT($L388+$AB$5,$J388,$I388,$M388,$O388,$N388,$P388,$Q388-$C$3,$R388,9)/365)*$H388</f>
        <v>#NAME?</v>
      </c>
      <c r="AE388" s="0" t="e">
        <f aca="false">CD388</f>
        <v>#NAME?</v>
      </c>
      <c r="AF388" s="226" t="e">
        <f aca="false">((O388/N388)*AH388)+AG388</f>
        <v>#NAME?</v>
      </c>
      <c r="AG388" s="226" t="e">
        <f aca="false">((xSPRDOPT($L388,$J388,$I388,$M388,$O388,$N388,$P388,$Q388-$C$3,$R388,6)*$H388)/100)</f>
        <v>#NAME?</v>
      </c>
      <c r="AH388" s="226" t="e">
        <f aca="false">((xSPRDOPT($L388,$J388,$I388,$M388,$O388,$N388,$P388,$Q388-$C$3,$R388,5)*$H388)/100)</f>
        <v>#NAME?</v>
      </c>
      <c r="AI388" s="226" t="e">
        <f aca="false">(((xSPRDOPT($L388,$J388,$I388,$M388,$O388,$N388,$P388,$Q388-$C$3,$R388,4)*$H388)/10000)/100)-AB388</f>
        <v>#NAME?</v>
      </c>
      <c r="AJ388" s="226"/>
      <c r="AK388" s="226"/>
      <c r="AL388" s="226"/>
      <c r="AM388" s="252"/>
      <c r="CC388" s="182" t="n">
        <f aca="false">G388</f>
        <v>36951</v>
      </c>
      <c r="CD388" s="253" t="e">
        <f aca="false">xSPRDOPT((VLOOKUP(G388,NGPrices,2,FALSE())+HLOOKUP(D388,Prices,VLOOKUP(G388,move_down,2,FALSE()),FALSE())),VLOOKUP(G388,NGPrices,2,FALSE()),I388,VLOOKUP(G388,NGPREVPRICES,4,FALSE()),HLOOKUP(D388,PREVVOLS,VLOOKUP(G388,MOVE_DOWN2,2,FALSE()),FALSE()),VLOOKUP(G388,NGPREVPRICES,3,FALSE()),HLOOKUP(D388,Correllate,VLOOKUP(G388,CorMove,2,FALSE()),FALSE()),Q388-$CD$3,R388,$CD$5)*H388-CJ388</f>
        <v>#NAME?</v>
      </c>
      <c r="CE388" s="253" t="e">
        <f aca="false">xSPRDOPT((VLOOKUP(G388,NGPREVPRICES,2,FALSE())+HLOOKUP(D388,PREVCURVES,VLOOKUP(G388,MOVE_DOWN2,2,FALSE()),FALSE())),VLOOKUP(G388,NGPREVPRICES,2,FALSE()),CK388,VLOOKUP(G388,NGPrices,4,FALSE()),HLOOKUP(D388,PREVVOLS,VLOOKUP(G388,MOVE_DOWN2,2,FALSE()),FALSE()),VLOOKUP(G388,NGPREVPRICES,3,FALSE()),HLOOKUP(D388,Correllate,VLOOKUP(G388,CorMove,2,FALSE()),FALSE()),Q388-$CD$3,R388,$CJ$5)*H388-CJ388</f>
        <v>#NAME?</v>
      </c>
      <c r="CF388" s="132" t="e">
        <f aca="false">(CJ388/VLOOKUP(CC388,discount,3,FALSE()))-(CJ388/VLOOKUP(CC388,discount,2,FALSE()))</f>
        <v>#NAME?</v>
      </c>
      <c r="CG388" s="253" t="e">
        <f aca="false">xSPRDOPT((VLOOKUP(G388,NGPREVPRICES,2,FALSE())+HLOOKUP(D388,PREVCURVES,VLOOKUP(G388,MOVE_DOWN2,2,FALSE()),FALSE())),VLOOKUP(G388,NGPREVPRICES,2,FALSE()),CK388,VLOOKUP(G388,NGPREVPRICES,4,FALSE()),HLOOKUP(D388,VOLS,VLOOKUP(G388,move_down,2,FALSE()),FALSE()),VLOOKUP(G388,NGPrices,3,FALSE()),HLOOKUP(D388,Correllate,VLOOKUP(G388,CorMove,2,FALSE()),FALSE()),Q388-$CD$3,R388,$CJ$5)*H388-CJ388</f>
        <v>#NAME?</v>
      </c>
      <c r="CH388" s="253" t="e">
        <f aca="false">xSPRDOPT((VLOOKUP(G388,NGPREVPRICES,2,FALSE())+HLOOKUP(D388,PREVCURVES,VLOOKUP(G388,MOVE_DOWN2,2,FALSE()),FALSE())),VLOOKUP(G388,NGPREVPRICES,2,FALSE()),CK388,VLOOKUP(G388,NGPREVPRICES,4,FALSE()),HLOOKUP(D388,PREVVOLS,VLOOKUP(G388,MOVE_DOWN2,2,FALSE()),FALSE()),VLOOKUP(G388,NGPREVPRICES,3,FALSE()),HLOOKUP(D388,Correllate,VLOOKUP(G388,CorMove,2,FALSE()),FALSE()),Q388-$C$3,R388,$CJ$5)*H388-CJ388</f>
        <v>#NAME?</v>
      </c>
      <c r="CI388" s="253" t="e">
        <f aca="false">SUM(CD388:CH388)</f>
        <v>#NAME?</v>
      </c>
      <c r="CJ388" s="253" t="e">
        <f aca="false">xSPRDOPT((VLOOKUP(G388,NGPREVPRICES,2,FALSE())+HLOOKUP(D388,PREVCURVES,VLOOKUP(G388,MOVE_DOWN2,2,FALSE()),FALSE())),VLOOKUP(G388,NGPREVPRICES,2,FALSE()),CK388,VLOOKUP(G388,NGPREVPRICES,4,FALSE()),HLOOKUP(D388,PREVVOLS,VLOOKUP(G388,MOVE_DOWN2,2,FALSE()),FALSE()),VLOOKUP(G388,NGPREVPRICES,3,FALSE()),HLOOKUP(D388,Correllate,VLOOKUP(G388,CorMove,2,FALSE()),FALSE()),Q388-$CD$3,R388,$CJ$5)*H388</f>
        <v>#NAME?</v>
      </c>
      <c r="CK388" s="254" t="n">
        <f aca="false">I388</f>
        <v>1.15</v>
      </c>
      <c r="CM388" s="0" t="str">
        <f aca="false">CONCATENATE(CC388,$CD$6)</f>
        <v>36951Curve Shift/Gamma</v>
      </c>
      <c r="CN388" s="0" t="str">
        <f aca="false">CONCATENATE($CC388,$CE$6)</f>
        <v>36951Rho</v>
      </c>
      <c r="CO388" s="0" t="str">
        <f aca="false">CONCATENATE($CC388,$CF$6)</f>
        <v>36951Drift</v>
      </c>
      <c r="CP388" s="0" t="str">
        <f aca="false">CONCATENATE($CC388,$CG$6)</f>
        <v>36951Vega</v>
      </c>
      <c r="CQ388" s="0" t="str">
        <f aca="false">CONCATENATE($CC388,$CH$6)</f>
        <v>36951Theta</v>
      </c>
    </row>
    <row r="389" customFormat="false" ht="12.75" hidden="false" customHeight="false" outlineLevel="0" collapsed="false">
      <c r="A389" s="265" t="s">
        <v>198</v>
      </c>
      <c r="B389" s="0" t="s">
        <v>192</v>
      </c>
      <c r="C389" s="0" t="s">
        <v>337</v>
      </c>
      <c r="D389" s="7" t="s">
        <v>149</v>
      </c>
      <c r="E389" s="0" t="s">
        <v>131</v>
      </c>
      <c r="F389" s="0" t="s">
        <v>136</v>
      </c>
      <c r="G389" s="92" t="n">
        <v>36800</v>
      </c>
      <c r="H389" s="248" t="n">
        <v>-1000000</v>
      </c>
      <c r="I389" s="0" t="n">
        <v>0.7</v>
      </c>
      <c r="J389" s="124" t="n">
        <f aca="false">VLOOKUP(G389,NGPrices,2,FALSE())</f>
        <v>4.692</v>
      </c>
      <c r="K389" s="125" t="n">
        <f aca="false">HLOOKUP(D389,Prices,VLOOKUP(G389,move_down,2,FALSE()),FALSE())+VLOOKUP(G389,CHANGE,HLOOKUP(D389,CHANGE,2,FALSE()),FALSE())</f>
        <v>0.415</v>
      </c>
      <c r="L389" s="124" t="n">
        <f aca="false">K389+J389</f>
        <v>5.107</v>
      </c>
      <c r="M389" s="126" t="n">
        <f aca="false">VLOOKUP(G389,NGPrices,4,FALSE())</f>
        <v>0.068050789414654</v>
      </c>
      <c r="N389" s="7" t="n">
        <f aca="false">VLOOKUP(G389,NGPrices,3,FALSE())</f>
        <v>0.575</v>
      </c>
      <c r="O389" s="7" t="n">
        <f aca="false">HLOOKUP(D389,VOLS,VLOOKUP(G389,move_down,2,FALSE()),FALSE())</f>
        <v>0.564</v>
      </c>
      <c r="P389" s="249" t="n">
        <f aca="false">HLOOKUP(D389,Correllate,VLOOKUP(G389,CorMove,2,FALSE()),FALSE())</f>
        <v>0.9925</v>
      </c>
      <c r="Q389" s="92" t="n">
        <f aca="false">WORKDAY(G389,-2)</f>
        <v>36797</v>
      </c>
      <c r="R389" s="7" t="n">
        <f aca="false">IF(F389="P",0,1)</f>
        <v>1</v>
      </c>
      <c r="S389" s="130" t="e">
        <f aca="false">xSPRDOPT($L389,$J389,$I389,$M389,$O389,$N389,$P389,$Q389-$C$3,$R389,0)</f>
        <v>#NAME?</v>
      </c>
      <c r="T389" s="250" t="e">
        <f aca="false">xSPRDOPT($L389,$J389,$I389,$M389,$O389,$N389,$P389,$Q389-$C$3,$R389,1)*H389</f>
        <v>#NAME?</v>
      </c>
      <c r="U389" s="43" t="e">
        <f aca="false">S389*H389</f>
        <v>#NAME?</v>
      </c>
      <c r="V389" s="250" t="e">
        <f aca="false">xSPRDOPT($L389,$J389,$I389,$M389,$O389,$N389,$P389,$Q389-$C$3,$R389,2)*H389</f>
        <v>#NAME?</v>
      </c>
      <c r="W389" s="250" t="e">
        <f aca="false">+V389+T389</f>
        <v>#NAME?</v>
      </c>
      <c r="X389" s="2" t="str">
        <f aca="false">CONCATENATE(G389,D389)</f>
        <v>36800IF-TRANSCO/Z6</v>
      </c>
      <c r="Y389" s="251" t="n">
        <f aca="false">H389/10000</f>
        <v>-100</v>
      </c>
      <c r="Z389" s="226" t="e">
        <f aca="false">T389/H389</f>
        <v>#NAME?</v>
      </c>
      <c r="AA389" s="226" t="e">
        <f aca="false">xSPRDOPT($L389,$J389,$I389,$M389,$O389,$N389,$P389,$Q389-$C$3,$R389,3)</f>
        <v>#NAME?</v>
      </c>
      <c r="AB389" s="226" t="e">
        <f aca="false">((xSPRDOPT($L389+AB$5,$J389,$I389,$M389,$O389,$N389,$P389,$Q389-$C$3,$R389,3)*$H389)/10000)/100</f>
        <v>#NAME?</v>
      </c>
      <c r="AC389" s="226" t="e">
        <f aca="false">((xSPRDOPT($L389+$AB$5,$J389,$I389,$M389,$O389,$N389,$P389,$Q389-$C$3,$R389,7)*$H389)/100)</f>
        <v>#NAME?</v>
      </c>
      <c r="AD389" s="226" t="e">
        <f aca="false">(xSPRDOPT($L389+$AB$5,$J389,$I389,$M389,$O389,$N389,$P389,$Q389-$C$3,$R389,9)/365)*$H389</f>
        <v>#NAME?</v>
      </c>
      <c r="AE389" s="0" t="e">
        <f aca="false">CD389</f>
        <v>#NAME?</v>
      </c>
      <c r="AF389" s="226" t="e">
        <f aca="false">((O389/N389)*AH389)+AG389</f>
        <v>#NAME?</v>
      </c>
      <c r="AG389" s="226" t="e">
        <f aca="false">((xSPRDOPT($L389,$J389,$I389,$M389,$O389,$N389,$P389,$Q389-$C$3,$R389,6)*$H389)/100)</f>
        <v>#NAME?</v>
      </c>
      <c r="AH389" s="226" t="e">
        <f aca="false">((xSPRDOPT($L389,$J389,$I389,$M389,$O389,$N389,$P389,$Q389-$C$3,$R389,5)*$H389)/100)</f>
        <v>#NAME?</v>
      </c>
      <c r="AI389" s="226" t="e">
        <f aca="false">(((xSPRDOPT($L389,$J389,$I389,$M389,$O389,$N389,$P389,$Q389-$C$3,$R389,4)*$H389)/10000)/100)-AB389</f>
        <v>#NAME?</v>
      </c>
      <c r="AJ389" s="226"/>
      <c r="AK389" s="226"/>
      <c r="AL389" s="226"/>
      <c r="AM389" s="252"/>
      <c r="CC389" s="182" t="n">
        <f aca="false">G389</f>
        <v>36800</v>
      </c>
      <c r="CD389" s="253" t="e">
        <f aca="false">xSPRDOPT((VLOOKUP(G389,NGPrices,2,FALSE())+HLOOKUP(D389,Prices,VLOOKUP(G389,move_down,2,FALSE()),FALSE())),VLOOKUP(G389,NGPrices,2,FALSE()),I389,VLOOKUP(G389,NGPREVPRICES,4,FALSE()),HLOOKUP(D389,PREVVOLS,VLOOKUP(G389,MOVE_DOWN2,2,FALSE()),FALSE()),VLOOKUP(G389,NGPREVPRICES,3,FALSE()),HLOOKUP(D389,Correllate,VLOOKUP(G389,CorMove,2,FALSE()),FALSE()),Q389-$CD$3,R389,$CD$5)*H389-CJ389</f>
        <v>#NAME?</v>
      </c>
      <c r="CE389" s="253" t="e">
        <f aca="false">xSPRDOPT((VLOOKUP(G389,NGPREVPRICES,2,FALSE())+HLOOKUP(D389,PREVCURVES,VLOOKUP(G389,MOVE_DOWN2,2,FALSE()),FALSE())),VLOOKUP(G389,NGPREVPRICES,2,FALSE()),CK389,VLOOKUP(G389,NGPrices,4,FALSE()),HLOOKUP(D389,PREVVOLS,VLOOKUP(G389,MOVE_DOWN2,2,FALSE()),FALSE()),VLOOKUP(G389,NGPREVPRICES,3,FALSE()),HLOOKUP(D389,Correllate,VLOOKUP(G389,CorMove,2,FALSE()),FALSE()),Q389-$CD$3,R389,$CJ$5)*H389-CJ389</f>
        <v>#NAME?</v>
      </c>
      <c r="CF389" s="132" t="e">
        <f aca="false">(CJ389/VLOOKUP(CC389,discount,3,FALSE()))-(CJ389/VLOOKUP(CC389,discount,2,FALSE()))</f>
        <v>#NAME?</v>
      </c>
      <c r="CG389" s="253" t="e">
        <f aca="false">xSPRDOPT((VLOOKUP(G389,NGPREVPRICES,2,FALSE())+HLOOKUP(D389,PREVCURVES,VLOOKUP(G389,MOVE_DOWN2,2,FALSE()),FALSE())),VLOOKUP(G389,NGPREVPRICES,2,FALSE()),CK389,VLOOKUP(G389,NGPREVPRICES,4,FALSE()),HLOOKUP(D389,VOLS,VLOOKUP(G389,move_down,2,FALSE()),FALSE()),VLOOKUP(G389,NGPrices,3,FALSE()),HLOOKUP(D389,Correllate,VLOOKUP(G389,CorMove,2,FALSE()),FALSE()),Q389-$CD$3,R389,$CJ$5)*H389-CJ389</f>
        <v>#NAME?</v>
      </c>
      <c r="CH389" s="253" t="e">
        <f aca="false">xSPRDOPT((VLOOKUP(G389,NGPREVPRICES,2,FALSE())+HLOOKUP(D389,PREVCURVES,VLOOKUP(G389,MOVE_DOWN2,2,FALSE()),FALSE())),VLOOKUP(G389,NGPREVPRICES,2,FALSE()),CK389,VLOOKUP(G389,NGPREVPRICES,4,FALSE()),HLOOKUP(D389,PREVVOLS,VLOOKUP(G389,MOVE_DOWN2,2,FALSE()),FALSE()),VLOOKUP(G389,NGPREVPRICES,3,FALSE()),HLOOKUP(D389,Correllate,VLOOKUP(G389,CorMove,2,FALSE()),FALSE()),Q389-$C$3,R389,$CJ$5)*H389-CJ389</f>
        <v>#NAME?</v>
      </c>
      <c r="CI389" s="253" t="e">
        <f aca="false">SUM(CD389:CH389)</f>
        <v>#NAME?</v>
      </c>
      <c r="CJ389" s="253" t="e">
        <f aca="false">xSPRDOPT((VLOOKUP(G389,NGPREVPRICES,2,FALSE())+HLOOKUP(D389,PREVCURVES,VLOOKUP(G389,MOVE_DOWN2,2,FALSE()),FALSE())),VLOOKUP(G389,NGPREVPRICES,2,FALSE()),CK389,VLOOKUP(G389,NGPREVPRICES,4,FALSE()),HLOOKUP(D389,PREVVOLS,VLOOKUP(G389,MOVE_DOWN2,2,FALSE()),FALSE()),VLOOKUP(G389,NGPREVPRICES,3,FALSE()),HLOOKUP(D389,Correllate,VLOOKUP(G389,CorMove,2,FALSE()),FALSE()),Q389-$CD$3,R389,$CJ$5)*H389</f>
        <v>#NAME?</v>
      </c>
      <c r="CK389" s="254" t="n">
        <f aca="false">I389</f>
        <v>0.7</v>
      </c>
      <c r="CM389" s="0" t="str">
        <f aca="false">CONCATENATE(CC389,$CD$6)</f>
        <v>36800Curve Shift/Gamma</v>
      </c>
      <c r="CN389" s="0" t="str">
        <f aca="false">CONCATENATE($CC389,$CE$6)</f>
        <v>36800Rho</v>
      </c>
      <c r="CO389" s="0" t="str">
        <f aca="false">CONCATENATE($CC389,$CF$6)</f>
        <v>36800Drift</v>
      </c>
      <c r="CP389" s="0" t="str">
        <f aca="false">CONCATENATE($CC389,$CG$6)</f>
        <v>36800Vega</v>
      </c>
      <c r="CQ389" s="0" t="str">
        <f aca="false">CONCATENATE($CC389,$CH$6)</f>
        <v>36800Theta</v>
      </c>
    </row>
    <row r="390" customFormat="false" ht="12.75" hidden="false" customHeight="false" outlineLevel="0" collapsed="false">
      <c r="A390" s="265" t="s">
        <v>198</v>
      </c>
      <c r="B390" s="0" t="s">
        <v>192</v>
      </c>
      <c r="C390" s="0" t="s">
        <v>338</v>
      </c>
      <c r="D390" s="7" t="s">
        <v>149</v>
      </c>
      <c r="E390" s="0" t="s">
        <v>131</v>
      </c>
      <c r="F390" s="0" t="s">
        <v>136</v>
      </c>
      <c r="G390" s="92" t="n">
        <v>36831</v>
      </c>
      <c r="H390" s="248" t="n">
        <v>-1000000</v>
      </c>
      <c r="I390" s="0" t="n">
        <v>1</v>
      </c>
      <c r="J390" s="124" t="n">
        <f aca="false">VLOOKUP(G390,NGPrices,2,FALSE())</f>
        <v>4.736</v>
      </c>
      <c r="K390" s="125" t="n">
        <f aca="false">HLOOKUP(D390,Prices,VLOOKUP(G390,move_down,2,FALSE()),FALSE())+VLOOKUP(G390,CHANGE,HLOOKUP(D390,CHANGE,2,FALSE()),FALSE())</f>
        <v>0.77</v>
      </c>
      <c r="L390" s="124" t="n">
        <f aca="false">K390+J390</f>
        <v>5.506</v>
      </c>
      <c r="M390" s="126" t="n">
        <f aca="false">VLOOKUP(G390,NGPrices,4,FALSE())</f>
        <v>0.06810675983792</v>
      </c>
      <c r="N390" s="7" t="n">
        <f aca="false">VLOOKUP(G390,NGPrices,3,FALSE())</f>
        <v>0.595</v>
      </c>
      <c r="O390" s="7" t="n">
        <f aca="false">HLOOKUP(D390,VOLS,VLOOKUP(G390,move_down,2,FALSE()),FALSE())</f>
        <v>0.625</v>
      </c>
      <c r="P390" s="249" t="n">
        <f aca="false">HLOOKUP(D390,Correllate,VLOOKUP(G390,CorMove,2,FALSE()),FALSE())</f>
        <v>0.89</v>
      </c>
      <c r="Q390" s="92" t="n">
        <f aca="false">WORKDAY(G390,-2)</f>
        <v>36829</v>
      </c>
      <c r="R390" s="7" t="n">
        <f aca="false">IF(F390="P",0,1)</f>
        <v>1</v>
      </c>
      <c r="S390" s="130" t="e">
        <f aca="false">xSPRDOPT($L390,$J390,$I390,$M390,$O390,$N390,$P390,$Q390-$C$3,$R390,0)</f>
        <v>#NAME?</v>
      </c>
      <c r="T390" s="250" t="e">
        <f aca="false">xSPRDOPT($L390,$J390,$I390,$M390,$O390,$N390,$P390,$Q390-$C$3,$R390,1)*H390</f>
        <v>#NAME?</v>
      </c>
      <c r="U390" s="43" t="e">
        <f aca="false">S390*H390</f>
        <v>#NAME?</v>
      </c>
      <c r="V390" s="250" t="e">
        <f aca="false">xSPRDOPT($L390,$J390,$I390,$M390,$O390,$N390,$P390,$Q390-$C$3,$R390,2)*H390</f>
        <v>#NAME?</v>
      </c>
      <c r="W390" s="250" t="e">
        <f aca="false">+V390+T390</f>
        <v>#NAME?</v>
      </c>
      <c r="X390" s="2" t="str">
        <f aca="false">CONCATENATE(G390,D390)</f>
        <v>36831IF-TRANSCO/Z6</v>
      </c>
      <c r="Y390" s="251" t="n">
        <f aca="false">H390/10000</f>
        <v>-100</v>
      </c>
      <c r="Z390" s="226" t="e">
        <f aca="false">T390/H390</f>
        <v>#NAME?</v>
      </c>
      <c r="AA390" s="226" t="e">
        <f aca="false">xSPRDOPT($L390,$J390,$I390,$M390,$O390,$N390,$P390,$Q390-$C$3,$R390,3)</f>
        <v>#NAME?</v>
      </c>
      <c r="AB390" s="226" t="e">
        <f aca="false">((xSPRDOPT($L390+AB$5,$J390,$I390,$M390,$O390,$N390,$P390,$Q390-$C$3,$R390,3)*$H390)/10000)/100</f>
        <v>#NAME?</v>
      </c>
      <c r="AC390" s="226" t="e">
        <f aca="false">((xSPRDOPT($L390+$AB$5,$J390,$I390,$M390,$O390,$N390,$P390,$Q390-$C$3,$R390,7)*$H390)/100)</f>
        <v>#NAME?</v>
      </c>
      <c r="AD390" s="226" t="e">
        <f aca="false">(xSPRDOPT($L390+$AB$5,$J390,$I390,$M390,$O390,$N390,$P390,$Q390-$C$3,$R390,9)/365)*$H390</f>
        <v>#NAME?</v>
      </c>
      <c r="AE390" s="0" t="e">
        <f aca="false">CD390</f>
        <v>#NAME?</v>
      </c>
      <c r="AF390" s="226" t="e">
        <f aca="false">((O390/N390)*AH390)+AG390</f>
        <v>#NAME?</v>
      </c>
      <c r="AG390" s="226" t="e">
        <f aca="false">((xSPRDOPT($L390,$J390,$I390,$M390,$O390,$N390,$P390,$Q390-$C$3,$R390,6)*$H390)/100)</f>
        <v>#NAME?</v>
      </c>
      <c r="AH390" s="226" t="e">
        <f aca="false">((xSPRDOPT($L390,$J390,$I390,$M390,$O390,$N390,$P390,$Q390-$C$3,$R390,5)*$H390)/100)</f>
        <v>#NAME?</v>
      </c>
      <c r="AI390" s="226" t="e">
        <f aca="false">(((xSPRDOPT($L390,$J390,$I390,$M390,$O390,$N390,$P390,$Q390-$C$3,$R390,4)*$H390)/10000)/100)-AB390</f>
        <v>#NAME?</v>
      </c>
      <c r="AJ390" s="226"/>
      <c r="AK390" s="226"/>
      <c r="AL390" s="226"/>
      <c r="AM390" s="252"/>
      <c r="CC390" s="182" t="n">
        <f aca="false">G390</f>
        <v>36831</v>
      </c>
      <c r="CD390" s="253" t="e">
        <f aca="false">xSPRDOPT((VLOOKUP(G390,NGPrices,2,FALSE())+HLOOKUP(D390,Prices,VLOOKUP(G390,move_down,2,FALSE()),FALSE())),VLOOKUP(G390,NGPrices,2,FALSE()),I390,VLOOKUP(G390,NGPREVPRICES,4,FALSE()),HLOOKUP(D390,PREVVOLS,VLOOKUP(G390,MOVE_DOWN2,2,FALSE()),FALSE()),VLOOKUP(G390,NGPREVPRICES,3,FALSE()),HLOOKUP(D390,Correllate,VLOOKUP(G390,CorMove,2,FALSE()),FALSE()),Q390-$CD$3,R390,$CD$5)*H390-CJ390</f>
        <v>#NAME?</v>
      </c>
      <c r="CE390" s="253" t="e">
        <f aca="false">xSPRDOPT((VLOOKUP(G390,NGPREVPRICES,2,FALSE())+HLOOKUP(D390,PREVCURVES,VLOOKUP(G390,MOVE_DOWN2,2,FALSE()),FALSE())),VLOOKUP(G390,NGPREVPRICES,2,FALSE()),CK390,VLOOKUP(G390,NGPrices,4,FALSE()),HLOOKUP(D390,PREVVOLS,VLOOKUP(G390,MOVE_DOWN2,2,FALSE()),FALSE()),VLOOKUP(G390,NGPREVPRICES,3,FALSE()),HLOOKUP(D390,Correllate,VLOOKUP(G390,CorMove,2,FALSE()),FALSE()),Q390-$CD$3,R390,$CJ$5)*H390-CJ390</f>
        <v>#NAME?</v>
      </c>
      <c r="CF390" s="132" t="e">
        <f aca="false">(CJ390/VLOOKUP(CC390,discount,3,FALSE()))-(CJ390/VLOOKUP(CC390,discount,2,FALSE()))</f>
        <v>#NAME?</v>
      </c>
      <c r="CG390" s="253" t="e">
        <f aca="false">xSPRDOPT((VLOOKUP(G390,NGPREVPRICES,2,FALSE())+HLOOKUP(D390,PREVCURVES,VLOOKUP(G390,MOVE_DOWN2,2,FALSE()),FALSE())),VLOOKUP(G390,NGPREVPRICES,2,FALSE()),CK390,VLOOKUP(G390,NGPREVPRICES,4,FALSE()),HLOOKUP(D390,VOLS,VLOOKUP(G390,move_down,2,FALSE()),FALSE()),VLOOKUP(G390,NGPrices,3,FALSE()),HLOOKUP(D390,Correllate,VLOOKUP(G390,CorMove,2,FALSE()),FALSE()),Q390-$CD$3,R390,$CJ$5)*H390-CJ390</f>
        <v>#NAME?</v>
      </c>
      <c r="CH390" s="253" t="e">
        <f aca="false">xSPRDOPT((VLOOKUP(G390,NGPREVPRICES,2,FALSE())+HLOOKUP(D390,PREVCURVES,VLOOKUP(G390,MOVE_DOWN2,2,FALSE()),FALSE())),VLOOKUP(G390,NGPREVPRICES,2,FALSE()),CK390,VLOOKUP(G390,NGPREVPRICES,4,FALSE()),HLOOKUP(D390,PREVVOLS,VLOOKUP(G390,MOVE_DOWN2,2,FALSE()),FALSE()),VLOOKUP(G390,NGPREVPRICES,3,FALSE()),HLOOKUP(D390,Correllate,VLOOKUP(G390,CorMove,2,FALSE()),FALSE()),Q390-$C$3,R390,$CJ$5)*H390-CJ390</f>
        <v>#NAME?</v>
      </c>
      <c r="CI390" s="253" t="e">
        <f aca="false">SUM(CD390:CH390)</f>
        <v>#NAME?</v>
      </c>
      <c r="CJ390" s="253" t="e">
        <f aca="false">xSPRDOPT((VLOOKUP(G390,NGPREVPRICES,2,FALSE())+HLOOKUP(D390,PREVCURVES,VLOOKUP(G390,MOVE_DOWN2,2,FALSE()),FALSE())),VLOOKUP(G390,NGPREVPRICES,2,FALSE()),CK390,VLOOKUP(G390,NGPREVPRICES,4,FALSE()),HLOOKUP(D390,PREVVOLS,VLOOKUP(G390,MOVE_DOWN2,2,FALSE()),FALSE()),VLOOKUP(G390,NGPREVPRICES,3,FALSE()),HLOOKUP(D390,Correllate,VLOOKUP(G390,CorMove,2,FALSE()),FALSE()),Q390-$CD$3,R390,$CJ$5)*H390</f>
        <v>#NAME?</v>
      </c>
      <c r="CK390" s="254" t="n">
        <f aca="false">I390</f>
        <v>1</v>
      </c>
      <c r="CM390" s="0" t="str">
        <f aca="false">CONCATENATE(CC390,$CD$6)</f>
        <v>36831Curve Shift/Gamma</v>
      </c>
      <c r="CN390" s="0" t="str">
        <f aca="false">CONCATENATE($CC390,$CE$6)</f>
        <v>36831Rho</v>
      </c>
      <c r="CO390" s="0" t="str">
        <f aca="false">CONCATENATE($CC390,$CF$6)</f>
        <v>36831Drift</v>
      </c>
      <c r="CP390" s="0" t="str">
        <f aca="false">CONCATENATE($CC390,$CG$6)</f>
        <v>36831Vega</v>
      </c>
      <c r="CQ390" s="0" t="str">
        <f aca="false">CONCATENATE($CC390,$CH$6)</f>
        <v>36831Theta</v>
      </c>
    </row>
    <row r="391" customFormat="false" ht="12.75" hidden="false" customHeight="false" outlineLevel="0" collapsed="false">
      <c r="A391" s="265" t="s">
        <v>198</v>
      </c>
      <c r="B391" s="0" t="s">
        <v>192</v>
      </c>
      <c r="C391" s="0" t="s">
        <v>339</v>
      </c>
      <c r="D391" s="7" t="s">
        <v>152</v>
      </c>
      <c r="E391" s="0" t="s">
        <v>131</v>
      </c>
      <c r="F391" s="0" t="s">
        <v>136</v>
      </c>
      <c r="G391" s="92" t="n">
        <v>36951</v>
      </c>
      <c r="H391" s="248" t="n">
        <v>-1500000</v>
      </c>
      <c r="I391" s="0" t="n">
        <v>0.3</v>
      </c>
      <c r="J391" s="124" t="n">
        <f aca="false">VLOOKUP(G391,NGPrices,2,FALSE())</f>
        <v>4.213</v>
      </c>
      <c r="K391" s="125" t="n">
        <f aca="false">HLOOKUP(D391,Prices,VLOOKUP(G391,move_down,2,FALSE()),FALSE())+VLOOKUP(G391,CHANGE,HLOOKUP(D391,CHANGE,2,FALSE()),FALSE())</f>
        <v>0.1225</v>
      </c>
      <c r="L391" s="124" t="n">
        <f aca="false">K391+J391</f>
        <v>4.3355</v>
      </c>
      <c r="M391" s="126" t="n">
        <f aca="false">VLOOKUP(G391,NGPrices,4,FALSE())</f>
        <v>0.068879814952707</v>
      </c>
      <c r="N391" s="7" t="n">
        <f aca="false">VLOOKUP(G391,NGPrices,3,FALSE())</f>
        <v>0.5325</v>
      </c>
      <c r="O391" s="7" t="n">
        <f aca="false">HLOOKUP(D391,VOLS,VLOOKUP(G391,move_down,2,FALSE()),FALSE())</f>
        <v>0.533</v>
      </c>
      <c r="P391" s="249" t="n">
        <f aca="false">HLOOKUP(D391,Correllate,VLOOKUP(G391,CorMove,2,FALSE()),FALSE())</f>
        <v>0.997</v>
      </c>
      <c r="Q391" s="92" t="n">
        <f aca="false">WORKDAY(G391,-2)</f>
        <v>36949</v>
      </c>
      <c r="R391" s="7" t="n">
        <f aca="false">IF(F391="P",0,1)</f>
        <v>1</v>
      </c>
      <c r="S391" s="130" t="e">
        <f aca="false">xSPRDOPT($L391,$J391,$I391,$M391,$O391,$N391,$P391,$Q391-$C$3,$R391,0)</f>
        <v>#NAME?</v>
      </c>
      <c r="T391" s="250" t="e">
        <f aca="false">xSPRDOPT($L391,$J391,$I391,$M391,$O391,$N391,$P391,$Q391-$C$3,$R391,1)*H391</f>
        <v>#NAME?</v>
      </c>
      <c r="U391" s="43" t="e">
        <f aca="false">S391*H391</f>
        <v>#NAME?</v>
      </c>
      <c r="V391" s="250" t="e">
        <f aca="false">xSPRDOPT($L391,$J391,$I391,$M391,$O391,$N391,$P391,$Q391-$C$3,$R391,2)*H391</f>
        <v>#NAME?</v>
      </c>
      <c r="W391" s="250" t="e">
        <f aca="false">+V391+T391</f>
        <v>#NAME?</v>
      </c>
      <c r="X391" s="2" t="str">
        <f aca="false">CONCATENATE(G391,D391)</f>
        <v>36951NGI/CHI. GATE</v>
      </c>
      <c r="Y391" s="251" t="n">
        <f aca="false">H391/10000</f>
        <v>-150</v>
      </c>
      <c r="Z391" s="226" t="e">
        <f aca="false">T391/H391</f>
        <v>#NAME?</v>
      </c>
      <c r="AA391" s="226" t="e">
        <f aca="false">xSPRDOPT($L391,$J391,$I391,$M391,$O391,$N391,$P391,$Q391-$C$3,$R391,3)</f>
        <v>#NAME?</v>
      </c>
      <c r="AB391" s="226" t="e">
        <f aca="false">((xSPRDOPT($L391+AB$5,$J391,$I391,$M391,$O391,$N391,$P391,$Q391-$C$3,$R391,3)*$H391)/10000)/100</f>
        <v>#NAME?</v>
      </c>
      <c r="AC391" s="226" t="e">
        <f aca="false">((xSPRDOPT($L391+$AB$5,$J391,$I391,$M391,$O391,$N391,$P391,$Q391-$C$3,$R391,7)*$H391)/100)</f>
        <v>#NAME?</v>
      </c>
      <c r="AD391" s="226" t="e">
        <f aca="false">(xSPRDOPT($L391+$AB$5,$J391,$I391,$M391,$O391,$N391,$P391,$Q391-$C$3,$R391,9)/365)*$H391</f>
        <v>#NAME?</v>
      </c>
      <c r="AE391" s="0" t="e">
        <f aca="false">CD391</f>
        <v>#NAME?</v>
      </c>
      <c r="AF391" s="226" t="e">
        <f aca="false">((O391/N391)*AH391)+AG391</f>
        <v>#NAME?</v>
      </c>
      <c r="AG391" s="226" t="e">
        <f aca="false">((xSPRDOPT($L391,$J391,$I391,$M391,$O391,$N391,$P391,$Q391-$C$3,$R391,6)*$H391)/100)</f>
        <v>#NAME?</v>
      </c>
      <c r="AH391" s="226" t="e">
        <f aca="false">((xSPRDOPT($L391,$J391,$I391,$M391,$O391,$N391,$P391,$Q391-$C$3,$R391,5)*$H391)/100)</f>
        <v>#NAME?</v>
      </c>
      <c r="AI391" s="226" t="e">
        <f aca="false">(((xSPRDOPT($L391,$J391,$I391,$M391,$O391,$N391,$P391,$Q391-$C$3,$R391,4)*$H391)/10000)/100)-AB391</f>
        <v>#NAME?</v>
      </c>
      <c r="AJ391" s="226"/>
      <c r="AK391" s="226"/>
      <c r="AL391" s="226"/>
      <c r="AM391" s="252"/>
      <c r="CC391" s="182" t="n">
        <f aca="false">G391</f>
        <v>36951</v>
      </c>
      <c r="CD391" s="253" t="e">
        <f aca="false">xSPRDOPT((VLOOKUP(G391,NGPrices,2,FALSE())+HLOOKUP(D391,Prices,VLOOKUP(G391,move_down,2,FALSE()),FALSE())),VLOOKUP(G391,NGPrices,2,FALSE()),I391,VLOOKUP(G391,NGPREVPRICES,4,FALSE()),HLOOKUP(D391,PREVVOLS,VLOOKUP(G391,MOVE_DOWN2,2,FALSE()),FALSE()),VLOOKUP(G391,NGPREVPRICES,3,FALSE()),HLOOKUP(D391,Correllate,VLOOKUP(G391,CorMove,2,FALSE()),FALSE()),Q391-$CD$3,R391,$CD$5)*H391-CJ391</f>
        <v>#NAME?</v>
      </c>
      <c r="CE391" s="253" t="e">
        <f aca="false">xSPRDOPT((VLOOKUP(G391,NGPREVPRICES,2,FALSE())+HLOOKUP(D391,PREVCURVES,VLOOKUP(G391,MOVE_DOWN2,2,FALSE()),FALSE())),VLOOKUP(G391,NGPREVPRICES,2,FALSE()),CK391,VLOOKUP(G391,NGPrices,4,FALSE()),HLOOKUP(D391,PREVVOLS,VLOOKUP(G391,MOVE_DOWN2,2,FALSE()),FALSE()),VLOOKUP(G391,NGPREVPRICES,3,FALSE()),HLOOKUP(D391,Correllate,VLOOKUP(G391,CorMove,2,FALSE()),FALSE()),Q391-$CD$3,R391,$CJ$5)*H391-CJ391</f>
        <v>#NAME?</v>
      </c>
      <c r="CF391" s="132" t="e">
        <f aca="false">(CJ391/VLOOKUP(CC391,discount,3,FALSE()))-(CJ391/VLOOKUP(CC391,discount,2,FALSE()))</f>
        <v>#NAME?</v>
      </c>
      <c r="CG391" s="253" t="e">
        <f aca="false">xSPRDOPT((VLOOKUP(G391,NGPREVPRICES,2,FALSE())+HLOOKUP(D391,PREVCURVES,VLOOKUP(G391,MOVE_DOWN2,2,FALSE()),FALSE())),VLOOKUP(G391,NGPREVPRICES,2,FALSE()),CK391,VLOOKUP(G391,NGPREVPRICES,4,FALSE()),HLOOKUP(D391,VOLS,VLOOKUP(G391,move_down,2,FALSE()),FALSE()),VLOOKUP(G391,NGPrices,3,FALSE()),HLOOKUP(D391,Correllate,VLOOKUP(G391,CorMove,2,FALSE()),FALSE()),Q391-$CD$3,R391,$CJ$5)*H391-CJ391</f>
        <v>#NAME?</v>
      </c>
      <c r="CH391" s="253" t="e">
        <f aca="false">xSPRDOPT((VLOOKUP(G391,NGPREVPRICES,2,FALSE())+HLOOKUP(D391,PREVCURVES,VLOOKUP(G391,MOVE_DOWN2,2,FALSE()),FALSE())),VLOOKUP(G391,NGPREVPRICES,2,FALSE()),CK391,VLOOKUP(G391,NGPREVPRICES,4,FALSE()),HLOOKUP(D391,PREVVOLS,VLOOKUP(G391,MOVE_DOWN2,2,FALSE()),FALSE()),VLOOKUP(G391,NGPREVPRICES,3,FALSE()),HLOOKUP(D391,Correllate,VLOOKUP(G391,CorMove,2,FALSE()),FALSE()),Q391-$C$3,R391,$CJ$5)*H391-CJ391</f>
        <v>#NAME?</v>
      </c>
      <c r="CI391" s="253" t="e">
        <f aca="false">SUM(CD391:CH391)</f>
        <v>#NAME?</v>
      </c>
      <c r="CJ391" s="253" t="e">
        <f aca="false">xSPRDOPT((VLOOKUP(G391,NGPREVPRICES,2,FALSE())+HLOOKUP(D391,PREVCURVES,VLOOKUP(G391,MOVE_DOWN2,2,FALSE()),FALSE())),VLOOKUP(G391,NGPREVPRICES,2,FALSE()),CK391,VLOOKUP(G391,NGPREVPRICES,4,FALSE()),HLOOKUP(D391,PREVVOLS,VLOOKUP(G391,MOVE_DOWN2,2,FALSE()),FALSE()),VLOOKUP(G391,NGPREVPRICES,3,FALSE()),HLOOKUP(D391,Correllate,VLOOKUP(G391,CorMove,2,FALSE()),FALSE()),Q391-$CD$3,R391,$CJ$5)*H391</f>
        <v>#NAME?</v>
      </c>
      <c r="CK391" s="254" t="n">
        <f aca="false">I391</f>
        <v>0.3</v>
      </c>
      <c r="CM391" s="0" t="str">
        <f aca="false">CONCATENATE(CC391,$CD$6)</f>
        <v>36951Curve Shift/Gamma</v>
      </c>
      <c r="CN391" s="0" t="str">
        <f aca="false">CONCATENATE($CC391,$CE$6)</f>
        <v>36951Rho</v>
      </c>
      <c r="CO391" s="0" t="str">
        <f aca="false">CONCATENATE($CC391,$CF$6)</f>
        <v>36951Drift</v>
      </c>
      <c r="CP391" s="0" t="str">
        <f aca="false">CONCATENATE($CC391,$CG$6)</f>
        <v>36951Vega</v>
      </c>
      <c r="CQ391" s="0" t="str">
        <f aca="false">CONCATENATE($CC391,$CH$6)</f>
        <v>36951Theta</v>
      </c>
    </row>
    <row r="392" customFormat="false" ht="12.75" hidden="false" customHeight="false" outlineLevel="0" collapsed="false">
      <c r="A392" s="265" t="s">
        <v>198</v>
      </c>
      <c r="B392" s="0" t="s">
        <v>192</v>
      </c>
      <c r="C392" s="0" t="s">
        <v>339</v>
      </c>
      <c r="D392" s="7" t="s">
        <v>152</v>
      </c>
      <c r="E392" s="0" t="s">
        <v>131</v>
      </c>
      <c r="F392" s="0" t="s">
        <v>136</v>
      </c>
      <c r="G392" s="92" t="n">
        <v>36923</v>
      </c>
      <c r="H392" s="248" t="n">
        <v>-1500000</v>
      </c>
      <c r="I392" s="0" t="n">
        <v>0.3</v>
      </c>
      <c r="J392" s="124" t="n">
        <f aca="false">VLOOKUP(G392,NGPrices,2,FALSE())</f>
        <v>4.48</v>
      </c>
      <c r="K392" s="125" t="n">
        <f aca="false">HLOOKUP(D392,Prices,VLOOKUP(G392,move_down,2,FALSE()),FALSE())+VLOOKUP(G392,CHANGE,HLOOKUP(D392,CHANGE,2,FALSE()),FALSE())</f>
        <v>0.1375</v>
      </c>
      <c r="L392" s="124" t="n">
        <f aca="false">K392+J392</f>
        <v>4.6175</v>
      </c>
      <c r="M392" s="126" t="n">
        <f aca="false">VLOOKUP(G392,NGPrices,4,FALSE())</f>
        <v>0.068640161611372</v>
      </c>
      <c r="N392" s="7" t="n">
        <f aca="false">VLOOKUP(G392,NGPrices,3,FALSE())</f>
        <v>0.5925</v>
      </c>
      <c r="O392" s="7" t="n">
        <f aca="false">HLOOKUP(D392,VOLS,VLOOKUP(G392,move_down,2,FALSE()),FALSE())</f>
        <v>0.593</v>
      </c>
      <c r="P392" s="249" t="n">
        <f aca="false">HLOOKUP(D392,Correllate,VLOOKUP(G392,CorMove,2,FALSE()),FALSE())</f>
        <v>0.997</v>
      </c>
      <c r="Q392" s="92" t="n">
        <f aca="false">WORKDAY(G392,-2)</f>
        <v>36921</v>
      </c>
      <c r="R392" s="7" t="n">
        <f aca="false">IF(F392="P",0,1)</f>
        <v>1</v>
      </c>
      <c r="S392" s="130" t="e">
        <f aca="false">xSPRDOPT($L392,$J392,$I392,$M392,$O392,$N392,$P392,$Q392-$C$3,$R392,0)</f>
        <v>#NAME?</v>
      </c>
      <c r="T392" s="250" t="e">
        <f aca="false">xSPRDOPT($L392,$J392,$I392,$M392,$O392,$N392,$P392,$Q392-$C$3,$R392,1)*H392</f>
        <v>#NAME?</v>
      </c>
      <c r="U392" s="43" t="e">
        <f aca="false">S392*H392</f>
        <v>#NAME?</v>
      </c>
      <c r="V392" s="250" t="e">
        <f aca="false">xSPRDOPT($L392,$J392,$I392,$M392,$O392,$N392,$P392,$Q392-$C$3,$R392,2)*H392</f>
        <v>#NAME?</v>
      </c>
      <c r="W392" s="250" t="e">
        <f aca="false">+V392+T392</f>
        <v>#NAME?</v>
      </c>
      <c r="X392" s="2" t="str">
        <f aca="false">CONCATENATE(G392,D392)</f>
        <v>36923NGI/CHI. GATE</v>
      </c>
      <c r="Y392" s="251" t="n">
        <f aca="false">H392/10000</f>
        <v>-150</v>
      </c>
      <c r="Z392" s="226" t="e">
        <f aca="false">T392/H392</f>
        <v>#NAME?</v>
      </c>
      <c r="AA392" s="226" t="e">
        <f aca="false">xSPRDOPT($L392,$J392,$I392,$M392,$O392,$N392,$P392,$Q392-$C$3,$R392,3)</f>
        <v>#NAME?</v>
      </c>
      <c r="AB392" s="226" t="e">
        <f aca="false">((xSPRDOPT($L392+AB$5,$J392,$I392,$M392,$O392,$N392,$P392,$Q392-$C$3,$R392,3)*$H392)/10000)/100</f>
        <v>#NAME?</v>
      </c>
      <c r="AC392" s="226" t="e">
        <f aca="false">((xSPRDOPT($L392+$AB$5,$J392,$I392,$M392,$O392,$N392,$P392,$Q392-$C$3,$R392,7)*$H392)/100)</f>
        <v>#NAME?</v>
      </c>
      <c r="AD392" s="226" t="e">
        <f aca="false">(xSPRDOPT($L392+$AB$5,$J392,$I392,$M392,$O392,$N392,$P392,$Q392-$C$3,$R392,9)/365)*$H392</f>
        <v>#NAME?</v>
      </c>
      <c r="AE392" s="0" t="e">
        <f aca="false">CD392</f>
        <v>#NAME?</v>
      </c>
      <c r="AF392" s="226" t="e">
        <f aca="false">((O392/N392)*AH392)+AG392</f>
        <v>#NAME?</v>
      </c>
      <c r="AG392" s="226" t="e">
        <f aca="false">((xSPRDOPT($L392,$J392,$I392,$M392,$O392,$N392,$P392,$Q392-$C$3,$R392,6)*$H392)/100)</f>
        <v>#NAME?</v>
      </c>
      <c r="AH392" s="226" t="e">
        <f aca="false">((xSPRDOPT($L392,$J392,$I392,$M392,$O392,$N392,$P392,$Q392-$C$3,$R392,5)*$H392)/100)</f>
        <v>#NAME?</v>
      </c>
      <c r="AI392" s="226" t="e">
        <f aca="false">(((xSPRDOPT($L392,$J392,$I392,$M392,$O392,$N392,$P392,$Q392-$C$3,$R392,4)*$H392)/10000)/100)-AB392</f>
        <v>#NAME?</v>
      </c>
      <c r="AJ392" s="226"/>
      <c r="AK392" s="226"/>
      <c r="AL392" s="226"/>
      <c r="AM392" s="252"/>
      <c r="CC392" s="182" t="n">
        <f aca="false">G392</f>
        <v>36923</v>
      </c>
      <c r="CD392" s="253" t="e">
        <f aca="false">xSPRDOPT((VLOOKUP(G392,NGPrices,2,FALSE())+HLOOKUP(D392,Prices,VLOOKUP(G392,move_down,2,FALSE()),FALSE())),VLOOKUP(G392,NGPrices,2,FALSE()),I392,VLOOKUP(G392,NGPREVPRICES,4,FALSE()),HLOOKUP(D392,PREVVOLS,VLOOKUP(G392,MOVE_DOWN2,2,FALSE()),FALSE()),VLOOKUP(G392,NGPREVPRICES,3,FALSE()),HLOOKUP(D392,Correllate,VLOOKUP(G392,CorMove,2,FALSE()),FALSE()),Q392-$CD$3,R392,$CD$5)*H392-CJ392</f>
        <v>#NAME?</v>
      </c>
      <c r="CE392" s="253" t="e">
        <f aca="false">xSPRDOPT((VLOOKUP(G392,NGPREVPRICES,2,FALSE())+HLOOKUP(D392,PREVCURVES,VLOOKUP(G392,MOVE_DOWN2,2,FALSE()),FALSE())),VLOOKUP(G392,NGPREVPRICES,2,FALSE()),CK392,VLOOKUP(G392,NGPrices,4,FALSE()),HLOOKUP(D392,PREVVOLS,VLOOKUP(G392,MOVE_DOWN2,2,FALSE()),FALSE()),VLOOKUP(G392,NGPREVPRICES,3,FALSE()),HLOOKUP(D392,Correllate,VLOOKUP(G392,CorMove,2,FALSE()),FALSE()),Q392-$CD$3,R392,$CJ$5)*H392-CJ392</f>
        <v>#NAME?</v>
      </c>
      <c r="CF392" s="132" t="e">
        <f aca="false">(CJ392/VLOOKUP(CC392,discount,3,FALSE()))-(CJ392/VLOOKUP(CC392,discount,2,FALSE()))</f>
        <v>#NAME?</v>
      </c>
      <c r="CG392" s="253" t="e">
        <f aca="false">xSPRDOPT((VLOOKUP(G392,NGPREVPRICES,2,FALSE())+HLOOKUP(D392,PREVCURVES,VLOOKUP(G392,MOVE_DOWN2,2,FALSE()),FALSE())),VLOOKUP(G392,NGPREVPRICES,2,FALSE()),CK392,VLOOKUP(G392,NGPREVPRICES,4,FALSE()),HLOOKUP(D392,VOLS,VLOOKUP(G392,move_down,2,FALSE()),FALSE()),VLOOKUP(G392,NGPrices,3,FALSE()),HLOOKUP(D392,Correllate,VLOOKUP(G392,CorMove,2,FALSE()),FALSE()),Q392-$CD$3,R392,$CJ$5)*H392-CJ392</f>
        <v>#NAME?</v>
      </c>
      <c r="CH392" s="253" t="e">
        <f aca="false">xSPRDOPT((VLOOKUP(G392,NGPREVPRICES,2,FALSE())+HLOOKUP(D392,PREVCURVES,VLOOKUP(G392,MOVE_DOWN2,2,FALSE()),FALSE())),VLOOKUP(G392,NGPREVPRICES,2,FALSE()),CK392,VLOOKUP(G392,NGPREVPRICES,4,FALSE()),HLOOKUP(D392,PREVVOLS,VLOOKUP(G392,MOVE_DOWN2,2,FALSE()),FALSE()),VLOOKUP(G392,NGPREVPRICES,3,FALSE()),HLOOKUP(D392,Correllate,VLOOKUP(G392,CorMove,2,FALSE()),FALSE()),Q392-$C$3,R392,$CJ$5)*H392-CJ392</f>
        <v>#NAME?</v>
      </c>
      <c r="CI392" s="253" t="e">
        <f aca="false">SUM(CD392:CH392)</f>
        <v>#NAME?</v>
      </c>
      <c r="CJ392" s="253" t="e">
        <f aca="false">xSPRDOPT((VLOOKUP(G392,NGPREVPRICES,2,FALSE())+HLOOKUP(D392,PREVCURVES,VLOOKUP(G392,MOVE_DOWN2,2,FALSE()),FALSE())),VLOOKUP(G392,NGPREVPRICES,2,FALSE()),CK392,VLOOKUP(G392,NGPREVPRICES,4,FALSE()),HLOOKUP(D392,PREVVOLS,VLOOKUP(G392,MOVE_DOWN2,2,FALSE()),FALSE()),VLOOKUP(G392,NGPREVPRICES,3,FALSE()),HLOOKUP(D392,Correllate,VLOOKUP(G392,CorMove,2,FALSE()),FALSE()),Q392-$CD$3,R392,$CJ$5)*H392</f>
        <v>#NAME?</v>
      </c>
      <c r="CK392" s="254" t="n">
        <f aca="false">I392</f>
        <v>0.3</v>
      </c>
      <c r="CM392" s="0" t="str">
        <f aca="false">CONCATENATE(CC392,$CD$6)</f>
        <v>36923Curve Shift/Gamma</v>
      </c>
      <c r="CN392" s="0" t="str">
        <f aca="false">CONCATENATE($CC392,$CE$6)</f>
        <v>36923Rho</v>
      </c>
      <c r="CO392" s="0" t="str">
        <f aca="false">CONCATENATE($CC392,$CF$6)</f>
        <v>36923Drift</v>
      </c>
      <c r="CP392" s="0" t="str">
        <f aca="false">CONCATENATE($CC392,$CG$6)</f>
        <v>36923Vega</v>
      </c>
      <c r="CQ392" s="0" t="str">
        <f aca="false">CONCATENATE($CC392,$CH$6)</f>
        <v>36923Theta</v>
      </c>
    </row>
    <row r="393" customFormat="false" ht="12.75" hidden="false" customHeight="false" outlineLevel="0" collapsed="false">
      <c r="A393" s="265" t="s">
        <v>198</v>
      </c>
      <c r="B393" s="0" t="s">
        <v>192</v>
      </c>
      <c r="C393" s="0" t="s">
        <v>339</v>
      </c>
      <c r="D393" s="7" t="s">
        <v>152</v>
      </c>
      <c r="E393" s="0" t="s">
        <v>131</v>
      </c>
      <c r="F393" s="0" t="s">
        <v>136</v>
      </c>
      <c r="G393" s="92" t="n">
        <v>36892</v>
      </c>
      <c r="H393" s="248" t="n">
        <v>-1500000</v>
      </c>
      <c r="I393" s="0" t="n">
        <v>0.3</v>
      </c>
      <c r="J393" s="124" t="n">
        <f aca="false">VLOOKUP(G393,NGPrices,2,FALSE())</f>
        <v>4.744</v>
      </c>
      <c r="K393" s="125" t="n">
        <f aca="false">HLOOKUP(D393,Prices,VLOOKUP(G393,move_down,2,FALSE()),FALSE())+VLOOKUP(G393,CHANGE,HLOOKUP(D393,CHANGE,2,FALSE()),FALSE())</f>
        <v>0.1275</v>
      </c>
      <c r="L393" s="124" t="n">
        <f aca="false">K393+J393</f>
        <v>4.8715</v>
      </c>
      <c r="M393" s="126" t="n">
        <f aca="false">VLOOKUP(G393,NGPrices,4,FALSE())</f>
        <v>0.068374831148491</v>
      </c>
      <c r="N393" s="7" t="n">
        <f aca="false">VLOOKUP(G393,NGPrices,3,FALSE())</f>
        <v>0.605</v>
      </c>
      <c r="O393" s="7" t="n">
        <f aca="false">HLOOKUP(D393,VOLS,VLOOKUP(G393,move_down,2,FALSE()),FALSE())</f>
        <v>0.605</v>
      </c>
      <c r="P393" s="249" t="n">
        <f aca="false">HLOOKUP(D393,Correllate,VLOOKUP(G393,CorMove,2,FALSE()),FALSE())</f>
        <v>0.997</v>
      </c>
      <c r="Q393" s="92" t="n">
        <f aca="false">WORKDAY(G393,-2)</f>
        <v>36888</v>
      </c>
      <c r="R393" s="7" t="n">
        <f aca="false">IF(F393="P",0,1)</f>
        <v>1</v>
      </c>
      <c r="S393" s="130" t="e">
        <f aca="false">xSPRDOPT($L393,$J393,$I393,$M393,$O393,$N393,$P393,$Q393-$C$3,$R393,0)</f>
        <v>#NAME?</v>
      </c>
      <c r="T393" s="250" t="e">
        <f aca="false">xSPRDOPT($L393,$J393,$I393,$M393,$O393,$N393,$P393,$Q393-$C$3,$R393,1)*H393</f>
        <v>#NAME?</v>
      </c>
      <c r="U393" s="43" t="e">
        <f aca="false">S393*H393</f>
        <v>#NAME?</v>
      </c>
      <c r="V393" s="250" t="e">
        <f aca="false">xSPRDOPT($L393,$J393,$I393,$M393,$O393,$N393,$P393,$Q393-$C$3,$R393,2)*H393</f>
        <v>#NAME?</v>
      </c>
      <c r="W393" s="250" t="e">
        <f aca="false">+V393+T393</f>
        <v>#NAME?</v>
      </c>
      <c r="X393" s="2" t="str">
        <f aca="false">CONCATENATE(G393,D393)</f>
        <v>36892NGI/CHI. GATE</v>
      </c>
      <c r="Y393" s="251" t="n">
        <f aca="false">H393/10000</f>
        <v>-150</v>
      </c>
      <c r="Z393" s="226" t="e">
        <f aca="false">T393/H393</f>
        <v>#NAME?</v>
      </c>
      <c r="AA393" s="226" t="e">
        <f aca="false">xSPRDOPT($L393,$J393,$I393,$M393,$O393,$N393,$P393,$Q393-$C$3,$R393,3)</f>
        <v>#NAME?</v>
      </c>
      <c r="AB393" s="226" t="e">
        <f aca="false">((xSPRDOPT($L393+AB$5,$J393,$I393,$M393,$O393,$N393,$P393,$Q393-$C$3,$R393,3)*$H393)/10000)/100</f>
        <v>#NAME?</v>
      </c>
      <c r="AC393" s="226" t="e">
        <f aca="false">((xSPRDOPT($L393+$AB$5,$J393,$I393,$M393,$O393,$N393,$P393,$Q393-$C$3,$R393,7)*$H393)/100)</f>
        <v>#NAME?</v>
      </c>
      <c r="AD393" s="226" t="e">
        <f aca="false">(xSPRDOPT($L393+$AB$5,$J393,$I393,$M393,$O393,$N393,$P393,$Q393-$C$3,$R393,9)/365)*$H393</f>
        <v>#NAME?</v>
      </c>
      <c r="AE393" s="0" t="e">
        <f aca="false">CD393</f>
        <v>#NAME?</v>
      </c>
      <c r="AF393" s="226" t="e">
        <f aca="false">((O393/N393)*AH393)+AG393</f>
        <v>#NAME?</v>
      </c>
      <c r="AG393" s="226" t="e">
        <f aca="false">((xSPRDOPT($L393,$J393,$I393,$M393,$O393,$N393,$P393,$Q393-$C$3,$R393,6)*$H393)/100)</f>
        <v>#NAME?</v>
      </c>
      <c r="AH393" s="226" t="e">
        <f aca="false">((xSPRDOPT($L393,$J393,$I393,$M393,$O393,$N393,$P393,$Q393-$C$3,$R393,5)*$H393)/100)</f>
        <v>#NAME?</v>
      </c>
      <c r="AI393" s="226" t="e">
        <f aca="false">(((xSPRDOPT($L393,$J393,$I393,$M393,$O393,$N393,$P393,$Q393-$C$3,$R393,4)*$H393)/10000)/100)-AB393</f>
        <v>#NAME?</v>
      </c>
      <c r="AJ393" s="226"/>
      <c r="AK393" s="226"/>
      <c r="AL393" s="226"/>
      <c r="AM393" s="252"/>
      <c r="CC393" s="182" t="n">
        <f aca="false">G393</f>
        <v>36892</v>
      </c>
      <c r="CD393" s="253" t="e">
        <f aca="false">xSPRDOPT((VLOOKUP(G393,NGPrices,2,FALSE())+HLOOKUP(D393,Prices,VLOOKUP(G393,move_down,2,FALSE()),FALSE())),VLOOKUP(G393,NGPrices,2,FALSE()),I393,VLOOKUP(G393,NGPREVPRICES,4,FALSE()),HLOOKUP(D393,PREVVOLS,VLOOKUP(G393,MOVE_DOWN2,2,FALSE()),FALSE()),VLOOKUP(G393,NGPREVPRICES,3,FALSE()),HLOOKUP(D393,Correllate,VLOOKUP(G393,CorMove,2,FALSE()),FALSE()),Q393-$CD$3,R393,$CD$5)*H393-CJ393</f>
        <v>#NAME?</v>
      </c>
      <c r="CE393" s="253" t="e">
        <f aca="false">xSPRDOPT((VLOOKUP(G393,NGPREVPRICES,2,FALSE())+HLOOKUP(D393,PREVCURVES,VLOOKUP(G393,MOVE_DOWN2,2,FALSE()),FALSE())),VLOOKUP(G393,NGPREVPRICES,2,FALSE()),CK393,VLOOKUP(G393,NGPrices,4,FALSE()),HLOOKUP(D393,PREVVOLS,VLOOKUP(G393,MOVE_DOWN2,2,FALSE()),FALSE()),VLOOKUP(G393,NGPREVPRICES,3,FALSE()),HLOOKUP(D393,Correllate,VLOOKUP(G393,CorMove,2,FALSE()),FALSE()),Q393-$CD$3,R393,$CJ$5)*H393-CJ393</f>
        <v>#NAME?</v>
      </c>
      <c r="CF393" s="132" t="e">
        <f aca="false">(CJ393/VLOOKUP(CC393,discount,3,FALSE()))-(CJ393/VLOOKUP(CC393,discount,2,FALSE()))</f>
        <v>#NAME?</v>
      </c>
      <c r="CG393" s="253" t="e">
        <f aca="false">xSPRDOPT((VLOOKUP(G393,NGPREVPRICES,2,FALSE())+HLOOKUP(D393,PREVCURVES,VLOOKUP(G393,MOVE_DOWN2,2,FALSE()),FALSE())),VLOOKUP(G393,NGPREVPRICES,2,FALSE()),CK393,VLOOKUP(G393,NGPREVPRICES,4,FALSE()),HLOOKUP(D393,VOLS,VLOOKUP(G393,move_down,2,FALSE()),FALSE()),VLOOKUP(G393,NGPrices,3,FALSE()),HLOOKUP(D393,Correllate,VLOOKUP(G393,CorMove,2,FALSE()),FALSE()),Q393-$CD$3,R393,$CJ$5)*H393-CJ393</f>
        <v>#NAME?</v>
      </c>
      <c r="CH393" s="253" t="e">
        <f aca="false">xSPRDOPT((VLOOKUP(G393,NGPREVPRICES,2,FALSE())+HLOOKUP(D393,PREVCURVES,VLOOKUP(G393,MOVE_DOWN2,2,FALSE()),FALSE())),VLOOKUP(G393,NGPREVPRICES,2,FALSE()),CK393,VLOOKUP(G393,NGPREVPRICES,4,FALSE()),HLOOKUP(D393,PREVVOLS,VLOOKUP(G393,MOVE_DOWN2,2,FALSE()),FALSE()),VLOOKUP(G393,NGPREVPRICES,3,FALSE()),HLOOKUP(D393,Correllate,VLOOKUP(G393,CorMove,2,FALSE()),FALSE()),Q393-$C$3,R393,$CJ$5)*H393-CJ393</f>
        <v>#NAME?</v>
      </c>
      <c r="CI393" s="253" t="e">
        <f aca="false">SUM(CD393:CH393)</f>
        <v>#NAME?</v>
      </c>
      <c r="CJ393" s="253" t="e">
        <f aca="false">xSPRDOPT((VLOOKUP(G393,NGPREVPRICES,2,FALSE())+HLOOKUP(D393,PREVCURVES,VLOOKUP(G393,MOVE_DOWN2,2,FALSE()),FALSE())),VLOOKUP(G393,NGPREVPRICES,2,FALSE()),CK393,VLOOKUP(G393,NGPREVPRICES,4,FALSE()),HLOOKUP(D393,PREVVOLS,VLOOKUP(G393,MOVE_DOWN2,2,FALSE()),FALSE()),VLOOKUP(G393,NGPREVPRICES,3,FALSE()),HLOOKUP(D393,Correllate,VLOOKUP(G393,CorMove,2,FALSE()),FALSE()),Q393-$CD$3,R393,$CJ$5)*H393</f>
        <v>#NAME?</v>
      </c>
      <c r="CK393" s="254" t="n">
        <f aca="false">I393</f>
        <v>0.3</v>
      </c>
      <c r="CM393" s="0" t="str">
        <f aca="false">CONCATENATE(CC393,$CD$6)</f>
        <v>36892Curve Shift/Gamma</v>
      </c>
      <c r="CN393" s="0" t="str">
        <f aca="false">CONCATENATE($CC393,$CE$6)</f>
        <v>36892Rho</v>
      </c>
      <c r="CO393" s="0" t="str">
        <f aca="false">CONCATENATE($CC393,$CF$6)</f>
        <v>36892Drift</v>
      </c>
      <c r="CP393" s="0" t="str">
        <f aca="false">CONCATENATE($CC393,$CG$6)</f>
        <v>36892Vega</v>
      </c>
      <c r="CQ393" s="0" t="str">
        <f aca="false">CONCATENATE($CC393,$CH$6)</f>
        <v>36892Theta</v>
      </c>
    </row>
    <row r="394" customFormat="false" ht="12.75" hidden="false" customHeight="false" outlineLevel="0" collapsed="false">
      <c r="A394" s="265" t="s">
        <v>198</v>
      </c>
      <c r="B394" s="0" t="s">
        <v>192</v>
      </c>
      <c r="C394" s="0" t="s">
        <v>339</v>
      </c>
      <c r="D394" s="7" t="s">
        <v>152</v>
      </c>
      <c r="E394" s="0" t="s">
        <v>131</v>
      </c>
      <c r="F394" s="0" t="s">
        <v>136</v>
      </c>
      <c r="G394" s="92" t="n">
        <v>36861</v>
      </c>
      <c r="H394" s="248" t="n">
        <v>-1500000</v>
      </c>
      <c r="I394" s="0" t="n">
        <v>0.3</v>
      </c>
      <c r="J394" s="124" t="n">
        <f aca="false">VLOOKUP(G394,NGPrices,2,FALSE())</f>
        <v>4.8</v>
      </c>
      <c r="K394" s="125" t="n">
        <f aca="false">HLOOKUP(D394,Prices,VLOOKUP(G394,move_down,2,FALSE()),FALSE())+VLOOKUP(G394,CHANGE,HLOOKUP(D394,CHANGE,2,FALSE()),FALSE())</f>
        <v>0.1</v>
      </c>
      <c r="L394" s="124" t="n">
        <f aca="false">K394+J394</f>
        <v>4.9</v>
      </c>
      <c r="M394" s="126" t="n">
        <f aca="false">VLOOKUP(G394,NGPrices,4,FALSE())</f>
        <v>0.068314027999354</v>
      </c>
      <c r="N394" s="7" t="n">
        <f aca="false">VLOOKUP(G394,NGPrices,3,FALSE())</f>
        <v>0.6</v>
      </c>
      <c r="O394" s="7" t="n">
        <f aca="false">HLOOKUP(D394,VOLS,VLOOKUP(G394,move_down,2,FALSE()),FALSE())</f>
        <v>0.6</v>
      </c>
      <c r="P394" s="249" t="n">
        <f aca="false">HLOOKUP(D394,Correllate,VLOOKUP(G394,CorMove,2,FALSE()),FALSE())</f>
        <v>0.997</v>
      </c>
      <c r="Q394" s="92" t="n">
        <f aca="false">WORKDAY(G394,-2)</f>
        <v>36859</v>
      </c>
      <c r="R394" s="7" t="n">
        <f aca="false">IF(F394="P",0,1)</f>
        <v>1</v>
      </c>
      <c r="S394" s="130" t="e">
        <f aca="false">xSPRDOPT($L394,$J394,$I394,$M394,$O394,$N394,$P394,$Q394-$C$3,$R394,0)</f>
        <v>#NAME?</v>
      </c>
      <c r="T394" s="250" t="e">
        <f aca="false">xSPRDOPT($L394,$J394,$I394,$M394,$O394,$N394,$P394,$Q394-$C$3,$R394,1)*H394</f>
        <v>#NAME?</v>
      </c>
      <c r="U394" s="43" t="e">
        <f aca="false">S394*H394</f>
        <v>#NAME?</v>
      </c>
      <c r="V394" s="250" t="e">
        <f aca="false">xSPRDOPT($L394,$J394,$I394,$M394,$O394,$N394,$P394,$Q394-$C$3,$R394,2)*H394</f>
        <v>#NAME?</v>
      </c>
      <c r="W394" s="250" t="e">
        <f aca="false">+V394+T394</f>
        <v>#NAME?</v>
      </c>
      <c r="X394" s="2" t="str">
        <f aca="false">CONCATENATE(G394,D394)</f>
        <v>36861NGI/CHI. GATE</v>
      </c>
      <c r="Y394" s="251" t="n">
        <f aca="false">H394/10000</f>
        <v>-150</v>
      </c>
      <c r="Z394" s="226" t="e">
        <f aca="false">T394/H394</f>
        <v>#NAME?</v>
      </c>
      <c r="AA394" s="226" t="e">
        <f aca="false">xSPRDOPT($L394,$J394,$I394,$M394,$O394,$N394,$P394,$Q394-$C$3,$R394,3)</f>
        <v>#NAME?</v>
      </c>
      <c r="AB394" s="226" t="e">
        <f aca="false">((xSPRDOPT($L394+AB$5,$J394,$I394,$M394,$O394,$N394,$P394,$Q394-$C$3,$R394,3)*$H394)/10000)/100</f>
        <v>#NAME?</v>
      </c>
      <c r="AC394" s="226" t="e">
        <f aca="false">((xSPRDOPT($L394+$AB$5,$J394,$I394,$M394,$O394,$N394,$P394,$Q394-$C$3,$R394,7)*$H394)/100)</f>
        <v>#NAME?</v>
      </c>
      <c r="AD394" s="226" t="e">
        <f aca="false">(xSPRDOPT($L394+$AB$5,$J394,$I394,$M394,$O394,$N394,$P394,$Q394-$C$3,$R394,9)/365)*$H394</f>
        <v>#NAME?</v>
      </c>
      <c r="AE394" s="0" t="e">
        <f aca="false">CD394</f>
        <v>#NAME?</v>
      </c>
      <c r="AF394" s="226" t="e">
        <f aca="false">((O394/N394)*AH394)+AG394</f>
        <v>#NAME?</v>
      </c>
      <c r="AG394" s="226" t="e">
        <f aca="false">((xSPRDOPT($L394,$J394,$I394,$M394,$O394,$N394,$P394,$Q394-$C$3,$R394,6)*$H394)/100)</f>
        <v>#NAME?</v>
      </c>
      <c r="AH394" s="226" t="e">
        <f aca="false">((xSPRDOPT($L394,$J394,$I394,$M394,$O394,$N394,$P394,$Q394-$C$3,$R394,5)*$H394)/100)</f>
        <v>#NAME?</v>
      </c>
      <c r="AI394" s="226" t="e">
        <f aca="false">(((xSPRDOPT($L394,$J394,$I394,$M394,$O394,$N394,$P394,$Q394-$C$3,$R394,4)*$H394)/10000)/100)-AB394</f>
        <v>#NAME?</v>
      </c>
      <c r="AJ394" s="226"/>
      <c r="AK394" s="226"/>
      <c r="AL394" s="226"/>
      <c r="AM394" s="252"/>
      <c r="CC394" s="182" t="n">
        <f aca="false">G394</f>
        <v>36861</v>
      </c>
      <c r="CD394" s="253" t="e">
        <f aca="false">xSPRDOPT((VLOOKUP(G394,NGPrices,2,FALSE())+HLOOKUP(D394,Prices,VLOOKUP(G394,move_down,2,FALSE()),FALSE())),VLOOKUP(G394,NGPrices,2,FALSE()),I394,VLOOKUP(G394,NGPREVPRICES,4,FALSE()),HLOOKUP(D394,PREVVOLS,VLOOKUP(G394,MOVE_DOWN2,2,FALSE()),FALSE()),VLOOKUP(G394,NGPREVPRICES,3,FALSE()),HLOOKUP(D394,Correllate,VLOOKUP(G394,CorMove,2,FALSE()),FALSE()),Q394-$CD$3,R394,$CD$5)*H394-CJ394</f>
        <v>#NAME?</v>
      </c>
      <c r="CE394" s="253" t="e">
        <f aca="false">xSPRDOPT((VLOOKUP(G394,NGPREVPRICES,2,FALSE())+HLOOKUP(D394,PREVCURVES,VLOOKUP(G394,MOVE_DOWN2,2,FALSE()),FALSE())),VLOOKUP(G394,NGPREVPRICES,2,FALSE()),CK394,VLOOKUP(G394,NGPrices,4,FALSE()),HLOOKUP(D394,PREVVOLS,VLOOKUP(G394,MOVE_DOWN2,2,FALSE()),FALSE()),VLOOKUP(G394,NGPREVPRICES,3,FALSE()),HLOOKUP(D394,Correllate,VLOOKUP(G394,CorMove,2,FALSE()),FALSE()),Q394-$CD$3,R394,$CJ$5)*H394-CJ394</f>
        <v>#NAME?</v>
      </c>
      <c r="CF394" s="132" t="e">
        <f aca="false">(CJ394/VLOOKUP(CC394,discount,3,FALSE()))-(CJ394/VLOOKUP(CC394,discount,2,FALSE()))</f>
        <v>#NAME?</v>
      </c>
      <c r="CG394" s="253" t="e">
        <f aca="false">xSPRDOPT((VLOOKUP(G394,NGPREVPRICES,2,FALSE())+HLOOKUP(D394,PREVCURVES,VLOOKUP(G394,MOVE_DOWN2,2,FALSE()),FALSE())),VLOOKUP(G394,NGPREVPRICES,2,FALSE()),CK394,VLOOKUP(G394,NGPREVPRICES,4,FALSE()),HLOOKUP(D394,VOLS,VLOOKUP(G394,move_down,2,FALSE()),FALSE()),VLOOKUP(G394,NGPrices,3,FALSE()),HLOOKUP(D394,Correllate,VLOOKUP(G394,CorMove,2,FALSE()),FALSE()),Q394-$CD$3,R394,$CJ$5)*H394-CJ394</f>
        <v>#NAME?</v>
      </c>
      <c r="CH394" s="253" t="e">
        <f aca="false">xSPRDOPT((VLOOKUP(G394,NGPREVPRICES,2,FALSE())+HLOOKUP(D394,PREVCURVES,VLOOKUP(G394,MOVE_DOWN2,2,FALSE()),FALSE())),VLOOKUP(G394,NGPREVPRICES,2,FALSE()),CK394,VLOOKUP(G394,NGPREVPRICES,4,FALSE()),HLOOKUP(D394,PREVVOLS,VLOOKUP(G394,MOVE_DOWN2,2,FALSE()),FALSE()),VLOOKUP(G394,NGPREVPRICES,3,FALSE()),HLOOKUP(D394,Correllate,VLOOKUP(G394,CorMove,2,FALSE()),FALSE()),Q394-$C$3,R394,$CJ$5)*H394-CJ394</f>
        <v>#NAME?</v>
      </c>
      <c r="CI394" s="253" t="e">
        <f aca="false">SUM(CD394:CH394)</f>
        <v>#NAME?</v>
      </c>
      <c r="CJ394" s="253" t="e">
        <f aca="false">xSPRDOPT((VLOOKUP(G394,NGPREVPRICES,2,FALSE())+HLOOKUP(D394,PREVCURVES,VLOOKUP(G394,MOVE_DOWN2,2,FALSE()),FALSE())),VLOOKUP(G394,NGPREVPRICES,2,FALSE()),CK394,VLOOKUP(G394,NGPREVPRICES,4,FALSE()),HLOOKUP(D394,PREVVOLS,VLOOKUP(G394,MOVE_DOWN2,2,FALSE()),FALSE()),VLOOKUP(G394,NGPREVPRICES,3,FALSE()),HLOOKUP(D394,Correllate,VLOOKUP(G394,CorMove,2,FALSE()),FALSE()),Q394-$CD$3,R394,$CJ$5)*H394</f>
        <v>#NAME?</v>
      </c>
      <c r="CK394" s="254" t="n">
        <f aca="false">I394</f>
        <v>0.3</v>
      </c>
      <c r="CM394" s="0" t="str">
        <f aca="false">CONCATENATE(CC394,$CD$6)</f>
        <v>36861Curve Shift/Gamma</v>
      </c>
      <c r="CN394" s="0" t="str">
        <f aca="false">CONCATENATE($CC394,$CE$6)</f>
        <v>36861Rho</v>
      </c>
      <c r="CO394" s="0" t="str">
        <f aca="false">CONCATENATE($CC394,$CF$6)</f>
        <v>36861Drift</v>
      </c>
      <c r="CP394" s="0" t="str">
        <f aca="false">CONCATENATE($CC394,$CG$6)</f>
        <v>36861Vega</v>
      </c>
      <c r="CQ394" s="0" t="str">
        <f aca="false">CONCATENATE($CC394,$CH$6)</f>
        <v>36861Theta</v>
      </c>
    </row>
    <row r="395" customFormat="false" ht="12.75" hidden="false" customHeight="false" outlineLevel="0" collapsed="false">
      <c r="A395" s="265" t="s">
        <v>198</v>
      </c>
      <c r="B395" s="0" t="s">
        <v>192</v>
      </c>
      <c r="C395" s="0" t="s">
        <v>339</v>
      </c>
      <c r="D395" s="7" t="s">
        <v>152</v>
      </c>
      <c r="E395" s="0" t="s">
        <v>131</v>
      </c>
      <c r="F395" s="0" t="s">
        <v>136</v>
      </c>
      <c r="G395" s="92" t="n">
        <v>36831</v>
      </c>
      <c r="H395" s="248" t="n">
        <v>-1500000</v>
      </c>
      <c r="I395" s="0" t="n">
        <v>0.3</v>
      </c>
      <c r="J395" s="124" t="n">
        <f aca="false">VLOOKUP(G395,NGPrices,2,FALSE())</f>
        <v>4.736</v>
      </c>
      <c r="K395" s="125" t="n">
        <f aca="false">HLOOKUP(D395,Prices,VLOOKUP(G395,move_down,2,FALSE()),FALSE())+VLOOKUP(G395,CHANGE,HLOOKUP(D395,CHANGE,2,FALSE()),FALSE())</f>
        <v>0.0875</v>
      </c>
      <c r="L395" s="124" t="n">
        <f aca="false">K395+J395</f>
        <v>4.8235</v>
      </c>
      <c r="M395" s="126" t="n">
        <f aca="false">VLOOKUP(G395,NGPrices,4,FALSE())</f>
        <v>0.06810675983792</v>
      </c>
      <c r="N395" s="7" t="n">
        <f aca="false">VLOOKUP(G395,NGPrices,3,FALSE())</f>
        <v>0.595</v>
      </c>
      <c r="O395" s="7" t="n">
        <f aca="false">HLOOKUP(D395,VOLS,VLOOKUP(G395,move_down,2,FALSE()),FALSE())</f>
        <v>0.595</v>
      </c>
      <c r="P395" s="249" t="n">
        <f aca="false">HLOOKUP(D395,Correllate,VLOOKUP(G395,CorMove,2,FALSE()),FALSE())</f>
        <v>0.997</v>
      </c>
      <c r="Q395" s="92" t="n">
        <f aca="false">WORKDAY(G395,-2)</f>
        <v>36829</v>
      </c>
      <c r="R395" s="7" t="n">
        <f aca="false">IF(F395="P",0,1)</f>
        <v>1</v>
      </c>
      <c r="S395" s="130" t="e">
        <f aca="false">xSPRDOPT($L395,$J395,$I395,$M395,$O395,$N395,$P395,$Q395-$C$3,$R395,0)</f>
        <v>#NAME?</v>
      </c>
      <c r="T395" s="250" t="e">
        <f aca="false">xSPRDOPT($L395,$J395,$I395,$M395,$O395,$N395,$P395,$Q395-$C$3,$R395,1)*H395</f>
        <v>#NAME?</v>
      </c>
      <c r="U395" s="43" t="e">
        <f aca="false">S395*H395</f>
        <v>#NAME?</v>
      </c>
      <c r="V395" s="250" t="e">
        <f aca="false">xSPRDOPT($L395,$J395,$I395,$M395,$O395,$N395,$P395,$Q395-$C$3,$R395,2)*H395</f>
        <v>#NAME?</v>
      </c>
      <c r="W395" s="250" t="e">
        <f aca="false">+V395+T395</f>
        <v>#NAME?</v>
      </c>
      <c r="X395" s="2" t="str">
        <f aca="false">CONCATENATE(G395,D395)</f>
        <v>36831NGI/CHI. GATE</v>
      </c>
      <c r="Y395" s="251" t="n">
        <f aca="false">H395/10000</f>
        <v>-150</v>
      </c>
      <c r="Z395" s="226" t="e">
        <f aca="false">T395/H395</f>
        <v>#NAME?</v>
      </c>
      <c r="AA395" s="226" t="e">
        <f aca="false">xSPRDOPT($L395,$J395,$I395,$M395,$O395,$N395,$P395,$Q395-$C$3,$R395,3)</f>
        <v>#NAME?</v>
      </c>
      <c r="AB395" s="226" t="e">
        <f aca="false">((xSPRDOPT($L395+AB$5,$J395,$I395,$M395,$O395,$N395,$P395,$Q395-$C$3,$R395,3)*$H395)/10000)/100</f>
        <v>#NAME?</v>
      </c>
      <c r="AC395" s="226" t="e">
        <f aca="false">((xSPRDOPT($L395+$AB$5,$J395,$I395,$M395,$O395,$N395,$P395,$Q395-$C$3,$R395,7)*$H395)/100)</f>
        <v>#NAME?</v>
      </c>
      <c r="AD395" s="226" t="e">
        <f aca="false">(xSPRDOPT($L395+$AB$5,$J395,$I395,$M395,$O395,$N395,$P395,$Q395-$C$3,$R395,9)/365)*$H395</f>
        <v>#NAME?</v>
      </c>
      <c r="AE395" s="0" t="e">
        <f aca="false">CD395</f>
        <v>#NAME?</v>
      </c>
      <c r="AF395" s="226" t="e">
        <f aca="false">((O395/N395)*AH395)+AG395</f>
        <v>#NAME?</v>
      </c>
      <c r="AG395" s="226" t="e">
        <f aca="false">((xSPRDOPT($L395,$J395,$I395,$M395,$O395,$N395,$P395,$Q395-$C$3,$R395,6)*$H395)/100)</f>
        <v>#NAME?</v>
      </c>
      <c r="AH395" s="226" t="e">
        <f aca="false">((xSPRDOPT($L395,$J395,$I395,$M395,$O395,$N395,$P395,$Q395-$C$3,$R395,5)*$H395)/100)</f>
        <v>#NAME?</v>
      </c>
      <c r="AI395" s="226" t="e">
        <f aca="false">(((xSPRDOPT($L395,$J395,$I395,$M395,$O395,$N395,$P395,$Q395-$C$3,$R395,4)*$H395)/10000)/100)-AB395</f>
        <v>#NAME?</v>
      </c>
      <c r="AJ395" s="226"/>
      <c r="AK395" s="226"/>
      <c r="AL395" s="226"/>
      <c r="AM395" s="252"/>
      <c r="CC395" s="182" t="n">
        <f aca="false">G395</f>
        <v>36831</v>
      </c>
      <c r="CD395" s="253" t="e">
        <f aca="false">xSPRDOPT((VLOOKUP(G395,NGPrices,2,FALSE())+HLOOKUP(D395,Prices,VLOOKUP(G395,move_down,2,FALSE()),FALSE())),VLOOKUP(G395,NGPrices,2,FALSE()),I395,VLOOKUP(G395,NGPREVPRICES,4,FALSE()),HLOOKUP(D395,PREVVOLS,VLOOKUP(G395,MOVE_DOWN2,2,FALSE()),FALSE()),VLOOKUP(G395,NGPREVPRICES,3,FALSE()),HLOOKUP(D395,Correllate,VLOOKUP(G395,CorMove,2,FALSE()),FALSE()),Q395-$CD$3,R395,$CD$5)*H395-CJ395</f>
        <v>#NAME?</v>
      </c>
      <c r="CE395" s="253" t="e">
        <f aca="false">xSPRDOPT((VLOOKUP(G395,NGPREVPRICES,2,FALSE())+HLOOKUP(D395,PREVCURVES,VLOOKUP(G395,MOVE_DOWN2,2,FALSE()),FALSE())),VLOOKUP(G395,NGPREVPRICES,2,FALSE()),CK395,VLOOKUP(G395,NGPrices,4,FALSE()),HLOOKUP(D395,PREVVOLS,VLOOKUP(G395,MOVE_DOWN2,2,FALSE()),FALSE()),VLOOKUP(G395,NGPREVPRICES,3,FALSE()),HLOOKUP(D395,Correllate,VLOOKUP(G395,CorMove,2,FALSE()),FALSE()),Q395-$CD$3,R395,$CJ$5)*H395-CJ395</f>
        <v>#NAME?</v>
      </c>
      <c r="CF395" s="132" t="e">
        <f aca="false">(CJ395/VLOOKUP(CC395,discount,3,FALSE()))-(CJ395/VLOOKUP(CC395,discount,2,FALSE()))</f>
        <v>#NAME?</v>
      </c>
      <c r="CG395" s="253" t="e">
        <f aca="false">xSPRDOPT((VLOOKUP(G395,NGPREVPRICES,2,FALSE())+HLOOKUP(D395,PREVCURVES,VLOOKUP(G395,MOVE_DOWN2,2,FALSE()),FALSE())),VLOOKUP(G395,NGPREVPRICES,2,FALSE()),CK395,VLOOKUP(G395,NGPREVPRICES,4,FALSE()),HLOOKUP(D395,VOLS,VLOOKUP(G395,move_down,2,FALSE()),FALSE()),VLOOKUP(G395,NGPrices,3,FALSE()),HLOOKUP(D395,Correllate,VLOOKUP(G395,CorMove,2,FALSE()),FALSE()),Q395-$CD$3,R395,$CJ$5)*H395-CJ395</f>
        <v>#NAME?</v>
      </c>
      <c r="CH395" s="253" t="e">
        <f aca="false">xSPRDOPT((VLOOKUP(G395,NGPREVPRICES,2,FALSE())+HLOOKUP(D395,PREVCURVES,VLOOKUP(G395,MOVE_DOWN2,2,FALSE()),FALSE())),VLOOKUP(G395,NGPREVPRICES,2,FALSE()),CK395,VLOOKUP(G395,NGPREVPRICES,4,FALSE()),HLOOKUP(D395,PREVVOLS,VLOOKUP(G395,MOVE_DOWN2,2,FALSE()),FALSE()),VLOOKUP(G395,NGPREVPRICES,3,FALSE()),HLOOKUP(D395,Correllate,VLOOKUP(G395,CorMove,2,FALSE()),FALSE()),Q395-$C$3,R395,$CJ$5)*H395-CJ395</f>
        <v>#NAME?</v>
      </c>
      <c r="CI395" s="253" t="e">
        <f aca="false">SUM(CD395:CH395)</f>
        <v>#NAME?</v>
      </c>
      <c r="CJ395" s="253" t="e">
        <f aca="false">xSPRDOPT((VLOOKUP(G395,NGPREVPRICES,2,FALSE())+HLOOKUP(D395,PREVCURVES,VLOOKUP(G395,MOVE_DOWN2,2,FALSE()),FALSE())),VLOOKUP(G395,NGPREVPRICES,2,FALSE()),CK395,VLOOKUP(G395,NGPREVPRICES,4,FALSE()),HLOOKUP(D395,PREVVOLS,VLOOKUP(G395,MOVE_DOWN2,2,FALSE()),FALSE()),VLOOKUP(G395,NGPREVPRICES,3,FALSE()),HLOOKUP(D395,Correllate,VLOOKUP(G395,CorMove,2,FALSE()),FALSE()),Q395-$CD$3,R395,$CJ$5)*H395</f>
        <v>#NAME?</v>
      </c>
      <c r="CK395" s="254" t="n">
        <f aca="false">I395</f>
        <v>0.3</v>
      </c>
      <c r="CM395" s="0" t="str">
        <f aca="false">CONCATENATE(CC395,$CD$6)</f>
        <v>36831Curve Shift/Gamma</v>
      </c>
      <c r="CN395" s="0" t="str">
        <f aca="false">CONCATENATE($CC395,$CE$6)</f>
        <v>36831Rho</v>
      </c>
      <c r="CO395" s="0" t="str">
        <f aca="false">CONCATENATE($CC395,$CF$6)</f>
        <v>36831Drift</v>
      </c>
      <c r="CP395" s="0" t="str">
        <f aca="false">CONCATENATE($CC395,$CG$6)</f>
        <v>36831Vega</v>
      </c>
      <c r="CQ395" s="0" t="str">
        <f aca="false">CONCATENATE($CC395,$CH$6)</f>
        <v>36831Theta</v>
      </c>
    </row>
    <row r="396" customFormat="false" ht="12.75" hidden="false" customHeight="false" outlineLevel="0" collapsed="false">
      <c r="A396" s="265" t="s">
        <v>210</v>
      </c>
      <c r="B396" s="0" t="s">
        <v>192</v>
      </c>
      <c r="C396" s="0" t="s">
        <v>340</v>
      </c>
      <c r="D396" s="7" t="s">
        <v>149</v>
      </c>
      <c r="E396" s="0" t="s">
        <v>131</v>
      </c>
      <c r="F396" s="0" t="s">
        <v>132</v>
      </c>
      <c r="G396" s="92" t="n">
        <v>36800</v>
      </c>
      <c r="H396" s="248" t="n">
        <v>465000</v>
      </c>
      <c r="I396" s="0" t="n">
        <v>0.55</v>
      </c>
      <c r="J396" s="124" t="n">
        <f aca="false">VLOOKUP(G396,NGPrices,2,FALSE())</f>
        <v>4.692</v>
      </c>
      <c r="K396" s="125" t="n">
        <f aca="false">HLOOKUP(D396,Prices,VLOOKUP(G396,move_down,2,FALSE()),FALSE())+VLOOKUP(G396,CHANGE,HLOOKUP(D396,CHANGE,2,FALSE()),FALSE())</f>
        <v>0.415</v>
      </c>
      <c r="L396" s="124" t="n">
        <f aca="false">K396+J396</f>
        <v>5.107</v>
      </c>
      <c r="M396" s="126" t="n">
        <f aca="false">VLOOKUP(G396,NGPrices,4,FALSE())</f>
        <v>0.068050789414654</v>
      </c>
      <c r="N396" s="7" t="n">
        <f aca="false">VLOOKUP(G396,NGPrices,3,FALSE())</f>
        <v>0.575</v>
      </c>
      <c r="O396" s="7" t="n">
        <f aca="false">HLOOKUP(D396,VOLS,VLOOKUP(G396,move_down,2,FALSE()),FALSE())</f>
        <v>0.564</v>
      </c>
      <c r="P396" s="249" t="n">
        <f aca="false">HLOOKUP(D396,Correllate,VLOOKUP(G396,CorMove,2,FALSE()),FALSE())</f>
        <v>0.9925</v>
      </c>
      <c r="Q396" s="92" t="n">
        <f aca="false">WORKDAY(G396,-2)</f>
        <v>36797</v>
      </c>
      <c r="R396" s="7" t="n">
        <f aca="false">IF(F396="P",0,1)</f>
        <v>0</v>
      </c>
      <c r="S396" s="130" t="e">
        <f aca="false">xSPRDOPT($L396,$J396,$I396,$M396,$O396,$N396,$P396,$Q396-$C$3,$R396,0)</f>
        <v>#NAME?</v>
      </c>
      <c r="T396" s="250" t="e">
        <f aca="false">xSPRDOPT($L396,$J396,$I396,$M396,$O396,$N396,$P396,$Q396-$C$3,$R396,1)*H396</f>
        <v>#NAME?</v>
      </c>
      <c r="U396" s="43" t="e">
        <f aca="false">S396*H396</f>
        <v>#NAME?</v>
      </c>
      <c r="V396" s="250" t="e">
        <f aca="false">xSPRDOPT($L396,$J396,$I396,$M396,$O396,$N396,$P396,$Q396-$C$3,$R396,2)*H396</f>
        <v>#NAME?</v>
      </c>
      <c r="W396" s="250" t="e">
        <f aca="false">+V396+T396</f>
        <v>#NAME?</v>
      </c>
      <c r="X396" s="2" t="str">
        <f aca="false">CONCATENATE(G396,D396)</f>
        <v>36800IF-TRANSCO/Z6</v>
      </c>
      <c r="Y396" s="251" t="n">
        <f aca="false">H396/10000</f>
        <v>46.5</v>
      </c>
      <c r="Z396" s="226" t="e">
        <f aca="false">T396/H396</f>
        <v>#NAME?</v>
      </c>
      <c r="AA396" s="226" t="e">
        <f aca="false">xSPRDOPT($L396,$J396,$I396,$M396,$O396,$N396,$P396,$Q396-$C$3,$R396,3)</f>
        <v>#NAME?</v>
      </c>
      <c r="AB396" s="226" t="e">
        <f aca="false">((xSPRDOPT($L396+AB$5,$J396,$I396,$M396,$O396,$N396,$P396,$Q396-$C$3,$R396,3)*$H396)/10000)/100</f>
        <v>#NAME?</v>
      </c>
      <c r="AC396" s="226" t="e">
        <f aca="false">((xSPRDOPT($L396+$AB$5,$J396,$I396,$M396,$O396,$N396,$P396,$Q396-$C$3,$R396,7)*$H396)/100)</f>
        <v>#NAME?</v>
      </c>
      <c r="AD396" s="226" t="e">
        <f aca="false">(xSPRDOPT($L396+$AB$5,$J396,$I396,$M396,$O396,$N396,$P396,$Q396-$C$3,$R396,9)/365)*$H396</f>
        <v>#NAME?</v>
      </c>
      <c r="AE396" s="0" t="e">
        <f aca="false">CD396</f>
        <v>#NAME?</v>
      </c>
      <c r="AF396" s="226" t="e">
        <f aca="false">((O396/N396)*AH396)+AG396</f>
        <v>#NAME?</v>
      </c>
      <c r="AG396" s="226" t="e">
        <f aca="false">((xSPRDOPT($L396,$J396,$I396,$M396,$O396,$N396,$P396,$Q396-$C$3,$R396,6)*$H396)/100)</f>
        <v>#NAME?</v>
      </c>
      <c r="AH396" s="226" t="e">
        <f aca="false">((xSPRDOPT($L396,$J396,$I396,$M396,$O396,$N396,$P396,$Q396-$C$3,$R396,5)*$H396)/100)</f>
        <v>#NAME?</v>
      </c>
      <c r="AI396" s="226" t="e">
        <f aca="false">(((xSPRDOPT($L396,$J396,$I396,$M396,$O396,$N396,$P396,$Q396-$C$3,$R396,4)*$H396)/10000)/100)-AB396</f>
        <v>#NAME?</v>
      </c>
      <c r="AJ396" s="226"/>
      <c r="AK396" s="226"/>
      <c r="AL396" s="226"/>
      <c r="AM396" s="252"/>
      <c r="CC396" s="182" t="n">
        <f aca="false">G396</f>
        <v>36800</v>
      </c>
      <c r="CD396" s="253" t="e">
        <f aca="false">xSPRDOPT((VLOOKUP(G396,NGPrices,2,FALSE())+HLOOKUP(D396,Prices,VLOOKUP(G396,move_down,2,FALSE()),FALSE())),VLOOKUP(G396,NGPrices,2,FALSE()),I396,VLOOKUP(G396,NGPREVPRICES,4,FALSE()),HLOOKUP(D396,PREVVOLS,VLOOKUP(G396,MOVE_DOWN2,2,FALSE()),FALSE()),VLOOKUP(G396,NGPREVPRICES,3,FALSE()),HLOOKUP(D396,Correllate,VLOOKUP(G396,CorMove,2,FALSE()),FALSE()),Q396-$CD$3,R396,$CD$5)*H396-CJ396</f>
        <v>#NAME?</v>
      </c>
      <c r="CE396" s="253" t="e">
        <f aca="false">xSPRDOPT((VLOOKUP(G396,NGPREVPRICES,2,FALSE())+HLOOKUP(D396,PREVCURVES,VLOOKUP(G396,MOVE_DOWN2,2,FALSE()),FALSE())),VLOOKUP(G396,NGPREVPRICES,2,FALSE()),CK396,VLOOKUP(G396,NGPrices,4,FALSE()),HLOOKUP(D396,PREVVOLS,VLOOKUP(G396,MOVE_DOWN2,2,FALSE()),FALSE()),VLOOKUP(G396,NGPREVPRICES,3,FALSE()),HLOOKUP(D396,Correllate,VLOOKUP(G396,CorMove,2,FALSE()),FALSE()),Q396-$CD$3,R396,$CJ$5)*H396-CJ396</f>
        <v>#NAME?</v>
      </c>
      <c r="CF396" s="132" t="e">
        <f aca="false">(CJ396/VLOOKUP(CC396,discount,3,FALSE()))-(CJ396/VLOOKUP(CC396,discount,2,FALSE()))</f>
        <v>#NAME?</v>
      </c>
      <c r="CG396" s="253" t="e">
        <f aca="false">xSPRDOPT((VLOOKUP(G396,NGPREVPRICES,2,FALSE())+HLOOKUP(D396,PREVCURVES,VLOOKUP(G396,MOVE_DOWN2,2,FALSE()),FALSE())),VLOOKUP(G396,NGPREVPRICES,2,FALSE()),CK396,VLOOKUP(G396,NGPREVPRICES,4,FALSE()),HLOOKUP(D396,VOLS,VLOOKUP(G396,move_down,2,FALSE()),FALSE()),VLOOKUP(G396,NGPrices,3,FALSE()),HLOOKUP(D396,Correllate,VLOOKUP(G396,CorMove,2,FALSE()),FALSE()),Q396-$CD$3,R396,$CJ$5)*H396-CJ396</f>
        <v>#NAME?</v>
      </c>
      <c r="CH396" s="253" t="e">
        <f aca="false">xSPRDOPT((VLOOKUP(G396,NGPREVPRICES,2,FALSE())+HLOOKUP(D396,PREVCURVES,VLOOKUP(G396,MOVE_DOWN2,2,FALSE()),FALSE())),VLOOKUP(G396,NGPREVPRICES,2,FALSE()),CK396,VLOOKUP(G396,NGPREVPRICES,4,FALSE()),HLOOKUP(D396,PREVVOLS,VLOOKUP(G396,MOVE_DOWN2,2,FALSE()),FALSE()),VLOOKUP(G396,NGPREVPRICES,3,FALSE()),HLOOKUP(D396,Correllate,VLOOKUP(G396,CorMove,2,FALSE()),FALSE()),Q396-$C$3,R396,$CJ$5)*H396-CJ396</f>
        <v>#NAME?</v>
      </c>
      <c r="CI396" s="253" t="e">
        <f aca="false">SUM(CD396:CH396)</f>
        <v>#NAME?</v>
      </c>
      <c r="CJ396" s="253" t="e">
        <f aca="false">xSPRDOPT((VLOOKUP(G396,NGPREVPRICES,2,FALSE())+HLOOKUP(D396,PREVCURVES,VLOOKUP(G396,MOVE_DOWN2,2,FALSE()),FALSE())),VLOOKUP(G396,NGPREVPRICES,2,FALSE()),CK396,VLOOKUP(G396,NGPREVPRICES,4,FALSE()),HLOOKUP(D396,PREVVOLS,VLOOKUP(G396,MOVE_DOWN2,2,FALSE()),FALSE()),VLOOKUP(G396,NGPREVPRICES,3,FALSE()),HLOOKUP(D396,Correllate,VLOOKUP(G396,CorMove,2,FALSE()),FALSE()),Q396-$CD$3,R396,$CJ$5)*H396</f>
        <v>#NAME?</v>
      </c>
      <c r="CK396" s="254" t="n">
        <f aca="false">I396</f>
        <v>0.55</v>
      </c>
      <c r="CM396" s="0" t="str">
        <f aca="false">CONCATENATE(CC396,$CD$6)</f>
        <v>36800Curve Shift/Gamma</v>
      </c>
      <c r="CN396" s="0" t="str">
        <f aca="false">CONCATENATE($CC396,$CE$6)</f>
        <v>36800Rho</v>
      </c>
      <c r="CO396" s="0" t="str">
        <f aca="false">CONCATENATE($CC396,$CF$6)</f>
        <v>36800Drift</v>
      </c>
      <c r="CP396" s="0" t="str">
        <f aca="false">CONCATENATE($CC396,$CG$6)</f>
        <v>36800Vega</v>
      </c>
      <c r="CQ396" s="0" t="str">
        <f aca="false">CONCATENATE($CC396,$CH$6)</f>
        <v>36800Theta</v>
      </c>
    </row>
    <row r="397" customFormat="false" ht="12.75" hidden="false" customHeight="false" outlineLevel="0" collapsed="false">
      <c r="A397" s="265" t="s">
        <v>198</v>
      </c>
      <c r="B397" s="0" t="s">
        <v>192</v>
      </c>
      <c r="C397" s="0" t="s">
        <v>341</v>
      </c>
      <c r="D397" s="7" t="s">
        <v>149</v>
      </c>
      <c r="E397" s="0" t="s">
        <v>131</v>
      </c>
      <c r="F397" s="0" t="s">
        <v>136</v>
      </c>
      <c r="G397" s="92" t="n">
        <v>36831</v>
      </c>
      <c r="H397" s="248" t="n">
        <v>-500000</v>
      </c>
      <c r="I397" s="0" t="n">
        <v>1</v>
      </c>
      <c r="J397" s="124" t="n">
        <f aca="false">VLOOKUP(G397,NGPrices,2,FALSE())</f>
        <v>4.736</v>
      </c>
      <c r="K397" s="125" t="n">
        <f aca="false">HLOOKUP(D397,Prices,VLOOKUP(G397,move_down,2,FALSE()),FALSE())+VLOOKUP(G397,CHANGE,HLOOKUP(D397,CHANGE,2,FALSE()),FALSE())</f>
        <v>0.77</v>
      </c>
      <c r="L397" s="124" t="n">
        <f aca="false">K397+J397</f>
        <v>5.506</v>
      </c>
      <c r="M397" s="126" t="n">
        <f aca="false">VLOOKUP(G397,NGPrices,4,FALSE())</f>
        <v>0.06810675983792</v>
      </c>
      <c r="N397" s="7" t="n">
        <f aca="false">VLOOKUP(G397,NGPrices,3,FALSE())</f>
        <v>0.595</v>
      </c>
      <c r="O397" s="7" t="n">
        <f aca="false">HLOOKUP(D397,VOLS,VLOOKUP(G397,move_down,2,FALSE()),FALSE())</f>
        <v>0.625</v>
      </c>
      <c r="P397" s="249" t="n">
        <f aca="false">HLOOKUP(D397,Correllate,VLOOKUP(G397,CorMove,2,FALSE()),FALSE())</f>
        <v>0.89</v>
      </c>
      <c r="Q397" s="92" t="n">
        <f aca="false">WORKDAY(G397,-2)</f>
        <v>36829</v>
      </c>
      <c r="R397" s="7" t="n">
        <f aca="false">IF(F397="P",0,1)</f>
        <v>1</v>
      </c>
      <c r="S397" s="130" t="e">
        <f aca="false">xSPRDOPT($L397,$J397,$I397,$M397,$O397,$N397,$P397,$Q397-$C$3,$R397,0)</f>
        <v>#NAME?</v>
      </c>
      <c r="T397" s="250" t="e">
        <f aca="false">xSPRDOPT($L397,$J397,$I397,$M397,$O397,$N397,$P397,$Q397-$C$3,$R397,1)*H397</f>
        <v>#NAME?</v>
      </c>
      <c r="U397" s="43" t="e">
        <f aca="false">S397*H397</f>
        <v>#NAME?</v>
      </c>
      <c r="V397" s="250" t="e">
        <f aca="false">xSPRDOPT($L397,$J397,$I397,$M397,$O397,$N397,$P397,$Q397-$C$3,$R397,2)*H397</f>
        <v>#NAME?</v>
      </c>
      <c r="W397" s="250" t="e">
        <f aca="false">+V397+T397</f>
        <v>#NAME?</v>
      </c>
      <c r="X397" s="2" t="str">
        <f aca="false">CONCATENATE(G397,D397)</f>
        <v>36831IF-TRANSCO/Z6</v>
      </c>
      <c r="Y397" s="251" t="n">
        <f aca="false">H397/10000</f>
        <v>-50</v>
      </c>
      <c r="Z397" s="226" t="e">
        <f aca="false">T397/H397</f>
        <v>#NAME?</v>
      </c>
      <c r="AA397" s="226" t="e">
        <f aca="false">xSPRDOPT($L397,$J397,$I397,$M397,$O397,$N397,$P397,$Q397-$C$3,$R397,3)</f>
        <v>#NAME?</v>
      </c>
      <c r="AB397" s="226" t="e">
        <f aca="false">((xSPRDOPT($L397+AB$5,$J397,$I397,$M397,$O397,$N397,$P397,$Q397-$C$3,$R397,3)*$H397)/10000)/100</f>
        <v>#NAME?</v>
      </c>
      <c r="AC397" s="226" t="e">
        <f aca="false">((xSPRDOPT($L397+$AB$5,$J397,$I397,$M397,$O397,$N397,$P397,$Q397-$C$3,$R397,7)*$H397)/100)</f>
        <v>#NAME?</v>
      </c>
      <c r="AD397" s="226" t="e">
        <f aca="false">(xSPRDOPT($L397+$AB$5,$J397,$I397,$M397,$O397,$N397,$P397,$Q397-$C$3,$R397,9)/365)*$H397</f>
        <v>#NAME?</v>
      </c>
      <c r="AE397" s="0" t="e">
        <f aca="false">CD397</f>
        <v>#NAME?</v>
      </c>
      <c r="AF397" s="226" t="e">
        <f aca="false">((O397/N397)*AH397)+AG397</f>
        <v>#NAME?</v>
      </c>
      <c r="AG397" s="226" t="e">
        <f aca="false">((xSPRDOPT($L397,$J397,$I397,$M397,$O397,$N397,$P397,$Q397-$C$3,$R397,6)*$H397)/100)</f>
        <v>#NAME?</v>
      </c>
      <c r="AH397" s="226" t="e">
        <f aca="false">((xSPRDOPT($L397,$J397,$I397,$M397,$O397,$N397,$P397,$Q397-$C$3,$R397,5)*$H397)/100)</f>
        <v>#NAME?</v>
      </c>
      <c r="AI397" s="226" t="e">
        <f aca="false">(((xSPRDOPT($L397,$J397,$I397,$M397,$O397,$N397,$P397,$Q397-$C$3,$R397,4)*$H397)/10000)/100)-AB397</f>
        <v>#NAME?</v>
      </c>
      <c r="AJ397" s="226"/>
      <c r="AK397" s="226"/>
      <c r="AL397" s="226"/>
      <c r="AM397" s="252"/>
      <c r="CC397" s="182" t="n">
        <f aca="false">G397</f>
        <v>36831</v>
      </c>
      <c r="CD397" s="253" t="e">
        <f aca="false">xSPRDOPT((VLOOKUP(G397,NGPrices,2,FALSE())+HLOOKUP(D397,Prices,VLOOKUP(G397,move_down,2,FALSE()),FALSE())),VLOOKUP(G397,NGPrices,2,FALSE()),I397,VLOOKUP(G397,NGPREVPRICES,4,FALSE()),HLOOKUP(D397,PREVVOLS,VLOOKUP(G397,MOVE_DOWN2,2,FALSE()),FALSE()),VLOOKUP(G397,NGPREVPRICES,3,FALSE()),HLOOKUP(D397,Correllate,VLOOKUP(G397,CorMove,2,FALSE()),FALSE()),Q397-$CD$3,R397,$CD$5)*H397-CJ397</f>
        <v>#NAME?</v>
      </c>
      <c r="CE397" s="253" t="e">
        <f aca="false">xSPRDOPT((VLOOKUP(G397,NGPREVPRICES,2,FALSE())+HLOOKUP(D397,PREVCURVES,VLOOKUP(G397,MOVE_DOWN2,2,FALSE()),FALSE())),VLOOKUP(G397,NGPREVPRICES,2,FALSE()),CK397,VLOOKUP(G397,NGPrices,4,FALSE()),HLOOKUP(D397,PREVVOLS,VLOOKUP(G397,MOVE_DOWN2,2,FALSE()),FALSE()),VLOOKUP(G397,NGPREVPRICES,3,FALSE()),HLOOKUP(D397,Correllate,VLOOKUP(G397,CorMove,2,FALSE()),FALSE()),Q397-$CD$3,R397,$CJ$5)*H397-CJ397</f>
        <v>#NAME?</v>
      </c>
      <c r="CF397" s="132" t="e">
        <f aca="false">(CJ397/VLOOKUP(CC397,discount,3,FALSE()))-(CJ397/VLOOKUP(CC397,discount,2,FALSE()))</f>
        <v>#NAME?</v>
      </c>
      <c r="CG397" s="253" t="e">
        <f aca="false">xSPRDOPT((VLOOKUP(G397,NGPREVPRICES,2,FALSE())+HLOOKUP(D397,PREVCURVES,VLOOKUP(G397,MOVE_DOWN2,2,FALSE()),FALSE())),VLOOKUP(G397,NGPREVPRICES,2,FALSE()),CK397,VLOOKUP(G397,NGPREVPRICES,4,FALSE()),HLOOKUP(D397,VOLS,VLOOKUP(G397,move_down,2,FALSE()),FALSE()),VLOOKUP(G397,NGPrices,3,FALSE()),HLOOKUP(D397,Correllate,VLOOKUP(G397,CorMove,2,FALSE()),FALSE()),Q397-$CD$3,R397,$CJ$5)*H397-CJ397</f>
        <v>#NAME?</v>
      </c>
      <c r="CH397" s="253" t="e">
        <f aca="false">xSPRDOPT((VLOOKUP(G397,NGPREVPRICES,2,FALSE())+HLOOKUP(D397,PREVCURVES,VLOOKUP(G397,MOVE_DOWN2,2,FALSE()),FALSE())),VLOOKUP(G397,NGPREVPRICES,2,FALSE()),CK397,VLOOKUP(G397,NGPREVPRICES,4,FALSE()),HLOOKUP(D397,PREVVOLS,VLOOKUP(G397,MOVE_DOWN2,2,FALSE()),FALSE()),VLOOKUP(G397,NGPREVPRICES,3,FALSE()),HLOOKUP(D397,Correllate,VLOOKUP(G397,CorMove,2,FALSE()),FALSE()),Q397-$C$3,R397,$CJ$5)*H397-CJ397</f>
        <v>#NAME?</v>
      </c>
      <c r="CI397" s="253" t="e">
        <f aca="false">SUM(CD397:CH397)</f>
        <v>#NAME?</v>
      </c>
      <c r="CJ397" s="253" t="e">
        <f aca="false">xSPRDOPT((VLOOKUP(G397,NGPREVPRICES,2,FALSE())+HLOOKUP(D397,PREVCURVES,VLOOKUP(G397,MOVE_DOWN2,2,FALSE()),FALSE())),VLOOKUP(G397,NGPREVPRICES,2,FALSE()),CK397,VLOOKUP(G397,NGPREVPRICES,4,FALSE()),HLOOKUP(D397,PREVVOLS,VLOOKUP(G397,MOVE_DOWN2,2,FALSE()),FALSE()),VLOOKUP(G397,NGPREVPRICES,3,FALSE()),HLOOKUP(D397,Correllate,VLOOKUP(G397,CorMove,2,FALSE()),FALSE()),Q397-$CD$3,R397,$CJ$5)*H397</f>
        <v>#NAME?</v>
      </c>
      <c r="CK397" s="254" t="n">
        <f aca="false">I397</f>
        <v>1</v>
      </c>
      <c r="CM397" s="0" t="str">
        <f aca="false">CONCATENATE(CC397,$CD$6)</f>
        <v>36831Curve Shift/Gamma</v>
      </c>
      <c r="CN397" s="0" t="str">
        <f aca="false">CONCATENATE($CC397,$CE$6)</f>
        <v>36831Rho</v>
      </c>
      <c r="CO397" s="0" t="str">
        <f aca="false">CONCATENATE($CC397,$CF$6)</f>
        <v>36831Drift</v>
      </c>
      <c r="CP397" s="0" t="str">
        <f aca="false">CONCATENATE($CC397,$CG$6)</f>
        <v>36831Vega</v>
      </c>
      <c r="CQ397" s="0" t="str">
        <f aca="false">CONCATENATE($CC397,$CH$6)</f>
        <v>36831Theta</v>
      </c>
    </row>
    <row r="398" customFormat="false" ht="12.75" hidden="false" customHeight="false" outlineLevel="0" collapsed="false">
      <c r="A398" s="265" t="s">
        <v>210</v>
      </c>
      <c r="B398" s="0" t="s">
        <v>192</v>
      </c>
      <c r="C398" s="0" t="s">
        <v>342</v>
      </c>
      <c r="D398" s="7" t="s">
        <v>149</v>
      </c>
      <c r="E398" s="0" t="s">
        <v>131</v>
      </c>
      <c r="F398" s="0" t="s">
        <v>132</v>
      </c>
      <c r="G398" s="92" t="n">
        <v>36923</v>
      </c>
      <c r="H398" s="248" t="n">
        <v>840000</v>
      </c>
      <c r="I398" s="0" t="n">
        <v>0.75</v>
      </c>
      <c r="J398" s="124" t="n">
        <f aca="false">VLOOKUP(G398,NGPrices,2,FALSE())</f>
        <v>4.48</v>
      </c>
      <c r="K398" s="125" t="n">
        <f aca="false">HLOOKUP(D398,Prices,VLOOKUP(G398,move_down,2,FALSE()),FALSE())+VLOOKUP(G398,CHANGE,HLOOKUP(D398,CHANGE,2,FALSE()),FALSE())</f>
        <v>2.09</v>
      </c>
      <c r="L398" s="124" t="n">
        <f aca="false">K398+J398</f>
        <v>6.57</v>
      </c>
      <c r="M398" s="126" t="n">
        <f aca="false">VLOOKUP(G398,NGPrices,4,FALSE())</f>
        <v>0.068640161611372</v>
      </c>
      <c r="N398" s="7" t="n">
        <f aca="false">VLOOKUP(G398,NGPrices,3,FALSE())</f>
        <v>0.5925</v>
      </c>
      <c r="O398" s="7" t="n">
        <f aca="false">HLOOKUP(D398,VOLS,VLOOKUP(G398,move_down,2,FALSE()),FALSE())</f>
        <v>0.681</v>
      </c>
      <c r="P398" s="249" t="n">
        <f aca="false">HLOOKUP(D398,Correllate,VLOOKUP(G398,CorMove,2,FALSE()),FALSE())</f>
        <v>0.83</v>
      </c>
      <c r="Q398" s="92" t="n">
        <f aca="false">WORKDAY(G398,-2)</f>
        <v>36921</v>
      </c>
      <c r="R398" s="7" t="n">
        <f aca="false">IF(F398="P",0,1)</f>
        <v>0</v>
      </c>
      <c r="S398" s="130" t="e">
        <f aca="false">xSPRDOPT($L398,$J398,$I398,$M398,$O398,$N398,$P398,$Q398-$C$3,$R398,0)</f>
        <v>#NAME?</v>
      </c>
      <c r="T398" s="250" t="e">
        <f aca="false">xSPRDOPT($L398,$J398,$I398,$M398,$O398,$N398,$P398,$Q398-$C$3,$R398,1)*H398</f>
        <v>#NAME?</v>
      </c>
      <c r="U398" s="43" t="e">
        <f aca="false">S398*H398</f>
        <v>#NAME?</v>
      </c>
      <c r="V398" s="250" t="e">
        <f aca="false">xSPRDOPT($L398,$J398,$I398,$M398,$O398,$N398,$P398,$Q398-$C$3,$R398,2)*H398</f>
        <v>#NAME?</v>
      </c>
      <c r="W398" s="250" t="e">
        <f aca="false">+V398+T398</f>
        <v>#NAME?</v>
      </c>
      <c r="X398" s="2" t="str">
        <f aca="false">CONCATENATE(G398,D398)</f>
        <v>36923IF-TRANSCO/Z6</v>
      </c>
      <c r="Y398" s="251" t="n">
        <f aca="false">H398/10000</f>
        <v>84</v>
      </c>
      <c r="Z398" s="226" t="e">
        <f aca="false">T398/H398</f>
        <v>#NAME?</v>
      </c>
      <c r="AA398" s="226" t="e">
        <f aca="false">xSPRDOPT($L398,$J398,$I398,$M398,$O398,$N398,$P398,$Q398-$C$3,$R398,3)</f>
        <v>#NAME?</v>
      </c>
      <c r="AB398" s="226" t="e">
        <f aca="false">((xSPRDOPT($L398+AB$5,$J398,$I398,$M398,$O398,$N398,$P398,$Q398-$C$3,$R398,3)*$H398)/10000)/100</f>
        <v>#NAME?</v>
      </c>
      <c r="AC398" s="226" t="e">
        <f aca="false">((xSPRDOPT($L398+$AB$5,$J398,$I398,$M398,$O398,$N398,$P398,$Q398-$C$3,$R398,7)*$H398)/100)</f>
        <v>#NAME?</v>
      </c>
      <c r="AD398" s="226" t="e">
        <f aca="false">(xSPRDOPT($L398+$AB$5,$J398,$I398,$M398,$O398,$N398,$P398,$Q398-$C$3,$R398,9)/365)*$H398</f>
        <v>#NAME?</v>
      </c>
      <c r="AE398" s="0" t="e">
        <f aca="false">CD398</f>
        <v>#NAME?</v>
      </c>
      <c r="AF398" s="226" t="e">
        <f aca="false">((O398/N398)*AH398)+AG398</f>
        <v>#NAME?</v>
      </c>
      <c r="AG398" s="226" t="e">
        <f aca="false">((xSPRDOPT($L398,$J398,$I398,$M398,$O398,$N398,$P398,$Q398-$C$3,$R398,6)*$H398)/100)</f>
        <v>#NAME?</v>
      </c>
      <c r="AH398" s="226" t="e">
        <f aca="false">((xSPRDOPT($L398,$J398,$I398,$M398,$O398,$N398,$P398,$Q398-$C$3,$R398,5)*$H398)/100)</f>
        <v>#NAME?</v>
      </c>
      <c r="AI398" s="226" t="e">
        <f aca="false">(((xSPRDOPT($L398,$J398,$I398,$M398,$O398,$N398,$P398,$Q398-$C$3,$R398,4)*$H398)/10000)/100)-AB398</f>
        <v>#NAME?</v>
      </c>
      <c r="AJ398" s="226"/>
      <c r="AK398" s="226"/>
      <c r="AL398" s="226"/>
      <c r="AM398" s="252"/>
      <c r="CC398" s="182" t="n">
        <f aca="false">G398</f>
        <v>36923</v>
      </c>
      <c r="CD398" s="253" t="e">
        <f aca="false">xSPRDOPT((VLOOKUP(G398,NGPrices,2,FALSE())+HLOOKUP(D398,Prices,VLOOKUP(G398,move_down,2,FALSE()),FALSE())),VLOOKUP(G398,NGPrices,2,FALSE()),I398,VLOOKUP(G398,NGPREVPRICES,4,FALSE()),HLOOKUP(D398,PREVVOLS,VLOOKUP(G398,MOVE_DOWN2,2,FALSE()),FALSE()),VLOOKUP(G398,NGPREVPRICES,3,FALSE()),HLOOKUP(D398,Correllate,VLOOKUP(G398,CorMove,2,FALSE()),FALSE()),Q398-$CD$3,R398,$CD$5)*H398-CJ398</f>
        <v>#NAME?</v>
      </c>
      <c r="CE398" s="253" t="e">
        <f aca="false">xSPRDOPT((VLOOKUP(G398,NGPREVPRICES,2,FALSE())+HLOOKUP(D398,PREVCURVES,VLOOKUP(G398,MOVE_DOWN2,2,FALSE()),FALSE())),VLOOKUP(G398,NGPREVPRICES,2,FALSE()),CK398,VLOOKUP(G398,NGPrices,4,FALSE()),HLOOKUP(D398,PREVVOLS,VLOOKUP(G398,MOVE_DOWN2,2,FALSE()),FALSE()),VLOOKUP(G398,NGPREVPRICES,3,FALSE()),HLOOKUP(D398,Correllate,VLOOKUP(G398,CorMove,2,FALSE()),FALSE()),Q398-$CD$3,R398,$CJ$5)*H398-CJ398</f>
        <v>#NAME?</v>
      </c>
      <c r="CF398" s="132" t="e">
        <f aca="false">(CJ398/VLOOKUP(CC398,discount,3,FALSE()))-(CJ398/VLOOKUP(CC398,discount,2,FALSE()))</f>
        <v>#NAME?</v>
      </c>
      <c r="CG398" s="253" t="e">
        <f aca="false">xSPRDOPT((VLOOKUP(G398,NGPREVPRICES,2,FALSE())+HLOOKUP(D398,PREVCURVES,VLOOKUP(G398,MOVE_DOWN2,2,FALSE()),FALSE())),VLOOKUP(G398,NGPREVPRICES,2,FALSE()),CK398,VLOOKUP(G398,NGPREVPRICES,4,FALSE()),HLOOKUP(D398,VOLS,VLOOKUP(G398,move_down,2,FALSE()),FALSE()),VLOOKUP(G398,NGPrices,3,FALSE()),HLOOKUP(D398,Correllate,VLOOKUP(G398,CorMove,2,FALSE()),FALSE()),Q398-$CD$3,R398,$CJ$5)*H398-CJ398</f>
        <v>#NAME?</v>
      </c>
      <c r="CH398" s="253" t="e">
        <f aca="false">xSPRDOPT((VLOOKUP(G398,NGPREVPRICES,2,FALSE())+HLOOKUP(D398,PREVCURVES,VLOOKUP(G398,MOVE_DOWN2,2,FALSE()),FALSE())),VLOOKUP(G398,NGPREVPRICES,2,FALSE()),CK398,VLOOKUP(G398,NGPREVPRICES,4,FALSE()),HLOOKUP(D398,PREVVOLS,VLOOKUP(G398,MOVE_DOWN2,2,FALSE()),FALSE()),VLOOKUP(G398,NGPREVPRICES,3,FALSE()),HLOOKUP(D398,Correllate,VLOOKUP(G398,CorMove,2,FALSE()),FALSE()),Q398-$C$3,R398,$CJ$5)*H398-CJ398</f>
        <v>#NAME?</v>
      </c>
      <c r="CI398" s="253" t="e">
        <f aca="false">SUM(CD398:CH398)</f>
        <v>#NAME?</v>
      </c>
      <c r="CJ398" s="253" t="e">
        <f aca="false">xSPRDOPT((VLOOKUP(G398,NGPREVPRICES,2,FALSE())+HLOOKUP(D398,PREVCURVES,VLOOKUP(G398,MOVE_DOWN2,2,FALSE()),FALSE())),VLOOKUP(G398,NGPREVPRICES,2,FALSE()),CK398,VLOOKUP(G398,NGPREVPRICES,4,FALSE()),HLOOKUP(D398,PREVVOLS,VLOOKUP(G398,MOVE_DOWN2,2,FALSE()),FALSE()),VLOOKUP(G398,NGPREVPRICES,3,FALSE()),HLOOKUP(D398,Correllate,VLOOKUP(G398,CorMove,2,FALSE()),FALSE()),Q398-$CD$3,R398,$CJ$5)*H398</f>
        <v>#NAME?</v>
      </c>
      <c r="CK398" s="254" t="n">
        <f aca="false">I398</f>
        <v>0.75</v>
      </c>
      <c r="CM398" s="0" t="str">
        <f aca="false">CONCATENATE(CC398,$CD$6)</f>
        <v>36923Curve Shift/Gamma</v>
      </c>
      <c r="CN398" s="0" t="str">
        <f aca="false">CONCATENATE($CC398,$CE$6)</f>
        <v>36923Rho</v>
      </c>
      <c r="CO398" s="0" t="str">
        <f aca="false">CONCATENATE($CC398,$CF$6)</f>
        <v>36923Drift</v>
      </c>
      <c r="CP398" s="0" t="str">
        <f aca="false">CONCATENATE($CC398,$CG$6)</f>
        <v>36923Vega</v>
      </c>
      <c r="CQ398" s="0" t="str">
        <f aca="false">CONCATENATE($CC398,$CH$6)</f>
        <v>36923Theta</v>
      </c>
    </row>
    <row r="399" customFormat="false" ht="12.75" hidden="false" customHeight="false" outlineLevel="0" collapsed="false">
      <c r="A399" s="265" t="s">
        <v>210</v>
      </c>
      <c r="B399" s="0" t="s">
        <v>192</v>
      </c>
      <c r="C399" s="0" t="s">
        <v>342</v>
      </c>
      <c r="D399" s="7" t="s">
        <v>149</v>
      </c>
      <c r="E399" s="0" t="s">
        <v>131</v>
      </c>
      <c r="F399" s="0" t="s">
        <v>132</v>
      </c>
      <c r="G399" s="92" t="n">
        <v>36892</v>
      </c>
      <c r="H399" s="248" t="n">
        <v>930000</v>
      </c>
      <c r="I399" s="0" t="n">
        <v>0.75</v>
      </c>
      <c r="J399" s="124" t="n">
        <f aca="false">VLOOKUP(G399,NGPrices,2,FALSE())</f>
        <v>4.744</v>
      </c>
      <c r="K399" s="125" t="n">
        <f aca="false">HLOOKUP(D399,Prices,VLOOKUP(G399,move_down,2,FALSE()),FALSE())+VLOOKUP(G399,CHANGE,HLOOKUP(D399,CHANGE,2,FALSE()),FALSE())</f>
        <v>2.17</v>
      </c>
      <c r="L399" s="124" t="n">
        <f aca="false">K399+J399</f>
        <v>6.914</v>
      </c>
      <c r="M399" s="126" t="n">
        <f aca="false">VLOOKUP(G399,NGPrices,4,FALSE())</f>
        <v>0.068374831148491</v>
      </c>
      <c r="N399" s="7" t="n">
        <f aca="false">VLOOKUP(G399,NGPrices,3,FALSE())</f>
        <v>0.605</v>
      </c>
      <c r="O399" s="7" t="n">
        <f aca="false">HLOOKUP(D399,VOLS,VLOOKUP(G399,move_down,2,FALSE()),FALSE())</f>
        <v>0.696</v>
      </c>
      <c r="P399" s="249" t="n">
        <f aca="false">HLOOKUP(D399,Correllate,VLOOKUP(G399,CorMove,2,FALSE()),FALSE())</f>
        <v>0.83</v>
      </c>
      <c r="Q399" s="92" t="n">
        <f aca="false">WORKDAY(G399,-2)</f>
        <v>36888</v>
      </c>
      <c r="R399" s="7" t="n">
        <f aca="false">IF(F399="P",0,1)</f>
        <v>0</v>
      </c>
      <c r="S399" s="130" t="e">
        <f aca="false">xSPRDOPT($L399,$J399,$I399,$M399,$O399,$N399,$P399,$Q399-$C$3,$R399,0)</f>
        <v>#NAME?</v>
      </c>
      <c r="T399" s="250" t="e">
        <f aca="false">xSPRDOPT($L399,$J399,$I399,$M399,$O399,$N399,$P399,$Q399-$C$3,$R399,1)*H399</f>
        <v>#NAME?</v>
      </c>
      <c r="U399" s="43" t="e">
        <f aca="false">S399*H399</f>
        <v>#NAME?</v>
      </c>
      <c r="V399" s="250" t="e">
        <f aca="false">xSPRDOPT($L399,$J399,$I399,$M399,$O399,$N399,$P399,$Q399-$C$3,$R399,2)*H399</f>
        <v>#NAME?</v>
      </c>
      <c r="W399" s="250" t="e">
        <f aca="false">+V399+T399</f>
        <v>#NAME?</v>
      </c>
      <c r="X399" s="2" t="str">
        <f aca="false">CONCATENATE(G399,D399)</f>
        <v>36892IF-TRANSCO/Z6</v>
      </c>
      <c r="Y399" s="251" t="n">
        <f aca="false">H399/10000</f>
        <v>93</v>
      </c>
      <c r="Z399" s="226" t="e">
        <f aca="false">T399/H399</f>
        <v>#NAME?</v>
      </c>
      <c r="AA399" s="226" t="e">
        <f aca="false">xSPRDOPT($L399,$J399,$I399,$M399,$O399,$N399,$P399,$Q399-$C$3,$R399,3)</f>
        <v>#NAME?</v>
      </c>
      <c r="AB399" s="226" t="e">
        <f aca="false">((xSPRDOPT($L399+AB$5,$J399,$I399,$M399,$O399,$N399,$P399,$Q399-$C$3,$R399,3)*$H399)/10000)/100</f>
        <v>#NAME?</v>
      </c>
      <c r="AC399" s="226" t="e">
        <f aca="false">((xSPRDOPT($L399+$AB$5,$J399,$I399,$M399,$O399,$N399,$P399,$Q399-$C$3,$R399,7)*$H399)/100)</f>
        <v>#NAME?</v>
      </c>
      <c r="AD399" s="226" t="e">
        <f aca="false">(xSPRDOPT($L399+$AB$5,$J399,$I399,$M399,$O399,$N399,$P399,$Q399-$C$3,$R399,9)/365)*$H399</f>
        <v>#NAME?</v>
      </c>
      <c r="AE399" s="0" t="e">
        <f aca="false">CD399</f>
        <v>#NAME?</v>
      </c>
      <c r="AF399" s="226" t="e">
        <f aca="false">((O399/N399)*AH399)+AG399</f>
        <v>#NAME?</v>
      </c>
      <c r="AG399" s="226" t="e">
        <f aca="false">((xSPRDOPT($L399,$J399,$I399,$M399,$O399,$N399,$P399,$Q399-$C$3,$R399,6)*$H399)/100)</f>
        <v>#NAME?</v>
      </c>
      <c r="AH399" s="226" t="e">
        <f aca="false">((xSPRDOPT($L399,$J399,$I399,$M399,$O399,$N399,$P399,$Q399-$C$3,$R399,5)*$H399)/100)</f>
        <v>#NAME?</v>
      </c>
      <c r="AI399" s="226" t="e">
        <f aca="false">(((xSPRDOPT($L399,$J399,$I399,$M399,$O399,$N399,$P399,$Q399-$C$3,$R399,4)*$H399)/10000)/100)-AB399</f>
        <v>#NAME?</v>
      </c>
      <c r="AJ399" s="226"/>
      <c r="AK399" s="226"/>
      <c r="AL399" s="226"/>
      <c r="AM399" s="252"/>
      <c r="CC399" s="182" t="n">
        <f aca="false">G399</f>
        <v>36892</v>
      </c>
      <c r="CD399" s="253" t="e">
        <f aca="false">xSPRDOPT((VLOOKUP(G399,NGPrices,2,FALSE())+HLOOKUP(D399,Prices,VLOOKUP(G399,move_down,2,FALSE()),FALSE())),VLOOKUP(G399,NGPrices,2,FALSE()),I399,VLOOKUP(G399,NGPREVPRICES,4,FALSE()),HLOOKUP(D399,PREVVOLS,VLOOKUP(G399,MOVE_DOWN2,2,FALSE()),FALSE()),VLOOKUP(G399,NGPREVPRICES,3,FALSE()),HLOOKUP(D399,Correllate,VLOOKUP(G399,CorMove,2,FALSE()),FALSE()),Q399-$CD$3,R399,$CD$5)*H399-CJ399</f>
        <v>#NAME?</v>
      </c>
      <c r="CE399" s="253" t="e">
        <f aca="false">xSPRDOPT((VLOOKUP(G399,NGPREVPRICES,2,FALSE())+HLOOKUP(D399,PREVCURVES,VLOOKUP(G399,MOVE_DOWN2,2,FALSE()),FALSE())),VLOOKUP(G399,NGPREVPRICES,2,FALSE()),CK399,VLOOKUP(G399,NGPrices,4,FALSE()),HLOOKUP(D399,PREVVOLS,VLOOKUP(G399,MOVE_DOWN2,2,FALSE()),FALSE()),VLOOKUP(G399,NGPREVPRICES,3,FALSE()),HLOOKUP(D399,Correllate,VLOOKUP(G399,CorMove,2,FALSE()),FALSE()),Q399-$CD$3,R399,$CJ$5)*H399-CJ399</f>
        <v>#NAME?</v>
      </c>
      <c r="CF399" s="132" t="e">
        <f aca="false">(CJ399/VLOOKUP(CC399,discount,3,FALSE()))-(CJ399/VLOOKUP(CC399,discount,2,FALSE()))</f>
        <v>#NAME?</v>
      </c>
      <c r="CG399" s="253" t="e">
        <f aca="false">xSPRDOPT((VLOOKUP(G399,NGPREVPRICES,2,FALSE())+HLOOKUP(D399,PREVCURVES,VLOOKUP(G399,MOVE_DOWN2,2,FALSE()),FALSE())),VLOOKUP(G399,NGPREVPRICES,2,FALSE()),CK399,VLOOKUP(G399,NGPREVPRICES,4,FALSE()),HLOOKUP(D399,VOLS,VLOOKUP(G399,move_down,2,FALSE()),FALSE()),VLOOKUP(G399,NGPrices,3,FALSE()),HLOOKUP(D399,Correllate,VLOOKUP(G399,CorMove,2,FALSE()),FALSE()),Q399-$CD$3,R399,$CJ$5)*H399-CJ399</f>
        <v>#NAME?</v>
      </c>
      <c r="CH399" s="253" t="e">
        <f aca="false">xSPRDOPT((VLOOKUP(G399,NGPREVPRICES,2,FALSE())+HLOOKUP(D399,PREVCURVES,VLOOKUP(G399,MOVE_DOWN2,2,FALSE()),FALSE())),VLOOKUP(G399,NGPREVPRICES,2,FALSE()),CK399,VLOOKUP(G399,NGPREVPRICES,4,FALSE()),HLOOKUP(D399,PREVVOLS,VLOOKUP(G399,MOVE_DOWN2,2,FALSE()),FALSE()),VLOOKUP(G399,NGPREVPRICES,3,FALSE()),HLOOKUP(D399,Correllate,VLOOKUP(G399,CorMove,2,FALSE()),FALSE()),Q399-$C$3,R399,$CJ$5)*H399-CJ399</f>
        <v>#NAME?</v>
      </c>
      <c r="CI399" s="253" t="e">
        <f aca="false">SUM(CD399:CH399)</f>
        <v>#NAME?</v>
      </c>
      <c r="CJ399" s="253" t="e">
        <f aca="false">xSPRDOPT((VLOOKUP(G399,NGPREVPRICES,2,FALSE())+HLOOKUP(D399,PREVCURVES,VLOOKUP(G399,MOVE_DOWN2,2,FALSE()),FALSE())),VLOOKUP(G399,NGPREVPRICES,2,FALSE()),CK399,VLOOKUP(G399,NGPREVPRICES,4,FALSE()),HLOOKUP(D399,PREVVOLS,VLOOKUP(G399,MOVE_DOWN2,2,FALSE()),FALSE()),VLOOKUP(G399,NGPREVPRICES,3,FALSE()),HLOOKUP(D399,Correllate,VLOOKUP(G399,CorMove,2,FALSE()),FALSE()),Q399-$CD$3,R399,$CJ$5)*H399</f>
        <v>#NAME?</v>
      </c>
      <c r="CK399" s="254" t="n">
        <f aca="false">I399</f>
        <v>0.75</v>
      </c>
      <c r="CM399" s="0" t="str">
        <f aca="false">CONCATENATE(CC399,$CD$6)</f>
        <v>36892Curve Shift/Gamma</v>
      </c>
      <c r="CN399" s="0" t="str">
        <f aca="false">CONCATENATE($CC399,$CE$6)</f>
        <v>36892Rho</v>
      </c>
      <c r="CO399" s="0" t="str">
        <f aca="false">CONCATENATE($CC399,$CF$6)</f>
        <v>36892Drift</v>
      </c>
      <c r="CP399" s="0" t="str">
        <f aca="false">CONCATENATE($CC399,$CG$6)</f>
        <v>36892Vega</v>
      </c>
      <c r="CQ399" s="0" t="str">
        <f aca="false">CONCATENATE($CC399,$CH$6)</f>
        <v>36892Theta</v>
      </c>
    </row>
    <row r="400" customFormat="false" ht="12.75" hidden="false" customHeight="false" outlineLevel="0" collapsed="false">
      <c r="A400" s="265" t="s">
        <v>210</v>
      </c>
      <c r="B400" s="0" t="s">
        <v>192</v>
      </c>
      <c r="C400" s="0" t="s">
        <v>342</v>
      </c>
      <c r="D400" s="7" t="s">
        <v>149</v>
      </c>
      <c r="E400" s="0" t="s">
        <v>131</v>
      </c>
      <c r="F400" s="0" t="s">
        <v>132</v>
      </c>
      <c r="G400" s="92" t="n">
        <v>36861</v>
      </c>
      <c r="H400" s="248" t="n">
        <v>930000</v>
      </c>
      <c r="I400" s="0" t="n">
        <v>0.75</v>
      </c>
      <c r="J400" s="124" t="n">
        <f aca="false">VLOOKUP(G400,NGPrices,2,FALSE())</f>
        <v>4.8</v>
      </c>
      <c r="K400" s="125" t="n">
        <f aca="false">HLOOKUP(D400,Prices,VLOOKUP(G400,move_down,2,FALSE()),FALSE())+VLOOKUP(G400,CHANGE,HLOOKUP(D400,CHANGE,2,FALSE()),FALSE())</f>
        <v>1.645</v>
      </c>
      <c r="L400" s="124" t="n">
        <f aca="false">K400+J400</f>
        <v>6.445</v>
      </c>
      <c r="M400" s="126" t="n">
        <f aca="false">VLOOKUP(G400,NGPrices,4,FALSE())</f>
        <v>0.068314027999354</v>
      </c>
      <c r="N400" s="7" t="n">
        <f aca="false">VLOOKUP(G400,NGPrices,3,FALSE())</f>
        <v>0.6</v>
      </c>
      <c r="O400" s="7" t="n">
        <f aca="false">HLOOKUP(D400,VOLS,VLOOKUP(G400,move_down,2,FALSE()),FALSE())</f>
        <v>0.69</v>
      </c>
      <c r="P400" s="249" t="n">
        <f aca="false">HLOOKUP(D400,Correllate,VLOOKUP(G400,CorMove,2,FALSE()),FALSE())</f>
        <v>0.83</v>
      </c>
      <c r="Q400" s="92" t="n">
        <f aca="false">WORKDAY(G400,-2)</f>
        <v>36859</v>
      </c>
      <c r="R400" s="7" t="n">
        <f aca="false">IF(F400="P",0,1)</f>
        <v>0</v>
      </c>
      <c r="S400" s="130" t="e">
        <f aca="false">xSPRDOPT($L400,$J400,$I400,$M400,$O400,$N400,$P400,$Q400-$C$3,$R400,0)</f>
        <v>#NAME?</v>
      </c>
      <c r="T400" s="250" t="e">
        <f aca="false">xSPRDOPT($L400,$J400,$I400,$M400,$O400,$N400,$P400,$Q400-$C$3,$R400,1)*H400</f>
        <v>#NAME?</v>
      </c>
      <c r="U400" s="43" t="e">
        <f aca="false">S400*H400</f>
        <v>#NAME?</v>
      </c>
      <c r="V400" s="250" t="e">
        <f aca="false">xSPRDOPT($L400,$J400,$I400,$M400,$O400,$N400,$P400,$Q400-$C$3,$R400,2)*H400</f>
        <v>#NAME?</v>
      </c>
      <c r="W400" s="250" t="e">
        <f aca="false">+V400+T400</f>
        <v>#NAME?</v>
      </c>
      <c r="X400" s="2" t="str">
        <f aca="false">CONCATENATE(G400,D400)</f>
        <v>36861IF-TRANSCO/Z6</v>
      </c>
      <c r="Y400" s="251" t="n">
        <f aca="false">H400/10000</f>
        <v>93</v>
      </c>
      <c r="Z400" s="226" t="e">
        <f aca="false">T400/H400</f>
        <v>#NAME?</v>
      </c>
      <c r="AA400" s="226" t="e">
        <f aca="false">xSPRDOPT($L400,$J400,$I400,$M400,$O400,$N400,$P400,$Q400-$C$3,$R400,3)</f>
        <v>#NAME?</v>
      </c>
      <c r="AB400" s="226" t="e">
        <f aca="false">((xSPRDOPT($L400+AB$5,$J400,$I400,$M400,$O400,$N400,$P400,$Q400-$C$3,$R400,3)*$H400)/10000)/100</f>
        <v>#NAME?</v>
      </c>
      <c r="AC400" s="226" t="e">
        <f aca="false">((xSPRDOPT($L400+$AB$5,$J400,$I400,$M400,$O400,$N400,$P400,$Q400-$C$3,$R400,7)*$H400)/100)</f>
        <v>#NAME?</v>
      </c>
      <c r="AD400" s="226" t="e">
        <f aca="false">(xSPRDOPT($L400+$AB$5,$J400,$I400,$M400,$O400,$N400,$P400,$Q400-$C$3,$R400,9)/365)*$H400</f>
        <v>#NAME?</v>
      </c>
      <c r="AE400" s="0" t="e">
        <f aca="false">CD400</f>
        <v>#NAME?</v>
      </c>
      <c r="AF400" s="226" t="e">
        <f aca="false">((O400/N400)*AH400)+AG400</f>
        <v>#NAME?</v>
      </c>
      <c r="AG400" s="226" t="e">
        <f aca="false">((xSPRDOPT($L400,$J400,$I400,$M400,$O400,$N400,$P400,$Q400-$C$3,$R400,6)*$H400)/100)</f>
        <v>#NAME?</v>
      </c>
      <c r="AH400" s="226" t="e">
        <f aca="false">((xSPRDOPT($L400,$J400,$I400,$M400,$O400,$N400,$P400,$Q400-$C$3,$R400,5)*$H400)/100)</f>
        <v>#NAME?</v>
      </c>
      <c r="AI400" s="226" t="e">
        <f aca="false">(((xSPRDOPT($L400,$J400,$I400,$M400,$O400,$N400,$P400,$Q400-$C$3,$R400,4)*$H400)/10000)/100)-AB400</f>
        <v>#NAME?</v>
      </c>
      <c r="AJ400" s="226"/>
      <c r="AK400" s="226"/>
      <c r="AL400" s="226"/>
      <c r="AM400" s="252"/>
      <c r="CC400" s="182" t="n">
        <f aca="false">G400</f>
        <v>36861</v>
      </c>
      <c r="CD400" s="253" t="e">
        <f aca="false">xSPRDOPT((VLOOKUP(G400,NGPrices,2,FALSE())+HLOOKUP(D400,Prices,VLOOKUP(G400,move_down,2,FALSE()),FALSE())),VLOOKUP(G400,NGPrices,2,FALSE()),I400,VLOOKUP(G400,NGPREVPRICES,4,FALSE()),HLOOKUP(D400,PREVVOLS,VLOOKUP(G400,MOVE_DOWN2,2,FALSE()),FALSE()),VLOOKUP(G400,NGPREVPRICES,3,FALSE()),HLOOKUP(D400,Correllate,VLOOKUP(G400,CorMove,2,FALSE()),FALSE()),Q400-$CD$3,R400,$CD$5)*H400-CJ400</f>
        <v>#NAME?</v>
      </c>
      <c r="CE400" s="253" t="e">
        <f aca="false">xSPRDOPT((VLOOKUP(G400,NGPREVPRICES,2,FALSE())+HLOOKUP(D400,PREVCURVES,VLOOKUP(G400,MOVE_DOWN2,2,FALSE()),FALSE())),VLOOKUP(G400,NGPREVPRICES,2,FALSE()),CK400,VLOOKUP(G400,NGPrices,4,FALSE()),HLOOKUP(D400,PREVVOLS,VLOOKUP(G400,MOVE_DOWN2,2,FALSE()),FALSE()),VLOOKUP(G400,NGPREVPRICES,3,FALSE()),HLOOKUP(D400,Correllate,VLOOKUP(G400,CorMove,2,FALSE()),FALSE()),Q400-$CD$3,R400,$CJ$5)*H400-CJ400</f>
        <v>#NAME?</v>
      </c>
      <c r="CF400" s="132" t="e">
        <f aca="false">(CJ400/VLOOKUP(CC400,discount,3,FALSE()))-(CJ400/VLOOKUP(CC400,discount,2,FALSE()))</f>
        <v>#NAME?</v>
      </c>
      <c r="CG400" s="253" t="e">
        <f aca="false">xSPRDOPT((VLOOKUP(G400,NGPREVPRICES,2,FALSE())+HLOOKUP(D400,PREVCURVES,VLOOKUP(G400,MOVE_DOWN2,2,FALSE()),FALSE())),VLOOKUP(G400,NGPREVPRICES,2,FALSE()),CK400,VLOOKUP(G400,NGPREVPRICES,4,FALSE()),HLOOKUP(D400,VOLS,VLOOKUP(G400,move_down,2,FALSE()),FALSE()),VLOOKUP(G400,NGPrices,3,FALSE()),HLOOKUP(D400,Correllate,VLOOKUP(G400,CorMove,2,FALSE()),FALSE()),Q400-$CD$3,R400,$CJ$5)*H400-CJ400</f>
        <v>#NAME?</v>
      </c>
      <c r="CH400" s="253" t="e">
        <f aca="false">xSPRDOPT((VLOOKUP(G400,NGPREVPRICES,2,FALSE())+HLOOKUP(D400,PREVCURVES,VLOOKUP(G400,MOVE_DOWN2,2,FALSE()),FALSE())),VLOOKUP(G400,NGPREVPRICES,2,FALSE()),CK400,VLOOKUP(G400,NGPREVPRICES,4,FALSE()),HLOOKUP(D400,PREVVOLS,VLOOKUP(G400,MOVE_DOWN2,2,FALSE()),FALSE()),VLOOKUP(G400,NGPREVPRICES,3,FALSE()),HLOOKUP(D400,Correllate,VLOOKUP(G400,CorMove,2,FALSE()),FALSE()),Q400-$C$3,R400,$CJ$5)*H400-CJ400</f>
        <v>#NAME?</v>
      </c>
      <c r="CI400" s="253" t="e">
        <f aca="false">SUM(CD400:CH400)</f>
        <v>#NAME?</v>
      </c>
      <c r="CJ400" s="253" t="e">
        <f aca="false">xSPRDOPT((VLOOKUP(G400,NGPREVPRICES,2,FALSE())+HLOOKUP(D400,PREVCURVES,VLOOKUP(G400,MOVE_DOWN2,2,FALSE()),FALSE())),VLOOKUP(G400,NGPREVPRICES,2,FALSE()),CK400,VLOOKUP(G400,NGPREVPRICES,4,FALSE()),HLOOKUP(D400,PREVVOLS,VLOOKUP(G400,MOVE_DOWN2,2,FALSE()),FALSE()),VLOOKUP(G400,NGPREVPRICES,3,FALSE()),HLOOKUP(D400,Correllate,VLOOKUP(G400,CorMove,2,FALSE()),FALSE()),Q400-$CD$3,R400,$CJ$5)*H400</f>
        <v>#NAME?</v>
      </c>
      <c r="CK400" s="254" t="n">
        <f aca="false">I400</f>
        <v>0.75</v>
      </c>
      <c r="CM400" s="0" t="str">
        <f aca="false">CONCATENATE(CC400,$CD$6)</f>
        <v>36861Curve Shift/Gamma</v>
      </c>
      <c r="CN400" s="0" t="str">
        <f aca="false">CONCATENATE($CC400,$CE$6)</f>
        <v>36861Rho</v>
      </c>
      <c r="CO400" s="0" t="str">
        <f aca="false">CONCATENATE($CC400,$CF$6)</f>
        <v>36861Drift</v>
      </c>
      <c r="CP400" s="0" t="str">
        <f aca="false">CONCATENATE($CC400,$CG$6)</f>
        <v>36861Vega</v>
      </c>
      <c r="CQ400" s="0" t="str">
        <f aca="false">CONCATENATE($CC400,$CH$6)</f>
        <v>36861Theta</v>
      </c>
    </row>
    <row r="401" customFormat="false" ht="12.75" hidden="false" customHeight="false" outlineLevel="0" collapsed="false">
      <c r="A401" s="265" t="s">
        <v>198</v>
      </c>
      <c r="B401" s="0" t="s">
        <v>192</v>
      </c>
      <c r="C401" s="0" t="s">
        <v>343</v>
      </c>
      <c r="D401" s="7" t="s">
        <v>149</v>
      </c>
      <c r="E401" s="0" t="s">
        <v>131</v>
      </c>
      <c r="F401" s="0" t="s">
        <v>136</v>
      </c>
      <c r="G401" s="92" t="n">
        <v>36951</v>
      </c>
      <c r="H401" s="248" t="n">
        <v>-500000</v>
      </c>
      <c r="I401" s="0" t="n">
        <v>1.6</v>
      </c>
      <c r="J401" s="124" t="n">
        <f aca="false">VLOOKUP(G401,NGPrices,2,FALSE())</f>
        <v>4.213</v>
      </c>
      <c r="K401" s="125" t="n">
        <f aca="false">HLOOKUP(D401,Prices,VLOOKUP(G401,move_down,2,FALSE()),FALSE())+VLOOKUP(G401,CHANGE,HLOOKUP(D401,CHANGE,2,FALSE()),FALSE())</f>
        <v>1.075</v>
      </c>
      <c r="L401" s="124" t="n">
        <f aca="false">K401+J401</f>
        <v>5.288</v>
      </c>
      <c r="M401" s="126" t="n">
        <f aca="false">VLOOKUP(G401,NGPrices,4,FALSE())</f>
        <v>0.068879814952707</v>
      </c>
      <c r="N401" s="7" t="n">
        <f aca="false">VLOOKUP(G401,NGPrices,3,FALSE())</f>
        <v>0.5325</v>
      </c>
      <c r="O401" s="7" t="n">
        <f aca="false">HLOOKUP(D401,VOLS,VLOOKUP(G401,move_down,2,FALSE()),FALSE())</f>
        <v>0.612</v>
      </c>
      <c r="P401" s="249" t="n">
        <f aca="false">HLOOKUP(D401,Correllate,VLOOKUP(G401,CorMove,2,FALSE()),FALSE())</f>
        <v>0.83</v>
      </c>
      <c r="Q401" s="92" t="n">
        <f aca="false">WORKDAY(G401,-2)</f>
        <v>36949</v>
      </c>
      <c r="R401" s="7" t="n">
        <f aca="false">IF(F401="P",0,1)</f>
        <v>1</v>
      </c>
      <c r="S401" s="130" t="e">
        <f aca="false">xSPRDOPT($L401,$J401,$I401,$M401,$O401,$N401,$P401,$Q401-$C$3,$R401,0)</f>
        <v>#NAME?</v>
      </c>
      <c r="T401" s="250" t="e">
        <f aca="false">xSPRDOPT($L401,$J401,$I401,$M401,$O401,$N401,$P401,$Q401-$C$3,$R401,1)*H401</f>
        <v>#NAME?</v>
      </c>
      <c r="U401" s="43" t="e">
        <f aca="false">S401*H401</f>
        <v>#NAME?</v>
      </c>
      <c r="V401" s="250" t="e">
        <f aca="false">xSPRDOPT($L401,$J401,$I401,$M401,$O401,$N401,$P401,$Q401-$C$3,$R401,2)*H401</f>
        <v>#NAME?</v>
      </c>
      <c r="W401" s="250" t="e">
        <f aca="false">+V401+T401</f>
        <v>#NAME?</v>
      </c>
      <c r="X401" s="2" t="str">
        <f aca="false">CONCATENATE(G401,D401)</f>
        <v>36951IF-TRANSCO/Z6</v>
      </c>
      <c r="Y401" s="251" t="n">
        <f aca="false">H401/10000</f>
        <v>-50</v>
      </c>
      <c r="Z401" s="226" t="e">
        <f aca="false">T401/H401</f>
        <v>#NAME?</v>
      </c>
      <c r="AA401" s="226" t="e">
        <f aca="false">xSPRDOPT($L401,$J401,$I401,$M401,$O401,$N401,$P401,$Q401-$C$3,$R401,3)</f>
        <v>#NAME?</v>
      </c>
      <c r="AB401" s="226" t="e">
        <f aca="false">((xSPRDOPT($L401+AB$5,$J401,$I401,$M401,$O401,$N401,$P401,$Q401-$C$3,$R401,3)*$H401)/10000)/100</f>
        <v>#NAME?</v>
      </c>
      <c r="AC401" s="226" t="e">
        <f aca="false">((xSPRDOPT($L401+$AB$5,$J401,$I401,$M401,$O401,$N401,$P401,$Q401-$C$3,$R401,7)*$H401)/100)</f>
        <v>#NAME?</v>
      </c>
      <c r="AD401" s="226" t="e">
        <f aca="false">(xSPRDOPT($L401+$AB$5,$J401,$I401,$M401,$O401,$N401,$P401,$Q401-$C$3,$R401,9)/365)*$H401</f>
        <v>#NAME?</v>
      </c>
      <c r="AE401" s="0" t="e">
        <f aca="false">CD401</f>
        <v>#NAME?</v>
      </c>
      <c r="AF401" s="226" t="e">
        <f aca="false">((O401/N401)*AH401)+AG401</f>
        <v>#NAME?</v>
      </c>
      <c r="AG401" s="226" t="e">
        <f aca="false">((xSPRDOPT($L401,$J401,$I401,$M401,$O401,$N401,$P401,$Q401-$C$3,$R401,6)*$H401)/100)</f>
        <v>#NAME?</v>
      </c>
      <c r="AH401" s="226" t="e">
        <f aca="false">((xSPRDOPT($L401,$J401,$I401,$M401,$O401,$N401,$P401,$Q401-$C$3,$R401,5)*$H401)/100)</f>
        <v>#NAME?</v>
      </c>
      <c r="AI401" s="226" t="e">
        <f aca="false">(((xSPRDOPT($L401,$J401,$I401,$M401,$O401,$N401,$P401,$Q401-$C$3,$R401,4)*$H401)/10000)/100)-AB401</f>
        <v>#NAME?</v>
      </c>
      <c r="AJ401" s="226"/>
      <c r="AK401" s="226"/>
      <c r="AL401" s="226"/>
      <c r="AM401" s="252"/>
      <c r="CC401" s="182" t="n">
        <f aca="false">G401</f>
        <v>36951</v>
      </c>
      <c r="CD401" s="253" t="e">
        <f aca="false">xSPRDOPT((VLOOKUP(G401,NGPrices,2,FALSE())+HLOOKUP(D401,Prices,VLOOKUP(G401,move_down,2,FALSE()),FALSE())),VLOOKUP(G401,NGPrices,2,FALSE()),I401,VLOOKUP(G401,NGPREVPRICES,4,FALSE()),HLOOKUP(D401,PREVVOLS,VLOOKUP(G401,MOVE_DOWN2,2,FALSE()),FALSE()),VLOOKUP(G401,NGPREVPRICES,3,FALSE()),HLOOKUP(D401,Correllate,VLOOKUP(G401,CorMove,2,FALSE()),FALSE()),Q401-$CD$3,R401,$CD$5)*H401-CJ401</f>
        <v>#NAME?</v>
      </c>
      <c r="CE401" s="253" t="e">
        <f aca="false">xSPRDOPT((VLOOKUP(G401,NGPREVPRICES,2,FALSE())+HLOOKUP(D401,PREVCURVES,VLOOKUP(G401,MOVE_DOWN2,2,FALSE()),FALSE())),VLOOKUP(G401,NGPREVPRICES,2,FALSE()),CK401,VLOOKUP(G401,NGPrices,4,FALSE()),HLOOKUP(D401,PREVVOLS,VLOOKUP(G401,MOVE_DOWN2,2,FALSE()),FALSE()),VLOOKUP(G401,NGPREVPRICES,3,FALSE()),HLOOKUP(D401,Correllate,VLOOKUP(G401,CorMove,2,FALSE()),FALSE()),Q401-$CD$3,R401,$CJ$5)*H401-CJ401</f>
        <v>#NAME?</v>
      </c>
      <c r="CF401" s="132" t="e">
        <f aca="false">(CJ401/VLOOKUP(CC401,discount,3,FALSE()))-(CJ401/VLOOKUP(CC401,discount,2,FALSE()))</f>
        <v>#NAME?</v>
      </c>
      <c r="CG401" s="253" t="e">
        <f aca="false">xSPRDOPT((VLOOKUP(G401,NGPREVPRICES,2,FALSE())+HLOOKUP(D401,PREVCURVES,VLOOKUP(G401,MOVE_DOWN2,2,FALSE()),FALSE())),VLOOKUP(G401,NGPREVPRICES,2,FALSE()),CK401,VLOOKUP(G401,NGPREVPRICES,4,FALSE()),HLOOKUP(D401,VOLS,VLOOKUP(G401,move_down,2,FALSE()),FALSE()),VLOOKUP(G401,NGPrices,3,FALSE()),HLOOKUP(D401,Correllate,VLOOKUP(G401,CorMove,2,FALSE()),FALSE()),Q401-$CD$3,R401,$CJ$5)*H401-CJ401</f>
        <v>#NAME?</v>
      </c>
      <c r="CH401" s="253" t="e">
        <f aca="false">xSPRDOPT((VLOOKUP(G401,NGPREVPRICES,2,FALSE())+HLOOKUP(D401,PREVCURVES,VLOOKUP(G401,MOVE_DOWN2,2,FALSE()),FALSE())),VLOOKUP(G401,NGPREVPRICES,2,FALSE()),CK401,VLOOKUP(G401,NGPREVPRICES,4,FALSE()),HLOOKUP(D401,PREVVOLS,VLOOKUP(G401,MOVE_DOWN2,2,FALSE()),FALSE()),VLOOKUP(G401,NGPREVPRICES,3,FALSE()),HLOOKUP(D401,Correllate,VLOOKUP(G401,CorMove,2,FALSE()),FALSE()),Q401-$C$3,R401,$CJ$5)*H401-CJ401</f>
        <v>#NAME?</v>
      </c>
      <c r="CI401" s="253" t="e">
        <f aca="false">SUM(CD401:CH401)</f>
        <v>#NAME?</v>
      </c>
      <c r="CJ401" s="253" t="e">
        <f aca="false">xSPRDOPT((VLOOKUP(G401,NGPREVPRICES,2,FALSE())+HLOOKUP(D401,PREVCURVES,VLOOKUP(G401,MOVE_DOWN2,2,FALSE()),FALSE())),VLOOKUP(G401,NGPREVPRICES,2,FALSE()),CK401,VLOOKUP(G401,NGPREVPRICES,4,FALSE()),HLOOKUP(D401,PREVVOLS,VLOOKUP(G401,MOVE_DOWN2,2,FALSE()),FALSE()),VLOOKUP(G401,NGPREVPRICES,3,FALSE()),HLOOKUP(D401,Correllate,VLOOKUP(G401,CorMove,2,FALSE()),FALSE()),Q401-$CD$3,R401,$CJ$5)*H401</f>
        <v>#NAME?</v>
      </c>
      <c r="CK401" s="254" t="n">
        <f aca="false">I401</f>
        <v>1.6</v>
      </c>
      <c r="CM401" s="0" t="str">
        <f aca="false">CONCATENATE(CC401,$CD$6)</f>
        <v>36951Curve Shift/Gamma</v>
      </c>
      <c r="CN401" s="0" t="str">
        <f aca="false">CONCATENATE($CC401,$CE$6)</f>
        <v>36951Rho</v>
      </c>
      <c r="CO401" s="0" t="str">
        <f aca="false">CONCATENATE($CC401,$CF$6)</f>
        <v>36951Drift</v>
      </c>
      <c r="CP401" s="0" t="str">
        <f aca="false">CONCATENATE($CC401,$CG$6)</f>
        <v>36951Vega</v>
      </c>
      <c r="CQ401" s="0" t="str">
        <f aca="false">CONCATENATE($CC401,$CH$6)</f>
        <v>36951Theta</v>
      </c>
    </row>
    <row r="402" customFormat="false" ht="12.75" hidden="false" customHeight="false" outlineLevel="0" collapsed="false">
      <c r="A402" s="265" t="s">
        <v>198</v>
      </c>
      <c r="B402" s="0" t="s">
        <v>192</v>
      </c>
      <c r="C402" s="0" t="s">
        <v>343</v>
      </c>
      <c r="D402" s="7" t="s">
        <v>149</v>
      </c>
      <c r="E402" s="0" t="s">
        <v>131</v>
      </c>
      <c r="F402" s="0" t="s">
        <v>136</v>
      </c>
      <c r="G402" s="92" t="n">
        <v>36923</v>
      </c>
      <c r="H402" s="248" t="n">
        <v>-500000</v>
      </c>
      <c r="I402" s="0" t="n">
        <v>1.6</v>
      </c>
      <c r="J402" s="124" t="n">
        <f aca="false">VLOOKUP(G402,NGPrices,2,FALSE())</f>
        <v>4.48</v>
      </c>
      <c r="K402" s="125" t="n">
        <f aca="false">HLOOKUP(D402,Prices,VLOOKUP(G402,move_down,2,FALSE()),FALSE())+VLOOKUP(G402,CHANGE,HLOOKUP(D402,CHANGE,2,FALSE()),FALSE())</f>
        <v>2.09</v>
      </c>
      <c r="L402" s="124" t="n">
        <f aca="false">K402+J402</f>
        <v>6.57</v>
      </c>
      <c r="M402" s="126" t="n">
        <f aca="false">VLOOKUP(G402,NGPrices,4,FALSE())</f>
        <v>0.068640161611372</v>
      </c>
      <c r="N402" s="7" t="n">
        <f aca="false">VLOOKUP(G402,NGPrices,3,FALSE())</f>
        <v>0.5925</v>
      </c>
      <c r="O402" s="7" t="n">
        <f aca="false">HLOOKUP(D402,VOLS,VLOOKUP(G402,move_down,2,FALSE()),FALSE())</f>
        <v>0.681</v>
      </c>
      <c r="P402" s="249" t="n">
        <f aca="false">HLOOKUP(D402,Correllate,VLOOKUP(G402,CorMove,2,FALSE()),FALSE())</f>
        <v>0.83</v>
      </c>
      <c r="Q402" s="92" t="n">
        <f aca="false">WORKDAY(G402,-2)</f>
        <v>36921</v>
      </c>
      <c r="R402" s="7" t="n">
        <f aca="false">IF(F402="P",0,1)</f>
        <v>1</v>
      </c>
      <c r="S402" s="130" t="e">
        <f aca="false">xSPRDOPT($L402,$J402,$I402,$M402,$O402,$N402,$P402,$Q402-$C$3,$R402,0)</f>
        <v>#NAME?</v>
      </c>
      <c r="T402" s="250" t="e">
        <f aca="false">xSPRDOPT($L402,$J402,$I402,$M402,$O402,$N402,$P402,$Q402-$C$3,$R402,1)*H402</f>
        <v>#NAME?</v>
      </c>
      <c r="U402" s="43" t="e">
        <f aca="false">S402*H402</f>
        <v>#NAME?</v>
      </c>
      <c r="V402" s="250" t="e">
        <f aca="false">xSPRDOPT($L402,$J402,$I402,$M402,$O402,$N402,$P402,$Q402-$C$3,$R402,2)*H402</f>
        <v>#NAME?</v>
      </c>
      <c r="W402" s="250" t="e">
        <f aca="false">+V402+T402</f>
        <v>#NAME?</v>
      </c>
      <c r="X402" s="2" t="str">
        <f aca="false">CONCATENATE(G402,D402)</f>
        <v>36923IF-TRANSCO/Z6</v>
      </c>
      <c r="Y402" s="251" t="n">
        <f aca="false">H402/10000</f>
        <v>-50</v>
      </c>
      <c r="Z402" s="226" t="e">
        <f aca="false">T402/H402</f>
        <v>#NAME?</v>
      </c>
      <c r="AA402" s="226" t="e">
        <f aca="false">xSPRDOPT($L402,$J402,$I402,$M402,$O402,$N402,$P402,$Q402-$C$3,$R402,3)</f>
        <v>#NAME?</v>
      </c>
      <c r="AB402" s="226" t="e">
        <f aca="false">((xSPRDOPT($L402+AB$5,$J402,$I402,$M402,$O402,$N402,$P402,$Q402-$C$3,$R402,3)*$H402)/10000)/100</f>
        <v>#NAME?</v>
      </c>
      <c r="AC402" s="226" t="e">
        <f aca="false">((xSPRDOPT($L402+$AB$5,$J402,$I402,$M402,$O402,$N402,$P402,$Q402-$C$3,$R402,7)*$H402)/100)</f>
        <v>#NAME?</v>
      </c>
      <c r="AD402" s="226" t="e">
        <f aca="false">(xSPRDOPT($L402+$AB$5,$J402,$I402,$M402,$O402,$N402,$P402,$Q402-$C$3,$R402,9)/365)*$H402</f>
        <v>#NAME?</v>
      </c>
      <c r="AE402" s="0" t="e">
        <f aca="false">CD402</f>
        <v>#NAME?</v>
      </c>
      <c r="AF402" s="226" t="e">
        <f aca="false">((O402/N402)*AH402)+AG402</f>
        <v>#NAME?</v>
      </c>
      <c r="AG402" s="226" t="e">
        <f aca="false">((xSPRDOPT($L402,$J402,$I402,$M402,$O402,$N402,$P402,$Q402-$C$3,$R402,6)*$H402)/100)</f>
        <v>#NAME?</v>
      </c>
      <c r="AH402" s="226" t="e">
        <f aca="false">((xSPRDOPT($L402,$J402,$I402,$M402,$O402,$N402,$P402,$Q402-$C$3,$R402,5)*$H402)/100)</f>
        <v>#NAME?</v>
      </c>
      <c r="AI402" s="226" t="e">
        <f aca="false">(((xSPRDOPT($L402,$J402,$I402,$M402,$O402,$N402,$P402,$Q402-$C$3,$R402,4)*$H402)/10000)/100)-AB402</f>
        <v>#NAME?</v>
      </c>
      <c r="AJ402" s="226"/>
      <c r="AK402" s="226"/>
      <c r="AL402" s="226"/>
      <c r="AM402" s="252"/>
      <c r="CC402" s="182" t="n">
        <f aca="false">G402</f>
        <v>36923</v>
      </c>
      <c r="CD402" s="253" t="e">
        <f aca="false">xSPRDOPT((VLOOKUP(G402,NGPrices,2,FALSE())+HLOOKUP(D402,Prices,VLOOKUP(G402,move_down,2,FALSE()),FALSE())),VLOOKUP(G402,NGPrices,2,FALSE()),I402,VLOOKUP(G402,NGPREVPRICES,4,FALSE()),HLOOKUP(D402,PREVVOLS,VLOOKUP(G402,MOVE_DOWN2,2,FALSE()),FALSE()),VLOOKUP(G402,NGPREVPRICES,3,FALSE()),HLOOKUP(D402,Correllate,VLOOKUP(G402,CorMove,2,FALSE()),FALSE()),Q402-$CD$3,R402,$CD$5)*H402-CJ402</f>
        <v>#NAME?</v>
      </c>
      <c r="CE402" s="253" t="e">
        <f aca="false">xSPRDOPT((VLOOKUP(G402,NGPREVPRICES,2,FALSE())+HLOOKUP(D402,PREVCURVES,VLOOKUP(G402,MOVE_DOWN2,2,FALSE()),FALSE())),VLOOKUP(G402,NGPREVPRICES,2,FALSE()),CK402,VLOOKUP(G402,NGPrices,4,FALSE()),HLOOKUP(D402,PREVVOLS,VLOOKUP(G402,MOVE_DOWN2,2,FALSE()),FALSE()),VLOOKUP(G402,NGPREVPRICES,3,FALSE()),HLOOKUP(D402,Correllate,VLOOKUP(G402,CorMove,2,FALSE()),FALSE()),Q402-$CD$3,R402,$CJ$5)*H402-CJ402</f>
        <v>#NAME?</v>
      </c>
      <c r="CF402" s="132" t="e">
        <f aca="false">(CJ402/VLOOKUP(CC402,discount,3,FALSE()))-(CJ402/VLOOKUP(CC402,discount,2,FALSE()))</f>
        <v>#NAME?</v>
      </c>
      <c r="CG402" s="253" t="e">
        <f aca="false">xSPRDOPT((VLOOKUP(G402,NGPREVPRICES,2,FALSE())+HLOOKUP(D402,PREVCURVES,VLOOKUP(G402,MOVE_DOWN2,2,FALSE()),FALSE())),VLOOKUP(G402,NGPREVPRICES,2,FALSE()),CK402,VLOOKUP(G402,NGPREVPRICES,4,FALSE()),HLOOKUP(D402,VOLS,VLOOKUP(G402,move_down,2,FALSE()),FALSE()),VLOOKUP(G402,NGPrices,3,FALSE()),HLOOKUP(D402,Correllate,VLOOKUP(G402,CorMove,2,FALSE()),FALSE()),Q402-$CD$3,R402,$CJ$5)*H402-CJ402</f>
        <v>#NAME?</v>
      </c>
      <c r="CH402" s="253" t="e">
        <f aca="false">xSPRDOPT((VLOOKUP(G402,NGPREVPRICES,2,FALSE())+HLOOKUP(D402,PREVCURVES,VLOOKUP(G402,MOVE_DOWN2,2,FALSE()),FALSE())),VLOOKUP(G402,NGPREVPRICES,2,FALSE()),CK402,VLOOKUP(G402,NGPREVPRICES,4,FALSE()),HLOOKUP(D402,PREVVOLS,VLOOKUP(G402,MOVE_DOWN2,2,FALSE()),FALSE()),VLOOKUP(G402,NGPREVPRICES,3,FALSE()),HLOOKUP(D402,Correllate,VLOOKUP(G402,CorMove,2,FALSE()),FALSE()),Q402-$C$3,R402,$CJ$5)*H402-CJ402</f>
        <v>#NAME?</v>
      </c>
      <c r="CI402" s="253" t="e">
        <f aca="false">SUM(CD402:CH402)</f>
        <v>#NAME?</v>
      </c>
      <c r="CJ402" s="253" t="e">
        <f aca="false">xSPRDOPT((VLOOKUP(G402,NGPREVPRICES,2,FALSE())+HLOOKUP(D402,PREVCURVES,VLOOKUP(G402,MOVE_DOWN2,2,FALSE()),FALSE())),VLOOKUP(G402,NGPREVPRICES,2,FALSE()),CK402,VLOOKUP(G402,NGPREVPRICES,4,FALSE()),HLOOKUP(D402,PREVVOLS,VLOOKUP(G402,MOVE_DOWN2,2,FALSE()),FALSE()),VLOOKUP(G402,NGPREVPRICES,3,FALSE()),HLOOKUP(D402,Correllate,VLOOKUP(G402,CorMove,2,FALSE()),FALSE()),Q402-$CD$3,R402,$CJ$5)*H402</f>
        <v>#NAME?</v>
      </c>
      <c r="CK402" s="254" t="n">
        <f aca="false">I402</f>
        <v>1.6</v>
      </c>
      <c r="CM402" s="0" t="str">
        <f aca="false">CONCATENATE(CC402,$CD$6)</f>
        <v>36923Curve Shift/Gamma</v>
      </c>
      <c r="CN402" s="0" t="str">
        <f aca="false">CONCATENATE($CC402,$CE$6)</f>
        <v>36923Rho</v>
      </c>
      <c r="CO402" s="0" t="str">
        <f aca="false">CONCATENATE($CC402,$CF$6)</f>
        <v>36923Drift</v>
      </c>
      <c r="CP402" s="0" t="str">
        <f aca="false">CONCATENATE($CC402,$CG$6)</f>
        <v>36923Vega</v>
      </c>
      <c r="CQ402" s="0" t="str">
        <f aca="false">CONCATENATE($CC402,$CH$6)</f>
        <v>36923Theta</v>
      </c>
    </row>
    <row r="403" customFormat="false" ht="12.75" hidden="false" customHeight="false" outlineLevel="0" collapsed="false">
      <c r="A403" s="265" t="s">
        <v>198</v>
      </c>
      <c r="B403" s="0" t="s">
        <v>192</v>
      </c>
      <c r="C403" s="0" t="s">
        <v>343</v>
      </c>
      <c r="D403" s="7" t="s">
        <v>149</v>
      </c>
      <c r="E403" s="0" t="s">
        <v>131</v>
      </c>
      <c r="F403" s="0" t="s">
        <v>136</v>
      </c>
      <c r="G403" s="92" t="n">
        <v>36892</v>
      </c>
      <c r="H403" s="248" t="n">
        <v>-500000</v>
      </c>
      <c r="I403" s="0" t="n">
        <v>1.6</v>
      </c>
      <c r="J403" s="124" t="n">
        <f aca="false">VLOOKUP(G403,NGPrices,2,FALSE())</f>
        <v>4.744</v>
      </c>
      <c r="K403" s="125" t="n">
        <f aca="false">HLOOKUP(D403,Prices,VLOOKUP(G403,move_down,2,FALSE()),FALSE())+VLOOKUP(G403,CHANGE,HLOOKUP(D403,CHANGE,2,FALSE()),FALSE())</f>
        <v>2.17</v>
      </c>
      <c r="L403" s="124" t="n">
        <f aca="false">K403+J403</f>
        <v>6.914</v>
      </c>
      <c r="M403" s="126" t="n">
        <f aca="false">VLOOKUP(G403,NGPrices,4,FALSE())</f>
        <v>0.068374831148491</v>
      </c>
      <c r="N403" s="7" t="n">
        <f aca="false">VLOOKUP(G403,NGPrices,3,FALSE())</f>
        <v>0.605</v>
      </c>
      <c r="O403" s="7" t="n">
        <f aca="false">HLOOKUP(D403,VOLS,VLOOKUP(G403,move_down,2,FALSE()),FALSE())</f>
        <v>0.696</v>
      </c>
      <c r="P403" s="249" t="n">
        <f aca="false">HLOOKUP(D403,Correllate,VLOOKUP(G403,CorMove,2,FALSE()),FALSE())</f>
        <v>0.83</v>
      </c>
      <c r="Q403" s="92" t="n">
        <f aca="false">WORKDAY(G403,-2)</f>
        <v>36888</v>
      </c>
      <c r="R403" s="7" t="n">
        <f aca="false">IF(F403="P",0,1)</f>
        <v>1</v>
      </c>
      <c r="S403" s="130" t="e">
        <f aca="false">xSPRDOPT($L403,$J403,$I403,$M403,$O403,$N403,$P403,$Q403-$C$3,$R403,0)</f>
        <v>#NAME?</v>
      </c>
      <c r="T403" s="250" t="e">
        <f aca="false">xSPRDOPT($L403,$J403,$I403,$M403,$O403,$N403,$P403,$Q403-$C$3,$R403,1)*H403</f>
        <v>#NAME?</v>
      </c>
      <c r="U403" s="43" t="e">
        <f aca="false">S403*H403</f>
        <v>#NAME?</v>
      </c>
      <c r="V403" s="250" t="e">
        <f aca="false">xSPRDOPT($L403,$J403,$I403,$M403,$O403,$N403,$P403,$Q403-$C$3,$R403,2)*H403</f>
        <v>#NAME?</v>
      </c>
      <c r="W403" s="250" t="e">
        <f aca="false">+V403+T403</f>
        <v>#NAME?</v>
      </c>
      <c r="X403" s="2" t="str">
        <f aca="false">CONCATENATE(G403,D403)</f>
        <v>36892IF-TRANSCO/Z6</v>
      </c>
      <c r="Y403" s="251" t="n">
        <f aca="false">H403/10000</f>
        <v>-50</v>
      </c>
      <c r="Z403" s="226" t="e">
        <f aca="false">T403/H403</f>
        <v>#NAME?</v>
      </c>
      <c r="AA403" s="226" t="e">
        <f aca="false">xSPRDOPT($L403,$J403,$I403,$M403,$O403,$N403,$P403,$Q403-$C$3,$R403,3)</f>
        <v>#NAME?</v>
      </c>
      <c r="AB403" s="226" t="e">
        <f aca="false">((xSPRDOPT($L403+AB$5,$J403,$I403,$M403,$O403,$N403,$P403,$Q403-$C$3,$R403,3)*$H403)/10000)/100</f>
        <v>#NAME?</v>
      </c>
      <c r="AC403" s="226" t="e">
        <f aca="false">((xSPRDOPT($L403+$AB$5,$J403,$I403,$M403,$O403,$N403,$P403,$Q403-$C$3,$R403,7)*$H403)/100)</f>
        <v>#NAME?</v>
      </c>
      <c r="AD403" s="226" t="e">
        <f aca="false">(xSPRDOPT($L403+$AB$5,$J403,$I403,$M403,$O403,$N403,$P403,$Q403-$C$3,$R403,9)/365)*$H403</f>
        <v>#NAME?</v>
      </c>
      <c r="AE403" s="0" t="e">
        <f aca="false">CD403</f>
        <v>#NAME?</v>
      </c>
      <c r="AF403" s="226" t="e">
        <f aca="false">((O403/N403)*AH403)+AG403</f>
        <v>#NAME?</v>
      </c>
      <c r="AG403" s="226" t="e">
        <f aca="false">((xSPRDOPT($L403,$J403,$I403,$M403,$O403,$N403,$P403,$Q403-$C$3,$R403,6)*$H403)/100)</f>
        <v>#NAME?</v>
      </c>
      <c r="AH403" s="226" t="e">
        <f aca="false">((xSPRDOPT($L403,$J403,$I403,$M403,$O403,$N403,$P403,$Q403-$C$3,$R403,5)*$H403)/100)</f>
        <v>#NAME?</v>
      </c>
      <c r="AI403" s="226" t="e">
        <f aca="false">(((xSPRDOPT($L403,$J403,$I403,$M403,$O403,$N403,$P403,$Q403-$C$3,$R403,4)*$H403)/10000)/100)-AB403</f>
        <v>#NAME?</v>
      </c>
      <c r="AJ403" s="226"/>
      <c r="AK403" s="226"/>
      <c r="AL403" s="226"/>
      <c r="AM403" s="252"/>
      <c r="CC403" s="182" t="n">
        <f aca="false">G403</f>
        <v>36892</v>
      </c>
      <c r="CD403" s="253" t="e">
        <f aca="false">xSPRDOPT((VLOOKUP(G403,NGPrices,2,FALSE())+HLOOKUP(D403,Prices,VLOOKUP(G403,move_down,2,FALSE()),FALSE())),VLOOKUP(G403,NGPrices,2,FALSE()),I403,VLOOKUP(G403,NGPREVPRICES,4,FALSE()),HLOOKUP(D403,PREVVOLS,VLOOKUP(G403,MOVE_DOWN2,2,FALSE()),FALSE()),VLOOKUP(G403,NGPREVPRICES,3,FALSE()),HLOOKUP(D403,Correllate,VLOOKUP(G403,CorMove,2,FALSE()),FALSE()),Q403-$CD$3,R403,$CD$5)*H403-CJ403</f>
        <v>#NAME?</v>
      </c>
      <c r="CE403" s="253" t="e">
        <f aca="false">xSPRDOPT((VLOOKUP(G403,NGPREVPRICES,2,FALSE())+HLOOKUP(D403,PREVCURVES,VLOOKUP(G403,MOVE_DOWN2,2,FALSE()),FALSE())),VLOOKUP(G403,NGPREVPRICES,2,FALSE()),CK403,VLOOKUP(G403,NGPrices,4,FALSE()),HLOOKUP(D403,PREVVOLS,VLOOKUP(G403,MOVE_DOWN2,2,FALSE()),FALSE()),VLOOKUP(G403,NGPREVPRICES,3,FALSE()),HLOOKUP(D403,Correllate,VLOOKUP(G403,CorMove,2,FALSE()),FALSE()),Q403-$CD$3,R403,$CJ$5)*H403-CJ403</f>
        <v>#NAME?</v>
      </c>
      <c r="CF403" s="132" t="e">
        <f aca="false">(CJ403/VLOOKUP(CC403,discount,3,FALSE()))-(CJ403/VLOOKUP(CC403,discount,2,FALSE()))</f>
        <v>#NAME?</v>
      </c>
      <c r="CG403" s="253" t="e">
        <f aca="false">xSPRDOPT((VLOOKUP(G403,NGPREVPRICES,2,FALSE())+HLOOKUP(D403,PREVCURVES,VLOOKUP(G403,MOVE_DOWN2,2,FALSE()),FALSE())),VLOOKUP(G403,NGPREVPRICES,2,FALSE()),CK403,VLOOKUP(G403,NGPREVPRICES,4,FALSE()),HLOOKUP(D403,VOLS,VLOOKUP(G403,move_down,2,FALSE()),FALSE()),VLOOKUP(G403,NGPrices,3,FALSE()),HLOOKUP(D403,Correllate,VLOOKUP(G403,CorMove,2,FALSE()),FALSE()),Q403-$CD$3,R403,$CJ$5)*H403-CJ403</f>
        <v>#NAME?</v>
      </c>
      <c r="CH403" s="253" t="e">
        <f aca="false">xSPRDOPT((VLOOKUP(G403,NGPREVPRICES,2,FALSE())+HLOOKUP(D403,PREVCURVES,VLOOKUP(G403,MOVE_DOWN2,2,FALSE()),FALSE())),VLOOKUP(G403,NGPREVPRICES,2,FALSE()),CK403,VLOOKUP(G403,NGPREVPRICES,4,FALSE()),HLOOKUP(D403,PREVVOLS,VLOOKUP(G403,MOVE_DOWN2,2,FALSE()),FALSE()),VLOOKUP(G403,NGPREVPRICES,3,FALSE()),HLOOKUP(D403,Correllate,VLOOKUP(G403,CorMove,2,FALSE()),FALSE()),Q403-$C$3,R403,$CJ$5)*H403-CJ403</f>
        <v>#NAME?</v>
      </c>
      <c r="CI403" s="253" t="e">
        <f aca="false">SUM(CD403:CH403)</f>
        <v>#NAME?</v>
      </c>
      <c r="CJ403" s="253" t="e">
        <f aca="false">xSPRDOPT((VLOOKUP(G403,NGPREVPRICES,2,FALSE())+HLOOKUP(D403,PREVCURVES,VLOOKUP(G403,MOVE_DOWN2,2,FALSE()),FALSE())),VLOOKUP(G403,NGPREVPRICES,2,FALSE()),CK403,VLOOKUP(G403,NGPREVPRICES,4,FALSE()),HLOOKUP(D403,PREVVOLS,VLOOKUP(G403,MOVE_DOWN2,2,FALSE()),FALSE()),VLOOKUP(G403,NGPREVPRICES,3,FALSE()),HLOOKUP(D403,Correllate,VLOOKUP(G403,CorMove,2,FALSE()),FALSE()),Q403-$CD$3,R403,$CJ$5)*H403</f>
        <v>#NAME?</v>
      </c>
      <c r="CK403" s="254" t="n">
        <f aca="false">I403</f>
        <v>1.6</v>
      </c>
      <c r="CM403" s="0" t="str">
        <f aca="false">CONCATENATE(CC403,$CD$6)</f>
        <v>36892Curve Shift/Gamma</v>
      </c>
      <c r="CN403" s="0" t="str">
        <f aca="false">CONCATENATE($CC403,$CE$6)</f>
        <v>36892Rho</v>
      </c>
      <c r="CO403" s="0" t="str">
        <f aca="false">CONCATENATE($CC403,$CF$6)</f>
        <v>36892Drift</v>
      </c>
      <c r="CP403" s="0" t="str">
        <f aca="false">CONCATENATE($CC403,$CG$6)</f>
        <v>36892Vega</v>
      </c>
      <c r="CQ403" s="0" t="str">
        <f aca="false">CONCATENATE($CC403,$CH$6)</f>
        <v>36892Theta</v>
      </c>
    </row>
    <row r="404" customFormat="false" ht="12.75" hidden="false" customHeight="false" outlineLevel="0" collapsed="false">
      <c r="A404" s="265" t="s">
        <v>198</v>
      </c>
      <c r="B404" s="0" t="s">
        <v>192</v>
      </c>
      <c r="C404" s="0" t="s">
        <v>343</v>
      </c>
      <c r="D404" s="7" t="s">
        <v>149</v>
      </c>
      <c r="E404" s="0" t="s">
        <v>131</v>
      </c>
      <c r="F404" s="0" t="s">
        <v>136</v>
      </c>
      <c r="G404" s="92" t="n">
        <v>36861</v>
      </c>
      <c r="H404" s="248" t="n">
        <v>-500000</v>
      </c>
      <c r="I404" s="0" t="n">
        <v>1.6</v>
      </c>
      <c r="J404" s="124" t="n">
        <f aca="false">VLOOKUP(G404,NGPrices,2,FALSE())</f>
        <v>4.8</v>
      </c>
      <c r="K404" s="125" t="n">
        <f aca="false">HLOOKUP(D404,Prices,VLOOKUP(G404,move_down,2,FALSE()),FALSE())+VLOOKUP(G404,CHANGE,HLOOKUP(D404,CHANGE,2,FALSE()),FALSE())</f>
        <v>1.645</v>
      </c>
      <c r="L404" s="124" t="n">
        <f aca="false">K404+J404</f>
        <v>6.445</v>
      </c>
      <c r="M404" s="126" t="n">
        <f aca="false">VLOOKUP(G404,NGPrices,4,FALSE())</f>
        <v>0.068314027999354</v>
      </c>
      <c r="N404" s="7" t="n">
        <f aca="false">VLOOKUP(G404,NGPrices,3,FALSE())</f>
        <v>0.6</v>
      </c>
      <c r="O404" s="7" t="n">
        <f aca="false">HLOOKUP(D404,VOLS,VLOOKUP(G404,move_down,2,FALSE()),FALSE())</f>
        <v>0.69</v>
      </c>
      <c r="P404" s="249" t="n">
        <f aca="false">HLOOKUP(D404,Correllate,VLOOKUP(G404,CorMove,2,FALSE()),FALSE())</f>
        <v>0.83</v>
      </c>
      <c r="Q404" s="92" t="n">
        <f aca="false">WORKDAY(G404,-2)</f>
        <v>36859</v>
      </c>
      <c r="R404" s="7" t="n">
        <f aca="false">IF(F404="P",0,1)</f>
        <v>1</v>
      </c>
      <c r="S404" s="130" t="e">
        <f aca="false">xSPRDOPT($L404,$J404,$I404,$M404,$O404,$N404,$P404,$Q404-$C$3,$R404,0)</f>
        <v>#NAME?</v>
      </c>
      <c r="T404" s="250" t="e">
        <f aca="false">xSPRDOPT($L404,$J404,$I404,$M404,$O404,$N404,$P404,$Q404-$C$3,$R404,1)*H404</f>
        <v>#NAME?</v>
      </c>
      <c r="U404" s="43" t="e">
        <f aca="false">S404*H404</f>
        <v>#NAME?</v>
      </c>
      <c r="V404" s="250" t="e">
        <f aca="false">xSPRDOPT($L404,$J404,$I404,$M404,$O404,$N404,$P404,$Q404-$C$3,$R404,2)*H404</f>
        <v>#NAME?</v>
      </c>
      <c r="W404" s="250" t="e">
        <f aca="false">+V404+T404</f>
        <v>#NAME?</v>
      </c>
      <c r="X404" s="2" t="str">
        <f aca="false">CONCATENATE(G404,D404)</f>
        <v>36861IF-TRANSCO/Z6</v>
      </c>
      <c r="Y404" s="251" t="n">
        <f aca="false">H404/10000</f>
        <v>-50</v>
      </c>
      <c r="Z404" s="226" t="e">
        <f aca="false">T404/H404</f>
        <v>#NAME?</v>
      </c>
      <c r="AA404" s="226" t="e">
        <f aca="false">xSPRDOPT($L404,$J404,$I404,$M404,$O404,$N404,$P404,$Q404-$C$3,$R404,3)</f>
        <v>#NAME?</v>
      </c>
      <c r="AB404" s="226" t="e">
        <f aca="false">((xSPRDOPT($L404+AB$5,$J404,$I404,$M404,$O404,$N404,$P404,$Q404-$C$3,$R404,3)*$H404)/10000)/100</f>
        <v>#NAME?</v>
      </c>
      <c r="AC404" s="226" t="e">
        <f aca="false">((xSPRDOPT($L404+$AB$5,$J404,$I404,$M404,$O404,$N404,$P404,$Q404-$C$3,$R404,7)*$H404)/100)</f>
        <v>#NAME?</v>
      </c>
      <c r="AD404" s="226" t="e">
        <f aca="false">(xSPRDOPT($L404+$AB$5,$J404,$I404,$M404,$O404,$N404,$P404,$Q404-$C$3,$R404,9)/365)*$H404</f>
        <v>#NAME?</v>
      </c>
      <c r="AE404" s="0" t="e">
        <f aca="false">CD404</f>
        <v>#NAME?</v>
      </c>
      <c r="AF404" s="226" t="e">
        <f aca="false">((O404/N404)*AH404)+AG404</f>
        <v>#NAME?</v>
      </c>
      <c r="AG404" s="226" t="e">
        <f aca="false">((xSPRDOPT($L404,$J404,$I404,$M404,$O404,$N404,$P404,$Q404-$C$3,$R404,6)*$H404)/100)</f>
        <v>#NAME?</v>
      </c>
      <c r="AH404" s="226" t="e">
        <f aca="false">((xSPRDOPT($L404,$J404,$I404,$M404,$O404,$N404,$P404,$Q404-$C$3,$R404,5)*$H404)/100)</f>
        <v>#NAME?</v>
      </c>
      <c r="AI404" s="226" t="e">
        <f aca="false">(((xSPRDOPT($L404,$J404,$I404,$M404,$O404,$N404,$P404,$Q404-$C$3,$R404,4)*$H404)/10000)/100)-AB404</f>
        <v>#NAME?</v>
      </c>
      <c r="AJ404" s="226"/>
      <c r="AK404" s="226"/>
      <c r="AL404" s="226"/>
      <c r="AM404" s="252"/>
      <c r="CC404" s="182" t="n">
        <f aca="false">G404</f>
        <v>36861</v>
      </c>
      <c r="CD404" s="253" t="e">
        <f aca="false">xSPRDOPT((VLOOKUP(G404,NGPrices,2,FALSE())+HLOOKUP(D404,Prices,VLOOKUP(G404,move_down,2,FALSE()),FALSE())),VLOOKUP(G404,NGPrices,2,FALSE()),I404,VLOOKUP(G404,NGPREVPRICES,4,FALSE()),HLOOKUP(D404,PREVVOLS,VLOOKUP(G404,MOVE_DOWN2,2,FALSE()),FALSE()),VLOOKUP(G404,NGPREVPRICES,3,FALSE()),HLOOKUP(D404,Correllate,VLOOKUP(G404,CorMove,2,FALSE()),FALSE()),Q404-$CD$3,R404,$CD$5)*H404-CJ404</f>
        <v>#NAME?</v>
      </c>
      <c r="CE404" s="253" t="e">
        <f aca="false">xSPRDOPT((VLOOKUP(G404,NGPREVPRICES,2,FALSE())+HLOOKUP(D404,PREVCURVES,VLOOKUP(G404,MOVE_DOWN2,2,FALSE()),FALSE())),VLOOKUP(G404,NGPREVPRICES,2,FALSE()),CK404,VLOOKUP(G404,NGPrices,4,FALSE()),HLOOKUP(D404,PREVVOLS,VLOOKUP(G404,MOVE_DOWN2,2,FALSE()),FALSE()),VLOOKUP(G404,NGPREVPRICES,3,FALSE()),HLOOKUP(D404,Correllate,VLOOKUP(G404,CorMove,2,FALSE()),FALSE()),Q404-$CD$3,R404,$CJ$5)*H404-CJ404</f>
        <v>#NAME?</v>
      </c>
      <c r="CF404" s="132" t="e">
        <f aca="false">(CJ404/VLOOKUP(CC404,discount,3,FALSE()))-(CJ404/VLOOKUP(CC404,discount,2,FALSE()))</f>
        <v>#NAME?</v>
      </c>
      <c r="CG404" s="253" t="e">
        <f aca="false">xSPRDOPT((VLOOKUP(G404,NGPREVPRICES,2,FALSE())+HLOOKUP(D404,PREVCURVES,VLOOKUP(G404,MOVE_DOWN2,2,FALSE()),FALSE())),VLOOKUP(G404,NGPREVPRICES,2,FALSE()),CK404,VLOOKUP(G404,NGPREVPRICES,4,FALSE()),HLOOKUP(D404,VOLS,VLOOKUP(G404,move_down,2,FALSE()),FALSE()),VLOOKUP(G404,NGPrices,3,FALSE()),HLOOKUP(D404,Correllate,VLOOKUP(G404,CorMove,2,FALSE()),FALSE()),Q404-$CD$3,R404,$CJ$5)*H404-CJ404</f>
        <v>#NAME?</v>
      </c>
      <c r="CH404" s="253" t="e">
        <f aca="false">xSPRDOPT((VLOOKUP(G404,NGPREVPRICES,2,FALSE())+HLOOKUP(D404,PREVCURVES,VLOOKUP(G404,MOVE_DOWN2,2,FALSE()),FALSE())),VLOOKUP(G404,NGPREVPRICES,2,FALSE()),CK404,VLOOKUP(G404,NGPREVPRICES,4,FALSE()),HLOOKUP(D404,PREVVOLS,VLOOKUP(G404,MOVE_DOWN2,2,FALSE()),FALSE()),VLOOKUP(G404,NGPREVPRICES,3,FALSE()),HLOOKUP(D404,Correllate,VLOOKUP(G404,CorMove,2,FALSE()),FALSE()),Q404-$C$3,R404,$CJ$5)*H404-CJ404</f>
        <v>#NAME?</v>
      </c>
      <c r="CI404" s="253" t="e">
        <f aca="false">SUM(CD404:CH404)</f>
        <v>#NAME?</v>
      </c>
      <c r="CJ404" s="253" t="e">
        <f aca="false">xSPRDOPT((VLOOKUP(G404,NGPREVPRICES,2,FALSE())+HLOOKUP(D404,PREVCURVES,VLOOKUP(G404,MOVE_DOWN2,2,FALSE()),FALSE())),VLOOKUP(G404,NGPREVPRICES,2,FALSE()),CK404,VLOOKUP(G404,NGPREVPRICES,4,FALSE()),HLOOKUP(D404,PREVVOLS,VLOOKUP(G404,MOVE_DOWN2,2,FALSE()),FALSE()),VLOOKUP(G404,NGPREVPRICES,3,FALSE()),HLOOKUP(D404,Correllate,VLOOKUP(G404,CorMove,2,FALSE()),FALSE()),Q404-$CD$3,R404,$CJ$5)*H404</f>
        <v>#NAME?</v>
      </c>
      <c r="CK404" s="254" t="n">
        <f aca="false">I404</f>
        <v>1.6</v>
      </c>
      <c r="CM404" s="0" t="str">
        <f aca="false">CONCATENATE(CC404,$CD$6)</f>
        <v>36861Curve Shift/Gamma</v>
      </c>
      <c r="CN404" s="0" t="str">
        <f aca="false">CONCATENATE($CC404,$CE$6)</f>
        <v>36861Rho</v>
      </c>
      <c r="CO404" s="0" t="str">
        <f aca="false">CONCATENATE($CC404,$CF$6)</f>
        <v>36861Drift</v>
      </c>
      <c r="CP404" s="0" t="str">
        <f aca="false">CONCATENATE($CC404,$CG$6)</f>
        <v>36861Vega</v>
      </c>
      <c r="CQ404" s="0" t="str">
        <f aca="false">CONCATENATE($CC404,$CH$6)</f>
        <v>36861Theta</v>
      </c>
    </row>
    <row r="405" customFormat="false" ht="12.75" hidden="false" customHeight="false" outlineLevel="0" collapsed="false">
      <c r="A405" s="265" t="s">
        <v>198</v>
      </c>
      <c r="B405" s="0" t="s">
        <v>192</v>
      </c>
      <c r="C405" s="0" t="s">
        <v>343</v>
      </c>
      <c r="D405" s="7" t="s">
        <v>149</v>
      </c>
      <c r="E405" s="0" t="s">
        <v>131</v>
      </c>
      <c r="F405" s="0" t="s">
        <v>136</v>
      </c>
      <c r="G405" s="92" t="n">
        <v>36831</v>
      </c>
      <c r="H405" s="248" t="n">
        <v>-500000</v>
      </c>
      <c r="I405" s="0" t="n">
        <v>1.6</v>
      </c>
      <c r="J405" s="124" t="n">
        <f aca="false">VLOOKUP(G405,NGPrices,2,FALSE())</f>
        <v>4.736</v>
      </c>
      <c r="K405" s="125" t="n">
        <f aca="false">HLOOKUP(D405,Prices,VLOOKUP(G405,move_down,2,FALSE()),FALSE())+VLOOKUP(G405,CHANGE,HLOOKUP(D405,CHANGE,2,FALSE()),FALSE())</f>
        <v>0.77</v>
      </c>
      <c r="L405" s="124" t="n">
        <f aca="false">K405+J405</f>
        <v>5.506</v>
      </c>
      <c r="M405" s="126" t="n">
        <f aca="false">VLOOKUP(G405,NGPrices,4,FALSE())</f>
        <v>0.06810675983792</v>
      </c>
      <c r="N405" s="7" t="n">
        <f aca="false">VLOOKUP(G405,NGPrices,3,FALSE())</f>
        <v>0.595</v>
      </c>
      <c r="O405" s="7" t="n">
        <f aca="false">HLOOKUP(D405,VOLS,VLOOKUP(G405,move_down,2,FALSE()),FALSE())</f>
        <v>0.625</v>
      </c>
      <c r="P405" s="249" t="n">
        <f aca="false">HLOOKUP(D405,Correllate,VLOOKUP(G405,CorMove,2,FALSE()),FALSE())</f>
        <v>0.89</v>
      </c>
      <c r="Q405" s="92" t="n">
        <f aca="false">WORKDAY(G405,-2)</f>
        <v>36829</v>
      </c>
      <c r="R405" s="7" t="n">
        <f aca="false">IF(F405="P",0,1)</f>
        <v>1</v>
      </c>
      <c r="S405" s="130" t="e">
        <f aca="false">xSPRDOPT($L405,$J405,$I405,$M405,$O405,$N405,$P405,$Q405-$C$3,$R405,0)</f>
        <v>#NAME?</v>
      </c>
      <c r="T405" s="250" t="e">
        <f aca="false">xSPRDOPT($L405,$J405,$I405,$M405,$O405,$N405,$P405,$Q405-$C$3,$R405,1)*H405</f>
        <v>#NAME?</v>
      </c>
      <c r="U405" s="43" t="e">
        <f aca="false">S405*H405</f>
        <v>#NAME?</v>
      </c>
      <c r="V405" s="250" t="e">
        <f aca="false">xSPRDOPT($L405,$J405,$I405,$M405,$O405,$N405,$P405,$Q405-$C$3,$R405,2)*H405</f>
        <v>#NAME?</v>
      </c>
      <c r="W405" s="250" t="e">
        <f aca="false">+V405+T405</f>
        <v>#NAME?</v>
      </c>
      <c r="X405" s="2" t="str">
        <f aca="false">CONCATENATE(G405,D405)</f>
        <v>36831IF-TRANSCO/Z6</v>
      </c>
      <c r="Y405" s="251" t="n">
        <f aca="false">H405/10000</f>
        <v>-50</v>
      </c>
      <c r="Z405" s="226" t="e">
        <f aca="false">T405/H405</f>
        <v>#NAME?</v>
      </c>
      <c r="AA405" s="226" t="e">
        <f aca="false">xSPRDOPT($L405,$J405,$I405,$M405,$O405,$N405,$P405,$Q405-$C$3,$R405,3)</f>
        <v>#NAME?</v>
      </c>
      <c r="AB405" s="226" t="e">
        <f aca="false">((xSPRDOPT($L405+AB$5,$J405,$I405,$M405,$O405,$N405,$P405,$Q405-$C$3,$R405,3)*$H405)/10000)/100</f>
        <v>#NAME?</v>
      </c>
      <c r="AC405" s="226" t="e">
        <f aca="false">((xSPRDOPT($L405+$AB$5,$J405,$I405,$M405,$O405,$N405,$P405,$Q405-$C$3,$R405,7)*$H405)/100)</f>
        <v>#NAME?</v>
      </c>
      <c r="AD405" s="226" t="e">
        <f aca="false">(xSPRDOPT($L405+$AB$5,$J405,$I405,$M405,$O405,$N405,$P405,$Q405-$C$3,$R405,9)/365)*$H405</f>
        <v>#NAME?</v>
      </c>
      <c r="AE405" s="0" t="e">
        <f aca="false">CD405</f>
        <v>#NAME?</v>
      </c>
      <c r="AF405" s="226" t="e">
        <f aca="false">((O405/N405)*AH405)+AG405</f>
        <v>#NAME?</v>
      </c>
      <c r="AG405" s="226" t="e">
        <f aca="false">((xSPRDOPT($L405,$J405,$I405,$M405,$O405,$N405,$P405,$Q405-$C$3,$R405,6)*$H405)/100)</f>
        <v>#NAME?</v>
      </c>
      <c r="AH405" s="226" t="e">
        <f aca="false">((xSPRDOPT($L405,$J405,$I405,$M405,$O405,$N405,$P405,$Q405-$C$3,$R405,5)*$H405)/100)</f>
        <v>#NAME?</v>
      </c>
      <c r="AI405" s="226" t="e">
        <f aca="false">(((xSPRDOPT($L405,$J405,$I405,$M405,$O405,$N405,$P405,$Q405-$C$3,$R405,4)*$H405)/10000)/100)-AB405</f>
        <v>#NAME?</v>
      </c>
      <c r="AJ405" s="226"/>
      <c r="AK405" s="226"/>
      <c r="AL405" s="226"/>
      <c r="AM405" s="252"/>
      <c r="CC405" s="182" t="n">
        <f aca="false">G405</f>
        <v>36831</v>
      </c>
      <c r="CD405" s="253" t="e">
        <f aca="false">xSPRDOPT((VLOOKUP(G405,NGPrices,2,FALSE())+HLOOKUP(D405,Prices,VLOOKUP(G405,move_down,2,FALSE()),FALSE())),VLOOKUP(G405,NGPrices,2,FALSE()),I405,VLOOKUP(G405,NGPREVPRICES,4,FALSE()),HLOOKUP(D405,PREVVOLS,VLOOKUP(G405,MOVE_DOWN2,2,FALSE()),FALSE()),VLOOKUP(G405,NGPREVPRICES,3,FALSE()),HLOOKUP(D405,Correllate,VLOOKUP(G405,CorMove,2,FALSE()),FALSE()),Q405-$CD$3,R405,$CD$5)*H405-CJ405</f>
        <v>#NAME?</v>
      </c>
      <c r="CE405" s="253" t="e">
        <f aca="false">xSPRDOPT((VLOOKUP(G405,NGPREVPRICES,2,FALSE())+HLOOKUP(D405,PREVCURVES,VLOOKUP(G405,MOVE_DOWN2,2,FALSE()),FALSE())),VLOOKUP(G405,NGPREVPRICES,2,FALSE()),CK405,VLOOKUP(G405,NGPrices,4,FALSE()),HLOOKUP(D405,PREVVOLS,VLOOKUP(G405,MOVE_DOWN2,2,FALSE()),FALSE()),VLOOKUP(G405,NGPREVPRICES,3,FALSE()),HLOOKUP(D405,Correllate,VLOOKUP(G405,CorMove,2,FALSE()),FALSE()),Q405-$CD$3,R405,$CJ$5)*H405-CJ405</f>
        <v>#NAME?</v>
      </c>
      <c r="CF405" s="132" t="e">
        <f aca="false">(CJ405/VLOOKUP(CC405,discount,3,FALSE()))-(CJ405/VLOOKUP(CC405,discount,2,FALSE()))</f>
        <v>#NAME?</v>
      </c>
      <c r="CG405" s="253" t="e">
        <f aca="false">xSPRDOPT((VLOOKUP(G405,NGPREVPRICES,2,FALSE())+HLOOKUP(D405,PREVCURVES,VLOOKUP(G405,MOVE_DOWN2,2,FALSE()),FALSE())),VLOOKUP(G405,NGPREVPRICES,2,FALSE()),CK405,VLOOKUP(G405,NGPREVPRICES,4,FALSE()),HLOOKUP(D405,VOLS,VLOOKUP(G405,move_down,2,FALSE()),FALSE()),VLOOKUP(G405,NGPrices,3,FALSE()),HLOOKUP(D405,Correllate,VLOOKUP(G405,CorMove,2,FALSE()),FALSE()),Q405-$CD$3,R405,$CJ$5)*H405-CJ405</f>
        <v>#NAME?</v>
      </c>
      <c r="CH405" s="253" t="e">
        <f aca="false">xSPRDOPT((VLOOKUP(G405,NGPREVPRICES,2,FALSE())+HLOOKUP(D405,PREVCURVES,VLOOKUP(G405,MOVE_DOWN2,2,FALSE()),FALSE())),VLOOKUP(G405,NGPREVPRICES,2,FALSE()),CK405,VLOOKUP(G405,NGPREVPRICES,4,FALSE()),HLOOKUP(D405,PREVVOLS,VLOOKUP(G405,MOVE_DOWN2,2,FALSE()),FALSE()),VLOOKUP(G405,NGPREVPRICES,3,FALSE()),HLOOKUP(D405,Correllate,VLOOKUP(G405,CorMove,2,FALSE()),FALSE()),Q405-$C$3,R405,$CJ$5)*H405-CJ405</f>
        <v>#NAME?</v>
      </c>
      <c r="CI405" s="253" t="e">
        <f aca="false">SUM(CD405:CH405)</f>
        <v>#NAME?</v>
      </c>
      <c r="CJ405" s="253" t="e">
        <f aca="false">xSPRDOPT((VLOOKUP(G405,NGPREVPRICES,2,FALSE())+HLOOKUP(D405,PREVCURVES,VLOOKUP(G405,MOVE_DOWN2,2,FALSE()),FALSE())),VLOOKUP(G405,NGPREVPRICES,2,FALSE()),CK405,VLOOKUP(G405,NGPREVPRICES,4,FALSE()),HLOOKUP(D405,PREVVOLS,VLOOKUP(G405,MOVE_DOWN2,2,FALSE()),FALSE()),VLOOKUP(G405,NGPREVPRICES,3,FALSE()),HLOOKUP(D405,Correllate,VLOOKUP(G405,CorMove,2,FALSE()),FALSE()),Q405-$CD$3,R405,$CJ$5)*H405</f>
        <v>#NAME?</v>
      </c>
      <c r="CK405" s="254" t="n">
        <f aca="false">I405</f>
        <v>1.6</v>
      </c>
      <c r="CM405" s="0" t="str">
        <f aca="false">CONCATENATE(CC405,$CD$6)</f>
        <v>36831Curve Shift/Gamma</v>
      </c>
      <c r="CN405" s="0" t="str">
        <f aca="false">CONCATENATE($CC405,$CE$6)</f>
        <v>36831Rho</v>
      </c>
      <c r="CO405" s="0" t="str">
        <f aca="false">CONCATENATE($CC405,$CF$6)</f>
        <v>36831Drift</v>
      </c>
      <c r="CP405" s="0" t="str">
        <f aca="false">CONCATENATE($CC405,$CG$6)</f>
        <v>36831Vega</v>
      </c>
      <c r="CQ405" s="0" t="str">
        <f aca="false">CONCATENATE($CC405,$CH$6)</f>
        <v>36831Theta</v>
      </c>
    </row>
    <row r="406" customFormat="false" ht="12.75" hidden="false" customHeight="false" outlineLevel="0" collapsed="false">
      <c r="A406" s="265" t="s">
        <v>198</v>
      </c>
      <c r="B406" s="0" t="s">
        <v>192</v>
      </c>
      <c r="C406" s="0" t="s">
        <v>344</v>
      </c>
      <c r="D406" s="7" t="s">
        <v>149</v>
      </c>
      <c r="E406" s="0" t="s">
        <v>131</v>
      </c>
      <c r="F406" s="0" t="s">
        <v>132</v>
      </c>
      <c r="G406" s="92" t="n">
        <v>36951</v>
      </c>
      <c r="H406" s="248" t="n">
        <v>-500000</v>
      </c>
      <c r="I406" s="0" t="n">
        <v>1.6</v>
      </c>
      <c r="J406" s="124" t="n">
        <f aca="false">VLOOKUP(G406,NGPrices,2,FALSE())</f>
        <v>4.213</v>
      </c>
      <c r="K406" s="125" t="n">
        <f aca="false">HLOOKUP(D406,Prices,VLOOKUP(G406,move_down,2,FALSE()),FALSE())+VLOOKUP(G406,CHANGE,HLOOKUP(D406,CHANGE,2,FALSE()),FALSE())</f>
        <v>1.075</v>
      </c>
      <c r="L406" s="124" t="n">
        <f aca="false">K406+J406</f>
        <v>5.288</v>
      </c>
      <c r="M406" s="126" t="n">
        <f aca="false">VLOOKUP(G406,NGPrices,4,FALSE())</f>
        <v>0.068879814952707</v>
      </c>
      <c r="N406" s="7" t="n">
        <f aca="false">VLOOKUP(G406,NGPrices,3,FALSE())</f>
        <v>0.5325</v>
      </c>
      <c r="O406" s="7" t="n">
        <f aca="false">HLOOKUP(D406,VOLS,VLOOKUP(G406,move_down,2,FALSE()),FALSE())</f>
        <v>0.612</v>
      </c>
      <c r="P406" s="249" t="n">
        <f aca="false">HLOOKUP(D406,Correllate,VLOOKUP(G406,CorMove,2,FALSE()),FALSE())</f>
        <v>0.83</v>
      </c>
      <c r="Q406" s="92" t="n">
        <f aca="false">WORKDAY(G406,-2)</f>
        <v>36949</v>
      </c>
      <c r="R406" s="7" t="n">
        <f aca="false">IF(F406="P",0,1)</f>
        <v>0</v>
      </c>
      <c r="S406" s="130" t="e">
        <f aca="false">xSPRDOPT($L406,$J406,$I406,$M406,$O406,$N406,$P406,$Q406-$C$3,$R406,0)</f>
        <v>#NAME?</v>
      </c>
      <c r="T406" s="250" t="e">
        <f aca="false">xSPRDOPT($L406,$J406,$I406,$M406,$O406,$N406,$P406,$Q406-$C$3,$R406,1)*H406</f>
        <v>#NAME?</v>
      </c>
      <c r="U406" s="43" t="e">
        <f aca="false">S406*H406</f>
        <v>#NAME?</v>
      </c>
      <c r="V406" s="250" t="e">
        <f aca="false">xSPRDOPT($L406,$J406,$I406,$M406,$O406,$N406,$P406,$Q406-$C$3,$R406,2)*H406</f>
        <v>#NAME?</v>
      </c>
      <c r="W406" s="250" t="e">
        <f aca="false">+V406+T406</f>
        <v>#NAME?</v>
      </c>
      <c r="X406" s="2" t="str">
        <f aca="false">CONCATENATE(G406,D406)</f>
        <v>36951IF-TRANSCO/Z6</v>
      </c>
      <c r="Y406" s="251" t="n">
        <f aca="false">H406/10000</f>
        <v>-50</v>
      </c>
      <c r="Z406" s="226" t="e">
        <f aca="false">T406/H406</f>
        <v>#NAME?</v>
      </c>
      <c r="AA406" s="226" t="e">
        <f aca="false">xSPRDOPT($L406,$J406,$I406,$M406,$O406,$N406,$P406,$Q406-$C$3,$R406,3)</f>
        <v>#NAME?</v>
      </c>
      <c r="AB406" s="226" t="e">
        <f aca="false">((xSPRDOPT($L406+AB$5,$J406,$I406,$M406,$O406,$N406,$P406,$Q406-$C$3,$R406,3)*$H406)/10000)/100</f>
        <v>#NAME?</v>
      </c>
      <c r="AC406" s="226" t="e">
        <f aca="false">((xSPRDOPT($L406+$AB$5,$J406,$I406,$M406,$O406,$N406,$P406,$Q406-$C$3,$R406,7)*$H406)/100)</f>
        <v>#NAME?</v>
      </c>
      <c r="AD406" s="226" t="e">
        <f aca="false">(xSPRDOPT($L406+$AB$5,$J406,$I406,$M406,$O406,$N406,$P406,$Q406-$C$3,$R406,9)/365)*$H406</f>
        <v>#NAME?</v>
      </c>
      <c r="AE406" s="0" t="e">
        <f aca="false">CD406</f>
        <v>#NAME?</v>
      </c>
      <c r="AF406" s="226" t="e">
        <f aca="false">((O406/N406)*AH406)+AG406</f>
        <v>#NAME?</v>
      </c>
      <c r="AG406" s="226" t="e">
        <f aca="false">((xSPRDOPT($L406,$J406,$I406,$M406,$O406,$N406,$P406,$Q406-$C$3,$R406,6)*$H406)/100)</f>
        <v>#NAME?</v>
      </c>
      <c r="AH406" s="226" t="e">
        <f aca="false">((xSPRDOPT($L406,$J406,$I406,$M406,$O406,$N406,$P406,$Q406-$C$3,$R406,5)*$H406)/100)</f>
        <v>#NAME?</v>
      </c>
      <c r="AI406" s="226" t="e">
        <f aca="false">(((xSPRDOPT($L406,$J406,$I406,$M406,$O406,$N406,$P406,$Q406-$C$3,$R406,4)*$H406)/10000)/100)-AB406</f>
        <v>#NAME?</v>
      </c>
      <c r="AJ406" s="226"/>
      <c r="AK406" s="226"/>
      <c r="AL406" s="226"/>
      <c r="AM406" s="252"/>
      <c r="CC406" s="182" t="n">
        <f aca="false">G406</f>
        <v>36951</v>
      </c>
      <c r="CD406" s="253" t="e">
        <f aca="false">xSPRDOPT((VLOOKUP(G406,NGPrices,2,FALSE())+HLOOKUP(D406,Prices,VLOOKUP(G406,move_down,2,FALSE()),FALSE())),VLOOKUP(G406,NGPrices,2,FALSE()),I406,VLOOKUP(G406,NGPREVPRICES,4,FALSE()),HLOOKUP(D406,PREVVOLS,VLOOKUP(G406,MOVE_DOWN2,2,FALSE()),FALSE()),VLOOKUP(G406,NGPREVPRICES,3,FALSE()),HLOOKUP(D406,Correllate,VLOOKUP(G406,CorMove,2,FALSE()),FALSE()),Q406-$CD$3,R406,$CD$5)*H406-CJ406</f>
        <v>#NAME?</v>
      </c>
      <c r="CE406" s="253" t="e">
        <f aca="false">xSPRDOPT((VLOOKUP(G406,NGPREVPRICES,2,FALSE())+HLOOKUP(D406,PREVCURVES,VLOOKUP(G406,MOVE_DOWN2,2,FALSE()),FALSE())),VLOOKUP(G406,NGPREVPRICES,2,FALSE()),CK406,VLOOKUP(G406,NGPrices,4,FALSE()),HLOOKUP(D406,PREVVOLS,VLOOKUP(G406,MOVE_DOWN2,2,FALSE()),FALSE()),VLOOKUP(G406,NGPREVPRICES,3,FALSE()),HLOOKUP(D406,Correllate,VLOOKUP(G406,CorMove,2,FALSE()),FALSE()),Q406-$CD$3,R406,$CJ$5)*H406-CJ406</f>
        <v>#NAME?</v>
      </c>
      <c r="CF406" s="132" t="e">
        <f aca="false">(CJ406/VLOOKUP(CC406,discount,3,FALSE()))-(CJ406/VLOOKUP(CC406,discount,2,FALSE()))</f>
        <v>#NAME?</v>
      </c>
      <c r="CG406" s="253" t="e">
        <f aca="false">xSPRDOPT((VLOOKUP(G406,NGPREVPRICES,2,FALSE())+HLOOKUP(D406,PREVCURVES,VLOOKUP(G406,MOVE_DOWN2,2,FALSE()),FALSE())),VLOOKUP(G406,NGPREVPRICES,2,FALSE()),CK406,VLOOKUP(G406,NGPREVPRICES,4,FALSE()),HLOOKUP(D406,VOLS,VLOOKUP(G406,move_down,2,FALSE()),FALSE()),VLOOKUP(G406,NGPrices,3,FALSE()),HLOOKUP(D406,Correllate,VLOOKUP(G406,CorMove,2,FALSE()),FALSE()),Q406-$CD$3,R406,$CJ$5)*H406-CJ406</f>
        <v>#NAME?</v>
      </c>
      <c r="CH406" s="253" t="e">
        <f aca="false">xSPRDOPT((VLOOKUP(G406,NGPREVPRICES,2,FALSE())+HLOOKUP(D406,PREVCURVES,VLOOKUP(G406,MOVE_DOWN2,2,FALSE()),FALSE())),VLOOKUP(G406,NGPREVPRICES,2,FALSE()),CK406,VLOOKUP(G406,NGPREVPRICES,4,FALSE()),HLOOKUP(D406,PREVVOLS,VLOOKUP(G406,MOVE_DOWN2,2,FALSE()),FALSE()),VLOOKUP(G406,NGPREVPRICES,3,FALSE()),HLOOKUP(D406,Correllate,VLOOKUP(G406,CorMove,2,FALSE()),FALSE()),Q406-$C$3,R406,$CJ$5)*H406-CJ406</f>
        <v>#NAME?</v>
      </c>
      <c r="CI406" s="253" t="e">
        <f aca="false">SUM(CD406:CH406)</f>
        <v>#NAME?</v>
      </c>
      <c r="CJ406" s="253" t="e">
        <f aca="false">xSPRDOPT((VLOOKUP(G406,NGPREVPRICES,2,FALSE())+HLOOKUP(D406,PREVCURVES,VLOOKUP(G406,MOVE_DOWN2,2,FALSE()),FALSE())),VLOOKUP(G406,NGPREVPRICES,2,FALSE()),CK406,VLOOKUP(G406,NGPREVPRICES,4,FALSE()),HLOOKUP(D406,PREVVOLS,VLOOKUP(G406,MOVE_DOWN2,2,FALSE()),FALSE()),VLOOKUP(G406,NGPREVPRICES,3,FALSE()),HLOOKUP(D406,Correllate,VLOOKUP(G406,CorMove,2,FALSE()),FALSE()),Q406-$CD$3,R406,$CJ$5)*H406</f>
        <v>#NAME?</v>
      </c>
      <c r="CK406" s="254" t="n">
        <f aca="false">I406</f>
        <v>1.6</v>
      </c>
      <c r="CM406" s="0" t="str">
        <f aca="false">CONCATENATE(CC406,$CD$6)</f>
        <v>36951Curve Shift/Gamma</v>
      </c>
      <c r="CN406" s="0" t="str">
        <f aca="false">CONCATENATE($CC406,$CE$6)</f>
        <v>36951Rho</v>
      </c>
      <c r="CO406" s="0" t="str">
        <f aca="false">CONCATENATE($CC406,$CF$6)</f>
        <v>36951Drift</v>
      </c>
      <c r="CP406" s="0" t="str">
        <f aca="false">CONCATENATE($CC406,$CG$6)</f>
        <v>36951Vega</v>
      </c>
      <c r="CQ406" s="0" t="str">
        <f aca="false">CONCATENATE($CC406,$CH$6)</f>
        <v>36951Theta</v>
      </c>
    </row>
    <row r="407" customFormat="false" ht="12.75" hidden="false" customHeight="false" outlineLevel="0" collapsed="false">
      <c r="A407" s="265" t="s">
        <v>198</v>
      </c>
      <c r="B407" s="0" t="s">
        <v>192</v>
      </c>
      <c r="C407" s="0" t="s">
        <v>344</v>
      </c>
      <c r="D407" s="7" t="s">
        <v>149</v>
      </c>
      <c r="E407" s="0" t="s">
        <v>131</v>
      </c>
      <c r="F407" s="0" t="s">
        <v>132</v>
      </c>
      <c r="G407" s="92" t="n">
        <v>36923</v>
      </c>
      <c r="H407" s="248" t="n">
        <v>-500000</v>
      </c>
      <c r="I407" s="0" t="n">
        <v>1.6</v>
      </c>
      <c r="J407" s="124" t="n">
        <f aca="false">VLOOKUP(G407,NGPrices,2,FALSE())</f>
        <v>4.48</v>
      </c>
      <c r="K407" s="125" t="n">
        <f aca="false">HLOOKUP(D407,Prices,VLOOKUP(G407,move_down,2,FALSE()),FALSE())+VLOOKUP(G407,CHANGE,HLOOKUP(D407,CHANGE,2,FALSE()),FALSE())</f>
        <v>2.09</v>
      </c>
      <c r="L407" s="124" t="n">
        <f aca="false">K407+J407</f>
        <v>6.57</v>
      </c>
      <c r="M407" s="126" t="n">
        <f aca="false">VLOOKUP(G407,NGPrices,4,FALSE())</f>
        <v>0.068640161611372</v>
      </c>
      <c r="N407" s="7" t="n">
        <f aca="false">VLOOKUP(G407,NGPrices,3,FALSE())</f>
        <v>0.5925</v>
      </c>
      <c r="O407" s="7" t="n">
        <f aca="false">HLOOKUP(D407,VOLS,VLOOKUP(G407,move_down,2,FALSE()),FALSE())</f>
        <v>0.681</v>
      </c>
      <c r="P407" s="249" t="n">
        <f aca="false">HLOOKUP(D407,Correllate,VLOOKUP(G407,CorMove,2,FALSE()),FALSE())</f>
        <v>0.83</v>
      </c>
      <c r="Q407" s="92" t="n">
        <f aca="false">WORKDAY(G407,-2)</f>
        <v>36921</v>
      </c>
      <c r="R407" s="7" t="n">
        <f aca="false">IF(F407="P",0,1)</f>
        <v>0</v>
      </c>
      <c r="S407" s="130" t="e">
        <f aca="false">xSPRDOPT($L407,$J407,$I407,$M407,$O407,$N407,$P407,$Q407-$C$3,$R407,0)</f>
        <v>#NAME?</v>
      </c>
      <c r="T407" s="250" t="e">
        <f aca="false">xSPRDOPT($L407,$J407,$I407,$M407,$O407,$N407,$P407,$Q407-$C$3,$R407,1)*H407</f>
        <v>#NAME?</v>
      </c>
      <c r="U407" s="43" t="e">
        <f aca="false">S407*H407</f>
        <v>#NAME?</v>
      </c>
      <c r="V407" s="250" t="e">
        <f aca="false">xSPRDOPT($L407,$J407,$I407,$M407,$O407,$N407,$P407,$Q407-$C$3,$R407,2)*H407</f>
        <v>#NAME?</v>
      </c>
      <c r="W407" s="250" t="e">
        <f aca="false">+V407+T407</f>
        <v>#NAME?</v>
      </c>
      <c r="X407" s="2" t="str">
        <f aca="false">CONCATENATE(G407,D407)</f>
        <v>36923IF-TRANSCO/Z6</v>
      </c>
      <c r="Y407" s="251" t="n">
        <f aca="false">H407/10000</f>
        <v>-50</v>
      </c>
      <c r="Z407" s="226" t="e">
        <f aca="false">T407/H407</f>
        <v>#NAME?</v>
      </c>
      <c r="AA407" s="226" t="e">
        <f aca="false">xSPRDOPT($L407,$J407,$I407,$M407,$O407,$N407,$P407,$Q407-$C$3,$R407,3)</f>
        <v>#NAME?</v>
      </c>
      <c r="AB407" s="226" t="e">
        <f aca="false">((xSPRDOPT($L407+AB$5,$J407,$I407,$M407,$O407,$N407,$P407,$Q407-$C$3,$R407,3)*$H407)/10000)/100</f>
        <v>#NAME?</v>
      </c>
      <c r="AC407" s="226" t="e">
        <f aca="false">((xSPRDOPT($L407+$AB$5,$J407,$I407,$M407,$O407,$N407,$P407,$Q407-$C$3,$R407,7)*$H407)/100)</f>
        <v>#NAME?</v>
      </c>
      <c r="AD407" s="226" t="e">
        <f aca="false">(xSPRDOPT($L407+$AB$5,$J407,$I407,$M407,$O407,$N407,$P407,$Q407-$C$3,$R407,9)/365)*$H407</f>
        <v>#NAME?</v>
      </c>
      <c r="AE407" s="0" t="e">
        <f aca="false">CD407</f>
        <v>#NAME?</v>
      </c>
      <c r="AF407" s="226" t="e">
        <f aca="false">((O407/N407)*AH407)+AG407</f>
        <v>#NAME?</v>
      </c>
      <c r="AG407" s="226" t="e">
        <f aca="false">((xSPRDOPT($L407,$J407,$I407,$M407,$O407,$N407,$P407,$Q407-$C$3,$R407,6)*$H407)/100)</f>
        <v>#NAME?</v>
      </c>
      <c r="AH407" s="226" t="e">
        <f aca="false">((xSPRDOPT($L407,$J407,$I407,$M407,$O407,$N407,$P407,$Q407-$C$3,$R407,5)*$H407)/100)</f>
        <v>#NAME?</v>
      </c>
      <c r="AI407" s="226" t="e">
        <f aca="false">(((xSPRDOPT($L407,$J407,$I407,$M407,$O407,$N407,$P407,$Q407-$C$3,$R407,4)*$H407)/10000)/100)-AB407</f>
        <v>#NAME?</v>
      </c>
      <c r="AJ407" s="226"/>
      <c r="AK407" s="226"/>
      <c r="AL407" s="226"/>
      <c r="AM407" s="252"/>
      <c r="CC407" s="182" t="n">
        <f aca="false">G407</f>
        <v>36923</v>
      </c>
      <c r="CD407" s="253" t="e">
        <f aca="false">xSPRDOPT((VLOOKUP(G407,NGPrices,2,FALSE())+HLOOKUP(D407,Prices,VLOOKUP(G407,move_down,2,FALSE()),FALSE())),VLOOKUP(G407,NGPrices,2,FALSE()),I407,VLOOKUP(G407,NGPREVPRICES,4,FALSE()),HLOOKUP(D407,PREVVOLS,VLOOKUP(G407,MOVE_DOWN2,2,FALSE()),FALSE()),VLOOKUP(G407,NGPREVPRICES,3,FALSE()),HLOOKUP(D407,Correllate,VLOOKUP(G407,CorMove,2,FALSE()),FALSE()),Q407-$CD$3,R407,$CD$5)*H407-CJ407</f>
        <v>#NAME?</v>
      </c>
      <c r="CE407" s="253" t="e">
        <f aca="false">xSPRDOPT((VLOOKUP(G407,NGPREVPRICES,2,FALSE())+HLOOKUP(D407,PREVCURVES,VLOOKUP(G407,MOVE_DOWN2,2,FALSE()),FALSE())),VLOOKUP(G407,NGPREVPRICES,2,FALSE()),CK407,VLOOKUP(G407,NGPrices,4,FALSE()),HLOOKUP(D407,PREVVOLS,VLOOKUP(G407,MOVE_DOWN2,2,FALSE()),FALSE()),VLOOKUP(G407,NGPREVPRICES,3,FALSE()),HLOOKUP(D407,Correllate,VLOOKUP(G407,CorMove,2,FALSE()),FALSE()),Q407-$CD$3,R407,$CJ$5)*H407-CJ407</f>
        <v>#NAME?</v>
      </c>
      <c r="CF407" s="132" t="e">
        <f aca="false">(CJ407/VLOOKUP(CC407,discount,3,FALSE()))-(CJ407/VLOOKUP(CC407,discount,2,FALSE()))</f>
        <v>#NAME?</v>
      </c>
      <c r="CG407" s="253" t="e">
        <f aca="false">xSPRDOPT((VLOOKUP(G407,NGPREVPRICES,2,FALSE())+HLOOKUP(D407,PREVCURVES,VLOOKUP(G407,MOVE_DOWN2,2,FALSE()),FALSE())),VLOOKUP(G407,NGPREVPRICES,2,FALSE()),CK407,VLOOKUP(G407,NGPREVPRICES,4,FALSE()),HLOOKUP(D407,VOLS,VLOOKUP(G407,move_down,2,FALSE()),FALSE()),VLOOKUP(G407,NGPrices,3,FALSE()),HLOOKUP(D407,Correllate,VLOOKUP(G407,CorMove,2,FALSE()),FALSE()),Q407-$CD$3,R407,$CJ$5)*H407-CJ407</f>
        <v>#NAME?</v>
      </c>
      <c r="CH407" s="253" t="e">
        <f aca="false">xSPRDOPT((VLOOKUP(G407,NGPREVPRICES,2,FALSE())+HLOOKUP(D407,PREVCURVES,VLOOKUP(G407,MOVE_DOWN2,2,FALSE()),FALSE())),VLOOKUP(G407,NGPREVPRICES,2,FALSE()),CK407,VLOOKUP(G407,NGPREVPRICES,4,FALSE()),HLOOKUP(D407,PREVVOLS,VLOOKUP(G407,MOVE_DOWN2,2,FALSE()),FALSE()),VLOOKUP(G407,NGPREVPRICES,3,FALSE()),HLOOKUP(D407,Correllate,VLOOKUP(G407,CorMove,2,FALSE()),FALSE()),Q407-$C$3,R407,$CJ$5)*H407-CJ407</f>
        <v>#NAME?</v>
      </c>
      <c r="CI407" s="253" t="e">
        <f aca="false">SUM(CD407:CH407)</f>
        <v>#NAME?</v>
      </c>
      <c r="CJ407" s="253" t="e">
        <f aca="false">xSPRDOPT((VLOOKUP(G407,NGPREVPRICES,2,FALSE())+HLOOKUP(D407,PREVCURVES,VLOOKUP(G407,MOVE_DOWN2,2,FALSE()),FALSE())),VLOOKUP(G407,NGPREVPRICES,2,FALSE()),CK407,VLOOKUP(G407,NGPREVPRICES,4,FALSE()),HLOOKUP(D407,PREVVOLS,VLOOKUP(G407,MOVE_DOWN2,2,FALSE()),FALSE()),VLOOKUP(G407,NGPREVPRICES,3,FALSE()),HLOOKUP(D407,Correllate,VLOOKUP(G407,CorMove,2,FALSE()),FALSE()),Q407-$CD$3,R407,$CJ$5)*H407</f>
        <v>#NAME?</v>
      </c>
      <c r="CK407" s="254" t="n">
        <f aca="false">I407</f>
        <v>1.6</v>
      </c>
      <c r="CM407" s="0" t="str">
        <f aca="false">CONCATENATE(CC407,$CD$6)</f>
        <v>36923Curve Shift/Gamma</v>
      </c>
      <c r="CN407" s="0" t="str">
        <f aca="false">CONCATENATE($CC407,$CE$6)</f>
        <v>36923Rho</v>
      </c>
      <c r="CO407" s="0" t="str">
        <f aca="false">CONCATENATE($CC407,$CF$6)</f>
        <v>36923Drift</v>
      </c>
      <c r="CP407" s="0" t="str">
        <f aca="false">CONCATENATE($CC407,$CG$6)</f>
        <v>36923Vega</v>
      </c>
      <c r="CQ407" s="0" t="str">
        <f aca="false">CONCATENATE($CC407,$CH$6)</f>
        <v>36923Theta</v>
      </c>
    </row>
    <row r="408" customFormat="false" ht="12.75" hidden="false" customHeight="false" outlineLevel="0" collapsed="false">
      <c r="A408" s="265" t="s">
        <v>198</v>
      </c>
      <c r="B408" s="0" t="s">
        <v>192</v>
      </c>
      <c r="C408" s="0" t="s">
        <v>344</v>
      </c>
      <c r="D408" s="7" t="s">
        <v>149</v>
      </c>
      <c r="E408" s="0" t="s">
        <v>131</v>
      </c>
      <c r="F408" s="0" t="s">
        <v>132</v>
      </c>
      <c r="G408" s="92" t="n">
        <v>36892</v>
      </c>
      <c r="H408" s="248" t="n">
        <v>-500000</v>
      </c>
      <c r="I408" s="0" t="n">
        <v>1.6</v>
      </c>
      <c r="J408" s="124" t="n">
        <f aca="false">VLOOKUP(G408,NGPrices,2,FALSE())</f>
        <v>4.744</v>
      </c>
      <c r="K408" s="125" t="n">
        <f aca="false">HLOOKUP(D408,Prices,VLOOKUP(G408,move_down,2,FALSE()),FALSE())+VLOOKUP(G408,CHANGE,HLOOKUP(D408,CHANGE,2,FALSE()),FALSE())</f>
        <v>2.17</v>
      </c>
      <c r="L408" s="124" t="n">
        <f aca="false">K408+J408</f>
        <v>6.914</v>
      </c>
      <c r="M408" s="126" t="n">
        <f aca="false">VLOOKUP(G408,NGPrices,4,FALSE())</f>
        <v>0.068374831148491</v>
      </c>
      <c r="N408" s="7" t="n">
        <f aca="false">VLOOKUP(G408,NGPrices,3,FALSE())</f>
        <v>0.605</v>
      </c>
      <c r="O408" s="7" t="n">
        <f aca="false">HLOOKUP(D408,VOLS,VLOOKUP(G408,move_down,2,FALSE()),FALSE())</f>
        <v>0.696</v>
      </c>
      <c r="P408" s="249" t="n">
        <f aca="false">HLOOKUP(D408,Correllate,VLOOKUP(G408,CorMove,2,FALSE()),FALSE())</f>
        <v>0.83</v>
      </c>
      <c r="Q408" s="92" t="n">
        <f aca="false">WORKDAY(G408,-2)</f>
        <v>36888</v>
      </c>
      <c r="R408" s="7" t="n">
        <f aca="false">IF(F408="P",0,1)</f>
        <v>0</v>
      </c>
      <c r="S408" s="130" t="e">
        <f aca="false">xSPRDOPT($L408,$J408,$I408,$M408,$O408,$N408,$P408,$Q408-$C$3,$R408,0)</f>
        <v>#NAME?</v>
      </c>
      <c r="T408" s="250" t="e">
        <f aca="false">xSPRDOPT($L408,$J408,$I408,$M408,$O408,$N408,$P408,$Q408-$C$3,$R408,1)*H408</f>
        <v>#NAME?</v>
      </c>
      <c r="U408" s="43" t="e">
        <f aca="false">S408*H408</f>
        <v>#NAME?</v>
      </c>
      <c r="V408" s="250" t="e">
        <f aca="false">xSPRDOPT($L408,$J408,$I408,$M408,$O408,$N408,$P408,$Q408-$C$3,$R408,2)*H408</f>
        <v>#NAME?</v>
      </c>
      <c r="W408" s="250" t="e">
        <f aca="false">+V408+T408</f>
        <v>#NAME?</v>
      </c>
      <c r="X408" s="2" t="str">
        <f aca="false">CONCATENATE(G408,D408)</f>
        <v>36892IF-TRANSCO/Z6</v>
      </c>
      <c r="Y408" s="251" t="n">
        <f aca="false">H408/10000</f>
        <v>-50</v>
      </c>
      <c r="Z408" s="226" t="e">
        <f aca="false">T408/H408</f>
        <v>#NAME?</v>
      </c>
      <c r="AA408" s="226" t="e">
        <f aca="false">xSPRDOPT($L408,$J408,$I408,$M408,$O408,$N408,$P408,$Q408-$C$3,$R408,3)</f>
        <v>#NAME?</v>
      </c>
      <c r="AB408" s="226" t="e">
        <f aca="false">((xSPRDOPT($L408+AB$5,$J408,$I408,$M408,$O408,$N408,$P408,$Q408-$C$3,$R408,3)*$H408)/10000)/100</f>
        <v>#NAME?</v>
      </c>
      <c r="AC408" s="226" t="e">
        <f aca="false">((xSPRDOPT($L408+$AB$5,$J408,$I408,$M408,$O408,$N408,$P408,$Q408-$C$3,$R408,7)*$H408)/100)</f>
        <v>#NAME?</v>
      </c>
      <c r="AD408" s="226" t="e">
        <f aca="false">(xSPRDOPT($L408+$AB$5,$J408,$I408,$M408,$O408,$N408,$P408,$Q408-$C$3,$R408,9)/365)*$H408</f>
        <v>#NAME?</v>
      </c>
      <c r="AE408" s="0" t="e">
        <f aca="false">CD408</f>
        <v>#NAME?</v>
      </c>
      <c r="AF408" s="226" t="e">
        <f aca="false">((O408/N408)*AH408)+AG408</f>
        <v>#NAME?</v>
      </c>
      <c r="AG408" s="226" t="e">
        <f aca="false">((xSPRDOPT($L408,$J408,$I408,$M408,$O408,$N408,$P408,$Q408-$C$3,$R408,6)*$H408)/100)</f>
        <v>#NAME?</v>
      </c>
      <c r="AH408" s="226" t="e">
        <f aca="false">((xSPRDOPT($L408,$J408,$I408,$M408,$O408,$N408,$P408,$Q408-$C$3,$R408,5)*$H408)/100)</f>
        <v>#NAME?</v>
      </c>
      <c r="AI408" s="226" t="e">
        <f aca="false">(((xSPRDOPT($L408,$J408,$I408,$M408,$O408,$N408,$P408,$Q408-$C$3,$R408,4)*$H408)/10000)/100)-AB408</f>
        <v>#NAME?</v>
      </c>
      <c r="AJ408" s="226"/>
      <c r="AK408" s="226"/>
      <c r="AL408" s="226"/>
      <c r="AM408" s="252"/>
      <c r="CC408" s="182" t="n">
        <f aca="false">G408</f>
        <v>36892</v>
      </c>
      <c r="CD408" s="253" t="e">
        <f aca="false">xSPRDOPT((VLOOKUP(G408,NGPrices,2,FALSE())+HLOOKUP(D408,Prices,VLOOKUP(G408,move_down,2,FALSE()),FALSE())),VLOOKUP(G408,NGPrices,2,FALSE()),I408,VLOOKUP(G408,NGPREVPRICES,4,FALSE()),HLOOKUP(D408,PREVVOLS,VLOOKUP(G408,MOVE_DOWN2,2,FALSE()),FALSE()),VLOOKUP(G408,NGPREVPRICES,3,FALSE()),HLOOKUP(D408,Correllate,VLOOKUP(G408,CorMove,2,FALSE()),FALSE()),Q408-$CD$3,R408,$CD$5)*H408-CJ408</f>
        <v>#NAME?</v>
      </c>
      <c r="CE408" s="253" t="e">
        <f aca="false">xSPRDOPT((VLOOKUP(G408,NGPREVPRICES,2,FALSE())+HLOOKUP(D408,PREVCURVES,VLOOKUP(G408,MOVE_DOWN2,2,FALSE()),FALSE())),VLOOKUP(G408,NGPREVPRICES,2,FALSE()),CK408,VLOOKUP(G408,NGPrices,4,FALSE()),HLOOKUP(D408,PREVVOLS,VLOOKUP(G408,MOVE_DOWN2,2,FALSE()),FALSE()),VLOOKUP(G408,NGPREVPRICES,3,FALSE()),HLOOKUP(D408,Correllate,VLOOKUP(G408,CorMove,2,FALSE()),FALSE()),Q408-$CD$3,R408,$CJ$5)*H408-CJ408</f>
        <v>#NAME?</v>
      </c>
      <c r="CF408" s="132" t="e">
        <f aca="false">(CJ408/VLOOKUP(CC408,discount,3,FALSE()))-(CJ408/VLOOKUP(CC408,discount,2,FALSE()))</f>
        <v>#NAME?</v>
      </c>
      <c r="CG408" s="253" t="e">
        <f aca="false">xSPRDOPT((VLOOKUP(G408,NGPREVPRICES,2,FALSE())+HLOOKUP(D408,PREVCURVES,VLOOKUP(G408,MOVE_DOWN2,2,FALSE()),FALSE())),VLOOKUP(G408,NGPREVPRICES,2,FALSE()),CK408,VLOOKUP(G408,NGPREVPRICES,4,FALSE()),HLOOKUP(D408,VOLS,VLOOKUP(G408,move_down,2,FALSE()),FALSE()),VLOOKUP(G408,NGPrices,3,FALSE()),HLOOKUP(D408,Correllate,VLOOKUP(G408,CorMove,2,FALSE()),FALSE()),Q408-$CD$3,R408,$CJ$5)*H408-CJ408</f>
        <v>#NAME?</v>
      </c>
      <c r="CH408" s="253" t="e">
        <f aca="false">xSPRDOPT((VLOOKUP(G408,NGPREVPRICES,2,FALSE())+HLOOKUP(D408,PREVCURVES,VLOOKUP(G408,MOVE_DOWN2,2,FALSE()),FALSE())),VLOOKUP(G408,NGPREVPRICES,2,FALSE()),CK408,VLOOKUP(G408,NGPREVPRICES,4,FALSE()),HLOOKUP(D408,PREVVOLS,VLOOKUP(G408,MOVE_DOWN2,2,FALSE()),FALSE()),VLOOKUP(G408,NGPREVPRICES,3,FALSE()),HLOOKUP(D408,Correllate,VLOOKUP(G408,CorMove,2,FALSE()),FALSE()),Q408-$C$3,R408,$CJ$5)*H408-CJ408</f>
        <v>#NAME?</v>
      </c>
      <c r="CI408" s="253" t="e">
        <f aca="false">SUM(CD408:CH408)</f>
        <v>#NAME?</v>
      </c>
      <c r="CJ408" s="253" t="e">
        <f aca="false">xSPRDOPT((VLOOKUP(G408,NGPREVPRICES,2,FALSE())+HLOOKUP(D408,PREVCURVES,VLOOKUP(G408,MOVE_DOWN2,2,FALSE()),FALSE())),VLOOKUP(G408,NGPREVPRICES,2,FALSE()),CK408,VLOOKUP(G408,NGPREVPRICES,4,FALSE()),HLOOKUP(D408,PREVVOLS,VLOOKUP(G408,MOVE_DOWN2,2,FALSE()),FALSE()),VLOOKUP(G408,NGPREVPRICES,3,FALSE()),HLOOKUP(D408,Correllate,VLOOKUP(G408,CorMove,2,FALSE()),FALSE()),Q408-$CD$3,R408,$CJ$5)*H408</f>
        <v>#NAME?</v>
      </c>
      <c r="CK408" s="254" t="n">
        <f aca="false">I408</f>
        <v>1.6</v>
      </c>
      <c r="CM408" s="0" t="str">
        <f aca="false">CONCATENATE(CC408,$CD$6)</f>
        <v>36892Curve Shift/Gamma</v>
      </c>
      <c r="CN408" s="0" t="str">
        <f aca="false">CONCATENATE($CC408,$CE$6)</f>
        <v>36892Rho</v>
      </c>
      <c r="CO408" s="0" t="str">
        <f aca="false">CONCATENATE($CC408,$CF$6)</f>
        <v>36892Drift</v>
      </c>
      <c r="CP408" s="0" t="str">
        <f aca="false">CONCATENATE($CC408,$CG$6)</f>
        <v>36892Vega</v>
      </c>
      <c r="CQ408" s="0" t="str">
        <f aca="false">CONCATENATE($CC408,$CH$6)</f>
        <v>36892Theta</v>
      </c>
    </row>
    <row r="409" customFormat="false" ht="12.75" hidden="false" customHeight="false" outlineLevel="0" collapsed="false">
      <c r="A409" s="265" t="s">
        <v>198</v>
      </c>
      <c r="B409" s="0" t="s">
        <v>192</v>
      </c>
      <c r="C409" s="0" t="s">
        <v>344</v>
      </c>
      <c r="D409" s="7" t="s">
        <v>149</v>
      </c>
      <c r="E409" s="0" t="s">
        <v>131</v>
      </c>
      <c r="F409" s="0" t="s">
        <v>132</v>
      </c>
      <c r="G409" s="92" t="n">
        <v>36861</v>
      </c>
      <c r="H409" s="248" t="n">
        <v>-500000</v>
      </c>
      <c r="I409" s="0" t="n">
        <v>1.6</v>
      </c>
      <c r="J409" s="124" t="n">
        <f aca="false">VLOOKUP(G409,NGPrices,2,FALSE())</f>
        <v>4.8</v>
      </c>
      <c r="K409" s="125" t="n">
        <f aca="false">HLOOKUP(D409,Prices,VLOOKUP(G409,move_down,2,FALSE()),FALSE())+VLOOKUP(G409,CHANGE,HLOOKUP(D409,CHANGE,2,FALSE()),FALSE())</f>
        <v>1.645</v>
      </c>
      <c r="L409" s="124" t="n">
        <f aca="false">K409+J409</f>
        <v>6.445</v>
      </c>
      <c r="M409" s="126" t="n">
        <f aca="false">VLOOKUP(G409,NGPrices,4,FALSE())</f>
        <v>0.068314027999354</v>
      </c>
      <c r="N409" s="7" t="n">
        <f aca="false">VLOOKUP(G409,NGPrices,3,FALSE())</f>
        <v>0.6</v>
      </c>
      <c r="O409" s="7" t="n">
        <f aca="false">HLOOKUP(D409,VOLS,VLOOKUP(G409,move_down,2,FALSE()),FALSE())</f>
        <v>0.69</v>
      </c>
      <c r="P409" s="249" t="n">
        <f aca="false">HLOOKUP(D409,Correllate,VLOOKUP(G409,CorMove,2,FALSE()),FALSE())</f>
        <v>0.83</v>
      </c>
      <c r="Q409" s="92" t="n">
        <f aca="false">WORKDAY(G409,-2)</f>
        <v>36859</v>
      </c>
      <c r="R409" s="7" t="n">
        <f aca="false">IF(F409="P",0,1)</f>
        <v>0</v>
      </c>
      <c r="S409" s="130" t="e">
        <f aca="false">xSPRDOPT($L409,$J409,$I409,$M409,$O409,$N409,$P409,$Q409-$C$3,$R409,0)</f>
        <v>#NAME?</v>
      </c>
      <c r="T409" s="250" t="e">
        <f aca="false">xSPRDOPT($L409,$J409,$I409,$M409,$O409,$N409,$P409,$Q409-$C$3,$R409,1)*H409</f>
        <v>#NAME?</v>
      </c>
      <c r="U409" s="43" t="e">
        <f aca="false">S409*H409</f>
        <v>#NAME?</v>
      </c>
      <c r="V409" s="250" t="e">
        <f aca="false">xSPRDOPT($L409,$J409,$I409,$M409,$O409,$N409,$P409,$Q409-$C$3,$R409,2)*H409</f>
        <v>#NAME?</v>
      </c>
      <c r="W409" s="250" t="e">
        <f aca="false">+V409+T409</f>
        <v>#NAME?</v>
      </c>
      <c r="X409" s="2" t="str">
        <f aca="false">CONCATENATE(G409,D409)</f>
        <v>36861IF-TRANSCO/Z6</v>
      </c>
      <c r="Y409" s="251" t="n">
        <f aca="false">H409/10000</f>
        <v>-50</v>
      </c>
      <c r="Z409" s="226" t="e">
        <f aca="false">T409/H409</f>
        <v>#NAME?</v>
      </c>
      <c r="AA409" s="226" t="e">
        <f aca="false">xSPRDOPT($L409,$J409,$I409,$M409,$O409,$N409,$P409,$Q409-$C$3,$R409,3)</f>
        <v>#NAME?</v>
      </c>
      <c r="AB409" s="226" t="e">
        <f aca="false">((xSPRDOPT($L409+AB$5,$J409,$I409,$M409,$O409,$N409,$P409,$Q409-$C$3,$R409,3)*$H409)/10000)/100</f>
        <v>#NAME?</v>
      </c>
      <c r="AC409" s="226" t="e">
        <f aca="false">((xSPRDOPT($L409+$AB$5,$J409,$I409,$M409,$O409,$N409,$P409,$Q409-$C$3,$R409,7)*$H409)/100)</f>
        <v>#NAME?</v>
      </c>
      <c r="AD409" s="226" t="e">
        <f aca="false">(xSPRDOPT($L409+$AB$5,$J409,$I409,$M409,$O409,$N409,$P409,$Q409-$C$3,$R409,9)/365)*$H409</f>
        <v>#NAME?</v>
      </c>
      <c r="AE409" s="0" t="e">
        <f aca="false">CD409</f>
        <v>#NAME?</v>
      </c>
      <c r="AF409" s="226" t="e">
        <f aca="false">((O409/N409)*AH409)+AG409</f>
        <v>#NAME?</v>
      </c>
      <c r="AG409" s="226" t="e">
        <f aca="false">((xSPRDOPT($L409,$J409,$I409,$M409,$O409,$N409,$P409,$Q409-$C$3,$R409,6)*$H409)/100)</f>
        <v>#NAME?</v>
      </c>
      <c r="AH409" s="226" t="e">
        <f aca="false">((xSPRDOPT($L409,$J409,$I409,$M409,$O409,$N409,$P409,$Q409-$C$3,$R409,5)*$H409)/100)</f>
        <v>#NAME?</v>
      </c>
      <c r="AI409" s="226" t="e">
        <f aca="false">(((xSPRDOPT($L409,$J409,$I409,$M409,$O409,$N409,$P409,$Q409-$C$3,$R409,4)*$H409)/10000)/100)-AB409</f>
        <v>#NAME?</v>
      </c>
      <c r="AJ409" s="226"/>
      <c r="AK409" s="226"/>
      <c r="AL409" s="226"/>
      <c r="AM409" s="252"/>
      <c r="CC409" s="182" t="n">
        <f aca="false">G409</f>
        <v>36861</v>
      </c>
      <c r="CD409" s="253" t="e">
        <f aca="false">xSPRDOPT((VLOOKUP(G409,NGPrices,2,FALSE())+HLOOKUP(D409,Prices,VLOOKUP(G409,move_down,2,FALSE()),FALSE())),VLOOKUP(G409,NGPrices,2,FALSE()),I409,VLOOKUP(G409,NGPREVPRICES,4,FALSE()),HLOOKUP(D409,PREVVOLS,VLOOKUP(G409,MOVE_DOWN2,2,FALSE()),FALSE()),VLOOKUP(G409,NGPREVPRICES,3,FALSE()),HLOOKUP(D409,Correllate,VLOOKUP(G409,CorMove,2,FALSE()),FALSE()),Q409-$CD$3,R409,$CD$5)*H409-CJ409</f>
        <v>#NAME?</v>
      </c>
      <c r="CE409" s="253" t="e">
        <f aca="false">xSPRDOPT((VLOOKUP(G409,NGPREVPRICES,2,FALSE())+HLOOKUP(D409,PREVCURVES,VLOOKUP(G409,MOVE_DOWN2,2,FALSE()),FALSE())),VLOOKUP(G409,NGPREVPRICES,2,FALSE()),CK409,VLOOKUP(G409,NGPrices,4,FALSE()),HLOOKUP(D409,PREVVOLS,VLOOKUP(G409,MOVE_DOWN2,2,FALSE()),FALSE()),VLOOKUP(G409,NGPREVPRICES,3,FALSE()),HLOOKUP(D409,Correllate,VLOOKUP(G409,CorMove,2,FALSE()),FALSE()),Q409-$CD$3,R409,$CJ$5)*H409-CJ409</f>
        <v>#NAME?</v>
      </c>
      <c r="CF409" s="132" t="e">
        <f aca="false">(CJ409/VLOOKUP(CC409,discount,3,FALSE()))-(CJ409/VLOOKUP(CC409,discount,2,FALSE()))</f>
        <v>#NAME?</v>
      </c>
      <c r="CG409" s="253" t="e">
        <f aca="false">xSPRDOPT((VLOOKUP(G409,NGPREVPRICES,2,FALSE())+HLOOKUP(D409,PREVCURVES,VLOOKUP(G409,MOVE_DOWN2,2,FALSE()),FALSE())),VLOOKUP(G409,NGPREVPRICES,2,FALSE()),CK409,VLOOKUP(G409,NGPREVPRICES,4,FALSE()),HLOOKUP(D409,VOLS,VLOOKUP(G409,move_down,2,FALSE()),FALSE()),VLOOKUP(G409,NGPrices,3,FALSE()),HLOOKUP(D409,Correllate,VLOOKUP(G409,CorMove,2,FALSE()),FALSE()),Q409-$CD$3,R409,$CJ$5)*H409-CJ409</f>
        <v>#NAME?</v>
      </c>
      <c r="CH409" s="253" t="e">
        <f aca="false">xSPRDOPT((VLOOKUP(G409,NGPREVPRICES,2,FALSE())+HLOOKUP(D409,PREVCURVES,VLOOKUP(G409,MOVE_DOWN2,2,FALSE()),FALSE())),VLOOKUP(G409,NGPREVPRICES,2,FALSE()),CK409,VLOOKUP(G409,NGPREVPRICES,4,FALSE()),HLOOKUP(D409,PREVVOLS,VLOOKUP(G409,MOVE_DOWN2,2,FALSE()),FALSE()),VLOOKUP(G409,NGPREVPRICES,3,FALSE()),HLOOKUP(D409,Correllate,VLOOKUP(G409,CorMove,2,FALSE()),FALSE()),Q409-$C$3,R409,$CJ$5)*H409-CJ409</f>
        <v>#NAME?</v>
      </c>
      <c r="CI409" s="253" t="e">
        <f aca="false">SUM(CD409:CH409)</f>
        <v>#NAME?</v>
      </c>
      <c r="CJ409" s="253" t="e">
        <f aca="false">xSPRDOPT((VLOOKUP(G409,NGPREVPRICES,2,FALSE())+HLOOKUP(D409,PREVCURVES,VLOOKUP(G409,MOVE_DOWN2,2,FALSE()),FALSE())),VLOOKUP(G409,NGPREVPRICES,2,FALSE()),CK409,VLOOKUP(G409,NGPREVPRICES,4,FALSE()),HLOOKUP(D409,PREVVOLS,VLOOKUP(G409,MOVE_DOWN2,2,FALSE()),FALSE()),VLOOKUP(G409,NGPREVPRICES,3,FALSE()),HLOOKUP(D409,Correllate,VLOOKUP(G409,CorMove,2,FALSE()),FALSE()),Q409-$CD$3,R409,$CJ$5)*H409</f>
        <v>#NAME?</v>
      </c>
      <c r="CK409" s="254" t="n">
        <f aca="false">I409</f>
        <v>1.6</v>
      </c>
      <c r="CM409" s="0" t="str">
        <f aca="false">CONCATENATE(CC409,$CD$6)</f>
        <v>36861Curve Shift/Gamma</v>
      </c>
      <c r="CN409" s="0" t="str">
        <f aca="false">CONCATENATE($CC409,$CE$6)</f>
        <v>36861Rho</v>
      </c>
      <c r="CO409" s="0" t="str">
        <f aca="false">CONCATENATE($CC409,$CF$6)</f>
        <v>36861Drift</v>
      </c>
      <c r="CP409" s="0" t="str">
        <f aca="false">CONCATENATE($CC409,$CG$6)</f>
        <v>36861Vega</v>
      </c>
      <c r="CQ409" s="0" t="str">
        <f aca="false">CONCATENATE($CC409,$CH$6)</f>
        <v>36861Theta</v>
      </c>
    </row>
    <row r="410" customFormat="false" ht="12.75" hidden="false" customHeight="false" outlineLevel="0" collapsed="false">
      <c r="A410" s="265" t="s">
        <v>198</v>
      </c>
      <c r="B410" s="0" t="s">
        <v>192</v>
      </c>
      <c r="C410" s="0" t="s">
        <v>344</v>
      </c>
      <c r="D410" s="7" t="s">
        <v>149</v>
      </c>
      <c r="E410" s="0" t="s">
        <v>131</v>
      </c>
      <c r="F410" s="0" t="s">
        <v>132</v>
      </c>
      <c r="G410" s="92" t="n">
        <v>36831</v>
      </c>
      <c r="H410" s="248" t="n">
        <v>-500000</v>
      </c>
      <c r="I410" s="0" t="n">
        <v>1.6</v>
      </c>
      <c r="J410" s="124" t="n">
        <f aca="false">VLOOKUP(G410,NGPrices,2,FALSE())</f>
        <v>4.736</v>
      </c>
      <c r="K410" s="125" t="n">
        <f aca="false">HLOOKUP(D410,Prices,VLOOKUP(G410,move_down,2,FALSE()),FALSE())+VLOOKUP(G410,CHANGE,HLOOKUP(D410,CHANGE,2,FALSE()),FALSE())</f>
        <v>0.77</v>
      </c>
      <c r="L410" s="124" t="n">
        <f aca="false">K410+J410</f>
        <v>5.506</v>
      </c>
      <c r="M410" s="126" t="n">
        <f aca="false">VLOOKUP(G410,NGPrices,4,FALSE())</f>
        <v>0.06810675983792</v>
      </c>
      <c r="N410" s="7" t="n">
        <f aca="false">VLOOKUP(G410,NGPrices,3,FALSE())</f>
        <v>0.595</v>
      </c>
      <c r="O410" s="7" t="n">
        <f aca="false">HLOOKUP(D410,VOLS,VLOOKUP(G410,move_down,2,FALSE()),FALSE())</f>
        <v>0.625</v>
      </c>
      <c r="P410" s="249" t="n">
        <f aca="false">HLOOKUP(D410,Correllate,VLOOKUP(G410,CorMove,2,FALSE()),FALSE())</f>
        <v>0.89</v>
      </c>
      <c r="Q410" s="92" t="n">
        <f aca="false">WORKDAY(G410,-2)</f>
        <v>36829</v>
      </c>
      <c r="R410" s="7" t="n">
        <f aca="false">IF(F410="P",0,1)</f>
        <v>0</v>
      </c>
      <c r="S410" s="130" t="e">
        <f aca="false">xSPRDOPT($L410,$J410,$I410,$M410,$O410,$N410,$P410,$Q410-$C$3,$R410,0)</f>
        <v>#NAME?</v>
      </c>
      <c r="T410" s="250" t="e">
        <f aca="false">xSPRDOPT($L410,$J410,$I410,$M410,$O410,$N410,$P410,$Q410-$C$3,$R410,1)*H410</f>
        <v>#NAME?</v>
      </c>
      <c r="U410" s="43" t="e">
        <f aca="false">S410*H410</f>
        <v>#NAME?</v>
      </c>
      <c r="V410" s="250" t="e">
        <f aca="false">xSPRDOPT($L410,$J410,$I410,$M410,$O410,$N410,$P410,$Q410-$C$3,$R410,2)*H410</f>
        <v>#NAME?</v>
      </c>
      <c r="W410" s="250" t="e">
        <f aca="false">+V410+T410</f>
        <v>#NAME?</v>
      </c>
      <c r="X410" s="2" t="str">
        <f aca="false">CONCATENATE(G410,D410)</f>
        <v>36831IF-TRANSCO/Z6</v>
      </c>
      <c r="Y410" s="251" t="n">
        <f aca="false">H410/10000</f>
        <v>-50</v>
      </c>
      <c r="Z410" s="226" t="e">
        <f aca="false">T410/H410</f>
        <v>#NAME?</v>
      </c>
      <c r="AA410" s="226" t="e">
        <f aca="false">xSPRDOPT($L410,$J410,$I410,$M410,$O410,$N410,$P410,$Q410-$C$3,$R410,3)</f>
        <v>#NAME?</v>
      </c>
      <c r="AB410" s="226" t="e">
        <f aca="false">((xSPRDOPT($L410+AB$5,$J410,$I410,$M410,$O410,$N410,$P410,$Q410-$C$3,$R410,3)*$H410)/10000)/100</f>
        <v>#NAME?</v>
      </c>
      <c r="AC410" s="226" t="e">
        <f aca="false">((xSPRDOPT($L410+$AB$5,$J410,$I410,$M410,$O410,$N410,$P410,$Q410-$C$3,$R410,7)*$H410)/100)</f>
        <v>#NAME?</v>
      </c>
      <c r="AD410" s="226" t="e">
        <f aca="false">(xSPRDOPT($L410+$AB$5,$J410,$I410,$M410,$O410,$N410,$P410,$Q410-$C$3,$R410,9)/365)*$H410</f>
        <v>#NAME?</v>
      </c>
      <c r="AE410" s="0" t="e">
        <f aca="false">CD410</f>
        <v>#NAME?</v>
      </c>
      <c r="AF410" s="226" t="e">
        <f aca="false">((O410/N410)*AH410)+AG410</f>
        <v>#NAME?</v>
      </c>
      <c r="AG410" s="226" t="e">
        <f aca="false">((xSPRDOPT($L410,$J410,$I410,$M410,$O410,$N410,$P410,$Q410-$C$3,$R410,6)*$H410)/100)</f>
        <v>#NAME?</v>
      </c>
      <c r="AH410" s="226" t="e">
        <f aca="false">((xSPRDOPT($L410,$J410,$I410,$M410,$O410,$N410,$P410,$Q410-$C$3,$R410,5)*$H410)/100)</f>
        <v>#NAME?</v>
      </c>
      <c r="AI410" s="226" t="e">
        <f aca="false">(((xSPRDOPT($L410,$J410,$I410,$M410,$O410,$N410,$P410,$Q410-$C$3,$R410,4)*$H410)/10000)/100)-AB410</f>
        <v>#NAME?</v>
      </c>
      <c r="AJ410" s="226"/>
      <c r="AK410" s="226"/>
      <c r="AL410" s="226"/>
      <c r="AM410" s="252"/>
      <c r="CC410" s="182" t="n">
        <f aca="false">G410</f>
        <v>36831</v>
      </c>
      <c r="CD410" s="253" t="e">
        <f aca="false">xSPRDOPT((VLOOKUP(G410,NGPrices,2,FALSE())+HLOOKUP(D410,Prices,VLOOKUP(G410,move_down,2,FALSE()),FALSE())),VLOOKUP(G410,NGPrices,2,FALSE()),I410,VLOOKUP(G410,NGPREVPRICES,4,FALSE()),HLOOKUP(D410,PREVVOLS,VLOOKUP(G410,MOVE_DOWN2,2,FALSE()),FALSE()),VLOOKUP(G410,NGPREVPRICES,3,FALSE()),HLOOKUP(D410,Correllate,VLOOKUP(G410,CorMove,2,FALSE()),FALSE()),Q410-$CD$3,R410,$CD$5)*H410-CJ410</f>
        <v>#NAME?</v>
      </c>
      <c r="CE410" s="253" t="e">
        <f aca="false">xSPRDOPT((VLOOKUP(G410,NGPREVPRICES,2,FALSE())+HLOOKUP(D410,PREVCURVES,VLOOKUP(G410,MOVE_DOWN2,2,FALSE()),FALSE())),VLOOKUP(G410,NGPREVPRICES,2,FALSE()),CK410,VLOOKUP(G410,NGPrices,4,FALSE()),HLOOKUP(D410,PREVVOLS,VLOOKUP(G410,MOVE_DOWN2,2,FALSE()),FALSE()),VLOOKUP(G410,NGPREVPRICES,3,FALSE()),HLOOKUP(D410,Correllate,VLOOKUP(G410,CorMove,2,FALSE()),FALSE()),Q410-$CD$3,R410,$CJ$5)*H410-CJ410</f>
        <v>#NAME?</v>
      </c>
      <c r="CF410" s="132" t="e">
        <f aca="false">(CJ410/VLOOKUP(CC410,discount,3,FALSE()))-(CJ410/VLOOKUP(CC410,discount,2,FALSE()))</f>
        <v>#NAME?</v>
      </c>
      <c r="CG410" s="253" t="e">
        <f aca="false">xSPRDOPT((VLOOKUP(G410,NGPREVPRICES,2,FALSE())+HLOOKUP(D410,PREVCURVES,VLOOKUP(G410,MOVE_DOWN2,2,FALSE()),FALSE())),VLOOKUP(G410,NGPREVPRICES,2,FALSE()),CK410,VLOOKUP(G410,NGPREVPRICES,4,FALSE()),HLOOKUP(D410,VOLS,VLOOKUP(G410,move_down,2,FALSE()),FALSE()),VLOOKUP(G410,NGPrices,3,FALSE()),HLOOKUP(D410,Correllate,VLOOKUP(G410,CorMove,2,FALSE()),FALSE()),Q410-$CD$3,R410,$CJ$5)*H410-CJ410</f>
        <v>#NAME?</v>
      </c>
      <c r="CH410" s="253" t="e">
        <f aca="false">xSPRDOPT((VLOOKUP(G410,NGPREVPRICES,2,FALSE())+HLOOKUP(D410,PREVCURVES,VLOOKUP(G410,MOVE_DOWN2,2,FALSE()),FALSE())),VLOOKUP(G410,NGPREVPRICES,2,FALSE()),CK410,VLOOKUP(G410,NGPREVPRICES,4,FALSE()),HLOOKUP(D410,PREVVOLS,VLOOKUP(G410,MOVE_DOWN2,2,FALSE()),FALSE()),VLOOKUP(G410,NGPREVPRICES,3,FALSE()),HLOOKUP(D410,Correllate,VLOOKUP(G410,CorMove,2,FALSE()),FALSE()),Q410-$C$3,R410,$CJ$5)*H410-CJ410</f>
        <v>#NAME?</v>
      </c>
      <c r="CI410" s="253" t="e">
        <f aca="false">SUM(CD410:CH410)</f>
        <v>#NAME?</v>
      </c>
      <c r="CJ410" s="253" t="e">
        <f aca="false">xSPRDOPT((VLOOKUP(G410,NGPREVPRICES,2,FALSE())+HLOOKUP(D410,PREVCURVES,VLOOKUP(G410,MOVE_DOWN2,2,FALSE()),FALSE())),VLOOKUP(G410,NGPREVPRICES,2,FALSE()),CK410,VLOOKUP(G410,NGPREVPRICES,4,FALSE()),HLOOKUP(D410,PREVVOLS,VLOOKUP(G410,MOVE_DOWN2,2,FALSE()),FALSE()),VLOOKUP(G410,NGPREVPRICES,3,FALSE()),HLOOKUP(D410,Correllate,VLOOKUP(G410,CorMove,2,FALSE()),FALSE()),Q410-$CD$3,R410,$CJ$5)*H410</f>
        <v>#NAME?</v>
      </c>
      <c r="CK410" s="254" t="n">
        <f aca="false">I410</f>
        <v>1.6</v>
      </c>
      <c r="CM410" s="0" t="str">
        <f aca="false">CONCATENATE(CC410,$CD$6)</f>
        <v>36831Curve Shift/Gamma</v>
      </c>
      <c r="CN410" s="0" t="str">
        <f aca="false">CONCATENATE($CC410,$CE$6)</f>
        <v>36831Rho</v>
      </c>
      <c r="CO410" s="0" t="str">
        <f aca="false">CONCATENATE($CC410,$CF$6)</f>
        <v>36831Drift</v>
      </c>
      <c r="CP410" s="0" t="str">
        <f aca="false">CONCATENATE($CC410,$CG$6)</f>
        <v>36831Vega</v>
      </c>
      <c r="CQ410" s="0" t="str">
        <f aca="false">CONCATENATE($CC410,$CH$6)</f>
        <v>36831Theta</v>
      </c>
    </row>
    <row r="411" customFormat="false" ht="12.75" hidden="false" customHeight="false" outlineLevel="0" collapsed="false">
      <c r="A411" s="17" t="s">
        <v>345</v>
      </c>
      <c r="B411" s="0" t="s">
        <v>192</v>
      </c>
      <c r="C411" s="0" t="s">
        <v>346</v>
      </c>
      <c r="D411" s="0" t="s">
        <v>149</v>
      </c>
      <c r="E411" s="0" t="s">
        <v>131</v>
      </c>
      <c r="F411" s="0" t="s">
        <v>132</v>
      </c>
      <c r="G411" s="92" t="n">
        <v>36800</v>
      </c>
      <c r="H411" s="248" t="n">
        <v>-2170000</v>
      </c>
      <c r="I411" s="0" t="n">
        <v>0.55</v>
      </c>
      <c r="J411" s="124" t="n">
        <f aca="false">VLOOKUP(G411,NGPrices,2,FALSE())</f>
        <v>4.692</v>
      </c>
      <c r="K411" s="125" t="n">
        <f aca="false">HLOOKUP(D411,Prices,VLOOKUP(G411,move_down,2,FALSE()),FALSE())+VLOOKUP(G411,CHANGE,HLOOKUP(D411,CHANGE,2,FALSE()),FALSE())</f>
        <v>0.415</v>
      </c>
      <c r="L411" s="124" t="n">
        <f aca="false">K411+J411</f>
        <v>5.107</v>
      </c>
      <c r="M411" s="126" t="n">
        <f aca="false">VLOOKUP(G411,NGPrices,4,FALSE())</f>
        <v>0.068050789414654</v>
      </c>
      <c r="N411" s="7" t="n">
        <f aca="false">VLOOKUP(G411,NGPrices,3,FALSE())</f>
        <v>0.575</v>
      </c>
      <c r="O411" s="7" t="n">
        <f aca="false">HLOOKUP(D411,VOLS,VLOOKUP(G411,move_down,2,FALSE()),FALSE())</f>
        <v>0.564</v>
      </c>
      <c r="P411" s="249" t="n">
        <f aca="false">HLOOKUP(D411,Correllate,VLOOKUP(G411,CorMove,2,FALSE()),FALSE())</f>
        <v>0.9925</v>
      </c>
      <c r="Q411" s="92" t="n">
        <f aca="false">WORKDAY(G411,-2)</f>
        <v>36797</v>
      </c>
      <c r="R411" s="7" t="n">
        <f aca="false">IF(F411="P",0,1)</f>
        <v>0</v>
      </c>
      <c r="S411" s="130" t="e">
        <f aca="false">xSPRDOPT($L411,$J411,$I411,$M411,$O411,$N411,$P411,$Q411-$C$3,$R411,0)</f>
        <v>#NAME?</v>
      </c>
      <c r="T411" s="250" t="e">
        <f aca="false">xSPRDOPT($L411,$J411,$I411,$M411,$O411,$N411,$P411,$Q411-$C$3,$R411,1)*H411</f>
        <v>#NAME?</v>
      </c>
      <c r="U411" s="43" t="e">
        <f aca="false">S411*H411</f>
        <v>#NAME?</v>
      </c>
      <c r="V411" s="250" t="e">
        <f aca="false">xSPRDOPT($L411,$J411,$I411,$M411,$O411,$N411,$P411,$Q411-$C$3,$R411,2)*H411</f>
        <v>#NAME?</v>
      </c>
      <c r="W411" s="250" t="e">
        <f aca="false">+V411+T411</f>
        <v>#NAME?</v>
      </c>
      <c r="X411" s="2" t="str">
        <f aca="false">CONCATENATE(G411,D411)</f>
        <v>36800IF-TRANSCO/Z6</v>
      </c>
      <c r="Y411" s="251" t="n">
        <f aca="false">H411/10000</f>
        <v>-217</v>
      </c>
      <c r="Z411" s="226" t="e">
        <f aca="false">T411/H411</f>
        <v>#NAME?</v>
      </c>
      <c r="AA411" s="226" t="e">
        <f aca="false">xSPRDOPT($L411,$J411,$I411,$M411,$O411,$N411,$P411,$Q411-$C$3,$R411,3)</f>
        <v>#NAME?</v>
      </c>
      <c r="AB411" s="226" t="e">
        <f aca="false">((xSPRDOPT($L411+AB$5,$J411,$I411,$M411,$O411,$N411,$P411,$Q411-$C$3,$R411,3)*$H411)/10000)/100</f>
        <v>#NAME?</v>
      </c>
      <c r="AC411" s="226" t="e">
        <f aca="false">((xSPRDOPT($L411+$AB$5,$J411,$I411,$M411,$O411,$N411,$P411,$Q411-$C$3,$R411,7)*$H411)/100)</f>
        <v>#NAME?</v>
      </c>
      <c r="AD411" s="226" t="e">
        <f aca="false">(xSPRDOPT($L411+$AB$5,$J411,$I411,$M411,$O411,$N411,$P411,$Q411-$C$3,$R411,9)/365)*$H411</f>
        <v>#NAME?</v>
      </c>
      <c r="AE411" s="0" t="e">
        <f aca="false">CD411</f>
        <v>#NAME?</v>
      </c>
      <c r="AF411" s="226" t="e">
        <f aca="false">((O411/N411)*AH411)+AG411</f>
        <v>#NAME?</v>
      </c>
      <c r="AG411" s="226" t="e">
        <f aca="false">((xSPRDOPT($L411,$J411,$I411,$M411,$O411,$N411,$P411,$Q411-$C$3,$R411,6)*$H411)/100)</f>
        <v>#NAME?</v>
      </c>
      <c r="AH411" s="226" t="e">
        <f aca="false">((xSPRDOPT($L411,$J411,$I411,$M411,$O411,$N411,$P411,$Q411-$C$3,$R411,5)*$H411)/100)</f>
        <v>#NAME?</v>
      </c>
      <c r="AI411" s="226" t="e">
        <f aca="false">(((xSPRDOPT($L411,$J411,$I411,$M411,$O411,$N411,$P411,$Q411-$C$3,$R411,4)*$H411)/10000)/100)-AB411</f>
        <v>#NAME?</v>
      </c>
      <c r="AJ411" s="226"/>
      <c r="AK411" s="226"/>
      <c r="AL411" s="226"/>
      <c r="AM411" s="252"/>
      <c r="CC411" s="182" t="n">
        <f aca="false">G411</f>
        <v>36800</v>
      </c>
      <c r="CD411" s="253" t="e">
        <f aca="false">xSPRDOPT((VLOOKUP(G411,NGPrices,2,FALSE())+HLOOKUP(D411,Prices,VLOOKUP(G411,move_down,2,FALSE()),FALSE())),VLOOKUP(G411,NGPrices,2,FALSE()),I411,VLOOKUP(G411,NGPREVPRICES,4,FALSE()),HLOOKUP(D411,PREVVOLS,VLOOKUP(G411,MOVE_DOWN2,2,FALSE()),FALSE()),VLOOKUP(G411,NGPREVPRICES,3,FALSE()),HLOOKUP(D411,Correllate,VLOOKUP(G411,CorMove,2,FALSE()),FALSE()),Q411-$CD$3,R411,$CD$5)*H411-CJ411</f>
        <v>#NAME?</v>
      </c>
      <c r="CE411" s="253" t="e">
        <f aca="false">xSPRDOPT((VLOOKUP(G411,NGPREVPRICES,2,FALSE())+HLOOKUP(D411,PREVCURVES,VLOOKUP(G411,MOVE_DOWN2,2,FALSE()),FALSE())),VLOOKUP(G411,NGPREVPRICES,2,FALSE()),CK411,VLOOKUP(G411,NGPrices,4,FALSE()),HLOOKUP(D411,PREVVOLS,VLOOKUP(G411,MOVE_DOWN2,2,FALSE()),FALSE()),VLOOKUP(G411,NGPREVPRICES,3,FALSE()),HLOOKUP(D411,Correllate,VLOOKUP(G411,CorMove,2,FALSE()),FALSE()),Q411-$CD$3,R411,$CJ$5)*H411-CJ411</f>
        <v>#NAME?</v>
      </c>
      <c r="CF411" s="132" t="e">
        <f aca="false">(CJ411/VLOOKUP(CC411,discount,3,FALSE()))-(CJ411/VLOOKUP(CC411,discount,2,FALSE()))</f>
        <v>#NAME?</v>
      </c>
      <c r="CG411" s="253" t="e">
        <f aca="false">xSPRDOPT((VLOOKUP(G411,NGPREVPRICES,2,FALSE())+HLOOKUP(D411,PREVCURVES,VLOOKUP(G411,MOVE_DOWN2,2,FALSE()),FALSE())),VLOOKUP(G411,NGPREVPRICES,2,FALSE()),CK411,VLOOKUP(G411,NGPREVPRICES,4,FALSE()),HLOOKUP(D411,VOLS,VLOOKUP(G411,move_down,2,FALSE()),FALSE()),VLOOKUP(G411,NGPrices,3,FALSE()),HLOOKUP(D411,Correllate,VLOOKUP(G411,CorMove,2,FALSE()),FALSE()),Q411-$CD$3,R411,$CJ$5)*H411-CJ411</f>
        <v>#NAME?</v>
      </c>
      <c r="CH411" s="253" t="e">
        <f aca="false">xSPRDOPT((VLOOKUP(G411,NGPREVPRICES,2,FALSE())+HLOOKUP(D411,PREVCURVES,VLOOKUP(G411,MOVE_DOWN2,2,FALSE()),FALSE())),VLOOKUP(G411,NGPREVPRICES,2,FALSE()),CK411,VLOOKUP(G411,NGPREVPRICES,4,FALSE()),HLOOKUP(D411,PREVVOLS,VLOOKUP(G411,MOVE_DOWN2,2,FALSE()),FALSE()),VLOOKUP(G411,NGPREVPRICES,3,FALSE()),HLOOKUP(D411,Correllate,VLOOKUP(G411,CorMove,2,FALSE()),FALSE()),Q411-$C$3,R411,$CJ$5)*H411-CJ411</f>
        <v>#NAME?</v>
      </c>
      <c r="CI411" s="253" t="e">
        <f aca="false">SUM(CD411:CH411)</f>
        <v>#NAME?</v>
      </c>
      <c r="CJ411" s="253" t="e">
        <f aca="false">xSPRDOPT((VLOOKUP(G411,NGPREVPRICES,2,FALSE())+HLOOKUP(D411,PREVCURVES,VLOOKUP(G411,MOVE_DOWN2,2,FALSE()),FALSE())),VLOOKUP(G411,NGPREVPRICES,2,FALSE()),CK411,VLOOKUP(G411,NGPREVPRICES,4,FALSE()),HLOOKUP(D411,PREVVOLS,VLOOKUP(G411,MOVE_DOWN2,2,FALSE()),FALSE()),VLOOKUP(G411,NGPREVPRICES,3,FALSE()),HLOOKUP(D411,Correllate,VLOOKUP(G411,CorMove,2,FALSE()),FALSE()),Q411-$CD$3,R411,$CJ$5)*H411</f>
        <v>#NAME?</v>
      </c>
      <c r="CK411" s="254" t="n">
        <f aca="false">I411</f>
        <v>0.55</v>
      </c>
      <c r="CM411" s="0" t="str">
        <f aca="false">CONCATENATE(CC411,$CD$6)</f>
        <v>36800Curve Shift/Gamma</v>
      </c>
      <c r="CN411" s="0" t="str">
        <f aca="false">CONCATENATE($CC411,$CE$6)</f>
        <v>36800Rho</v>
      </c>
      <c r="CO411" s="0" t="str">
        <f aca="false">CONCATENATE($CC411,$CF$6)</f>
        <v>36800Drift</v>
      </c>
      <c r="CP411" s="0" t="str">
        <f aca="false">CONCATENATE($CC411,$CG$6)</f>
        <v>36800Vega</v>
      </c>
      <c r="CQ411" s="0" t="str">
        <f aca="false">CONCATENATE($CC411,$CH$6)</f>
        <v>36800Theta</v>
      </c>
    </row>
    <row r="412" customFormat="false" ht="12.75" hidden="false" customHeight="false" outlineLevel="0" collapsed="false">
      <c r="A412" s="0" t="s">
        <v>345</v>
      </c>
      <c r="B412" s="0" t="s">
        <v>192</v>
      </c>
      <c r="C412" s="0" t="s">
        <v>347</v>
      </c>
      <c r="D412" s="0" t="s">
        <v>149</v>
      </c>
      <c r="E412" s="0" t="s">
        <v>131</v>
      </c>
      <c r="F412" s="0" t="s">
        <v>132</v>
      </c>
      <c r="G412" s="92" t="n">
        <v>36800</v>
      </c>
      <c r="H412" s="248" t="n">
        <v>-930000</v>
      </c>
      <c r="I412" s="0" t="n">
        <v>0.55</v>
      </c>
      <c r="J412" s="124" t="n">
        <f aca="false">VLOOKUP(G412,NGPrices,2,FALSE())</f>
        <v>4.692</v>
      </c>
      <c r="K412" s="125" t="n">
        <f aca="false">HLOOKUP(D412,Prices,VLOOKUP(G412,move_down,2,FALSE()),FALSE())+VLOOKUP(G412,CHANGE,HLOOKUP(D412,CHANGE,2,FALSE()),FALSE())</f>
        <v>0.415</v>
      </c>
      <c r="L412" s="124" t="n">
        <f aca="false">K412+J412</f>
        <v>5.107</v>
      </c>
      <c r="M412" s="126" t="n">
        <f aca="false">VLOOKUP(G412,NGPrices,4,FALSE())</f>
        <v>0.068050789414654</v>
      </c>
      <c r="N412" s="7" t="n">
        <f aca="false">VLOOKUP(G412,NGPrices,3,FALSE())</f>
        <v>0.575</v>
      </c>
      <c r="O412" s="7" t="n">
        <f aca="false">HLOOKUP(D412,VOLS,VLOOKUP(G412,move_down,2,FALSE()),FALSE())</f>
        <v>0.564</v>
      </c>
      <c r="P412" s="249" t="n">
        <f aca="false">HLOOKUP(D412,Correllate,VLOOKUP(G412,CorMove,2,FALSE()),FALSE())</f>
        <v>0.9925</v>
      </c>
      <c r="Q412" s="92" t="n">
        <f aca="false">WORKDAY(G412,-2)</f>
        <v>36797</v>
      </c>
      <c r="R412" s="7" t="n">
        <f aca="false">IF(F412="P",0,1)</f>
        <v>0</v>
      </c>
      <c r="S412" s="130" t="e">
        <f aca="false">xSPRDOPT($L412,$J412,$I412,$M412,$O412,$N412,$P412,$Q412-$C$3,$R412,0)</f>
        <v>#NAME?</v>
      </c>
      <c r="T412" s="250" t="e">
        <f aca="false">xSPRDOPT($L412,$J412,$I412,$M412,$O412,$N412,$P412,$Q412-$C$3,$R412,1)*H412</f>
        <v>#NAME?</v>
      </c>
      <c r="U412" s="43" t="e">
        <f aca="false">S412*H412</f>
        <v>#NAME?</v>
      </c>
      <c r="V412" s="250" t="e">
        <f aca="false">xSPRDOPT($L412,$J412,$I412,$M412,$O412,$N412,$P412,$Q412-$C$3,$R412,2)*H412</f>
        <v>#NAME?</v>
      </c>
      <c r="W412" s="250" t="e">
        <f aca="false">+V412+T412</f>
        <v>#NAME?</v>
      </c>
      <c r="X412" s="2" t="str">
        <f aca="false">CONCATENATE(G412,D412)</f>
        <v>36800IF-TRANSCO/Z6</v>
      </c>
      <c r="Y412" s="251" t="n">
        <f aca="false">H412/10000</f>
        <v>-93</v>
      </c>
      <c r="Z412" s="226" t="e">
        <f aca="false">T412/H412</f>
        <v>#NAME?</v>
      </c>
      <c r="AA412" s="226" t="e">
        <f aca="false">xSPRDOPT($L412,$J412,$I412,$M412,$O412,$N412,$P412,$Q412-$C$3,$R412,3)</f>
        <v>#NAME?</v>
      </c>
      <c r="AB412" s="226" t="e">
        <f aca="false">((xSPRDOPT($L412+AB$5,$J412,$I412,$M412,$O412,$N412,$P412,$Q412-$C$3,$R412,3)*$H412)/10000)/100</f>
        <v>#NAME?</v>
      </c>
      <c r="AC412" s="226" t="e">
        <f aca="false">((xSPRDOPT($L412+$AB$5,$J412,$I412,$M412,$O412,$N412,$P412,$Q412-$C$3,$R412,7)*$H412)/100)</f>
        <v>#NAME?</v>
      </c>
      <c r="AD412" s="226" t="e">
        <f aca="false">(xSPRDOPT($L412+$AB$5,$J412,$I412,$M412,$O412,$N412,$P412,$Q412-$C$3,$R412,9)/365)*$H412</f>
        <v>#NAME?</v>
      </c>
      <c r="AE412" s="0" t="e">
        <f aca="false">CD412</f>
        <v>#NAME?</v>
      </c>
      <c r="AF412" s="226" t="e">
        <f aca="false">((O412/N412)*AH412)+AG412</f>
        <v>#NAME?</v>
      </c>
      <c r="AG412" s="226" t="e">
        <f aca="false">((xSPRDOPT($L412,$J412,$I412,$M412,$O412,$N412,$P412,$Q412-$C$3,$R412,6)*$H412)/100)</f>
        <v>#NAME?</v>
      </c>
      <c r="AH412" s="226" t="e">
        <f aca="false">((xSPRDOPT($L412,$J412,$I412,$M412,$O412,$N412,$P412,$Q412-$C$3,$R412,5)*$H412)/100)</f>
        <v>#NAME?</v>
      </c>
      <c r="AI412" s="226" t="e">
        <f aca="false">(((xSPRDOPT($L412,$J412,$I412,$M412,$O412,$N412,$P412,$Q412-$C$3,$R412,4)*$H412)/10000)/100)-AB412</f>
        <v>#NAME?</v>
      </c>
      <c r="AJ412" s="226"/>
      <c r="AK412" s="226"/>
      <c r="AL412" s="226"/>
      <c r="AM412" s="252"/>
      <c r="CC412" s="182" t="n">
        <f aca="false">G412</f>
        <v>36800</v>
      </c>
      <c r="CD412" s="253" t="e">
        <f aca="false">xSPRDOPT((VLOOKUP(G412,NGPrices,2,FALSE())+HLOOKUP(D412,Prices,VLOOKUP(G412,move_down,2,FALSE()),FALSE())),VLOOKUP(G412,NGPrices,2,FALSE()),I412,VLOOKUP(G412,NGPREVPRICES,4,FALSE()),HLOOKUP(D412,PREVVOLS,VLOOKUP(G412,MOVE_DOWN2,2,FALSE()),FALSE()),VLOOKUP(G412,NGPREVPRICES,3,FALSE()),HLOOKUP(D412,Correllate,VLOOKUP(G412,CorMove,2,FALSE()),FALSE()),Q412-$CD$3,R412,$CD$5)*H412-CJ412</f>
        <v>#NAME?</v>
      </c>
      <c r="CE412" s="253" t="e">
        <f aca="false">xSPRDOPT((VLOOKUP(G412,NGPREVPRICES,2,FALSE())+HLOOKUP(D412,PREVCURVES,VLOOKUP(G412,MOVE_DOWN2,2,FALSE()),FALSE())),VLOOKUP(G412,NGPREVPRICES,2,FALSE()),CK412,VLOOKUP(G412,NGPrices,4,FALSE()),HLOOKUP(D412,PREVVOLS,VLOOKUP(G412,MOVE_DOWN2,2,FALSE()),FALSE()),VLOOKUP(G412,NGPREVPRICES,3,FALSE()),HLOOKUP(D412,Correllate,VLOOKUP(G412,CorMove,2,FALSE()),FALSE()),Q412-$CD$3,R412,$CJ$5)*H412-CJ412</f>
        <v>#NAME?</v>
      </c>
      <c r="CF412" s="132" t="e">
        <f aca="false">(CJ412/VLOOKUP(CC412,discount,3,FALSE()))-(CJ412/VLOOKUP(CC412,discount,2,FALSE()))</f>
        <v>#NAME?</v>
      </c>
      <c r="CG412" s="253" t="e">
        <f aca="false">xSPRDOPT((VLOOKUP(G412,NGPREVPRICES,2,FALSE())+HLOOKUP(D412,PREVCURVES,VLOOKUP(G412,MOVE_DOWN2,2,FALSE()),FALSE())),VLOOKUP(G412,NGPREVPRICES,2,FALSE()),CK412,VLOOKUP(G412,NGPREVPRICES,4,FALSE()),HLOOKUP(D412,VOLS,VLOOKUP(G412,move_down,2,FALSE()),FALSE()),VLOOKUP(G412,NGPrices,3,FALSE()),HLOOKUP(D412,Correllate,VLOOKUP(G412,CorMove,2,FALSE()),FALSE()),Q412-$CD$3,R412,$CJ$5)*H412-CJ412</f>
        <v>#NAME?</v>
      </c>
      <c r="CH412" s="253" t="e">
        <f aca="false">xSPRDOPT((VLOOKUP(G412,NGPREVPRICES,2,FALSE())+HLOOKUP(D412,PREVCURVES,VLOOKUP(G412,MOVE_DOWN2,2,FALSE()),FALSE())),VLOOKUP(G412,NGPREVPRICES,2,FALSE()),CK412,VLOOKUP(G412,NGPREVPRICES,4,FALSE()),HLOOKUP(D412,PREVVOLS,VLOOKUP(G412,MOVE_DOWN2,2,FALSE()),FALSE()),VLOOKUP(G412,NGPREVPRICES,3,FALSE()),HLOOKUP(D412,Correllate,VLOOKUP(G412,CorMove,2,FALSE()),FALSE()),Q412-$C$3,R412,$CJ$5)*H412-CJ412</f>
        <v>#NAME?</v>
      </c>
      <c r="CI412" s="253" t="e">
        <f aca="false">SUM(CD412:CH412)</f>
        <v>#NAME?</v>
      </c>
      <c r="CJ412" s="253" t="e">
        <f aca="false">xSPRDOPT((VLOOKUP(G412,NGPREVPRICES,2,FALSE())+HLOOKUP(D412,PREVCURVES,VLOOKUP(G412,MOVE_DOWN2,2,FALSE()),FALSE())),VLOOKUP(G412,NGPREVPRICES,2,FALSE()),CK412,VLOOKUP(G412,NGPREVPRICES,4,FALSE()),HLOOKUP(D412,PREVVOLS,VLOOKUP(G412,MOVE_DOWN2,2,FALSE()),FALSE()),VLOOKUP(G412,NGPREVPRICES,3,FALSE()),HLOOKUP(D412,Correllate,VLOOKUP(G412,CorMove,2,FALSE()),FALSE()),Q412-$CD$3,R412,$CJ$5)*H412</f>
        <v>#NAME?</v>
      </c>
      <c r="CK412" s="254" t="n">
        <f aca="false">I412</f>
        <v>0.55</v>
      </c>
      <c r="CM412" s="0" t="str">
        <f aca="false">CONCATENATE(CC412,$CD$6)</f>
        <v>36800Curve Shift/Gamma</v>
      </c>
      <c r="CN412" s="0" t="str">
        <f aca="false">CONCATENATE($CC412,$CE$6)</f>
        <v>36800Rho</v>
      </c>
      <c r="CO412" s="0" t="str">
        <f aca="false">CONCATENATE($CC412,$CF$6)</f>
        <v>36800Drift</v>
      </c>
      <c r="CP412" s="0" t="str">
        <f aca="false">CONCATENATE($CC412,$CG$6)</f>
        <v>36800Vega</v>
      </c>
      <c r="CQ412" s="0" t="str">
        <f aca="false">CONCATENATE($CC412,$CH$6)</f>
        <v>36800Theta</v>
      </c>
    </row>
    <row r="413" customFormat="false" ht="12.75" hidden="false" customHeight="false" outlineLevel="0" collapsed="false">
      <c r="A413" s="17" t="s">
        <v>210</v>
      </c>
      <c r="B413" s="0" t="s">
        <v>192</v>
      </c>
      <c r="C413" s="0" t="s">
        <v>348</v>
      </c>
      <c r="D413" s="0" t="s">
        <v>68</v>
      </c>
      <c r="E413" s="0" t="s">
        <v>131</v>
      </c>
      <c r="F413" s="0" t="s">
        <v>132</v>
      </c>
      <c r="G413" s="92" t="n">
        <v>36951</v>
      </c>
      <c r="H413" s="248" t="n">
        <v>-620000</v>
      </c>
      <c r="I413" s="0" t="n">
        <v>-0.3</v>
      </c>
      <c r="J413" s="124" t="n">
        <f aca="false">VLOOKUP(G413,NGPrices,2,FALSE())</f>
        <v>4.213</v>
      </c>
      <c r="K413" s="125" t="n">
        <f aca="false">HLOOKUP(D413,Prices,VLOOKUP(G413,move_down,2,FALSE()),FALSE())+VLOOKUP(G413,CHANGE,HLOOKUP(D413,CHANGE,2,FALSE()),FALSE())</f>
        <v>-0.1375</v>
      </c>
      <c r="L413" s="124" t="n">
        <f aca="false">K413+J413</f>
        <v>4.0755</v>
      </c>
      <c r="M413" s="126" t="n">
        <f aca="false">VLOOKUP(G413,NGPrices,4,FALSE())</f>
        <v>0.068879814952707</v>
      </c>
      <c r="N413" s="7" t="n">
        <f aca="false">VLOOKUP(G413,NGPrices,3,FALSE())</f>
        <v>0.5325</v>
      </c>
      <c r="O413" s="7" t="n">
        <f aca="false">HLOOKUP(D413,VOLS,VLOOKUP(G413,move_down,2,FALSE()),FALSE())</f>
        <v>0.533</v>
      </c>
      <c r="P413" s="249" t="n">
        <f aca="false">HLOOKUP(D413,Correllate,VLOOKUP(G413,CorMove,2,FALSE()),FALSE())</f>
        <v>0.995</v>
      </c>
      <c r="Q413" s="92" t="n">
        <f aca="false">WORKDAY(G413,-2)</f>
        <v>36949</v>
      </c>
      <c r="R413" s="7" t="n">
        <f aca="false">IF(F413="P",0,1)</f>
        <v>0</v>
      </c>
      <c r="S413" s="130" t="e">
        <f aca="false">xSPRDOPT($L413,$J413,$I413,$M413,$O413,$N413,$P413,$Q413-$C$3,$R413,0)</f>
        <v>#NAME?</v>
      </c>
      <c r="T413" s="250" t="e">
        <f aca="false">xSPRDOPT($L413,$J413,$I413,$M413,$O413,$N413,$P413,$Q413-$C$3,$R413,1)*H413</f>
        <v>#NAME?</v>
      </c>
      <c r="U413" s="43" t="e">
        <f aca="false">S413*H413</f>
        <v>#NAME?</v>
      </c>
      <c r="V413" s="250" t="e">
        <f aca="false">xSPRDOPT($L413,$J413,$I413,$M413,$O413,$N413,$P413,$Q413-$C$3,$R413,2)*H413</f>
        <v>#NAME?</v>
      </c>
      <c r="W413" s="250" t="e">
        <f aca="false">+V413+T413</f>
        <v>#NAME?</v>
      </c>
      <c r="X413" s="2" t="str">
        <f aca="false">CONCATENATE(G413,D413)</f>
        <v>36951IF-PAN/TX/OK</v>
      </c>
      <c r="Y413" s="251" t="n">
        <f aca="false">H413/10000</f>
        <v>-62</v>
      </c>
      <c r="Z413" s="226" t="e">
        <f aca="false">T413/H413</f>
        <v>#NAME?</v>
      </c>
      <c r="AA413" s="226" t="e">
        <f aca="false">xSPRDOPT($L413,$J413,$I413,$M413,$O413,$N413,$P413,$Q413-$C$3,$R413,3)</f>
        <v>#NAME?</v>
      </c>
      <c r="AB413" s="226" t="e">
        <f aca="false">((xSPRDOPT($L413+AB$5,$J413,$I413,$M413,$O413,$N413,$P413,$Q413-$C$3,$R413,3)*$H413)/10000)/100</f>
        <v>#NAME?</v>
      </c>
      <c r="AC413" s="226" t="e">
        <f aca="false">((xSPRDOPT($L413+$AB$5,$J413,$I413,$M413,$O413,$N413,$P413,$Q413-$C$3,$R413,7)*$H413)/100)</f>
        <v>#NAME?</v>
      </c>
      <c r="AD413" s="226" t="e">
        <f aca="false">(xSPRDOPT($L413+$AB$5,$J413,$I413,$M413,$O413,$N413,$P413,$Q413-$C$3,$R413,9)/365)*$H413</f>
        <v>#NAME?</v>
      </c>
      <c r="AE413" s="0" t="e">
        <f aca="false">CD413</f>
        <v>#NAME?</v>
      </c>
      <c r="AF413" s="226" t="e">
        <f aca="false">((O413/N413)*AH413)+AG413</f>
        <v>#NAME?</v>
      </c>
      <c r="AG413" s="226" t="e">
        <f aca="false">((xSPRDOPT($L413,$J413,$I413,$M413,$O413,$N413,$P413,$Q413-$C$3,$R413,6)*$H413)/100)</f>
        <v>#NAME?</v>
      </c>
      <c r="AH413" s="226" t="e">
        <f aca="false">((xSPRDOPT($L413,$J413,$I413,$M413,$O413,$N413,$P413,$Q413-$C$3,$R413,5)*$H413)/100)</f>
        <v>#NAME?</v>
      </c>
      <c r="AI413" s="226" t="e">
        <f aca="false">(((xSPRDOPT($L413,$J413,$I413,$M413,$O413,$N413,$P413,$Q413-$C$3,$R413,4)*$H413)/10000)/100)-AB413</f>
        <v>#NAME?</v>
      </c>
      <c r="AJ413" s="226"/>
      <c r="AK413" s="226"/>
      <c r="AL413" s="226"/>
      <c r="AM413" s="252"/>
      <c r="CC413" s="182" t="n">
        <f aca="false">G413</f>
        <v>36951</v>
      </c>
      <c r="CD413" s="253" t="e">
        <f aca="false">xSPRDOPT((VLOOKUP(G413,NGPrices,2,FALSE())+HLOOKUP(D413,Prices,VLOOKUP(G413,move_down,2,FALSE()),FALSE())),VLOOKUP(G413,NGPrices,2,FALSE()),I413,VLOOKUP(G413,NGPREVPRICES,4,FALSE()),HLOOKUP(D413,PREVVOLS,VLOOKUP(G413,MOVE_DOWN2,2,FALSE()),FALSE()),VLOOKUP(G413,NGPREVPRICES,3,FALSE()),HLOOKUP(D413,Correllate,VLOOKUP(G413,CorMove,2,FALSE()),FALSE()),Q413-$CD$3,R413,$CD$5)*H413-CJ413</f>
        <v>#NAME?</v>
      </c>
      <c r="CE413" s="253" t="e">
        <f aca="false">xSPRDOPT((VLOOKUP(G413,NGPREVPRICES,2,FALSE())+HLOOKUP(D413,PREVCURVES,VLOOKUP(G413,MOVE_DOWN2,2,FALSE()),FALSE())),VLOOKUP(G413,NGPREVPRICES,2,FALSE()),CK413,VLOOKUP(G413,NGPrices,4,FALSE()),HLOOKUP(D413,PREVVOLS,VLOOKUP(G413,MOVE_DOWN2,2,FALSE()),FALSE()),VLOOKUP(G413,NGPREVPRICES,3,FALSE()),HLOOKUP(D413,Correllate,VLOOKUP(G413,CorMove,2,FALSE()),FALSE()),Q413-$CD$3,R413,$CJ$5)*H413-CJ413</f>
        <v>#NAME?</v>
      </c>
      <c r="CF413" s="132" t="e">
        <f aca="false">(CJ413/VLOOKUP(CC413,discount,3,FALSE()))-(CJ413/VLOOKUP(CC413,discount,2,FALSE()))</f>
        <v>#NAME?</v>
      </c>
      <c r="CG413" s="253" t="e">
        <f aca="false">xSPRDOPT((VLOOKUP(G413,NGPREVPRICES,2,FALSE())+HLOOKUP(D413,PREVCURVES,VLOOKUP(G413,MOVE_DOWN2,2,FALSE()),FALSE())),VLOOKUP(G413,NGPREVPRICES,2,FALSE()),CK413,VLOOKUP(G413,NGPREVPRICES,4,FALSE()),HLOOKUP(D413,VOLS,VLOOKUP(G413,move_down,2,FALSE()),FALSE()),VLOOKUP(G413,NGPrices,3,FALSE()),HLOOKUP(D413,Correllate,VLOOKUP(G413,CorMove,2,FALSE()),FALSE()),Q413-$CD$3,R413,$CJ$5)*H413-CJ413</f>
        <v>#NAME?</v>
      </c>
      <c r="CH413" s="253" t="e">
        <f aca="false">xSPRDOPT((VLOOKUP(G413,NGPREVPRICES,2,FALSE())+HLOOKUP(D413,PREVCURVES,VLOOKUP(G413,MOVE_DOWN2,2,FALSE()),FALSE())),VLOOKUP(G413,NGPREVPRICES,2,FALSE()),CK413,VLOOKUP(G413,NGPREVPRICES,4,FALSE()),HLOOKUP(D413,PREVVOLS,VLOOKUP(G413,MOVE_DOWN2,2,FALSE()),FALSE()),VLOOKUP(G413,NGPREVPRICES,3,FALSE()),HLOOKUP(D413,Correllate,VLOOKUP(G413,CorMove,2,FALSE()),FALSE()),Q413-$C$3,R413,$CJ$5)*H413-CJ413</f>
        <v>#NAME?</v>
      </c>
      <c r="CI413" s="253" t="e">
        <f aca="false">SUM(CD413:CH413)</f>
        <v>#NAME?</v>
      </c>
      <c r="CJ413" s="253" t="e">
        <f aca="false">xSPRDOPT((VLOOKUP(G413,NGPREVPRICES,2,FALSE())+HLOOKUP(D413,PREVCURVES,VLOOKUP(G413,MOVE_DOWN2,2,FALSE()),FALSE())),VLOOKUP(G413,NGPREVPRICES,2,FALSE()),CK413,VLOOKUP(G413,NGPREVPRICES,4,FALSE()),HLOOKUP(D413,PREVVOLS,VLOOKUP(G413,MOVE_DOWN2,2,FALSE()),FALSE()),VLOOKUP(G413,NGPREVPRICES,3,FALSE()),HLOOKUP(D413,Correllate,VLOOKUP(G413,CorMove,2,FALSE()),FALSE()),Q413-$CD$3,R413,$CJ$5)*H413</f>
        <v>#NAME?</v>
      </c>
      <c r="CK413" s="254" t="n">
        <f aca="false">I413</f>
        <v>-0.3</v>
      </c>
      <c r="CM413" s="0" t="str">
        <f aca="false">CONCATENATE(CC413,$CD$6)</f>
        <v>36951Curve Shift/Gamma</v>
      </c>
      <c r="CN413" s="0" t="str">
        <f aca="false">CONCATENATE($CC413,$CE$6)</f>
        <v>36951Rho</v>
      </c>
      <c r="CO413" s="0" t="str">
        <f aca="false">CONCATENATE($CC413,$CF$6)</f>
        <v>36951Drift</v>
      </c>
      <c r="CP413" s="0" t="str">
        <f aca="false">CONCATENATE($CC413,$CG$6)</f>
        <v>36951Vega</v>
      </c>
      <c r="CQ413" s="0" t="str">
        <f aca="false">CONCATENATE($CC413,$CH$6)</f>
        <v>36951Theta</v>
      </c>
    </row>
    <row r="414" customFormat="false" ht="12.75" hidden="false" customHeight="false" outlineLevel="0" collapsed="false">
      <c r="A414" s="17" t="s">
        <v>210</v>
      </c>
      <c r="B414" s="0" t="s">
        <v>192</v>
      </c>
      <c r="C414" s="0" t="s">
        <v>348</v>
      </c>
      <c r="D414" s="0" t="s">
        <v>68</v>
      </c>
      <c r="E414" s="0" t="s">
        <v>131</v>
      </c>
      <c r="F414" s="0" t="s">
        <v>132</v>
      </c>
      <c r="G414" s="92" t="n">
        <v>36923</v>
      </c>
      <c r="H414" s="248" t="n">
        <v>-560000</v>
      </c>
      <c r="I414" s="0" t="n">
        <v>-0.3</v>
      </c>
      <c r="J414" s="124" t="n">
        <f aca="false">VLOOKUP(G414,NGPrices,2,FALSE())</f>
        <v>4.48</v>
      </c>
      <c r="K414" s="125" t="n">
        <f aca="false">HLOOKUP(D414,Prices,VLOOKUP(G414,move_down,2,FALSE()),FALSE())+VLOOKUP(G414,CHANGE,HLOOKUP(D414,CHANGE,2,FALSE()),FALSE())</f>
        <v>-0.145</v>
      </c>
      <c r="L414" s="124" t="n">
        <f aca="false">K414+J414</f>
        <v>4.335</v>
      </c>
      <c r="M414" s="126" t="n">
        <f aca="false">VLOOKUP(G414,NGPrices,4,FALSE())</f>
        <v>0.068640161611372</v>
      </c>
      <c r="N414" s="7" t="n">
        <f aca="false">VLOOKUP(G414,NGPrices,3,FALSE())</f>
        <v>0.5925</v>
      </c>
      <c r="O414" s="7" t="n">
        <f aca="false">HLOOKUP(D414,VOLS,VLOOKUP(G414,move_down,2,FALSE()),FALSE())</f>
        <v>0.593</v>
      </c>
      <c r="P414" s="249" t="n">
        <f aca="false">HLOOKUP(D414,Correllate,VLOOKUP(G414,CorMove,2,FALSE()),FALSE())</f>
        <v>0.995</v>
      </c>
      <c r="Q414" s="92" t="n">
        <f aca="false">WORKDAY(G414,-2)</f>
        <v>36921</v>
      </c>
      <c r="R414" s="7" t="n">
        <f aca="false">IF(F414="P",0,1)</f>
        <v>0</v>
      </c>
      <c r="S414" s="130" t="e">
        <f aca="false">xSPRDOPT($L414,$J414,$I414,$M414,$O414,$N414,$P414,$Q414-$C$3,$R414,0)</f>
        <v>#NAME?</v>
      </c>
      <c r="T414" s="250" t="e">
        <f aca="false">xSPRDOPT($L414,$J414,$I414,$M414,$O414,$N414,$P414,$Q414-$C$3,$R414,1)*H414</f>
        <v>#NAME?</v>
      </c>
      <c r="U414" s="43" t="e">
        <f aca="false">S414*H414</f>
        <v>#NAME?</v>
      </c>
      <c r="V414" s="250" t="e">
        <f aca="false">xSPRDOPT($L414,$J414,$I414,$M414,$O414,$N414,$P414,$Q414-$C$3,$R414,2)*H414</f>
        <v>#NAME?</v>
      </c>
      <c r="W414" s="250" t="e">
        <f aca="false">+V414+T414</f>
        <v>#NAME?</v>
      </c>
      <c r="X414" s="2" t="str">
        <f aca="false">CONCATENATE(G414,D414)</f>
        <v>36923IF-PAN/TX/OK</v>
      </c>
      <c r="Y414" s="251" t="n">
        <f aca="false">H414/10000</f>
        <v>-56</v>
      </c>
      <c r="Z414" s="226" t="e">
        <f aca="false">T414/H414</f>
        <v>#NAME?</v>
      </c>
      <c r="AA414" s="226" t="e">
        <f aca="false">xSPRDOPT($L414,$J414,$I414,$M414,$O414,$N414,$P414,$Q414-$C$3,$R414,3)</f>
        <v>#NAME?</v>
      </c>
      <c r="AB414" s="226" t="e">
        <f aca="false">((xSPRDOPT($L414+AB$5,$J414,$I414,$M414,$O414,$N414,$P414,$Q414-$C$3,$R414,3)*$H414)/10000)/100</f>
        <v>#NAME?</v>
      </c>
      <c r="AC414" s="226" t="e">
        <f aca="false">((xSPRDOPT($L414+$AB$5,$J414,$I414,$M414,$O414,$N414,$P414,$Q414-$C$3,$R414,7)*$H414)/100)</f>
        <v>#NAME?</v>
      </c>
      <c r="AD414" s="226" t="e">
        <f aca="false">(xSPRDOPT($L414+$AB$5,$J414,$I414,$M414,$O414,$N414,$P414,$Q414-$C$3,$R414,9)/365)*$H414</f>
        <v>#NAME?</v>
      </c>
      <c r="AE414" s="0" t="e">
        <f aca="false">CD414</f>
        <v>#NAME?</v>
      </c>
      <c r="AF414" s="226" t="e">
        <f aca="false">((O414/N414)*AH414)+AG414</f>
        <v>#NAME?</v>
      </c>
      <c r="AG414" s="226" t="e">
        <f aca="false">((xSPRDOPT($L414,$J414,$I414,$M414,$O414,$N414,$P414,$Q414-$C$3,$R414,6)*$H414)/100)</f>
        <v>#NAME?</v>
      </c>
      <c r="AH414" s="226" t="e">
        <f aca="false">((xSPRDOPT($L414,$J414,$I414,$M414,$O414,$N414,$P414,$Q414-$C$3,$R414,5)*$H414)/100)</f>
        <v>#NAME?</v>
      </c>
      <c r="AI414" s="226" t="e">
        <f aca="false">(((xSPRDOPT($L414,$J414,$I414,$M414,$O414,$N414,$P414,$Q414-$C$3,$R414,4)*$H414)/10000)/100)-AB414</f>
        <v>#NAME?</v>
      </c>
      <c r="AJ414" s="226"/>
      <c r="AK414" s="226"/>
      <c r="AL414" s="226"/>
      <c r="AM414" s="252"/>
      <c r="CC414" s="182" t="n">
        <f aca="false">G414</f>
        <v>36923</v>
      </c>
      <c r="CD414" s="253" t="e">
        <f aca="false">xSPRDOPT((VLOOKUP(G414,NGPrices,2,FALSE())+HLOOKUP(D414,Prices,VLOOKUP(G414,move_down,2,FALSE()),FALSE())),VLOOKUP(G414,NGPrices,2,FALSE()),I414,VLOOKUP(G414,NGPREVPRICES,4,FALSE()),HLOOKUP(D414,PREVVOLS,VLOOKUP(G414,MOVE_DOWN2,2,FALSE()),FALSE()),VLOOKUP(G414,NGPREVPRICES,3,FALSE()),HLOOKUP(D414,Correllate,VLOOKUP(G414,CorMove,2,FALSE()),FALSE()),Q414-$CD$3,R414,$CD$5)*H414-CJ414</f>
        <v>#NAME?</v>
      </c>
      <c r="CE414" s="253" t="e">
        <f aca="false">xSPRDOPT((VLOOKUP(G414,NGPREVPRICES,2,FALSE())+HLOOKUP(D414,PREVCURVES,VLOOKUP(G414,MOVE_DOWN2,2,FALSE()),FALSE())),VLOOKUP(G414,NGPREVPRICES,2,FALSE()),CK414,VLOOKUP(G414,NGPrices,4,FALSE()),HLOOKUP(D414,PREVVOLS,VLOOKUP(G414,MOVE_DOWN2,2,FALSE()),FALSE()),VLOOKUP(G414,NGPREVPRICES,3,FALSE()),HLOOKUP(D414,Correllate,VLOOKUP(G414,CorMove,2,FALSE()),FALSE()),Q414-$CD$3,R414,$CJ$5)*H414-CJ414</f>
        <v>#NAME?</v>
      </c>
      <c r="CF414" s="132" t="e">
        <f aca="false">(CJ414/VLOOKUP(CC414,discount,3,FALSE()))-(CJ414/VLOOKUP(CC414,discount,2,FALSE()))</f>
        <v>#NAME?</v>
      </c>
      <c r="CG414" s="253" t="e">
        <f aca="false">xSPRDOPT((VLOOKUP(G414,NGPREVPRICES,2,FALSE())+HLOOKUP(D414,PREVCURVES,VLOOKUP(G414,MOVE_DOWN2,2,FALSE()),FALSE())),VLOOKUP(G414,NGPREVPRICES,2,FALSE()),CK414,VLOOKUP(G414,NGPREVPRICES,4,FALSE()),HLOOKUP(D414,VOLS,VLOOKUP(G414,move_down,2,FALSE()),FALSE()),VLOOKUP(G414,NGPrices,3,FALSE()),HLOOKUP(D414,Correllate,VLOOKUP(G414,CorMove,2,FALSE()),FALSE()),Q414-$CD$3,R414,$CJ$5)*H414-CJ414</f>
        <v>#NAME?</v>
      </c>
      <c r="CH414" s="253" t="e">
        <f aca="false">xSPRDOPT((VLOOKUP(G414,NGPREVPRICES,2,FALSE())+HLOOKUP(D414,PREVCURVES,VLOOKUP(G414,MOVE_DOWN2,2,FALSE()),FALSE())),VLOOKUP(G414,NGPREVPRICES,2,FALSE()),CK414,VLOOKUP(G414,NGPREVPRICES,4,FALSE()),HLOOKUP(D414,PREVVOLS,VLOOKUP(G414,MOVE_DOWN2,2,FALSE()),FALSE()),VLOOKUP(G414,NGPREVPRICES,3,FALSE()),HLOOKUP(D414,Correllate,VLOOKUP(G414,CorMove,2,FALSE()),FALSE()),Q414-$C$3,R414,$CJ$5)*H414-CJ414</f>
        <v>#NAME?</v>
      </c>
      <c r="CI414" s="253" t="e">
        <f aca="false">SUM(CD414:CH414)</f>
        <v>#NAME?</v>
      </c>
      <c r="CJ414" s="253" t="e">
        <f aca="false">xSPRDOPT((VLOOKUP(G414,NGPREVPRICES,2,FALSE())+HLOOKUP(D414,PREVCURVES,VLOOKUP(G414,MOVE_DOWN2,2,FALSE()),FALSE())),VLOOKUP(G414,NGPREVPRICES,2,FALSE()),CK414,VLOOKUP(G414,NGPREVPRICES,4,FALSE()),HLOOKUP(D414,PREVVOLS,VLOOKUP(G414,MOVE_DOWN2,2,FALSE()),FALSE()),VLOOKUP(G414,NGPREVPRICES,3,FALSE()),HLOOKUP(D414,Correllate,VLOOKUP(G414,CorMove,2,FALSE()),FALSE()),Q414-$CD$3,R414,$CJ$5)*H414</f>
        <v>#NAME?</v>
      </c>
      <c r="CK414" s="254" t="n">
        <f aca="false">I414</f>
        <v>-0.3</v>
      </c>
      <c r="CM414" s="0" t="str">
        <f aca="false">CONCATENATE(CC414,$CD$6)</f>
        <v>36923Curve Shift/Gamma</v>
      </c>
      <c r="CN414" s="0" t="str">
        <f aca="false">CONCATENATE($CC414,$CE$6)</f>
        <v>36923Rho</v>
      </c>
      <c r="CO414" s="0" t="str">
        <f aca="false">CONCATENATE($CC414,$CF$6)</f>
        <v>36923Drift</v>
      </c>
      <c r="CP414" s="0" t="str">
        <f aca="false">CONCATENATE($CC414,$CG$6)</f>
        <v>36923Vega</v>
      </c>
      <c r="CQ414" s="0" t="str">
        <f aca="false">CONCATENATE($CC414,$CH$6)</f>
        <v>36923Theta</v>
      </c>
    </row>
    <row r="415" customFormat="false" ht="12.75" hidden="false" customHeight="false" outlineLevel="0" collapsed="false">
      <c r="A415" s="17" t="s">
        <v>210</v>
      </c>
      <c r="B415" s="0" t="s">
        <v>192</v>
      </c>
      <c r="C415" s="0" t="s">
        <v>348</v>
      </c>
      <c r="D415" s="0" t="s">
        <v>68</v>
      </c>
      <c r="E415" s="0" t="s">
        <v>131</v>
      </c>
      <c r="F415" s="0" t="s">
        <v>132</v>
      </c>
      <c r="G415" s="92" t="n">
        <v>36892</v>
      </c>
      <c r="H415" s="248" t="n">
        <v>-620000</v>
      </c>
      <c r="I415" s="0" t="n">
        <v>-0.3</v>
      </c>
      <c r="J415" s="124" t="n">
        <f aca="false">VLOOKUP(G415,NGPrices,2,FALSE())</f>
        <v>4.744</v>
      </c>
      <c r="K415" s="125" t="n">
        <f aca="false">HLOOKUP(D415,Prices,VLOOKUP(G415,move_down,2,FALSE()),FALSE())+VLOOKUP(G415,CHANGE,HLOOKUP(D415,CHANGE,2,FALSE()),FALSE())</f>
        <v>-0.16</v>
      </c>
      <c r="L415" s="124" t="n">
        <f aca="false">K415+J415</f>
        <v>4.584</v>
      </c>
      <c r="M415" s="126" t="n">
        <f aca="false">VLOOKUP(G415,NGPrices,4,FALSE())</f>
        <v>0.068374831148491</v>
      </c>
      <c r="N415" s="7" t="n">
        <f aca="false">VLOOKUP(G415,NGPrices,3,FALSE())</f>
        <v>0.605</v>
      </c>
      <c r="O415" s="7" t="n">
        <f aca="false">HLOOKUP(D415,VOLS,VLOOKUP(G415,move_down,2,FALSE()),FALSE())</f>
        <v>0.605</v>
      </c>
      <c r="P415" s="249" t="n">
        <f aca="false">HLOOKUP(D415,Correllate,VLOOKUP(G415,CorMove,2,FALSE()),FALSE())</f>
        <v>0.995</v>
      </c>
      <c r="Q415" s="92" t="n">
        <f aca="false">WORKDAY(G415,-2)</f>
        <v>36888</v>
      </c>
      <c r="R415" s="7" t="n">
        <f aca="false">IF(F415="P",0,1)</f>
        <v>0</v>
      </c>
      <c r="S415" s="130" t="e">
        <f aca="false">xSPRDOPT($L415,$J415,$I415,$M415,$O415,$N415,$P415,$Q415-$C$3,$R415,0)</f>
        <v>#NAME?</v>
      </c>
      <c r="T415" s="250" t="e">
        <f aca="false">xSPRDOPT($L415,$J415,$I415,$M415,$O415,$N415,$P415,$Q415-$C$3,$R415,1)*H415</f>
        <v>#NAME?</v>
      </c>
      <c r="U415" s="43" t="e">
        <f aca="false">S415*H415</f>
        <v>#NAME?</v>
      </c>
      <c r="V415" s="250" t="e">
        <f aca="false">xSPRDOPT($L415,$J415,$I415,$M415,$O415,$N415,$P415,$Q415-$C$3,$R415,2)*H415</f>
        <v>#NAME?</v>
      </c>
      <c r="W415" s="250" t="e">
        <f aca="false">+V415+T415</f>
        <v>#NAME?</v>
      </c>
      <c r="X415" s="2" t="str">
        <f aca="false">CONCATENATE(G415,D415)</f>
        <v>36892IF-PAN/TX/OK</v>
      </c>
      <c r="Y415" s="251" t="n">
        <f aca="false">H415/10000</f>
        <v>-62</v>
      </c>
      <c r="Z415" s="226" t="e">
        <f aca="false">T415/H415</f>
        <v>#NAME?</v>
      </c>
      <c r="AA415" s="226" t="e">
        <f aca="false">xSPRDOPT($L415,$J415,$I415,$M415,$O415,$N415,$P415,$Q415-$C$3,$R415,3)</f>
        <v>#NAME?</v>
      </c>
      <c r="AB415" s="226" t="e">
        <f aca="false">((xSPRDOPT($L415+AB$5,$J415,$I415,$M415,$O415,$N415,$P415,$Q415-$C$3,$R415,3)*$H415)/10000)/100</f>
        <v>#NAME?</v>
      </c>
      <c r="AC415" s="226" t="e">
        <f aca="false">((xSPRDOPT($L415+$AB$5,$J415,$I415,$M415,$O415,$N415,$P415,$Q415-$C$3,$R415,7)*$H415)/100)</f>
        <v>#NAME?</v>
      </c>
      <c r="AD415" s="226" t="e">
        <f aca="false">(xSPRDOPT($L415+$AB$5,$J415,$I415,$M415,$O415,$N415,$P415,$Q415-$C$3,$R415,9)/365)*$H415</f>
        <v>#NAME?</v>
      </c>
      <c r="AE415" s="0" t="e">
        <f aca="false">CD415</f>
        <v>#NAME?</v>
      </c>
      <c r="AF415" s="226" t="e">
        <f aca="false">((O415/N415)*AH415)+AG415</f>
        <v>#NAME?</v>
      </c>
      <c r="AG415" s="226" t="e">
        <f aca="false">((xSPRDOPT($L415,$J415,$I415,$M415,$O415,$N415,$P415,$Q415-$C$3,$R415,6)*$H415)/100)</f>
        <v>#NAME?</v>
      </c>
      <c r="AH415" s="226" t="e">
        <f aca="false">((xSPRDOPT($L415,$J415,$I415,$M415,$O415,$N415,$P415,$Q415-$C$3,$R415,5)*$H415)/100)</f>
        <v>#NAME?</v>
      </c>
      <c r="AI415" s="226" t="e">
        <f aca="false">(((xSPRDOPT($L415,$J415,$I415,$M415,$O415,$N415,$P415,$Q415-$C$3,$R415,4)*$H415)/10000)/100)-AB415</f>
        <v>#NAME?</v>
      </c>
      <c r="AJ415" s="226"/>
      <c r="AK415" s="226"/>
      <c r="AL415" s="226"/>
      <c r="AM415" s="252"/>
      <c r="CC415" s="182" t="n">
        <f aca="false">G415</f>
        <v>36892</v>
      </c>
      <c r="CD415" s="253" t="e">
        <f aca="false">xSPRDOPT((VLOOKUP(G415,NGPrices,2,FALSE())+HLOOKUP(D415,Prices,VLOOKUP(G415,move_down,2,FALSE()),FALSE())),VLOOKUP(G415,NGPrices,2,FALSE()),I415,VLOOKUP(G415,NGPREVPRICES,4,FALSE()),HLOOKUP(D415,PREVVOLS,VLOOKUP(G415,MOVE_DOWN2,2,FALSE()),FALSE()),VLOOKUP(G415,NGPREVPRICES,3,FALSE()),HLOOKUP(D415,Correllate,VLOOKUP(G415,CorMove,2,FALSE()),FALSE()),Q415-$CD$3,R415,$CD$5)*H415-CJ415</f>
        <v>#NAME?</v>
      </c>
      <c r="CE415" s="253" t="e">
        <f aca="false">xSPRDOPT((VLOOKUP(G415,NGPREVPRICES,2,FALSE())+HLOOKUP(D415,PREVCURVES,VLOOKUP(G415,MOVE_DOWN2,2,FALSE()),FALSE())),VLOOKUP(G415,NGPREVPRICES,2,FALSE()),CK415,VLOOKUP(G415,NGPrices,4,FALSE()),HLOOKUP(D415,PREVVOLS,VLOOKUP(G415,MOVE_DOWN2,2,FALSE()),FALSE()),VLOOKUP(G415,NGPREVPRICES,3,FALSE()),HLOOKUP(D415,Correllate,VLOOKUP(G415,CorMove,2,FALSE()),FALSE()),Q415-$CD$3,R415,$CJ$5)*H415-CJ415</f>
        <v>#NAME?</v>
      </c>
      <c r="CF415" s="132" t="e">
        <f aca="false">(CJ415/VLOOKUP(CC415,discount,3,FALSE()))-(CJ415/VLOOKUP(CC415,discount,2,FALSE()))</f>
        <v>#NAME?</v>
      </c>
      <c r="CG415" s="253" t="e">
        <f aca="false">xSPRDOPT((VLOOKUP(G415,NGPREVPRICES,2,FALSE())+HLOOKUP(D415,PREVCURVES,VLOOKUP(G415,MOVE_DOWN2,2,FALSE()),FALSE())),VLOOKUP(G415,NGPREVPRICES,2,FALSE()),CK415,VLOOKUP(G415,NGPREVPRICES,4,FALSE()),HLOOKUP(D415,VOLS,VLOOKUP(G415,move_down,2,FALSE()),FALSE()),VLOOKUP(G415,NGPrices,3,FALSE()),HLOOKUP(D415,Correllate,VLOOKUP(G415,CorMove,2,FALSE()),FALSE()),Q415-$CD$3,R415,$CJ$5)*H415-CJ415</f>
        <v>#NAME?</v>
      </c>
      <c r="CH415" s="253" t="e">
        <f aca="false">xSPRDOPT((VLOOKUP(G415,NGPREVPRICES,2,FALSE())+HLOOKUP(D415,PREVCURVES,VLOOKUP(G415,MOVE_DOWN2,2,FALSE()),FALSE())),VLOOKUP(G415,NGPREVPRICES,2,FALSE()),CK415,VLOOKUP(G415,NGPREVPRICES,4,FALSE()),HLOOKUP(D415,PREVVOLS,VLOOKUP(G415,MOVE_DOWN2,2,FALSE()),FALSE()),VLOOKUP(G415,NGPREVPRICES,3,FALSE()),HLOOKUP(D415,Correllate,VLOOKUP(G415,CorMove,2,FALSE()),FALSE()),Q415-$C$3,R415,$CJ$5)*H415-CJ415</f>
        <v>#NAME?</v>
      </c>
      <c r="CI415" s="253" t="e">
        <f aca="false">SUM(CD415:CH415)</f>
        <v>#NAME?</v>
      </c>
      <c r="CJ415" s="253" t="e">
        <f aca="false">xSPRDOPT((VLOOKUP(G415,NGPREVPRICES,2,FALSE())+HLOOKUP(D415,PREVCURVES,VLOOKUP(G415,MOVE_DOWN2,2,FALSE()),FALSE())),VLOOKUP(G415,NGPREVPRICES,2,FALSE()),CK415,VLOOKUP(G415,NGPREVPRICES,4,FALSE()),HLOOKUP(D415,PREVVOLS,VLOOKUP(G415,MOVE_DOWN2,2,FALSE()),FALSE()),VLOOKUP(G415,NGPREVPRICES,3,FALSE()),HLOOKUP(D415,Correllate,VLOOKUP(G415,CorMove,2,FALSE()),FALSE()),Q415-$CD$3,R415,$CJ$5)*H415</f>
        <v>#NAME?</v>
      </c>
      <c r="CK415" s="254" t="n">
        <f aca="false">I415</f>
        <v>-0.3</v>
      </c>
      <c r="CM415" s="0" t="str">
        <f aca="false">CONCATENATE(CC415,$CD$6)</f>
        <v>36892Curve Shift/Gamma</v>
      </c>
      <c r="CN415" s="0" t="str">
        <f aca="false">CONCATENATE($CC415,$CE$6)</f>
        <v>36892Rho</v>
      </c>
      <c r="CO415" s="0" t="str">
        <f aca="false">CONCATENATE($CC415,$CF$6)</f>
        <v>36892Drift</v>
      </c>
      <c r="CP415" s="0" t="str">
        <f aca="false">CONCATENATE($CC415,$CG$6)</f>
        <v>36892Vega</v>
      </c>
      <c r="CQ415" s="0" t="str">
        <f aca="false">CONCATENATE($CC415,$CH$6)</f>
        <v>36892Theta</v>
      </c>
    </row>
    <row r="416" customFormat="false" ht="12.75" hidden="false" customHeight="false" outlineLevel="0" collapsed="false">
      <c r="A416" s="17" t="s">
        <v>210</v>
      </c>
      <c r="B416" s="0" t="s">
        <v>192</v>
      </c>
      <c r="C416" s="0" t="s">
        <v>348</v>
      </c>
      <c r="D416" s="0" t="s">
        <v>68</v>
      </c>
      <c r="E416" s="0" t="s">
        <v>131</v>
      </c>
      <c r="F416" s="0" t="s">
        <v>132</v>
      </c>
      <c r="G416" s="92" t="n">
        <v>36861</v>
      </c>
      <c r="H416" s="248" t="n">
        <v>-620000</v>
      </c>
      <c r="I416" s="0" t="n">
        <v>-0.3</v>
      </c>
      <c r="J416" s="124" t="n">
        <f aca="false">VLOOKUP(G416,NGPrices,2,FALSE())</f>
        <v>4.8</v>
      </c>
      <c r="K416" s="125" t="n">
        <f aca="false">HLOOKUP(D416,Prices,VLOOKUP(G416,move_down,2,FALSE()),FALSE())+VLOOKUP(G416,CHANGE,HLOOKUP(D416,CHANGE,2,FALSE()),FALSE())</f>
        <v>-0.1525</v>
      </c>
      <c r="L416" s="124" t="n">
        <f aca="false">K416+J416</f>
        <v>4.6475</v>
      </c>
      <c r="M416" s="126" t="n">
        <f aca="false">VLOOKUP(G416,NGPrices,4,FALSE())</f>
        <v>0.068314027999354</v>
      </c>
      <c r="N416" s="7" t="n">
        <f aca="false">VLOOKUP(G416,NGPrices,3,FALSE())</f>
        <v>0.6</v>
      </c>
      <c r="O416" s="7" t="n">
        <f aca="false">HLOOKUP(D416,VOLS,VLOOKUP(G416,move_down,2,FALSE()),FALSE())</f>
        <v>0.6</v>
      </c>
      <c r="P416" s="249" t="n">
        <f aca="false">HLOOKUP(D416,Correllate,VLOOKUP(G416,CorMove,2,FALSE()),FALSE())</f>
        <v>0.995</v>
      </c>
      <c r="Q416" s="92" t="n">
        <f aca="false">WORKDAY(G416,-2)</f>
        <v>36859</v>
      </c>
      <c r="R416" s="7" t="n">
        <f aca="false">IF(F416="P",0,1)</f>
        <v>0</v>
      </c>
      <c r="S416" s="130" t="e">
        <f aca="false">xSPRDOPT($L416,$J416,$I416,$M416,$O416,$N416,$P416,$Q416-$C$3,$R416,0)</f>
        <v>#NAME?</v>
      </c>
      <c r="T416" s="250" t="e">
        <f aca="false">xSPRDOPT($L416,$J416,$I416,$M416,$O416,$N416,$P416,$Q416-$C$3,$R416,1)*H416</f>
        <v>#NAME?</v>
      </c>
      <c r="U416" s="43" t="e">
        <f aca="false">S416*H416</f>
        <v>#NAME?</v>
      </c>
      <c r="V416" s="250" t="e">
        <f aca="false">xSPRDOPT($L416,$J416,$I416,$M416,$O416,$N416,$P416,$Q416-$C$3,$R416,2)*H416</f>
        <v>#NAME?</v>
      </c>
      <c r="W416" s="250" t="e">
        <f aca="false">+V416+T416</f>
        <v>#NAME?</v>
      </c>
      <c r="X416" s="2" t="str">
        <f aca="false">CONCATENATE(G416,D416)</f>
        <v>36861IF-PAN/TX/OK</v>
      </c>
      <c r="Y416" s="251" t="n">
        <f aca="false">H416/10000</f>
        <v>-62</v>
      </c>
      <c r="Z416" s="226" t="e">
        <f aca="false">T416/H416</f>
        <v>#NAME?</v>
      </c>
      <c r="AA416" s="226" t="e">
        <f aca="false">xSPRDOPT($L416,$J416,$I416,$M416,$O416,$N416,$P416,$Q416-$C$3,$R416,3)</f>
        <v>#NAME?</v>
      </c>
      <c r="AB416" s="226" t="e">
        <f aca="false">((xSPRDOPT($L416+AB$5,$J416,$I416,$M416,$O416,$N416,$P416,$Q416-$C$3,$R416,3)*$H416)/10000)/100</f>
        <v>#NAME?</v>
      </c>
      <c r="AC416" s="226" t="e">
        <f aca="false">((xSPRDOPT($L416+$AB$5,$J416,$I416,$M416,$O416,$N416,$P416,$Q416-$C$3,$R416,7)*$H416)/100)</f>
        <v>#NAME?</v>
      </c>
      <c r="AD416" s="226" t="e">
        <f aca="false">(xSPRDOPT($L416+$AB$5,$J416,$I416,$M416,$O416,$N416,$P416,$Q416-$C$3,$R416,9)/365)*$H416</f>
        <v>#NAME?</v>
      </c>
      <c r="AE416" s="0" t="e">
        <f aca="false">CD416</f>
        <v>#NAME?</v>
      </c>
      <c r="AF416" s="226" t="e">
        <f aca="false">((O416/N416)*AH416)+AG416</f>
        <v>#NAME?</v>
      </c>
      <c r="AG416" s="226" t="e">
        <f aca="false">((xSPRDOPT($L416,$J416,$I416,$M416,$O416,$N416,$P416,$Q416-$C$3,$R416,6)*$H416)/100)</f>
        <v>#NAME?</v>
      </c>
      <c r="AH416" s="226" t="e">
        <f aca="false">((xSPRDOPT($L416,$J416,$I416,$M416,$O416,$N416,$P416,$Q416-$C$3,$R416,5)*$H416)/100)</f>
        <v>#NAME?</v>
      </c>
      <c r="AI416" s="226" t="e">
        <f aca="false">(((xSPRDOPT($L416,$J416,$I416,$M416,$O416,$N416,$P416,$Q416-$C$3,$R416,4)*$H416)/10000)/100)-AB416</f>
        <v>#NAME?</v>
      </c>
      <c r="AJ416" s="226"/>
      <c r="AK416" s="226"/>
      <c r="AL416" s="226"/>
      <c r="AM416" s="252"/>
      <c r="CC416" s="182" t="n">
        <f aca="false">G416</f>
        <v>36861</v>
      </c>
      <c r="CD416" s="253" t="e">
        <f aca="false">xSPRDOPT((VLOOKUP(G416,NGPrices,2,FALSE())+HLOOKUP(D416,Prices,VLOOKUP(G416,move_down,2,FALSE()),FALSE())),VLOOKUP(G416,NGPrices,2,FALSE()),I416,VLOOKUP(G416,NGPREVPRICES,4,FALSE()),HLOOKUP(D416,PREVVOLS,VLOOKUP(G416,MOVE_DOWN2,2,FALSE()),FALSE()),VLOOKUP(G416,NGPREVPRICES,3,FALSE()),HLOOKUP(D416,Correllate,VLOOKUP(G416,CorMove,2,FALSE()),FALSE()),Q416-$CD$3,R416,$CD$5)*H416-CJ416</f>
        <v>#NAME?</v>
      </c>
      <c r="CE416" s="253" t="e">
        <f aca="false">xSPRDOPT((VLOOKUP(G416,NGPREVPRICES,2,FALSE())+HLOOKUP(D416,PREVCURVES,VLOOKUP(G416,MOVE_DOWN2,2,FALSE()),FALSE())),VLOOKUP(G416,NGPREVPRICES,2,FALSE()),CK416,VLOOKUP(G416,NGPrices,4,FALSE()),HLOOKUP(D416,PREVVOLS,VLOOKUP(G416,MOVE_DOWN2,2,FALSE()),FALSE()),VLOOKUP(G416,NGPREVPRICES,3,FALSE()),HLOOKUP(D416,Correllate,VLOOKUP(G416,CorMove,2,FALSE()),FALSE()),Q416-$CD$3,R416,$CJ$5)*H416-CJ416</f>
        <v>#NAME?</v>
      </c>
      <c r="CF416" s="132" t="e">
        <f aca="false">(CJ416/VLOOKUP(CC416,discount,3,FALSE()))-(CJ416/VLOOKUP(CC416,discount,2,FALSE()))</f>
        <v>#NAME?</v>
      </c>
      <c r="CG416" s="253" t="e">
        <f aca="false">xSPRDOPT((VLOOKUP(G416,NGPREVPRICES,2,FALSE())+HLOOKUP(D416,PREVCURVES,VLOOKUP(G416,MOVE_DOWN2,2,FALSE()),FALSE())),VLOOKUP(G416,NGPREVPRICES,2,FALSE()),CK416,VLOOKUP(G416,NGPREVPRICES,4,FALSE()),HLOOKUP(D416,VOLS,VLOOKUP(G416,move_down,2,FALSE()),FALSE()),VLOOKUP(G416,NGPrices,3,FALSE()),HLOOKUP(D416,Correllate,VLOOKUP(G416,CorMove,2,FALSE()),FALSE()),Q416-$CD$3,R416,$CJ$5)*H416-CJ416</f>
        <v>#NAME?</v>
      </c>
      <c r="CH416" s="253" t="e">
        <f aca="false">xSPRDOPT((VLOOKUP(G416,NGPREVPRICES,2,FALSE())+HLOOKUP(D416,PREVCURVES,VLOOKUP(G416,MOVE_DOWN2,2,FALSE()),FALSE())),VLOOKUP(G416,NGPREVPRICES,2,FALSE()),CK416,VLOOKUP(G416,NGPREVPRICES,4,FALSE()),HLOOKUP(D416,PREVVOLS,VLOOKUP(G416,MOVE_DOWN2,2,FALSE()),FALSE()),VLOOKUP(G416,NGPREVPRICES,3,FALSE()),HLOOKUP(D416,Correllate,VLOOKUP(G416,CorMove,2,FALSE()),FALSE()),Q416-$C$3,R416,$CJ$5)*H416-CJ416</f>
        <v>#NAME?</v>
      </c>
      <c r="CI416" s="253" t="e">
        <f aca="false">SUM(CD416:CH416)</f>
        <v>#NAME?</v>
      </c>
      <c r="CJ416" s="253" t="e">
        <f aca="false">xSPRDOPT((VLOOKUP(G416,NGPREVPRICES,2,FALSE())+HLOOKUP(D416,PREVCURVES,VLOOKUP(G416,MOVE_DOWN2,2,FALSE()),FALSE())),VLOOKUP(G416,NGPREVPRICES,2,FALSE()),CK416,VLOOKUP(G416,NGPREVPRICES,4,FALSE()),HLOOKUP(D416,PREVVOLS,VLOOKUP(G416,MOVE_DOWN2,2,FALSE()),FALSE()),VLOOKUP(G416,NGPREVPRICES,3,FALSE()),HLOOKUP(D416,Correllate,VLOOKUP(G416,CorMove,2,FALSE()),FALSE()),Q416-$CD$3,R416,$CJ$5)*H416</f>
        <v>#NAME?</v>
      </c>
      <c r="CK416" s="254" t="n">
        <f aca="false">I416</f>
        <v>-0.3</v>
      </c>
      <c r="CM416" s="0" t="str">
        <f aca="false">CONCATENATE(CC416,$CD$6)</f>
        <v>36861Curve Shift/Gamma</v>
      </c>
      <c r="CN416" s="0" t="str">
        <f aca="false">CONCATENATE($CC416,$CE$6)</f>
        <v>36861Rho</v>
      </c>
      <c r="CO416" s="0" t="str">
        <f aca="false">CONCATENATE($CC416,$CF$6)</f>
        <v>36861Drift</v>
      </c>
      <c r="CP416" s="0" t="str">
        <f aca="false">CONCATENATE($CC416,$CG$6)</f>
        <v>36861Vega</v>
      </c>
      <c r="CQ416" s="0" t="str">
        <f aca="false">CONCATENATE($CC416,$CH$6)</f>
        <v>36861Theta</v>
      </c>
    </row>
    <row r="417" customFormat="false" ht="12.75" hidden="false" customHeight="false" outlineLevel="0" collapsed="false">
      <c r="A417" s="17" t="s">
        <v>210</v>
      </c>
      <c r="B417" s="0" t="s">
        <v>192</v>
      </c>
      <c r="C417" s="0" t="s">
        <v>348</v>
      </c>
      <c r="D417" s="0" t="s">
        <v>68</v>
      </c>
      <c r="E417" s="0" t="s">
        <v>131</v>
      </c>
      <c r="F417" s="0" t="s">
        <v>132</v>
      </c>
      <c r="G417" s="92" t="n">
        <v>36831</v>
      </c>
      <c r="H417" s="248" t="n">
        <v>-600000</v>
      </c>
      <c r="I417" s="0" t="n">
        <v>-0.3</v>
      </c>
      <c r="J417" s="124" t="n">
        <f aca="false">VLOOKUP(G417,NGPrices,2,FALSE())</f>
        <v>4.736</v>
      </c>
      <c r="K417" s="125" t="n">
        <f aca="false">HLOOKUP(D417,Prices,VLOOKUP(G417,move_down,2,FALSE()),FALSE())+VLOOKUP(G417,CHANGE,HLOOKUP(D417,CHANGE,2,FALSE()),FALSE())</f>
        <v>-0.1425</v>
      </c>
      <c r="L417" s="124" t="n">
        <f aca="false">K417+J417</f>
        <v>4.5935</v>
      </c>
      <c r="M417" s="126" t="n">
        <f aca="false">VLOOKUP(G417,NGPrices,4,FALSE())</f>
        <v>0.06810675983792</v>
      </c>
      <c r="N417" s="7" t="n">
        <f aca="false">VLOOKUP(G417,NGPrices,3,FALSE())</f>
        <v>0.595</v>
      </c>
      <c r="O417" s="7" t="n">
        <f aca="false">HLOOKUP(D417,VOLS,VLOOKUP(G417,move_down,2,FALSE()),FALSE())</f>
        <v>0.595</v>
      </c>
      <c r="P417" s="249" t="n">
        <f aca="false">HLOOKUP(D417,Correllate,VLOOKUP(G417,CorMove,2,FALSE()),FALSE())</f>
        <v>0.995</v>
      </c>
      <c r="Q417" s="92" t="n">
        <f aca="false">WORKDAY(G417,-2)</f>
        <v>36829</v>
      </c>
      <c r="R417" s="7" t="n">
        <f aca="false">IF(F417="P",0,1)</f>
        <v>0</v>
      </c>
      <c r="S417" s="130" t="e">
        <f aca="false">xSPRDOPT($L417,$J417,$I417,$M417,$O417,$N417,$P417,$Q417-$C$3,$R417,0)</f>
        <v>#NAME?</v>
      </c>
      <c r="T417" s="250" t="e">
        <f aca="false">xSPRDOPT($L417,$J417,$I417,$M417,$O417,$N417,$P417,$Q417-$C$3,$R417,1)*H417</f>
        <v>#NAME?</v>
      </c>
      <c r="U417" s="43" t="e">
        <f aca="false">S417*H417</f>
        <v>#NAME?</v>
      </c>
      <c r="V417" s="250" t="e">
        <f aca="false">xSPRDOPT($L417,$J417,$I417,$M417,$O417,$N417,$P417,$Q417-$C$3,$R417,2)*H417</f>
        <v>#NAME?</v>
      </c>
      <c r="W417" s="250" t="e">
        <f aca="false">+V417+T417</f>
        <v>#NAME?</v>
      </c>
      <c r="X417" s="2" t="str">
        <f aca="false">CONCATENATE(G417,D417)</f>
        <v>36831IF-PAN/TX/OK</v>
      </c>
      <c r="Y417" s="251" t="n">
        <f aca="false">H417/10000</f>
        <v>-60</v>
      </c>
      <c r="Z417" s="226" t="e">
        <f aca="false">T417/H417</f>
        <v>#NAME?</v>
      </c>
      <c r="AA417" s="226" t="e">
        <f aca="false">xSPRDOPT($L417,$J417,$I417,$M417,$O417,$N417,$P417,$Q417-$C$3,$R417,3)</f>
        <v>#NAME?</v>
      </c>
      <c r="AB417" s="226" t="e">
        <f aca="false">((xSPRDOPT($L417+AB$5,$J417,$I417,$M417,$O417,$N417,$P417,$Q417-$C$3,$R417,3)*$H417)/10000)/100</f>
        <v>#NAME?</v>
      </c>
      <c r="AC417" s="226" t="e">
        <f aca="false">((xSPRDOPT($L417+$AB$5,$J417,$I417,$M417,$O417,$N417,$P417,$Q417-$C$3,$R417,7)*$H417)/100)</f>
        <v>#NAME?</v>
      </c>
      <c r="AD417" s="226" t="e">
        <f aca="false">(xSPRDOPT($L417+$AB$5,$J417,$I417,$M417,$O417,$N417,$P417,$Q417-$C$3,$R417,9)/365)*$H417</f>
        <v>#NAME?</v>
      </c>
      <c r="AE417" s="0" t="e">
        <f aca="false">CD417</f>
        <v>#NAME?</v>
      </c>
      <c r="AF417" s="226" t="e">
        <f aca="false">((O417/N417)*AH417)+AG417</f>
        <v>#NAME?</v>
      </c>
      <c r="AG417" s="226" t="e">
        <f aca="false">((xSPRDOPT($L417,$J417,$I417,$M417,$O417,$N417,$P417,$Q417-$C$3,$R417,6)*$H417)/100)</f>
        <v>#NAME?</v>
      </c>
      <c r="AH417" s="226" t="e">
        <f aca="false">((xSPRDOPT($L417,$J417,$I417,$M417,$O417,$N417,$P417,$Q417-$C$3,$R417,5)*$H417)/100)</f>
        <v>#NAME?</v>
      </c>
      <c r="AI417" s="226" t="e">
        <f aca="false">(((xSPRDOPT($L417,$J417,$I417,$M417,$O417,$N417,$P417,$Q417-$C$3,$R417,4)*$H417)/10000)/100)-AB417</f>
        <v>#NAME?</v>
      </c>
      <c r="AJ417" s="226"/>
      <c r="AK417" s="226"/>
      <c r="AL417" s="226"/>
      <c r="AM417" s="252"/>
      <c r="CC417" s="182" t="n">
        <f aca="false">G417</f>
        <v>36831</v>
      </c>
      <c r="CD417" s="253" t="e">
        <f aca="false">xSPRDOPT((VLOOKUP(G417,NGPrices,2,FALSE())+HLOOKUP(D417,Prices,VLOOKUP(G417,move_down,2,FALSE()),FALSE())),VLOOKUP(G417,NGPrices,2,FALSE()),I417,VLOOKUP(G417,NGPREVPRICES,4,FALSE()),HLOOKUP(D417,PREVVOLS,VLOOKUP(G417,MOVE_DOWN2,2,FALSE()),FALSE()),VLOOKUP(G417,NGPREVPRICES,3,FALSE()),HLOOKUP(D417,Correllate,VLOOKUP(G417,CorMove,2,FALSE()),FALSE()),Q417-$CD$3,R417,$CD$5)*H417-CJ417</f>
        <v>#NAME?</v>
      </c>
      <c r="CE417" s="253" t="e">
        <f aca="false">xSPRDOPT((VLOOKUP(G417,NGPREVPRICES,2,FALSE())+HLOOKUP(D417,PREVCURVES,VLOOKUP(G417,MOVE_DOWN2,2,FALSE()),FALSE())),VLOOKUP(G417,NGPREVPRICES,2,FALSE()),CK417,VLOOKUP(G417,NGPrices,4,FALSE()),HLOOKUP(D417,PREVVOLS,VLOOKUP(G417,MOVE_DOWN2,2,FALSE()),FALSE()),VLOOKUP(G417,NGPREVPRICES,3,FALSE()),HLOOKUP(D417,Correllate,VLOOKUP(G417,CorMove,2,FALSE()),FALSE()),Q417-$CD$3,R417,$CJ$5)*H417-CJ417</f>
        <v>#NAME?</v>
      </c>
      <c r="CF417" s="132" t="e">
        <f aca="false">(CJ417/VLOOKUP(CC417,discount,3,FALSE()))-(CJ417/VLOOKUP(CC417,discount,2,FALSE()))</f>
        <v>#NAME?</v>
      </c>
      <c r="CG417" s="253" t="e">
        <f aca="false">xSPRDOPT((VLOOKUP(G417,NGPREVPRICES,2,FALSE())+HLOOKUP(D417,PREVCURVES,VLOOKUP(G417,MOVE_DOWN2,2,FALSE()),FALSE())),VLOOKUP(G417,NGPREVPRICES,2,FALSE()),CK417,VLOOKUP(G417,NGPREVPRICES,4,FALSE()),HLOOKUP(D417,VOLS,VLOOKUP(G417,move_down,2,FALSE()),FALSE()),VLOOKUP(G417,NGPrices,3,FALSE()),HLOOKUP(D417,Correllate,VLOOKUP(G417,CorMove,2,FALSE()),FALSE()),Q417-$CD$3,R417,$CJ$5)*H417-CJ417</f>
        <v>#NAME?</v>
      </c>
      <c r="CH417" s="253" t="e">
        <f aca="false">xSPRDOPT((VLOOKUP(G417,NGPREVPRICES,2,FALSE())+HLOOKUP(D417,PREVCURVES,VLOOKUP(G417,MOVE_DOWN2,2,FALSE()),FALSE())),VLOOKUP(G417,NGPREVPRICES,2,FALSE()),CK417,VLOOKUP(G417,NGPREVPRICES,4,FALSE()),HLOOKUP(D417,PREVVOLS,VLOOKUP(G417,MOVE_DOWN2,2,FALSE()),FALSE()),VLOOKUP(G417,NGPREVPRICES,3,FALSE()),HLOOKUP(D417,Correllate,VLOOKUP(G417,CorMove,2,FALSE()),FALSE()),Q417-$C$3,R417,$CJ$5)*H417-CJ417</f>
        <v>#NAME?</v>
      </c>
      <c r="CI417" s="253" t="e">
        <f aca="false">SUM(CD417:CH417)</f>
        <v>#NAME?</v>
      </c>
      <c r="CJ417" s="253" t="e">
        <f aca="false">xSPRDOPT((VLOOKUP(G417,NGPREVPRICES,2,FALSE())+HLOOKUP(D417,PREVCURVES,VLOOKUP(G417,MOVE_DOWN2,2,FALSE()),FALSE())),VLOOKUP(G417,NGPREVPRICES,2,FALSE()),CK417,VLOOKUP(G417,NGPREVPRICES,4,FALSE()),HLOOKUP(D417,PREVVOLS,VLOOKUP(G417,MOVE_DOWN2,2,FALSE()),FALSE()),VLOOKUP(G417,NGPREVPRICES,3,FALSE()),HLOOKUP(D417,Correllate,VLOOKUP(G417,CorMove,2,FALSE()),FALSE()),Q417-$CD$3,R417,$CJ$5)*H417</f>
        <v>#NAME?</v>
      </c>
      <c r="CK417" s="254" t="n">
        <f aca="false">I417</f>
        <v>-0.3</v>
      </c>
      <c r="CM417" s="0" t="str">
        <f aca="false">CONCATENATE(CC417,$CD$6)</f>
        <v>36831Curve Shift/Gamma</v>
      </c>
      <c r="CN417" s="0" t="str">
        <f aca="false">CONCATENATE($CC417,$CE$6)</f>
        <v>36831Rho</v>
      </c>
      <c r="CO417" s="0" t="str">
        <f aca="false">CONCATENATE($CC417,$CF$6)</f>
        <v>36831Drift</v>
      </c>
      <c r="CP417" s="0" t="str">
        <f aca="false">CONCATENATE($CC417,$CG$6)</f>
        <v>36831Vega</v>
      </c>
      <c r="CQ417" s="0" t="str">
        <f aca="false">CONCATENATE($CC417,$CH$6)</f>
        <v>36831Theta</v>
      </c>
    </row>
    <row r="418" customFormat="false" ht="12.75" hidden="false" customHeight="false" outlineLevel="0" collapsed="false">
      <c r="A418" s="267" t="s">
        <v>196</v>
      </c>
      <c r="B418" s="0" t="s">
        <v>192</v>
      </c>
      <c r="C418" s="0" t="s">
        <v>349</v>
      </c>
      <c r="D418" s="0" t="s">
        <v>68</v>
      </c>
      <c r="E418" s="0" t="s">
        <v>131</v>
      </c>
      <c r="F418" s="0" t="s">
        <v>132</v>
      </c>
      <c r="G418" s="92" t="n">
        <v>36951</v>
      </c>
      <c r="H418" s="248" t="n">
        <v>-310000</v>
      </c>
      <c r="I418" s="0" t="n">
        <v>-0.3</v>
      </c>
      <c r="J418" s="124" t="n">
        <f aca="false">VLOOKUP(G418,NGPrices,2,FALSE())</f>
        <v>4.213</v>
      </c>
      <c r="K418" s="125" t="n">
        <f aca="false">HLOOKUP(D418,Prices,VLOOKUP(G418,move_down,2,FALSE()),FALSE())+VLOOKUP(G418,CHANGE,HLOOKUP(D418,CHANGE,2,FALSE()),FALSE())</f>
        <v>-0.1375</v>
      </c>
      <c r="L418" s="124" t="n">
        <f aca="false">K418+J418</f>
        <v>4.0755</v>
      </c>
      <c r="M418" s="126" t="n">
        <f aca="false">VLOOKUP(G418,NGPrices,4,FALSE())</f>
        <v>0.068879814952707</v>
      </c>
      <c r="N418" s="7" t="n">
        <f aca="false">VLOOKUP(G418,NGPrices,3,FALSE())</f>
        <v>0.5325</v>
      </c>
      <c r="O418" s="7" t="n">
        <f aca="false">HLOOKUP(D418,VOLS,VLOOKUP(G418,move_down,2,FALSE()),FALSE())</f>
        <v>0.533</v>
      </c>
      <c r="P418" s="249" t="n">
        <f aca="false">HLOOKUP(D418,Correllate,VLOOKUP(G418,CorMove,2,FALSE()),FALSE())</f>
        <v>0.995</v>
      </c>
      <c r="Q418" s="92" t="n">
        <f aca="false">WORKDAY(G418,-2)</f>
        <v>36949</v>
      </c>
      <c r="R418" s="7" t="n">
        <f aca="false">IF(F418="P",0,1)</f>
        <v>0</v>
      </c>
      <c r="S418" s="130" t="e">
        <f aca="false">xSPRDOPT($L418,$J418,$I418,$M418,$O418,$N418,$P418,$Q418-$C$3,$R418,0)</f>
        <v>#NAME?</v>
      </c>
      <c r="T418" s="250" t="e">
        <f aca="false">xSPRDOPT($L418,$J418,$I418,$M418,$O418,$N418,$P418,$Q418-$C$3,$R418,1)*H418</f>
        <v>#NAME?</v>
      </c>
      <c r="U418" s="43" t="e">
        <f aca="false">S418*H418</f>
        <v>#NAME?</v>
      </c>
      <c r="V418" s="250" t="e">
        <f aca="false">xSPRDOPT($L418,$J418,$I418,$M418,$O418,$N418,$P418,$Q418-$C$3,$R418,2)*H418</f>
        <v>#NAME?</v>
      </c>
      <c r="W418" s="250" t="e">
        <f aca="false">+V418+T418</f>
        <v>#NAME?</v>
      </c>
      <c r="X418" s="2" t="str">
        <f aca="false">CONCATENATE(G418,D418)</f>
        <v>36951IF-PAN/TX/OK</v>
      </c>
      <c r="Y418" s="251" t="n">
        <f aca="false">H418/10000</f>
        <v>-31</v>
      </c>
      <c r="Z418" s="226" t="e">
        <f aca="false">T418/H418</f>
        <v>#NAME?</v>
      </c>
      <c r="AA418" s="226" t="e">
        <f aca="false">xSPRDOPT($L418,$J418,$I418,$M418,$O418,$N418,$P418,$Q418-$C$3,$R418,3)</f>
        <v>#NAME?</v>
      </c>
      <c r="AB418" s="226" t="e">
        <f aca="false">((xSPRDOPT($L418+AB$5,$J418,$I418,$M418,$O418,$N418,$P418,$Q418-$C$3,$R418,3)*$H418)/10000)/100</f>
        <v>#NAME?</v>
      </c>
      <c r="AC418" s="226" t="e">
        <f aca="false">((xSPRDOPT($L418+$AB$5,$J418,$I418,$M418,$O418,$N418,$P418,$Q418-$C$3,$R418,7)*$H418)/100)</f>
        <v>#NAME?</v>
      </c>
      <c r="AD418" s="226" t="e">
        <f aca="false">(xSPRDOPT($L418+$AB$5,$J418,$I418,$M418,$O418,$N418,$P418,$Q418-$C$3,$R418,9)/365)*$H418</f>
        <v>#NAME?</v>
      </c>
      <c r="AE418" s="0" t="e">
        <f aca="false">CD418</f>
        <v>#NAME?</v>
      </c>
      <c r="AF418" s="226" t="e">
        <f aca="false">((O418/N418)*AH418)+AG418</f>
        <v>#NAME?</v>
      </c>
      <c r="AG418" s="226" t="e">
        <f aca="false">((xSPRDOPT($L418,$J418,$I418,$M418,$O418,$N418,$P418,$Q418-$C$3,$R418,6)*$H418)/100)</f>
        <v>#NAME?</v>
      </c>
      <c r="AH418" s="226" t="e">
        <f aca="false">((xSPRDOPT($L418,$J418,$I418,$M418,$O418,$N418,$P418,$Q418-$C$3,$R418,5)*$H418)/100)</f>
        <v>#NAME?</v>
      </c>
      <c r="AI418" s="226" t="e">
        <f aca="false">(((xSPRDOPT($L418,$J418,$I418,$M418,$O418,$N418,$P418,$Q418-$C$3,$R418,4)*$H418)/10000)/100)-AB418</f>
        <v>#NAME?</v>
      </c>
      <c r="AJ418" s="226"/>
      <c r="AK418" s="226"/>
      <c r="AL418" s="226"/>
      <c r="AM418" s="252"/>
      <c r="CC418" s="182" t="n">
        <f aca="false">G418</f>
        <v>36951</v>
      </c>
      <c r="CD418" s="253" t="e">
        <f aca="false">xSPRDOPT((VLOOKUP(G418,NGPrices,2,FALSE())+HLOOKUP(D418,Prices,VLOOKUP(G418,move_down,2,FALSE()),FALSE())),VLOOKUP(G418,NGPrices,2,FALSE()),I418,VLOOKUP(G418,NGPREVPRICES,4,FALSE()),HLOOKUP(D418,PREVVOLS,VLOOKUP(G418,MOVE_DOWN2,2,FALSE()),FALSE()),VLOOKUP(G418,NGPREVPRICES,3,FALSE()),HLOOKUP(D418,Correllate,VLOOKUP(G418,CorMove,2,FALSE()),FALSE()),Q418-$CD$3,R418,$CD$5)*H418-CJ418</f>
        <v>#NAME?</v>
      </c>
      <c r="CE418" s="253" t="e">
        <f aca="false">xSPRDOPT((VLOOKUP(G418,NGPREVPRICES,2,FALSE())+HLOOKUP(D418,PREVCURVES,VLOOKUP(G418,MOVE_DOWN2,2,FALSE()),FALSE())),VLOOKUP(G418,NGPREVPRICES,2,FALSE()),CK418,VLOOKUP(G418,NGPrices,4,FALSE()),HLOOKUP(D418,PREVVOLS,VLOOKUP(G418,MOVE_DOWN2,2,FALSE()),FALSE()),VLOOKUP(G418,NGPREVPRICES,3,FALSE()),HLOOKUP(D418,Correllate,VLOOKUP(G418,CorMove,2,FALSE()),FALSE()),Q418-$CD$3,R418,$CJ$5)*H418-CJ418</f>
        <v>#NAME?</v>
      </c>
      <c r="CF418" s="132" t="e">
        <f aca="false">(CJ418/VLOOKUP(CC418,discount,3,FALSE()))-(CJ418/VLOOKUP(CC418,discount,2,FALSE()))</f>
        <v>#NAME?</v>
      </c>
      <c r="CG418" s="253" t="e">
        <f aca="false">xSPRDOPT((VLOOKUP(G418,NGPREVPRICES,2,FALSE())+HLOOKUP(D418,PREVCURVES,VLOOKUP(G418,MOVE_DOWN2,2,FALSE()),FALSE())),VLOOKUP(G418,NGPREVPRICES,2,FALSE()),CK418,VLOOKUP(G418,NGPREVPRICES,4,FALSE()),HLOOKUP(D418,VOLS,VLOOKUP(G418,move_down,2,FALSE()),FALSE()),VLOOKUP(G418,NGPrices,3,FALSE()),HLOOKUP(D418,Correllate,VLOOKUP(G418,CorMove,2,FALSE()),FALSE()),Q418-$CD$3,R418,$CJ$5)*H418-CJ418</f>
        <v>#NAME?</v>
      </c>
      <c r="CH418" s="253" t="e">
        <f aca="false">xSPRDOPT((VLOOKUP(G418,NGPREVPRICES,2,FALSE())+HLOOKUP(D418,PREVCURVES,VLOOKUP(G418,MOVE_DOWN2,2,FALSE()),FALSE())),VLOOKUP(G418,NGPREVPRICES,2,FALSE()),CK418,VLOOKUP(G418,NGPREVPRICES,4,FALSE()),HLOOKUP(D418,PREVVOLS,VLOOKUP(G418,MOVE_DOWN2,2,FALSE()),FALSE()),VLOOKUP(G418,NGPREVPRICES,3,FALSE()),HLOOKUP(D418,Correllate,VLOOKUP(G418,CorMove,2,FALSE()),FALSE()),Q418-$C$3,R418,$CJ$5)*H418-CJ418</f>
        <v>#NAME?</v>
      </c>
      <c r="CI418" s="253" t="e">
        <f aca="false">SUM(CD418:CH418)</f>
        <v>#NAME?</v>
      </c>
      <c r="CJ418" s="253" t="e">
        <f aca="false">xSPRDOPT((VLOOKUP(G418,NGPREVPRICES,2,FALSE())+HLOOKUP(D418,PREVCURVES,VLOOKUP(G418,MOVE_DOWN2,2,FALSE()),FALSE())),VLOOKUP(G418,NGPREVPRICES,2,FALSE()),CK418,VLOOKUP(G418,NGPREVPRICES,4,FALSE()),HLOOKUP(D418,PREVVOLS,VLOOKUP(G418,MOVE_DOWN2,2,FALSE()),FALSE()),VLOOKUP(G418,NGPREVPRICES,3,FALSE()),HLOOKUP(D418,Correllate,VLOOKUP(G418,CorMove,2,FALSE()),FALSE()),Q418-$CD$3,R418,$CJ$5)*H418</f>
        <v>#NAME?</v>
      </c>
      <c r="CK418" s="254" t="n">
        <f aca="false">I418</f>
        <v>-0.3</v>
      </c>
      <c r="CM418" s="0" t="str">
        <f aca="false">CONCATENATE(CC418,$CD$6)</f>
        <v>36951Curve Shift/Gamma</v>
      </c>
      <c r="CN418" s="0" t="str">
        <f aca="false">CONCATENATE($CC418,$CE$6)</f>
        <v>36951Rho</v>
      </c>
      <c r="CO418" s="0" t="str">
        <f aca="false">CONCATENATE($CC418,$CF$6)</f>
        <v>36951Drift</v>
      </c>
      <c r="CP418" s="0" t="str">
        <f aca="false">CONCATENATE($CC418,$CG$6)</f>
        <v>36951Vega</v>
      </c>
      <c r="CQ418" s="0" t="str">
        <f aca="false">CONCATENATE($CC418,$CH$6)</f>
        <v>36951Theta</v>
      </c>
    </row>
    <row r="419" customFormat="false" ht="12.75" hidden="false" customHeight="false" outlineLevel="0" collapsed="false">
      <c r="A419" s="267" t="s">
        <v>196</v>
      </c>
      <c r="B419" s="0" t="s">
        <v>192</v>
      </c>
      <c r="C419" s="0" t="s">
        <v>349</v>
      </c>
      <c r="D419" s="0" t="s">
        <v>68</v>
      </c>
      <c r="E419" s="0" t="s">
        <v>131</v>
      </c>
      <c r="F419" s="0" t="s">
        <v>132</v>
      </c>
      <c r="G419" s="92" t="n">
        <v>36923</v>
      </c>
      <c r="H419" s="248" t="n">
        <v>-280000</v>
      </c>
      <c r="I419" s="0" t="n">
        <v>-0.3</v>
      </c>
      <c r="J419" s="124" t="n">
        <f aca="false">VLOOKUP(G419,NGPrices,2,FALSE())</f>
        <v>4.48</v>
      </c>
      <c r="K419" s="125" t="n">
        <f aca="false">HLOOKUP(D419,Prices,VLOOKUP(G419,move_down,2,FALSE()),FALSE())+VLOOKUP(G419,CHANGE,HLOOKUP(D419,CHANGE,2,FALSE()),FALSE())</f>
        <v>-0.145</v>
      </c>
      <c r="L419" s="124" t="n">
        <f aca="false">K419+J419</f>
        <v>4.335</v>
      </c>
      <c r="M419" s="126" t="n">
        <f aca="false">VLOOKUP(G419,NGPrices,4,FALSE())</f>
        <v>0.068640161611372</v>
      </c>
      <c r="N419" s="7" t="n">
        <f aca="false">VLOOKUP(G419,NGPrices,3,FALSE())</f>
        <v>0.5925</v>
      </c>
      <c r="O419" s="7" t="n">
        <f aca="false">HLOOKUP(D419,VOLS,VLOOKUP(G419,move_down,2,FALSE()),FALSE())</f>
        <v>0.593</v>
      </c>
      <c r="P419" s="249" t="n">
        <f aca="false">HLOOKUP(D419,Correllate,VLOOKUP(G419,CorMove,2,FALSE()),FALSE())</f>
        <v>0.995</v>
      </c>
      <c r="Q419" s="92" t="n">
        <f aca="false">WORKDAY(G419,-2)</f>
        <v>36921</v>
      </c>
      <c r="R419" s="7" t="n">
        <f aca="false">IF(F419="P",0,1)</f>
        <v>0</v>
      </c>
      <c r="S419" s="130" t="e">
        <f aca="false">xSPRDOPT($L419,$J419,$I419,$M419,$O419,$N419,$P419,$Q419-$C$3,$R419,0)</f>
        <v>#NAME?</v>
      </c>
      <c r="T419" s="250" t="e">
        <f aca="false">xSPRDOPT($L419,$J419,$I419,$M419,$O419,$N419,$P419,$Q419-$C$3,$R419,1)*H419</f>
        <v>#NAME?</v>
      </c>
      <c r="U419" s="43" t="e">
        <f aca="false">S419*H419</f>
        <v>#NAME?</v>
      </c>
      <c r="V419" s="250" t="e">
        <f aca="false">xSPRDOPT($L419,$J419,$I419,$M419,$O419,$N419,$P419,$Q419-$C$3,$R419,2)*H419</f>
        <v>#NAME?</v>
      </c>
      <c r="W419" s="250" t="e">
        <f aca="false">+V419+T419</f>
        <v>#NAME?</v>
      </c>
      <c r="X419" s="2" t="str">
        <f aca="false">CONCATENATE(G419,D419)</f>
        <v>36923IF-PAN/TX/OK</v>
      </c>
      <c r="Y419" s="251" t="n">
        <f aca="false">H419/10000</f>
        <v>-28</v>
      </c>
      <c r="Z419" s="226" t="e">
        <f aca="false">T419/H419</f>
        <v>#NAME?</v>
      </c>
      <c r="AA419" s="226" t="e">
        <f aca="false">xSPRDOPT($L419,$J419,$I419,$M419,$O419,$N419,$P419,$Q419-$C$3,$R419,3)</f>
        <v>#NAME?</v>
      </c>
      <c r="AB419" s="226" t="e">
        <f aca="false">((xSPRDOPT($L419+AB$5,$J419,$I419,$M419,$O419,$N419,$P419,$Q419-$C$3,$R419,3)*$H419)/10000)/100</f>
        <v>#NAME?</v>
      </c>
      <c r="AC419" s="226" t="e">
        <f aca="false">((xSPRDOPT($L419+$AB$5,$J419,$I419,$M419,$O419,$N419,$P419,$Q419-$C$3,$R419,7)*$H419)/100)</f>
        <v>#NAME?</v>
      </c>
      <c r="AD419" s="226" t="e">
        <f aca="false">(xSPRDOPT($L419+$AB$5,$J419,$I419,$M419,$O419,$N419,$P419,$Q419-$C$3,$R419,9)/365)*$H419</f>
        <v>#NAME?</v>
      </c>
      <c r="AE419" s="0" t="e">
        <f aca="false">CD419</f>
        <v>#NAME?</v>
      </c>
      <c r="AF419" s="226" t="e">
        <f aca="false">((O419/N419)*AH419)+AG419</f>
        <v>#NAME?</v>
      </c>
      <c r="AG419" s="226" t="e">
        <f aca="false">((xSPRDOPT($L419,$J419,$I419,$M419,$O419,$N419,$P419,$Q419-$C$3,$R419,6)*$H419)/100)</f>
        <v>#NAME?</v>
      </c>
      <c r="AH419" s="226" t="e">
        <f aca="false">((xSPRDOPT($L419,$J419,$I419,$M419,$O419,$N419,$P419,$Q419-$C$3,$R419,5)*$H419)/100)</f>
        <v>#NAME?</v>
      </c>
      <c r="AI419" s="226" t="e">
        <f aca="false">(((xSPRDOPT($L419,$J419,$I419,$M419,$O419,$N419,$P419,$Q419-$C$3,$R419,4)*$H419)/10000)/100)-AB419</f>
        <v>#NAME?</v>
      </c>
      <c r="AJ419" s="226"/>
      <c r="AK419" s="226"/>
      <c r="AL419" s="226"/>
      <c r="AM419" s="252"/>
      <c r="CC419" s="182" t="n">
        <f aca="false">G419</f>
        <v>36923</v>
      </c>
      <c r="CD419" s="253" t="e">
        <f aca="false">xSPRDOPT((VLOOKUP(G419,NGPrices,2,FALSE())+HLOOKUP(D419,Prices,VLOOKUP(G419,move_down,2,FALSE()),FALSE())),VLOOKUP(G419,NGPrices,2,FALSE()),I419,VLOOKUP(G419,NGPREVPRICES,4,FALSE()),HLOOKUP(D419,PREVVOLS,VLOOKUP(G419,MOVE_DOWN2,2,FALSE()),FALSE()),VLOOKUP(G419,NGPREVPRICES,3,FALSE()),HLOOKUP(D419,Correllate,VLOOKUP(G419,CorMove,2,FALSE()),FALSE()),Q419-$CD$3,R419,$CD$5)*H419-CJ419</f>
        <v>#NAME?</v>
      </c>
      <c r="CE419" s="253" t="e">
        <f aca="false">xSPRDOPT((VLOOKUP(G419,NGPREVPRICES,2,FALSE())+HLOOKUP(D419,PREVCURVES,VLOOKUP(G419,MOVE_DOWN2,2,FALSE()),FALSE())),VLOOKUP(G419,NGPREVPRICES,2,FALSE()),CK419,VLOOKUP(G419,NGPrices,4,FALSE()),HLOOKUP(D419,PREVVOLS,VLOOKUP(G419,MOVE_DOWN2,2,FALSE()),FALSE()),VLOOKUP(G419,NGPREVPRICES,3,FALSE()),HLOOKUP(D419,Correllate,VLOOKUP(G419,CorMove,2,FALSE()),FALSE()),Q419-$CD$3,R419,$CJ$5)*H419-CJ419</f>
        <v>#NAME?</v>
      </c>
      <c r="CF419" s="132" t="e">
        <f aca="false">(CJ419/VLOOKUP(CC419,discount,3,FALSE()))-(CJ419/VLOOKUP(CC419,discount,2,FALSE()))</f>
        <v>#NAME?</v>
      </c>
      <c r="CG419" s="253" t="e">
        <f aca="false">xSPRDOPT((VLOOKUP(G419,NGPREVPRICES,2,FALSE())+HLOOKUP(D419,PREVCURVES,VLOOKUP(G419,MOVE_DOWN2,2,FALSE()),FALSE())),VLOOKUP(G419,NGPREVPRICES,2,FALSE()),CK419,VLOOKUP(G419,NGPREVPRICES,4,FALSE()),HLOOKUP(D419,VOLS,VLOOKUP(G419,move_down,2,FALSE()),FALSE()),VLOOKUP(G419,NGPrices,3,FALSE()),HLOOKUP(D419,Correllate,VLOOKUP(G419,CorMove,2,FALSE()),FALSE()),Q419-$CD$3,R419,$CJ$5)*H419-CJ419</f>
        <v>#NAME?</v>
      </c>
      <c r="CH419" s="253" t="e">
        <f aca="false">xSPRDOPT((VLOOKUP(G419,NGPREVPRICES,2,FALSE())+HLOOKUP(D419,PREVCURVES,VLOOKUP(G419,MOVE_DOWN2,2,FALSE()),FALSE())),VLOOKUP(G419,NGPREVPRICES,2,FALSE()),CK419,VLOOKUP(G419,NGPREVPRICES,4,FALSE()),HLOOKUP(D419,PREVVOLS,VLOOKUP(G419,MOVE_DOWN2,2,FALSE()),FALSE()),VLOOKUP(G419,NGPREVPRICES,3,FALSE()),HLOOKUP(D419,Correllate,VLOOKUP(G419,CorMove,2,FALSE()),FALSE()),Q419-$C$3,R419,$CJ$5)*H419-CJ419</f>
        <v>#NAME?</v>
      </c>
      <c r="CI419" s="253" t="e">
        <f aca="false">SUM(CD419:CH419)</f>
        <v>#NAME?</v>
      </c>
      <c r="CJ419" s="253" t="e">
        <f aca="false">xSPRDOPT((VLOOKUP(G419,NGPREVPRICES,2,FALSE())+HLOOKUP(D419,PREVCURVES,VLOOKUP(G419,MOVE_DOWN2,2,FALSE()),FALSE())),VLOOKUP(G419,NGPREVPRICES,2,FALSE()),CK419,VLOOKUP(G419,NGPREVPRICES,4,FALSE()),HLOOKUP(D419,PREVVOLS,VLOOKUP(G419,MOVE_DOWN2,2,FALSE()),FALSE()),VLOOKUP(G419,NGPREVPRICES,3,FALSE()),HLOOKUP(D419,Correllate,VLOOKUP(G419,CorMove,2,FALSE()),FALSE()),Q419-$CD$3,R419,$CJ$5)*H419</f>
        <v>#NAME?</v>
      </c>
      <c r="CK419" s="254" t="n">
        <f aca="false">I419</f>
        <v>-0.3</v>
      </c>
      <c r="CM419" s="0" t="str">
        <f aca="false">CONCATENATE(CC419,$CD$6)</f>
        <v>36923Curve Shift/Gamma</v>
      </c>
      <c r="CN419" s="0" t="str">
        <f aca="false">CONCATENATE($CC419,$CE$6)</f>
        <v>36923Rho</v>
      </c>
      <c r="CO419" s="0" t="str">
        <f aca="false">CONCATENATE($CC419,$CF$6)</f>
        <v>36923Drift</v>
      </c>
      <c r="CP419" s="0" t="str">
        <f aca="false">CONCATENATE($CC419,$CG$6)</f>
        <v>36923Vega</v>
      </c>
      <c r="CQ419" s="0" t="str">
        <f aca="false">CONCATENATE($CC419,$CH$6)</f>
        <v>36923Theta</v>
      </c>
    </row>
    <row r="420" customFormat="false" ht="12.75" hidden="false" customHeight="false" outlineLevel="0" collapsed="false">
      <c r="A420" s="267" t="s">
        <v>196</v>
      </c>
      <c r="B420" s="0" t="s">
        <v>192</v>
      </c>
      <c r="C420" s="0" t="s">
        <v>349</v>
      </c>
      <c r="D420" s="0" t="s">
        <v>68</v>
      </c>
      <c r="E420" s="0" t="s">
        <v>131</v>
      </c>
      <c r="F420" s="0" t="s">
        <v>132</v>
      </c>
      <c r="G420" s="92" t="n">
        <v>36892</v>
      </c>
      <c r="H420" s="248" t="n">
        <v>-310000</v>
      </c>
      <c r="I420" s="0" t="n">
        <v>-0.3</v>
      </c>
      <c r="J420" s="124" t="n">
        <f aca="false">VLOOKUP(G420,NGPrices,2,FALSE())</f>
        <v>4.744</v>
      </c>
      <c r="K420" s="125" t="n">
        <f aca="false">HLOOKUP(D420,Prices,VLOOKUP(G420,move_down,2,FALSE()),FALSE())+VLOOKUP(G420,CHANGE,HLOOKUP(D420,CHANGE,2,FALSE()),FALSE())</f>
        <v>-0.16</v>
      </c>
      <c r="L420" s="124" t="n">
        <f aca="false">K420+J420</f>
        <v>4.584</v>
      </c>
      <c r="M420" s="126" t="n">
        <f aca="false">VLOOKUP(G420,NGPrices,4,FALSE())</f>
        <v>0.068374831148491</v>
      </c>
      <c r="N420" s="7" t="n">
        <f aca="false">VLOOKUP(G420,NGPrices,3,FALSE())</f>
        <v>0.605</v>
      </c>
      <c r="O420" s="7" t="n">
        <f aca="false">HLOOKUP(D420,VOLS,VLOOKUP(G420,move_down,2,FALSE()),FALSE())</f>
        <v>0.605</v>
      </c>
      <c r="P420" s="249" t="n">
        <f aca="false">HLOOKUP(D420,Correllate,VLOOKUP(G420,CorMove,2,FALSE()),FALSE())</f>
        <v>0.995</v>
      </c>
      <c r="Q420" s="92" t="n">
        <f aca="false">WORKDAY(G420,-2)</f>
        <v>36888</v>
      </c>
      <c r="R420" s="7" t="n">
        <f aca="false">IF(F420="P",0,1)</f>
        <v>0</v>
      </c>
      <c r="S420" s="130" t="e">
        <f aca="false">xSPRDOPT($L420,$J420,$I420,$M420,$O420,$N420,$P420,$Q420-$C$3,$R420,0)</f>
        <v>#NAME?</v>
      </c>
      <c r="T420" s="250" t="e">
        <f aca="false">xSPRDOPT($L420,$J420,$I420,$M420,$O420,$N420,$P420,$Q420-$C$3,$R420,1)*H420</f>
        <v>#NAME?</v>
      </c>
      <c r="U420" s="43" t="e">
        <f aca="false">S420*H420</f>
        <v>#NAME?</v>
      </c>
      <c r="V420" s="250" t="e">
        <f aca="false">xSPRDOPT($L420,$J420,$I420,$M420,$O420,$N420,$P420,$Q420-$C$3,$R420,2)*H420</f>
        <v>#NAME?</v>
      </c>
      <c r="W420" s="250" t="e">
        <f aca="false">+V420+T420</f>
        <v>#NAME?</v>
      </c>
      <c r="X420" s="2" t="str">
        <f aca="false">CONCATENATE(G420,D420)</f>
        <v>36892IF-PAN/TX/OK</v>
      </c>
      <c r="Y420" s="251" t="n">
        <f aca="false">H420/10000</f>
        <v>-31</v>
      </c>
      <c r="Z420" s="226" t="e">
        <f aca="false">T420/H420</f>
        <v>#NAME?</v>
      </c>
      <c r="AA420" s="226" t="e">
        <f aca="false">xSPRDOPT($L420,$J420,$I420,$M420,$O420,$N420,$P420,$Q420-$C$3,$R420,3)</f>
        <v>#NAME?</v>
      </c>
      <c r="AB420" s="226" t="e">
        <f aca="false">((xSPRDOPT($L420+AB$5,$J420,$I420,$M420,$O420,$N420,$P420,$Q420-$C$3,$R420,3)*$H420)/10000)/100</f>
        <v>#NAME?</v>
      </c>
      <c r="AC420" s="226" t="e">
        <f aca="false">((xSPRDOPT($L420+$AB$5,$J420,$I420,$M420,$O420,$N420,$P420,$Q420-$C$3,$R420,7)*$H420)/100)</f>
        <v>#NAME?</v>
      </c>
      <c r="AD420" s="226" t="e">
        <f aca="false">(xSPRDOPT($L420+$AB$5,$J420,$I420,$M420,$O420,$N420,$P420,$Q420-$C$3,$R420,9)/365)*$H420</f>
        <v>#NAME?</v>
      </c>
      <c r="AE420" s="0" t="e">
        <f aca="false">CD420</f>
        <v>#NAME?</v>
      </c>
      <c r="AF420" s="226" t="e">
        <f aca="false">((O420/N420)*AH420)+AG420</f>
        <v>#NAME?</v>
      </c>
      <c r="AG420" s="226" t="e">
        <f aca="false">((xSPRDOPT($L420,$J420,$I420,$M420,$O420,$N420,$P420,$Q420-$C$3,$R420,6)*$H420)/100)</f>
        <v>#NAME?</v>
      </c>
      <c r="AH420" s="226" t="e">
        <f aca="false">((xSPRDOPT($L420,$J420,$I420,$M420,$O420,$N420,$P420,$Q420-$C$3,$R420,5)*$H420)/100)</f>
        <v>#NAME?</v>
      </c>
      <c r="AI420" s="226" t="e">
        <f aca="false">(((xSPRDOPT($L420,$J420,$I420,$M420,$O420,$N420,$P420,$Q420-$C$3,$R420,4)*$H420)/10000)/100)-AB420</f>
        <v>#NAME?</v>
      </c>
      <c r="AJ420" s="226"/>
      <c r="AK420" s="226"/>
      <c r="AL420" s="226"/>
      <c r="AM420" s="252"/>
      <c r="CC420" s="182" t="n">
        <f aca="false">G420</f>
        <v>36892</v>
      </c>
      <c r="CD420" s="253" t="e">
        <f aca="false">xSPRDOPT((VLOOKUP(G420,NGPrices,2,FALSE())+HLOOKUP(D420,Prices,VLOOKUP(G420,move_down,2,FALSE()),FALSE())),VLOOKUP(G420,NGPrices,2,FALSE()),I420,VLOOKUP(G420,NGPREVPRICES,4,FALSE()),HLOOKUP(D420,PREVVOLS,VLOOKUP(G420,MOVE_DOWN2,2,FALSE()),FALSE()),VLOOKUP(G420,NGPREVPRICES,3,FALSE()),HLOOKUP(D420,Correllate,VLOOKUP(G420,CorMove,2,FALSE()),FALSE()),Q420-$CD$3,R420,$CD$5)*H420-CJ420</f>
        <v>#NAME?</v>
      </c>
      <c r="CE420" s="253" t="e">
        <f aca="false">xSPRDOPT((VLOOKUP(G420,NGPREVPRICES,2,FALSE())+HLOOKUP(D420,PREVCURVES,VLOOKUP(G420,MOVE_DOWN2,2,FALSE()),FALSE())),VLOOKUP(G420,NGPREVPRICES,2,FALSE()),CK420,VLOOKUP(G420,NGPrices,4,FALSE()),HLOOKUP(D420,PREVVOLS,VLOOKUP(G420,MOVE_DOWN2,2,FALSE()),FALSE()),VLOOKUP(G420,NGPREVPRICES,3,FALSE()),HLOOKUP(D420,Correllate,VLOOKUP(G420,CorMove,2,FALSE()),FALSE()),Q420-$CD$3,R420,$CJ$5)*H420-CJ420</f>
        <v>#NAME?</v>
      </c>
      <c r="CF420" s="132" t="e">
        <f aca="false">(CJ420/VLOOKUP(CC420,discount,3,FALSE()))-(CJ420/VLOOKUP(CC420,discount,2,FALSE()))</f>
        <v>#NAME?</v>
      </c>
      <c r="CG420" s="253" t="e">
        <f aca="false">xSPRDOPT((VLOOKUP(G420,NGPREVPRICES,2,FALSE())+HLOOKUP(D420,PREVCURVES,VLOOKUP(G420,MOVE_DOWN2,2,FALSE()),FALSE())),VLOOKUP(G420,NGPREVPRICES,2,FALSE()),CK420,VLOOKUP(G420,NGPREVPRICES,4,FALSE()),HLOOKUP(D420,VOLS,VLOOKUP(G420,move_down,2,FALSE()),FALSE()),VLOOKUP(G420,NGPrices,3,FALSE()),HLOOKUP(D420,Correllate,VLOOKUP(G420,CorMove,2,FALSE()),FALSE()),Q420-$CD$3,R420,$CJ$5)*H420-CJ420</f>
        <v>#NAME?</v>
      </c>
      <c r="CH420" s="253" t="e">
        <f aca="false">xSPRDOPT((VLOOKUP(G420,NGPREVPRICES,2,FALSE())+HLOOKUP(D420,PREVCURVES,VLOOKUP(G420,MOVE_DOWN2,2,FALSE()),FALSE())),VLOOKUP(G420,NGPREVPRICES,2,FALSE()),CK420,VLOOKUP(G420,NGPREVPRICES,4,FALSE()),HLOOKUP(D420,PREVVOLS,VLOOKUP(G420,MOVE_DOWN2,2,FALSE()),FALSE()),VLOOKUP(G420,NGPREVPRICES,3,FALSE()),HLOOKUP(D420,Correllate,VLOOKUP(G420,CorMove,2,FALSE()),FALSE()),Q420-$C$3,R420,$CJ$5)*H420-CJ420</f>
        <v>#NAME?</v>
      </c>
      <c r="CI420" s="253" t="e">
        <f aca="false">SUM(CD420:CH420)</f>
        <v>#NAME?</v>
      </c>
      <c r="CJ420" s="253" t="e">
        <f aca="false">xSPRDOPT((VLOOKUP(G420,NGPREVPRICES,2,FALSE())+HLOOKUP(D420,PREVCURVES,VLOOKUP(G420,MOVE_DOWN2,2,FALSE()),FALSE())),VLOOKUP(G420,NGPREVPRICES,2,FALSE()),CK420,VLOOKUP(G420,NGPREVPRICES,4,FALSE()),HLOOKUP(D420,PREVVOLS,VLOOKUP(G420,MOVE_DOWN2,2,FALSE()),FALSE()),VLOOKUP(G420,NGPREVPRICES,3,FALSE()),HLOOKUP(D420,Correllate,VLOOKUP(G420,CorMove,2,FALSE()),FALSE()),Q420-$CD$3,R420,$CJ$5)*H420</f>
        <v>#NAME?</v>
      </c>
      <c r="CK420" s="254" t="n">
        <f aca="false">I420</f>
        <v>-0.3</v>
      </c>
      <c r="CM420" s="0" t="str">
        <f aca="false">CONCATENATE(CC420,$CD$6)</f>
        <v>36892Curve Shift/Gamma</v>
      </c>
      <c r="CN420" s="0" t="str">
        <f aca="false">CONCATENATE($CC420,$CE$6)</f>
        <v>36892Rho</v>
      </c>
      <c r="CO420" s="0" t="str">
        <f aca="false">CONCATENATE($CC420,$CF$6)</f>
        <v>36892Drift</v>
      </c>
      <c r="CP420" s="0" t="str">
        <f aca="false">CONCATENATE($CC420,$CG$6)</f>
        <v>36892Vega</v>
      </c>
      <c r="CQ420" s="0" t="str">
        <f aca="false">CONCATENATE($CC420,$CH$6)</f>
        <v>36892Theta</v>
      </c>
    </row>
    <row r="421" customFormat="false" ht="12.75" hidden="false" customHeight="false" outlineLevel="0" collapsed="false">
      <c r="A421" s="267" t="s">
        <v>196</v>
      </c>
      <c r="B421" s="0" t="s">
        <v>192</v>
      </c>
      <c r="C421" s="0" t="s">
        <v>349</v>
      </c>
      <c r="D421" s="0" t="s">
        <v>68</v>
      </c>
      <c r="E421" s="0" t="s">
        <v>131</v>
      </c>
      <c r="F421" s="0" t="s">
        <v>132</v>
      </c>
      <c r="G421" s="92" t="n">
        <v>36861</v>
      </c>
      <c r="H421" s="248" t="n">
        <v>-310000</v>
      </c>
      <c r="I421" s="0" t="n">
        <v>-0.3</v>
      </c>
      <c r="J421" s="124" t="n">
        <f aca="false">VLOOKUP(G421,NGPrices,2,FALSE())</f>
        <v>4.8</v>
      </c>
      <c r="K421" s="125" t="n">
        <f aca="false">HLOOKUP(D421,Prices,VLOOKUP(G421,move_down,2,FALSE()),FALSE())+VLOOKUP(G421,CHANGE,HLOOKUP(D421,CHANGE,2,FALSE()),FALSE())</f>
        <v>-0.1525</v>
      </c>
      <c r="L421" s="124" t="n">
        <f aca="false">K421+J421</f>
        <v>4.6475</v>
      </c>
      <c r="M421" s="126" t="n">
        <f aca="false">VLOOKUP(G421,NGPrices,4,FALSE())</f>
        <v>0.068314027999354</v>
      </c>
      <c r="N421" s="7" t="n">
        <f aca="false">VLOOKUP(G421,NGPrices,3,FALSE())</f>
        <v>0.6</v>
      </c>
      <c r="O421" s="7" t="n">
        <f aca="false">HLOOKUP(D421,VOLS,VLOOKUP(G421,move_down,2,FALSE()),FALSE())</f>
        <v>0.6</v>
      </c>
      <c r="P421" s="249" t="n">
        <f aca="false">HLOOKUP(D421,Correllate,VLOOKUP(G421,CorMove,2,FALSE()),FALSE())</f>
        <v>0.995</v>
      </c>
      <c r="Q421" s="92" t="n">
        <f aca="false">WORKDAY(G421,-2)</f>
        <v>36859</v>
      </c>
      <c r="R421" s="7" t="n">
        <f aca="false">IF(F421="P",0,1)</f>
        <v>0</v>
      </c>
      <c r="S421" s="130" t="e">
        <f aca="false">xSPRDOPT($L421,$J421,$I421,$M421,$O421,$N421,$P421,$Q421-$C$3,$R421,0)</f>
        <v>#NAME?</v>
      </c>
      <c r="T421" s="250" t="e">
        <f aca="false">xSPRDOPT($L421,$J421,$I421,$M421,$O421,$N421,$P421,$Q421-$C$3,$R421,1)*H421</f>
        <v>#NAME?</v>
      </c>
      <c r="U421" s="43" t="e">
        <f aca="false">S421*H421</f>
        <v>#NAME?</v>
      </c>
      <c r="V421" s="250" t="e">
        <f aca="false">xSPRDOPT($L421,$J421,$I421,$M421,$O421,$N421,$P421,$Q421-$C$3,$R421,2)*H421</f>
        <v>#NAME?</v>
      </c>
      <c r="W421" s="250" t="e">
        <f aca="false">+V421+T421</f>
        <v>#NAME?</v>
      </c>
      <c r="X421" s="2" t="str">
        <f aca="false">CONCATENATE(G421,D421)</f>
        <v>36861IF-PAN/TX/OK</v>
      </c>
      <c r="Y421" s="251" t="n">
        <f aca="false">H421/10000</f>
        <v>-31</v>
      </c>
      <c r="Z421" s="226" t="e">
        <f aca="false">T421/H421</f>
        <v>#NAME?</v>
      </c>
      <c r="AA421" s="226" t="e">
        <f aca="false">xSPRDOPT($L421,$J421,$I421,$M421,$O421,$N421,$P421,$Q421-$C$3,$R421,3)</f>
        <v>#NAME?</v>
      </c>
      <c r="AB421" s="226" t="e">
        <f aca="false">((xSPRDOPT($L421+AB$5,$J421,$I421,$M421,$O421,$N421,$P421,$Q421-$C$3,$R421,3)*$H421)/10000)/100</f>
        <v>#NAME?</v>
      </c>
      <c r="AC421" s="226" t="e">
        <f aca="false">((xSPRDOPT($L421+$AB$5,$J421,$I421,$M421,$O421,$N421,$P421,$Q421-$C$3,$R421,7)*$H421)/100)</f>
        <v>#NAME?</v>
      </c>
      <c r="AD421" s="226" t="e">
        <f aca="false">(xSPRDOPT($L421+$AB$5,$J421,$I421,$M421,$O421,$N421,$P421,$Q421-$C$3,$R421,9)/365)*$H421</f>
        <v>#NAME?</v>
      </c>
      <c r="AE421" s="0" t="e">
        <f aca="false">CD421</f>
        <v>#NAME?</v>
      </c>
      <c r="AF421" s="226" t="e">
        <f aca="false">((O421/N421)*AH421)+AG421</f>
        <v>#NAME?</v>
      </c>
      <c r="AG421" s="226" t="e">
        <f aca="false">((xSPRDOPT($L421,$J421,$I421,$M421,$O421,$N421,$P421,$Q421-$C$3,$R421,6)*$H421)/100)</f>
        <v>#NAME?</v>
      </c>
      <c r="AH421" s="226" t="e">
        <f aca="false">((xSPRDOPT($L421,$J421,$I421,$M421,$O421,$N421,$P421,$Q421-$C$3,$R421,5)*$H421)/100)</f>
        <v>#NAME?</v>
      </c>
      <c r="AI421" s="226" t="e">
        <f aca="false">(((xSPRDOPT($L421,$J421,$I421,$M421,$O421,$N421,$P421,$Q421-$C$3,$R421,4)*$H421)/10000)/100)-AB421</f>
        <v>#NAME?</v>
      </c>
      <c r="AJ421" s="226"/>
      <c r="AK421" s="226"/>
      <c r="AL421" s="226"/>
      <c r="AM421" s="252"/>
      <c r="CC421" s="182" t="n">
        <f aca="false">G421</f>
        <v>36861</v>
      </c>
      <c r="CD421" s="253" t="e">
        <f aca="false">xSPRDOPT((VLOOKUP(G421,NGPrices,2,FALSE())+HLOOKUP(D421,Prices,VLOOKUP(G421,move_down,2,FALSE()),FALSE())),VLOOKUP(G421,NGPrices,2,FALSE()),I421,VLOOKUP(G421,NGPREVPRICES,4,FALSE()),HLOOKUP(D421,PREVVOLS,VLOOKUP(G421,MOVE_DOWN2,2,FALSE()),FALSE()),VLOOKUP(G421,NGPREVPRICES,3,FALSE()),HLOOKUP(D421,Correllate,VLOOKUP(G421,CorMove,2,FALSE()),FALSE()),Q421-$CD$3,R421,$CD$5)*H421-CJ421</f>
        <v>#NAME?</v>
      </c>
      <c r="CE421" s="253" t="e">
        <f aca="false">xSPRDOPT((VLOOKUP(G421,NGPREVPRICES,2,FALSE())+HLOOKUP(D421,PREVCURVES,VLOOKUP(G421,MOVE_DOWN2,2,FALSE()),FALSE())),VLOOKUP(G421,NGPREVPRICES,2,FALSE()),CK421,VLOOKUP(G421,NGPrices,4,FALSE()),HLOOKUP(D421,PREVVOLS,VLOOKUP(G421,MOVE_DOWN2,2,FALSE()),FALSE()),VLOOKUP(G421,NGPREVPRICES,3,FALSE()),HLOOKUP(D421,Correllate,VLOOKUP(G421,CorMove,2,FALSE()),FALSE()),Q421-$CD$3,R421,$CJ$5)*H421-CJ421</f>
        <v>#NAME?</v>
      </c>
      <c r="CF421" s="132" t="e">
        <f aca="false">(CJ421/VLOOKUP(CC421,discount,3,FALSE()))-(CJ421/VLOOKUP(CC421,discount,2,FALSE()))</f>
        <v>#NAME?</v>
      </c>
      <c r="CG421" s="253" t="e">
        <f aca="false">xSPRDOPT((VLOOKUP(G421,NGPREVPRICES,2,FALSE())+HLOOKUP(D421,PREVCURVES,VLOOKUP(G421,MOVE_DOWN2,2,FALSE()),FALSE())),VLOOKUP(G421,NGPREVPRICES,2,FALSE()),CK421,VLOOKUP(G421,NGPREVPRICES,4,FALSE()),HLOOKUP(D421,VOLS,VLOOKUP(G421,move_down,2,FALSE()),FALSE()),VLOOKUP(G421,NGPrices,3,FALSE()),HLOOKUP(D421,Correllate,VLOOKUP(G421,CorMove,2,FALSE()),FALSE()),Q421-$CD$3,R421,$CJ$5)*H421-CJ421</f>
        <v>#NAME?</v>
      </c>
      <c r="CH421" s="253" t="e">
        <f aca="false">xSPRDOPT((VLOOKUP(G421,NGPREVPRICES,2,FALSE())+HLOOKUP(D421,PREVCURVES,VLOOKUP(G421,MOVE_DOWN2,2,FALSE()),FALSE())),VLOOKUP(G421,NGPREVPRICES,2,FALSE()),CK421,VLOOKUP(G421,NGPREVPRICES,4,FALSE()),HLOOKUP(D421,PREVVOLS,VLOOKUP(G421,MOVE_DOWN2,2,FALSE()),FALSE()),VLOOKUP(G421,NGPREVPRICES,3,FALSE()),HLOOKUP(D421,Correllate,VLOOKUP(G421,CorMove,2,FALSE()),FALSE()),Q421-$C$3,R421,$CJ$5)*H421-CJ421</f>
        <v>#NAME?</v>
      </c>
      <c r="CI421" s="253" t="e">
        <f aca="false">SUM(CD421:CH421)</f>
        <v>#NAME?</v>
      </c>
      <c r="CJ421" s="253" t="e">
        <f aca="false">xSPRDOPT((VLOOKUP(G421,NGPREVPRICES,2,FALSE())+HLOOKUP(D421,PREVCURVES,VLOOKUP(G421,MOVE_DOWN2,2,FALSE()),FALSE())),VLOOKUP(G421,NGPREVPRICES,2,FALSE()),CK421,VLOOKUP(G421,NGPREVPRICES,4,FALSE()),HLOOKUP(D421,PREVVOLS,VLOOKUP(G421,MOVE_DOWN2,2,FALSE()),FALSE()),VLOOKUP(G421,NGPREVPRICES,3,FALSE()),HLOOKUP(D421,Correllate,VLOOKUP(G421,CorMove,2,FALSE()),FALSE()),Q421-$CD$3,R421,$CJ$5)*H421</f>
        <v>#NAME?</v>
      </c>
      <c r="CK421" s="254" t="n">
        <f aca="false">I421</f>
        <v>-0.3</v>
      </c>
      <c r="CM421" s="0" t="str">
        <f aca="false">CONCATENATE(CC421,$CD$6)</f>
        <v>36861Curve Shift/Gamma</v>
      </c>
      <c r="CN421" s="0" t="str">
        <f aca="false">CONCATENATE($CC421,$CE$6)</f>
        <v>36861Rho</v>
      </c>
      <c r="CO421" s="0" t="str">
        <f aca="false">CONCATENATE($CC421,$CF$6)</f>
        <v>36861Drift</v>
      </c>
      <c r="CP421" s="0" t="str">
        <f aca="false">CONCATENATE($CC421,$CG$6)</f>
        <v>36861Vega</v>
      </c>
      <c r="CQ421" s="0" t="str">
        <f aca="false">CONCATENATE($CC421,$CH$6)</f>
        <v>36861Theta</v>
      </c>
    </row>
    <row r="422" customFormat="false" ht="12.75" hidden="false" customHeight="false" outlineLevel="0" collapsed="false">
      <c r="A422" s="267" t="s">
        <v>196</v>
      </c>
      <c r="B422" s="0" t="s">
        <v>192</v>
      </c>
      <c r="C422" s="0" t="s">
        <v>349</v>
      </c>
      <c r="D422" s="0" t="s">
        <v>68</v>
      </c>
      <c r="E422" s="0" t="s">
        <v>131</v>
      </c>
      <c r="F422" s="0" t="s">
        <v>132</v>
      </c>
      <c r="G422" s="92" t="n">
        <v>36831</v>
      </c>
      <c r="H422" s="248" t="n">
        <v>-300000</v>
      </c>
      <c r="I422" s="0" t="n">
        <v>-0.3</v>
      </c>
      <c r="J422" s="124" t="n">
        <f aca="false">VLOOKUP(G422,NGPrices,2,FALSE())</f>
        <v>4.736</v>
      </c>
      <c r="K422" s="125" t="n">
        <f aca="false">HLOOKUP(D422,Prices,VLOOKUP(G422,move_down,2,FALSE()),FALSE())+VLOOKUP(G422,CHANGE,HLOOKUP(D422,CHANGE,2,FALSE()),FALSE())</f>
        <v>-0.1425</v>
      </c>
      <c r="L422" s="124" t="n">
        <f aca="false">K422+J422</f>
        <v>4.5935</v>
      </c>
      <c r="M422" s="126" t="n">
        <f aca="false">VLOOKUP(G422,NGPrices,4,FALSE())</f>
        <v>0.06810675983792</v>
      </c>
      <c r="N422" s="7" t="n">
        <f aca="false">VLOOKUP(G422,NGPrices,3,FALSE())</f>
        <v>0.595</v>
      </c>
      <c r="O422" s="7" t="n">
        <f aca="false">HLOOKUP(D422,VOLS,VLOOKUP(G422,move_down,2,FALSE()),FALSE())</f>
        <v>0.595</v>
      </c>
      <c r="P422" s="249" t="n">
        <f aca="false">HLOOKUP(D422,Correllate,VLOOKUP(G422,CorMove,2,FALSE()),FALSE())</f>
        <v>0.995</v>
      </c>
      <c r="Q422" s="92" t="n">
        <f aca="false">WORKDAY(G422,-2)</f>
        <v>36829</v>
      </c>
      <c r="R422" s="7" t="n">
        <f aca="false">IF(F422="P",0,1)</f>
        <v>0</v>
      </c>
      <c r="S422" s="130" t="e">
        <f aca="false">xSPRDOPT($L422,$J422,$I422,$M422,$O422,$N422,$P422,$Q422-$C$3,$R422,0)</f>
        <v>#NAME?</v>
      </c>
      <c r="T422" s="250" t="e">
        <f aca="false">xSPRDOPT($L422,$J422,$I422,$M422,$O422,$N422,$P422,$Q422-$C$3,$R422,1)*H422</f>
        <v>#NAME?</v>
      </c>
      <c r="U422" s="43" t="e">
        <f aca="false">S422*H422</f>
        <v>#NAME?</v>
      </c>
      <c r="V422" s="250" t="e">
        <f aca="false">xSPRDOPT($L422,$J422,$I422,$M422,$O422,$N422,$P422,$Q422-$C$3,$R422,2)*H422</f>
        <v>#NAME?</v>
      </c>
      <c r="W422" s="250" t="e">
        <f aca="false">+V422+T422</f>
        <v>#NAME?</v>
      </c>
      <c r="X422" s="2" t="str">
        <f aca="false">CONCATENATE(G422,D422)</f>
        <v>36831IF-PAN/TX/OK</v>
      </c>
      <c r="Y422" s="251" t="n">
        <f aca="false">H422/10000</f>
        <v>-30</v>
      </c>
      <c r="Z422" s="226" t="e">
        <f aca="false">T422/H422</f>
        <v>#NAME?</v>
      </c>
      <c r="AA422" s="226" t="e">
        <f aca="false">xSPRDOPT($L422,$J422,$I422,$M422,$O422,$N422,$P422,$Q422-$C$3,$R422,3)</f>
        <v>#NAME?</v>
      </c>
      <c r="AB422" s="226" t="e">
        <f aca="false">((xSPRDOPT($L422+AB$5,$J422,$I422,$M422,$O422,$N422,$P422,$Q422-$C$3,$R422,3)*$H422)/10000)/100</f>
        <v>#NAME?</v>
      </c>
      <c r="AC422" s="226" t="e">
        <f aca="false">((xSPRDOPT($L422+$AB$5,$J422,$I422,$M422,$O422,$N422,$P422,$Q422-$C$3,$R422,7)*$H422)/100)</f>
        <v>#NAME?</v>
      </c>
      <c r="AD422" s="226" t="e">
        <f aca="false">(xSPRDOPT($L422+$AB$5,$J422,$I422,$M422,$O422,$N422,$P422,$Q422-$C$3,$R422,9)/365)*$H422</f>
        <v>#NAME?</v>
      </c>
      <c r="AE422" s="0" t="e">
        <f aca="false">CD422</f>
        <v>#NAME?</v>
      </c>
      <c r="AF422" s="226" t="e">
        <f aca="false">((O422/N422)*AH422)+AG422</f>
        <v>#NAME?</v>
      </c>
      <c r="AG422" s="226" t="e">
        <f aca="false">((xSPRDOPT($L422,$J422,$I422,$M422,$O422,$N422,$P422,$Q422-$C$3,$R422,6)*$H422)/100)</f>
        <v>#NAME?</v>
      </c>
      <c r="AH422" s="226" t="e">
        <f aca="false">((xSPRDOPT($L422,$J422,$I422,$M422,$O422,$N422,$P422,$Q422-$C$3,$R422,5)*$H422)/100)</f>
        <v>#NAME?</v>
      </c>
      <c r="AI422" s="226" t="e">
        <f aca="false">(((xSPRDOPT($L422,$J422,$I422,$M422,$O422,$N422,$P422,$Q422-$C$3,$R422,4)*$H422)/10000)/100)-AB422</f>
        <v>#NAME?</v>
      </c>
      <c r="AJ422" s="226"/>
      <c r="AK422" s="226"/>
      <c r="AL422" s="226"/>
      <c r="AM422" s="252"/>
      <c r="CC422" s="182" t="n">
        <f aca="false">G422</f>
        <v>36831</v>
      </c>
      <c r="CD422" s="253" t="e">
        <f aca="false">xSPRDOPT((VLOOKUP(G422,NGPrices,2,FALSE())+HLOOKUP(D422,Prices,VLOOKUP(G422,move_down,2,FALSE()),FALSE())),VLOOKUP(G422,NGPrices,2,FALSE()),I422,VLOOKUP(G422,NGPREVPRICES,4,FALSE()),HLOOKUP(D422,PREVVOLS,VLOOKUP(G422,MOVE_DOWN2,2,FALSE()),FALSE()),VLOOKUP(G422,NGPREVPRICES,3,FALSE()),HLOOKUP(D422,Correllate,VLOOKUP(G422,CorMove,2,FALSE()),FALSE()),Q422-$CD$3,R422,$CD$5)*H422-CJ422</f>
        <v>#NAME?</v>
      </c>
      <c r="CE422" s="253" t="e">
        <f aca="false">xSPRDOPT((VLOOKUP(G422,NGPREVPRICES,2,FALSE())+HLOOKUP(D422,PREVCURVES,VLOOKUP(G422,MOVE_DOWN2,2,FALSE()),FALSE())),VLOOKUP(G422,NGPREVPRICES,2,FALSE()),CK422,VLOOKUP(G422,NGPrices,4,FALSE()),HLOOKUP(D422,PREVVOLS,VLOOKUP(G422,MOVE_DOWN2,2,FALSE()),FALSE()),VLOOKUP(G422,NGPREVPRICES,3,FALSE()),HLOOKUP(D422,Correllate,VLOOKUP(G422,CorMove,2,FALSE()),FALSE()),Q422-$CD$3,R422,$CJ$5)*H422-CJ422</f>
        <v>#NAME?</v>
      </c>
      <c r="CF422" s="132" t="e">
        <f aca="false">(CJ422/VLOOKUP(CC422,discount,3,FALSE()))-(CJ422/VLOOKUP(CC422,discount,2,FALSE()))</f>
        <v>#NAME?</v>
      </c>
      <c r="CG422" s="253" t="e">
        <f aca="false">xSPRDOPT((VLOOKUP(G422,NGPREVPRICES,2,FALSE())+HLOOKUP(D422,PREVCURVES,VLOOKUP(G422,MOVE_DOWN2,2,FALSE()),FALSE())),VLOOKUP(G422,NGPREVPRICES,2,FALSE()),CK422,VLOOKUP(G422,NGPREVPRICES,4,FALSE()),HLOOKUP(D422,VOLS,VLOOKUP(G422,move_down,2,FALSE()),FALSE()),VLOOKUP(G422,NGPrices,3,FALSE()),HLOOKUP(D422,Correllate,VLOOKUP(G422,CorMove,2,FALSE()),FALSE()),Q422-$CD$3,R422,$CJ$5)*H422-CJ422</f>
        <v>#NAME?</v>
      </c>
      <c r="CH422" s="253" t="e">
        <f aca="false">xSPRDOPT((VLOOKUP(G422,NGPREVPRICES,2,FALSE())+HLOOKUP(D422,PREVCURVES,VLOOKUP(G422,MOVE_DOWN2,2,FALSE()),FALSE())),VLOOKUP(G422,NGPREVPRICES,2,FALSE()),CK422,VLOOKUP(G422,NGPREVPRICES,4,FALSE()),HLOOKUP(D422,PREVVOLS,VLOOKUP(G422,MOVE_DOWN2,2,FALSE()),FALSE()),VLOOKUP(G422,NGPREVPRICES,3,FALSE()),HLOOKUP(D422,Correllate,VLOOKUP(G422,CorMove,2,FALSE()),FALSE()),Q422-$C$3,R422,$CJ$5)*H422-CJ422</f>
        <v>#NAME?</v>
      </c>
      <c r="CI422" s="253" t="e">
        <f aca="false">SUM(CD422:CH422)</f>
        <v>#NAME?</v>
      </c>
      <c r="CJ422" s="253" t="e">
        <f aca="false">xSPRDOPT((VLOOKUP(G422,NGPREVPRICES,2,FALSE())+HLOOKUP(D422,PREVCURVES,VLOOKUP(G422,MOVE_DOWN2,2,FALSE()),FALSE())),VLOOKUP(G422,NGPREVPRICES,2,FALSE()),CK422,VLOOKUP(G422,NGPREVPRICES,4,FALSE()),HLOOKUP(D422,PREVVOLS,VLOOKUP(G422,MOVE_DOWN2,2,FALSE()),FALSE()),VLOOKUP(G422,NGPREVPRICES,3,FALSE()),HLOOKUP(D422,Correllate,VLOOKUP(G422,CorMove,2,FALSE()),FALSE()),Q422-$CD$3,R422,$CJ$5)*H422</f>
        <v>#NAME?</v>
      </c>
      <c r="CK422" s="254" t="n">
        <f aca="false">I422</f>
        <v>-0.3</v>
      </c>
      <c r="CM422" s="0" t="str">
        <f aca="false">CONCATENATE(CC422,$CD$6)</f>
        <v>36831Curve Shift/Gamma</v>
      </c>
      <c r="CN422" s="0" t="str">
        <f aca="false">CONCATENATE($CC422,$CE$6)</f>
        <v>36831Rho</v>
      </c>
      <c r="CO422" s="0" t="str">
        <f aca="false">CONCATENATE($CC422,$CF$6)</f>
        <v>36831Drift</v>
      </c>
      <c r="CP422" s="0" t="str">
        <f aca="false">CONCATENATE($CC422,$CG$6)</f>
        <v>36831Vega</v>
      </c>
      <c r="CQ422" s="0" t="str">
        <f aca="false">CONCATENATE($CC422,$CH$6)</f>
        <v>36831Theta</v>
      </c>
    </row>
    <row r="423" customFormat="false" ht="12.75" hidden="false" customHeight="false" outlineLevel="0" collapsed="false">
      <c r="A423" s="267" t="s">
        <v>345</v>
      </c>
      <c r="B423" s="0" t="s">
        <v>192</v>
      </c>
      <c r="C423" s="0" t="s">
        <v>350</v>
      </c>
      <c r="D423" s="0" t="s">
        <v>149</v>
      </c>
      <c r="E423" s="0" t="s">
        <v>131</v>
      </c>
      <c r="F423" s="0" t="s">
        <v>132</v>
      </c>
      <c r="G423" s="92" t="n">
        <v>36800</v>
      </c>
      <c r="H423" s="248" t="n">
        <v>-1550000</v>
      </c>
      <c r="I423" s="0" t="n">
        <v>0.55</v>
      </c>
      <c r="J423" s="124" t="n">
        <f aca="false">VLOOKUP(G423,NGPrices,2,FALSE())</f>
        <v>4.692</v>
      </c>
      <c r="K423" s="125" t="n">
        <f aca="false">HLOOKUP(D423,Prices,VLOOKUP(G423,move_down,2,FALSE()),FALSE())+VLOOKUP(G423,CHANGE,HLOOKUP(D423,CHANGE,2,FALSE()),FALSE())</f>
        <v>0.415</v>
      </c>
      <c r="L423" s="124" t="n">
        <f aca="false">K423+J423</f>
        <v>5.107</v>
      </c>
      <c r="M423" s="126" t="n">
        <f aca="false">VLOOKUP(G423,NGPrices,4,FALSE())</f>
        <v>0.068050789414654</v>
      </c>
      <c r="N423" s="7" t="n">
        <f aca="false">VLOOKUP(G423,NGPrices,3,FALSE())</f>
        <v>0.575</v>
      </c>
      <c r="O423" s="7" t="n">
        <f aca="false">HLOOKUP(D423,VOLS,VLOOKUP(G423,move_down,2,FALSE()),FALSE())</f>
        <v>0.564</v>
      </c>
      <c r="P423" s="249" t="n">
        <f aca="false">HLOOKUP(D423,Correllate,VLOOKUP(G423,CorMove,2,FALSE()),FALSE())</f>
        <v>0.9925</v>
      </c>
      <c r="Q423" s="92" t="n">
        <f aca="false">WORKDAY(G423,-2)</f>
        <v>36797</v>
      </c>
      <c r="R423" s="7" t="n">
        <f aca="false">IF(F423="P",0,1)</f>
        <v>0</v>
      </c>
      <c r="S423" s="130" t="e">
        <f aca="false">xSPRDOPT($L423,$J423,$I423,$M423,$O423,$N423,$P423,$Q423-$C$3,$R423,0)</f>
        <v>#NAME?</v>
      </c>
      <c r="T423" s="250" t="e">
        <f aca="false">xSPRDOPT($L423,$J423,$I423,$M423,$O423,$N423,$P423,$Q423-$C$3,$R423,1)*H423</f>
        <v>#NAME?</v>
      </c>
      <c r="U423" s="43" t="e">
        <f aca="false">S423*H423</f>
        <v>#NAME?</v>
      </c>
      <c r="V423" s="250" t="e">
        <f aca="false">xSPRDOPT($L423,$J423,$I423,$M423,$O423,$N423,$P423,$Q423-$C$3,$R423,2)*H423</f>
        <v>#NAME?</v>
      </c>
      <c r="W423" s="250" t="e">
        <f aca="false">+V423+T423</f>
        <v>#NAME?</v>
      </c>
      <c r="X423" s="2" t="str">
        <f aca="false">CONCATENATE(G423,D423)</f>
        <v>36800IF-TRANSCO/Z6</v>
      </c>
      <c r="Y423" s="251" t="n">
        <f aca="false">H423/10000</f>
        <v>-155</v>
      </c>
      <c r="Z423" s="226" t="e">
        <f aca="false">T423/H423</f>
        <v>#NAME?</v>
      </c>
      <c r="AA423" s="226" t="e">
        <f aca="false">xSPRDOPT($L423,$J423,$I423,$M423,$O423,$N423,$P423,$Q423-$C$3,$R423,3)</f>
        <v>#NAME?</v>
      </c>
      <c r="AB423" s="226" t="e">
        <f aca="false">((xSPRDOPT($L423+AB$5,$J423,$I423,$M423,$O423,$N423,$P423,$Q423-$C$3,$R423,3)*$H423)/10000)/100</f>
        <v>#NAME?</v>
      </c>
      <c r="AC423" s="226" t="e">
        <f aca="false">((xSPRDOPT($L423+$AB$5,$J423,$I423,$M423,$O423,$N423,$P423,$Q423-$C$3,$R423,7)*$H423)/100)</f>
        <v>#NAME?</v>
      </c>
      <c r="AD423" s="226" t="e">
        <f aca="false">(xSPRDOPT($L423+$AB$5,$J423,$I423,$M423,$O423,$N423,$P423,$Q423-$C$3,$R423,9)/365)*$H423</f>
        <v>#NAME?</v>
      </c>
      <c r="AE423" s="0" t="e">
        <f aca="false">CD423</f>
        <v>#NAME?</v>
      </c>
      <c r="AF423" s="226" t="e">
        <f aca="false">((O423/N423)*AH423)+AG423</f>
        <v>#NAME?</v>
      </c>
      <c r="AG423" s="226" t="e">
        <f aca="false">((xSPRDOPT($L423,$J423,$I423,$M423,$O423,$N423,$P423,$Q423-$C$3,$R423,6)*$H423)/100)</f>
        <v>#NAME?</v>
      </c>
      <c r="AH423" s="226" t="e">
        <f aca="false">((xSPRDOPT($L423,$J423,$I423,$M423,$O423,$N423,$P423,$Q423-$C$3,$R423,5)*$H423)/100)</f>
        <v>#NAME?</v>
      </c>
      <c r="AI423" s="226" t="e">
        <f aca="false">(((xSPRDOPT($L423,$J423,$I423,$M423,$O423,$N423,$P423,$Q423-$C$3,$R423,4)*$H423)/10000)/100)-AB423</f>
        <v>#NAME?</v>
      </c>
      <c r="AJ423" s="226"/>
      <c r="AK423" s="226"/>
      <c r="AL423" s="226"/>
      <c r="AM423" s="252"/>
      <c r="CC423" s="182" t="n">
        <f aca="false">G423</f>
        <v>36800</v>
      </c>
      <c r="CD423" s="253" t="e">
        <f aca="false">xSPRDOPT((VLOOKUP(G423,NGPrices,2,FALSE())+HLOOKUP(D423,Prices,VLOOKUP(G423,move_down,2,FALSE()),FALSE())),VLOOKUP(G423,NGPrices,2,FALSE()),I423,VLOOKUP(G423,NGPREVPRICES,4,FALSE()),HLOOKUP(D423,PREVVOLS,VLOOKUP(G423,MOVE_DOWN2,2,FALSE()),FALSE()),VLOOKUP(G423,NGPREVPRICES,3,FALSE()),HLOOKUP(D423,Correllate,VLOOKUP(G423,CorMove,2,FALSE()),FALSE()),Q423-$CD$3,R423,$CD$5)*H423-CJ423</f>
        <v>#NAME?</v>
      </c>
      <c r="CE423" s="253" t="e">
        <f aca="false">xSPRDOPT((VLOOKUP(G423,NGPREVPRICES,2,FALSE())+HLOOKUP(D423,PREVCURVES,VLOOKUP(G423,MOVE_DOWN2,2,FALSE()),FALSE())),VLOOKUP(G423,NGPREVPRICES,2,FALSE()),CK423,VLOOKUP(G423,NGPrices,4,FALSE()),HLOOKUP(D423,PREVVOLS,VLOOKUP(G423,MOVE_DOWN2,2,FALSE()),FALSE()),VLOOKUP(G423,NGPREVPRICES,3,FALSE()),HLOOKUP(D423,Correllate,VLOOKUP(G423,CorMove,2,FALSE()),FALSE()),Q423-$CD$3,R423,$CJ$5)*H423-CJ423</f>
        <v>#NAME?</v>
      </c>
      <c r="CF423" s="132" t="e">
        <f aca="false">(CJ423/VLOOKUP(CC423,discount,3,FALSE()))-(CJ423/VLOOKUP(CC423,discount,2,FALSE()))</f>
        <v>#NAME?</v>
      </c>
      <c r="CG423" s="253" t="e">
        <f aca="false">xSPRDOPT((VLOOKUP(G423,NGPREVPRICES,2,FALSE())+HLOOKUP(D423,PREVCURVES,VLOOKUP(G423,MOVE_DOWN2,2,FALSE()),FALSE())),VLOOKUP(G423,NGPREVPRICES,2,FALSE()),CK423,VLOOKUP(G423,NGPREVPRICES,4,FALSE()),HLOOKUP(D423,VOLS,VLOOKUP(G423,move_down,2,FALSE()),FALSE()),VLOOKUP(G423,NGPrices,3,FALSE()),HLOOKUP(D423,Correllate,VLOOKUP(G423,CorMove,2,FALSE()),FALSE()),Q423-$CD$3,R423,$CJ$5)*H423-CJ423</f>
        <v>#NAME?</v>
      </c>
      <c r="CH423" s="253" t="e">
        <f aca="false">xSPRDOPT((VLOOKUP(G423,NGPREVPRICES,2,FALSE())+HLOOKUP(D423,PREVCURVES,VLOOKUP(G423,MOVE_DOWN2,2,FALSE()),FALSE())),VLOOKUP(G423,NGPREVPRICES,2,FALSE()),CK423,VLOOKUP(G423,NGPREVPRICES,4,FALSE()),HLOOKUP(D423,PREVVOLS,VLOOKUP(G423,MOVE_DOWN2,2,FALSE()),FALSE()),VLOOKUP(G423,NGPREVPRICES,3,FALSE()),HLOOKUP(D423,Correllate,VLOOKUP(G423,CorMove,2,FALSE()),FALSE()),Q423-$C$3,R423,$CJ$5)*H423-CJ423</f>
        <v>#NAME?</v>
      </c>
      <c r="CI423" s="253" t="e">
        <f aca="false">SUM(CD423:CH423)</f>
        <v>#NAME?</v>
      </c>
      <c r="CJ423" s="253" t="e">
        <f aca="false">xSPRDOPT((VLOOKUP(G423,NGPREVPRICES,2,FALSE())+HLOOKUP(D423,PREVCURVES,VLOOKUP(G423,MOVE_DOWN2,2,FALSE()),FALSE())),VLOOKUP(G423,NGPREVPRICES,2,FALSE()),CK423,VLOOKUP(G423,NGPREVPRICES,4,FALSE()),HLOOKUP(D423,PREVVOLS,VLOOKUP(G423,MOVE_DOWN2,2,FALSE()),FALSE()),VLOOKUP(G423,NGPREVPRICES,3,FALSE()),HLOOKUP(D423,Correllate,VLOOKUP(G423,CorMove,2,FALSE()),FALSE()),Q423-$CD$3,R423,$CJ$5)*H423</f>
        <v>#NAME?</v>
      </c>
      <c r="CK423" s="254" t="n">
        <f aca="false">I423</f>
        <v>0.55</v>
      </c>
      <c r="CM423" s="0" t="str">
        <f aca="false">CONCATENATE(CC423,$CD$6)</f>
        <v>36800Curve Shift/Gamma</v>
      </c>
      <c r="CN423" s="0" t="str">
        <f aca="false">CONCATENATE($CC423,$CE$6)</f>
        <v>36800Rho</v>
      </c>
      <c r="CO423" s="0" t="str">
        <f aca="false">CONCATENATE($CC423,$CF$6)</f>
        <v>36800Drift</v>
      </c>
      <c r="CP423" s="0" t="str">
        <f aca="false">CONCATENATE($CC423,$CG$6)</f>
        <v>36800Vega</v>
      </c>
      <c r="CQ423" s="0" t="str">
        <f aca="false">CONCATENATE($CC423,$CH$6)</f>
        <v>36800Theta</v>
      </c>
    </row>
    <row r="424" customFormat="false" ht="12.75" hidden="false" customHeight="false" outlineLevel="0" collapsed="false">
      <c r="A424" s="267" t="s">
        <v>198</v>
      </c>
      <c r="B424" s="0" t="s">
        <v>192</v>
      </c>
      <c r="C424" s="0" t="s">
        <v>351</v>
      </c>
      <c r="D424" s="0" t="s">
        <v>149</v>
      </c>
      <c r="E424" s="0" t="s">
        <v>131</v>
      </c>
      <c r="F424" s="0" t="s">
        <v>136</v>
      </c>
      <c r="G424" s="92" t="n">
        <v>36951</v>
      </c>
      <c r="H424" s="248" t="n">
        <v>500000</v>
      </c>
      <c r="I424" s="0" t="n">
        <v>2.3</v>
      </c>
      <c r="J424" s="124" t="n">
        <f aca="false">VLOOKUP(G424,NGPrices,2,FALSE())</f>
        <v>4.213</v>
      </c>
      <c r="K424" s="125" t="n">
        <f aca="false">HLOOKUP(D424,Prices,VLOOKUP(G424,move_down,2,FALSE()),FALSE())+VLOOKUP(G424,CHANGE,HLOOKUP(D424,CHANGE,2,FALSE()),FALSE())</f>
        <v>1.075</v>
      </c>
      <c r="L424" s="124" t="n">
        <f aca="false">K424+J424</f>
        <v>5.288</v>
      </c>
      <c r="M424" s="126" t="n">
        <f aca="false">VLOOKUP(G424,NGPrices,4,FALSE())</f>
        <v>0.068879814952707</v>
      </c>
      <c r="N424" s="7" t="n">
        <f aca="false">VLOOKUP(G424,NGPrices,3,FALSE())</f>
        <v>0.5325</v>
      </c>
      <c r="O424" s="7" t="n">
        <f aca="false">HLOOKUP(D424,VOLS,VLOOKUP(G424,move_down,2,FALSE()),FALSE())</f>
        <v>0.612</v>
      </c>
      <c r="P424" s="249" t="n">
        <f aca="false">HLOOKUP(D424,Correllate,VLOOKUP(G424,CorMove,2,FALSE()),FALSE())</f>
        <v>0.83</v>
      </c>
      <c r="Q424" s="92" t="n">
        <f aca="false">WORKDAY(G424,-2)</f>
        <v>36949</v>
      </c>
      <c r="R424" s="7" t="n">
        <f aca="false">IF(F424="P",0,1)</f>
        <v>1</v>
      </c>
      <c r="S424" s="130" t="e">
        <f aca="false">xSPRDOPT($L424,$J424,$I424,$M424,$O424,$N424,$P424,$Q424-$C$3,$R424,0)</f>
        <v>#NAME?</v>
      </c>
      <c r="T424" s="250" t="e">
        <f aca="false">xSPRDOPT($L424,$J424,$I424,$M424,$O424,$N424,$P424,$Q424-$C$3,$R424,1)*H424</f>
        <v>#NAME?</v>
      </c>
      <c r="U424" s="43" t="e">
        <f aca="false">S424*H424</f>
        <v>#NAME?</v>
      </c>
      <c r="V424" s="250" t="e">
        <f aca="false">xSPRDOPT($L424,$J424,$I424,$M424,$O424,$N424,$P424,$Q424-$C$3,$R424,2)*H424</f>
        <v>#NAME?</v>
      </c>
      <c r="W424" s="250" t="e">
        <f aca="false">+V424+T424</f>
        <v>#NAME?</v>
      </c>
      <c r="X424" s="2" t="str">
        <f aca="false">CONCATENATE(G424,D424)</f>
        <v>36951IF-TRANSCO/Z6</v>
      </c>
      <c r="Y424" s="251" t="n">
        <f aca="false">H424/10000</f>
        <v>50</v>
      </c>
      <c r="Z424" s="226" t="e">
        <f aca="false">T424/H424</f>
        <v>#NAME?</v>
      </c>
      <c r="AA424" s="226" t="e">
        <f aca="false">xSPRDOPT($L424,$J424,$I424,$M424,$O424,$N424,$P424,$Q424-$C$3,$R424,3)</f>
        <v>#NAME?</v>
      </c>
      <c r="AB424" s="226" t="e">
        <f aca="false">((xSPRDOPT($L424+AB$5,$J424,$I424,$M424,$O424,$N424,$P424,$Q424-$C$3,$R424,3)*$H424)/10000)/100</f>
        <v>#NAME?</v>
      </c>
      <c r="AC424" s="226" t="e">
        <f aca="false">((xSPRDOPT($L424+$AB$5,$J424,$I424,$M424,$O424,$N424,$P424,$Q424-$C$3,$R424,7)*$H424)/100)</f>
        <v>#NAME?</v>
      </c>
      <c r="AD424" s="226" t="e">
        <f aca="false">(xSPRDOPT($L424+$AB$5,$J424,$I424,$M424,$O424,$N424,$P424,$Q424-$C$3,$R424,9)/365)*$H424</f>
        <v>#NAME?</v>
      </c>
      <c r="AE424" s="0" t="e">
        <f aca="false">CD424</f>
        <v>#NAME?</v>
      </c>
      <c r="AF424" s="226" t="e">
        <f aca="false">((O424/N424)*AH424)+AG424</f>
        <v>#NAME?</v>
      </c>
      <c r="AG424" s="226" t="e">
        <f aca="false">((xSPRDOPT($L424,$J424,$I424,$M424,$O424,$N424,$P424,$Q424-$C$3,$R424,6)*$H424)/100)</f>
        <v>#NAME?</v>
      </c>
      <c r="AH424" s="226" t="e">
        <f aca="false">((xSPRDOPT($L424,$J424,$I424,$M424,$O424,$N424,$P424,$Q424-$C$3,$R424,5)*$H424)/100)</f>
        <v>#NAME?</v>
      </c>
      <c r="AI424" s="226" t="e">
        <f aca="false">(((xSPRDOPT($L424,$J424,$I424,$M424,$O424,$N424,$P424,$Q424-$C$3,$R424,4)*$H424)/10000)/100)-AB424</f>
        <v>#NAME?</v>
      </c>
      <c r="AJ424" s="226"/>
      <c r="AK424" s="226"/>
      <c r="AL424" s="226"/>
      <c r="AM424" s="252"/>
      <c r="CC424" s="182" t="n">
        <f aca="false">G424</f>
        <v>36951</v>
      </c>
      <c r="CD424" s="253" t="e">
        <f aca="false">xSPRDOPT((VLOOKUP(G424,NGPrices,2,FALSE())+HLOOKUP(D424,Prices,VLOOKUP(G424,move_down,2,FALSE()),FALSE())),VLOOKUP(G424,NGPrices,2,FALSE()),I424,VLOOKUP(G424,NGPREVPRICES,4,FALSE()),HLOOKUP(D424,PREVVOLS,VLOOKUP(G424,MOVE_DOWN2,2,FALSE()),FALSE()),VLOOKUP(G424,NGPREVPRICES,3,FALSE()),HLOOKUP(D424,Correllate,VLOOKUP(G424,CorMove,2,FALSE()),FALSE()),Q424-$CD$3,R424,$CD$5)*H424-CJ424</f>
        <v>#NAME?</v>
      </c>
      <c r="CE424" s="253" t="e">
        <f aca="false">xSPRDOPT((VLOOKUP(G424,NGPREVPRICES,2,FALSE())+HLOOKUP(D424,PREVCURVES,VLOOKUP(G424,MOVE_DOWN2,2,FALSE()),FALSE())),VLOOKUP(G424,NGPREVPRICES,2,FALSE()),CK424,VLOOKUP(G424,NGPrices,4,FALSE()),HLOOKUP(D424,PREVVOLS,VLOOKUP(G424,MOVE_DOWN2,2,FALSE()),FALSE()),VLOOKUP(G424,NGPREVPRICES,3,FALSE()),HLOOKUP(D424,Correllate,VLOOKUP(G424,CorMove,2,FALSE()),FALSE()),Q424-$CD$3,R424,$CJ$5)*H424-CJ424</f>
        <v>#NAME?</v>
      </c>
      <c r="CF424" s="132" t="e">
        <f aca="false">(CJ424/VLOOKUP(CC424,discount,3,FALSE()))-(CJ424/VLOOKUP(CC424,discount,2,FALSE()))</f>
        <v>#NAME?</v>
      </c>
      <c r="CG424" s="253" t="e">
        <f aca="false">xSPRDOPT((VLOOKUP(G424,NGPREVPRICES,2,FALSE())+HLOOKUP(D424,PREVCURVES,VLOOKUP(G424,MOVE_DOWN2,2,FALSE()),FALSE())),VLOOKUP(G424,NGPREVPRICES,2,FALSE()),CK424,VLOOKUP(G424,NGPREVPRICES,4,FALSE()),HLOOKUP(D424,VOLS,VLOOKUP(G424,move_down,2,FALSE()),FALSE()),VLOOKUP(G424,NGPrices,3,FALSE()),HLOOKUP(D424,Correllate,VLOOKUP(G424,CorMove,2,FALSE()),FALSE()),Q424-$CD$3,R424,$CJ$5)*H424-CJ424</f>
        <v>#NAME?</v>
      </c>
      <c r="CH424" s="253" t="e">
        <f aca="false">xSPRDOPT((VLOOKUP(G424,NGPREVPRICES,2,FALSE())+HLOOKUP(D424,PREVCURVES,VLOOKUP(G424,MOVE_DOWN2,2,FALSE()),FALSE())),VLOOKUP(G424,NGPREVPRICES,2,FALSE()),CK424,VLOOKUP(G424,NGPREVPRICES,4,FALSE()),HLOOKUP(D424,PREVVOLS,VLOOKUP(G424,MOVE_DOWN2,2,FALSE()),FALSE()),VLOOKUP(G424,NGPREVPRICES,3,FALSE()),HLOOKUP(D424,Correllate,VLOOKUP(G424,CorMove,2,FALSE()),FALSE()),Q424-$C$3,R424,$CJ$5)*H424-CJ424</f>
        <v>#NAME?</v>
      </c>
      <c r="CI424" s="253" t="e">
        <f aca="false">SUM(CD424:CH424)</f>
        <v>#NAME?</v>
      </c>
      <c r="CJ424" s="253" t="e">
        <f aca="false">xSPRDOPT((VLOOKUP(G424,NGPREVPRICES,2,FALSE())+HLOOKUP(D424,PREVCURVES,VLOOKUP(G424,MOVE_DOWN2,2,FALSE()),FALSE())),VLOOKUP(G424,NGPREVPRICES,2,FALSE()),CK424,VLOOKUP(G424,NGPREVPRICES,4,FALSE()),HLOOKUP(D424,PREVVOLS,VLOOKUP(G424,MOVE_DOWN2,2,FALSE()),FALSE()),VLOOKUP(G424,NGPREVPRICES,3,FALSE()),HLOOKUP(D424,Correllate,VLOOKUP(G424,CorMove,2,FALSE()),FALSE()),Q424-$CD$3,R424,$CJ$5)*H424</f>
        <v>#NAME?</v>
      </c>
      <c r="CK424" s="254" t="n">
        <f aca="false">I424</f>
        <v>2.3</v>
      </c>
      <c r="CM424" s="0" t="str">
        <f aca="false">CONCATENATE(CC424,$CD$6)</f>
        <v>36951Curve Shift/Gamma</v>
      </c>
      <c r="CN424" s="0" t="str">
        <f aca="false">CONCATENATE($CC424,$CE$6)</f>
        <v>36951Rho</v>
      </c>
      <c r="CO424" s="0" t="str">
        <f aca="false">CONCATENATE($CC424,$CF$6)</f>
        <v>36951Drift</v>
      </c>
      <c r="CP424" s="0" t="str">
        <f aca="false">CONCATENATE($CC424,$CG$6)</f>
        <v>36951Vega</v>
      </c>
      <c r="CQ424" s="0" t="str">
        <f aca="false">CONCATENATE($CC424,$CH$6)</f>
        <v>36951Theta</v>
      </c>
    </row>
    <row r="425" customFormat="false" ht="12.75" hidden="false" customHeight="false" outlineLevel="0" collapsed="false">
      <c r="A425" s="267" t="s">
        <v>198</v>
      </c>
      <c r="B425" s="0" t="s">
        <v>192</v>
      </c>
      <c r="C425" s="0" t="s">
        <v>351</v>
      </c>
      <c r="D425" s="0" t="s">
        <v>149</v>
      </c>
      <c r="E425" s="0" t="s">
        <v>131</v>
      </c>
      <c r="F425" s="0" t="s">
        <v>136</v>
      </c>
      <c r="G425" s="92" t="n">
        <v>36923</v>
      </c>
      <c r="H425" s="248" t="n">
        <v>500000</v>
      </c>
      <c r="I425" s="0" t="n">
        <v>2.3</v>
      </c>
      <c r="J425" s="124" t="n">
        <f aca="false">VLOOKUP(G425,NGPrices,2,FALSE())</f>
        <v>4.48</v>
      </c>
      <c r="K425" s="125" t="n">
        <f aca="false">HLOOKUP(D425,Prices,VLOOKUP(G425,move_down,2,FALSE()),FALSE())+VLOOKUP(G425,CHANGE,HLOOKUP(D425,CHANGE,2,FALSE()),FALSE())</f>
        <v>2.09</v>
      </c>
      <c r="L425" s="124" t="n">
        <f aca="false">K425+J425</f>
        <v>6.57</v>
      </c>
      <c r="M425" s="126" t="n">
        <f aca="false">VLOOKUP(G425,NGPrices,4,FALSE())</f>
        <v>0.068640161611372</v>
      </c>
      <c r="N425" s="7" t="n">
        <f aca="false">VLOOKUP(G425,NGPrices,3,FALSE())</f>
        <v>0.5925</v>
      </c>
      <c r="O425" s="7" t="n">
        <f aca="false">HLOOKUP(D425,VOLS,VLOOKUP(G425,move_down,2,FALSE()),FALSE())</f>
        <v>0.681</v>
      </c>
      <c r="P425" s="249" t="n">
        <f aca="false">HLOOKUP(D425,Correllate,VLOOKUP(G425,CorMove,2,FALSE()),FALSE())</f>
        <v>0.83</v>
      </c>
      <c r="Q425" s="92" t="n">
        <f aca="false">WORKDAY(G425,-2)</f>
        <v>36921</v>
      </c>
      <c r="R425" s="7" t="n">
        <f aca="false">IF(F425="P",0,1)</f>
        <v>1</v>
      </c>
      <c r="S425" s="130" t="e">
        <f aca="false">xSPRDOPT($L425,$J425,$I425,$M425,$O425,$N425,$P425,$Q425-$C$3,$R425,0)</f>
        <v>#NAME?</v>
      </c>
      <c r="T425" s="250" t="e">
        <f aca="false">xSPRDOPT($L425,$J425,$I425,$M425,$O425,$N425,$P425,$Q425-$C$3,$R425,1)*H425</f>
        <v>#NAME?</v>
      </c>
      <c r="U425" s="43" t="e">
        <f aca="false">S425*H425</f>
        <v>#NAME?</v>
      </c>
      <c r="V425" s="250" t="e">
        <f aca="false">xSPRDOPT($L425,$J425,$I425,$M425,$O425,$N425,$P425,$Q425-$C$3,$R425,2)*H425</f>
        <v>#NAME?</v>
      </c>
      <c r="W425" s="250" t="e">
        <f aca="false">+V425+T425</f>
        <v>#NAME?</v>
      </c>
      <c r="X425" s="2" t="str">
        <f aca="false">CONCATENATE(G425,D425)</f>
        <v>36923IF-TRANSCO/Z6</v>
      </c>
      <c r="Y425" s="251" t="n">
        <f aca="false">H425/10000</f>
        <v>50</v>
      </c>
      <c r="Z425" s="226" t="e">
        <f aca="false">T425/H425</f>
        <v>#NAME?</v>
      </c>
      <c r="AA425" s="226" t="e">
        <f aca="false">xSPRDOPT($L425,$J425,$I425,$M425,$O425,$N425,$P425,$Q425-$C$3,$R425,3)</f>
        <v>#NAME?</v>
      </c>
      <c r="AB425" s="226" t="e">
        <f aca="false">((xSPRDOPT($L425+AB$5,$J425,$I425,$M425,$O425,$N425,$P425,$Q425-$C$3,$R425,3)*$H425)/10000)/100</f>
        <v>#NAME?</v>
      </c>
      <c r="AC425" s="226" t="e">
        <f aca="false">((xSPRDOPT($L425+$AB$5,$J425,$I425,$M425,$O425,$N425,$P425,$Q425-$C$3,$R425,7)*$H425)/100)</f>
        <v>#NAME?</v>
      </c>
      <c r="AD425" s="226" t="e">
        <f aca="false">(xSPRDOPT($L425+$AB$5,$J425,$I425,$M425,$O425,$N425,$P425,$Q425-$C$3,$R425,9)/365)*$H425</f>
        <v>#NAME?</v>
      </c>
      <c r="AE425" s="0" t="e">
        <f aca="false">CD425</f>
        <v>#NAME?</v>
      </c>
      <c r="AF425" s="226" t="e">
        <f aca="false">((O425/N425)*AH425)+AG425</f>
        <v>#NAME?</v>
      </c>
      <c r="AG425" s="226" t="e">
        <f aca="false">((xSPRDOPT($L425,$J425,$I425,$M425,$O425,$N425,$P425,$Q425-$C$3,$R425,6)*$H425)/100)</f>
        <v>#NAME?</v>
      </c>
      <c r="AH425" s="226" t="e">
        <f aca="false">((xSPRDOPT($L425,$J425,$I425,$M425,$O425,$N425,$P425,$Q425-$C$3,$R425,5)*$H425)/100)</f>
        <v>#NAME?</v>
      </c>
      <c r="AI425" s="226" t="e">
        <f aca="false">(((xSPRDOPT($L425,$J425,$I425,$M425,$O425,$N425,$P425,$Q425-$C$3,$R425,4)*$H425)/10000)/100)-AB425</f>
        <v>#NAME?</v>
      </c>
      <c r="AJ425" s="226"/>
      <c r="AK425" s="226"/>
      <c r="AL425" s="226"/>
      <c r="AM425" s="252"/>
      <c r="CC425" s="182" t="n">
        <f aca="false">G425</f>
        <v>36923</v>
      </c>
      <c r="CD425" s="253" t="e">
        <f aca="false">xSPRDOPT((VLOOKUP(G425,NGPrices,2,FALSE())+HLOOKUP(D425,Prices,VLOOKUP(G425,move_down,2,FALSE()),FALSE())),VLOOKUP(G425,NGPrices,2,FALSE()),I425,VLOOKUP(G425,NGPREVPRICES,4,FALSE()),HLOOKUP(D425,PREVVOLS,VLOOKUP(G425,MOVE_DOWN2,2,FALSE()),FALSE()),VLOOKUP(G425,NGPREVPRICES,3,FALSE()),HLOOKUP(D425,Correllate,VLOOKUP(G425,CorMove,2,FALSE()),FALSE()),Q425-$CD$3,R425,$CD$5)*H425-CJ425</f>
        <v>#NAME?</v>
      </c>
      <c r="CE425" s="253" t="e">
        <f aca="false">xSPRDOPT((VLOOKUP(G425,NGPREVPRICES,2,FALSE())+HLOOKUP(D425,PREVCURVES,VLOOKUP(G425,MOVE_DOWN2,2,FALSE()),FALSE())),VLOOKUP(G425,NGPREVPRICES,2,FALSE()),CK425,VLOOKUP(G425,NGPrices,4,FALSE()),HLOOKUP(D425,PREVVOLS,VLOOKUP(G425,MOVE_DOWN2,2,FALSE()),FALSE()),VLOOKUP(G425,NGPREVPRICES,3,FALSE()),HLOOKUP(D425,Correllate,VLOOKUP(G425,CorMove,2,FALSE()),FALSE()),Q425-$CD$3,R425,$CJ$5)*H425-CJ425</f>
        <v>#NAME?</v>
      </c>
      <c r="CF425" s="132" t="e">
        <f aca="false">(CJ425/VLOOKUP(CC425,discount,3,FALSE()))-(CJ425/VLOOKUP(CC425,discount,2,FALSE()))</f>
        <v>#NAME?</v>
      </c>
      <c r="CG425" s="253" t="e">
        <f aca="false">xSPRDOPT((VLOOKUP(G425,NGPREVPRICES,2,FALSE())+HLOOKUP(D425,PREVCURVES,VLOOKUP(G425,MOVE_DOWN2,2,FALSE()),FALSE())),VLOOKUP(G425,NGPREVPRICES,2,FALSE()),CK425,VLOOKUP(G425,NGPREVPRICES,4,FALSE()),HLOOKUP(D425,VOLS,VLOOKUP(G425,move_down,2,FALSE()),FALSE()),VLOOKUP(G425,NGPrices,3,FALSE()),HLOOKUP(D425,Correllate,VLOOKUP(G425,CorMove,2,FALSE()),FALSE()),Q425-$CD$3,R425,$CJ$5)*H425-CJ425</f>
        <v>#NAME?</v>
      </c>
      <c r="CH425" s="253" t="e">
        <f aca="false">xSPRDOPT((VLOOKUP(G425,NGPREVPRICES,2,FALSE())+HLOOKUP(D425,PREVCURVES,VLOOKUP(G425,MOVE_DOWN2,2,FALSE()),FALSE())),VLOOKUP(G425,NGPREVPRICES,2,FALSE()),CK425,VLOOKUP(G425,NGPREVPRICES,4,FALSE()),HLOOKUP(D425,PREVVOLS,VLOOKUP(G425,MOVE_DOWN2,2,FALSE()),FALSE()),VLOOKUP(G425,NGPREVPRICES,3,FALSE()),HLOOKUP(D425,Correllate,VLOOKUP(G425,CorMove,2,FALSE()),FALSE()),Q425-$C$3,R425,$CJ$5)*H425-CJ425</f>
        <v>#NAME?</v>
      </c>
      <c r="CI425" s="253" t="e">
        <f aca="false">SUM(CD425:CH425)</f>
        <v>#NAME?</v>
      </c>
      <c r="CJ425" s="253" t="e">
        <f aca="false">xSPRDOPT((VLOOKUP(G425,NGPREVPRICES,2,FALSE())+HLOOKUP(D425,PREVCURVES,VLOOKUP(G425,MOVE_DOWN2,2,FALSE()),FALSE())),VLOOKUP(G425,NGPREVPRICES,2,FALSE()),CK425,VLOOKUP(G425,NGPREVPRICES,4,FALSE()),HLOOKUP(D425,PREVVOLS,VLOOKUP(G425,MOVE_DOWN2,2,FALSE()),FALSE()),VLOOKUP(G425,NGPREVPRICES,3,FALSE()),HLOOKUP(D425,Correllate,VLOOKUP(G425,CorMove,2,FALSE()),FALSE()),Q425-$CD$3,R425,$CJ$5)*H425</f>
        <v>#NAME?</v>
      </c>
      <c r="CK425" s="254" t="n">
        <f aca="false">I425</f>
        <v>2.3</v>
      </c>
      <c r="CM425" s="0" t="str">
        <f aca="false">CONCATENATE(CC425,$CD$6)</f>
        <v>36923Curve Shift/Gamma</v>
      </c>
      <c r="CN425" s="0" t="str">
        <f aca="false">CONCATENATE($CC425,$CE$6)</f>
        <v>36923Rho</v>
      </c>
      <c r="CO425" s="0" t="str">
        <f aca="false">CONCATENATE($CC425,$CF$6)</f>
        <v>36923Drift</v>
      </c>
      <c r="CP425" s="0" t="str">
        <f aca="false">CONCATENATE($CC425,$CG$6)</f>
        <v>36923Vega</v>
      </c>
      <c r="CQ425" s="0" t="str">
        <f aca="false">CONCATENATE($CC425,$CH$6)</f>
        <v>36923Theta</v>
      </c>
    </row>
    <row r="426" customFormat="false" ht="12.75" hidden="false" customHeight="false" outlineLevel="0" collapsed="false">
      <c r="A426" s="267" t="s">
        <v>198</v>
      </c>
      <c r="B426" s="0" t="s">
        <v>192</v>
      </c>
      <c r="C426" s="0" t="s">
        <v>351</v>
      </c>
      <c r="D426" s="0" t="s">
        <v>149</v>
      </c>
      <c r="E426" s="0" t="s">
        <v>131</v>
      </c>
      <c r="F426" s="0" t="s">
        <v>136</v>
      </c>
      <c r="G426" s="92" t="n">
        <v>36892</v>
      </c>
      <c r="H426" s="248" t="n">
        <v>500000</v>
      </c>
      <c r="I426" s="0" t="n">
        <v>2.3</v>
      </c>
      <c r="J426" s="124" t="n">
        <f aca="false">VLOOKUP(G426,NGPrices,2,FALSE())</f>
        <v>4.744</v>
      </c>
      <c r="K426" s="125" t="n">
        <f aca="false">HLOOKUP(D426,Prices,VLOOKUP(G426,move_down,2,FALSE()),FALSE())+VLOOKUP(G426,CHANGE,HLOOKUP(D426,CHANGE,2,FALSE()),FALSE())</f>
        <v>2.17</v>
      </c>
      <c r="L426" s="124" t="n">
        <f aca="false">K426+J426</f>
        <v>6.914</v>
      </c>
      <c r="M426" s="126" t="n">
        <f aca="false">VLOOKUP(G426,NGPrices,4,FALSE())</f>
        <v>0.068374831148491</v>
      </c>
      <c r="N426" s="7" t="n">
        <f aca="false">VLOOKUP(G426,NGPrices,3,FALSE())</f>
        <v>0.605</v>
      </c>
      <c r="O426" s="7" t="n">
        <f aca="false">HLOOKUP(D426,VOLS,VLOOKUP(G426,move_down,2,FALSE()),FALSE())</f>
        <v>0.696</v>
      </c>
      <c r="P426" s="249" t="n">
        <f aca="false">HLOOKUP(D426,Correllate,VLOOKUP(G426,CorMove,2,FALSE()),FALSE())</f>
        <v>0.83</v>
      </c>
      <c r="Q426" s="92" t="n">
        <f aca="false">WORKDAY(G426,-2)</f>
        <v>36888</v>
      </c>
      <c r="R426" s="7" t="n">
        <f aca="false">IF(F426="P",0,1)</f>
        <v>1</v>
      </c>
      <c r="S426" s="130" t="e">
        <f aca="false">xSPRDOPT($L426,$J426,$I426,$M426,$O426,$N426,$P426,$Q426-$C$3,$R426,0)</f>
        <v>#NAME?</v>
      </c>
      <c r="T426" s="250" t="e">
        <f aca="false">xSPRDOPT($L426,$J426,$I426,$M426,$O426,$N426,$P426,$Q426-$C$3,$R426,1)*H426</f>
        <v>#NAME?</v>
      </c>
      <c r="U426" s="43" t="e">
        <f aca="false">S426*H426</f>
        <v>#NAME?</v>
      </c>
      <c r="V426" s="250" t="e">
        <f aca="false">xSPRDOPT($L426,$J426,$I426,$M426,$O426,$N426,$P426,$Q426-$C$3,$R426,2)*H426</f>
        <v>#NAME?</v>
      </c>
      <c r="W426" s="250" t="e">
        <f aca="false">+V426+T426</f>
        <v>#NAME?</v>
      </c>
      <c r="X426" s="2" t="str">
        <f aca="false">CONCATENATE(G426,D426)</f>
        <v>36892IF-TRANSCO/Z6</v>
      </c>
      <c r="Y426" s="251" t="n">
        <f aca="false">H426/10000</f>
        <v>50</v>
      </c>
      <c r="Z426" s="226" t="e">
        <f aca="false">T426/H426</f>
        <v>#NAME?</v>
      </c>
      <c r="AA426" s="226" t="e">
        <f aca="false">xSPRDOPT($L426,$J426,$I426,$M426,$O426,$N426,$P426,$Q426-$C$3,$R426,3)</f>
        <v>#NAME?</v>
      </c>
      <c r="AB426" s="226" t="e">
        <f aca="false">((xSPRDOPT($L426+AB$5,$J426,$I426,$M426,$O426,$N426,$P426,$Q426-$C$3,$R426,3)*$H426)/10000)/100</f>
        <v>#NAME?</v>
      </c>
      <c r="AC426" s="226" t="e">
        <f aca="false">((xSPRDOPT($L426+$AB$5,$J426,$I426,$M426,$O426,$N426,$P426,$Q426-$C$3,$R426,7)*$H426)/100)</f>
        <v>#NAME?</v>
      </c>
      <c r="AD426" s="226" t="e">
        <f aca="false">(xSPRDOPT($L426+$AB$5,$J426,$I426,$M426,$O426,$N426,$P426,$Q426-$C$3,$R426,9)/365)*$H426</f>
        <v>#NAME?</v>
      </c>
      <c r="AE426" s="0" t="e">
        <f aca="false">CD426</f>
        <v>#NAME?</v>
      </c>
      <c r="AF426" s="226" t="e">
        <f aca="false">((O426/N426)*AH426)+AG426</f>
        <v>#NAME?</v>
      </c>
      <c r="AG426" s="226" t="e">
        <f aca="false">((xSPRDOPT($L426,$J426,$I426,$M426,$O426,$N426,$P426,$Q426-$C$3,$R426,6)*$H426)/100)</f>
        <v>#NAME?</v>
      </c>
      <c r="AH426" s="226" t="e">
        <f aca="false">((xSPRDOPT($L426,$J426,$I426,$M426,$O426,$N426,$P426,$Q426-$C$3,$R426,5)*$H426)/100)</f>
        <v>#NAME?</v>
      </c>
      <c r="AI426" s="226" t="e">
        <f aca="false">(((xSPRDOPT($L426,$J426,$I426,$M426,$O426,$N426,$P426,$Q426-$C$3,$R426,4)*$H426)/10000)/100)-AB426</f>
        <v>#NAME?</v>
      </c>
      <c r="AJ426" s="226"/>
      <c r="AK426" s="226"/>
      <c r="AL426" s="226"/>
      <c r="AM426" s="252"/>
      <c r="CC426" s="182" t="n">
        <f aca="false">G426</f>
        <v>36892</v>
      </c>
      <c r="CD426" s="253" t="e">
        <f aca="false">xSPRDOPT((VLOOKUP(G426,NGPrices,2,FALSE())+HLOOKUP(D426,Prices,VLOOKUP(G426,move_down,2,FALSE()),FALSE())),VLOOKUP(G426,NGPrices,2,FALSE()),I426,VLOOKUP(G426,NGPREVPRICES,4,FALSE()),HLOOKUP(D426,PREVVOLS,VLOOKUP(G426,MOVE_DOWN2,2,FALSE()),FALSE()),VLOOKUP(G426,NGPREVPRICES,3,FALSE()),HLOOKUP(D426,Correllate,VLOOKUP(G426,CorMove,2,FALSE()),FALSE()),Q426-$CD$3,R426,$CD$5)*H426-CJ426</f>
        <v>#NAME?</v>
      </c>
      <c r="CE426" s="253" t="e">
        <f aca="false">xSPRDOPT((VLOOKUP(G426,NGPREVPRICES,2,FALSE())+HLOOKUP(D426,PREVCURVES,VLOOKUP(G426,MOVE_DOWN2,2,FALSE()),FALSE())),VLOOKUP(G426,NGPREVPRICES,2,FALSE()),CK426,VLOOKUP(G426,NGPrices,4,FALSE()),HLOOKUP(D426,PREVVOLS,VLOOKUP(G426,MOVE_DOWN2,2,FALSE()),FALSE()),VLOOKUP(G426,NGPREVPRICES,3,FALSE()),HLOOKUP(D426,Correllate,VLOOKUP(G426,CorMove,2,FALSE()),FALSE()),Q426-$CD$3,R426,$CJ$5)*H426-CJ426</f>
        <v>#NAME?</v>
      </c>
      <c r="CF426" s="132" t="e">
        <f aca="false">(CJ426/VLOOKUP(CC426,discount,3,FALSE()))-(CJ426/VLOOKUP(CC426,discount,2,FALSE()))</f>
        <v>#NAME?</v>
      </c>
      <c r="CG426" s="253" t="e">
        <f aca="false">xSPRDOPT((VLOOKUP(G426,NGPREVPRICES,2,FALSE())+HLOOKUP(D426,PREVCURVES,VLOOKUP(G426,MOVE_DOWN2,2,FALSE()),FALSE())),VLOOKUP(G426,NGPREVPRICES,2,FALSE()),CK426,VLOOKUP(G426,NGPREVPRICES,4,FALSE()),HLOOKUP(D426,VOLS,VLOOKUP(G426,move_down,2,FALSE()),FALSE()),VLOOKUP(G426,NGPrices,3,FALSE()),HLOOKUP(D426,Correllate,VLOOKUP(G426,CorMove,2,FALSE()),FALSE()),Q426-$CD$3,R426,$CJ$5)*H426-CJ426</f>
        <v>#NAME?</v>
      </c>
      <c r="CH426" s="253" t="e">
        <f aca="false">xSPRDOPT((VLOOKUP(G426,NGPREVPRICES,2,FALSE())+HLOOKUP(D426,PREVCURVES,VLOOKUP(G426,MOVE_DOWN2,2,FALSE()),FALSE())),VLOOKUP(G426,NGPREVPRICES,2,FALSE()),CK426,VLOOKUP(G426,NGPREVPRICES,4,FALSE()),HLOOKUP(D426,PREVVOLS,VLOOKUP(G426,MOVE_DOWN2,2,FALSE()),FALSE()),VLOOKUP(G426,NGPREVPRICES,3,FALSE()),HLOOKUP(D426,Correllate,VLOOKUP(G426,CorMove,2,FALSE()),FALSE()),Q426-$C$3,R426,$CJ$5)*H426-CJ426</f>
        <v>#NAME?</v>
      </c>
      <c r="CI426" s="253" t="e">
        <f aca="false">SUM(CD426:CH426)</f>
        <v>#NAME?</v>
      </c>
      <c r="CJ426" s="253" t="e">
        <f aca="false">xSPRDOPT((VLOOKUP(G426,NGPREVPRICES,2,FALSE())+HLOOKUP(D426,PREVCURVES,VLOOKUP(G426,MOVE_DOWN2,2,FALSE()),FALSE())),VLOOKUP(G426,NGPREVPRICES,2,FALSE()),CK426,VLOOKUP(G426,NGPREVPRICES,4,FALSE()),HLOOKUP(D426,PREVVOLS,VLOOKUP(G426,MOVE_DOWN2,2,FALSE()),FALSE()),VLOOKUP(G426,NGPREVPRICES,3,FALSE()),HLOOKUP(D426,Correllate,VLOOKUP(G426,CorMove,2,FALSE()),FALSE()),Q426-$CD$3,R426,$CJ$5)*H426</f>
        <v>#NAME?</v>
      </c>
      <c r="CK426" s="254" t="n">
        <f aca="false">I426</f>
        <v>2.3</v>
      </c>
      <c r="CM426" s="0" t="str">
        <f aca="false">CONCATENATE(CC426,$CD$6)</f>
        <v>36892Curve Shift/Gamma</v>
      </c>
      <c r="CN426" s="0" t="str">
        <f aca="false">CONCATENATE($CC426,$CE$6)</f>
        <v>36892Rho</v>
      </c>
      <c r="CO426" s="0" t="str">
        <f aca="false">CONCATENATE($CC426,$CF$6)</f>
        <v>36892Drift</v>
      </c>
      <c r="CP426" s="0" t="str">
        <f aca="false">CONCATENATE($CC426,$CG$6)</f>
        <v>36892Vega</v>
      </c>
      <c r="CQ426" s="0" t="str">
        <f aca="false">CONCATENATE($CC426,$CH$6)</f>
        <v>36892Theta</v>
      </c>
    </row>
    <row r="427" customFormat="false" ht="12.75" hidden="false" customHeight="false" outlineLevel="0" collapsed="false">
      <c r="A427" s="267" t="s">
        <v>198</v>
      </c>
      <c r="B427" s="0" t="s">
        <v>192</v>
      </c>
      <c r="C427" s="0" t="s">
        <v>351</v>
      </c>
      <c r="D427" s="0" t="s">
        <v>149</v>
      </c>
      <c r="E427" s="0" t="s">
        <v>131</v>
      </c>
      <c r="F427" s="0" t="s">
        <v>136</v>
      </c>
      <c r="G427" s="92" t="n">
        <v>36861</v>
      </c>
      <c r="H427" s="248" t="n">
        <v>500000</v>
      </c>
      <c r="I427" s="0" t="n">
        <v>2.3</v>
      </c>
      <c r="J427" s="124" t="n">
        <f aca="false">VLOOKUP(G427,NGPrices,2,FALSE())</f>
        <v>4.8</v>
      </c>
      <c r="K427" s="125" t="n">
        <f aca="false">HLOOKUP(D427,Prices,VLOOKUP(G427,move_down,2,FALSE()),FALSE())+VLOOKUP(G427,CHANGE,HLOOKUP(D427,CHANGE,2,FALSE()),FALSE())</f>
        <v>1.645</v>
      </c>
      <c r="L427" s="124" t="n">
        <f aca="false">K427+J427</f>
        <v>6.445</v>
      </c>
      <c r="M427" s="126" t="n">
        <f aca="false">VLOOKUP(G427,NGPrices,4,FALSE())</f>
        <v>0.068314027999354</v>
      </c>
      <c r="N427" s="7" t="n">
        <f aca="false">VLOOKUP(G427,NGPrices,3,FALSE())</f>
        <v>0.6</v>
      </c>
      <c r="O427" s="7" t="n">
        <f aca="false">HLOOKUP(D427,VOLS,VLOOKUP(G427,move_down,2,FALSE()),FALSE())</f>
        <v>0.69</v>
      </c>
      <c r="P427" s="249" t="n">
        <f aca="false">HLOOKUP(D427,Correllate,VLOOKUP(G427,CorMove,2,FALSE()),FALSE())</f>
        <v>0.83</v>
      </c>
      <c r="Q427" s="92" t="n">
        <f aca="false">WORKDAY(G427,-2)</f>
        <v>36859</v>
      </c>
      <c r="R427" s="7" t="n">
        <f aca="false">IF(F427="P",0,1)</f>
        <v>1</v>
      </c>
      <c r="S427" s="130" t="e">
        <f aca="false">xSPRDOPT($L427,$J427,$I427,$M427,$O427,$N427,$P427,$Q427-$C$3,$R427,0)</f>
        <v>#NAME?</v>
      </c>
      <c r="T427" s="250" t="e">
        <f aca="false">xSPRDOPT($L427,$J427,$I427,$M427,$O427,$N427,$P427,$Q427-$C$3,$R427,1)*H427</f>
        <v>#NAME?</v>
      </c>
      <c r="U427" s="43" t="e">
        <f aca="false">S427*H427</f>
        <v>#NAME?</v>
      </c>
      <c r="V427" s="250" t="e">
        <f aca="false">xSPRDOPT($L427,$J427,$I427,$M427,$O427,$N427,$P427,$Q427-$C$3,$R427,2)*H427</f>
        <v>#NAME?</v>
      </c>
      <c r="W427" s="250" t="e">
        <f aca="false">+V427+T427</f>
        <v>#NAME?</v>
      </c>
      <c r="X427" s="2" t="str">
        <f aca="false">CONCATENATE(G427,D427)</f>
        <v>36861IF-TRANSCO/Z6</v>
      </c>
      <c r="Y427" s="251" t="n">
        <f aca="false">H427/10000</f>
        <v>50</v>
      </c>
      <c r="Z427" s="226" t="e">
        <f aca="false">T427/H427</f>
        <v>#NAME?</v>
      </c>
      <c r="AA427" s="226" t="e">
        <f aca="false">xSPRDOPT($L427,$J427,$I427,$M427,$O427,$N427,$P427,$Q427-$C$3,$R427,3)</f>
        <v>#NAME?</v>
      </c>
      <c r="AB427" s="226" t="e">
        <f aca="false">((xSPRDOPT($L427+AB$5,$J427,$I427,$M427,$O427,$N427,$P427,$Q427-$C$3,$R427,3)*$H427)/10000)/100</f>
        <v>#NAME?</v>
      </c>
      <c r="AC427" s="226" t="e">
        <f aca="false">((xSPRDOPT($L427+$AB$5,$J427,$I427,$M427,$O427,$N427,$P427,$Q427-$C$3,$R427,7)*$H427)/100)</f>
        <v>#NAME?</v>
      </c>
      <c r="AD427" s="226" t="e">
        <f aca="false">(xSPRDOPT($L427+$AB$5,$J427,$I427,$M427,$O427,$N427,$P427,$Q427-$C$3,$R427,9)/365)*$H427</f>
        <v>#NAME?</v>
      </c>
      <c r="AE427" s="0" t="e">
        <f aca="false">CD427</f>
        <v>#NAME?</v>
      </c>
      <c r="AF427" s="226" t="e">
        <f aca="false">((O427/N427)*AH427)+AG427</f>
        <v>#NAME?</v>
      </c>
      <c r="AG427" s="226" t="e">
        <f aca="false">((xSPRDOPT($L427,$J427,$I427,$M427,$O427,$N427,$P427,$Q427-$C$3,$R427,6)*$H427)/100)</f>
        <v>#NAME?</v>
      </c>
      <c r="AH427" s="226" t="e">
        <f aca="false">((xSPRDOPT($L427,$J427,$I427,$M427,$O427,$N427,$P427,$Q427-$C$3,$R427,5)*$H427)/100)</f>
        <v>#NAME?</v>
      </c>
      <c r="AI427" s="226" t="e">
        <f aca="false">(((xSPRDOPT($L427,$J427,$I427,$M427,$O427,$N427,$P427,$Q427-$C$3,$R427,4)*$H427)/10000)/100)-AB427</f>
        <v>#NAME?</v>
      </c>
      <c r="AJ427" s="226"/>
      <c r="AK427" s="226"/>
      <c r="AL427" s="226"/>
      <c r="AM427" s="252"/>
      <c r="CC427" s="182" t="n">
        <f aca="false">G427</f>
        <v>36861</v>
      </c>
      <c r="CD427" s="253" t="e">
        <f aca="false">xSPRDOPT((VLOOKUP(G427,NGPrices,2,FALSE())+HLOOKUP(D427,Prices,VLOOKUP(G427,move_down,2,FALSE()),FALSE())),VLOOKUP(G427,NGPrices,2,FALSE()),I427,VLOOKUP(G427,NGPREVPRICES,4,FALSE()),HLOOKUP(D427,PREVVOLS,VLOOKUP(G427,MOVE_DOWN2,2,FALSE()),FALSE()),VLOOKUP(G427,NGPREVPRICES,3,FALSE()),HLOOKUP(D427,Correllate,VLOOKUP(G427,CorMove,2,FALSE()),FALSE()),Q427-$CD$3,R427,$CD$5)*H427-CJ427</f>
        <v>#NAME?</v>
      </c>
      <c r="CE427" s="253" t="e">
        <f aca="false">xSPRDOPT((VLOOKUP(G427,NGPREVPRICES,2,FALSE())+HLOOKUP(D427,PREVCURVES,VLOOKUP(G427,MOVE_DOWN2,2,FALSE()),FALSE())),VLOOKUP(G427,NGPREVPRICES,2,FALSE()),CK427,VLOOKUP(G427,NGPrices,4,FALSE()),HLOOKUP(D427,PREVVOLS,VLOOKUP(G427,MOVE_DOWN2,2,FALSE()),FALSE()),VLOOKUP(G427,NGPREVPRICES,3,FALSE()),HLOOKUP(D427,Correllate,VLOOKUP(G427,CorMove,2,FALSE()),FALSE()),Q427-$CD$3,R427,$CJ$5)*H427-CJ427</f>
        <v>#NAME?</v>
      </c>
      <c r="CF427" s="132" t="e">
        <f aca="false">(CJ427/VLOOKUP(CC427,discount,3,FALSE()))-(CJ427/VLOOKUP(CC427,discount,2,FALSE()))</f>
        <v>#NAME?</v>
      </c>
      <c r="CG427" s="253" t="e">
        <f aca="false">xSPRDOPT((VLOOKUP(G427,NGPREVPRICES,2,FALSE())+HLOOKUP(D427,PREVCURVES,VLOOKUP(G427,MOVE_DOWN2,2,FALSE()),FALSE())),VLOOKUP(G427,NGPREVPRICES,2,FALSE()),CK427,VLOOKUP(G427,NGPREVPRICES,4,FALSE()),HLOOKUP(D427,VOLS,VLOOKUP(G427,move_down,2,FALSE()),FALSE()),VLOOKUP(G427,NGPrices,3,FALSE()),HLOOKUP(D427,Correllate,VLOOKUP(G427,CorMove,2,FALSE()),FALSE()),Q427-$CD$3,R427,$CJ$5)*H427-CJ427</f>
        <v>#NAME?</v>
      </c>
      <c r="CH427" s="253" t="e">
        <f aca="false">xSPRDOPT((VLOOKUP(G427,NGPREVPRICES,2,FALSE())+HLOOKUP(D427,PREVCURVES,VLOOKUP(G427,MOVE_DOWN2,2,FALSE()),FALSE())),VLOOKUP(G427,NGPREVPRICES,2,FALSE()),CK427,VLOOKUP(G427,NGPREVPRICES,4,FALSE()),HLOOKUP(D427,PREVVOLS,VLOOKUP(G427,MOVE_DOWN2,2,FALSE()),FALSE()),VLOOKUP(G427,NGPREVPRICES,3,FALSE()),HLOOKUP(D427,Correllate,VLOOKUP(G427,CorMove,2,FALSE()),FALSE()),Q427-$C$3,R427,$CJ$5)*H427-CJ427</f>
        <v>#NAME?</v>
      </c>
      <c r="CI427" s="253" t="e">
        <f aca="false">SUM(CD427:CH427)</f>
        <v>#NAME?</v>
      </c>
      <c r="CJ427" s="253" t="e">
        <f aca="false">xSPRDOPT((VLOOKUP(G427,NGPREVPRICES,2,FALSE())+HLOOKUP(D427,PREVCURVES,VLOOKUP(G427,MOVE_DOWN2,2,FALSE()),FALSE())),VLOOKUP(G427,NGPREVPRICES,2,FALSE()),CK427,VLOOKUP(G427,NGPREVPRICES,4,FALSE()),HLOOKUP(D427,PREVVOLS,VLOOKUP(G427,MOVE_DOWN2,2,FALSE()),FALSE()),VLOOKUP(G427,NGPREVPRICES,3,FALSE()),HLOOKUP(D427,Correllate,VLOOKUP(G427,CorMove,2,FALSE()),FALSE()),Q427-$CD$3,R427,$CJ$5)*H427</f>
        <v>#NAME?</v>
      </c>
      <c r="CK427" s="254" t="n">
        <f aca="false">I427</f>
        <v>2.3</v>
      </c>
      <c r="CM427" s="0" t="str">
        <f aca="false">CONCATENATE(CC427,$CD$6)</f>
        <v>36861Curve Shift/Gamma</v>
      </c>
      <c r="CN427" s="0" t="str">
        <f aca="false">CONCATENATE($CC427,$CE$6)</f>
        <v>36861Rho</v>
      </c>
      <c r="CO427" s="0" t="str">
        <f aca="false">CONCATENATE($CC427,$CF$6)</f>
        <v>36861Drift</v>
      </c>
      <c r="CP427" s="0" t="str">
        <f aca="false">CONCATENATE($CC427,$CG$6)</f>
        <v>36861Vega</v>
      </c>
      <c r="CQ427" s="0" t="str">
        <f aca="false">CONCATENATE($CC427,$CH$6)</f>
        <v>36861Theta</v>
      </c>
    </row>
    <row r="428" customFormat="false" ht="12.75" hidden="false" customHeight="false" outlineLevel="0" collapsed="false">
      <c r="A428" s="267" t="s">
        <v>198</v>
      </c>
      <c r="B428" s="0" t="s">
        <v>192</v>
      </c>
      <c r="C428" s="0" t="s">
        <v>351</v>
      </c>
      <c r="D428" s="0" t="s">
        <v>149</v>
      </c>
      <c r="E428" s="0" t="s">
        <v>131</v>
      </c>
      <c r="F428" s="0" t="s">
        <v>136</v>
      </c>
      <c r="G428" s="92" t="n">
        <v>36831</v>
      </c>
      <c r="H428" s="248" t="n">
        <v>500000</v>
      </c>
      <c r="I428" s="0" t="n">
        <v>2.3</v>
      </c>
      <c r="J428" s="124" t="n">
        <f aca="false">VLOOKUP(G428,NGPrices,2,FALSE())</f>
        <v>4.736</v>
      </c>
      <c r="K428" s="125" t="n">
        <f aca="false">HLOOKUP(D428,Prices,VLOOKUP(G428,move_down,2,FALSE()),FALSE())+VLOOKUP(G428,CHANGE,HLOOKUP(D428,CHANGE,2,FALSE()),FALSE())</f>
        <v>0.77</v>
      </c>
      <c r="L428" s="124" t="n">
        <f aca="false">K428+J428</f>
        <v>5.506</v>
      </c>
      <c r="M428" s="126" t="n">
        <f aca="false">VLOOKUP(G428,NGPrices,4,FALSE())</f>
        <v>0.06810675983792</v>
      </c>
      <c r="N428" s="7" t="n">
        <f aca="false">VLOOKUP(G428,NGPrices,3,FALSE())</f>
        <v>0.595</v>
      </c>
      <c r="O428" s="7" t="n">
        <f aca="false">HLOOKUP(D428,VOLS,VLOOKUP(G428,move_down,2,FALSE()),FALSE())</f>
        <v>0.625</v>
      </c>
      <c r="P428" s="249" t="n">
        <f aca="false">HLOOKUP(D428,Correllate,VLOOKUP(G428,CorMove,2,FALSE()),FALSE())</f>
        <v>0.89</v>
      </c>
      <c r="Q428" s="92" t="n">
        <f aca="false">WORKDAY(G428,-2)</f>
        <v>36829</v>
      </c>
      <c r="R428" s="7" t="n">
        <f aca="false">IF(F428="P",0,1)</f>
        <v>1</v>
      </c>
      <c r="S428" s="130" t="e">
        <f aca="false">xSPRDOPT($L428,$J428,$I428,$M428,$O428,$N428,$P428,$Q428-$C$3,$R428,0)</f>
        <v>#NAME?</v>
      </c>
      <c r="T428" s="250" t="e">
        <f aca="false">xSPRDOPT($L428,$J428,$I428,$M428,$O428,$N428,$P428,$Q428-$C$3,$R428,1)*H428</f>
        <v>#NAME?</v>
      </c>
      <c r="U428" s="43" t="e">
        <f aca="false">S428*H428</f>
        <v>#NAME?</v>
      </c>
      <c r="V428" s="250" t="e">
        <f aca="false">xSPRDOPT($L428,$J428,$I428,$M428,$O428,$N428,$P428,$Q428-$C$3,$R428,2)*H428</f>
        <v>#NAME?</v>
      </c>
      <c r="W428" s="250" t="e">
        <f aca="false">+V428+T428</f>
        <v>#NAME?</v>
      </c>
      <c r="X428" s="2" t="str">
        <f aca="false">CONCATENATE(G428,D428)</f>
        <v>36831IF-TRANSCO/Z6</v>
      </c>
      <c r="Y428" s="251" t="n">
        <f aca="false">H428/10000</f>
        <v>50</v>
      </c>
      <c r="Z428" s="226" t="e">
        <f aca="false">T428/H428</f>
        <v>#NAME?</v>
      </c>
      <c r="AA428" s="226" t="e">
        <f aca="false">xSPRDOPT($L428,$J428,$I428,$M428,$O428,$N428,$P428,$Q428-$C$3,$R428,3)</f>
        <v>#NAME?</v>
      </c>
      <c r="AB428" s="226" t="e">
        <f aca="false">((xSPRDOPT($L428+AB$5,$J428,$I428,$M428,$O428,$N428,$P428,$Q428-$C$3,$R428,3)*$H428)/10000)/100</f>
        <v>#NAME?</v>
      </c>
      <c r="AC428" s="226" t="e">
        <f aca="false">((xSPRDOPT($L428+$AB$5,$J428,$I428,$M428,$O428,$N428,$P428,$Q428-$C$3,$R428,7)*$H428)/100)</f>
        <v>#NAME?</v>
      </c>
      <c r="AD428" s="226" t="e">
        <f aca="false">(xSPRDOPT($L428+$AB$5,$J428,$I428,$M428,$O428,$N428,$P428,$Q428-$C$3,$R428,9)/365)*$H428</f>
        <v>#NAME?</v>
      </c>
      <c r="AE428" s="0" t="e">
        <f aca="false">CD428</f>
        <v>#NAME?</v>
      </c>
      <c r="AF428" s="226" t="e">
        <f aca="false">((O428/N428)*AH428)+AG428</f>
        <v>#NAME?</v>
      </c>
      <c r="AG428" s="226" t="e">
        <f aca="false">((xSPRDOPT($L428,$J428,$I428,$M428,$O428,$N428,$P428,$Q428-$C$3,$R428,6)*$H428)/100)</f>
        <v>#NAME?</v>
      </c>
      <c r="AH428" s="226" t="e">
        <f aca="false">((xSPRDOPT($L428,$J428,$I428,$M428,$O428,$N428,$P428,$Q428-$C$3,$R428,5)*$H428)/100)</f>
        <v>#NAME?</v>
      </c>
      <c r="AI428" s="226" t="e">
        <f aca="false">(((xSPRDOPT($L428,$J428,$I428,$M428,$O428,$N428,$P428,$Q428-$C$3,$R428,4)*$H428)/10000)/100)-AB428</f>
        <v>#NAME?</v>
      </c>
      <c r="AJ428" s="226"/>
      <c r="AK428" s="226"/>
      <c r="AL428" s="226"/>
      <c r="AM428" s="252"/>
      <c r="CC428" s="182" t="n">
        <f aca="false">G428</f>
        <v>36831</v>
      </c>
      <c r="CD428" s="253" t="e">
        <f aca="false">xSPRDOPT((VLOOKUP(G428,NGPrices,2,FALSE())+HLOOKUP(D428,Prices,VLOOKUP(G428,move_down,2,FALSE()),FALSE())),VLOOKUP(G428,NGPrices,2,FALSE()),I428,VLOOKUP(G428,NGPREVPRICES,4,FALSE()),HLOOKUP(D428,PREVVOLS,VLOOKUP(G428,MOVE_DOWN2,2,FALSE()),FALSE()),VLOOKUP(G428,NGPREVPRICES,3,FALSE()),HLOOKUP(D428,Correllate,VLOOKUP(G428,CorMove,2,FALSE()),FALSE()),Q428-$CD$3,R428,$CD$5)*H428-CJ428</f>
        <v>#NAME?</v>
      </c>
      <c r="CE428" s="253" t="e">
        <f aca="false">xSPRDOPT((VLOOKUP(G428,NGPREVPRICES,2,FALSE())+HLOOKUP(D428,PREVCURVES,VLOOKUP(G428,MOVE_DOWN2,2,FALSE()),FALSE())),VLOOKUP(G428,NGPREVPRICES,2,FALSE()),CK428,VLOOKUP(G428,NGPrices,4,FALSE()),HLOOKUP(D428,PREVVOLS,VLOOKUP(G428,MOVE_DOWN2,2,FALSE()),FALSE()),VLOOKUP(G428,NGPREVPRICES,3,FALSE()),HLOOKUP(D428,Correllate,VLOOKUP(G428,CorMove,2,FALSE()),FALSE()),Q428-$CD$3,R428,$CJ$5)*H428-CJ428</f>
        <v>#NAME?</v>
      </c>
      <c r="CF428" s="132" t="e">
        <f aca="false">(CJ428/VLOOKUP(CC428,discount,3,FALSE()))-(CJ428/VLOOKUP(CC428,discount,2,FALSE()))</f>
        <v>#NAME?</v>
      </c>
      <c r="CG428" s="253" t="e">
        <f aca="false">xSPRDOPT((VLOOKUP(G428,NGPREVPRICES,2,FALSE())+HLOOKUP(D428,PREVCURVES,VLOOKUP(G428,MOVE_DOWN2,2,FALSE()),FALSE())),VLOOKUP(G428,NGPREVPRICES,2,FALSE()),CK428,VLOOKUP(G428,NGPREVPRICES,4,FALSE()),HLOOKUP(D428,VOLS,VLOOKUP(G428,move_down,2,FALSE()),FALSE()),VLOOKUP(G428,NGPrices,3,FALSE()),HLOOKUP(D428,Correllate,VLOOKUP(G428,CorMove,2,FALSE()),FALSE()),Q428-$CD$3,R428,$CJ$5)*H428-CJ428</f>
        <v>#NAME?</v>
      </c>
      <c r="CH428" s="253" t="e">
        <f aca="false">xSPRDOPT((VLOOKUP(G428,NGPREVPRICES,2,FALSE())+HLOOKUP(D428,PREVCURVES,VLOOKUP(G428,MOVE_DOWN2,2,FALSE()),FALSE())),VLOOKUP(G428,NGPREVPRICES,2,FALSE()),CK428,VLOOKUP(G428,NGPREVPRICES,4,FALSE()),HLOOKUP(D428,PREVVOLS,VLOOKUP(G428,MOVE_DOWN2,2,FALSE()),FALSE()),VLOOKUP(G428,NGPREVPRICES,3,FALSE()),HLOOKUP(D428,Correllate,VLOOKUP(G428,CorMove,2,FALSE()),FALSE()),Q428-$C$3,R428,$CJ$5)*H428-CJ428</f>
        <v>#NAME?</v>
      </c>
      <c r="CI428" s="253" t="e">
        <f aca="false">SUM(CD428:CH428)</f>
        <v>#NAME?</v>
      </c>
      <c r="CJ428" s="253" t="e">
        <f aca="false">xSPRDOPT((VLOOKUP(G428,NGPREVPRICES,2,FALSE())+HLOOKUP(D428,PREVCURVES,VLOOKUP(G428,MOVE_DOWN2,2,FALSE()),FALSE())),VLOOKUP(G428,NGPREVPRICES,2,FALSE()),CK428,VLOOKUP(G428,NGPREVPRICES,4,FALSE()),HLOOKUP(D428,PREVVOLS,VLOOKUP(G428,MOVE_DOWN2,2,FALSE()),FALSE()),VLOOKUP(G428,NGPREVPRICES,3,FALSE()),HLOOKUP(D428,Correllate,VLOOKUP(G428,CorMove,2,FALSE()),FALSE()),Q428-$CD$3,R428,$CJ$5)*H428</f>
        <v>#NAME?</v>
      </c>
      <c r="CK428" s="254" t="n">
        <f aca="false">I428</f>
        <v>2.3</v>
      </c>
      <c r="CM428" s="0" t="str">
        <f aca="false">CONCATENATE(CC428,$CD$6)</f>
        <v>36831Curve Shift/Gamma</v>
      </c>
      <c r="CN428" s="0" t="str">
        <f aca="false">CONCATENATE($CC428,$CE$6)</f>
        <v>36831Rho</v>
      </c>
      <c r="CO428" s="0" t="str">
        <f aca="false">CONCATENATE($CC428,$CF$6)</f>
        <v>36831Drift</v>
      </c>
      <c r="CP428" s="0" t="str">
        <f aca="false">CONCATENATE($CC428,$CG$6)</f>
        <v>36831Vega</v>
      </c>
      <c r="CQ428" s="0" t="str">
        <f aca="false">CONCATENATE($CC428,$CH$6)</f>
        <v>36831Theta</v>
      </c>
    </row>
    <row r="429" customFormat="false" ht="12.75" hidden="false" customHeight="false" outlineLevel="0" collapsed="false">
      <c r="A429" s="17" t="s">
        <v>244</v>
      </c>
      <c r="B429" s="0" t="s">
        <v>192</v>
      </c>
      <c r="C429" s="0" t="s">
        <v>352</v>
      </c>
      <c r="D429" s="0" t="s">
        <v>149</v>
      </c>
      <c r="E429" s="0" t="s">
        <v>131</v>
      </c>
      <c r="F429" s="0" t="s">
        <v>132</v>
      </c>
      <c r="G429" s="92" t="n">
        <v>36951</v>
      </c>
      <c r="H429" s="248" t="n">
        <v>1000000</v>
      </c>
      <c r="I429" s="0" t="n">
        <v>0.95</v>
      </c>
      <c r="J429" s="124" t="n">
        <f aca="false">VLOOKUP(G429,NGPrices,2,FALSE())</f>
        <v>4.213</v>
      </c>
      <c r="K429" s="125" t="n">
        <f aca="false">HLOOKUP(D429,Prices,VLOOKUP(G429,move_down,2,FALSE()),FALSE())+VLOOKUP(G429,CHANGE,HLOOKUP(D429,CHANGE,2,FALSE()),FALSE())</f>
        <v>1.075</v>
      </c>
      <c r="L429" s="124" t="n">
        <f aca="false">K429+J429</f>
        <v>5.288</v>
      </c>
      <c r="M429" s="126" t="n">
        <f aca="false">VLOOKUP(G429,NGPrices,4,FALSE())</f>
        <v>0.068879814952707</v>
      </c>
      <c r="N429" s="7" t="n">
        <f aca="false">VLOOKUP(G429,NGPrices,3,FALSE())</f>
        <v>0.5325</v>
      </c>
      <c r="O429" s="7" t="n">
        <f aca="false">HLOOKUP(D429,VOLS,VLOOKUP(G429,move_down,2,FALSE()),FALSE())</f>
        <v>0.612</v>
      </c>
      <c r="P429" s="249" t="n">
        <f aca="false">HLOOKUP(D429,Correllate,VLOOKUP(G429,CorMove,2,FALSE()),FALSE())</f>
        <v>0.83</v>
      </c>
      <c r="Q429" s="92" t="n">
        <f aca="false">WORKDAY(G429,-2)</f>
        <v>36949</v>
      </c>
      <c r="R429" s="7" t="n">
        <f aca="false">IF(F429="P",0,1)</f>
        <v>0</v>
      </c>
      <c r="S429" s="130" t="e">
        <f aca="false">xSPRDOPT($L429,$J429,$I429,$M429,$O429,$N429,$P429,$Q429-$C$3,$R429,0)</f>
        <v>#NAME?</v>
      </c>
      <c r="T429" s="250" t="e">
        <f aca="false">xSPRDOPT($L429,$J429,$I429,$M429,$O429,$N429,$P429,$Q429-$C$3,$R429,1)*H429</f>
        <v>#NAME?</v>
      </c>
      <c r="U429" s="43" t="e">
        <f aca="false">S429*H429</f>
        <v>#NAME?</v>
      </c>
      <c r="V429" s="250" t="e">
        <f aca="false">xSPRDOPT($L429,$J429,$I429,$M429,$O429,$N429,$P429,$Q429-$C$3,$R429,2)*H429</f>
        <v>#NAME?</v>
      </c>
      <c r="W429" s="250" t="e">
        <f aca="false">+V429+T429</f>
        <v>#NAME?</v>
      </c>
      <c r="X429" s="2" t="str">
        <f aca="false">CONCATENATE(G429,D429)</f>
        <v>36951IF-TRANSCO/Z6</v>
      </c>
      <c r="Y429" s="251" t="n">
        <f aca="false">H429/10000</f>
        <v>100</v>
      </c>
      <c r="Z429" s="226" t="e">
        <f aca="false">T429/H429</f>
        <v>#NAME?</v>
      </c>
      <c r="AA429" s="226" t="e">
        <f aca="false">xSPRDOPT($L429,$J429,$I429,$M429,$O429,$N429,$P429,$Q429-$C$3,$R429,3)</f>
        <v>#NAME?</v>
      </c>
      <c r="AB429" s="226" t="e">
        <f aca="false">((xSPRDOPT($L429+AB$5,$J429,$I429,$M429,$O429,$N429,$P429,$Q429-$C$3,$R429,3)*$H429)/10000)/100</f>
        <v>#NAME?</v>
      </c>
      <c r="AC429" s="226" t="e">
        <f aca="false">((xSPRDOPT($L429+$AB$5,$J429,$I429,$M429,$O429,$N429,$P429,$Q429-$C$3,$R429,7)*$H429)/100)</f>
        <v>#NAME?</v>
      </c>
      <c r="AD429" s="226" t="e">
        <f aca="false">(xSPRDOPT($L429+$AB$5,$J429,$I429,$M429,$O429,$N429,$P429,$Q429-$C$3,$R429,9)/365)*$H429</f>
        <v>#NAME?</v>
      </c>
      <c r="AE429" s="0" t="e">
        <f aca="false">CD429</f>
        <v>#NAME?</v>
      </c>
      <c r="AF429" s="226" t="e">
        <f aca="false">((O429/N429)*AH429)+AG429</f>
        <v>#NAME?</v>
      </c>
      <c r="AG429" s="226" t="e">
        <f aca="false">((xSPRDOPT($L429,$J429,$I429,$M429,$O429,$N429,$P429,$Q429-$C$3,$R429,6)*$H429)/100)</f>
        <v>#NAME?</v>
      </c>
      <c r="AH429" s="226" t="e">
        <f aca="false">((xSPRDOPT($L429,$J429,$I429,$M429,$O429,$N429,$P429,$Q429-$C$3,$R429,5)*$H429)/100)</f>
        <v>#NAME?</v>
      </c>
      <c r="AI429" s="226" t="e">
        <f aca="false">(((xSPRDOPT($L429,$J429,$I429,$M429,$O429,$N429,$P429,$Q429-$C$3,$R429,4)*$H429)/10000)/100)-AB429</f>
        <v>#NAME?</v>
      </c>
      <c r="AJ429" s="226"/>
      <c r="AK429" s="226"/>
      <c r="AL429" s="226"/>
      <c r="AM429" s="252"/>
      <c r="CC429" s="182" t="n">
        <f aca="false">G429</f>
        <v>36951</v>
      </c>
      <c r="CD429" s="253" t="e">
        <f aca="false">xSPRDOPT((VLOOKUP(G429,NGPrices,2,FALSE())+HLOOKUP(D429,Prices,VLOOKUP(G429,move_down,2,FALSE()),FALSE())),VLOOKUP(G429,NGPrices,2,FALSE()),I429,VLOOKUP(G429,NGPREVPRICES,4,FALSE()),HLOOKUP(D429,PREVVOLS,VLOOKUP(G429,MOVE_DOWN2,2,FALSE()),FALSE()),VLOOKUP(G429,NGPREVPRICES,3,FALSE()),HLOOKUP(D429,Correllate,VLOOKUP(G429,CorMove,2,FALSE()),FALSE()),Q429-$CD$3,R429,$CD$5)*H429-CJ429</f>
        <v>#NAME?</v>
      </c>
      <c r="CE429" s="253" t="e">
        <f aca="false">xSPRDOPT((VLOOKUP(G429,NGPREVPRICES,2,FALSE())+HLOOKUP(D429,PREVCURVES,VLOOKUP(G429,MOVE_DOWN2,2,FALSE()),FALSE())),VLOOKUP(G429,NGPREVPRICES,2,FALSE()),CK429,VLOOKUP(G429,NGPrices,4,FALSE()),HLOOKUP(D429,PREVVOLS,VLOOKUP(G429,MOVE_DOWN2,2,FALSE()),FALSE()),VLOOKUP(G429,NGPREVPRICES,3,FALSE()),HLOOKUP(D429,Correllate,VLOOKUP(G429,CorMove,2,FALSE()),FALSE()),Q429-$CD$3,R429,$CJ$5)*H429-CJ429</f>
        <v>#NAME?</v>
      </c>
      <c r="CF429" s="132" t="e">
        <f aca="false">(CJ429/VLOOKUP(CC429,discount,3,FALSE()))-(CJ429/VLOOKUP(CC429,discount,2,FALSE()))</f>
        <v>#NAME?</v>
      </c>
      <c r="CG429" s="253" t="e">
        <f aca="false">xSPRDOPT((VLOOKUP(G429,NGPREVPRICES,2,FALSE())+HLOOKUP(D429,PREVCURVES,VLOOKUP(G429,MOVE_DOWN2,2,FALSE()),FALSE())),VLOOKUP(G429,NGPREVPRICES,2,FALSE()),CK429,VLOOKUP(G429,NGPREVPRICES,4,FALSE()),HLOOKUP(D429,VOLS,VLOOKUP(G429,move_down,2,FALSE()),FALSE()),VLOOKUP(G429,NGPrices,3,FALSE()),HLOOKUP(D429,Correllate,VLOOKUP(G429,CorMove,2,FALSE()),FALSE()),Q429-$CD$3,R429,$CJ$5)*H429-CJ429</f>
        <v>#NAME?</v>
      </c>
      <c r="CH429" s="253" t="e">
        <f aca="false">xSPRDOPT((VLOOKUP(G429,NGPREVPRICES,2,FALSE())+HLOOKUP(D429,PREVCURVES,VLOOKUP(G429,MOVE_DOWN2,2,FALSE()),FALSE())),VLOOKUP(G429,NGPREVPRICES,2,FALSE()),CK429,VLOOKUP(G429,NGPREVPRICES,4,FALSE()),HLOOKUP(D429,PREVVOLS,VLOOKUP(G429,MOVE_DOWN2,2,FALSE()),FALSE()),VLOOKUP(G429,NGPREVPRICES,3,FALSE()),HLOOKUP(D429,Correllate,VLOOKUP(G429,CorMove,2,FALSE()),FALSE()),Q429-$C$3,R429,$CJ$5)*H429-CJ429</f>
        <v>#NAME?</v>
      </c>
      <c r="CI429" s="253" t="e">
        <f aca="false">SUM(CD429:CH429)</f>
        <v>#NAME?</v>
      </c>
      <c r="CJ429" s="253" t="e">
        <f aca="false">xSPRDOPT((VLOOKUP(G429,NGPREVPRICES,2,FALSE())+HLOOKUP(D429,PREVCURVES,VLOOKUP(G429,MOVE_DOWN2,2,FALSE()),FALSE())),VLOOKUP(G429,NGPREVPRICES,2,FALSE()),CK429,VLOOKUP(G429,NGPREVPRICES,4,FALSE()),HLOOKUP(D429,PREVVOLS,VLOOKUP(G429,MOVE_DOWN2,2,FALSE()),FALSE()),VLOOKUP(G429,NGPREVPRICES,3,FALSE()),HLOOKUP(D429,Correllate,VLOOKUP(G429,CorMove,2,FALSE()),FALSE()),Q429-$CD$3,R429,$CJ$5)*H429</f>
        <v>#NAME?</v>
      </c>
      <c r="CK429" s="254" t="n">
        <f aca="false">I429</f>
        <v>0.95</v>
      </c>
      <c r="CM429" s="0" t="str">
        <f aca="false">CONCATENATE(CC429,$CD$6)</f>
        <v>36951Curve Shift/Gamma</v>
      </c>
      <c r="CN429" s="0" t="str">
        <f aca="false">CONCATENATE($CC429,$CE$6)</f>
        <v>36951Rho</v>
      </c>
      <c r="CO429" s="0" t="str">
        <f aca="false">CONCATENATE($CC429,$CF$6)</f>
        <v>36951Drift</v>
      </c>
      <c r="CP429" s="0" t="str">
        <f aca="false">CONCATENATE($CC429,$CG$6)</f>
        <v>36951Vega</v>
      </c>
      <c r="CQ429" s="0" t="str">
        <f aca="false">CONCATENATE($CC429,$CH$6)</f>
        <v>36951Theta</v>
      </c>
    </row>
    <row r="430" customFormat="false" ht="12.75" hidden="false" customHeight="false" outlineLevel="0" collapsed="false">
      <c r="A430" s="17" t="s">
        <v>244</v>
      </c>
      <c r="B430" s="0" t="s">
        <v>192</v>
      </c>
      <c r="C430" s="0" t="s">
        <v>352</v>
      </c>
      <c r="D430" s="0" t="s">
        <v>149</v>
      </c>
      <c r="E430" s="0" t="s">
        <v>131</v>
      </c>
      <c r="F430" s="0" t="s">
        <v>132</v>
      </c>
      <c r="G430" s="92" t="n">
        <v>36923</v>
      </c>
      <c r="H430" s="248" t="n">
        <v>1000000</v>
      </c>
      <c r="I430" s="0" t="n">
        <v>0.95</v>
      </c>
      <c r="J430" s="124" t="n">
        <f aca="false">VLOOKUP(G430,NGPrices,2,FALSE())</f>
        <v>4.48</v>
      </c>
      <c r="K430" s="125" t="n">
        <f aca="false">HLOOKUP(D430,Prices,VLOOKUP(G430,move_down,2,FALSE()),FALSE())+VLOOKUP(G430,CHANGE,HLOOKUP(D430,CHANGE,2,FALSE()),FALSE())</f>
        <v>2.09</v>
      </c>
      <c r="L430" s="124" t="n">
        <f aca="false">K430+J430</f>
        <v>6.57</v>
      </c>
      <c r="M430" s="126" t="n">
        <f aca="false">VLOOKUP(G430,NGPrices,4,FALSE())</f>
        <v>0.068640161611372</v>
      </c>
      <c r="N430" s="7" t="n">
        <f aca="false">VLOOKUP(G430,NGPrices,3,FALSE())</f>
        <v>0.5925</v>
      </c>
      <c r="O430" s="7" t="n">
        <f aca="false">HLOOKUP(D430,VOLS,VLOOKUP(G430,move_down,2,FALSE()),FALSE())</f>
        <v>0.681</v>
      </c>
      <c r="P430" s="249" t="n">
        <f aca="false">HLOOKUP(D430,Correllate,VLOOKUP(G430,CorMove,2,FALSE()),FALSE())</f>
        <v>0.83</v>
      </c>
      <c r="Q430" s="92" t="n">
        <f aca="false">WORKDAY(G430,-2)</f>
        <v>36921</v>
      </c>
      <c r="R430" s="7" t="n">
        <f aca="false">IF(F430="P",0,1)</f>
        <v>0</v>
      </c>
      <c r="S430" s="130" t="e">
        <f aca="false">xSPRDOPT($L430,$J430,$I430,$M430,$O430,$N430,$P430,$Q430-$C$3,$R430,0)</f>
        <v>#NAME?</v>
      </c>
      <c r="T430" s="250" t="e">
        <f aca="false">xSPRDOPT($L430,$J430,$I430,$M430,$O430,$N430,$P430,$Q430-$C$3,$R430,1)*H430</f>
        <v>#NAME?</v>
      </c>
      <c r="U430" s="43" t="e">
        <f aca="false">S430*H430</f>
        <v>#NAME?</v>
      </c>
      <c r="V430" s="250" t="e">
        <f aca="false">xSPRDOPT($L430,$J430,$I430,$M430,$O430,$N430,$P430,$Q430-$C$3,$R430,2)*H430</f>
        <v>#NAME?</v>
      </c>
      <c r="W430" s="250" t="e">
        <f aca="false">+V430+T430</f>
        <v>#NAME?</v>
      </c>
      <c r="X430" s="2" t="str">
        <f aca="false">CONCATENATE(G430,D430)</f>
        <v>36923IF-TRANSCO/Z6</v>
      </c>
      <c r="Y430" s="251" t="n">
        <f aca="false">H430/10000</f>
        <v>100</v>
      </c>
      <c r="Z430" s="226" t="e">
        <f aca="false">T430/H430</f>
        <v>#NAME?</v>
      </c>
      <c r="AA430" s="226" t="e">
        <f aca="false">xSPRDOPT($L430,$J430,$I430,$M430,$O430,$N430,$P430,$Q430-$C$3,$R430,3)</f>
        <v>#NAME?</v>
      </c>
      <c r="AB430" s="226" t="e">
        <f aca="false">((xSPRDOPT($L430+AB$5,$J430,$I430,$M430,$O430,$N430,$P430,$Q430-$C$3,$R430,3)*$H430)/10000)/100</f>
        <v>#NAME?</v>
      </c>
      <c r="AC430" s="226" t="e">
        <f aca="false">((xSPRDOPT($L430+$AB$5,$J430,$I430,$M430,$O430,$N430,$P430,$Q430-$C$3,$R430,7)*$H430)/100)</f>
        <v>#NAME?</v>
      </c>
      <c r="AD430" s="226" t="e">
        <f aca="false">(xSPRDOPT($L430+$AB$5,$J430,$I430,$M430,$O430,$N430,$P430,$Q430-$C$3,$R430,9)/365)*$H430</f>
        <v>#NAME?</v>
      </c>
      <c r="AE430" s="0" t="e">
        <f aca="false">CD430</f>
        <v>#NAME?</v>
      </c>
      <c r="AF430" s="226" t="e">
        <f aca="false">((O430/N430)*AH430)+AG430</f>
        <v>#NAME?</v>
      </c>
      <c r="AG430" s="226" t="e">
        <f aca="false">((xSPRDOPT($L430,$J430,$I430,$M430,$O430,$N430,$P430,$Q430-$C$3,$R430,6)*$H430)/100)</f>
        <v>#NAME?</v>
      </c>
      <c r="AH430" s="226" t="e">
        <f aca="false">((xSPRDOPT($L430,$J430,$I430,$M430,$O430,$N430,$P430,$Q430-$C$3,$R430,5)*$H430)/100)</f>
        <v>#NAME?</v>
      </c>
      <c r="AI430" s="226" t="e">
        <f aca="false">(((xSPRDOPT($L430,$J430,$I430,$M430,$O430,$N430,$P430,$Q430-$C$3,$R430,4)*$H430)/10000)/100)-AB430</f>
        <v>#NAME?</v>
      </c>
      <c r="AJ430" s="226"/>
      <c r="AK430" s="226"/>
      <c r="AL430" s="226"/>
      <c r="AM430" s="252"/>
      <c r="CC430" s="182" t="n">
        <f aca="false">G430</f>
        <v>36923</v>
      </c>
      <c r="CD430" s="253" t="e">
        <f aca="false">xSPRDOPT((VLOOKUP(G430,NGPrices,2,FALSE())+HLOOKUP(D430,Prices,VLOOKUP(G430,move_down,2,FALSE()),FALSE())),VLOOKUP(G430,NGPrices,2,FALSE()),I430,VLOOKUP(G430,NGPREVPRICES,4,FALSE()),HLOOKUP(D430,PREVVOLS,VLOOKUP(G430,MOVE_DOWN2,2,FALSE()),FALSE()),VLOOKUP(G430,NGPREVPRICES,3,FALSE()),HLOOKUP(D430,Correllate,VLOOKUP(G430,CorMove,2,FALSE()),FALSE()),Q430-$CD$3,R430,$CD$5)*H430-CJ430</f>
        <v>#NAME?</v>
      </c>
      <c r="CE430" s="253" t="e">
        <f aca="false">xSPRDOPT((VLOOKUP(G430,NGPREVPRICES,2,FALSE())+HLOOKUP(D430,PREVCURVES,VLOOKUP(G430,MOVE_DOWN2,2,FALSE()),FALSE())),VLOOKUP(G430,NGPREVPRICES,2,FALSE()),CK430,VLOOKUP(G430,NGPrices,4,FALSE()),HLOOKUP(D430,PREVVOLS,VLOOKUP(G430,MOVE_DOWN2,2,FALSE()),FALSE()),VLOOKUP(G430,NGPREVPRICES,3,FALSE()),HLOOKUP(D430,Correllate,VLOOKUP(G430,CorMove,2,FALSE()),FALSE()),Q430-$CD$3,R430,$CJ$5)*H430-CJ430</f>
        <v>#NAME?</v>
      </c>
      <c r="CF430" s="132" t="e">
        <f aca="false">(CJ430/VLOOKUP(CC430,discount,3,FALSE()))-(CJ430/VLOOKUP(CC430,discount,2,FALSE()))</f>
        <v>#NAME?</v>
      </c>
      <c r="CG430" s="253" t="e">
        <f aca="false">xSPRDOPT((VLOOKUP(G430,NGPREVPRICES,2,FALSE())+HLOOKUP(D430,PREVCURVES,VLOOKUP(G430,MOVE_DOWN2,2,FALSE()),FALSE())),VLOOKUP(G430,NGPREVPRICES,2,FALSE()),CK430,VLOOKUP(G430,NGPREVPRICES,4,FALSE()),HLOOKUP(D430,VOLS,VLOOKUP(G430,move_down,2,FALSE()),FALSE()),VLOOKUP(G430,NGPrices,3,FALSE()),HLOOKUP(D430,Correllate,VLOOKUP(G430,CorMove,2,FALSE()),FALSE()),Q430-$CD$3,R430,$CJ$5)*H430-CJ430</f>
        <v>#NAME?</v>
      </c>
      <c r="CH430" s="253" t="e">
        <f aca="false">xSPRDOPT((VLOOKUP(G430,NGPREVPRICES,2,FALSE())+HLOOKUP(D430,PREVCURVES,VLOOKUP(G430,MOVE_DOWN2,2,FALSE()),FALSE())),VLOOKUP(G430,NGPREVPRICES,2,FALSE()),CK430,VLOOKUP(G430,NGPREVPRICES,4,FALSE()),HLOOKUP(D430,PREVVOLS,VLOOKUP(G430,MOVE_DOWN2,2,FALSE()),FALSE()),VLOOKUP(G430,NGPREVPRICES,3,FALSE()),HLOOKUP(D430,Correllate,VLOOKUP(G430,CorMove,2,FALSE()),FALSE()),Q430-$C$3,R430,$CJ$5)*H430-CJ430</f>
        <v>#NAME?</v>
      </c>
      <c r="CI430" s="253" t="e">
        <f aca="false">SUM(CD430:CH430)</f>
        <v>#NAME?</v>
      </c>
      <c r="CJ430" s="253" t="e">
        <f aca="false">xSPRDOPT((VLOOKUP(G430,NGPREVPRICES,2,FALSE())+HLOOKUP(D430,PREVCURVES,VLOOKUP(G430,MOVE_DOWN2,2,FALSE()),FALSE())),VLOOKUP(G430,NGPREVPRICES,2,FALSE()),CK430,VLOOKUP(G430,NGPREVPRICES,4,FALSE()),HLOOKUP(D430,PREVVOLS,VLOOKUP(G430,MOVE_DOWN2,2,FALSE()),FALSE()),VLOOKUP(G430,NGPREVPRICES,3,FALSE()),HLOOKUP(D430,Correllate,VLOOKUP(G430,CorMove,2,FALSE()),FALSE()),Q430-$CD$3,R430,$CJ$5)*H430</f>
        <v>#NAME?</v>
      </c>
      <c r="CK430" s="254" t="n">
        <f aca="false">I430</f>
        <v>0.95</v>
      </c>
      <c r="CM430" s="0" t="str">
        <f aca="false">CONCATENATE(CC430,$CD$6)</f>
        <v>36923Curve Shift/Gamma</v>
      </c>
      <c r="CN430" s="0" t="str">
        <f aca="false">CONCATENATE($CC430,$CE$6)</f>
        <v>36923Rho</v>
      </c>
      <c r="CO430" s="0" t="str">
        <f aca="false">CONCATENATE($CC430,$CF$6)</f>
        <v>36923Drift</v>
      </c>
      <c r="CP430" s="0" t="str">
        <f aca="false">CONCATENATE($CC430,$CG$6)</f>
        <v>36923Vega</v>
      </c>
      <c r="CQ430" s="0" t="str">
        <f aca="false">CONCATENATE($CC430,$CH$6)</f>
        <v>36923Theta</v>
      </c>
    </row>
    <row r="431" customFormat="false" ht="12.75" hidden="false" customHeight="false" outlineLevel="0" collapsed="false">
      <c r="A431" s="17" t="s">
        <v>244</v>
      </c>
      <c r="B431" s="0" t="s">
        <v>192</v>
      </c>
      <c r="C431" s="0" t="s">
        <v>352</v>
      </c>
      <c r="D431" s="0" t="s">
        <v>149</v>
      </c>
      <c r="E431" s="0" t="s">
        <v>131</v>
      </c>
      <c r="F431" s="0" t="s">
        <v>132</v>
      </c>
      <c r="G431" s="92" t="n">
        <v>36892</v>
      </c>
      <c r="H431" s="248" t="n">
        <v>1000000</v>
      </c>
      <c r="I431" s="0" t="n">
        <v>0.95</v>
      </c>
      <c r="J431" s="124" t="n">
        <f aca="false">VLOOKUP(G431,NGPrices,2,FALSE())</f>
        <v>4.744</v>
      </c>
      <c r="K431" s="125" t="n">
        <f aca="false">HLOOKUP(D431,Prices,VLOOKUP(G431,move_down,2,FALSE()),FALSE())+VLOOKUP(G431,CHANGE,HLOOKUP(D431,CHANGE,2,FALSE()),FALSE())</f>
        <v>2.17</v>
      </c>
      <c r="L431" s="124" t="n">
        <f aca="false">K431+J431</f>
        <v>6.914</v>
      </c>
      <c r="M431" s="126" t="n">
        <f aca="false">VLOOKUP(G431,NGPrices,4,FALSE())</f>
        <v>0.068374831148491</v>
      </c>
      <c r="N431" s="7" t="n">
        <f aca="false">VLOOKUP(G431,NGPrices,3,FALSE())</f>
        <v>0.605</v>
      </c>
      <c r="O431" s="7" t="n">
        <f aca="false">HLOOKUP(D431,VOLS,VLOOKUP(G431,move_down,2,FALSE()),FALSE())</f>
        <v>0.696</v>
      </c>
      <c r="P431" s="249" t="n">
        <f aca="false">HLOOKUP(D431,Correllate,VLOOKUP(G431,CorMove,2,FALSE()),FALSE())</f>
        <v>0.83</v>
      </c>
      <c r="Q431" s="92" t="n">
        <f aca="false">WORKDAY(G431,-2)</f>
        <v>36888</v>
      </c>
      <c r="R431" s="7" t="n">
        <f aca="false">IF(F431="P",0,1)</f>
        <v>0</v>
      </c>
      <c r="S431" s="130" t="e">
        <f aca="false">xSPRDOPT($L431,$J431,$I431,$M431,$O431,$N431,$P431,$Q431-$C$3,$R431,0)</f>
        <v>#NAME?</v>
      </c>
      <c r="T431" s="250" t="e">
        <f aca="false">xSPRDOPT($L431,$J431,$I431,$M431,$O431,$N431,$P431,$Q431-$C$3,$R431,1)*H431</f>
        <v>#NAME?</v>
      </c>
      <c r="U431" s="43" t="e">
        <f aca="false">S431*H431</f>
        <v>#NAME?</v>
      </c>
      <c r="V431" s="250" t="e">
        <f aca="false">xSPRDOPT($L431,$J431,$I431,$M431,$O431,$N431,$P431,$Q431-$C$3,$R431,2)*H431</f>
        <v>#NAME?</v>
      </c>
      <c r="W431" s="250" t="e">
        <f aca="false">+V431+T431</f>
        <v>#NAME?</v>
      </c>
      <c r="X431" s="2" t="str">
        <f aca="false">CONCATENATE(G431,D431)</f>
        <v>36892IF-TRANSCO/Z6</v>
      </c>
      <c r="Y431" s="251" t="n">
        <f aca="false">H431/10000</f>
        <v>100</v>
      </c>
      <c r="Z431" s="226" t="e">
        <f aca="false">T431/H431</f>
        <v>#NAME?</v>
      </c>
      <c r="AA431" s="226" t="e">
        <f aca="false">xSPRDOPT($L431,$J431,$I431,$M431,$O431,$N431,$P431,$Q431-$C$3,$R431,3)</f>
        <v>#NAME?</v>
      </c>
      <c r="AB431" s="226" t="e">
        <f aca="false">((xSPRDOPT($L431+AB$5,$J431,$I431,$M431,$O431,$N431,$P431,$Q431-$C$3,$R431,3)*$H431)/10000)/100</f>
        <v>#NAME?</v>
      </c>
      <c r="AC431" s="226" t="e">
        <f aca="false">((xSPRDOPT($L431+$AB$5,$J431,$I431,$M431,$O431,$N431,$P431,$Q431-$C$3,$R431,7)*$H431)/100)</f>
        <v>#NAME?</v>
      </c>
      <c r="AD431" s="226" t="e">
        <f aca="false">(xSPRDOPT($L431+$AB$5,$J431,$I431,$M431,$O431,$N431,$P431,$Q431-$C$3,$R431,9)/365)*$H431</f>
        <v>#NAME?</v>
      </c>
      <c r="AE431" s="0" t="e">
        <f aca="false">CD431</f>
        <v>#NAME?</v>
      </c>
      <c r="AF431" s="226" t="e">
        <f aca="false">((O431/N431)*AH431)+AG431</f>
        <v>#NAME?</v>
      </c>
      <c r="AG431" s="226" t="e">
        <f aca="false">((xSPRDOPT($L431,$J431,$I431,$M431,$O431,$N431,$P431,$Q431-$C$3,$R431,6)*$H431)/100)</f>
        <v>#NAME?</v>
      </c>
      <c r="AH431" s="226" t="e">
        <f aca="false">((xSPRDOPT($L431,$J431,$I431,$M431,$O431,$N431,$P431,$Q431-$C$3,$R431,5)*$H431)/100)</f>
        <v>#NAME?</v>
      </c>
      <c r="AI431" s="226" t="e">
        <f aca="false">(((xSPRDOPT($L431,$J431,$I431,$M431,$O431,$N431,$P431,$Q431-$C$3,$R431,4)*$H431)/10000)/100)-AB431</f>
        <v>#NAME?</v>
      </c>
      <c r="AJ431" s="226"/>
      <c r="AK431" s="226"/>
      <c r="AL431" s="226"/>
      <c r="AM431" s="252"/>
      <c r="CC431" s="182" t="n">
        <f aca="false">G431</f>
        <v>36892</v>
      </c>
      <c r="CD431" s="253" t="e">
        <f aca="false">xSPRDOPT((VLOOKUP(G431,NGPrices,2,FALSE())+HLOOKUP(D431,Prices,VLOOKUP(G431,move_down,2,FALSE()),FALSE())),VLOOKUP(G431,NGPrices,2,FALSE()),I431,VLOOKUP(G431,NGPREVPRICES,4,FALSE()),HLOOKUP(D431,PREVVOLS,VLOOKUP(G431,MOVE_DOWN2,2,FALSE()),FALSE()),VLOOKUP(G431,NGPREVPRICES,3,FALSE()),HLOOKUP(D431,Correllate,VLOOKUP(G431,CorMove,2,FALSE()),FALSE()),Q431-$CD$3,R431,$CD$5)*H431-CJ431</f>
        <v>#NAME?</v>
      </c>
      <c r="CE431" s="253" t="e">
        <f aca="false">xSPRDOPT((VLOOKUP(G431,NGPREVPRICES,2,FALSE())+HLOOKUP(D431,PREVCURVES,VLOOKUP(G431,MOVE_DOWN2,2,FALSE()),FALSE())),VLOOKUP(G431,NGPREVPRICES,2,FALSE()),CK431,VLOOKUP(G431,NGPrices,4,FALSE()),HLOOKUP(D431,PREVVOLS,VLOOKUP(G431,MOVE_DOWN2,2,FALSE()),FALSE()),VLOOKUP(G431,NGPREVPRICES,3,FALSE()),HLOOKUP(D431,Correllate,VLOOKUP(G431,CorMove,2,FALSE()),FALSE()),Q431-$CD$3,R431,$CJ$5)*H431-CJ431</f>
        <v>#NAME?</v>
      </c>
      <c r="CF431" s="132" t="e">
        <f aca="false">(CJ431/VLOOKUP(CC431,discount,3,FALSE()))-(CJ431/VLOOKUP(CC431,discount,2,FALSE()))</f>
        <v>#NAME?</v>
      </c>
      <c r="CG431" s="253" t="e">
        <f aca="false">xSPRDOPT((VLOOKUP(G431,NGPREVPRICES,2,FALSE())+HLOOKUP(D431,PREVCURVES,VLOOKUP(G431,MOVE_DOWN2,2,FALSE()),FALSE())),VLOOKUP(G431,NGPREVPRICES,2,FALSE()),CK431,VLOOKUP(G431,NGPREVPRICES,4,FALSE()),HLOOKUP(D431,VOLS,VLOOKUP(G431,move_down,2,FALSE()),FALSE()),VLOOKUP(G431,NGPrices,3,FALSE()),HLOOKUP(D431,Correllate,VLOOKUP(G431,CorMove,2,FALSE()),FALSE()),Q431-$CD$3,R431,$CJ$5)*H431-CJ431</f>
        <v>#NAME?</v>
      </c>
      <c r="CH431" s="253" t="e">
        <f aca="false">xSPRDOPT((VLOOKUP(G431,NGPREVPRICES,2,FALSE())+HLOOKUP(D431,PREVCURVES,VLOOKUP(G431,MOVE_DOWN2,2,FALSE()),FALSE())),VLOOKUP(G431,NGPREVPRICES,2,FALSE()),CK431,VLOOKUP(G431,NGPREVPRICES,4,FALSE()),HLOOKUP(D431,PREVVOLS,VLOOKUP(G431,MOVE_DOWN2,2,FALSE()),FALSE()),VLOOKUP(G431,NGPREVPRICES,3,FALSE()),HLOOKUP(D431,Correllate,VLOOKUP(G431,CorMove,2,FALSE()),FALSE()),Q431-$C$3,R431,$CJ$5)*H431-CJ431</f>
        <v>#NAME?</v>
      </c>
      <c r="CI431" s="253" t="e">
        <f aca="false">SUM(CD431:CH431)</f>
        <v>#NAME?</v>
      </c>
      <c r="CJ431" s="253" t="e">
        <f aca="false">xSPRDOPT((VLOOKUP(G431,NGPREVPRICES,2,FALSE())+HLOOKUP(D431,PREVCURVES,VLOOKUP(G431,MOVE_DOWN2,2,FALSE()),FALSE())),VLOOKUP(G431,NGPREVPRICES,2,FALSE()),CK431,VLOOKUP(G431,NGPREVPRICES,4,FALSE()),HLOOKUP(D431,PREVVOLS,VLOOKUP(G431,MOVE_DOWN2,2,FALSE()),FALSE()),VLOOKUP(G431,NGPREVPRICES,3,FALSE()),HLOOKUP(D431,Correllate,VLOOKUP(G431,CorMove,2,FALSE()),FALSE()),Q431-$CD$3,R431,$CJ$5)*H431</f>
        <v>#NAME?</v>
      </c>
      <c r="CK431" s="254" t="n">
        <f aca="false">I431</f>
        <v>0.95</v>
      </c>
      <c r="CM431" s="0" t="str">
        <f aca="false">CONCATENATE(CC431,$CD$6)</f>
        <v>36892Curve Shift/Gamma</v>
      </c>
      <c r="CN431" s="0" t="str">
        <f aca="false">CONCATENATE($CC431,$CE$6)</f>
        <v>36892Rho</v>
      </c>
      <c r="CO431" s="0" t="str">
        <f aca="false">CONCATENATE($CC431,$CF$6)</f>
        <v>36892Drift</v>
      </c>
      <c r="CP431" s="0" t="str">
        <f aca="false">CONCATENATE($CC431,$CG$6)</f>
        <v>36892Vega</v>
      </c>
      <c r="CQ431" s="0" t="str">
        <f aca="false">CONCATENATE($CC431,$CH$6)</f>
        <v>36892Theta</v>
      </c>
    </row>
    <row r="432" customFormat="false" ht="12.75" hidden="false" customHeight="false" outlineLevel="0" collapsed="false">
      <c r="A432" s="17" t="s">
        <v>244</v>
      </c>
      <c r="B432" s="0" t="s">
        <v>192</v>
      </c>
      <c r="C432" s="0" t="s">
        <v>352</v>
      </c>
      <c r="D432" s="0" t="s">
        <v>149</v>
      </c>
      <c r="E432" s="0" t="s">
        <v>131</v>
      </c>
      <c r="F432" s="0" t="s">
        <v>132</v>
      </c>
      <c r="G432" s="92" t="n">
        <v>36861</v>
      </c>
      <c r="H432" s="248" t="n">
        <v>1000000</v>
      </c>
      <c r="I432" s="0" t="n">
        <v>0.95</v>
      </c>
      <c r="J432" s="124" t="n">
        <f aca="false">VLOOKUP(G432,NGPrices,2,FALSE())</f>
        <v>4.8</v>
      </c>
      <c r="K432" s="125" t="n">
        <f aca="false">HLOOKUP(D432,Prices,VLOOKUP(G432,move_down,2,FALSE()),FALSE())+VLOOKUP(G432,CHANGE,HLOOKUP(D432,CHANGE,2,FALSE()),FALSE())</f>
        <v>1.645</v>
      </c>
      <c r="L432" s="124" t="n">
        <f aca="false">K432+J432</f>
        <v>6.445</v>
      </c>
      <c r="M432" s="126" t="n">
        <f aca="false">VLOOKUP(G432,NGPrices,4,FALSE())</f>
        <v>0.068314027999354</v>
      </c>
      <c r="N432" s="7" t="n">
        <f aca="false">VLOOKUP(G432,NGPrices,3,FALSE())</f>
        <v>0.6</v>
      </c>
      <c r="O432" s="7" t="n">
        <f aca="false">HLOOKUP(D432,VOLS,VLOOKUP(G432,move_down,2,FALSE()),FALSE())</f>
        <v>0.69</v>
      </c>
      <c r="P432" s="249" t="n">
        <f aca="false">HLOOKUP(D432,Correllate,VLOOKUP(G432,CorMove,2,FALSE()),FALSE())</f>
        <v>0.83</v>
      </c>
      <c r="Q432" s="92" t="n">
        <f aca="false">WORKDAY(G432,-2)</f>
        <v>36859</v>
      </c>
      <c r="R432" s="7" t="n">
        <f aca="false">IF(F432="P",0,1)</f>
        <v>0</v>
      </c>
      <c r="S432" s="130" t="e">
        <f aca="false">xSPRDOPT($L432,$J432,$I432,$M432,$O432,$N432,$P432,$Q432-$C$3,$R432,0)</f>
        <v>#NAME?</v>
      </c>
      <c r="T432" s="250" t="e">
        <f aca="false">xSPRDOPT($L432,$J432,$I432,$M432,$O432,$N432,$P432,$Q432-$C$3,$R432,1)*H432</f>
        <v>#NAME?</v>
      </c>
      <c r="U432" s="43" t="e">
        <f aca="false">S432*H432</f>
        <v>#NAME?</v>
      </c>
      <c r="V432" s="250" t="e">
        <f aca="false">xSPRDOPT($L432,$J432,$I432,$M432,$O432,$N432,$P432,$Q432-$C$3,$R432,2)*H432</f>
        <v>#NAME?</v>
      </c>
      <c r="W432" s="250" t="e">
        <f aca="false">+V432+T432</f>
        <v>#NAME?</v>
      </c>
      <c r="X432" s="2" t="str">
        <f aca="false">CONCATENATE(G432,D432)</f>
        <v>36861IF-TRANSCO/Z6</v>
      </c>
      <c r="Y432" s="251" t="n">
        <f aca="false">H432/10000</f>
        <v>100</v>
      </c>
      <c r="Z432" s="226" t="e">
        <f aca="false">T432/H432</f>
        <v>#NAME?</v>
      </c>
      <c r="AA432" s="226" t="e">
        <f aca="false">xSPRDOPT($L432,$J432,$I432,$M432,$O432,$N432,$P432,$Q432-$C$3,$R432,3)</f>
        <v>#NAME?</v>
      </c>
      <c r="AB432" s="226" t="e">
        <f aca="false">((xSPRDOPT($L432+AB$5,$J432,$I432,$M432,$O432,$N432,$P432,$Q432-$C$3,$R432,3)*$H432)/10000)/100</f>
        <v>#NAME?</v>
      </c>
      <c r="AC432" s="226" t="e">
        <f aca="false">((xSPRDOPT($L432+$AB$5,$J432,$I432,$M432,$O432,$N432,$P432,$Q432-$C$3,$R432,7)*$H432)/100)</f>
        <v>#NAME?</v>
      </c>
      <c r="AD432" s="226" t="e">
        <f aca="false">(xSPRDOPT($L432+$AB$5,$J432,$I432,$M432,$O432,$N432,$P432,$Q432-$C$3,$R432,9)/365)*$H432</f>
        <v>#NAME?</v>
      </c>
      <c r="AE432" s="0" t="e">
        <f aca="false">CD432</f>
        <v>#NAME?</v>
      </c>
      <c r="AF432" s="226" t="e">
        <f aca="false">((O432/N432)*AH432)+AG432</f>
        <v>#NAME?</v>
      </c>
      <c r="AG432" s="226" t="e">
        <f aca="false">((xSPRDOPT($L432,$J432,$I432,$M432,$O432,$N432,$P432,$Q432-$C$3,$R432,6)*$H432)/100)</f>
        <v>#NAME?</v>
      </c>
      <c r="AH432" s="226" t="e">
        <f aca="false">((xSPRDOPT($L432,$J432,$I432,$M432,$O432,$N432,$P432,$Q432-$C$3,$R432,5)*$H432)/100)</f>
        <v>#NAME?</v>
      </c>
      <c r="AI432" s="226" t="e">
        <f aca="false">(((xSPRDOPT($L432,$J432,$I432,$M432,$O432,$N432,$P432,$Q432-$C$3,$R432,4)*$H432)/10000)/100)-AB432</f>
        <v>#NAME?</v>
      </c>
      <c r="AJ432" s="226"/>
      <c r="AK432" s="226"/>
      <c r="AL432" s="226"/>
      <c r="AM432" s="252"/>
      <c r="CC432" s="182" t="n">
        <f aca="false">G432</f>
        <v>36861</v>
      </c>
      <c r="CD432" s="253" t="e">
        <f aca="false">xSPRDOPT((VLOOKUP(G432,NGPrices,2,FALSE())+HLOOKUP(D432,Prices,VLOOKUP(G432,move_down,2,FALSE()),FALSE())),VLOOKUP(G432,NGPrices,2,FALSE()),I432,VLOOKUP(G432,NGPREVPRICES,4,FALSE()),HLOOKUP(D432,PREVVOLS,VLOOKUP(G432,MOVE_DOWN2,2,FALSE()),FALSE()),VLOOKUP(G432,NGPREVPRICES,3,FALSE()),HLOOKUP(D432,Correllate,VLOOKUP(G432,CorMove,2,FALSE()),FALSE()),Q432-$CD$3,R432,$CD$5)*H432-CJ432</f>
        <v>#NAME?</v>
      </c>
      <c r="CE432" s="253" t="e">
        <f aca="false">xSPRDOPT((VLOOKUP(G432,NGPREVPRICES,2,FALSE())+HLOOKUP(D432,PREVCURVES,VLOOKUP(G432,MOVE_DOWN2,2,FALSE()),FALSE())),VLOOKUP(G432,NGPREVPRICES,2,FALSE()),CK432,VLOOKUP(G432,NGPrices,4,FALSE()),HLOOKUP(D432,PREVVOLS,VLOOKUP(G432,MOVE_DOWN2,2,FALSE()),FALSE()),VLOOKUP(G432,NGPREVPRICES,3,FALSE()),HLOOKUP(D432,Correllate,VLOOKUP(G432,CorMove,2,FALSE()),FALSE()),Q432-$CD$3,R432,$CJ$5)*H432-CJ432</f>
        <v>#NAME?</v>
      </c>
      <c r="CF432" s="132" t="e">
        <f aca="false">(CJ432/VLOOKUP(CC432,discount,3,FALSE()))-(CJ432/VLOOKUP(CC432,discount,2,FALSE()))</f>
        <v>#NAME?</v>
      </c>
      <c r="CG432" s="253" t="e">
        <f aca="false">xSPRDOPT((VLOOKUP(G432,NGPREVPRICES,2,FALSE())+HLOOKUP(D432,PREVCURVES,VLOOKUP(G432,MOVE_DOWN2,2,FALSE()),FALSE())),VLOOKUP(G432,NGPREVPRICES,2,FALSE()),CK432,VLOOKUP(G432,NGPREVPRICES,4,FALSE()),HLOOKUP(D432,VOLS,VLOOKUP(G432,move_down,2,FALSE()),FALSE()),VLOOKUP(G432,NGPrices,3,FALSE()),HLOOKUP(D432,Correllate,VLOOKUP(G432,CorMove,2,FALSE()),FALSE()),Q432-$CD$3,R432,$CJ$5)*H432-CJ432</f>
        <v>#NAME?</v>
      </c>
      <c r="CH432" s="253" t="e">
        <f aca="false">xSPRDOPT((VLOOKUP(G432,NGPREVPRICES,2,FALSE())+HLOOKUP(D432,PREVCURVES,VLOOKUP(G432,MOVE_DOWN2,2,FALSE()),FALSE())),VLOOKUP(G432,NGPREVPRICES,2,FALSE()),CK432,VLOOKUP(G432,NGPREVPRICES,4,FALSE()),HLOOKUP(D432,PREVVOLS,VLOOKUP(G432,MOVE_DOWN2,2,FALSE()),FALSE()),VLOOKUP(G432,NGPREVPRICES,3,FALSE()),HLOOKUP(D432,Correllate,VLOOKUP(G432,CorMove,2,FALSE()),FALSE()),Q432-$C$3,R432,$CJ$5)*H432-CJ432</f>
        <v>#NAME?</v>
      </c>
      <c r="CI432" s="253" t="e">
        <f aca="false">SUM(CD432:CH432)</f>
        <v>#NAME?</v>
      </c>
      <c r="CJ432" s="253" t="e">
        <f aca="false">xSPRDOPT((VLOOKUP(G432,NGPREVPRICES,2,FALSE())+HLOOKUP(D432,PREVCURVES,VLOOKUP(G432,MOVE_DOWN2,2,FALSE()),FALSE())),VLOOKUP(G432,NGPREVPRICES,2,FALSE()),CK432,VLOOKUP(G432,NGPREVPRICES,4,FALSE()),HLOOKUP(D432,PREVVOLS,VLOOKUP(G432,MOVE_DOWN2,2,FALSE()),FALSE()),VLOOKUP(G432,NGPREVPRICES,3,FALSE()),HLOOKUP(D432,Correllate,VLOOKUP(G432,CorMove,2,FALSE()),FALSE()),Q432-$CD$3,R432,$CJ$5)*H432</f>
        <v>#NAME?</v>
      </c>
      <c r="CK432" s="254" t="n">
        <f aca="false">I432</f>
        <v>0.95</v>
      </c>
      <c r="CM432" s="0" t="str">
        <f aca="false">CONCATENATE(CC432,$CD$6)</f>
        <v>36861Curve Shift/Gamma</v>
      </c>
      <c r="CN432" s="0" t="str">
        <f aca="false">CONCATENATE($CC432,$CE$6)</f>
        <v>36861Rho</v>
      </c>
      <c r="CO432" s="0" t="str">
        <f aca="false">CONCATENATE($CC432,$CF$6)</f>
        <v>36861Drift</v>
      </c>
      <c r="CP432" s="0" t="str">
        <f aca="false">CONCATENATE($CC432,$CG$6)</f>
        <v>36861Vega</v>
      </c>
      <c r="CQ432" s="0" t="str">
        <f aca="false">CONCATENATE($CC432,$CH$6)</f>
        <v>36861Theta</v>
      </c>
    </row>
    <row r="433" customFormat="false" ht="12.75" hidden="false" customHeight="false" outlineLevel="0" collapsed="false">
      <c r="A433" s="17" t="s">
        <v>244</v>
      </c>
      <c r="B433" s="0" t="s">
        <v>192</v>
      </c>
      <c r="C433" s="0" t="s">
        <v>352</v>
      </c>
      <c r="D433" s="0" t="s">
        <v>149</v>
      </c>
      <c r="E433" s="0" t="s">
        <v>131</v>
      </c>
      <c r="F433" s="0" t="s">
        <v>132</v>
      </c>
      <c r="G433" s="92" t="n">
        <v>36831</v>
      </c>
      <c r="H433" s="248" t="n">
        <v>1000000</v>
      </c>
      <c r="I433" s="0" t="n">
        <v>0.95</v>
      </c>
      <c r="J433" s="124" t="n">
        <f aca="false">VLOOKUP(G433,NGPrices,2,FALSE())</f>
        <v>4.736</v>
      </c>
      <c r="K433" s="125" t="n">
        <f aca="false">HLOOKUP(D433,Prices,VLOOKUP(G433,move_down,2,FALSE()),FALSE())+VLOOKUP(G433,CHANGE,HLOOKUP(D433,CHANGE,2,FALSE()),FALSE())</f>
        <v>0.77</v>
      </c>
      <c r="L433" s="124" t="n">
        <f aca="false">K433+J433</f>
        <v>5.506</v>
      </c>
      <c r="M433" s="126" t="n">
        <f aca="false">VLOOKUP(G433,NGPrices,4,FALSE())</f>
        <v>0.06810675983792</v>
      </c>
      <c r="N433" s="7" t="n">
        <f aca="false">VLOOKUP(G433,NGPrices,3,FALSE())</f>
        <v>0.595</v>
      </c>
      <c r="O433" s="7" t="n">
        <f aca="false">HLOOKUP(D433,VOLS,VLOOKUP(G433,move_down,2,FALSE()),FALSE())</f>
        <v>0.625</v>
      </c>
      <c r="P433" s="249" t="n">
        <f aca="false">HLOOKUP(D433,Correllate,VLOOKUP(G433,CorMove,2,FALSE()),FALSE())</f>
        <v>0.89</v>
      </c>
      <c r="Q433" s="92" t="n">
        <f aca="false">WORKDAY(G433,-2)</f>
        <v>36829</v>
      </c>
      <c r="R433" s="7" t="n">
        <f aca="false">IF(F433="P",0,1)</f>
        <v>0</v>
      </c>
      <c r="S433" s="130" t="e">
        <f aca="false">xSPRDOPT($L433,$J433,$I433,$M433,$O433,$N433,$P433,$Q433-$C$3,$R433,0)</f>
        <v>#NAME?</v>
      </c>
      <c r="T433" s="250" t="e">
        <f aca="false">xSPRDOPT($L433,$J433,$I433,$M433,$O433,$N433,$P433,$Q433-$C$3,$R433,1)*H433</f>
        <v>#NAME?</v>
      </c>
      <c r="U433" s="43" t="e">
        <f aca="false">S433*H433</f>
        <v>#NAME?</v>
      </c>
      <c r="V433" s="250" t="e">
        <f aca="false">xSPRDOPT($L433,$J433,$I433,$M433,$O433,$N433,$P433,$Q433-$C$3,$R433,2)*H433</f>
        <v>#NAME?</v>
      </c>
      <c r="W433" s="250" t="e">
        <f aca="false">+V433+T433</f>
        <v>#NAME?</v>
      </c>
      <c r="X433" s="2" t="str">
        <f aca="false">CONCATENATE(G433,D433)</f>
        <v>36831IF-TRANSCO/Z6</v>
      </c>
      <c r="Y433" s="251" t="n">
        <f aca="false">H433/10000</f>
        <v>100</v>
      </c>
      <c r="Z433" s="226" t="e">
        <f aca="false">T433/H433</f>
        <v>#NAME?</v>
      </c>
      <c r="AA433" s="226" t="e">
        <f aca="false">xSPRDOPT($L433,$J433,$I433,$M433,$O433,$N433,$P433,$Q433-$C$3,$R433,3)</f>
        <v>#NAME?</v>
      </c>
      <c r="AB433" s="226" t="e">
        <f aca="false">((xSPRDOPT($L433+AB$5,$J433,$I433,$M433,$O433,$N433,$P433,$Q433-$C$3,$R433,3)*$H433)/10000)/100</f>
        <v>#NAME?</v>
      </c>
      <c r="AC433" s="226" t="e">
        <f aca="false">((xSPRDOPT($L433+$AB$5,$J433,$I433,$M433,$O433,$N433,$P433,$Q433-$C$3,$R433,7)*$H433)/100)</f>
        <v>#NAME?</v>
      </c>
      <c r="AD433" s="226" t="e">
        <f aca="false">(xSPRDOPT($L433+$AB$5,$J433,$I433,$M433,$O433,$N433,$P433,$Q433-$C$3,$R433,9)/365)*$H433</f>
        <v>#NAME?</v>
      </c>
      <c r="AE433" s="0" t="e">
        <f aca="false">CD433</f>
        <v>#NAME?</v>
      </c>
      <c r="AF433" s="226" t="e">
        <f aca="false">((O433/N433)*AH433)+AG433</f>
        <v>#NAME?</v>
      </c>
      <c r="AG433" s="226" t="e">
        <f aca="false">((xSPRDOPT($L433,$J433,$I433,$M433,$O433,$N433,$P433,$Q433-$C$3,$R433,6)*$H433)/100)</f>
        <v>#NAME?</v>
      </c>
      <c r="AH433" s="226" t="e">
        <f aca="false">((xSPRDOPT($L433,$J433,$I433,$M433,$O433,$N433,$P433,$Q433-$C$3,$R433,5)*$H433)/100)</f>
        <v>#NAME?</v>
      </c>
      <c r="AI433" s="226" t="e">
        <f aca="false">(((xSPRDOPT($L433,$J433,$I433,$M433,$O433,$N433,$P433,$Q433-$C$3,$R433,4)*$H433)/10000)/100)-AB433</f>
        <v>#NAME?</v>
      </c>
      <c r="AJ433" s="226"/>
      <c r="AK433" s="226"/>
      <c r="AL433" s="226"/>
      <c r="AM433" s="252"/>
      <c r="CC433" s="182" t="n">
        <f aca="false">G433</f>
        <v>36831</v>
      </c>
      <c r="CD433" s="253" t="e">
        <f aca="false">xSPRDOPT((VLOOKUP(G433,NGPrices,2,FALSE())+HLOOKUP(D433,Prices,VLOOKUP(G433,move_down,2,FALSE()),FALSE())),VLOOKUP(G433,NGPrices,2,FALSE()),I433,VLOOKUP(G433,NGPREVPRICES,4,FALSE()),HLOOKUP(D433,PREVVOLS,VLOOKUP(G433,MOVE_DOWN2,2,FALSE()),FALSE()),VLOOKUP(G433,NGPREVPRICES,3,FALSE()),HLOOKUP(D433,Correllate,VLOOKUP(G433,CorMove,2,FALSE()),FALSE()),Q433-$CD$3,R433,$CD$5)*H433-CJ433</f>
        <v>#NAME?</v>
      </c>
      <c r="CE433" s="253" t="e">
        <f aca="false">xSPRDOPT((VLOOKUP(G433,NGPREVPRICES,2,FALSE())+HLOOKUP(D433,PREVCURVES,VLOOKUP(G433,MOVE_DOWN2,2,FALSE()),FALSE())),VLOOKUP(G433,NGPREVPRICES,2,FALSE()),CK433,VLOOKUP(G433,NGPrices,4,FALSE()),HLOOKUP(D433,PREVVOLS,VLOOKUP(G433,MOVE_DOWN2,2,FALSE()),FALSE()),VLOOKUP(G433,NGPREVPRICES,3,FALSE()),HLOOKUP(D433,Correllate,VLOOKUP(G433,CorMove,2,FALSE()),FALSE()),Q433-$CD$3,R433,$CJ$5)*H433-CJ433</f>
        <v>#NAME?</v>
      </c>
      <c r="CF433" s="132" t="e">
        <f aca="false">(CJ433/VLOOKUP(CC433,discount,3,FALSE()))-(CJ433/VLOOKUP(CC433,discount,2,FALSE()))</f>
        <v>#NAME?</v>
      </c>
      <c r="CG433" s="253" t="e">
        <f aca="false">xSPRDOPT((VLOOKUP(G433,NGPREVPRICES,2,FALSE())+HLOOKUP(D433,PREVCURVES,VLOOKUP(G433,MOVE_DOWN2,2,FALSE()),FALSE())),VLOOKUP(G433,NGPREVPRICES,2,FALSE()),CK433,VLOOKUP(G433,NGPREVPRICES,4,FALSE()),HLOOKUP(D433,VOLS,VLOOKUP(G433,move_down,2,FALSE()),FALSE()),VLOOKUP(G433,NGPrices,3,FALSE()),HLOOKUP(D433,Correllate,VLOOKUP(G433,CorMove,2,FALSE()),FALSE()),Q433-$CD$3,R433,$CJ$5)*H433-CJ433</f>
        <v>#NAME?</v>
      </c>
      <c r="CH433" s="253" t="e">
        <f aca="false">xSPRDOPT((VLOOKUP(G433,NGPREVPRICES,2,FALSE())+HLOOKUP(D433,PREVCURVES,VLOOKUP(G433,MOVE_DOWN2,2,FALSE()),FALSE())),VLOOKUP(G433,NGPREVPRICES,2,FALSE()),CK433,VLOOKUP(G433,NGPREVPRICES,4,FALSE()),HLOOKUP(D433,PREVVOLS,VLOOKUP(G433,MOVE_DOWN2,2,FALSE()),FALSE()),VLOOKUP(G433,NGPREVPRICES,3,FALSE()),HLOOKUP(D433,Correllate,VLOOKUP(G433,CorMove,2,FALSE()),FALSE()),Q433-$C$3,R433,$CJ$5)*H433-CJ433</f>
        <v>#NAME?</v>
      </c>
      <c r="CI433" s="253" t="e">
        <f aca="false">SUM(CD433:CH433)</f>
        <v>#NAME?</v>
      </c>
      <c r="CJ433" s="253" t="e">
        <f aca="false">xSPRDOPT((VLOOKUP(G433,NGPREVPRICES,2,FALSE())+HLOOKUP(D433,PREVCURVES,VLOOKUP(G433,MOVE_DOWN2,2,FALSE()),FALSE())),VLOOKUP(G433,NGPREVPRICES,2,FALSE()),CK433,VLOOKUP(G433,NGPREVPRICES,4,FALSE()),HLOOKUP(D433,PREVVOLS,VLOOKUP(G433,MOVE_DOWN2,2,FALSE()),FALSE()),VLOOKUP(G433,NGPREVPRICES,3,FALSE()),HLOOKUP(D433,Correllate,VLOOKUP(G433,CorMove,2,FALSE()),FALSE()),Q433-$CD$3,R433,$CJ$5)*H433</f>
        <v>#NAME?</v>
      </c>
      <c r="CK433" s="254" t="n">
        <f aca="false">I433</f>
        <v>0.95</v>
      </c>
      <c r="CM433" s="0" t="str">
        <f aca="false">CONCATENATE(CC433,$CD$6)</f>
        <v>36831Curve Shift/Gamma</v>
      </c>
      <c r="CN433" s="0" t="str">
        <f aca="false">CONCATENATE($CC433,$CE$6)</f>
        <v>36831Rho</v>
      </c>
      <c r="CO433" s="0" t="str">
        <f aca="false">CONCATENATE($CC433,$CF$6)</f>
        <v>36831Drift</v>
      </c>
      <c r="CP433" s="0" t="str">
        <f aca="false">CONCATENATE($CC433,$CG$6)</f>
        <v>36831Vega</v>
      </c>
      <c r="CQ433" s="0" t="str">
        <f aca="false">CONCATENATE($CC433,$CH$6)</f>
        <v>36831Theta</v>
      </c>
    </row>
    <row r="434" customFormat="false" ht="12.75" hidden="false" customHeight="false" outlineLevel="0" collapsed="false">
      <c r="A434" s="17" t="s">
        <v>208</v>
      </c>
      <c r="B434" s="0" t="s">
        <v>192</v>
      </c>
      <c r="C434" s="0" t="s">
        <v>353</v>
      </c>
      <c r="D434" s="0" t="s">
        <v>156</v>
      </c>
      <c r="E434" s="0" t="s">
        <v>131</v>
      </c>
      <c r="F434" s="0" t="s">
        <v>136</v>
      </c>
      <c r="G434" s="92" t="n">
        <v>36951</v>
      </c>
      <c r="H434" s="248" t="n">
        <v>-500000</v>
      </c>
      <c r="I434" s="0" t="n">
        <v>0.35</v>
      </c>
      <c r="J434" s="124" t="n">
        <f aca="false">VLOOKUP(G434,NGPrices,2,FALSE())</f>
        <v>4.213</v>
      </c>
      <c r="K434" s="125" t="n">
        <f aca="false">HLOOKUP(D434,Prices,VLOOKUP(G434,move_down,2,FALSE()),FALSE())+VLOOKUP(G434,CHANGE,HLOOKUP(D434,CHANGE,2,FALSE()),FALSE())</f>
        <v>0.2275</v>
      </c>
      <c r="L434" s="124" t="n">
        <f aca="false">K434+J434</f>
        <v>4.4405</v>
      </c>
      <c r="M434" s="126" t="n">
        <f aca="false">VLOOKUP(G434,NGPrices,4,FALSE())</f>
        <v>0.068879814952707</v>
      </c>
      <c r="N434" s="7" t="n">
        <f aca="false">VLOOKUP(G434,NGPrices,3,FALSE())</f>
        <v>0.5325</v>
      </c>
      <c r="O434" s="7" t="n">
        <f aca="false">HLOOKUP(D434,VOLS,VLOOKUP(G434,move_down,2,FALSE()),FALSE())</f>
        <v>0.533</v>
      </c>
      <c r="P434" s="249" t="n">
        <f aca="false">HLOOKUP(D434,Correllate,VLOOKUP(G434,CorMove,2,FALSE()),FALSE())</f>
        <v>0.995</v>
      </c>
      <c r="Q434" s="92" t="n">
        <f aca="false">WORKDAY(G434,-2)</f>
        <v>36949</v>
      </c>
      <c r="R434" s="7" t="n">
        <f aca="false">IF(F434="P",0,1)</f>
        <v>1</v>
      </c>
      <c r="S434" s="130" t="e">
        <f aca="false">xSPRDOPT($L434,$J434,$I434,$M434,$O434,$N434,$P434,$Q434-$C$3,$R434,0)</f>
        <v>#NAME?</v>
      </c>
      <c r="T434" s="250" t="e">
        <f aca="false">xSPRDOPT($L434,$J434,$I434,$M434,$O434,$N434,$P434,$Q434-$C$3,$R434,1)*H434</f>
        <v>#NAME?</v>
      </c>
      <c r="U434" s="43" t="e">
        <f aca="false">S434*H434</f>
        <v>#NAME?</v>
      </c>
      <c r="V434" s="250" t="e">
        <f aca="false">xSPRDOPT($L434,$J434,$I434,$M434,$O434,$N434,$P434,$Q434-$C$3,$R434,2)*H434</f>
        <v>#NAME?</v>
      </c>
      <c r="W434" s="250" t="e">
        <f aca="false">+V434+T434</f>
        <v>#NAME?</v>
      </c>
      <c r="X434" s="2" t="str">
        <f aca="false">CONCATENATE(G434,D434)</f>
        <v>36951MICH_CG-GD</v>
      </c>
      <c r="Y434" s="251" t="n">
        <f aca="false">H434/10000</f>
        <v>-50</v>
      </c>
      <c r="Z434" s="226" t="e">
        <f aca="false">T434/H434</f>
        <v>#NAME?</v>
      </c>
      <c r="AA434" s="226" t="e">
        <f aca="false">xSPRDOPT($L434,$J434,$I434,$M434,$O434,$N434,$P434,$Q434-$C$3,$R434,3)</f>
        <v>#NAME?</v>
      </c>
      <c r="AB434" s="226" t="e">
        <f aca="false">((xSPRDOPT($L434+AB$5,$J434,$I434,$M434,$O434,$N434,$P434,$Q434-$C$3,$R434,3)*$H434)/10000)/100</f>
        <v>#NAME?</v>
      </c>
      <c r="AC434" s="226" t="e">
        <f aca="false">((xSPRDOPT($L434+$AB$5,$J434,$I434,$M434,$O434,$N434,$P434,$Q434-$C$3,$R434,7)*$H434)/100)</f>
        <v>#NAME?</v>
      </c>
      <c r="AD434" s="226" t="e">
        <f aca="false">(xSPRDOPT($L434+$AB$5,$J434,$I434,$M434,$O434,$N434,$P434,$Q434-$C$3,$R434,9)/365)*$H434</f>
        <v>#NAME?</v>
      </c>
      <c r="AE434" s="0" t="e">
        <f aca="false">CD434</f>
        <v>#NAME?</v>
      </c>
      <c r="AF434" s="226" t="e">
        <f aca="false">((O434/N434)*AH434)+AG434</f>
        <v>#NAME?</v>
      </c>
      <c r="AG434" s="226" t="e">
        <f aca="false">((xSPRDOPT($L434,$J434,$I434,$M434,$O434,$N434,$P434,$Q434-$C$3,$R434,6)*$H434)/100)</f>
        <v>#NAME?</v>
      </c>
      <c r="AH434" s="226" t="e">
        <f aca="false">((xSPRDOPT($L434,$J434,$I434,$M434,$O434,$N434,$P434,$Q434-$C$3,$R434,5)*$H434)/100)</f>
        <v>#NAME?</v>
      </c>
      <c r="AI434" s="226" t="e">
        <f aca="false">(((xSPRDOPT($L434,$J434,$I434,$M434,$O434,$N434,$P434,$Q434-$C$3,$R434,4)*$H434)/10000)/100)-AB434</f>
        <v>#NAME?</v>
      </c>
      <c r="AJ434" s="226"/>
      <c r="AK434" s="226"/>
      <c r="AL434" s="226"/>
      <c r="AM434" s="252"/>
      <c r="CC434" s="182" t="n">
        <f aca="false">G434</f>
        <v>36951</v>
      </c>
      <c r="CD434" s="253" t="e">
        <f aca="false">xSPRDOPT((VLOOKUP(G434,NGPrices,2,FALSE())+HLOOKUP(D434,Prices,VLOOKUP(G434,move_down,2,FALSE()),FALSE())),VLOOKUP(G434,NGPrices,2,FALSE()),I434,VLOOKUP(G434,NGPREVPRICES,4,FALSE()),HLOOKUP(D434,PREVVOLS,VLOOKUP(G434,MOVE_DOWN2,2,FALSE()),FALSE()),VLOOKUP(G434,NGPREVPRICES,3,FALSE()),HLOOKUP(D434,Correllate,VLOOKUP(G434,CorMove,2,FALSE()),FALSE()),Q434-$CD$3,R434,$CD$5)*H434-CJ434</f>
        <v>#NAME?</v>
      </c>
      <c r="CE434" s="253" t="e">
        <f aca="false">xSPRDOPT((VLOOKUP(G434,NGPREVPRICES,2,FALSE())+HLOOKUP(D434,PREVCURVES,VLOOKUP(G434,MOVE_DOWN2,2,FALSE()),FALSE())),VLOOKUP(G434,NGPREVPRICES,2,FALSE()),CK434,VLOOKUP(G434,NGPrices,4,FALSE()),HLOOKUP(D434,PREVVOLS,VLOOKUP(G434,MOVE_DOWN2,2,FALSE()),FALSE()),VLOOKUP(G434,NGPREVPRICES,3,FALSE()),HLOOKUP(D434,Correllate,VLOOKUP(G434,CorMove,2,FALSE()),FALSE()),Q434-$CD$3,R434,$CJ$5)*H434-CJ434</f>
        <v>#NAME?</v>
      </c>
      <c r="CF434" s="132" t="e">
        <f aca="false">(CJ434/VLOOKUP(CC434,discount,3,FALSE()))-(CJ434/VLOOKUP(CC434,discount,2,FALSE()))</f>
        <v>#NAME?</v>
      </c>
      <c r="CG434" s="253" t="e">
        <f aca="false">xSPRDOPT((VLOOKUP(G434,NGPREVPRICES,2,FALSE())+HLOOKUP(D434,PREVCURVES,VLOOKUP(G434,MOVE_DOWN2,2,FALSE()),FALSE())),VLOOKUP(G434,NGPREVPRICES,2,FALSE()),CK434,VLOOKUP(G434,NGPREVPRICES,4,FALSE()),HLOOKUP(D434,VOLS,VLOOKUP(G434,move_down,2,FALSE()),FALSE()),VLOOKUP(G434,NGPrices,3,FALSE()),HLOOKUP(D434,Correllate,VLOOKUP(G434,CorMove,2,FALSE()),FALSE()),Q434-$CD$3,R434,$CJ$5)*H434-CJ434</f>
        <v>#NAME?</v>
      </c>
      <c r="CH434" s="253" t="e">
        <f aca="false">xSPRDOPT((VLOOKUP(G434,NGPREVPRICES,2,FALSE())+HLOOKUP(D434,PREVCURVES,VLOOKUP(G434,MOVE_DOWN2,2,FALSE()),FALSE())),VLOOKUP(G434,NGPREVPRICES,2,FALSE()),CK434,VLOOKUP(G434,NGPREVPRICES,4,FALSE()),HLOOKUP(D434,PREVVOLS,VLOOKUP(G434,MOVE_DOWN2,2,FALSE()),FALSE()),VLOOKUP(G434,NGPREVPRICES,3,FALSE()),HLOOKUP(D434,Correllate,VLOOKUP(G434,CorMove,2,FALSE()),FALSE()),Q434-$C$3,R434,$CJ$5)*H434-CJ434</f>
        <v>#NAME?</v>
      </c>
      <c r="CI434" s="253" t="e">
        <f aca="false">SUM(CD434:CH434)</f>
        <v>#NAME?</v>
      </c>
      <c r="CJ434" s="253" t="e">
        <f aca="false">xSPRDOPT((VLOOKUP(G434,NGPREVPRICES,2,FALSE())+HLOOKUP(D434,PREVCURVES,VLOOKUP(G434,MOVE_DOWN2,2,FALSE()),FALSE())),VLOOKUP(G434,NGPREVPRICES,2,FALSE()),CK434,VLOOKUP(G434,NGPREVPRICES,4,FALSE()),HLOOKUP(D434,PREVVOLS,VLOOKUP(G434,MOVE_DOWN2,2,FALSE()),FALSE()),VLOOKUP(G434,NGPREVPRICES,3,FALSE()),HLOOKUP(D434,Correllate,VLOOKUP(G434,CorMove,2,FALSE()),FALSE()),Q434-$CD$3,R434,$CJ$5)*H434</f>
        <v>#NAME?</v>
      </c>
      <c r="CK434" s="254" t="n">
        <f aca="false">I434</f>
        <v>0.35</v>
      </c>
      <c r="CM434" s="0" t="str">
        <f aca="false">CONCATENATE(CC434,$CD$6)</f>
        <v>36951Curve Shift/Gamma</v>
      </c>
      <c r="CN434" s="0" t="str">
        <f aca="false">CONCATENATE($CC434,$CE$6)</f>
        <v>36951Rho</v>
      </c>
      <c r="CO434" s="0" t="str">
        <f aca="false">CONCATENATE($CC434,$CF$6)</f>
        <v>36951Drift</v>
      </c>
      <c r="CP434" s="0" t="str">
        <f aca="false">CONCATENATE($CC434,$CG$6)</f>
        <v>36951Vega</v>
      </c>
      <c r="CQ434" s="0" t="str">
        <f aca="false">CONCATENATE($CC434,$CH$6)</f>
        <v>36951Theta</v>
      </c>
    </row>
    <row r="435" customFormat="false" ht="12.75" hidden="false" customHeight="false" outlineLevel="0" collapsed="false">
      <c r="A435" s="17" t="s">
        <v>208</v>
      </c>
      <c r="B435" s="0" t="s">
        <v>192</v>
      </c>
      <c r="C435" s="0" t="s">
        <v>353</v>
      </c>
      <c r="D435" s="0" t="s">
        <v>156</v>
      </c>
      <c r="E435" s="0" t="s">
        <v>131</v>
      </c>
      <c r="F435" s="0" t="s">
        <v>136</v>
      </c>
      <c r="G435" s="92" t="n">
        <v>36923</v>
      </c>
      <c r="H435" s="248" t="n">
        <v>-500000</v>
      </c>
      <c r="I435" s="0" t="n">
        <v>0.35</v>
      </c>
      <c r="J435" s="124" t="n">
        <f aca="false">VLOOKUP(G435,NGPrices,2,FALSE())</f>
        <v>4.48</v>
      </c>
      <c r="K435" s="125" t="n">
        <f aca="false">HLOOKUP(D435,Prices,VLOOKUP(G435,move_down,2,FALSE()),FALSE())+VLOOKUP(G435,CHANGE,HLOOKUP(D435,CHANGE,2,FALSE()),FALSE())</f>
        <v>0.24</v>
      </c>
      <c r="L435" s="124" t="n">
        <f aca="false">K435+J435</f>
        <v>4.72</v>
      </c>
      <c r="M435" s="126" t="n">
        <f aca="false">VLOOKUP(G435,NGPrices,4,FALSE())</f>
        <v>0.068640161611372</v>
      </c>
      <c r="N435" s="7" t="n">
        <f aca="false">VLOOKUP(G435,NGPrices,3,FALSE())</f>
        <v>0.5925</v>
      </c>
      <c r="O435" s="7" t="n">
        <f aca="false">HLOOKUP(D435,VOLS,VLOOKUP(G435,move_down,2,FALSE()),FALSE())</f>
        <v>0.593</v>
      </c>
      <c r="P435" s="249" t="n">
        <f aca="false">HLOOKUP(D435,Correllate,VLOOKUP(G435,CorMove,2,FALSE()),FALSE())</f>
        <v>0.995</v>
      </c>
      <c r="Q435" s="92" t="n">
        <f aca="false">WORKDAY(G435,-2)</f>
        <v>36921</v>
      </c>
      <c r="R435" s="7" t="n">
        <f aca="false">IF(F435="P",0,1)</f>
        <v>1</v>
      </c>
      <c r="S435" s="130" t="e">
        <f aca="false">xSPRDOPT($L435,$J435,$I435,$M435,$O435,$N435,$P435,$Q435-$C$3,$R435,0)</f>
        <v>#NAME?</v>
      </c>
      <c r="T435" s="250" t="e">
        <f aca="false">xSPRDOPT($L435,$J435,$I435,$M435,$O435,$N435,$P435,$Q435-$C$3,$R435,1)*H435</f>
        <v>#NAME?</v>
      </c>
      <c r="U435" s="43" t="e">
        <f aca="false">S435*H435</f>
        <v>#NAME?</v>
      </c>
      <c r="V435" s="250" t="e">
        <f aca="false">xSPRDOPT($L435,$J435,$I435,$M435,$O435,$N435,$P435,$Q435-$C$3,$R435,2)*H435</f>
        <v>#NAME?</v>
      </c>
      <c r="W435" s="250" t="e">
        <f aca="false">+V435+T435</f>
        <v>#NAME?</v>
      </c>
      <c r="X435" s="2" t="str">
        <f aca="false">CONCATENATE(G435,D435)</f>
        <v>36923MICH_CG-GD</v>
      </c>
      <c r="Y435" s="251" t="n">
        <f aca="false">H435/10000</f>
        <v>-50</v>
      </c>
      <c r="Z435" s="226" t="e">
        <f aca="false">T435/H435</f>
        <v>#NAME?</v>
      </c>
      <c r="AA435" s="226" t="e">
        <f aca="false">xSPRDOPT($L435,$J435,$I435,$M435,$O435,$N435,$P435,$Q435-$C$3,$R435,3)</f>
        <v>#NAME?</v>
      </c>
      <c r="AB435" s="226" t="e">
        <f aca="false">((xSPRDOPT($L435+AB$5,$J435,$I435,$M435,$O435,$N435,$P435,$Q435-$C$3,$R435,3)*$H435)/10000)/100</f>
        <v>#NAME?</v>
      </c>
      <c r="AC435" s="226" t="e">
        <f aca="false">((xSPRDOPT($L435+$AB$5,$J435,$I435,$M435,$O435,$N435,$P435,$Q435-$C$3,$R435,7)*$H435)/100)</f>
        <v>#NAME?</v>
      </c>
      <c r="AD435" s="226" t="e">
        <f aca="false">(xSPRDOPT($L435+$AB$5,$J435,$I435,$M435,$O435,$N435,$P435,$Q435-$C$3,$R435,9)/365)*$H435</f>
        <v>#NAME?</v>
      </c>
      <c r="AE435" s="0" t="e">
        <f aca="false">CD435</f>
        <v>#NAME?</v>
      </c>
      <c r="AF435" s="226" t="e">
        <f aca="false">((O435/N435)*AH435)+AG435</f>
        <v>#NAME?</v>
      </c>
      <c r="AG435" s="226" t="e">
        <f aca="false">((xSPRDOPT($L435,$J435,$I435,$M435,$O435,$N435,$P435,$Q435-$C$3,$R435,6)*$H435)/100)</f>
        <v>#NAME?</v>
      </c>
      <c r="AH435" s="226" t="e">
        <f aca="false">((xSPRDOPT($L435,$J435,$I435,$M435,$O435,$N435,$P435,$Q435-$C$3,$R435,5)*$H435)/100)</f>
        <v>#NAME?</v>
      </c>
      <c r="AI435" s="226" t="e">
        <f aca="false">(((xSPRDOPT($L435,$J435,$I435,$M435,$O435,$N435,$P435,$Q435-$C$3,$R435,4)*$H435)/10000)/100)-AB435</f>
        <v>#NAME?</v>
      </c>
      <c r="AJ435" s="226"/>
      <c r="AK435" s="226"/>
      <c r="AL435" s="226"/>
      <c r="AM435" s="252"/>
      <c r="CC435" s="182" t="n">
        <f aca="false">G435</f>
        <v>36923</v>
      </c>
      <c r="CD435" s="253" t="e">
        <f aca="false">xSPRDOPT((VLOOKUP(G435,NGPrices,2,FALSE())+HLOOKUP(D435,Prices,VLOOKUP(G435,move_down,2,FALSE()),FALSE())),VLOOKUP(G435,NGPrices,2,FALSE()),I435,VLOOKUP(G435,NGPREVPRICES,4,FALSE()),HLOOKUP(D435,PREVVOLS,VLOOKUP(G435,MOVE_DOWN2,2,FALSE()),FALSE()),VLOOKUP(G435,NGPREVPRICES,3,FALSE()),HLOOKUP(D435,Correllate,VLOOKUP(G435,CorMove,2,FALSE()),FALSE()),Q435-$CD$3,R435,$CD$5)*H435-CJ435</f>
        <v>#NAME?</v>
      </c>
      <c r="CE435" s="253" t="e">
        <f aca="false">xSPRDOPT((VLOOKUP(G435,NGPREVPRICES,2,FALSE())+HLOOKUP(D435,PREVCURVES,VLOOKUP(G435,MOVE_DOWN2,2,FALSE()),FALSE())),VLOOKUP(G435,NGPREVPRICES,2,FALSE()),CK435,VLOOKUP(G435,NGPrices,4,FALSE()),HLOOKUP(D435,PREVVOLS,VLOOKUP(G435,MOVE_DOWN2,2,FALSE()),FALSE()),VLOOKUP(G435,NGPREVPRICES,3,FALSE()),HLOOKUP(D435,Correllate,VLOOKUP(G435,CorMove,2,FALSE()),FALSE()),Q435-$CD$3,R435,$CJ$5)*H435-CJ435</f>
        <v>#NAME?</v>
      </c>
      <c r="CF435" s="132" t="e">
        <f aca="false">(CJ435/VLOOKUP(CC435,discount,3,FALSE()))-(CJ435/VLOOKUP(CC435,discount,2,FALSE()))</f>
        <v>#NAME?</v>
      </c>
      <c r="CG435" s="253" t="e">
        <f aca="false">xSPRDOPT((VLOOKUP(G435,NGPREVPRICES,2,FALSE())+HLOOKUP(D435,PREVCURVES,VLOOKUP(G435,MOVE_DOWN2,2,FALSE()),FALSE())),VLOOKUP(G435,NGPREVPRICES,2,FALSE()),CK435,VLOOKUP(G435,NGPREVPRICES,4,FALSE()),HLOOKUP(D435,VOLS,VLOOKUP(G435,move_down,2,FALSE()),FALSE()),VLOOKUP(G435,NGPrices,3,FALSE()),HLOOKUP(D435,Correllate,VLOOKUP(G435,CorMove,2,FALSE()),FALSE()),Q435-$CD$3,R435,$CJ$5)*H435-CJ435</f>
        <v>#NAME?</v>
      </c>
      <c r="CH435" s="253" t="e">
        <f aca="false">xSPRDOPT((VLOOKUP(G435,NGPREVPRICES,2,FALSE())+HLOOKUP(D435,PREVCURVES,VLOOKUP(G435,MOVE_DOWN2,2,FALSE()),FALSE())),VLOOKUP(G435,NGPREVPRICES,2,FALSE()),CK435,VLOOKUP(G435,NGPREVPRICES,4,FALSE()),HLOOKUP(D435,PREVVOLS,VLOOKUP(G435,MOVE_DOWN2,2,FALSE()),FALSE()),VLOOKUP(G435,NGPREVPRICES,3,FALSE()),HLOOKUP(D435,Correllate,VLOOKUP(G435,CorMove,2,FALSE()),FALSE()),Q435-$C$3,R435,$CJ$5)*H435-CJ435</f>
        <v>#NAME?</v>
      </c>
      <c r="CI435" s="253" t="e">
        <f aca="false">SUM(CD435:CH435)</f>
        <v>#NAME?</v>
      </c>
      <c r="CJ435" s="253" t="e">
        <f aca="false">xSPRDOPT((VLOOKUP(G435,NGPREVPRICES,2,FALSE())+HLOOKUP(D435,PREVCURVES,VLOOKUP(G435,MOVE_DOWN2,2,FALSE()),FALSE())),VLOOKUP(G435,NGPREVPRICES,2,FALSE()),CK435,VLOOKUP(G435,NGPREVPRICES,4,FALSE()),HLOOKUP(D435,PREVVOLS,VLOOKUP(G435,MOVE_DOWN2,2,FALSE()),FALSE()),VLOOKUP(G435,NGPREVPRICES,3,FALSE()),HLOOKUP(D435,Correllate,VLOOKUP(G435,CorMove,2,FALSE()),FALSE()),Q435-$CD$3,R435,$CJ$5)*H435</f>
        <v>#NAME?</v>
      </c>
      <c r="CK435" s="254" t="n">
        <f aca="false">I435</f>
        <v>0.35</v>
      </c>
      <c r="CM435" s="0" t="str">
        <f aca="false">CONCATENATE(CC435,$CD$6)</f>
        <v>36923Curve Shift/Gamma</v>
      </c>
      <c r="CN435" s="0" t="str">
        <f aca="false">CONCATENATE($CC435,$CE$6)</f>
        <v>36923Rho</v>
      </c>
      <c r="CO435" s="0" t="str">
        <f aca="false">CONCATENATE($CC435,$CF$6)</f>
        <v>36923Drift</v>
      </c>
      <c r="CP435" s="0" t="str">
        <f aca="false">CONCATENATE($CC435,$CG$6)</f>
        <v>36923Vega</v>
      </c>
      <c r="CQ435" s="0" t="str">
        <f aca="false">CONCATENATE($CC435,$CH$6)</f>
        <v>36923Theta</v>
      </c>
    </row>
    <row r="436" customFormat="false" ht="12.75" hidden="false" customHeight="false" outlineLevel="0" collapsed="false">
      <c r="A436" s="17" t="s">
        <v>208</v>
      </c>
      <c r="B436" s="0" t="s">
        <v>192</v>
      </c>
      <c r="C436" s="0" t="s">
        <v>353</v>
      </c>
      <c r="D436" s="0" t="s">
        <v>156</v>
      </c>
      <c r="E436" s="0" t="s">
        <v>131</v>
      </c>
      <c r="F436" s="0" t="s">
        <v>136</v>
      </c>
      <c r="G436" s="92" t="n">
        <v>36892</v>
      </c>
      <c r="H436" s="248" t="n">
        <v>-500000</v>
      </c>
      <c r="I436" s="0" t="n">
        <v>0.35</v>
      </c>
      <c r="J436" s="124" t="n">
        <f aca="false">VLOOKUP(G436,NGPrices,2,FALSE())</f>
        <v>4.744</v>
      </c>
      <c r="K436" s="125" t="n">
        <f aca="false">HLOOKUP(D436,Prices,VLOOKUP(G436,move_down,2,FALSE()),FALSE())+VLOOKUP(G436,CHANGE,HLOOKUP(D436,CHANGE,2,FALSE()),FALSE())</f>
        <v>0.22</v>
      </c>
      <c r="L436" s="124" t="n">
        <f aca="false">K436+J436</f>
        <v>4.964</v>
      </c>
      <c r="M436" s="126" t="n">
        <f aca="false">VLOOKUP(G436,NGPrices,4,FALSE())</f>
        <v>0.068374831148491</v>
      </c>
      <c r="N436" s="7" t="n">
        <f aca="false">VLOOKUP(G436,NGPrices,3,FALSE())</f>
        <v>0.605</v>
      </c>
      <c r="O436" s="7" t="n">
        <f aca="false">HLOOKUP(D436,VOLS,VLOOKUP(G436,move_down,2,FALSE()),FALSE())</f>
        <v>0.605</v>
      </c>
      <c r="P436" s="249" t="n">
        <f aca="false">HLOOKUP(D436,Correllate,VLOOKUP(G436,CorMove,2,FALSE()),FALSE())</f>
        <v>0.995</v>
      </c>
      <c r="Q436" s="92" t="n">
        <f aca="false">WORKDAY(G436,-2)</f>
        <v>36888</v>
      </c>
      <c r="R436" s="7" t="n">
        <f aca="false">IF(F436="P",0,1)</f>
        <v>1</v>
      </c>
      <c r="S436" s="130" t="e">
        <f aca="false">xSPRDOPT($L436,$J436,$I436,$M436,$O436,$N436,$P436,$Q436-$C$3,$R436,0)</f>
        <v>#NAME?</v>
      </c>
      <c r="T436" s="250" t="e">
        <f aca="false">xSPRDOPT($L436,$J436,$I436,$M436,$O436,$N436,$P436,$Q436-$C$3,$R436,1)*H436</f>
        <v>#NAME?</v>
      </c>
      <c r="U436" s="43" t="e">
        <f aca="false">S436*H436</f>
        <v>#NAME?</v>
      </c>
      <c r="V436" s="250" t="e">
        <f aca="false">xSPRDOPT($L436,$J436,$I436,$M436,$O436,$N436,$P436,$Q436-$C$3,$R436,2)*H436</f>
        <v>#NAME?</v>
      </c>
      <c r="W436" s="250" t="e">
        <f aca="false">+V436+T436</f>
        <v>#NAME?</v>
      </c>
      <c r="X436" s="2" t="str">
        <f aca="false">CONCATENATE(G436,D436)</f>
        <v>36892MICH_CG-GD</v>
      </c>
      <c r="Y436" s="251" t="n">
        <f aca="false">H436/10000</f>
        <v>-50</v>
      </c>
      <c r="Z436" s="226" t="e">
        <f aca="false">T436/H436</f>
        <v>#NAME?</v>
      </c>
      <c r="AA436" s="226" t="e">
        <f aca="false">xSPRDOPT($L436,$J436,$I436,$M436,$O436,$N436,$P436,$Q436-$C$3,$R436,3)</f>
        <v>#NAME?</v>
      </c>
      <c r="AB436" s="226" t="e">
        <f aca="false">((xSPRDOPT($L436+AB$5,$J436,$I436,$M436,$O436,$N436,$P436,$Q436-$C$3,$R436,3)*$H436)/10000)/100</f>
        <v>#NAME?</v>
      </c>
      <c r="AC436" s="226" t="e">
        <f aca="false">((xSPRDOPT($L436+$AB$5,$J436,$I436,$M436,$O436,$N436,$P436,$Q436-$C$3,$R436,7)*$H436)/100)</f>
        <v>#NAME?</v>
      </c>
      <c r="AD436" s="226" t="e">
        <f aca="false">(xSPRDOPT($L436+$AB$5,$J436,$I436,$M436,$O436,$N436,$P436,$Q436-$C$3,$R436,9)/365)*$H436</f>
        <v>#NAME?</v>
      </c>
      <c r="AE436" s="0" t="e">
        <f aca="false">CD436</f>
        <v>#NAME?</v>
      </c>
      <c r="AF436" s="226" t="e">
        <f aca="false">((O436/N436)*AH436)+AG436</f>
        <v>#NAME?</v>
      </c>
      <c r="AG436" s="226" t="e">
        <f aca="false">((xSPRDOPT($L436,$J436,$I436,$M436,$O436,$N436,$P436,$Q436-$C$3,$R436,6)*$H436)/100)</f>
        <v>#NAME?</v>
      </c>
      <c r="AH436" s="226" t="e">
        <f aca="false">((xSPRDOPT($L436,$J436,$I436,$M436,$O436,$N436,$P436,$Q436-$C$3,$R436,5)*$H436)/100)</f>
        <v>#NAME?</v>
      </c>
      <c r="AI436" s="226" t="e">
        <f aca="false">(((xSPRDOPT($L436,$J436,$I436,$M436,$O436,$N436,$P436,$Q436-$C$3,$R436,4)*$H436)/10000)/100)-AB436</f>
        <v>#NAME?</v>
      </c>
      <c r="AJ436" s="226"/>
      <c r="AK436" s="226"/>
      <c r="AL436" s="226"/>
      <c r="AM436" s="252"/>
      <c r="CC436" s="182" t="n">
        <f aca="false">G436</f>
        <v>36892</v>
      </c>
      <c r="CD436" s="253" t="e">
        <f aca="false">xSPRDOPT((VLOOKUP(G436,NGPrices,2,FALSE())+HLOOKUP(D436,Prices,VLOOKUP(G436,move_down,2,FALSE()),FALSE())),VLOOKUP(G436,NGPrices,2,FALSE()),I436,VLOOKUP(G436,NGPREVPRICES,4,FALSE()),HLOOKUP(D436,PREVVOLS,VLOOKUP(G436,MOVE_DOWN2,2,FALSE()),FALSE()),VLOOKUP(G436,NGPREVPRICES,3,FALSE()),HLOOKUP(D436,Correllate,VLOOKUP(G436,CorMove,2,FALSE()),FALSE()),Q436-$CD$3,R436,$CD$5)*H436-CJ436</f>
        <v>#NAME?</v>
      </c>
      <c r="CE436" s="253" t="e">
        <f aca="false">xSPRDOPT((VLOOKUP(G436,NGPREVPRICES,2,FALSE())+HLOOKUP(D436,PREVCURVES,VLOOKUP(G436,MOVE_DOWN2,2,FALSE()),FALSE())),VLOOKUP(G436,NGPREVPRICES,2,FALSE()),CK436,VLOOKUP(G436,NGPrices,4,FALSE()),HLOOKUP(D436,PREVVOLS,VLOOKUP(G436,MOVE_DOWN2,2,FALSE()),FALSE()),VLOOKUP(G436,NGPREVPRICES,3,FALSE()),HLOOKUP(D436,Correllate,VLOOKUP(G436,CorMove,2,FALSE()),FALSE()),Q436-$CD$3,R436,$CJ$5)*H436-CJ436</f>
        <v>#NAME?</v>
      </c>
      <c r="CF436" s="132" t="e">
        <f aca="false">(CJ436/VLOOKUP(CC436,discount,3,FALSE()))-(CJ436/VLOOKUP(CC436,discount,2,FALSE()))</f>
        <v>#NAME?</v>
      </c>
      <c r="CG436" s="253" t="e">
        <f aca="false">xSPRDOPT((VLOOKUP(G436,NGPREVPRICES,2,FALSE())+HLOOKUP(D436,PREVCURVES,VLOOKUP(G436,MOVE_DOWN2,2,FALSE()),FALSE())),VLOOKUP(G436,NGPREVPRICES,2,FALSE()),CK436,VLOOKUP(G436,NGPREVPRICES,4,FALSE()),HLOOKUP(D436,VOLS,VLOOKUP(G436,move_down,2,FALSE()),FALSE()),VLOOKUP(G436,NGPrices,3,FALSE()),HLOOKUP(D436,Correllate,VLOOKUP(G436,CorMove,2,FALSE()),FALSE()),Q436-$CD$3,R436,$CJ$5)*H436-CJ436</f>
        <v>#NAME?</v>
      </c>
      <c r="CH436" s="253" t="e">
        <f aca="false">xSPRDOPT((VLOOKUP(G436,NGPREVPRICES,2,FALSE())+HLOOKUP(D436,PREVCURVES,VLOOKUP(G436,MOVE_DOWN2,2,FALSE()),FALSE())),VLOOKUP(G436,NGPREVPRICES,2,FALSE()),CK436,VLOOKUP(G436,NGPREVPRICES,4,FALSE()),HLOOKUP(D436,PREVVOLS,VLOOKUP(G436,MOVE_DOWN2,2,FALSE()),FALSE()),VLOOKUP(G436,NGPREVPRICES,3,FALSE()),HLOOKUP(D436,Correllate,VLOOKUP(G436,CorMove,2,FALSE()),FALSE()),Q436-$C$3,R436,$CJ$5)*H436-CJ436</f>
        <v>#NAME?</v>
      </c>
      <c r="CI436" s="253" t="e">
        <f aca="false">SUM(CD436:CH436)</f>
        <v>#NAME?</v>
      </c>
      <c r="CJ436" s="253" t="e">
        <f aca="false">xSPRDOPT((VLOOKUP(G436,NGPREVPRICES,2,FALSE())+HLOOKUP(D436,PREVCURVES,VLOOKUP(G436,MOVE_DOWN2,2,FALSE()),FALSE())),VLOOKUP(G436,NGPREVPRICES,2,FALSE()),CK436,VLOOKUP(G436,NGPREVPRICES,4,FALSE()),HLOOKUP(D436,PREVVOLS,VLOOKUP(G436,MOVE_DOWN2,2,FALSE()),FALSE()),VLOOKUP(G436,NGPREVPRICES,3,FALSE()),HLOOKUP(D436,Correllate,VLOOKUP(G436,CorMove,2,FALSE()),FALSE()),Q436-$CD$3,R436,$CJ$5)*H436</f>
        <v>#NAME?</v>
      </c>
      <c r="CK436" s="254" t="n">
        <f aca="false">I436</f>
        <v>0.35</v>
      </c>
      <c r="CM436" s="0" t="str">
        <f aca="false">CONCATENATE(CC436,$CD$6)</f>
        <v>36892Curve Shift/Gamma</v>
      </c>
      <c r="CN436" s="0" t="str">
        <f aca="false">CONCATENATE($CC436,$CE$6)</f>
        <v>36892Rho</v>
      </c>
      <c r="CO436" s="0" t="str">
        <f aca="false">CONCATENATE($CC436,$CF$6)</f>
        <v>36892Drift</v>
      </c>
      <c r="CP436" s="0" t="str">
        <f aca="false">CONCATENATE($CC436,$CG$6)</f>
        <v>36892Vega</v>
      </c>
      <c r="CQ436" s="0" t="str">
        <f aca="false">CONCATENATE($CC436,$CH$6)</f>
        <v>36892Theta</v>
      </c>
    </row>
    <row r="437" customFormat="false" ht="12.75" hidden="false" customHeight="false" outlineLevel="0" collapsed="false">
      <c r="A437" s="17" t="s">
        <v>208</v>
      </c>
      <c r="B437" s="0" t="s">
        <v>192</v>
      </c>
      <c r="C437" s="0" t="s">
        <v>353</v>
      </c>
      <c r="D437" s="0" t="s">
        <v>156</v>
      </c>
      <c r="E437" s="0" t="s">
        <v>131</v>
      </c>
      <c r="F437" s="0" t="s">
        <v>136</v>
      </c>
      <c r="G437" s="92" t="n">
        <v>36861</v>
      </c>
      <c r="H437" s="248" t="n">
        <v>-500000</v>
      </c>
      <c r="I437" s="0" t="n">
        <v>0.35</v>
      </c>
      <c r="J437" s="124" t="n">
        <f aca="false">VLOOKUP(G437,NGPrices,2,FALSE())</f>
        <v>4.8</v>
      </c>
      <c r="K437" s="125" t="n">
        <f aca="false">HLOOKUP(D437,Prices,VLOOKUP(G437,move_down,2,FALSE()),FALSE())+VLOOKUP(G437,CHANGE,HLOOKUP(D437,CHANGE,2,FALSE()),FALSE())</f>
        <v>0.1925</v>
      </c>
      <c r="L437" s="124" t="n">
        <f aca="false">K437+J437</f>
        <v>4.9925</v>
      </c>
      <c r="M437" s="126" t="n">
        <f aca="false">VLOOKUP(G437,NGPrices,4,FALSE())</f>
        <v>0.068314027999354</v>
      </c>
      <c r="N437" s="7" t="n">
        <f aca="false">VLOOKUP(G437,NGPrices,3,FALSE())</f>
        <v>0.6</v>
      </c>
      <c r="O437" s="7" t="n">
        <f aca="false">HLOOKUP(D437,VOLS,VLOOKUP(G437,move_down,2,FALSE()),FALSE())</f>
        <v>0.6</v>
      </c>
      <c r="P437" s="249" t="n">
        <f aca="false">HLOOKUP(D437,Correllate,VLOOKUP(G437,CorMove,2,FALSE()),FALSE())</f>
        <v>0.995</v>
      </c>
      <c r="Q437" s="92" t="n">
        <f aca="false">WORKDAY(G437,-2)</f>
        <v>36859</v>
      </c>
      <c r="R437" s="7" t="n">
        <f aca="false">IF(F437="P",0,1)</f>
        <v>1</v>
      </c>
      <c r="S437" s="130" t="e">
        <f aca="false">xSPRDOPT($L437,$J437,$I437,$M437,$O437,$N437,$P437,$Q437-$C$3,$R437,0)</f>
        <v>#NAME?</v>
      </c>
      <c r="T437" s="250" t="e">
        <f aca="false">xSPRDOPT($L437,$J437,$I437,$M437,$O437,$N437,$P437,$Q437-$C$3,$R437,1)*H437</f>
        <v>#NAME?</v>
      </c>
      <c r="U437" s="43" t="e">
        <f aca="false">S437*H437</f>
        <v>#NAME?</v>
      </c>
      <c r="V437" s="250" t="e">
        <f aca="false">xSPRDOPT($L437,$J437,$I437,$M437,$O437,$N437,$P437,$Q437-$C$3,$R437,2)*H437</f>
        <v>#NAME?</v>
      </c>
      <c r="W437" s="250" t="e">
        <f aca="false">+V437+T437</f>
        <v>#NAME?</v>
      </c>
      <c r="X437" s="2" t="str">
        <f aca="false">CONCATENATE(G437,D437)</f>
        <v>36861MICH_CG-GD</v>
      </c>
      <c r="Y437" s="251" t="n">
        <f aca="false">H437/10000</f>
        <v>-50</v>
      </c>
      <c r="Z437" s="226" t="e">
        <f aca="false">T437/H437</f>
        <v>#NAME?</v>
      </c>
      <c r="AA437" s="226" t="e">
        <f aca="false">xSPRDOPT($L437,$J437,$I437,$M437,$O437,$N437,$P437,$Q437-$C$3,$R437,3)</f>
        <v>#NAME?</v>
      </c>
      <c r="AB437" s="226" t="e">
        <f aca="false">((xSPRDOPT($L437+AB$5,$J437,$I437,$M437,$O437,$N437,$P437,$Q437-$C$3,$R437,3)*$H437)/10000)/100</f>
        <v>#NAME?</v>
      </c>
      <c r="AC437" s="226" t="e">
        <f aca="false">((xSPRDOPT($L437+$AB$5,$J437,$I437,$M437,$O437,$N437,$P437,$Q437-$C$3,$R437,7)*$H437)/100)</f>
        <v>#NAME?</v>
      </c>
      <c r="AD437" s="226" t="e">
        <f aca="false">(xSPRDOPT($L437+$AB$5,$J437,$I437,$M437,$O437,$N437,$P437,$Q437-$C$3,$R437,9)/365)*$H437</f>
        <v>#NAME?</v>
      </c>
      <c r="AE437" s="0" t="e">
        <f aca="false">CD437</f>
        <v>#NAME?</v>
      </c>
      <c r="AF437" s="226" t="e">
        <f aca="false">((O437/N437)*AH437)+AG437</f>
        <v>#NAME?</v>
      </c>
      <c r="AG437" s="226" t="e">
        <f aca="false">((xSPRDOPT($L437,$J437,$I437,$M437,$O437,$N437,$P437,$Q437-$C$3,$R437,6)*$H437)/100)</f>
        <v>#NAME?</v>
      </c>
      <c r="AH437" s="226" t="e">
        <f aca="false">((xSPRDOPT($L437,$J437,$I437,$M437,$O437,$N437,$P437,$Q437-$C$3,$R437,5)*$H437)/100)</f>
        <v>#NAME?</v>
      </c>
      <c r="AI437" s="226" t="e">
        <f aca="false">(((xSPRDOPT($L437,$J437,$I437,$M437,$O437,$N437,$P437,$Q437-$C$3,$R437,4)*$H437)/10000)/100)-AB437</f>
        <v>#NAME?</v>
      </c>
      <c r="AJ437" s="226"/>
      <c r="AK437" s="226"/>
      <c r="AL437" s="226"/>
      <c r="AM437" s="252"/>
      <c r="CC437" s="182" t="n">
        <f aca="false">G437</f>
        <v>36861</v>
      </c>
      <c r="CD437" s="253" t="e">
        <f aca="false">xSPRDOPT((VLOOKUP(G437,NGPrices,2,FALSE())+HLOOKUP(D437,Prices,VLOOKUP(G437,move_down,2,FALSE()),FALSE())),VLOOKUP(G437,NGPrices,2,FALSE()),I437,VLOOKUP(G437,NGPREVPRICES,4,FALSE()),HLOOKUP(D437,PREVVOLS,VLOOKUP(G437,MOVE_DOWN2,2,FALSE()),FALSE()),VLOOKUP(G437,NGPREVPRICES,3,FALSE()),HLOOKUP(D437,Correllate,VLOOKUP(G437,CorMove,2,FALSE()),FALSE()),Q437-$CD$3,R437,$CD$5)*H437-CJ437</f>
        <v>#NAME?</v>
      </c>
      <c r="CE437" s="253" t="e">
        <f aca="false">xSPRDOPT((VLOOKUP(G437,NGPREVPRICES,2,FALSE())+HLOOKUP(D437,PREVCURVES,VLOOKUP(G437,MOVE_DOWN2,2,FALSE()),FALSE())),VLOOKUP(G437,NGPREVPRICES,2,FALSE()),CK437,VLOOKUP(G437,NGPrices,4,FALSE()),HLOOKUP(D437,PREVVOLS,VLOOKUP(G437,MOVE_DOWN2,2,FALSE()),FALSE()),VLOOKUP(G437,NGPREVPRICES,3,FALSE()),HLOOKUP(D437,Correllate,VLOOKUP(G437,CorMove,2,FALSE()),FALSE()),Q437-$CD$3,R437,$CJ$5)*H437-CJ437</f>
        <v>#NAME?</v>
      </c>
      <c r="CF437" s="132" t="e">
        <f aca="false">(CJ437/VLOOKUP(CC437,discount,3,FALSE()))-(CJ437/VLOOKUP(CC437,discount,2,FALSE()))</f>
        <v>#NAME?</v>
      </c>
      <c r="CG437" s="253" t="e">
        <f aca="false">xSPRDOPT((VLOOKUP(G437,NGPREVPRICES,2,FALSE())+HLOOKUP(D437,PREVCURVES,VLOOKUP(G437,MOVE_DOWN2,2,FALSE()),FALSE())),VLOOKUP(G437,NGPREVPRICES,2,FALSE()),CK437,VLOOKUP(G437,NGPREVPRICES,4,FALSE()),HLOOKUP(D437,VOLS,VLOOKUP(G437,move_down,2,FALSE()),FALSE()),VLOOKUP(G437,NGPrices,3,FALSE()),HLOOKUP(D437,Correllate,VLOOKUP(G437,CorMove,2,FALSE()),FALSE()),Q437-$CD$3,R437,$CJ$5)*H437-CJ437</f>
        <v>#NAME?</v>
      </c>
      <c r="CH437" s="253" t="e">
        <f aca="false">xSPRDOPT((VLOOKUP(G437,NGPREVPRICES,2,FALSE())+HLOOKUP(D437,PREVCURVES,VLOOKUP(G437,MOVE_DOWN2,2,FALSE()),FALSE())),VLOOKUP(G437,NGPREVPRICES,2,FALSE()),CK437,VLOOKUP(G437,NGPREVPRICES,4,FALSE()),HLOOKUP(D437,PREVVOLS,VLOOKUP(G437,MOVE_DOWN2,2,FALSE()),FALSE()),VLOOKUP(G437,NGPREVPRICES,3,FALSE()),HLOOKUP(D437,Correllate,VLOOKUP(G437,CorMove,2,FALSE()),FALSE()),Q437-$C$3,R437,$CJ$5)*H437-CJ437</f>
        <v>#NAME?</v>
      </c>
      <c r="CI437" s="253" t="e">
        <f aca="false">SUM(CD437:CH437)</f>
        <v>#NAME?</v>
      </c>
      <c r="CJ437" s="253" t="e">
        <f aca="false">xSPRDOPT((VLOOKUP(G437,NGPREVPRICES,2,FALSE())+HLOOKUP(D437,PREVCURVES,VLOOKUP(G437,MOVE_DOWN2,2,FALSE()),FALSE())),VLOOKUP(G437,NGPREVPRICES,2,FALSE()),CK437,VLOOKUP(G437,NGPREVPRICES,4,FALSE()),HLOOKUP(D437,PREVVOLS,VLOOKUP(G437,MOVE_DOWN2,2,FALSE()),FALSE()),VLOOKUP(G437,NGPREVPRICES,3,FALSE()),HLOOKUP(D437,Correllate,VLOOKUP(G437,CorMove,2,FALSE()),FALSE()),Q437-$CD$3,R437,$CJ$5)*H437</f>
        <v>#NAME?</v>
      </c>
      <c r="CK437" s="254" t="n">
        <f aca="false">I437</f>
        <v>0.35</v>
      </c>
      <c r="CM437" s="0" t="str">
        <f aca="false">CONCATENATE(CC437,$CD$6)</f>
        <v>36861Curve Shift/Gamma</v>
      </c>
      <c r="CN437" s="0" t="str">
        <f aca="false">CONCATENATE($CC437,$CE$6)</f>
        <v>36861Rho</v>
      </c>
      <c r="CO437" s="0" t="str">
        <f aca="false">CONCATENATE($CC437,$CF$6)</f>
        <v>36861Drift</v>
      </c>
      <c r="CP437" s="0" t="str">
        <f aca="false">CONCATENATE($CC437,$CG$6)</f>
        <v>36861Vega</v>
      </c>
      <c r="CQ437" s="0" t="str">
        <f aca="false">CONCATENATE($CC437,$CH$6)</f>
        <v>36861Theta</v>
      </c>
    </row>
    <row r="438" customFormat="false" ht="12.75" hidden="false" customHeight="false" outlineLevel="0" collapsed="false">
      <c r="A438" s="17" t="s">
        <v>208</v>
      </c>
      <c r="B438" s="0" t="s">
        <v>192</v>
      </c>
      <c r="C438" s="0" t="s">
        <v>353</v>
      </c>
      <c r="D438" s="0" t="s">
        <v>156</v>
      </c>
      <c r="E438" s="0" t="s">
        <v>131</v>
      </c>
      <c r="F438" s="0" t="s">
        <v>136</v>
      </c>
      <c r="G438" s="92" t="n">
        <v>36831</v>
      </c>
      <c r="H438" s="248" t="n">
        <v>-500000</v>
      </c>
      <c r="I438" s="0" t="n">
        <v>0.35</v>
      </c>
      <c r="J438" s="124" t="n">
        <f aca="false">VLOOKUP(G438,NGPrices,2,FALSE())</f>
        <v>4.736</v>
      </c>
      <c r="K438" s="125" t="n">
        <f aca="false">HLOOKUP(D438,Prices,VLOOKUP(G438,move_down,2,FALSE()),FALSE())+VLOOKUP(G438,CHANGE,HLOOKUP(D438,CHANGE,2,FALSE()),FALSE())</f>
        <v>0.17</v>
      </c>
      <c r="L438" s="124" t="n">
        <f aca="false">K438+J438</f>
        <v>4.906</v>
      </c>
      <c r="M438" s="126" t="n">
        <f aca="false">VLOOKUP(G438,NGPrices,4,FALSE())</f>
        <v>0.06810675983792</v>
      </c>
      <c r="N438" s="7" t="n">
        <f aca="false">VLOOKUP(G438,NGPrices,3,FALSE())</f>
        <v>0.595</v>
      </c>
      <c r="O438" s="7" t="n">
        <f aca="false">HLOOKUP(D438,VOLS,VLOOKUP(G438,move_down,2,FALSE()),FALSE())</f>
        <v>0.595</v>
      </c>
      <c r="P438" s="249" t="n">
        <f aca="false">HLOOKUP(D438,Correllate,VLOOKUP(G438,CorMove,2,FALSE()),FALSE())</f>
        <v>0.995</v>
      </c>
      <c r="Q438" s="92" t="n">
        <f aca="false">WORKDAY(G438,-2)</f>
        <v>36829</v>
      </c>
      <c r="R438" s="7" t="n">
        <f aca="false">IF(F438="P",0,1)</f>
        <v>1</v>
      </c>
      <c r="S438" s="130" t="e">
        <f aca="false">xSPRDOPT($L438,$J438,$I438,$M438,$O438,$N438,$P438,$Q438-$C$3,$R438,0)</f>
        <v>#NAME?</v>
      </c>
      <c r="T438" s="250" t="e">
        <f aca="false">xSPRDOPT($L438,$J438,$I438,$M438,$O438,$N438,$P438,$Q438-$C$3,$R438,1)*H438</f>
        <v>#NAME?</v>
      </c>
      <c r="U438" s="43" t="e">
        <f aca="false">S438*H438</f>
        <v>#NAME?</v>
      </c>
      <c r="V438" s="250" t="e">
        <f aca="false">xSPRDOPT($L438,$J438,$I438,$M438,$O438,$N438,$P438,$Q438-$C$3,$R438,2)*H438</f>
        <v>#NAME?</v>
      </c>
      <c r="W438" s="250" t="e">
        <f aca="false">+V438+T438</f>
        <v>#NAME?</v>
      </c>
      <c r="X438" s="2" t="str">
        <f aca="false">CONCATENATE(G438,D438)</f>
        <v>36831MICH_CG-GD</v>
      </c>
      <c r="Y438" s="251" t="n">
        <f aca="false">H438/10000</f>
        <v>-50</v>
      </c>
      <c r="Z438" s="226" t="e">
        <f aca="false">T438/H438</f>
        <v>#NAME?</v>
      </c>
      <c r="AA438" s="226" t="e">
        <f aca="false">xSPRDOPT($L438,$J438,$I438,$M438,$O438,$N438,$P438,$Q438-$C$3,$R438,3)</f>
        <v>#NAME?</v>
      </c>
      <c r="AB438" s="226" t="e">
        <f aca="false">((xSPRDOPT($L438+AB$5,$J438,$I438,$M438,$O438,$N438,$P438,$Q438-$C$3,$R438,3)*$H438)/10000)/100</f>
        <v>#NAME?</v>
      </c>
      <c r="AC438" s="226" t="e">
        <f aca="false">((xSPRDOPT($L438+$AB$5,$J438,$I438,$M438,$O438,$N438,$P438,$Q438-$C$3,$R438,7)*$H438)/100)</f>
        <v>#NAME?</v>
      </c>
      <c r="AD438" s="226" t="e">
        <f aca="false">(xSPRDOPT($L438+$AB$5,$J438,$I438,$M438,$O438,$N438,$P438,$Q438-$C$3,$R438,9)/365)*$H438</f>
        <v>#NAME?</v>
      </c>
      <c r="AE438" s="0" t="e">
        <f aca="false">CD438</f>
        <v>#NAME?</v>
      </c>
      <c r="AF438" s="226" t="e">
        <f aca="false">((O438/N438)*AH438)+AG438</f>
        <v>#NAME?</v>
      </c>
      <c r="AG438" s="226" t="e">
        <f aca="false">((xSPRDOPT($L438,$J438,$I438,$M438,$O438,$N438,$P438,$Q438-$C$3,$R438,6)*$H438)/100)</f>
        <v>#NAME?</v>
      </c>
      <c r="AH438" s="226" t="e">
        <f aca="false">((xSPRDOPT($L438,$J438,$I438,$M438,$O438,$N438,$P438,$Q438-$C$3,$R438,5)*$H438)/100)</f>
        <v>#NAME?</v>
      </c>
      <c r="AI438" s="226" t="e">
        <f aca="false">(((xSPRDOPT($L438,$J438,$I438,$M438,$O438,$N438,$P438,$Q438-$C$3,$R438,4)*$H438)/10000)/100)-AB438</f>
        <v>#NAME?</v>
      </c>
      <c r="AJ438" s="226"/>
      <c r="AK438" s="226"/>
      <c r="AL438" s="226"/>
      <c r="AM438" s="252"/>
      <c r="CC438" s="182" t="n">
        <f aca="false">G438</f>
        <v>36831</v>
      </c>
      <c r="CD438" s="253" t="e">
        <f aca="false">xSPRDOPT((VLOOKUP(G438,NGPrices,2,FALSE())+HLOOKUP(D438,Prices,VLOOKUP(G438,move_down,2,FALSE()),FALSE())),VLOOKUP(G438,NGPrices,2,FALSE()),I438,VLOOKUP(G438,NGPREVPRICES,4,FALSE()),HLOOKUP(D438,PREVVOLS,VLOOKUP(G438,MOVE_DOWN2,2,FALSE()),FALSE()),VLOOKUP(G438,NGPREVPRICES,3,FALSE()),HLOOKUP(D438,Correllate,VLOOKUP(G438,CorMove,2,FALSE()),FALSE()),Q438-$CD$3,R438,$CD$5)*H438-CJ438</f>
        <v>#NAME?</v>
      </c>
      <c r="CE438" s="253" t="e">
        <f aca="false">xSPRDOPT((VLOOKUP(G438,NGPREVPRICES,2,FALSE())+HLOOKUP(D438,PREVCURVES,VLOOKUP(G438,MOVE_DOWN2,2,FALSE()),FALSE())),VLOOKUP(G438,NGPREVPRICES,2,FALSE()),CK438,VLOOKUP(G438,NGPrices,4,FALSE()),HLOOKUP(D438,PREVVOLS,VLOOKUP(G438,MOVE_DOWN2,2,FALSE()),FALSE()),VLOOKUP(G438,NGPREVPRICES,3,FALSE()),HLOOKUP(D438,Correllate,VLOOKUP(G438,CorMove,2,FALSE()),FALSE()),Q438-$CD$3,R438,$CJ$5)*H438-CJ438</f>
        <v>#NAME?</v>
      </c>
      <c r="CF438" s="132" t="e">
        <f aca="false">(CJ438/VLOOKUP(CC438,discount,3,FALSE()))-(CJ438/VLOOKUP(CC438,discount,2,FALSE()))</f>
        <v>#NAME?</v>
      </c>
      <c r="CG438" s="253" t="e">
        <f aca="false">xSPRDOPT((VLOOKUP(G438,NGPREVPRICES,2,FALSE())+HLOOKUP(D438,PREVCURVES,VLOOKUP(G438,MOVE_DOWN2,2,FALSE()),FALSE())),VLOOKUP(G438,NGPREVPRICES,2,FALSE()),CK438,VLOOKUP(G438,NGPREVPRICES,4,FALSE()),HLOOKUP(D438,VOLS,VLOOKUP(G438,move_down,2,FALSE()),FALSE()),VLOOKUP(G438,NGPrices,3,FALSE()),HLOOKUP(D438,Correllate,VLOOKUP(G438,CorMove,2,FALSE()),FALSE()),Q438-$CD$3,R438,$CJ$5)*H438-CJ438</f>
        <v>#NAME?</v>
      </c>
      <c r="CH438" s="253" t="e">
        <f aca="false">xSPRDOPT((VLOOKUP(G438,NGPREVPRICES,2,FALSE())+HLOOKUP(D438,PREVCURVES,VLOOKUP(G438,MOVE_DOWN2,2,FALSE()),FALSE())),VLOOKUP(G438,NGPREVPRICES,2,FALSE()),CK438,VLOOKUP(G438,NGPREVPRICES,4,FALSE()),HLOOKUP(D438,PREVVOLS,VLOOKUP(G438,MOVE_DOWN2,2,FALSE()),FALSE()),VLOOKUP(G438,NGPREVPRICES,3,FALSE()),HLOOKUP(D438,Correllate,VLOOKUP(G438,CorMove,2,FALSE()),FALSE()),Q438-$C$3,R438,$CJ$5)*H438-CJ438</f>
        <v>#NAME?</v>
      </c>
      <c r="CI438" s="253" t="e">
        <f aca="false">SUM(CD438:CH438)</f>
        <v>#NAME?</v>
      </c>
      <c r="CJ438" s="253" t="e">
        <f aca="false">xSPRDOPT((VLOOKUP(G438,NGPREVPRICES,2,FALSE())+HLOOKUP(D438,PREVCURVES,VLOOKUP(G438,MOVE_DOWN2,2,FALSE()),FALSE())),VLOOKUP(G438,NGPREVPRICES,2,FALSE()),CK438,VLOOKUP(G438,NGPREVPRICES,4,FALSE()),HLOOKUP(D438,PREVVOLS,VLOOKUP(G438,MOVE_DOWN2,2,FALSE()),FALSE()),VLOOKUP(G438,NGPREVPRICES,3,FALSE()),HLOOKUP(D438,Correllate,VLOOKUP(G438,CorMove,2,FALSE()),FALSE()),Q438-$CD$3,R438,$CJ$5)*H438</f>
        <v>#NAME?</v>
      </c>
      <c r="CK438" s="254" t="n">
        <f aca="false">I438</f>
        <v>0.35</v>
      </c>
      <c r="CM438" s="0" t="str">
        <f aca="false">CONCATENATE(CC438,$CD$6)</f>
        <v>36831Curve Shift/Gamma</v>
      </c>
      <c r="CN438" s="0" t="str">
        <f aca="false">CONCATENATE($CC438,$CE$6)</f>
        <v>36831Rho</v>
      </c>
      <c r="CO438" s="0" t="str">
        <f aca="false">CONCATENATE($CC438,$CF$6)</f>
        <v>36831Drift</v>
      </c>
      <c r="CP438" s="0" t="str">
        <f aca="false">CONCATENATE($CC438,$CG$6)</f>
        <v>36831Vega</v>
      </c>
      <c r="CQ438" s="0" t="str">
        <f aca="false">CONCATENATE($CC438,$CH$6)</f>
        <v>36831Theta</v>
      </c>
    </row>
    <row r="439" customFormat="false" ht="12.75" hidden="false" customHeight="false" outlineLevel="0" collapsed="false">
      <c r="A439" s="17" t="s">
        <v>196</v>
      </c>
      <c r="B439" s="0" t="s">
        <v>192</v>
      </c>
      <c r="C439" s="0" t="s">
        <v>354</v>
      </c>
      <c r="D439" s="7" t="s">
        <v>151</v>
      </c>
      <c r="E439" s="0" t="s">
        <v>131</v>
      </c>
      <c r="F439" s="0" t="s">
        <v>132</v>
      </c>
      <c r="G439" s="92" t="n">
        <v>36951</v>
      </c>
      <c r="H439" s="248" t="n">
        <v>-310000</v>
      </c>
      <c r="I439" s="0" t="n">
        <v>-0.4</v>
      </c>
      <c r="J439" s="124" t="n">
        <f aca="false">VLOOKUP(G439,NGPrices,2,FALSE())</f>
        <v>4.213</v>
      </c>
      <c r="K439" s="125" t="n">
        <f aca="false">HLOOKUP(D439,Prices,VLOOKUP(G439,move_down,2,FALSE()),FALSE())+VLOOKUP(G439,CHANGE,HLOOKUP(D439,CHANGE,2,FALSE()),FALSE())</f>
        <v>-0.3975</v>
      </c>
      <c r="L439" s="124" t="n">
        <f aca="false">K439+J439</f>
        <v>3.8155</v>
      </c>
      <c r="M439" s="126" t="n">
        <f aca="false">VLOOKUP(G439,NGPrices,4,FALSE())</f>
        <v>0.068879814952707</v>
      </c>
      <c r="N439" s="7" t="n">
        <f aca="false">VLOOKUP(G439,NGPrices,3,FALSE())</f>
        <v>0.5325</v>
      </c>
      <c r="O439" s="7" t="n">
        <f aca="false">HLOOKUP(D439,VOLS,VLOOKUP(G439,move_down,2,FALSE()),FALSE())</f>
        <v>0.511</v>
      </c>
      <c r="P439" s="249" t="n">
        <f aca="false">HLOOKUP(D439,Correllate,VLOOKUP(G439,CorMove,2,FALSE()),FALSE())</f>
        <v>0.93</v>
      </c>
      <c r="Q439" s="92" t="n">
        <f aca="false">WORKDAY(G439,-2)</f>
        <v>36949</v>
      </c>
      <c r="R439" s="7" t="n">
        <f aca="false">IF(F439="P",0,1)</f>
        <v>0</v>
      </c>
      <c r="S439" s="130" t="e">
        <f aca="false">xSPRDOPT($L439,$J439,$I439,$M439,$O439,$N439,$P439,$Q439-$C$3,$R439,0)</f>
        <v>#NAME?</v>
      </c>
      <c r="T439" s="250" t="e">
        <f aca="false">xSPRDOPT($L439,$J439,$I439,$M439,$O439,$N439,$P439,$Q439-$C$3,$R439,1)*H439</f>
        <v>#NAME?</v>
      </c>
      <c r="U439" s="43" t="e">
        <f aca="false">S439*H439</f>
        <v>#NAME?</v>
      </c>
      <c r="V439" s="250" t="e">
        <f aca="false">xSPRDOPT($L439,$J439,$I439,$M439,$O439,$N439,$P439,$Q439-$C$3,$R439,2)*H439</f>
        <v>#NAME?</v>
      </c>
      <c r="W439" s="250" t="e">
        <f aca="false">+V439+T439</f>
        <v>#NAME?</v>
      </c>
      <c r="X439" s="2" t="str">
        <f aca="false">CONCATENATE(G439,D439)</f>
        <v>36951IF-NWPL_ROCKY_M</v>
      </c>
      <c r="Y439" s="251" t="n">
        <f aca="false">H439/10000</f>
        <v>-31</v>
      </c>
      <c r="Z439" s="226" t="e">
        <f aca="false">T439/H439</f>
        <v>#NAME?</v>
      </c>
      <c r="AA439" s="226" t="e">
        <f aca="false">xSPRDOPT($L439,$J439,$I439,$M439,$O439,$N439,$P439,$Q439-$C$3,$R439,3)</f>
        <v>#NAME?</v>
      </c>
      <c r="AB439" s="226" t="e">
        <f aca="false">((xSPRDOPT($L439+AB$5,$J439,$I439,$M439,$O439,$N439,$P439,$Q439-$C$3,$R439,3)*$H439)/10000)/100</f>
        <v>#NAME?</v>
      </c>
      <c r="AC439" s="226" t="e">
        <f aca="false">((xSPRDOPT($L439+$AB$5,$J439,$I439,$M439,$O439,$N439,$P439,$Q439-$C$3,$R439,7)*$H439)/100)</f>
        <v>#NAME?</v>
      </c>
      <c r="AD439" s="226" t="e">
        <f aca="false">(xSPRDOPT($L439+$AB$5,$J439,$I439,$M439,$O439,$N439,$P439,$Q439-$C$3,$R439,9)/365)*$H439</f>
        <v>#NAME?</v>
      </c>
      <c r="AE439" s="0" t="e">
        <f aca="false">CD439</f>
        <v>#NAME?</v>
      </c>
      <c r="AF439" s="226" t="e">
        <f aca="false">((O439/N439)*AH439)+AG439</f>
        <v>#NAME?</v>
      </c>
      <c r="AG439" s="226" t="e">
        <f aca="false">((xSPRDOPT($L439,$J439,$I439,$M439,$O439,$N439,$P439,$Q439-$C$3,$R439,6)*$H439)/100)</f>
        <v>#NAME?</v>
      </c>
      <c r="AH439" s="226" t="e">
        <f aca="false">((xSPRDOPT($L439,$J439,$I439,$M439,$O439,$N439,$P439,$Q439-$C$3,$R439,5)*$H439)/100)</f>
        <v>#NAME?</v>
      </c>
      <c r="AI439" s="226" t="e">
        <f aca="false">(((xSPRDOPT($L439,$J439,$I439,$M439,$O439,$N439,$P439,$Q439-$C$3,$R439,4)*$H439)/10000)/100)-AB439</f>
        <v>#NAME?</v>
      </c>
      <c r="AJ439" s="226"/>
      <c r="AK439" s="226"/>
      <c r="AL439" s="226"/>
      <c r="AM439" s="252"/>
      <c r="CC439" s="182" t="n">
        <f aca="false">G439</f>
        <v>36951</v>
      </c>
      <c r="CD439" s="253" t="e">
        <f aca="false">xSPRDOPT((VLOOKUP(G439,NGPrices,2,FALSE())+HLOOKUP(D439,Prices,VLOOKUP(G439,move_down,2,FALSE()),FALSE())),VLOOKUP(G439,NGPrices,2,FALSE()),I439,VLOOKUP(G439,NGPREVPRICES,4,FALSE()),HLOOKUP(D439,PREVVOLS,VLOOKUP(G439,MOVE_DOWN2,2,FALSE()),FALSE()),VLOOKUP(G439,NGPREVPRICES,3,FALSE()),HLOOKUP(D439,Correllate,VLOOKUP(G439,CorMove,2,FALSE()),FALSE()),Q439-$CD$3,R439,$CD$5)*H439-CJ439</f>
        <v>#NAME?</v>
      </c>
      <c r="CE439" s="253" t="e">
        <f aca="false">xSPRDOPT((VLOOKUP(G439,NGPREVPRICES,2,FALSE())+HLOOKUP(D439,PREVCURVES,VLOOKUP(G439,MOVE_DOWN2,2,FALSE()),FALSE())),VLOOKUP(G439,NGPREVPRICES,2,FALSE()),CK439,VLOOKUP(G439,NGPrices,4,FALSE()),HLOOKUP(D439,PREVVOLS,VLOOKUP(G439,MOVE_DOWN2,2,FALSE()),FALSE()),VLOOKUP(G439,NGPREVPRICES,3,FALSE()),HLOOKUP(D439,Correllate,VLOOKUP(G439,CorMove,2,FALSE()),FALSE()),Q439-$CD$3,R439,$CJ$5)*H439-CJ439</f>
        <v>#NAME?</v>
      </c>
      <c r="CF439" s="132" t="e">
        <f aca="false">(CJ439/VLOOKUP(CC439,discount,3,FALSE()))-(CJ439/VLOOKUP(CC439,discount,2,FALSE()))</f>
        <v>#NAME?</v>
      </c>
      <c r="CG439" s="253" t="e">
        <f aca="false">xSPRDOPT((VLOOKUP(G439,NGPREVPRICES,2,FALSE())+HLOOKUP(D439,PREVCURVES,VLOOKUP(G439,MOVE_DOWN2,2,FALSE()),FALSE())),VLOOKUP(G439,NGPREVPRICES,2,FALSE()),CK439,VLOOKUP(G439,NGPREVPRICES,4,FALSE()),HLOOKUP(D439,VOLS,VLOOKUP(G439,move_down,2,FALSE()),FALSE()),VLOOKUP(G439,NGPrices,3,FALSE()),HLOOKUP(D439,Correllate,VLOOKUP(G439,CorMove,2,FALSE()),FALSE()),Q439-$CD$3,R439,$CJ$5)*H439-CJ439</f>
        <v>#NAME?</v>
      </c>
      <c r="CH439" s="253" t="e">
        <f aca="false">xSPRDOPT((VLOOKUP(G439,NGPREVPRICES,2,FALSE())+HLOOKUP(D439,PREVCURVES,VLOOKUP(G439,MOVE_DOWN2,2,FALSE()),FALSE())),VLOOKUP(G439,NGPREVPRICES,2,FALSE()),CK439,VLOOKUP(G439,NGPREVPRICES,4,FALSE()),HLOOKUP(D439,PREVVOLS,VLOOKUP(G439,MOVE_DOWN2,2,FALSE()),FALSE()),VLOOKUP(G439,NGPREVPRICES,3,FALSE()),HLOOKUP(D439,Correllate,VLOOKUP(G439,CorMove,2,FALSE()),FALSE()),Q439-$C$3,R439,$CJ$5)*H439-CJ439</f>
        <v>#NAME?</v>
      </c>
      <c r="CI439" s="253" t="e">
        <f aca="false">SUM(CD439:CH439)</f>
        <v>#NAME?</v>
      </c>
      <c r="CJ439" s="253" t="e">
        <f aca="false">xSPRDOPT((VLOOKUP(G439,NGPREVPRICES,2,FALSE())+HLOOKUP(D439,PREVCURVES,VLOOKUP(G439,MOVE_DOWN2,2,FALSE()),FALSE())),VLOOKUP(G439,NGPREVPRICES,2,FALSE()),CK439,VLOOKUP(G439,NGPREVPRICES,4,FALSE()),HLOOKUP(D439,PREVVOLS,VLOOKUP(G439,MOVE_DOWN2,2,FALSE()),FALSE()),VLOOKUP(G439,NGPREVPRICES,3,FALSE()),HLOOKUP(D439,Correllate,VLOOKUP(G439,CorMove,2,FALSE()),FALSE()),Q439-$CD$3,R439,$CJ$5)*H439</f>
        <v>#NAME?</v>
      </c>
      <c r="CK439" s="254" t="n">
        <f aca="false">I439</f>
        <v>-0.4</v>
      </c>
      <c r="CM439" s="0" t="str">
        <f aca="false">CONCATENATE(CC439,$CD$6)</f>
        <v>36951Curve Shift/Gamma</v>
      </c>
      <c r="CN439" s="0" t="str">
        <f aca="false">CONCATENATE($CC439,$CE$6)</f>
        <v>36951Rho</v>
      </c>
      <c r="CO439" s="0" t="str">
        <f aca="false">CONCATENATE($CC439,$CF$6)</f>
        <v>36951Drift</v>
      </c>
      <c r="CP439" s="0" t="str">
        <f aca="false">CONCATENATE($CC439,$CG$6)</f>
        <v>36951Vega</v>
      </c>
      <c r="CQ439" s="0" t="str">
        <f aca="false">CONCATENATE($CC439,$CH$6)</f>
        <v>36951Theta</v>
      </c>
    </row>
    <row r="440" customFormat="false" ht="12.75" hidden="false" customHeight="false" outlineLevel="0" collapsed="false">
      <c r="A440" s="17" t="s">
        <v>196</v>
      </c>
      <c r="B440" s="0" t="s">
        <v>192</v>
      </c>
      <c r="C440" s="0" t="s">
        <v>354</v>
      </c>
      <c r="D440" s="7" t="s">
        <v>151</v>
      </c>
      <c r="E440" s="0" t="s">
        <v>131</v>
      </c>
      <c r="F440" s="0" t="s">
        <v>132</v>
      </c>
      <c r="G440" s="92" t="n">
        <v>36923</v>
      </c>
      <c r="H440" s="248" t="n">
        <v>-280000</v>
      </c>
      <c r="I440" s="0" t="n">
        <v>-0.4</v>
      </c>
      <c r="J440" s="124" t="n">
        <f aca="false">VLOOKUP(G440,NGPrices,2,FALSE())</f>
        <v>4.48</v>
      </c>
      <c r="K440" s="125" t="n">
        <f aca="false">HLOOKUP(D440,Prices,VLOOKUP(G440,move_down,2,FALSE()),FALSE())+VLOOKUP(G440,CHANGE,HLOOKUP(D440,CHANGE,2,FALSE()),FALSE())</f>
        <v>-0.3875</v>
      </c>
      <c r="L440" s="124" t="n">
        <f aca="false">K440+J440</f>
        <v>4.0925</v>
      </c>
      <c r="M440" s="126" t="n">
        <f aca="false">VLOOKUP(G440,NGPrices,4,FALSE())</f>
        <v>0.068640161611372</v>
      </c>
      <c r="N440" s="7" t="n">
        <f aca="false">VLOOKUP(G440,NGPrices,3,FALSE())</f>
        <v>0.5925</v>
      </c>
      <c r="O440" s="7" t="n">
        <f aca="false">HLOOKUP(D440,VOLS,VLOOKUP(G440,move_down,2,FALSE()),FALSE())</f>
        <v>0.569</v>
      </c>
      <c r="P440" s="249" t="n">
        <f aca="false">HLOOKUP(D440,Correllate,VLOOKUP(G440,CorMove,2,FALSE()),FALSE())</f>
        <v>0.93</v>
      </c>
      <c r="Q440" s="92" t="n">
        <f aca="false">WORKDAY(G440,-2)</f>
        <v>36921</v>
      </c>
      <c r="R440" s="7" t="n">
        <f aca="false">IF(F440="P",0,1)</f>
        <v>0</v>
      </c>
      <c r="S440" s="130" t="e">
        <f aca="false">xSPRDOPT($L440,$J440,$I440,$M440,$O440,$N440,$P440,$Q440-$C$3,$R440,0)</f>
        <v>#NAME?</v>
      </c>
      <c r="T440" s="250" t="e">
        <f aca="false">xSPRDOPT($L440,$J440,$I440,$M440,$O440,$N440,$P440,$Q440-$C$3,$R440,1)*H440</f>
        <v>#NAME?</v>
      </c>
      <c r="U440" s="43" t="e">
        <f aca="false">S440*H440</f>
        <v>#NAME?</v>
      </c>
      <c r="V440" s="250" t="e">
        <f aca="false">xSPRDOPT($L440,$J440,$I440,$M440,$O440,$N440,$P440,$Q440-$C$3,$R440,2)*H440</f>
        <v>#NAME?</v>
      </c>
      <c r="W440" s="250" t="e">
        <f aca="false">+V440+T440</f>
        <v>#NAME?</v>
      </c>
      <c r="X440" s="2" t="str">
        <f aca="false">CONCATENATE(G440,D440)</f>
        <v>36923IF-NWPL_ROCKY_M</v>
      </c>
      <c r="Y440" s="251" t="n">
        <f aca="false">H440/10000</f>
        <v>-28</v>
      </c>
      <c r="Z440" s="226" t="e">
        <f aca="false">T440/H440</f>
        <v>#NAME?</v>
      </c>
      <c r="AA440" s="226" t="e">
        <f aca="false">xSPRDOPT($L440,$J440,$I440,$M440,$O440,$N440,$P440,$Q440-$C$3,$R440,3)</f>
        <v>#NAME?</v>
      </c>
      <c r="AB440" s="226" t="e">
        <f aca="false">((xSPRDOPT($L440+AB$5,$J440,$I440,$M440,$O440,$N440,$P440,$Q440-$C$3,$R440,3)*$H440)/10000)/100</f>
        <v>#NAME?</v>
      </c>
      <c r="AC440" s="226" t="e">
        <f aca="false">((xSPRDOPT($L440+$AB$5,$J440,$I440,$M440,$O440,$N440,$P440,$Q440-$C$3,$R440,7)*$H440)/100)</f>
        <v>#NAME?</v>
      </c>
      <c r="AD440" s="226" t="e">
        <f aca="false">(xSPRDOPT($L440+$AB$5,$J440,$I440,$M440,$O440,$N440,$P440,$Q440-$C$3,$R440,9)/365)*$H440</f>
        <v>#NAME?</v>
      </c>
      <c r="AE440" s="0" t="e">
        <f aca="false">CD440</f>
        <v>#NAME?</v>
      </c>
      <c r="AF440" s="226" t="e">
        <f aca="false">((O440/N440)*AH440)+AG440</f>
        <v>#NAME?</v>
      </c>
      <c r="AG440" s="226" t="e">
        <f aca="false">((xSPRDOPT($L440,$J440,$I440,$M440,$O440,$N440,$P440,$Q440-$C$3,$R440,6)*$H440)/100)</f>
        <v>#NAME?</v>
      </c>
      <c r="AH440" s="226" t="e">
        <f aca="false">((xSPRDOPT($L440,$J440,$I440,$M440,$O440,$N440,$P440,$Q440-$C$3,$R440,5)*$H440)/100)</f>
        <v>#NAME?</v>
      </c>
      <c r="AI440" s="226" t="e">
        <f aca="false">(((xSPRDOPT($L440,$J440,$I440,$M440,$O440,$N440,$P440,$Q440-$C$3,$R440,4)*$H440)/10000)/100)-AB440</f>
        <v>#NAME?</v>
      </c>
      <c r="AJ440" s="226"/>
      <c r="AK440" s="226"/>
      <c r="AL440" s="226"/>
      <c r="AM440" s="252"/>
      <c r="CC440" s="182" t="n">
        <f aca="false">G440</f>
        <v>36923</v>
      </c>
      <c r="CD440" s="253" t="e">
        <f aca="false">xSPRDOPT((VLOOKUP(G440,NGPrices,2,FALSE())+HLOOKUP(D440,Prices,VLOOKUP(G440,move_down,2,FALSE()),FALSE())),VLOOKUP(G440,NGPrices,2,FALSE()),I440,VLOOKUP(G440,NGPREVPRICES,4,FALSE()),HLOOKUP(D440,PREVVOLS,VLOOKUP(G440,MOVE_DOWN2,2,FALSE()),FALSE()),VLOOKUP(G440,NGPREVPRICES,3,FALSE()),HLOOKUP(D440,Correllate,VLOOKUP(G440,CorMove,2,FALSE()),FALSE()),Q440-$CD$3,R440,$CD$5)*H440-CJ440</f>
        <v>#NAME?</v>
      </c>
      <c r="CE440" s="253" t="e">
        <f aca="false">xSPRDOPT((VLOOKUP(G440,NGPREVPRICES,2,FALSE())+HLOOKUP(D440,PREVCURVES,VLOOKUP(G440,MOVE_DOWN2,2,FALSE()),FALSE())),VLOOKUP(G440,NGPREVPRICES,2,FALSE()),CK440,VLOOKUP(G440,NGPrices,4,FALSE()),HLOOKUP(D440,PREVVOLS,VLOOKUP(G440,MOVE_DOWN2,2,FALSE()),FALSE()),VLOOKUP(G440,NGPREVPRICES,3,FALSE()),HLOOKUP(D440,Correllate,VLOOKUP(G440,CorMove,2,FALSE()),FALSE()),Q440-$CD$3,R440,$CJ$5)*H440-CJ440</f>
        <v>#NAME?</v>
      </c>
      <c r="CF440" s="132" t="e">
        <f aca="false">(CJ440/VLOOKUP(CC440,discount,3,FALSE()))-(CJ440/VLOOKUP(CC440,discount,2,FALSE()))</f>
        <v>#NAME?</v>
      </c>
      <c r="CG440" s="253" t="e">
        <f aca="false">xSPRDOPT((VLOOKUP(G440,NGPREVPRICES,2,FALSE())+HLOOKUP(D440,PREVCURVES,VLOOKUP(G440,MOVE_DOWN2,2,FALSE()),FALSE())),VLOOKUP(G440,NGPREVPRICES,2,FALSE()),CK440,VLOOKUP(G440,NGPREVPRICES,4,FALSE()),HLOOKUP(D440,VOLS,VLOOKUP(G440,move_down,2,FALSE()),FALSE()),VLOOKUP(G440,NGPrices,3,FALSE()),HLOOKUP(D440,Correllate,VLOOKUP(G440,CorMove,2,FALSE()),FALSE()),Q440-$CD$3,R440,$CJ$5)*H440-CJ440</f>
        <v>#NAME?</v>
      </c>
      <c r="CH440" s="253" t="e">
        <f aca="false">xSPRDOPT((VLOOKUP(G440,NGPREVPRICES,2,FALSE())+HLOOKUP(D440,PREVCURVES,VLOOKUP(G440,MOVE_DOWN2,2,FALSE()),FALSE())),VLOOKUP(G440,NGPREVPRICES,2,FALSE()),CK440,VLOOKUP(G440,NGPREVPRICES,4,FALSE()),HLOOKUP(D440,PREVVOLS,VLOOKUP(G440,MOVE_DOWN2,2,FALSE()),FALSE()),VLOOKUP(G440,NGPREVPRICES,3,FALSE()),HLOOKUP(D440,Correllate,VLOOKUP(G440,CorMove,2,FALSE()),FALSE()),Q440-$C$3,R440,$CJ$5)*H440-CJ440</f>
        <v>#NAME?</v>
      </c>
      <c r="CI440" s="253" t="e">
        <f aca="false">SUM(CD440:CH440)</f>
        <v>#NAME?</v>
      </c>
      <c r="CJ440" s="253" t="e">
        <f aca="false">xSPRDOPT((VLOOKUP(G440,NGPREVPRICES,2,FALSE())+HLOOKUP(D440,PREVCURVES,VLOOKUP(G440,MOVE_DOWN2,2,FALSE()),FALSE())),VLOOKUP(G440,NGPREVPRICES,2,FALSE()),CK440,VLOOKUP(G440,NGPREVPRICES,4,FALSE()),HLOOKUP(D440,PREVVOLS,VLOOKUP(G440,MOVE_DOWN2,2,FALSE()),FALSE()),VLOOKUP(G440,NGPREVPRICES,3,FALSE()),HLOOKUP(D440,Correllate,VLOOKUP(G440,CorMove,2,FALSE()),FALSE()),Q440-$CD$3,R440,$CJ$5)*H440</f>
        <v>#NAME?</v>
      </c>
      <c r="CK440" s="254" t="n">
        <f aca="false">I440</f>
        <v>-0.4</v>
      </c>
      <c r="CM440" s="0" t="str">
        <f aca="false">CONCATENATE(CC440,$CD$6)</f>
        <v>36923Curve Shift/Gamma</v>
      </c>
      <c r="CN440" s="0" t="str">
        <f aca="false">CONCATENATE($CC440,$CE$6)</f>
        <v>36923Rho</v>
      </c>
      <c r="CO440" s="0" t="str">
        <f aca="false">CONCATENATE($CC440,$CF$6)</f>
        <v>36923Drift</v>
      </c>
      <c r="CP440" s="0" t="str">
        <f aca="false">CONCATENATE($CC440,$CG$6)</f>
        <v>36923Vega</v>
      </c>
      <c r="CQ440" s="0" t="str">
        <f aca="false">CONCATENATE($CC440,$CH$6)</f>
        <v>36923Theta</v>
      </c>
    </row>
    <row r="441" customFormat="false" ht="12.75" hidden="false" customHeight="false" outlineLevel="0" collapsed="false">
      <c r="A441" s="17" t="s">
        <v>196</v>
      </c>
      <c r="B441" s="0" t="s">
        <v>192</v>
      </c>
      <c r="C441" s="0" t="s">
        <v>354</v>
      </c>
      <c r="D441" s="7" t="s">
        <v>151</v>
      </c>
      <c r="E441" s="0" t="s">
        <v>131</v>
      </c>
      <c r="F441" s="0" t="s">
        <v>132</v>
      </c>
      <c r="G441" s="92" t="n">
        <v>36892</v>
      </c>
      <c r="H441" s="248" t="n">
        <v>-310000</v>
      </c>
      <c r="I441" s="0" t="n">
        <v>-0.4</v>
      </c>
      <c r="J441" s="124" t="n">
        <f aca="false">VLOOKUP(G441,NGPrices,2,FALSE())</f>
        <v>4.744</v>
      </c>
      <c r="K441" s="125" t="n">
        <f aca="false">HLOOKUP(D441,Prices,VLOOKUP(G441,move_down,2,FALSE()),FALSE())+VLOOKUP(G441,CHANGE,HLOOKUP(D441,CHANGE,2,FALSE()),FALSE())</f>
        <v>-0.3675</v>
      </c>
      <c r="L441" s="124" t="n">
        <f aca="false">K441+J441</f>
        <v>4.3765</v>
      </c>
      <c r="M441" s="126" t="n">
        <f aca="false">VLOOKUP(G441,NGPrices,4,FALSE())</f>
        <v>0.068374831148491</v>
      </c>
      <c r="N441" s="7" t="n">
        <f aca="false">VLOOKUP(G441,NGPrices,3,FALSE())</f>
        <v>0.605</v>
      </c>
      <c r="O441" s="7" t="n">
        <f aca="false">HLOOKUP(D441,VOLS,VLOOKUP(G441,move_down,2,FALSE()),FALSE())</f>
        <v>0.581</v>
      </c>
      <c r="P441" s="249" t="n">
        <f aca="false">HLOOKUP(D441,Correllate,VLOOKUP(G441,CorMove,2,FALSE()),FALSE())</f>
        <v>0.93</v>
      </c>
      <c r="Q441" s="92" t="n">
        <f aca="false">WORKDAY(G441,-2)</f>
        <v>36888</v>
      </c>
      <c r="R441" s="7" t="n">
        <f aca="false">IF(F441="P",0,1)</f>
        <v>0</v>
      </c>
      <c r="S441" s="130" t="e">
        <f aca="false">xSPRDOPT($L441,$J441,$I441,$M441,$O441,$N441,$P441,$Q441-$C$3,$R441,0)</f>
        <v>#NAME?</v>
      </c>
      <c r="T441" s="250" t="e">
        <f aca="false">xSPRDOPT($L441,$J441,$I441,$M441,$O441,$N441,$P441,$Q441-$C$3,$R441,1)*H441</f>
        <v>#NAME?</v>
      </c>
      <c r="U441" s="43" t="e">
        <f aca="false">S441*H441</f>
        <v>#NAME?</v>
      </c>
      <c r="V441" s="250" t="e">
        <f aca="false">xSPRDOPT($L441,$J441,$I441,$M441,$O441,$N441,$P441,$Q441-$C$3,$R441,2)*H441</f>
        <v>#NAME?</v>
      </c>
      <c r="W441" s="250" t="e">
        <f aca="false">+V441+T441</f>
        <v>#NAME?</v>
      </c>
      <c r="X441" s="2" t="str">
        <f aca="false">CONCATENATE(G441,D441)</f>
        <v>36892IF-NWPL_ROCKY_M</v>
      </c>
      <c r="Y441" s="251" t="n">
        <f aca="false">H441/10000</f>
        <v>-31</v>
      </c>
      <c r="Z441" s="226" t="e">
        <f aca="false">T441/H441</f>
        <v>#NAME?</v>
      </c>
      <c r="AA441" s="226" t="e">
        <f aca="false">xSPRDOPT($L441,$J441,$I441,$M441,$O441,$N441,$P441,$Q441-$C$3,$R441,3)</f>
        <v>#NAME?</v>
      </c>
      <c r="AB441" s="226" t="e">
        <f aca="false">((xSPRDOPT($L441+AB$5,$J441,$I441,$M441,$O441,$N441,$P441,$Q441-$C$3,$R441,3)*$H441)/10000)/100</f>
        <v>#NAME?</v>
      </c>
      <c r="AC441" s="226" t="e">
        <f aca="false">((xSPRDOPT($L441+$AB$5,$J441,$I441,$M441,$O441,$N441,$P441,$Q441-$C$3,$R441,7)*$H441)/100)</f>
        <v>#NAME?</v>
      </c>
      <c r="AD441" s="226" t="e">
        <f aca="false">(xSPRDOPT($L441+$AB$5,$J441,$I441,$M441,$O441,$N441,$P441,$Q441-$C$3,$R441,9)/365)*$H441</f>
        <v>#NAME?</v>
      </c>
      <c r="AE441" s="0" t="e">
        <f aca="false">CD441</f>
        <v>#NAME?</v>
      </c>
      <c r="AF441" s="226" t="e">
        <f aca="false">((O441/N441)*AH441)+AG441</f>
        <v>#NAME?</v>
      </c>
      <c r="AG441" s="226" t="e">
        <f aca="false">((xSPRDOPT($L441,$J441,$I441,$M441,$O441,$N441,$P441,$Q441-$C$3,$R441,6)*$H441)/100)</f>
        <v>#NAME?</v>
      </c>
      <c r="AH441" s="226" t="e">
        <f aca="false">((xSPRDOPT($L441,$J441,$I441,$M441,$O441,$N441,$P441,$Q441-$C$3,$R441,5)*$H441)/100)</f>
        <v>#NAME?</v>
      </c>
      <c r="AI441" s="226" t="e">
        <f aca="false">(((xSPRDOPT($L441,$J441,$I441,$M441,$O441,$N441,$P441,$Q441-$C$3,$R441,4)*$H441)/10000)/100)-AB441</f>
        <v>#NAME?</v>
      </c>
      <c r="AJ441" s="226"/>
      <c r="AK441" s="226"/>
      <c r="AL441" s="226"/>
      <c r="AM441" s="252"/>
      <c r="CC441" s="182" t="n">
        <f aca="false">G441</f>
        <v>36892</v>
      </c>
      <c r="CD441" s="253" t="e">
        <f aca="false">xSPRDOPT((VLOOKUP(G441,NGPrices,2,FALSE())+HLOOKUP(D441,Prices,VLOOKUP(G441,move_down,2,FALSE()),FALSE())),VLOOKUP(G441,NGPrices,2,FALSE()),I441,VLOOKUP(G441,NGPREVPRICES,4,FALSE()),HLOOKUP(D441,PREVVOLS,VLOOKUP(G441,MOVE_DOWN2,2,FALSE()),FALSE()),VLOOKUP(G441,NGPREVPRICES,3,FALSE()),HLOOKUP(D441,Correllate,VLOOKUP(G441,CorMove,2,FALSE()),FALSE()),Q441-$CD$3,R441,$CD$5)*H441-CJ441</f>
        <v>#NAME?</v>
      </c>
      <c r="CE441" s="253" t="e">
        <f aca="false">xSPRDOPT((VLOOKUP(G441,NGPREVPRICES,2,FALSE())+HLOOKUP(D441,PREVCURVES,VLOOKUP(G441,MOVE_DOWN2,2,FALSE()),FALSE())),VLOOKUP(G441,NGPREVPRICES,2,FALSE()),CK441,VLOOKUP(G441,NGPrices,4,FALSE()),HLOOKUP(D441,PREVVOLS,VLOOKUP(G441,MOVE_DOWN2,2,FALSE()),FALSE()),VLOOKUP(G441,NGPREVPRICES,3,FALSE()),HLOOKUP(D441,Correllate,VLOOKUP(G441,CorMove,2,FALSE()),FALSE()),Q441-$CD$3,R441,$CJ$5)*H441-CJ441</f>
        <v>#NAME?</v>
      </c>
      <c r="CF441" s="132" t="e">
        <f aca="false">(CJ441/VLOOKUP(CC441,discount,3,FALSE()))-(CJ441/VLOOKUP(CC441,discount,2,FALSE()))</f>
        <v>#NAME?</v>
      </c>
      <c r="CG441" s="253" t="e">
        <f aca="false">xSPRDOPT((VLOOKUP(G441,NGPREVPRICES,2,FALSE())+HLOOKUP(D441,PREVCURVES,VLOOKUP(G441,MOVE_DOWN2,2,FALSE()),FALSE())),VLOOKUP(G441,NGPREVPRICES,2,FALSE()),CK441,VLOOKUP(G441,NGPREVPRICES,4,FALSE()),HLOOKUP(D441,VOLS,VLOOKUP(G441,move_down,2,FALSE()),FALSE()),VLOOKUP(G441,NGPrices,3,FALSE()),HLOOKUP(D441,Correllate,VLOOKUP(G441,CorMove,2,FALSE()),FALSE()),Q441-$CD$3,R441,$CJ$5)*H441-CJ441</f>
        <v>#NAME?</v>
      </c>
      <c r="CH441" s="253" t="e">
        <f aca="false">xSPRDOPT((VLOOKUP(G441,NGPREVPRICES,2,FALSE())+HLOOKUP(D441,PREVCURVES,VLOOKUP(G441,MOVE_DOWN2,2,FALSE()),FALSE())),VLOOKUP(G441,NGPREVPRICES,2,FALSE()),CK441,VLOOKUP(G441,NGPREVPRICES,4,FALSE()),HLOOKUP(D441,PREVVOLS,VLOOKUP(G441,MOVE_DOWN2,2,FALSE()),FALSE()),VLOOKUP(G441,NGPREVPRICES,3,FALSE()),HLOOKUP(D441,Correllate,VLOOKUP(G441,CorMove,2,FALSE()),FALSE()),Q441-$C$3,R441,$CJ$5)*H441-CJ441</f>
        <v>#NAME?</v>
      </c>
      <c r="CI441" s="253" t="e">
        <f aca="false">SUM(CD441:CH441)</f>
        <v>#NAME?</v>
      </c>
      <c r="CJ441" s="253" t="e">
        <f aca="false">xSPRDOPT((VLOOKUP(G441,NGPREVPRICES,2,FALSE())+HLOOKUP(D441,PREVCURVES,VLOOKUP(G441,MOVE_DOWN2,2,FALSE()),FALSE())),VLOOKUP(G441,NGPREVPRICES,2,FALSE()),CK441,VLOOKUP(G441,NGPREVPRICES,4,FALSE()),HLOOKUP(D441,PREVVOLS,VLOOKUP(G441,MOVE_DOWN2,2,FALSE()),FALSE()),VLOOKUP(G441,NGPREVPRICES,3,FALSE()),HLOOKUP(D441,Correllate,VLOOKUP(G441,CorMove,2,FALSE()),FALSE()),Q441-$CD$3,R441,$CJ$5)*H441</f>
        <v>#NAME?</v>
      </c>
      <c r="CK441" s="254" t="n">
        <f aca="false">I441</f>
        <v>-0.4</v>
      </c>
      <c r="CM441" s="0" t="str">
        <f aca="false">CONCATENATE(CC441,$CD$6)</f>
        <v>36892Curve Shift/Gamma</v>
      </c>
      <c r="CN441" s="0" t="str">
        <f aca="false">CONCATENATE($CC441,$CE$6)</f>
        <v>36892Rho</v>
      </c>
      <c r="CO441" s="0" t="str">
        <f aca="false">CONCATENATE($CC441,$CF$6)</f>
        <v>36892Drift</v>
      </c>
      <c r="CP441" s="0" t="str">
        <f aca="false">CONCATENATE($CC441,$CG$6)</f>
        <v>36892Vega</v>
      </c>
      <c r="CQ441" s="0" t="str">
        <f aca="false">CONCATENATE($CC441,$CH$6)</f>
        <v>36892Theta</v>
      </c>
    </row>
    <row r="442" customFormat="false" ht="12.75" hidden="false" customHeight="false" outlineLevel="0" collapsed="false">
      <c r="A442" s="17" t="s">
        <v>196</v>
      </c>
      <c r="B442" s="0" t="s">
        <v>192</v>
      </c>
      <c r="C442" s="0" t="s">
        <v>354</v>
      </c>
      <c r="D442" s="7" t="s">
        <v>151</v>
      </c>
      <c r="E442" s="0" t="s">
        <v>131</v>
      </c>
      <c r="F442" s="0" t="s">
        <v>132</v>
      </c>
      <c r="G442" s="92" t="n">
        <v>36861</v>
      </c>
      <c r="H442" s="248" t="n">
        <v>-310000</v>
      </c>
      <c r="I442" s="0" t="n">
        <v>-0.4</v>
      </c>
      <c r="J442" s="124" t="n">
        <f aca="false">VLOOKUP(G442,NGPrices,2,FALSE())</f>
        <v>4.8</v>
      </c>
      <c r="K442" s="125" t="n">
        <f aca="false">HLOOKUP(D442,Prices,VLOOKUP(G442,move_down,2,FALSE()),FALSE())+VLOOKUP(G442,CHANGE,HLOOKUP(D442,CHANGE,2,FALSE()),FALSE())</f>
        <v>-0.3575</v>
      </c>
      <c r="L442" s="124" t="n">
        <f aca="false">K442+J442</f>
        <v>4.4425</v>
      </c>
      <c r="M442" s="126" t="n">
        <f aca="false">VLOOKUP(G442,NGPrices,4,FALSE())</f>
        <v>0.068314027999354</v>
      </c>
      <c r="N442" s="7" t="n">
        <f aca="false">VLOOKUP(G442,NGPrices,3,FALSE())</f>
        <v>0.6</v>
      </c>
      <c r="O442" s="7" t="n">
        <f aca="false">HLOOKUP(D442,VOLS,VLOOKUP(G442,move_down,2,FALSE()),FALSE())</f>
        <v>0.576</v>
      </c>
      <c r="P442" s="249" t="n">
        <f aca="false">HLOOKUP(D442,Correllate,VLOOKUP(G442,CorMove,2,FALSE()),FALSE())</f>
        <v>0.93</v>
      </c>
      <c r="Q442" s="92" t="n">
        <f aca="false">WORKDAY(G442,-2)</f>
        <v>36859</v>
      </c>
      <c r="R442" s="7" t="n">
        <f aca="false">IF(F442="P",0,1)</f>
        <v>0</v>
      </c>
      <c r="S442" s="130" t="e">
        <f aca="false">xSPRDOPT($L442,$J442,$I442,$M442,$O442,$N442,$P442,$Q442-$C$3,$R442,0)</f>
        <v>#NAME?</v>
      </c>
      <c r="T442" s="250" t="e">
        <f aca="false">xSPRDOPT($L442,$J442,$I442,$M442,$O442,$N442,$P442,$Q442-$C$3,$R442,1)*H442</f>
        <v>#NAME?</v>
      </c>
      <c r="U442" s="43" t="e">
        <f aca="false">S442*H442</f>
        <v>#NAME?</v>
      </c>
      <c r="V442" s="250" t="e">
        <f aca="false">xSPRDOPT($L442,$J442,$I442,$M442,$O442,$N442,$P442,$Q442-$C$3,$R442,2)*H442</f>
        <v>#NAME?</v>
      </c>
      <c r="W442" s="250" t="e">
        <f aca="false">+V442+T442</f>
        <v>#NAME?</v>
      </c>
      <c r="X442" s="2" t="str">
        <f aca="false">CONCATENATE(G442,D442)</f>
        <v>36861IF-NWPL_ROCKY_M</v>
      </c>
      <c r="Y442" s="251" t="n">
        <f aca="false">H442/10000</f>
        <v>-31</v>
      </c>
      <c r="Z442" s="226" t="e">
        <f aca="false">T442/H442</f>
        <v>#NAME?</v>
      </c>
      <c r="AA442" s="226" t="e">
        <f aca="false">xSPRDOPT($L442,$J442,$I442,$M442,$O442,$N442,$P442,$Q442-$C$3,$R442,3)</f>
        <v>#NAME?</v>
      </c>
      <c r="AB442" s="226" t="e">
        <f aca="false">((xSPRDOPT($L442+AB$5,$J442,$I442,$M442,$O442,$N442,$P442,$Q442-$C$3,$R442,3)*$H442)/10000)/100</f>
        <v>#NAME?</v>
      </c>
      <c r="AC442" s="226" t="e">
        <f aca="false">((xSPRDOPT($L442+$AB$5,$J442,$I442,$M442,$O442,$N442,$P442,$Q442-$C$3,$R442,7)*$H442)/100)</f>
        <v>#NAME?</v>
      </c>
      <c r="AD442" s="226" t="e">
        <f aca="false">(xSPRDOPT($L442+$AB$5,$J442,$I442,$M442,$O442,$N442,$P442,$Q442-$C$3,$R442,9)/365)*$H442</f>
        <v>#NAME?</v>
      </c>
      <c r="AE442" s="0" t="e">
        <f aca="false">CD442</f>
        <v>#NAME?</v>
      </c>
      <c r="AF442" s="226" t="e">
        <f aca="false">((O442/N442)*AH442)+AG442</f>
        <v>#NAME?</v>
      </c>
      <c r="AG442" s="226" t="e">
        <f aca="false">((xSPRDOPT($L442,$J442,$I442,$M442,$O442,$N442,$P442,$Q442-$C$3,$R442,6)*$H442)/100)</f>
        <v>#NAME?</v>
      </c>
      <c r="AH442" s="226" t="e">
        <f aca="false">((xSPRDOPT($L442,$J442,$I442,$M442,$O442,$N442,$P442,$Q442-$C$3,$R442,5)*$H442)/100)</f>
        <v>#NAME?</v>
      </c>
      <c r="AI442" s="226" t="e">
        <f aca="false">(((xSPRDOPT($L442,$J442,$I442,$M442,$O442,$N442,$P442,$Q442-$C$3,$R442,4)*$H442)/10000)/100)-AB442</f>
        <v>#NAME?</v>
      </c>
      <c r="AJ442" s="226"/>
      <c r="AK442" s="226"/>
      <c r="AL442" s="226"/>
      <c r="AM442" s="252"/>
      <c r="CC442" s="182" t="n">
        <f aca="false">G442</f>
        <v>36861</v>
      </c>
      <c r="CD442" s="253" t="e">
        <f aca="false">xSPRDOPT((VLOOKUP(G442,NGPrices,2,FALSE())+HLOOKUP(D442,Prices,VLOOKUP(G442,move_down,2,FALSE()),FALSE())),VLOOKUP(G442,NGPrices,2,FALSE()),I442,VLOOKUP(G442,NGPREVPRICES,4,FALSE()),HLOOKUP(D442,PREVVOLS,VLOOKUP(G442,MOVE_DOWN2,2,FALSE()),FALSE()),VLOOKUP(G442,NGPREVPRICES,3,FALSE()),HLOOKUP(D442,Correllate,VLOOKUP(G442,CorMove,2,FALSE()),FALSE()),Q442-$CD$3,R442,$CD$5)*H442-CJ442</f>
        <v>#NAME?</v>
      </c>
      <c r="CE442" s="253" t="e">
        <f aca="false">xSPRDOPT((VLOOKUP(G442,NGPREVPRICES,2,FALSE())+HLOOKUP(D442,PREVCURVES,VLOOKUP(G442,MOVE_DOWN2,2,FALSE()),FALSE())),VLOOKUP(G442,NGPREVPRICES,2,FALSE()),CK442,VLOOKUP(G442,NGPrices,4,FALSE()),HLOOKUP(D442,PREVVOLS,VLOOKUP(G442,MOVE_DOWN2,2,FALSE()),FALSE()),VLOOKUP(G442,NGPREVPRICES,3,FALSE()),HLOOKUP(D442,Correllate,VLOOKUP(G442,CorMove,2,FALSE()),FALSE()),Q442-$CD$3,R442,$CJ$5)*H442-CJ442</f>
        <v>#NAME?</v>
      </c>
      <c r="CF442" s="132" t="e">
        <f aca="false">(CJ442/VLOOKUP(CC442,discount,3,FALSE()))-(CJ442/VLOOKUP(CC442,discount,2,FALSE()))</f>
        <v>#NAME?</v>
      </c>
      <c r="CG442" s="253" t="e">
        <f aca="false">xSPRDOPT((VLOOKUP(G442,NGPREVPRICES,2,FALSE())+HLOOKUP(D442,PREVCURVES,VLOOKUP(G442,MOVE_DOWN2,2,FALSE()),FALSE())),VLOOKUP(G442,NGPREVPRICES,2,FALSE()),CK442,VLOOKUP(G442,NGPREVPRICES,4,FALSE()),HLOOKUP(D442,VOLS,VLOOKUP(G442,move_down,2,FALSE()),FALSE()),VLOOKUP(G442,NGPrices,3,FALSE()),HLOOKUP(D442,Correllate,VLOOKUP(G442,CorMove,2,FALSE()),FALSE()),Q442-$CD$3,R442,$CJ$5)*H442-CJ442</f>
        <v>#NAME?</v>
      </c>
      <c r="CH442" s="253" t="e">
        <f aca="false">xSPRDOPT((VLOOKUP(G442,NGPREVPRICES,2,FALSE())+HLOOKUP(D442,PREVCURVES,VLOOKUP(G442,MOVE_DOWN2,2,FALSE()),FALSE())),VLOOKUP(G442,NGPREVPRICES,2,FALSE()),CK442,VLOOKUP(G442,NGPREVPRICES,4,FALSE()),HLOOKUP(D442,PREVVOLS,VLOOKUP(G442,MOVE_DOWN2,2,FALSE()),FALSE()),VLOOKUP(G442,NGPREVPRICES,3,FALSE()),HLOOKUP(D442,Correllate,VLOOKUP(G442,CorMove,2,FALSE()),FALSE()),Q442-$C$3,R442,$CJ$5)*H442-CJ442</f>
        <v>#NAME?</v>
      </c>
      <c r="CI442" s="253" t="e">
        <f aca="false">SUM(CD442:CH442)</f>
        <v>#NAME?</v>
      </c>
      <c r="CJ442" s="253" t="e">
        <f aca="false">xSPRDOPT((VLOOKUP(G442,NGPREVPRICES,2,FALSE())+HLOOKUP(D442,PREVCURVES,VLOOKUP(G442,MOVE_DOWN2,2,FALSE()),FALSE())),VLOOKUP(G442,NGPREVPRICES,2,FALSE()),CK442,VLOOKUP(G442,NGPREVPRICES,4,FALSE()),HLOOKUP(D442,PREVVOLS,VLOOKUP(G442,MOVE_DOWN2,2,FALSE()),FALSE()),VLOOKUP(G442,NGPREVPRICES,3,FALSE()),HLOOKUP(D442,Correllate,VLOOKUP(G442,CorMove,2,FALSE()),FALSE()),Q442-$CD$3,R442,$CJ$5)*H442</f>
        <v>#NAME?</v>
      </c>
      <c r="CK442" s="254" t="n">
        <f aca="false">I442</f>
        <v>-0.4</v>
      </c>
      <c r="CM442" s="0" t="str">
        <f aca="false">CONCATENATE(CC442,$CD$6)</f>
        <v>36861Curve Shift/Gamma</v>
      </c>
      <c r="CN442" s="0" t="str">
        <f aca="false">CONCATENATE($CC442,$CE$6)</f>
        <v>36861Rho</v>
      </c>
      <c r="CO442" s="0" t="str">
        <f aca="false">CONCATENATE($CC442,$CF$6)</f>
        <v>36861Drift</v>
      </c>
      <c r="CP442" s="0" t="str">
        <f aca="false">CONCATENATE($CC442,$CG$6)</f>
        <v>36861Vega</v>
      </c>
      <c r="CQ442" s="0" t="str">
        <f aca="false">CONCATENATE($CC442,$CH$6)</f>
        <v>36861Theta</v>
      </c>
    </row>
    <row r="443" customFormat="false" ht="12.75" hidden="false" customHeight="false" outlineLevel="0" collapsed="false">
      <c r="A443" s="17" t="s">
        <v>196</v>
      </c>
      <c r="B443" s="0" t="s">
        <v>192</v>
      </c>
      <c r="C443" s="0" t="s">
        <v>354</v>
      </c>
      <c r="D443" s="7" t="s">
        <v>151</v>
      </c>
      <c r="E443" s="0" t="s">
        <v>131</v>
      </c>
      <c r="F443" s="0" t="s">
        <v>132</v>
      </c>
      <c r="G443" s="92" t="n">
        <v>36831</v>
      </c>
      <c r="H443" s="248" t="n">
        <v>-300000</v>
      </c>
      <c r="I443" s="0" t="n">
        <v>-0.4</v>
      </c>
      <c r="J443" s="124" t="n">
        <f aca="false">VLOOKUP(G443,NGPrices,2,FALSE())</f>
        <v>4.736</v>
      </c>
      <c r="K443" s="125" t="n">
        <f aca="false">HLOOKUP(D443,Prices,VLOOKUP(G443,move_down,2,FALSE()),FALSE())+VLOOKUP(G443,CHANGE,HLOOKUP(D443,CHANGE,2,FALSE()),FALSE())</f>
        <v>-0.4675</v>
      </c>
      <c r="L443" s="124" t="n">
        <f aca="false">K443+J443</f>
        <v>4.2685</v>
      </c>
      <c r="M443" s="126" t="n">
        <f aca="false">VLOOKUP(G443,NGPrices,4,FALSE())</f>
        <v>0.06810675983792</v>
      </c>
      <c r="N443" s="7" t="n">
        <f aca="false">VLOOKUP(G443,NGPrices,3,FALSE())</f>
        <v>0.595</v>
      </c>
      <c r="O443" s="7" t="n">
        <f aca="false">HLOOKUP(D443,VOLS,VLOOKUP(G443,move_down,2,FALSE()),FALSE())</f>
        <v>0.571</v>
      </c>
      <c r="P443" s="249" t="n">
        <f aca="false">HLOOKUP(D443,Correllate,VLOOKUP(G443,CorMove,2,FALSE()),FALSE())</f>
        <v>0.93</v>
      </c>
      <c r="Q443" s="92" t="n">
        <f aca="false">WORKDAY(G443,-2)</f>
        <v>36829</v>
      </c>
      <c r="R443" s="7" t="n">
        <f aca="false">IF(F443="P",0,1)</f>
        <v>0</v>
      </c>
      <c r="S443" s="130" t="e">
        <f aca="false">xSPRDOPT($L443,$J443,$I443,$M443,$O443,$N443,$P443,$Q443-$C$3,$R443,0)</f>
        <v>#NAME?</v>
      </c>
      <c r="T443" s="250" t="e">
        <f aca="false">xSPRDOPT($L443,$J443,$I443,$M443,$O443,$N443,$P443,$Q443-$C$3,$R443,1)*H443</f>
        <v>#NAME?</v>
      </c>
      <c r="U443" s="43" t="e">
        <f aca="false">S443*H443</f>
        <v>#NAME?</v>
      </c>
      <c r="V443" s="250" t="e">
        <f aca="false">xSPRDOPT($L443,$J443,$I443,$M443,$O443,$N443,$P443,$Q443-$C$3,$R443,2)*H443</f>
        <v>#NAME?</v>
      </c>
      <c r="W443" s="250" t="e">
        <f aca="false">+V443+T443</f>
        <v>#NAME?</v>
      </c>
      <c r="X443" s="2" t="str">
        <f aca="false">CONCATENATE(G443,D443)</f>
        <v>36831IF-NWPL_ROCKY_M</v>
      </c>
      <c r="Y443" s="251" t="n">
        <f aca="false">H443/10000</f>
        <v>-30</v>
      </c>
      <c r="Z443" s="226" t="e">
        <f aca="false">T443/H443</f>
        <v>#NAME?</v>
      </c>
      <c r="AA443" s="226" t="e">
        <f aca="false">xSPRDOPT($L443,$J443,$I443,$M443,$O443,$N443,$P443,$Q443-$C$3,$R443,3)</f>
        <v>#NAME?</v>
      </c>
      <c r="AB443" s="226" t="e">
        <f aca="false">((xSPRDOPT($L443+AB$5,$J443,$I443,$M443,$O443,$N443,$P443,$Q443-$C$3,$R443,3)*$H443)/10000)/100</f>
        <v>#NAME?</v>
      </c>
      <c r="AC443" s="226" t="e">
        <f aca="false">((xSPRDOPT($L443+$AB$5,$J443,$I443,$M443,$O443,$N443,$P443,$Q443-$C$3,$R443,7)*$H443)/100)</f>
        <v>#NAME?</v>
      </c>
      <c r="AD443" s="226" t="e">
        <f aca="false">(xSPRDOPT($L443+$AB$5,$J443,$I443,$M443,$O443,$N443,$P443,$Q443-$C$3,$R443,9)/365)*$H443</f>
        <v>#NAME?</v>
      </c>
      <c r="AE443" s="0" t="e">
        <f aca="false">CD443</f>
        <v>#NAME?</v>
      </c>
      <c r="AF443" s="226" t="e">
        <f aca="false">((O443/N443)*AH443)+AG443</f>
        <v>#NAME?</v>
      </c>
      <c r="AG443" s="226" t="e">
        <f aca="false">((xSPRDOPT($L443,$J443,$I443,$M443,$O443,$N443,$P443,$Q443-$C$3,$R443,6)*$H443)/100)</f>
        <v>#NAME?</v>
      </c>
      <c r="AH443" s="226" t="e">
        <f aca="false">((xSPRDOPT($L443,$J443,$I443,$M443,$O443,$N443,$P443,$Q443-$C$3,$R443,5)*$H443)/100)</f>
        <v>#NAME?</v>
      </c>
      <c r="AI443" s="226" t="e">
        <f aca="false">(((xSPRDOPT($L443,$J443,$I443,$M443,$O443,$N443,$P443,$Q443-$C$3,$R443,4)*$H443)/10000)/100)-AB443</f>
        <v>#NAME?</v>
      </c>
      <c r="AJ443" s="226"/>
      <c r="AK443" s="226"/>
      <c r="AL443" s="226"/>
      <c r="AM443" s="252"/>
      <c r="CC443" s="182" t="n">
        <f aca="false">G443</f>
        <v>36831</v>
      </c>
      <c r="CD443" s="253" t="e">
        <f aca="false">xSPRDOPT((VLOOKUP(G443,NGPrices,2,FALSE())+HLOOKUP(D443,Prices,VLOOKUP(G443,move_down,2,FALSE()),FALSE())),VLOOKUP(G443,NGPrices,2,FALSE()),I443,VLOOKUP(G443,NGPREVPRICES,4,FALSE()),HLOOKUP(D443,PREVVOLS,VLOOKUP(G443,MOVE_DOWN2,2,FALSE()),FALSE()),VLOOKUP(G443,NGPREVPRICES,3,FALSE()),HLOOKUP(D443,Correllate,VLOOKUP(G443,CorMove,2,FALSE()),FALSE()),Q443-$CD$3,R443,$CD$5)*H443-CJ443</f>
        <v>#NAME?</v>
      </c>
      <c r="CE443" s="253" t="e">
        <f aca="false">xSPRDOPT((VLOOKUP(G443,NGPREVPRICES,2,FALSE())+HLOOKUP(D443,PREVCURVES,VLOOKUP(G443,MOVE_DOWN2,2,FALSE()),FALSE())),VLOOKUP(G443,NGPREVPRICES,2,FALSE()),CK443,VLOOKUP(G443,NGPrices,4,FALSE()),HLOOKUP(D443,PREVVOLS,VLOOKUP(G443,MOVE_DOWN2,2,FALSE()),FALSE()),VLOOKUP(G443,NGPREVPRICES,3,FALSE()),HLOOKUP(D443,Correllate,VLOOKUP(G443,CorMove,2,FALSE()),FALSE()),Q443-$CD$3,R443,$CJ$5)*H443-CJ443</f>
        <v>#NAME?</v>
      </c>
      <c r="CF443" s="132" t="e">
        <f aca="false">(CJ443/VLOOKUP(CC443,discount,3,FALSE()))-(CJ443/VLOOKUP(CC443,discount,2,FALSE()))</f>
        <v>#NAME?</v>
      </c>
      <c r="CG443" s="253" t="e">
        <f aca="false">xSPRDOPT((VLOOKUP(G443,NGPREVPRICES,2,FALSE())+HLOOKUP(D443,PREVCURVES,VLOOKUP(G443,MOVE_DOWN2,2,FALSE()),FALSE())),VLOOKUP(G443,NGPREVPRICES,2,FALSE()),CK443,VLOOKUP(G443,NGPREVPRICES,4,FALSE()),HLOOKUP(D443,VOLS,VLOOKUP(G443,move_down,2,FALSE()),FALSE()),VLOOKUP(G443,NGPrices,3,FALSE()),HLOOKUP(D443,Correllate,VLOOKUP(G443,CorMove,2,FALSE()),FALSE()),Q443-$CD$3,R443,$CJ$5)*H443-CJ443</f>
        <v>#NAME?</v>
      </c>
      <c r="CH443" s="253" t="e">
        <f aca="false">xSPRDOPT((VLOOKUP(G443,NGPREVPRICES,2,FALSE())+HLOOKUP(D443,PREVCURVES,VLOOKUP(G443,MOVE_DOWN2,2,FALSE()),FALSE())),VLOOKUP(G443,NGPREVPRICES,2,FALSE()),CK443,VLOOKUP(G443,NGPREVPRICES,4,FALSE()),HLOOKUP(D443,PREVVOLS,VLOOKUP(G443,MOVE_DOWN2,2,FALSE()),FALSE()),VLOOKUP(G443,NGPREVPRICES,3,FALSE()),HLOOKUP(D443,Correllate,VLOOKUP(G443,CorMove,2,FALSE()),FALSE()),Q443-$C$3,R443,$CJ$5)*H443-CJ443</f>
        <v>#NAME?</v>
      </c>
      <c r="CI443" s="253" t="e">
        <f aca="false">SUM(CD443:CH443)</f>
        <v>#NAME?</v>
      </c>
      <c r="CJ443" s="253" t="e">
        <f aca="false">xSPRDOPT((VLOOKUP(G443,NGPREVPRICES,2,FALSE())+HLOOKUP(D443,PREVCURVES,VLOOKUP(G443,MOVE_DOWN2,2,FALSE()),FALSE())),VLOOKUP(G443,NGPREVPRICES,2,FALSE()),CK443,VLOOKUP(G443,NGPREVPRICES,4,FALSE()),HLOOKUP(D443,PREVVOLS,VLOOKUP(G443,MOVE_DOWN2,2,FALSE()),FALSE()),VLOOKUP(G443,NGPREVPRICES,3,FALSE()),HLOOKUP(D443,Correllate,VLOOKUP(G443,CorMove,2,FALSE()),FALSE()),Q443-$CD$3,R443,$CJ$5)*H443</f>
        <v>#NAME?</v>
      </c>
      <c r="CK443" s="254" t="n">
        <f aca="false">I443</f>
        <v>-0.4</v>
      </c>
      <c r="CM443" s="0" t="str">
        <f aca="false">CONCATENATE(CC443,$CD$6)</f>
        <v>36831Curve Shift/Gamma</v>
      </c>
      <c r="CN443" s="0" t="str">
        <f aca="false">CONCATENATE($CC443,$CE$6)</f>
        <v>36831Rho</v>
      </c>
      <c r="CO443" s="0" t="str">
        <f aca="false">CONCATENATE($CC443,$CF$6)</f>
        <v>36831Drift</v>
      </c>
      <c r="CP443" s="0" t="str">
        <f aca="false">CONCATENATE($CC443,$CG$6)</f>
        <v>36831Vega</v>
      </c>
      <c r="CQ443" s="0" t="str">
        <f aca="false">CONCATENATE($CC443,$CH$6)</f>
        <v>36831Theta</v>
      </c>
    </row>
    <row r="444" customFormat="false" ht="12.75" hidden="false" customHeight="false" outlineLevel="0" collapsed="false">
      <c r="A444" s="17" t="s">
        <v>196</v>
      </c>
      <c r="B444" s="0" t="s">
        <v>192</v>
      </c>
      <c r="C444" s="0" t="s">
        <v>355</v>
      </c>
      <c r="D444" s="7" t="s">
        <v>151</v>
      </c>
      <c r="E444" s="0" t="s">
        <v>131</v>
      </c>
      <c r="F444" s="0" t="s">
        <v>136</v>
      </c>
      <c r="G444" s="92" t="n">
        <v>36951</v>
      </c>
      <c r="H444" s="248" t="n">
        <v>310000</v>
      </c>
      <c r="I444" s="0" t="n">
        <v>-0.1</v>
      </c>
      <c r="J444" s="124" t="n">
        <f aca="false">VLOOKUP(G444,NGPrices,2,FALSE())</f>
        <v>4.213</v>
      </c>
      <c r="K444" s="125" t="n">
        <f aca="false">HLOOKUP(D444,Prices,VLOOKUP(G444,move_down,2,FALSE()),FALSE())+VLOOKUP(G444,CHANGE,HLOOKUP(D444,CHANGE,2,FALSE()),FALSE())</f>
        <v>-0.3975</v>
      </c>
      <c r="L444" s="124" t="n">
        <f aca="false">K444+J444</f>
        <v>3.8155</v>
      </c>
      <c r="M444" s="126" t="n">
        <f aca="false">VLOOKUP(G444,NGPrices,4,FALSE())</f>
        <v>0.068879814952707</v>
      </c>
      <c r="N444" s="7" t="n">
        <f aca="false">VLOOKUP(G444,NGPrices,3,FALSE())</f>
        <v>0.5325</v>
      </c>
      <c r="O444" s="7" t="n">
        <f aca="false">HLOOKUP(D444,VOLS,VLOOKUP(G444,move_down,2,FALSE()),FALSE())</f>
        <v>0.511</v>
      </c>
      <c r="P444" s="249" t="n">
        <f aca="false">HLOOKUP(D444,Correllate,VLOOKUP(G444,CorMove,2,FALSE()),FALSE())</f>
        <v>0.93</v>
      </c>
      <c r="Q444" s="92" t="n">
        <f aca="false">WORKDAY(G444,-2)</f>
        <v>36949</v>
      </c>
      <c r="R444" s="7" t="n">
        <f aca="false">IF(F444="P",0,1)</f>
        <v>1</v>
      </c>
      <c r="S444" s="130" t="e">
        <f aca="false">xSPRDOPT($L444,$J444,$I444,$M444,$O444,$N444,$P444,$Q444-$C$3,$R444,0)</f>
        <v>#NAME?</v>
      </c>
      <c r="T444" s="250" t="e">
        <f aca="false">xSPRDOPT($L444,$J444,$I444,$M444,$O444,$N444,$P444,$Q444-$C$3,$R444,1)*H444</f>
        <v>#NAME?</v>
      </c>
      <c r="U444" s="43" t="e">
        <f aca="false">S444*H444</f>
        <v>#NAME?</v>
      </c>
      <c r="V444" s="250" t="e">
        <f aca="false">xSPRDOPT($L444,$J444,$I444,$M444,$O444,$N444,$P444,$Q444-$C$3,$R444,2)*H444</f>
        <v>#NAME?</v>
      </c>
      <c r="W444" s="250" t="e">
        <f aca="false">+V444+T444</f>
        <v>#NAME?</v>
      </c>
      <c r="X444" s="2" t="str">
        <f aca="false">CONCATENATE(G444,D444)</f>
        <v>36951IF-NWPL_ROCKY_M</v>
      </c>
      <c r="Y444" s="251" t="n">
        <f aca="false">H444/10000</f>
        <v>31</v>
      </c>
      <c r="Z444" s="226" t="e">
        <f aca="false">T444/H444</f>
        <v>#NAME?</v>
      </c>
      <c r="AA444" s="226" t="e">
        <f aca="false">xSPRDOPT($L444,$J444,$I444,$M444,$O444,$N444,$P444,$Q444-$C$3,$R444,3)</f>
        <v>#NAME?</v>
      </c>
      <c r="AB444" s="226" t="e">
        <f aca="false">((xSPRDOPT($L444+AB$5,$J444,$I444,$M444,$O444,$N444,$P444,$Q444-$C$3,$R444,3)*$H444)/10000)/100</f>
        <v>#NAME?</v>
      </c>
      <c r="AC444" s="226" t="e">
        <f aca="false">((xSPRDOPT($L444+$AB$5,$J444,$I444,$M444,$O444,$N444,$P444,$Q444-$C$3,$R444,7)*$H444)/100)</f>
        <v>#NAME?</v>
      </c>
      <c r="AD444" s="226" t="e">
        <f aca="false">(xSPRDOPT($L444+$AB$5,$J444,$I444,$M444,$O444,$N444,$P444,$Q444-$C$3,$R444,9)/365)*$H444</f>
        <v>#NAME?</v>
      </c>
      <c r="AE444" s="0" t="e">
        <f aca="false">CD444</f>
        <v>#NAME?</v>
      </c>
      <c r="AF444" s="226" t="e">
        <f aca="false">((O444/N444)*AH444)+AG444</f>
        <v>#NAME?</v>
      </c>
      <c r="AG444" s="226" t="e">
        <f aca="false">((xSPRDOPT($L444,$J444,$I444,$M444,$O444,$N444,$P444,$Q444-$C$3,$R444,6)*$H444)/100)</f>
        <v>#NAME?</v>
      </c>
      <c r="AH444" s="226" t="e">
        <f aca="false">((xSPRDOPT($L444,$J444,$I444,$M444,$O444,$N444,$P444,$Q444-$C$3,$R444,5)*$H444)/100)</f>
        <v>#NAME?</v>
      </c>
      <c r="AI444" s="226" t="e">
        <f aca="false">(((xSPRDOPT($L444,$J444,$I444,$M444,$O444,$N444,$P444,$Q444-$C$3,$R444,4)*$H444)/10000)/100)-AB444</f>
        <v>#NAME?</v>
      </c>
      <c r="AJ444" s="226"/>
      <c r="AK444" s="226"/>
      <c r="AL444" s="226"/>
      <c r="AM444" s="252"/>
      <c r="CC444" s="182" t="n">
        <f aca="false">G444</f>
        <v>36951</v>
      </c>
      <c r="CD444" s="253" t="e">
        <f aca="false">xSPRDOPT((VLOOKUP(G444,NGPrices,2,FALSE())+HLOOKUP(D444,Prices,VLOOKUP(G444,move_down,2,FALSE()),FALSE())),VLOOKUP(G444,NGPrices,2,FALSE()),I444,VLOOKUP(G444,NGPREVPRICES,4,FALSE()),HLOOKUP(D444,PREVVOLS,VLOOKUP(G444,MOVE_DOWN2,2,FALSE()),FALSE()),VLOOKUP(G444,NGPREVPRICES,3,FALSE()),HLOOKUP(D444,Correllate,VLOOKUP(G444,CorMove,2,FALSE()),FALSE()),Q444-$CD$3,R444,$CD$5)*H444-CJ444</f>
        <v>#NAME?</v>
      </c>
      <c r="CE444" s="253" t="e">
        <f aca="false">xSPRDOPT((VLOOKUP(G444,NGPREVPRICES,2,FALSE())+HLOOKUP(D444,PREVCURVES,VLOOKUP(G444,MOVE_DOWN2,2,FALSE()),FALSE())),VLOOKUP(G444,NGPREVPRICES,2,FALSE()),CK444,VLOOKUP(G444,NGPrices,4,FALSE()),HLOOKUP(D444,PREVVOLS,VLOOKUP(G444,MOVE_DOWN2,2,FALSE()),FALSE()),VLOOKUP(G444,NGPREVPRICES,3,FALSE()),HLOOKUP(D444,Correllate,VLOOKUP(G444,CorMove,2,FALSE()),FALSE()),Q444-$CD$3,R444,$CJ$5)*H444-CJ444</f>
        <v>#NAME?</v>
      </c>
      <c r="CF444" s="132" t="e">
        <f aca="false">(CJ444/VLOOKUP(CC444,discount,3,FALSE()))-(CJ444/VLOOKUP(CC444,discount,2,FALSE()))</f>
        <v>#NAME?</v>
      </c>
      <c r="CG444" s="253" t="e">
        <f aca="false">xSPRDOPT((VLOOKUP(G444,NGPREVPRICES,2,FALSE())+HLOOKUP(D444,PREVCURVES,VLOOKUP(G444,MOVE_DOWN2,2,FALSE()),FALSE())),VLOOKUP(G444,NGPREVPRICES,2,FALSE()),CK444,VLOOKUP(G444,NGPREVPRICES,4,FALSE()),HLOOKUP(D444,VOLS,VLOOKUP(G444,move_down,2,FALSE()),FALSE()),VLOOKUP(G444,NGPrices,3,FALSE()),HLOOKUP(D444,Correllate,VLOOKUP(G444,CorMove,2,FALSE()),FALSE()),Q444-$CD$3,R444,$CJ$5)*H444-CJ444</f>
        <v>#NAME?</v>
      </c>
      <c r="CH444" s="253" t="e">
        <f aca="false">xSPRDOPT((VLOOKUP(G444,NGPREVPRICES,2,FALSE())+HLOOKUP(D444,PREVCURVES,VLOOKUP(G444,MOVE_DOWN2,2,FALSE()),FALSE())),VLOOKUP(G444,NGPREVPRICES,2,FALSE()),CK444,VLOOKUP(G444,NGPREVPRICES,4,FALSE()),HLOOKUP(D444,PREVVOLS,VLOOKUP(G444,MOVE_DOWN2,2,FALSE()),FALSE()),VLOOKUP(G444,NGPREVPRICES,3,FALSE()),HLOOKUP(D444,Correllate,VLOOKUP(G444,CorMove,2,FALSE()),FALSE()),Q444-$C$3,R444,$CJ$5)*H444-CJ444</f>
        <v>#NAME?</v>
      </c>
      <c r="CI444" s="253" t="e">
        <f aca="false">SUM(CD444:CH444)</f>
        <v>#NAME?</v>
      </c>
      <c r="CJ444" s="253" t="e">
        <f aca="false">xSPRDOPT((VLOOKUP(G444,NGPREVPRICES,2,FALSE())+HLOOKUP(D444,PREVCURVES,VLOOKUP(G444,MOVE_DOWN2,2,FALSE()),FALSE())),VLOOKUP(G444,NGPREVPRICES,2,FALSE()),CK444,VLOOKUP(G444,NGPREVPRICES,4,FALSE()),HLOOKUP(D444,PREVVOLS,VLOOKUP(G444,MOVE_DOWN2,2,FALSE()),FALSE()),VLOOKUP(G444,NGPREVPRICES,3,FALSE()),HLOOKUP(D444,Correllate,VLOOKUP(G444,CorMove,2,FALSE()),FALSE()),Q444-$CD$3,R444,$CJ$5)*H444</f>
        <v>#NAME?</v>
      </c>
      <c r="CK444" s="254" t="n">
        <f aca="false">I444</f>
        <v>-0.1</v>
      </c>
      <c r="CM444" s="0" t="str">
        <f aca="false">CONCATENATE(CC444,$CD$6)</f>
        <v>36951Curve Shift/Gamma</v>
      </c>
      <c r="CN444" s="0" t="str">
        <f aca="false">CONCATENATE($CC444,$CE$6)</f>
        <v>36951Rho</v>
      </c>
      <c r="CO444" s="0" t="str">
        <f aca="false">CONCATENATE($CC444,$CF$6)</f>
        <v>36951Drift</v>
      </c>
      <c r="CP444" s="0" t="str">
        <f aca="false">CONCATENATE($CC444,$CG$6)</f>
        <v>36951Vega</v>
      </c>
      <c r="CQ444" s="0" t="str">
        <f aca="false">CONCATENATE($CC444,$CH$6)</f>
        <v>36951Theta</v>
      </c>
    </row>
    <row r="445" customFormat="false" ht="12.75" hidden="false" customHeight="false" outlineLevel="0" collapsed="false">
      <c r="A445" s="17" t="s">
        <v>196</v>
      </c>
      <c r="B445" s="0" t="s">
        <v>192</v>
      </c>
      <c r="C445" s="0" t="s">
        <v>355</v>
      </c>
      <c r="D445" s="7" t="s">
        <v>151</v>
      </c>
      <c r="E445" s="0" t="s">
        <v>131</v>
      </c>
      <c r="F445" s="0" t="s">
        <v>136</v>
      </c>
      <c r="G445" s="92" t="n">
        <v>36923</v>
      </c>
      <c r="H445" s="248" t="n">
        <v>280000</v>
      </c>
      <c r="I445" s="0" t="n">
        <v>-0.1</v>
      </c>
      <c r="J445" s="124" t="n">
        <f aca="false">VLOOKUP(G445,NGPrices,2,FALSE())</f>
        <v>4.48</v>
      </c>
      <c r="K445" s="125" t="n">
        <f aca="false">HLOOKUP(D445,Prices,VLOOKUP(G445,move_down,2,FALSE()),FALSE())+VLOOKUP(G445,CHANGE,HLOOKUP(D445,CHANGE,2,FALSE()),FALSE())</f>
        <v>-0.3875</v>
      </c>
      <c r="L445" s="124" t="n">
        <f aca="false">K445+J445</f>
        <v>4.0925</v>
      </c>
      <c r="M445" s="126" t="n">
        <f aca="false">VLOOKUP(G445,NGPrices,4,FALSE())</f>
        <v>0.068640161611372</v>
      </c>
      <c r="N445" s="7" t="n">
        <f aca="false">VLOOKUP(G445,NGPrices,3,FALSE())</f>
        <v>0.5925</v>
      </c>
      <c r="O445" s="7" t="n">
        <f aca="false">HLOOKUP(D445,VOLS,VLOOKUP(G445,move_down,2,FALSE()),FALSE())</f>
        <v>0.569</v>
      </c>
      <c r="P445" s="249" t="n">
        <f aca="false">HLOOKUP(D445,Correllate,VLOOKUP(G445,CorMove,2,FALSE()),FALSE())</f>
        <v>0.93</v>
      </c>
      <c r="Q445" s="92" t="n">
        <f aca="false">WORKDAY(G445,-2)</f>
        <v>36921</v>
      </c>
      <c r="R445" s="7" t="n">
        <f aca="false">IF(F445="P",0,1)</f>
        <v>1</v>
      </c>
      <c r="S445" s="130" t="e">
        <f aca="false">xSPRDOPT($L445,$J445,$I445,$M445,$O445,$N445,$P445,$Q445-$C$3,$R445,0)</f>
        <v>#NAME?</v>
      </c>
      <c r="T445" s="250" t="e">
        <f aca="false">xSPRDOPT($L445,$J445,$I445,$M445,$O445,$N445,$P445,$Q445-$C$3,$R445,1)*H445</f>
        <v>#NAME?</v>
      </c>
      <c r="U445" s="43" t="e">
        <f aca="false">S445*H445</f>
        <v>#NAME?</v>
      </c>
      <c r="V445" s="250" t="e">
        <f aca="false">xSPRDOPT($L445,$J445,$I445,$M445,$O445,$N445,$P445,$Q445-$C$3,$R445,2)*H445</f>
        <v>#NAME?</v>
      </c>
      <c r="W445" s="250" t="e">
        <f aca="false">+V445+T445</f>
        <v>#NAME?</v>
      </c>
      <c r="X445" s="2" t="str">
        <f aca="false">CONCATENATE(G445,D445)</f>
        <v>36923IF-NWPL_ROCKY_M</v>
      </c>
      <c r="Y445" s="251" t="n">
        <f aca="false">H445/10000</f>
        <v>28</v>
      </c>
      <c r="Z445" s="226" t="e">
        <f aca="false">T445/H445</f>
        <v>#NAME?</v>
      </c>
      <c r="AA445" s="226" t="e">
        <f aca="false">xSPRDOPT($L445,$J445,$I445,$M445,$O445,$N445,$P445,$Q445-$C$3,$R445,3)</f>
        <v>#NAME?</v>
      </c>
      <c r="AB445" s="226" t="e">
        <f aca="false">((xSPRDOPT($L445+AB$5,$J445,$I445,$M445,$O445,$N445,$P445,$Q445-$C$3,$R445,3)*$H445)/10000)/100</f>
        <v>#NAME?</v>
      </c>
      <c r="AC445" s="226" t="e">
        <f aca="false">((xSPRDOPT($L445+$AB$5,$J445,$I445,$M445,$O445,$N445,$P445,$Q445-$C$3,$R445,7)*$H445)/100)</f>
        <v>#NAME?</v>
      </c>
      <c r="AD445" s="226" t="e">
        <f aca="false">(xSPRDOPT($L445+$AB$5,$J445,$I445,$M445,$O445,$N445,$P445,$Q445-$C$3,$R445,9)/365)*$H445</f>
        <v>#NAME?</v>
      </c>
      <c r="AE445" s="0" t="e">
        <f aca="false">CD445</f>
        <v>#NAME?</v>
      </c>
      <c r="AF445" s="226" t="e">
        <f aca="false">((O445/N445)*AH445)+AG445</f>
        <v>#NAME?</v>
      </c>
      <c r="AG445" s="226" t="e">
        <f aca="false">((xSPRDOPT($L445,$J445,$I445,$M445,$O445,$N445,$P445,$Q445-$C$3,$R445,6)*$H445)/100)</f>
        <v>#NAME?</v>
      </c>
      <c r="AH445" s="226" t="e">
        <f aca="false">((xSPRDOPT($L445,$J445,$I445,$M445,$O445,$N445,$P445,$Q445-$C$3,$R445,5)*$H445)/100)</f>
        <v>#NAME?</v>
      </c>
      <c r="AI445" s="226" t="e">
        <f aca="false">(((xSPRDOPT($L445,$J445,$I445,$M445,$O445,$N445,$P445,$Q445-$C$3,$R445,4)*$H445)/10000)/100)-AB445</f>
        <v>#NAME?</v>
      </c>
      <c r="AJ445" s="226"/>
      <c r="AK445" s="226"/>
      <c r="AL445" s="226"/>
      <c r="AM445" s="252"/>
      <c r="CC445" s="182" t="n">
        <f aca="false">G445</f>
        <v>36923</v>
      </c>
      <c r="CD445" s="253" t="e">
        <f aca="false">xSPRDOPT((VLOOKUP(G445,NGPrices,2,FALSE())+HLOOKUP(D445,Prices,VLOOKUP(G445,move_down,2,FALSE()),FALSE())),VLOOKUP(G445,NGPrices,2,FALSE()),I445,VLOOKUP(G445,NGPREVPRICES,4,FALSE()),HLOOKUP(D445,PREVVOLS,VLOOKUP(G445,MOVE_DOWN2,2,FALSE()),FALSE()),VLOOKUP(G445,NGPREVPRICES,3,FALSE()),HLOOKUP(D445,Correllate,VLOOKUP(G445,CorMove,2,FALSE()),FALSE()),Q445-$CD$3,R445,$CD$5)*H445-CJ445</f>
        <v>#NAME?</v>
      </c>
      <c r="CE445" s="253" t="e">
        <f aca="false">xSPRDOPT((VLOOKUP(G445,NGPREVPRICES,2,FALSE())+HLOOKUP(D445,PREVCURVES,VLOOKUP(G445,MOVE_DOWN2,2,FALSE()),FALSE())),VLOOKUP(G445,NGPREVPRICES,2,FALSE()),CK445,VLOOKUP(G445,NGPrices,4,FALSE()),HLOOKUP(D445,PREVVOLS,VLOOKUP(G445,MOVE_DOWN2,2,FALSE()),FALSE()),VLOOKUP(G445,NGPREVPRICES,3,FALSE()),HLOOKUP(D445,Correllate,VLOOKUP(G445,CorMove,2,FALSE()),FALSE()),Q445-$CD$3,R445,$CJ$5)*H445-CJ445</f>
        <v>#NAME?</v>
      </c>
      <c r="CF445" s="132" t="e">
        <f aca="false">(CJ445/VLOOKUP(CC445,discount,3,FALSE()))-(CJ445/VLOOKUP(CC445,discount,2,FALSE()))</f>
        <v>#NAME?</v>
      </c>
      <c r="CG445" s="253" t="e">
        <f aca="false">xSPRDOPT((VLOOKUP(G445,NGPREVPRICES,2,FALSE())+HLOOKUP(D445,PREVCURVES,VLOOKUP(G445,MOVE_DOWN2,2,FALSE()),FALSE())),VLOOKUP(G445,NGPREVPRICES,2,FALSE()),CK445,VLOOKUP(G445,NGPREVPRICES,4,FALSE()),HLOOKUP(D445,VOLS,VLOOKUP(G445,move_down,2,FALSE()),FALSE()),VLOOKUP(G445,NGPrices,3,FALSE()),HLOOKUP(D445,Correllate,VLOOKUP(G445,CorMove,2,FALSE()),FALSE()),Q445-$CD$3,R445,$CJ$5)*H445-CJ445</f>
        <v>#NAME?</v>
      </c>
      <c r="CH445" s="253" t="e">
        <f aca="false">xSPRDOPT((VLOOKUP(G445,NGPREVPRICES,2,FALSE())+HLOOKUP(D445,PREVCURVES,VLOOKUP(G445,MOVE_DOWN2,2,FALSE()),FALSE())),VLOOKUP(G445,NGPREVPRICES,2,FALSE()),CK445,VLOOKUP(G445,NGPREVPRICES,4,FALSE()),HLOOKUP(D445,PREVVOLS,VLOOKUP(G445,MOVE_DOWN2,2,FALSE()),FALSE()),VLOOKUP(G445,NGPREVPRICES,3,FALSE()),HLOOKUP(D445,Correllate,VLOOKUP(G445,CorMove,2,FALSE()),FALSE()),Q445-$C$3,R445,$CJ$5)*H445-CJ445</f>
        <v>#NAME?</v>
      </c>
      <c r="CI445" s="253" t="e">
        <f aca="false">SUM(CD445:CH445)</f>
        <v>#NAME?</v>
      </c>
      <c r="CJ445" s="253" t="e">
        <f aca="false">xSPRDOPT((VLOOKUP(G445,NGPREVPRICES,2,FALSE())+HLOOKUP(D445,PREVCURVES,VLOOKUP(G445,MOVE_DOWN2,2,FALSE()),FALSE())),VLOOKUP(G445,NGPREVPRICES,2,FALSE()),CK445,VLOOKUP(G445,NGPREVPRICES,4,FALSE()),HLOOKUP(D445,PREVVOLS,VLOOKUP(G445,MOVE_DOWN2,2,FALSE()),FALSE()),VLOOKUP(G445,NGPREVPRICES,3,FALSE()),HLOOKUP(D445,Correllate,VLOOKUP(G445,CorMove,2,FALSE()),FALSE()),Q445-$CD$3,R445,$CJ$5)*H445</f>
        <v>#NAME?</v>
      </c>
      <c r="CK445" s="254" t="n">
        <f aca="false">I445</f>
        <v>-0.1</v>
      </c>
      <c r="CM445" s="0" t="str">
        <f aca="false">CONCATENATE(CC445,$CD$6)</f>
        <v>36923Curve Shift/Gamma</v>
      </c>
      <c r="CN445" s="0" t="str">
        <f aca="false">CONCATENATE($CC445,$CE$6)</f>
        <v>36923Rho</v>
      </c>
      <c r="CO445" s="0" t="str">
        <f aca="false">CONCATENATE($CC445,$CF$6)</f>
        <v>36923Drift</v>
      </c>
      <c r="CP445" s="0" t="str">
        <f aca="false">CONCATENATE($CC445,$CG$6)</f>
        <v>36923Vega</v>
      </c>
      <c r="CQ445" s="0" t="str">
        <f aca="false">CONCATENATE($CC445,$CH$6)</f>
        <v>36923Theta</v>
      </c>
    </row>
    <row r="446" customFormat="false" ht="12.75" hidden="false" customHeight="false" outlineLevel="0" collapsed="false">
      <c r="A446" s="17" t="s">
        <v>196</v>
      </c>
      <c r="B446" s="0" t="s">
        <v>192</v>
      </c>
      <c r="C446" s="0" t="s">
        <v>355</v>
      </c>
      <c r="D446" s="7" t="s">
        <v>151</v>
      </c>
      <c r="E446" s="0" t="s">
        <v>131</v>
      </c>
      <c r="F446" s="0" t="s">
        <v>136</v>
      </c>
      <c r="G446" s="92" t="n">
        <v>36892</v>
      </c>
      <c r="H446" s="248" t="n">
        <v>310000</v>
      </c>
      <c r="I446" s="0" t="n">
        <v>-0.1</v>
      </c>
      <c r="J446" s="124" t="n">
        <f aca="false">VLOOKUP(G446,NGPrices,2,FALSE())</f>
        <v>4.744</v>
      </c>
      <c r="K446" s="125" t="n">
        <f aca="false">HLOOKUP(D446,Prices,VLOOKUP(G446,move_down,2,FALSE()),FALSE())+VLOOKUP(G446,CHANGE,HLOOKUP(D446,CHANGE,2,FALSE()),FALSE())</f>
        <v>-0.3675</v>
      </c>
      <c r="L446" s="124" t="n">
        <f aca="false">K446+J446</f>
        <v>4.3765</v>
      </c>
      <c r="M446" s="126" t="n">
        <f aca="false">VLOOKUP(G446,NGPrices,4,FALSE())</f>
        <v>0.068374831148491</v>
      </c>
      <c r="N446" s="7" t="n">
        <f aca="false">VLOOKUP(G446,NGPrices,3,FALSE())</f>
        <v>0.605</v>
      </c>
      <c r="O446" s="7" t="n">
        <f aca="false">HLOOKUP(D446,VOLS,VLOOKUP(G446,move_down,2,FALSE()),FALSE())</f>
        <v>0.581</v>
      </c>
      <c r="P446" s="249" t="n">
        <f aca="false">HLOOKUP(D446,Correllate,VLOOKUP(G446,CorMove,2,FALSE()),FALSE())</f>
        <v>0.93</v>
      </c>
      <c r="Q446" s="92" t="n">
        <f aca="false">WORKDAY(G446,-2)</f>
        <v>36888</v>
      </c>
      <c r="R446" s="7" t="n">
        <f aca="false">IF(F446="P",0,1)</f>
        <v>1</v>
      </c>
      <c r="S446" s="130" t="e">
        <f aca="false">xSPRDOPT($L446,$J446,$I446,$M446,$O446,$N446,$P446,$Q446-$C$3,$R446,0)</f>
        <v>#NAME?</v>
      </c>
      <c r="T446" s="250" t="e">
        <f aca="false">xSPRDOPT($L446,$J446,$I446,$M446,$O446,$N446,$P446,$Q446-$C$3,$R446,1)*H446</f>
        <v>#NAME?</v>
      </c>
      <c r="U446" s="43" t="e">
        <f aca="false">S446*H446</f>
        <v>#NAME?</v>
      </c>
      <c r="V446" s="250" t="e">
        <f aca="false">xSPRDOPT($L446,$J446,$I446,$M446,$O446,$N446,$P446,$Q446-$C$3,$R446,2)*H446</f>
        <v>#NAME?</v>
      </c>
      <c r="W446" s="250" t="e">
        <f aca="false">+V446+T446</f>
        <v>#NAME?</v>
      </c>
      <c r="X446" s="2" t="str">
        <f aca="false">CONCATENATE(G446,D446)</f>
        <v>36892IF-NWPL_ROCKY_M</v>
      </c>
      <c r="Y446" s="251" t="n">
        <f aca="false">H446/10000</f>
        <v>31</v>
      </c>
      <c r="Z446" s="226" t="e">
        <f aca="false">T446/H446</f>
        <v>#NAME?</v>
      </c>
      <c r="AA446" s="226" t="e">
        <f aca="false">xSPRDOPT($L446,$J446,$I446,$M446,$O446,$N446,$P446,$Q446-$C$3,$R446,3)</f>
        <v>#NAME?</v>
      </c>
      <c r="AB446" s="226" t="e">
        <f aca="false">((xSPRDOPT($L446+AB$5,$J446,$I446,$M446,$O446,$N446,$P446,$Q446-$C$3,$R446,3)*$H446)/10000)/100</f>
        <v>#NAME?</v>
      </c>
      <c r="AC446" s="226" t="e">
        <f aca="false">((xSPRDOPT($L446+$AB$5,$J446,$I446,$M446,$O446,$N446,$P446,$Q446-$C$3,$R446,7)*$H446)/100)</f>
        <v>#NAME?</v>
      </c>
      <c r="AD446" s="226" t="e">
        <f aca="false">(xSPRDOPT($L446+$AB$5,$J446,$I446,$M446,$O446,$N446,$P446,$Q446-$C$3,$R446,9)/365)*$H446</f>
        <v>#NAME?</v>
      </c>
      <c r="AE446" s="0" t="e">
        <f aca="false">CD446</f>
        <v>#NAME?</v>
      </c>
      <c r="AF446" s="226" t="e">
        <f aca="false">((O446/N446)*AH446)+AG446</f>
        <v>#NAME?</v>
      </c>
      <c r="AG446" s="226" t="e">
        <f aca="false">((xSPRDOPT($L446,$J446,$I446,$M446,$O446,$N446,$P446,$Q446-$C$3,$R446,6)*$H446)/100)</f>
        <v>#NAME?</v>
      </c>
      <c r="AH446" s="226" t="e">
        <f aca="false">((xSPRDOPT($L446,$J446,$I446,$M446,$O446,$N446,$P446,$Q446-$C$3,$R446,5)*$H446)/100)</f>
        <v>#NAME?</v>
      </c>
      <c r="AI446" s="226" t="e">
        <f aca="false">(((xSPRDOPT($L446,$J446,$I446,$M446,$O446,$N446,$P446,$Q446-$C$3,$R446,4)*$H446)/10000)/100)-AB446</f>
        <v>#NAME?</v>
      </c>
      <c r="AJ446" s="226"/>
      <c r="AK446" s="226"/>
      <c r="AL446" s="226"/>
      <c r="AM446" s="252"/>
      <c r="CC446" s="182" t="n">
        <f aca="false">G446</f>
        <v>36892</v>
      </c>
      <c r="CD446" s="253" t="e">
        <f aca="false">xSPRDOPT((VLOOKUP(G446,NGPrices,2,FALSE())+HLOOKUP(D446,Prices,VLOOKUP(G446,move_down,2,FALSE()),FALSE())),VLOOKUP(G446,NGPrices,2,FALSE()),I446,VLOOKUP(G446,NGPREVPRICES,4,FALSE()),HLOOKUP(D446,PREVVOLS,VLOOKUP(G446,MOVE_DOWN2,2,FALSE()),FALSE()),VLOOKUP(G446,NGPREVPRICES,3,FALSE()),HLOOKUP(D446,Correllate,VLOOKUP(G446,CorMove,2,FALSE()),FALSE()),Q446-$CD$3,R446,$CD$5)*H446-CJ446</f>
        <v>#NAME?</v>
      </c>
      <c r="CE446" s="253" t="e">
        <f aca="false">xSPRDOPT((VLOOKUP(G446,NGPREVPRICES,2,FALSE())+HLOOKUP(D446,PREVCURVES,VLOOKUP(G446,MOVE_DOWN2,2,FALSE()),FALSE())),VLOOKUP(G446,NGPREVPRICES,2,FALSE()),CK446,VLOOKUP(G446,NGPrices,4,FALSE()),HLOOKUP(D446,PREVVOLS,VLOOKUP(G446,MOVE_DOWN2,2,FALSE()),FALSE()),VLOOKUP(G446,NGPREVPRICES,3,FALSE()),HLOOKUP(D446,Correllate,VLOOKUP(G446,CorMove,2,FALSE()),FALSE()),Q446-$CD$3,R446,$CJ$5)*H446-CJ446</f>
        <v>#NAME?</v>
      </c>
      <c r="CF446" s="132" t="e">
        <f aca="false">(CJ446/VLOOKUP(CC446,discount,3,FALSE()))-(CJ446/VLOOKUP(CC446,discount,2,FALSE()))</f>
        <v>#NAME?</v>
      </c>
      <c r="CG446" s="253" t="e">
        <f aca="false">xSPRDOPT((VLOOKUP(G446,NGPREVPRICES,2,FALSE())+HLOOKUP(D446,PREVCURVES,VLOOKUP(G446,MOVE_DOWN2,2,FALSE()),FALSE())),VLOOKUP(G446,NGPREVPRICES,2,FALSE()),CK446,VLOOKUP(G446,NGPREVPRICES,4,FALSE()),HLOOKUP(D446,VOLS,VLOOKUP(G446,move_down,2,FALSE()),FALSE()),VLOOKUP(G446,NGPrices,3,FALSE()),HLOOKUP(D446,Correllate,VLOOKUP(G446,CorMove,2,FALSE()),FALSE()),Q446-$CD$3,R446,$CJ$5)*H446-CJ446</f>
        <v>#NAME?</v>
      </c>
      <c r="CH446" s="253" t="e">
        <f aca="false">xSPRDOPT((VLOOKUP(G446,NGPREVPRICES,2,FALSE())+HLOOKUP(D446,PREVCURVES,VLOOKUP(G446,MOVE_DOWN2,2,FALSE()),FALSE())),VLOOKUP(G446,NGPREVPRICES,2,FALSE()),CK446,VLOOKUP(G446,NGPREVPRICES,4,FALSE()),HLOOKUP(D446,PREVVOLS,VLOOKUP(G446,MOVE_DOWN2,2,FALSE()),FALSE()),VLOOKUP(G446,NGPREVPRICES,3,FALSE()),HLOOKUP(D446,Correllate,VLOOKUP(G446,CorMove,2,FALSE()),FALSE()),Q446-$C$3,R446,$CJ$5)*H446-CJ446</f>
        <v>#NAME?</v>
      </c>
      <c r="CI446" s="253" t="e">
        <f aca="false">SUM(CD446:CH446)</f>
        <v>#NAME?</v>
      </c>
      <c r="CJ446" s="253" t="e">
        <f aca="false">xSPRDOPT((VLOOKUP(G446,NGPREVPRICES,2,FALSE())+HLOOKUP(D446,PREVCURVES,VLOOKUP(G446,MOVE_DOWN2,2,FALSE()),FALSE())),VLOOKUP(G446,NGPREVPRICES,2,FALSE()),CK446,VLOOKUP(G446,NGPREVPRICES,4,FALSE()),HLOOKUP(D446,PREVVOLS,VLOOKUP(G446,MOVE_DOWN2,2,FALSE()),FALSE()),VLOOKUP(G446,NGPREVPRICES,3,FALSE()),HLOOKUP(D446,Correllate,VLOOKUP(G446,CorMove,2,FALSE()),FALSE()),Q446-$CD$3,R446,$CJ$5)*H446</f>
        <v>#NAME?</v>
      </c>
      <c r="CK446" s="254" t="n">
        <f aca="false">I446</f>
        <v>-0.1</v>
      </c>
      <c r="CM446" s="0" t="str">
        <f aca="false">CONCATENATE(CC446,$CD$6)</f>
        <v>36892Curve Shift/Gamma</v>
      </c>
      <c r="CN446" s="0" t="str">
        <f aca="false">CONCATENATE($CC446,$CE$6)</f>
        <v>36892Rho</v>
      </c>
      <c r="CO446" s="0" t="str">
        <f aca="false">CONCATENATE($CC446,$CF$6)</f>
        <v>36892Drift</v>
      </c>
      <c r="CP446" s="0" t="str">
        <f aca="false">CONCATENATE($CC446,$CG$6)</f>
        <v>36892Vega</v>
      </c>
      <c r="CQ446" s="0" t="str">
        <f aca="false">CONCATENATE($CC446,$CH$6)</f>
        <v>36892Theta</v>
      </c>
    </row>
    <row r="447" customFormat="false" ht="12.75" hidden="false" customHeight="false" outlineLevel="0" collapsed="false">
      <c r="A447" s="17" t="s">
        <v>196</v>
      </c>
      <c r="B447" s="0" t="s">
        <v>192</v>
      </c>
      <c r="C447" s="0" t="s">
        <v>355</v>
      </c>
      <c r="D447" s="7" t="s">
        <v>151</v>
      </c>
      <c r="E447" s="0" t="s">
        <v>131</v>
      </c>
      <c r="F447" s="0" t="s">
        <v>136</v>
      </c>
      <c r="G447" s="92" t="n">
        <v>36861</v>
      </c>
      <c r="H447" s="248" t="n">
        <v>310000</v>
      </c>
      <c r="I447" s="0" t="n">
        <v>-0.1</v>
      </c>
      <c r="J447" s="124" t="n">
        <f aca="false">VLOOKUP(G447,NGPrices,2,FALSE())</f>
        <v>4.8</v>
      </c>
      <c r="K447" s="125" t="n">
        <f aca="false">HLOOKUP(D447,Prices,VLOOKUP(G447,move_down,2,FALSE()),FALSE())+VLOOKUP(G447,CHANGE,HLOOKUP(D447,CHANGE,2,FALSE()),FALSE())</f>
        <v>-0.3575</v>
      </c>
      <c r="L447" s="124" t="n">
        <f aca="false">K447+J447</f>
        <v>4.4425</v>
      </c>
      <c r="M447" s="126" t="n">
        <f aca="false">VLOOKUP(G447,NGPrices,4,FALSE())</f>
        <v>0.068314027999354</v>
      </c>
      <c r="N447" s="7" t="n">
        <f aca="false">VLOOKUP(G447,NGPrices,3,FALSE())</f>
        <v>0.6</v>
      </c>
      <c r="O447" s="7" t="n">
        <f aca="false">HLOOKUP(D447,VOLS,VLOOKUP(G447,move_down,2,FALSE()),FALSE())</f>
        <v>0.576</v>
      </c>
      <c r="P447" s="249" t="n">
        <f aca="false">HLOOKUP(D447,Correllate,VLOOKUP(G447,CorMove,2,FALSE()),FALSE())</f>
        <v>0.93</v>
      </c>
      <c r="Q447" s="92" t="n">
        <f aca="false">WORKDAY(G447,-2)</f>
        <v>36859</v>
      </c>
      <c r="R447" s="7" t="n">
        <f aca="false">IF(F447="P",0,1)</f>
        <v>1</v>
      </c>
      <c r="S447" s="130" t="e">
        <f aca="false">xSPRDOPT($L447,$J447,$I447,$M447,$O447,$N447,$P447,$Q447-$C$3,$R447,0)</f>
        <v>#NAME?</v>
      </c>
      <c r="T447" s="250" t="e">
        <f aca="false">xSPRDOPT($L447,$J447,$I447,$M447,$O447,$N447,$P447,$Q447-$C$3,$R447,1)*H447</f>
        <v>#NAME?</v>
      </c>
      <c r="U447" s="43" t="e">
        <f aca="false">S447*H447</f>
        <v>#NAME?</v>
      </c>
      <c r="V447" s="250" t="e">
        <f aca="false">xSPRDOPT($L447,$J447,$I447,$M447,$O447,$N447,$P447,$Q447-$C$3,$R447,2)*H447</f>
        <v>#NAME?</v>
      </c>
      <c r="W447" s="250" t="e">
        <f aca="false">+V447+T447</f>
        <v>#NAME?</v>
      </c>
      <c r="X447" s="2" t="str">
        <f aca="false">CONCATENATE(G447,D447)</f>
        <v>36861IF-NWPL_ROCKY_M</v>
      </c>
      <c r="Y447" s="251" t="n">
        <f aca="false">H447/10000</f>
        <v>31</v>
      </c>
      <c r="Z447" s="226" t="e">
        <f aca="false">T447/H447</f>
        <v>#NAME?</v>
      </c>
      <c r="AA447" s="226" t="e">
        <f aca="false">xSPRDOPT($L447,$J447,$I447,$M447,$O447,$N447,$P447,$Q447-$C$3,$R447,3)</f>
        <v>#NAME?</v>
      </c>
      <c r="AB447" s="226" t="e">
        <f aca="false">((xSPRDOPT($L447+AB$5,$J447,$I447,$M447,$O447,$N447,$P447,$Q447-$C$3,$R447,3)*$H447)/10000)/100</f>
        <v>#NAME?</v>
      </c>
      <c r="AC447" s="226" t="e">
        <f aca="false">((xSPRDOPT($L447+$AB$5,$J447,$I447,$M447,$O447,$N447,$P447,$Q447-$C$3,$R447,7)*$H447)/100)</f>
        <v>#NAME?</v>
      </c>
      <c r="AD447" s="226" t="e">
        <f aca="false">(xSPRDOPT($L447+$AB$5,$J447,$I447,$M447,$O447,$N447,$P447,$Q447-$C$3,$R447,9)/365)*$H447</f>
        <v>#NAME?</v>
      </c>
      <c r="AE447" s="0" t="e">
        <f aca="false">CD447</f>
        <v>#NAME?</v>
      </c>
      <c r="AF447" s="226" t="e">
        <f aca="false">((O447/N447)*AH447)+AG447</f>
        <v>#NAME?</v>
      </c>
      <c r="AG447" s="226" t="e">
        <f aca="false">((xSPRDOPT($L447,$J447,$I447,$M447,$O447,$N447,$P447,$Q447-$C$3,$R447,6)*$H447)/100)</f>
        <v>#NAME?</v>
      </c>
      <c r="AH447" s="226" t="e">
        <f aca="false">((xSPRDOPT($L447,$J447,$I447,$M447,$O447,$N447,$P447,$Q447-$C$3,$R447,5)*$H447)/100)</f>
        <v>#NAME?</v>
      </c>
      <c r="AI447" s="226" t="e">
        <f aca="false">(((xSPRDOPT($L447,$J447,$I447,$M447,$O447,$N447,$P447,$Q447-$C$3,$R447,4)*$H447)/10000)/100)-AB447</f>
        <v>#NAME?</v>
      </c>
      <c r="AJ447" s="226"/>
      <c r="AK447" s="226"/>
      <c r="AL447" s="226"/>
      <c r="AM447" s="252"/>
      <c r="CC447" s="182" t="n">
        <f aca="false">G447</f>
        <v>36861</v>
      </c>
      <c r="CD447" s="253" t="e">
        <f aca="false">xSPRDOPT((VLOOKUP(G447,NGPrices,2,FALSE())+HLOOKUP(D447,Prices,VLOOKUP(G447,move_down,2,FALSE()),FALSE())),VLOOKUP(G447,NGPrices,2,FALSE()),I447,VLOOKUP(G447,NGPREVPRICES,4,FALSE()),HLOOKUP(D447,PREVVOLS,VLOOKUP(G447,MOVE_DOWN2,2,FALSE()),FALSE()),VLOOKUP(G447,NGPREVPRICES,3,FALSE()),HLOOKUP(D447,Correllate,VLOOKUP(G447,CorMove,2,FALSE()),FALSE()),Q447-$CD$3,R447,$CD$5)*H447-CJ447</f>
        <v>#NAME?</v>
      </c>
      <c r="CE447" s="253" t="e">
        <f aca="false">xSPRDOPT((VLOOKUP(G447,NGPREVPRICES,2,FALSE())+HLOOKUP(D447,PREVCURVES,VLOOKUP(G447,MOVE_DOWN2,2,FALSE()),FALSE())),VLOOKUP(G447,NGPREVPRICES,2,FALSE()),CK447,VLOOKUP(G447,NGPrices,4,FALSE()),HLOOKUP(D447,PREVVOLS,VLOOKUP(G447,MOVE_DOWN2,2,FALSE()),FALSE()),VLOOKUP(G447,NGPREVPRICES,3,FALSE()),HLOOKUP(D447,Correllate,VLOOKUP(G447,CorMove,2,FALSE()),FALSE()),Q447-$CD$3,R447,$CJ$5)*H447-CJ447</f>
        <v>#NAME?</v>
      </c>
      <c r="CF447" s="132" t="e">
        <f aca="false">(CJ447/VLOOKUP(CC447,discount,3,FALSE()))-(CJ447/VLOOKUP(CC447,discount,2,FALSE()))</f>
        <v>#NAME?</v>
      </c>
      <c r="CG447" s="253" t="e">
        <f aca="false">xSPRDOPT((VLOOKUP(G447,NGPREVPRICES,2,FALSE())+HLOOKUP(D447,PREVCURVES,VLOOKUP(G447,MOVE_DOWN2,2,FALSE()),FALSE())),VLOOKUP(G447,NGPREVPRICES,2,FALSE()),CK447,VLOOKUP(G447,NGPREVPRICES,4,FALSE()),HLOOKUP(D447,VOLS,VLOOKUP(G447,move_down,2,FALSE()),FALSE()),VLOOKUP(G447,NGPrices,3,FALSE()),HLOOKUP(D447,Correllate,VLOOKUP(G447,CorMove,2,FALSE()),FALSE()),Q447-$CD$3,R447,$CJ$5)*H447-CJ447</f>
        <v>#NAME?</v>
      </c>
      <c r="CH447" s="253" t="e">
        <f aca="false">xSPRDOPT((VLOOKUP(G447,NGPREVPRICES,2,FALSE())+HLOOKUP(D447,PREVCURVES,VLOOKUP(G447,MOVE_DOWN2,2,FALSE()),FALSE())),VLOOKUP(G447,NGPREVPRICES,2,FALSE()),CK447,VLOOKUP(G447,NGPREVPRICES,4,FALSE()),HLOOKUP(D447,PREVVOLS,VLOOKUP(G447,MOVE_DOWN2,2,FALSE()),FALSE()),VLOOKUP(G447,NGPREVPRICES,3,FALSE()),HLOOKUP(D447,Correllate,VLOOKUP(G447,CorMove,2,FALSE()),FALSE()),Q447-$C$3,R447,$CJ$5)*H447-CJ447</f>
        <v>#NAME?</v>
      </c>
      <c r="CI447" s="253" t="e">
        <f aca="false">SUM(CD447:CH447)</f>
        <v>#NAME?</v>
      </c>
      <c r="CJ447" s="253" t="e">
        <f aca="false">xSPRDOPT((VLOOKUP(G447,NGPREVPRICES,2,FALSE())+HLOOKUP(D447,PREVCURVES,VLOOKUP(G447,MOVE_DOWN2,2,FALSE()),FALSE())),VLOOKUP(G447,NGPREVPRICES,2,FALSE()),CK447,VLOOKUP(G447,NGPREVPRICES,4,FALSE()),HLOOKUP(D447,PREVVOLS,VLOOKUP(G447,MOVE_DOWN2,2,FALSE()),FALSE()),VLOOKUP(G447,NGPREVPRICES,3,FALSE()),HLOOKUP(D447,Correllate,VLOOKUP(G447,CorMove,2,FALSE()),FALSE()),Q447-$CD$3,R447,$CJ$5)*H447</f>
        <v>#NAME?</v>
      </c>
      <c r="CK447" s="254" t="n">
        <f aca="false">I447</f>
        <v>-0.1</v>
      </c>
      <c r="CM447" s="0" t="str">
        <f aca="false">CONCATENATE(CC447,$CD$6)</f>
        <v>36861Curve Shift/Gamma</v>
      </c>
      <c r="CN447" s="0" t="str">
        <f aca="false">CONCATENATE($CC447,$CE$6)</f>
        <v>36861Rho</v>
      </c>
      <c r="CO447" s="0" t="str">
        <f aca="false">CONCATENATE($CC447,$CF$6)</f>
        <v>36861Drift</v>
      </c>
      <c r="CP447" s="0" t="str">
        <f aca="false">CONCATENATE($CC447,$CG$6)</f>
        <v>36861Vega</v>
      </c>
      <c r="CQ447" s="0" t="str">
        <f aca="false">CONCATENATE($CC447,$CH$6)</f>
        <v>36861Theta</v>
      </c>
    </row>
    <row r="448" customFormat="false" ht="12.75" hidden="false" customHeight="false" outlineLevel="0" collapsed="false">
      <c r="A448" s="17" t="s">
        <v>196</v>
      </c>
      <c r="B448" s="0" t="s">
        <v>192</v>
      </c>
      <c r="C448" s="0" t="s">
        <v>355</v>
      </c>
      <c r="D448" s="7" t="s">
        <v>151</v>
      </c>
      <c r="E448" s="0" t="s">
        <v>131</v>
      </c>
      <c r="F448" s="0" t="s">
        <v>136</v>
      </c>
      <c r="G448" s="92" t="n">
        <v>36831</v>
      </c>
      <c r="H448" s="248" t="n">
        <v>300000</v>
      </c>
      <c r="I448" s="0" t="n">
        <v>-0.1</v>
      </c>
      <c r="J448" s="124" t="n">
        <f aca="false">VLOOKUP(G448,NGPrices,2,FALSE())</f>
        <v>4.736</v>
      </c>
      <c r="K448" s="125" t="n">
        <f aca="false">HLOOKUP(D448,Prices,VLOOKUP(G448,move_down,2,FALSE()),FALSE())+VLOOKUP(G448,CHANGE,HLOOKUP(D448,CHANGE,2,FALSE()),FALSE())</f>
        <v>-0.4675</v>
      </c>
      <c r="L448" s="124" t="n">
        <f aca="false">K448+J448</f>
        <v>4.2685</v>
      </c>
      <c r="M448" s="126" t="n">
        <f aca="false">VLOOKUP(G448,NGPrices,4,FALSE())</f>
        <v>0.06810675983792</v>
      </c>
      <c r="N448" s="7" t="n">
        <f aca="false">VLOOKUP(G448,NGPrices,3,FALSE())</f>
        <v>0.595</v>
      </c>
      <c r="O448" s="7" t="n">
        <f aca="false">HLOOKUP(D448,VOLS,VLOOKUP(G448,move_down,2,FALSE()),FALSE())</f>
        <v>0.571</v>
      </c>
      <c r="P448" s="249" t="n">
        <f aca="false">HLOOKUP(D448,Correllate,VLOOKUP(G448,CorMove,2,FALSE()),FALSE())</f>
        <v>0.93</v>
      </c>
      <c r="Q448" s="92" t="n">
        <f aca="false">WORKDAY(G448,-2)</f>
        <v>36829</v>
      </c>
      <c r="R448" s="7" t="n">
        <f aca="false">IF(F448="P",0,1)</f>
        <v>1</v>
      </c>
      <c r="S448" s="130" t="e">
        <f aca="false">xSPRDOPT($L448,$J448,$I448,$M448,$O448,$N448,$P448,$Q448-$C$3,$R448,0)</f>
        <v>#NAME?</v>
      </c>
      <c r="T448" s="250" t="e">
        <f aca="false">xSPRDOPT($L448,$J448,$I448,$M448,$O448,$N448,$P448,$Q448-$C$3,$R448,1)*H448</f>
        <v>#NAME?</v>
      </c>
      <c r="U448" s="43" t="e">
        <f aca="false">S448*H448</f>
        <v>#NAME?</v>
      </c>
      <c r="V448" s="250" t="e">
        <f aca="false">xSPRDOPT($L448,$J448,$I448,$M448,$O448,$N448,$P448,$Q448-$C$3,$R448,2)*H448</f>
        <v>#NAME?</v>
      </c>
      <c r="W448" s="250" t="e">
        <f aca="false">+V448+T448</f>
        <v>#NAME?</v>
      </c>
      <c r="X448" s="2" t="str">
        <f aca="false">CONCATENATE(G448,D448)</f>
        <v>36831IF-NWPL_ROCKY_M</v>
      </c>
      <c r="Y448" s="251" t="n">
        <f aca="false">H448/10000</f>
        <v>30</v>
      </c>
      <c r="Z448" s="226" t="e">
        <f aca="false">T448/H448</f>
        <v>#NAME?</v>
      </c>
      <c r="AA448" s="226" t="e">
        <f aca="false">xSPRDOPT($L448,$J448,$I448,$M448,$O448,$N448,$P448,$Q448-$C$3,$R448,3)</f>
        <v>#NAME?</v>
      </c>
      <c r="AB448" s="226" t="e">
        <f aca="false">((xSPRDOPT($L448+AB$5,$J448,$I448,$M448,$O448,$N448,$P448,$Q448-$C$3,$R448,3)*$H448)/10000)/100</f>
        <v>#NAME?</v>
      </c>
      <c r="AC448" s="226" t="e">
        <f aca="false">((xSPRDOPT($L448+$AB$5,$J448,$I448,$M448,$O448,$N448,$P448,$Q448-$C$3,$R448,7)*$H448)/100)</f>
        <v>#NAME?</v>
      </c>
      <c r="AD448" s="226" t="e">
        <f aca="false">(xSPRDOPT($L448+$AB$5,$J448,$I448,$M448,$O448,$N448,$P448,$Q448-$C$3,$R448,9)/365)*$H448</f>
        <v>#NAME?</v>
      </c>
      <c r="AE448" s="0" t="e">
        <f aca="false">CD448</f>
        <v>#NAME?</v>
      </c>
      <c r="AF448" s="226" t="e">
        <f aca="false">((O448/N448)*AH448)+AG448</f>
        <v>#NAME?</v>
      </c>
      <c r="AG448" s="226" t="e">
        <f aca="false">((xSPRDOPT($L448,$J448,$I448,$M448,$O448,$N448,$P448,$Q448-$C$3,$R448,6)*$H448)/100)</f>
        <v>#NAME?</v>
      </c>
      <c r="AH448" s="226" t="e">
        <f aca="false">((xSPRDOPT($L448,$J448,$I448,$M448,$O448,$N448,$P448,$Q448-$C$3,$R448,5)*$H448)/100)</f>
        <v>#NAME?</v>
      </c>
      <c r="AI448" s="226" t="e">
        <f aca="false">(((xSPRDOPT($L448,$J448,$I448,$M448,$O448,$N448,$P448,$Q448-$C$3,$R448,4)*$H448)/10000)/100)-AB448</f>
        <v>#NAME?</v>
      </c>
      <c r="AJ448" s="226"/>
      <c r="AK448" s="226"/>
      <c r="AL448" s="226"/>
      <c r="AM448" s="252"/>
      <c r="CC448" s="182" t="n">
        <f aca="false">G448</f>
        <v>36831</v>
      </c>
      <c r="CD448" s="253" t="e">
        <f aca="false">xSPRDOPT((VLOOKUP(G448,NGPrices,2,FALSE())+HLOOKUP(D448,Prices,VLOOKUP(G448,move_down,2,FALSE()),FALSE())),VLOOKUP(G448,NGPrices,2,FALSE()),I448,VLOOKUP(G448,NGPREVPRICES,4,FALSE()),HLOOKUP(D448,PREVVOLS,VLOOKUP(G448,MOVE_DOWN2,2,FALSE()),FALSE()),VLOOKUP(G448,NGPREVPRICES,3,FALSE()),HLOOKUP(D448,Correllate,VLOOKUP(G448,CorMove,2,FALSE()),FALSE()),Q448-$CD$3,R448,$CD$5)*H448-CJ448</f>
        <v>#NAME?</v>
      </c>
      <c r="CE448" s="253" t="e">
        <f aca="false">xSPRDOPT((VLOOKUP(G448,NGPREVPRICES,2,FALSE())+HLOOKUP(D448,PREVCURVES,VLOOKUP(G448,MOVE_DOWN2,2,FALSE()),FALSE())),VLOOKUP(G448,NGPREVPRICES,2,FALSE()),CK448,VLOOKUP(G448,NGPrices,4,FALSE()),HLOOKUP(D448,PREVVOLS,VLOOKUP(G448,MOVE_DOWN2,2,FALSE()),FALSE()),VLOOKUP(G448,NGPREVPRICES,3,FALSE()),HLOOKUP(D448,Correllate,VLOOKUP(G448,CorMove,2,FALSE()),FALSE()),Q448-$CD$3,R448,$CJ$5)*H448-CJ448</f>
        <v>#NAME?</v>
      </c>
      <c r="CF448" s="132" t="e">
        <f aca="false">(CJ448/VLOOKUP(CC448,discount,3,FALSE()))-(CJ448/VLOOKUP(CC448,discount,2,FALSE()))</f>
        <v>#NAME?</v>
      </c>
      <c r="CG448" s="253" t="e">
        <f aca="false">xSPRDOPT((VLOOKUP(G448,NGPREVPRICES,2,FALSE())+HLOOKUP(D448,PREVCURVES,VLOOKUP(G448,MOVE_DOWN2,2,FALSE()),FALSE())),VLOOKUP(G448,NGPREVPRICES,2,FALSE()),CK448,VLOOKUP(G448,NGPREVPRICES,4,FALSE()),HLOOKUP(D448,VOLS,VLOOKUP(G448,move_down,2,FALSE()),FALSE()),VLOOKUP(G448,NGPrices,3,FALSE()),HLOOKUP(D448,Correllate,VLOOKUP(G448,CorMove,2,FALSE()),FALSE()),Q448-$CD$3,R448,$CJ$5)*H448-CJ448</f>
        <v>#NAME?</v>
      </c>
      <c r="CH448" s="253" t="e">
        <f aca="false">xSPRDOPT((VLOOKUP(G448,NGPREVPRICES,2,FALSE())+HLOOKUP(D448,PREVCURVES,VLOOKUP(G448,MOVE_DOWN2,2,FALSE()),FALSE())),VLOOKUP(G448,NGPREVPRICES,2,FALSE()),CK448,VLOOKUP(G448,NGPREVPRICES,4,FALSE()),HLOOKUP(D448,PREVVOLS,VLOOKUP(G448,MOVE_DOWN2,2,FALSE()),FALSE()),VLOOKUP(G448,NGPREVPRICES,3,FALSE()),HLOOKUP(D448,Correllate,VLOOKUP(G448,CorMove,2,FALSE()),FALSE()),Q448-$C$3,R448,$CJ$5)*H448-CJ448</f>
        <v>#NAME?</v>
      </c>
      <c r="CI448" s="253" t="e">
        <f aca="false">SUM(CD448:CH448)</f>
        <v>#NAME?</v>
      </c>
      <c r="CJ448" s="253" t="e">
        <f aca="false">xSPRDOPT((VLOOKUP(G448,NGPREVPRICES,2,FALSE())+HLOOKUP(D448,PREVCURVES,VLOOKUP(G448,MOVE_DOWN2,2,FALSE()),FALSE())),VLOOKUP(G448,NGPREVPRICES,2,FALSE()),CK448,VLOOKUP(G448,NGPREVPRICES,4,FALSE()),HLOOKUP(D448,PREVVOLS,VLOOKUP(G448,MOVE_DOWN2,2,FALSE()),FALSE()),VLOOKUP(G448,NGPREVPRICES,3,FALSE()),HLOOKUP(D448,Correllate,VLOOKUP(G448,CorMove,2,FALSE()),FALSE()),Q448-$CD$3,R448,$CJ$5)*H448</f>
        <v>#NAME?</v>
      </c>
      <c r="CK448" s="254" t="n">
        <f aca="false">I448</f>
        <v>-0.1</v>
      </c>
      <c r="CM448" s="0" t="str">
        <f aca="false">CONCATENATE(CC448,$CD$6)</f>
        <v>36831Curve Shift/Gamma</v>
      </c>
      <c r="CN448" s="0" t="str">
        <f aca="false">CONCATENATE($CC448,$CE$6)</f>
        <v>36831Rho</v>
      </c>
      <c r="CO448" s="0" t="str">
        <f aca="false">CONCATENATE($CC448,$CF$6)</f>
        <v>36831Drift</v>
      </c>
      <c r="CP448" s="0" t="str">
        <f aca="false">CONCATENATE($CC448,$CG$6)</f>
        <v>36831Vega</v>
      </c>
      <c r="CQ448" s="0" t="str">
        <f aca="false">CONCATENATE($CC448,$CH$6)</f>
        <v>36831Theta</v>
      </c>
    </row>
    <row r="449" customFormat="false" ht="12.75" hidden="false" customHeight="false" outlineLevel="0" collapsed="false">
      <c r="A449" s="17" t="s">
        <v>210</v>
      </c>
      <c r="B449" s="0" t="s">
        <v>192</v>
      </c>
      <c r="C449" s="0" t="s">
        <v>356</v>
      </c>
      <c r="D449" s="7" t="s">
        <v>137</v>
      </c>
      <c r="E449" s="0" t="s">
        <v>131</v>
      </c>
      <c r="F449" s="0" t="s">
        <v>136</v>
      </c>
      <c r="G449" s="92" t="n">
        <v>36951</v>
      </c>
      <c r="H449" s="248" t="n">
        <v>155000</v>
      </c>
      <c r="I449" s="0" t="n">
        <v>0.2</v>
      </c>
      <c r="J449" s="124" t="n">
        <f aca="false">VLOOKUP(G449,NGPrices,2,FALSE())</f>
        <v>4.213</v>
      </c>
      <c r="K449" s="125" t="n">
        <f aca="false">HLOOKUP(D449,Prices,VLOOKUP(G449,move_down,2,FALSE()),FALSE())+VLOOKUP(G449,CHANGE,HLOOKUP(D449,CHANGE,2,FALSE()),FALSE())</f>
        <v>0.5975</v>
      </c>
      <c r="L449" s="124" t="n">
        <f aca="false">K449+J449</f>
        <v>4.8105</v>
      </c>
      <c r="M449" s="126" t="n">
        <f aca="false">VLOOKUP(G449,NGPrices,4,FALSE())</f>
        <v>0.068879814952707</v>
      </c>
      <c r="N449" s="7" t="n">
        <f aca="false">VLOOKUP(G449,NGPrices,3,FALSE())</f>
        <v>0.5325</v>
      </c>
      <c r="O449" s="7" t="n">
        <f aca="false">HLOOKUP(D449,VOLS,VLOOKUP(G449,move_down,2,FALSE()),FALSE())</f>
        <v>0.517</v>
      </c>
      <c r="P449" s="249" t="n">
        <f aca="false">HLOOKUP(D449,Correllate,VLOOKUP(G449,CorMove,2,FALSE()),FALSE())</f>
        <v>0.85</v>
      </c>
      <c r="Q449" s="92" t="n">
        <f aca="false">WORKDAY(G449,-2)</f>
        <v>36949</v>
      </c>
      <c r="R449" s="7" t="n">
        <f aca="false">IF(F449="P",0,1)</f>
        <v>1</v>
      </c>
      <c r="S449" s="130" t="e">
        <f aca="false">xSPRDOPT($L449,$J449,$I449,$M449,$O449,$N449,$P449,$Q449-$C$3,$R449,0)</f>
        <v>#NAME?</v>
      </c>
      <c r="T449" s="250" t="e">
        <f aca="false">xSPRDOPT($L449,$J449,$I449,$M449,$O449,$N449,$P449,$Q449-$C$3,$R449,1)*H449</f>
        <v>#NAME?</v>
      </c>
      <c r="U449" s="43" t="e">
        <f aca="false">S449*H449</f>
        <v>#NAME?</v>
      </c>
      <c r="V449" s="250" t="e">
        <f aca="false">xSPRDOPT($L449,$J449,$I449,$M449,$O449,$N449,$P449,$Q449-$C$3,$R449,2)*H449</f>
        <v>#NAME?</v>
      </c>
      <c r="W449" s="250" t="e">
        <f aca="false">+V449+T449</f>
        <v>#NAME?</v>
      </c>
      <c r="X449" s="2" t="str">
        <f aca="false">CONCATENATE(G449,D449)</f>
        <v>36951NGI-SOCAL</v>
      </c>
      <c r="Y449" s="251" t="n">
        <f aca="false">H449/10000</f>
        <v>15.5</v>
      </c>
      <c r="Z449" s="226" t="e">
        <f aca="false">T449/H449</f>
        <v>#NAME?</v>
      </c>
      <c r="AA449" s="226" t="e">
        <f aca="false">xSPRDOPT($L449,$J449,$I449,$M449,$O449,$N449,$P449,$Q449-$C$3,$R449,3)</f>
        <v>#NAME?</v>
      </c>
      <c r="AB449" s="226" t="e">
        <f aca="false">((xSPRDOPT($L449+AB$5,$J449,$I449,$M449,$O449,$N449,$P449,$Q449-$C$3,$R449,3)*$H449)/10000)/100</f>
        <v>#NAME?</v>
      </c>
      <c r="AC449" s="226" t="e">
        <f aca="false">((xSPRDOPT($L449+$AB$5,$J449,$I449,$M449,$O449,$N449,$P449,$Q449-$C$3,$R449,7)*$H449)/100)</f>
        <v>#NAME?</v>
      </c>
      <c r="AD449" s="226" t="e">
        <f aca="false">(xSPRDOPT($L449+$AB$5,$J449,$I449,$M449,$O449,$N449,$P449,$Q449-$C$3,$R449,9)/365)*$H449</f>
        <v>#NAME?</v>
      </c>
      <c r="AE449" s="0" t="e">
        <f aca="false">CD449</f>
        <v>#NAME?</v>
      </c>
      <c r="AF449" s="226" t="e">
        <f aca="false">((O449/N449)*AH449)+AG449</f>
        <v>#NAME?</v>
      </c>
      <c r="AG449" s="226" t="e">
        <f aca="false">((xSPRDOPT($L449,$J449,$I449,$M449,$O449,$N449,$P449,$Q449-$C$3,$R449,6)*$H449)/100)</f>
        <v>#NAME?</v>
      </c>
      <c r="AH449" s="226" t="e">
        <f aca="false">((xSPRDOPT($L449,$J449,$I449,$M449,$O449,$N449,$P449,$Q449-$C$3,$R449,5)*$H449)/100)</f>
        <v>#NAME?</v>
      </c>
      <c r="AI449" s="226" t="e">
        <f aca="false">(((xSPRDOPT($L449,$J449,$I449,$M449,$O449,$N449,$P449,$Q449-$C$3,$R449,4)*$H449)/10000)/100)-AB449</f>
        <v>#NAME?</v>
      </c>
      <c r="AJ449" s="226"/>
      <c r="AK449" s="226"/>
      <c r="AL449" s="226"/>
      <c r="AM449" s="252"/>
      <c r="CC449" s="182" t="n">
        <f aca="false">G449</f>
        <v>36951</v>
      </c>
      <c r="CD449" s="253" t="e">
        <f aca="false">xSPRDOPT((VLOOKUP(G449,NGPrices,2,FALSE())+HLOOKUP(D449,Prices,VLOOKUP(G449,move_down,2,FALSE()),FALSE())),VLOOKUP(G449,NGPrices,2,FALSE()),I449,VLOOKUP(G449,NGPREVPRICES,4,FALSE()),HLOOKUP(D449,PREVVOLS,VLOOKUP(G449,MOVE_DOWN2,2,FALSE()),FALSE()),VLOOKUP(G449,NGPREVPRICES,3,FALSE()),HLOOKUP(D449,Correllate,VLOOKUP(G449,CorMove,2,FALSE()),FALSE()),Q449-$CD$3,R449,$CD$5)*H449-CJ449</f>
        <v>#NAME?</v>
      </c>
      <c r="CE449" s="253" t="e">
        <f aca="false">xSPRDOPT((VLOOKUP(G449,NGPREVPRICES,2,FALSE())+HLOOKUP(D449,PREVCURVES,VLOOKUP(G449,MOVE_DOWN2,2,FALSE()),FALSE())),VLOOKUP(G449,NGPREVPRICES,2,FALSE()),CK449,VLOOKUP(G449,NGPrices,4,FALSE()),HLOOKUP(D449,PREVVOLS,VLOOKUP(G449,MOVE_DOWN2,2,FALSE()),FALSE()),VLOOKUP(G449,NGPREVPRICES,3,FALSE()),HLOOKUP(D449,Correllate,VLOOKUP(G449,CorMove,2,FALSE()),FALSE()),Q449-$CD$3,R449,$CJ$5)*H449-CJ449</f>
        <v>#NAME?</v>
      </c>
      <c r="CF449" s="132" t="e">
        <f aca="false">(CJ449/VLOOKUP(CC449,discount,3,FALSE()))-(CJ449/VLOOKUP(CC449,discount,2,FALSE()))</f>
        <v>#NAME?</v>
      </c>
      <c r="CG449" s="253" t="e">
        <f aca="false">xSPRDOPT((VLOOKUP(G449,NGPREVPRICES,2,FALSE())+HLOOKUP(D449,PREVCURVES,VLOOKUP(G449,MOVE_DOWN2,2,FALSE()),FALSE())),VLOOKUP(G449,NGPREVPRICES,2,FALSE()),CK449,VLOOKUP(G449,NGPREVPRICES,4,FALSE()),HLOOKUP(D449,VOLS,VLOOKUP(G449,move_down,2,FALSE()),FALSE()),VLOOKUP(G449,NGPrices,3,FALSE()),HLOOKUP(D449,Correllate,VLOOKUP(G449,CorMove,2,FALSE()),FALSE()),Q449-$CD$3,R449,$CJ$5)*H449-CJ449</f>
        <v>#NAME?</v>
      </c>
      <c r="CH449" s="253" t="e">
        <f aca="false">xSPRDOPT((VLOOKUP(G449,NGPREVPRICES,2,FALSE())+HLOOKUP(D449,PREVCURVES,VLOOKUP(G449,MOVE_DOWN2,2,FALSE()),FALSE())),VLOOKUP(G449,NGPREVPRICES,2,FALSE()),CK449,VLOOKUP(G449,NGPREVPRICES,4,FALSE()),HLOOKUP(D449,PREVVOLS,VLOOKUP(G449,MOVE_DOWN2,2,FALSE()),FALSE()),VLOOKUP(G449,NGPREVPRICES,3,FALSE()),HLOOKUP(D449,Correllate,VLOOKUP(G449,CorMove,2,FALSE()),FALSE()),Q449-$C$3,R449,$CJ$5)*H449-CJ449</f>
        <v>#NAME?</v>
      </c>
      <c r="CI449" s="253" t="e">
        <f aca="false">SUM(CD449:CH449)</f>
        <v>#NAME?</v>
      </c>
      <c r="CJ449" s="253" t="e">
        <f aca="false">xSPRDOPT((VLOOKUP(G449,NGPREVPRICES,2,FALSE())+HLOOKUP(D449,PREVCURVES,VLOOKUP(G449,MOVE_DOWN2,2,FALSE()),FALSE())),VLOOKUP(G449,NGPREVPRICES,2,FALSE()),CK449,VLOOKUP(G449,NGPREVPRICES,4,FALSE()),HLOOKUP(D449,PREVVOLS,VLOOKUP(G449,MOVE_DOWN2,2,FALSE()),FALSE()),VLOOKUP(G449,NGPREVPRICES,3,FALSE()),HLOOKUP(D449,Correllate,VLOOKUP(G449,CorMove,2,FALSE()),FALSE()),Q449-$CD$3,R449,$CJ$5)*H449</f>
        <v>#NAME?</v>
      </c>
      <c r="CK449" s="254" t="n">
        <f aca="false">I449</f>
        <v>0.2</v>
      </c>
      <c r="CM449" s="0" t="str">
        <f aca="false">CONCATENATE(CC449,$CD$6)</f>
        <v>36951Curve Shift/Gamma</v>
      </c>
      <c r="CN449" s="0" t="str">
        <f aca="false">CONCATENATE($CC449,$CE$6)</f>
        <v>36951Rho</v>
      </c>
      <c r="CO449" s="0" t="str">
        <f aca="false">CONCATENATE($CC449,$CF$6)</f>
        <v>36951Drift</v>
      </c>
      <c r="CP449" s="0" t="str">
        <f aca="false">CONCATENATE($CC449,$CG$6)</f>
        <v>36951Vega</v>
      </c>
      <c r="CQ449" s="0" t="str">
        <f aca="false">CONCATENATE($CC449,$CH$6)</f>
        <v>36951Theta</v>
      </c>
    </row>
    <row r="450" customFormat="false" ht="12.75" hidden="false" customHeight="false" outlineLevel="0" collapsed="false">
      <c r="A450" s="17" t="s">
        <v>210</v>
      </c>
      <c r="B450" s="0" t="s">
        <v>192</v>
      </c>
      <c r="C450" s="0" t="s">
        <v>356</v>
      </c>
      <c r="D450" s="7" t="s">
        <v>137</v>
      </c>
      <c r="E450" s="0" t="s">
        <v>131</v>
      </c>
      <c r="F450" s="0" t="s">
        <v>136</v>
      </c>
      <c r="G450" s="92" t="n">
        <v>36923</v>
      </c>
      <c r="H450" s="248" t="n">
        <v>140000</v>
      </c>
      <c r="I450" s="0" t="n">
        <v>0.2</v>
      </c>
      <c r="J450" s="124" t="n">
        <f aca="false">VLOOKUP(G450,NGPrices,2,FALSE())</f>
        <v>4.48</v>
      </c>
      <c r="K450" s="125" t="n">
        <f aca="false">HLOOKUP(D450,Prices,VLOOKUP(G450,move_down,2,FALSE()),FALSE())+VLOOKUP(G450,CHANGE,HLOOKUP(D450,CHANGE,2,FALSE()),FALSE())</f>
        <v>0.6175</v>
      </c>
      <c r="L450" s="124" t="n">
        <f aca="false">K450+J450</f>
        <v>5.0975</v>
      </c>
      <c r="M450" s="126" t="n">
        <f aca="false">VLOOKUP(G450,NGPrices,4,FALSE())</f>
        <v>0.068640161611372</v>
      </c>
      <c r="N450" s="7" t="n">
        <f aca="false">VLOOKUP(G450,NGPrices,3,FALSE())</f>
        <v>0.5925</v>
      </c>
      <c r="O450" s="7" t="n">
        <f aca="false">HLOOKUP(D450,VOLS,VLOOKUP(G450,move_down,2,FALSE()),FALSE())</f>
        <v>0.575</v>
      </c>
      <c r="P450" s="249" t="n">
        <f aca="false">HLOOKUP(D450,Correllate,VLOOKUP(G450,CorMove,2,FALSE()),FALSE())</f>
        <v>0.85</v>
      </c>
      <c r="Q450" s="92" t="n">
        <f aca="false">WORKDAY(G450,-2)</f>
        <v>36921</v>
      </c>
      <c r="R450" s="7" t="n">
        <f aca="false">IF(F450="P",0,1)</f>
        <v>1</v>
      </c>
      <c r="S450" s="130" t="e">
        <f aca="false">xSPRDOPT($L450,$J450,$I450,$M450,$O450,$N450,$P450,$Q450-$C$3,$R450,0)</f>
        <v>#NAME?</v>
      </c>
      <c r="T450" s="250" t="e">
        <f aca="false">xSPRDOPT($L450,$J450,$I450,$M450,$O450,$N450,$P450,$Q450-$C$3,$R450,1)*H450</f>
        <v>#NAME?</v>
      </c>
      <c r="U450" s="43" t="e">
        <f aca="false">S450*H450</f>
        <v>#NAME?</v>
      </c>
      <c r="V450" s="250" t="e">
        <f aca="false">xSPRDOPT($L450,$J450,$I450,$M450,$O450,$N450,$P450,$Q450-$C$3,$R450,2)*H450</f>
        <v>#NAME?</v>
      </c>
      <c r="W450" s="250" t="e">
        <f aca="false">+V450+T450</f>
        <v>#NAME?</v>
      </c>
      <c r="X450" s="2" t="str">
        <f aca="false">CONCATENATE(G450,D450)</f>
        <v>36923NGI-SOCAL</v>
      </c>
      <c r="Y450" s="251" t="n">
        <f aca="false">H450/10000</f>
        <v>14</v>
      </c>
      <c r="Z450" s="226" t="e">
        <f aca="false">T450/H450</f>
        <v>#NAME?</v>
      </c>
      <c r="AA450" s="226" t="e">
        <f aca="false">xSPRDOPT($L450,$J450,$I450,$M450,$O450,$N450,$P450,$Q450-$C$3,$R450,3)</f>
        <v>#NAME?</v>
      </c>
      <c r="AB450" s="226" t="e">
        <f aca="false">((xSPRDOPT($L450+AB$5,$J450,$I450,$M450,$O450,$N450,$P450,$Q450-$C$3,$R450,3)*$H450)/10000)/100</f>
        <v>#NAME?</v>
      </c>
      <c r="AC450" s="226" t="e">
        <f aca="false">((xSPRDOPT($L450+$AB$5,$J450,$I450,$M450,$O450,$N450,$P450,$Q450-$C$3,$R450,7)*$H450)/100)</f>
        <v>#NAME?</v>
      </c>
      <c r="AD450" s="226" t="e">
        <f aca="false">(xSPRDOPT($L450+$AB$5,$J450,$I450,$M450,$O450,$N450,$P450,$Q450-$C$3,$R450,9)/365)*$H450</f>
        <v>#NAME?</v>
      </c>
      <c r="AE450" s="0" t="e">
        <f aca="false">CD450</f>
        <v>#NAME?</v>
      </c>
      <c r="AF450" s="226" t="e">
        <f aca="false">((O450/N450)*AH450)+AG450</f>
        <v>#NAME?</v>
      </c>
      <c r="AG450" s="226" t="e">
        <f aca="false">((xSPRDOPT($L450,$J450,$I450,$M450,$O450,$N450,$P450,$Q450-$C$3,$R450,6)*$H450)/100)</f>
        <v>#NAME?</v>
      </c>
      <c r="AH450" s="226" t="e">
        <f aca="false">((xSPRDOPT($L450,$J450,$I450,$M450,$O450,$N450,$P450,$Q450-$C$3,$R450,5)*$H450)/100)</f>
        <v>#NAME?</v>
      </c>
      <c r="AI450" s="226" t="e">
        <f aca="false">(((xSPRDOPT($L450,$J450,$I450,$M450,$O450,$N450,$P450,$Q450-$C$3,$R450,4)*$H450)/10000)/100)-AB450</f>
        <v>#NAME?</v>
      </c>
      <c r="AJ450" s="226"/>
      <c r="AK450" s="226"/>
      <c r="AL450" s="226"/>
      <c r="AM450" s="252"/>
      <c r="CC450" s="182" t="n">
        <f aca="false">G450</f>
        <v>36923</v>
      </c>
      <c r="CD450" s="253" t="e">
        <f aca="false">xSPRDOPT((VLOOKUP(G450,NGPrices,2,FALSE())+HLOOKUP(D450,Prices,VLOOKUP(G450,move_down,2,FALSE()),FALSE())),VLOOKUP(G450,NGPrices,2,FALSE()),I450,VLOOKUP(G450,NGPREVPRICES,4,FALSE()),HLOOKUP(D450,PREVVOLS,VLOOKUP(G450,MOVE_DOWN2,2,FALSE()),FALSE()),VLOOKUP(G450,NGPREVPRICES,3,FALSE()),HLOOKUP(D450,Correllate,VLOOKUP(G450,CorMove,2,FALSE()),FALSE()),Q450-$CD$3,R450,$CD$5)*H450-CJ450</f>
        <v>#NAME?</v>
      </c>
      <c r="CE450" s="253" t="e">
        <f aca="false">xSPRDOPT((VLOOKUP(G450,NGPREVPRICES,2,FALSE())+HLOOKUP(D450,PREVCURVES,VLOOKUP(G450,MOVE_DOWN2,2,FALSE()),FALSE())),VLOOKUP(G450,NGPREVPRICES,2,FALSE()),CK450,VLOOKUP(G450,NGPrices,4,FALSE()),HLOOKUP(D450,PREVVOLS,VLOOKUP(G450,MOVE_DOWN2,2,FALSE()),FALSE()),VLOOKUP(G450,NGPREVPRICES,3,FALSE()),HLOOKUP(D450,Correllate,VLOOKUP(G450,CorMove,2,FALSE()),FALSE()),Q450-$CD$3,R450,$CJ$5)*H450-CJ450</f>
        <v>#NAME?</v>
      </c>
      <c r="CF450" s="132" t="e">
        <f aca="false">(CJ450/VLOOKUP(CC450,discount,3,FALSE()))-(CJ450/VLOOKUP(CC450,discount,2,FALSE()))</f>
        <v>#NAME?</v>
      </c>
      <c r="CG450" s="253" t="e">
        <f aca="false">xSPRDOPT((VLOOKUP(G450,NGPREVPRICES,2,FALSE())+HLOOKUP(D450,PREVCURVES,VLOOKUP(G450,MOVE_DOWN2,2,FALSE()),FALSE())),VLOOKUP(G450,NGPREVPRICES,2,FALSE()),CK450,VLOOKUP(G450,NGPREVPRICES,4,FALSE()),HLOOKUP(D450,VOLS,VLOOKUP(G450,move_down,2,FALSE()),FALSE()),VLOOKUP(G450,NGPrices,3,FALSE()),HLOOKUP(D450,Correllate,VLOOKUP(G450,CorMove,2,FALSE()),FALSE()),Q450-$CD$3,R450,$CJ$5)*H450-CJ450</f>
        <v>#NAME?</v>
      </c>
      <c r="CH450" s="253" t="e">
        <f aca="false">xSPRDOPT((VLOOKUP(G450,NGPREVPRICES,2,FALSE())+HLOOKUP(D450,PREVCURVES,VLOOKUP(G450,MOVE_DOWN2,2,FALSE()),FALSE())),VLOOKUP(G450,NGPREVPRICES,2,FALSE()),CK450,VLOOKUP(G450,NGPREVPRICES,4,FALSE()),HLOOKUP(D450,PREVVOLS,VLOOKUP(G450,MOVE_DOWN2,2,FALSE()),FALSE()),VLOOKUP(G450,NGPREVPRICES,3,FALSE()),HLOOKUP(D450,Correllate,VLOOKUP(G450,CorMove,2,FALSE()),FALSE()),Q450-$C$3,R450,$CJ$5)*H450-CJ450</f>
        <v>#NAME?</v>
      </c>
      <c r="CI450" s="253" t="e">
        <f aca="false">SUM(CD450:CH450)</f>
        <v>#NAME?</v>
      </c>
      <c r="CJ450" s="253" t="e">
        <f aca="false">xSPRDOPT((VLOOKUP(G450,NGPREVPRICES,2,FALSE())+HLOOKUP(D450,PREVCURVES,VLOOKUP(G450,MOVE_DOWN2,2,FALSE()),FALSE())),VLOOKUP(G450,NGPREVPRICES,2,FALSE()),CK450,VLOOKUP(G450,NGPREVPRICES,4,FALSE()),HLOOKUP(D450,PREVVOLS,VLOOKUP(G450,MOVE_DOWN2,2,FALSE()),FALSE()),VLOOKUP(G450,NGPREVPRICES,3,FALSE()),HLOOKUP(D450,Correllate,VLOOKUP(G450,CorMove,2,FALSE()),FALSE()),Q450-$CD$3,R450,$CJ$5)*H450</f>
        <v>#NAME?</v>
      </c>
      <c r="CK450" s="254" t="n">
        <f aca="false">I450</f>
        <v>0.2</v>
      </c>
      <c r="CM450" s="0" t="str">
        <f aca="false">CONCATENATE(CC450,$CD$6)</f>
        <v>36923Curve Shift/Gamma</v>
      </c>
      <c r="CN450" s="0" t="str">
        <f aca="false">CONCATENATE($CC450,$CE$6)</f>
        <v>36923Rho</v>
      </c>
      <c r="CO450" s="0" t="str">
        <f aca="false">CONCATENATE($CC450,$CF$6)</f>
        <v>36923Drift</v>
      </c>
      <c r="CP450" s="0" t="str">
        <f aca="false">CONCATENATE($CC450,$CG$6)</f>
        <v>36923Vega</v>
      </c>
      <c r="CQ450" s="0" t="str">
        <f aca="false">CONCATENATE($CC450,$CH$6)</f>
        <v>36923Theta</v>
      </c>
    </row>
    <row r="451" customFormat="false" ht="12.75" hidden="false" customHeight="false" outlineLevel="0" collapsed="false">
      <c r="A451" s="17" t="s">
        <v>210</v>
      </c>
      <c r="B451" s="0" t="s">
        <v>192</v>
      </c>
      <c r="C451" s="0" t="s">
        <v>356</v>
      </c>
      <c r="D451" s="7" t="s">
        <v>137</v>
      </c>
      <c r="E451" s="0" t="s">
        <v>131</v>
      </c>
      <c r="F451" s="0" t="s">
        <v>136</v>
      </c>
      <c r="G451" s="92" t="n">
        <v>36892</v>
      </c>
      <c r="H451" s="248" t="n">
        <v>155000</v>
      </c>
      <c r="I451" s="0" t="n">
        <v>0.2</v>
      </c>
      <c r="J451" s="124" t="n">
        <f aca="false">VLOOKUP(G451,NGPrices,2,FALSE())</f>
        <v>4.744</v>
      </c>
      <c r="K451" s="125" t="n">
        <f aca="false">HLOOKUP(D451,Prices,VLOOKUP(G451,move_down,2,FALSE()),FALSE())+VLOOKUP(G451,CHANGE,HLOOKUP(D451,CHANGE,2,FALSE()),FALSE())</f>
        <v>0.7675</v>
      </c>
      <c r="L451" s="124" t="n">
        <f aca="false">K451+J451</f>
        <v>5.5115</v>
      </c>
      <c r="M451" s="126" t="n">
        <f aca="false">VLOOKUP(G451,NGPrices,4,FALSE())</f>
        <v>0.068374831148491</v>
      </c>
      <c r="N451" s="7" t="n">
        <f aca="false">VLOOKUP(G451,NGPrices,3,FALSE())</f>
        <v>0.605</v>
      </c>
      <c r="O451" s="7" t="n">
        <f aca="false">HLOOKUP(D451,VOLS,VLOOKUP(G451,move_down,2,FALSE()),FALSE())</f>
        <v>0.587</v>
      </c>
      <c r="P451" s="249" t="n">
        <f aca="false">HLOOKUP(D451,Correllate,VLOOKUP(G451,CorMove,2,FALSE()),FALSE())</f>
        <v>0.85</v>
      </c>
      <c r="Q451" s="92" t="n">
        <f aca="false">WORKDAY(G451,-2)</f>
        <v>36888</v>
      </c>
      <c r="R451" s="7" t="n">
        <f aca="false">IF(F451="P",0,1)</f>
        <v>1</v>
      </c>
      <c r="S451" s="130" t="e">
        <f aca="false">xSPRDOPT($L451,$J451,$I451,$M451,$O451,$N451,$P451,$Q451-$C$3,$R451,0)</f>
        <v>#NAME?</v>
      </c>
      <c r="T451" s="250" t="e">
        <f aca="false">xSPRDOPT($L451,$J451,$I451,$M451,$O451,$N451,$P451,$Q451-$C$3,$R451,1)*H451</f>
        <v>#NAME?</v>
      </c>
      <c r="U451" s="43" t="e">
        <f aca="false">S451*H451</f>
        <v>#NAME?</v>
      </c>
      <c r="V451" s="250" t="e">
        <f aca="false">xSPRDOPT($L451,$J451,$I451,$M451,$O451,$N451,$P451,$Q451-$C$3,$R451,2)*H451</f>
        <v>#NAME?</v>
      </c>
      <c r="W451" s="250" t="e">
        <f aca="false">+V451+T451</f>
        <v>#NAME?</v>
      </c>
      <c r="X451" s="2" t="str">
        <f aca="false">CONCATENATE(G451,D451)</f>
        <v>36892NGI-SOCAL</v>
      </c>
      <c r="Y451" s="251" t="n">
        <f aca="false">H451/10000</f>
        <v>15.5</v>
      </c>
      <c r="Z451" s="226" t="e">
        <f aca="false">T451/H451</f>
        <v>#NAME?</v>
      </c>
      <c r="AA451" s="226" t="e">
        <f aca="false">xSPRDOPT($L451,$J451,$I451,$M451,$O451,$N451,$P451,$Q451-$C$3,$R451,3)</f>
        <v>#NAME?</v>
      </c>
      <c r="AB451" s="226" t="e">
        <f aca="false">((xSPRDOPT($L451+AB$5,$J451,$I451,$M451,$O451,$N451,$P451,$Q451-$C$3,$R451,3)*$H451)/10000)/100</f>
        <v>#NAME?</v>
      </c>
      <c r="AC451" s="226" t="e">
        <f aca="false">((xSPRDOPT($L451+$AB$5,$J451,$I451,$M451,$O451,$N451,$P451,$Q451-$C$3,$R451,7)*$H451)/100)</f>
        <v>#NAME?</v>
      </c>
      <c r="AD451" s="226" t="e">
        <f aca="false">(xSPRDOPT($L451+$AB$5,$J451,$I451,$M451,$O451,$N451,$P451,$Q451-$C$3,$R451,9)/365)*$H451</f>
        <v>#NAME?</v>
      </c>
      <c r="AE451" s="0" t="e">
        <f aca="false">CD451</f>
        <v>#NAME?</v>
      </c>
      <c r="AF451" s="226" t="e">
        <f aca="false">((O451/N451)*AH451)+AG451</f>
        <v>#NAME?</v>
      </c>
      <c r="AG451" s="226" t="e">
        <f aca="false">((xSPRDOPT($L451,$J451,$I451,$M451,$O451,$N451,$P451,$Q451-$C$3,$R451,6)*$H451)/100)</f>
        <v>#NAME?</v>
      </c>
      <c r="AH451" s="226" t="e">
        <f aca="false">((xSPRDOPT($L451,$J451,$I451,$M451,$O451,$N451,$P451,$Q451-$C$3,$R451,5)*$H451)/100)</f>
        <v>#NAME?</v>
      </c>
      <c r="AI451" s="226" t="e">
        <f aca="false">(((xSPRDOPT($L451,$J451,$I451,$M451,$O451,$N451,$P451,$Q451-$C$3,$R451,4)*$H451)/10000)/100)-AB451</f>
        <v>#NAME?</v>
      </c>
      <c r="AJ451" s="226"/>
      <c r="AK451" s="226"/>
      <c r="AL451" s="226"/>
      <c r="AM451" s="252"/>
      <c r="CC451" s="182" t="n">
        <f aca="false">G451</f>
        <v>36892</v>
      </c>
      <c r="CD451" s="253" t="e">
        <f aca="false">xSPRDOPT((VLOOKUP(G451,NGPrices,2,FALSE())+HLOOKUP(D451,Prices,VLOOKUP(G451,move_down,2,FALSE()),FALSE())),VLOOKUP(G451,NGPrices,2,FALSE()),I451,VLOOKUP(G451,NGPREVPRICES,4,FALSE()),HLOOKUP(D451,PREVVOLS,VLOOKUP(G451,MOVE_DOWN2,2,FALSE()),FALSE()),VLOOKUP(G451,NGPREVPRICES,3,FALSE()),HLOOKUP(D451,Correllate,VLOOKUP(G451,CorMove,2,FALSE()),FALSE()),Q451-$CD$3,R451,$CD$5)*H451-CJ451</f>
        <v>#NAME?</v>
      </c>
      <c r="CE451" s="253" t="e">
        <f aca="false">xSPRDOPT((VLOOKUP(G451,NGPREVPRICES,2,FALSE())+HLOOKUP(D451,PREVCURVES,VLOOKUP(G451,MOVE_DOWN2,2,FALSE()),FALSE())),VLOOKUP(G451,NGPREVPRICES,2,FALSE()),CK451,VLOOKUP(G451,NGPrices,4,FALSE()),HLOOKUP(D451,PREVVOLS,VLOOKUP(G451,MOVE_DOWN2,2,FALSE()),FALSE()),VLOOKUP(G451,NGPREVPRICES,3,FALSE()),HLOOKUP(D451,Correllate,VLOOKUP(G451,CorMove,2,FALSE()),FALSE()),Q451-$CD$3,R451,$CJ$5)*H451-CJ451</f>
        <v>#NAME?</v>
      </c>
      <c r="CF451" s="132" t="e">
        <f aca="false">(CJ451/VLOOKUP(CC451,discount,3,FALSE()))-(CJ451/VLOOKUP(CC451,discount,2,FALSE()))</f>
        <v>#NAME?</v>
      </c>
      <c r="CG451" s="253" t="e">
        <f aca="false">xSPRDOPT((VLOOKUP(G451,NGPREVPRICES,2,FALSE())+HLOOKUP(D451,PREVCURVES,VLOOKUP(G451,MOVE_DOWN2,2,FALSE()),FALSE())),VLOOKUP(G451,NGPREVPRICES,2,FALSE()),CK451,VLOOKUP(G451,NGPREVPRICES,4,FALSE()),HLOOKUP(D451,VOLS,VLOOKUP(G451,move_down,2,FALSE()),FALSE()),VLOOKUP(G451,NGPrices,3,FALSE()),HLOOKUP(D451,Correllate,VLOOKUP(G451,CorMove,2,FALSE()),FALSE()),Q451-$CD$3,R451,$CJ$5)*H451-CJ451</f>
        <v>#NAME?</v>
      </c>
      <c r="CH451" s="253" t="e">
        <f aca="false">xSPRDOPT((VLOOKUP(G451,NGPREVPRICES,2,FALSE())+HLOOKUP(D451,PREVCURVES,VLOOKUP(G451,MOVE_DOWN2,2,FALSE()),FALSE())),VLOOKUP(G451,NGPREVPRICES,2,FALSE()),CK451,VLOOKUP(G451,NGPREVPRICES,4,FALSE()),HLOOKUP(D451,PREVVOLS,VLOOKUP(G451,MOVE_DOWN2,2,FALSE()),FALSE()),VLOOKUP(G451,NGPREVPRICES,3,FALSE()),HLOOKUP(D451,Correllate,VLOOKUP(G451,CorMove,2,FALSE()),FALSE()),Q451-$C$3,R451,$CJ$5)*H451-CJ451</f>
        <v>#NAME?</v>
      </c>
      <c r="CI451" s="253" t="e">
        <f aca="false">SUM(CD451:CH451)</f>
        <v>#NAME?</v>
      </c>
      <c r="CJ451" s="253" t="e">
        <f aca="false">xSPRDOPT((VLOOKUP(G451,NGPREVPRICES,2,FALSE())+HLOOKUP(D451,PREVCURVES,VLOOKUP(G451,MOVE_DOWN2,2,FALSE()),FALSE())),VLOOKUP(G451,NGPREVPRICES,2,FALSE()),CK451,VLOOKUP(G451,NGPREVPRICES,4,FALSE()),HLOOKUP(D451,PREVVOLS,VLOOKUP(G451,MOVE_DOWN2,2,FALSE()),FALSE()),VLOOKUP(G451,NGPREVPRICES,3,FALSE()),HLOOKUP(D451,Correllate,VLOOKUP(G451,CorMove,2,FALSE()),FALSE()),Q451-$CD$3,R451,$CJ$5)*H451</f>
        <v>#NAME?</v>
      </c>
      <c r="CK451" s="254" t="n">
        <f aca="false">I451</f>
        <v>0.2</v>
      </c>
      <c r="CM451" s="0" t="str">
        <f aca="false">CONCATENATE(CC451,$CD$6)</f>
        <v>36892Curve Shift/Gamma</v>
      </c>
      <c r="CN451" s="0" t="str">
        <f aca="false">CONCATENATE($CC451,$CE$6)</f>
        <v>36892Rho</v>
      </c>
      <c r="CO451" s="0" t="str">
        <f aca="false">CONCATENATE($CC451,$CF$6)</f>
        <v>36892Drift</v>
      </c>
      <c r="CP451" s="0" t="str">
        <f aca="false">CONCATENATE($CC451,$CG$6)</f>
        <v>36892Vega</v>
      </c>
      <c r="CQ451" s="0" t="str">
        <f aca="false">CONCATENATE($CC451,$CH$6)</f>
        <v>36892Theta</v>
      </c>
    </row>
    <row r="452" customFormat="false" ht="12.75" hidden="false" customHeight="false" outlineLevel="0" collapsed="false">
      <c r="A452" s="17" t="s">
        <v>210</v>
      </c>
      <c r="B452" s="0" t="s">
        <v>192</v>
      </c>
      <c r="C452" s="0" t="s">
        <v>356</v>
      </c>
      <c r="D452" s="7" t="s">
        <v>137</v>
      </c>
      <c r="E452" s="0" t="s">
        <v>131</v>
      </c>
      <c r="F452" s="0" t="s">
        <v>136</v>
      </c>
      <c r="G452" s="92" t="n">
        <v>36861</v>
      </c>
      <c r="H452" s="248" t="n">
        <v>155000</v>
      </c>
      <c r="I452" s="0" t="n">
        <v>0.2</v>
      </c>
      <c r="J452" s="124" t="n">
        <f aca="false">VLOOKUP(G452,NGPrices,2,FALSE())</f>
        <v>4.8</v>
      </c>
      <c r="K452" s="125" t="n">
        <f aca="false">HLOOKUP(D452,Prices,VLOOKUP(G452,move_down,2,FALSE()),FALSE())+VLOOKUP(G452,CHANGE,HLOOKUP(D452,CHANGE,2,FALSE()),FALSE())</f>
        <v>1.005</v>
      </c>
      <c r="L452" s="124" t="n">
        <f aca="false">K452+J452</f>
        <v>5.805</v>
      </c>
      <c r="M452" s="126" t="n">
        <f aca="false">VLOOKUP(G452,NGPrices,4,FALSE())</f>
        <v>0.068314027999354</v>
      </c>
      <c r="N452" s="7" t="n">
        <f aca="false">VLOOKUP(G452,NGPrices,3,FALSE())</f>
        <v>0.6</v>
      </c>
      <c r="O452" s="7" t="n">
        <f aca="false">HLOOKUP(D452,VOLS,VLOOKUP(G452,move_down,2,FALSE()),FALSE())</f>
        <v>0.582</v>
      </c>
      <c r="P452" s="249" t="n">
        <f aca="false">HLOOKUP(D452,Correllate,VLOOKUP(G452,CorMove,2,FALSE()),FALSE())</f>
        <v>0.85</v>
      </c>
      <c r="Q452" s="92" t="n">
        <f aca="false">WORKDAY(G452,-2)</f>
        <v>36859</v>
      </c>
      <c r="R452" s="7" t="n">
        <f aca="false">IF(F452="P",0,1)</f>
        <v>1</v>
      </c>
      <c r="S452" s="130" t="e">
        <f aca="false">xSPRDOPT($L452,$J452,$I452,$M452,$O452,$N452,$P452,$Q452-$C$3,$R452,0)</f>
        <v>#NAME?</v>
      </c>
      <c r="T452" s="250" t="e">
        <f aca="false">xSPRDOPT($L452,$J452,$I452,$M452,$O452,$N452,$P452,$Q452-$C$3,$R452,1)*H452</f>
        <v>#NAME?</v>
      </c>
      <c r="U452" s="43" t="e">
        <f aca="false">S452*H452</f>
        <v>#NAME?</v>
      </c>
      <c r="V452" s="250" t="e">
        <f aca="false">xSPRDOPT($L452,$J452,$I452,$M452,$O452,$N452,$P452,$Q452-$C$3,$R452,2)*H452</f>
        <v>#NAME?</v>
      </c>
      <c r="W452" s="250" t="e">
        <f aca="false">+V452+T452</f>
        <v>#NAME?</v>
      </c>
      <c r="X452" s="2" t="str">
        <f aca="false">CONCATENATE(G452,D452)</f>
        <v>36861NGI-SOCAL</v>
      </c>
      <c r="Y452" s="251" t="n">
        <f aca="false">H452/10000</f>
        <v>15.5</v>
      </c>
      <c r="Z452" s="226" t="e">
        <f aca="false">T452/H452</f>
        <v>#NAME?</v>
      </c>
      <c r="AA452" s="226" t="e">
        <f aca="false">xSPRDOPT($L452,$J452,$I452,$M452,$O452,$N452,$P452,$Q452-$C$3,$R452,3)</f>
        <v>#NAME?</v>
      </c>
      <c r="AB452" s="226" t="e">
        <f aca="false">((xSPRDOPT($L452+AB$5,$J452,$I452,$M452,$O452,$N452,$P452,$Q452-$C$3,$R452,3)*$H452)/10000)/100</f>
        <v>#NAME?</v>
      </c>
      <c r="AC452" s="226" t="e">
        <f aca="false">((xSPRDOPT($L452+$AB$5,$J452,$I452,$M452,$O452,$N452,$P452,$Q452-$C$3,$R452,7)*$H452)/100)</f>
        <v>#NAME?</v>
      </c>
      <c r="AD452" s="226" t="e">
        <f aca="false">(xSPRDOPT($L452+$AB$5,$J452,$I452,$M452,$O452,$N452,$P452,$Q452-$C$3,$R452,9)/365)*$H452</f>
        <v>#NAME?</v>
      </c>
      <c r="AE452" s="0" t="e">
        <f aca="false">CD452</f>
        <v>#NAME?</v>
      </c>
      <c r="AF452" s="226" t="e">
        <f aca="false">((O452/N452)*AH452)+AG452</f>
        <v>#NAME?</v>
      </c>
      <c r="AG452" s="226" t="e">
        <f aca="false">((xSPRDOPT($L452,$J452,$I452,$M452,$O452,$N452,$P452,$Q452-$C$3,$R452,6)*$H452)/100)</f>
        <v>#NAME?</v>
      </c>
      <c r="AH452" s="226" t="e">
        <f aca="false">((xSPRDOPT($L452,$J452,$I452,$M452,$O452,$N452,$P452,$Q452-$C$3,$R452,5)*$H452)/100)</f>
        <v>#NAME?</v>
      </c>
      <c r="AI452" s="226" t="e">
        <f aca="false">(((xSPRDOPT($L452,$J452,$I452,$M452,$O452,$N452,$P452,$Q452-$C$3,$R452,4)*$H452)/10000)/100)-AB452</f>
        <v>#NAME?</v>
      </c>
      <c r="AJ452" s="226"/>
      <c r="AK452" s="226"/>
      <c r="AL452" s="226"/>
      <c r="AM452" s="252"/>
      <c r="CC452" s="182" t="n">
        <f aca="false">G452</f>
        <v>36861</v>
      </c>
      <c r="CD452" s="253" t="e">
        <f aca="false">xSPRDOPT((VLOOKUP(G452,NGPrices,2,FALSE())+HLOOKUP(D452,Prices,VLOOKUP(G452,move_down,2,FALSE()),FALSE())),VLOOKUP(G452,NGPrices,2,FALSE()),I452,VLOOKUP(G452,NGPREVPRICES,4,FALSE()),HLOOKUP(D452,PREVVOLS,VLOOKUP(G452,MOVE_DOWN2,2,FALSE()),FALSE()),VLOOKUP(G452,NGPREVPRICES,3,FALSE()),HLOOKUP(D452,Correllate,VLOOKUP(G452,CorMove,2,FALSE()),FALSE()),Q452-$CD$3,R452,$CD$5)*H452-CJ452</f>
        <v>#NAME?</v>
      </c>
      <c r="CE452" s="253" t="e">
        <f aca="false">xSPRDOPT((VLOOKUP(G452,NGPREVPRICES,2,FALSE())+HLOOKUP(D452,PREVCURVES,VLOOKUP(G452,MOVE_DOWN2,2,FALSE()),FALSE())),VLOOKUP(G452,NGPREVPRICES,2,FALSE()),CK452,VLOOKUP(G452,NGPrices,4,FALSE()),HLOOKUP(D452,PREVVOLS,VLOOKUP(G452,MOVE_DOWN2,2,FALSE()),FALSE()),VLOOKUP(G452,NGPREVPRICES,3,FALSE()),HLOOKUP(D452,Correllate,VLOOKUP(G452,CorMove,2,FALSE()),FALSE()),Q452-$CD$3,R452,$CJ$5)*H452-CJ452</f>
        <v>#NAME?</v>
      </c>
      <c r="CF452" s="132" t="e">
        <f aca="false">(CJ452/VLOOKUP(CC452,discount,3,FALSE()))-(CJ452/VLOOKUP(CC452,discount,2,FALSE()))</f>
        <v>#NAME?</v>
      </c>
      <c r="CG452" s="253" t="e">
        <f aca="false">xSPRDOPT((VLOOKUP(G452,NGPREVPRICES,2,FALSE())+HLOOKUP(D452,PREVCURVES,VLOOKUP(G452,MOVE_DOWN2,2,FALSE()),FALSE())),VLOOKUP(G452,NGPREVPRICES,2,FALSE()),CK452,VLOOKUP(G452,NGPREVPRICES,4,FALSE()),HLOOKUP(D452,VOLS,VLOOKUP(G452,move_down,2,FALSE()),FALSE()),VLOOKUP(G452,NGPrices,3,FALSE()),HLOOKUP(D452,Correllate,VLOOKUP(G452,CorMove,2,FALSE()),FALSE()),Q452-$CD$3,R452,$CJ$5)*H452-CJ452</f>
        <v>#NAME?</v>
      </c>
      <c r="CH452" s="253" t="e">
        <f aca="false">xSPRDOPT((VLOOKUP(G452,NGPREVPRICES,2,FALSE())+HLOOKUP(D452,PREVCURVES,VLOOKUP(G452,MOVE_DOWN2,2,FALSE()),FALSE())),VLOOKUP(G452,NGPREVPRICES,2,FALSE()),CK452,VLOOKUP(G452,NGPREVPRICES,4,FALSE()),HLOOKUP(D452,PREVVOLS,VLOOKUP(G452,MOVE_DOWN2,2,FALSE()),FALSE()),VLOOKUP(G452,NGPREVPRICES,3,FALSE()),HLOOKUP(D452,Correllate,VLOOKUP(G452,CorMove,2,FALSE()),FALSE()),Q452-$C$3,R452,$CJ$5)*H452-CJ452</f>
        <v>#NAME?</v>
      </c>
      <c r="CI452" s="253" t="e">
        <f aca="false">SUM(CD452:CH452)</f>
        <v>#NAME?</v>
      </c>
      <c r="CJ452" s="253" t="e">
        <f aca="false">xSPRDOPT((VLOOKUP(G452,NGPREVPRICES,2,FALSE())+HLOOKUP(D452,PREVCURVES,VLOOKUP(G452,MOVE_DOWN2,2,FALSE()),FALSE())),VLOOKUP(G452,NGPREVPRICES,2,FALSE()),CK452,VLOOKUP(G452,NGPREVPRICES,4,FALSE()),HLOOKUP(D452,PREVVOLS,VLOOKUP(G452,MOVE_DOWN2,2,FALSE()),FALSE()),VLOOKUP(G452,NGPREVPRICES,3,FALSE()),HLOOKUP(D452,Correllate,VLOOKUP(G452,CorMove,2,FALSE()),FALSE()),Q452-$CD$3,R452,$CJ$5)*H452</f>
        <v>#NAME?</v>
      </c>
      <c r="CK452" s="254" t="n">
        <f aca="false">I452</f>
        <v>0.2</v>
      </c>
      <c r="CM452" s="0" t="str">
        <f aca="false">CONCATENATE(CC452,$CD$6)</f>
        <v>36861Curve Shift/Gamma</v>
      </c>
      <c r="CN452" s="0" t="str">
        <f aca="false">CONCATENATE($CC452,$CE$6)</f>
        <v>36861Rho</v>
      </c>
      <c r="CO452" s="0" t="str">
        <f aca="false">CONCATENATE($CC452,$CF$6)</f>
        <v>36861Drift</v>
      </c>
      <c r="CP452" s="0" t="str">
        <f aca="false">CONCATENATE($CC452,$CG$6)</f>
        <v>36861Vega</v>
      </c>
      <c r="CQ452" s="0" t="str">
        <f aca="false">CONCATENATE($CC452,$CH$6)</f>
        <v>36861Theta</v>
      </c>
    </row>
    <row r="453" customFormat="false" ht="12.75" hidden="false" customHeight="false" outlineLevel="0" collapsed="false">
      <c r="A453" s="17" t="s">
        <v>210</v>
      </c>
      <c r="B453" s="0" t="s">
        <v>192</v>
      </c>
      <c r="C453" s="0" t="s">
        <v>356</v>
      </c>
      <c r="D453" s="7" t="s">
        <v>137</v>
      </c>
      <c r="E453" s="0" t="s">
        <v>131</v>
      </c>
      <c r="F453" s="0" t="s">
        <v>136</v>
      </c>
      <c r="G453" s="92" t="n">
        <v>36831</v>
      </c>
      <c r="H453" s="248" t="n">
        <v>150000</v>
      </c>
      <c r="I453" s="0" t="n">
        <v>0.2</v>
      </c>
      <c r="J453" s="124" t="n">
        <f aca="false">VLOOKUP(G453,NGPrices,2,FALSE())</f>
        <v>4.736</v>
      </c>
      <c r="K453" s="125" t="n">
        <f aca="false">HLOOKUP(D453,Prices,VLOOKUP(G453,move_down,2,FALSE()),FALSE())+VLOOKUP(G453,CHANGE,HLOOKUP(D453,CHANGE,2,FALSE()),FALSE())</f>
        <v>1.545</v>
      </c>
      <c r="L453" s="124" t="n">
        <f aca="false">K453+J453</f>
        <v>6.281</v>
      </c>
      <c r="M453" s="126" t="n">
        <f aca="false">VLOOKUP(G453,NGPrices,4,FALSE())</f>
        <v>0.06810675983792</v>
      </c>
      <c r="N453" s="7" t="n">
        <f aca="false">VLOOKUP(G453,NGPrices,3,FALSE())</f>
        <v>0.595</v>
      </c>
      <c r="O453" s="7" t="n">
        <f aca="false">HLOOKUP(D453,VOLS,VLOOKUP(G453,move_down,2,FALSE()),FALSE())</f>
        <v>0.577</v>
      </c>
      <c r="P453" s="249" t="n">
        <f aca="false">HLOOKUP(D453,Correllate,VLOOKUP(G453,CorMove,2,FALSE()),FALSE())</f>
        <v>0.85</v>
      </c>
      <c r="Q453" s="92" t="n">
        <f aca="false">WORKDAY(G453,-2)</f>
        <v>36829</v>
      </c>
      <c r="R453" s="7" t="n">
        <f aca="false">IF(F453="P",0,1)</f>
        <v>1</v>
      </c>
      <c r="S453" s="130" t="e">
        <f aca="false">xSPRDOPT($L453,$J453,$I453,$M453,$O453,$N453,$P453,$Q453-$C$3,$R453,0)</f>
        <v>#NAME?</v>
      </c>
      <c r="T453" s="250" t="e">
        <f aca="false">xSPRDOPT($L453,$J453,$I453,$M453,$O453,$N453,$P453,$Q453-$C$3,$R453,1)*H453</f>
        <v>#NAME?</v>
      </c>
      <c r="U453" s="43" t="e">
        <f aca="false">S453*H453</f>
        <v>#NAME?</v>
      </c>
      <c r="V453" s="250" t="e">
        <f aca="false">xSPRDOPT($L453,$J453,$I453,$M453,$O453,$N453,$P453,$Q453-$C$3,$R453,2)*H453</f>
        <v>#NAME?</v>
      </c>
      <c r="W453" s="250" t="e">
        <f aca="false">+V453+T453</f>
        <v>#NAME?</v>
      </c>
      <c r="X453" s="2" t="str">
        <f aca="false">CONCATENATE(G453,D453)</f>
        <v>36831NGI-SOCAL</v>
      </c>
      <c r="Y453" s="251" t="n">
        <f aca="false">H453/10000</f>
        <v>15</v>
      </c>
      <c r="Z453" s="226" t="e">
        <f aca="false">T453/H453</f>
        <v>#NAME?</v>
      </c>
      <c r="AA453" s="226" t="e">
        <f aca="false">xSPRDOPT($L453,$J453,$I453,$M453,$O453,$N453,$P453,$Q453-$C$3,$R453,3)</f>
        <v>#NAME?</v>
      </c>
      <c r="AB453" s="226" t="e">
        <f aca="false">((xSPRDOPT($L453+AB$5,$J453,$I453,$M453,$O453,$N453,$P453,$Q453-$C$3,$R453,3)*$H453)/10000)/100</f>
        <v>#NAME?</v>
      </c>
      <c r="AC453" s="226" t="e">
        <f aca="false">((xSPRDOPT($L453+$AB$5,$J453,$I453,$M453,$O453,$N453,$P453,$Q453-$C$3,$R453,7)*$H453)/100)</f>
        <v>#NAME?</v>
      </c>
      <c r="AD453" s="226" t="e">
        <f aca="false">(xSPRDOPT($L453+$AB$5,$J453,$I453,$M453,$O453,$N453,$P453,$Q453-$C$3,$R453,9)/365)*$H453</f>
        <v>#NAME?</v>
      </c>
      <c r="AE453" s="0" t="e">
        <f aca="false">CD453</f>
        <v>#NAME?</v>
      </c>
      <c r="AF453" s="226" t="e">
        <f aca="false">((O453/N453)*AH453)+AG453</f>
        <v>#NAME?</v>
      </c>
      <c r="AG453" s="226" t="e">
        <f aca="false">((xSPRDOPT($L453,$J453,$I453,$M453,$O453,$N453,$P453,$Q453-$C$3,$R453,6)*$H453)/100)</f>
        <v>#NAME?</v>
      </c>
      <c r="AH453" s="226" t="e">
        <f aca="false">((xSPRDOPT($L453,$J453,$I453,$M453,$O453,$N453,$P453,$Q453-$C$3,$R453,5)*$H453)/100)</f>
        <v>#NAME?</v>
      </c>
      <c r="AI453" s="226" t="e">
        <f aca="false">(((xSPRDOPT($L453,$J453,$I453,$M453,$O453,$N453,$P453,$Q453-$C$3,$R453,4)*$H453)/10000)/100)-AB453</f>
        <v>#NAME?</v>
      </c>
      <c r="AJ453" s="226"/>
      <c r="AK453" s="226"/>
      <c r="AL453" s="226"/>
      <c r="AM453" s="252"/>
      <c r="CC453" s="182" t="n">
        <f aca="false">G453</f>
        <v>36831</v>
      </c>
      <c r="CD453" s="253" t="e">
        <f aca="false">xSPRDOPT((VLOOKUP(G453,NGPrices,2,FALSE())+HLOOKUP(D453,Prices,VLOOKUP(G453,move_down,2,FALSE()),FALSE())),VLOOKUP(G453,NGPrices,2,FALSE()),I453,VLOOKUP(G453,NGPREVPRICES,4,FALSE()),HLOOKUP(D453,PREVVOLS,VLOOKUP(G453,MOVE_DOWN2,2,FALSE()),FALSE()),VLOOKUP(G453,NGPREVPRICES,3,FALSE()),HLOOKUP(D453,Correllate,VLOOKUP(G453,CorMove,2,FALSE()),FALSE()),Q453-$CD$3,R453,$CD$5)*H453-CJ453</f>
        <v>#NAME?</v>
      </c>
      <c r="CE453" s="253" t="e">
        <f aca="false">xSPRDOPT((VLOOKUP(G453,NGPREVPRICES,2,FALSE())+HLOOKUP(D453,PREVCURVES,VLOOKUP(G453,MOVE_DOWN2,2,FALSE()),FALSE())),VLOOKUP(G453,NGPREVPRICES,2,FALSE()),CK453,VLOOKUP(G453,NGPrices,4,FALSE()),HLOOKUP(D453,PREVVOLS,VLOOKUP(G453,MOVE_DOWN2,2,FALSE()),FALSE()),VLOOKUP(G453,NGPREVPRICES,3,FALSE()),HLOOKUP(D453,Correllate,VLOOKUP(G453,CorMove,2,FALSE()),FALSE()),Q453-$CD$3,R453,$CJ$5)*H453-CJ453</f>
        <v>#NAME?</v>
      </c>
      <c r="CF453" s="132" t="e">
        <f aca="false">(CJ453/VLOOKUP(CC453,discount,3,FALSE()))-(CJ453/VLOOKUP(CC453,discount,2,FALSE()))</f>
        <v>#NAME?</v>
      </c>
      <c r="CG453" s="253" t="e">
        <f aca="false">xSPRDOPT((VLOOKUP(G453,NGPREVPRICES,2,FALSE())+HLOOKUP(D453,PREVCURVES,VLOOKUP(G453,MOVE_DOWN2,2,FALSE()),FALSE())),VLOOKUP(G453,NGPREVPRICES,2,FALSE()),CK453,VLOOKUP(G453,NGPREVPRICES,4,FALSE()),HLOOKUP(D453,VOLS,VLOOKUP(G453,move_down,2,FALSE()),FALSE()),VLOOKUP(G453,NGPrices,3,FALSE()),HLOOKUP(D453,Correllate,VLOOKUP(G453,CorMove,2,FALSE()),FALSE()),Q453-$CD$3,R453,$CJ$5)*H453-CJ453</f>
        <v>#NAME?</v>
      </c>
      <c r="CH453" s="253" t="e">
        <f aca="false">xSPRDOPT((VLOOKUP(G453,NGPREVPRICES,2,FALSE())+HLOOKUP(D453,PREVCURVES,VLOOKUP(G453,MOVE_DOWN2,2,FALSE()),FALSE())),VLOOKUP(G453,NGPREVPRICES,2,FALSE()),CK453,VLOOKUP(G453,NGPREVPRICES,4,FALSE()),HLOOKUP(D453,PREVVOLS,VLOOKUP(G453,MOVE_DOWN2,2,FALSE()),FALSE()),VLOOKUP(G453,NGPREVPRICES,3,FALSE()),HLOOKUP(D453,Correllate,VLOOKUP(G453,CorMove,2,FALSE()),FALSE()),Q453-$C$3,R453,$CJ$5)*H453-CJ453</f>
        <v>#NAME?</v>
      </c>
      <c r="CI453" s="253" t="e">
        <f aca="false">SUM(CD453:CH453)</f>
        <v>#NAME?</v>
      </c>
      <c r="CJ453" s="253" t="e">
        <f aca="false">xSPRDOPT((VLOOKUP(G453,NGPREVPRICES,2,FALSE())+HLOOKUP(D453,PREVCURVES,VLOOKUP(G453,MOVE_DOWN2,2,FALSE()),FALSE())),VLOOKUP(G453,NGPREVPRICES,2,FALSE()),CK453,VLOOKUP(G453,NGPREVPRICES,4,FALSE()),HLOOKUP(D453,PREVVOLS,VLOOKUP(G453,MOVE_DOWN2,2,FALSE()),FALSE()),VLOOKUP(G453,NGPREVPRICES,3,FALSE()),HLOOKUP(D453,Correllate,VLOOKUP(G453,CorMove,2,FALSE()),FALSE()),Q453-$CD$3,R453,$CJ$5)*H453</f>
        <v>#NAME?</v>
      </c>
      <c r="CK453" s="254" t="n">
        <f aca="false">I453</f>
        <v>0.2</v>
      </c>
      <c r="CM453" s="0" t="str">
        <f aca="false">CONCATENATE(CC453,$CD$6)</f>
        <v>36831Curve Shift/Gamma</v>
      </c>
      <c r="CN453" s="0" t="str">
        <f aca="false">CONCATENATE($CC453,$CE$6)</f>
        <v>36831Rho</v>
      </c>
      <c r="CO453" s="0" t="str">
        <f aca="false">CONCATENATE($CC453,$CF$6)</f>
        <v>36831Drift</v>
      </c>
      <c r="CP453" s="0" t="str">
        <f aca="false">CONCATENATE($CC453,$CG$6)</f>
        <v>36831Vega</v>
      </c>
      <c r="CQ453" s="0" t="str">
        <f aca="false">CONCATENATE($CC453,$CH$6)</f>
        <v>36831Theta</v>
      </c>
    </row>
    <row r="454" customFormat="false" ht="12.75" hidden="false" customHeight="false" outlineLevel="0" collapsed="false">
      <c r="A454" s="17" t="s">
        <v>244</v>
      </c>
      <c r="B454" s="0" t="s">
        <v>192</v>
      </c>
      <c r="C454" s="0" t="s">
        <v>357</v>
      </c>
      <c r="D454" s="7" t="s">
        <v>149</v>
      </c>
      <c r="E454" s="0" t="s">
        <v>131</v>
      </c>
      <c r="F454" s="0" t="s">
        <v>132</v>
      </c>
      <c r="G454" s="92" t="n">
        <v>36951</v>
      </c>
      <c r="H454" s="248" t="n">
        <v>500000</v>
      </c>
      <c r="I454" s="0" t="n">
        <v>0.95</v>
      </c>
      <c r="J454" s="124" t="n">
        <f aca="false">VLOOKUP(G454,NGPrices,2,FALSE())</f>
        <v>4.213</v>
      </c>
      <c r="K454" s="125" t="n">
        <f aca="false">HLOOKUP(D454,Prices,VLOOKUP(G454,move_down,2,FALSE()),FALSE())+VLOOKUP(G454,CHANGE,HLOOKUP(D454,CHANGE,2,FALSE()),FALSE())</f>
        <v>1.075</v>
      </c>
      <c r="L454" s="124" t="n">
        <f aca="false">K454+J454</f>
        <v>5.288</v>
      </c>
      <c r="M454" s="126" t="n">
        <f aca="false">VLOOKUP(G454,NGPrices,4,FALSE())</f>
        <v>0.068879814952707</v>
      </c>
      <c r="N454" s="7" t="n">
        <f aca="false">VLOOKUP(G454,NGPrices,3,FALSE())</f>
        <v>0.5325</v>
      </c>
      <c r="O454" s="7" t="n">
        <f aca="false">HLOOKUP(D454,VOLS,VLOOKUP(G454,move_down,2,FALSE()),FALSE())</f>
        <v>0.612</v>
      </c>
      <c r="P454" s="249" t="n">
        <f aca="false">HLOOKUP(D454,Correllate,VLOOKUP(G454,CorMove,2,FALSE()),FALSE())</f>
        <v>0.83</v>
      </c>
      <c r="Q454" s="92" t="n">
        <f aca="false">WORKDAY(G454,-2)</f>
        <v>36949</v>
      </c>
      <c r="R454" s="7" t="n">
        <f aca="false">IF(F454="P",0,1)</f>
        <v>0</v>
      </c>
      <c r="S454" s="130" t="e">
        <f aca="false">xSPRDOPT($L454,$J454,$I454,$M454,$O454,$N454,$P454,$Q454-$C$3,$R454,0)</f>
        <v>#NAME?</v>
      </c>
      <c r="T454" s="250" t="e">
        <f aca="false">xSPRDOPT($L454,$J454,$I454,$M454,$O454,$N454,$P454,$Q454-$C$3,$R454,1)*H454</f>
        <v>#NAME?</v>
      </c>
      <c r="U454" s="43" t="e">
        <f aca="false">S454*H454</f>
        <v>#NAME?</v>
      </c>
      <c r="V454" s="250" t="e">
        <f aca="false">xSPRDOPT($L454,$J454,$I454,$M454,$O454,$N454,$P454,$Q454-$C$3,$R454,2)*H454</f>
        <v>#NAME?</v>
      </c>
      <c r="W454" s="250" t="e">
        <f aca="false">+V454+T454</f>
        <v>#NAME?</v>
      </c>
      <c r="X454" s="2" t="str">
        <f aca="false">CONCATENATE(G454,D454)</f>
        <v>36951IF-TRANSCO/Z6</v>
      </c>
      <c r="Y454" s="251" t="n">
        <f aca="false">H454/10000</f>
        <v>50</v>
      </c>
      <c r="Z454" s="226" t="e">
        <f aca="false">T454/H454</f>
        <v>#NAME?</v>
      </c>
      <c r="AA454" s="226" t="e">
        <f aca="false">xSPRDOPT($L454,$J454,$I454,$M454,$O454,$N454,$P454,$Q454-$C$3,$R454,3)</f>
        <v>#NAME?</v>
      </c>
      <c r="AB454" s="226" t="e">
        <f aca="false">((xSPRDOPT($L454+AB$5,$J454,$I454,$M454,$O454,$N454,$P454,$Q454-$C$3,$R454,3)*$H454)/10000)/100</f>
        <v>#NAME?</v>
      </c>
      <c r="AC454" s="226" t="e">
        <f aca="false">((xSPRDOPT($L454+$AB$5,$J454,$I454,$M454,$O454,$N454,$P454,$Q454-$C$3,$R454,7)*$H454)/100)</f>
        <v>#NAME?</v>
      </c>
      <c r="AD454" s="226" t="e">
        <f aca="false">(xSPRDOPT($L454+$AB$5,$J454,$I454,$M454,$O454,$N454,$P454,$Q454-$C$3,$R454,9)/365)*$H454</f>
        <v>#NAME?</v>
      </c>
      <c r="AE454" s="0" t="e">
        <f aca="false">CD454</f>
        <v>#NAME?</v>
      </c>
      <c r="AF454" s="226" t="e">
        <f aca="false">((O454/N454)*AH454)+AG454</f>
        <v>#NAME?</v>
      </c>
      <c r="AG454" s="226" t="e">
        <f aca="false">((xSPRDOPT($L454,$J454,$I454,$M454,$O454,$N454,$P454,$Q454-$C$3,$R454,6)*$H454)/100)</f>
        <v>#NAME?</v>
      </c>
      <c r="AH454" s="226" t="e">
        <f aca="false">((xSPRDOPT($L454,$J454,$I454,$M454,$O454,$N454,$P454,$Q454-$C$3,$R454,5)*$H454)/100)</f>
        <v>#NAME?</v>
      </c>
      <c r="AI454" s="226" t="e">
        <f aca="false">(((xSPRDOPT($L454,$J454,$I454,$M454,$O454,$N454,$P454,$Q454-$C$3,$R454,4)*$H454)/10000)/100)-AB454</f>
        <v>#NAME?</v>
      </c>
      <c r="AJ454" s="226"/>
      <c r="AK454" s="226"/>
      <c r="AL454" s="226"/>
      <c r="AM454" s="252"/>
      <c r="CC454" s="182" t="n">
        <f aca="false">G454</f>
        <v>36951</v>
      </c>
      <c r="CD454" s="253" t="e">
        <f aca="false">xSPRDOPT((VLOOKUP(G454,NGPrices,2,FALSE())+HLOOKUP(D454,Prices,VLOOKUP(G454,move_down,2,FALSE()),FALSE())),VLOOKUP(G454,NGPrices,2,FALSE()),I454,VLOOKUP(G454,NGPREVPRICES,4,FALSE()),HLOOKUP(D454,PREVVOLS,VLOOKUP(G454,MOVE_DOWN2,2,FALSE()),FALSE()),VLOOKUP(G454,NGPREVPRICES,3,FALSE()),HLOOKUP(D454,Correllate,VLOOKUP(G454,CorMove,2,FALSE()),FALSE()),Q454-$CD$3,R454,$CD$5)*H454-CJ454</f>
        <v>#NAME?</v>
      </c>
      <c r="CE454" s="253" t="e">
        <f aca="false">xSPRDOPT((VLOOKUP(G454,NGPREVPRICES,2,FALSE())+HLOOKUP(D454,PREVCURVES,VLOOKUP(G454,MOVE_DOWN2,2,FALSE()),FALSE())),VLOOKUP(G454,NGPREVPRICES,2,FALSE()),CK454,VLOOKUP(G454,NGPrices,4,FALSE()),HLOOKUP(D454,PREVVOLS,VLOOKUP(G454,MOVE_DOWN2,2,FALSE()),FALSE()),VLOOKUP(G454,NGPREVPRICES,3,FALSE()),HLOOKUP(D454,Correllate,VLOOKUP(G454,CorMove,2,FALSE()),FALSE()),Q454-$CD$3,R454,$CJ$5)*H454-CJ454</f>
        <v>#NAME?</v>
      </c>
      <c r="CF454" s="132" t="e">
        <f aca="false">(CJ454/VLOOKUP(CC454,discount,3,FALSE()))-(CJ454/VLOOKUP(CC454,discount,2,FALSE()))</f>
        <v>#NAME?</v>
      </c>
      <c r="CG454" s="253" t="e">
        <f aca="false">xSPRDOPT((VLOOKUP(G454,NGPREVPRICES,2,FALSE())+HLOOKUP(D454,PREVCURVES,VLOOKUP(G454,MOVE_DOWN2,2,FALSE()),FALSE())),VLOOKUP(G454,NGPREVPRICES,2,FALSE()),CK454,VLOOKUP(G454,NGPREVPRICES,4,FALSE()),HLOOKUP(D454,VOLS,VLOOKUP(G454,move_down,2,FALSE()),FALSE()),VLOOKUP(G454,NGPrices,3,FALSE()),HLOOKUP(D454,Correllate,VLOOKUP(G454,CorMove,2,FALSE()),FALSE()),Q454-$CD$3,R454,$CJ$5)*H454-CJ454</f>
        <v>#NAME?</v>
      </c>
      <c r="CH454" s="253" t="e">
        <f aca="false">xSPRDOPT((VLOOKUP(G454,NGPREVPRICES,2,FALSE())+HLOOKUP(D454,PREVCURVES,VLOOKUP(G454,MOVE_DOWN2,2,FALSE()),FALSE())),VLOOKUP(G454,NGPREVPRICES,2,FALSE()),CK454,VLOOKUP(G454,NGPREVPRICES,4,FALSE()),HLOOKUP(D454,PREVVOLS,VLOOKUP(G454,MOVE_DOWN2,2,FALSE()),FALSE()),VLOOKUP(G454,NGPREVPRICES,3,FALSE()),HLOOKUP(D454,Correllate,VLOOKUP(G454,CorMove,2,FALSE()),FALSE()),Q454-$C$3,R454,$CJ$5)*H454-CJ454</f>
        <v>#NAME?</v>
      </c>
      <c r="CI454" s="253" t="e">
        <f aca="false">SUM(CD454:CH454)</f>
        <v>#NAME?</v>
      </c>
      <c r="CJ454" s="253" t="e">
        <f aca="false">xSPRDOPT((VLOOKUP(G454,NGPREVPRICES,2,FALSE())+HLOOKUP(D454,PREVCURVES,VLOOKUP(G454,MOVE_DOWN2,2,FALSE()),FALSE())),VLOOKUP(G454,NGPREVPRICES,2,FALSE()),CK454,VLOOKUP(G454,NGPREVPRICES,4,FALSE()),HLOOKUP(D454,PREVVOLS,VLOOKUP(G454,MOVE_DOWN2,2,FALSE()),FALSE()),VLOOKUP(G454,NGPREVPRICES,3,FALSE()),HLOOKUP(D454,Correllate,VLOOKUP(G454,CorMove,2,FALSE()),FALSE()),Q454-$CD$3,R454,$CJ$5)*H454</f>
        <v>#NAME?</v>
      </c>
      <c r="CK454" s="254" t="n">
        <f aca="false">I454</f>
        <v>0.95</v>
      </c>
      <c r="CM454" s="0" t="str">
        <f aca="false">CONCATENATE(CC454,$CD$6)</f>
        <v>36951Curve Shift/Gamma</v>
      </c>
      <c r="CN454" s="0" t="str">
        <f aca="false">CONCATENATE($CC454,$CE$6)</f>
        <v>36951Rho</v>
      </c>
      <c r="CO454" s="0" t="str">
        <f aca="false">CONCATENATE($CC454,$CF$6)</f>
        <v>36951Drift</v>
      </c>
      <c r="CP454" s="0" t="str">
        <f aca="false">CONCATENATE($CC454,$CG$6)</f>
        <v>36951Vega</v>
      </c>
      <c r="CQ454" s="0" t="str">
        <f aca="false">CONCATENATE($CC454,$CH$6)</f>
        <v>36951Theta</v>
      </c>
    </row>
    <row r="455" customFormat="false" ht="12.75" hidden="false" customHeight="false" outlineLevel="0" collapsed="false">
      <c r="A455" s="17" t="s">
        <v>244</v>
      </c>
      <c r="B455" s="0" t="s">
        <v>192</v>
      </c>
      <c r="C455" s="0" t="s">
        <v>357</v>
      </c>
      <c r="D455" s="7" t="s">
        <v>149</v>
      </c>
      <c r="E455" s="0" t="s">
        <v>131</v>
      </c>
      <c r="F455" s="0" t="s">
        <v>132</v>
      </c>
      <c r="G455" s="92" t="n">
        <v>36923</v>
      </c>
      <c r="H455" s="248" t="n">
        <v>500000</v>
      </c>
      <c r="I455" s="0" t="n">
        <v>0.95</v>
      </c>
      <c r="J455" s="124" t="n">
        <f aca="false">VLOOKUP(G455,NGPrices,2,FALSE())</f>
        <v>4.48</v>
      </c>
      <c r="K455" s="125" t="n">
        <f aca="false">HLOOKUP(D455,Prices,VLOOKUP(G455,move_down,2,FALSE()),FALSE())+VLOOKUP(G455,CHANGE,HLOOKUP(D455,CHANGE,2,FALSE()),FALSE())</f>
        <v>2.09</v>
      </c>
      <c r="L455" s="124" t="n">
        <f aca="false">K455+J455</f>
        <v>6.57</v>
      </c>
      <c r="M455" s="126" t="n">
        <f aca="false">VLOOKUP(G455,NGPrices,4,FALSE())</f>
        <v>0.068640161611372</v>
      </c>
      <c r="N455" s="7" t="n">
        <f aca="false">VLOOKUP(G455,NGPrices,3,FALSE())</f>
        <v>0.5925</v>
      </c>
      <c r="O455" s="7" t="n">
        <f aca="false">HLOOKUP(D455,VOLS,VLOOKUP(G455,move_down,2,FALSE()),FALSE())</f>
        <v>0.681</v>
      </c>
      <c r="P455" s="249" t="n">
        <f aca="false">HLOOKUP(D455,Correllate,VLOOKUP(G455,CorMove,2,FALSE()),FALSE())</f>
        <v>0.83</v>
      </c>
      <c r="Q455" s="92" t="n">
        <f aca="false">WORKDAY(G455,-2)</f>
        <v>36921</v>
      </c>
      <c r="R455" s="7" t="n">
        <f aca="false">IF(F455="P",0,1)</f>
        <v>0</v>
      </c>
      <c r="S455" s="130" t="e">
        <f aca="false">xSPRDOPT($L455,$J455,$I455,$M455,$O455,$N455,$P455,$Q455-$C$3,$R455,0)</f>
        <v>#NAME?</v>
      </c>
      <c r="T455" s="250" t="e">
        <f aca="false">xSPRDOPT($L455,$J455,$I455,$M455,$O455,$N455,$P455,$Q455-$C$3,$R455,1)*H455</f>
        <v>#NAME?</v>
      </c>
      <c r="U455" s="43" t="e">
        <f aca="false">S455*H455</f>
        <v>#NAME?</v>
      </c>
      <c r="V455" s="250" t="e">
        <f aca="false">xSPRDOPT($L455,$J455,$I455,$M455,$O455,$N455,$P455,$Q455-$C$3,$R455,2)*H455</f>
        <v>#NAME?</v>
      </c>
      <c r="W455" s="250" t="e">
        <f aca="false">+V455+T455</f>
        <v>#NAME?</v>
      </c>
      <c r="X455" s="2" t="str">
        <f aca="false">CONCATENATE(G455,D455)</f>
        <v>36923IF-TRANSCO/Z6</v>
      </c>
      <c r="Y455" s="251" t="n">
        <f aca="false">H455/10000</f>
        <v>50</v>
      </c>
      <c r="Z455" s="226" t="e">
        <f aca="false">T455/H455</f>
        <v>#NAME?</v>
      </c>
      <c r="AA455" s="226" t="e">
        <f aca="false">xSPRDOPT($L455,$J455,$I455,$M455,$O455,$N455,$P455,$Q455-$C$3,$R455,3)</f>
        <v>#NAME?</v>
      </c>
      <c r="AB455" s="226" t="e">
        <f aca="false">((xSPRDOPT($L455+AB$5,$J455,$I455,$M455,$O455,$N455,$P455,$Q455-$C$3,$R455,3)*$H455)/10000)/100</f>
        <v>#NAME?</v>
      </c>
      <c r="AC455" s="226" t="e">
        <f aca="false">((xSPRDOPT($L455+$AB$5,$J455,$I455,$M455,$O455,$N455,$P455,$Q455-$C$3,$R455,7)*$H455)/100)</f>
        <v>#NAME?</v>
      </c>
      <c r="AD455" s="226" t="e">
        <f aca="false">(xSPRDOPT($L455+$AB$5,$J455,$I455,$M455,$O455,$N455,$P455,$Q455-$C$3,$R455,9)/365)*$H455</f>
        <v>#NAME?</v>
      </c>
      <c r="AE455" s="0" t="e">
        <f aca="false">CD455</f>
        <v>#NAME?</v>
      </c>
      <c r="AF455" s="226" t="e">
        <f aca="false">((O455/N455)*AH455)+AG455</f>
        <v>#NAME?</v>
      </c>
      <c r="AG455" s="226" t="e">
        <f aca="false">((xSPRDOPT($L455,$J455,$I455,$M455,$O455,$N455,$P455,$Q455-$C$3,$R455,6)*$H455)/100)</f>
        <v>#NAME?</v>
      </c>
      <c r="AH455" s="226" t="e">
        <f aca="false">((xSPRDOPT($L455,$J455,$I455,$M455,$O455,$N455,$P455,$Q455-$C$3,$R455,5)*$H455)/100)</f>
        <v>#NAME?</v>
      </c>
      <c r="AI455" s="226" t="e">
        <f aca="false">(((xSPRDOPT($L455,$J455,$I455,$M455,$O455,$N455,$P455,$Q455-$C$3,$R455,4)*$H455)/10000)/100)-AB455</f>
        <v>#NAME?</v>
      </c>
      <c r="AJ455" s="226"/>
      <c r="AK455" s="226"/>
      <c r="AL455" s="226"/>
      <c r="AM455" s="252"/>
      <c r="CC455" s="182" t="n">
        <f aca="false">G455</f>
        <v>36923</v>
      </c>
      <c r="CD455" s="253" t="e">
        <f aca="false">xSPRDOPT((VLOOKUP(G455,NGPrices,2,FALSE())+HLOOKUP(D455,Prices,VLOOKUP(G455,move_down,2,FALSE()),FALSE())),VLOOKUP(G455,NGPrices,2,FALSE()),I455,VLOOKUP(G455,NGPREVPRICES,4,FALSE()),HLOOKUP(D455,PREVVOLS,VLOOKUP(G455,MOVE_DOWN2,2,FALSE()),FALSE()),VLOOKUP(G455,NGPREVPRICES,3,FALSE()),HLOOKUP(D455,Correllate,VLOOKUP(G455,CorMove,2,FALSE()),FALSE()),Q455-$CD$3,R455,$CD$5)*H455-CJ455</f>
        <v>#NAME?</v>
      </c>
      <c r="CE455" s="253" t="e">
        <f aca="false">xSPRDOPT((VLOOKUP(G455,NGPREVPRICES,2,FALSE())+HLOOKUP(D455,PREVCURVES,VLOOKUP(G455,MOVE_DOWN2,2,FALSE()),FALSE())),VLOOKUP(G455,NGPREVPRICES,2,FALSE()),CK455,VLOOKUP(G455,NGPrices,4,FALSE()),HLOOKUP(D455,PREVVOLS,VLOOKUP(G455,MOVE_DOWN2,2,FALSE()),FALSE()),VLOOKUP(G455,NGPREVPRICES,3,FALSE()),HLOOKUP(D455,Correllate,VLOOKUP(G455,CorMove,2,FALSE()),FALSE()),Q455-$CD$3,R455,$CJ$5)*H455-CJ455</f>
        <v>#NAME?</v>
      </c>
      <c r="CF455" s="132" t="e">
        <f aca="false">(CJ455/VLOOKUP(CC455,discount,3,FALSE()))-(CJ455/VLOOKUP(CC455,discount,2,FALSE()))</f>
        <v>#NAME?</v>
      </c>
      <c r="CG455" s="253" t="e">
        <f aca="false">xSPRDOPT((VLOOKUP(G455,NGPREVPRICES,2,FALSE())+HLOOKUP(D455,PREVCURVES,VLOOKUP(G455,MOVE_DOWN2,2,FALSE()),FALSE())),VLOOKUP(G455,NGPREVPRICES,2,FALSE()),CK455,VLOOKUP(G455,NGPREVPRICES,4,FALSE()),HLOOKUP(D455,VOLS,VLOOKUP(G455,move_down,2,FALSE()),FALSE()),VLOOKUP(G455,NGPrices,3,FALSE()),HLOOKUP(D455,Correllate,VLOOKUP(G455,CorMove,2,FALSE()),FALSE()),Q455-$CD$3,R455,$CJ$5)*H455-CJ455</f>
        <v>#NAME?</v>
      </c>
      <c r="CH455" s="253" t="e">
        <f aca="false">xSPRDOPT((VLOOKUP(G455,NGPREVPRICES,2,FALSE())+HLOOKUP(D455,PREVCURVES,VLOOKUP(G455,MOVE_DOWN2,2,FALSE()),FALSE())),VLOOKUP(G455,NGPREVPRICES,2,FALSE()),CK455,VLOOKUP(G455,NGPREVPRICES,4,FALSE()),HLOOKUP(D455,PREVVOLS,VLOOKUP(G455,MOVE_DOWN2,2,FALSE()),FALSE()),VLOOKUP(G455,NGPREVPRICES,3,FALSE()),HLOOKUP(D455,Correllate,VLOOKUP(G455,CorMove,2,FALSE()),FALSE()),Q455-$C$3,R455,$CJ$5)*H455-CJ455</f>
        <v>#NAME?</v>
      </c>
      <c r="CI455" s="253" t="e">
        <f aca="false">SUM(CD455:CH455)</f>
        <v>#NAME?</v>
      </c>
      <c r="CJ455" s="253" t="e">
        <f aca="false">xSPRDOPT((VLOOKUP(G455,NGPREVPRICES,2,FALSE())+HLOOKUP(D455,PREVCURVES,VLOOKUP(G455,MOVE_DOWN2,2,FALSE()),FALSE())),VLOOKUP(G455,NGPREVPRICES,2,FALSE()),CK455,VLOOKUP(G455,NGPREVPRICES,4,FALSE()),HLOOKUP(D455,PREVVOLS,VLOOKUP(G455,MOVE_DOWN2,2,FALSE()),FALSE()),VLOOKUP(G455,NGPREVPRICES,3,FALSE()),HLOOKUP(D455,Correllate,VLOOKUP(G455,CorMove,2,FALSE()),FALSE()),Q455-$CD$3,R455,$CJ$5)*H455</f>
        <v>#NAME?</v>
      </c>
      <c r="CK455" s="254" t="n">
        <f aca="false">I455</f>
        <v>0.95</v>
      </c>
      <c r="CM455" s="0" t="str">
        <f aca="false">CONCATENATE(CC455,$CD$6)</f>
        <v>36923Curve Shift/Gamma</v>
      </c>
      <c r="CN455" s="0" t="str">
        <f aca="false">CONCATENATE($CC455,$CE$6)</f>
        <v>36923Rho</v>
      </c>
      <c r="CO455" s="0" t="str">
        <f aca="false">CONCATENATE($CC455,$CF$6)</f>
        <v>36923Drift</v>
      </c>
      <c r="CP455" s="0" t="str">
        <f aca="false">CONCATENATE($CC455,$CG$6)</f>
        <v>36923Vega</v>
      </c>
      <c r="CQ455" s="0" t="str">
        <f aca="false">CONCATENATE($CC455,$CH$6)</f>
        <v>36923Theta</v>
      </c>
    </row>
    <row r="456" customFormat="false" ht="12.75" hidden="false" customHeight="false" outlineLevel="0" collapsed="false">
      <c r="A456" s="17" t="s">
        <v>244</v>
      </c>
      <c r="B456" s="0" t="s">
        <v>192</v>
      </c>
      <c r="C456" s="0" t="s">
        <v>357</v>
      </c>
      <c r="D456" s="7" t="s">
        <v>149</v>
      </c>
      <c r="E456" s="0" t="s">
        <v>131</v>
      </c>
      <c r="F456" s="0" t="s">
        <v>132</v>
      </c>
      <c r="G456" s="92" t="n">
        <v>36892</v>
      </c>
      <c r="H456" s="248" t="n">
        <v>500000</v>
      </c>
      <c r="I456" s="0" t="n">
        <v>0.95</v>
      </c>
      <c r="J456" s="124" t="n">
        <f aca="false">VLOOKUP(G456,NGPrices,2,FALSE())</f>
        <v>4.744</v>
      </c>
      <c r="K456" s="125" t="n">
        <f aca="false">HLOOKUP(D456,Prices,VLOOKUP(G456,move_down,2,FALSE()),FALSE())+VLOOKUP(G456,CHANGE,HLOOKUP(D456,CHANGE,2,FALSE()),FALSE())</f>
        <v>2.17</v>
      </c>
      <c r="L456" s="124" t="n">
        <f aca="false">K456+J456</f>
        <v>6.914</v>
      </c>
      <c r="M456" s="126" t="n">
        <f aca="false">VLOOKUP(G456,NGPrices,4,FALSE())</f>
        <v>0.068374831148491</v>
      </c>
      <c r="N456" s="7" t="n">
        <f aca="false">VLOOKUP(G456,NGPrices,3,FALSE())</f>
        <v>0.605</v>
      </c>
      <c r="O456" s="7" t="n">
        <f aca="false">HLOOKUP(D456,VOLS,VLOOKUP(G456,move_down,2,FALSE()),FALSE())</f>
        <v>0.696</v>
      </c>
      <c r="P456" s="249" t="n">
        <f aca="false">HLOOKUP(D456,Correllate,VLOOKUP(G456,CorMove,2,FALSE()),FALSE())</f>
        <v>0.83</v>
      </c>
      <c r="Q456" s="92" t="n">
        <f aca="false">WORKDAY(G456,-2)</f>
        <v>36888</v>
      </c>
      <c r="R456" s="7" t="n">
        <f aca="false">IF(F456="P",0,1)</f>
        <v>0</v>
      </c>
      <c r="S456" s="130" t="e">
        <f aca="false">xSPRDOPT($L456,$J456,$I456,$M456,$O456,$N456,$P456,$Q456-$C$3,$R456,0)</f>
        <v>#NAME?</v>
      </c>
      <c r="T456" s="250" t="e">
        <f aca="false">xSPRDOPT($L456,$J456,$I456,$M456,$O456,$N456,$P456,$Q456-$C$3,$R456,1)*H456</f>
        <v>#NAME?</v>
      </c>
      <c r="U456" s="43" t="e">
        <f aca="false">S456*H456</f>
        <v>#NAME?</v>
      </c>
      <c r="V456" s="250" t="e">
        <f aca="false">xSPRDOPT($L456,$J456,$I456,$M456,$O456,$N456,$P456,$Q456-$C$3,$R456,2)*H456</f>
        <v>#NAME?</v>
      </c>
      <c r="W456" s="250" t="e">
        <f aca="false">+V456+T456</f>
        <v>#NAME?</v>
      </c>
      <c r="X456" s="2" t="str">
        <f aca="false">CONCATENATE(G456,D456)</f>
        <v>36892IF-TRANSCO/Z6</v>
      </c>
      <c r="Y456" s="251" t="n">
        <f aca="false">H456/10000</f>
        <v>50</v>
      </c>
      <c r="Z456" s="226" t="e">
        <f aca="false">T456/H456</f>
        <v>#NAME?</v>
      </c>
      <c r="AA456" s="226" t="e">
        <f aca="false">xSPRDOPT($L456,$J456,$I456,$M456,$O456,$N456,$P456,$Q456-$C$3,$R456,3)</f>
        <v>#NAME?</v>
      </c>
      <c r="AB456" s="226" t="e">
        <f aca="false">((xSPRDOPT($L456+AB$5,$J456,$I456,$M456,$O456,$N456,$P456,$Q456-$C$3,$R456,3)*$H456)/10000)/100</f>
        <v>#NAME?</v>
      </c>
      <c r="AC456" s="226" t="e">
        <f aca="false">((xSPRDOPT($L456+$AB$5,$J456,$I456,$M456,$O456,$N456,$P456,$Q456-$C$3,$R456,7)*$H456)/100)</f>
        <v>#NAME?</v>
      </c>
      <c r="AD456" s="226" t="e">
        <f aca="false">(xSPRDOPT($L456+$AB$5,$J456,$I456,$M456,$O456,$N456,$P456,$Q456-$C$3,$R456,9)/365)*$H456</f>
        <v>#NAME?</v>
      </c>
      <c r="AE456" s="0" t="e">
        <f aca="false">CD456</f>
        <v>#NAME?</v>
      </c>
      <c r="AF456" s="226" t="e">
        <f aca="false">((O456/N456)*AH456)+AG456</f>
        <v>#NAME?</v>
      </c>
      <c r="AG456" s="226" t="e">
        <f aca="false">((xSPRDOPT($L456,$J456,$I456,$M456,$O456,$N456,$P456,$Q456-$C$3,$R456,6)*$H456)/100)</f>
        <v>#NAME?</v>
      </c>
      <c r="AH456" s="226" t="e">
        <f aca="false">((xSPRDOPT($L456,$J456,$I456,$M456,$O456,$N456,$P456,$Q456-$C$3,$R456,5)*$H456)/100)</f>
        <v>#NAME?</v>
      </c>
      <c r="AI456" s="226" t="e">
        <f aca="false">(((xSPRDOPT($L456,$J456,$I456,$M456,$O456,$N456,$P456,$Q456-$C$3,$R456,4)*$H456)/10000)/100)-AB456</f>
        <v>#NAME?</v>
      </c>
      <c r="AJ456" s="226"/>
      <c r="AK456" s="226"/>
      <c r="AL456" s="226"/>
      <c r="AM456" s="252"/>
      <c r="CC456" s="182" t="n">
        <f aca="false">G456</f>
        <v>36892</v>
      </c>
      <c r="CD456" s="253" t="e">
        <f aca="false">xSPRDOPT((VLOOKUP(G456,NGPrices,2,FALSE())+HLOOKUP(D456,Prices,VLOOKUP(G456,move_down,2,FALSE()),FALSE())),VLOOKUP(G456,NGPrices,2,FALSE()),I456,VLOOKUP(G456,NGPREVPRICES,4,FALSE()),HLOOKUP(D456,PREVVOLS,VLOOKUP(G456,MOVE_DOWN2,2,FALSE()),FALSE()),VLOOKUP(G456,NGPREVPRICES,3,FALSE()),HLOOKUP(D456,Correllate,VLOOKUP(G456,CorMove,2,FALSE()),FALSE()),Q456-$CD$3,R456,$CD$5)*H456-CJ456</f>
        <v>#NAME?</v>
      </c>
      <c r="CE456" s="253" t="e">
        <f aca="false">xSPRDOPT((VLOOKUP(G456,NGPREVPRICES,2,FALSE())+HLOOKUP(D456,PREVCURVES,VLOOKUP(G456,MOVE_DOWN2,2,FALSE()),FALSE())),VLOOKUP(G456,NGPREVPRICES,2,FALSE()),CK456,VLOOKUP(G456,NGPrices,4,FALSE()),HLOOKUP(D456,PREVVOLS,VLOOKUP(G456,MOVE_DOWN2,2,FALSE()),FALSE()),VLOOKUP(G456,NGPREVPRICES,3,FALSE()),HLOOKUP(D456,Correllate,VLOOKUP(G456,CorMove,2,FALSE()),FALSE()),Q456-$CD$3,R456,$CJ$5)*H456-CJ456</f>
        <v>#NAME?</v>
      </c>
      <c r="CF456" s="132" t="e">
        <f aca="false">(CJ456/VLOOKUP(CC456,discount,3,FALSE()))-(CJ456/VLOOKUP(CC456,discount,2,FALSE()))</f>
        <v>#NAME?</v>
      </c>
      <c r="CG456" s="253" t="e">
        <f aca="false">xSPRDOPT((VLOOKUP(G456,NGPREVPRICES,2,FALSE())+HLOOKUP(D456,PREVCURVES,VLOOKUP(G456,MOVE_DOWN2,2,FALSE()),FALSE())),VLOOKUP(G456,NGPREVPRICES,2,FALSE()),CK456,VLOOKUP(G456,NGPREVPRICES,4,FALSE()),HLOOKUP(D456,VOLS,VLOOKUP(G456,move_down,2,FALSE()),FALSE()),VLOOKUP(G456,NGPrices,3,FALSE()),HLOOKUP(D456,Correllate,VLOOKUP(G456,CorMove,2,FALSE()),FALSE()),Q456-$CD$3,R456,$CJ$5)*H456-CJ456</f>
        <v>#NAME?</v>
      </c>
      <c r="CH456" s="253" t="e">
        <f aca="false">xSPRDOPT((VLOOKUP(G456,NGPREVPRICES,2,FALSE())+HLOOKUP(D456,PREVCURVES,VLOOKUP(G456,MOVE_DOWN2,2,FALSE()),FALSE())),VLOOKUP(G456,NGPREVPRICES,2,FALSE()),CK456,VLOOKUP(G456,NGPREVPRICES,4,FALSE()),HLOOKUP(D456,PREVVOLS,VLOOKUP(G456,MOVE_DOWN2,2,FALSE()),FALSE()),VLOOKUP(G456,NGPREVPRICES,3,FALSE()),HLOOKUP(D456,Correllate,VLOOKUP(G456,CorMove,2,FALSE()),FALSE()),Q456-$C$3,R456,$CJ$5)*H456-CJ456</f>
        <v>#NAME?</v>
      </c>
      <c r="CI456" s="253" t="e">
        <f aca="false">SUM(CD456:CH456)</f>
        <v>#NAME?</v>
      </c>
      <c r="CJ456" s="253" t="e">
        <f aca="false">xSPRDOPT((VLOOKUP(G456,NGPREVPRICES,2,FALSE())+HLOOKUP(D456,PREVCURVES,VLOOKUP(G456,MOVE_DOWN2,2,FALSE()),FALSE())),VLOOKUP(G456,NGPREVPRICES,2,FALSE()),CK456,VLOOKUP(G456,NGPREVPRICES,4,FALSE()),HLOOKUP(D456,PREVVOLS,VLOOKUP(G456,MOVE_DOWN2,2,FALSE()),FALSE()),VLOOKUP(G456,NGPREVPRICES,3,FALSE()),HLOOKUP(D456,Correllate,VLOOKUP(G456,CorMove,2,FALSE()),FALSE()),Q456-$CD$3,R456,$CJ$5)*H456</f>
        <v>#NAME?</v>
      </c>
      <c r="CK456" s="254" t="n">
        <f aca="false">I456</f>
        <v>0.95</v>
      </c>
      <c r="CM456" s="0" t="str">
        <f aca="false">CONCATENATE(CC456,$CD$6)</f>
        <v>36892Curve Shift/Gamma</v>
      </c>
      <c r="CN456" s="0" t="str">
        <f aca="false">CONCATENATE($CC456,$CE$6)</f>
        <v>36892Rho</v>
      </c>
      <c r="CO456" s="0" t="str">
        <f aca="false">CONCATENATE($CC456,$CF$6)</f>
        <v>36892Drift</v>
      </c>
      <c r="CP456" s="0" t="str">
        <f aca="false">CONCATENATE($CC456,$CG$6)</f>
        <v>36892Vega</v>
      </c>
      <c r="CQ456" s="0" t="str">
        <f aca="false">CONCATENATE($CC456,$CH$6)</f>
        <v>36892Theta</v>
      </c>
    </row>
    <row r="457" customFormat="false" ht="12.75" hidden="false" customHeight="false" outlineLevel="0" collapsed="false">
      <c r="A457" s="17" t="s">
        <v>244</v>
      </c>
      <c r="B457" s="0" t="s">
        <v>192</v>
      </c>
      <c r="C457" s="0" t="s">
        <v>357</v>
      </c>
      <c r="D457" s="7" t="s">
        <v>149</v>
      </c>
      <c r="E457" s="0" t="s">
        <v>131</v>
      </c>
      <c r="F457" s="0" t="s">
        <v>132</v>
      </c>
      <c r="G457" s="92" t="n">
        <v>36861</v>
      </c>
      <c r="H457" s="248" t="n">
        <v>500000</v>
      </c>
      <c r="I457" s="0" t="n">
        <v>0.95</v>
      </c>
      <c r="J457" s="124" t="n">
        <f aca="false">VLOOKUP(G457,NGPrices,2,FALSE())</f>
        <v>4.8</v>
      </c>
      <c r="K457" s="125" t="n">
        <f aca="false">HLOOKUP(D457,Prices,VLOOKUP(G457,move_down,2,FALSE()),FALSE())+VLOOKUP(G457,CHANGE,HLOOKUP(D457,CHANGE,2,FALSE()),FALSE())</f>
        <v>1.645</v>
      </c>
      <c r="L457" s="124" t="n">
        <f aca="false">K457+J457</f>
        <v>6.445</v>
      </c>
      <c r="M457" s="126" t="n">
        <f aca="false">VLOOKUP(G457,NGPrices,4,FALSE())</f>
        <v>0.068314027999354</v>
      </c>
      <c r="N457" s="7" t="n">
        <f aca="false">VLOOKUP(G457,NGPrices,3,FALSE())</f>
        <v>0.6</v>
      </c>
      <c r="O457" s="7" t="n">
        <f aca="false">HLOOKUP(D457,VOLS,VLOOKUP(G457,move_down,2,FALSE()),FALSE())</f>
        <v>0.69</v>
      </c>
      <c r="P457" s="249" t="n">
        <f aca="false">HLOOKUP(D457,Correllate,VLOOKUP(G457,CorMove,2,FALSE()),FALSE())</f>
        <v>0.83</v>
      </c>
      <c r="Q457" s="92" t="n">
        <f aca="false">WORKDAY(G457,-2)</f>
        <v>36859</v>
      </c>
      <c r="R457" s="7" t="n">
        <f aca="false">IF(F457="P",0,1)</f>
        <v>0</v>
      </c>
      <c r="S457" s="130" t="e">
        <f aca="false">xSPRDOPT($L457,$J457,$I457,$M457,$O457,$N457,$P457,$Q457-$C$3,$R457,0)</f>
        <v>#NAME?</v>
      </c>
      <c r="T457" s="250" t="e">
        <f aca="false">xSPRDOPT($L457,$J457,$I457,$M457,$O457,$N457,$P457,$Q457-$C$3,$R457,1)*H457</f>
        <v>#NAME?</v>
      </c>
      <c r="U457" s="43" t="e">
        <f aca="false">S457*H457</f>
        <v>#NAME?</v>
      </c>
      <c r="V457" s="250" t="e">
        <f aca="false">xSPRDOPT($L457,$J457,$I457,$M457,$O457,$N457,$P457,$Q457-$C$3,$R457,2)*H457</f>
        <v>#NAME?</v>
      </c>
      <c r="W457" s="250" t="e">
        <f aca="false">+V457+T457</f>
        <v>#NAME?</v>
      </c>
      <c r="X457" s="2" t="str">
        <f aca="false">CONCATENATE(G457,D457)</f>
        <v>36861IF-TRANSCO/Z6</v>
      </c>
      <c r="Y457" s="251" t="n">
        <f aca="false">H457/10000</f>
        <v>50</v>
      </c>
      <c r="Z457" s="226" t="e">
        <f aca="false">T457/H457</f>
        <v>#NAME?</v>
      </c>
      <c r="AA457" s="226" t="e">
        <f aca="false">xSPRDOPT($L457,$J457,$I457,$M457,$O457,$N457,$P457,$Q457-$C$3,$R457,3)</f>
        <v>#NAME?</v>
      </c>
      <c r="AB457" s="226" t="e">
        <f aca="false">((xSPRDOPT($L457+AB$5,$J457,$I457,$M457,$O457,$N457,$P457,$Q457-$C$3,$R457,3)*$H457)/10000)/100</f>
        <v>#NAME?</v>
      </c>
      <c r="AC457" s="226" t="e">
        <f aca="false">((xSPRDOPT($L457+$AB$5,$J457,$I457,$M457,$O457,$N457,$P457,$Q457-$C$3,$R457,7)*$H457)/100)</f>
        <v>#NAME?</v>
      </c>
      <c r="AD457" s="226" t="e">
        <f aca="false">(xSPRDOPT($L457+$AB$5,$J457,$I457,$M457,$O457,$N457,$P457,$Q457-$C$3,$R457,9)/365)*$H457</f>
        <v>#NAME?</v>
      </c>
      <c r="AE457" s="0" t="e">
        <f aca="false">CD457</f>
        <v>#NAME?</v>
      </c>
      <c r="AF457" s="226" t="e">
        <f aca="false">((O457/N457)*AH457)+AG457</f>
        <v>#NAME?</v>
      </c>
      <c r="AG457" s="226" t="e">
        <f aca="false">((xSPRDOPT($L457,$J457,$I457,$M457,$O457,$N457,$P457,$Q457-$C$3,$R457,6)*$H457)/100)</f>
        <v>#NAME?</v>
      </c>
      <c r="AH457" s="226" t="e">
        <f aca="false">((xSPRDOPT($L457,$J457,$I457,$M457,$O457,$N457,$P457,$Q457-$C$3,$R457,5)*$H457)/100)</f>
        <v>#NAME?</v>
      </c>
      <c r="AI457" s="226" t="e">
        <f aca="false">(((xSPRDOPT($L457,$J457,$I457,$M457,$O457,$N457,$P457,$Q457-$C$3,$R457,4)*$H457)/10000)/100)-AB457</f>
        <v>#NAME?</v>
      </c>
      <c r="AJ457" s="226"/>
      <c r="AK457" s="226"/>
      <c r="AL457" s="226"/>
      <c r="AM457" s="252"/>
      <c r="CC457" s="182" t="n">
        <f aca="false">G457</f>
        <v>36861</v>
      </c>
      <c r="CD457" s="253" t="e">
        <f aca="false">xSPRDOPT((VLOOKUP(G457,NGPrices,2,FALSE())+HLOOKUP(D457,Prices,VLOOKUP(G457,move_down,2,FALSE()),FALSE())),VLOOKUP(G457,NGPrices,2,FALSE()),I457,VLOOKUP(G457,NGPREVPRICES,4,FALSE()),HLOOKUP(D457,PREVVOLS,VLOOKUP(G457,MOVE_DOWN2,2,FALSE()),FALSE()),VLOOKUP(G457,NGPREVPRICES,3,FALSE()),HLOOKUP(D457,Correllate,VLOOKUP(G457,CorMove,2,FALSE()),FALSE()),Q457-$CD$3,R457,$CD$5)*H457-CJ457</f>
        <v>#NAME?</v>
      </c>
      <c r="CE457" s="253" t="e">
        <f aca="false">xSPRDOPT((VLOOKUP(G457,NGPREVPRICES,2,FALSE())+HLOOKUP(D457,PREVCURVES,VLOOKUP(G457,MOVE_DOWN2,2,FALSE()),FALSE())),VLOOKUP(G457,NGPREVPRICES,2,FALSE()),CK457,VLOOKUP(G457,NGPrices,4,FALSE()),HLOOKUP(D457,PREVVOLS,VLOOKUP(G457,MOVE_DOWN2,2,FALSE()),FALSE()),VLOOKUP(G457,NGPREVPRICES,3,FALSE()),HLOOKUP(D457,Correllate,VLOOKUP(G457,CorMove,2,FALSE()),FALSE()),Q457-$CD$3,R457,$CJ$5)*H457-CJ457</f>
        <v>#NAME?</v>
      </c>
      <c r="CF457" s="132" t="e">
        <f aca="false">(CJ457/VLOOKUP(CC457,discount,3,FALSE()))-(CJ457/VLOOKUP(CC457,discount,2,FALSE()))</f>
        <v>#NAME?</v>
      </c>
      <c r="CG457" s="253" t="e">
        <f aca="false">xSPRDOPT((VLOOKUP(G457,NGPREVPRICES,2,FALSE())+HLOOKUP(D457,PREVCURVES,VLOOKUP(G457,MOVE_DOWN2,2,FALSE()),FALSE())),VLOOKUP(G457,NGPREVPRICES,2,FALSE()),CK457,VLOOKUP(G457,NGPREVPRICES,4,FALSE()),HLOOKUP(D457,VOLS,VLOOKUP(G457,move_down,2,FALSE()),FALSE()),VLOOKUP(G457,NGPrices,3,FALSE()),HLOOKUP(D457,Correllate,VLOOKUP(G457,CorMove,2,FALSE()),FALSE()),Q457-$CD$3,R457,$CJ$5)*H457-CJ457</f>
        <v>#NAME?</v>
      </c>
      <c r="CH457" s="253" t="e">
        <f aca="false">xSPRDOPT((VLOOKUP(G457,NGPREVPRICES,2,FALSE())+HLOOKUP(D457,PREVCURVES,VLOOKUP(G457,MOVE_DOWN2,2,FALSE()),FALSE())),VLOOKUP(G457,NGPREVPRICES,2,FALSE()),CK457,VLOOKUP(G457,NGPREVPRICES,4,FALSE()),HLOOKUP(D457,PREVVOLS,VLOOKUP(G457,MOVE_DOWN2,2,FALSE()),FALSE()),VLOOKUP(G457,NGPREVPRICES,3,FALSE()),HLOOKUP(D457,Correllate,VLOOKUP(G457,CorMove,2,FALSE()),FALSE()),Q457-$C$3,R457,$CJ$5)*H457-CJ457</f>
        <v>#NAME?</v>
      </c>
      <c r="CI457" s="253" t="e">
        <f aca="false">SUM(CD457:CH457)</f>
        <v>#NAME?</v>
      </c>
      <c r="CJ457" s="253" t="e">
        <f aca="false">xSPRDOPT((VLOOKUP(G457,NGPREVPRICES,2,FALSE())+HLOOKUP(D457,PREVCURVES,VLOOKUP(G457,MOVE_DOWN2,2,FALSE()),FALSE())),VLOOKUP(G457,NGPREVPRICES,2,FALSE()),CK457,VLOOKUP(G457,NGPREVPRICES,4,FALSE()),HLOOKUP(D457,PREVVOLS,VLOOKUP(G457,MOVE_DOWN2,2,FALSE()),FALSE()),VLOOKUP(G457,NGPREVPRICES,3,FALSE()),HLOOKUP(D457,Correllate,VLOOKUP(G457,CorMove,2,FALSE()),FALSE()),Q457-$CD$3,R457,$CJ$5)*H457</f>
        <v>#NAME?</v>
      </c>
      <c r="CK457" s="254" t="n">
        <f aca="false">I457</f>
        <v>0.95</v>
      </c>
      <c r="CM457" s="0" t="str">
        <f aca="false">CONCATENATE(CC457,$CD$6)</f>
        <v>36861Curve Shift/Gamma</v>
      </c>
      <c r="CN457" s="0" t="str">
        <f aca="false">CONCATENATE($CC457,$CE$6)</f>
        <v>36861Rho</v>
      </c>
      <c r="CO457" s="0" t="str">
        <f aca="false">CONCATENATE($CC457,$CF$6)</f>
        <v>36861Drift</v>
      </c>
      <c r="CP457" s="0" t="str">
        <f aca="false">CONCATENATE($CC457,$CG$6)</f>
        <v>36861Vega</v>
      </c>
      <c r="CQ457" s="0" t="str">
        <f aca="false">CONCATENATE($CC457,$CH$6)</f>
        <v>36861Theta</v>
      </c>
    </row>
    <row r="458" customFormat="false" ht="12.75" hidden="false" customHeight="false" outlineLevel="0" collapsed="false">
      <c r="A458" s="17" t="s">
        <v>244</v>
      </c>
      <c r="B458" s="0" t="s">
        <v>192</v>
      </c>
      <c r="C458" s="0" t="s">
        <v>357</v>
      </c>
      <c r="D458" s="7" t="s">
        <v>149</v>
      </c>
      <c r="E458" s="0" t="s">
        <v>131</v>
      </c>
      <c r="F458" s="0" t="s">
        <v>132</v>
      </c>
      <c r="G458" s="92" t="n">
        <v>36831</v>
      </c>
      <c r="H458" s="248" t="n">
        <v>500000</v>
      </c>
      <c r="I458" s="0" t="n">
        <v>0.95</v>
      </c>
      <c r="J458" s="124" t="n">
        <f aca="false">VLOOKUP(G458,NGPrices,2,FALSE())</f>
        <v>4.736</v>
      </c>
      <c r="K458" s="125" t="n">
        <f aca="false">HLOOKUP(D458,Prices,VLOOKUP(G458,move_down,2,FALSE()),FALSE())+VLOOKUP(G458,CHANGE,HLOOKUP(D458,CHANGE,2,FALSE()),FALSE())</f>
        <v>0.77</v>
      </c>
      <c r="L458" s="124" t="n">
        <f aca="false">K458+J458</f>
        <v>5.506</v>
      </c>
      <c r="M458" s="126" t="n">
        <f aca="false">VLOOKUP(G458,NGPrices,4,FALSE())</f>
        <v>0.06810675983792</v>
      </c>
      <c r="N458" s="7" t="n">
        <f aca="false">VLOOKUP(G458,NGPrices,3,FALSE())</f>
        <v>0.595</v>
      </c>
      <c r="O458" s="7" t="n">
        <f aca="false">HLOOKUP(D458,VOLS,VLOOKUP(G458,move_down,2,FALSE()),FALSE())</f>
        <v>0.625</v>
      </c>
      <c r="P458" s="249" t="n">
        <f aca="false">HLOOKUP(D458,Correllate,VLOOKUP(G458,CorMove,2,FALSE()),FALSE())</f>
        <v>0.89</v>
      </c>
      <c r="Q458" s="92" t="n">
        <f aca="false">WORKDAY(G458,-2)</f>
        <v>36829</v>
      </c>
      <c r="R458" s="7" t="n">
        <f aca="false">IF(F458="P",0,1)</f>
        <v>0</v>
      </c>
      <c r="S458" s="130" t="e">
        <f aca="false">xSPRDOPT($L458,$J458,$I458,$M458,$O458,$N458,$P458,$Q458-$C$3,$R458,0)</f>
        <v>#NAME?</v>
      </c>
      <c r="T458" s="250" t="e">
        <f aca="false">xSPRDOPT($L458,$J458,$I458,$M458,$O458,$N458,$P458,$Q458-$C$3,$R458,1)*H458</f>
        <v>#NAME?</v>
      </c>
      <c r="U458" s="43" t="e">
        <f aca="false">S458*H458</f>
        <v>#NAME?</v>
      </c>
      <c r="V458" s="250" t="e">
        <f aca="false">xSPRDOPT($L458,$J458,$I458,$M458,$O458,$N458,$P458,$Q458-$C$3,$R458,2)*H458</f>
        <v>#NAME?</v>
      </c>
      <c r="W458" s="250" t="e">
        <f aca="false">+V458+T458</f>
        <v>#NAME?</v>
      </c>
      <c r="X458" s="2" t="str">
        <f aca="false">CONCATENATE(G458,D458)</f>
        <v>36831IF-TRANSCO/Z6</v>
      </c>
      <c r="Y458" s="251" t="n">
        <f aca="false">H458/10000</f>
        <v>50</v>
      </c>
      <c r="Z458" s="226" t="e">
        <f aca="false">T458/H458</f>
        <v>#NAME?</v>
      </c>
      <c r="AA458" s="226" t="e">
        <f aca="false">xSPRDOPT($L458,$J458,$I458,$M458,$O458,$N458,$P458,$Q458-$C$3,$R458,3)</f>
        <v>#NAME?</v>
      </c>
      <c r="AB458" s="226" t="e">
        <f aca="false">((xSPRDOPT($L458+AB$5,$J458,$I458,$M458,$O458,$N458,$P458,$Q458-$C$3,$R458,3)*$H458)/10000)/100</f>
        <v>#NAME?</v>
      </c>
      <c r="AC458" s="226" t="e">
        <f aca="false">((xSPRDOPT($L458+$AB$5,$J458,$I458,$M458,$O458,$N458,$P458,$Q458-$C$3,$R458,7)*$H458)/100)</f>
        <v>#NAME?</v>
      </c>
      <c r="AD458" s="226" t="e">
        <f aca="false">(xSPRDOPT($L458+$AB$5,$J458,$I458,$M458,$O458,$N458,$P458,$Q458-$C$3,$R458,9)/365)*$H458</f>
        <v>#NAME?</v>
      </c>
      <c r="AE458" s="0" t="e">
        <f aca="false">CD458</f>
        <v>#NAME?</v>
      </c>
      <c r="AF458" s="226" t="e">
        <f aca="false">((O458/N458)*AH458)+AG458</f>
        <v>#NAME?</v>
      </c>
      <c r="AG458" s="226" t="e">
        <f aca="false">((xSPRDOPT($L458,$J458,$I458,$M458,$O458,$N458,$P458,$Q458-$C$3,$R458,6)*$H458)/100)</f>
        <v>#NAME?</v>
      </c>
      <c r="AH458" s="226" t="e">
        <f aca="false">((xSPRDOPT($L458,$J458,$I458,$M458,$O458,$N458,$P458,$Q458-$C$3,$R458,5)*$H458)/100)</f>
        <v>#NAME?</v>
      </c>
      <c r="AI458" s="226" t="e">
        <f aca="false">(((xSPRDOPT($L458,$J458,$I458,$M458,$O458,$N458,$P458,$Q458-$C$3,$R458,4)*$H458)/10000)/100)-AB458</f>
        <v>#NAME?</v>
      </c>
      <c r="AJ458" s="226"/>
      <c r="AK458" s="226"/>
      <c r="AL458" s="226"/>
      <c r="AM458" s="252"/>
      <c r="CC458" s="182" t="n">
        <f aca="false">G458</f>
        <v>36831</v>
      </c>
      <c r="CD458" s="253" t="e">
        <f aca="false">xSPRDOPT((VLOOKUP(G458,NGPrices,2,FALSE())+HLOOKUP(D458,Prices,VLOOKUP(G458,move_down,2,FALSE()),FALSE())),VLOOKUP(G458,NGPrices,2,FALSE()),I458,VLOOKUP(G458,NGPREVPRICES,4,FALSE()),HLOOKUP(D458,PREVVOLS,VLOOKUP(G458,MOVE_DOWN2,2,FALSE()),FALSE()),VLOOKUP(G458,NGPREVPRICES,3,FALSE()),HLOOKUP(D458,Correllate,VLOOKUP(G458,CorMove,2,FALSE()),FALSE()),Q458-$CD$3,R458,$CD$5)*H458-CJ458</f>
        <v>#NAME?</v>
      </c>
      <c r="CE458" s="253" t="e">
        <f aca="false">xSPRDOPT((VLOOKUP(G458,NGPREVPRICES,2,FALSE())+HLOOKUP(D458,PREVCURVES,VLOOKUP(G458,MOVE_DOWN2,2,FALSE()),FALSE())),VLOOKUP(G458,NGPREVPRICES,2,FALSE()),CK458,VLOOKUP(G458,NGPrices,4,FALSE()),HLOOKUP(D458,PREVVOLS,VLOOKUP(G458,MOVE_DOWN2,2,FALSE()),FALSE()),VLOOKUP(G458,NGPREVPRICES,3,FALSE()),HLOOKUP(D458,Correllate,VLOOKUP(G458,CorMove,2,FALSE()),FALSE()),Q458-$CD$3,R458,$CJ$5)*H458-CJ458</f>
        <v>#NAME?</v>
      </c>
      <c r="CF458" s="132" t="e">
        <f aca="false">(CJ458/VLOOKUP(CC458,discount,3,FALSE()))-(CJ458/VLOOKUP(CC458,discount,2,FALSE()))</f>
        <v>#NAME?</v>
      </c>
      <c r="CG458" s="253" t="e">
        <f aca="false">xSPRDOPT((VLOOKUP(G458,NGPREVPRICES,2,FALSE())+HLOOKUP(D458,PREVCURVES,VLOOKUP(G458,MOVE_DOWN2,2,FALSE()),FALSE())),VLOOKUP(G458,NGPREVPRICES,2,FALSE()),CK458,VLOOKUP(G458,NGPREVPRICES,4,FALSE()),HLOOKUP(D458,VOLS,VLOOKUP(G458,move_down,2,FALSE()),FALSE()),VLOOKUP(G458,NGPrices,3,FALSE()),HLOOKUP(D458,Correllate,VLOOKUP(G458,CorMove,2,FALSE()),FALSE()),Q458-$CD$3,R458,$CJ$5)*H458-CJ458</f>
        <v>#NAME?</v>
      </c>
      <c r="CH458" s="253" t="e">
        <f aca="false">xSPRDOPT((VLOOKUP(G458,NGPREVPRICES,2,FALSE())+HLOOKUP(D458,PREVCURVES,VLOOKUP(G458,MOVE_DOWN2,2,FALSE()),FALSE())),VLOOKUP(G458,NGPREVPRICES,2,FALSE()),CK458,VLOOKUP(G458,NGPREVPRICES,4,FALSE()),HLOOKUP(D458,PREVVOLS,VLOOKUP(G458,MOVE_DOWN2,2,FALSE()),FALSE()),VLOOKUP(G458,NGPREVPRICES,3,FALSE()),HLOOKUP(D458,Correllate,VLOOKUP(G458,CorMove,2,FALSE()),FALSE()),Q458-$C$3,R458,$CJ$5)*H458-CJ458</f>
        <v>#NAME?</v>
      </c>
      <c r="CI458" s="253" t="e">
        <f aca="false">SUM(CD458:CH458)</f>
        <v>#NAME?</v>
      </c>
      <c r="CJ458" s="253" t="e">
        <f aca="false">xSPRDOPT((VLOOKUP(G458,NGPREVPRICES,2,FALSE())+HLOOKUP(D458,PREVCURVES,VLOOKUP(G458,MOVE_DOWN2,2,FALSE()),FALSE())),VLOOKUP(G458,NGPREVPRICES,2,FALSE()),CK458,VLOOKUP(G458,NGPREVPRICES,4,FALSE()),HLOOKUP(D458,PREVVOLS,VLOOKUP(G458,MOVE_DOWN2,2,FALSE()),FALSE()),VLOOKUP(G458,NGPREVPRICES,3,FALSE()),HLOOKUP(D458,Correllate,VLOOKUP(G458,CorMove,2,FALSE()),FALSE()),Q458-$CD$3,R458,$CJ$5)*H458</f>
        <v>#NAME?</v>
      </c>
      <c r="CK458" s="254" t="n">
        <f aca="false">I458</f>
        <v>0.95</v>
      </c>
      <c r="CM458" s="0" t="str">
        <f aca="false">CONCATENATE(CC458,$CD$6)</f>
        <v>36831Curve Shift/Gamma</v>
      </c>
      <c r="CN458" s="0" t="str">
        <f aca="false">CONCATENATE($CC458,$CE$6)</f>
        <v>36831Rho</v>
      </c>
      <c r="CO458" s="0" t="str">
        <f aca="false">CONCATENATE($CC458,$CF$6)</f>
        <v>36831Drift</v>
      </c>
      <c r="CP458" s="0" t="str">
        <f aca="false">CONCATENATE($CC458,$CG$6)</f>
        <v>36831Vega</v>
      </c>
      <c r="CQ458" s="0" t="str">
        <f aca="false">CONCATENATE($CC458,$CH$6)</f>
        <v>36831Theta</v>
      </c>
    </row>
    <row r="459" customFormat="false" ht="12.75" hidden="false" customHeight="false" outlineLevel="0" collapsed="false">
      <c r="A459" s="17" t="s">
        <v>255</v>
      </c>
      <c r="B459" s="0" t="s">
        <v>192</v>
      </c>
      <c r="C459" s="0" t="s">
        <v>358</v>
      </c>
      <c r="D459" s="7" t="s">
        <v>149</v>
      </c>
      <c r="E459" s="0" t="s">
        <v>131</v>
      </c>
      <c r="F459" s="0" t="s">
        <v>132</v>
      </c>
      <c r="G459" s="92" t="n">
        <v>37316</v>
      </c>
      <c r="H459" s="248" t="n">
        <v>-1000000</v>
      </c>
      <c r="I459" s="0" t="n">
        <v>0.95</v>
      </c>
      <c r="J459" s="124" t="n">
        <f aca="false">VLOOKUP(G459,NGPrices,2,FALSE())</f>
        <v>3.605</v>
      </c>
      <c r="K459" s="125" t="n">
        <f aca="false">HLOOKUP(D459,Prices,VLOOKUP(G459,move_down,2,FALSE()),FALSE())+VLOOKUP(G459,CHANGE,HLOOKUP(D459,CHANGE,2,FALSE()),FALSE())</f>
        <v>0.99</v>
      </c>
      <c r="L459" s="124" t="n">
        <f aca="false">K459+J459</f>
        <v>4.595</v>
      </c>
      <c r="M459" s="126" t="n">
        <f aca="false">VLOOKUP(G459,NGPrices,4,FALSE())</f>
        <v>0.069499863695119</v>
      </c>
      <c r="N459" s="7" t="n">
        <f aca="false">VLOOKUP(G459,NGPrices,3,FALSE())</f>
        <v>0.365</v>
      </c>
      <c r="O459" s="7" t="n">
        <f aca="false">HLOOKUP(D459,VOLS,VLOOKUP(G459,move_down,2,FALSE()),FALSE())</f>
        <v>0.402</v>
      </c>
      <c r="P459" s="249" t="n">
        <f aca="false">HLOOKUP(D459,Correllate,VLOOKUP(G459,CorMove,2,FALSE()),FALSE())</f>
        <v>0.95</v>
      </c>
      <c r="Q459" s="92" t="n">
        <f aca="false">WORKDAY(G459,-2)</f>
        <v>37314</v>
      </c>
      <c r="R459" s="7" t="n">
        <f aca="false">IF(F459="P",0,1)</f>
        <v>0</v>
      </c>
      <c r="S459" s="130" t="e">
        <f aca="false">xSPRDOPT($L459,$J459,$I459,$M459,$O459,$N459,$P459,$Q459-$C$3,$R459,0)</f>
        <v>#NAME?</v>
      </c>
      <c r="T459" s="250" t="e">
        <f aca="false">xSPRDOPT($L459,$J459,$I459,$M459,$O459,$N459,$P459,$Q459-$C$3,$R459,1)*H459</f>
        <v>#NAME?</v>
      </c>
      <c r="U459" s="43" t="e">
        <f aca="false">S459*H459</f>
        <v>#NAME?</v>
      </c>
      <c r="V459" s="250" t="e">
        <f aca="false">xSPRDOPT($L459,$J459,$I459,$M459,$O459,$N459,$P459,$Q459-$C$3,$R459,2)*H459</f>
        <v>#NAME?</v>
      </c>
      <c r="W459" s="250" t="e">
        <f aca="false">+V459+T459</f>
        <v>#NAME?</v>
      </c>
      <c r="X459" s="2" t="str">
        <f aca="false">CONCATENATE(G459,D459)</f>
        <v>37316IF-TRANSCO/Z6</v>
      </c>
      <c r="Y459" s="251" t="n">
        <f aca="false">H459/10000</f>
        <v>-100</v>
      </c>
      <c r="Z459" s="226" t="e">
        <f aca="false">T459/H459</f>
        <v>#NAME?</v>
      </c>
      <c r="AA459" s="226" t="e">
        <f aca="false">xSPRDOPT($L459,$J459,$I459,$M459,$O459,$N459,$P459,$Q459-$C$3,$R459,3)</f>
        <v>#NAME?</v>
      </c>
      <c r="AB459" s="226" t="e">
        <f aca="false">((xSPRDOPT($L459+AB$5,$J459,$I459,$M459,$O459,$N459,$P459,$Q459-$C$3,$R459,3)*$H459)/10000)/100</f>
        <v>#NAME?</v>
      </c>
      <c r="AC459" s="226" t="e">
        <f aca="false">((xSPRDOPT($L459+$AB$5,$J459,$I459,$M459,$O459,$N459,$P459,$Q459-$C$3,$R459,7)*$H459)/100)</f>
        <v>#NAME?</v>
      </c>
      <c r="AD459" s="226" t="e">
        <f aca="false">(xSPRDOPT($L459+$AB$5,$J459,$I459,$M459,$O459,$N459,$P459,$Q459-$C$3,$R459,9)/365)*$H459</f>
        <v>#NAME?</v>
      </c>
      <c r="AE459" s="0" t="e">
        <f aca="false">CD459</f>
        <v>#NAME?</v>
      </c>
      <c r="AF459" s="226" t="e">
        <f aca="false">((O459/N459)*AH459)+AG459</f>
        <v>#NAME?</v>
      </c>
      <c r="AG459" s="226" t="e">
        <f aca="false">((xSPRDOPT($L459,$J459,$I459,$M459,$O459,$N459,$P459,$Q459-$C$3,$R459,6)*$H459)/100)</f>
        <v>#NAME?</v>
      </c>
      <c r="AH459" s="226" t="e">
        <f aca="false">((xSPRDOPT($L459,$J459,$I459,$M459,$O459,$N459,$P459,$Q459-$C$3,$R459,5)*$H459)/100)</f>
        <v>#NAME?</v>
      </c>
      <c r="AI459" s="226" t="e">
        <f aca="false">(((xSPRDOPT($L459,$J459,$I459,$M459,$O459,$N459,$P459,$Q459-$C$3,$R459,4)*$H459)/10000)/100)-AB459</f>
        <v>#NAME?</v>
      </c>
      <c r="AJ459" s="226"/>
      <c r="AK459" s="226"/>
      <c r="AL459" s="226"/>
      <c r="AM459" s="252"/>
      <c r="CC459" s="182" t="n">
        <f aca="false">G459</f>
        <v>37316</v>
      </c>
      <c r="CD459" s="253" t="e">
        <f aca="false">xSPRDOPT((VLOOKUP(G459,NGPrices,2,FALSE())+HLOOKUP(D459,Prices,VLOOKUP(G459,move_down,2,FALSE()),FALSE())),VLOOKUP(G459,NGPrices,2,FALSE()),I459,VLOOKUP(G459,NGPREVPRICES,4,FALSE()),HLOOKUP(D459,PREVVOLS,VLOOKUP(G459,MOVE_DOWN2,2,FALSE()),FALSE()),VLOOKUP(G459,NGPREVPRICES,3,FALSE()),HLOOKUP(D459,Correllate,VLOOKUP(G459,CorMove,2,FALSE()),FALSE()),Q459-$CD$3,R459,$CD$5)*H459-CJ459</f>
        <v>#NAME?</v>
      </c>
      <c r="CE459" s="253" t="e">
        <f aca="false">xSPRDOPT((VLOOKUP(G459,NGPREVPRICES,2,FALSE())+HLOOKUP(D459,PREVCURVES,VLOOKUP(G459,MOVE_DOWN2,2,FALSE()),FALSE())),VLOOKUP(G459,NGPREVPRICES,2,FALSE()),CK459,VLOOKUP(G459,NGPrices,4,FALSE()),HLOOKUP(D459,PREVVOLS,VLOOKUP(G459,MOVE_DOWN2,2,FALSE()),FALSE()),VLOOKUP(G459,NGPREVPRICES,3,FALSE()),HLOOKUP(D459,Correllate,VLOOKUP(G459,CorMove,2,FALSE()),FALSE()),Q459-$CD$3,R459,$CJ$5)*H459-CJ459</f>
        <v>#NAME?</v>
      </c>
      <c r="CF459" s="132" t="e">
        <f aca="false">(CJ459/VLOOKUP(CC459,discount,3,FALSE()))-(CJ459/VLOOKUP(CC459,discount,2,FALSE()))</f>
        <v>#NAME?</v>
      </c>
      <c r="CG459" s="253" t="e">
        <f aca="false">xSPRDOPT((VLOOKUP(G459,NGPREVPRICES,2,FALSE())+HLOOKUP(D459,PREVCURVES,VLOOKUP(G459,MOVE_DOWN2,2,FALSE()),FALSE())),VLOOKUP(G459,NGPREVPRICES,2,FALSE()),CK459,VLOOKUP(G459,NGPREVPRICES,4,FALSE()),HLOOKUP(D459,VOLS,VLOOKUP(G459,move_down,2,FALSE()),FALSE()),VLOOKUP(G459,NGPrices,3,FALSE()),HLOOKUP(D459,Correllate,VLOOKUP(G459,CorMove,2,FALSE()),FALSE()),Q459-$CD$3,R459,$CJ$5)*H459-CJ459</f>
        <v>#NAME?</v>
      </c>
      <c r="CH459" s="253" t="e">
        <f aca="false">xSPRDOPT((VLOOKUP(G459,NGPREVPRICES,2,FALSE())+HLOOKUP(D459,PREVCURVES,VLOOKUP(G459,MOVE_DOWN2,2,FALSE()),FALSE())),VLOOKUP(G459,NGPREVPRICES,2,FALSE()),CK459,VLOOKUP(G459,NGPREVPRICES,4,FALSE()),HLOOKUP(D459,PREVVOLS,VLOOKUP(G459,MOVE_DOWN2,2,FALSE()),FALSE()),VLOOKUP(G459,NGPREVPRICES,3,FALSE()),HLOOKUP(D459,Correllate,VLOOKUP(G459,CorMove,2,FALSE()),FALSE()),Q459-$C$3,R459,$CJ$5)*H459-CJ459</f>
        <v>#NAME?</v>
      </c>
      <c r="CI459" s="253" t="e">
        <f aca="false">SUM(CD459:CH459)</f>
        <v>#NAME?</v>
      </c>
      <c r="CJ459" s="253" t="e">
        <f aca="false">xSPRDOPT((VLOOKUP(G459,NGPREVPRICES,2,FALSE())+HLOOKUP(D459,PREVCURVES,VLOOKUP(G459,MOVE_DOWN2,2,FALSE()),FALSE())),VLOOKUP(G459,NGPREVPRICES,2,FALSE()),CK459,VLOOKUP(G459,NGPREVPRICES,4,FALSE()),HLOOKUP(D459,PREVVOLS,VLOOKUP(G459,MOVE_DOWN2,2,FALSE()),FALSE()),VLOOKUP(G459,NGPREVPRICES,3,FALSE()),HLOOKUP(D459,Correllate,VLOOKUP(G459,CorMove,2,FALSE()),FALSE()),Q459-$CD$3,R459,$CJ$5)*H459</f>
        <v>#NAME?</v>
      </c>
      <c r="CK459" s="254" t="n">
        <f aca="false">I459</f>
        <v>0.95</v>
      </c>
      <c r="CM459" s="0" t="str">
        <f aca="false">CONCATENATE(CC459,$CD$6)</f>
        <v>37316Curve Shift/Gamma</v>
      </c>
      <c r="CN459" s="0" t="str">
        <f aca="false">CONCATENATE($CC459,$CE$6)</f>
        <v>37316Rho</v>
      </c>
      <c r="CO459" s="0" t="str">
        <f aca="false">CONCATENATE($CC459,$CF$6)</f>
        <v>37316Drift</v>
      </c>
      <c r="CP459" s="0" t="str">
        <f aca="false">CONCATENATE($CC459,$CG$6)</f>
        <v>37316Vega</v>
      </c>
      <c r="CQ459" s="0" t="str">
        <f aca="false">CONCATENATE($CC459,$CH$6)</f>
        <v>37316Theta</v>
      </c>
    </row>
    <row r="460" customFormat="false" ht="12.75" hidden="false" customHeight="false" outlineLevel="0" collapsed="false">
      <c r="A460" s="17" t="s">
        <v>255</v>
      </c>
      <c r="B460" s="0" t="s">
        <v>192</v>
      </c>
      <c r="C460" s="0" t="s">
        <v>358</v>
      </c>
      <c r="D460" s="7" t="s">
        <v>149</v>
      </c>
      <c r="E460" s="0" t="s">
        <v>131</v>
      </c>
      <c r="F460" s="0" t="s">
        <v>132</v>
      </c>
      <c r="G460" s="92" t="n">
        <v>37288</v>
      </c>
      <c r="H460" s="248" t="n">
        <v>-1000000</v>
      </c>
      <c r="I460" s="0" t="n">
        <v>0.95</v>
      </c>
      <c r="J460" s="124" t="n">
        <f aca="false">VLOOKUP(G460,NGPrices,2,FALSE())</f>
        <v>3.77</v>
      </c>
      <c r="K460" s="125" t="n">
        <f aca="false">HLOOKUP(D460,Prices,VLOOKUP(G460,move_down,2,FALSE()),FALSE())+VLOOKUP(G460,CHANGE,HLOOKUP(D460,CHANGE,2,FALSE()),FALSE())</f>
        <v>1.56</v>
      </c>
      <c r="L460" s="124" t="n">
        <f aca="false">K460+J460</f>
        <v>5.33</v>
      </c>
      <c r="M460" s="126" t="n">
        <f aca="false">VLOOKUP(G460,NGPrices,4,FALSE())</f>
        <v>0.069453688628792</v>
      </c>
      <c r="N460" s="7" t="n">
        <f aca="false">VLOOKUP(G460,NGPrices,3,FALSE())</f>
        <v>0.395</v>
      </c>
      <c r="O460" s="7" t="n">
        <f aca="false">HLOOKUP(D460,VOLS,VLOOKUP(G460,move_down,2,FALSE()),FALSE())</f>
        <v>0.435</v>
      </c>
      <c r="P460" s="249" t="n">
        <f aca="false">HLOOKUP(D460,Correllate,VLOOKUP(G460,CorMove,2,FALSE()),FALSE())</f>
        <v>0.95</v>
      </c>
      <c r="Q460" s="92" t="n">
        <f aca="false">WORKDAY(G460,-2)</f>
        <v>37286</v>
      </c>
      <c r="R460" s="7" t="n">
        <f aca="false">IF(F460="P",0,1)</f>
        <v>0</v>
      </c>
      <c r="S460" s="130" t="e">
        <f aca="false">xSPRDOPT($L460,$J460,$I460,$M460,$O460,$N460,$P460,$Q460-$C$3,$R460,0)</f>
        <v>#NAME?</v>
      </c>
      <c r="T460" s="250" t="e">
        <f aca="false">xSPRDOPT($L460,$J460,$I460,$M460,$O460,$N460,$P460,$Q460-$C$3,$R460,1)*H460</f>
        <v>#NAME?</v>
      </c>
      <c r="U460" s="43" t="e">
        <f aca="false">S460*H460</f>
        <v>#NAME?</v>
      </c>
      <c r="V460" s="250" t="e">
        <f aca="false">xSPRDOPT($L460,$J460,$I460,$M460,$O460,$N460,$P460,$Q460-$C$3,$R460,2)*H460</f>
        <v>#NAME?</v>
      </c>
      <c r="W460" s="250" t="e">
        <f aca="false">+V460+T460</f>
        <v>#NAME?</v>
      </c>
      <c r="X460" s="2" t="str">
        <f aca="false">CONCATENATE(G460,D460)</f>
        <v>37288IF-TRANSCO/Z6</v>
      </c>
      <c r="Y460" s="251" t="n">
        <f aca="false">H460/10000</f>
        <v>-100</v>
      </c>
      <c r="Z460" s="226" t="e">
        <f aca="false">T460/H460</f>
        <v>#NAME?</v>
      </c>
      <c r="AA460" s="226" t="e">
        <f aca="false">xSPRDOPT($L460,$J460,$I460,$M460,$O460,$N460,$P460,$Q460-$C$3,$R460,3)</f>
        <v>#NAME?</v>
      </c>
      <c r="AB460" s="226" t="e">
        <f aca="false">((xSPRDOPT($L460+AB$5,$J460,$I460,$M460,$O460,$N460,$P460,$Q460-$C$3,$R460,3)*$H460)/10000)/100</f>
        <v>#NAME?</v>
      </c>
      <c r="AC460" s="226" t="e">
        <f aca="false">((xSPRDOPT($L460+$AB$5,$J460,$I460,$M460,$O460,$N460,$P460,$Q460-$C$3,$R460,7)*$H460)/100)</f>
        <v>#NAME?</v>
      </c>
      <c r="AD460" s="226" t="e">
        <f aca="false">(xSPRDOPT($L460+$AB$5,$J460,$I460,$M460,$O460,$N460,$P460,$Q460-$C$3,$R460,9)/365)*$H460</f>
        <v>#NAME?</v>
      </c>
      <c r="AE460" s="0" t="e">
        <f aca="false">CD460</f>
        <v>#NAME?</v>
      </c>
      <c r="AF460" s="226" t="e">
        <f aca="false">((O460/N460)*AH460)+AG460</f>
        <v>#NAME?</v>
      </c>
      <c r="AG460" s="226" t="e">
        <f aca="false">((xSPRDOPT($L460,$J460,$I460,$M460,$O460,$N460,$P460,$Q460-$C$3,$R460,6)*$H460)/100)</f>
        <v>#NAME?</v>
      </c>
      <c r="AH460" s="226" t="e">
        <f aca="false">((xSPRDOPT($L460,$J460,$I460,$M460,$O460,$N460,$P460,$Q460-$C$3,$R460,5)*$H460)/100)</f>
        <v>#NAME?</v>
      </c>
      <c r="AI460" s="226" t="e">
        <f aca="false">(((xSPRDOPT($L460,$J460,$I460,$M460,$O460,$N460,$P460,$Q460-$C$3,$R460,4)*$H460)/10000)/100)-AB460</f>
        <v>#NAME?</v>
      </c>
      <c r="AJ460" s="226"/>
      <c r="AK460" s="226"/>
      <c r="AL460" s="226"/>
      <c r="AM460" s="252"/>
      <c r="CC460" s="182" t="n">
        <f aca="false">G460</f>
        <v>37288</v>
      </c>
      <c r="CD460" s="253" t="e">
        <f aca="false">xSPRDOPT((VLOOKUP(G460,NGPrices,2,FALSE())+HLOOKUP(D460,Prices,VLOOKUP(G460,move_down,2,FALSE()),FALSE())),VLOOKUP(G460,NGPrices,2,FALSE()),I460,VLOOKUP(G460,NGPREVPRICES,4,FALSE()),HLOOKUP(D460,PREVVOLS,VLOOKUP(G460,MOVE_DOWN2,2,FALSE()),FALSE()),VLOOKUP(G460,NGPREVPRICES,3,FALSE()),HLOOKUP(D460,Correllate,VLOOKUP(G460,CorMove,2,FALSE()),FALSE()),Q460-$CD$3,R460,$CD$5)*H460-CJ460</f>
        <v>#NAME?</v>
      </c>
      <c r="CE460" s="253" t="e">
        <f aca="false">xSPRDOPT((VLOOKUP(G460,NGPREVPRICES,2,FALSE())+HLOOKUP(D460,PREVCURVES,VLOOKUP(G460,MOVE_DOWN2,2,FALSE()),FALSE())),VLOOKUP(G460,NGPREVPRICES,2,FALSE()),CK460,VLOOKUP(G460,NGPrices,4,FALSE()),HLOOKUP(D460,PREVVOLS,VLOOKUP(G460,MOVE_DOWN2,2,FALSE()),FALSE()),VLOOKUP(G460,NGPREVPRICES,3,FALSE()),HLOOKUP(D460,Correllate,VLOOKUP(G460,CorMove,2,FALSE()),FALSE()),Q460-$CD$3,R460,$CJ$5)*H460-CJ460</f>
        <v>#NAME?</v>
      </c>
      <c r="CF460" s="132" t="e">
        <f aca="false">(CJ460/VLOOKUP(CC460,discount,3,FALSE()))-(CJ460/VLOOKUP(CC460,discount,2,FALSE()))</f>
        <v>#NAME?</v>
      </c>
      <c r="CG460" s="253" t="e">
        <f aca="false">xSPRDOPT((VLOOKUP(G460,NGPREVPRICES,2,FALSE())+HLOOKUP(D460,PREVCURVES,VLOOKUP(G460,MOVE_DOWN2,2,FALSE()),FALSE())),VLOOKUP(G460,NGPREVPRICES,2,FALSE()),CK460,VLOOKUP(G460,NGPREVPRICES,4,FALSE()),HLOOKUP(D460,VOLS,VLOOKUP(G460,move_down,2,FALSE()),FALSE()),VLOOKUP(G460,NGPrices,3,FALSE()),HLOOKUP(D460,Correllate,VLOOKUP(G460,CorMove,2,FALSE()),FALSE()),Q460-$CD$3,R460,$CJ$5)*H460-CJ460</f>
        <v>#NAME?</v>
      </c>
      <c r="CH460" s="253" t="e">
        <f aca="false">xSPRDOPT((VLOOKUP(G460,NGPREVPRICES,2,FALSE())+HLOOKUP(D460,PREVCURVES,VLOOKUP(G460,MOVE_DOWN2,2,FALSE()),FALSE())),VLOOKUP(G460,NGPREVPRICES,2,FALSE()),CK460,VLOOKUP(G460,NGPREVPRICES,4,FALSE()),HLOOKUP(D460,PREVVOLS,VLOOKUP(G460,MOVE_DOWN2,2,FALSE()),FALSE()),VLOOKUP(G460,NGPREVPRICES,3,FALSE()),HLOOKUP(D460,Correllate,VLOOKUP(G460,CorMove,2,FALSE()),FALSE()),Q460-$C$3,R460,$CJ$5)*H460-CJ460</f>
        <v>#NAME?</v>
      </c>
      <c r="CI460" s="253" t="e">
        <f aca="false">SUM(CD460:CH460)</f>
        <v>#NAME?</v>
      </c>
      <c r="CJ460" s="253" t="e">
        <f aca="false">xSPRDOPT((VLOOKUP(G460,NGPREVPRICES,2,FALSE())+HLOOKUP(D460,PREVCURVES,VLOOKUP(G460,MOVE_DOWN2,2,FALSE()),FALSE())),VLOOKUP(G460,NGPREVPRICES,2,FALSE()),CK460,VLOOKUP(G460,NGPREVPRICES,4,FALSE()),HLOOKUP(D460,PREVVOLS,VLOOKUP(G460,MOVE_DOWN2,2,FALSE()),FALSE()),VLOOKUP(G460,NGPREVPRICES,3,FALSE()),HLOOKUP(D460,Correllate,VLOOKUP(G460,CorMove,2,FALSE()),FALSE()),Q460-$CD$3,R460,$CJ$5)*H460</f>
        <v>#NAME?</v>
      </c>
      <c r="CK460" s="254" t="n">
        <f aca="false">I460</f>
        <v>0.95</v>
      </c>
      <c r="CM460" s="0" t="str">
        <f aca="false">CONCATENATE(CC460,$CD$6)</f>
        <v>37288Curve Shift/Gamma</v>
      </c>
      <c r="CN460" s="0" t="str">
        <f aca="false">CONCATENATE($CC460,$CE$6)</f>
        <v>37288Rho</v>
      </c>
      <c r="CO460" s="0" t="str">
        <f aca="false">CONCATENATE($CC460,$CF$6)</f>
        <v>37288Drift</v>
      </c>
      <c r="CP460" s="0" t="str">
        <f aca="false">CONCATENATE($CC460,$CG$6)</f>
        <v>37288Vega</v>
      </c>
      <c r="CQ460" s="0" t="str">
        <f aca="false">CONCATENATE($CC460,$CH$6)</f>
        <v>37288Theta</v>
      </c>
    </row>
    <row r="461" customFormat="false" ht="12.75" hidden="false" customHeight="false" outlineLevel="0" collapsed="false">
      <c r="A461" s="17" t="s">
        <v>255</v>
      </c>
      <c r="B461" s="0" t="s">
        <v>192</v>
      </c>
      <c r="C461" s="0" t="s">
        <v>358</v>
      </c>
      <c r="D461" s="7" t="s">
        <v>149</v>
      </c>
      <c r="E461" s="0" t="s">
        <v>131</v>
      </c>
      <c r="F461" s="0" t="s">
        <v>132</v>
      </c>
      <c r="G461" s="92" t="n">
        <v>37257</v>
      </c>
      <c r="H461" s="248" t="n">
        <v>-1000000</v>
      </c>
      <c r="I461" s="0" t="n">
        <v>0.95</v>
      </c>
      <c r="J461" s="124" t="n">
        <f aca="false">VLOOKUP(G461,NGPrices,2,FALSE())</f>
        <v>3.94</v>
      </c>
      <c r="K461" s="125" t="n">
        <f aca="false">HLOOKUP(D461,Prices,VLOOKUP(G461,move_down,2,FALSE()),FALSE())+VLOOKUP(G461,CHANGE,HLOOKUP(D461,CHANGE,2,FALSE()),FALSE())</f>
        <v>1.56</v>
      </c>
      <c r="L461" s="124" t="n">
        <f aca="false">K461+J461</f>
        <v>5.5</v>
      </c>
      <c r="M461" s="126" t="n">
        <f aca="false">VLOOKUP(G461,NGPrices,4,FALSE())</f>
        <v>0.069402566234751</v>
      </c>
      <c r="N461" s="7" t="n">
        <f aca="false">VLOOKUP(G461,NGPrices,3,FALSE())</f>
        <v>0.4125</v>
      </c>
      <c r="O461" s="7" t="n">
        <f aca="false">HLOOKUP(D461,VOLS,VLOOKUP(G461,move_down,2,FALSE()),FALSE())</f>
        <v>0.454</v>
      </c>
      <c r="P461" s="249" t="n">
        <f aca="false">HLOOKUP(D461,Correllate,VLOOKUP(G461,CorMove,2,FALSE()),FALSE())</f>
        <v>0.95</v>
      </c>
      <c r="Q461" s="92" t="n">
        <f aca="false">WORKDAY(G461,-2)</f>
        <v>37253</v>
      </c>
      <c r="R461" s="7" t="n">
        <f aca="false">IF(F461="P",0,1)</f>
        <v>0</v>
      </c>
      <c r="S461" s="130" t="e">
        <f aca="false">xSPRDOPT($L461,$J461,$I461,$M461,$O461,$N461,$P461,$Q461-$C$3,$R461,0)</f>
        <v>#NAME?</v>
      </c>
      <c r="T461" s="250" t="e">
        <f aca="false">xSPRDOPT($L461,$J461,$I461,$M461,$O461,$N461,$P461,$Q461-$C$3,$R461,1)*H461</f>
        <v>#NAME?</v>
      </c>
      <c r="U461" s="43" t="e">
        <f aca="false">S461*H461</f>
        <v>#NAME?</v>
      </c>
      <c r="V461" s="250" t="e">
        <f aca="false">xSPRDOPT($L461,$J461,$I461,$M461,$O461,$N461,$P461,$Q461-$C$3,$R461,2)*H461</f>
        <v>#NAME?</v>
      </c>
      <c r="W461" s="250" t="e">
        <f aca="false">+V461+T461</f>
        <v>#NAME?</v>
      </c>
      <c r="X461" s="2" t="str">
        <f aca="false">CONCATENATE(G461,D461)</f>
        <v>37257IF-TRANSCO/Z6</v>
      </c>
      <c r="Y461" s="251" t="n">
        <f aca="false">H461/10000</f>
        <v>-100</v>
      </c>
      <c r="Z461" s="226" t="e">
        <f aca="false">T461/H461</f>
        <v>#NAME?</v>
      </c>
      <c r="AA461" s="226" t="e">
        <f aca="false">xSPRDOPT($L461,$J461,$I461,$M461,$O461,$N461,$P461,$Q461-$C$3,$R461,3)</f>
        <v>#NAME?</v>
      </c>
      <c r="AB461" s="226" t="e">
        <f aca="false">((xSPRDOPT($L461+AB$5,$J461,$I461,$M461,$O461,$N461,$P461,$Q461-$C$3,$R461,3)*$H461)/10000)/100</f>
        <v>#NAME?</v>
      </c>
      <c r="AC461" s="226" t="e">
        <f aca="false">((xSPRDOPT($L461+$AB$5,$J461,$I461,$M461,$O461,$N461,$P461,$Q461-$C$3,$R461,7)*$H461)/100)</f>
        <v>#NAME?</v>
      </c>
      <c r="AD461" s="226" t="e">
        <f aca="false">(xSPRDOPT($L461+$AB$5,$J461,$I461,$M461,$O461,$N461,$P461,$Q461-$C$3,$R461,9)/365)*$H461</f>
        <v>#NAME?</v>
      </c>
      <c r="AE461" s="0" t="e">
        <f aca="false">CD461</f>
        <v>#NAME?</v>
      </c>
      <c r="AF461" s="226" t="e">
        <f aca="false">((O461/N461)*AH461)+AG461</f>
        <v>#NAME?</v>
      </c>
      <c r="AG461" s="226" t="e">
        <f aca="false">((xSPRDOPT($L461,$J461,$I461,$M461,$O461,$N461,$P461,$Q461-$C$3,$R461,6)*$H461)/100)</f>
        <v>#NAME?</v>
      </c>
      <c r="AH461" s="226" t="e">
        <f aca="false">((xSPRDOPT($L461,$J461,$I461,$M461,$O461,$N461,$P461,$Q461-$C$3,$R461,5)*$H461)/100)</f>
        <v>#NAME?</v>
      </c>
      <c r="AI461" s="226" t="e">
        <f aca="false">(((xSPRDOPT($L461,$J461,$I461,$M461,$O461,$N461,$P461,$Q461-$C$3,$R461,4)*$H461)/10000)/100)-AB461</f>
        <v>#NAME?</v>
      </c>
      <c r="AJ461" s="226"/>
      <c r="AK461" s="226"/>
      <c r="AL461" s="226"/>
      <c r="AM461" s="252"/>
      <c r="CC461" s="182" t="n">
        <f aca="false">G461</f>
        <v>37257</v>
      </c>
      <c r="CD461" s="253" t="e">
        <f aca="false">xSPRDOPT((VLOOKUP(G461,NGPrices,2,FALSE())+HLOOKUP(D461,Prices,VLOOKUP(G461,move_down,2,FALSE()),FALSE())),VLOOKUP(G461,NGPrices,2,FALSE()),I461,VLOOKUP(G461,NGPREVPRICES,4,FALSE()),HLOOKUP(D461,PREVVOLS,VLOOKUP(G461,MOVE_DOWN2,2,FALSE()),FALSE()),VLOOKUP(G461,NGPREVPRICES,3,FALSE()),HLOOKUP(D461,Correllate,VLOOKUP(G461,CorMove,2,FALSE()),FALSE()),Q461-$CD$3,R461,$CD$5)*H461-CJ461</f>
        <v>#NAME?</v>
      </c>
      <c r="CE461" s="253" t="e">
        <f aca="false">xSPRDOPT((VLOOKUP(G461,NGPREVPRICES,2,FALSE())+HLOOKUP(D461,PREVCURVES,VLOOKUP(G461,MOVE_DOWN2,2,FALSE()),FALSE())),VLOOKUP(G461,NGPREVPRICES,2,FALSE()),CK461,VLOOKUP(G461,NGPrices,4,FALSE()),HLOOKUP(D461,PREVVOLS,VLOOKUP(G461,MOVE_DOWN2,2,FALSE()),FALSE()),VLOOKUP(G461,NGPREVPRICES,3,FALSE()),HLOOKUP(D461,Correllate,VLOOKUP(G461,CorMove,2,FALSE()),FALSE()),Q461-$CD$3,R461,$CJ$5)*H461-CJ461</f>
        <v>#NAME?</v>
      </c>
      <c r="CF461" s="132" t="e">
        <f aca="false">(CJ461/VLOOKUP(CC461,discount,3,FALSE()))-(CJ461/VLOOKUP(CC461,discount,2,FALSE()))</f>
        <v>#NAME?</v>
      </c>
      <c r="CG461" s="253" t="e">
        <f aca="false">xSPRDOPT((VLOOKUP(G461,NGPREVPRICES,2,FALSE())+HLOOKUP(D461,PREVCURVES,VLOOKUP(G461,MOVE_DOWN2,2,FALSE()),FALSE())),VLOOKUP(G461,NGPREVPRICES,2,FALSE()),CK461,VLOOKUP(G461,NGPREVPRICES,4,FALSE()),HLOOKUP(D461,VOLS,VLOOKUP(G461,move_down,2,FALSE()),FALSE()),VLOOKUP(G461,NGPrices,3,FALSE()),HLOOKUP(D461,Correllate,VLOOKUP(G461,CorMove,2,FALSE()),FALSE()),Q461-$CD$3,R461,$CJ$5)*H461-CJ461</f>
        <v>#NAME?</v>
      </c>
      <c r="CH461" s="253" t="e">
        <f aca="false">xSPRDOPT((VLOOKUP(G461,NGPREVPRICES,2,FALSE())+HLOOKUP(D461,PREVCURVES,VLOOKUP(G461,MOVE_DOWN2,2,FALSE()),FALSE())),VLOOKUP(G461,NGPREVPRICES,2,FALSE()),CK461,VLOOKUP(G461,NGPREVPRICES,4,FALSE()),HLOOKUP(D461,PREVVOLS,VLOOKUP(G461,MOVE_DOWN2,2,FALSE()),FALSE()),VLOOKUP(G461,NGPREVPRICES,3,FALSE()),HLOOKUP(D461,Correllate,VLOOKUP(G461,CorMove,2,FALSE()),FALSE()),Q461-$C$3,R461,$CJ$5)*H461-CJ461</f>
        <v>#NAME?</v>
      </c>
      <c r="CI461" s="253" t="e">
        <f aca="false">SUM(CD461:CH461)</f>
        <v>#NAME?</v>
      </c>
      <c r="CJ461" s="253" t="e">
        <f aca="false">xSPRDOPT((VLOOKUP(G461,NGPREVPRICES,2,FALSE())+HLOOKUP(D461,PREVCURVES,VLOOKUP(G461,MOVE_DOWN2,2,FALSE()),FALSE())),VLOOKUP(G461,NGPREVPRICES,2,FALSE()),CK461,VLOOKUP(G461,NGPREVPRICES,4,FALSE()),HLOOKUP(D461,PREVVOLS,VLOOKUP(G461,MOVE_DOWN2,2,FALSE()),FALSE()),VLOOKUP(G461,NGPREVPRICES,3,FALSE()),HLOOKUP(D461,Correllate,VLOOKUP(G461,CorMove,2,FALSE()),FALSE()),Q461-$CD$3,R461,$CJ$5)*H461</f>
        <v>#NAME?</v>
      </c>
      <c r="CK461" s="254" t="n">
        <f aca="false">I461</f>
        <v>0.95</v>
      </c>
      <c r="CM461" s="0" t="str">
        <f aca="false">CONCATENATE(CC461,$CD$6)</f>
        <v>37257Curve Shift/Gamma</v>
      </c>
      <c r="CN461" s="0" t="str">
        <f aca="false">CONCATENATE($CC461,$CE$6)</f>
        <v>37257Rho</v>
      </c>
      <c r="CO461" s="0" t="str">
        <f aca="false">CONCATENATE($CC461,$CF$6)</f>
        <v>37257Drift</v>
      </c>
      <c r="CP461" s="0" t="str">
        <f aca="false">CONCATENATE($CC461,$CG$6)</f>
        <v>37257Vega</v>
      </c>
      <c r="CQ461" s="0" t="str">
        <f aca="false">CONCATENATE($CC461,$CH$6)</f>
        <v>37257Theta</v>
      </c>
    </row>
    <row r="462" customFormat="false" ht="12.75" hidden="false" customHeight="false" outlineLevel="0" collapsed="false">
      <c r="A462" s="17" t="s">
        <v>255</v>
      </c>
      <c r="B462" s="0" t="s">
        <v>192</v>
      </c>
      <c r="C462" s="0" t="s">
        <v>358</v>
      </c>
      <c r="D462" s="7" t="s">
        <v>149</v>
      </c>
      <c r="E462" s="0" t="s">
        <v>131</v>
      </c>
      <c r="F462" s="0" t="s">
        <v>132</v>
      </c>
      <c r="G462" s="92" t="n">
        <v>37226</v>
      </c>
      <c r="H462" s="248" t="n">
        <v>-1000000</v>
      </c>
      <c r="I462" s="0" t="n">
        <v>0.95</v>
      </c>
      <c r="J462" s="124" t="n">
        <f aca="false">VLOOKUP(G462,NGPrices,2,FALSE())</f>
        <v>3.968</v>
      </c>
      <c r="K462" s="125" t="n">
        <f aca="false">HLOOKUP(D462,Prices,VLOOKUP(G462,move_down,2,FALSE()),FALSE())+VLOOKUP(G462,CHANGE,HLOOKUP(D462,CHANGE,2,FALSE()),FALSE())</f>
        <v>1.31</v>
      </c>
      <c r="L462" s="124" t="n">
        <f aca="false">K462+J462</f>
        <v>5.278</v>
      </c>
      <c r="M462" s="126" t="n">
        <f aca="false">VLOOKUP(G462,NGPrices,4,FALSE())</f>
        <v>0.069362858204931</v>
      </c>
      <c r="N462" s="7" t="n">
        <f aca="false">VLOOKUP(G462,NGPrices,3,FALSE())</f>
        <v>0.4075</v>
      </c>
      <c r="O462" s="7" t="n">
        <f aca="false">HLOOKUP(D462,VOLS,VLOOKUP(G462,move_down,2,FALSE()),FALSE())</f>
        <v>0.448</v>
      </c>
      <c r="P462" s="249" t="n">
        <f aca="false">HLOOKUP(D462,Correllate,VLOOKUP(G462,CorMove,2,FALSE()),FALSE())</f>
        <v>0.95</v>
      </c>
      <c r="Q462" s="92" t="n">
        <f aca="false">WORKDAY(G462,-2)</f>
        <v>37224</v>
      </c>
      <c r="R462" s="7" t="n">
        <f aca="false">IF(F462="P",0,1)</f>
        <v>0</v>
      </c>
      <c r="S462" s="130" t="e">
        <f aca="false">xSPRDOPT($L462,$J462,$I462,$M462,$O462,$N462,$P462,$Q462-$C$3,$R462,0)</f>
        <v>#NAME?</v>
      </c>
      <c r="T462" s="250" t="e">
        <f aca="false">xSPRDOPT($L462,$J462,$I462,$M462,$O462,$N462,$P462,$Q462-$C$3,$R462,1)*H462</f>
        <v>#NAME?</v>
      </c>
      <c r="U462" s="43" t="e">
        <f aca="false">S462*H462</f>
        <v>#NAME?</v>
      </c>
      <c r="V462" s="250" t="e">
        <f aca="false">xSPRDOPT($L462,$J462,$I462,$M462,$O462,$N462,$P462,$Q462-$C$3,$R462,2)*H462</f>
        <v>#NAME?</v>
      </c>
      <c r="W462" s="250" t="e">
        <f aca="false">+V462+T462</f>
        <v>#NAME?</v>
      </c>
      <c r="X462" s="2" t="str">
        <f aca="false">CONCATENATE(G462,D462)</f>
        <v>37226IF-TRANSCO/Z6</v>
      </c>
      <c r="Y462" s="251" t="n">
        <f aca="false">H462/10000</f>
        <v>-100</v>
      </c>
      <c r="Z462" s="226" t="e">
        <f aca="false">T462/H462</f>
        <v>#NAME?</v>
      </c>
      <c r="AA462" s="226" t="e">
        <f aca="false">xSPRDOPT($L462,$J462,$I462,$M462,$O462,$N462,$P462,$Q462-$C$3,$R462,3)</f>
        <v>#NAME?</v>
      </c>
      <c r="AB462" s="226" t="e">
        <f aca="false">((xSPRDOPT($L462+AB$5,$J462,$I462,$M462,$O462,$N462,$P462,$Q462-$C$3,$R462,3)*$H462)/10000)/100</f>
        <v>#NAME?</v>
      </c>
      <c r="AC462" s="226" t="e">
        <f aca="false">((xSPRDOPT($L462+$AB$5,$J462,$I462,$M462,$O462,$N462,$P462,$Q462-$C$3,$R462,7)*$H462)/100)</f>
        <v>#NAME?</v>
      </c>
      <c r="AD462" s="226" t="e">
        <f aca="false">(xSPRDOPT($L462+$AB$5,$J462,$I462,$M462,$O462,$N462,$P462,$Q462-$C$3,$R462,9)/365)*$H462</f>
        <v>#NAME?</v>
      </c>
      <c r="AE462" s="0" t="e">
        <f aca="false">CD462</f>
        <v>#NAME?</v>
      </c>
      <c r="AF462" s="226" t="e">
        <f aca="false">((O462/N462)*AH462)+AG462</f>
        <v>#NAME?</v>
      </c>
      <c r="AG462" s="226" t="e">
        <f aca="false">((xSPRDOPT($L462,$J462,$I462,$M462,$O462,$N462,$P462,$Q462-$C$3,$R462,6)*$H462)/100)</f>
        <v>#NAME?</v>
      </c>
      <c r="AH462" s="226" t="e">
        <f aca="false">((xSPRDOPT($L462,$J462,$I462,$M462,$O462,$N462,$P462,$Q462-$C$3,$R462,5)*$H462)/100)</f>
        <v>#NAME?</v>
      </c>
      <c r="AI462" s="226" t="e">
        <f aca="false">(((xSPRDOPT($L462,$J462,$I462,$M462,$O462,$N462,$P462,$Q462-$C$3,$R462,4)*$H462)/10000)/100)-AB462</f>
        <v>#NAME?</v>
      </c>
      <c r="AJ462" s="226"/>
      <c r="AK462" s="226"/>
      <c r="AL462" s="226"/>
      <c r="AM462" s="252"/>
      <c r="CC462" s="182" t="n">
        <f aca="false">G462</f>
        <v>37226</v>
      </c>
      <c r="CD462" s="253" t="e">
        <f aca="false">xSPRDOPT((VLOOKUP(G462,NGPrices,2,FALSE())+HLOOKUP(D462,Prices,VLOOKUP(G462,move_down,2,FALSE()),FALSE())),VLOOKUP(G462,NGPrices,2,FALSE()),I462,VLOOKUP(G462,NGPREVPRICES,4,FALSE()),HLOOKUP(D462,PREVVOLS,VLOOKUP(G462,MOVE_DOWN2,2,FALSE()),FALSE()),VLOOKUP(G462,NGPREVPRICES,3,FALSE()),HLOOKUP(D462,Correllate,VLOOKUP(G462,CorMove,2,FALSE()),FALSE()),Q462-$CD$3,R462,$CD$5)*H462-CJ462</f>
        <v>#NAME?</v>
      </c>
      <c r="CE462" s="253" t="e">
        <f aca="false">xSPRDOPT((VLOOKUP(G462,NGPREVPRICES,2,FALSE())+HLOOKUP(D462,PREVCURVES,VLOOKUP(G462,MOVE_DOWN2,2,FALSE()),FALSE())),VLOOKUP(G462,NGPREVPRICES,2,FALSE()),CK462,VLOOKUP(G462,NGPrices,4,FALSE()),HLOOKUP(D462,PREVVOLS,VLOOKUP(G462,MOVE_DOWN2,2,FALSE()),FALSE()),VLOOKUP(G462,NGPREVPRICES,3,FALSE()),HLOOKUP(D462,Correllate,VLOOKUP(G462,CorMove,2,FALSE()),FALSE()),Q462-$CD$3,R462,$CJ$5)*H462-CJ462</f>
        <v>#NAME?</v>
      </c>
      <c r="CF462" s="132" t="e">
        <f aca="false">(CJ462/VLOOKUP(CC462,discount,3,FALSE()))-(CJ462/VLOOKUP(CC462,discount,2,FALSE()))</f>
        <v>#NAME?</v>
      </c>
      <c r="CG462" s="253" t="e">
        <f aca="false">xSPRDOPT((VLOOKUP(G462,NGPREVPRICES,2,FALSE())+HLOOKUP(D462,PREVCURVES,VLOOKUP(G462,MOVE_DOWN2,2,FALSE()),FALSE())),VLOOKUP(G462,NGPREVPRICES,2,FALSE()),CK462,VLOOKUP(G462,NGPREVPRICES,4,FALSE()),HLOOKUP(D462,VOLS,VLOOKUP(G462,move_down,2,FALSE()),FALSE()),VLOOKUP(G462,NGPrices,3,FALSE()),HLOOKUP(D462,Correllate,VLOOKUP(G462,CorMove,2,FALSE()),FALSE()),Q462-$CD$3,R462,$CJ$5)*H462-CJ462</f>
        <v>#NAME?</v>
      </c>
      <c r="CH462" s="253" t="e">
        <f aca="false">xSPRDOPT((VLOOKUP(G462,NGPREVPRICES,2,FALSE())+HLOOKUP(D462,PREVCURVES,VLOOKUP(G462,MOVE_DOWN2,2,FALSE()),FALSE())),VLOOKUP(G462,NGPREVPRICES,2,FALSE()),CK462,VLOOKUP(G462,NGPREVPRICES,4,FALSE()),HLOOKUP(D462,PREVVOLS,VLOOKUP(G462,MOVE_DOWN2,2,FALSE()),FALSE()),VLOOKUP(G462,NGPREVPRICES,3,FALSE()),HLOOKUP(D462,Correllate,VLOOKUP(G462,CorMove,2,FALSE()),FALSE()),Q462-$C$3,R462,$CJ$5)*H462-CJ462</f>
        <v>#NAME?</v>
      </c>
      <c r="CI462" s="253" t="e">
        <f aca="false">SUM(CD462:CH462)</f>
        <v>#NAME?</v>
      </c>
      <c r="CJ462" s="253" t="e">
        <f aca="false">xSPRDOPT((VLOOKUP(G462,NGPREVPRICES,2,FALSE())+HLOOKUP(D462,PREVCURVES,VLOOKUP(G462,MOVE_DOWN2,2,FALSE()),FALSE())),VLOOKUP(G462,NGPREVPRICES,2,FALSE()),CK462,VLOOKUP(G462,NGPREVPRICES,4,FALSE()),HLOOKUP(D462,PREVVOLS,VLOOKUP(G462,MOVE_DOWN2,2,FALSE()),FALSE()),VLOOKUP(G462,NGPREVPRICES,3,FALSE()),HLOOKUP(D462,Correllate,VLOOKUP(G462,CorMove,2,FALSE()),FALSE()),Q462-$CD$3,R462,$CJ$5)*H462</f>
        <v>#NAME?</v>
      </c>
      <c r="CK462" s="254" t="n">
        <f aca="false">I462</f>
        <v>0.95</v>
      </c>
      <c r="CM462" s="0" t="str">
        <f aca="false">CONCATENATE(CC462,$CD$6)</f>
        <v>37226Curve Shift/Gamma</v>
      </c>
      <c r="CN462" s="0" t="str">
        <f aca="false">CONCATENATE($CC462,$CE$6)</f>
        <v>37226Rho</v>
      </c>
      <c r="CO462" s="0" t="str">
        <f aca="false">CONCATENATE($CC462,$CF$6)</f>
        <v>37226Drift</v>
      </c>
      <c r="CP462" s="0" t="str">
        <f aca="false">CONCATENATE($CC462,$CG$6)</f>
        <v>37226Vega</v>
      </c>
      <c r="CQ462" s="0" t="str">
        <f aca="false">CONCATENATE($CC462,$CH$6)</f>
        <v>37226Theta</v>
      </c>
    </row>
    <row r="463" customFormat="false" ht="12.75" hidden="false" customHeight="false" outlineLevel="0" collapsed="false">
      <c r="A463" s="17" t="s">
        <v>255</v>
      </c>
      <c r="B463" s="0" t="s">
        <v>192</v>
      </c>
      <c r="C463" s="0" t="s">
        <v>358</v>
      </c>
      <c r="D463" s="7" t="s">
        <v>149</v>
      </c>
      <c r="E463" s="0" t="s">
        <v>131</v>
      </c>
      <c r="F463" s="0" t="s">
        <v>132</v>
      </c>
      <c r="G463" s="92" t="n">
        <v>37196</v>
      </c>
      <c r="H463" s="248" t="n">
        <v>-1000000</v>
      </c>
      <c r="I463" s="0" t="n">
        <v>0.95</v>
      </c>
      <c r="J463" s="124" t="n">
        <f aca="false">VLOOKUP(G463,NGPrices,2,FALSE())</f>
        <v>3.878</v>
      </c>
      <c r="K463" s="125" t="n">
        <f aca="false">HLOOKUP(D463,Prices,VLOOKUP(G463,move_down,2,FALSE()),FALSE())+VLOOKUP(G463,CHANGE,HLOOKUP(D463,CHANGE,2,FALSE()),FALSE())</f>
        <v>0.89</v>
      </c>
      <c r="L463" s="124" t="n">
        <f aca="false">K463+J463</f>
        <v>4.768</v>
      </c>
      <c r="M463" s="126" t="n">
        <f aca="false">VLOOKUP(G463,NGPrices,4,FALSE())</f>
        <v>0.069332408860559</v>
      </c>
      <c r="N463" s="7" t="n">
        <f aca="false">VLOOKUP(G463,NGPrices,3,FALSE())</f>
        <v>0.4025</v>
      </c>
      <c r="O463" s="7" t="n">
        <f aca="false">HLOOKUP(D463,VOLS,VLOOKUP(G463,move_down,2,FALSE()),FALSE())</f>
        <v>0.443</v>
      </c>
      <c r="P463" s="249" t="n">
        <f aca="false">HLOOKUP(D463,Correllate,VLOOKUP(G463,CorMove,2,FALSE()),FALSE())</f>
        <v>0.95</v>
      </c>
      <c r="Q463" s="92" t="n">
        <f aca="false">WORKDAY(G463,-2)</f>
        <v>37194</v>
      </c>
      <c r="R463" s="7" t="n">
        <f aca="false">IF(F463="P",0,1)</f>
        <v>0</v>
      </c>
      <c r="S463" s="130" t="e">
        <f aca="false">xSPRDOPT($L463,$J463,$I463,$M463,$O463,$N463,$P463,$Q463-$C$3,$R463,0)</f>
        <v>#NAME?</v>
      </c>
      <c r="T463" s="250" t="e">
        <f aca="false">xSPRDOPT($L463,$J463,$I463,$M463,$O463,$N463,$P463,$Q463-$C$3,$R463,1)*H463</f>
        <v>#NAME?</v>
      </c>
      <c r="U463" s="43" t="e">
        <f aca="false">S463*H463</f>
        <v>#NAME?</v>
      </c>
      <c r="V463" s="250" t="e">
        <f aca="false">xSPRDOPT($L463,$J463,$I463,$M463,$O463,$N463,$P463,$Q463-$C$3,$R463,2)*H463</f>
        <v>#NAME?</v>
      </c>
      <c r="W463" s="250" t="e">
        <f aca="false">+V463+T463</f>
        <v>#NAME?</v>
      </c>
      <c r="X463" s="2" t="str">
        <f aca="false">CONCATENATE(G463,D463)</f>
        <v>37196IF-TRANSCO/Z6</v>
      </c>
      <c r="Y463" s="251" t="n">
        <f aca="false">H463/10000</f>
        <v>-100</v>
      </c>
      <c r="Z463" s="226" t="e">
        <f aca="false">T463/H463</f>
        <v>#NAME?</v>
      </c>
      <c r="AA463" s="226" t="e">
        <f aca="false">xSPRDOPT($L463,$J463,$I463,$M463,$O463,$N463,$P463,$Q463-$C$3,$R463,3)</f>
        <v>#NAME?</v>
      </c>
      <c r="AB463" s="226" t="e">
        <f aca="false">((xSPRDOPT($L463+AB$5,$J463,$I463,$M463,$O463,$N463,$P463,$Q463-$C$3,$R463,3)*$H463)/10000)/100</f>
        <v>#NAME?</v>
      </c>
      <c r="AC463" s="226" t="e">
        <f aca="false">((xSPRDOPT($L463+$AB$5,$J463,$I463,$M463,$O463,$N463,$P463,$Q463-$C$3,$R463,7)*$H463)/100)</f>
        <v>#NAME?</v>
      </c>
      <c r="AD463" s="226" t="e">
        <f aca="false">(xSPRDOPT($L463+$AB$5,$J463,$I463,$M463,$O463,$N463,$P463,$Q463-$C$3,$R463,9)/365)*$H463</f>
        <v>#NAME?</v>
      </c>
      <c r="AE463" s="0" t="e">
        <f aca="false">CD463</f>
        <v>#NAME?</v>
      </c>
      <c r="AF463" s="226" t="e">
        <f aca="false">((O463/N463)*AH463)+AG463</f>
        <v>#NAME?</v>
      </c>
      <c r="AG463" s="226" t="e">
        <f aca="false">((xSPRDOPT($L463,$J463,$I463,$M463,$O463,$N463,$P463,$Q463-$C$3,$R463,6)*$H463)/100)</f>
        <v>#NAME?</v>
      </c>
      <c r="AH463" s="226" t="e">
        <f aca="false">((xSPRDOPT($L463,$J463,$I463,$M463,$O463,$N463,$P463,$Q463-$C$3,$R463,5)*$H463)/100)</f>
        <v>#NAME?</v>
      </c>
      <c r="AI463" s="226" t="e">
        <f aca="false">(((xSPRDOPT($L463,$J463,$I463,$M463,$O463,$N463,$P463,$Q463-$C$3,$R463,4)*$H463)/10000)/100)-AB463</f>
        <v>#NAME?</v>
      </c>
      <c r="AJ463" s="226"/>
      <c r="AK463" s="226"/>
      <c r="AL463" s="226"/>
      <c r="AM463" s="252"/>
      <c r="CC463" s="182" t="n">
        <f aca="false">G463</f>
        <v>37196</v>
      </c>
      <c r="CD463" s="253" t="e">
        <f aca="false">xSPRDOPT((VLOOKUP(G463,NGPrices,2,FALSE())+HLOOKUP(D463,Prices,VLOOKUP(G463,move_down,2,FALSE()),FALSE())),VLOOKUP(G463,NGPrices,2,FALSE()),I463,VLOOKUP(G463,NGPREVPRICES,4,FALSE()),HLOOKUP(D463,PREVVOLS,VLOOKUP(G463,MOVE_DOWN2,2,FALSE()),FALSE()),VLOOKUP(G463,NGPREVPRICES,3,FALSE()),HLOOKUP(D463,Correllate,VLOOKUP(G463,CorMove,2,FALSE()),FALSE()),Q463-$CD$3,R463,$CD$5)*H463-CJ463</f>
        <v>#NAME?</v>
      </c>
      <c r="CE463" s="253" t="e">
        <f aca="false">xSPRDOPT((VLOOKUP(G463,NGPREVPRICES,2,FALSE())+HLOOKUP(D463,PREVCURVES,VLOOKUP(G463,MOVE_DOWN2,2,FALSE()),FALSE())),VLOOKUP(G463,NGPREVPRICES,2,FALSE()),CK463,VLOOKUP(G463,NGPrices,4,FALSE()),HLOOKUP(D463,PREVVOLS,VLOOKUP(G463,MOVE_DOWN2,2,FALSE()),FALSE()),VLOOKUP(G463,NGPREVPRICES,3,FALSE()),HLOOKUP(D463,Correllate,VLOOKUP(G463,CorMove,2,FALSE()),FALSE()),Q463-$CD$3,R463,$CJ$5)*H463-CJ463</f>
        <v>#NAME?</v>
      </c>
      <c r="CF463" s="132" t="e">
        <f aca="false">(CJ463/VLOOKUP(CC463,discount,3,FALSE()))-(CJ463/VLOOKUP(CC463,discount,2,FALSE()))</f>
        <v>#NAME?</v>
      </c>
      <c r="CG463" s="253" t="e">
        <f aca="false">xSPRDOPT((VLOOKUP(G463,NGPREVPRICES,2,FALSE())+HLOOKUP(D463,PREVCURVES,VLOOKUP(G463,MOVE_DOWN2,2,FALSE()),FALSE())),VLOOKUP(G463,NGPREVPRICES,2,FALSE()),CK463,VLOOKUP(G463,NGPREVPRICES,4,FALSE()),HLOOKUP(D463,VOLS,VLOOKUP(G463,move_down,2,FALSE()),FALSE()),VLOOKUP(G463,NGPrices,3,FALSE()),HLOOKUP(D463,Correllate,VLOOKUP(G463,CorMove,2,FALSE()),FALSE()),Q463-$CD$3,R463,$CJ$5)*H463-CJ463</f>
        <v>#NAME?</v>
      </c>
      <c r="CH463" s="253" t="e">
        <f aca="false">xSPRDOPT((VLOOKUP(G463,NGPREVPRICES,2,FALSE())+HLOOKUP(D463,PREVCURVES,VLOOKUP(G463,MOVE_DOWN2,2,FALSE()),FALSE())),VLOOKUP(G463,NGPREVPRICES,2,FALSE()),CK463,VLOOKUP(G463,NGPREVPRICES,4,FALSE()),HLOOKUP(D463,PREVVOLS,VLOOKUP(G463,MOVE_DOWN2,2,FALSE()),FALSE()),VLOOKUP(G463,NGPREVPRICES,3,FALSE()),HLOOKUP(D463,Correllate,VLOOKUP(G463,CorMove,2,FALSE()),FALSE()),Q463-$C$3,R463,$CJ$5)*H463-CJ463</f>
        <v>#NAME?</v>
      </c>
      <c r="CI463" s="253" t="e">
        <f aca="false">SUM(CD463:CH463)</f>
        <v>#NAME?</v>
      </c>
      <c r="CJ463" s="253" t="e">
        <f aca="false">xSPRDOPT((VLOOKUP(G463,NGPREVPRICES,2,FALSE())+HLOOKUP(D463,PREVCURVES,VLOOKUP(G463,MOVE_DOWN2,2,FALSE()),FALSE())),VLOOKUP(G463,NGPREVPRICES,2,FALSE()),CK463,VLOOKUP(G463,NGPREVPRICES,4,FALSE()),HLOOKUP(D463,PREVVOLS,VLOOKUP(G463,MOVE_DOWN2,2,FALSE()),FALSE()),VLOOKUP(G463,NGPREVPRICES,3,FALSE()),HLOOKUP(D463,Correllate,VLOOKUP(G463,CorMove,2,FALSE()),FALSE()),Q463-$CD$3,R463,$CJ$5)*H463</f>
        <v>#NAME?</v>
      </c>
      <c r="CK463" s="254" t="n">
        <f aca="false">I463</f>
        <v>0.95</v>
      </c>
      <c r="CM463" s="0" t="str">
        <f aca="false">CONCATENATE(CC463,$CD$6)</f>
        <v>37196Curve Shift/Gamma</v>
      </c>
      <c r="CN463" s="0" t="str">
        <f aca="false">CONCATENATE($CC463,$CE$6)</f>
        <v>37196Rho</v>
      </c>
      <c r="CO463" s="0" t="str">
        <f aca="false">CONCATENATE($CC463,$CF$6)</f>
        <v>37196Drift</v>
      </c>
      <c r="CP463" s="0" t="str">
        <f aca="false">CONCATENATE($CC463,$CG$6)</f>
        <v>37196Vega</v>
      </c>
      <c r="CQ463" s="0" t="str">
        <f aca="false">CONCATENATE($CC463,$CH$6)</f>
        <v>37196Theta</v>
      </c>
    </row>
    <row r="464" customFormat="false" ht="12.75" hidden="false" customHeight="false" outlineLevel="0" collapsed="false">
      <c r="A464" s="17" t="s">
        <v>198</v>
      </c>
      <c r="B464" s="0" t="s">
        <v>192</v>
      </c>
      <c r="C464" s="0" t="s">
        <v>359</v>
      </c>
      <c r="D464" s="7" t="s">
        <v>149</v>
      </c>
      <c r="E464" s="0" t="s">
        <v>131</v>
      </c>
      <c r="F464" s="0" t="s">
        <v>136</v>
      </c>
      <c r="G464" s="92" t="n">
        <v>36951</v>
      </c>
      <c r="H464" s="248" t="n">
        <v>-1000000</v>
      </c>
      <c r="I464" s="0" t="n">
        <v>1.7</v>
      </c>
      <c r="J464" s="124" t="n">
        <f aca="false">VLOOKUP(G464,NGPrices,2,FALSE())</f>
        <v>4.213</v>
      </c>
      <c r="K464" s="125" t="n">
        <f aca="false">HLOOKUP(D464,Prices,VLOOKUP(G464,move_down,2,FALSE()),FALSE())+VLOOKUP(G464,CHANGE,HLOOKUP(D464,CHANGE,2,FALSE()),FALSE())</f>
        <v>1.075</v>
      </c>
      <c r="L464" s="124" t="n">
        <f aca="false">K464+J464</f>
        <v>5.288</v>
      </c>
      <c r="M464" s="126" t="n">
        <f aca="false">VLOOKUP(G464,NGPrices,4,FALSE())</f>
        <v>0.068879814952707</v>
      </c>
      <c r="N464" s="7" t="n">
        <f aca="false">VLOOKUP(G464,NGPrices,3,FALSE())</f>
        <v>0.5325</v>
      </c>
      <c r="O464" s="7" t="n">
        <f aca="false">HLOOKUP(D464,VOLS,VLOOKUP(G464,move_down,2,FALSE()),FALSE())</f>
        <v>0.612</v>
      </c>
      <c r="P464" s="249" t="n">
        <f aca="false">HLOOKUP(D464,Correllate,VLOOKUP(G464,CorMove,2,FALSE()),FALSE())</f>
        <v>0.83</v>
      </c>
      <c r="Q464" s="92" t="n">
        <f aca="false">WORKDAY(G464,-2)</f>
        <v>36949</v>
      </c>
      <c r="R464" s="7" t="n">
        <f aca="false">IF(F464="P",0,1)</f>
        <v>1</v>
      </c>
      <c r="S464" s="130" t="e">
        <f aca="false">xSPRDOPT($L464,$J464,$I464,$M464,$O464,$N464,$P464,$Q464-$C$3,$R464,0)</f>
        <v>#NAME?</v>
      </c>
      <c r="T464" s="250" t="e">
        <f aca="false">xSPRDOPT($L464,$J464,$I464,$M464,$O464,$N464,$P464,$Q464-$C$3,$R464,1)*H464</f>
        <v>#NAME?</v>
      </c>
      <c r="U464" s="43" t="e">
        <f aca="false">S464*H464</f>
        <v>#NAME?</v>
      </c>
      <c r="V464" s="250" t="e">
        <f aca="false">xSPRDOPT($L464,$J464,$I464,$M464,$O464,$N464,$P464,$Q464-$C$3,$R464,2)*H464</f>
        <v>#NAME?</v>
      </c>
      <c r="W464" s="250" t="e">
        <f aca="false">+V464+T464</f>
        <v>#NAME?</v>
      </c>
      <c r="X464" s="2" t="str">
        <f aca="false">CONCATENATE(G464,D464)</f>
        <v>36951IF-TRANSCO/Z6</v>
      </c>
      <c r="Y464" s="251" t="n">
        <f aca="false">H464/10000</f>
        <v>-100</v>
      </c>
      <c r="Z464" s="226" t="e">
        <f aca="false">T464/H464</f>
        <v>#NAME?</v>
      </c>
      <c r="AA464" s="226" t="e">
        <f aca="false">xSPRDOPT($L464,$J464,$I464,$M464,$O464,$N464,$P464,$Q464-$C$3,$R464,3)</f>
        <v>#NAME?</v>
      </c>
      <c r="AB464" s="226" t="e">
        <f aca="false">((xSPRDOPT($L464+AB$5,$J464,$I464,$M464,$O464,$N464,$P464,$Q464-$C$3,$R464,3)*$H464)/10000)/100</f>
        <v>#NAME?</v>
      </c>
      <c r="AC464" s="226" t="e">
        <f aca="false">((xSPRDOPT($L464+$AB$5,$J464,$I464,$M464,$O464,$N464,$P464,$Q464-$C$3,$R464,7)*$H464)/100)</f>
        <v>#NAME?</v>
      </c>
      <c r="AD464" s="226" t="e">
        <f aca="false">(xSPRDOPT($L464+$AB$5,$J464,$I464,$M464,$O464,$N464,$P464,$Q464-$C$3,$R464,9)/365)*$H464</f>
        <v>#NAME?</v>
      </c>
      <c r="AE464" s="0" t="e">
        <f aca="false">CD464</f>
        <v>#NAME?</v>
      </c>
      <c r="AF464" s="226" t="e">
        <f aca="false">((O464/N464)*AH464)+AG464</f>
        <v>#NAME?</v>
      </c>
      <c r="AG464" s="226" t="e">
        <f aca="false">((xSPRDOPT($L464,$J464,$I464,$M464,$O464,$N464,$P464,$Q464-$C$3,$R464,6)*$H464)/100)</f>
        <v>#NAME?</v>
      </c>
      <c r="AH464" s="226" t="e">
        <f aca="false">((xSPRDOPT($L464,$J464,$I464,$M464,$O464,$N464,$P464,$Q464-$C$3,$R464,5)*$H464)/100)</f>
        <v>#NAME?</v>
      </c>
      <c r="AI464" s="226" t="e">
        <f aca="false">(((xSPRDOPT($L464,$J464,$I464,$M464,$O464,$N464,$P464,$Q464-$C$3,$R464,4)*$H464)/10000)/100)-AB464</f>
        <v>#NAME?</v>
      </c>
      <c r="AJ464" s="226"/>
      <c r="AK464" s="226"/>
      <c r="AL464" s="226"/>
      <c r="AM464" s="252"/>
      <c r="CC464" s="182" t="n">
        <f aca="false">G464</f>
        <v>36951</v>
      </c>
      <c r="CD464" s="253" t="e">
        <f aca="false">xSPRDOPT((VLOOKUP(G464,NGPrices,2,FALSE())+HLOOKUP(D464,Prices,VLOOKUP(G464,move_down,2,FALSE()),FALSE())),VLOOKUP(G464,NGPrices,2,FALSE()),I464,VLOOKUP(G464,NGPREVPRICES,4,FALSE()),HLOOKUP(D464,PREVVOLS,VLOOKUP(G464,MOVE_DOWN2,2,FALSE()),FALSE()),VLOOKUP(G464,NGPREVPRICES,3,FALSE()),HLOOKUP(D464,Correllate,VLOOKUP(G464,CorMove,2,FALSE()),FALSE()),Q464-$CD$3,R464,$CD$5)*H464-CJ464</f>
        <v>#NAME?</v>
      </c>
      <c r="CE464" s="253" t="e">
        <f aca="false">xSPRDOPT((VLOOKUP(G464,NGPREVPRICES,2,FALSE())+HLOOKUP(D464,PREVCURVES,VLOOKUP(G464,MOVE_DOWN2,2,FALSE()),FALSE())),VLOOKUP(G464,NGPREVPRICES,2,FALSE()),CK464,VLOOKUP(G464,NGPrices,4,FALSE()),HLOOKUP(D464,PREVVOLS,VLOOKUP(G464,MOVE_DOWN2,2,FALSE()),FALSE()),VLOOKUP(G464,NGPREVPRICES,3,FALSE()),HLOOKUP(D464,Correllate,VLOOKUP(G464,CorMove,2,FALSE()),FALSE()),Q464-$CD$3,R464,$CJ$5)*H464-CJ464</f>
        <v>#NAME?</v>
      </c>
      <c r="CF464" s="132" t="e">
        <f aca="false">(CJ464/VLOOKUP(CC464,discount,3,FALSE()))-(CJ464/VLOOKUP(CC464,discount,2,FALSE()))</f>
        <v>#NAME?</v>
      </c>
      <c r="CG464" s="253" t="e">
        <f aca="false">xSPRDOPT((VLOOKUP(G464,NGPREVPRICES,2,FALSE())+HLOOKUP(D464,PREVCURVES,VLOOKUP(G464,MOVE_DOWN2,2,FALSE()),FALSE())),VLOOKUP(G464,NGPREVPRICES,2,FALSE()),CK464,VLOOKUP(G464,NGPREVPRICES,4,FALSE()),HLOOKUP(D464,VOLS,VLOOKUP(G464,move_down,2,FALSE()),FALSE()),VLOOKUP(G464,NGPrices,3,FALSE()),HLOOKUP(D464,Correllate,VLOOKUP(G464,CorMove,2,FALSE()),FALSE()),Q464-$CD$3,R464,$CJ$5)*H464-CJ464</f>
        <v>#NAME?</v>
      </c>
      <c r="CH464" s="253" t="e">
        <f aca="false">xSPRDOPT((VLOOKUP(G464,NGPREVPRICES,2,FALSE())+HLOOKUP(D464,PREVCURVES,VLOOKUP(G464,MOVE_DOWN2,2,FALSE()),FALSE())),VLOOKUP(G464,NGPREVPRICES,2,FALSE()),CK464,VLOOKUP(G464,NGPREVPRICES,4,FALSE()),HLOOKUP(D464,PREVVOLS,VLOOKUP(G464,MOVE_DOWN2,2,FALSE()),FALSE()),VLOOKUP(G464,NGPREVPRICES,3,FALSE()),HLOOKUP(D464,Correllate,VLOOKUP(G464,CorMove,2,FALSE()),FALSE()),Q464-$C$3,R464,$CJ$5)*H464-CJ464</f>
        <v>#NAME?</v>
      </c>
      <c r="CI464" s="253" t="e">
        <f aca="false">SUM(CD464:CH464)</f>
        <v>#NAME?</v>
      </c>
      <c r="CJ464" s="253" t="e">
        <f aca="false">xSPRDOPT((VLOOKUP(G464,NGPREVPRICES,2,FALSE())+HLOOKUP(D464,PREVCURVES,VLOOKUP(G464,MOVE_DOWN2,2,FALSE()),FALSE())),VLOOKUP(G464,NGPREVPRICES,2,FALSE()),CK464,VLOOKUP(G464,NGPREVPRICES,4,FALSE()),HLOOKUP(D464,PREVVOLS,VLOOKUP(G464,MOVE_DOWN2,2,FALSE()),FALSE()),VLOOKUP(G464,NGPREVPRICES,3,FALSE()),HLOOKUP(D464,Correllate,VLOOKUP(G464,CorMove,2,FALSE()),FALSE()),Q464-$CD$3,R464,$CJ$5)*H464</f>
        <v>#NAME?</v>
      </c>
      <c r="CK464" s="254" t="n">
        <f aca="false">I464</f>
        <v>1.7</v>
      </c>
      <c r="CM464" s="0" t="str">
        <f aca="false">CONCATENATE(CC464,$CD$6)</f>
        <v>36951Curve Shift/Gamma</v>
      </c>
      <c r="CN464" s="0" t="str">
        <f aca="false">CONCATENATE($CC464,$CE$6)</f>
        <v>36951Rho</v>
      </c>
      <c r="CO464" s="0" t="str">
        <f aca="false">CONCATENATE($CC464,$CF$6)</f>
        <v>36951Drift</v>
      </c>
      <c r="CP464" s="0" t="str">
        <f aca="false">CONCATENATE($CC464,$CG$6)</f>
        <v>36951Vega</v>
      </c>
      <c r="CQ464" s="0" t="str">
        <f aca="false">CONCATENATE($CC464,$CH$6)</f>
        <v>36951Theta</v>
      </c>
    </row>
    <row r="465" customFormat="false" ht="12.75" hidden="false" customHeight="false" outlineLevel="0" collapsed="false">
      <c r="A465" s="17" t="s">
        <v>198</v>
      </c>
      <c r="B465" s="0" t="s">
        <v>192</v>
      </c>
      <c r="C465" s="0" t="s">
        <v>359</v>
      </c>
      <c r="D465" s="7" t="s">
        <v>149</v>
      </c>
      <c r="E465" s="0" t="s">
        <v>131</v>
      </c>
      <c r="F465" s="0" t="s">
        <v>136</v>
      </c>
      <c r="G465" s="92" t="n">
        <v>36923</v>
      </c>
      <c r="H465" s="248" t="n">
        <v>-1000000</v>
      </c>
      <c r="I465" s="0" t="n">
        <v>1.7</v>
      </c>
      <c r="J465" s="124" t="n">
        <f aca="false">VLOOKUP(G465,NGPrices,2,FALSE())</f>
        <v>4.48</v>
      </c>
      <c r="K465" s="125" t="n">
        <f aca="false">HLOOKUP(D465,Prices,VLOOKUP(G465,move_down,2,FALSE()),FALSE())+VLOOKUP(G465,CHANGE,HLOOKUP(D465,CHANGE,2,FALSE()),FALSE())</f>
        <v>2.09</v>
      </c>
      <c r="L465" s="124" t="n">
        <f aca="false">K465+J465</f>
        <v>6.57</v>
      </c>
      <c r="M465" s="126" t="n">
        <f aca="false">VLOOKUP(G465,NGPrices,4,FALSE())</f>
        <v>0.068640161611372</v>
      </c>
      <c r="N465" s="7" t="n">
        <f aca="false">VLOOKUP(G465,NGPrices,3,FALSE())</f>
        <v>0.5925</v>
      </c>
      <c r="O465" s="7" t="n">
        <f aca="false">HLOOKUP(D465,VOLS,VLOOKUP(G465,move_down,2,FALSE()),FALSE())</f>
        <v>0.681</v>
      </c>
      <c r="P465" s="249" t="n">
        <f aca="false">HLOOKUP(D465,Correllate,VLOOKUP(G465,CorMove,2,FALSE()),FALSE())</f>
        <v>0.83</v>
      </c>
      <c r="Q465" s="92" t="n">
        <f aca="false">WORKDAY(G465,-2)</f>
        <v>36921</v>
      </c>
      <c r="R465" s="7" t="n">
        <f aca="false">IF(F465="P",0,1)</f>
        <v>1</v>
      </c>
      <c r="S465" s="130" t="e">
        <f aca="false">xSPRDOPT($L465,$J465,$I465,$M465,$O465,$N465,$P465,$Q465-$C$3,$R465,0)</f>
        <v>#NAME?</v>
      </c>
      <c r="T465" s="250" t="e">
        <f aca="false">xSPRDOPT($L465,$J465,$I465,$M465,$O465,$N465,$P465,$Q465-$C$3,$R465,1)*H465</f>
        <v>#NAME?</v>
      </c>
      <c r="U465" s="43" t="e">
        <f aca="false">S465*H465</f>
        <v>#NAME?</v>
      </c>
      <c r="V465" s="250" t="e">
        <f aca="false">xSPRDOPT($L465,$J465,$I465,$M465,$O465,$N465,$P465,$Q465-$C$3,$R465,2)*H465</f>
        <v>#NAME?</v>
      </c>
      <c r="W465" s="250" t="e">
        <f aca="false">+V465+T465</f>
        <v>#NAME?</v>
      </c>
      <c r="X465" s="2" t="str">
        <f aca="false">CONCATENATE(G465,D465)</f>
        <v>36923IF-TRANSCO/Z6</v>
      </c>
      <c r="Y465" s="251" t="n">
        <f aca="false">H465/10000</f>
        <v>-100</v>
      </c>
      <c r="Z465" s="226" t="e">
        <f aca="false">T465/H465</f>
        <v>#NAME?</v>
      </c>
      <c r="AA465" s="226" t="e">
        <f aca="false">xSPRDOPT($L465,$J465,$I465,$M465,$O465,$N465,$P465,$Q465-$C$3,$R465,3)</f>
        <v>#NAME?</v>
      </c>
      <c r="AB465" s="226" t="e">
        <f aca="false">((xSPRDOPT($L465+AB$5,$J465,$I465,$M465,$O465,$N465,$P465,$Q465-$C$3,$R465,3)*$H465)/10000)/100</f>
        <v>#NAME?</v>
      </c>
      <c r="AC465" s="226" t="e">
        <f aca="false">((xSPRDOPT($L465+$AB$5,$J465,$I465,$M465,$O465,$N465,$P465,$Q465-$C$3,$R465,7)*$H465)/100)</f>
        <v>#NAME?</v>
      </c>
      <c r="AD465" s="226" t="e">
        <f aca="false">(xSPRDOPT($L465+$AB$5,$J465,$I465,$M465,$O465,$N465,$P465,$Q465-$C$3,$R465,9)/365)*$H465</f>
        <v>#NAME?</v>
      </c>
      <c r="AE465" s="0" t="e">
        <f aca="false">CD465</f>
        <v>#NAME?</v>
      </c>
      <c r="AF465" s="226" t="e">
        <f aca="false">((O465/N465)*AH465)+AG465</f>
        <v>#NAME?</v>
      </c>
      <c r="AG465" s="226" t="e">
        <f aca="false">((xSPRDOPT($L465,$J465,$I465,$M465,$O465,$N465,$P465,$Q465-$C$3,$R465,6)*$H465)/100)</f>
        <v>#NAME?</v>
      </c>
      <c r="AH465" s="226" t="e">
        <f aca="false">((xSPRDOPT($L465,$J465,$I465,$M465,$O465,$N465,$P465,$Q465-$C$3,$R465,5)*$H465)/100)</f>
        <v>#NAME?</v>
      </c>
      <c r="AI465" s="226" t="e">
        <f aca="false">(((xSPRDOPT($L465,$J465,$I465,$M465,$O465,$N465,$P465,$Q465-$C$3,$R465,4)*$H465)/10000)/100)-AB465</f>
        <v>#NAME?</v>
      </c>
      <c r="AJ465" s="226"/>
      <c r="AK465" s="226"/>
      <c r="AL465" s="226"/>
      <c r="AM465" s="252"/>
      <c r="CC465" s="182" t="n">
        <f aca="false">G465</f>
        <v>36923</v>
      </c>
      <c r="CD465" s="253" t="e">
        <f aca="false">xSPRDOPT((VLOOKUP(G465,NGPrices,2,FALSE())+HLOOKUP(D465,Prices,VLOOKUP(G465,move_down,2,FALSE()),FALSE())),VLOOKUP(G465,NGPrices,2,FALSE()),I465,VLOOKUP(G465,NGPREVPRICES,4,FALSE()),HLOOKUP(D465,PREVVOLS,VLOOKUP(G465,MOVE_DOWN2,2,FALSE()),FALSE()),VLOOKUP(G465,NGPREVPRICES,3,FALSE()),HLOOKUP(D465,Correllate,VLOOKUP(G465,CorMove,2,FALSE()),FALSE()),Q465-$CD$3,R465,$CD$5)*H465-CJ465</f>
        <v>#NAME?</v>
      </c>
      <c r="CE465" s="253" t="e">
        <f aca="false">xSPRDOPT((VLOOKUP(G465,NGPREVPRICES,2,FALSE())+HLOOKUP(D465,PREVCURVES,VLOOKUP(G465,MOVE_DOWN2,2,FALSE()),FALSE())),VLOOKUP(G465,NGPREVPRICES,2,FALSE()),CK465,VLOOKUP(G465,NGPrices,4,FALSE()),HLOOKUP(D465,PREVVOLS,VLOOKUP(G465,MOVE_DOWN2,2,FALSE()),FALSE()),VLOOKUP(G465,NGPREVPRICES,3,FALSE()),HLOOKUP(D465,Correllate,VLOOKUP(G465,CorMove,2,FALSE()),FALSE()),Q465-$CD$3,R465,$CJ$5)*H465-CJ465</f>
        <v>#NAME?</v>
      </c>
      <c r="CF465" s="132" t="e">
        <f aca="false">(CJ465/VLOOKUP(CC465,discount,3,FALSE()))-(CJ465/VLOOKUP(CC465,discount,2,FALSE()))</f>
        <v>#NAME?</v>
      </c>
      <c r="CG465" s="253" t="e">
        <f aca="false">xSPRDOPT((VLOOKUP(G465,NGPREVPRICES,2,FALSE())+HLOOKUP(D465,PREVCURVES,VLOOKUP(G465,MOVE_DOWN2,2,FALSE()),FALSE())),VLOOKUP(G465,NGPREVPRICES,2,FALSE()),CK465,VLOOKUP(G465,NGPREVPRICES,4,FALSE()),HLOOKUP(D465,VOLS,VLOOKUP(G465,move_down,2,FALSE()),FALSE()),VLOOKUP(G465,NGPrices,3,FALSE()),HLOOKUP(D465,Correllate,VLOOKUP(G465,CorMove,2,FALSE()),FALSE()),Q465-$CD$3,R465,$CJ$5)*H465-CJ465</f>
        <v>#NAME?</v>
      </c>
      <c r="CH465" s="253" t="e">
        <f aca="false">xSPRDOPT((VLOOKUP(G465,NGPREVPRICES,2,FALSE())+HLOOKUP(D465,PREVCURVES,VLOOKUP(G465,MOVE_DOWN2,2,FALSE()),FALSE())),VLOOKUP(G465,NGPREVPRICES,2,FALSE()),CK465,VLOOKUP(G465,NGPREVPRICES,4,FALSE()),HLOOKUP(D465,PREVVOLS,VLOOKUP(G465,MOVE_DOWN2,2,FALSE()),FALSE()),VLOOKUP(G465,NGPREVPRICES,3,FALSE()),HLOOKUP(D465,Correllate,VLOOKUP(G465,CorMove,2,FALSE()),FALSE()),Q465-$C$3,R465,$CJ$5)*H465-CJ465</f>
        <v>#NAME?</v>
      </c>
      <c r="CI465" s="253" t="e">
        <f aca="false">SUM(CD465:CH465)</f>
        <v>#NAME?</v>
      </c>
      <c r="CJ465" s="253" t="e">
        <f aca="false">xSPRDOPT((VLOOKUP(G465,NGPREVPRICES,2,FALSE())+HLOOKUP(D465,PREVCURVES,VLOOKUP(G465,MOVE_DOWN2,2,FALSE()),FALSE())),VLOOKUP(G465,NGPREVPRICES,2,FALSE()),CK465,VLOOKUP(G465,NGPREVPRICES,4,FALSE()),HLOOKUP(D465,PREVVOLS,VLOOKUP(G465,MOVE_DOWN2,2,FALSE()),FALSE()),VLOOKUP(G465,NGPREVPRICES,3,FALSE()),HLOOKUP(D465,Correllate,VLOOKUP(G465,CorMove,2,FALSE()),FALSE()),Q465-$CD$3,R465,$CJ$5)*H465</f>
        <v>#NAME?</v>
      </c>
      <c r="CK465" s="254" t="n">
        <f aca="false">I465</f>
        <v>1.7</v>
      </c>
      <c r="CM465" s="0" t="str">
        <f aca="false">CONCATENATE(CC465,$CD$6)</f>
        <v>36923Curve Shift/Gamma</v>
      </c>
      <c r="CN465" s="0" t="str">
        <f aca="false">CONCATENATE($CC465,$CE$6)</f>
        <v>36923Rho</v>
      </c>
      <c r="CO465" s="0" t="str">
        <f aca="false">CONCATENATE($CC465,$CF$6)</f>
        <v>36923Drift</v>
      </c>
      <c r="CP465" s="0" t="str">
        <f aca="false">CONCATENATE($CC465,$CG$6)</f>
        <v>36923Vega</v>
      </c>
      <c r="CQ465" s="0" t="str">
        <f aca="false">CONCATENATE($CC465,$CH$6)</f>
        <v>36923Theta</v>
      </c>
    </row>
    <row r="466" customFormat="false" ht="12.75" hidden="false" customHeight="false" outlineLevel="0" collapsed="false">
      <c r="A466" s="17" t="s">
        <v>198</v>
      </c>
      <c r="B466" s="0" t="s">
        <v>192</v>
      </c>
      <c r="C466" s="0" t="s">
        <v>359</v>
      </c>
      <c r="D466" s="7" t="s">
        <v>149</v>
      </c>
      <c r="E466" s="0" t="s">
        <v>131</v>
      </c>
      <c r="F466" s="0" t="s">
        <v>136</v>
      </c>
      <c r="G466" s="92" t="n">
        <v>36892</v>
      </c>
      <c r="H466" s="248" t="n">
        <v>-1000000</v>
      </c>
      <c r="I466" s="0" t="n">
        <v>1.7</v>
      </c>
      <c r="J466" s="124" t="n">
        <f aca="false">VLOOKUP(G466,NGPrices,2,FALSE())</f>
        <v>4.744</v>
      </c>
      <c r="K466" s="125" t="n">
        <f aca="false">HLOOKUP(D466,Prices,VLOOKUP(G466,move_down,2,FALSE()),FALSE())+VLOOKUP(G466,CHANGE,HLOOKUP(D466,CHANGE,2,FALSE()),FALSE())</f>
        <v>2.17</v>
      </c>
      <c r="L466" s="124" t="n">
        <f aca="false">K466+J466</f>
        <v>6.914</v>
      </c>
      <c r="M466" s="126" t="n">
        <f aca="false">VLOOKUP(G466,NGPrices,4,FALSE())</f>
        <v>0.068374831148491</v>
      </c>
      <c r="N466" s="7" t="n">
        <f aca="false">VLOOKUP(G466,NGPrices,3,FALSE())</f>
        <v>0.605</v>
      </c>
      <c r="O466" s="7" t="n">
        <f aca="false">HLOOKUP(D466,VOLS,VLOOKUP(G466,move_down,2,FALSE()),FALSE())</f>
        <v>0.696</v>
      </c>
      <c r="P466" s="249" t="n">
        <f aca="false">HLOOKUP(D466,Correllate,VLOOKUP(G466,CorMove,2,FALSE()),FALSE())</f>
        <v>0.83</v>
      </c>
      <c r="Q466" s="92" t="n">
        <f aca="false">WORKDAY(G466,-2)</f>
        <v>36888</v>
      </c>
      <c r="R466" s="7" t="n">
        <f aca="false">IF(F466="P",0,1)</f>
        <v>1</v>
      </c>
      <c r="S466" s="130" t="e">
        <f aca="false">xSPRDOPT($L466,$J466,$I466,$M466,$O466,$N466,$P466,$Q466-$C$3,$R466,0)</f>
        <v>#NAME?</v>
      </c>
      <c r="T466" s="250" t="e">
        <f aca="false">xSPRDOPT($L466,$J466,$I466,$M466,$O466,$N466,$P466,$Q466-$C$3,$R466,1)*H466</f>
        <v>#NAME?</v>
      </c>
      <c r="U466" s="43" t="e">
        <f aca="false">S466*H466</f>
        <v>#NAME?</v>
      </c>
      <c r="V466" s="250" t="e">
        <f aca="false">xSPRDOPT($L466,$J466,$I466,$M466,$O466,$N466,$P466,$Q466-$C$3,$R466,2)*H466</f>
        <v>#NAME?</v>
      </c>
      <c r="W466" s="250" t="e">
        <f aca="false">+V466+T466</f>
        <v>#NAME?</v>
      </c>
      <c r="X466" s="2" t="str">
        <f aca="false">CONCATENATE(G466,D466)</f>
        <v>36892IF-TRANSCO/Z6</v>
      </c>
      <c r="Y466" s="251" t="n">
        <f aca="false">H466/10000</f>
        <v>-100</v>
      </c>
      <c r="Z466" s="226" t="e">
        <f aca="false">T466/H466</f>
        <v>#NAME?</v>
      </c>
      <c r="AA466" s="226" t="e">
        <f aca="false">xSPRDOPT($L466,$J466,$I466,$M466,$O466,$N466,$P466,$Q466-$C$3,$R466,3)</f>
        <v>#NAME?</v>
      </c>
      <c r="AB466" s="226" t="e">
        <f aca="false">((xSPRDOPT($L466+AB$5,$J466,$I466,$M466,$O466,$N466,$P466,$Q466-$C$3,$R466,3)*$H466)/10000)/100</f>
        <v>#NAME?</v>
      </c>
      <c r="AC466" s="226" t="e">
        <f aca="false">((xSPRDOPT($L466+$AB$5,$J466,$I466,$M466,$O466,$N466,$P466,$Q466-$C$3,$R466,7)*$H466)/100)</f>
        <v>#NAME?</v>
      </c>
      <c r="AD466" s="226" t="e">
        <f aca="false">(xSPRDOPT($L466+$AB$5,$J466,$I466,$M466,$O466,$N466,$P466,$Q466-$C$3,$R466,9)/365)*$H466</f>
        <v>#NAME?</v>
      </c>
      <c r="AE466" s="0" t="e">
        <f aca="false">CD466</f>
        <v>#NAME?</v>
      </c>
      <c r="AF466" s="226" t="e">
        <f aca="false">((O466/N466)*AH466)+AG466</f>
        <v>#NAME?</v>
      </c>
      <c r="AG466" s="226" t="e">
        <f aca="false">((xSPRDOPT($L466,$J466,$I466,$M466,$O466,$N466,$P466,$Q466-$C$3,$R466,6)*$H466)/100)</f>
        <v>#NAME?</v>
      </c>
      <c r="AH466" s="226" t="e">
        <f aca="false">((xSPRDOPT($L466,$J466,$I466,$M466,$O466,$N466,$P466,$Q466-$C$3,$R466,5)*$H466)/100)</f>
        <v>#NAME?</v>
      </c>
      <c r="AI466" s="226" t="e">
        <f aca="false">(((xSPRDOPT($L466,$J466,$I466,$M466,$O466,$N466,$P466,$Q466-$C$3,$R466,4)*$H466)/10000)/100)-AB466</f>
        <v>#NAME?</v>
      </c>
      <c r="AJ466" s="226"/>
      <c r="AK466" s="226"/>
      <c r="AL466" s="226"/>
      <c r="AM466" s="252"/>
      <c r="CC466" s="182" t="n">
        <f aca="false">G466</f>
        <v>36892</v>
      </c>
      <c r="CD466" s="253" t="e">
        <f aca="false">xSPRDOPT((VLOOKUP(G466,NGPrices,2,FALSE())+HLOOKUP(D466,Prices,VLOOKUP(G466,move_down,2,FALSE()),FALSE())),VLOOKUP(G466,NGPrices,2,FALSE()),I466,VLOOKUP(G466,NGPREVPRICES,4,FALSE()),HLOOKUP(D466,PREVVOLS,VLOOKUP(G466,MOVE_DOWN2,2,FALSE()),FALSE()),VLOOKUP(G466,NGPREVPRICES,3,FALSE()),HLOOKUP(D466,Correllate,VLOOKUP(G466,CorMove,2,FALSE()),FALSE()),Q466-$CD$3,R466,$CD$5)*H466-CJ466</f>
        <v>#NAME?</v>
      </c>
      <c r="CE466" s="253" t="e">
        <f aca="false">xSPRDOPT((VLOOKUP(G466,NGPREVPRICES,2,FALSE())+HLOOKUP(D466,PREVCURVES,VLOOKUP(G466,MOVE_DOWN2,2,FALSE()),FALSE())),VLOOKUP(G466,NGPREVPRICES,2,FALSE()),CK466,VLOOKUP(G466,NGPrices,4,FALSE()),HLOOKUP(D466,PREVVOLS,VLOOKUP(G466,MOVE_DOWN2,2,FALSE()),FALSE()),VLOOKUP(G466,NGPREVPRICES,3,FALSE()),HLOOKUP(D466,Correllate,VLOOKUP(G466,CorMove,2,FALSE()),FALSE()),Q466-$CD$3,R466,$CJ$5)*H466-CJ466</f>
        <v>#NAME?</v>
      </c>
      <c r="CF466" s="132" t="e">
        <f aca="false">(CJ466/VLOOKUP(CC466,discount,3,FALSE()))-(CJ466/VLOOKUP(CC466,discount,2,FALSE()))</f>
        <v>#NAME?</v>
      </c>
      <c r="CG466" s="253" t="e">
        <f aca="false">xSPRDOPT((VLOOKUP(G466,NGPREVPRICES,2,FALSE())+HLOOKUP(D466,PREVCURVES,VLOOKUP(G466,MOVE_DOWN2,2,FALSE()),FALSE())),VLOOKUP(G466,NGPREVPRICES,2,FALSE()),CK466,VLOOKUP(G466,NGPREVPRICES,4,FALSE()),HLOOKUP(D466,VOLS,VLOOKUP(G466,move_down,2,FALSE()),FALSE()),VLOOKUP(G466,NGPrices,3,FALSE()),HLOOKUP(D466,Correllate,VLOOKUP(G466,CorMove,2,FALSE()),FALSE()),Q466-$CD$3,R466,$CJ$5)*H466-CJ466</f>
        <v>#NAME?</v>
      </c>
      <c r="CH466" s="253" t="e">
        <f aca="false">xSPRDOPT((VLOOKUP(G466,NGPREVPRICES,2,FALSE())+HLOOKUP(D466,PREVCURVES,VLOOKUP(G466,MOVE_DOWN2,2,FALSE()),FALSE())),VLOOKUP(G466,NGPREVPRICES,2,FALSE()),CK466,VLOOKUP(G466,NGPREVPRICES,4,FALSE()),HLOOKUP(D466,PREVVOLS,VLOOKUP(G466,MOVE_DOWN2,2,FALSE()),FALSE()),VLOOKUP(G466,NGPREVPRICES,3,FALSE()),HLOOKUP(D466,Correllate,VLOOKUP(G466,CorMove,2,FALSE()),FALSE()),Q466-$C$3,R466,$CJ$5)*H466-CJ466</f>
        <v>#NAME?</v>
      </c>
      <c r="CI466" s="253" t="e">
        <f aca="false">SUM(CD466:CH466)</f>
        <v>#NAME?</v>
      </c>
      <c r="CJ466" s="253" t="e">
        <f aca="false">xSPRDOPT((VLOOKUP(G466,NGPREVPRICES,2,FALSE())+HLOOKUP(D466,PREVCURVES,VLOOKUP(G466,MOVE_DOWN2,2,FALSE()),FALSE())),VLOOKUP(G466,NGPREVPRICES,2,FALSE()),CK466,VLOOKUP(G466,NGPREVPRICES,4,FALSE()),HLOOKUP(D466,PREVVOLS,VLOOKUP(G466,MOVE_DOWN2,2,FALSE()),FALSE()),VLOOKUP(G466,NGPREVPRICES,3,FALSE()),HLOOKUP(D466,Correllate,VLOOKUP(G466,CorMove,2,FALSE()),FALSE()),Q466-$CD$3,R466,$CJ$5)*H466</f>
        <v>#NAME?</v>
      </c>
      <c r="CK466" s="254" t="n">
        <f aca="false">I466</f>
        <v>1.7</v>
      </c>
      <c r="CM466" s="0" t="str">
        <f aca="false">CONCATENATE(CC466,$CD$6)</f>
        <v>36892Curve Shift/Gamma</v>
      </c>
      <c r="CN466" s="0" t="str">
        <f aca="false">CONCATENATE($CC466,$CE$6)</f>
        <v>36892Rho</v>
      </c>
      <c r="CO466" s="0" t="str">
        <f aca="false">CONCATENATE($CC466,$CF$6)</f>
        <v>36892Drift</v>
      </c>
      <c r="CP466" s="0" t="str">
        <f aca="false">CONCATENATE($CC466,$CG$6)</f>
        <v>36892Vega</v>
      </c>
      <c r="CQ466" s="0" t="str">
        <f aca="false">CONCATENATE($CC466,$CH$6)</f>
        <v>36892Theta</v>
      </c>
    </row>
    <row r="467" customFormat="false" ht="12.75" hidden="false" customHeight="false" outlineLevel="0" collapsed="false">
      <c r="A467" s="17" t="s">
        <v>198</v>
      </c>
      <c r="B467" s="0" t="s">
        <v>192</v>
      </c>
      <c r="C467" s="0" t="s">
        <v>359</v>
      </c>
      <c r="D467" s="7" t="s">
        <v>149</v>
      </c>
      <c r="E467" s="0" t="s">
        <v>131</v>
      </c>
      <c r="F467" s="0" t="s">
        <v>136</v>
      </c>
      <c r="G467" s="92" t="n">
        <v>36861</v>
      </c>
      <c r="H467" s="248" t="n">
        <v>-1000000</v>
      </c>
      <c r="I467" s="0" t="n">
        <v>1.7</v>
      </c>
      <c r="J467" s="124" t="n">
        <f aca="false">VLOOKUP(G467,NGPrices,2,FALSE())</f>
        <v>4.8</v>
      </c>
      <c r="K467" s="125" t="n">
        <f aca="false">HLOOKUP(D467,Prices,VLOOKUP(G467,move_down,2,FALSE()),FALSE())+VLOOKUP(G467,CHANGE,HLOOKUP(D467,CHANGE,2,FALSE()),FALSE())</f>
        <v>1.645</v>
      </c>
      <c r="L467" s="124" t="n">
        <f aca="false">K467+J467</f>
        <v>6.445</v>
      </c>
      <c r="M467" s="126" t="n">
        <f aca="false">VLOOKUP(G467,NGPrices,4,FALSE())</f>
        <v>0.068314027999354</v>
      </c>
      <c r="N467" s="7" t="n">
        <f aca="false">VLOOKUP(G467,NGPrices,3,FALSE())</f>
        <v>0.6</v>
      </c>
      <c r="O467" s="7" t="n">
        <f aca="false">HLOOKUP(D467,VOLS,VLOOKUP(G467,move_down,2,FALSE()),FALSE())</f>
        <v>0.69</v>
      </c>
      <c r="P467" s="249" t="n">
        <f aca="false">HLOOKUP(D467,Correllate,VLOOKUP(G467,CorMove,2,FALSE()),FALSE())</f>
        <v>0.83</v>
      </c>
      <c r="Q467" s="92" t="n">
        <f aca="false">WORKDAY(G467,-2)</f>
        <v>36859</v>
      </c>
      <c r="R467" s="7" t="n">
        <f aca="false">IF(F467="P",0,1)</f>
        <v>1</v>
      </c>
      <c r="S467" s="130" t="e">
        <f aca="false">xSPRDOPT($L467,$J467,$I467,$M467,$O467,$N467,$P467,$Q467-$C$3,$R467,0)</f>
        <v>#NAME?</v>
      </c>
      <c r="T467" s="250" t="e">
        <f aca="false">xSPRDOPT($L467,$J467,$I467,$M467,$O467,$N467,$P467,$Q467-$C$3,$R467,1)*H467</f>
        <v>#NAME?</v>
      </c>
      <c r="U467" s="43" t="e">
        <f aca="false">S467*H467</f>
        <v>#NAME?</v>
      </c>
      <c r="V467" s="250" t="e">
        <f aca="false">xSPRDOPT($L467,$J467,$I467,$M467,$O467,$N467,$P467,$Q467-$C$3,$R467,2)*H467</f>
        <v>#NAME?</v>
      </c>
      <c r="W467" s="250" t="e">
        <f aca="false">+V467+T467</f>
        <v>#NAME?</v>
      </c>
      <c r="X467" s="2" t="str">
        <f aca="false">CONCATENATE(G467,D467)</f>
        <v>36861IF-TRANSCO/Z6</v>
      </c>
      <c r="Y467" s="251" t="n">
        <f aca="false">H467/10000</f>
        <v>-100</v>
      </c>
      <c r="Z467" s="226" t="e">
        <f aca="false">T467/H467</f>
        <v>#NAME?</v>
      </c>
      <c r="AA467" s="226" t="e">
        <f aca="false">xSPRDOPT($L467,$J467,$I467,$M467,$O467,$N467,$P467,$Q467-$C$3,$R467,3)</f>
        <v>#NAME?</v>
      </c>
      <c r="AB467" s="226" t="e">
        <f aca="false">((xSPRDOPT($L467+AB$5,$J467,$I467,$M467,$O467,$N467,$P467,$Q467-$C$3,$R467,3)*$H467)/10000)/100</f>
        <v>#NAME?</v>
      </c>
      <c r="AC467" s="226" t="e">
        <f aca="false">((xSPRDOPT($L467+$AB$5,$J467,$I467,$M467,$O467,$N467,$P467,$Q467-$C$3,$R467,7)*$H467)/100)</f>
        <v>#NAME?</v>
      </c>
      <c r="AD467" s="226" t="e">
        <f aca="false">(xSPRDOPT($L467+$AB$5,$J467,$I467,$M467,$O467,$N467,$P467,$Q467-$C$3,$R467,9)/365)*$H467</f>
        <v>#NAME?</v>
      </c>
      <c r="AE467" s="0" t="e">
        <f aca="false">CD467</f>
        <v>#NAME?</v>
      </c>
      <c r="AF467" s="226" t="e">
        <f aca="false">((O467/N467)*AH467)+AG467</f>
        <v>#NAME?</v>
      </c>
      <c r="AG467" s="226" t="e">
        <f aca="false">((xSPRDOPT($L467,$J467,$I467,$M467,$O467,$N467,$P467,$Q467-$C$3,$R467,6)*$H467)/100)</f>
        <v>#NAME?</v>
      </c>
      <c r="AH467" s="226" t="e">
        <f aca="false">((xSPRDOPT($L467,$J467,$I467,$M467,$O467,$N467,$P467,$Q467-$C$3,$R467,5)*$H467)/100)</f>
        <v>#NAME?</v>
      </c>
      <c r="AI467" s="226" t="e">
        <f aca="false">(((xSPRDOPT($L467,$J467,$I467,$M467,$O467,$N467,$P467,$Q467-$C$3,$R467,4)*$H467)/10000)/100)-AB467</f>
        <v>#NAME?</v>
      </c>
      <c r="AJ467" s="226"/>
      <c r="AK467" s="226"/>
      <c r="AL467" s="226"/>
      <c r="AM467" s="252"/>
      <c r="CC467" s="182" t="n">
        <f aca="false">G467</f>
        <v>36861</v>
      </c>
      <c r="CD467" s="253" t="e">
        <f aca="false">xSPRDOPT((VLOOKUP(G467,NGPrices,2,FALSE())+HLOOKUP(D467,Prices,VLOOKUP(G467,move_down,2,FALSE()),FALSE())),VLOOKUP(G467,NGPrices,2,FALSE()),I467,VLOOKUP(G467,NGPREVPRICES,4,FALSE()),HLOOKUP(D467,PREVVOLS,VLOOKUP(G467,MOVE_DOWN2,2,FALSE()),FALSE()),VLOOKUP(G467,NGPREVPRICES,3,FALSE()),HLOOKUP(D467,Correllate,VLOOKUP(G467,CorMove,2,FALSE()),FALSE()),Q467-$CD$3,R467,$CD$5)*H467-CJ467</f>
        <v>#NAME?</v>
      </c>
      <c r="CE467" s="253" t="e">
        <f aca="false">xSPRDOPT((VLOOKUP(G467,NGPREVPRICES,2,FALSE())+HLOOKUP(D467,PREVCURVES,VLOOKUP(G467,MOVE_DOWN2,2,FALSE()),FALSE())),VLOOKUP(G467,NGPREVPRICES,2,FALSE()),CK467,VLOOKUP(G467,NGPrices,4,FALSE()),HLOOKUP(D467,PREVVOLS,VLOOKUP(G467,MOVE_DOWN2,2,FALSE()),FALSE()),VLOOKUP(G467,NGPREVPRICES,3,FALSE()),HLOOKUP(D467,Correllate,VLOOKUP(G467,CorMove,2,FALSE()),FALSE()),Q467-$CD$3,R467,$CJ$5)*H467-CJ467</f>
        <v>#NAME?</v>
      </c>
      <c r="CF467" s="132" t="e">
        <f aca="false">(CJ467/VLOOKUP(CC467,discount,3,FALSE()))-(CJ467/VLOOKUP(CC467,discount,2,FALSE()))</f>
        <v>#NAME?</v>
      </c>
      <c r="CG467" s="253" t="e">
        <f aca="false">xSPRDOPT((VLOOKUP(G467,NGPREVPRICES,2,FALSE())+HLOOKUP(D467,PREVCURVES,VLOOKUP(G467,MOVE_DOWN2,2,FALSE()),FALSE())),VLOOKUP(G467,NGPREVPRICES,2,FALSE()),CK467,VLOOKUP(G467,NGPREVPRICES,4,FALSE()),HLOOKUP(D467,VOLS,VLOOKUP(G467,move_down,2,FALSE()),FALSE()),VLOOKUP(G467,NGPrices,3,FALSE()),HLOOKUP(D467,Correllate,VLOOKUP(G467,CorMove,2,FALSE()),FALSE()),Q467-$CD$3,R467,$CJ$5)*H467-CJ467</f>
        <v>#NAME?</v>
      </c>
      <c r="CH467" s="253" t="e">
        <f aca="false">xSPRDOPT((VLOOKUP(G467,NGPREVPRICES,2,FALSE())+HLOOKUP(D467,PREVCURVES,VLOOKUP(G467,MOVE_DOWN2,2,FALSE()),FALSE())),VLOOKUP(G467,NGPREVPRICES,2,FALSE()),CK467,VLOOKUP(G467,NGPREVPRICES,4,FALSE()),HLOOKUP(D467,PREVVOLS,VLOOKUP(G467,MOVE_DOWN2,2,FALSE()),FALSE()),VLOOKUP(G467,NGPREVPRICES,3,FALSE()),HLOOKUP(D467,Correllate,VLOOKUP(G467,CorMove,2,FALSE()),FALSE()),Q467-$C$3,R467,$CJ$5)*H467-CJ467</f>
        <v>#NAME?</v>
      </c>
      <c r="CI467" s="253" t="e">
        <f aca="false">SUM(CD467:CH467)</f>
        <v>#NAME?</v>
      </c>
      <c r="CJ467" s="253" t="e">
        <f aca="false">xSPRDOPT((VLOOKUP(G467,NGPREVPRICES,2,FALSE())+HLOOKUP(D467,PREVCURVES,VLOOKUP(G467,MOVE_DOWN2,2,FALSE()),FALSE())),VLOOKUP(G467,NGPREVPRICES,2,FALSE()),CK467,VLOOKUP(G467,NGPREVPRICES,4,FALSE()),HLOOKUP(D467,PREVVOLS,VLOOKUP(G467,MOVE_DOWN2,2,FALSE()),FALSE()),VLOOKUP(G467,NGPREVPRICES,3,FALSE()),HLOOKUP(D467,Correllate,VLOOKUP(G467,CorMove,2,FALSE()),FALSE()),Q467-$CD$3,R467,$CJ$5)*H467</f>
        <v>#NAME?</v>
      </c>
      <c r="CK467" s="254" t="n">
        <f aca="false">I467</f>
        <v>1.7</v>
      </c>
      <c r="CM467" s="0" t="str">
        <f aca="false">CONCATENATE(CC467,$CD$6)</f>
        <v>36861Curve Shift/Gamma</v>
      </c>
      <c r="CN467" s="0" t="str">
        <f aca="false">CONCATENATE($CC467,$CE$6)</f>
        <v>36861Rho</v>
      </c>
      <c r="CO467" s="0" t="str">
        <f aca="false">CONCATENATE($CC467,$CF$6)</f>
        <v>36861Drift</v>
      </c>
      <c r="CP467" s="0" t="str">
        <f aca="false">CONCATENATE($CC467,$CG$6)</f>
        <v>36861Vega</v>
      </c>
      <c r="CQ467" s="0" t="str">
        <f aca="false">CONCATENATE($CC467,$CH$6)</f>
        <v>36861Theta</v>
      </c>
    </row>
    <row r="468" customFormat="false" ht="12.75" hidden="false" customHeight="false" outlineLevel="0" collapsed="false">
      <c r="A468" s="17" t="s">
        <v>198</v>
      </c>
      <c r="B468" s="0" t="s">
        <v>192</v>
      </c>
      <c r="C468" s="0" t="s">
        <v>359</v>
      </c>
      <c r="D468" s="7" t="s">
        <v>149</v>
      </c>
      <c r="E468" s="0" t="s">
        <v>131</v>
      </c>
      <c r="F468" s="0" t="s">
        <v>136</v>
      </c>
      <c r="G468" s="92" t="n">
        <v>36831</v>
      </c>
      <c r="H468" s="248" t="n">
        <v>-1000000</v>
      </c>
      <c r="I468" s="0" t="n">
        <v>1.7</v>
      </c>
      <c r="J468" s="124" t="n">
        <f aca="false">VLOOKUP(G468,NGPrices,2,FALSE())</f>
        <v>4.736</v>
      </c>
      <c r="K468" s="125" t="n">
        <f aca="false">HLOOKUP(D468,Prices,VLOOKUP(G468,move_down,2,FALSE()),FALSE())+VLOOKUP(G468,CHANGE,HLOOKUP(D468,CHANGE,2,FALSE()),FALSE())</f>
        <v>0.77</v>
      </c>
      <c r="L468" s="124" t="n">
        <f aca="false">K468+J468</f>
        <v>5.506</v>
      </c>
      <c r="M468" s="126" t="n">
        <f aca="false">VLOOKUP(G468,NGPrices,4,FALSE())</f>
        <v>0.06810675983792</v>
      </c>
      <c r="N468" s="7" t="n">
        <f aca="false">VLOOKUP(G468,NGPrices,3,FALSE())</f>
        <v>0.595</v>
      </c>
      <c r="O468" s="7" t="n">
        <f aca="false">HLOOKUP(D468,VOLS,VLOOKUP(G468,move_down,2,FALSE()),FALSE())</f>
        <v>0.625</v>
      </c>
      <c r="P468" s="249" t="n">
        <f aca="false">HLOOKUP(D468,Correllate,VLOOKUP(G468,CorMove,2,FALSE()),FALSE())</f>
        <v>0.89</v>
      </c>
      <c r="Q468" s="92" t="n">
        <f aca="false">WORKDAY(G468,-2)</f>
        <v>36829</v>
      </c>
      <c r="R468" s="7" t="n">
        <f aca="false">IF(F468="P",0,1)</f>
        <v>1</v>
      </c>
      <c r="S468" s="130" t="e">
        <f aca="false">xSPRDOPT($L468,$J468,$I468,$M468,$O468,$N468,$P468,$Q468-$C$3,$R468,0)</f>
        <v>#NAME?</v>
      </c>
      <c r="T468" s="250" t="e">
        <f aca="false">xSPRDOPT($L468,$J468,$I468,$M468,$O468,$N468,$P468,$Q468-$C$3,$R468,1)*H468</f>
        <v>#NAME?</v>
      </c>
      <c r="U468" s="43" t="e">
        <f aca="false">S468*H468</f>
        <v>#NAME?</v>
      </c>
      <c r="V468" s="250" t="e">
        <f aca="false">xSPRDOPT($L468,$J468,$I468,$M468,$O468,$N468,$P468,$Q468-$C$3,$R468,2)*H468</f>
        <v>#NAME?</v>
      </c>
      <c r="W468" s="250" t="e">
        <f aca="false">+V468+T468</f>
        <v>#NAME?</v>
      </c>
      <c r="X468" s="2" t="str">
        <f aca="false">CONCATENATE(G468,D468)</f>
        <v>36831IF-TRANSCO/Z6</v>
      </c>
      <c r="Y468" s="251" t="n">
        <f aca="false">H468/10000</f>
        <v>-100</v>
      </c>
      <c r="Z468" s="226" t="e">
        <f aca="false">T468/H468</f>
        <v>#NAME?</v>
      </c>
      <c r="AA468" s="226" t="e">
        <f aca="false">xSPRDOPT($L468,$J468,$I468,$M468,$O468,$N468,$P468,$Q468-$C$3,$R468,3)</f>
        <v>#NAME?</v>
      </c>
      <c r="AB468" s="226" t="e">
        <f aca="false">((xSPRDOPT($L468+AB$5,$J468,$I468,$M468,$O468,$N468,$P468,$Q468-$C$3,$R468,3)*$H468)/10000)/100</f>
        <v>#NAME?</v>
      </c>
      <c r="AC468" s="226" t="e">
        <f aca="false">((xSPRDOPT($L468+$AB$5,$J468,$I468,$M468,$O468,$N468,$P468,$Q468-$C$3,$R468,7)*$H468)/100)</f>
        <v>#NAME?</v>
      </c>
      <c r="AD468" s="226" t="e">
        <f aca="false">(xSPRDOPT($L468+$AB$5,$J468,$I468,$M468,$O468,$N468,$P468,$Q468-$C$3,$R468,9)/365)*$H468</f>
        <v>#NAME?</v>
      </c>
      <c r="AE468" s="0" t="e">
        <f aca="false">CD468</f>
        <v>#NAME?</v>
      </c>
      <c r="AF468" s="226" t="e">
        <f aca="false">((O468/N468)*AH468)+AG468</f>
        <v>#NAME?</v>
      </c>
      <c r="AG468" s="226" t="e">
        <f aca="false">((xSPRDOPT($L468,$J468,$I468,$M468,$O468,$N468,$P468,$Q468-$C$3,$R468,6)*$H468)/100)</f>
        <v>#NAME?</v>
      </c>
      <c r="AH468" s="226" t="e">
        <f aca="false">((xSPRDOPT($L468,$J468,$I468,$M468,$O468,$N468,$P468,$Q468-$C$3,$R468,5)*$H468)/100)</f>
        <v>#NAME?</v>
      </c>
      <c r="AI468" s="226" t="e">
        <f aca="false">(((xSPRDOPT($L468,$J468,$I468,$M468,$O468,$N468,$P468,$Q468-$C$3,$R468,4)*$H468)/10000)/100)-AB468</f>
        <v>#NAME?</v>
      </c>
      <c r="AJ468" s="226"/>
      <c r="AK468" s="226"/>
      <c r="AL468" s="226"/>
      <c r="AM468" s="252"/>
      <c r="CC468" s="182" t="n">
        <f aca="false">G468</f>
        <v>36831</v>
      </c>
      <c r="CD468" s="253" t="e">
        <f aca="false">xSPRDOPT((VLOOKUP(G468,NGPrices,2,FALSE())+HLOOKUP(D468,Prices,VLOOKUP(G468,move_down,2,FALSE()),FALSE())),VLOOKUP(G468,NGPrices,2,FALSE()),I468,VLOOKUP(G468,NGPREVPRICES,4,FALSE()),HLOOKUP(D468,PREVVOLS,VLOOKUP(G468,MOVE_DOWN2,2,FALSE()),FALSE()),VLOOKUP(G468,NGPREVPRICES,3,FALSE()),HLOOKUP(D468,Correllate,VLOOKUP(G468,CorMove,2,FALSE()),FALSE()),Q468-$CD$3,R468,$CD$5)*H468-CJ468</f>
        <v>#NAME?</v>
      </c>
      <c r="CE468" s="253" t="e">
        <f aca="false">xSPRDOPT((VLOOKUP(G468,NGPREVPRICES,2,FALSE())+HLOOKUP(D468,PREVCURVES,VLOOKUP(G468,MOVE_DOWN2,2,FALSE()),FALSE())),VLOOKUP(G468,NGPREVPRICES,2,FALSE()),CK468,VLOOKUP(G468,NGPrices,4,FALSE()),HLOOKUP(D468,PREVVOLS,VLOOKUP(G468,MOVE_DOWN2,2,FALSE()),FALSE()),VLOOKUP(G468,NGPREVPRICES,3,FALSE()),HLOOKUP(D468,Correllate,VLOOKUP(G468,CorMove,2,FALSE()),FALSE()),Q468-$CD$3,R468,$CJ$5)*H468-CJ468</f>
        <v>#NAME?</v>
      </c>
      <c r="CF468" s="132" t="e">
        <f aca="false">(CJ468/VLOOKUP(CC468,discount,3,FALSE()))-(CJ468/VLOOKUP(CC468,discount,2,FALSE()))</f>
        <v>#NAME?</v>
      </c>
      <c r="CG468" s="253" t="e">
        <f aca="false">xSPRDOPT((VLOOKUP(G468,NGPREVPRICES,2,FALSE())+HLOOKUP(D468,PREVCURVES,VLOOKUP(G468,MOVE_DOWN2,2,FALSE()),FALSE())),VLOOKUP(G468,NGPREVPRICES,2,FALSE()),CK468,VLOOKUP(G468,NGPREVPRICES,4,FALSE()),HLOOKUP(D468,VOLS,VLOOKUP(G468,move_down,2,FALSE()),FALSE()),VLOOKUP(G468,NGPrices,3,FALSE()),HLOOKUP(D468,Correllate,VLOOKUP(G468,CorMove,2,FALSE()),FALSE()),Q468-$CD$3,R468,$CJ$5)*H468-CJ468</f>
        <v>#NAME?</v>
      </c>
      <c r="CH468" s="253" t="e">
        <f aca="false">xSPRDOPT((VLOOKUP(G468,NGPREVPRICES,2,FALSE())+HLOOKUP(D468,PREVCURVES,VLOOKUP(G468,MOVE_DOWN2,2,FALSE()),FALSE())),VLOOKUP(G468,NGPREVPRICES,2,FALSE()),CK468,VLOOKUP(G468,NGPREVPRICES,4,FALSE()),HLOOKUP(D468,PREVVOLS,VLOOKUP(G468,MOVE_DOWN2,2,FALSE()),FALSE()),VLOOKUP(G468,NGPREVPRICES,3,FALSE()),HLOOKUP(D468,Correllate,VLOOKUP(G468,CorMove,2,FALSE()),FALSE()),Q468-$C$3,R468,$CJ$5)*H468-CJ468</f>
        <v>#NAME?</v>
      </c>
      <c r="CI468" s="253" t="e">
        <f aca="false">SUM(CD468:CH468)</f>
        <v>#NAME?</v>
      </c>
      <c r="CJ468" s="253" t="e">
        <f aca="false">xSPRDOPT((VLOOKUP(G468,NGPREVPRICES,2,FALSE())+HLOOKUP(D468,PREVCURVES,VLOOKUP(G468,MOVE_DOWN2,2,FALSE()),FALSE())),VLOOKUP(G468,NGPREVPRICES,2,FALSE()),CK468,VLOOKUP(G468,NGPREVPRICES,4,FALSE()),HLOOKUP(D468,PREVVOLS,VLOOKUP(G468,MOVE_DOWN2,2,FALSE()),FALSE()),VLOOKUP(G468,NGPREVPRICES,3,FALSE()),HLOOKUP(D468,Correllate,VLOOKUP(G468,CorMove,2,FALSE()),FALSE()),Q468-$CD$3,R468,$CJ$5)*H468</f>
        <v>#NAME?</v>
      </c>
      <c r="CK468" s="254" t="n">
        <f aca="false">I468</f>
        <v>1.7</v>
      </c>
      <c r="CM468" s="0" t="str">
        <f aca="false">CONCATENATE(CC468,$CD$6)</f>
        <v>36831Curve Shift/Gamma</v>
      </c>
      <c r="CN468" s="0" t="str">
        <f aca="false">CONCATENATE($CC468,$CE$6)</f>
        <v>36831Rho</v>
      </c>
      <c r="CO468" s="0" t="str">
        <f aca="false">CONCATENATE($CC468,$CF$6)</f>
        <v>36831Drift</v>
      </c>
      <c r="CP468" s="0" t="str">
        <f aca="false">CONCATENATE($CC468,$CG$6)</f>
        <v>36831Vega</v>
      </c>
      <c r="CQ468" s="0" t="str">
        <f aca="false">CONCATENATE($CC468,$CH$6)</f>
        <v>36831Theta</v>
      </c>
    </row>
    <row r="469" customFormat="false" ht="12.75" hidden="false" customHeight="false" outlineLevel="0" collapsed="false">
      <c r="A469" s="17" t="s">
        <v>198</v>
      </c>
      <c r="B469" s="0" t="s">
        <v>192</v>
      </c>
      <c r="C469" s="0" t="s">
        <v>360</v>
      </c>
      <c r="D469" s="7" t="s">
        <v>149</v>
      </c>
      <c r="E469" s="0" t="s">
        <v>131</v>
      </c>
      <c r="F469" s="0" t="s">
        <v>132</v>
      </c>
      <c r="G469" s="92" t="n">
        <v>36951</v>
      </c>
      <c r="H469" s="248" t="n">
        <v>-1000000</v>
      </c>
      <c r="I469" s="0" t="n">
        <v>1.7</v>
      </c>
      <c r="J469" s="124" t="n">
        <f aca="false">VLOOKUP(G469,NGPrices,2,FALSE())</f>
        <v>4.213</v>
      </c>
      <c r="K469" s="125" t="n">
        <f aca="false">HLOOKUP(D469,Prices,VLOOKUP(G469,move_down,2,FALSE()),FALSE())+VLOOKUP(G469,CHANGE,HLOOKUP(D469,CHANGE,2,FALSE()),FALSE())</f>
        <v>1.075</v>
      </c>
      <c r="L469" s="124" t="n">
        <f aca="false">K469+J469</f>
        <v>5.288</v>
      </c>
      <c r="M469" s="126" t="n">
        <f aca="false">VLOOKUP(G469,NGPrices,4,FALSE())</f>
        <v>0.068879814952707</v>
      </c>
      <c r="N469" s="7" t="n">
        <f aca="false">VLOOKUP(G469,NGPrices,3,FALSE())</f>
        <v>0.5325</v>
      </c>
      <c r="O469" s="7" t="n">
        <f aca="false">HLOOKUP(D469,VOLS,VLOOKUP(G469,move_down,2,FALSE()),FALSE())</f>
        <v>0.612</v>
      </c>
      <c r="P469" s="249" t="n">
        <f aca="false">HLOOKUP(D469,Correllate,VLOOKUP(G469,CorMove,2,FALSE()),FALSE())</f>
        <v>0.83</v>
      </c>
      <c r="Q469" s="92" t="n">
        <f aca="false">WORKDAY(G469,-2)</f>
        <v>36949</v>
      </c>
      <c r="R469" s="7" t="n">
        <f aca="false">IF(F469="P",0,1)</f>
        <v>0</v>
      </c>
      <c r="S469" s="130" t="e">
        <f aca="false">xSPRDOPT($L469,$J469,$I469,$M469,$O469,$N469,$P469,$Q469-$C$3,$R469,0)</f>
        <v>#NAME?</v>
      </c>
      <c r="T469" s="250" t="e">
        <f aca="false">xSPRDOPT($L469,$J469,$I469,$M469,$O469,$N469,$P469,$Q469-$C$3,$R469,1)*H469</f>
        <v>#NAME?</v>
      </c>
      <c r="U469" s="43" t="e">
        <f aca="false">S469*H469</f>
        <v>#NAME?</v>
      </c>
      <c r="V469" s="250" t="e">
        <f aca="false">xSPRDOPT($L469,$J469,$I469,$M469,$O469,$N469,$P469,$Q469-$C$3,$R469,2)*H469</f>
        <v>#NAME?</v>
      </c>
      <c r="W469" s="250" t="e">
        <f aca="false">+V469+T469</f>
        <v>#NAME?</v>
      </c>
      <c r="X469" s="2" t="str">
        <f aca="false">CONCATENATE(G469,D469)</f>
        <v>36951IF-TRANSCO/Z6</v>
      </c>
      <c r="Y469" s="251" t="n">
        <f aca="false">H469/10000</f>
        <v>-100</v>
      </c>
      <c r="Z469" s="226" t="e">
        <f aca="false">T469/H469</f>
        <v>#NAME?</v>
      </c>
      <c r="AA469" s="226" t="e">
        <f aca="false">xSPRDOPT($L469,$J469,$I469,$M469,$O469,$N469,$P469,$Q469-$C$3,$R469,3)</f>
        <v>#NAME?</v>
      </c>
      <c r="AB469" s="226" t="e">
        <f aca="false">((xSPRDOPT($L469+AB$5,$J469,$I469,$M469,$O469,$N469,$P469,$Q469-$C$3,$R469,3)*$H469)/10000)/100</f>
        <v>#NAME?</v>
      </c>
      <c r="AC469" s="226" t="e">
        <f aca="false">((xSPRDOPT($L469+$AB$5,$J469,$I469,$M469,$O469,$N469,$P469,$Q469-$C$3,$R469,7)*$H469)/100)</f>
        <v>#NAME?</v>
      </c>
      <c r="AD469" s="226" t="e">
        <f aca="false">(xSPRDOPT($L469+$AB$5,$J469,$I469,$M469,$O469,$N469,$P469,$Q469-$C$3,$R469,9)/365)*$H469</f>
        <v>#NAME?</v>
      </c>
      <c r="AE469" s="0" t="e">
        <f aca="false">CD469</f>
        <v>#NAME?</v>
      </c>
      <c r="AF469" s="226" t="e">
        <f aca="false">((O469/N469)*AH469)+AG469</f>
        <v>#NAME?</v>
      </c>
      <c r="AG469" s="226" t="e">
        <f aca="false">((xSPRDOPT($L469,$J469,$I469,$M469,$O469,$N469,$P469,$Q469-$C$3,$R469,6)*$H469)/100)</f>
        <v>#NAME?</v>
      </c>
      <c r="AH469" s="226" t="e">
        <f aca="false">((xSPRDOPT($L469,$J469,$I469,$M469,$O469,$N469,$P469,$Q469-$C$3,$R469,5)*$H469)/100)</f>
        <v>#NAME?</v>
      </c>
      <c r="AI469" s="226" t="e">
        <f aca="false">(((xSPRDOPT($L469,$J469,$I469,$M469,$O469,$N469,$P469,$Q469-$C$3,$R469,4)*$H469)/10000)/100)-AB469</f>
        <v>#NAME?</v>
      </c>
      <c r="AJ469" s="226"/>
      <c r="AK469" s="226"/>
      <c r="AL469" s="226"/>
      <c r="AM469" s="252"/>
      <c r="CC469" s="182" t="n">
        <f aca="false">G469</f>
        <v>36951</v>
      </c>
      <c r="CD469" s="253" t="e">
        <f aca="false">xSPRDOPT((VLOOKUP(G469,NGPrices,2,FALSE())+HLOOKUP(D469,Prices,VLOOKUP(G469,move_down,2,FALSE()),FALSE())),VLOOKUP(G469,NGPrices,2,FALSE()),I469,VLOOKUP(G469,NGPREVPRICES,4,FALSE()),HLOOKUP(D469,PREVVOLS,VLOOKUP(G469,MOVE_DOWN2,2,FALSE()),FALSE()),VLOOKUP(G469,NGPREVPRICES,3,FALSE()),HLOOKUP(D469,Correllate,VLOOKUP(G469,CorMove,2,FALSE()),FALSE()),Q469-$CD$3,R469,$CD$5)*H469-CJ469</f>
        <v>#NAME?</v>
      </c>
      <c r="CE469" s="253" t="e">
        <f aca="false">xSPRDOPT((VLOOKUP(G469,NGPREVPRICES,2,FALSE())+HLOOKUP(D469,PREVCURVES,VLOOKUP(G469,MOVE_DOWN2,2,FALSE()),FALSE())),VLOOKUP(G469,NGPREVPRICES,2,FALSE()),CK469,VLOOKUP(G469,NGPrices,4,FALSE()),HLOOKUP(D469,PREVVOLS,VLOOKUP(G469,MOVE_DOWN2,2,FALSE()),FALSE()),VLOOKUP(G469,NGPREVPRICES,3,FALSE()),HLOOKUP(D469,Correllate,VLOOKUP(G469,CorMove,2,FALSE()),FALSE()),Q469-$CD$3,R469,$CJ$5)*H469-CJ469</f>
        <v>#NAME?</v>
      </c>
      <c r="CF469" s="132" t="e">
        <f aca="false">(CJ469/VLOOKUP(CC469,discount,3,FALSE()))-(CJ469/VLOOKUP(CC469,discount,2,FALSE()))</f>
        <v>#NAME?</v>
      </c>
      <c r="CG469" s="253" t="e">
        <f aca="false">xSPRDOPT((VLOOKUP(G469,NGPREVPRICES,2,FALSE())+HLOOKUP(D469,PREVCURVES,VLOOKUP(G469,MOVE_DOWN2,2,FALSE()),FALSE())),VLOOKUP(G469,NGPREVPRICES,2,FALSE()),CK469,VLOOKUP(G469,NGPREVPRICES,4,FALSE()),HLOOKUP(D469,VOLS,VLOOKUP(G469,move_down,2,FALSE()),FALSE()),VLOOKUP(G469,NGPrices,3,FALSE()),HLOOKUP(D469,Correllate,VLOOKUP(G469,CorMove,2,FALSE()),FALSE()),Q469-$CD$3,R469,$CJ$5)*H469-CJ469</f>
        <v>#NAME?</v>
      </c>
      <c r="CH469" s="253" t="e">
        <f aca="false">xSPRDOPT((VLOOKUP(G469,NGPREVPRICES,2,FALSE())+HLOOKUP(D469,PREVCURVES,VLOOKUP(G469,MOVE_DOWN2,2,FALSE()),FALSE())),VLOOKUP(G469,NGPREVPRICES,2,FALSE()),CK469,VLOOKUP(G469,NGPREVPRICES,4,FALSE()),HLOOKUP(D469,PREVVOLS,VLOOKUP(G469,MOVE_DOWN2,2,FALSE()),FALSE()),VLOOKUP(G469,NGPREVPRICES,3,FALSE()),HLOOKUP(D469,Correllate,VLOOKUP(G469,CorMove,2,FALSE()),FALSE()),Q469-$C$3,R469,$CJ$5)*H469-CJ469</f>
        <v>#NAME?</v>
      </c>
      <c r="CI469" s="253" t="e">
        <f aca="false">SUM(CD469:CH469)</f>
        <v>#NAME?</v>
      </c>
      <c r="CJ469" s="253" t="e">
        <f aca="false">xSPRDOPT((VLOOKUP(G469,NGPREVPRICES,2,FALSE())+HLOOKUP(D469,PREVCURVES,VLOOKUP(G469,MOVE_DOWN2,2,FALSE()),FALSE())),VLOOKUP(G469,NGPREVPRICES,2,FALSE()),CK469,VLOOKUP(G469,NGPREVPRICES,4,FALSE()),HLOOKUP(D469,PREVVOLS,VLOOKUP(G469,MOVE_DOWN2,2,FALSE()),FALSE()),VLOOKUP(G469,NGPREVPRICES,3,FALSE()),HLOOKUP(D469,Correllate,VLOOKUP(G469,CorMove,2,FALSE()),FALSE()),Q469-$CD$3,R469,$CJ$5)*H469</f>
        <v>#NAME?</v>
      </c>
      <c r="CK469" s="254" t="n">
        <f aca="false">I469</f>
        <v>1.7</v>
      </c>
      <c r="CM469" s="0" t="str">
        <f aca="false">CONCATENATE(CC469,$CD$6)</f>
        <v>36951Curve Shift/Gamma</v>
      </c>
      <c r="CN469" s="0" t="str">
        <f aca="false">CONCATENATE($CC469,$CE$6)</f>
        <v>36951Rho</v>
      </c>
      <c r="CO469" s="0" t="str">
        <f aca="false">CONCATENATE($CC469,$CF$6)</f>
        <v>36951Drift</v>
      </c>
      <c r="CP469" s="0" t="str">
        <f aca="false">CONCATENATE($CC469,$CG$6)</f>
        <v>36951Vega</v>
      </c>
      <c r="CQ469" s="0" t="str">
        <f aca="false">CONCATENATE($CC469,$CH$6)</f>
        <v>36951Theta</v>
      </c>
    </row>
    <row r="470" customFormat="false" ht="12.75" hidden="false" customHeight="false" outlineLevel="0" collapsed="false">
      <c r="A470" s="17" t="s">
        <v>198</v>
      </c>
      <c r="B470" s="0" t="s">
        <v>192</v>
      </c>
      <c r="C470" s="0" t="s">
        <v>360</v>
      </c>
      <c r="D470" s="7" t="s">
        <v>149</v>
      </c>
      <c r="E470" s="0" t="s">
        <v>131</v>
      </c>
      <c r="F470" s="0" t="s">
        <v>132</v>
      </c>
      <c r="G470" s="92" t="n">
        <v>36923</v>
      </c>
      <c r="H470" s="248" t="n">
        <v>-1000000</v>
      </c>
      <c r="I470" s="0" t="n">
        <v>1.7</v>
      </c>
      <c r="J470" s="124" t="n">
        <f aca="false">VLOOKUP(G470,NGPrices,2,FALSE())</f>
        <v>4.48</v>
      </c>
      <c r="K470" s="125" t="n">
        <f aca="false">HLOOKUP(D470,Prices,VLOOKUP(G470,move_down,2,FALSE()),FALSE())+VLOOKUP(G470,CHANGE,HLOOKUP(D470,CHANGE,2,FALSE()),FALSE())</f>
        <v>2.09</v>
      </c>
      <c r="L470" s="124" t="n">
        <f aca="false">K470+J470</f>
        <v>6.57</v>
      </c>
      <c r="M470" s="126" t="n">
        <f aca="false">VLOOKUP(G470,NGPrices,4,FALSE())</f>
        <v>0.068640161611372</v>
      </c>
      <c r="N470" s="7" t="n">
        <f aca="false">VLOOKUP(G470,NGPrices,3,FALSE())</f>
        <v>0.5925</v>
      </c>
      <c r="O470" s="7" t="n">
        <f aca="false">HLOOKUP(D470,VOLS,VLOOKUP(G470,move_down,2,FALSE()),FALSE())</f>
        <v>0.681</v>
      </c>
      <c r="P470" s="249" t="n">
        <f aca="false">HLOOKUP(D470,Correllate,VLOOKUP(G470,CorMove,2,FALSE()),FALSE())</f>
        <v>0.83</v>
      </c>
      <c r="Q470" s="92" t="n">
        <f aca="false">WORKDAY(G470,-2)</f>
        <v>36921</v>
      </c>
      <c r="R470" s="7" t="n">
        <f aca="false">IF(F470="P",0,1)</f>
        <v>0</v>
      </c>
      <c r="S470" s="130" t="e">
        <f aca="false">xSPRDOPT($L470,$J470,$I470,$M470,$O470,$N470,$P470,$Q470-$C$3,$R470,0)</f>
        <v>#NAME?</v>
      </c>
      <c r="T470" s="250" t="e">
        <f aca="false">xSPRDOPT($L470,$J470,$I470,$M470,$O470,$N470,$P470,$Q470-$C$3,$R470,1)*H470</f>
        <v>#NAME?</v>
      </c>
      <c r="U470" s="43" t="e">
        <f aca="false">S470*H470</f>
        <v>#NAME?</v>
      </c>
      <c r="V470" s="250" t="e">
        <f aca="false">xSPRDOPT($L470,$J470,$I470,$M470,$O470,$N470,$P470,$Q470-$C$3,$R470,2)*H470</f>
        <v>#NAME?</v>
      </c>
      <c r="W470" s="250" t="e">
        <f aca="false">+V470+T470</f>
        <v>#NAME?</v>
      </c>
      <c r="X470" s="2" t="str">
        <f aca="false">CONCATENATE(G470,D470)</f>
        <v>36923IF-TRANSCO/Z6</v>
      </c>
      <c r="Y470" s="251" t="n">
        <f aca="false">H470/10000</f>
        <v>-100</v>
      </c>
      <c r="Z470" s="226" t="e">
        <f aca="false">T470/H470</f>
        <v>#NAME?</v>
      </c>
      <c r="AA470" s="226" t="e">
        <f aca="false">xSPRDOPT($L470,$J470,$I470,$M470,$O470,$N470,$P470,$Q470-$C$3,$R470,3)</f>
        <v>#NAME?</v>
      </c>
      <c r="AB470" s="226" t="e">
        <f aca="false">((xSPRDOPT($L470+AB$5,$J470,$I470,$M470,$O470,$N470,$P470,$Q470-$C$3,$R470,3)*$H470)/10000)/100</f>
        <v>#NAME?</v>
      </c>
      <c r="AC470" s="226" t="e">
        <f aca="false">((xSPRDOPT($L470+$AB$5,$J470,$I470,$M470,$O470,$N470,$P470,$Q470-$C$3,$R470,7)*$H470)/100)</f>
        <v>#NAME?</v>
      </c>
      <c r="AD470" s="226" t="e">
        <f aca="false">(xSPRDOPT($L470+$AB$5,$J470,$I470,$M470,$O470,$N470,$P470,$Q470-$C$3,$R470,9)/365)*$H470</f>
        <v>#NAME?</v>
      </c>
      <c r="AE470" s="0" t="e">
        <f aca="false">CD470</f>
        <v>#NAME?</v>
      </c>
      <c r="AF470" s="226" t="e">
        <f aca="false">((O470/N470)*AH470)+AG470</f>
        <v>#NAME?</v>
      </c>
      <c r="AG470" s="226" t="e">
        <f aca="false">((xSPRDOPT($L470,$J470,$I470,$M470,$O470,$N470,$P470,$Q470-$C$3,$R470,6)*$H470)/100)</f>
        <v>#NAME?</v>
      </c>
      <c r="AH470" s="226" t="e">
        <f aca="false">((xSPRDOPT($L470,$J470,$I470,$M470,$O470,$N470,$P470,$Q470-$C$3,$R470,5)*$H470)/100)</f>
        <v>#NAME?</v>
      </c>
      <c r="AI470" s="226" t="e">
        <f aca="false">(((xSPRDOPT($L470,$J470,$I470,$M470,$O470,$N470,$P470,$Q470-$C$3,$R470,4)*$H470)/10000)/100)-AB470</f>
        <v>#NAME?</v>
      </c>
      <c r="AJ470" s="226"/>
      <c r="AK470" s="226"/>
      <c r="AL470" s="226"/>
      <c r="AM470" s="252"/>
      <c r="CC470" s="182" t="n">
        <f aca="false">G470</f>
        <v>36923</v>
      </c>
      <c r="CD470" s="253" t="e">
        <f aca="false">xSPRDOPT((VLOOKUP(G470,NGPrices,2,FALSE())+HLOOKUP(D470,Prices,VLOOKUP(G470,move_down,2,FALSE()),FALSE())),VLOOKUP(G470,NGPrices,2,FALSE()),I470,VLOOKUP(G470,NGPREVPRICES,4,FALSE()),HLOOKUP(D470,PREVVOLS,VLOOKUP(G470,MOVE_DOWN2,2,FALSE()),FALSE()),VLOOKUP(G470,NGPREVPRICES,3,FALSE()),HLOOKUP(D470,Correllate,VLOOKUP(G470,CorMove,2,FALSE()),FALSE()),Q470-$CD$3,R470,$CD$5)*H470-CJ470</f>
        <v>#NAME?</v>
      </c>
      <c r="CE470" s="253" t="e">
        <f aca="false">xSPRDOPT((VLOOKUP(G470,NGPREVPRICES,2,FALSE())+HLOOKUP(D470,PREVCURVES,VLOOKUP(G470,MOVE_DOWN2,2,FALSE()),FALSE())),VLOOKUP(G470,NGPREVPRICES,2,FALSE()),CK470,VLOOKUP(G470,NGPrices,4,FALSE()),HLOOKUP(D470,PREVVOLS,VLOOKUP(G470,MOVE_DOWN2,2,FALSE()),FALSE()),VLOOKUP(G470,NGPREVPRICES,3,FALSE()),HLOOKUP(D470,Correllate,VLOOKUP(G470,CorMove,2,FALSE()),FALSE()),Q470-$CD$3,R470,$CJ$5)*H470-CJ470</f>
        <v>#NAME?</v>
      </c>
      <c r="CF470" s="132" t="e">
        <f aca="false">(CJ470/VLOOKUP(CC470,discount,3,FALSE()))-(CJ470/VLOOKUP(CC470,discount,2,FALSE()))</f>
        <v>#NAME?</v>
      </c>
      <c r="CG470" s="253" t="e">
        <f aca="false">xSPRDOPT((VLOOKUP(G470,NGPREVPRICES,2,FALSE())+HLOOKUP(D470,PREVCURVES,VLOOKUP(G470,MOVE_DOWN2,2,FALSE()),FALSE())),VLOOKUP(G470,NGPREVPRICES,2,FALSE()),CK470,VLOOKUP(G470,NGPREVPRICES,4,FALSE()),HLOOKUP(D470,VOLS,VLOOKUP(G470,move_down,2,FALSE()),FALSE()),VLOOKUP(G470,NGPrices,3,FALSE()),HLOOKUP(D470,Correllate,VLOOKUP(G470,CorMove,2,FALSE()),FALSE()),Q470-$CD$3,R470,$CJ$5)*H470-CJ470</f>
        <v>#NAME?</v>
      </c>
      <c r="CH470" s="253" t="e">
        <f aca="false">xSPRDOPT((VLOOKUP(G470,NGPREVPRICES,2,FALSE())+HLOOKUP(D470,PREVCURVES,VLOOKUP(G470,MOVE_DOWN2,2,FALSE()),FALSE())),VLOOKUP(G470,NGPREVPRICES,2,FALSE()),CK470,VLOOKUP(G470,NGPREVPRICES,4,FALSE()),HLOOKUP(D470,PREVVOLS,VLOOKUP(G470,MOVE_DOWN2,2,FALSE()),FALSE()),VLOOKUP(G470,NGPREVPRICES,3,FALSE()),HLOOKUP(D470,Correllate,VLOOKUP(G470,CorMove,2,FALSE()),FALSE()),Q470-$C$3,R470,$CJ$5)*H470-CJ470</f>
        <v>#NAME?</v>
      </c>
      <c r="CI470" s="253" t="e">
        <f aca="false">SUM(CD470:CH470)</f>
        <v>#NAME?</v>
      </c>
      <c r="CJ470" s="253" t="e">
        <f aca="false">xSPRDOPT((VLOOKUP(G470,NGPREVPRICES,2,FALSE())+HLOOKUP(D470,PREVCURVES,VLOOKUP(G470,MOVE_DOWN2,2,FALSE()),FALSE())),VLOOKUP(G470,NGPREVPRICES,2,FALSE()),CK470,VLOOKUP(G470,NGPREVPRICES,4,FALSE()),HLOOKUP(D470,PREVVOLS,VLOOKUP(G470,MOVE_DOWN2,2,FALSE()),FALSE()),VLOOKUP(G470,NGPREVPRICES,3,FALSE()),HLOOKUP(D470,Correllate,VLOOKUP(G470,CorMove,2,FALSE()),FALSE()),Q470-$CD$3,R470,$CJ$5)*H470</f>
        <v>#NAME?</v>
      </c>
      <c r="CK470" s="254" t="n">
        <f aca="false">I470</f>
        <v>1.7</v>
      </c>
      <c r="CM470" s="0" t="str">
        <f aca="false">CONCATENATE(CC470,$CD$6)</f>
        <v>36923Curve Shift/Gamma</v>
      </c>
      <c r="CN470" s="0" t="str">
        <f aca="false">CONCATENATE($CC470,$CE$6)</f>
        <v>36923Rho</v>
      </c>
      <c r="CO470" s="0" t="str">
        <f aca="false">CONCATENATE($CC470,$CF$6)</f>
        <v>36923Drift</v>
      </c>
      <c r="CP470" s="0" t="str">
        <f aca="false">CONCATENATE($CC470,$CG$6)</f>
        <v>36923Vega</v>
      </c>
      <c r="CQ470" s="0" t="str">
        <f aca="false">CONCATENATE($CC470,$CH$6)</f>
        <v>36923Theta</v>
      </c>
    </row>
    <row r="471" customFormat="false" ht="12.75" hidden="false" customHeight="false" outlineLevel="0" collapsed="false">
      <c r="A471" s="17" t="s">
        <v>198</v>
      </c>
      <c r="B471" s="0" t="s">
        <v>192</v>
      </c>
      <c r="C471" s="0" t="s">
        <v>360</v>
      </c>
      <c r="D471" s="7" t="s">
        <v>149</v>
      </c>
      <c r="E471" s="0" t="s">
        <v>131</v>
      </c>
      <c r="F471" s="0" t="s">
        <v>132</v>
      </c>
      <c r="G471" s="92" t="n">
        <v>36892</v>
      </c>
      <c r="H471" s="248" t="n">
        <v>-1000000</v>
      </c>
      <c r="I471" s="0" t="n">
        <v>1.7</v>
      </c>
      <c r="J471" s="124" t="n">
        <f aca="false">VLOOKUP(G471,NGPrices,2,FALSE())</f>
        <v>4.744</v>
      </c>
      <c r="K471" s="125" t="n">
        <f aca="false">HLOOKUP(D471,Prices,VLOOKUP(G471,move_down,2,FALSE()),FALSE())+VLOOKUP(G471,CHANGE,HLOOKUP(D471,CHANGE,2,FALSE()),FALSE())</f>
        <v>2.17</v>
      </c>
      <c r="L471" s="124" t="n">
        <f aca="false">K471+J471</f>
        <v>6.914</v>
      </c>
      <c r="M471" s="126" t="n">
        <f aca="false">VLOOKUP(G471,NGPrices,4,FALSE())</f>
        <v>0.068374831148491</v>
      </c>
      <c r="N471" s="7" t="n">
        <f aca="false">VLOOKUP(G471,NGPrices,3,FALSE())</f>
        <v>0.605</v>
      </c>
      <c r="O471" s="7" t="n">
        <f aca="false">HLOOKUP(D471,VOLS,VLOOKUP(G471,move_down,2,FALSE()),FALSE())</f>
        <v>0.696</v>
      </c>
      <c r="P471" s="249" t="n">
        <f aca="false">HLOOKUP(D471,Correllate,VLOOKUP(G471,CorMove,2,FALSE()),FALSE())</f>
        <v>0.83</v>
      </c>
      <c r="Q471" s="92" t="n">
        <f aca="false">WORKDAY(G471,-2)</f>
        <v>36888</v>
      </c>
      <c r="R471" s="7" t="n">
        <f aca="false">IF(F471="P",0,1)</f>
        <v>0</v>
      </c>
      <c r="S471" s="130" t="e">
        <f aca="false">xSPRDOPT($L471,$J471,$I471,$M471,$O471,$N471,$P471,$Q471-$C$3,$R471,0)</f>
        <v>#NAME?</v>
      </c>
      <c r="T471" s="250" t="e">
        <f aca="false">xSPRDOPT($L471,$J471,$I471,$M471,$O471,$N471,$P471,$Q471-$C$3,$R471,1)*H471</f>
        <v>#NAME?</v>
      </c>
      <c r="U471" s="43" t="e">
        <f aca="false">S471*H471</f>
        <v>#NAME?</v>
      </c>
      <c r="V471" s="250" t="e">
        <f aca="false">xSPRDOPT($L471,$J471,$I471,$M471,$O471,$N471,$P471,$Q471-$C$3,$R471,2)*H471</f>
        <v>#NAME?</v>
      </c>
      <c r="W471" s="250" t="e">
        <f aca="false">+V471+T471</f>
        <v>#NAME?</v>
      </c>
      <c r="X471" s="2" t="str">
        <f aca="false">CONCATENATE(G471,D471)</f>
        <v>36892IF-TRANSCO/Z6</v>
      </c>
      <c r="Y471" s="251" t="n">
        <f aca="false">H471/10000</f>
        <v>-100</v>
      </c>
      <c r="Z471" s="226" t="e">
        <f aca="false">T471/H471</f>
        <v>#NAME?</v>
      </c>
      <c r="AA471" s="226" t="e">
        <f aca="false">xSPRDOPT($L471,$J471,$I471,$M471,$O471,$N471,$P471,$Q471-$C$3,$R471,3)</f>
        <v>#NAME?</v>
      </c>
      <c r="AB471" s="226" t="e">
        <f aca="false">((xSPRDOPT($L471+AB$5,$J471,$I471,$M471,$O471,$N471,$P471,$Q471-$C$3,$R471,3)*$H471)/10000)/100</f>
        <v>#NAME?</v>
      </c>
      <c r="AC471" s="226" t="e">
        <f aca="false">((xSPRDOPT($L471+$AB$5,$J471,$I471,$M471,$O471,$N471,$P471,$Q471-$C$3,$R471,7)*$H471)/100)</f>
        <v>#NAME?</v>
      </c>
      <c r="AD471" s="226" t="e">
        <f aca="false">(xSPRDOPT($L471+$AB$5,$J471,$I471,$M471,$O471,$N471,$P471,$Q471-$C$3,$R471,9)/365)*$H471</f>
        <v>#NAME?</v>
      </c>
      <c r="AE471" s="0" t="e">
        <f aca="false">CD471</f>
        <v>#NAME?</v>
      </c>
      <c r="AF471" s="226" t="e">
        <f aca="false">((O471/N471)*AH471)+AG471</f>
        <v>#NAME?</v>
      </c>
      <c r="AG471" s="226" t="e">
        <f aca="false">((xSPRDOPT($L471,$J471,$I471,$M471,$O471,$N471,$P471,$Q471-$C$3,$R471,6)*$H471)/100)</f>
        <v>#NAME?</v>
      </c>
      <c r="AH471" s="226" t="e">
        <f aca="false">((xSPRDOPT($L471,$J471,$I471,$M471,$O471,$N471,$P471,$Q471-$C$3,$R471,5)*$H471)/100)</f>
        <v>#NAME?</v>
      </c>
      <c r="AI471" s="226" t="e">
        <f aca="false">(((xSPRDOPT($L471,$J471,$I471,$M471,$O471,$N471,$P471,$Q471-$C$3,$R471,4)*$H471)/10000)/100)-AB471</f>
        <v>#NAME?</v>
      </c>
      <c r="AJ471" s="226"/>
      <c r="AK471" s="226"/>
      <c r="AL471" s="226"/>
      <c r="AM471" s="252"/>
      <c r="CC471" s="182" t="n">
        <f aca="false">G471</f>
        <v>36892</v>
      </c>
      <c r="CD471" s="253" t="e">
        <f aca="false">xSPRDOPT((VLOOKUP(G471,NGPrices,2,FALSE())+HLOOKUP(D471,Prices,VLOOKUP(G471,move_down,2,FALSE()),FALSE())),VLOOKUP(G471,NGPrices,2,FALSE()),I471,VLOOKUP(G471,NGPREVPRICES,4,FALSE()),HLOOKUP(D471,PREVVOLS,VLOOKUP(G471,MOVE_DOWN2,2,FALSE()),FALSE()),VLOOKUP(G471,NGPREVPRICES,3,FALSE()),HLOOKUP(D471,Correllate,VLOOKUP(G471,CorMove,2,FALSE()),FALSE()),Q471-$CD$3,R471,$CD$5)*H471-CJ471</f>
        <v>#NAME?</v>
      </c>
      <c r="CE471" s="253" t="e">
        <f aca="false">xSPRDOPT((VLOOKUP(G471,NGPREVPRICES,2,FALSE())+HLOOKUP(D471,PREVCURVES,VLOOKUP(G471,MOVE_DOWN2,2,FALSE()),FALSE())),VLOOKUP(G471,NGPREVPRICES,2,FALSE()),CK471,VLOOKUP(G471,NGPrices,4,FALSE()),HLOOKUP(D471,PREVVOLS,VLOOKUP(G471,MOVE_DOWN2,2,FALSE()),FALSE()),VLOOKUP(G471,NGPREVPRICES,3,FALSE()),HLOOKUP(D471,Correllate,VLOOKUP(G471,CorMove,2,FALSE()),FALSE()),Q471-$CD$3,R471,$CJ$5)*H471-CJ471</f>
        <v>#NAME?</v>
      </c>
      <c r="CF471" s="132" t="e">
        <f aca="false">(CJ471/VLOOKUP(CC471,discount,3,FALSE()))-(CJ471/VLOOKUP(CC471,discount,2,FALSE()))</f>
        <v>#NAME?</v>
      </c>
      <c r="CG471" s="253" t="e">
        <f aca="false">xSPRDOPT((VLOOKUP(G471,NGPREVPRICES,2,FALSE())+HLOOKUP(D471,PREVCURVES,VLOOKUP(G471,MOVE_DOWN2,2,FALSE()),FALSE())),VLOOKUP(G471,NGPREVPRICES,2,FALSE()),CK471,VLOOKUP(G471,NGPREVPRICES,4,FALSE()),HLOOKUP(D471,VOLS,VLOOKUP(G471,move_down,2,FALSE()),FALSE()),VLOOKUP(G471,NGPrices,3,FALSE()),HLOOKUP(D471,Correllate,VLOOKUP(G471,CorMove,2,FALSE()),FALSE()),Q471-$CD$3,R471,$CJ$5)*H471-CJ471</f>
        <v>#NAME?</v>
      </c>
      <c r="CH471" s="253" t="e">
        <f aca="false">xSPRDOPT((VLOOKUP(G471,NGPREVPRICES,2,FALSE())+HLOOKUP(D471,PREVCURVES,VLOOKUP(G471,MOVE_DOWN2,2,FALSE()),FALSE())),VLOOKUP(G471,NGPREVPRICES,2,FALSE()),CK471,VLOOKUP(G471,NGPREVPRICES,4,FALSE()),HLOOKUP(D471,PREVVOLS,VLOOKUP(G471,MOVE_DOWN2,2,FALSE()),FALSE()),VLOOKUP(G471,NGPREVPRICES,3,FALSE()),HLOOKUP(D471,Correllate,VLOOKUP(G471,CorMove,2,FALSE()),FALSE()),Q471-$C$3,R471,$CJ$5)*H471-CJ471</f>
        <v>#NAME?</v>
      </c>
      <c r="CI471" s="253" t="e">
        <f aca="false">SUM(CD471:CH471)</f>
        <v>#NAME?</v>
      </c>
      <c r="CJ471" s="253" t="e">
        <f aca="false">xSPRDOPT((VLOOKUP(G471,NGPREVPRICES,2,FALSE())+HLOOKUP(D471,PREVCURVES,VLOOKUP(G471,MOVE_DOWN2,2,FALSE()),FALSE())),VLOOKUP(G471,NGPREVPRICES,2,FALSE()),CK471,VLOOKUP(G471,NGPREVPRICES,4,FALSE()),HLOOKUP(D471,PREVVOLS,VLOOKUP(G471,MOVE_DOWN2,2,FALSE()),FALSE()),VLOOKUP(G471,NGPREVPRICES,3,FALSE()),HLOOKUP(D471,Correllate,VLOOKUP(G471,CorMove,2,FALSE()),FALSE()),Q471-$CD$3,R471,$CJ$5)*H471</f>
        <v>#NAME?</v>
      </c>
      <c r="CK471" s="254" t="n">
        <f aca="false">I471</f>
        <v>1.7</v>
      </c>
      <c r="CM471" s="0" t="str">
        <f aca="false">CONCATENATE(CC471,$CD$6)</f>
        <v>36892Curve Shift/Gamma</v>
      </c>
      <c r="CN471" s="0" t="str">
        <f aca="false">CONCATENATE($CC471,$CE$6)</f>
        <v>36892Rho</v>
      </c>
      <c r="CO471" s="0" t="str">
        <f aca="false">CONCATENATE($CC471,$CF$6)</f>
        <v>36892Drift</v>
      </c>
      <c r="CP471" s="0" t="str">
        <f aca="false">CONCATENATE($CC471,$CG$6)</f>
        <v>36892Vega</v>
      </c>
      <c r="CQ471" s="0" t="str">
        <f aca="false">CONCATENATE($CC471,$CH$6)</f>
        <v>36892Theta</v>
      </c>
    </row>
    <row r="472" customFormat="false" ht="12.75" hidden="false" customHeight="false" outlineLevel="0" collapsed="false">
      <c r="A472" s="17" t="s">
        <v>198</v>
      </c>
      <c r="B472" s="0" t="s">
        <v>192</v>
      </c>
      <c r="C472" s="0" t="s">
        <v>360</v>
      </c>
      <c r="D472" s="7" t="s">
        <v>149</v>
      </c>
      <c r="E472" s="0" t="s">
        <v>131</v>
      </c>
      <c r="F472" s="0" t="s">
        <v>132</v>
      </c>
      <c r="G472" s="92" t="n">
        <v>36861</v>
      </c>
      <c r="H472" s="248" t="n">
        <v>-1000000</v>
      </c>
      <c r="I472" s="0" t="n">
        <v>1.7</v>
      </c>
      <c r="J472" s="124" t="n">
        <f aca="false">VLOOKUP(G472,NGPrices,2,FALSE())</f>
        <v>4.8</v>
      </c>
      <c r="K472" s="125" t="n">
        <f aca="false">HLOOKUP(D472,Prices,VLOOKUP(G472,move_down,2,FALSE()),FALSE())+VLOOKUP(G472,CHANGE,HLOOKUP(D472,CHANGE,2,FALSE()),FALSE())</f>
        <v>1.645</v>
      </c>
      <c r="L472" s="124" t="n">
        <f aca="false">K472+J472</f>
        <v>6.445</v>
      </c>
      <c r="M472" s="126" t="n">
        <f aca="false">VLOOKUP(G472,NGPrices,4,FALSE())</f>
        <v>0.068314027999354</v>
      </c>
      <c r="N472" s="7" t="n">
        <f aca="false">VLOOKUP(G472,NGPrices,3,FALSE())</f>
        <v>0.6</v>
      </c>
      <c r="O472" s="7" t="n">
        <f aca="false">HLOOKUP(D472,VOLS,VLOOKUP(G472,move_down,2,FALSE()),FALSE())</f>
        <v>0.69</v>
      </c>
      <c r="P472" s="249" t="n">
        <f aca="false">HLOOKUP(D472,Correllate,VLOOKUP(G472,CorMove,2,FALSE()),FALSE())</f>
        <v>0.83</v>
      </c>
      <c r="Q472" s="92" t="n">
        <f aca="false">WORKDAY(G472,-2)</f>
        <v>36859</v>
      </c>
      <c r="R472" s="7" t="n">
        <f aca="false">IF(F472="P",0,1)</f>
        <v>0</v>
      </c>
      <c r="S472" s="130" t="e">
        <f aca="false">xSPRDOPT($L472,$J472,$I472,$M472,$O472,$N472,$P472,$Q472-$C$3,$R472,0)</f>
        <v>#NAME?</v>
      </c>
      <c r="T472" s="250" t="e">
        <f aca="false">xSPRDOPT($L472,$J472,$I472,$M472,$O472,$N472,$P472,$Q472-$C$3,$R472,1)*H472</f>
        <v>#NAME?</v>
      </c>
      <c r="U472" s="43" t="e">
        <f aca="false">S472*H472</f>
        <v>#NAME?</v>
      </c>
      <c r="V472" s="250" t="e">
        <f aca="false">xSPRDOPT($L472,$J472,$I472,$M472,$O472,$N472,$P472,$Q472-$C$3,$R472,2)*H472</f>
        <v>#NAME?</v>
      </c>
      <c r="W472" s="250" t="e">
        <f aca="false">+V472+T472</f>
        <v>#NAME?</v>
      </c>
      <c r="X472" s="2" t="str">
        <f aca="false">CONCATENATE(G472,D472)</f>
        <v>36861IF-TRANSCO/Z6</v>
      </c>
      <c r="Y472" s="251" t="n">
        <f aca="false">H472/10000</f>
        <v>-100</v>
      </c>
      <c r="Z472" s="226" t="e">
        <f aca="false">T472/H472</f>
        <v>#NAME?</v>
      </c>
      <c r="AA472" s="226" t="e">
        <f aca="false">xSPRDOPT($L472,$J472,$I472,$M472,$O472,$N472,$P472,$Q472-$C$3,$R472,3)</f>
        <v>#NAME?</v>
      </c>
      <c r="AB472" s="226" t="e">
        <f aca="false">((xSPRDOPT($L472+AB$5,$J472,$I472,$M472,$O472,$N472,$P472,$Q472-$C$3,$R472,3)*$H472)/10000)/100</f>
        <v>#NAME?</v>
      </c>
      <c r="AC472" s="226" t="e">
        <f aca="false">((xSPRDOPT($L472+$AB$5,$J472,$I472,$M472,$O472,$N472,$P472,$Q472-$C$3,$R472,7)*$H472)/100)</f>
        <v>#NAME?</v>
      </c>
      <c r="AD472" s="226" t="e">
        <f aca="false">(xSPRDOPT($L472+$AB$5,$J472,$I472,$M472,$O472,$N472,$P472,$Q472-$C$3,$R472,9)/365)*$H472</f>
        <v>#NAME?</v>
      </c>
      <c r="AE472" s="0" t="e">
        <f aca="false">CD472</f>
        <v>#NAME?</v>
      </c>
      <c r="AF472" s="226" t="e">
        <f aca="false">((O472/N472)*AH472)+AG472</f>
        <v>#NAME?</v>
      </c>
      <c r="AG472" s="226" t="e">
        <f aca="false">((xSPRDOPT($L472,$J472,$I472,$M472,$O472,$N472,$P472,$Q472-$C$3,$R472,6)*$H472)/100)</f>
        <v>#NAME?</v>
      </c>
      <c r="AH472" s="226" t="e">
        <f aca="false">((xSPRDOPT($L472,$J472,$I472,$M472,$O472,$N472,$P472,$Q472-$C$3,$R472,5)*$H472)/100)</f>
        <v>#NAME?</v>
      </c>
      <c r="AI472" s="226" t="e">
        <f aca="false">(((xSPRDOPT($L472,$J472,$I472,$M472,$O472,$N472,$P472,$Q472-$C$3,$R472,4)*$H472)/10000)/100)-AB472</f>
        <v>#NAME?</v>
      </c>
      <c r="AJ472" s="226"/>
      <c r="AK472" s="226"/>
      <c r="AL472" s="226"/>
      <c r="AM472" s="252"/>
      <c r="CC472" s="182" t="n">
        <f aca="false">G472</f>
        <v>36861</v>
      </c>
      <c r="CD472" s="253" t="e">
        <f aca="false">xSPRDOPT((VLOOKUP(G472,NGPrices,2,FALSE())+HLOOKUP(D472,Prices,VLOOKUP(G472,move_down,2,FALSE()),FALSE())),VLOOKUP(G472,NGPrices,2,FALSE()),I472,VLOOKUP(G472,NGPREVPRICES,4,FALSE()),HLOOKUP(D472,PREVVOLS,VLOOKUP(G472,MOVE_DOWN2,2,FALSE()),FALSE()),VLOOKUP(G472,NGPREVPRICES,3,FALSE()),HLOOKUP(D472,Correllate,VLOOKUP(G472,CorMove,2,FALSE()),FALSE()),Q472-$CD$3,R472,$CD$5)*H472-CJ472</f>
        <v>#NAME?</v>
      </c>
      <c r="CE472" s="253" t="e">
        <f aca="false">xSPRDOPT((VLOOKUP(G472,NGPREVPRICES,2,FALSE())+HLOOKUP(D472,PREVCURVES,VLOOKUP(G472,MOVE_DOWN2,2,FALSE()),FALSE())),VLOOKUP(G472,NGPREVPRICES,2,FALSE()),CK472,VLOOKUP(G472,NGPrices,4,FALSE()),HLOOKUP(D472,PREVVOLS,VLOOKUP(G472,MOVE_DOWN2,2,FALSE()),FALSE()),VLOOKUP(G472,NGPREVPRICES,3,FALSE()),HLOOKUP(D472,Correllate,VLOOKUP(G472,CorMove,2,FALSE()),FALSE()),Q472-$CD$3,R472,$CJ$5)*H472-CJ472</f>
        <v>#NAME?</v>
      </c>
      <c r="CF472" s="132" t="e">
        <f aca="false">(CJ472/VLOOKUP(CC472,discount,3,FALSE()))-(CJ472/VLOOKUP(CC472,discount,2,FALSE()))</f>
        <v>#NAME?</v>
      </c>
      <c r="CG472" s="253" t="e">
        <f aca="false">xSPRDOPT((VLOOKUP(G472,NGPREVPRICES,2,FALSE())+HLOOKUP(D472,PREVCURVES,VLOOKUP(G472,MOVE_DOWN2,2,FALSE()),FALSE())),VLOOKUP(G472,NGPREVPRICES,2,FALSE()),CK472,VLOOKUP(G472,NGPREVPRICES,4,FALSE()),HLOOKUP(D472,VOLS,VLOOKUP(G472,move_down,2,FALSE()),FALSE()),VLOOKUP(G472,NGPrices,3,FALSE()),HLOOKUP(D472,Correllate,VLOOKUP(G472,CorMove,2,FALSE()),FALSE()),Q472-$CD$3,R472,$CJ$5)*H472-CJ472</f>
        <v>#NAME?</v>
      </c>
      <c r="CH472" s="253" t="e">
        <f aca="false">xSPRDOPT((VLOOKUP(G472,NGPREVPRICES,2,FALSE())+HLOOKUP(D472,PREVCURVES,VLOOKUP(G472,MOVE_DOWN2,2,FALSE()),FALSE())),VLOOKUP(G472,NGPREVPRICES,2,FALSE()),CK472,VLOOKUP(G472,NGPREVPRICES,4,FALSE()),HLOOKUP(D472,PREVVOLS,VLOOKUP(G472,MOVE_DOWN2,2,FALSE()),FALSE()),VLOOKUP(G472,NGPREVPRICES,3,FALSE()),HLOOKUP(D472,Correllate,VLOOKUP(G472,CorMove,2,FALSE()),FALSE()),Q472-$C$3,R472,$CJ$5)*H472-CJ472</f>
        <v>#NAME?</v>
      </c>
      <c r="CI472" s="253" t="e">
        <f aca="false">SUM(CD472:CH472)</f>
        <v>#NAME?</v>
      </c>
      <c r="CJ472" s="253" t="e">
        <f aca="false">xSPRDOPT((VLOOKUP(G472,NGPREVPRICES,2,FALSE())+HLOOKUP(D472,PREVCURVES,VLOOKUP(G472,MOVE_DOWN2,2,FALSE()),FALSE())),VLOOKUP(G472,NGPREVPRICES,2,FALSE()),CK472,VLOOKUP(G472,NGPREVPRICES,4,FALSE()),HLOOKUP(D472,PREVVOLS,VLOOKUP(G472,MOVE_DOWN2,2,FALSE()),FALSE()),VLOOKUP(G472,NGPREVPRICES,3,FALSE()),HLOOKUP(D472,Correllate,VLOOKUP(G472,CorMove,2,FALSE()),FALSE()),Q472-$CD$3,R472,$CJ$5)*H472</f>
        <v>#NAME?</v>
      </c>
      <c r="CK472" s="254" t="n">
        <f aca="false">I472</f>
        <v>1.7</v>
      </c>
      <c r="CM472" s="0" t="str">
        <f aca="false">CONCATENATE(CC472,$CD$6)</f>
        <v>36861Curve Shift/Gamma</v>
      </c>
      <c r="CN472" s="0" t="str">
        <f aca="false">CONCATENATE($CC472,$CE$6)</f>
        <v>36861Rho</v>
      </c>
      <c r="CO472" s="0" t="str">
        <f aca="false">CONCATENATE($CC472,$CF$6)</f>
        <v>36861Drift</v>
      </c>
      <c r="CP472" s="0" t="str">
        <f aca="false">CONCATENATE($CC472,$CG$6)</f>
        <v>36861Vega</v>
      </c>
      <c r="CQ472" s="0" t="str">
        <f aca="false">CONCATENATE($CC472,$CH$6)</f>
        <v>36861Theta</v>
      </c>
    </row>
    <row r="473" customFormat="false" ht="12.75" hidden="false" customHeight="false" outlineLevel="0" collapsed="false">
      <c r="A473" s="17" t="s">
        <v>198</v>
      </c>
      <c r="B473" s="0" t="s">
        <v>192</v>
      </c>
      <c r="C473" s="0" t="s">
        <v>360</v>
      </c>
      <c r="D473" s="7" t="s">
        <v>149</v>
      </c>
      <c r="E473" s="0" t="s">
        <v>131</v>
      </c>
      <c r="F473" s="0" t="s">
        <v>132</v>
      </c>
      <c r="G473" s="92" t="n">
        <v>36831</v>
      </c>
      <c r="H473" s="248" t="n">
        <v>-1000000</v>
      </c>
      <c r="I473" s="0" t="n">
        <v>1.7</v>
      </c>
      <c r="J473" s="124" t="n">
        <f aca="false">VLOOKUP(G473,NGPrices,2,FALSE())</f>
        <v>4.736</v>
      </c>
      <c r="K473" s="125" t="n">
        <f aca="false">HLOOKUP(D473,Prices,VLOOKUP(G473,move_down,2,FALSE()),FALSE())+VLOOKUP(G473,CHANGE,HLOOKUP(D473,CHANGE,2,FALSE()),FALSE())</f>
        <v>0.77</v>
      </c>
      <c r="L473" s="124" t="n">
        <f aca="false">K473+J473</f>
        <v>5.506</v>
      </c>
      <c r="M473" s="126" t="n">
        <f aca="false">VLOOKUP(G473,NGPrices,4,FALSE())</f>
        <v>0.06810675983792</v>
      </c>
      <c r="N473" s="7" t="n">
        <f aca="false">VLOOKUP(G473,NGPrices,3,FALSE())</f>
        <v>0.595</v>
      </c>
      <c r="O473" s="7" t="n">
        <f aca="false">HLOOKUP(D473,VOLS,VLOOKUP(G473,move_down,2,FALSE()),FALSE())</f>
        <v>0.625</v>
      </c>
      <c r="P473" s="249" t="n">
        <f aca="false">HLOOKUP(D473,Correllate,VLOOKUP(G473,CorMove,2,FALSE()),FALSE())</f>
        <v>0.89</v>
      </c>
      <c r="Q473" s="92" t="n">
        <f aca="false">WORKDAY(G473,-2)</f>
        <v>36829</v>
      </c>
      <c r="R473" s="7" t="n">
        <f aca="false">IF(F473="P",0,1)</f>
        <v>0</v>
      </c>
      <c r="S473" s="130" t="e">
        <f aca="false">xSPRDOPT($L473,$J473,$I473,$M473,$O473,$N473,$P473,$Q473-$C$3,$R473,0)</f>
        <v>#NAME?</v>
      </c>
      <c r="T473" s="250" t="e">
        <f aca="false">xSPRDOPT($L473,$J473,$I473,$M473,$O473,$N473,$P473,$Q473-$C$3,$R473,1)*H473</f>
        <v>#NAME?</v>
      </c>
      <c r="U473" s="43" t="e">
        <f aca="false">S473*H473</f>
        <v>#NAME?</v>
      </c>
      <c r="V473" s="250" t="e">
        <f aca="false">xSPRDOPT($L473,$J473,$I473,$M473,$O473,$N473,$P473,$Q473-$C$3,$R473,2)*H473</f>
        <v>#NAME?</v>
      </c>
      <c r="W473" s="250" t="e">
        <f aca="false">+V473+T473</f>
        <v>#NAME?</v>
      </c>
      <c r="X473" s="2" t="str">
        <f aca="false">CONCATENATE(G473,D473)</f>
        <v>36831IF-TRANSCO/Z6</v>
      </c>
      <c r="Y473" s="251" t="n">
        <f aca="false">H473/10000</f>
        <v>-100</v>
      </c>
      <c r="Z473" s="226" t="e">
        <f aca="false">T473/H473</f>
        <v>#NAME?</v>
      </c>
      <c r="AA473" s="226" t="e">
        <f aca="false">xSPRDOPT($L473,$J473,$I473,$M473,$O473,$N473,$P473,$Q473-$C$3,$R473,3)</f>
        <v>#NAME?</v>
      </c>
      <c r="AB473" s="226" t="e">
        <f aca="false">((xSPRDOPT($L473+AB$5,$J473,$I473,$M473,$O473,$N473,$P473,$Q473-$C$3,$R473,3)*$H473)/10000)/100</f>
        <v>#NAME?</v>
      </c>
      <c r="AC473" s="226" t="e">
        <f aca="false">((xSPRDOPT($L473+$AB$5,$J473,$I473,$M473,$O473,$N473,$P473,$Q473-$C$3,$R473,7)*$H473)/100)</f>
        <v>#NAME?</v>
      </c>
      <c r="AD473" s="226" t="e">
        <f aca="false">(xSPRDOPT($L473+$AB$5,$J473,$I473,$M473,$O473,$N473,$P473,$Q473-$C$3,$R473,9)/365)*$H473</f>
        <v>#NAME?</v>
      </c>
      <c r="AE473" s="0" t="e">
        <f aca="false">CD473</f>
        <v>#NAME?</v>
      </c>
      <c r="AF473" s="226" t="e">
        <f aca="false">((O473/N473)*AH473)+AG473</f>
        <v>#NAME?</v>
      </c>
      <c r="AG473" s="226" t="e">
        <f aca="false">((xSPRDOPT($L473,$J473,$I473,$M473,$O473,$N473,$P473,$Q473-$C$3,$R473,6)*$H473)/100)</f>
        <v>#NAME?</v>
      </c>
      <c r="AH473" s="226" t="e">
        <f aca="false">((xSPRDOPT($L473,$J473,$I473,$M473,$O473,$N473,$P473,$Q473-$C$3,$R473,5)*$H473)/100)</f>
        <v>#NAME?</v>
      </c>
      <c r="AI473" s="226" t="e">
        <f aca="false">(((xSPRDOPT($L473,$J473,$I473,$M473,$O473,$N473,$P473,$Q473-$C$3,$R473,4)*$H473)/10000)/100)-AB473</f>
        <v>#NAME?</v>
      </c>
      <c r="AJ473" s="226"/>
      <c r="AK473" s="226"/>
      <c r="AL473" s="226"/>
      <c r="AM473" s="252"/>
      <c r="CC473" s="182" t="n">
        <f aca="false">G473</f>
        <v>36831</v>
      </c>
      <c r="CD473" s="253" t="e">
        <f aca="false">xSPRDOPT((VLOOKUP(G473,NGPrices,2,FALSE())+HLOOKUP(D473,Prices,VLOOKUP(G473,move_down,2,FALSE()),FALSE())),VLOOKUP(G473,NGPrices,2,FALSE()),I473,VLOOKUP(G473,NGPREVPRICES,4,FALSE()),HLOOKUP(D473,PREVVOLS,VLOOKUP(G473,MOVE_DOWN2,2,FALSE()),FALSE()),VLOOKUP(G473,NGPREVPRICES,3,FALSE()),HLOOKUP(D473,Correllate,VLOOKUP(G473,CorMove,2,FALSE()),FALSE()),Q473-$CD$3,R473,$CD$5)*H473-CJ473</f>
        <v>#NAME?</v>
      </c>
      <c r="CE473" s="253" t="e">
        <f aca="false">xSPRDOPT((VLOOKUP(G473,NGPREVPRICES,2,FALSE())+HLOOKUP(D473,PREVCURVES,VLOOKUP(G473,MOVE_DOWN2,2,FALSE()),FALSE())),VLOOKUP(G473,NGPREVPRICES,2,FALSE()),CK473,VLOOKUP(G473,NGPrices,4,FALSE()),HLOOKUP(D473,PREVVOLS,VLOOKUP(G473,MOVE_DOWN2,2,FALSE()),FALSE()),VLOOKUP(G473,NGPREVPRICES,3,FALSE()),HLOOKUP(D473,Correllate,VLOOKUP(G473,CorMove,2,FALSE()),FALSE()),Q473-$CD$3,R473,$CJ$5)*H473-CJ473</f>
        <v>#NAME?</v>
      </c>
      <c r="CF473" s="132" t="e">
        <f aca="false">(CJ473/VLOOKUP(CC473,discount,3,FALSE()))-(CJ473/VLOOKUP(CC473,discount,2,FALSE()))</f>
        <v>#NAME?</v>
      </c>
      <c r="CG473" s="253" t="e">
        <f aca="false">xSPRDOPT((VLOOKUP(G473,NGPREVPRICES,2,FALSE())+HLOOKUP(D473,PREVCURVES,VLOOKUP(G473,MOVE_DOWN2,2,FALSE()),FALSE())),VLOOKUP(G473,NGPREVPRICES,2,FALSE()),CK473,VLOOKUP(G473,NGPREVPRICES,4,FALSE()),HLOOKUP(D473,VOLS,VLOOKUP(G473,move_down,2,FALSE()),FALSE()),VLOOKUP(G473,NGPrices,3,FALSE()),HLOOKUP(D473,Correllate,VLOOKUP(G473,CorMove,2,FALSE()),FALSE()),Q473-$CD$3,R473,$CJ$5)*H473-CJ473</f>
        <v>#NAME?</v>
      </c>
      <c r="CH473" s="253" t="e">
        <f aca="false">xSPRDOPT((VLOOKUP(G473,NGPREVPRICES,2,FALSE())+HLOOKUP(D473,PREVCURVES,VLOOKUP(G473,MOVE_DOWN2,2,FALSE()),FALSE())),VLOOKUP(G473,NGPREVPRICES,2,FALSE()),CK473,VLOOKUP(G473,NGPREVPRICES,4,FALSE()),HLOOKUP(D473,PREVVOLS,VLOOKUP(G473,MOVE_DOWN2,2,FALSE()),FALSE()),VLOOKUP(G473,NGPREVPRICES,3,FALSE()),HLOOKUP(D473,Correllate,VLOOKUP(G473,CorMove,2,FALSE()),FALSE()),Q473-$C$3,R473,$CJ$5)*H473-CJ473</f>
        <v>#NAME?</v>
      </c>
      <c r="CI473" s="253" t="e">
        <f aca="false">SUM(CD473:CH473)</f>
        <v>#NAME?</v>
      </c>
      <c r="CJ473" s="253" t="e">
        <f aca="false">xSPRDOPT((VLOOKUP(G473,NGPREVPRICES,2,FALSE())+HLOOKUP(D473,PREVCURVES,VLOOKUP(G473,MOVE_DOWN2,2,FALSE()),FALSE())),VLOOKUP(G473,NGPREVPRICES,2,FALSE()),CK473,VLOOKUP(G473,NGPREVPRICES,4,FALSE()),HLOOKUP(D473,PREVVOLS,VLOOKUP(G473,MOVE_DOWN2,2,FALSE()),FALSE()),VLOOKUP(G473,NGPREVPRICES,3,FALSE()),HLOOKUP(D473,Correllate,VLOOKUP(G473,CorMove,2,FALSE()),FALSE()),Q473-$CD$3,R473,$CJ$5)*H473</f>
        <v>#NAME?</v>
      </c>
      <c r="CK473" s="254" t="n">
        <f aca="false">I473</f>
        <v>1.7</v>
      </c>
      <c r="CM473" s="0" t="str">
        <f aca="false">CONCATENATE(CC473,$CD$6)</f>
        <v>36831Curve Shift/Gamma</v>
      </c>
      <c r="CN473" s="0" t="str">
        <f aca="false">CONCATENATE($CC473,$CE$6)</f>
        <v>36831Rho</v>
      </c>
      <c r="CO473" s="0" t="str">
        <f aca="false">CONCATENATE($CC473,$CF$6)</f>
        <v>36831Drift</v>
      </c>
      <c r="CP473" s="0" t="str">
        <f aca="false">CONCATENATE($CC473,$CG$6)</f>
        <v>36831Vega</v>
      </c>
      <c r="CQ473" s="0" t="str">
        <f aca="false">CONCATENATE($CC473,$CH$6)</f>
        <v>36831Theta</v>
      </c>
    </row>
    <row r="474" customFormat="false" ht="12.75" hidden="false" customHeight="false" outlineLevel="0" collapsed="false">
      <c r="A474" s="17" t="s">
        <v>345</v>
      </c>
      <c r="B474" s="0" t="s">
        <v>192</v>
      </c>
      <c r="C474" s="0" t="s">
        <v>361</v>
      </c>
      <c r="D474" s="7" t="s">
        <v>152</v>
      </c>
      <c r="E474" s="0" t="s">
        <v>131</v>
      </c>
      <c r="F474" s="0" t="s">
        <v>136</v>
      </c>
      <c r="G474" s="92" t="n">
        <v>36951</v>
      </c>
      <c r="H474" s="248" t="n">
        <v>-155000</v>
      </c>
      <c r="I474" s="0" t="n">
        <v>0.15</v>
      </c>
      <c r="J474" s="124" t="n">
        <f aca="false">VLOOKUP(G474,NGPrices,2,FALSE())</f>
        <v>4.213</v>
      </c>
      <c r="K474" s="125" t="n">
        <f aca="false">HLOOKUP(D474,Prices,VLOOKUP(G474,move_down,2,FALSE()),FALSE())+VLOOKUP(G474,CHANGE,HLOOKUP(D474,CHANGE,2,FALSE()),FALSE())</f>
        <v>0.1225</v>
      </c>
      <c r="L474" s="124" t="n">
        <f aca="false">K474+J474</f>
        <v>4.3355</v>
      </c>
      <c r="M474" s="126" t="n">
        <f aca="false">VLOOKUP(G474,NGPrices,4,FALSE())</f>
        <v>0.068879814952707</v>
      </c>
      <c r="N474" s="7" t="n">
        <f aca="false">VLOOKUP(G474,NGPrices,3,FALSE())</f>
        <v>0.5325</v>
      </c>
      <c r="O474" s="7" t="n">
        <f aca="false">HLOOKUP(D474,VOLS,VLOOKUP(G474,move_down,2,FALSE()),FALSE())</f>
        <v>0.533</v>
      </c>
      <c r="P474" s="249" t="n">
        <f aca="false">HLOOKUP(D474,Correllate,VLOOKUP(G474,CorMove,2,FALSE()),FALSE())</f>
        <v>0.997</v>
      </c>
      <c r="Q474" s="92" t="n">
        <f aca="false">WORKDAY(G474,-2)</f>
        <v>36949</v>
      </c>
      <c r="R474" s="7" t="n">
        <f aca="false">IF(F474="P",0,1)</f>
        <v>1</v>
      </c>
      <c r="S474" s="130" t="e">
        <f aca="false">xSPRDOPT($L474,$J474,$I474,$M474,$O474,$N474,$P474,$Q474-$C$3,$R474,0)</f>
        <v>#NAME?</v>
      </c>
      <c r="T474" s="250" t="e">
        <f aca="false">xSPRDOPT($L474,$J474,$I474,$M474,$O474,$N474,$P474,$Q474-$C$3,$R474,1)*H474</f>
        <v>#NAME?</v>
      </c>
      <c r="U474" s="43" t="e">
        <f aca="false">S474*H474</f>
        <v>#NAME?</v>
      </c>
      <c r="V474" s="250" t="e">
        <f aca="false">xSPRDOPT($L474,$J474,$I474,$M474,$O474,$N474,$P474,$Q474-$C$3,$R474,2)*H474</f>
        <v>#NAME?</v>
      </c>
      <c r="W474" s="250" t="e">
        <f aca="false">+V474+T474</f>
        <v>#NAME?</v>
      </c>
      <c r="X474" s="2" t="str">
        <f aca="false">CONCATENATE(G474,D474)</f>
        <v>36951NGI/CHI. GATE</v>
      </c>
      <c r="Y474" s="251" t="n">
        <f aca="false">H474/10000</f>
        <v>-15.5</v>
      </c>
      <c r="Z474" s="226" t="e">
        <f aca="false">T474/H474</f>
        <v>#NAME?</v>
      </c>
      <c r="AA474" s="226" t="e">
        <f aca="false">xSPRDOPT($L474,$J474,$I474,$M474,$O474,$N474,$P474,$Q474-$C$3,$R474,3)</f>
        <v>#NAME?</v>
      </c>
      <c r="AB474" s="226" t="e">
        <f aca="false">((xSPRDOPT($L474+AB$5,$J474,$I474,$M474,$O474,$N474,$P474,$Q474-$C$3,$R474,3)*$H474)/10000)/100</f>
        <v>#NAME?</v>
      </c>
      <c r="AC474" s="226" t="e">
        <f aca="false">((xSPRDOPT($L474+$AB$5,$J474,$I474,$M474,$O474,$N474,$P474,$Q474-$C$3,$R474,7)*$H474)/100)</f>
        <v>#NAME?</v>
      </c>
      <c r="AD474" s="226" t="e">
        <f aca="false">(xSPRDOPT($L474+$AB$5,$J474,$I474,$M474,$O474,$N474,$P474,$Q474-$C$3,$R474,9)/365)*$H474</f>
        <v>#NAME?</v>
      </c>
      <c r="AE474" s="0" t="e">
        <f aca="false">CD474</f>
        <v>#NAME?</v>
      </c>
      <c r="AF474" s="226" t="e">
        <f aca="false">((O474/N474)*AH474)+AG474</f>
        <v>#NAME?</v>
      </c>
      <c r="AG474" s="226" t="e">
        <f aca="false">((xSPRDOPT($L474,$J474,$I474,$M474,$O474,$N474,$P474,$Q474-$C$3,$R474,6)*$H474)/100)</f>
        <v>#NAME?</v>
      </c>
      <c r="AH474" s="226" t="e">
        <f aca="false">((xSPRDOPT($L474,$J474,$I474,$M474,$O474,$N474,$P474,$Q474-$C$3,$R474,5)*$H474)/100)</f>
        <v>#NAME?</v>
      </c>
      <c r="AI474" s="226" t="e">
        <f aca="false">(((xSPRDOPT($L474,$J474,$I474,$M474,$O474,$N474,$P474,$Q474-$C$3,$R474,4)*$H474)/10000)/100)-AB474</f>
        <v>#NAME?</v>
      </c>
      <c r="AJ474" s="226"/>
      <c r="AK474" s="226"/>
      <c r="AL474" s="226"/>
      <c r="AM474" s="252"/>
      <c r="CC474" s="182" t="n">
        <f aca="false">G474</f>
        <v>36951</v>
      </c>
      <c r="CD474" s="253" t="e">
        <f aca="false">xSPRDOPT((VLOOKUP(G474,NGPrices,2,FALSE())+HLOOKUP(D474,Prices,VLOOKUP(G474,move_down,2,FALSE()),FALSE())),VLOOKUP(G474,NGPrices,2,FALSE()),I474,VLOOKUP(G474,NGPREVPRICES,4,FALSE()),HLOOKUP(D474,PREVVOLS,VLOOKUP(G474,MOVE_DOWN2,2,FALSE()),FALSE()),VLOOKUP(G474,NGPREVPRICES,3,FALSE()),HLOOKUP(D474,Correllate,VLOOKUP(G474,CorMove,2,FALSE()),FALSE()),Q474-$CD$3,R474,$CD$5)*H474-CJ474</f>
        <v>#NAME?</v>
      </c>
      <c r="CE474" s="253" t="e">
        <f aca="false">xSPRDOPT((VLOOKUP(G474,NGPREVPRICES,2,FALSE())+HLOOKUP(D474,PREVCURVES,VLOOKUP(G474,MOVE_DOWN2,2,FALSE()),FALSE())),VLOOKUP(G474,NGPREVPRICES,2,FALSE()),CK474,VLOOKUP(G474,NGPrices,4,FALSE()),HLOOKUP(D474,PREVVOLS,VLOOKUP(G474,MOVE_DOWN2,2,FALSE()),FALSE()),VLOOKUP(G474,NGPREVPRICES,3,FALSE()),HLOOKUP(D474,Correllate,VLOOKUP(G474,CorMove,2,FALSE()),FALSE()),Q474-$CD$3,R474,$CJ$5)*H474-CJ474</f>
        <v>#NAME?</v>
      </c>
      <c r="CF474" s="132" t="e">
        <f aca="false">(CJ474/VLOOKUP(CC474,discount,3,FALSE()))-(CJ474/VLOOKUP(CC474,discount,2,FALSE()))</f>
        <v>#NAME?</v>
      </c>
      <c r="CG474" s="253" t="e">
        <f aca="false">xSPRDOPT((VLOOKUP(G474,NGPREVPRICES,2,FALSE())+HLOOKUP(D474,PREVCURVES,VLOOKUP(G474,MOVE_DOWN2,2,FALSE()),FALSE())),VLOOKUP(G474,NGPREVPRICES,2,FALSE()),CK474,VLOOKUP(G474,NGPREVPRICES,4,FALSE()),HLOOKUP(D474,VOLS,VLOOKUP(G474,move_down,2,FALSE()),FALSE()),VLOOKUP(G474,NGPrices,3,FALSE()),HLOOKUP(D474,Correllate,VLOOKUP(G474,CorMove,2,FALSE()),FALSE()),Q474-$CD$3,R474,$CJ$5)*H474-CJ474</f>
        <v>#NAME?</v>
      </c>
      <c r="CH474" s="253" t="e">
        <f aca="false">xSPRDOPT((VLOOKUP(G474,NGPREVPRICES,2,FALSE())+HLOOKUP(D474,PREVCURVES,VLOOKUP(G474,MOVE_DOWN2,2,FALSE()),FALSE())),VLOOKUP(G474,NGPREVPRICES,2,FALSE()),CK474,VLOOKUP(G474,NGPREVPRICES,4,FALSE()),HLOOKUP(D474,PREVVOLS,VLOOKUP(G474,MOVE_DOWN2,2,FALSE()),FALSE()),VLOOKUP(G474,NGPREVPRICES,3,FALSE()),HLOOKUP(D474,Correllate,VLOOKUP(G474,CorMove,2,FALSE()),FALSE()),Q474-$C$3,R474,$CJ$5)*H474-CJ474</f>
        <v>#NAME?</v>
      </c>
      <c r="CI474" s="253" t="e">
        <f aca="false">SUM(CD474:CH474)</f>
        <v>#NAME?</v>
      </c>
      <c r="CJ474" s="253" t="e">
        <f aca="false">xSPRDOPT((VLOOKUP(G474,NGPREVPRICES,2,FALSE())+HLOOKUP(D474,PREVCURVES,VLOOKUP(G474,MOVE_DOWN2,2,FALSE()),FALSE())),VLOOKUP(G474,NGPREVPRICES,2,FALSE()),CK474,VLOOKUP(G474,NGPREVPRICES,4,FALSE()),HLOOKUP(D474,PREVVOLS,VLOOKUP(G474,MOVE_DOWN2,2,FALSE()),FALSE()),VLOOKUP(G474,NGPREVPRICES,3,FALSE()),HLOOKUP(D474,Correllate,VLOOKUP(G474,CorMove,2,FALSE()),FALSE()),Q474-$CD$3,R474,$CJ$5)*H474</f>
        <v>#NAME?</v>
      </c>
      <c r="CK474" s="254" t="n">
        <f aca="false">I474</f>
        <v>0.15</v>
      </c>
      <c r="CM474" s="0" t="str">
        <f aca="false">CONCATENATE(CC474,$CD$6)</f>
        <v>36951Curve Shift/Gamma</v>
      </c>
      <c r="CN474" s="0" t="str">
        <f aca="false">CONCATENATE($CC474,$CE$6)</f>
        <v>36951Rho</v>
      </c>
      <c r="CO474" s="0" t="str">
        <f aca="false">CONCATENATE($CC474,$CF$6)</f>
        <v>36951Drift</v>
      </c>
      <c r="CP474" s="0" t="str">
        <f aca="false">CONCATENATE($CC474,$CG$6)</f>
        <v>36951Vega</v>
      </c>
      <c r="CQ474" s="0" t="str">
        <f aca="false">CONCATENATE($CC474,$CH$6)</f>
        <v>36951Theta</v>
      </c>
    </row>
    <row r="475" customFormat="false" ht="12.75" hidden="false" customHeight="false" outlineLevel="0" collapsed="false">
      <c r="A475" s="17" t="s">
        <v>345</v>
      </c>
      <c r="B475" s="0" t="s">
        <v>192</v>
      </c>
      <c r="C475" s="0" t="s">
        <v>361</v>
      </c>
      <c r="D475" s="7" t="s">
        <v>152</v>
      </c>
      <c r="E475" s="0" t="s">
        <v>131</v>
      </c>
      <c r="F475" s="0" t="s">
        <v>136</v>
      </c>
      <c r="G475" s="92" t="n">
        <v>36923</v>
      </c>
      <c r="H475" s="248" t="n">
        <v>-140000</v>
      </c>
      <c r="I475" s="0" t="n">
        <v>0.15</v>
      </c>
      <c r="J475" s="124" t="n">
        <f aca="false">VLOOKUP(G475,NGPrices,2,FALSE())</f>
        <v>4.48</v>
      </c>
      <c r="K475" s="125" t="n">
        <f aca="false">HLOOKUP(D475,Prices,VLOOKUP(G475,move_down,2,FALSE()),FALSE())+VLOOKUP(G475,CHANGE,HLOOKUP(D475,CHANGE,2,FALSE()),FALSE())</f>
        <v>0.1375</v>
      </c>
      <c r="L475" s="124" t="n">
        <f aca="false">K475+J475</f>
        <v>4.6175</v>
      </c>
      <c r="M475" s="126" t="n">
        <f aca="false">VLOOKUP(G475,NGPrices,4,FALSE())</f>
        <v>0.068640161611372</v>
      </c>
      <c r="N475" s="7" t="n">
        <f aca="false">VLOOKUP(G475,NGPrices,3,FALSE())</f>
        <v>0.5925</v>
      </c>
      <c r="O475" s="7" t="n">
        <f aca="false">HLOOKUP(D475,VOLS,VLOOKUP(G475,move_down,2,FALSE()),FALSE())</f>
        <v>0.593</v>
      </c>
      <c r="P475" s="249" t="n">
        <f aca="false">HLOOKUP(D475,Correllate,VLOOKUP(G475,CorMove,2,FALSE()),FALSE())</f>
        <v>0.997</v>
      </c>
      <c r="Q475" s="92" t="n">
        <f aca="false">WORKDAY(G475,-2)</f>
        <v>36921</v>
      </c>
      <c r="R475" s="7" t="n">
        <f aca="false">IF(F475="P",0,1)</f>
        <v>1</v>
      </c>
      <c r="S475" s="130" t="e">
        <f aca="false">xSPRDOPT($L475,$J475,$I475,$M475,$O475,$N475,$P475,$Q475-$C$3,$R475,0)</f>
        <v>#NAME?</v>
      </c>
      <c r="T475" s="250" t="e">
        <f aca="false">xSPRDOPT($L475,$J475,$I475,$M475,$O475,$N475,$P475,$Q475-$C$3,$R475,1)*H475</f>
        <v>#NAME?</v>
      </c>
      <c r="U475" s="43" t="e">
        <f aca="false">S475*H475</f>
        <v>#NAME?</v>
      </c>
      <c r="V475" s="250" t="e">
        <f aca="false">xSPRDOPT($L475,$J475,$I475,$M475,$O475,$N475,$P475,$Q475-$C$3,$R475,2)*H475</f>
        <v>#NAME?</v>
      </c>
      <c r="W475" s="250" t="e">
        <f aca="false">+V475+T475</f>
        <v>#NAME?</v>
      </c>
      <c r="X475" s="2" t="str">
        <f aca="false">CONCATENATE(G475,D475)</f>
        <v>36923NGI/CHI. GATE</v>
      </c>
      <c r="Y475" s="251" t="n">
        <f aca="false">H475/10000</f>
        <v>-14</v>
      </c>
      <c r="Z475" s="226" t="e">
        <f aca="false">T475/H475</f>
        <v>#NAME?</v>
      </c>
      <c r="AA475" s="226" t="e">
        <f aca="false">xSPRDOPT($L475,$J475,$I475,$M475,$O475,$N475,$P475,$Q475-$C$3,$R475,3)</f>
        <v>#NAME?</v>
      </c>
      <c r="AB475" s="226" t="e">
        <f aca="false">((xSPRDOPT($L475+AB$5,$J475,$I475,$M475,$O475,$N475,$P475,$Q475-$C$3,$R475,3)*$H475)/10000)/100</f>
        <v>#NAME?</v>
      </c>
      <c r="AC475" s="226" t="e">
        <f aca="false">((xSPRDOPT($L475+$AB$5,$J475,$I475,$M475,$O475,$N475,$P475,$Q475-$C$3,$R475,7)*$H475)/100)</f>
        <v>#NAME?</v>
      </c>
      <c r="AD475" s="226" t="e">
        <f aca="false">(xSPRDOPT($L475+$AB$5,$J475,$I475,$M475,$O475,$N475,$P475,$Q475-$C$3,$R475,9)/365)*$H475</f>
        <v>#NAME?</v>
      </c>
      <c r="AE475" s="0" t="e">
        <f aca="false">CD475</f>
        <v>#NAME?</v>
      </c>
      <c r="AF475" s="226" t="e">
        <f aca="false">((O475/N475)*AH475)+AG475</f>
        <v>#NAME?</v>
      </c>
      <c r="AG475" s="226" t="e">
        <f aca="false">((xSPRDOPT($L475,$J475,$I475,$M475,$O475,$N475,$P475,$Q475-$C$3,$R475,6)*$H475)/100)</f>
        <v>#NAME?</v>
      </c>
      <c r="AH475" s="226" t="e">
        <f aca="false">((xSPRDOPT($L475,$J475,$I475,$M475,$O475,$N475,$P475,$Q475-$C$3,$R475,5)*$H475)/100)</f>
        <v>#NAME?</v>
      </c>
      <c r="AI475" s="226" t="e">
        <f aca="false">(((xSPRDOPT($L475,$J475,$I475,$M475,$O475,$N475,$P475,$Q475-$C$3,$R475,4)*$H475)/10000)/100)-AB475</f>
        <v>#NAME?</v>
      </c>
      <c r="AJ475" s="226"/>
      <c r="AK475" s="226"/>
      <c r="AL475" s="226"/>
      <c r="AM475" s="252"/>
      <c r="CC475" s="182" t="n">
        <f aca="false">G475</f>
        <v>36923</v>
      </c>
      <c r="CD475" s="253" t="e">
        <f aca="false">xSPRDOPT((VLOOKUP(G475,NGPrices,2,FALSE())+HLOOKUP(D475,Prices,VLOOKUP(G475,move_down,2,FALSE()),FALSE())),VLOOKUP(G475,NGPrices,2,FALSE()),I475,VLOOKUP(G475,NGPREVPRICES,4,FALSE()),HLOOKUP(D475,PREVVOLS,VLOOKUP(G475,MOVE_DOWN2,2,FALSE()),FALSE()),VLOOKUP(G475,NGPREVPRICES,3,FALSE()),HLOOKUP(D475,Correllate,VLOOKUP(G475,CorMove,2,FALSE()),FALSE()),Q475-$CD$3,R475,$CD$5)*H475-CJ475</f>
        <v>#NAME?</v>
      </c>
      <c r="CE475" s="253" t="e">
        <f aca="false">xSPRDOPT((VLOOKUP(G475,NGPREVPRICES,2,FALSE())+HLOOKUP(D475,PREVCURVES,VLOOKUP(G475,MOVE_DOWN2,2,FALSE()),FALSE())),VLOOKUP(G475,NGPREVPRICES,2,FALSE()),CK475,VLOOKUP(G475,NGPrices,4,FALSE()),HLOOKUP(D475,PREVVOLS,VLOOKUP(G475,MOVE_DOWN2,2,FALSE()),FALSE()),VLOOKUP(G475,NGPREVPRICES,3,FALSE()),HLOOKUP(D475,Correllate,VLOOKUP(G475,CorMove,2,FALSE()),FALSE()),Q475-$CD$3,R475,$CJ$5)*H475-CJ475</f>
        <v>#NAME?</v>
      </c>
      <c r="CF475" s="132" t="e">
        <f aca="false">(CJ475/VLOOKUP(CC475,discount,3,FALSE()))-(CJ475/VLOOKUP(CC475,discount,2,FALSE()))</f>
        <v>#NAME?</v>
      </c>
      <c r="CG475" s="253" t="e">
        <f aca="false">xSPRDOPT((VLOOKUP(G475,NGPREVPRICES,2,FALSE())+HLOOKUP(D475,PREVCURVES,VLOOKUP(G475,MOVE_DOWN2,2,FALSE()),FALSE())),VLOOKUP(G475,NGPREVPRICES,2,FALSE()),CK475,VLOOKUP(G475,NGPREVPRICES,4,FALSE()),HLOOKUP(D475,VOLS,VLOOKUP(G475,move_down,2,FALSE()),FALSE()),VLOOKUP(G475,NGPrices,3,FALSE()),HLOOKUP(D475,Correllate,VLOOKUP(G475,CorMove,2,FALSE()),FALSE()),Q475-$CD$3,R475,$CJ$5)*H475-CJ475</f>
        <v>#NAME?</v>
      </c>
      <c r="CH475" s="253" t="e">
        <f aca="false">xSPRDOPT((VLOOKUP(G475,NGPREVPRICES,2,FALSE())+HLOOKUP(D475,PREVCURVES,VLOOKUP(G475,MOVE_DOWN2,2,FALSE()),FALSE())),VLOOKUP(G475,NGPREVPRICES,2,FALSE()),CK475,VLOOKUP(G475,NGPREVPRICES,4,FALSE()),HLOOKUP(D475,PREVVOLS,VLOOKUP(G475,MOVE_DOWN2,2,FALSE()),FALSE()),VLOOKUP(G475,NGPREVPRICES,3,FALSE()),HLOOKUP(D475,Correllate,VLOOKUP(G475,CorMove,2,FALSE()),FALSE()),Q475-$C$3,R475,$CJ$5)*H475-CJ475</f>
        <v>#NAME?</v>
      </c>
      <c r="CI475" s="253" t="e">
        <f aca="false">SUM(CD475:CH475)</f>
        <v>#NAME?</v>
      </c>
      <c r="CJ475" s="253" t="e">
        <f aca="false">xSPRDOPT((VLOOKUP(G475,NGPREVPRICES,2,FALSE())+HLOOKUP(D475,PREVCURVES,VLOOKUP(G475,MOVE_DOWN2,2,FALSE()),FALSE())),VLOOKUP(G475,NGPREVPRICES,2,FALSE()),CK475,VLOOKUP(G475,NGPREVPRICES,4,FALSE()),HLOOKUP(D475,PREVVOLS,VLOOKUP(G475,MOVE_DOWN2,2,FALSE()),FALSE()),VLOOKUP(G475,NGPREVPRICES,3,FALSE()),HLOOKUP(D475,Correllate,VLOOKUP(G475,CorMove,2,FALSE()),FALSE()),Q475-$CD$3,R475,$CJ$5)*H475</f>
        <v>#NAME?</v>
      </c>
      <c r="CK475" s="254" t="n">
        <f aca="false">I475</f>
        <v>0.15</v>
      </c>
      <c r="CM475" s="0" t="str">
        <f aca="false">CONCATENATE(CC475,$CD$6)</f>
        <v>36923Curve Shift/Gamma</v>
      </c>
      <c r="CN475" s="0" t="str">
        <f aca="false">CONCATENATE($CC475,$CE$6)</f>
        <v>36923Rho</v>
      </c>
      <c r="CO475" s="0" t="str">
        <f aca="false">CONCATENATE($CC475,$CF$6)</f>
        <v>36923Drift</v>
      </c>
      <c r="CP475" s="0" t="str">
        <f aca="false">CONCATENATE($CC475,$CG$6)</f>
        <v>36923Vega</v>
      </c>
      <c r="CQ475" s="0" t="str">
        <f aca="false">CONCATENATE($CC475,$CH$6)</f>
        <v>36923Theta</v>
      </c>
    </row>
    <row r="476" customFormat="false" ht="12.75" hidden="false" customHeight="false" outlineLevel="0" collapsed="false">
      <c r="A476" s="17" t="s">
        <v>345</v>
      </c>
      <c r="B476" s="0" t="s">
        <v>192</v>
      </c>
      <c r="C476" s="0" t="s">
        <v>361</v>
      </c>
      <c r="D476" s="7" t="s">
        <v>152</v>
      </c>
      <c r="E476" s="0" t="s">
        <v>131</v>
      </c>
      <c r="F476" s="0" t="s">
        <v>136</v>
      </c>
      <c r="G476" s="92" t="n">
        <v>36892</v>
      </c>
      <c r="H476" s="248" t="n">
        <v>-155000</v>
      </c>
      <c r="I476" s="0" t="n">
        <v>0.15</v>
      </c>
      <c r="J476" s="124" t="n">
        <f aca="false">VLOOKUP(G476,NGPrices,2,FALSE())</f>
        <v>4.744</v>
      </c>
      <c r="K476" s="125" t="n">
        <f aca="false">HLOOKUP(D476,Prices,VLOOKUP(G476,move_down,2,FALSE()),FALSE())+VLOOKUP(G476,CHANGE,HLOOKUP(D476,CHANGE,2,FALSE()),FALSE())</f>
        <v>0.1275</v>
      </c>
      <c r="L476" s="124" t="n">
        <f aca="false">K476+J476</f>
        <v>4.8715</v>
      </c>
      <c r="M476" s="126" t="n">
        <f aca="false">VLOOKUP(G476,NGPrices,4,FALSE())</f>
        <v>0.068374831148491</v>
      </c>
      <c r="N476" s="7" t="n">
        <f aca="false">VLOOKUP(G476,NGPrices,3,FALSE())</f>
        <v>0.605</v>
      </c>
      <c r="O476" s="7" t="n">
        <f aca="false">HLOOKUP(D476,VOLS,VLOOKUP(G476,move_down,2,FALSE()),FALSE())</f>
        <v>0.605</v>
      </c>
      <c r="P476" s="249" t="n">
        <f aca="false">HLOOKUP(D476,Correllate,VLOOKUP(G476,CorMove,2,FALSE()),FALSE())</f>
        <v>0.997</v>
      </c>
      <c r="Q476" s="92" t="n">
        <f aca="false">WORKDAY(G476,-2)</f>
        <v>36888</v>
      </c>
      <c r="R476" s="7" t="n">
        <f aca="false">IF(F476="P",0,1)</f>
        <v>1</v>
      </c>
      <c r="S476" s="130" t="e">
        <f aca="false">xSPRDOPT($L476,$J476,$I476,$M476,$O476,$N476,$P476,$Q476-$C$3,$R476,0)</f>
        <v>#NAME?</v>
      </c>
      <c r="T476" s="250" t="e">
        <f aca="false">xSPRDOPT($L476,$J476,$I476,$M476,$O476,$N476,$P476,$Q476-$C$3,$R476,1)*H476</f>
        <v>#NAME?</v>
      </c>
      <c r="U476" s="43" t="e">
        <f aca="false">S476*H476</f>
        <v>#NAME?</v>
      </c>
      <c r="V476" s="250" t="e">
        <f aca="false">xSPRDOPT($L476,$J476,$I476,$M476,$O476,$N476,$P476,$Q476-$C$3,$R476,2)*H476</f>
        <v>#NAME?</v>
      </c>
      <c r="W476" s="250" t="e">
        <f aca="false">+V476+T476</f>
        <v>#NAME?</v>
      </c>
      <c r="X476" s="2" t="str">
        <f aca="false">CONCATENATE(G476,D476)</f>
        <v>36892NGI/CHI. GATE</v>
      </c>
      <c r="Y476" s="251" t="n">
        <f aca="false">H476/10000</f>
        <v>-15.5</v>
      </c>
      <c r="Z476" s="226" t="e">
        <f aca="false">T476/H476</f>
        <v>#NAME?</v>
      </c>
      <c r="AA476" s="226" t="e">
        <f aca="false">xSPRDOPT($L476,$J476,$I476,$M476,$O476,$N476,$P476,$Q476-$C$3,$R476,3)</f>
        <v>#NAME?</v>
      </c>
      <c r="AB476" s="226" t="e">
        <f aca="false">((xSPRDOPT($L476+AB$5,$J476,$I476,$M476,$O476,$N476,$P476,$Q476-$C$3,$R476,3)*$H476)/10000)/100</f>
        <v>#NAME?</v>
      </c>
      <c r="AC476" s="226" t="e">
        <f aca="false">((xSPRDOPT($L476+$AB$5,$J476,$I476,$M476,$O476,$N476,$P476,$Q476-$C$3,$R476,7)*$H476)/100)</f>
        <v>#NAME?</v>
      </c>
      <c r="AD476" s="226" t="e">
        <f aca="false">(xSPRDOPT($L476+$AB$5,$J476,$I476,$M476,$O476,$N476,$P476,$Q476-$C$3,$R476,9)/365)*$H476</f>
        <v>#NAME?</v>
      </c>
      <c r="AE476" s="0" t="e">
        <f aca="false">CD476</f>
        <v>#NAME?</v>
      </c>
      <c r="AF476" s="226" t="e">
        <f aca="false">((O476/N476)*AH476)+AG476</f>
        <v>#NAME?</v>
      </c>
      <c r="AG476" s="226" t="e">
        <f aca="false">((xSPRDOPT($L476,$J476,$I476,$M476,$O476,$N476,$P476,$Q476-$C$3,$R476,6)*$H476)/100)</f>
        <v>#NAME?</v>
      </c>
      <c r="AH476" s="226" t="e">
        <f aca="false">((xSPRDOPT($L476,$J476,$I476,$M476,$O476,$N476,$P476,$Q476-$C$3,$R476,5)*$H476)/100)</f>
        <v>#NAME?</v>
      </c>
      <c r="AI476" s="226" t="e">
        <f aca="false">(((xSPRDOPT($L476,$J476,$I476,$M476,$O476,$N476,$P476,$Q476-$C$3,$R476,4)*$H476)/10000)/100)-AB476</f>
        <v>#NAME?</v>
      </c>
      <c r="AJ476" s="226"/>
      <c r="AK476" s="226"/>
      <c r="AL476" s="226"/>
      <c r="AM476" s="252"/>
      <c r="CC476" s="182" t="n">
        <f aca="false">G476</f>
        <v>36892</v>
      </c>
      <c r="CD476" s="253" t="e">
        <f aca="false">xSPRDOPT((VLOOKUP(G476,NGPrices,2,FALSE())+HLOOKUP(D476,Prices,VLOOKUP(G476,move_down,2,FALSE()),FALSE())),VLOOKUP(G476,NGPrices,2,FALSE()),I476,VLOOKUP(G476,NGPREVPRICES,4,FALSE()),HLOOKUP(D476,PREVVOLS,VLOOKUP(G476,MOVE_DOWN2,2,FALSE()),FALSE()),VLOOKUP(G476,NGPREVPRICES,3,FALSE()),HLOOKUP(D476,Correllate,VLOOKUP(G476,CorMove,2,FALSE()),FALSE()),Q476-$CD$3,R476,$CD$5)*H476-CJ476</f>
        <v>#NAME?</v>
      </c>
      <c r="CE476" s="253" t="e">
        <f aca="false">xSPRDOPT((VLOOKUP(G476,NGPREVPRICES,2,FALSE())+HLOOKUP(D476,PREVCURVES,VLOOKUP(G476,MOVE_DOWN2,2,FALSE()),FALSE())),VLOOKUP(G476,NGPREVPRICES,2,FALSE()),CK476,VLOOKUP(G476,NGPrices,4,FALSE()),HLOOKUP(D476,PREVVOLS,VLOOKUP(G476,MOVE_DOWN2,2,FALSE()),FALSE()),VLOOKUP(G476,NGPREVPRICES,3,FALSE()),HLOOKUP(D476,Correllate,VLOOKUP(G476,CorMove,2,FALSE()),FALSE()),Q476-$CD$3,R476,$CJ$5)*H476-CJ476</f>
        <v>#NAME?</v>
      </c>
      <c r="CF476" s="132" t="e">
        <f aca="false">(CJ476/VLOOKUP(CC476,discount,3,FALSE()))-(CJ476/VLOOKUP(CC476,discount,2,FALSE()))</f>
        <v>#NAME?</v>
      </c>
      <c r="CG476" s="253" t="e">
        <f aca="false">xSPRDOPT((VLOOKUP(G476,NGPREVPRICES,2,FALSE())+HLOOKUP(D476,PREVCURVES,VLOOKUP(G476,MOVE_DOWN2,2,FALSE()),FALSE())),VLOOKUP(G476,NGPREVPRICES,2,FALSE()),CK476,VLOOKUP(G476,NGPREVPRICES,4,FALSE()),HLOOKUP(D476,VOLS,VLOOKUP(G476,move_down,2,FALSE()),FALSE()),VLOOKUP(G476,NGPrices,3,FALSE()),HLOOKUP(D476,Correllate,VLOOKUP(G476,CorMove,2,FALSE()),FALSE()),Q476-$CD$3,R476,$CJ$5)*H476-CJ476</f>
        <v>#NAME?</v>
      </c>
      <c r="CH476" s="253" t="e">
        <f aca="false">xSPRDOPT((VLOOKUP(G476,NGPREVPRICES,2,FALSE())+HLOOKUP(D476,PREVCURVES,VLOOKUP(G476,MOVE_DOWN2,2,FALSE()),FALSE())),VLOOKUP(G476,NGPREVPRICES,2,FALSE()),CK476,VLOOKUP(G476,NGPREVPRICES,4,FALSE()),HLOOKUP(D476,PREVVOLS,VLOOKUP(G476,MOVE_DOWN2,2,FALSE()),FALSE()),VLOOKUP(G476,NGPREVPRICES,3,FALSE()),HLOOKUP(D476,Correllate,VLOOKUP(G476,CorMove,2,FALSE()),FALSE()),Q476-$C$3,R476,$CJ$5)*H476-CJ476</f>
        <v>#NAME?</v>
      </c>
      <c r="CI476" s="253" t="e">
        <f aca="false">SUM(CD476:CH476)</f>
        <v>#NAME?</v>
      </c>
      <c r="CJ476" s="253" t="e">
        <f aca="false">xSPRDOPT((VLOOKUP(G476,NGPREVPRICES,2,FALSE())+HLOOKUP(D476,PREVCURVES,VLOOKUP(G476,MOVE_DOWN2,2,FALSE()),FALSE())),VLOOKUP(G476,NGPREVPRICES,2,FALSE()),CK476,VLOOKUP(G476,NGPREVPRICES,4,FALSE()),HLOOKUP(D476,PREVVOLS,VLOOKUP(G476,MOVE_DOWN2,2,FALSE()),FALSE()),VLOOKUP(G476,NGPREVPRICES,3,FALSE()),HLOOKUP(D476,Correllate,VLOOKUP(G476,CorMove,2,FALSE()),FALSE()),Q476-$CD$3,R476,$CJ$5)*H476</f>
        <v>#NAME?</v>
      </c>
      <c r="CK476" s="254" t="n">
        <f aca="false">I476</f>
        <v>0.15</v>
      </c>
      <c r="CM476" s="0" t="str">
        <f aca="false">CONCATENATE(CC476,$CD$6)</f>
        <v>36892Curve Shift/Gamma</v>
      </c>
      <c r="CN476" s="0" t="str">
        <f aca="false">CONCATENATE($CC476,$CE$6)</f>
        <v>36892Rho</v>
      </c>
      <c r="CO476" s="0" t="str">
        <f aca="false">CONCATENATE($CC476,$CF$6)</f>
        <v>36892Drift</v>
      </c>
      <c r="CP476" s="0" t="str">
        <f aca="false">CONCATENATE($CC476,$CG$6)</f>
        <v>36892Vega</v>
      </c>
      <c r="CQ476" s="0" t="str">
        <f aca="false">CONCATENATE($CC476,$CH$6)</f>
        <v>36892Theta</v>
      </c>
    </row>
    <row r="477" customFormat="false" ht="12.75" hidden="false" customHeight="false" outlineLevel="0" collapsed="false">
      <c r="A477" s="17" t="s">
        <v>345</v>
      </c>
      <c r="B477" s="0" t="s">
        <v>192</v>
      </c>
      <c r="C477" s="0" t="s">
        <v>361</v>
      </c>
      <c r="D477" s="7" t="s">
        <v>152</v>
      </c>
      <c r="E477" s="0" t="s">
        <v>131</v>
      </c>
      <c r="F477" s="0" t="s">
        <v>136</v>
      </c>
      <c r="G477" s="92" t="n">
        <v>36861</v>
      </c>
      <c r="H477" s="248" t="n">
        <v>-155000</v>
      </c>
      <c r="I477" s="0" t="n">
        <v>0.15</v>
      </c>
      <c r="J477" s="124" t="n">
        <f aca="false">VLOOKUP(G477,NGPrices,2,FALSE())</f>
        <v>4.8</v>
      </c>
      <c r="K477" s="125" t="n">
        <f aca="false">HLOOKUP(D477,Prices,VLOOKUP(G477,move_down,2,FALSE()),FALSE())+VLOOKUP(G477,CHANGE,HLOOKUP(D477,CHANGE,2,FALSE()),FALSE())</f>
        <v>0.1</v>
      </c>
      <c r="L477" s="124" t="n">
        <f aca="false">K477+J477</f>
        <v>4.9</v>
      </c>
      <c r="M477" s="126" t="n">
        <f aca="false">VLOOKUP(G477,NGPrices,4,FALSE())</f>
        <v>0.068314027999354</v>
      </c>
      <c r="N477" s="7" t="n">
        <f aca="false">VLOOKUP(G477,NGPrices,3,FALSE())</f>
        <v>0.6</v>
      </c>
      <c r="O477" s="7" t="n">
        <f aca="false">HLOOKUP(D477,VOLS,VLOOKUP(G477,move_down,2,FALSE()),FALSE())</f>
        <v>0.6</v>
      </c>
      <c r="P477" s="249" t="n">
        <f aca="false">HLOOKUP(D477,Correllate,VLOOKUP(G477,CorMove,2,FALSE()),FALSE())</f>
        <v>0.997</v>
      </c>
      <c r="Q477" s="92" t="n">
        <f aca="false">WORKDAY(G477,-2)</f>
        <v>36859</v>
      </c>
      <c r="R477" s="7" t="n">
        <f aca="false">IF(F477="P",0,1)</f>
        <v>1</v>
      </c>
      <c r="S477" s="130" t="e">
        <f aca="false">xSPRDOPT($L477,$J477,$I477,$M477,$O477,$N477,$P477,$Q477-$C$3,$R477,0)</f>
        <v>#NAME?</v>
      </c>
      <c r="T477" s="250" t="e">
        <f aca="false">xSPRDOPT($L477,$J477,$I477,$M477,$O477,$N477,$P477,$Q477-$C$3,$R477,1)*H477</f>
        <v>#NAME?</v>
      </c>
      <c r="U477" s="43" t="e">
        <f aca="false">S477*H477</f>
        <v>#NAME?</v>
      </c>
      <c r="V477" s="250" t="e">
        <f aca="false">xSPRDOPT($L477,$J477,$I477,$M477,$O477,$N477,$P477,$Q477-$C$3,$R477,2)*H477</f>
        <v>#NAME?</v>
      </c>
      <c r="W477" s="250" t="e">
        <f aca="false">+V477+T477</f>
        <v>#NAME?</v>
      </c>
      <c r="X477" s="2" t="str">
        <f aca="false">CONCATENATE(G477,D477)</f>
        <v>36861NGI/CHI. GATE</v>
      </c>
      <c r="Y477" s="251" t="n">
        <f aca="false">H477/10000</f>
        <v>-15.5</v>
      </c>
      <c r="Z477" s="226" t="e">
        <f aca="false">T477/H477</f>
        <v>#NAME?</v>
      </c>
      <c r="AA477" s="226" t="e">
        <f aca="false">xSPRDOPT($L477,$J477,$I477,$M477,$O477,$N477,$P477,$Q477-$C$3,$R477,3)</f>
        <v>#NAME?</v>
      </c>
      <c r="AB477" s="226" t="e">
        <f aca="false">((xSPRDOPT($L477+AB$5,$J477,$I477,$M477,$O477,$N477,$P477,$Q477-$C$3,$R477,3)*$H477)/10000)/100</f>
        <v>#NAME?</v>
      </c>
      <c r="AC477" s="226" t="e">
        <f aca="false">((xSPRDOPT($L477+$AB$5,$J477,$I477,$M477,$O477,$N477,$P477,$Q477-$C$3,$R477,7)*$H477)/100)</f>
        <v>#NAME?</v>
      </c>
      <c r="AD477" s="226" t="e">
        <f aca="false">(xSPRDOPT($L477+$AB$5,$J477,$I477,$M477,$O477,$N477,$P477,$Q477-$C$3,$R477,9)/365)*$H477</f>
        <v>#NAME?</v>
      </c>
      <c r="AE477" s="0" t="e">
        <f aca="false">CD477</f>
        <v>#NAME?</v>
      </c>
      <c r="AF477" s="226" t="e">
        <f aca="false">((O477/N477)*AH477)+AG477</f>
        <v>#NAME?</v>
      </c>
      <c r="AG477" s="226" t="e">
        <f aca="false">((xSPRDOPT($L477,$J477,$I477,$M477,$O477,$N477,$P477,$Q477-$C$3,$R477,6)*$H477)/100)</f>
        <v>#NAME?</v>
      </c>
      <c r="AH477" s="226" t="e">
        <f aca="false">((xSPRDOPT($L477,$J477,$I477,$M477,$O477,$N477,$P477,$Q477-$C$3,$R477,5)*$H477)/100)</f>
        <v>#NAME?</v>
      </c>
      <c r="AI477" s="226" t="e">
        <f aca="false">(((xSPRDOPT($L477,$J477,$I477,$M477,$O477,$N477,$P477,$Q477-$C$3,$R477,4)*$H477)/10000)/100)-AB477</f>
        <v>#NAME?</v>
      </c>
      <c r="AJ477" s="226"/>
      <c r="AK477" s="226"/>
      <c r="AL477" s="226"/>
      <c r="AM477" s="252"/>
      <c r="CC477" s="182" t="n">
        <f aca="false">G477</f>
        <v>36861</v>
      </c>
      <c r="CD477" s="253" t="e">
        <f aca="false">xSPRDOPT((VLOOKUP(G477,NGPrices,2,FALSE())+HLOOKUP(D477,Prices,VLOOKUP(G477,move_down,2,FALSE()),FALSE())),VLOOKUP(G477,NGPrices,2,FALSE()),I477,VLOOKUP(G477,NGPREVPRICES,4,FALSE()),HLOOKUP(D477,PREVVOLS,VLOOKUP(G477,MOVE_DOWN2,2,FALSE()),FALSE()),VLOOKUP(G477,NGPREVPRICES,3,FALSE()),HLOOKUP(D477,Correllate,VLOOKUP(G477,CorMove,2,FALSE()),FALSE()),Q477-$CD$3,R477,$CD$5)*H477-CJ477</f>
        <v>#NAME?</v>
      </c>
      <c r="CE477" s="253" t="e">
        <f aca="false">xSPRDOPT((VLOOKUP(G477,NGPREVPRICES,2,FALSE())+HLOOKUP(D477,PREVCURVES,VLOOKUP(G477,MOVE_DOWN2,2,FALSE()),FALSE())),VLOOKUP(G477,NGPREVPRICES,2,FALSE()),CK477,VLOOKUP(G477,NGPrices,4,FALSE()),HLOOKUP(D477,PREVVOLS,VLOOKUP(G477,MOVE_DOWN2,2,FALSE()),FALSE()),VLOOKUP(G477,NGPREVPRICES,3,FALSE()),HLOOKUP(D477,Correllate,VLOOKUP(G477,CorMove,2,FALSE()),FALSE()),Q477-$CD$3,R477,$CJ$5)*H477-CJ477</f>
        <v>#NAME?</v>
      </c>
      <c r="CF477" s="132" t="e">
        <f aca="false">(CJ477/VLOOKUP(CC477,discount,3,FALSE()))-(CJ477/VLOOKUP(CC477,discount,2,FALSE()))</f>
        <v>#NAME?</v>
      </c>
      <c r="CG477" s="253" t="e">
        <f aca="false">xSPRDOPT((VLOOKUP(G477,NGPREVPRICES,2,FALSE())+HLOOKUP(D477,PREVCURVES,VLOOKUP(G477,MOVE_DOWN2,2,FALSE()),FALSE())),VLOOKUP(G477,NGPREVPRICES,2,FALSE()),CK477,VLOOKUP(G477,NGPREVPRICES,4,FALSE()),HLOOKUP(D477,VOLS,VLOOKUP(G477,move_down,2,FALSE()),FALSE()),VLOOKUP(G477,NGPrices,3,FALSE()),HLOOKUP(D477,Correllate,VLOOKUP(G477,CorMove,2,FALSE()),FALSE()),Q477-$CD$3,R477,$CJ$5)*H477-CJ477</f>
        <v>#NAME?</v>
      </c>
      <c r="CH477" s="253" t="e">
        <f aca="false">xSPRDOPT((VLOOKUP(G477,NGPREVPRICES,2,FALSE())+HLOOKUP(D477,PREVCURVES,VLOOKUP(G477,MOVE_DOWN2,2,FALSE()),FALSE())),VLOOKUP(G477,NGPREVPRICES,2,FALSE()),CK477,VLOOKUP(G477,NGPREVPRICES,4,FALSE()),HLOOKUP(D477,PREVVOLS,VLOOKUP(G477,MOVE_DOWN2,2,FALSE()),FALSE()),VLOOKUP(G477,NGPREVPRICES,3,FALSE()),HLOOKUP(D477,Correllate,VLOOKUP(G477,CorMove,2,FALSE()),FALSE()),Q477-$C$3,R477,$CJ$5)*H477-CJ477</f>
        <v>#NAME?</v>
      </c>
      <c r="CI477" s="253" t="e">
        <f aca="false">SUM(CD477:CH477)</f>
        <v>#NAME?</v>
      </c>
      <c r="CJ477" s="253" t="e">
        <f aca="false">xSPRDOPT((VLOOKUP(G477,NGPREVPRICES,2,FALSE())+HLOOKUP(D477,PREVCURVES,VLOOKUP(G477,MOVE_DOWN2,2,FALSE()),FALSE())),VLOOKUP(G477,NGPREVPRICES,2,FALSE()),CK477,VLOOKUP(G477,NGPREVPRICES,4,FALSE()),HLOOKUP(D477,PREVVOLS,VLOOKUP(G477,MOVE_DOWN2,2,FALSE()),FALSE()),VLOOKUP(G477,NGPREVPRICES,3,FALSE()),HLOOKUP(D477,Correllate,VLOOKUP(G477,CorMove,2,FALSE()),FALSE()),Q477-$CD$3,R477,$CJ$5)*H477</f>
        <v>#NAME?</v>
      </c>
      <c r="CK477" s="254" t="n">
        <f aca="false">I477</f>
        <v>0.15</v>
      </c>
      <c r="CM477" s="0" t="str">
        <f aca="false">CONCATENATE(CC477,$CD$6)</f>
        <v>36861Curve Shift/Gamma</v>
      </c>
      <c r="CN477" s="0" t="str">
        <f aca="false">CONCATENATE($CC477,$CE$6)</f>
        <v>36861Rho</v>
      </c>
      <c r="CO477" s="0" t="str">
        <f aca="false">CONCATENATE($CC477,$CF$6)</f>
        <v>36861Drift</v>
      </c>
      <c r="CP477" s="0" t="str">
        <f aca="false">CONCATENATE($CC477,$CG$6)</f>
        <v>36861Vega</v>
      </c>
      <c r="CQ477" s="0" t="str">
        <f aca="false">CONCATENATE($CC477,$CH$6)</f>
        <v>36861Theta</v>
      </c>
    </row>
    <row r="478" customFormat="false" ht="12.75" hidden="false" customHeight="false" outlineLevel="0" collapsed="false">
      <c r="A478" s="17" t="s">
        <v>345</v>
      </c>
      <c r="B478" s="0" t="s">
        <v>192</v>
      </c>
      <c r="C478" s="0" t="s">
        <v>361</v>
      </c>
      <c r="D478" s="7" t="s">
        <v>152</v>
      </c>
      <c r="E478" s="0" t="s">
        <v>131</v>
      </c>
      <c r="F478" s="0" t="s">
        <v>136</v>
      </c>
      <c r="G478" s="92" t="n">
        <v>36831</v>
      </c>
      <c r="H478" s="248" t="n">
        <v>-150000</v>
      </c>
      <c r="I478" s="0" t="n">
        <v>0.15</v>
      </c>
      <c r="J478" s="124" t="n">
        <f aca="false">VLOOKUP(G478,NGPrices,2,FALSE())</f>
        <v>4.736</v>
      </c>
      <c r="K478" s="125" t="n">
        <f aca="false">HLOOKUP(D478,Prices,VLOOKUP(G478,move_down,2,FALSE()),FALSE())+VLOOKUP(G478,CHANGE,HLOOKUP(D478,CHANGE,2,FALSE()),FALSE())</f>
        <v>0.0875</v>
      </c>
      <c r="L478" s="124" t="n">
        <f aca="false">K478+J478</f>
        <v>4.8235</v>
      </c>
      <c r="M478" s="126" t="n">
        <f aca="false">VLOOKUP(G478,NGPrices,4,FALSE())</f>
        <v>0.06810675983792</v>
      </c>
      <c r="N478" s="7" t="n">
        <f aca="false">VLOOKUP(G478,NGPrices,3,FALSE())</f>
        <v>0.595</v>
      </c>
      <c r="O478" s="7" t="n">
        <f aca="false">HLOOKUP(D478,VOLS,VLOOKUP(G478,move_down,2,FALSE()),FALSE())</f>
        <v>0.595</v>
      </c>
      <c r="P478" s="249" t="n">
        <f aca="false">HLOOKUP(D478,Correllate,VLOOKUP(G478,CorMove,2,FALSE()),FALSE())</f>
        <v>0.997</v>
      </c>
      <c r="Q478" s="92" t="n">
        <f aca="false">WORKDAY(G478,-2)</f>
        <v>36829</v>
      </c>
      <c r="R478" s="7" t="n">
        <f aca="false">IF(F478="P",0,1)</f>
        <v>1</v>
      </c>
      <c r="S478" s="130" t="e">
        <f aca="false">xSPRDOPT($L478,$J478,$I478,$M478,$O478,$N478,$P478,$Q478-$C$3,$R478,0)</f>
        <v>#NAME?</v>
      </c>
      <c r="T478" s="250" t="e">
        <f aca="false">xSPRDOPT($L478,$J478,$I478,$M478,$O478,$N478,$P478,$Q478-$C$3,$R478,1)*H478</f>
        <v>#NAME?</v>
      </c>
      <c r="U478" s="43" t="e">
        <f aca="false">S478*H478</f>
        <v>#NAME?</v>
      </c>
      <c r="V478" s="250" t="e">
        <f aca="false">xSPRDOPT($L478,$J478,$I478,$M478,$O478,$N478,$P478,$Q478-$C$3,$R478,2)*H478</f>
        <v>#NAME?</v>
      </c>
      <c r="W478" s="250" t="e">
        <f aca="false">+V478+T478</f>
        <v>#NAME?</v>
      </c>
      <c r="X478" s="2" t="str">
        <f aca="false">CONCATENATE(G478,D478)</f>
        <v>36831NGI/CHI. GATE</v>
      </c>
      <c r="Y478" s="251" t="n">
        <f aca="false">H478/10000</f>
        <v>-15</v>
      </c>
      <c r="Z478" s="226" t="e">
        <f aca="false">T478/H478</f>
        <v>#NAME?</v>
      </c>
      <c r="AA478" s="226" t="e">
        <f aca="false">xSPRDOPT($L478,$J478,$I478,$M478,$O478,$N478,$P478,$Q478-$C$3,$R478,3)</f>
        <v>#NAME?</v>
      </c>
      <c r="AB478" s="226" t="e">
        <f aca="false">((xSPRDOPT($L478+AB$5,$J478,$I478,$M478,$O478,$N478,$P478,$Q478-$C$3,$R478,3)*$H478)/10000)/100</f>
        <v>#NAME?</v>
      </c>
      <c r="AC478" s="226" t="e">
        <f aca="false">((xSPRDOPT($L478+$AB$5,$J478,$I478,$M478,$O478,$N478,$P478,$Q478-$C$3,$R478,7)*$H478)/100)</f>
        <v>#NAME?</v>
      </c>
      <c r="AD478" s="226" t="e">
        <f aca="false">(xSPRDOPT($L478+$AB$5,$J478,$I478,$M478,$O478,$N478,$P478,$Q478-$C$3,$R478,9)/365)*$H478</f>
        <v>#NAME?</v>
      </c>
      <c r="AE478" s="0" t="e">
        <f aca="false">CD478</f>
        <v>#NAME?</v>
      </c>
      <c r="AF478" s="226" t="e">
        <f aca="false">((O478/N478)*AH478)+AG478</f>
        <v>#NAME?</v>
      </c>
      <c r="AG478" s="226" t="e">
        <f aca="false">((xSPRDOPT($L478,$J478,$I478,$M478,$O478,$N478,$P478,$Q478-$C$3,$R478,6)*$H478)/100)</f>
        <v>#NAME?</v>
      </c>
      <c r="AH478" s="226" t="e">
        <f aca="false">((xSPRDOPT($L478,$J478,$I478,$M478,$O478,$N478,$P478,$Q478-$C$3,$R478,5)*$H478)/100)</f>
        <v>#NAME?</v>
      </c>
      <c r="AI478" s="226" t="e">
        <f aca="false">(((xSPRDOPT($L478,$J478,$I478,$M478,$O478,$N478,$P478,$Q478-$C$3,$R478,4)*$H478)/10000)/100)-AB478</f>
        <v>#NAME?</v>
      </c>
      <c r="AJ478" s="226"/>
      <c r="AK478" s="226"/>
      <c r="AL478" s="226"/>
      <c r="AM478" s="252"/>
      <c r="CC478" s="182" t="n">
        <f aca="false">G478</f>
        <v>36831</v>
      </c>
      <c r="CD478" s="253" t="e">
        <f aca="false">xSPRDOPT((VLOOKUP(G478,NGPrices,2,FALSE())+HLOOKUP(D478,Prices,VLOOKUP(G478,move_down,2,FALSE()),FALSE())),VLOOKUP(G478,NGPrices,2,FALSE()),I478,VLOOKUP(G478,NGPREVPRICES,4,FALSE()),HLOOKUP(D478,PREVVOLS,VLOOKUP(G478,MOVE_DOWN2,2,FALSE()),FALSE()),VLOOKUP(G478,NGPREVPRICES,3,FALSE()),HLOOKUP(D478,Correllate,VLOOKUP(G478,CorMove,2,FALSE()),FALSE()),Q478-$CD$3,R478,$CD$5)*H478-CJ478</f>
        <v>#NAME?</v>
      </c>
      <c r="CE478" s="253" t="e">
        <f aca="false">xSPRDOPT((VLOOKUP(G478,NGPREVPRICES,2,FALSE())+HLOOKUP(D478,PREVCURVES,VLOOKUP(G478,MOVE_DOWN2,2,FALSE()),FALSE())),VLOOKUP(G478,NGPREVPRICES,2,FALSE()),CK478,VLOOKUP(G478,NGPrices,4,FALSE()),HLOOKUP(D478,PREVVOLS,VLOOKUP(G478,MOVE_DOWN2,2,FALSE()),FALSE()),VLOOKUP(G478,NGPREVPRICES,3,FALSE()),HLOOKUP(D478,Correllate,VLOOKUP(G478,CorMove,2,FALSE()),FALSE()),Q478-$CD$3,R478,$CJ$5)*H478-CJ478</f>
        <v>#NAME?</v>
      </c>
      <c r="CF478" s="132" t="e">
        <f aca="false">(CJ478/VLOOKUP(CC478,discount,3,FALSE()))-(CJ478/VLOOKUP(CC478,discount,2,FALSE()))</f>
        <v>#NAME?</v>
      </c>
      <c r="CG478" s="253" t="e">
        <f aca="false">xSPRDOPT((VLOOKUP(G478,NGPREVPRICES,2,FALSE())+HLOOKUP(D478,PREVCURVES,VLOOKUP(G478,MOVE_DOWN2,2,FALSE()),FALSE())),VLOOKUP(G478,NGPREVPRICES,2,FALSE()),CK478,VLOOKUP(G478,NGPREVPRICES,4,FALSE()),HLOOKUP(D478,VOLS,VLOOKUP(G478,move_down,2,FALSE()),FALSE()),VLOOKUP(G478,NGPrices,3,FALSE()),HLOOKUP(D478,Correllate,VLOOKUP(G478,CorMove,2,FALSE()),FALSE()),Q478-$CD$3,R478,$CJ$5)*H478-CJ478</f>
        <v>#NAME?</v>
      </c>
      <c r="CH478" s="253" t="e">
        <f aca="false">xSPRDOPT((VLOOKUP(G478,NGPREVPRICES,2,FALSE())+HLOOKUP(D478,PREVCURVES,VLOOKUP(G478,MOVE_DOWN2,2,FALSE()),FALSE())),VLOOKUP(G478,NGPREVPRICES,2,FALSE()),CK478,VLOOKUP(G478,NGPREVPRICES,4,FALSE()),HLOOKUP(D478,PREVVOLS,VLOOKUP(G478,MOVE_DOWN2,2,FALSE()),FALSE()),VLOOKUP(G478,NGPREVPRICES,3,FALSE()),HLOOKUP(D478,Correllate,VLOOKUP(G478,CorMove,2,FALSE()),FALSE()),Q478-$C$3,R478,$CJ$5)*H478-CJ478</f>
        <v>#NAME?</v>
      </c>
      <c r="CI478" s="253" t="e">
        <f aca="false">SUM(CD478:CH478)</f>
        <v>#NAME?</v>
      </c>
      <c r="CJ478" s="253" t="e">
        <f aca="false">xSPRDOPT((VLOOKUP(G478,NGPREVPRICES,2,FALSE())+HLOOKUP(D478,PREVCURVES,VLOOKUP(G478,MOVE_DOWN2,2,FALSE()),FALSE())),VLOOKUP(G478,NGPREVPRICES,2,FALSE()),CK478,VLOOKUP(G478,NGPREVPRICES,4,FALSE()),HLOOKUP(D478,PREVVOLS,VLOOKUP(G478,MOVE_DOWN2,2,FALSE()),FALSE()),VLOOKUP(G478,NGPREVPRICES,3,FALSE()),HLOOKUP(D478,Correllate,VLOOKUP(G478,CorMove,2,FALSE()),FALSE()),Q478-$CD$3,R478,$CJ$5)*H478</f>
        <v>#NAME?</v>
      </c>
      <c r="CK478" s="254" t="n">
        <f aca="false">I478</f>
        <v>0.15</v>
      </c>
      <c r="CM478" s="0" t="str">
        <f aca="false">CONCATENATE(CC478,$CD$6)</f>
        <v>36831Curve Shift/Gamma</v>
      </c>
      <c r="CN478" s="0" t="str">
        <f aca="false">CONCATENATE($CC478,$CE$6)</f>
        <v>36831Rho</v>
      </c>
      <c r="CO478" s="0" t="str">
        <f aca="false">CONCATENATE($CC478,$CF$6)</f>
        <v>36831Drift</v>
      </c>
      <c r="CP478" s="0" t="str">
        <f aca="false">CONCATENATE($CC478,$CG$6)</f>
        <v>36831Vega</v>
      </c>
      <c r="CQ478" s="0" t="str">
        <f aca="false">CONCATENATE($CC478,$CH$6)</f>
        <v>36831Theta</v>
      </c>
    </row>
    <row r="479" customFormat="false" ht="12.75" hidden="false" customHeight="false" outlineLevel="0" collapsed="false">
      <c r="A479" s="17" t="s">
        <v>198</v>
      </c>
      <c r="B479" s="0" t="s">
        <v>192</v>
      </c>
      <c r="C479" s="0" t="s">
        <v>362</v>
      </c>
      <c r="D479" s="7" t="s">
        <v>137</v>
      </c>
      <c r="E479" s="0" t="s">
        <v>131</v>
      </c>
      <c r="F479" s="0" t="s">
        <v>136</v>
      </c>
      <c r="G479" s="92" t="n">
        <v>36951</v>
      </c>
      <c r="H479" s="248" t="n">
        <v>1000000</v>
      </c>
      <c r="I479" s="0" t="n">
        <v>0.3</v>
      </c>
      <c r="J479" s="124" t="n">
        <f aca="false">VLOOKUP(G479,NGPrices,2,FALSE())</f>
        <v>4.213</v>
      </c>
      <c r="K479" s="125" t="n">
        <f aca="false">HLOOKUP(D479,Prices,VLOOKUP(G479,move_down,2,FALSE()),FALSE())+VLOOKUP(G479,CHANGE,HLOOKUP(D479,CHANGE,2,FALSE()),FALSE())</f>
        <v>0.5975</v>
      </c>
      <c r="L479" s="124" t="n">
        <f aca="false">K479+J479</f>
        <v>4.8105</v>
      </c>
      <c r="M479" s="126" t="n">
        <f aca="false">VLOOKUP(G479,NGPrices,4,FALSE())</f>
        <v>0.068879814952707</v>
      </c>
      <c r="N479" s="7" t="n">
        <f aca="false">VLOOKUP(G479,NGPrices,3,FALSE())</f>
        <v>0.5325</v>
      </c>
      <c r="O479" s="7" t="n">
        <f aca="false">HLOOKUP(D479,VOLS,VLOOKUP(G479,move_down,2,FALSE()),FALSE())</f>
        <v>0.517</v>
      </c>
      <c r="P479" s="249" t="n">
        <f aca="false">HLOOKUP(D479,Correllate,VLOOKUP(G479,CorMove,2,FALSE()),FALSE())</f>
        <v>0.85</v>
      </c>
      <c r="Q479" s="92" t="n">
        <f aca="false">WORKDAY(G479,-2)</f>
        <v>36949</v>
      </c>
      <c r="R479" s="7" t="n">
        <f aca="false">IF(F479="P",0,1)</f>
        <v>1</v>
      </c>
      <c r="S479" s="130" t="e">
        <f aca="false">xSPRDOPT($L479,$J479,$I479,$M479,$O479,$N479,$P479,$Q479-$C$3,$R479,0)</f>
        <v>#NAME?</v>
      </c>
      <c r="T479" s="250" t="e">
        <f aca="false">xSPRDOPT($L479,$J479,$I479,$M479,$O479,$N479,$P479,$Q479-$C$3,$R479,1)*H479</f>
        <v>#NAME?</v>
      </c>
      <c r="U479" s="43" t="e">
        <f aca="false">S479*H479</f>
        <v>#NAME?</v>
      </c>
      <c r="V479" s="250" t="e">
        <f aca="false">xSPRDOPT($L479,$J479,$I479,$M479,$O479,$N479,$P479,$Q479-$C$3,$R479,2)*H479</f>
        <v>#NAME?</v>
      </c>
      <c r="W479" s="250" t="e">
        <f aca="false">+V479+T479</f>
        <v>#NAME?</v>
      </c>
      <c r="X479" s="2" t="str">
        <f aca="false">CONCATENATE(G479,D479)</f>
        <v>36951NGI-SOCAL</v>
      </c>
      <c r="Y479" s="251" t="n">
        <f aca="false">H479/10000</f>
        <v>100</v>
      </c>
      <c r="Z479" s="226" t="e">
        <f aca="false">T479/H479</f>
        <v>#NAME?</v>
      </c>
      <c r="AA479" s="226" t="e">
        <f aca="false">xSPRDOPT($L479,$J479,$I479,$M479,$O479,$N479,$P479,$Q479-$C$3,$R479,3)</f>
        <v>#NAME?</v>
      </c>
      <c r="AB479" s="226" t="e">
        <f aca="false">((xSPRDOPT($L479+AB$5,$J479,$I479,$M479,$O479,$N479,$P479,$Q479-$C$3,$R479,3)*$H479)/10000)/100</f>
        <v>#NAME?</v>
      </c>
      <c r="AC479" s="226" t="e">
        <f aca="false">((xSPRDOPT($L479+$AB$5,$J479,$I479,$M479,$O479,$N479,$P479,$Q479-$C$3,$R479,7)*$H479)/100)</f>
        <v>#NAME?</v>
      </c>
      <c r="AD479" s="226" t="e">
        <f aca="false">(xSPRDOPT($L479+$AB$5,$J479,$I479,$M479,$O479,$N479,$P479,$Q479-$C$3,$R479,9)/365)*$H479</f>
        <v>#NAME?</v>
      </c>
      <c r="AE479" s="0" t="e">
        <f aca="false">CD479</f>
        <v>#NAME?</v>
      </c>
      <c r="AF479" s="226" t="e">
        <f aca="false">((O479/N479)*AH479)+AG479</f>
        <v>#NAME?</v>
      </c>
      <c r="AG479" s="226" t="e">
        <f aca="false">((xSPRDOPT($L479,$J479,$I479,$M479,$O479,$N479,$P479,$Q479-$C$3,$R479,6)*$H479)/100)</f>
        <v>#NAME?</v>
      </c>
      <c r="AH479" s="226" t="e">
        <f aca="false">((xSPRDOPT($L479,$J479,$I479,$M479,$O479,$N479,$P479,$Q479-$C$3,$R479,5)*$H479)/100)</f>
        <v>#NAME?</v>
      </c>
      <c r="AI479" s="226" t="e">
        <f aca="false">(((xSPRDOPT($L479,$J479,$I479,$M479,$O479,$N479,$P479,$Q479-$C$3,$R479,4)*$H479)/10000)/100)-AB479</f>
        <v>#NAME?</v>
      </c>
      <c r="AJ479" s="226"/>
      <c r="AK479" s="226"/>
      <c r="AL479" s="226"/>
      <c r="AM479" s="252"/>
      <c r="CC479" s="182" t="n">
        <f aca="false">G479</f>
        <v>36951</v>
      </c>
      <c r="CD479" s="253" t="e">
        <f aca="false">xSPRDOPT((VLOOKUP(G479,NGPrices,2,FALSE())+HLOOKUP(D479,Prices,VLOOKUP(G479,move_down,2,FALSE()),FALSE())),VLOOKUP(G479,NGPrices,2,FALSE()),I479,VLOOKUP(G479,NGPREVPRICES,4,FALSE()),HLOOKUP(D479,PREVVOLS,VLOOKUP(G479,MOVE_DOWN2,2,FALSE()),FALSE()),VLOOKUP(G479,NGPREVPRICES,3,FALSE()),HLOOKUP(D479,Correllate,VLOOKUP(G479,CorMove,2,FALSE()),FALSE()),Q479-$CD$3,R479,$CD$5)*H479-CJ479</f>
        <v>#NAME?</v>
      </c>
      <c r="CE479" s="253" t="e">
        <f aca="false">xSPRDOPT((VLOOKUP(G479,NGPREVPRICES,2,FALSE())+HLOOKUP(D479,PREVCURVES,VLOOKUP(G479,MOVE_DOWN2,2,FALSE()),FALSE())),VLOOKUP(G479,NGPREVPRICES,2,FALSE()),CK479,VLOOKUP(G479,NGPrices,4,FALSE()),HLOOKUP(D479,PREVVOLS,VLOOKUP(G479,MOVE_DOWN2,2,FALSE()),FALSE()),VLOOKUP(G479,NGPREVPRICES,3,FALSE()),HLOOKUP(D479,Correllate,VLOOKUP(G479,CorMove,2,FALSE()),FALSE()),Q479-$CD$3,R479,$CJ$5)*H479-CJ479</f>
        <v>#NAME?</v>
      </c>
      <c r="CF479" s="132" t="e">
        <f aca="false">(CJ479/VLOOKUP(CC479,discount,3,FALSE()))-(CJ479/VLOOKUP(CC479,discount,2,FALSE()))</f>
        <v>#NAME?</v>
      </c>
      <c r="CG479" s="253" t="e">
        <f aca="false">xSPRDOPT((VLOOKUP(G479,NGPREVPRICES,2,FALSE())+HLOOKUP(D479,PREVCURVES,VLOOKUP(G479,MOVE_DOWN2,2,FALSE()),FALSE())),VLOOKUP(G479,NGPREVPRICES,2,FALSE()),CK479,VLOOKUP(G479,NGPREVPRICES,4,FALSE()),HLOOKUP(D479,VOLS,VLOOKUP(G479,move_down,2,FALSE()),FALSE()),VLOOKUP(G479,NGPrices,3,FALSE()),HLOOKUP(D479,Correllate,VLOOKUP(G479,CorMove,2,FALSE()),FALSE()),Q479-$CD$3,R479,$CJ$5)*H479-CJ479</f>
        <v>#NAME?</v>
      </c>
      <c r="CH479" s="253" t="e">
        <f aca="false">xSPRDOPT((VLOOKUP(G479,NGPREVPRICES,2,FALSE())+HLOOKUP(D479,PREVCURVES,VLOOKUP(G479,MOVE_DOWN2,2,FALSE()),FALSE())),VLOOKUP(G479,NGPREVPRICES,2,FALSE()),CK479,VLOOKUP(G479,NGPREVPRICES,4,FALSE()),HLOOKUP(D479,PREVVOLS,VLOOKUP(G479,MOVE_DOWN2,2,FALSE()),FALSE()),VLOOKUP(G479,NGPREVPRICES,3,FALSE()),HLOOKUP(D479,Correllate,VLOOKUP(G479,CorMove,2,FALSE()),FALSE()),Q479-$C$3,R479,$CJ$5)*H479-CJ479</f>
        <v>#NAME?</v>
      </c>
      <c r="CI479" s="253" t="e">
        <f aca="false">SUM(CD479:CH479)</f>
        <v>#NAME?</v>
      </c>
      <c r="CJ479" s="253" t="e">
        <f aca="false">xSPRDOPT((VLOOKUP(G479,NGPREVPRICES,2,FALSE())+HLOOKUP(D479,PREVCURVES,VLOOKUP(G479,MOVE_DOWN2,2,FALSE()),FALSE())),VLOOKUP(G479,NGPREVPRICES,2,FALSE()),CK479,VLOOKUP(G479,NGPREVPRICES,4,FALSE()),HLOOKUP(D479,PREVVOLS,VLOOKUP(G479,MOVE_DOWN2,2,FALSE()),FALSE()),VLOOKUP(G479,NGPREVPRICES,3,FALSE()),HLOOKUP(D479,Correllate,VLOOKUP(G479,CorMove,2,FALSE()),FALSE()),Q479-$CD$3,R479,$CJ$5)*H479</f>
        <v>#NAME?</v>
      </c>
      <c r="CK479" s="254" t="n">
        <f aca="false">I479</f>
        <v>0.3</v>
      </c>
      <c r="CM479" s="0" t="str">
        <f aca="false">CONCATENATE(CC479,$CD$6)</f>
        <v>36951Curve Shift/Gamma</v>
      </c>
      <c r="CN479" s="0" t="str">
        <f aca="false">CONCATENATE($CC479,$CE$6)</f>
        <v>36951Rho</v>
      </c>
      <c r="CO479" s="0" t="str">
        <f aca="false">CONCATENATE($CC479,$CF$6)</f>
        <v>36951Drift</v>
      </c>
      <c r="CP479" s="0" t="str">
        <f aca="false">CONCATENATE($CC479,$CG$6)</f>
        <v>36951Vega</v>
      </c>
      <c r="CQ479" s="0" t="str">
        <f aca="false">CONCATENATE($CC479,$CH$6)</f>
        <v>36951Theta</v>
      </c>
    </row>
    <row r="480" customFormat="false" ht="12.75" hidden="false" customHeight="false" outlineLevel="0" collapsed="false">
      <c r="A480" s="17" t="s">
        <v>198</v>
      </c>
      <c r="B480" s="0" t="s">
        <v>192</v>
      </c>
      <c r="C480" s="0" t="s">
        <v>362</v>
      </c>
      <c r="D480" s="7" t="s">
        <v>137</v>
      </c>
      <c r="E480" s="0" t="s">
        <v>131</v>
      </c>
      <c r="F480" s="0" t="s">
        <v>136</v>
      </c>
      <c r="G480" s="92" t="n">
        <v>36923</v>
      </c>
      <c r="H480" s="248" t="n">
        <v>1000000</v>
      </c>
      <c r="I480" s="0" t="n">
        <v>0.3</v>
      </c>
      <c r="J480" s="124" t="n">
        <f aca="false">VLOOKUP(G480,NGPrices,2,FALSE())</f>
        <v>4.48</v>
      </c>
      <c r="K480" s="125" t="n">
        <f aca="false">HLOOKUP(D480,Prices,VLOOKUP(G480,move_down,2,FALSE()),FALSE())+VLOOKUP(G480,CHANGE,HLOOKUP(D480,CHANGE,2,FALSE()),FALSE())</f>
        <v>0.6175</v>
      </c>
      <c r="L480" s="124" t="n">
        <f aca="false">K480+J480</f>
        <v>5.0975</v>
      </c>
      <c r="M480" s="126" t="n">
        <f aca="false">VLOOKUP(G480,NGPrices,4,FALSE())</f>
        <v>0.068640161611372</v>
      </c>
      <c r="N480" s="7" t="n">
        <f aca="false">VLOOKUP(G480,NGPrices,3,FALSE())</f>
        <v>0.5925</v>
      </c>
      <c r="O480" s="7" t="n">
        <f aca="false">HLOOKUP(D480,VOLS,VLOOKUP(G480,move_down,2,FALSE()),FALSE())</f>
        <v>0.575</v>
      </c>
      <c r="P480" s="249" t="n">
        <f aca="false">HLOOKUP(D480,Correllate,VLOOKUP(G480,CorMove,2,FALSE()),FALSE())</f>
        <v>0.85</v>
      </c>
      <c r="Q480" s="92" t="n">
        <f aca="false">WORKDAY(G480,-2)</f>
        <v>36921</v>
      </c>
      <c r="R480" s="7" t="n">
        <f aca="false">IF(F480="P",0,1)</f>
        <v>1</v>
      </c>
      <c r="S480" s="130" t="e">
        <f aca="false">xSPRDOPT($L480,$J480,$I480,$M480,$O480,$N480,$P480,$Q480-$C$3,$R480,0)</f>
        <v>#NAME?</v>
      </c>
      <c r="T480" s="250" t="e">
        <f aca="false">xSPRDOPT($L480,$J480,$I480,$M480,$O480,$N480,$P480,$Q480-$C$3,$R480,1)*H480</f>
        <v>#NAME?</v>
      </c>
      <c r="U480" s="43" t="e">
        <f aca="false">S480*H480</f>
        <v>#NAME?</v>
      </c>
      <c r="V480" s="250" t="e">
        <f aca="false">xSPRDOPT($L480,$J480,$I480,$M480,$O480,$N480,$P480,$Q480-$C$3,$R480,2)*H480</f>
        <v>#NAME?</v>
      </c>
      <c r="W480" s="250" t="e">
        <f aca="false">+V480+T480</f>
        <v>#NAME?</v>
      </c>
      <c r="X480" s="2" t="str">
        <f aca="false">CONCATENATE(G480,D480)</f>
        <v>36923NGI-SOCAL</v>
      </c>
      <c r="Y480" s="251" t="n">
        <f aca="false">H480/10000</f>
        <v>100</v>
      </c>
      <c r="Z480" s="226" t="e">
        <f aca="false">T480/H480</f>
        <v>#NAME?</v>
      </c>
      <c r="AA480" s="226" t="e">
        <f aca="false">xSPRDOPT($L480,$J480,$I480,$M480,$O480,$N480,$P480,$Q480-$C$3,$R480,3)</f>
        <v>#NAME?</v>
      </c>
      <c r="AB480" s="226" t="e">
        <f aca="false">((xSPRDOPT($L480+AB$5,$J480,$I480,$M480,$O480,$N480,$P480,$Q480-$C$3,$R480,3)*$H480)/10000)/100</f>
        <v>#NAME?</v>
      </c>
      <c r="AC480" s="226" t="e">
        <f aca="false">((xSPRDOPT($L480+$AB$5,$J480,$I480,$M480,$O480,$N480,$P480,$Q480-$C$3,$R480,7)*$H480)/100)</f>
        <v>#NAME?</v>
      </c>
      <c r="AD480" s="226" t="e">
        <f aca="false">(xSPRDOPT($L480+$AB$5,$J480,$I480,$M480,$O480,$N480,$P480,$Q480-$C$3,$R480,9)/365)*$H480</f>
        <v>#NAME?</v>
      </c>
      <c r="AE480" s="0" t="e">
        <f aca="false">CD480</f>
        <v>#NAME?</v>
      </c>
      <c r="AF480" s="226" t="e">
        <f aca="false">((O480/N480)*AH480)+AG480</f>
        <v>#NAME?</v>
      </c>
      <c r="AG480" s="226" t="e">
        <f aca="false">((xSPRDOPT($L480,$J480,$I480,$M480,$O480,$N480,$P480,$Q480-$C$3,$R480,6)*$H480)/100)</f>
        <v>#NAME?</v>
      </c>
      <c r="AH480" s="226" t="e">
        <f aca="false">((xSPRDOPT($L480,$J480,$I480,$M480,$O480,$N480,$P480,$Q480-$C$3,$R480,5)*$H480)/100)</f>
        <v>#NAME?</v>
      </c>
      <c r="AI480" s="226" t="e">
        <f aca="false">(((xSPRDOPT($L480,$J480,$I480,$M480,$O480,$N480,$P480,$Q480-$C$3,$R480,4)*$H480)/10000)/100)-AB480</f>
        <v>#NAME?</v>
      </c>
      <c r="AJ480" s="226"/>
      <c r="AK480" s="226"/>
      <c r="AL480" s="226"/>
      <c r="AM480" s="252"/>
      <c r="CC480" s="182" t="n">
        <f aca="false">G480</f>
        <v>36923</v>
      </c>
      <c r="CD480" s="253" t="e">
        <f aca="false">xSPRDOPT((VLOOKUP(G480,NGPrices,2,FALSE())+HLOOKUP(D480,Prices,VLOOKUP(G480,move_down,2,FALSE()),FALSE())),VLOOKUP(G480,NGPrices,2,FALSE()),I480,VLOOKUP(G480,NGPREVPRICES,4,FALSE()),HLOOKUP(D480,PREVVOLS,VLOOKUP(G480,MOVE_DOWN2,2,FALSE()),FALSE()),VLOOKUP(G480,NGPREVPRICES,3,FALSE()),HLOOKUP(D480,Correllate,VLOOKUP(G480,CorMove,2,FALSE()),FALSE()),Q480-$CD$3,R480,$CD$5)*H480-CJ480</f>
        <v>#NAME?</v>
      </c>
      <c r="CE480" s="253" t="e">
        <f aca="false">xSPRDOPT((VLOOKUP(G480,NGPREVPRICES,2,FALSE())+HLOOKUP(D480,PREVCURVES,VLOOKUP(G480,MOVE_DOWN2,2,FALSE()),FALSE())),VLOOKUP(G480,NGPREVPRICES,2,FALSE()),CK480,VLOOKUP(G480,NGPrices,4,FALSE()),HLOOKUP(D480,PREVVOLS,VLOOKUP(G480,MOVE_DOWN2,2,FALSE()),FALSE()),VLOOKUP(G480,NGPREVPRICES,3,FALSE()),HLOOKUP(D480,Correllate,VLOOKUP(G480,CorMove,2,FALSE()),FALSE()),Q480-$CD$3,R480,$CJ$5)*H480-CJ480</f>
        <v>#NAME?</v>
      </c>
      <c r="CF480" s="132" t="e">
        <f aca="false">(CJ480/VLOOKUP(CC480,discount,3,FALSE()))-(CJ480/VLOOKUP(CC480,discount,2,FALSE()))</f>
        <v>#NAME?</v>
      </c>
      <c r="CG480" s="253" t="e">
        <f aca="false">xSPRDOPT((VLOOKUP(G480,NGPREVPRICES,2,FALSE())+HLOOKUP(D480,PREVCURVES,VLOOKUP(G480,MOVE_DOWN2,2,FALSE()),FALSE())),VLOOKUP(G480,NGPREVPRICES,2,FALSE()),CK480,VLOOKUP(G480,NGPREVPRICES,4,FALSE()),HLOOKUP(D480,VOLS,VLOOKUP(G480,move_down,2,FALSE()),FALSE()),VLOOKUP(G480,NGPrices,3,FALSE()),HLOOKUP(D480,Correllate,VLOOKUP(G480,CorMove,2,FALSE()),FALSE()),Q480-$CD$3,R480,$CJ$5)*H480-CJ480</f>
        <v>#NAME?</v>
      </c>
      <c r="CH480" s="253" t="e">
        <f aca="false">xSPRDOPT((VLOOKUP(G480,NGPREVPRICES,2,FALSE())+HLOOKUP(D480,PREVCURVES,VLOOKUP(G480,MOVE_DOWN2,2,FALSE()),FALSE())),VLOOKUP(G480,NGPREVPRICES,2,FALSE()),CK480,VLOOKUP(G480,NGPREVPRICES,4,FALSE()),HLOOKUP(D480,PREVVOLS,VLOOKUP(G480,MOVE_DOWN2,2,FALSE()),FALSE()),VLOOKUP(G480,NGPREVPRICES,3,FALSE()),HLOOKUP(D480,Correllate,VLOOKUP(G480,CorMove,2,FALSE()),FALSE()),Q480-$C$3,R480,$CJ$5)*H480-CJ480</f>
        <v>#NAME?</v>
      </c>
      <c r="CI480" s="253" t="e">
        <f aca="false">SUM(CD480:CH480)</f>
        <v>#NAME?</v>
      </c>
      <c r="CJ480" s="253" t="e">
        <f aca="false">xSPRDOPT((VLOOKUP(G480,NGPREVPRICES,2,FALSE())+HLOOKUP(D480,PREVCURVES,VLOOKUP(G480,MOVE_DOWN2,2,FALSE()),FALSE())),VLOOKUP(G480,NGPREVPRICES,2,FALSE()),CK480,VLOOKUP(G480,NGPREVPRICES,4,FALSE()),HLOOKUP(D480,PREVVOLS,VLOOKUP(G480,MOVE_DOWN2,2,FALSE()),FALSE()),VLOOKUP(G480,NGPREVPRICES,3,FALSE()),HLOOKUP(D480,Correllate,VLOOKUP(G480,CorMove,2,FALSE()),FALSE()),Q480-$CD$3,R480,$CJ$5)*H480</f>
        <v>#NAME?</v>
      </c>
      <c r="CK480" s="254" t="n">
        <f aca="false">I480</f>
        <v>0.3</v>
      </c>
      <c r="CM480" s="0" t="str">
        <f aca="false">CONCATENATE(CC480,$CD$6)</f>
        <v>36923Curve Shift/Gamma</v>
      </c>
      <c r="CN480" s="0" t="str">
        <f aca="false">CONCATENATE($CC480,$CE$6)</f>
        <v>36923Rho</v>
      </c>
      <c r="CO480" s="0" t="str">
        <f aca="false">CONCATENATE($CC480,$CF$6)</f>
        <v>36923Drift</v>
      </c>
      <c r="CP480" s="0" t="str">
        <f aca="false">CONCATENATE($CC480,$CG$6)</f>
        <v>36923Vega</v>
      </c>
      <c r="CQ480" s="0" t="str">
        <f aca="false">CONCATENATE($CC480,$CH$6)</f>
        <v>36923Theta</v>
      </c>
    </row>
    <row r="481" customFormat="false" ht="12.75" hidden="false" customHeight="false" outlineLevel="0" collapsed="false">
      <c r="A481" s="17" t="s">
        <v>198</v>
      </c>
      <c r="B481" s="0" t="s">
        <v>192</v>
      </c>
      <c r="C481" s="0" t="s">
        <v>362</v>
      </c>
      <c r="D481" s="7" t="s">
        <v>137</v>
      </c>
      <c r="E481" s="0" t="s">
        <v>131</v>
      </c>
      <c r="F481" s="0" t="s">
        <v>136</v>
      </c>
      <c r="G481" s="92" t="n">
        <v>36892</v>
      </c>
      <c r="H481" s="248" t="n">
        <v>1000000</v>
      </c>
      <c r="I481" s="0" t="n">
        <v>0.3</v>
      </c>
      <c r="J481" s="124" t="n">
        <f aca="false">VLOOKUP(G481,NGPrices,2,FALSE())</f>
        <v>4.744</v>
      </c>
      <c r="K481" s="125" t="n">
        <f aca="false">HLOOKUP(D481,Prices,VLOOKUP(G481,move_down,2,FALSE()),FALSE())+VLOOKUP(G481,CHANGE,HLOOKUP(D481,CHANGE,2,FALSE()),FALSE())</f>
        <v>0.7675</v>
      </c>
      <c r="L481" s="124" t="n">
        <f aca="false">K481+J481</f>
        <v>5.5115</v>
      </c>
      <c r="M481" s="126" t="n">
        <f aca="false">VLOOKUP(G481,NGPrices,4,FALSE())</f>
        <v>0.068374831148491</v>
      </c>
      <c r="N481" s="7" t="n">
        <f aca="false">VLOOKUP(G481,NGPrices,3,FALSE())</f>
        <v>0.605</v>
      </c>
      <c r="O481" s="7" t="n">
        <f aca="false">HLOOKUP(D481,VOLS,VLOOKUP(G481,move_down,2,FALSE()),FALSE())</f>
        <v>0.587</v>
      </c>
      <c r="P481" s="249" t="n">
        <f aca="false">HLOOKUP(D481,Correllate,VLOOKUP(G481,CorMove,2,FALSE()),FALSE())</f>
        <v>0.85</v>
      </c>
      <c r="Q481" s="92" t="n">
        <f aca="false">WORKDAY(G481,-2)</f>
        <v>36888</v>
      </c>
      <c r="R481" s="7" t="n">
        <f aca="false">IF(F481="P",0,1)</f>
        <v>1</v>
      </c>
      <c r="S481" s="130" t="e">
        <f aca="false">xSPRDOPT($L481,$J481,$I481,$M481,$O481,$N481,$P481,$Q481-$C$3,$R481,0)</f>
        <v>#NAME?</v>
      </c>
      <c r="T481" s="250" t="e">
        <f aca="false">xSPRDOPT($L481,$J481,$I481,$M481,$O481,$N481,$P481,$Q481-$C$3,$R481,1)*H481</f>
        <v>#NAME?</v>
      </c>
      <c r="U481" s="43" t="e">
        <f aca="false">S481*H481</f>
        <v>#NAME?</v>
      </c>
      <c r="V481" s="250" t="e">
        <f aca="false">xSPRDOPT($L481,$J481,$I481,$M481,$O481,$N481,$P481,$Q481-$C$3,$R481,2)*H481</f>
        <v>#NAME?</v>
      </c>
      <c r="W481" s="250" t="e">
        <f aca="false">+V481+T481</f>
        <v>#NAME?</v>
      </c>
      <c r="X481" s="2" t="str">
        <f aca="false">CONCATENATE(G481,D481)</f>
        <v>36892NGI-SOCAL</v>
      </c>
      <c r="Y481" s="251" t="n">
        <f aca="false">H481/10000</f>
        <v>100</v>
      </c>
      <c r="Z481" s="226" t="e">
        <f aca="false">T481/H481</f>
        <v>#NAME?</v>
      </c>
      <c r="AA481" s="226" t="e">
        <f aca="false">xSPRDOPT($L481,$J481,$I481,$M481,$O481,$N481,$P481,$Q481-$C$3,$R481,3)</f>
        <v>#NAME?</v>
      </c>
      <c r="AB481" s="226" t="e">
        <f aca="false">((xSPRDOPT($L481+AB$5,$J481,$I481,$M481,$O481,$N481,$P481,$Q481-$C$3,$R481,3)*$H481)/10000)/100</f>
        <v>#NAME?</v>
      </c>
      <c r="AC481" s="226" t="e">
        <f aca="false">((xSPRDOPT($L481+$AB$5,$J481,$I481,$M481,$O481,$N481,$P481,$Q481-$C$3,$R481,7)*$H481)/100)</f>
        <v>#NAME?</v>
      </c>
      <c r="AD481" s="226" t="e">
        <f aca="false">(xSPRDOPT($L481+$AB$5,$J481,$I481,$M481,$O481,$N481,$P481,$Q481-$C$3,$R481,9)/365)*$H481</f>
        <v>#NAME?</v>
      </c>
      <c r="AE481" s="0" t="e">
        <f aca="false">CD481</f>
        <v>#NAME?</v>
      </c>
      <c r="AF481" s="226" t="e">
        <f aca="false">((O481/N481)*AH481)+AG481</f>
        <v>#NAME?</v>
      </c>
      <c r="AG481" s="226" t="e">
        <f aca="false">((xSPRDOPT($L481,$J481,$I481,$M481,$O481,$N481,$P481,$Q481-$C$3,$R481,6)*$H481)/100)</f>
        <v>#NAME?</v>
      </c>
      <c r="AH481" s="226" t="e">
        <f aca="false">((xSPRDOPT($L481,$J481,$I481,$M481,$O481,$N481,$P481,$Q481-$C$3,$R481,5)*$H481)/100)</f>
        <v>#NAME?</v>
      </c>
      <c r="AI481" s="226" t="e">
        <f aca="false">(((xSPRDOPT($L481,$J481,$I481,$M481,$O481,$N481,$P481,$Q481-$C$3,$R481,4)*$H481)/10000)/100)-AB481</f>
        <v>#NAME?</v>
      </c>
      <c r="AJ481" s="226"/>
      <c r="AK481" s="226"/>
      <c r="AL481" s="226"/>
      <c r="AM481" s="252"/>
      <c r="CC481" s="182" t="n">
        <f aca="false">G481</f>
        <v>36892</v>
      </c>
      <c r="CD481" s="253" t="e">
        <f aca="false">xSPRDOPT((VLOOKUP(G481,NGPrices,2,FALSE())+HLOOKUP(D481,Prices,VLOOKUP(G481,move_down,2,FALSE()),FALSE())),VLOOKUP(G481,NGPrices,2,FALSE()),I481,VLOOKUP(G481,NGPREVPRICES,4,FALSE()),HLOOKUP(D481,PREVVOLS,VLOOKUP(G481,MOVE_DOWN2,2,FALSE()),FALSE()),VLOOKUP(G481,NGPREVPRICES,3,FALSE()),HLOOKUP(D481,Correllate,VLOOKUP(G481,CorMove,2,FALSE()),FALSE()),Q481-$CD$3,R481,$CD$5)*H481-CJ481</f>
        <v>#NAME?</v>
      </c>
      <c r="CE481" s="253" t="e">
        <f aca="false">xSPRDOPT((VLOOKUP(G481,NGPREVPRICES,2,FALSE())+HLOOKUP(D481,PREVCURVES,VLOOKUP(G481,MOVE_DOWN2,2,FALSE()),FALSE())),VLOOKUP(G481,NGPREVPRICES,2,FALSE()),CK481,VLOOKUP(G481,NGPrices,4,FALSE()),HLOOKUP(D481,PREVVOLS,VLOOKUP(G481,MOVE_DOWN2,2,FALSE()),FALSE()),VLOOKUP(G481,NGPREVPRICES,3,FALSE()),HLOOKUP(D481,Correllate,VLOOKUP(G481,CorMove,2,FALSE()),FALSE()),Q481-$CD$3,R481,$CJ$5)*H481-CJ481</f>
        <v>#NAME?</v>
      </c>
      <c r="CF481" s="132" t="e">
        <f aca="false">(CJ481/VLOOKUP(CC481,discount,3,FALSE()))-(CJ481/VLOOKUP(CC481,discount,2,FALSE()))</f>
        <v>#NAME?</v>
      </c>
      <c r="CG481" s="253" t="e">
        <f aca="false">xSPRDOPT((VLOOKUP(G481,NGPREVPRICES,2,FALSE())+HLOOKUP(D481,PREVCURVES,VLOOKUP(G481,MOVE_DOWN2,2,FALSE()),FALSE())),VLOOKUP(G481,NGPREVPRICES,2,FALSE()),CK481,VLOOKUP(G481,NGPREVPRICES,4,FALSE()),HLOOKUP(D481,VOLS,VLOOKUP(G481,move_down,2,FALSE()),FALSE()),VLOOKUP(G481,NGPrices,3,FALSE()),HLOOKUP(D481,Correllate,VLOOKUP(G481,CorMove,2,FALSE()),FALSE()),Q481-$CD$3,R481,$CJ$5)*H481-CJ481</f>
        <v>#NAME?</v>
      </c>
      <c r="CH481" s="253" t="e">
        <f aca="false">xSPRDOPT((VLOOKUP(G481,NGPREVPRICES,2,FALSE())+HLOOKUP(D481,PREVCURVES,VLOOKUP(G481,MOVE_DOWN2,2,FALSE()),FALSE())),VLOOKUP(G481,NGPREVPRICES,2,FALSE()),CK481,VLOOKUP(G481,NGPREVPRICES,4,FALSE()),HLOOKUP(D481,PREVVOLS,VLOOKUP(G481,MOVE_DOWN2,2,FALSE()),FALSE()),VLOOKUP(G481,NGPREVPRICES,3,FALSE()),HLOOKUP(D481,Correllate,VLOOKUP(G481,CorMove,2,FALSE()),FALSE()),Q481-$C$3,R481,$CJ$5)*H481-CJ481</f>
        <v>#NAME?</v>
      </c>
      <c r="CI481" s="253" t="e">
        <f aca="false">SUM(CD481:CH481)</f>
        <v>#NAME?</v>
      </c>
      <c r="CJ481" s="253" t="e">
        <f aca="false">xSPRDOPT((VLOOKUP(G481,NGPREVPRICES,2,FALSE())+HLOOKUP(D481,PREVCURVES,VLOOKUP(G481,MOVE_DOWN2,2,FALSE()),FALSE())),VLOOKUP(G481,NGPREVPRICES,2,FALSE()),CK481,VLOOKUP(G481,NGPREVPRICES,4,FALSE()),HLOOKUP(D481,PREVVOLS,VLOOKUP(G481,MOVE_DOWN2,2,FALSE()),FALSE()),VLOOKUP(G481,NGPREVPRICES,3,FALSE()),HLOOKUP(D481,Correllate,VLOOKUP(G481,CorMove,2,FALSE()),FALSE()),Q481-$CD$3,R481,$CJ$5)*H481</f>
        <v>#NAME?</v>
      </c>
      <c r="CK481" s="254" t="n">
        <f aca="false">I481</f>
        <v>0.3</v>
      </c>
      <c r="CM481" s="0" t="str">
        <f aca="false">CONCATENATE(CC481,$CD$6)</f>
        <v>36892Curve Shift/Gamma</v>
      </c>
      <c r="CN481" s="0" t="str">
        <f aca="false">CONCATENATE($CC481,$CE$6)</f>
        <v>36892Rho</v>
      </c>
      <c r="CO481" s="0" t="str">
        <f aca="false">CONCATENATE($CC481,$CF$6)</f>
        <v>36892Drift</v>
      </c>
      <c r="CP481" s="0" t="str">
        <f aca="false">CONCATENATE($CC481,$CG$6)</f>
        <v>36892Vega</v>
      </c>
      <c r="CQ481" s="0" t="str">
        <f aca="false">CONCATENATE($CC481,$CH$6)</f>
        <v>36892Theta</v>
      </c>
    </row>
    <row r="482" customFormat="false" ht="12.75" hidden="false" customHeight="false" outlineLevel="0" collapsed="false">
      <c r="A482" s="17" t="s">
        <v>198</v>
      </c>
      <c r="B482" s="0" t="s">
        <v>192</v>
      </c>
      <c r="C482" s="0" t="s">
        <v>362</v>
      </c>
      <c r="D482" s="7" t="s">
        <v>137</v>
      </c>
      <c r="E482" s="0" t="s">
        <v>131</v>
      </c>
      <c r="F482" s="0" t="s">
        <v>136</v>
      </c>
      <c r="G482" s="92" t="n">
        <v>36861</v>
      </c>
      <c r="H482" s="248" t="n">
        <v>1000000</v>
      </c>
      <c r="I482" s="0" t="n">
        <v>0.3</v>
      </c>
      <c r="J482" s="124" t="n">
        <f aca="false">VLOOKUP(G482,NGPrices,2,FALSE())</f>
        <v>4.8</v>
      </c>
      <c r="K482" s="125" t="n">
        <f aca="false">HLOOKUP(D482,Prices,VLOOKUP(G482,move_down,2,FALSE()),FALSE())+VLOOKUP(G482,CHANGE,HLOOKUP(D482,CHANGE,2,FALSE()),FALSE())</f>
        <v>1.005</v>
      </c>
      <c r="L482" s="124" t="n">
        <f aca="false">K482+J482</f>
        <v>5.805</v>
      </c>
      <c r="M482" s="126" t="n">
        <f aca="false">VLOOKUP(G482,NGPrices,4,FALSE())</f>
        <v>0.068314027999354</v>
      </c>
      <c r="N482" s="7" t="n">
        <f aca="false">VLOOKUP(G482,NGPrices,3,FALSE())</f>
        <v>0.6</v>
      </c>
      <c r="O482" s="7" t="n">
        <f aca="false">HLOOKUP(D482,VOLS,VLOOKUP(G482,move_down,2,FALSE()),FALSE())</f>
        <v>0.582</v>
      </c>
      <c r="P482" s="249" t="n">
        <f aca="false">HLOOKUP(D482,Correllate,VLOOKUP(G482,CorMove,2,FALSE()),FALSE())</f>
        <v>0.85</v>
      </c>
      <c r="Q482" s="92" t="n">
        <f aca="false">WORKDAY(G482,-2)</f>
        <v>36859</v>
      </c>
      <c r="R482" s="7" t="n">
        <f aca="false">IF(F482="P",0,1)</f>
        <v>1</v>
      </c>
      <c r="S482" s="130" t="e">
        <f aca="false">xSPRDOPT($L482,$J482,$I482,$M482,$O482,$N482,$P482,$Q482-$C$3,$R482,0)</f>
        <v>#NAME?</v>
      </c>
      <c r="T482" s="250" t="e">
        <f aca="false">xSPRDOPT($L482,$J482,$I482,$M482,$O482,$N482,$P482,$Q482-$C$3,$R482,1)*H482</f>
        <v>#NAME?</v>
      </c>
      <c r="U482" s="43" t="e">
        <f aca="false">S482*H482</f>
        <v>#NAME?</v>
      </c>
      <c r="V482" s="250" t="e">
        <f aca="false">xSPRDOPT($L482,$J482,$I482,$M482,$O482,$N482,$P482,$Q482-$C$3,$R482,2)*H482</f>
        <v>#NAME?</v>
      </c>
      <c r="W482" s="250" t="e">
        <f aca="false">+V482+T482</f>
        <v>#NAME?</v>
      </c>
      <c r="X482" s="2" t="str">
        <f aca="false">CONCATENATE(G482,D482)</f>
        <v>36861NGI-SOCAL</v>
      </c>
      <c r="Y482" s="251" t="n">
        <f aca="false">H482/10000</f>
        <v>100</v>
      </c>
      <c r="Z482" s="226" t="e">
        <f aca="false">T482/H482</f>
        <v>#NAME?</v>
      </c>
      <c r="AA482" s="226" t="e">
        <f aca="false">xSPRDOPT($L482,$J482,$I482,$M482,$O482,$N482,$P482,$Q482-$C$3,$R482,3)</f>
        <v>#NAME?</v>
      </c>
      <c r="AB482" s="226" t="e">
        <f aca="false">((xSPRDOPT($L482+AB$5,$J482,$I482,$M482,$O482,$N482,$P482,$Q482-$C$3,$R482,3)*$H482)/10000)/100</f>
        <v>#NAME?</v>
      </c>
      <c r="AC482" s="226" t="e">
        <f aca="false">((xSPRDOPT($L482+$AB$5,$J482,$I482,$M482,$O482,$N482,$P482,$Q482-$C$3,$R482,7)*$H482)/100)</f>
        <v>#NAME?</v>
      </c>
      <c r="AD482" s="226" t="e">
        <f aca="false">(xSPRDOPT($L482+$AB$5,$J482,$I482,$M482,$O482,$N482,$P482,$Q482-$C$3,$R482,9)/365)*$H482</f>
        <v>#NAME?</v>
      </c>
      <c r="AE482" s="0" t="e">
        <f aca="false">CD482</f>
        <v>#NAME?</v>
      </c>
      <c r="AF482" s="226" t="e">
        <f aca="false">((O482/N482)*AH482)+AG482</f>
        <v>#NAME?</v>
      </c>
      <c r="AG482" s="226" t="e">
        <f aca="false">((xSPRDOPT($L482,$J482,$I482,$M482,$O482,$N482,$P482,$Q482-$C$3,$R482,6)*$H482)/100)</f>
        <v>#NAME?</v>
      </c>
      <c r="AH482" s="226" t="e">
        <f aca="false">((xSPRDOPT($L482,$J482,$I482,$M482,$O482,$N482,$P482,$Q482-$C$3,$R482,5)*$H482)/100)</f>
        <v>#NAME?</v>
      </c>
      <c r="AI482" s="226" t="e">
        <f aca="false">(((xSPRDOPT($L482,$J482,$I482,$M482,$O482,$N482,$P482,$Q482-$C$3,$R482,4)*$H482)/10000)/100)-AB482</f>
        <v>#NAME?</v>
      </c>
      <c r="AJ482" s="226"/>
      <c r="AK482" s="226"/>
      <c r="AL482" s="226"/>
      <c r="AM482" s="252"/>
      <c r="CC482" s="182" t="n">
        <f aca="false">G482</f>
        <v>36861</v>
      </c>
      <c r="CD482" s="253" t="e">
        <f aca="false">xSPRDOPT((VLOOKUP(G482,NGPrices,2,FALSE())+HLOOKUP(D482,Prices,VLOOKUP(G482,move_down,2,FALSE()),FALSE())),VLOOKUP(G482,NGPrices,2,FALSE()),I482,VLOOKUP(G482,NGPREVPRICES,4,FALSE()),HLOOKUP(D482,PREVVOLS,VLOOKUP(G482,MOVE_DOWN2,2,FALSE()),FALSE()),VLOOKUP(G482,NGPREVPRICES,3,FALSE()),HLOOKUP(D482,Correllate,VLOOKUP(G482,CorMove,2,FALSE()),FALSE()),Q482-$CD$3,R482,$CD$5)*H482-CJ482</f>
        <v>#NAME?</v>
      </c>
      <c r="CE482" s="253" t="e">
        <f aca="false">xSPRDOPT((VLOOKUP(G482,NGPREVPRICES,2,FALSE())+HLOOKUP(D482,PREVCURVES,VLOOKUP(G482,MOVE_DOWN2,2,FALSE()),FALSE())),VLOOKUP(G482,NGPREVPRICES,2,FALSE()),CK482,VLOOKUP(G482,NGPrices,4,FALSE()),HLOOKUP(D482,PREVVOLS,VLOOKUP(G482,MOVE_DOWN2,2,FALSE()),FALSE()),VLOOKUP(G482,NGPREVPRICES,3,FALSE()),HLOOKUP(D482,Correllate,VLOOKUP(G482,CorMove,2,FALSE()),FALSE()),Q482-$CD$3,R482,$CJ$5)*H482-CJ482</f>
        <v>#NAME?</v>
      </c>
      <c r="CF482" s="132" t="e">
        <f aca="false">(CJ482/VLOOKUP(CC482,discount,3,FALSE()))-(CJ482/VLOOKUP(CC482,discount,2,FALSE()))</f>
        <v>#NAME?</v>
      </c>
      <c r="CG482" s="253" t="e">
        <f aca="false">xSPRDOPT((VLOOKUP(G482,NGPREVPRICES,2,FALSE())+HLOOKUP(D482,PREVCURVES,VLOOKUP(G482,MOVE_DOWN2,2,FALSE()),FALSE())),VLOOKUP(G482,NGPREVPRICES,2,FALSE()),CK482,VLOOKUP(G482,NGPREVPRICES,4,FALSE()),HLOOKUP(D482,VOLS,VLOOKUP(G482,move_down,2,FALSE()),FALSE()),VLOOKUP(G482,NGPrices,3,FALSE()),HLOOKUP(D482,Correllate,VLOOKUP(G482,CorMove,2,FALSE()),FALSE()),Q482-$CD$3,R482,$CJ$5)*H482-CJ482</f>
        <v>#NAME?</v>
      </c>
      <c r="CH482" s="253" t="e">
        <f aca="false">xSPRDOPT((VLOOKUP(G482,NGPREVPRICES,2,FALSE())+HLOOKUP(D482,PREVCURVES,VLOOKUP(G482,MOVE_DOWN2,2,FALSE()),FALSE())),VLOOKUP(G482,NGPREVPRICES,2,FALSE()),CK482,VLOOKUP(G482,NGPREVPRICES,4,FALSE()),HLOOKUP(D482,PREVVOLS,VLOOKUP(G482,MOVE_DOWN2,2,FALSE()),FALSE()),VLOOKUP(G482,NGPREVPRICES,3,FALSE()),HLOOKUP(D482,Correllate,VLOOKUP(G482,CorMove,2,FALSE()),FALSE()),Q482-$C$3,R482,$CJ$5)*H482-CJ482</f>
        <v>#NAME?</v>
      </c>
      <c r="CI482" s="253" t="e">
        <f aca="false">SUM(CD482:CH482)</f>
        <v>#NAME?</v>
      </c>
      <c r="CJ482" s="253" t="e">
        <f aca="false">xSPRDOPT((VLOOKUP(G482,NGPREVPRICES,2,FALSE())+HLOOKUP(D482,PREVCURVES,VLOOKUP(G482,MOVE_DOWN2,2,FALSE()),FALSE())),VLOOKUP(G482,NGPREVPRICES,2,FALSE()),CK482,VLOOKUP(G482,NGPREVPRICES,4,FALSE()),HLOOKUP(D482,PREVVOLS,VLOOKUP(G482,MOVE_DOWN2,2,FALSE()),FALSE()),VLOOKUP(G482,NGPREVPRICES,3,FALSE()),HLOOKUP(D482,Correllate,VLOOKUP(G482,CorMove,2,FALSE()),FALSE()),Q482-$CD$3,R482,$CJ$5)*H482</f>
        <v>#NAME?</v>
      </c>
      <c r="CK482" s="254" t="n">
        <f aca="false">I482</f>
        <v>0.3</v>
      </c>
      <c r="CM482" s="0" t="str">
        <f aca="false">CONCATENATE(CC482,$CD$6)</f>
        <v>36861Curve Shift/Gamma</v>
      </c>
      <c r="CN482" s="0" t="str">
        <f aca="false">CONCATENATE($CC482,$CE$6)</f>
        <v>36861Rho</v>
      </c>
      <c r="CO482" s="0" t="str">
        <f aca="false">CONCATENATE($CC482,$CF$6)</f>
        <v>36861Drift</v>
      </c>
      <c r="CP482" s="0" t="str">
        <f aca="false">CONCATENATE($CC482,$CG$6)</f>
        <v>36861Vega</v>
      </c>
      <c r="CQ482" s="0" t="str">
        <f aca="false">CONCATENATE($CC482,$CH$6)</f>
        <v>36861Theta</v>
      </c>
    </row>
    <row r="483" customFormat="false" ht="12.75" hidden="false" customHeight="false" outlineLevel="0" collapsed="false">
      <c r="A483" s="17" t="s">
        <v>198</v>
      </c>
      <c r="B483" s="0" t="s">
        <v>192</v>
      </c>
      <c r="C483" s="0" t="s">
        <v>362</v>
      </c>
      <c r="D483" s="7" t="s">
        <v>137</v>
      </c>
      <c r="E483" s="0" t="s">
        <v>131</v>
      </c>
      <c r="F483" s="0" t="s">
        <v>136</v>
      </c>
      <c r="G483" s="92" t="n">
        <v>36831</v>
      </c>
      <c r="H483" s="248" t="n">
        <v>1000000</v>
      </c>
      <c r="I483" s="0" t="n">
        <v>0.3</v>
      </c>
      <c r="J483" s="124" t="n">
        <f aca="false">VLOOKUP(G483,NGPrices,2,FALSE())</f>
        <v>4.736</v>
      </c>
      <c r="K483" s="125" t="n">
        <f aca="false">HLOOKUP(D483,Prices,VLOOKUP(G483,move_down,2,FALSE()),FALSE())+VLOOKUP(G483,CHANGE,HLOOKUP(D483,CHANGE,2,FALSE()),FALSE())</f>
        <v>1.545</v>
      </c>
      <c r="L483" s="124" t="n">
        <f aca="false">K483+J483</f>
        <v>6.281</v>
      </c>
      <c r="M483" s="126" t="n">
        <f aca="false">VLOOKUP(G483,NGPrices,4,FALSE())</f>
        <v>0.06810675983792</v>
      </c>
      <c r="N483" s="7" t="n">
        <f aca="false">VLOOKUP(G483,NGPrices,3,FALSE())</f>
        <v>0.595</v>
      </c>
      <c r="O483" s="7" t="n">
        <f aca="false">HLOOKUP(D483,VOLS,VLOOKUP(G483,move_down,2,FALSE()),FALSE())</f>
        <v>0.577</v>
      </c>
      <c r="P483" s="249" t="n">
        <f aca="false">HLOOKUP(D483,Correllate,VLOOKUP(G483,CorMove,2,FALSE()),FALSE())</f>
        <v>0.85</v>
      </c>
      <c r="Q483" s="92" t="n">
        <f aca="false">WORKDAY(G483,-2)</f>
        <v>36829</v>
      </c>
      <c r="R483" s="7" t="n">
        <f aca="false">IF(F483="P",0,1)</f>
        <v>1</v>
      </c>
      <c r="S483" s="130" t="e">
        <f aca="false">xSPRDOPT($L483,$J483,$I483,$M483,$O483,$N483,$P483,$Q483-$C$3,$R483,0)</f>
        <v>#NAME?</v>
      </c>
      <c r="T483" s="250" t="e">
        <f aca="false">xSPRDOPT($L483,$J483,$I483,$M483,$O483,$N483,$P483,$Q483-$C$3,$R483,1)*H483</f>
        <v>#NAME?</v>
      </c>
      <c r="U483" s="43" t="e">
        <f aca="false">S483*H483</f>
        <v>#NAME?</v>
      </c>
      <c r="V483" s="250" t="e">
        <f aca="false">xSPRDOPT($L483,$J483,$I483,$M483,$O483,$N483,$P483,$Q483-$C$3,$R483,2)*H483</f>
        <v>#NAME?</v>
      </c>
      <c r="W483" s="250" t="e">
        <f aca="false">+V483+T483</f>
        <v>#NAME?</v>
      </c>
      <c r="X483" s="2" t="str">
        <f aca="false">CONCATENATE(G483,D483)</f>
        <v>36831NGI-SOCAL</v>
      </c>
      <c r="Y483" s="251" t="n">
        <f aca="false">H483/10000</f>
        <v>100</v>
      </c>
      <c r="Z483" s="226" t="e">
        <f aca="false">T483/H483</f>
        <v>#NAME?</v>
      </c>
      <c r="AA483" s="226" t="e">
        <f aca="false">xSPRDOPT($L483,$J483,$I483,$M483,$O483,$N483,$P483,$Q483-$C$3,$R483,3)</f>
        <v>#NAME?</v>
      </c>
      <c r="AB483" s="226" t="e">
        <f aca="false">((xSPRDOPT($L483+AB$5,$J483,$I483,$M483,$O483,$N483,$P483,$Q483-$C$3,$R483,3)*$H483)/10000)/100</f>
        <v>#NAME?</v>
      </c>
      <c r="AC483" s="226" t="e">
        <f aca="false">((xSPRDOPT($L483+$AB$5,$J483,$I483,$M483,$O483,$N483,$P483,$Q483-$C$3,$R483,7)*$H483)/100)</f>
        <v>#NAME?</v>
      </c>
      <c r="AD483" s="226" t="e">
        <f aca="false">(xSPRDOPT($L483+$AB$5,$J483,$I483,$M483,$O483,$N483,$P483,$Q483-$C$3,$R483,9)/365)*$H483</f>
        <v>#NAME?</v>
      </c>
      <c r="AE483" s="0" t="e">
        <f aca="false">CD483</f>
        <v>#NAME?</v>
      </c>
      <c r="AF483" s="226" t="e">
        <f aca="false">((O483/N483)*AH483)+AG483</f>
        <v>#NAME?</v>
      </c>
      <c r="AG483" s="226" t="e">
        <f aca="false">((xSPRDOPT($L483,$J483,$I483,$M483,$O483,$N483,$P483,$Q483-$C$3,$R483,6)*$H483)/100)</f>
        <v>#NAME?</v>
      </c>
      <c r="AH483" s="226" t="e">
        <f aca="false">((xSPRDOPT($L483,$J483,$I483,$M483,$O483,$N483,$P483,$Q483-$C$3,$R483,5)*$H483)/100)</f>
        <v>#NAME?</v>
      </c>
      <c r="AI483" s="226" t="e">
        <f aca="false">(((xSPRDOPT($L483,$J483,$I483,$M483,$O483,$N483,$P483,$Q483-$C$3,$R483,4)*$H483)/10000)/100)-AB483</f>
        <v>#NAME?</v>
      </c>
      <c r="AJ483" s="226"/>
      <c r="AK483" s="226"/>
      <c r="AL483" s="226"/>
      <c r="AM483" s="252"/>
      <c r="CC483" s="182" t="n">
        <f aca="false">G483</f>
        <v>36831</v>
      </c>
      <c r="CD483" s="253" t="e">
        <f aca="false">xSPRDOPT((VLOOKUP(G483,NGPrices,2,FALSE())+HLOOKUP(D483,Prices,VLOOKUP(G483,move_down,2,FALSE()),FALSE())),VLOOKUP(G483,NGPrices,2,FALSE()),I483,VLOOKUP(G483,NGPREVPRICES,4,FALSE()),HLOOKUP(D483,PREVVOLS,VLOOKUP(G483,MOVE_DOWN2,2,FALSE()),FALSE()),VLOOKUP(G483,NGPREVPRICES,3,FALSE()),HLOOKUP(D483,Correllate,VLOOKUP(G483,CorMove,2,FALSE()),FALSE()),Q483-$CD$3,R483,$CD$5)*H483-CJ483</f>
        <v>#NAME?</v>
      </c>
      <c r="CE483" s="253" t="e">
        <f aca="false">xSPRDOPT((VLOOKUP(G483,NGPREVPRICES,2,FALSE())+HLOOKUP(D483,PREVCURVES,VLOOKUP(G483,MOVE_DOWN2,2,FALSE()),FALSE())),VLOOKUP(G483,NGPREVPRICES,2,FALSE()),CK483,VLOOKUP(G483,NGPrices,4,FALSE()),HLOOKUP(D483,PREVVOLS,VLOOKUP(G483,MOVE_DOWN2,2,FALSE()),FALSE()),VLOOKUP(G483,NGPREVPRICES,3,FALSE()),HLOOKUP(D483,Correllate,VLOOKUP(G483,CorMove,2,FALSE()),FALSE()),Q483-$CD$3,R483,$CJ$5)*H483-CJ483</f>
        <v>#NAME?</v>
      </c>
      <c r="CF483" s="132" t="e">
        <f aca="false">(CJ483/VLOOKUP(CC483,discount,3,FALSE()))-(CJ483/VLOOKUP(CC483,discount,2,FALSE()))</f>
        <v>#NAME?</v>
      </c>
      <c r="CG483" s="253" t="e">
        <f aca="false">xSPRDOPT((VLOOKUP(G483,NGPREVPRICES,2,FALSE())+HLOOKUP(D483,PREVCURVES,VLOOKUP(G483,MOVE_DOWN2,2,FALSE()),FALSE())),VLOOKUP(G483,NGPREVPRICES,2,FALSE()),CK483,VLOOKUP(G483,NGPREVPRICES,4,FALSE()),HLOOKUP(D483,VOLS,VLOOKUP(G483,move_down,2,FALSE()),FALSE()),VLOOKUP(G483,NGPrices,3,FALSE()),HLOOKUP(D483,Correllate,VLOOKUP(G483,CorMove,2,FALSE()),FALSE()),Q483-$CD$3,R483,$CJ$5)*H483-CJ483</f>
        <v>#NAME?</v>
      </c>
      <c r="CH483" s="253" t="e">
        <f aca="false">xSPRDOPT((VLOOKUP(G483,NGPREVPRICES,2,FALSE())+HLOOKUP(D483,PREVCURVES,VLOOKUP(G483,MOVE_DOWN2,2,FALSE()),FALSE())),VLOOKUP(G483,NGPREVPRICES,2,FALSE()),CK483,VLOOKUP(G483,NGPREVPRICES,4,FALSE()),HLOOKUP(D483,PREVVOLS,VLOOKUP(G483,MOVE_DOWN2,2,FALSE()),FALSE()),VLOOKUP(G483,NGPREVPRICES,3,FALSE()),HLOOKUP(D483,Correllate,VLOOKUP(G483,CorMove,2,FALSE()),FALSE()),Q483-$C$3,R483,$CJ$5)*H483-CJ483</f>
        <v>#NAME?</v>
      </c>
      <c r="CI483" s="253" t="e">
        <f aca="false">SUM(CD483:CH483)</f>
        <v>#NAME?</v>
      </c>
      <c r="CJ483" s="253" t="e">
        <f aca="false">xSPRDOPT((VLOOKUP(G483,NGPREVPRICES,2,FALSE())+HLOOKUP(D483,PREVCURVES,VLOOKUP(G483,MOVE_DOWN2,2,FALSE()),FALSE())),VLOOKUP(G483,NGPREVPRICES,2,FALSE()),CK483,VLOOKUP(G483,NGPREVPRICES,4,FALSE()),HLOOKUP(D483,PREVVOLS,VLOOKUP(G483,MOVE_DOWN2,2,FALSE()),FALSE()),VLOOKUP(G483,NGPREVPRICES,3,FALSE()),HLOOKUP(D483,Correllate,VLOOKUP(G483,CorMove,2,FALSE()),FALSE()),Q483-$CD$3,R483,$CJ$5)*H483</f>
        <v>#NAME?</v>
      </c>
      <c r="CK483" s="254" t="n">
        <f aca="false">I483</f>
        <v>0.3</v>
      </c>
      <c r="CM483" s="0" t="str">
        <f aca="false">CONCATENATE(CC483,$CD$6)</f>
        <v>36831Curve Shift/Gamma</v>
      </c>
      <c r="CN483" s="0" t="str">
        <f aca="false">CONCATENATE($CC483,$CE$6)</f>
        <v>36831Rho</v>
      </c>
      <c r="CO483" s="0" t="str">
        <f aca="false">CONCATENATE($CC483,$CF$6)</f>
        <v>36831Drift</v>
      </c>
      <c r="CP483" s="0" t="str">
        <f aca="false">CONCATENATE($CC483,$CG$6)</f>
        <v>36831Vega</v>
      </c>
      <c r="CQ483" s="0" t="str">
        <f aca="false">CONCATENATE($CC483,$CH$6)</f>
        <v>36831Theta</v>
      </c>
    </row>
    <row r="484" customFormat="false" ht="12.75" hidden="false" customHeight="false" outlineLevel="0" collapsed="false">
      <c r="A484" s="17" t="s">
        <v>363</v>
      </c>
      <c r="B484" s="0" t="s">
        <v>192</v>
      </c>
      <c r="C484" s="0" t="s">
        <v>364</v>
      </c>
      <c r="D484" s="7" t="s">
        <v>137</v>
      </c>
      <c r="E484" s="0" t="s">
        <v>131</v>
      </c>
      <c r="F484" s="0" t="s">
        <v>136</v>
      </c>
      <c r="G484" s="92" t="n">
        <v>36951</v>
      </c>
      <c r="H484" s="248" t="n">
        <v>500000</v>
      </c>
      <c r="I484" s="0" t="n">
        <v>0.3</v>
      </c>
      <c r="J484" s="124" t="n">
        <f aca="false">VLOOKUP(G484,NGPrices,2,FALSE())</f>
        <v>4.213</v>
      </c>
      <c r="K484" s="125" t="n">
        <f aca="false">HLOOKUP(D484,Prices,VLOOKUP(G484,move_down,2,FALSE()),FALSE())+VLOOKUP(G484,CHANGE,HLOOKUP(D484,CHANGE,2,FALSE()),FALSE())</f>
        <v>0.5975</v>
      </c>
      <c r="L484" s="124" t="n">
        <f aca="false">K484+J484</f>
        <v>4.8105</v>
      </c>
      <c r="M484" s="126" t="n">
        <f aca="false">VLOOKUP(G484,NGPrices,4,FALSE())</f>
        <v>0.068879814952707</v>
      </c>
      <c r="N484" s="7" t="n">
        <f aca="false">VLOOKUP(G484,NGPrices,3,FALSE())</f>
        <v>0.5325</v>
      </c>
      <c r="O484" s="7" t="n">
        <f aca="false">HLOOKUP(D484,VOLS,VLOOKUP(G484,move_down,2,FALSE()),FALSE())</f>
        <v>0.517</v>
      </c>
      <c r="P484" s="249" t="n">
        <f aca="false">HLOOKUP(D484,Correllate,VLOOKUP(G484,CorMove,2,FALSE()),FALSE())</f>
        <v>0.85</v>
      </c>
      <c r="Q484" s="92" t="n">
        <f aca="false">WORKDAY(G484,-2)</f>
        <v>36949</v>
      </c>
      <c r="R484" s="7" t="n">
        <f aca="false">IF(F484="P",0,1)</f>
        <v>1</v>
      </c>
      <c r="S484" s="130" t="e">
        <f aca="false">xSPRDOPT($L484,$J484,$I484,$M484,$O484,$N484,$P484,$Q484-$C$3,$R484,0)</f>
        <v>#NAME?</v>
      </c>
      <c r="T484" s="250" t="e">
        <f aca="false">xSPRDOPT($L484,$J484,$I484,$M484,$O484,$N484,$P484,$Q484-$C$3,$R484,1)*H484</f>
        <v>#NAME?</v>
      </c>
      <c r="U484" s="43" t="e">
        <f aca="false">S484*H484</f>
        <v>#NAME?</v>
      </c>
      <c r="V484" s="250" t="e">
        <f aca="false">xSPRDOPT($L484,$J484,$I484,$M484,$O484,$N484,$P484,$Q484-$C$3,$R484,2)*H484</f>
        <v>#NAME?</v>
      </c>
      <c r="W484" s="250" t="e">
        <f aca="false">+V484+T484</f>
        <v>#NAME?</v>
      </c>
      <c r="X484" s="2" t="str">
        <f aca="false">CONCATENATE(G484,D484)</f>
        <v>36951NGI-SOCAL</v>
      </c>
      <c r="Y484" s="251" t="n">
        <f aca="false">H484/10000</f>
        <v>50</v>
      </c>
      <c r="Z484" s="226" t="e">
        <f aca="false">T484/H484</f>
        <v>#NAME?</v>
      </c>
      <c r="AA484" s="226" t="e">
        <f aca="false">xSPRDOPT($L484,$J484,$I484,$M484,$O484,$N484,$P484,$Q484-$C$3,$R484,3)</f>
        <v>#NAME?</v>
      </c>
      <c r="AB484" s="226" t="e">
        <f aca="false">((xSPRDOPT($L484+AB$5,$J484,$I484,$M484,$O484,$N484,$P484,$Q484-$C$3,$R484,3)*$H484)/10000)/100</f>
        <v>#NAME?</v>
      </c>
      <c r="AC484" s="226" t="e">
        <f aca="false">((xSPRDOPT($L484+$AB$5,$J484,$I484,$M484,$O484,$N484,$P484,$Q484-$C$3,$R484,7)*$H484)/100)</f>
        <v>#NAME?</v>
      </c>
      <c r="AD484" s="226" t="e">
        <f aca="false">(xSPRDOPT($L484+$AB$5,$J484,$I484,$M484,$O484,$N484,$P484,$Q484-$C$3,$R484,9)/365)*$H484</f>
        <v>#NAME?</v>
      </c>
      <c r="AE484" s="0" t="e">
        <f aca="false">CD484</f>
        <v>#NAME?</v>
      </c>
      <c r="AF484" s="226" t="e">
        <f aca="false">((O484/N484)*AH484)+AG484</f>
        <v>#NAME?</v>
      </c>
      <c r="AG484" s="226" t="e">
        <f aca="false">((xSPRDOPT($L484,$J484,$I484,$M484,$O484,$N484,$P484,$Q484-$C$3,$R484,6)*$H484)/100)</f>
        <v>#NAME?</v>
      </c>
      <c r="AH484" s="226" t="e">
        <f aca="false">((xSPRDOPT($L484,$J484,$I484,$M484,$O484,$N484,$P484,$Q484-$C$3,$R484,5)*$H484)/100)</f>
        <v>#NAME?</v>
      </c>
      <c r="AI484" s="226" t="e">
        <f aca="false">(((xSPRDOPT($L484,$J484,$I484,$M484,$O484,$N484,$P484,$Q484-$C$3,$R484,4)*$H484)/10000)/100)-AB484</f>
        <v>#NAME?</v>
      </c>
      <c r="AJ484" s="226"/>
      <c r="AK484" s="226"/>
      <c r="AL484" s="226"/>
      <c r="AM484" s="252"/>
      <c r="CC484" s="182" t="n">
        <f aca="false">G484</f>
        <v>36951</v>
      </c>
      <c r="CD484" s="253" t="e">
        <f aca="false">xSPRDOPT((VLOOKUP(G484,NGPrices,2,FALSE())+HLOOKUP(D484,Prices,VLOOKUP(G484,move_down,2,FALSE()),FALSE())),VLOOKUP(G484,NGPrices,2,FALSE()),I484,VLOOKUP(G484,NGPREVPRICES,4,FALSE()),HLOOKUP(D484,PREVVOLS,VLOOKUP(G484,MOVE_DOWN2,2,FALSE()),FALSE()),VLOOKUP(G484,NGPREVPRICES,3,FALSE()),HLOOKUP(D484,Correllate,VLOOKUP(G484,CorMove,2,FALSE()),FALSE()),Q484-$CD$3,R484,$CD$5)*H484-CJ484</f>
        <v>#NAME?</v>
      </c>
      <c r="CE484" s="253" t="e">
        <f aca="false">xSPRDOPT((VLOOKUP(G484,NGPREVPRICES,2,FALSE())+HLOOKUP(D484,PREVCURVES,VLOOKUP(G484,MOVE_DOWN2,2,FALSE()),FALSE())),VLOOKUP(G484,NGPREVPRICES,2,FALSE()),CK484,VLOOKUP(G484,NGPrices,4,FALSE()),HLOOKUP(D484,PREVVOLS,VLOOKUP(G484,MOVE_DOWN2,2,FALSE()),FALSE()),VLOOKUP(G484,NGPREVPRICES,3,FALSE()),HLOOKUP(D484,Correllate,VLOOKUP(G484,CorMove,2,FALSE()),FALSE()),Q484-$CD$3,R484,$CJ$5)*H484-CJ484</f>
        <v>#NAME?</v>
      </c>
      <c r="CF484" s="132" t="e">
        <f aca="false">(CJ484/VLOOKUP(CC484,discount,3,FALSE()))-(CJ484/VLOOKUP(CC484,discount,2,FALSE()))</f>
        <v>#NAME?</v>
      </c>
      <c r="CG484" s="253" t="e">
        <f aca="false">xSPRDOPT((VLOOKUP(G484,NGPREVPRICES,2,FALSE())+HLOOKUP(D484,PREVCURVES,VLOOKUP(G484,MOVE_DOWN2,2,FALSE()),FALSE())),VLOOKUP(G484,NGPREVPRICES,2,FALSE()),CK484,VLOOKUP(G484,NGPREVPRICES,4,FALSE()),HLOOKUP(D484,VOLS,VLOOKUP(G484,move_down,2,FALSE()),FALSE()),VLOOKUP(G484,NGPrices,3,FALSE()),HLOOKUP(D484,Correllate,VLOOKUP(G484,CorMove,2,FALSE()),FALSE()),Q484-$CD$3,R484,$CJ$5)*H484-CJ484</f>
        <v>#NAME?</v>
      </c>
      <c r="CH484" s="253" t="e">
        <f aca="false">xSPRDOPT((VLOOKUP(G484,NGPREVPRICES,2,FALSE())+HLOOKUP(D484,PREVCURVES,VLOOKUP(G484,MOVE_DOWN2,2,FALSE()),FALSE())),VLOOKUP(G484,NGPREVPRICES,2,FALSE()),CK484,VLOOKUP(G484,NGPREVPRICES,4,FALSE()),HLOOKUP(D484,PREVVOLS,VLOOKUP(G484,MOVE_DOWN2,2,FALSE()),FALSE()),VLOOKUP(G484,NGPREVPRICES,3,FALSE()),HLOOKUP(D484,Correllate,VLOOKUP(G484,CorMove,2,FALSE()),FALSE()),Q484-$C$3,R484,$CJ$5)*H484-CJ484</f>
        <v>#NAME?</v>
      </c>
      <c r="CI484" s="253" t="e">
        <f aca="false">SUM(CD484:CH484)</f>
        <v>#NAME?</v>
      </c>
      <c r="CJ484" s="253" t="e">
        <f aca="false">xSPRDOPT((VLOOKUP(G484,NGPREVPRICES,2,FALSE())+HLOOKUP(D484,PREVCURVES,VLOOKUP(G484,MOVE_DOWN2,2,FALSE()),FALSE())),VLOOKUP(G484,NGPREVPRICES,2,FALSE()),CK484,VLOOKUP(G484,NGPREVPRICES,4,FALSE()),HLOOKUP(D484,PREVVOLS,VLOOKUP(G484,MOVE_DOWN2,2,FALSE()),FALSE()),VLOOKUP(G484,NGPREVPRICES,3,FALSE()),HLOOKUP(D484,Correllate,VLOOKUP(G484,CorMove,2,FALSE()),FALSE()),Q484-$CD$3,R484,$CJ$5)*H484</f>
        <v>#NAME?</v>
      </c>
      <c r="CK484" s="254" t="n">
        <f aca="false">I484</f>
        <v>0.3</v>
      </c>
      <c r="CM484" s="0" t="str">
        <f aca="false">CONCATENATE(CC484,$CD$6)</f>
        <v>36951Curve Shift/Gamma</v>
      </c>
      <c r="CN484" s="0" t="str">
        <f aca="false">CONCATENATE($CC484,$CE$6)</f>
        <v>36951Rho</v>
      </c>
      <c r="CO484" s="0" t="str">
        <f aca="false">CONCATENATE($CC484,$CF$6)</f>
        <v>36951Drift</v>
      </c>
      <c r="CP484" s="0" t="str">
        <f aca="false">CONCATENATE($CC484,$CG$6)</f>
        <v>36951Vega</v>
      </c>
      <c r="CQ484" s="0" t="str">
        <f aca="false">CONCATENATE($CC484,$CH$6)</f>
        <v>36951Theta</v>
      </c>
    </row>
    <row r="485" customFormat="false" ht="12.75" hidden="false" customHeight="false" outlineLevel="0" collapsed="false">
      <c r="A485" s="17" t="s">
        <v>363</v>
      </c>
      <c r="B485" s="0" t="s">
        <v>192</v>
      </c>
      <c r="C485" s="0" t="s">
        <v>364</v>
      </c>
      <c r="D485" s="7" t="s">
        <v>137</v>
      </c>
      <c r="E485" s="0" t="s">
        <v>131</v>
      </c>
      <c r="F485" s="0" t="s">
        <v>136</v>
      </c>
      <c r="G485" s="92" t="n">
        <v>36923</v>
      </c>
      <c r="H485" s="248" t="n">
        <v>500000</v>
      </c>
      <c r="I485" s="0" t="n">
        <v>0.3</v>
      </c>
      <c r="J485" s="124" t="n">
        <f aca="false">VLOOKUP(G485,NGPrices,2,FALSE())</f>
        <v>4.48</v>
      </c>
      <c r="K485" s="125" t="n">
        <f aca="false">HLOOKUP(D485,Prices,VLOOKUP(G485,move_down,2,FALSE()),FALSE())+VLOOKUP(G485,CHANGE,HLOOKUP(D485,CHANGE,2,FALSE()),FALSE())</f>
        <v>0.6175</v>
      </c>
      <c r="L485" s="124" t="n">
        <f aca="false">K485+J485</f>
        <v>5.0975</v>
      </c>
      <c r="M485" s="126" t="n">
        <f aca="false">VLOOKUP(G485,NGPrices,4,FALSE())</f>
        <v>0.068640161611372</v>
      </c>
      <c r="N485" s="7" t="n">
        <f aca="false">VLOOKUP(G485,NGPrices,3,FALSE())</f>
        <v>0.5925</v>
      </c>
      <c r="O485" s="7" t="n">
        <f aca="false">HLOOKUP(D485,VOLS,VLOOKUP(G485,move_down,2,FALSE()),FALSE())</f>
        <v>0.575</v>
      </c>
      <c r="P485" s="249" t="n">
        <f aca="false">HLOOKUP(D485,Correllate,VLOOKUP(G485,CorMove,2,FALSE()),FALSE())</f>
        <v>0.85</v>
      </c>
      <c r="Q485" s="92" t="n">
        <f aca="false">WORKDAY(G485,-2)</f>
        <v>36921</v>
      </c>
      <c r="R485" s="7" t="n">
        <f aca="false">IF(F485="P",0,1)</f>
        <v>1</v>
      </c>
      <c r="S485" s="130" t="e">
        <f aca="false">xSPRDOPT($L485,$J485,$I485,$M485,$O485,$N485,$P485,$Q485-$C$3,$R485,0)</f>
        <v>#NAME?</v>
      </c>
      <c r="T485" s="250" t="e">
        <f aca="false">xSPRDOPT($L485,$J485,$I485,$M485,$O485,$N485,$P485,$Q485-$C$3,$R485,1)*H485</f>
        <v>#NAME?</v>
      </c>
      <c r="U485" s="43" t="e">
        <f aca="false">S485*H485</f>
        <v>#NAME?</v>
      </c>
      <c r="V485" s="250" t="e">
        <f aca="false">xSPRDOPT($L485,$J485,$I485,$M485,$O485,$N485,$P485,$Q485-$C$3,$R485,2)*H485</f>
        <v>#NAME?</v>
      </c>
      <c r="W485" s="250" t="e">
        <f aca="false">+V485+T485</f>
        <v>#NAME?</v>
      </c>
      <c r="X485" s="2" t="str">
        <f aca="false">CONCATENATE(G485,D485)</f>
        <v>36923NGI-SOCAL</v>
      </c>
      <c r="Y485" s="251" t="n">
        <f aca="false">H485/10000</f>
        <v>50</v>
      </c>
      <c r="Z485" s="226" t="e">
        <f aca="false">T485/H485</f>
        <v>#NAME?</v>
      </c>
      <c r="AA485" s="226" t="e">
        <f aca="false">xSPRDOPT($L485,$J485,$I485,$M485,$O485,$N485,$P485,$Q485-$C$3,$R485,3)</f>
        <v>#NAME?</v>
      </c>
      <c r="AB485" s="226" t="e">
        <f aca="false">((xSPRDOPT($L485+AB$5,$J485,$I485,$M485,$O485,$N485,$P485,$Q485-$C$3,$R485,3)*$H485)/10000)/100</f>
        <v>#NAME?</v>
      </c>
      <c r="AC485" s="226" t="e">
        <f aca="false">((xSPRDOPT($L485+$AB$5,$J485,$I485,$M485,$O485,$N485,$P485,$Q485-$C$3,$R485,7)*$H485)/100)</f>
        <v>#NAME?</v>
      </c>
      <c r="AD485" s="226" t="e">
        <f aca="false">(xSPRDOPT($L485+$AB$5,$J485,$I485,$M485,$O485,$N485,$P485,$Q485-$C$3,$R485,9)/365)*$H485</f>
        <v>#NAME?</v>
      </c>
      <c r="AE485" s="0" t="e">
        <f aca="false">CD485</f>
        <v>#NAME?</v>
      </c>
      <c r="AF485" s="226" t="e">
        <f aca="false">((O485/N485)*AH485)+AG485</f>
        <v>#NAME?</v>
      </c>
      <c r="AG485" s="226" t="e">
        <f aca="false">((xSPRDOPT($L485,$J485,$I485,$M485,$O485,$N485,$P485,$Q485-$C$3,$R485,6)*$H485)/100)</f>
        <v>#NAME?</v>
      </c>
      <c r="AH485" s="226" t="e">
        <f aca="false">((xSPRDOPT($L485,$J485,$I485,$M485,$O485,$N485,$P485,$Q485-$C$3,$R485,5)*$H485)/100)</f>
        <v>#NAME?</v>
      </c>
      <c r="AI485" s="226" t="e">
        <f aca="false">(((xSPRDOPT($L485,$J485,$I485,$M485,$O485,$N485,$P485,$Q485-$C$3,$R485,4)*$H485)/10000)/100)-AB485</f>
        <v>#NAME?</v>
      </c>
      <c r="AJ485" s="226"/>
      <c r="AK485" s="226"/>
      <c r="AL485" s="226"/>
      <c r="AM485" s="252"/>
      <c r="CC485" s="182" t="n">
        <f aca="false">G485</f>
        <v>36923</v>
      </c>
      <c r="CD485" s="253" t="e">
        <f aca="false">xSPRDOPT((VLOOKUP(G485,NGPrices,2,FALSE())+HLOOKUP(D485,Prices,VLOOKUP(G485,move_down,2,FALSE()),FALSE())),VLOOKUP(G485,NGPrices,2,FALSE()),I485,VLOOKUP(G485,NGPREVPRICES,4,FALSE()),HLOOKUP(D485,PREVVOLS,VLOOKUP(G485,MOVE_DOWN2,2,FALSE()),FALSE()),VLOOKUP(G485,NGPREVPRICES,3,FALSE()),HLOOKUP(D485,Correllate,VLOOKUP(G485,CorMove,2,FALSE()),FALSE()),Q485-$CD$3,R485,$CD$5)*H485-CJ485</f>
        <v>#NAME?</v>
      </c>
      <c r="CE485" s="253" t="e">
        <f aca="false">xSPRDOPT((VLOOKUP(G485,NGPREVPRICES,2,FALSE())+HLOOKUP(D485,PREVCURVES,VLOOKUP(G485,MOVE_DOWN2,2,FALSE()),FALSE())),VLOOKUP(G485,NGPREVPRICES,2,FALSE()),CK485,VLOOKUP(G485,NGPrices,4,FALSE()),HLOOKUP(D485,PREVVOLS,VLOOKUP(G485,MOVE_DOWN2,2,FALSE()),FALSE()),VLOOKUP(G485,NGPREVPRICES,3,FALSE()),HLOOKUP(D485,Correllate,VLOOKUP(G485,CorMove,2,FALSE()),FALSE()),Q485-$CD$3,R485,$CJ$5)*H485-CJ485</f>
        <v>#NAME?</v>
      </c>
      <c r="CF485" s="132" t="e">
        <f aca="false">(CJ485/VLOOKUP(CC485,discount,3,FALSE()))-(CJ485/VLOOKUP(CC485,discount,2,FALSE()))</f>
        <v>#NAME?</v>
      </c>
      <c r="CG485" s="253" t="e">
        <f aca="false">xSPRDOPT((VLOOKUP(G485,NGPREVPRICES,2,FALSE())+HLOOKUP(D485,PREVCURVES,VLOOKUP(G485,MOVE_DOWN2,2,FALSE()),FALSE())),VLOOKUP(G485,NGPREVPRICES,2,FALSE()),CK485,VLOOKUP(G485,NGPREVPRICES,4,FALSE()),HLOOKUP(D485,VOLS,VLOOKUP(G485,move_down,2,FALSE()),FALSE()),VLOOKUP(G485,NGPrices,3,FALSE()),HLOOKUP(D485,Correllate,VLOOKUP(G485,CorMove,2,FALSE()),FALSE()),Q485-$CD$3,R485,$CJ$5)*H485-CJ485</f>
        <v>#NAME?</v>
      </c>
      <c r="CH485" s="253" t="e">
        <f aca="false">xSPRDOPT((VLOOKUP(G485,NGPREVPRICES,2,FALSE())+HLOOKUP(D485,PREVCURVES,VLOOKUP(G485,MOVE_DOWN2,2,FALSE()),FALSE())),VLOOKUP(G485,NGPREVPRICES,2,FALSE()),CK485,VLOOKUP(G485,NGPREVPRICES,4,FALSE()),HLOOKUP(D485,PREVVOLS,VLOOKUP(G485,MOVE_DOWN2,2,FALSE()),FALSE()),VLOOKUP(G485,NGPREVPRICES,3,FALSE()),HLOOKUP(D485,Correllate,VLOOKUP(G485,CorMove,2,FALSE()),FALSE()),Q485-$C$3,R485,$CJ$5)*H485-CJ485</f>
        <v>#NAME?</v>
      </c>
      <c r="CI485" s="253" t="e">
        <f aca="false">SUM(CD485:CH485)</f>
        <v>#NAME?</v>
      </c>
      <c r="CJ485" s="253" t="e">
        <f aca="false">xSPRDOPT((VLOOKUP(G485,NGPREVPRICES,2,FALSE())+HLOOKUP(D485,PREVCURVES,VLOOKUP(G485,MOVE_DOWN2,2,FALSE()),FALSE())),VLOOKUP(G485,NGPREVPRICES,2,FALSE()),CK485,VLOOKUP(G485,NGPREVPRICES,4,FALSE()),HLOOKUP(D485,PREVVOLS,VLOOKUP(G485,MOVE_DOWN2,2,FALSE()),FALSE()),VLOOKUP(G485,NGPREVPRICES,3,FALSE()),HLOOKUP(D485,Correllate,VLOOKUP(G485,CorMove,2,FALSE()),FALSE()),Q485-$CD$3,R485,$CJ$5)*H485</f>
        <v>#NAME?</v>
      </c>
      <c r="CK485" s="254" t="n">
        <f aca="false">I485</f>
        <v>0.3</v>
      </c>
      <c r="CM485" s="0" t="str">
        <f aca="false">CONCATENATE(CC485,$CD$6)</f>
        <v>36923Curve Shift/Gamma</v>
      </c>
      <c r="CN485" s="0" t="str">
        <f aca="false">CONCATENATE($CC485,$CE$6)</f>
        <v>36923Rho</v>
      </c>
      <c r="CO485" s="0" t="str">
        <f aca="false">CONCATENATE($CC485,$CF$6)</f>
        <v>36923Drift</v>
      </c>
      <c r="CP485" s="0" t="str">
        <f aca="false">CONCATENATE($CC485,$CG$6)</f>
        <v>36923Vega</v>
      </c>
      <c r="CQ485" s="0" t="str">
        <f aca="false">CONCATENATE($CC485,$CH$6)</f>
        <v>36923Theta</v>
      </c>
    </row>
    <row r="486" customFormat="false" ht="12.75" hidden="false" customHeight="false" outlineLevel="0" collapsed="false">
      <c r="A486" s="17" t="s">
        <v>363</v>
      </c>
      <c r="B486" s="0" t="s">
        <v>192</v>
      </c>
      <c r="C486" s="0" t="s">
        <v>364</v>
      </c>
      <c r="D486" s="7" t="s">
        <v>137</v>
      </c>
      <c r="E486" s="0" t="s">
        <v>131</v>
      </c>
      <c r="F486" s="0" t="s">
        <v>136</v>
      </c>
      <c r="G486" s="92" t="n">
        <v>36892</v>
      </c>
      <c r="H486" s="248" t="n">
        <v>500000</v>
      </c>
      <c r="I486" s="0" t="n">
        <v>0.3</v>
      </c>
      <c r="J486" s="124" t="n">
        <f aca="false">VLOOKUP(G486,NGPrices,2,FALSE())</f>
        <v>4.744</v>
      </c>
      <c r="K486" s="125" t="n">
        <f aca="false">HLOOKUP(D486,Prices,VLOOKUP(G486,move_down,2,FALSE()),FALSE())+VLOOKUP(G486,CHANGE,HLOOKUP(D486,CHANGE,2,FALSE()),FALSE())</f>
        <v>0.7675</v>
      </c>
      <c r="L486" s="124" t="n">
        <f aca="false">K486+J486</f>
        <v>5.5115</v>
      </c>
      <c r="M486" s="126" t="n">
        <f aca="false">VLOOKUP(G486,NGPrices,4,FALSE())</f>
        <v>0.068374831148491</v>
      </c>
      <c r="N486" s="7" t="n">
        <f aca="false">VLOOKUP(G486,NGPrices,3,FALSE())</f>
        <v>0.605</v>
      </c>
      <c r="O486" s="7" t="n">
        <f aca="false">HLOOKUP(D486,VOLS,VLOOKUP(G486,move_down,2,FALSE()),FALSE())</f>
        <v>0.587</v>
      </c>
      <c r="P486" s="249" t="n">
        <f aca="false">HLOOKUP(D486,Correllate,VLOOKUP(G486,CorMove,2,FALSE()),FALSE())</f>
        <v>0.85</v>
      </c>
      <c r="Q486" s="92" t="n">
        <f aca="false">WORKDAY(G486,-2)</f>
        <v>36888</v>
      </c>
      <c r="R486" s="7" t="n">
        <f aca="false">IF(F486="P",0,1)</f>
        <v>1</v>
      </c>
      <c r="S486" s="130" t="e">
        <f aca="false">xSPRDOPT($L486,$J486,$I486,$M486,$O486,$N486,$P486,$Q486-$C$3,$R486,0)</f>
        <v>#NAME?</v>
      </c>
      <c r="T486" s="250" t="e">
        <f aca="false">xSPRDOPT($L486,$J486,$I486,$M486,$O486,$N486,$P486,$Q486-$C$3,$R486,1)*H486</f>
        <v>#NAME?</v>
      </c>
      <c r="U486" s="43" t="e">
        <f aca="false">S486*H486</f>
        <v>#NAME?</v>
      </c>
      <c r="V486" s="250" t="e">
        <f aca="false">xSPRDOPT($L486,$J486,$I486,$M486,$O486,$N486,$P486,$Q486-$C$3,$R486,2)*H486</f>
        <v>#NAME?</v>
      </c>
      <c r="W486" s="250" t="e">
        <f aca="false">+V486+T486</f>
        <v>#NAME?</v>
      </c>
      <c r="X486" s="2" t="str">
        <f aca="false">CONCATENATE(G486,D486)</f>
        <v>36892NGI-SOCAL</v>
      </c>
      <c r="Y486" s="251" t="n">
        <f aca="false">H486/10000</f>
        <v>50</v>
      </c>
      <c r="Z486" s="226" t="e">
        <f aca="false">T486/H486</f>
        <v>#NAME?</v>
      </c>
      <c r="AA486" s="226" t="e">
        <f aca="false">xSPRDOPT($L486,$J486,$I486,$M486,$O486,$N486,$P486,$Q486-$C$3,$R486,3)</f>
        <v>#NAME?</v>
      </c>
      <c r="AB486" s="226" t="e">
        <f aca="false">((xSPRDOPT($L486+AB$5,$J486,$I486,$M486,$O486,$N486,$P486,$Q486-$C$3,$R486,3)*$H486)/10000)/100</f>
        <v>#NAME?</v>
      </c>
      <c r="AC486" s="226" t="e">
        <f aca="false">((xSPRDOPT($L486+$AB$5,$J486,$I486,$M486,$O486,$N486,$P486,$Q486-$C$3,$R486,7)*$H486)/100)</f>
        <v>#NAME?</v>
      </c>
      <c r="AD486" s="226" t="e">
        <f aca="false">(xSPRDOPT($L486+$AB$5,$J486,$I486,$M486,$O486,$N486,$P486,$Q486-$C$3,$R486,9)/365)*$H486</f>
        <v>#NAME?</v>
      </c>
      <c r="AE486" s="0" t="e">
        <f aca="false">CD486</f>
        <v>#NAME?</v>
      </c>
      <c r="AF486" s="226" t="e">
        <f aca="false">((O486/N486)*AH486)+AG486</f>
        <v>#NAME?</v>
      </c>
      <c r="AG486" s="226" t="e">
        <f aca="false">((xSPRDOPT($L486,$J486,$I486,$M486,$O486,$N486,$P486,$Q486-$C$3,$R486,6)*$H486)/100)</f>
        <v>#NAME?</v>
      </c>
      <c r="AH486" s="226" t="e">
        <f aca="false">((xSPRDOPT($L486,$J486,$I486,$M486,$O486,$N486,$P486,$Q486-$C$3,$R486,5)*$H486)/100)</f>
        <v>#NAME?</v>
      </c>
      <c r="AI486" s="226" t="e">
        <f aca="false">(((xSPRDOPT($L486,$J486,$I486,$M486,$O486,$N486,$P486,$Q486-$C$3,$R486,4)*$H486)/10000)/100)-AB486</f>
        <v>#NAME?</v>
      </c>
      <c r="AJ486" s="226"/>
      <c r="AK486" s="226"/>
      <c r="AL486" s="226"/>
      <c r="AM486" s="252"/>
      <c r="CC486" s="182" t="n">
        <f aca="false">G486</f>
        <v>36892</v>
      </c>
      <c r="CD486" s="253" t="e">
        <f aca="false">xSPRDOPT((VLOOKUP(G486,NGPrices,2,FALSE())+HLOOKUP(D486,Prices,VLOOKUP(G486,move_down,2,FALSE()),FALSE())),VLOOKUP(G486,NGPrices,2,FALSE()),I486,VLOOKUP(G486,NGPREVPRICES,4,FALSE()),HLOOKUP(D486,PREVVOLS,VLOOKUP(G486,MOVE_DOWN2,2,FALSE()),FALSE()),VLOOKUP(G486,NGPREVPRICES,3,FALSE()),HLOOKUP(D486,Correllate,VLOOKUP(G486,CorMove,2,FALSE()),FALSE()),Q486-$CD$3,R486,$CD$5)*H486-CJ486</f>
        <v>#NAME?</v>
      </c>
      <c r="CE486" s="253" t="e">
        <f aca="false">xSPRDOPT((VLOOKUP(G486,NGPREVPRICES,2,FALSE())+HLOOKUP(D486,PREVCURVES,VLOOKUP(G486,MOVE_DOWN2,2,FALSE()),FALSE())),VLOOKUP(G486,NGPREVPRICES,2,FALSE()),CK486,VLOOKUP(G486,NGPrices,4,FALSE()),HLOOKUP(D486,PREVVOLS,VLOOKUP(G486,MOVE_DOWN2,2,FALSE()),FALSE()),VLOOKUP(G486,NGPREVPRICES,3,FALSE()),HLOOKUP(D486,Correllate,VLOOKUP(G486,CorMove,2,FALSE()),FALSE()),Q486-$CD$3,R486,$CJ$5)*H486-CJ486</f>
        <v>#NAME?</v>
      </c>
      <c r="CF486" s="132" t="e">
        <f aca="false">(CJ486/VLOOKUP(CC486,discount,3,FALSE()))-(CJ486/VLOOKUP(CC486,discount,2,FALSE()))</f>
        <v>#NAME?</v>
      </c>
      <c r="CG486" s="253" t="e">
        <f aca="false">xSPRDOPT((VLOOKUP(G486,NGPREVPRICES,2,FALSE())+HLOOKUP(D486,PREVCURVES,VLOOKUP(G486,MOVE_DOWN2,2,FALSE()),FALSE())),VLOOKUP(G486,NGPREVPRICES,2,FALSE()),CK486,VLOOKUP(G486,NGPREVPRICES,4,FALSE()),HLOOKUP(D486,VOLS,VLOOKUP(G486,move_down,2,FALSE()),FALSE()),VLOOKUP(G486,NGPrices,3,FALSE()),HLOOKUP(D486,Correllate,VLOOKUP(G486,CorMove,2,FALSE()),FALSE()),Q486-$CD$3,R486,$CJ$5)*H486-CJ486</f>
        <v>#NAME?</v>
      </c>
      <c r="CH486" s="253" t="e">
        <f aca="false">xSPRDOPT((VLOOKUP(G486,NGPREVPRICES,2,FALSE())+HLOOKUP(D486,PREVCURVES,VLOOKUP(G486,MOVE_DOWN2,2,FALSE()),FALSE())),VLOOKUP(G486,NGPREVPRICES,2,FALSE()),CK486,VLOOKUP(G486,NGPREVPRICES,4,FALSE()),HLOOKUP(D486,PREVVOLS,VLOOKUP(G486,MOVE_DOWN2,2,FALSE()),FALSE()),VLOOKUP(G486,NGPREVPRICES,3,FALSE()),HLOOKUP(D486,Correllate,VLOOKUP(G486,CorMove,2,FALSE()),FALSE()),Q486-$C$3,R486,$CJ$5)*H486-CJ486</f>
        <v>#NAME?</v>
      </c>
      <c r="CI486" s="253" t="e">
        <f aca="false">SUM(CD486:CH486)</f>
        <v>#NAME?</v>
      </c>
      <c r="CJ486" s="253" t="e">
        <f aca="false">xSPRDOPT((VLOOKUP(G486,NGPREVPRICES,2,FALSE())+HLOOKUP(D486,PREVCURVES,VLOOKUP(G486,MOVE_DOWN2,2,FALSE()),FALSE())),VLOOKUP(G486,NGPREVPRICES,2,FALSE()),CK486,VLOOKUP(G486,NGPREVPRICES,4,FALSE()),HLOOKUP(D486,PREVVOLS,VLOOKUP(G486,MOVE_DOWN2,2,FALSE()),FALSE()),VLOOKUP(G486,NGPREVPRICES,3,FALSE()),HLOOKUP(D486,Correllate,VLOOKUP(G486,CorMove,2,FALSE()),FALSE()),Q486-$CD$3,R486,$CJ$5)*H486</f>
        <v>#NAME?</v>
      </c>
      <c r="CK486" s="254" t="n">
        <f aca="false">I486</f>
        <v>0.3</v>
      </c>
      <c r="CM486" s="0" t="str">
        <f aca="false">CONCATENATE(CC486,$CD$6)</f>
        <v>36892Curve Shift/Gamma</v>
      </c>
      <c r="CN486" s="0" t="str">
        <f aca="false">CONCATENATE($CC486,$CE$6)</f>
        <v>36892Rho</v>
      </c>
      <c r="CO486" s="0" t="str">
        <f aca="false">CONCATENATE($CC486,$CF$6)</f>
        <v>36892Drift</v>
      </c>
      <c r="CP486" s="0" t="str">
        <f aca="false">CONCATENATE($CC486,$CG$6)</f>
        <v>36892Vega</v>
      </c>
      <c r="CQ486" s="0" t="str">
        <f aca="false">CONCATENATE($CC486,$CH$6)</f>
        <v>36892Theta</v>
      </c>
    </row>
    <row r="487" customFormat="false" ht="12.75" hidden="false" customHeight="false" outlineLevel="0" collapsed="false">
      <c r="A487" s="17" t="s">
        <v>363</v>
      </c>
      <c r="B487" s="0" t="s">
        <v>192</v>
      </c>
      <c r="C487" s="0" t="s">
        <v>364</v>
      </c>
      <c r="D487" s="7" t="s">
        <v>137</v>
      </c>
      <c r="E487" s="0" t="s">
        <v>131</v>
      </c>
      <c r="F487" s="0" t="s">
        <v>136</v>
      </c>
      <c r="G487" s="92" t="n">
        <v>36861</v>
      </c>
      <c r="H487" s="248" t="n">
        <v>500000</v>
      </c>
      <c r="I487" s="0" t="n">
        <v>0.3</v>
      </c>
      <c r="J487" s="124" t="n">
        <f aca="false">VLOOKUP(G487,NGPrices,2,FALSE())</f>
        <v>4.8</v>
      </c>
      <c r="K487" s="125" t="n">
        <f aca="false">HLOOKUP(D487,Prices,VLOOKUP(G487,move_down,2,FALSE()),FALSE())+VLOOKUP(G487,CHANGE,HLOOKUP(D487,CHANGE,2,FALSE()),FALSE())</f>
        <v>1.005</v>
      </c>
      <c r="L487" s="124" t="n">
        <f aca="false">K487+J487</f>
        <v>5.805</v>
      </c>
      <c r="M487" s="126" t="n">
        <f aca="false">VLOOKUP(G487,NGPrices,4,FALSE())</f>
        <v>0.068314027999354</v>
      </c>
      <c r="N487" s="7" t="n">
        <f aca="false">VLOOKUP(G487,NGPrices,3,FALSE())</f>
        <v>0.6</v>
      </c>
      <c r="O487" s="7" t="n">
        <f aca="false">HLOOKUP(D487,VOLS,VLOOKUP(G487,move_down,2,FALSE()),FALSE())</f>
        <v>0.582</v>
      </c>
      <c r="P487" s="249" t="n">
        <f aca="false">HLOOKUP(D487,Correllate,VLOOKUP(G487,CorMove,2,FALSE()),FALSE())</f>
        <v>0.85</v>
      </c>
      <c r="Q487" s="92" t="n">
        <f aca="false">WORKDAY(G487,-2)</f>
        <v>36859</v>
      </c>
      <c r="R487" s="7" t="n">
        <f aca="false">IF(F487="P",0,1)</f>
        <v>1</v>
      </c>
      <c r="S487" s="130" t="e">
        <f aca="false">xSPRDOPT($L487,$J487,$I487,$M487,$O487,$N487,$P487,$Q487-$C$3,$R487,0)</f>
        <v>#NAME?</v>
      </c>
      <c r="T487" s="250" t="e">
        <f aca="false">xSPRDOPT($L487,$J487,$I487,$M487,$O487,$N487,$P487,$Q487-$C$3,$R487,1)*H487</f>
        <v>#NAME?</v>
      </c>
      <c r="U487" s="43" t="e">
        <f aca="false">S487*H487</f>
        <v>#NAME?</v>
      </c>
      <c r="V487" s="250" t="e">
        <f aca="false">xSPRDOPT($L487,$J487,$I487,$M487,$O487,$N487,$P487,$Q487-$C$3,$R487,2)*H487</f>
        <v>#NAME?</v>
      </c>
      <c r="W487" s="250" t="e">
        <f aca="false">+V487+T487</f>
        <v>#NAME?</v>
      </c>
      <c r="X487" s="2" t="str">
        <f aca="false">CONCATENATE(G487,D487)</f>
        <v>36861NGI-SOCAL</v>
      </c>
      <c r="Y487" s="251" t="n">
        <f aca="false">H487/10000</f>
        <v>50</v>
      </c>
      <c r="Z487" s="226" t="e">
        <f aca="false">T487/H487</f>
        <v>#NAME?</v>
      </c>
      <c r="AA487" s="226" t="e">
        <f aca="false">xSPRDOPT($L487,$J487,$I487,$M487,$O487,$N487,$P487,$Q487-$C$3,$R487,3)</f>
        <v>#NAME?</v>
      </c>
      <c r="AB487" s="226" t="e">
        <f aca="false">((xSPRDOPT($L487+AB$5,$J487,$I487,$M487,$O487,$N487,$P487,$Q487-$C$3,$R487,3)*$H487)/10000)/100</f>
        <v>#NAME?</v>
      </c>
      <c r="AC487" s="226" t="e">
        <f aca="false">((xSPRDOPT($L487+$AB$5,$J487,$I487,$M487,$O487,$N487,$P487,$Q487-$C$3,$R487,7)*$H487)/100)</f>
        <v>#NAME?</v>
      </c>
      <c r="AD487" s="226" t="e">
        <f aca="false">(xSPRDOPT($L487+$AB$5,$J487,$I487,$M487,$O487,$N487,$P487,$Q487-$C$3,$R487,9)/365)*$H487</f>
        <v>#NAME?</v>
      </c>
      <c r="AE487" s="0" t="e">
        <f aca="false">CD487</f>
        <v>#NAME?</v>
      </c>
      <c r="AF487" s="226" t="e">
        <f aca="false">((O487/N487)*AH487)+AG487</f>
        <v>#NAME?</v>
      </c>
      <c r="AG487" s="226" t="e">
        <f aca="false">((xSPRDOPT($L487,$J487,$I487,$M487,$O487,$N487,$P487,$Q487-$C$3,$R487,6)*$H487)/100)</f>
        <v>#NAME?</v>
      </c>
      <c r="AH487" s="226" t="e">
        <f aca="false">((xSPRDOPT($L487,$J487,$I487,$M487,$O487,$N487,$P487,$Q487-$C$3,$R487,5)*$H487)/100)</f>
        <v>#NAME?</v>
      </c>
      <c r="AI487" s="226" t="e">
        <f aca="false">(((xSPRDOPT($L487,$J487,$I487,$M487,$O487,$N487,$P487,$Q487-$C$3,$R487,4)*$H487)/10000)/100)-AB487</f>
        <v>#NAME?</v>
      </c>
      <c r="AJ487" s="226"/>
      <c r="AK487" s="226"/>
      <c r="AL487" s="226"/>
      <c r="AM487" s="252"/>
      <c r="CC487" s="182" t="n">
        <f aca="false">G487</f>
        <v>36861</v>
      </c>
      <c r="CD487" s="253" t="e">
        <f aca="false">xSPRDOPT((VLOOKUP(G487,NGPrices,2,FALSE())+HLOOKUP(D487,Prices,VLOOKUP(G487,move_down,2,FALSE()),FALSE())),VLOOKUP(G487,NGPrices,2,FALSE()),I487,VLOOKUP(G487,NGPREVPRICES,4,FALSE()),HLOOKUP(D487,PREVVOLS,VLOOKUP(G487,MOVE_DOWN2,2,FALSE()),FALSE()),VLOOKUP(G487,NGPREVPRICES,3,FALSE()),HLOOKUP(D487,Correllate,VLOOKUP(G487,CorMove,2,FALSE()),FALSE()),Q487-$CD$3,R487,$CD$5)*H487-CJ487</f>
        <v>#NAME?</v>
      </c>
      <c r="CE487" s="253" t="e">
        <f aca="false">xSPRDOPT((VLOOKUP(G487,NGPREVPRICES,2,FALSE())+HLOOKUP(D487,PREVCURVES,VLOOKUP(G487,MOVE_DOWN2,2,FALSE()),FALSE())),VLOOKUP(G487,NGPREVPRICES,2,FALSE()),CK487,VLOOKUP(G487,NGPrices,4,FALSE()),HLOOKUP(D487,PREVVOLS,VLOOKUP(G487,MOVE_DOWN2,2,FALSE()),FALSE()),VLOOKUP(G487,NGPREVPRICES,3,FALSE()),HLOOKUP(D487,Correllate,VLOOKUP(G487,CorMove,2,FALSE()),FALSE()),Q487-$CD$3,R487,$CJ$5)*H487-CJ487</f>
        <v>#NAME?</v>
      </c>
      <c r="CF487" s="132" t="e">
        <f aca="false">(CJ487/VLOOKUP(CC487,discount,3,FALSE()))-(CJ487/VLOOKUP(CC487,discount,2,FALSE()))</f>
        <v>#NAME?</v>
      </c>
      <c r="CG487" s="253" t="e">
        <f aca="false">xSPRDOPT((VLOOKUP(G487,NGPREVPRICES,2,FALSE())+HLOOKUP(D487,PREVCURVES,VLOOKUP(G487,MOVE_DOWN2,2,FALSE()),FALSE())),VLOOKUP(G487,NGPREVPRICES,2,FALSE()),CK487,VLOOKUP(G487,NGPREVPRICES,4,FALSE()),HLOOKUP(D487,VOLS,VLOOKUP(G487,move_down,2,FALSE()),FALSE()),VLOOKUP(G487,NGPrices,3,FALSE()),HLOOKUP(D487,Correllate,VLOOKUP(G487,CorMove,2,FALSE()),FALSE()),Q487-$CD$3,R487,$CJ$5)*H487-CJ487</f>
        <v>#NAME?</v>
      </c>
      <c r="CH487" s="253" t="e">
        <f aca="false">xSPRDOPT((VLOOKUP(G487,NGPREVPRICES,2,FALSE())+HLOOKUP(D487,PREVCURVES,VLOOKUP(G487,MOVE_DOWN2,2,FALSE()),FALSE())),VLOOKUP(G487,NGPREVPRICES,2,FALSE()),CK487,VLOOKUP(G487,NGPREVPRICES,4,FALSE()),HLOOKUP(D487,PREVVOLS,VLOOKUP(G487,MOVE_DOWN2,2,FALSE()),FALSE()),VLOOKUP(G487,NGPREVPRICES,3,FALSE()),HLOOKUP(D487,Correllate,VLOOKUP(G487,CorMove,2,FALSE()),FALSE()),Q487-$C$3,R487,$CJ$5)*H487-CJ487</f>
        <v>#NAME?</v>
      </c>
      <c r="CI487" s="253" t="e">
        <f aca="false">SUM(CD487:CH487)</f>
        <v>#NAME?</v>
      </c>
      <c r="CJ487" s="253" t="e">
        <f aca="false">xSPRDOPT((VLOOKUP(G487,NGPREVPRICES,2,FALSE())+HLOOKUP(D487,PREVCURVES,VLOOKUP(G487,MOVE_DOWN2,2,FALSE()),FALSE())),VLOOKUP(G487,NGPREVPRICES,2,FALSE()),CK487,VLOOKUP(G487,NGPREVPRICES,4,FALSE()),HLOOKUP(D487,PREVVOLS,VLOOKUP(G487,MOVE_DOWN2,2,FALSE()),FALSE()),VLOOKUP(G487,NGPREVPRICES,3,FALSE()),HLOOKUP(D487,Correllate,VLOOKUP(G487,CorMove,2,FALSE()),FALSE()),Q487-$CD$3,R487,$CJ$5)*H487</f>
        <v>#NAME?</v>
      </c>
      <c r="CK487" s="254" t="n">
        <f aca="false">I487</f>
        <v>0.3</v>
      </c>
      <c r="CM487" s="0" t="str">
        <f aca="false">CONCATENATE(CC487,$CD$6)</f>
        <v>36861Curve Shift/Gamma</v>
      </c>
      <c r="CN487" s="0" t="str">
        <f aca="false">CONCATENATE($CC487,$CE$6)</f>
        <v>36861Rho</v>
      </c>
      <c r="CO487" s="0" t="str">
        <f aca="false">CONCATENATE($CC487,$CF$6)</f>
        <v>36861Drift</v>
      </c>
      <c r="CP487" s="0" t="str">
        <f aca="false">CONCATENATE($CC487,$CG$6)</f>
        <v>36861Vega</v>
      </c>
      <c r="CQ487" s="0" t="str">
        <f aca="false">CONCATENATE($CC487,$CH$6)</f>
        <v>36861Theta</v>
      </c>
    </row>
    <row r="488" customFormat="false" ht="12.75" hidden="false" customHeight="false" outlineLevel="0" collapsed="false">
      <c r="A488" s="17" t="s">
        <v>363</v>
      </c>
      <c r="B488" s="0" t="s">
        <v>192</v>
      </c>
      <c r="C488" s="0" t="s">
        <v>364</v>
      </c>
      <c r="D488" s="7" t="s">
        <v>137</v>
      </c>
      <c r="E488" s="0" t="s">
        <v>131</v>
      </c>
      <c r="F488" s="0" t="s">
        <v>136</v>
      </c>
      <c r="G488" s="92" t="n">
        <v>36831</v>
      </c>
      <c r="H488" s="248" t="n">
        <v>500000</v>
      </c>
      <c r="I488" s="0" t="n">
        <v>0.3</v>
      </c>
      <c r="J488" s="124" t="n">
        <f aca="false">VLOOKUP(G488,NGPrices,2,FALSE())</f>
        <v>4.736</v>
      </c>
      <c r="K488" s="125" t="n">
        <f aca="false">HLOOKUP(D488,Prices,VLOOKUP(G488,move_down,2,FALSE()),FALSE())+VLOOKUP(G488,CHANGE,HLOOKUP(D488,CHANGE,2,FALSE()),FALSE())</f>
        <v>1.545</v>
      </c>
      <c r="L488" s="124" t="n">
        <f aca="false">K488+J488</f>
        <v>6.281</v>
      </c>
      <c r="M488" s="126" t="n">
        <f aca="false">VLOOKUP(G488,NGPrices,4,FALSE())</f>
        <v>0.06810675983792</v>
      </c>
      <c r="N488" s="7" t="n">
        <f aca="false">VLOOKUP(G488,NGPrices,3,FALSE())</f>
        <v>0.595</v>
      </c>
      <c r="O488" s="7" t="n">
        <f aca="false">HLOOKUP(D488,VOLS,VLOOKUP(G488,move_down,2,FALSE()),FALSE())</f>
        <v>0.577</v>
      </c>
      <c r="P488" s="249" t="n">
        <f aca="false">HLOOKUP(D488,Correllate,VLOOKUP(G488,CorMove,2,FALSE()),FALSE())</f>
        <v>0.85</v>
      </c>
      <c r="Q488" s="92" t="n">
        <f aca="false">WORKDAY(G488,-2)</f>
        <v>36829</v>
      </c>
      <c r="R488" s="7" t="n">
        <f aca="false">IF(F488="P",0,1)</f>
        <v>1</v>
      </c>
      <c r="S488" s="130" t="e">
        <f aca="false">xSPRDOPT($L488,$J488,$I488,$M488,$O488,$N488,$P488,$Q488-$C$3,$R488,0)</f>
        <v>#NAME?</v>
      </c>
      <c r="T488" s="250" t="e">
        <f aca="false">xSPRDOPT($L488,$J488,$I488,$M488,$O488,$N488,$P488,$Q488-$C$3,$R488,1)*H488</f>
        <v>#NAME?</v>
      </c>
      <c r="U488" s="43" t="e">
        <f aca="false">S488*H488</f>
        <v>#NAME?</v>
      </c>
      <c r="V488" s="250" t="e">
        <f aca="false">xSPRDOPT($L488,$J488,$I488,$M488,$O488,$N488,$P488,$Q488-$C$3,$R488,2)*H488</f>
        <v>#NAME?</v>
      </c>
      <c r="W488" s="250" t="e">
        <f aca="false">+V488+T488</f>
        <v>#NAME?</v>
      </c>
      <c r="X488" s="2" t="str">
        <f aca="false">CONCATENATE(G488,D488)</f>
        <v>36831NGI-SOCAL</v>
      </c>
      <c r="Y488" s="251" t="n">
        <f aca="false">H488/10000</f>
        <v>50</v>
      </c>
      <c r="Z488" s="226" t="e">
        <f aca="false">T488/H488</f>
        <v>#NAME?</v>
      </c>
      <c r="AA488" s="226" t="e">
        <f aca="false">xSPRDOPT($L488,$J488,$I488,$M488,$O488,$N488,$P488,$Q488-$C$3,$R488,3)</f>
        <v>#NAME?</v>
      </c>
      <c r="AB488" s="226" t="e">
        <f aca="false">((xSPRDOPT($L488+AB$5,$J488,$I488,$M488,$O488,$N488,$P488,$Q488-$C$3,$R488,3)*$H488)/10000)/100</f>
        <v>#NAME?</v>
      </c>
      <c r="AC488" s="226" t="e">
        <f aca="false">((xSPRDOPT($L488+$AB$5,$J488,$I488,$M488,$O488,$N488,$P488,$Q488-$C$3,$R488,7)*$H488)/100)</f>
        <v>#NAME?</v>
      </c>
      <c r="AD488" s="226" t="e">
        <f aca="false">(xSPRDOPT($L488+$AB$5,$J488,$I488,$M488,$O488,$N488,$P488,$Q488-$C$3,$R488,9)/365)*$H488</f>
        <v>#NAME?</v>
      </c>
      <c r="AE488" s="0" t="e">
        <f aca="false">CD488</f>
        <v>#NAME?</v>
      </c>
      <c r="AF488" s="226" t="e">
        <f aca="false">((O488/N488)*AH488)+AG488</f>
        <v>#NAME?</v>
      </c>
      <c r="AG488" s="226" t="e">
        <f aca="false">((xSPRDOPT($L488,$J488,$I488,$M488,$O488,$N488,$P488,$Q488-$C$3,$R488,6)*$H488)/100)</f>
        <v>#NAME?</v>
      </c>
      <c r="AH488" s="226" t="e">
        <f aca="false">((xSPRDOPT($L488,$J488,$I488,$M488,$O488,$N488,$P488,$Q488-$C$3,$R488,5)*$H488)/100)</f>
        <v>#NAME?</v>
      </c>
      <c r="AI488" s="226" t="e">
        <f aca="false">(((xSPRDOPT($L488,$J488,$I488,$M488,$O488,$N488,$P488,$Q488-$C$3,$R488,4)*$H488)/10000)/100)-AB488</f>
        <v>#NAME?</v>
      </c>
      <c r="AJ488" s="226"/>
      <c r="AK488" s="226"/>
      <c r="AL488" s="226"/>
      <c r="AM488" s="252"/>
      <c r="CC488" s="182" t="n">
        <f aca="false">G488</f>
        <v>36831</v>
      </c>
      <c r="CD488" s="253" t="e">
        <f aca="false">xSPRDOPT((VLOOKUP(G488,NGPrices,2,FALSE())+HLOOKUP(D488,Prices,VLOOKUP(G488,move_down,2,FALSE()),FALSE())),VLOOKUP(G488,NGPrices,2,FALSE()),I488,VLOOKUP(G488,NGPREVPRICES,4,FALSE()),HLOOKUP(D488,PREVVOLS,VLOOKUP(G488,MOVE_DOWN2,2,FALSE()),FALSE()),VLOOKUP(G488,NGPREVPRICES,3,FALSE()),HLOOKUP(D488,Correllate,VLOOKUP(G488,CorMove,2,FALSE()),FALSE()),Q488-$CD$3,R488,$CD$5)*H488-CJ488</f>
        <v>#NAME?</v>
      </c>
      <c r="CE488" s="253" t="e">
        <f aca="false">xSPRDOPT((VLOOKUP(G488,NGPREVPRICES,2,FALSE())+HLOOKUP(D488,PREVCURVES,VLOOKUP(G488,MOVE_DOWN2,2,FALSE()),FALSE())),VLOOKUP(G488,NGPREVPRICES,2,FALSE()),CK488,VLOOKUP(G488,NGPrices,4,FALSE()),HLOOKUP(D488,PREVVOLS,VLOOKUP(G488,MOVE_DOWN2,2,FALSE()),FALSE()),VLOOKUP(G488,NGPREVPRICES,3,FALSE()),HLOOKUP(D488,Correllate,VLOOKUP(G488,CorMove,2,FALSE()),FALSE()),Q488-$CD$3,R488,$CJ$5)*H488-CJ488</f>
        <v>#NAME?</v>
      </c>
      <c r="CF488" s="132" t="e">
        <f aca="false">(CJ488/VLOOKUP(CC488,discount,3,FALSE()))-(CJ488/VLOOKUP(CC488,discount,2,FALSE()))</f>
        <v>#NAME?</v>
      </c>
      <c r="CG488" s="253" t="e">
        <f aca="false">xSPRDOPT((VLOOKUP(G488,NGPREVPRICES,2,FALSE())+HLOOKUP(D488,PREVCURVES,VLOOKUP(G488,MOVE_DOWN2,2,FALSE()),FALSE())),VLOOKUP(G488,NGPREVPRICES,2,FALSE()),CK488,VLOOKUP(G488,NGPREVPRICES,4,FALSE()),HLOOKUP(D488,VOLS,VLOOKUP(G488,move_down,2,FALSE()),FALSE()),VLOOKUP(G488,NGPrices,3,FALSE()),HLOOKUP(D488,Correllate,VLOOKUP(G488,CorMove,2,FALSE()),FALSE()),Q488-$CD$3,R488,$CJ$5)*H488-CJ488</f>
        <v>#NAME?</v>
      </c>
      <c r="CH488" s="253" t="e">
        <f aca="false">xSPRDOPT((VLOOKUP(G488,NGPREVPRICES,2,FALSE())+HLOOKUP(D488,PREVCURVES,VLOOKUP(G488,MOVE_DOWN2,2,FALSE()),FALSE())),VLOOKUP(G488,NGPREVPRICES,2,FALSE()),CK488,VLOOKUP(G488,NGPREVPRICES,4,FALSE()),HLOOKUP(D488,PREVVOLS,VLOOKUP(G488,MOVE_DOWN2,2,FALSE()),FALSE()),VLOOKUP(G488,NGPREVPRICES,3,FALSE()),HLOOKUP(D488,Correllate,VLOOKUP(G488,CorMove,2,FALSE()),FALSE()),Q488-$C$3,R488,$CJ$5)*H488-CJ488</f>
        <v>#NAME?</v>
      </c>
      <c r="CI488" s="253" t="e">
        <f aca="false">SUM(CD488:CH488)</f>
        <v>#NAME?</v>
      </c>
      <c r="CJ488" s="253" t="e">
        <f aca="false">xSPRDOPT((VLOOKUP(G488,NGPREVPRICES,2,FALSE())+HLOOKUP(D488,PREVCURVES,VLOOKUP(G488,MOVE_DOWN2,2,FALSE()),FALSE())),VLOOKUP(G488,NGPREVPRICES,2,FALSE()),CK488,VLOOKUP(G488,NGPREVPRICES,4,FALSE()),HLOOKUP(D488,PREVVOLS,VLOOKUP(G488,MOVE_DOWN2,2,FALSE()),FALSE()),VLOOKUP(G488,NGPREVPRICES,3,FALSE()),HLOOKUP(D488,Correllate,VLOOKUP(G488,CorMove,2,FALSE()),FALSE()),Q488-$CD$3,R488,$CJ$5)*H488</f>
        <v>#NAME?</v>
      </c>
      <c r="CK488" s="254" t="n">
        <f aca="false">I488</f>
        <v>0.3</v>
      </c>
      <c r="CM488" s="0" t="str">
        <f aca="false">CONCATENATE(CC488,$CD$6)</f>
        <v>36831Curve Shift/Gamma</v>
      </c>
      <c r="CN488" s="0" t="str">
        <f aca="false">CONCATENATE($CC488,$CE$6)</f>
        <v>36831Rho</v>
      </c>
      <c r="CO488" s="0" t="str">
        <f aca="false">CONCATENATE($CC488,$CF$6)</f>
        <v>36831Drift</v>
      </c>
      <c r="CP488" s="0" t="str">
        <f aca="false">CONCATENATE($CC488,$CG$6)</f>
        <v>36831Vega</v>
      </c>
      <c r="CQ488" s="0" t="str">
        <f aca="false">CONCATENATE($CC488,$CH$6)</f>
        <v>36831Theta</v>
      </c>
    </row>
    <row r="489" customFormat="false" ht="12.75" hidden="false" customHeight="false" outlineLevel="0" collapsed="false">
      <c r="A489" s="17" t="s">
        <v>206</v>
      </c>
      <c r="B489" s="0" t="s">
        <v>192</v>
      </c>
      <c r="C489" s="0" t="s">
        <v>365</v>
      </c>
      <c r="D489" s="7" t="s">
        <v>149</v>
      </c>
      <c r="E489" s="0" t="s">
        <v>131</v>
      </c>
      <c r="F489" s="0" t="s">
        <v>136</v>
      </c>
      <c r="G489" s="92" t="n">
        <v>37165</v>
      </c>
      <c r="H489" s="248" t="n">
        <v>310000</v>
      </c>
      <c r="I489" s="0" t="n">
        <v>0.5</v>
      </c>
      <c r="J489" s="124" t="n">
        <f aca="false">VLOOKUP(G489,NGPrices,2,FALSE())</f>
        <v>3.773</v>
      </c>
      <c r="K489" s="125" t="n">
        <f aca="false">HLOOKUP(D489,Prices,VLOOKUP(G489,move_down,2,FALSE()),FALSE())+VLOOKUP(G489,CHANGE,HLOOKUP(D489,CHANGE,2,FALSE()),FALSE())</f>
        <v>0.461</v>
      </c>
      <c r="L489" s="124" t="n">
        <f aca="false">K489+J489</f>
        <v>4.234</v>
      </c>
      <c r="M489" s="126" t="n">
        <f aca="false">VLOOKUP(G489,NGPrices,4,FALSE())</f>
        <v>0.069300944538364</v>
      </c>
      <c r="N489" s="7" t="n">
        <f aca="false">VLOOKUP(G489,NGPrices,3,FALSE())</f>
        <v>0.4025</v>
      </c>
      <c r="O489" s="7" t="n">
        <f aca="false">HLOOKUP(D489,VOLS,VLOOKUP(G489,move_down,2,FALSE()),FALSE())</f>
        <v>0.394</v>
      </c>
      <c r="P489" s="249" t="n">
        <f aca="false">HLOOKUP(D489,Correllate,VLOOKUP(G489,CorMove,2,FALSE()),FALSE())</f>
        <v>0.9738</v>
      </c>
      <c r="Q489" s="92" t="n">
        <f aca="false">WORKDAY(G489,-2)</f>
        <v>37161</v>
      </c>
      <c r="R489" s="7" t="n">
        <f aca="false">IF(F489="P",0,1)</f>
        <v>1</v>
      </c>
      <c r="S489" s="130" t="e">
        <f aca="false">xSPRDOPT($L489,$J489,$I489,$M489,$O489,$N489,$P489,$Q489-$C$3,$R489,0)</f>
        <v>#NAME?</v>
      </c>
      <c r="T489" s="250" t="e">
        <f aca="false">xSPRDOPT($L489,$J489,$I489,$M489,$O489,$N489,$P489,$Q489-$C$3,$R489,1)*H489</f>
        <v>#NAME?</v>
      </c>
      <c r="U489" s="43" t="e">
        <f aca="false">S489*H489</f>
        <v>#NAME?</v>
      </c>
      <c r="V489" s="250" t="e">
        <f aca="false">xSPRDOPT($L489,$J489,$I489,$M489,$O489,$N489,$P489,$Q489-$C$3,$R489,2)*H489</f>
        <v>#NAME?</v>
      </c>
      <c r="W489" s="250" t="e">
        <f aca="false">+V489+T489</f>
        <v>#NAME?</v>
      </c>
      <c r="X489" s="2" t="str">
        <f aca="false">CONCATENATE(G489,D489)</f>
        <v>37165IF-TRANSCO/Z6</v>
      </c>
      <c r="Y489" s="251" t="n">
        <f aca="false">H489/10000</f>
        <v>31</v>
      </c>
      <c r="Z489" s="226" t="e">
        <f aca="false">T489/H489</f>
        <v>#NAME?</v>
      </c>
      <c r="AA489" s="226" t="e">
        <f aca="false">xSPRDOPT($L489,$J489,$I489,$M489,$O489,$N489,$P489,$Q489-$C$3,$R489,3)</f>
        <v>#NAME?</v>
      </c>
      <c r="AB489" s="226" t="e">
        <f aca="false">((xSPRDOPT($L489+AB$5,$J489,$I489,$M489,$O489,$N489,$P489,$Q489-$C$3,$R489,3)*$H489)/10000)/100</f>
        <v>#NAME?</v>
      </c>
      <c r="AC489" s="226" t="e">
        <f aca="false">((xSPRDOPT($L489+$AB$5,$J489,$I489,$M489,$O489,$N489,$P489,$Q489-$C$3,$R489,7)*$H489)/100)</f>
        <v>#NAME?</v>
      </c>
      <c r="AD489" s="226" t="e">
        <f aca="false">(xSPRDOPT($L489+$AB$5,$J489,$I489,$M489,$O489,$N489,$P489,$Q489-$C$3,$R489,9)/365)*$H489</f>
        <v>#NAME?</v>
      </c>
      <c r="AE489" s="0" t="e">
        <f aca="false">CD489</f>
        <v>#NAME?</v>
      </c>
      <c r="AF489" s="226" t="e">
        <f aca="false">((O489/N489)*AH489)+AG489</f>
        <v>#NAME?</v>
      </c>
      <c r="AG489" s="226" t="e">
        <f aca="false">((xSPRDOPT($L489,$J489,$I489,$M489,$O489,$N489,$P489,$Q489-$C$3,$R489,6)*$H489)/100)</f>
        <v>#NAME?</v>
      </c>
      <c r="AH489" s="226" t="e">
        <f aca="false">((xSPRDOPT($L489,$J489,$I489,$M489,$O489,$N489,$P489,$Q489-$C$3,$R489,5)*$H489)/100)</f>
        <v>#NAME?</v>
      </c>
      <c r="AI489" s="226" t="e">
        <f aca="false">(((xSPRDOPT($L489,$J489,$I489,$M489,$O489,$N489,$P489,$Q489-$C$3,$R489,4)*$H489)/10000)/100)-AB489</f>
        <v>#NAME?</v>
      </c>
      <c r="AJ489" s="226"/>
      <c r="AK489" s="226"/>
      <c r="AL489" s="226"/>
      <c r="AM489" s="252"/>
      <c r="CC489" s="182" t="n">
        <f aca="false">G489</f>
        <v>37165</v>
      </c>
      <c r="CD489" s="253" t="e">
        <f aca="false">xSPRDOPT((VLOOKUP(G489,NGPrices,2,FALSE())+HLOOKUP(D489,Prices,VLOOKUP(G489,move_down,2,FALSE()),FALSE())),VLOOKUP(G489,NGPrices,2,FALSE()),I489,VLOOKUP(G489,NGPREVPRICES,4,FALSE()),HLOOKUP(D489,PREVVOLS,VLOOKUP(G489,MOVE_DOWN2,2,FALSE()),FALSE()),VLOOKUP(G489,NGPREVPRICES,3,FALSE()),HLOOKUP(D489,Correllate,VLOOKUP(G489,CorMove,2,FALSE()),FALSE()),Q489-$CD$3,R489,$CD$5)*H489-CJ489</f>
        <v>#NAME?</v>
      </c>
      <c r="CE489" s="253" t="e">
        <f aca="false">xSPRDOPT((VLOOKUP(G489,NGPREVPRICES,2,FALSE())+HLOOKUP(D489,PREVCURVES,VLOOKUP(G489,MOVE_DOWN2,2,FALSE()),FALSE())),VLOOKUP(G489,NGPREVPRICES,2,FALSE()),CK489,VLOOKUP(G489,NGPrices,4,FALSE()),HLOOKUP(D489,PREVVOLS,VLOOKUP(G489,MOVE_DOWN2,2,FALSE()),FALSE()),VLOOKUP(G489,NGPREVPRICES,3,FALSE()),HLOOKUP(D489,Correllate,VLOOKUP(G489,CorMove,2,FALSE()),FALSE()),Q489-$CD$3,R489,$CJ$5)*H489-CJ489</f>
        <v>#NAME?</v>
      </c>
      <c r="CF489" s="132" t="e">
        <f aca="false">(CJ489/VLOOKUP(CC489,discount,3,FALSE()))-(CJ489/VLOOKUP(CC489,discount,2,FALSE()))</f>
        <v>#NAME?</v>
      </c>
      <c r="CG489" s="253" t="e">
        <f aca="false">xSPRDOPT((VLOOKUP(G489,NGPREVPRICES,2,FALSE())+HLOOKUP(D489,PREVCURVES,VLOOKUP(G489,MOVE_DOWN2,2,FALSE()),FALSE())),VLOOKUP(G489,NGPREVPRICES,2,FALSE()),CK489,VLOOKUP(G489,NGPREVPRICES,4,FALSE()),HLOOKUP(D489,VOLS,VLOOKUP(G489,move_down,2,FALSE()),FALSE()),VLOOKUP(G489,NGPrices,3,FALSE()),HLOOKUP(D489,Correllate,VLOOKUP(G489,CorMove,2,FALSE()),FALSE()),Q489-$CD$3,R489,$CJ$5)*H489-CJ489</f>
        <v>#NAME?</v>
      </c>
      <c r="CH489" s="253" t="e">
        <f aca="false">xSPRDOPT((VLOOKUP(G489,NGPREVPRICES,2,FALSE())+HLOOKUP(D489,PREVCURVES,VLOOKUP(G489,MOVE_DOWN2,2,FALSE()),FALSE())),VLOOKUP(G489,NGPREVPRICES,2,FALSE()),CK489,VLOOKUP(G489,NGPREVPRICES,4,FALSE()),HLOOKUP(D489,PREVVOLS,VLOOKUP(G489,MOVE_DOWN2,2,FALSE()),FALSE()),VLOOKUP(G489,NGPREVPRICES,3,FALSE()),HLOOKUP(D489,Correllate,VLOOKUP(G489,CorMove,2,FALSE()),FALSE()),Q489-$C$3,R489,$CJ$5)*H489-CJ489</f>
        <v>#NAME?</v>
      </c>
      <c r="CI489" s="253" t="e">
        <f aca="false">SUM(CD489:CH489)</f>
        <v>#NAME?</v>
      </c>
      <c r="CJ489" s="253" t="e">
        <f aca="false">xSPRDOPT((VLOOKUP(G489,NGPREVPRICES,2,FALSE())+HLOOKUP(D489,PREVCURVES,VLOOKUP(G489,MOVE_DOWN2,2,FALSE()),FALSE())),VLOOKUP(G489,NGPREVPRICES,2,FALSE()),CK489,VLOOKUP(G489,NGPREVPRICES,4,FALSE()),HLOOKUP(D489,PREVVOLS,VLOOKUP(G489,MOVE_DOWN2,2,FALSE()),FALSE()),VLOOKUP(G489,NGPREVPRICES,3,FALSE()),HLOOKUP(D489,Correllate,VLOOKUP(G489,CorMove,2,FALSE()),FALSE()),Q489-$CD$3,R489,$CJ$5)*H489</f>
        <v>#NAME?</v>
      </c>
      <c r="CK489" s="254" t="n">
        <f aca="false">I489</f>
        <v>0.5</v>
      </c>
      <c r="CM489" s="0" t="str">
        <f aca="false">CONCATENATE(CC489,$CD$6)</f>
        <v>37165Curve Shift/Gamma</v>
      </c>
      <c r="CN489" s="0" t="str">
        <f aca="false">CONCATENATE($CC489,$CE$6)</f>
        <v>37165Rho</v>
      </c>
      <c r="CO489" s="0" t="str">
        <f aca="false">CONCATENATE($CC489,$CF$6)</f>
        <v>37165Drift</v>
      </c>
      <c r="CP489" s="0" t="str">
        <f aca="false">CONCATENATE($CC489,$CG$6)</f>
        <v>37165Vega</v>
      </c>
      <c r="CQ489" s="0" t="str">
        <f aca="false">CONCATENATE($CC489,$CH$6)</f>
        <v>37165Theta</v>
      </c>
    </row>
    <row r="490" customFormat="false" ht="12.75" hidden="false" customHeight="false" outlineLevel="0" collapsed="false">
      <c r="A490" s="17" t="s">
        <v>206</v>
      </c>
      <c r="B490" s="0" t="s">
        <v>192</v>
      </c>
      <c r="C490" s="0" t="s">
        <v>365</v>
      </c>
      <c r="D490" s="7" t="s">
        <v>149</v>
      </c>
      <c r="E490" s="0" t="s">
        <v>131</v>
      </c>
      <c r="F490" s="0" t="s">
        <v>136</v>
      </c>
      <c r="G490" s="92" t="n">
        <v>37135</v>
      </c>
      <c r="H490" s="248" t="n">
        <v>300000</v>
      </c>
      <c r="I490" s="0" t="n">
        <v>0.5</v>
      </c>
      <c r="J490" s="124" t="n">
        <f aca="false">VLOOKUP(G490,NGPrices,2,FALSE())</f>
        <v>3.788</v>
      </c>
      <c r="K490" s="125" t="n">
        <f aca="false">HLOOKUP(D490,Prices,VLOOKUP(G490,move_down,2,FALSE()),FALSE())+VLOOKUP(G490,CHANGE,HLOOKUP(D490,CHANGE,2,FALSE()),FALSE())</f>
        <v>0.395</v>
      </c>
      <c r="L490" s="124" t="n">
        <f aca="false">K490+J490</f>
        <v>4.183</v>
      </c>
      <c r="M490" s="126" t="n">
        <f aca="false">VLOOKUP(G490,NGPrices,4,FALSE())</f>
        <v>0.069264550207512</v>
      </c>
      <c r="N490" s="7" t="n">
        <f aca="false">VLOOKUP(G490,NGPrices,3,FALSE())</f>
        <v>0.4</v>
      </c>
      <c r="O490" s="7" t="n">
        <f aca="false">HLOOKUP(D490,VOLS,VLOOKUP(G490,move_down,2,FALSE()),FALSE())</f>
        <v>0.392</v>
      </c>
      <c r="P490" s="249" t="n">
        <f aca="false">HLOOKUP(D490,Correllate,VLOOKUP(G490,CorMove,2,FALSE()),FALSE())</f>
        <v>0.9738</v>
      </c>
      <c r="Q490" s="92" t="n">
        <f aca="false">WORKDAY(G490,-2)</f>
        <v>37133</v>
      </c>
      <c r="R490" s="7" t="n">
        <f aca="false">IF(F490="P",0,1)</f>
        <v>1</v>
      </c>
      <c r="S490" s="130" t="e">
        <f aca="false">xSPRDOPT($L490,$J490,$I490,$M490,$O490,$N490,$P490,$Q490-$C$3,$R490,0)</f>
        <v>#NAME?</v>
      </c>
      <c r="T490" s="250" t="e">
        <f aca="false">xSPRDOPT($L490,$J490,$I490,$M490,$O490,$N490,$P490,$Q490-$C$3,$R490,1)*H490</f>
        <v>#NAME?</v>
      </c>
      <c r="U490" s="43" t="e">
        <f aca="false">S490*H490</f>
        <v>#NAME?</v>
      </c>
      <c r="V490" s="250" t="e">
        <f aca="false">xSPRDOPT($L490,$J490,$I490,$M490,$O490,$N490,$P490,$Q490-$C$3,$R490,2)*H490</f>
        <v>#NAME?</v>
      </c>
      <c r="W490" s="250" t="e">
        <f aca="false">+V490+T490</f>
        <v>#NAME?</v>
      </c>
      <c r="X490" s="2" t="str">
        <f aca="false">CONCATENATE(G490,D490)</f>
        <v>37135IF-TRANSCO/Z6</v>
      </c>
      <c r="Y490" s="251" t="n">
        <f aca="false">H490/10000</f>
        <v>30</v>
      </c>
      <c r="Z490" s="226" t="e">
        <f aca="false">T490/H490</f>
        <v>#NAME?</v>
      </c>
      <c r="AA490" s="226" t="e">
        <f aca="false">xSPRDOPT($L490,$J490,$I490,$M490,$O490,$N490,$P490,$Q490-$C$3,$R490,3)</f>
        <v>#NAME?</v>
      </c>
      <c r="AB490" s="226" t="e">
        <f aca="false">((xSPRDOPT($L490+AB$5,$J490,$I490,$M490,$O490,$N490,$P490,$Q490-$C$3,$R490,3)*$H490)/10000)/100</f>
        <v>#NAME?</v>
      </c>
      <c r="AC490" s="226" t="e">
        <f aca="false">((xSPRDOPT($L490+$AB$5,$J490,$I490,$M490,$O490,$N490,$P490,$Q490-$C$3,$R490,7)*$H490)/100)</f>
        <v>#NAME?</v>
      </c>
      <c r="AD490" s="226" t="e">
        <f aca="false">(xSPRDOPT($L490+$AB$5,$J490,$I490,$M490,$O490,$N490,$P490,$Q490-$C$3,$R490,9)/365)*$H490</f>
        <v>#NAME?</v>
      </c>
      <c r="AE490" s="0" t="e">
        <f aca="false">CD490</f>
        <v>#NAME?</v>
      </c>
      <c r="AF490" s="226" t="e">
        <f aca="false">((O490/N490)*AH490)+AG490</f>
        <v>#NAME?</v>
      </c>
      <c r="AG490" s="226" t="e">
        <f aca="false">((xSPRDOPT($L490,$J490,$I490,$M490,$O490,$N490,$P490,$Q490-$C$3,$R490,6)*$H490)/100)</f>
        <v>#NAME?</v>
      </c>
      <c r="AH490" s="226" t="e">
        <f aca="false">((xSPRDOPT($L490,$J490,$I490,$M490,$O490,$N490,$P490,$Q490-$C$3,$R490,5)*$H490)/100)</f>
        <v>#NAME?</v>
      </c>
      <c r="AI490" s="226" t="e">
        <f aca="false">(((xSPRDOPT($L490,$J490,$I490,$M490,$O490,$N490,$P490,$Q490-$C$3,$R490,4)*$H490)/10000)/100)-AB490</f>
        <v>#NAME?</v>
      </c>
      <c r="AJ490" s="226"/>
      <c r="AK490" s="226"/>
      <c r="AL490" s="226"/>
      <c r="AM490" s="252"/>
      <c r="CC490" s="182" t="n">
        <f aca="false">G490</f>
        <v>37135</v>
      </c>
      <c r="CD490" s="253" t="e">
        <f aca="false">xSPRDOPT((VLOOKUP(G490,NGPrices,2,FALSE())+HLOOKUP(D490,Prices,VLOOKUP(G490,move_down,2,FALSE()),FALSE())),VLOOKUP(G490,NGPrices,2,FALSE()),I490,VLOOKUP(G490,NGPREVPRICES,4,FALSE()),HLOOKUP(D490,PREVVOLS,VLOOKUP(G490,MOVE_DOWN2,2,FALSE()),FALSE()),VLOOKUP(G490,NGPREVPRICES,3,FALSE()),HLOOKUP(D490,Correllate,VLOOKUP(G490,CorMove,2,FALSE()),FALSE()),Q490-$CD$3,R490,$CD$5)*H490-CJ490</f>
        <v>#NAME?</v>
      </c>
      <c r="CE490" s="253" t="e">
        <f aca="false">xSPRDOPT((VLOOKUP(G490,NGPREVPRICES,2,FALSE())+HLOOKUP(D490,PREVCURVES,VLOOKUP(G490,MOVE_DOWN2,2,FALSE()),FALSE())),VLOOKUP(G490,NGPREVPRICES,2,FALSE()),CK490,VLOOKUP(G490,NGPrices,4,FALSE()),HLOOKUP(D490,PREVVOLS,VLOOKUP(G490,MOVE_DOWN2,2,FALSE()),FALSE()),VLOOKUP(G490,NGPREVPRICES,3,FALSE()),HLOOKUP(D490,Correllate,VLOOKUP(G490,CorMove,2,FALSE()),FALSE()),Q490-$CD$3,R490,$CJ$5)*H490-CJ490</f>
        <v>#NAME?</v>
      </c>
      <c r="CF490" s="132" t="e">
        <f aca="false">(CJ490/VLOOKUP(CC490,discount,3,FALSE()))-(CJ490/VLOOKUP(CC490,discount,2,FALSE()))</f>
        <v>#NAME?</v>
      </c>
      <c r="CG490" s="253" t="e">
        <f aca="false">xSPRDOPT((VLOOKUP(G490,NGPREVPRICES,2,FALSE())+HLOOKUP(D490,PREVCURVES,VLOOKUP(G490,MOVE_DOWN2,2,FALSE()),FALSE())),VLOOKUP(G490,NGPREVPRICES,2,FALSE()),CK490,VLOOKUP(G490,NGPREVPRICES,4,FALSE()),HLOOKUP(D490,VOLS,VLOOKUP(G490,move_down,2,FALSE()),FALSE()),VLOOKUP(G490,NGPrices,3,FALSE()),HLOOKUP(D490,Correllate,VLOOKUP(G490,CorMove,2,FALSE()),FALSE()),Q490-$CD$3,R490,$CJ$5)*H490-CJ490</f>
        <v>#NAME?</v>
      </c>
      <c r="CH490" s="253" t="e">
        <f aca="false">xSPRDOPT((VLOOKUP(G490,NGPREVPRICES,2,FALSE())+HLOOKUP(D490,PREVCURVES,VLOOKUP(G490,MOVE_DOWN2,2,FALSE()),FALSE())),VLOOKUP(G490,NGPREVPRICES,2,FALSE()),CK490,VLOOKUP(G490,NGPREVPRICES,4,FALSE()),HLOOKUP(D490,PREVVOLS,VLOOKUP(G490,MOVE_DOWN2,2,FALSE()),FALSE()),VLOOKUP(G490,NGPREVPRICES,3,FALSE()),HLOOKUP(D490,Correllate,VLOOKUP(G490,CorMove,2,FALSE()),FALSE()),Q490-$C$3,R490,$CJ$5)*H490-CJ490</f>
        <v>#NAME?</v>
      </c>
      <c r="CI490" s="253" t="e">
        <f aca="false">SUM(CD490:CH490)</f>
        <v>#NAME?</v>
      </c>
      <c r="CJ490" s="253" t="e">
        <f aca="false">xSPRDOPT((VLOOKUP(G490,NGPREVPRICES,2,FALSE())+HLOOKUP(D490,PREVCURVES,VLOOKUP(G490,MOVE_DOWN2,2,FALSE()),FALSE())),VLOOKUP(G490,NGPREVPRICES,2,FALSE()),CK490,VLOOKUP(G490,NGPREVPRICES,4,FALSE()),HLOOKUP(D490,PREVVOLS,VLOOKUP(G490,MOVE_DOWN2,2,FALSE()),FALSE()),VLOOKUP(G490,NGPREVPRICES,3,FALSE()),HLOOKUP(D490,Correllate,VLOOKUP(G490,CorMove,2,FALSE()),FALSE()),Q490-$CD$3,R490,$CJ$5)*H490</f>
        <v>#NAME?</v>
      </c>
      <c r="CK490" s="254" t="n">
        <f aca="false">I490</f>
        <v>0.5</v>
      </c>
      <c r="CM490" s="0" t="str">
        <f aca="false">CONCATENATE(CC490,$CD$6)</f>
        <v>37135Curve Shift/Gamma</v>
      </c>
      <c r="CN490" s="0" t="str">
        <f aca="false">CONCATENATE($CC490,$CE$6)</f>
        <v>37135Rho</v>
      </c>
      <c r="CO490" s="0" t="str">
        <f aca="false">CONCATENATE($CC490,$CF$6)</f>
        <v>37135Drift</v>
      </c>
      <c r="CP490" s="0" t="str">
        <f aca="false">CONCATENATE($CC490,$CG$6)</f>
        <v>37135Vega</v>
      </c>
      <c r="CQ490" s="0" t="str">
        <f aca="false">CONCATENATE($CC490,$CH$6)</f>
        <v>37135Theta</v>
      </c>
    </row>
    <row r="491" customFormat="false" ht="12.75" hidden="false" customHeight="false" outlineLevel="0" collapsed="false">
      <c r="A491" s="17" t="s">
        <v>206</v>
      </c>
      <c r="B491" s="0" t="s">
        <v>192</v>
      </c>
      <c r="C491" s="0" t="s">
        <v>365</v>
      </c>
      <c r="D491" s="7" t="s">
        <v>149</v>
      </c>
      <c r="E491" s="0" t="s">
        <v>131</v>
      </c>
      <c r="F491" s="0" t="s">
        <v>136</v>
      </c>
      <c r="G491" s="92" t="n">
        <v>37104</v>
      </c>
      <c r="H491" s="248" t="n">
        <v>310000</v>
      </c>
      <c r="I491" s="0" t="n">
        <v>0.5</v>
      </c>
      <c r="J491" s="124" t="n">
        <f aca="false">VLOOKUP(G491,NGPrices,2,FALSE())</f>
        <v>3.808</v>
      </c>
      <c r="K491" s="125" t="n">
        <f aca="false">HLOOKUP(D491,Prices,VLOOKUP(G491,move_down,2,FALSE()),FALSE())+VLOOKUP(G491,CHANGE,HLOOKUP(D491,CHANGE,2,FALSE()),FALSE())</f>
        <v>0.46</v>
      </c>
      <c r="L491" s="124" t="n">
        <f aca="false">K491+J491</f>
        <v>4.268</v>
      </c>
      <c r="M491" s="126" t="n">
        <f aca="false">VLOOKUP(G491,NGPrices,4,FALSE())</f>
        <v>0.069223060737755</v>
      </c>
      <c r="N491" s="7" t="n">
        <f aca="false">VLOOKUP(G491,NGPrices,3,FALSE())</f>
        <v>0.4</v>
      </c>
      <c r="O491" s="7" t="n">
        <f aca="false">HLOOKUP(D491,VOLS,VLOOKUP(G491,move_down,2,FALSE()),FALSE())</f>
        <v>0.392</v>
      </c>
      <c r="P491" s="249" t="n">
        <f aca="false">HLOOKUP(D491,Correllate,VLOOKUP(G491,CorMove,2,FALSE()),FALSE())</f>
        <v>0.9738</v>
      </c>
      <c r="Q491" s="92" t="n">
        <f aca="false">WORKDAY(G491,-2)</f>
        <v>37102</v>
      </c>
      <c r="R491" s="7" t="n">
        <f aca="false">IF(F491="P",0,1)</f>
        <v>1</v>
      </c>
      <c r="S491" s="130" t="e">
        <f aca="false">xSPRDOPT($L491,$J491,$I491,$M491,$O491,$N491,$P491,$Q491-$C$3,$R491,0)</f>
        <v>#NAME?</v>
      </c>
      <c r="T491" s="250" t="e">
        <f aca="false">xSPRDOPT($L491,$J491,$I491,$M491,$O491,$N491,$P491,$Q491-$C$3,$R491,1)*H491</f>
        <v>#NAME?</v>
      </c>
      <c r="U491" s="43" t="e">
        <f aca="false">S491*H491</f>
        <v>#NAME?</v>
      </c>
      <c r="V491" s="250" t="e">
        <f aca="false">xSPRDOPT($L491,$J491,$I491,$M491,$O491,$N491,$P491,$Q491-$C$3,$R491,2)*H491</f>
        <v>#NAME?</v>
      </c>
      <c r="W491" s="250" t="e">
        <f aca="false">+V491+T491</f>
        <v>#NAME?</v>
      </c>
      <c r="X491" s="2" t="str">
        <f aca="false">CONCATENATE(G491,D491)</f>
        <v>37104IF-TRANSCO/Z6</v>
      </c>
      <c r="Y491" s="251" t="n">
        <f aca="false">H491/10000</f>
        <v>31</v>
      </c>
      <c r="Z491" s="226" t="e">
        <f aca="false">T491/H491</f>
        <v>#NAME?</v>
      </c>
      <c r="AA491" s="226" t="e">
        <f aca="false">xSPRDOPT($L491,$J491,$I491,$M491,$O491,$N491,$P491,$Q491-$C$3,$R491,3)</f>
        <v>#NAME?</v>
      </c>
      <c r="AB491" s="226" t="e">
        <f aca="false">((xSPRDOPT($L491+AB$5,$J491,$I491,$M491,$O491,$N491,$P491,$Q491-$C$3,$R491,3)*$H491)/10000)/100</f>
        <v>#NAME?</v>
      </c>
      <c r="AC491" s="226" t="e">
        <f aca="false">((xSPRDOPT($L491+$AB$5,$J491,$I491,$M491,$O491,$N491,$P491,$Q491-$C$3,$R491,7)*$H491)/100)</f>
        <v>#NAME?</v>
      </c>
      <c r="AD491" s="226" t="e">
        <f aca="false">(xSPRDOPT($L491+$AB$5,$J491,$I491,$M491,$O491,$N491,$P491,$Q491-$C$3,$R491,9)/365)*$H491</f>
        <v>#NAME?</v>
      </c>
      <c r="AE491" s="0" t="e">
        <f aca="false">CD491</f>
        <v>#NAME?</v>
      </c>
      <c r="AF491" s="226" t="e">
        <f aca="false">((O491/N491)*AH491)+AG491</f>
        <v>#NAME?</v>
      </c>
      <c r="AG491" s="226" t="e">
        <f aca="false">((xSPRDOPT($L491,$J491,$I491,$M491,$O491,$N491,$P491,$Q491-$C$3,$R491,6)*$H491)/100)</f>
        <v>#NAME?</v>
      </c>
      <c r="AH491" s="226" t="e">
        <f aca="false">((xSPRDOPT($L491,$J491,$I491,$M491,$O491,$N491,$P491,$Q491-$C$3,$R491,5)*$H491)/100)</f>
        <v>#NAME?</v>
      </c>
      <c r="AI491" s="226" t="e">
        <f aca="false">(((xSPRDOPT($L491,$J491,$I491,$M491,$O491,$N491,$P491,$Q491-$C$3,$R491,4)*$H491)/10000)/100)-AB491</f>
        <v>#NAME?</v>
      </c>
      <c r="AJ491" s="226"/>
      <c r="AK491" s="226"/>
      <c r="AL491" s="226"/>
      <c r="AM491" s="252"/>
      <c r="CC491" s="182" t="n">
        <f aca="false">G491</f>
        <v>37104</v>
      </c>
      <c r="CD491" s="253" t="e">
        <f aca="false">xSPRDOPT((VLOOKUP(G491,NGPrices,2,FALSE())+HLOOKUP(D491,Prices,VLOOKUP(G491,move_down,2,FALSE()),FALSE())),VLOOKUP(G491,NGPrices,2,FALSE()),I491,VLOOKUP(G491,NGPREVPRICES,4,FALSE()),HLOOKUP(D491,PREVVOLS,VLOOKUP(G491,MOVE_DOWN2,2,FALSE()),FALSE()),VLOOKUP(G491,NGPREVPRICES,3,FALSE()),HLOOKUP(D491,Correllate,VLOOKUP(G491,CorMove,2,FALSE()),FALSE()),Q491-$CD$3,R491,$CD$5)*H491-CJ491</f>
        <v>#NAME?</v>
      </c>
      <c r="CE491" s="253" t="e">
        <f aca="false">xSPRDOPT((VLOOKUP(G491,NGPREVPRICES,2,FALSE())+HLOOKUP(D491,PREVCURVES,VLOOKUP(G491,MOVE_DOWN2,2,FALSE()),FALSE())),VLOOKUP(G491,NGPREVPRICES,2,FALSE()),CK491,VLOOKUP(G491,NGPrices,4,FALSE()),HLOOKUP(D491,PREVVOLS,VLOOKUP(G491,MOVE_DOWN2,2,FALSE()),FALSE()),VLOOKUP(G491,NGPREVPRICES,3,FALSE()),HLOOKUP(D491,Correllate,VLOOKUP(G491,CorMove,2,FALSE()),FALSE()),Q491-$CD$3,R491,$CJ$5)*H491-CJ491</f>
        <v>#NAME?</v>
      </c>
      <c r="CF491" s="132" t="e">
        <f aca="false">(CJ491/VLOOKUP(CC491,discount,3,FALSE()))-(CJ491/VLOOKUP(CC491,discount,2,FALSE()))</f>
        <v>#NAME?</v>
      </c>
      <c r="CG491" s="253" t="e">
        <f aca="false">xSPRDOPT((VLOOKUP(G491,NGPREVPRICES,2,FALSE())+HLOOKUP(D491,PREVCURVES,VLOOKUP(G491,MOVE_DOWN2,2,FALSE()),FALSE())),VLOOKUP(G491,NGPREVPRICES,2,FALSE()),CK491,VLOOKUP(G491,NGPREVPRICES,4,FALSE()),HLOOKUP(D491,VOLS,VLOOKUP(G491,move_down,2,FALSE()),FALSE()),VLOOKUP(G491,NGPrices,3,FALSE()),HLOOKUP(D491,Correllate,VLOOKUP(G491,CorMove,2,FALSE()),FALSE()),Q491-$CD$3,R491,$CJ$5)*H491-CJ491</f>
        <v>#NAME?</v>
      </c>
      <c r="CH491" s="253" t="e">
        <f aca="false">xSPRDOPT((VLOOKUP(G491,NGPREVPRICES,2,FALSE())+HLOOKUP(D491,PREVCURVES,VLOOKUP(G491,MOVE_DOWN2,2,FALSE()),FALSE())),VLOOKUP(G491,NGPREVPRICES,2,FALSE()),CK491,VLOOKUP(G491,NGPREVPRICES,4,FALSE()),HLOOKUP(D491,PREVVOLS,VLOOKUP(G491,MOVE_DOWN2,2,FALSE()),FALSE()),VLOOKUP(G491,NGPREVPRICES,3,FALSE()),HLOOKUP(D491,Correllate,VLOOKUP(G491,CorMove,2,FALSE()),FALSE()),Q491-$C$3,R491,$CJ$5)*H491-CJ491</f>
        <v>#NAME?</v>
      </c>
      <c r="CI491" s="253" t="e">
        <f aca="false">SUM(CD491:CH491)</f>
        <v>#NAME?</v>
      </c>
      <c r="CJ491" s="253" t="e">
        <f aca="false">xSPRDOPT((VLOOKUP(G491,NGPREVPRICES,2,FALSE())+HLOOKUP(D491,PREVCURVES,VLOOKUP(G491,MOVE_DOWN2,2,FALSE()),FALSE())),VLOOKUP(G491,NGPREVPRICES,2,FALSE()),CK491,VLOOKUP(G491,NGPREVPRICES,4,FALSE()),HLOOKUP(D491,PREVVOLS,VLOOKUP(G491,MOVE_DOWN2,2,FALSE()),FALSE()),VLOOKUP(G491,NGPREVPRICES,3,FALSE()),HLOOKUP(D491,Correllate,VLOOKUP(G491,CorMove,2,FALSE()),FALSE()),Q491-$CD$3,R491,$CJ$5)*H491</f>
        <v>#NAME?</v>
      </c>
      <c r="CK491" s="254" t="n">
        <f aca="false">I491</f>
        <v>0.5</v>
      </c>
      <c r="CM491" s="0" t="str">
        <f aca="false">CONCATENATE(CC491,$CD$6)</f>
        <v>37104Curve Shift/Gamma</v>
      </c>
      <c r="CN491" s="0" t="str">
        <f aca="false">CONCATENATE($CC491,$CE$6)</f>
        <v>37104Rho</v>
      </c>
      <c r="CO491" s="0" t="str">
        <f aca="false">CONCATENATE($CC491,$CF$6)</f>
        <v>37104Drift</v>
      </c>
      <c r="CP491" s="0" t="str">
        <f aca="false">CONCATENATE($CC491,$CG$6)</f>
        <v>37104Vega</v>
      </c>
      <c r="CQ491" s="0" t="str">
        <f aca="false">CONCATENATE($CC491,$CH$6)</f>
        <v>37104Theta</v>
      </c>
    </row>
    <row r="492" customFormat="false" ht="12.75" hidden="false" customHeight="false" outlineLevel="0" collapsed="false">
      <c r="A492" s="17" t="s">
        <v>206</v>
      </c>
      <c r="B492" s="0" t="s">
        <v>192</v>
      </c>
      <c r="C492" s="0" t="s">
        <v>365</v>
      </c>
      <c r="D492" s="7" t="s">
        <v>149</v>
      </c>
      <c r="E492" s="0" t="s">
        <v>131</v>
      </c>
      <c r="F492" s="0" t="s">
        <v>136</v>
      </c>
      <c r="G492" s="92" t="n">
        <v>37073</v>
      </c>
      <c r="H492" s="248" t="n">
        <v>310000</v>
      </c>
      <c r="I492" s="0" t="n">
        <v>0.5</v>
      </c>
      <c r="J492" s="124" t="n">
        <f aca="false">VLOOKUP(G492,NGPrices,2,FALSE())</f>
        <v>3.803</v>
      </c>
      <c r="K492" s="125" t="n">
        <f aca="false">HLOOKUP(D492,Prices,VLOOKUP(G492,move_down,2,FALSE()),FALSE())+VLOOKUP(G492,CHANGE,HLOOKUP(D492,CHANGE,2,FALSE()),FALSE())</f>
        <v>0.46</v>
      </c>
      <c r="L492" s="124" t="n">
        <f aca="false">K492+J492</f>
        <v>4.263</v>
      </c>
      <c r="M492" s="126" t="n">
        <f aca="false">VLOOKUP(G492,NGPrices,4,FALSE())</f>
        <v>0.069181571268568</v>
      </c>
      <c r="N492" s="7" t="n">
        <f aca="false">VLOOKUP(G492,NGPrices,3,FALSE())</f>
        <v>0.4</v>
      </c>
      <c r="O492" s="7" t="n">
        <f aca="false">HLOOKUP(D492,VOLS,VLOOKUP(G492,move_down,2,FALSE()),FALSE())</f>
        <v>0.392</v>
      </c>
      <c r="P492" s="249" t="n">
        <f aca="false">HLOOKUP(D492,Correllate,VLOOKUP(G492,CorMove,2,FALSE()),FALSE())</f>
        <v>0.9738</v>
      </c>
      <c r="Q492" s="92" t="n">
        <f aca="false">WORKDAY(G492,-2)</f>
        <v>37070</v>
      </c>
      <c r="R492" s="7" t="n">
        <f aca="false">IF(F492="P",0,1)</f>
        <v>1</v>
      </c>
      <c r="S492" s="130" t="e">
        <f aca="false">xSPRDOPT($L492,$J492,$I492,$M492,$O492,$N492,$P492,$Q492-$C$3,$R492,0)</f>
        <v>#NAME?</v>
      </c>
      <c r="T492" s="250" t="e">
        <f aca="false">xSPRDOPT($L492,$J492,$I492,$M492,$O492,$N492,$P492,$Q492-$C$3,$R492,1)*H492</f>
        <v>#NAME?</v>
      </c>
      <c r="U492" s="43" t="e">
        <f aca="false">S492*H492</f>
        <v>#NAME?</v>
      </c>
      <c r="V492" s="250" t="e">
        <f aca="false">xSPRDOPT($L492,$J492,$I492,$M492,$O492,$N492,$P492,$Q492-$C$3,$R492,2)*H492</f>
        <v>#NAME?</v>
      </c>
      <c r="W492" s="250" t="e">
        <f aca="false">+V492+T492</f>
        <v>#NAME?</v>
      </c>
      <c r="X492" s="2" t="str">
        <f aca="false">CONCATENATE(G492,D492)</f>
        <v>37073IF-TRANSCO/Z6</v>
      </c>
      <c r="Y492" s="251" t="n">
        <f aca="false">H492/10000</f>
        <v>31</v>
      </c>
      <c r="Z492" s="226" t="e">
        <f aca="false">T492/H492</f>
        <v>#NAME?</v>
      </c>
      <c r="AA492" s="226" t="e">
        <f aca="false">xSPRDOPT($L492,$J492,$I492,$M492,$O492,$N492,$P492,$Q492-$C$3,$R492,3)</f>
        <v>#NAME?</v>
      </c>
      <c r="AB492" s="226" t="e">
        <f aca="false">((xSPRDOPT($L492+AB$5,$J492,$I492,$M492,$O492,$N492,$P492,$Q492-$C$3,$R492,3)*$H492)/10000)/100</f>
        <v>#NAME?</v>
      </c>
      <c r="AC492" s="226" t="e">
        <f aca="false">((xSPRDOPT($L492+$AB$5,$J492,$I492,$M492,$O492,$N492,$P492,$Q492-$C$3,$R492,7)*$H492)/100)</f>
        <v>#NAME?</v>
      </c>
      <c r="AD492" s="226" t="e">
        <f aca="false">(xSPRDOPT($L492+$AB$5,$J492,$I492,$M492,$O492,$N492,$P492,$Q492-$C$3,$R492,9)/365)*$H492</f>
        <v>#NAME?</v>
      </c>
      <c r="AE492" s="0" t="e">
        <f aca="false">CD492</f>
        <v>#NAME?</v>
      </c>
      <c r="AF492" s="226" t="e">
        <f aca="false">((O492/N492)*AH492)+AG492</f>
        <v>#NAME?</v>
      </c>
      <c r="AG492" s="226" t="e">
        <f aca="false">((xSPRDOPT($L492,$J492,$I492,$M492,$O492,$N492,$P492,$Q492-$C$3,$R492,6)*$H492)/100)</f>
        <v>#NAME?</v>
      </c>
      <c r="AH492" s="226" t="e">
        <f aca="false">((xSPRDOPT($L492,$J492,$I492,$M492,$O492,$N492,$P492,$Q492-$C$3,$R492,5)*$H492)/100)</f>
        <v>#NAME?</v>
      </c>
      <c r="AI492" s="226" t="e">
        <f aca="false">(((xSPRDOPT($L492,$J492,$I492,$M492,$O492,$N492,$P492,$Q492-$C$3,$R492,4)*$H492)/10000)/100)-AB492</f>
        <v>#NAME?</v>
      </c>
      <c r="AJ492" s="226"/>
      <c r="AK492" s="226"/>
      <c r="AL492" s="226"/>
      <c r="AM492" s="252"/>
      <c r="CC492" s="182" t="n">
        <f aca="false">G492</f>
        <v>37073</v>
      </c>
      <c r="CD492" s="253" t="e">
        <f aca="false">xSPRDOPT((VLOOKUP(G492,NGPrices,2,FALSE())+HLOOKUP(D492,Prices,VLOOKUP(G492,move_down,2,FALSE()),FALSE())),VLOOKUP(G492,NGPrices,2,FALSE()),I492,VLOOKUP(G492,NGPREVPRICES,4,FALSE()),HLOOKUP(D492,PREVVOLS,VLOOKUP(G492,MOVE_DOWN2,2,FALSE()),FALSE()),VLOOKUP(G492,NGPREVPRICES,3,FALSE()),HLOOKUP(D492,Correllate,VLOOKUP(G492,CorMove,2,FALSE()),FALSE()),Q492-$CD$3,R492,$CD$5)*H492-CJ492</f>
        <v>#NAME?</v>
      </c>
      <c r="CE492" s="253" t="e">
        <f aca="false">xSPRDOPT((VLOOKUP(G492,NGPREVPRICES,2,FALSE())+HLOOKUP(D492,PREVCURVES,VLOOKUP(G492,MOVE_DOWN2,2,FALSE()),FALSE())),VLOOKUP(G492,NGPREVPRICES,2,FALSE()),CK492,VLOOKUP(G492,NGPrices,4,FALSE()),HLOOKUP(D492,PREVVOLS,VLOOKUP(G492,MOVE_DOWN2,2,FALSE()),FALSE()),VLOOKUP(G492,NGPREVPRICES,3,FALSE()),HLOOKUP(D492,Correllate,VLOOKUP(G492,CorMove,2,FALSE()),FALSE()),Q492-$CD$3,R492,$CJ$5)*H492-CJ492</f>
        <v>#NAME?</v>
      </c>
      <c r="CF492" s="132" t="e">
        <f aca="false">(CJ492/VLOOKUP(CC492,discount,3,FALSE()))-(CJ492/VLOOKUP(CC492,discount,2,FALSE()))</f>
        <v>#NAME?</v>
      </c>
      <c r="CG492" s="253" t="e">
        <f aca="false">xSPRDOPT((VLOOKUP(G492,NGPREVPRICES,2,FALSE())+HLOOKUP(D492,PREVCURVES,VLOOKUP(G492,MOVE_DOWN2,2,FALSE()),FALSE())),VLOOKUP(G492,NGPREVPRICES,2,FALSE()),CK492,VLOOKUP(G492,NGPREVPRICES,4,FALSE()),HLOOKUP(D492,VOLS,VLOOKUP(G492,move_down,2,FALSE()),FALSE()),VLOOKUP(G492,NGPrices,3,FALSE()),HLOOKUP(D492,Correllate,VLOOKUP(G492,CorMove,2,FALSE()),FALSE()),Q492-$CD$3,R492,$CJ$5)*H492-CJ492</f>
        <v>#NAME?</v>
      </c>
      <c r="CH492" s="253" t="e">
        <f aca="false">xSPRDOPT((VLOOKUP(G492,NGPREVPRICES,2,FALSE())+HLOOKUP(D492,PREVCURVES,VLOOKUP(G492,MOVE_DOWN2,2,FALSE()),FALSE())),VLOOKUP(G492,NGPREVPRICES,2,FALSE()),CK492,VLOOKUP(G492,NGPREVPRICES,4,FALSE()),HLOOKUP(D492,PREVVOLS,VLOOKUP(G492,MOVE_DOWN2,2,FALSE()),FALSE()),VLOOKUP(G492,NGPREVPRICES,3,FALSE()),HLOOKUP(D492,Correllate,VLOOKUP(G492,CorMove,2,FALSE()),FALSE()),Q492-$C$3,R492,$CJ$5)*H492-CJ492</f>
        <v>#NAME?</v>
      </c>
      <c r="CI492" s="253" t="e">
        <f aca="false">SUM(CD492:CH492)</f>
        <v>#NAME?</v>
      </c>
      <c r="CJ492" s="253" t="e">
        <f aca="false">xSPRDOPT((VLOOKUP(G492,NGPREVPRICES,2,FALSE())+HLOOKUP(D492,PREVCURVES,VLOOKUP(G492,MOVE_DOWN2,2,FALSE()),FALSE())),VLOOKUP(G492,NGPREVPRICES,2,FALSE()),CK492,VLOOKUP(G492,NGPREVPRICES,4,FALSE()),HLOOKUP(D492,PREVVOLS,VLOOKUP(G492,MOVE_DOWN2,2,FALSE()),FALSE()),VLOOKUP(G492,NGPREVPRICES,3,FALSE()),HLOOKUP(D492,Correllate,VLOOKUP(G492,CorMove,2,FALSE()),FALSE()),Q492-$CD$3,R492,$CJ$5)*H492</f>
        <v>#NAME?</v>
      </c>
      <c r="CK492" s="254" t="n">
        <f aca="false">I492</f>
        <v>0.5</v>
      </c>
      <c r="CM492" s="0" t="str">
        <f aca="false">CONCATENATE(CC492,$CD$6)</f>
        <v>37073Curve Shift/Gamma</v>
      </c>
      <c r="CN492" s="0" t="str">
        <f aca="false">CONCATENATE($CC492,$CE$6)</f>
        <v>37073Rho</v>
      </c>
      <c r="CO492" s="0" t="str">
        <f aca="false">CONCATENATE($CC492,$CF$6)</f>
        <v>37073Drift</v>
      </c>
      <c r="CP492" s="0" t="str">
        <f aca="false">CONCATENATE($CC492,$CG$6)</f>
        <v>37073Vega</v>
      </c>
      <c r="CQ492" s="0" t="str">
        <f aca="false">CONCATENATE($CC492,$CH$6)</f>
        <v>37073Theta</v>
      </c>
    </row>
    <row r="493" customFormat="false" ht="12.75" hidden="false" customHeight="false" outlineLevel="0" collapsed="false">
      <c r="A493" s="17" t="s">
        <v>206</v>
      </c>
      <c r="B493" s="0" t="s">
        <v>192</v>
      </c>
      <c r="C493" s="0" t="s">
        <v>365</v>
      </c>
      <c r="D493" s="7" t="s">
        <v>149</v>
      </c>
      <c r="E493" s="0" t="s">
        <v>131</v>
      </c>
      <c r="F493" s="0" t="s">
        <v>136</v>
      </c>
      <c r="G493" s="92" t="n">
        <v>37043</v>
      </c>
      <c r="H493" s="248" t="n">
        <v>300000</v>
      </c>
      <c r="I493" s="0" t="n">
        <v>0.5</v>
      </c>
      <c r="J493" s="124" t="n">
        <f aca="false">VLOOKUP(G493,NGPrices,2,FALSE())</f>
        <v>3.818</v>
      </c>
      <c r="K493" s="125" t="n">
        <f aca="false">HLOOKUP(D493,Prices,VLOOKUP(G493,move_down,2,FALSE()),FALSE())+VLOOKUP(G493,CHANGE,HLOOKUP(D493,CHANGE,2,FALSE()),FALSE())</f>
        <v>0.395</v>
      </c>
      <c r="L493" s="124" t="n">
        <f aca="false">K493+J493</f>
        <v>4.213</v>
      </c>
      <c r="M493" s="126" t="n">
        <f aca="false">VLOOKUP(G493,NGPrices,4,FALSE())</f>
        <v>0.069141890053328</v>
      </c>
      <c r="N493" s="7" t="n">
        <f aca="false">VLOOKUP(G493,NGPrices,3,FALSE())</f>
        <v>0.4</v>
      </c>
      <c r="O493" s="7" t="n">
        <f aca="false">HLOOKUP(D493,VOLS,VLOOKUP(G493,move_down,2,FALSE()),FALSE())</f>
        <v>0.392</v>
      </c>
      <c r="P493" s="249" t="n">
        <f aca="false">HLOOKUP(D493,Correllate,VLOOKUP(G493,CorMove,2,FALSE()),FALSE())</f>
        <v>0.9738</v>
      </c>
      <c r="Q493" s="92" t="n">
        <f aca="false">WORKDAY(G493,-2)</f>
        <v>37041</v>
      </c>
      <c r="R493" s="7" t="n">
        <f aca="false">IF(F493="P",0,1)</f>
        <v>1</v>
      </c>
      <c r="S493" s="130" t="e">
        <f aca="false">xSPRDOPT($L493,$J493,$I493,$M493,$O493,$N493,$P493,$Q493-$C$3,$R493,0)</f>
        <v>#NAME?</v>
      </c>
      <c r="T493" s="250" t="e">
        <f aca="false">xSPRDOPT($L493,$J493,$I493,$M493,$O493,$N493,$P493,$Q493-$C$3,$R493,1)*H493</f>
        <v>#NAME?</v>
      </c>
      <c r="U493" s="43" t="e">
        <f aca="false">S493*H493</f>
        <v>#NAME?</v>
      </c>
      <c r="V493" s="250" t="e">
        <f aca="false">xSPRDOPT($L493,$J493,$I493,$M493,$O493,$N493,$P493,$Q493-$C$3,$R493,2)*H493</f>
        <v>#NAME?</v>
      </c>
      <c r="W493" s="250" t="e">
        <f aca="false">+V493+T493</f>
        <v>#NAME?</v>
      </c>
      <c r="X493" s="2" t="str">
        <f aca="false">CONCATENATE(G493,D493)</f>
        <v>37043IF-TRANSCO/Z6</v>
      </c>
      <c r="Y493" s="251" t="n">
        <f aca="false">H493/10000</f>
        <v>30</v>
      </c>
      <c r="Z493" s="226" t="e">
        <f aca="false">T493/H493</f>
        <v>#NAME?</v>
      </c>
      <c r="AA493" s="226" t="e">
        <f aca="false">xSPRDOPT($L493,$J493,$I493,$M493,$O493,$N493,$P493,$Q493-$C$3,$R493,3)</f>
        <v>#NAME?</v>
      </c>
      <c r="AB493" s="226" t="e">
        <f aca="false">((xSPRDOPT($L493+AB$5,$J493,$I493,$M493,$O493,$N493,$P493,$Q493-$C$3,$R493,3)*$H493)/10000)/100</f>
        <v>#NAME?</v>
      </c>
      <c r="AC493" s="226" t="e">
        <f aca="false">((xSPRDOPT($L493+$AB$5,$J493,$I493,$M493,$O493,$N493,$P493,$Q493-$C$3,$R493,7)*$H493)/100)</f>
        <v>#NAME?</v>
      </c>
      <c r="AD493" s="226" t="e">
        <f aca="false">(xSPRDOPT($L493+$AB$5,$J493,$I493,$M493,$O493,$N493,$P493,$Q493-$C$3,$R493,9)/365)*$H493</f>
        <v>#NAME?</v>
      </c>
      <c r="AE493" s="0" t="e">
        <f aca="false">CD493</f>
        <v>#NAME?</v>
      </c>
      <c r="AF493" s="226" t="e">
        <f aca="false">((O493/N493)*AH493)+AG493</f>
        <v>#NAME?</v>
      </c>
      <c r="AG493" s="226" t="e">
        <f aca="false">((xSPRDOPT($L493,$J493,$I493,$M493,$O493,$N493,$P493,$Q493-$C$3,$R493,6)*$H493)/100)</f>
        <v>#NAME?</v>
      </c>
      <c r="AH493" s="226" t="e">
        <f aca="false">((xSPRDOPT($L493,$J493,$I493,$M493,$O493,$N493,$P493,$Q493-$C$3,$R493,5)*$H493)/100)</f>
        <v>#NAME?</v>
      </c>
      <c r="AI493" s="226" t="e">
        <f aca="false">(((xSPRDOPT($L493,$J493,$I493,$M493,$O493,$N493,$P493,$Q493-$C$3,$R493,4)*$H493)/10000)/100)-AB493</f>
        <v>#NAME?</v>
      </c>
      <c r="AJ493" s="226"/>
      <c r="AK493" s="226"/>
      <c r="AL493" s="226"/>
      <c r="AM493" s="252"/>
      <c r="CC493" s="182" t="n">
        <f aca="false">G493</f>
        <v>37043</v>
      </c>
      <c r="CD493" s="253" t="e">
        <f aca="false">xSPRDOPT((VLOOKUP(G493,NGPrices,2,FALSE())+HLOOKUP(D493,Prices,VLOOKUP(G493,move_down,2,FALSE()),FALSE())),VLOOKUP(G493,NGPrices,2,FALSE()),I493,VLOOKUP(G493,NGPREVPRICES,4,FALSE()),HLOOKUP(D493,PREVVOLS,VLOOKUP(G493,MOVE_DOWN2,2,FALSE()),FALSE()),VLOOKUP(G493,NGPREVPRICES,3,FALSE()),HLOOKUP(D493,Correllate,VLOOKUP(G493,CorMove,2,FALSE()),FALSE()),Q493-$CD$3,R493,$CD$5)*H493-CJ493</f>
        <v>#NAME?</v>
      </c>
      <c r="CE493" s="253" t="e">
        <f aca="false">xSPRDOPT((VLOOKUP(G493,NGPREVPRICES,2,FALSE())+HLOOKUP(D493,PREVCURVES,VLOOKUP(G493,MOVE_DOWN2,2,FALSE()),FALSE())),VLOOKUP(G493,NGPREVPRICES,2,FALSE()),CK493,VLOOKUP(G493,NGPrices,4,FALSE()),HLOOKUP(D493,PREVVOLS,VLOOKUP(G493,MOVE_DOWN2,2,FALSE()),FALSE()),VLOOKUP(G493,NGPREVPRICES,3,FALSE()),HLOOKUP(D493,Correllate,VLOOKUP(G493,CorMove,2,FALSE()),FALSE()),Q493-$CD$3,R493,$CJ$5)*H493-CJ493</f>
        <v>#NAME?</v>
      </c>
      <c r="CF493" s="132" t="e">
        <f aca="false">(CJ493/VLOOKUP(CC493,discount,3,FALSE()))-(CJ493/VLOOKUP(CC493,discount,2,FALSE()))</f>
        <v>#NAME?</v>
      </c>
      <c r="CG493" s="253" t="e">
        <f aca="false">xSPRDOPT((VLOOKUP(G493,NGPREVPRICES,2,FALSE())+HLOOKUP(D493,PREVCURVES,VLOOKUP(G493,MOVE_DOWN2,2,FALSE()),FALSE())),VLOOKUP(G493,NGPREVPRICES,2,FALSE()),CK493,VLOOKUP(G493,NGPREVPRICES,4,FALSE()),HLOOKUP(D493,VOLS,VLOOKUP(G493,move_down,2,FALSE()),FALSE()),VLOOKUP(G493,NGPrices,3,FALSE()),HLOOKUP(D493,Correllate,VLOOKUP(G493,CorMove,2,FALSE()),FALSE()),Q493-$CD$3,R493,$CJ$5)*H493-CJ493</f>
        <v>#NAME?</v>
      </c>
      <c r="CH493" s="253" t="e">
        <f aca="false">xSPRDOPT((VLOOKUP(G493,NGPREVPRICES,2,FALSE())+HLOOKUP(D493,PREVCURVES,VLOOKUP(G493,MOVE_DOWN2,2,FALSE()),FALSE())),VLOOKUP(G493,NGPREVPRICES,2,FALSE()),CK493,VLOOKUP(G493,NGPREVPRICES,4,FALSE()),HLOOKUP(D493,PREVVOLS,VLOOKUP(G493,MOVE_DOWN2,2,FALSE()),FALSE()),VLOOKUP(G493,NGPREVPRICES,3,FALSE()),HLOOKUP(D493,Correllate,VLOOKUP(G493,CorMove,2,FALSE()),FALSE()),Q493-$C$3,R493,$CJ$5)*H493-CJ493</f>
        <v>#NAME?</v>
      </c>
      <c r="CI493" s="253" t="e">
        <f aca="false">SUM(CD493:CH493)</f>
        <v>#NAME?</v>
      </c>
      <c r="CJ493" s="253" t="e">
        <f aca="false">xSPRDOPT((VLOOKUP(G493,NGPREVPRICES,2,FALSE())+HLOOKUP(D493,PREVCURVES,VLOOKUP(G493,MOVE_DOWN2,2,FALSE()),FALSE())),VLOOKUP(G493,NGPREVPRICES,2,FALSE()),CK493,VLOOKUP(G493,NGPREVPRICES,4,FALSE()),HLOOKUP(D493,PREVVOLS,VLOOKUP(G493,MOVE_DOWN2,2,FALSE()),FALSE()),VLOOKUP(G493,NGPREVPRICES,3,FALSE()),HLOOKUP(D493,Correllate,VLOOKUP(G493,CorMove,2,FALSE()),FALSE()),Q493-$CD$3,R493,$CJ$5)*H493</f>
        <v>#NAME?</v>
      </c>
      <c r="CK493" s="254" t="n">
        <f aca="false">I493</f>
        <v>0.5</v>
      </c>
      <c r="CM493" s="0" t="str">
        <f aca="false">CONCATENATE(CC493,$CD$6)</f>
        <v>37043Curve Shift/Gamma</v>
      </c>
      <c r="CN493" s="0" t="str">
        <f aca="false">CONCATENATE($CC493,$CE$6)</f>
        <v>37043Rho</v>
      </c>
      <c r="CO493" s="0" t="str">
        <f aca="false">CONCATENATE($CC493,$CF$6)</f>
        <v>37043Drift</v>
      </c>
      <c r="CP493" s="0" t="str">
        <f aca="false">CONCATENATE($CC493,$CG$6)</f>
        <v>37043Vega</v>
      </c>
      <c r="CQ493" s="0" t="str">
        <f aca="false">CONCATENATE($CC493,$CH$6)</f>
        <v>37043Theta</v>
      </c>
    </row>
    <row r="494" customFormat="false" ht="12.75" hidden="false" customHeight="false" outlineLevel="0" collapsed="false">
      <c r="A494" s="17" t="s">
        <v>206</v>
      </c>
      <c r="B494" s="0" t="s">
        <v>192</v>
      </c>
      <c r="C494" s="0" t="s">
        <v>365</v>
      </c>
      <c r="D494" s="7" t="s">
        <v>149</v>
      </c>
      <c r="E494" s="0" t="s">
        <v>131</v>
      </c>
      <c r="F494" s="0" t="s">
        <v>136</v>
      </c>
      <c r="G494" s="92" t="n">
        <v>37012</v>
      </c>
      <c r="H494" s="248" t="n">
        <v>310000</v>
      </c>
      <c r="I494" s="0" t="n">
        <v>0.5</v>
      </c>
      <c r="J494" s="124" t="n">
        <f aca="false">VLOOKUP(G494,NGPrices,2,FALSE())</f>
        <v>3.838</v>
      </c>
      <c r="K494" s="125" t="n">
        <f aca="false">HLOOKUP(D494,Prices,VLOOKUP(G494,move_down,2,FALSE()),FALSE())+VLOOKUP(G494,CHANGE,HLOOKUP(D494,CHANGE,2,FALSE()),FALSE())</f>
        <v>0.405</v>
      </c>
      <c r="L494" s="124" t="n">
        <f aca="false">K494+J494</f>
        <v>4.243</v>
      </c>
      <c r="M494" s="126" t="n">
        <f aca="false">VLOOKUP(G494,NGPrices,4,FALSE())</f>
        <v>0.069101151219</v>
      </c>
      <c r="N494" s="7" t="n">
        <f aca="false">VLOOKUP(G494,NGPrices,3,FALSE())</f>
        <v>0.405</v>
      </c>
      <c r="O494" s="7" t="n">
        <f aca="false">HLOOKUP(D494,VOLS,VLOOKUP(G494,move_down,2,FALSE()),FALSE())</f>
        <v>0.397</v>
      </c>
      <c r="P494" s="249" t="n">
        <f aca="false">HLOOKUP(D494,Correllate,VLOOKUP(G494,CorMove,2,FALSE()),FALSE())</f>
        <v>0.9738</v>
      </c>
      <c r="Q494" s="92" t="n">
        <f aca="false">WORKDAY(G494,-2)</f>
        <v>37008</v>
      </c>
      <c r="R494" s="7" t="n">
        <f aca="false">IF(F494="P",0,1)</f>
        <v>1</v>
      </c>
      <c r="S494" s="130" t="e">
        <f aca="false">xSPRDOPT($L494,$J494,$I494,$M494,$O494,$N494,$P494,$Q494-$C$3,$R494,0)</f>
        <v>#NAME?</v>
      </c>
      <c r="T494" s="250" t="e">
        <f aca="false">xSPRDOPT($L494,$J494,$I494,$M494,$O494,$N494,$P494,$Q494-$C$3,$R494,1)*H494</f>
        <v>#NAME?</v>
      </c>
      <c r="U494" s="43" t="e">
        <f aca="false">S494*H494</f>
        <v>#NAME?</v>
      </c>
      <c r="V494" s="250" t="e">
        <f aca="false">xSPRDOPT($L494,$J494,$I494,$M494,$O494,$N494,$P494,$Q494-$C$3,$R494,2)*H494</f>
        <v>#NAME?</v>
      </c>
      <c r="W494" s="250" t="e">
        <f aca="false">+V494+T494</f>
        <v>#NAME?</v>
      </c>
      <c r="X494" s="2" t="str">
        <f aca="false">CONCATENATE(G494,D494)</f>
        <v>37012IF-TRANSCO/Z6</v>
      </c>
      <c r="Y494" s="251" t="n">
        <f aca="false">H494/10000</f>
        <v>31</v>
      </c>
      <c r="Z494" s="226" t="e">
        <f aca="false">T494/H494</f>
        <v>#NAME?</v>
      </c>
      <c r="AA494" s="226" t="e">
        <f aca="false">xSPRDOPT($L494,$J494,$I494,$M494,$O494,$N494,$P494,$Q494-$C$3,$R494,3)</f>
        <v>#NAME?</v>
      </c>
      <c r="AB494" s="226" t="e">
        <f aca="false">((xSPRDOPT($L494+AB$5,$J494,$I494,$M494,$O494,$N494,$P494,$Q494-$C$3,$R494,3)*$H494)/10000)/100</f>
        <v>#NAME?</v>
      </c>
      <c r="AC494" s="226" t="e">
        <f aca="false">((xSPRDOPT($L494+$AB$5,$J494,$I494,$M494,$O494,$N494,$P494,$Q494-$C$3,$R494,7)*$H494)/100)</f>
        <v>#NAME?</v>
      </c>
      <c r="AD494" s="226" t="e">
        <f aca="false">(xSPRDOPT($L494+$AB$5,$J494,$I494,$M494,$O494,$N494,$P494,$Q494-$C$3,$R494,9)/365)*$H494</f>
        <v>#NAME?</v>
      </c>
      <c r="AE494" s="0" t="e">
        <f aca="false">CD494</f>
        <v>#NAME?</v>
      </c>
      <c r="AF494" s="226" t="e">
        <f aca="false">((O494/N494)*AH494)+AG494</f>
        <v>#NAME?</v>
      </c>
      <c r="AG494" s="226" t="e">
        <f aca="false">((xSPRDOPT($L494,$J494,$I494,$M494,$O494,$N494,$P494,$Q494-$C$3,$R494,6)*$H494)/100)</f>
        <v>#NAME?</v>
      </c>
      <c r="AH494" s="226" t="e">
        <f aca="false">((xSPRDOPT($L494,$J494,$I494,$M494,$O494,$N494,$P494,$Q494-$C$3,$R494,5)*$H494)/100)</f>
        <v>#NAME?</v>
      </c>
      <c r="AI494" s="226" t="e">
        <f aca="false">(((xSPRDOPT($L494,$J494,$I494,$M494,$O494,$N494,$P494,$Q494-$C$3,$R494,4)*$H494)/10000)/100)-AB494</f>
        <v>#NAME?</v>
      </c>
      <c r="AJ494" s="226"/>
      <c r="AK494" s="226"/>
      <c r="AL494" s="226"/>
      <c r="AM494" s="252"/>
      <c r="CC494" s="182" t="n">
        <f aca="false">G494</f>
        <v>37012</v>
      </c>
      <c r="CD494" s="253" t="e">
        <f aca="false">xSPRDOPT((VLOOKUP(G494,NGPrices,2,FALSE())+HLOOKUP(D494,Prices,VLOOKUP(G494,move_down,2,FALSE()),FALSE())),VLOOKUP(G494,NGPrices,2,FALSE()),I494,VLOOKUP(G494,NGPREVPRICES,4,FALSE()),HLOOKUP(D494,PREVVOLS,VLOOKUP(G494,MOVE_DOWN2,2,FALSE()),FALSE()),VLOOKUP(G494,NGPREVPRICES,3,FALSE()),HLOOKUP(D494,Correllate,VLOOKUP(G494,CorMove,2,FALSE()),FALSE()),Q494-$CD$3,R494,$CD$5)*H494-CJ494</f>
        <v>#NAME?</v>
      </c>
      <c r="CE494" s="253" t="e">
        <f aca="false">xSPRDOPT((VLOOKUP(G494,NGPREVPRICES,2,FALSE())+HLOOKUP(D494,PREVCURVES,VLOOKUP(G494,MOVE_DOWN2,2,FALSE()),FALSE())),VLOOKUP(G494,NGPREVPRICES,2,FALSE()),CK494,VLOOKUP(G494,NGPrices,4,FALSE()),HLOOKUP(D494,PREVVOLS,VLOOKUP(G494,MOVE_DOWN2,2,FALSE()),FALSE()),VLOOKUP(G494,NGPREVPRICES,3,FALSE()),HLOOKUP(D494,Correllate,VLOOKUP(G494,CorMove,2,FALSE()),FALSE()),Q494-$CD$3,R494,$CJ$5)*H494-CJ494</f>
        <v>#NAME?</v>
      </c>
      <c r="CF494" s="132" t="e">
        <f aca="false">(CJ494/VLOOKUP(CC494,discount,3,FALSE()))-(CJ494/VLOOKUP(CC494,discount,2,FALSE()))</f>
        <v>#NAME?</v>
      </c>
      <c r="CG494" s="253" t="e">
        <f aca="false">xSPRDOPT((VLOOKUP(G494,NGPREVPRICES,2,FALSE())+HLOOKUP(D494,PREVCURVES,VLOOKUP(G494,MOVE_DOWN2,2,FALSE()),FALSE())),VLOOKUP(G494,NGPREVPRICES,2,FALSE()),CK494,VLOOKUP(G494,NGPREVPRICES,4,FALSE()),HLOOKUP(D494,VOLS,VLOOKUP(G494,move_down,2,FALSE()),FALSE()),VLOOKUP(G494,NGPrices,3,FALSE()),HLOOKUP(D494,Correllate,VLOOKUP(G494,CorMove,2,FALSE()),FALSE()),Q494-$CD$3,R494,$CJ$5)*H494-CJ494</f>
        <v>#NAME?</v>
      </c>
      <c r="CH494" s="253" t="e">
        <f aca="false">xSPRDOPT((VLOOKUP(G494,NGPREVPRICES,2,FALSE())+HLOOKUP(D494,PREVCURVES,VLOOKUP(G494,MOVE_DOWN2,2,FALSE()),FALSE())),VLOOKUP(G494,NGPREVPRICES,2,FALSE()),CK494,VLOOKUP(G494,NGPREVPRICES,4,FALSE()),HLOOKUP(D494,PREVVOLS,VLOOKUP(G494,MOVE_DOWN2,2,FALSE()),FALSE()),VLOOKUP(G494,NGPREVPRICES,3,FALSE()),HLOOKUP(D494,Correllate,VLOOKUP(G494,CorMove,2,FALSE()),FALSE()),Q494-$C$3,R494,$CJ$5)*H494-CJ494</f>
        <v>#NAME?</v>
      </c>
      <c r="CI494" s="253" t="e">
        <f aca="false">SUM(CD494:CH494)</f>
        <v>#NAME?</v>
      </c>
      <c r="CJ494" s="253" t="e">
        <f aca="false">xSPRDOPT((VLOOKUP(G494,NGPREVPRICES,2,FALSE())+HLOOKUP(D494,PREVCURVES,VLOOKUP(G494,MOVE_DOWN2,2,FALSE()),FALSE())),VLOOKUP(G494,NGPREVPRICES,2,FALSE()),CK494,VLOOKUP(G494,NGPREVPRICES,4,FALSE()),HLOOKUP(D494,PREVVOLS,VLOOKUP(G494,MOVE_DOWN2,2,FALSE()),FALSE()),VLOOKUP(G494,NGPREVPRICES,3,FALSE()),HLOOKUP(D494,Correllate,VLOOKUP(G494,CorMove,2,FALSE()),FALSE()),Q494-$CD$3,R494,$CJ$5)*H494</f>
        <v>#NAME?</v>
      </c>
      <c r="CK494" s="254" t="n">
        <f aca="false">I494</f>
        <v>0.5</v>
      </c>
      <c r="CM494" s="0" t="str">
        <f aca="false">CONCATENATE(CC494,$CD$6)</f>
        <v>37012Curve Shift/Gamma</v>
      </c>
      <c r="CN494" s="0" t="str">
        <f aca="false">CONCATENATE($CC494,$CE$6)</f>
        <v>37012Rho</v>
      </c>
      <c r="CO494" s="0" t="str">
        <f aca="false">CONCATENATE($CC494,$CF$6)</f>
        <v>37012Drift</v>
      </c>
      <c r="CP494" s="0" t="str">
        <f aca="false">CONCATENATE($CC494,$CG$6)</f>
        <v>37012Vega</v>
      </c>
      <c r="CQ494" s="0" t="str">
        <f aca="false">CONCATENATE($CC494,$CH$6)</f>
        <v>37012Theta</v>
      </c>
    </row>
    <row r="495" customFormat="false" ht="12.75" hidden="false" customHeight="false" outlineLevel="0" collapsed="false">
      <c r="A495" s="17" t="s">
        <v>206</v>
      </c>
      <c r="B495" s="0" t="s">
        <v>192</v>
      </c>
      <c r="C495" s="0" t="s">
        <v>365</v>
      </c>
      <c r="D495" s="7" t="s">
        <v>149</v>
      </c>
      <c r="E495" s="0" t="s">
        <v>131</v>
      </c>
      <c r="F495" s="0" t="s">
        <v>136</v>
      </c>
      <c r="G495" s="92" t="n">
        <v>36982</v>
      </c>
      <c r="H495" s="248" t="n">
        <v>300000</v>
      </c>
      <c r="I495" s="0" t="n">
        <v>0.5</v>
      </c>
      <c r="J495" s="124" t="n">
        <f aca="false">VLOOKUP(G495,NGPrices,2,FALSE())</f>
        <v>3.938</v>
      </c>
      <c r="K495" s="125" t="n">
        <f aca="false">HLOOKUP(D495,Prices,VLOOKUP(G495,move_down,2,FALSE()),FALSE())+VLOOKUP(G495,CHANGE,HLOOKUP(D495,CHANGE,2,FALSE()),FALSE())</f>
        <v>0.52</v>
      </c>
      <c r="L495" s="124" t="n">
        <f aca="false">K495+J495</f>
        <v>4.458</v>
      </c>
      <c r="M495" s="126" t="n">
        <f aca="false">VLOOKUP(G495,NGPrices,4,FALSE())</f>
        <v>0.069061726541121</v>
      </c>
      <c r="N495" s="7" t="n">
        <f aca="false">VLOOKUP(G495,NGPrices,3,FALSE())</f>
        <v>0.4425</v>
      </c>
      <c r="O495" s="7" t="n">
        <f aca="false">HLOOKUP(D495,VOLS,VLOOKUP(G495,move_down,2,FALSE()),FALSE())</f>
        <v>0.434</v>
      </c>
      <c r="P495" s="249" t="n">
        <f aca="false">HLOOKUP(D495,Correllate,VLOOKUP(G495,CorMove,2,FALSE()),FALSE())</f>
        <v>0.9738</v>
      </c>
      <c r="Q495" s="92" t="n">
        <f aca="false">WORKDAY(G495,-2)</f>
        <v>36979</v>
      </c>
      <c r="R495" s="7" t="n">
        <f aca="false">IF(F495="P",0,1)</f>
        <v>1</v>
      </c>
      <c r="S495" s="130" t="e">
        <f aca="false">xSPRDOPT($L495,$J495,$I495,$M495,$O495,$N495,$P495,$Q495-$C$3,$R495,0)</f>
        <v>#NAME?</v>
      </c>
      <c r="T495" s="250" t="e">
        <f aca="false">xSPRDOPT($L495,$J495,$I495,$M495,$O495,$N495,$P495,$Q495-$C$3,$R495,1)*H495</f>
        <v>#NAME?</v>
      </c>
      <c r="U495" s="43" t="e">
        <f aca="false">S495*H495</f>
        <v>#NAME?</v>
      </c>
      <c r="V495" s="250" t="e">
        <f aca="false">xSPRDOPT($L495,$J495,$I495,$M495,$O495,$N495,$P495,$Q495-$C$3,$R495,2)*H495</f>
        <v>#NAME?</v>
      </c>
      <c r="W495" s="250" t="e">
        <f aca="false">+V495+T495</f>
        <v>#NAME?</v>
      </c>
      <c r="X495" s="2" t="str">
        <f aca="false">CONCATENATE(G495,D495)</f>
        <v>36982IF-TRANSCO/Z6</v>
      </c>
      <c r="Y495" s="251" t="n">
        <f aca="false">H495/10000</f>
        <v>30</v>
      </c>
      <c r="Z495" s="226" t="e">
        <f aca="false">T495/H495</f>
        <v>#NAME?</v>
      </c>
      <c r="AA495" s="226" t="e">
        <f aca="false">xSPRDOPT($L495,$J495,$I495,$M495,$O495,$N495,$P495,$Q495-$C$3,$R495,3)</f>
        <v>#NAME?</v>
      </c>
      <c r="AB495" s="226" t="e">
        <f aca="false">((xSPRDOPT($L495+AB$5,$J495,$I495,$M495,$O495,$N495,$P495,$Q495-$C$3,$R495,3)*$H495)/10000)/100</f>
        <v>#NAME?</v>
      </c>
      <c r="AC495" s="226" t="e">
        <f aca="false">((xSPRDOPT($L495+$AB$5,$J495,$I495,$M495,$O495,$N495,$P495,$Q495-$C$3,$R495,7)*$H495)/100)</f>
        <v>#NAME?</v>
      </c>
      <c r="AD495" s="226" t="e">
        <f aca="false">(xSPRDOPT($L495+$AB$5,$J495,$I495,$M495,$O495,$N495,$P495,$Q495-$C$3,$R495,9)/365)*$H495</f>
        <v>#NAME?</v>
      </c>
      <c r="AE495" s="0" t="e">
        <f aca="false">CD495</f>
        <v>#NAME?</v>
      </c>
      <c r="AF495" s="226" t="e">
        <f aca="false">((O495/N495)*AH495)+AG495</f>
        <v>#NAME?</v>
      </c>
      <c r="AG495" s="226" t="e">
        <f aca="false">((xSPRDOPT($L495,$J495,$I495,$M495,$O495,$N495,$P495,$Q495-$C$3,$R495,6)*$H495)/100)</f>
        <v>#NAME?</v>
      </c>
      <c r="AH495" s="226" t="e">
        <f aca="false">((xSPRDOPT($L495,$J495,$I495,$M495,$O495,$N495,$P495,$Q495-$C$3,$R495,5)*$H495)/100)</f>
        <v>#NAME?</v>
      </c>
      <c r="AI495" s="226" t="e">
        <f aca="false">(((xSPRDOPT($L495,$J495,$I495,$M495,$O495,$N495,$P495,$Q495-$C$3,$R495,4)*$H495)/10000)/100)-AB495</f>
        <v>#NAME?</v>
      </c>
      <c r="AJ495" s="226"/>
      <c r="AK495" s="226"/>
      <c r="AL495" s="226"/>
      <c r="AM495" s="252"/>
      <c r="CC495" s="182" t="n">
        <f aca="false">G495</f>
        <v>36982</v>
      </c>
      <c r="CD495" s="253" t="e">
        <f aca="false">xSPRDOPT((VLOOKUP(G495,NGPrices,2,FALSE())+HLOOKUP(D495,Prices,VLOOKUP(G495,move_down,2,FALSE()),FALSE())),VLOOKUP(G495,NGPrices,2,FALSE()),I495,VLOOKUP(G495,NGPREVPRICES,4,FALSE()),HLOOKUP(D495,PREVVOLS,VLOOKUP(G495,MOVE_DOWN2,2,FALSE()),FALSE()),VLOOKUP(G495,NGPREVPRICES,3,FALSE()),HLOOKUP(D495,Correllate,VLOOKUP(G495,CorMove,2,FALSE()),FALSE()),Q495-$CD$3,R495,$CD$5)*H495-CJ495</f>
        <v>#NAME?</v>
      </c>
      <c r="CE495" s="253" t="e">
        <f aca="false">xSPRDOPT((VLOOKUP(G495,NGPREVPRICES,2,FALSE())+HLOOKUP(D495,PREVCURVES,VLOOKUP(G495,MOVE_DOWN2,2,FALSE()),FALSE())),VLOOKUP(G495,NGPREVPRICES,2,FALSE()),CK495,VLOOKUP(G495,NGPrices,4,FALSE()),HLOOKUP(D495,PREVVOLS,VLOOKUP(G495,MOVE_DOWN2,2,FALSE()),FALSE()),VLOOKUP(G495,NGPREVPRICES,3,FALSE()),HLOOKUP(D495,Correllate,VLOOKUP(G495,CorMove,2,FALSE()),FALSE()),Q495-$CD$3,R495,$CJ$5)*H495-CJ495</f>
        <v>#NAME?</v>
      </c>
      <c r="CF495" s="132" t="e">
        <f aca="false">(CJ495/VLOOKUP(CC495,discount,3,FALSE()))-(CJ495/VLOOKUP(CC495,discount,2,FALSE()))</f>
        <v>#NAME?</v>
      </c>
      <c r="CG495" s="253" t="e">
        <f aca="false">xSPRDOPT((VLOOKUP(G495,NGPREVPRICES,2,FALSE())+HLOOKUP(D495,PREVCURVES,VLOOKUP(G495,MOVE_DOWN2,2,FALSE()),FALSE())),VLOOKUP(G495,NGPREVPRICES,2,FALSE()),CK495,VLOOKUP(G495,NGPREVPRICES,4,FALSE()),HLOOKUP(D495,VOLS,VLOOKUP(G495,move_down,2,FALSE()),FALSE()),VLOOKUP(G495,NGPrices,3,FALSE()),HLOOKUP(D495,Correllate,VLOOKUP(G495,CorMove,2,FALSE()),FALSE()),Q495-$CD$3,R495,$CJ$5)*H495-CJ495</f>
        <v>#NAME?</v>
      </c>
      <c r="CH495" s="253" t="e">
        <f aca="false">xSPRDOPT((VLOOKUP(G495,NGPREVPRICES,2,FALSE())+HLOOKUP(D495,PREVCURVES,VLOOKUP(G495,MOVE_DOWN2,2,FALSE()),FALSE())),VLOOKUP(G495,NGPREVPRICES,2,FALSE()),CK495,VLOOKUP(G495,NGPREVPRICES,4,FALSE()),HLOOKUP(D495,PREVVOLS,VLOOKUP(G495,MOVE_DOWN2,2,FALSE()),FALSE()),VLOOKUP(G495,NGPREVPRICES,3,FALSE()),HLOOKUP(D495,Correllate,VLOOKUP(G495,CorMove,2,FALSE()),FALSE()),Q495-$C$3,R495,$CJ$5)*H495-CJ495</f>
        <v>#NAME?</v>
      </c>
      <c r="CI495" s="253" t="e">
        <f aca="false">SUM(CD495:CH495)</f>
        <v>#NAME?</v>
      </c>
      <c r="CJ495" s="253" t="e">
        <f aca="false">xSPRDOPT((VLOOKUP(G495,NGPREVPRICES,2,FALSE())+HLOOKUP(D495,PREVCURVES,VLOOKUP(G495,MOVE_DOWN2,2,FALSE()),FALSE())),VLOOKUP(G495,NGPREVPRICES,2,FALSE()),CK495,VLOOKUP(G495,NGPREVPRICES,4,FALSE()),HLOOKUP(D495,PREVVOLS,VLOOKUP(G495,MOVE_DOWN2,2,FALSE()),FALSE()),VLOOKUP(G495,NGPREVPRICES,3,FALSE()),HLOOKUP(D495,Correllate,VLOOKUP(G495,CorMove,2,FALSE()),FALSE()),Q495-$CD$3,R495,$CJ$5)*H495</f>
        <v>#NAME?</v>
      </c>
      <c r="CK495" s="254" t="n">
        <f aca="false">I495</f>
        <v>0.5</v>
      </c>
      <c r="CM495" s="0" t="str">
        <f aca="false">CONCATENATE(CC495,$CD$6)</f>
        <v>36982Curve Shift/Gamma</v>
      </c>
      <c r="CN495" s="0" t="str">
        <f aca="false">CONCATENATE($CC495,$CE$6)</f>
        <v>36982Rho</v>
      </c>
      <c r="CO495" s="0" t="str">
        <f aca="false">CONCATENATE($CC495,$CF$6)</f>
        <v>36982Drift</v>
      </c>
      <c r="CP495" s="0" t="str">
        <f aca="false">CONCATENATE($CC495,$CG$6)</f>
        <v>36982Vega</v>
      </c>
      <c r="CQ495" s="0" t="str">
        <f aca="false">CONCATENATE($CC495,$CH$6)</f>
        <v>36982Theta</v>
      </c>
    </row>
    <row r="496" customFormat="false" ht="12.75" hidden="false" customHeight="false" outlineLevel="0" collapsed="false">
      <c r="A496" s="17" t="s">
        <v>198</v>
      </c>
      <c r="B496" s="0" t="s">
        <v>192</v>
      </c>
      <c r="C496" s="0" t="s">
        <v>366</v>
      </c>
      <c r="D496" s="7" t="s">
        <v>137</v>
      </c>
      <c r="E496" s="0" t="s">
        <v>131</v>
      </c>
      <c r="F496" s="0" t="s">
        <v>136</v>
      </c>
      <c r="G496" s="92" t="n">
        <v>36951</v>
      </c>
      <c r="H496" s="248" t="n">
        <v>500000</v>
      </c>
      <c r="I496" s="0" t="n">
        <v>0.3</v>
      </c>
      <c r="J496" s="124" t="n">
        <f aca="false">VLOOKUP(G496,NGPrices,2,FALSE())</f>
        <v>4.213</v>
      </c>
      <c r="K496" s="125" t="n">
        <f aca="false">HLOOKUP(D496,Prices,VLOOKUP(G496,move_down,2,FALSE()),FALSE())+VLOOKUP(G496,CHANGE,HLOOKUP(D496,CHANGE,2,FALSE()),FALSE())</f>
        <v>0.5975</v>
      </c>
      <c r="L496" s="124" t="n">
        <f aca="false">K496+J496</f>
        <v>4.8105</v>
      </c>
      <c r="M496" s="126" t="n">
        <f aca="false">VLOOKUP(G496,NGPrices,4,FALSE())</f>
        <v>0.068879814952707</v>
      </c>
      <c r="N496" s="7" t="n">
        <f aca="false">VLOOKUP(G496,NGPrices,3,FALSE())</f>
        <v>0.5325</v>
      </c>
      <c r="O496" s="7" t="n">
        <f aca="false">HLOOKUP(D496,VOLS,VLOOKUP(G496,move_down,2,FALSE()),FALSE())</f>
        <v>0.517</v>
      </c>
      <c r="P496" s="249" t="n">
        <f aca="false">HLOOKUP(D496,Correllate,VLOOKUP(G496,CorMove,2,FALSE()),FALSE())</f>
        <v>0.85</v>
      </c>
      <c r="Q496" s="92" t="n">
        <f aca="false">WORKDAY(G496,-2)</f>
        <v>36949</v>
      </c>
      <c r="R496" s="7" t="n">
        <f aca="false">IF(F496="P",0,1)</f>
        <v>1</v>
      </c>
      <c r="S496" s="130" t="e">
        <f aca="false">xSPRDOPT($L496,$J496,$I496,$M496,$O496,$N496,$P496,$Q496-$C$3,$R496,0)</f>
        <v>#NAME?</v>
      </c>
      <c r="T496" s="250" t="e">
        <f aca="false">xSPRDOPT($L496,$J496,$I496,$M496,$O496,$N496,$P496,$Q496-$C$3,$R496,1)*H496</f>
        <v>#NAME?</v>
      </c>
      <c r="U496" s="43" t="e">
        <f aca="false">S496*H496</f>
        <v>#NAME?</v>
      </c>
      <c r="V496" s="250" t="e">
        <f aca="false">xSPRDOPT($L496,$J496,$I496,$M496,$O496,$N496,$P496,$Q496-$C$3,$R496,2)*H496</f>
        <v>#NAME?</v>
      </c>
      <c r="W496" s="250" t="e">
        <f aca="false">+V496+T496</f>
        <v>#NAME?</v>
      </c>
      <c r="X496" s="2" t="str">
        <f aca="false">CONCATENATE(G496,D496)</f>
        <v>36951NGI-SOCAL</v>
      </c>
      <c r="Y496" s="251" t="n">
        <f aca="false">H496/10000</f>
        <v>50</v>
      </c>
      <c r="Z496" s="226" t="e">
        <f aca="false">T496/H496</f>
        <v>#NAME?</v>
      </c>
      <c r="AA496" s="226" t="e">
        <f aca="false">xSPRDOPT($L496,$J496,$I496,$M496,$O496,$N496,$P496,$Q496-$C$3,$R496,3)</f>
        <v>#NAME?</v>
      </c>
      <c r="AB496" s="226" t="e">
        <f aca="false">((xSPRDOPT($L496+AB$5,$J496,$I496,$M496,$O496,$N496,$P496,$Q496-$C$3,$R496,3)*$H496)/10000)/100</f>
        <v>#NAME?</v>
      </c>
      <c r="AC496" s="226" t="e">
        <f aca="false">((xSPRDOPT($L496+$AB$5,$J496,$I496,$M496,$O496,$N496,$P496,$Q496-$C$3,$R496,7)*$H496)/100)</f>
        <v>#NAME?</v>
      </c>
      <c r="AD496" s="226" t="e">
        <f aca="false">(xSPRDOPT($L496+$AB$5,$J496,$I496,$M496,$O496,$N496,$P496,$Q496-$C$3,$R496,9)/365)*$H496</f>
        <v>#NAME?</v>
      </c>
      <c r="AE496" s="0" t="e">
        <f aca="false">CD496</f>
        <v>#NAME?</v>
      </c>
      <c r="AF496" s="226" t="e">
        <f aca="false">((O496/N496)*AH496)+AG496</f>
        <v>#NAME?</v>
      </c>
      <c r="AG496" s="226" t="e">
        <f aca="false">((xSPRDOPT($L496,$J496,$I496,$M496,$O496,$N496,$P496,$Q496-$C$3,$R496,6)*$H496)/100)</f>
        <v>#NAME?</v>
      </c>
      <c r="AH496" s="226" t="e">
        <f aca="false">((xSPRDOPT($L496,$J496,$I496,$M496,$O496,$N496,$P496,$Q496-$C$3,$R496,5)*$H496)/100)</f>
        <v>#NAME?</v>
      </c>
      <c r="AI496" s="226" t="e">
        <f aca="false">(((xSPRDOPT($L496,$J496,$I496,$M496,$O496,$N496,$P496,$Q496-$C$3,$R496,4)*$H496)/10000)/100)-AB496</f>
        <v>#NAME?</v>
      </c>
      <c r="AJ496" s="226"/>
      <c r="AK496" s="226"/>
      <c r="AL496" s="226"/>
      <c r="AM496" s="252"/>
      <c r="CC496" s="182" t="n">
        <f aca="false">G496</f>
        <v>36951</v>
      </c>
      <c r="CD496" s="253" t="e">
        <f aca="false">xSPRDOPT((VLOOKUP(G496,NGPrices,2,FALSE())+HLOOKUP(D496,Prices,VLOOKUP(G496,move_down,2,FALSE()),FALSE())),VLOOKUP(G496,NGPrices,2,FALSE()),I496,VLOOKUP(G496,NGPREVPRICES,4,FALSE()),HLOOKUP(D496,PREVVOLS,VLOOKUP(G496,MOVE_DOWN2,2,FALSE()),FALSE()),VLOOKUP(G496,NGPREVPRICES,3,FALSE()),HLOOKUP(D496,Correllate,VLOOKUP(G496,CorMove,2,FALSE()),FALSE()),Q496-$CD$3,R496,$CD$5)*H496-CJ496</f>
        <v>#NAME?</v>
      </c>
      <c r="CE496" s="253" t="e">
        <f aca="false">xSPRDOPT((VLOOKUP(G496,NGPREVPRICES,2,FALSE())+HLOOKUP(D496,PREVCURVES,VLOOKUP(G496,MOVE_DOWN2,2,FALSE()),FALSE())),VLOOKUP(G496,NGPREVPRICES,2,FALSE()),CK496,VLOOKUP(G496,NGPrices,4,FALSE()),HLOOKUP(D496,PREVVOLS,VLOOKUP(G496,MOVE_DOWN2,2,FALSE()),FALSE()),VLOOKUP(G496,NGPREVPRICES,3,FALSE()),HLOOKUP(D496,Correllate,VLOOKUP(G496,CorMove,2,FALSE()),FALSE()),Q496-$CD$3,R496,$CJ$5)*H496-CJ496</f>
        <v>#NAME?</v>
      </c>
      <c r="CF496" s="132" t="e">
        <f aca="false">(CJ496/VLOOKUP(CC496,discount,3,FALSE()))-(CJ496/VLOOKUP(CC496,discount,2,FALSE()))</f>
        <v>#NAME?</v>
      </c>
      <c r="CG496" s="253" t="e">
        <f aca="false">xSPRDOPT((VLOOKUP(G496,NGPREVPRICES,2,FALSE())+HLOOKUP(D496,PREVCURVES,VLOOKUP(G496,MOVE_DOWN2,2,FALSE()),FALSE())),VLOOKUP(G496,NGPREVPRICES,2,FALSE()),CK496,VLOOKUP(G496,NGPREVPRICES,4,FALSE()),HLOOKUP(D496,VOLS,VLOOKUP(G496,move_down,2,FALSE()),FALSE()),VLOOKUP(G496,NGPrices,3,FALSE()),HLOOKUP(D496,Correllate,VLOOKUP(G496,CorMove,2,FALSE()),FALSE()),Q496-$CD$3,R496,$CJ$5)*H496-CJ496</f>
        <v>#NAME?</v>
      </c>
      <c r="CH496" s="253" t="e">
        <f aca="false">xSPRDOPT((VLOOKUP(G496,NGPREVPRICES,2,FALSE())+HLOOKUP(D496,PREVCURVES,VLOOKUP(G496,MOVE_DOWN2,2,FALSE()),FALSE())),VLOOKUP(G496,NGPREVPRICES,2,FALSE()),CK496,VLOOKUP(G496,NGPREVPRICES,4,FALSE()),HLOOKUP(D496,PREVVOLS,VLOOKUP(G496,MOVE_DOWN2,2,FALSE()),FALSE()),VLOOKUP(G496,NGPREVPRICES,3,FALSE()),HLOOKUP(D496,Correllate,VLOOKUP(G496,CorMove,2,FALSE()),FALSE()),Q496-$C$3,R496,$CJ$5)*H496-CJ496</f>
        <v>#NAME?</v>
      </c>
      <c r="CI496" s="253" t="e">
        <f aca="false">SUM(CD496:CH496)</f>
        <v>#NAME?</v>
      </c>
      <c r="CJ496" s="253" t="e">
        <f aca="false">xSPRDOPT((VLOOKUP(G496,NGPREVPRICES,2,FALSE())+HLOOKUP(D496,PREVCURVES,VLOOKUP(G496,MOVE_DOWN2,2,FALSE()),FALSE())),VLOOKUP(G496,NGPREVPRICES,2,FALSE()),CK496,VLOOKUP(G496,NGPREVPRICES,4,FALSE()),HLOOKUP(D496,PREVVOLS,VLOOKUP(G496,MOVE_DOWN2,2,FALSE()),FALSE()),VLOOKUP(G496,NGPREVPRICES,3,FALSE()),HLOOKUP(D496,Correllate,VLOOKUP(G496,CorMove,2,FALSE()),FALSE()),Q496-$CD$3,R496,$CJ$5)*H496</f>
        <v>#NAME?</v>
      </c>
      <c r="CK496" s="254" t="n">
        <f aca="false">I496</f>
        <v>0.3</v>
      </c>
      <c r="CM496" s="0" t="str">
        <f aca="false">CONCATENATE(CC496,$CD$6)</f>
        <v>36951Curve Shift/Gamma</v>
      </c>
      <c r="CN496" s="0" t="str">
        <f aca="false">CONCATENATE($CC496,$CE$6)</f>
        <v>36951Rho</v>
      </c>
      <c r="CO496" s="0" t="str">
        <f aca="false">CONCATENATE($CC496,$CF$6)</f>
        <v>36951Drift</v>
      </c>
      <c r="CP496" s="0" t="str">
        <f aca="false">CONCATENATE($CC496,$CG$6)</f>
        <v>36951Vega</v>
      </c>
      <c r="CQ496" s="0" t="str">
        <f aca="false">CONCATENATE($CC496,$CH$6)</f>
        <v>36951Theta</v>
      </c>
    </row>
    <row r="497" customFormat="false" ht="12.75" hidden="false" customHeight="false" outlineLevel="0" collapsed="false">
      <c r="A497" s="17" t="s">
        <v>198</v>
      </c>
      <c r="B497" s="0" t="s">
        <v>192</v>
      </c>
      <c r="C497" s="0" t="s">
        <v>366</v>
      </c>
      <c r="D497" s="7" t="s">
        <v>137</v>
      </c>
      <c r="E497" s="0" t="s">
        <v>131</v>
      </c>
      <c r="F497" s="0" t="s">
        <v>136</v>
      </c>
      <c r="G497" s="92" t="n">
        <v>36923</v>
      </c>
      <c r="H497" s="248" t="n">
        <v>500000</v>
      </c>
      <c r="I497" s="0" t="n">
        <v>0.3</v>
      </c>
      <c r="J497" s="124" t="n">
        <f aca="false">VLOOKUP(G497,NGPrices,2,FALSE())</f>
        <v>4.48</v>
      </c>
      <c r="K497" s="125" t="n">
        <f aca="false">HLOOKUP(D497,Prices,VLOOKUP(G497,move_down,2,FALSE()),FALSE())+VLOOKUP(G497,CHANGE,HLOOKUP(D497,CHANGE,2,FALSE()),FALSE())</f>
        <v>0.6175</v>
      </c>
      <c r="L497" s="124" t="n">
        <f aca="false">K497+J497</f>
        <v>5.0975</v>
      </c>
      <c r="M497" s="126" t="n">
        <f aca="false">VLOOKUP(G497,NGPrices,4,FALSE())</f>
        <v>0.068640161611372</v>
      </c>
      <c r="N497" s="7" t="n">
        <f aca="false">VLOOKUP(G497,NGPrices,3,FALSE())</f>
        <v>0.5925</v>
      </c>
      <c r="O497" s="7" t="n">
        <f aca="false">HLOOKUP(D497,VOLS,VLOOKUP(G497,move_down,2,FALSE()),FALSE())</f>
        <v>0.575</v>
      </c>
      <c r="P497" s="249" t="n">
        <f aca="false">HLOOKUP(D497,Correllate,VLOOKUP(G497,CorMove,2,FALSE()),FALSE())</f>
        <v>0.85</v>
      </c>
      <c r="Q497" s="92" t="n">
        <f aca="false">WORKDAY(G497,-2)</f>
        <v>36921</v>
      </c>
      <c r="R497" s="7" t="n">
        <f aca="false">IF(F497="P",0,1)</f>
        <v>1</v>
      </c>
      <c r="S497" s="130" t="e">
        <f aca="false">xSPRDOPT($L497,$J497,$I497,$M497,$O497,$N497,$P497,$Q497-$C$3,$R497,0)</f>
        <v>#NAME?</v>
      </c>
      <c r="T497" s="250" t="e">
        <f aca="false">xSPRDOPT($L497,$J497,$I497,$M497,$O497,$N497,$P497,$Q497-$C$3,$R497,1)*H497</f>
        <v>#NAME?</v>
      </c>
      <c r="U497" s="43" t="e">
        <f aca="false">S497*H497</f>
        <v>#NAME?</v>
      </c>
      <c r="V497" s="250" t="e">
        <f aca="false">xSPRDOPT($L497,$J497,$I497,$M497,$O497,$N497,$P497,$Q497-$C$3,$R497,2)*H497</f>
        <v>#NAME?</v>
      </c>
      <c r="W497" s="250" t="e">
        <f aca="false">+V497+T497</f>
        <v>#NAME?</v>
      </c>
      <c r="X497" s="2" t="str">
        <f aca="false">CONCATENATE(G497,D497)</f>
        <v>36923NGI-SOCAL</v>
      </c>
      <c r="Y497" s="251" t="n">
        <f aca="false">H497/10000</f>
        <v>50</v>
      </c>
      <c r="Z497" s="226" t="e">
        <f aca="false">T497/H497</f>
        <v>#NAME?</v>
      </c>
      <c r="AA497" s="226" t="e">
        <f aca="false">xSPRDOPT($L497,$J497,$I497,$M497,$O497,$N497,$P497,$Q497-$C$3,$R497,3)</f>
        <v>#NAME?</v>
      </c>
      <c r="AB497" s="226" t="e">
        <f aca="false">((xSPRDOPT($L497+AB$5,$J497,$I497,$M497,$O497,$N497,$P497,$Q497-$C$3,$R497,3)*$H497)/10000)/100</f>
        <v>#NAME?</v>
      </c>
      <c r="AC497" s="226" t="e">
        <f aca="false">((xSPRDOPT($L497+$AB$5,$J497,$I497,$M497,$O497,$N497,$P497,$Q497-$C$3,$R497,7)*$H497)/100)</f>
        <v>#NAME?</v>
      </c>
      <c r="AD497" s="226" t="e">
        <f aca="false">(xSPRDOPT($L497+$AB$5,$J497,$I497,$M497,$O497,$N497,$P497,$Q497-$C$3,$R497,9)/365)*$H497</f>
        <v>#NAME?</v>
      </c>
      <c r="AE497" s="0" t="e">
        <f aca="false">CD497</f>
        <v>#NAME?</v>
      </c>
      <c r="AF497" s="226" t="e">
        <f aca="false">((O497/N497)*AH497)+AG497</f>
        <v>#NAME?</v>
      </c>
      <c r="AG497" s="226" t="e">
        <f aca="false">((xSPRDOPT($L497,$J497,$I497,$M497,$O497,$N497,$P497,$Q497-$C$3,$R497,6)*$H497)/100)</f>
        <v>#NAME?</v>
      </c>
      <c r="AH497" s="226" t="e">
        <f aca="false">((xSPRDOPT($L497,$J497,$I497,$M497,$O497,$N497,$P497,$Q497-$C$3,$R497,5)*$H497)/100)</f>
        <v>#NAME?</v>
      </c>
      <c r="AI497" s="226" t="e">
        <f aca="false">(((xSPRDOPT($L497,$J497,$I497,$M497,$O497,$N497,$P497,$Q497-$C$3,$R497,4)*$H497)/10000)/100)-AB497</f>
        <v>#NAME?</v>
      </c>
      <c r="AJ497" s="226"/>
      <c r="AK497" s="226"/>
      <c r="AL497" s="226"/>
      <c r="AM497" s="252"/>
      <c r="CC497" s="182" t="n">
        <f aca="false">G497</f>
        <v>36923</v>
      </c>
      <c r="CD497" s="253" t="e">
        <f aca="false">xSPRDOPT((VLOOKUP(G497,NGPrices,2,FALSE())+HLOOKUP(D497,Prices,VLOOKUP(G497,move_down,2,FALSE()),FALSE())),VLOOKUP(G497,NGPrices,2,FALSE()),I497,VLOOKUP(G497,NGPREVPRICES,4,FALSE()),HLOOKUP(D497,PREVVOLS,VLOOKUP(G497,MOVE_DOWN2,2,FALSE()),FALSE()),VLOOKUP(G497,NGPREVPRICES,3,FALSE()),HLOOKUP(D497,Correllate,VLOOKUP(G497,CorMove,2,FALSE()),FALSE()),Q497-$CD$3,R497,$CD$5)*H497-CJ497</f>
        <v>#NAME?</v>
      </c>
      <c r="CE497" s="253" t="e">
        <f aca="false">xSPRDOPT((VLOOKUP(G497,NGPREVPRICES,2,FALSE())+HLOOKUP(D497,PREVCURVES,VLOOKUP(G497,MOVE_DOWN2,2,FALSE()),FALSE())),VLOOKUP(G497,NGPREVPRICES,2,FALSE()),CK497,VLOOKUP(G497,NGPrices,4,FALSE()),HLOOKUP(D497,PREVVOLS,VLOOKUP(G497,MOVE_DOWN2,2,FALSE()),FALSE()),VLOOKUP(G497,NGPREVPRICES,3,FALSE()),HLOOKUP(D497,Correllate,VLOOKUP(G497,CorMove,2,FALSE()),FALSE()),Q497-$CD$3,R497,$CJ$5)*H497-CJ497</f>
        <v>#NAME?</v>
      </c>
      <c r="CF497" s="132" t="e">
        <f aca="false">(CJ497/VLOOKUP(CC497,discount,3,FALSE()))-(CJ497/VLOOKUP(CC497,discount,2,FALSE()))</f>
        <v>#NAME?</v>
      </c>
      <c r="CG497" s="253" t="e">
        <f aca="false">xSPRDOPT((VLOOKUP(G497,NGPREVPRICES,2,FALSE())+HLOOKUP(D497,PREVCURVES,VLOOKUP(G497,MOVE_DOWN2,2,FALSE()),FALSE())),VLOOKUP(G497,NGPREVPRICES,2,FALSE()),CK497,VLOOKUP(G497,NGPREVPRICES,4,FALSE()),HLOOKUP(D497,VOLS,VLOOKUP(G497,move_down,2,FALSE()),FALSE()),VLOOKUP(G497,NGPrices,3,FALSE()),HLOOKUP(D497,Correllate,VLOOKUP(G497,CorMove,2,FALSE()),FALSE()),Q497-$CD$3,R497,$CJ$5)*H497-CJ497</f>
        <v>#NAME?</v>
      </c>
      <c r="CH497" s="253" t="e">
        <f aca="false">xSPRDOPT((VLOOKUP(G497,NGPREVPRICES,2,FALSE())+HLOOKUP(D497,PREVCURVES,VLOOKUP(G497,MOVE_DOWN2,2,FALSE()),FALSE())),VLOOKUP(G497,NGPREVPRICES,2,FALSE()),CK497,VLOOKUP(G497,NGPREVPRICES,4,FALSE()),HLOOKUP(D497,PREVVOLS,VLOOKUP(G497,MOVE_DOWN2,2,FALSE()),FALSE()),VLOOKUP(G497,NGPREVPRICES,3,FALSE()),HLOOKUP(D497,Correllate,VLOOKUP(G497,CorMove,2,FALSE()),FALSE()),Q497-$C$3,R497,$CJ$5)*H497-CJ497</f>
        <v>#NAME?</v>
      </c>
      <c r="CI497" s="253" t="e">
        <f aca="false">SUM(CD497:CH497)</f>
        <v>#NAME?</v>
      </c>
      <c r="CJ497" s="253" t="e">
        <f aca="false">xSPRDOPT((VLOOKUP(G497,NGPREVPRICES,2,FALSE())+HLOOKUP(D497,PREVCURVES,VLOOKUP(G497,MOVE_DOWN2,2,FALSE()),FALSE())),VLOOKUP(G497,NGPREVPRICES,2,FALSE()),CK497,VLOOKUP(G497,NGPREVPRICES,4,FALSE()),HLOOKUP(D497,PREVVOLS,VLOOKUP(G497,MOVE_DOWN2,2,FALSE()),FALSE()),VLOOKUP(G497,NGPREVPRICES,3,FALSE()),HLOOKUP(D497,Correllate,VLOOKUP(G497,CorMove,2,FALSE()),FALSE()),Q497-$CD$3,R497,$CJ$5)*H497</f>
        <v>#NAME?</v>
      </c>
      <c r="CK497" s="254" t="n">
        <f aca="false">I497</f>
        <v>0.3</v>
      </c>
      <c r="CM497" s="0" t="str">
        <f aca="false">CONCATENATE(CC497,$CD$6)</f>
        <v>36923Curve Shift/Gamma</v>
      </c>
      <c r="CN497" s="0" t="str">
        <f aca="false">CONCATENATE($CC497,$CE$6)</f>
        <v>36923Rho</v>
      </c>
      <c r="CO497" s="0" t="str">
        <f aca="false">CONCATENATE($CC497,$CF$6)</f>
        <v>36923Drift</v>
      </c>
      <c r="CP497" s="0" t="str">
        <f aca="false">CONCATENATE($CC497,$CG$6)</f>
        <v>36923Vega</v>
      </c>
      <c r="CQ497" s="0" t="str">
        <f aca="false">CONCATENATE($CC497,$CH$6)</f>
        <v>36923Theta</v>
      </c>
    </row>
    <row r="498" customFormat="false" ht="12.75" hidden="false" customHeight="false" outlineLevel="0" collapsed="false">
      <c r="A498" s="17" t="s">
        <v>198</v>
      </c>
      <c r="B498" s="0" t="s">
        <v>192</v>
      </c>
      <c r="C498" s="0" t="s">
        <v>366</v>
      </c>
      <c r="D498" s="7" t="s">
        <v>137</v>
      </c>
      <c r="E498" s="0" t="s">
        <v>131</v>
      </c>
      <c r="F498" s="0" t="s">
        <v>136</v>
      </c>
      <c r="G498" s="92" t="n">
        <v>36892</v>
      </c>
      <c r="H498" s="248" t="n">
        <v>500000</v>
      </c>
      <c r="I498" s="0" t="n">
        <v>0.3</v>
      </c>
      <c r="J498" s="124" t="n">
        <f aca="false">VLOOKUP(G498,NGPrices,2,FALSE())</f>
        <v>4.744</v>
      </c>
      <c r="K498" s="125" t="n">
        <f aca="false">HLOOKUP(D498,Prices,VLOOKUP(G498,move_down,2,FALSE()),FALSE())+VLOOKUP(G498,CHANGE,HLOOKUP(D498,CHANGE,2,FALSE()),FALSE())</f>
        <v>0.7675</v>
      </c>
      <c r="L498" s="124" t="n">
        <f aca="false">K498+J498</f>
        <v>5.5115</v>
      </c>
      <c r="M498" s="126" t="n">
        <f aca="false">VLOOKUP(G498,NGPrices,4,FALSE())</f>
        <v>0.068374831148491</v>
      </c>
      <c r="N498" s="7" t="n">
        <f aca="false">VLOOKUP(G498,NGPrices,3,FALSE())</f>
        <v>0.605</v>
      </c>
      <c r="O498" s="7" t="n">
        <f aca="false">HLOOKUP(D498,VOLS,VLOOKUP(G498,move_down,2,FALSE()),FALSE())</f>
        <v>0.587</v>
      </c>
      <c r="P498" s="249" t="n">
        <f aca="false">HLOOKUP(D498,Correllate,VLOOKUP(G498,CorMove,2,FALSE()),FALSE())</f>
        <v>0.85</v>
      </c>
      <c r="Q498" s="92" t="n">
        <f aca="false">WORKDAY(G498,-2)</f>
        <v>36888</v>
      </c>
      <c r="R498" s="7" t="n">
        <f aca="false">IF(F498="P",0,1)</f>
        <v>1</v>
      </c>
      <c r="S498" s="130" t="e">
        <f aca="false">xSPRDOPT($L498,$J498,$I498,$M498,$O498,$N498,$P498,$Q498-$C$3,$R498,0)</f>
        <v>#NAME?</v>
      </c>
      <c r="T498" s="250" t="e">
        <f aca="false">xSPRDOPT($L498,$J498,$I498,$M498,$O498,$N498,$P498,$Q498-$C$3,$R498,1)*H498</f>
        <v>#NAME?</v>
      </c>
      <c r="U498" s="43" t="e">
        <f aca="false">S498*H498</f>
        <v>#NAME?</v>
      </c>
      <c r="V498" s="250" t="e">
        <f aca="false">xSPRDOPT($L498,$J498,$I498,$M498,$O498,$N498,$P498,$Q498-$C$3,$R498,2)*H498</f>
        <v>#NAME?</v>
      </c>
      <c r="W498" s="250" t="e">
        <f aca="false">+V498+T498</f>
        <v>#NAME?</v>
      </c>
      <c r="X498" s="2" t="str">
        <f aca="false">CONCATENATE(G498,D498)</f>
        <v>36892NGI-SOCAL</v>
      </c>
      <c r="Y498" s="251" t="n">
        <f aca="false">H498/10000</f>
        <v>50</v>
      </c>
      <c r="Z498" s="226" t="e">
        <f aca="false">T498/H498</f>
        <v>#NAME?</v>
      </c>
      <c r="AA498" s="226" t="e">
        <f aca="false">xSPRDOPT($L498,$J498,$I498,$M498,$O498,$N498,$P498,$Q498-$C$3,$R498,3)</f>
        <v>#NAME?</v>
      </c>
      <c r="AB498" s="226" t="e">
        <f aca="false">((xSPRDOPT($L498+AB$5,$J498,$I498,$M498,$O498,$N498,$P498,$Q498-$C$3,$R498,3)*$H498)/10000)/100</f>
        <v>#NAME?</v>
      </c>
      <c r="AC498" s="226" t="e">
        <f aca="false">((xSPRDOPT($L498+$AB$5,$J498,$I498,$M498,$O498,$N498,$P498,$Q498-$C$3,$R498,7)*$H498)/100)</f>
        <v>#NAME?</v>
      </c>
      <c r="AD498" s="226" t="e">
        <f aca="false">(xSPRDOPT($L498+$AB$5,$J498,$I498,$M498,$O498,$N498,$P498,$Q498-$C$3,$R498,9)/365)*$H498</f>
        <v>#NAME?</v>
      </c>
      <c r="AE498" s="0" t="e">
        <f aca="false">CD498</f>
        <v>#NAME?</v>
      </c>
      <c r="AF498" s="226" t="e">
        <f aca="false">((O498/N498)*AH498)+AG498</f>
        <v>#NAME?</v>
      </c>
      <c r="AG498" s="226" t="e">
        <f aca="false">((xSPRDOPT($L498,$J498,$I498,$M498,$O498,$N498,$P498,$Q498-$C$3,$R498,6)*$H498)/100)</f>
        <v>#NAME?</v>
      </c>
      <c r="AH498" s="226" t="e">
        <f aca="false">((xSPRDOPT($L498,$J498,$I498,$M498,$O498,$N498,$P498,$Q498-$C$3,$R498,5)*$H498)/100)</f>
        <v>#NAME?</v>
      </c>
      <c r="AI498" s="226" t="e">
        <f aca="false">(((xSPRDOPT($L498,$J498,$I498,$M498,$O498,$N498,$P498,$Q498-$C$3,$R498,4)*$H498)/10000)/100)-AB498</f>
        <v>#NAME?</v>
      </c>
      <c r="AJ498" s="226"/>
      <c r="AK498" s="226"/>
      <c r="AL498" s="226"/>
      <c r="AM498" s="252"/>
      <c r="CC498" s="182" t="n">
        <f aca="false">G498</f>
        <v>36892</v>
      </c>
      <c r="CD498" s="253" t="e">
        <f aca="false">xSPRDOPT((VLOOKUP(G498,NGPrices,2,FALSE())+HLOOKUP(D498,Prices,VLOOKUP(G498,move_down,2,FALSE()),FALSE())),VLOOKUP(G498,NGPrices,2,FALSE()),I498,VLOOKUP(G498,NGPREVPRICES,4,FALSE()),HLOOKUP(D498,PREVVOLS,VLOOKUP(G498,MOVE_DOWN2,2,FALSE()),FALSE()),VLOOKUP(G498,NGPREVPRICES,3,FALSE()),HLOOKUP(D498,Correllate,VLOOKUP(G498,CorMove,2,FALSE()),FALSE()),Q498-$CD$3,R498,$CD$5)*H498-CJ498</f>
        <v>#NAME?</v>
      </c>
      <c r="CE498" s="253" t="e">
        <f aca="false">xSPRDOPT((VLOOKUP(G498,NGPREVPRICES,2,FALSE())+HLOOKUP(D498,PREVCURVES,VLOOKUP(G498,MOVE_DOWN2,2,FALSE()),FALSE())),VLOOKUP(G498,NGPREVPRICES,2,FALSE()),CK498,VLOOKUP(G498,NGPrices,4,FALSE()),HLOOKUP(D498,PREVVOLS,VLOOKUP(G498,MOVE_DOWN2,2,FALSE()),FALSE()),VLOOKUP(G498,NGPREVPRICES,3,FALSE()),HLOOKUP(D498,Correllate,VLOOKUP(G498,CorMove,2,FALSE()),FALSE()),Q498-$CD$3,R498,$CJ$5)*H498-CJ498</f>
        <v>#NAME?</v>
      </c>
      <c r="CF498" s="132" t="e">
        <f aca="false">(CJ498/VLOOKUP(CC498,discount,3,FALSE()))-(CJ498/VLOOKUP(CC498,discount,2,FALSE()))</f>
        <v>#NAME?</v>
      </c>
      <c r="CG498" s="253" t="e">
        <f aca="false">xSPRDOPT((VLOOKUP(G498,NGPREVPRICES,2,FALSE())+HLOOKUP(D498,PREVCURVES,VLOOKUP(G498,MOVE_DOWN2,2,FALSE()),FALSE())),VLOOKUP(G498,NGPREVPRICES,2,FALSE()),CK498,VLOOKUP(G498,NGPREVPRICES,4,FALSE()),HLOOKUP(D498,VOLS,VLOOKUP(G498,move_down,2,FALSE()),FALSE()),VLOOKUP(G498,NGPrices,3,FALSE()),HLOOKUP(D498,Correllate,VLOOKUP(G498,CorMove,2,FALSE()),FALSE()),Q498-$CD$3,R498,$CJ$5)*H498-CJ498</f>
        <v>#NAME?</v>
      </c>
      <c r="CH498" s="253" t="e">
        <f aca="false">xSPRDOPT((VLOOKUP(G498,NGPREVPRICES,2,FALSE())+HLOOKUP(D498,PREVCURVES,VLOOKUP(G498,MOVE_DOWN2,2,FALSE()),FALSE())),VLOOKUP(G498,NGPREVPRICES,2,FALSE()),CK498,VLOOKUP(G498,NGPREVPRICES,4,FALSE()),HLOOKUP(D498,PREVVOLS,VLOOKUP(G498,MOVE_DOWN2,2,FALSE()),FALSE()),VLOOKUP(G498,NGPREVPRICES,3,FALSE()),HLOOKUP(D498,Correllate,VLOOKUP(G498,CorMove,2,FALSE()),FALSE()),Q498-$C$3,R498,$CJ$5)*H498-CJ498</f>
        <v>#NAME?</v>
      </c>
      <c r="CI498" s="253" t="e">
        <f aca="false">SUM(CD498:CH498)</f>
        <v>#NAME?</v>
      </c>
      <c r="CJ498" s="253" t="e">
        <f aca="false">xSPRDOPT((VLOOKUP(G498,NGPREVPRICES,2,FALSE())+HLOOKUP(D498,PREVCURVES,VLOOKUP(G498,MOVE_DOWN2,2,FALSE()),FALSE())),VLOOKUP(G498,NGPREVPRICES,2,FALSE()),CK498,VLOOKUP(G498,NGPREVPRICES,4,FALSE()),HLOOKUP(D498,PREVVOLS,VLOOKUP(G498,MOVE_DOWN2,2,FALSE()),FALSE()),VLOOKUP(G498,NGPREVPRICES,3,FALSE()),HLOOKUP(D498,Correllate,VLOOKUP(G498,CorMove,2,FALSE()),FALSE()),Q498-$CD$3,R498,$CJ$5)*H498</f>
        <v>#NAME?</v>
      </c>
      <c r="CK498" s="254" t="n">
        <f aca="false">I498</f>
        <v>0.3</v>
      </c>
      <c r="CM498" s="0" t="str">
        <f aca="false">CONCATENATE(CC498,$CD$6)</f>
        <v>36892Curve Shift/Gamma</v>
      </c>
      <c r="CN498" s="0" t="str">
        <f aca="false">CONCATENATE($CC498,$CE$6)</f>
        <v>36892Rho</v>
      </c>
      <c r="CO498" s="0" t="str">
        <f aca="false">CONCATENATE($CC498,$CF$6)</f>
        <v>36892Drift</v>
      </c>
      <c r="CP498" s="0" t="str">
        <f aca="false">CONCATENATE($CC498,$CG$6)</f>
        <v>36892Vega</v>
      </c>
      <c r="CQ498" s="0" t="str">
        <f aca="false">CONCATENATE($CC498,$CH$6)</f>
        <v>36892Theta</v>
      </c>
    </row>
    <row r="499" customFormat="false" ht="12.75" hidden="false" customHeight="false" outlineLevel="0" collapsed="false">
      <c r="A499" s="17" t="s">
        <v>198</v>
      </c>
      <c r="B499" s="0" t="s">
        <v>192</v>
      </c>
      <c r="C499" s="0" t="s">
        <v>366</v>
      </c>
      <c r="D499" s="7" t="s">
        <v>137</v>
      </c>
      <c r="E499" s="0" t="s">
        <v>131</v>
      </c>
      <c r="F499" s="0" t="s">
        <v>136</v>
      </c>
      <c r="G499" s="92" t="n">
        <v>36861</v>
      </c>
      <c r="H499" s="248" t="n">
        <v>500000</v>
      </c>
      <c r="I499" s="0" t="n">
        <v>0.3</v>
      </c>
      <c r="J499" s="124" t="n">
        <f aca="false">VLOOKUP(G499,NGPrices,2,FALSE())</f>
        <v>4.8</v>
      </c>
      <c r="K499" s="125" t="n">
        <f aca="false">HLOOKUP(D499,Prices,VLOOKUP(G499,move_down,2,FALSE()),FALSE())+VLOOKUP(G499,CHANGE,HLOOKUP(D499,CHANGE,2,FALSE()),FALSE())</f>
        <v>1.005</v>
      </c>
      <c r="L499" s="124" t="n">
        <f aca="false">K499+J499</f>
        <v>5.805</v>
      </c>
      <c r="M499" s="126" t="n">
        <f aca="false">VLOOKUP(G499,NGPrices,4,FALSE())</f>
        <v>0.068314027999354</v>
      </c>
      <c r="N499" s="7" t="n">
        <f aca="false">VLOOKUP(G499,NGPrices,3,FALSE())</f>
        <v>0.6</v>
      </c>
      <c r="O499" s="7" t="n">
        <f aca="false">HLOOKUP(D499,VOLS,VLOOKUP(G499,move_down,2,FALSE()),FALSE())</f>
        <v>0.582</v>
      </c>
      <c r="P499" s="249" t="n">
        <f aca="false">HLOOKUP(D499,Correllate,VLOOKUP(G499,CorMove,2,FALSE()),FALSE())</f>
        <v>0.85</v>
      </c>
      <c r="Q499" s="92" t="n">
        <f aca="false">WORKDAY(G499,-2)</f>
        <v>36859</v>
      </c>
      <c r="R499" s="7" t="n">
        <f aca="false">IF(F499="P",0,1)</f>
        <v>1</v>
      </c>
      <c r="S499" s="130" t="e">
        <f aca="false">xSPRDOPT($L499,$J499,$I499,$M499,$O499,$N499,$P499,$Q499-$C$3,$R499,0)</f>
        <v>#NAME?</v>
      </c>
      <c r="T499" s="250" t="e">
        <f aca="false">xSPRDOPT($L499,$J499,$I499,$M499,$O499,$N499,$P499,$Q499-$C$3,$R499,1)*H499</f>
        <v>#NAME?</v>
      </c>
      <c r="U499" s="43" t="e">
        <f aca="false">S499*H499</f>
        <v>#NAME?</v>
      </c>
      <c r="V499" s="250" t="e">
        <f aca="false">xSPRDOPT($L499,$J499,$I499,$M499,$O499,$N499,$P499,$Q499-$C$3,$R499,2)*H499</f>
        <v>#NAME?</v>
      </c>
      <c r="W499" s="250" t="e">
        <f aca="false">+V499+T499</f>
        <v>#NAME?</v>
      </c>
      <c r="X499" s="2" t="str">
        <f aca="false">CONCATENATE(G499,D499)</f>
        <v>36861NGI-SOCAL</v>
      </c>
      <c r="Y499" s="251" t="n">
        <f aca="false">H499/10000</f>
        <v>50</v>
      </c>
      <c r="Z499" s="226" t="e">
        <f aca="false">T499/H499</f>
        <v>#NAME?</v>
      </c>
      <c r="AA499" s="226" t="e">
        <f aca="false">xSPRDOPT($L499,$J499,$I499,$M499,$O499,$N499,$P499,$Q499-$C$3,$R499,3)</f>
        <v>#NAME?</v>
      </c>
      <c r="AB499" s="226" t="e">
        <f aca="false">((xSPRDOPT($L499+AB$5,$J499,$I499,$M499,$O499,$N499,$P499,$Q499-$C$3,$R499,3)*$H499)/10000)/100</f>
        <v>#NAME?</v>
      </c>
      <c r="AC499" s="226" t="e">
        <f aca="false">((xSPRDOPT($L499+$AB$5,$J499,$I499,$M499,$O499,$N499,$P499,$Q499-$C$3,$R499,7)*$H499)/100)</f>
        <v>#NAME?</v>
      </c>
      <c r="AD499" s="226" t="e">
        <f aca="false">(xSPRDOPT($L499+$AB$5,$J499,$I499,$M499,$O499,$N499,$P499,$Q499-$C$3,$R499,9)/365)*$H499</f>
        <v>#NAME?</v>
      </c>
      <c r="AE499" s="0" t="e">
        <f aca="false">CD499</f>
        <v>#NAME?</v>
      </c>
      <c r="AF499" s="226" t="e">
        <f aca="false">((O499/N499)*AH499)+AG499</f>
        <v>#NAME?</v>
      </c>
      <c r="AG499" s="226" t="e">
        <f aca="false">((xSPRDOPT($L499,$J499,$I499,$M499,$O499,$N499,$P499,$Q499-$C$3,$R499,6)*$H499)/100)</f>
        <v>#NAME?</v>
      </c>
      <c r="AH499" s="226" t="e">
        <f aca="false">((xSPRDOPT($L499,$J499,$I499,$M499,$O499,$N499,$P499,$Q499-$C$3,$R499,5)*$H499)/100)</f>
        <v>#NAME?</v>
      </c>
      <c r="AI499" s="226" t="e">
        <f aca="false">(((xSPRDOPT($L499,$J499,$I499,$M499,$O499,$N499,$P499,$Q499-$C$3,$R499,4)*$H499)/10000)/100)-AB499</f>
        <v>#NAME?</v>
      </c>
      <c r="AJ499" s="226"/>
      <c r="AK499" s="226"/>
      <c r="AL499" s="226"/>
      <c r="AM499" s="252"/>
      <c r="CC499" s="182" t="n">
        <f aca="false">G499</f>
        <v>36861</v>
      </c>
      <c r="CD499" s="253" t="e">
        <f aca="false">xSPRDOPT((VLOOKUP(G499,NGPrices,2,FALSE())+HLOOKUP(D499,Prices,VLOOKUP(G499,move_down,2,FALSE()),FALSE())),VLOOKUP(G499,NGPrices,2,FALSE()),I499,VLOOKUP(G499,NGPREVPRICES,4,FALSE()),HLOOKUP(D499,PREVVOLS,VLOOKUP(G499,MOVE_DOWN2,2,FALSE()),FALSE()),VLOOKUP(G499,NGPREVPRICES,3,FALSE()),HLOOKUP(D499,Correllate,VLOOKUP(G499,CorMove,2,FALSE()),FALSE()),Q499-$CD$3,R499,$CD$5)*H499-CJ499</f>
        <v>#NAME?</v>
      </c>
      <c r="CE499" s="253" t="e">
        <f aca="false">xSPRDOPT((VLOOKUP(G499,NGPREVPRICES,2,FALSE())+HLOOKUP(D499,PREVCURVES,VLOOKUP(G499,MOVE_DOWN2,2,FALSE()),FALSE())),VLOOKUP(G499,NGPREVPRICES,2,FALSE()),CK499,VLOOKUP(G499,NGPrices,4,FALSE()),HLOOKUP(D499,PREVVOLS,VLOOKUP(G499,MOVE_DOWN2,2,FALSE()),FALSE()),VLOOKUP(G499,NGPREVPRICES,3,FALSE()),HLOOKUP(D499,Correllate,VLOOKUP(G499,CorMove,2,FALSE()),FALSE()),Q499-$CD$3,R499,$CJ$5)*H499-CJ499</f>
        <v>#NAME?</v>
      </c>
      <c r="CF499" s="132" t="e">
        <f aca="false">(CJ499/VLOOKUP(CC499,discount,3,FALSE()))-(CJ499/VLOOKUP(CC499,discount,2,FALSE()))</f>
        <v>#NAME?</v>
      </c>
      <c r="CG499" s="253" t="e">
        <f aca="false">xSPRDOPT((VLOOKUP(G499,NGPREVPRICES,2,FALSE())+HLOOKUP(D499,PREVCURVES,VLOOKUP(G499,MOVE_DOWN2,2,FALSE()),FALSE())),VLOOKUP(G499,NGPREVPRICES,2,FALSE()),CK499,VLOOKUP(G499,NGPREVPRICES,4,FALSE()),HLOOKUP(D499,VOLS,VLOOKUP(G499,move_down,2,FALSE()),FALSE()),VLOOKUP(G499,NGPrices,3,FALSE()),HLOOKUP(D499,Correllate,VLOOKUP(G499,CorMove,2,FALSE()),FALSE()),Q499-$CD$3,R499,$CJ$5)*H499-CJ499</f>
        <v>#NAME?</v>
      </c>
      <c r="CH499" s="253" t="e">
        <f aca="false">xSPRDOPT((VLOOKUP(G499,NGPREVPRICES,2,FALSE())+HLOOKUP(D499,PREVCURVES,VLOOKUP(G499,MOVE_DOWN2,2,FALSE()),FALSE())),VLOOKUP(G499,NGPREVPRICES,2,FALSE()),CK499,VLOOKUP(G499,NGPREVPRICES,4,FALSE()),HLOOKUP(D499,PREVVOLS,VLOOKUP(G499,MOVE_DOWN2,2,FALSE()),FALSE()),VLOOKUP(G499,NGPREVPRICES,3,FALSE()),HLOOKUP(D499,Correllate,VLOOKUP(G499,CorMove,2,FALSE()),FALSE()),Q499-$C$3,R499,$CJ$5)*H499-CJ499</f>
        <v>#NAME?</v>
      </c>
      <c r="CI499" s="253" t="e">
        <f aca="false">SUM(CD499:CH499)</f>
        <v>#NAME?</v>
      </c>
      <c r="CJ499" s="253" t="e">
        <f aca="false">xSPRDOPT((VLOOKUP(G499,NGPREVPRICES,2,FALSE())+HLOOKUP(D499,PREVCURVES,VLOOKUP(G499,MOVE_DOWN2,2,FALSE()),FALSE())),VLOOKUP(G499,NGPREVPRICES,2,FALSE()),CK499,VLOOKUP(G499,NGPREVPRICES,4,FALSE()),HLOOKUP(D499,PREVVOLS,VLOOKUP(G499,MOVE_DOWN2,2,FALSE()),FALSE()),VLOOKUP(G499,NGPREVPRICES,3,FALSE()),HLOOKUP(D499,Correllate,VLOOKUP(G499,CorMove,2,FALSE()),FALSE()),Q499-$CD$3,R499,$CJ$5)*H499</f>
        <v>#NAME?</v>
      </c>
      <c r="CK499" s="254" t="n">
        <f aca="false">I499</f>
        <v>0.3</v>
      </c>
      <c r="CM499" s="0" t="str">
        <f aca="false">CONCATENATE(CC499,$CD$6)</f>
        <v>36861Curve Shift/Gamma</v>
      </c>
      <c r="CN499" s="0" t="str">
        <f aca="false">CONCATENATE($CC499,$CE$6)</f>
        <v>36861Rho</v>
      </c>
      <c r="CO499" s="0" t="str">
        <f aca="false">CONCATENATE($CC499,$CF$6)</f>
        <v>36861Drift</v>
      </c>
      <c r="CP499" s="0" t="str">
        <f aca="false">CONCATENATE($CC499,$CG$6)</f>
        <v>36861Vega</v>
      </c>
      <c r="CQ499" s="0" t="str">
        <f aca="false">CONCATENATE($CC499,$CH$6)</f>
        <v>36861Theta</v>
      </c>
    </row>
    <row r="500" customFormat="false" ht="12.75" hidden="false" customHeight="false" outlineLevel="0" collapsed="false">
      <c r="A500" s="17" t="s">
        <v>198</v>
      </c>
      <c r="B500" s="0" t="s">
        <v>192</v>
      </c>
      <c r="C500" s="0" t="s">
        <v>366</v>
      </c>
      <c r="D500" s="7" t="s">
        <v>137</v>
      </c>
      <c r="E500" s="0" t="s">
        <v>131</v>
      </c>
      <c r="F500" s="0" t="s">
        <v>136</v>
      </c>
      <c r="G500" s="92" t="n">
        <v>36831</v>
      </c>
      <c r="H500" s="248" t="n">
        <v>500000</v>
      </c>
      <c r="I500" s="0" t="n">
        <v>0.3</v>
      </c>
      <c r="J500" s="124" t="n">
        <f aca="false">VLOOKUP(G500,NGPrices,2,FALSE())</f>
        <v>4.736</v>
      </c>
      <c r="K500" s="125" t="n">
        <f aca="false">HLOOKUP(D500,Prices,VLOOKUP(G500,move_down,2,FALSE()),FALSE())+VLOOKUP(G500,CHANGE,HLOOKUP(D500,CHANGE,2,FALSE()),FALSE())</f>
        <v>1.545</v>
      </c>
      <c r="L500" s="124" t="n">
        <f aca="false">K500+J500</f>
        <v>6.281</v>
      </c>
      <c r="M500" s="126" t="n">
        <f aca="false">VLOOKUP(G500,NGPrices,4,FALSE())</f>
        <v>0.06810675983792</v>
      </c>
      <c r="N500" s="7" t="n">
        <f aca="false">VLOOKUP(G500,NGPrices,3,FALSE())</f>
        <v>0.595</v>
      </c>
      <c r="O500" s="7" t="n">
        <f aca="false">HLOOKUP(D500,VOLS,VLOOKUP(G500,move_down,2,FALSE()),FALSE())</f>
        <v>0.577</v>
      </c>
      <c r="P500" s="249" t="n">
        <f aca="false">HLOOKUP(D500,Correllate,VLOOKUP(G500,CorMove,2,FALSE()),FALSE())</f>
        <v>0.85</v>
      </c>
      <c r="Q500" s="92" t="n">
        <f aca="false">WORKDAY(G500,-2)</f>
        <v>36829</v>
      </c>
      <c r="R500" s="7" t="n">
        <f aca="false">IF(F500="P",0,1)</f>
        <v>1</v>
      </c>
      <c r="S500" s="130" t="e">
        <f aca="false">xSPRDOPT($L500,$J500,$I500,$M500,$O500,$N500,$P500,$Q500-$C$3,$R500,0)</f>
        <v>#NAME?</v>
      </c>
      <c r="T500" s="250" t="e">
        <f aca="false">xSPRDOPT($L500,$J500,$I500,$M500,$O500,$N500,$P500,$Q500-$C$3,$R500,1)*H500</f>
        <v>#NAME?</v>
      </c>
      <c r="U500" s="43" t="e">
        <f aca="false">S500*H500</f>
        <v>#NAME?</v>
      </c>
      <c r="V500" s="250" t="e">
        <f aca="false">xSPRDOPT($L500,$J500,$I500,$M500,$O500,$N500,$P500,$Q500-$C$3,$R500,2)*H500</f>
        <v>#NAME?</v>
      </c>
      <c r="W500" s="250" t="e">
        <f aca="false">+V500+T500</f>
        <v>#NAME?</v>
      </c>
      <c r="X500" s="2" t="str">
        <f aca="false">CONCATENATE(G500,D500)</f>
        <v>36831NGI-SOCAL</v>
      </c>
      <c r="Y500" s="251" t="n">
        <f aca="false">H500/10000</f>
        <v>50</v>
      </c>
      <c r="Z500" s="226" t="e">
        <f aca="false">T500/H500</f>
        <v>#NAME?</v>
      </c>
      <c r="AA500" s="226" t="e">
        <f aca="false">xSPRDOPT($L500,$J500,$I500,$M500,$O500,$N500,$P500,$Q500-$C$3,$R500,3)</f>
        <v>#NAME?</v>
      </c>
      <c r="AB500" s="226" t="e">
        <f aca="false">((xSPRDOPT($L500+AB$5,$J500,$I500,$M500,$O500,$N500,$P500,$Q500-$C$3,$R500,3)*$H500)/10000)/100</f>
        <v>#NAME?</v>
      </c>
      <c r="AC500" s="226" t="e">
        <f aca="false">((xSPRDOPT($L500+$AB$5,$J500,$I500,$M500,$O500,$N500,$P500,$Q500-$C$3,$R500,7)*$H500)/100)</f>
        <v>#NAME?</v>
      </c>
      <c r="AD500" s="226" t="e">
        <f aca="false">(xSPRDOPT($L500+$AB$5,$J500,$I500,$M500,$O500,$N500,$P500,$Q500-$C$3,$R500,9)/365)*$H500</f>
        <v>#NAME?</v>
      </c>
      <c r="AE500" s="0" t="e">
        <f aca="false">CD500</f>
        <v>#NAME?</v>
      </c>
      <c r="AF500" s="226" t="e">
        <f aca="false">((O500/N500)*AH500)+AG500</f>
        <v>#NAME?</v>
      </c>
      <c r="AG500" s="226" t="e">
        <f aca="false">((xSPRDOPT($L500,$J500,$I500,$M500,$O500,$N500,$P500,$Q500-$C$3,$R500,6)*$H500)/100)</f>
        <v>#NAME?</v>
      </c>
      <c r="AH500" s="226" t="e">
        <f aca="false">((xSPRDOPT($L500,$J500,$I500,$M500,$O500,$N500,$P500,$Q500-$C$3,$R500,5)*$H500)/100)</f>
        <v>#NAME?</v>
      </c>
      <c r="AI500" s="226" t="e">
        <f aca="false">(((xSPRDOPT($L500,$J500,$I500,$M500,$O500,$N500,$P500,$Q500-$C$3,$R500,4)*$H500)/10000)/100)-AB500</f>
        <v>#NAME?</v>
      </c>
      <c r="AJ500" s="226"/>
      <c r="AK500" s="226"/>
      <c r="AL500" s="226"/>
      <c r="AM500" s="252"/>
      <c r="CC500" s="182" t="n">
        <f aca="false">G500</f>
        <v>36831</v>
      </c>
      <c r="CD500" s="253" t="e">
        <f aca="false">xSPRDOPT((VLOOKUP(G500,NGPrices,2,FALSE())+HLOOKUP(D500,Prices,VLOOKUP(G500,move_down,2,FALSE()),FALSE())),VLOOKUP(G500,NGPrices,2,FALSE()),I500,VLOOKUP(G500,NGPREVPRICES,4,FALSE()),HLOOKUP(D500,PREVVOLS,VLOOKUP(G500,MOVE_DOWN2,2,FALSE()),FALSE()),VLOOKUP(G500,NGPREVPRICES,3,FALSE()),HLOOKUP(D500,Correllate,VLOOKUP(G500,CorMove,2,FALSE()),FALSE()),Q500-$CD$3,R500,$CD$5)*H500-CJ500</f>
        <v>#NAME?</v>
      </c>
      <c r="CE500" s="253" t="e">
        <f aca="false">xSPRDOPT((VLOOKUP(G500,NGPREVPRICES,2,FALSE())+HLOOKUP(D500,PREVCURVES,VLOOKUP(G500,MOVE_DOWN2,2,FALSE()),FALSE())),VLOOKUP(G500,NGPREVPRICES,2,FALSE()),CK500,VLOOKUP(G500,NGPrices,4,FALSE()),HLOOKUP(D500,PREVVOLS,VLOOKUP(G500,MOVE_DOWN2,2,FALSE()),FALSE()),VLOOKUP(G500,NGPREVPRICES,3,FALSE()),HLOOKUP(D500,Correllate,VLOOKUP(G500,CorMove,2,FALSE()),FALSE()),Q500-$CD$3,R500,$CJ$5)*H500-CJ500</f>
        <v>#NAME?</v>
      </c>
      <c r="CF500" s="132" t="e">
        <f aca="false">(CJ500/VLOOKUP(CC500,discount,3,FALSE()))-(CJ500/VLOOKUP(CC500,discount,2,FALSE()))</f>
        <v>#NAME?</v>
      </c>
      <c r="CG500" s="253" t="e">
        <f aca="false">xSPRDOPT((VLOOKUP(G500,NGPREVPRICES,2,FALSE())+HLOOKUP(D500,PREVCURVES,VLOOKUP(G500,MOVE_DOWN2,2,FALSE()),FALSE())),VLOOKUP(G500,NGPREVPRICES,2,FALSE()),CK500,VLOOKUP(G500,NGPREVPRICES,4,FALSE()),HLOOKUP(D500,VOLS,VLOOKUP(G500,move_down,2,FALSE()),FALSE()),VLOOKUP(G500,NGPrices,3,FALSE()),HLOOKUP(D500,Correllate,VLOOKUP(G500,CorMove,2,FALSE()),FALSE()),Q500-$CD$3,R500,$CJ$5)*H500-CJ500</f>
        <v>#NAME?</v>
      </c>
      <c r="CH500" s="253" t="e">
        <f aca="false">xSPRDOPT((VLOOKUP(G500,NGPREVPRICES,2,FALSE())+HLOOKUP(D500,PREVCURVES,VLOOKUP(G500,MOVE_DOWN2,2,FALSE()),FALSE())),VLOOKUP(G500,NGPREVPRICES,2,FALSE()),CK500,VLOOKUP(G500,NGPREVPRICES,4,FALSE()),HLOOKUP(D500,PREVVOLS,VLOOKUP(G500,MOVE_DOWN2,2,FALSE()),FALSE()),VLOOKUP(G500,NGPREVPRICES,3,FALSE()),HLOOKUP(D500,Correllate,VLOOKUP(G500,CorMove,2,FALSE()),FALSE()),Q500-$C$3,R500,$CJ$5)*H500-CJ500</f>
        <v>#NAME?</v>
      </c>
      <c r="CI500" s="253" t="e">
        <f aca="false">SUM(CD500:CH500)</f>
        <v>#NAME?</v>
      </c>
      <c r="CJ500" s="253" t="e">
        <f aca="false">xSPRDOPT((VLOOKUP(G500,NGPREVPRICES,2,FALSE())+HLOOKUP(D500,PREVCURVES,VLOOKUP(G500,MOVE_DOWN2,2,FALSE()),FALSE())),VLOOKUP(G500,NGPREVPRICES,2,FALSE()),CK500,VLOOKUP(G500,NGPREVPRICES,4,FALSE()),HLOOKUP(D500,PREVVOLS,VLOOKUP(G500,MOVE_DOWN2,2,FALSE()),FALSE()),VLOOKUP(G500,NGPREVPRICES,3,FALSE()),HLOOKUP(D500,Correllate,VLOOKUP(G500,CorMove,2,FALSE()),FALSE()),Q500-$CD$3,R500,$CJ$5)*H500</f>
        <v>#NAME?</v>
      </c>
      <c r="CK500" s="254" t="n">
        <f aca="false">I500</f>
        <v>0.3</v>
      </c>
      <c r="CM500" s="0" t="str">
        <f aca="false">CONCATENATE(CC500,$CD$6)</f>
        <v>36831Curve Shift/Gamma</v>
      </c>
      <c r="CN500" s="0" t="str">
        <f aca="false">CONCATENATE($CC500,$CE$6)</f>
        <v>36831Rho</v>
      </c>
      <c r="CO500" s="0" t="str">
        <f aca="false">CONCATENATE($CC500,$CF$6)</f>
        <v>36831Drift</v>
      </c>
      <c r="CP500" s="0" t="str">
        <f aca="false">CONCATENATE($CC500,$CG$6)</f>
        <v>36831Vega</v>
      </c>
      <c r="CQ500" s="0" t="str">
        <f aca="false">CONCATENATE($CC500,$CH$6)</f>
        <v>36831Theta</v>
      </c>
    </row>
    <row r="501" customFormat="false" ht="12.75" hidden="false" customHeight="false" outlineLevel="0" collapsed="false">
      <c r="A501" s="17" t="s">
        <v>363</v>
      </c>
      <c r="B501" s="0" t="s">
        <v>192</v>
      </c>
      <c r="C501" s="0" t="s">
        <v>367</v>
      </c>
      <c r="D501" s="7" t="s">
        <v>149</v>
      </c>
      <c r="E501" s="0" t="s">
        <v>131</v>
      </c>
      <c r="F501" s="0" t="s">
        <v>136</v>
      </c>
      <c r="G501" s="92" t="n">
        <v>36831</v>
      </c>
      <c r="H501" s="248" t="n">
        <v>1000000</v>
      </c>
      <c r="I501" s="0" t="n">
        <v>0.8</v>
      </c>
      <c r="J501" s="124" t="n">
        <f aca="false">VLOOKUP(G501,NGPrices,2,FALSE())</f>
        <v>4.736</v>
      </c>
      <c r="K501" s="125" t="n">
        <f aca="false">HLOOKUP(D501,Prices,VLOOKUP(G501,move_down,2,FALSE()),FALSE())+VLOOKUP(G501,CHANGE,HLOOKUP(D501,CHANGE,2,FALSE()),FALSE())</f>
        <v>0.77</v>
      </c>
      <c r="L501" s="124" t="n">
        <f aca="false">K501+J501</f>
        <v>5.506</v>
      </c>
      <c r="M501" s="126" t="n">
        <f aca="false">VLOOKUP(G501,NGPrices,4,FALSE())</f>
        <v>0.06810675983792</v>
      </c>
      <c r="N501" s="7" t="n">
        <f aca="false">VLOOKUP(G501,NGPrices,3,FALSE())</f>
        <v>0.595</v>
      </c>
      <c r="O501" s="7" t="n">
        <f aca="false">HLOOKUP(D501,VOLS,VLOOKUP(G501,move_down,2,FALSE()),FALSE())</f>
        <v>0.625</v>
      </c>
      <c r="P501" s="249" t="n">
        <f aca="false">HLOOKUP(D501,Correllate,VLOOKUP(G501,CorMove,2,FALSE()),FALSE())</f>
        <v>0.89</v>
      </c>
      <c r="Q501" s="92" t="n">
        <f aca="false">WORKDAY(G501,-2)</f>
        <v>36829</v>
      </c>
      <c r="R501" s="7" t="n">
        <f aca="false">IF(F501="P",0,1)</f>
        <v>1</v>
      </c>
      <c r="S501" s="130" t="e">
        <f aca="false">xSPRDOPT($L501,$J501,$I501,$M501,$O501,$N501,$P501,$Q501-$C$3,$R501,0)</f>
        <v>#NAME?</v>
      </c>
      <c r="T501" s="250" t="e">
        <f aca="false">xSPRDOPT($L501,$J501,$I501,$M501,$O501,$N501,$P501,$Q501-$C$3,$R501,1)*H501</f>
        <v>#NAME?</v>
      </c>
      <c r="U501" s="43" t="e">
        <f aca="false">S501*H501</f>
        <v>#NAME?</v>
      </c>
      <c r="V501" s="250" t="e">
        <f aca="false">xSPRDOPT($L501,$J501,$I501,$M501,$O501,$N501,$P501,$Q501-$C$3,$R501,2)*H501</f>
        <v>#NAME?</v>
      </c>
      <c r="W501" s="250" t="e">
        <f aca="false">+V501+T501</f>
        <v>#NAME?</v>
      </c>
      <c r="X501" s="2" t="str">
        <f aca="false">CONCATENATE(G501,D501)</f>
        <v>36831IF-TRANSCO/Z6</v>
      </c>
      <c r="Y501" s="251" t="n">
        <f aca="false">H501/10000</f>
        <v>100</v>
      </c>
      <c r="Z501" s="226" t="e">
        <f aca="false">T501/H501</f>
        <v>#NAME?</v>
      </c>
      <c r="AA501" s="226" t="e">
        <f aca="false">xSPRDOPT($L501,$J501,$I501,$M501,$O501,$N501,$P501,$Q501-$C$3,$R501,3)</f>
        <v>#NAME?</v>
      </c>
      <c r="AB501" s="226" t="e">
        <f aca="false">((xSPRDOPT($L501+AB$5,$J501,$I501,$M501,$O501,$N501,$P501,$Q501-$C$3,$R501,3)*$H501)/10000)/100</f>
        <v>#NAME?</v>
      </c>
      <c r="AC501" s="226" t="e">
        <f aca="false">((xSPRDOPT($L501+$AB$5,$J501,$I501,$M501,$O501,$N501,$P501,$Q501-$C$3,$R501,7)*$H501)/100)</f>
        <v>#NAME?</v>
      </c>
      <c r="AD501" s="226" t="e">
        <f aca="false">(xSPRDOPT($L501+$AB$5,$J501,$I501,$M501,$O501,$N501,$P501,$Q501-$C$3,$R501,9)/365)*$H501</f>
        <v>#NAME?</v>
      </c>
      <c r="AE501" s="0" t="e">
        <f aca="false">CD501</f>
        <v>#NAME?</v>
      </c>
      <c r="AF501" s="226" t="e">
        <f aca="false">((O501/N501)*AH501)+AG501</f>
        <v>#NAME?</v>
      </c>
      <c r="AG501" s="226" t="e">
        <f aca="false">((xSPRDOPT($L501,$J501,$I501,$M501,$O501,$N501,$P501,$Q501-$C$3,$R501,6)*$H501)/100)</f>
        <v>#NAME?</v>
      </c>
      <c r="AH501" s="226" t="e">
        <f aca="false">((xSPRDOPT($L501,$J501,$I501,$M501,$O501,$N501,$P501,$Q501-$C$3,$R501,5)*$H501)/100)</f>
        <v>#NAME?</v>
      </c>
      <c r="AI501" s="226" t="e">
        <f aca="false">(((xSPRDOPT($L501,$J501,$I501,$M501,$O501,$N501,$P501,$Q501-$C$3,$R501,4)*$H501)/10000)/100)-AB501</f>
        <v>#NAME?</v>
      </c>
      <c r="AJ501" s="226"/>
      <c r="AK501" s="226"/>
      <c r="AL501" s="226"/>
      <c r="AM501" s="252"/>
      <c r="CC501" s="182" t="n">
        <f aca="false">G501</f>
        <v>36831</v>
      </c>
      <c r="CD501" s="253" t="e">
        <f aca="false">xSPRDOPT((VLOOKUP(G501,NGPrices,2,FALSE())+HLOOKUP(D501,Prices,VLOOKUP(G501,move_down,2,FALSE()),FALSE())),VLOOKUP(G501,NGPrices,2,FALSE()),I501,VLOOKUP(G501,NGPREVPRICES,4,FALSE()),HLOOKUP(D501,PREVVOLS,VLOOKUP(G501,MOVE_DOWN2,2,FALSE()),FALSE()),VLOOKUP(G501,NGPREVPRICES,3,FALSE()),HLOOKUP(D501,Correllate,VLOOKUP(G501,CorMove,2,FALSE()),FALSE()),Q501-$CD$3,R501,$CD$5)*H501-CJ501</f>
        <v>#NAME?</v>
      </c>
      <c r="CE501" s="253" t="e">
        <f aca="false">xSPRDOPT((VLOOKUP(G501,NGPREVPRICES,2,FALSE())+HLOOKUP(D501,PREVCURVES,VLOOKUP(G501,MOVE_DOWN2,2,FALSE()),FALSE())),VLOOKUP(G501,NGPREVPRICES,2,FALSE()),CK501,VLOOKUP(G501,NGPrices,4,FALSE()),HLOOKUP(D501,PREVVOLS,VLOOKUP(G501,MOVE_DOWN2,2,FALSE()),FALSE()),VLOOKUP(G501,NGPREVPRICES,3,FALSE()),HLOOKUP(D501,Correllate,VLOOKUP(G501,CorMove,2,FALSE()),FALSE()),Q501-$CD$3,R501,$CJ$5)*H501-CJ501</f>
        <v>#NAME?</v>
      </c>
      <c r="CF501" s="132" t="e">
        <f aca="false">(CJ501/VLOOKUP(CC501,discount,3,FALSE()))-(CJ501/VLOOKUP(CC501,discount,2,FALSE()))</f>
        <v>#NAME?</v>
      </c>
      <c r="CG501" s="253" t="e">
        <f aca="false">xSPRDOPT((VLOOKUP(G501,NGPREVPRICES,2,FALSE())+HLOOKUP(D501,PREVCURVES,VLOOKUP(G501,MOVE_DOWN2,2,FALSE()),FALSE())),VLOOKUP(G501,NGPREVPRICES,2,FALSE()),CK501,VLOOKUP(G501,NGPREVPRICES,4,FALSE()),HLOOKUP(D501,VOLS,VLOOKUP(G501,move_down,2,FALSE()),FALSE()),VLOOKUP(G501,NGPrices,3,FALSE()),HLOOKUP(D501,Correllate,VLOOKUP(G501,CorMove,2,FALSE()),FALSE()),Q501-$CD$3,R501,$CJ$5)*H501-CJ501</f>
        <v>#NAME?</v>
      </c>
      <c r="CH501" s="253" t="e">
        <f aca="false">xSPRDOPT((VLOOKUP(G501,NGPREVPRICES,2,FALSE())+HLOOKUP(D501,PREVCURVES,VLOOKUP(G501,MOVE_DOWN2,2,FALSE()),FALSE())),VLOOKUP(G501,NGPREVPRICES,2,FALSE()),CK501,VLOOKUP(G501,NGPREVPRICES,4,FALSE()),HLOOKUP(D501,PREVVOLS,VLOOKUP(G501,MOVE_DOWN2,2,FALSE()),FALSE()),VLOOKUP(G501,NGPREVPRICES,3,FALSE()),HLOOKUP(D501,Correllate,VLOOKUP(G501,CorMove,2,FALSE()),FALSE()),Q501-$C$3,R501,$CJ$5)*H501-CJ501</f>
        <v>#NAME?</v>
      </c>
      <c r="CI501" s="253" t="e">
        <f aca="false">SUM(CD501:CH501)</f>
        <v>#NAME?</v>
      </c>
      <c r="CJ501" s="253" t="e">
        <f aca="false">xSPRDOPT((VLOOKUP(G501,NGPREVPRICES,2,FALSE())+HLOOKUP(D501,PREVCURVES,VLOOKUP(G501,MOVE_DOWN2,2,FALSE()),FALSE())),VLOOKUP(G501,NGPREVPRICES,2,FALSE()),CK501,VLOOKUP(G501,NGPREVPRICES,4,FALSE()),HLOOKUP(D501,PREVVOLS,VLOOKUP(G501,MOVE_DOWN2,2,FALSE()),FALSE()),VLOOKUP(G501,NGPREVPRICES,3,FALSE()),HLOOKUP(D501,Correllate,VLOOKUP(G501,CorMove,2,FALSE()),FALSE()),Q501-$CD$3,R501,$CJ$5)*H501</f>
        <v>#NAME?</v>
      </c>
      <c r="CK501" s="254" t="n">
        <f aca="false">I501</f>
        <v>0.8</v>
      </c>
      <c r="CM501" s="0" t="str">
        <f aca="false">CONCATENATE(CC501,$CD$6)</f>
        <v>36831Curve Shift/Gamma</v>
      </c>
      <c r="CN501" s="0" t="str">
        <f aca="false">CONCATENATE($CC501,$CE$6)</f>
        <v>36831Rho</v>
      </c>
      <c r="CO501" s="0" t="str">
        <f aca="false">CONCATENATE($CC501,$CF$6)</f>
        <v>36831Drift</v>
      </c>
      <c r="CP501" s="0" t="str">
        <f aca="false">CONCATENATE($CC501,$CG$6)</f>
        <v>36831Vega</v>
      </c>
      <c r="CQ501" s="0" t="str">
        <f aca="false">CONCATENATE($CC501,$CH$6)</f>
        <v>36831Theta</v>
      </c>
    </row>
    <row r="502" customFormat="false" ht="12.75" hidden="false" customHeight="false" outlineLevel="0" collapsed="false">
      <c r="A502" s="17" t="s">
        <v>363</v>
      </c>
      <c r="B502" s="0" t="s">
        <v>192</v>
      </c>
      <c r="C502" s="0" t="s">
        <v>368</v>
      </c>
      <c r="D502" s="7" t="s">
        <v>149</v>
      </c>
      <c r="E502" s="0" t="s">
        <v>131</v>
      </c>
      <c r="F502" s="0" t="s">
        <v>136</v>
      </c>
      <c r="G502" s="92" t="n">
        <v>36800</v>
      </c>
      <c r="H502" s="248" t="n">
        <v>310000</v>
      </c>
      <c r="I502" s="0" t="n">
        <v>0.7</v>
      </c>
      <c r="J502" s="124" t="n">
        <f aca="false">VLOOKUP(G502,NGPrices,2,FALSE())</f>
        <v>4.692</v>
      </c>
      <c r="K502" s="125" t="n">
        <f aca="false">HLOOKUP(D502,Prices,VLOOKUP(G502,move_down,2,FALSE()),FALSE())+VLOOKUP(G502,CHANGE,HLOOKUP(D502,CHANGE,2,FALSE()),FALSE())</f>
        <v>0.415</v>
      </c>
      <c r="L502" s="124" t="n">
        <f aca="false">K502+J502</f>
        <v>5.107</v>
      </c>
      <c r="M502" s="126" t="n">
        <f aca="false">VLOOKUP(G502,NGPrices,4,FALSE())</f>
        <v>0.068050789414654</v>
      </c>
      <c r="N502" s="7" t="n">
        <f aca="false">VLOOKUP(G502,NGPrices,3,FALSE())</f>
        <v>0.575</v>
      </c>
      <c r="O502" s="7" t="n">
        <f aca="false">HLOOKUP(D502,VOLS,VLOOKUP(G502,move_down,2,FALSE()),FALSE())</f>
        <v>0.564</v>
      </c>
      <c r="P502" s="249" t="n">
        <f aca="false">HLOOKUP(D502,Correllate,VLOOKUP(G502,CorMove,2,FALSE()),FALSE())</f>
        <v>0.9925</v>
      </c>
      <c r="Q502" s="92" t="n">
        <f aca="false">WORKDAY(G502,-2)</f>
        <v>36797</v>
      </c>
      <c r="R502" s="7" t="n">
        <f aca="false">IF(F502="P",0,1)</f>
        <v>1</v>
      </c>
      <c r="S502" s="130" t="e">
        <f aca="false">xSPRDOPT($L502,$J502,$I502,$M502,$O502,$N502,$P502,$Q502-$C$3,$R502,0)</f>
        <v>#NAME?</v>
      </c>
      <c r="T502" s="250" t="e">
        <f aca="false">xSPRDOPT($L502,$J502,$I502,$M502,$O502,$N502,$P502,$Q502-$C$3,$R502,1)*H502</f>
        <v>#NAME?</v>
      </c>
      <c r="U502" s="43" t="e">
        <f aca="false">S502*H502</f>
        <v>#NAME?</v>
      </c>
      <c r="V502" s="250" t="e">
        <f aca="false">xSPRDOPT($L502,$J502,$I502,$M502,$O502,$N502,$P502,$Q502-$C$3,$R502,2)*H502</f>
        <v>#NAME?</v>
      </c>
      <c r="W502" s="250" t="e">
        <f aca="false">+V502+T502</f>
        <v>#NAME?</v>
      </c>
      <c r="X502" s="2" t="str">
        <f aca="false">CONCATENATE(G502,D502)</f>
        <v>36800IF-TRANSCO/Z6</v>
      </c>
      <c r="Y502" s="251" t="n">
        <f aca="false">H502/10000</f>
        <v>31</v>
      </c>
      <c r="Z502" s="226" t="e">
        <f aca="false">T502/H502</f>
        <v>#NAME?</v>
      </c>
      <c r="AA502" s="226" t="e">
        <f aca="false">xSPRDOPT($L502,$J502,$I502,$M502,$O502,$N502,$P502,$Q502-$C$3,$R502,3)</f>
        <v>#NAME?</v>
      </c>
      <c r="AB502" s="226" t="e">
        <f aca="false">((xSPRDOPT($L502+AB$5,$J502,$I502,$M502,$O502,$N502,$P502,$Q502-$C$3,$R502,3)*$H502)/10000)/100</f>
        <v>#NAME?</v>
      </c>
      <c r="AC502" s="226" t="e">
        <f aca="false">((xSPRDOPT($L502+$AB$5,$J502,$I502,$M502,$O502,$N502,$P502,$Q502-$C$3,$R502,7)*$H502)/100)</f>
        <v>#NAME?</v>
      </c>
      <c r="AD502" s="226" t="e">
        <f aca="false">(xSPRDOPT($L502+$AB$5,$J502,$I502,$M502,$O502,$N502,$P502,$Q502-$C$3,$R502,9)/365)*$H502</f>
        <v>#NAME?</v>
      </c>
      <c r="AE502" s="0" t="e">
        <f aca="false">CD502</f>
        <v>#NAME?</v>
      </c>
      <c r="AF502" s="226" t="e">
        <f aca="false">((O502/N502)*AH502)+AG502</f>
        <v>#NAME?</v>
      </c>
      <c r="AG502" s="226" t="e">
        <f aca="false">((xSPRDOPT($L502,$J502,$I502,$M502,$O502,$N502,$P502,$Q502-$C$3,$R502,6)*$H502)/100)</f>
        <v>#NAME?</v>
      </c>
      <c r="AH502" s="226" t="e">
        <f aca="false">((xSPRDOPT($L502,$J502,$I502,$M502,$O502,$N502,$P502,$Q502-$C$3,$R502,5)*$H502)/100)</f>
        <v>#NAME?</v>
      </c>
      <c r="AI502" s="226" t="e">
        <f aca="false">(((xSPRDOPT($L502,$J502,$I502,$M502,$O502,$N502,$P502,$Q502-$C$3,$R502,4)*$H502)/10000)/100)-AB502</f>
        <v>#NAME?</v>
      </c>
      <c r="AJ502" s="226"/>
      <c r="AK502" s="226"/>
      <c r="AL502" s="226"/>
      <c r="AM502" s="252"/>
      <c r="CC502" s="182" t="n">
        <f aca="false">G502</f>
        <v>36800</v>
      </c>
      <c r="CD502" s="253" t="e">
        <f aca="false">xSPRDOPT((VLOOKUP(G502,NGPrices,2,FALSE())+HLOOKUP(D502,Prices,VLOOKUP(G502,move_down,2,FALSE()),FALSE())),VLOOKUP(G502,NGPrices,2,FALSE()),I502,VLOOKUP(G502,NGPREVPRICES,4,FALSE()),HLOOKUP(D502,PREVVOLS,VLOOKUP(G502,MOVE_DOWN2,2,FALSE()),FALSE()),VLOOKUP(G502,NGPREVPRICES,3,FALSE()),HLOOKUP(D502,Correllate,VLOOKUP(G502,CorMove,2,FALSE()),FALSE()),Q502-$CD$3,R502,$CD$5)*H502-CJ502</f>
        <v>#NAME?</v>
      </c>
      <c r="CE502" s="253" t="e">
        <f aca="false">xSPRDOPT((VLOOKUP(G502,NGPREVPRICES,2,FALSE())+HLOOKUP(D502,PREVCURVES,VLOOKUP(G502,MOVE_DOWN2,2,FALSE()),FALSE())),VLOOKUP(G502,NGPREVPRICES,2,FALSE()),CK502,VLOOKUP(G502,NGPrices,4,FALSE()),HLOOKUP(D502,PREVVOLS,VLOOKUP(G502,MOVE_DOWN2,2,FALSE()),FALSE()),VLOOKUP(G502,NGPREVPRICES,3,FALSE()),HLOOKUP(D502,Correllate,VLOOKUP(G502,CorMove,2,FALSE()),FALSE()),Q502-$CD$3,R502,$CJ$5)*H502-CJ502</f>
        <v>#NAME?</v>
      </c>
      <c r="CF502" s="132" t="e">
        <f aca="false">(CJ502/VLOOKUP(CC502,discount,3,FALSE()))-(CJ502/VLOOKUP(CC502,discount,2,FALSE()))</f>
        <v>#NAME?</v>
      </c>
      <c r="CG502" s="253" t="e">
        <f aca="false">xSPRDOPT((VLOOKUP(G502,NGPREVPRICES,2,FALSE())+HLOOKUP(D502,PREVCURVES,VLOOKUP(G502,MOVE_DOWN2,2,FALSE()),FALSE())),VLOOKUP(G502,NGPREVPRICES,2,FALSE()),CK502,VLOOKUP(G502,NGPREVPRICES,4,FALSE()),HLOOKUP(D502,VOLS,VLOOKUP(G502,move_down,2,FALSE()),FALSE()),VLOOKUP(G502,NGPrices,3,FALSE()),HLOOKUP(D502,Correllate,VLOOKUP(G502,CorMove,2,FALSE()),FALSE()),Q502-$CD$3,R502,$CJ$5)*H502-CJ502</f>
        <v>#NAME?</v>
      </c>
      <c r="CH502" s="253" t="e">
        <f aca="false">xSPRDOPT((VLOOKUP(G502,NGPREVPRICES,2,FALSE())+HLOOKUP(D502,PREVCURVES,VLOOKUP(G502,MOVE_DOWN2,2,FALSE()),FALSE())),VLOOKUP(G502,NGPREVPRICES,2,FALSE()),CK502,VLOOKUP(G502,NGPREVPRICES,4,FALSE()),HLOOKUP(D502,PREVVOLS,VLOOKUP(G502,MOVE_DOWN2,2,FALSE()),FALSE()),VLOOKUP(G502,NGPREVPRICES,3,FALSE()),HLOOKUP(D502,Correllate,VLOOKUP(G502,CorMove,2,FALSE()),FALSE()),Q502-$C$3,R502,$CJ$5)*H502-CJ502</f>
        <v>#NAME?</v>
      </c>
      <c r="CI502" s="253" t="e">
        <f aca="false">SUM(CD502:CH502)</f>
        <v>#NAME?</v>
      </c>
      <c r="CJ502" s="253" t="e">
        <f aca="false">xSPRDOPT((VLOOKUP(G502,NGPREVPRICES,2,FALSE())+HLOOKUP(D502,PREVCURVES,VLOOKUP(G502,MOVE_DOWN2,2,FALSE()),FALSE())),VLOOKUP(G502,NGPREVPRICES,2,FALSE()),CK502,VLOOKUP(G502,NGPREVPRICES,4,FALSE()),HLOOKUP(D502,PREVVOLS,VLOOKUP(G502,MOVE_DOWN2,2,FALSE()),FALSE()),VLOOKUP(G502,NGPREVPRICES,3,FALSE()),HLOOKUP(D502,Correllate,VLOOKUP(G502,CorMove,2,FALSE()),FALSE()),Q502-$CD$3,R502,$CJ$5)*H502</f>
        <v>#NAME?</v>
      </c>
      <c r="CK502" s="254" t="n">
        <f aca="false">I502</f>
        <v>0.7</v>
      </c>
      <c r="CM502" s="0" t="str">
        <f aca="false">CONCATENATE(CC502,$CD$6)</f>
        <v>36800Curve Shift/Gamma</v>
      </c>
      <c r="CN502" s="0" t="str">
        <f aca="false">CONCATENATE($CC502,$CE$6)</f>
        <v>36800Rho</v>
      </c>
      <c r="CO502" s="0" t="str">
        <f aca="false">CONCATENATE($CC502,$CF$6)</f>
        <v>36800Drift</v>
      </c>
      <c r="CP502" s="0" t="str">
        <f aca="false">CONCATENATE($CC502,$CG$6)</f>
        <v>36800Vega</v>
      </c>
      <c r="CQ502" s="0" t="str">
        <f aca="false">CONCATENATE($CC502,$CH$6)</f>
        <v>36800Theta</v>
      </c>
    </row>
    <row r="503" customFormat="false" ht="12.75" hidden="false" customHeight="false" outlineLevel="0" collapsed="false">
      <c r="A503" s="17" t="s">
        <v>208</v>
      </c>
      <c r="B503" s="0" t="s">
        <v>192</v>
      </c>
      <c r="C503" s="0" t="s">
        <v>369</v>
      </c>
      <c r="D503" s="7" t="s">
        <v>149</v>
      </c>
      <c r="E503" s="0" t="s">
        <v>131</v>
      </c>
      <c r="F503" s="0" t="s">
        <v>136</v>
      </c>
      <c r="G503" s="92" t="n">
        <v>36951</v>
      </c>
      <c r="H503" s="248" t="n">
        <v>310000</v>
      </c>
      <c r="I503" s="0" t="n">
        <v>2.5</v>
      </c>
      <c r="J503" s="124" t="n">
        <f aca="false">VLOOKUP(G503,NGPrices,2,FALSE())</f>
        <v>4.213</v>
      </c>
      <c r="K503" s="125" t="n">
        <f aca="false">HLOOKUP(D503,Prices,VLOOKUP(G503,move_down,2,FALSE()),FALSE())+VLOOKUP(G503,CHANGE,HLOOKUP(D503,CHANGE,2,FALSE()),FALSE())</f>
        <v>1.075</v>
      </c>
      <c r="L503" s="124" t="n">
        <f aca="false">K503+J503</f>
        <v>5.288</v>
      </c>
      <c r="M503" s="126" t="n">
        <f aca="false">VLOOKUP(G503,NGPrices,4,FALSE())</f>
        <v>0.068879814952707</v>
      </c>
      <c r="N503" s="7" t="n">
        <f aca="false">VLOOKUP(G503,NGPrices,3,FALSE())</f>
        <v>0.5325</v>
      </c>
      <c r="O503" s="7" t="n">
        <f aca="false">HLOOKUP(D503,VOLS,VLOOKUP(G503,move_down,2,FALSE()),FALSE())</f>
        <v>0.612</v>
      </c>
      <c r="P503" s="249" t="n">
        <f aca="false">HLOOKUP(D503,Correllate,VLOOKUP(G503,CorMove,2,FALSE()),FALSE())</f>
        <v>0.83</v>
      </c>
      <c r="Q503" s="92" t="n">
        <f aca="false">WORKDAY(G503,-2)</f>
        <v>36949</v>
      </c>
      <c r="R503" s="7" t="n">
        <f aca="false">IF(F503="P",0,1)</f>
        <v>1</v>
      </c>
      <c r="S503" s="130" t="e">
        <f aca="false">xSPRDOPT($L503,$J503,$I503,$M503,$O503,$N503,$P503,$Q503-$C$3,$R503,0)</f>
        <v>#NAME?</v>
      </c>
      <c r="T503" s="250" t="e">
        <f aca="false">xSPRDOPT($L503,$J503,$I503,$M503,$O503,$N503,$P503,$Q503-$C$3,$R503,1)*H503</f>
        <v>#NAME?</v>
      </c>
      <c r="U503" s="43" t="e">
        <f aca="false">S503*H503</f>
        <v>#NAME?</v>
      </c>
      <c r="V503" s="250" t="e">
        <f aca="false">xSPRDOPT($L503,$J503,$I503,$M503,$O503,$N503,$P503,$Q503-$C$3,$R503,2)*H503</f>
        <v>#NAME?</v>
      </c>
      <c r="W503" s="250" t="e">
        <f aca="false">+V503+T503</f>
        <v>#NAME?</v>
      </c>
      <c r="X503" s="2" t="str">
        <f aca="false">CONCATENATE(G503,D503)</f>
        <v>36951IF-TRANSCO/Z6</v>
      </c>
      <c r="Y503" s="251" t="n">
        <f aca="false">H503/10000</f>
        <v>31</v>
      </c>
      <c r="Z503" s="226" t="e">
        <f aca="false">T503/H503</f>
        <v>#NAME?</v>
      </c>
      <c r="AA503" s="226" t="e">
        <f aca="false">xSPRDOPT($L503,$J503,$I503,$M503,$O503,$N503,$P503,$Q503-$C$3,$R503,3)</f>
        <v>#NAME?</v>
      </c>
      <c r="AB503" s="226" t="e">
        <f aca="false">((xSPRDOPT($L503+AB$5,$J503,$I503,$M503,$O503,$N503,$P503,$Q503-$C$3,$R503,3)*$H503)/10000)/100</f>
        <v>#NAME?</v>
      </c>
      <c r="AC503" s="226" t="e">
        <f aca="false">((xSPRDOPT($L503+$AB$5,$J503,$I503,$M503,$O503,$N503,$P503,$Q503-$C$3,$R503,7)*$H503)/100)</f>
        <v>#NAME?</v>
      </c>
      <c r="AD503" s="226" t="e">
        <f aca="false">(xSPRDOPT($L503+$AB$5,$J503,$I503,$M503,$O503,$N503,$P503,$Q503-$C$3,$R503,9)/365)*$H503</f>
        <v>#NAME?</v>
      </c>
      <c r="AE503" s="0" t="e">
        <f aca="false">CD503</f>
        <v>#NAME?</v>
      </c>
      <c r="AF503" s="226" t="e">
        <f aca="false">((O503/N503)*AH503)+AG503</f>
        <v>#NAME?</v>
      </c>
      <c r="AG503" s="226" t="e">
        <f aca="false">((xSPRDOPT($L503,$J503,$I503,$M503,$O503,$N503,$P503,$Q503-$C$3,$R503,6)*$H503)/100)</f>
        <v>#NAME?</v>
      </c>
      <c r="AH503" s="226" t="e">
        <f aca="false">((xSPRDOPT($L503,$J503,$I503,$M503,$O503,$N503,$P503,$Q503-$C$3,$R503,5)*$H503)/100)</f>
        <v>#NAME?</v>
      </c>
      <c r="AI503" s="226" t="e">
        <f aca="false">(((xSPRDOPT($L503,$J503,$I503,$M503,$O503,$N503,$P503,$Q503-$C$3,$R503,4)*$H503)/10000)/100)-AB503</f>
        <v>#NAME?</v>
      </c>
      <c r="AJ503" s="226"/>
      <c r="AK503" s="226"/>
      <c r="AL503" s="226"/>
      <c r="AM503" s="252"/>
      <c r="CC503" s="182" t="n">
        <f aca="false">G503</f>
        <v>36951</v>
      </c>
      <c r="CD503" s="253" t="e">
        <f aca="false">xSPRDOPT((VLOOKUP(G503,NGPrices,2,FALSE())+HLOOKUP(D503,Prices,VLOOKUP(G503,move_down,2,FALSE()),FALSE())),VLOOKUP(G503,NGPrices,2,FALSE()),I503,VLOOKUP(G503,NGPREVPRICES,4,FALSE()),HLOOKUP(D503,PREVVOLS,VLOOKUP(G503,MOVE_DOWN2,2,FALSE()),FALSE()),VLOOKUP(G503,NGPREVPRICES,3,FALSE()),HLOOKUP(D503,Correllate,VLOOKUP(G503,CorMove,2,FALSE()),FALSE()),Q503-$CD$3,R503,$CD$5)*H503-CJ503</f>
        <v>#NAME?</v>
      </c>
      <c r="CE503" s="253" t="e">
        <f aca="false">xSPRDOPT((VLOOKUP(G503,NGPREVPRICES,2,FALSE())+HLOOKUP(D503,PREVCURVES,VLOOKUP(G503,MOVE_DOWN2,2,FALSE()),FALSE())),VLOOKUP(G503,NGPREVPRICES,2,FALSE()),CK503,VLOOKUP(G503,NGPrices,4,FALSE()),HLOOKUP(D503,PREVVOLS,VLOOKUP(G503,MOVE_DOWN2,2,FALSE()),FALSE()),VLOOKUP(G503,NGPREVPRICES,3,FALSE()),HLOOKUP(D503,Correllate,VLOOKUP(G503,CorMove,2,FALSE()),FALSE()),Q503-$CD$3,R503,$CJ$5)*H503-CJ503</f>
        <v>#NAME?</v>
      </c>
      <c r="CF503" s="132" t="e">
        <f aca="false">(CJ503/VLOOKUP(CC503,discount,3,FALSE()))-(CJ503/VLOOKUP(CC503,discount,2,FALSE()))</f>
        <v>#NAME?</v>
      </c>
      <c r="CG503" s="253" t="e">
        <f aca="false">xSPRDOPT((VLOOKUP(G503,NGPREVPRICES,2,FALSE())+HLOOKUP(D503,PREVCURVES,VLOOKUP(G503,MOVE_DOWN2,2,FALSE()),FALSE())),VLOOKUP(G503,NGPREVPRICES,2,FALSE()),CK503,VLOOKUP(G503,NGPREVPRICES,4,FALSE()),HLOOKUP(D503,VOLS,VLOOKUP(G503,move_down,2,FALSE()),FALSE()),VLOOKUP(G503,NGPrices,3,FALSE()),HLOOKUP(D503,Correllate,VLOOKUP(G503,CorMove,2,FALSE()),FALSE()),Q503-$CD$3,R503,$CJ$5)*H503-CJ503</f>
        <v>#NAME?</v>
      </c>
      <c r="CH503" s="253" t="e">
        <f aca="false">xSPRDOPT((VLOOKUP(G503,NGPREVPRICES,2,FALSE())+HLOOKUP(D503,PREVCURVES,VLOOKUP(G503,MOVE_DOWN2,2,FALSE()),FALSE())),VLOOKUP(G503,NGPREVPRICES,2,FALSE()),CK503,VLOOKUP(G503,NGPREVPRICES,4,FALSE()),HLOOKUP(D503,PREVVOLS,VLOOKUP(G503,MOVE_DOWN2,2,FALSE()),FALSE()),VLOOKUP(G503,NGPREVPRICES,3,FALSE()),HLOOKUP(D503,Correllate,VLOOKUP(G503,CorMove,2,FALSE()),FALSE()),Q503-$C$3,R503,$CJ$5)*H503-CJ503</f>
        <v>#NAME?</v>
      </c>
      <c r="CI503" s="253" t="e">
        <f aca="false">SUM(CD503:CH503)</f>
        <v>#NAME?</v>
      </c>
      <c r="CJ503" s="253" t="e">
        <f aca="false">xSPRDOPT((VLOOKUP(G503,NGPREVPRICES,2,FALSE())+HLOOKUP(D503,PREVCURVES,VLOOKUP(G503,MOVE_DOWN2,2,FALSE()),FALSE())),VLOOKUP(G503,NGPREVPRICES,2,FALSE()),CK503,VLOOKUP(G503,NGPREVPRICES,4,FALSE()),HLOOKUP(D503,PREVVOLS,VLOOKUP(G503,MOVE_DOWN2,2,FALSE()),FALSE()),VLOOKUP(G503,NGPREVPRICES,3,FALSE()),HLOOKUP(D503,Correllate,VLOOKUP(G503,CorMove,2,FALSE()),FALSE()),Q503-$CD$3,R503,$CJ$5)*H503</f>
        <v>#NAME?</v>
      </c>
      <c r="CK503" s="254" t="n">
        <f aca="false">I503</f>
        <v>2.5</v>
      </c>
      <c r="CM503" s="0" t="str">
        <f aca="false">CONCATENATE(CC503,$CD$6)</f>
        <v>36951Curve Shift/Gamma</v>
      </c>
      <c r="CN503" s="0" t="str">
        <f aca="false">CONCATENATE($CC503,$CE$6)</f>
        <v>36951Rho</v>
      </c>
      <c r="CO503" s="0" t="str">
        <f aca="false">CONCATENATE($CC503,$CF$6)</f>
        <v>36951Drift</v>
      </c>
      <c r="CP503" s="0" t="str">
        <f aca="false">CONCATENATE($CC503,$CG$6)</f>
        <v>36951Vega</v>
      </c>
      <c r="CQ503" s="0" t="str">
        <f aca="false">CONCATENATE($CC503,$CH$6)</f>
        <v>36951Theta</v>
      </c>
    </row>
    <row r="504" customFormat="false" ht="12.75" hidden="false" customHeight="false" outlineLevel="0" collapsed="false">
      <c r="A504" s="17" t="s">
        <v>208</v>
      </c>
      <c r="B504" s="0" t="s">
        <v>192</v>
      </c>
      <c r="C504" s="0" t="s">
        <v>369</v>
      </c>
      <c r="D504" s="7" t="s">
        <v>149</v>
      </c>
      <c r="E504" s="0" t="s">
        <v>131</v>
      </c>
      <c r="F504" s="0" t="s">
        <v>136</v>
      </c>
      <c r="G504" s="92" t="n">
        <v>36923</v>
      </c>
      <c r="H504" s="248" t="n">
        <v>280000</v>
      </c>
      <c r="I504" s="0" t="n">
        <v>2.5</v>
      </c>
      <c r="J504" s="124" t="n">
        <f aca="false">VLOOKUP(G504,NGPrices,2,FALSE())</f>
        <v>4.48</v>
      </c>
      <c r="K504" s="125" t="n">
        <f aca="false">HLOOKUP(D504,Prices,VLOOKUP(G504,move_down,2,FALSE()),FALSE())+VLOOKUP(G504,CHANGE,HLOOKUP(D504,CHANGE,2,FALSE()),FALSE())</f>
        <v>2.09</v>
      </c>
      <c r="L504" s="124" t="n">
        <f aca="false">K504+J504</f>
        <v>6.57</v>
      </c>
      <c r="M504" s="126" t="n">
        <f aca="false">VLOOKUP(G504,NGPrices,4,FALSE())</f>
        <v>0.068640161611372</v>
      </c>
      <c r="N504" s="7" t="n">
        <f aca="false">VLOOKUP(G504,NGPrices,3,FALSE())</f>
        <v>0.5925</v>
      </c>
      <c r="O504" s="7" t="n">
        <f aca="false">HLOOKUP(D504,VOLS,VLOOKUP(G504,move_down,2,FALSE()),FALSE())</f>
        <v>0.681</v>
      </c>
      <c r="P504" s="249" t="n">
        <f aca="false">HLOOKUP(D504,Correllate,VLOOKUP(G504,CorMove,2,FALSE()),FALSE())</f>
        <v>0.83</v>
      </c>
      <c r="Q504" s="92" t="n">
        <f aca="false">WORKDAY(G504,-2)</f>
        <v>36921</v>
      </c>
      <c r="R504" s="7" t="n">
        <f aca="false">IF(F504="P",0,1)</f>
        <v>1</v>
      </c>
      <c r="S504" s="130" t="e">
        <f aca="false">xSPRDOPT($L504,$J504,$I504,$M504,$O504,$N504,$P504,$Q504-$C$3,$R504,0)</f>
        <v>#NAME?</v>
      </c>
      <c r="T504" s="250" t="e">
        <f aca="false">xSPRDOPT($L504,$J504,$I504,$M504,$O504,$N504,$P504,$Q504-$C$3,$R504,1)*H504</f>
        <v>#NAME?</v>
      </c>
      <c r="U504" s="43" t="e">
        <f aca="false">S504*H504</f>
        <v>#NAME?</v>
      </c>
      <c r="V504" s="250" t="e">
        <f aca="false">xSPRDOPT($L504,$J504,$I504,$M504,$O504,$N504,$P504,$Q504-$C$3,$R504,2)*H504</f>
        <v>#NAME?</v>
      </c>
      <c r="W504" s="250" t="e">
        <f aca="false">+V504+T504</f>
        <v>#NAME?</v>
      </c>
      <c r="X504" s="2" t="str">
        <f aca="false">CONCATENATE(G504,D504)</f>
        <v>36923IF-TRANSCO/Z6</v>
      </c>
      <c r="Y504" s="251" t="n">
        <f aca="false">H504/10000</f>
        <v>28</v>
      </c>
      <c r="Z504" s="226" t="e">
        <f aca="false">T504/H504</f>
        <v>#NAME?</v>
      </c>
      <c r="AA504" s="226" t="e">
        <f aca="false">xSPRDOPT($L504,$J504,$I504,$M504,$O504,$N504,$P504,$Q504-$C$3,$R504,3)</f>
        <v>#NAME?</v>
      </c>
      <c r="AB504" s="226" t="e">
        <f aca="false">((xSPRDOPT($L504+AB$5,$J504,$I504,$M504,$O504,$N504,$P504,$Q504-$C$3,$R504,3)*$H504)/10000)/100</f>
        <v>#NAME?</v>
      </c>
      <c r="AC504" s="226" t="e">
        <f aca="false">((xSPRDOPT($L504+$AB$5,$J504,$I504,$M504,$O504,$N504,$P504,$Q504-$C$3,$R504,7)*$H504)/100)</f>
        <v>#NAME?</v>
      </c>
      <c r="AD504" s="226" t="e">
        <f aca="false">(xSPRDOPT($L504+$AB$5,$J504,$I504,$M504,$O504,$N504,$P504,$Q504-$C$3,$R504,9)/365)*$H504</f>
        <v>#NAME?</v>
      </c>
      <c r="AE504" s="0" t="e">
        <f aca="false">CD504</f>
        <v>#NAME?</v>
      </c>
      <c r="AF504" s="226" t="e">
        <f aca="false">((O504/N504)*AH504)+AG504</f>
        <v>#NAME?</v>
      </c>
      <c r="AG504" s="226" t="e">
        <f aca="false">((xSPRDOPT($L504,$J504,$I504,$M504,$O504,$N504,$P504,$Q504-$C$3,$R504,6)*$H504)/100)</f>
        <v>#NAME?</v>
      </c>
      <c r="AH504" s="226" t="e">
        <f aca="false">((xSPRDOPT($L504,$J504,$I504,$M504,$O504,$N504,$P504,$Q504-$C$3,$R504,5)*$H504)/100)</f>
        <v>#NAME?</v>
      </c>
      <c r="AI504" s="226" t="e">
        <f aca="false">(((xSPRDOPT($L504,$J504,$I504,$M504,$O504,$N504,$P504,$Q504-$C$3,$R504,4)*$H504)/10000)/100)-AB504</f>
        <v>#NAME?</v>
      </c>
      <c r="AJ504" s="226"/>
      <c r="AK504" s="226"/>
      <c r="AL504" s="226"/>
      <c r="AM504" s="252"/>
      <c r="CC504" s="182" t="n">
        <f aca="false">G504</f>
        <v>36923</v>
      </c>
      <c r="CD504" s="253" t="e">
        <f aca="false">xSPRDOPT((VLOOKUP(G504,NGPrices,2,FALSE())+HLOOKUP(D504,Prices,VLOOKUP(G504,move_down,2,FALSE()),FALSE())),VLOOKUP(G504,NGPrices,2,FALSE()),I504,VLOOKUP(G504,NGPREVPRICES,4,FALSE()),HLOOKUP(D504,PREVVOLS,VLOOKUP(G504,MOVE_DOWN2,2,FALSE()),FALSE()),VLOOKUP(G504,NGPREVPRICES,3,FALSE()),HLOOKUP(D504,Correllate,VLOOKUP(G504,CorMove,2,FALSE()),FALSE()),Q504-$CD$3,R504,$CD$5)*H504-CJ504</f>
        <v>#NAME?</v>
      </c>
      <c r="CE504" s="253" t="e">
        <f aca="false">xSPRDOPT((VLOOKUP(G504,NGPREVPRICES,2,FALSE())+HLOOKUP(D504,PREVCURVES,VLOOKUP(G504,MOVE_DOWN2,2,FALSE()),FALSE())),VLOOKUP(G504,NGPREVPRICES,2,FALSE()),CK504,VLOOKUP(G504,NGPrices,4,FALSE()),HLOOKUP(D504,PREVVOLS,VLOOKUP(G504,MOVE_DOWN2,2,FALSE()),FALSE()),VLOOKUP(G504,NGPREVPRICES,3,FALSE()),HLOOKUP(D504,Correllate,VLOOKUP(G504,CorMove,2,FALSE()),FALSE()),Q504-$CD$3,R504,$CJ$5)*H504-CJ504</f>
        <v>#NAME?</v>
      </c>
      <c r="CF504" s="132" t="e">
        <f aca="false">(CJ504/VLOOKUP(CC504,discount,3,FALSE()))-(CJ504/VLOOKUP(CC504,discount,2,FALSE()))</f>
        <v>#NAME?</v>
      </c>
      <c r="CG504" s="253" t="e">
        <f aca="false">xSPRDOPT((VLOOKUP(G504,NGPREVPRICES,2,FALSE())+HLOOKUP(D504,PREVCURVES,VLOOKUP(G504,MOVE_DOWN2,2,FALSE()),FALSE())),VLOOKUP(G504,NGPREVPRICES,2,FALSE()),CK504,VLOOKUP(G504,NGPREVPRICES,4,FALSE()),HLOOKUP(D504,VOLS,VLOOKUP(G504,move_down,2,FALSE()),FALSE()),VLOOKUP(G504,NGPrices,3,FALSE()),HLOOKUP(D504,Correllate,VLOOKUP(G504,CorMove,2,FALSE()),FALSE()),Q504-$CD$3,R504,$CJ$5)*H504-CJ504</f>
        <v>#NAME?</v>
      </c>
      <c r="CH504" s="253" t="e">
        <f aca="false">xSPRDOPT((VLOOKUP(G504,NGPREVPRICES,2,FALSE())+HLOOKUP(D504,PREVCURVES,VLOOKUP(G504,MOVE_DOWN2,2,FALSE()),FALSE())),VLOOKUP(G504,NGPREVPRICES,2,FALSE()),CK504,VLOOKUP(G504,NGPREVPRICES,4,FALSE()),HLOOKUP(D504,PREVVOLS,VLOOKUP(G504,MOVE_DOWN2,2,FALSE()),FALSE()),VLOOKUP(G504,NGPREVPRICES,3,FALSE()),HLOOKUP(D504,Correllate,VLOOKUP(G504,CorMove,2,FALSE()),FALSE()),Q504-$C$3,R504,$CJ$5)*H504-CJ504</f>
        <v>#NAME?</v>
      </c>
      <c r="CI504" s="253" t="e">
        <f aca="false">SUM(CD504:CH504)</f>
        <v>#NAME?</v>
      </c>
      <c r="CJ504" s="253" t="e">
        <f aca="false">xSPRDOPT((VLOOKUP(G504,NGPREVPRICES,2,FALSE())+HLOOKUP(D504,PREVCURVES,VLOOKUP(G504,MOVE_DOWN2,2,FALSE()),FALSE())),VLOOKUP(G504,NGPREVPRICES,2,FALSE()),CK504,VLOOKUP(G504,NGPREVPRICES,4,FALSE()),HLOOKUP(D504,PREVVOLS,VLOOKUP(G504,MOVE_DOWN2,2,FALSE()),FALSE()),VLOOKUP(G504,NGPREVPRICES,3,FALSE()),HLOOKUP(D504,Correllate,VLOOKUP(G504,CorMove,2,FALSE()),FALSE()),Q504-$CD$3,R504,$CJ$5)*H504</f>
        <v>#NAME?</v>
      </c>
      <c r="CK504" s="254" t="n">
        <f aca="false">I504</f>
        <v>2.5</v>
      </c>
      <c r="CM504" s="0" t="str">
        <f aca="false">CONCATENATE(CC504,$CD$6)</f>
        <v>36923Curve Shift/Gamma</v>
      </c>
      <c r="CN504" s="0" t="str">
        <f aca="false">CONCATENATE($CC504,$CE$6)</f>
        <v>36923Rho</v>
      </c>
      <c r="CO504" s="0" t="str">
        <f aca="false">CONCATENATE($CC504,$CF$6)</f>
        <v>36923Drift</v>
      </c>
      <c r="CP504" s="0" t="str">
        <f aca="false">CONCATENATE($CC504,$CG$6)</f>
        <v>36923Vega</v>
      </c>
      <c r="CQ504" s="0" t="str">
        <f aca="false">CONCATENATE($CC504,$CH$6)</f>
        <v>36923Theta</v>
      </c>
    </row>
    <row r="505" customFormat="false" ht="12.75" hidden="false" customHeight="false" outlineLevel="0" collapsed="false">
      <c r="A505" s="17" t="s">
        <v>208</v>
      </c>
      <c r="B505" s="0" t="s">
        <v>192</v>
      </c>
      <c r="C505" s="0" t="s">
        <v>369</v>
      </c>
      <c r="D505" s="7" t="s">
        <v>149</v>
      </c>
      <c r="E505" s="0" t="s">
        <v>131</v>
      </c>
      <c r="F505" s="0" t="s">
        <v>136</v>
      </c>
      <c r="G505" s="92" t="n">
        <v>36892</v>
      </c>
      <c r="H505" s="248" t="n">
        <v>310000</v>
      </c>
      <c r="I505" s="0" t="n">
        <v>2.5</v>
      </c>
      <c r="J505" s="124" t="n">
        <f aca="false">VLOOKUP(G505,NGPrices,2,FALSE())</f>
        <v>4.744</v>
      </c>
      <c r="K505" s="125" t="n">
        <f aca="false">HLOOKUP(D505,Prices,VLOOKUP(G505,move_down,2,FALSE()),FALSE())+VLOOKUP(G505,CHANGE,HLOOKUP(D505,CHANGE,2,FALSE()),FALSE())</f>
        <v>2.17</v>
      </c>
      <c r="L505" s="124" t="n">
        <f aca="false">K505+J505</f>
        <v>6.914</v>
      </c>
      <c r="M505" s="126" t="n">
        <f aca="false">VLOOKUP(G505,NGPrices,4,FALSE())</f>
        <v>0.068374831148491</v>
      </c>
      <c r="N505" s="7" t="n">
        <f aca="false">VLOOKUP(G505,NGPrices,3,FALSE())</f>
        <v>0.605</v>
      </c>
      <c r="O505" s="7" t="n">
        <f aca="false">HLOOKUP(D505,VOLS,VLOOKUP(G505,move_down,2,FALSE()),FALSE())</f>
        <v>0.696</v>
      </c>
      <c r="P505" s="249" t="n">
        <f aca="false">HLOOKUP(D505,Correllate,VLOOKUP(G505,CorMove,2,FALSE()),FALSE())</f>
        <v>0.83</v>
      </c>
      <c r="Q505" s="92" t="n">
        <f aca="false">WORKDAY(G505,-2)</f>
        <v>36888</v>
      </c>
      <c r="R505" s="7" t="n">
        <f aca="false">IF(F505="P",0,1)</f>
        <v>1</v>
      </c>
      <c r="S505" s="130" t="e">
        <f aca="false">xSPRDOPT($L505,$J505,$I505,$M505,$O505,$N505,$P505,$Q505-$C$3,$R505,0)</f>
        <v>#NAME?</v>
      </c>
      <c r="T505" s="250" t="e">
        <f aca="false">xSPRDOPT($L505,$J505,$I505,$M505,$O505,$N505,$P505,$Q505-$C$3,$R505,1)*H505</f>
        <v>#NAME?</v>
      </c>
      <c r="U505" s="43" t="e">
        <f aca="false">S505*H505</f>
        <v>#NAME?</v>
      </c>
      <c r="V505" s="250" t="e">
        <f aca="false">xSPRDOPT($L505,$J505,$I505,$M505,$O505,$N505,$P505,$Q505-$C$3,$R505,2)*H505</f>
        <v>#NAME?</v>
      </c>
      <c r="W505" s="250" t="e">
        <f aca="false">+V505+T505</f>
        <v>#NAME?</v>
      </c>
      <c r="X505" s="2" t="str">
        <f aca="false">CONCATENATE(G505,D505)</f>
        <v>36892IF-TRANSCO/Z6</v>
      </c>
      <c r="Y505" s="251" t="n">
        <f aca="false">H505/10000</f>
        <v>31</v>
      </c>
      <c r="Z505" s="226" t="e">
        <f aca="false">T505/H505</f>
        <v>#NAME?</v>
      </c>
      <c r="AA505" s="226" t="e">
        <f aca="false">xSPRDOPT($L505,$J505,$I505,$M505,$O505,$N505,$P505,$Q505-$C$3,$R505,3)</f>
        <v>#NAME?</v>
      </c>
      <c r="AB505" s="226" t="e">
        <f aca="false">((xSPRDOPT($L505+AB$5,$J505,$I505,$M505,$O505,$N505,$P505,$Q505-$C$3,$R505,3)*$H505)/10000)/100</f>
        <v>#NAME?</v>
      </c>
      <c r="AC505" s="226" t="e">
        <f aca="false">((xSPRDOPT($L505+$AB$5,$J505,$I505,$M505,$O505,$N505,$P505,$Q505-$C$3,$R505,7)*$H505)/100)</f>
        <v>#NAME?</v>
      </c>
      <c r="AD505" s="226" t="e">
        <f aca="false">(xSPRDOPT($L505+$AB$5,$J505,$I505,$M505,$O505,$N505,$P505,$Q505-$C$3,$R505,9)/365)*$H505</f>
        <v>#NAME?</v>
      </c>
      <c r="AE505" s="0" t="e">
        <f aca="false">CD505</f>
        <v>#NAME?</v>
      </c>
      <c r="AF505" s="226" t="e">
        <f aca="false">((O505/N505)*AH505)+AG505</f>
        <v>#NAME?</v>
      </c>
      <c r="AG505" s="226" t="e">
        <f aca="false">((xSPRDOPT($L505,$J505,$I505,$M505,$O505,$N505,$P505,$Q505-$C$3,$R505,6)*$H505)/100)</f>
        <v>#NAME?</v>
      </c>
      <c r="AH505" s="226" t="e">
        <f aca="false">((xSPRDOPT($L505,$J505,$I505,$M505,$O505,$N505,$P505,$Q505-$C$3,$R505,5)*$H505)/100)</f>
        <v>#NAME?</v>
      </c>
      <c r="AI505" s="226" t="e">
        <f aca="false">(((xSPRDOPT($L505,$J505,$I505,$M505,$O505,$N505,$P505,$Q505-$C$3,$R505,4)*$H505)/10000)/100)-AB505</f>
        <v>#NAME?</v>
      </c>
      <c r="AJ505" s="226"/>
      <c r="AK505" s="226"/>
      <c r="AL505" s="226"/>
      <c r="AM505" s="252"/>
      <c r="CC505" s="182" t="n">
        <f aca="false">G505</f>
        <v>36892</v>
      </c>
      <c r="CD505" s="253" t="e">
        <f aca="false">xSPRDOPT((VLOOKUP(G505,NGPrices,2,FALSE())+HLOOKUP(D505,Prices,VLOOKUP(G505,move_down,2,FALSE()),FALSE())),VLOOKUP(G505,NGPrices,2,FALSE()),I505,VLOOKUP(G505,NGPREVPRICES,4,FALSE()),HLOOKUP(D505,PREVVOLS,VLOOKUP(G505,MOVE_DOWN2,2,FALSE()),FALSE()),VLOOKUP(G505,NGPREVPRICES,3,FALSE()),HLOOKUP(D505,Correllate,VLOOKUP(G505,CorMove,2,FALSE()),FALSE()),Q505-$CD$3,R505,$CD$5)*H505-CJ505</f>
        <v>#NAME?</v>
      </c>
      <c r="CE505" s="253" t="e">
        <f aca="false">xSPRDOPT((VLOOKUP(G505,NGPREVPRICES,2,FALSE())+HLOOKUP(D505,PREVCURVES,VLOOKUP(G505,MOVE_DOWN2,2,FALSE()),FALSE())),VLOOKUP(G505,NGPREVPRICES,2,FALSE()),CK505,VLOOKUP(G505,NGPrices,4,FALSE()),HLOOKUP(D505,PREVVOLS,VLOOKUP(G505,MOVE_DOWN2,2,FALSE()),FALSE()),VLOOKUP(G505,NGPREVPRICES,3,FALSE()),HLOOKUP(D505,Correllate,VLOOKUP(G505,CorMove,2,FALSE()),FALSE()),Q505-$CD$3,R505,$CJ$5)*H505-CJ505</f>
        <v>#NAME?</v>
      </c>
      <c r="CF505" s="132" t="e">
        <f aca="false">(CJ505/VLOOKUP(CC505,discount,3,FALSE()))-(CJ505/VLOOKUP(CC505,discount,2,FALSE()))</f>
        <v>#NAME?</v>
      </c>
      <c r="CG505" s="253" t="e">
        <f aca="false">xSPRDOPT((VLOOKUP(G505,NGPREVPRICES,2,FALSE())+HLOOKUP(D505,PREVCURVES,VLOOKUP(G505,MOVE_DOWN2,2,FALSE()),FALSE())),VLOOKUP(G505,NGPREVPRICES,2,FALSE()),CK505,VLOOKUP(G505,NGPREVPRICES,4,FALSE()),HLOOKUP(D505,VOLS,VLOOKUP(G505,move_down,2,FALSE()),FALSE()),VLOOKUP(G505,NGPrices,3,FALSE()),HLOOKUP(D505,Correllate,VLOOKUP(G505,CorMove,2,FALSE()),FALSE()),Q505-$CD$3,R505,$CJ$5)*H505-CJ505</f>
        <v>#NAME?</v>
      </c>
      <c r="CH505" s="253" t="e">
        <f aca="false">xSPRDOPT((VLOOKUP(G505,NGPREVPRICES,2,FALSE())+HLOOKUP(D505,PREVCURVES,VLOOKUP(G505,MOVE_DOWN2,2,FALSE()),FALSE())),VLOOKUP(G505,NGPREVPRICES,2,FALSE()),CK505,VLOOKUP(G505,NGPREVPRICES,4,FALSE()),HLOOKUP(D505,PREVVOLS,VLOOKUP(G505,MOVE_DOWN2,2,FALSE()),FALSE()),VLOOKUP(G505,NGPREVPRICES,3,FALSE()),HLOOKUP(D505,Correllate,VLOOKUP(G505,CorMove,2,FALSE()),FALSE()),Q505-$C$3,R505,$CJ$5)*H505-CJ505</f>
        <v>#NAME?</v>
      </c>
      <c r="CI505" s="253" t="e">
        <f aca="false">SUM(CD505:CH505)</f>
        <v>#NAME?</v>
      </c>
      <c r="CJ505" s="253" t="e">
        <f aca="false">xSPRDOPT((VLOOKUP(G505,NGPREVPRICES,2,FALSE())+HLOOKUP(D505,PREVCURVES,VLOOKUP(G505,MOVE_DOWN2,2,FALSE()),FALSE())),VLOOKUP(G505,NGPREVPRICES,2,FALSE()),CK505,VLOOKUP(G505,NGPREVPRICES,4,FALSE()),HLOOKUP(D505,PREVVOLS,VLOOKUP(G505,MOVE_DOWN2,2,FALSE()),FALSE()),VLOOKUP(G505,NGPREVPRICES,3,FALSE()),HLOOKUP(D505,Correllate,VLOOKUP(G505,CorMove,2,FALSE()),FALSE()),Q505-$CD$3,R505,$CJ$5)*H505</f>
        <v>#NAME?</v>
      </c>
      <c r="CK505" s="254" t="n">
        <f aca="false">I505</f>
        <v>2.5</v>
      </c>
      <c r="CM505" s="0" t="str">
        <f aca="false">CONCATENATE(CC505,$CD$6)</f>
        <v>36892Curve Shift/Gamma</v>
      </c>
      <c r="CN505" s="0" t="str">
        <f aca="false">CONCATENATE($CC505,$CE$6)</f>
        <v>36892Rho</v>
      </c>
      <c r="CO505" s="0" t="str">
        <f aca="false">CONCATENATE($CC505,$CF$6)</f>
        <v>36892Drift</v>
      </c>
      <c r="CP505" s="0" t="str">
        <f aca="false">CONCATENATE($CC505,$CG$6)</f>
        <v>36892Vega</v>
      </c>
      <c r="CQ505" s="0" t="str">
        <f aca="false">CONCATENATE($CC505,$CH$6)</f>
        <v>36892Theta</v>
      </c>
    </row>
    <row r="506" customFormat="false" ht="12.75" hidden="false" customHeight="false" outlineLevel="0" collapsed="false">
      <c r="A506" s="17" t="s">
        <v>208</v>
      </c>
      <c r="B506" s="0" t="s">
        <v>192</v>
      </c>
      <c r="C506" s="0" t="s">
        <v>369</v>
      </c>
      <c r="D506" s="7" t="s">
        <v>149</v>
      </c>
      <c r="E506" s="0" t="s">
        <v>131</v>
      </c>
      <c r="F506" s="0" t="s">
        <v>136</v>
      </c>
      <c r="G506" s="92" t="n">
        <v>36861</v>
      </c>
      <c r="H506" s="248" t="n">
        <v>310000</v>
      </c>
      <c r="I506" s="0" t="n">
        <v>2.5</v>
      </c>
      <c r="J506" s="124" t="n">
        <f aca="false">VLOOKUP(G506,NGPrices,2,FALSE())</f>
        <v>4.8</v>
      </c>
      <c r="K506" s="125" t="n">
        <f aca="false">HLOOKUP(D506,Prices,VLOOKUP(G506,move_down,2,FALSE()),FALSE())+VLOOKUP(G506,CHANGE,HLOOKUP(D506,CHANGE,2,FALSE()),FALSE())</f>
        <v>1.645</v>
      </c>
      <c r="L506" s="124" t="n">
        <f aca="false">K506+J506</f>
        <v>6.445</v>
      </c>
      <c r="M506" s="126" t="n">
        <f aca="false">VLOOKUP(G506,NGPrices,4,FALSE())</f>
        <v>0.068314027999354</v>
      </c>
      <c r="N506" s="7" t="n">
        <f aca="false">VLOOKUP(G506,NGPrices,3,FALSE())</f>
        <v>0.6</v>
      </c>
      <c r="O506" s="7" t="n">
        <f aca="false">HLOOKUP(D506,VOLS,VLOOKUP(G506,move_down,2,FALSE()),FALSE())</f>
        <v>0.69</v>
      </c>
      <c r="P506" s="249" t="n">
        <f aca="false">HLOOKUP(D506,Correllate,VLOOKUP(G506,CorMove,2,FALSE()),FALSE())</f>
        <v>0.83</v>
      </c>
      <c r="Q506" s="92" t="n">
        <f aca="false">WORKDAY(G506,-2)</f>
        <v>36859</v>
      </c>
      <c r="R506" s="7" t="n">
        <f aca="false">IF(F506="P",0,1)</f>
        <v>1</v>
      </c>
      <c r="S506" s="130" t="e">
        <f aca="false">xSPRDOPT($L506,$J506,$I506,$M506,$O506,$N506,$P506,$Q506-$C$3,$R506,0)</f>
        <v>#NAME?</v>
      </c>
      <c r="T506" s="250" t="e">
        <f aca="false">xSPRDOPT($L506,$J506,$I506,$M506,$O506,$N506,$P506,$Q506-$C$3,$R506,1)*H506</f>
        <v>#NAME?</v>
      </c>
      <c r="U506" s="43" t="e">
        <f aca="false">S506*H506</f>
        <v>#NAME?</v>
      </c>
      <c r="V506" s="250" t="e">
        <f aca="false">xSPRDOPT($L506,$J506,$I506,$M506,$O506,$N506,$P506,$Q506-$C$3,$R506,2)*H506</f>
        <v>#NAME?</v>
      </c>
      <c r="W506" s="250" t="e">
        <f aca="false">+V506+T506</f>
        <v>#NAME?</v>
      </c>
      <c r="X506" s="2" t="str">
        <f aca="false">CONCATENATE(G506,D506)</f>
        <v>36861IF-TRANSCO/Z6</v>
      </c>
      <c r="Y506" s="251" t="n">
        <f aca="false">H506/10000</f>
        <v>31</v>
      </c>
      <c r="Z506" s="226" t="e">
        <f aca="false">T506/H506</f>
        <v>#NAME?</v>
      </c>
      <c r="AA506" s="226" t="e">
        <f aca="false">xSPRDOPT($L506,$J506,$I506,$M506,$O506,$N506,$P506,$Q506-$C$3,$R506,3)</f>
        <v>#NAME?</v>
      </c>
      <c r="AB506" s="226" t="e">
        <f aca="false">((xSPRDOPT($L506+AB$5,$J506,$I506,$M506,$O506,$N506,$P506,$Q506-$C$3,$R506,3)*$H506)/10000)/100</f>
        <v>#NAME?</v>
      </c>
      <c r="AC506" s="226" t="e">
        <f aca="false">((xSPRDOPT($L506+$AB$5,$J506,$I506,$M506,$O506,$N506,$P506,$Q506-$C$3,$R506,7)*$H506)/100)</f>
        <v>#NAME?</v>
      </c>
      <c r="AD506" s="226" t="e">
        <f aca="false">(xSPRDOPT($L506+$AB$5,$J506,$I506,$M506,$O506,$N506,$P506,$Q506-$C$3,$R506,9)/365)*$H506</f>
        <v>#NAME?</v>
      </c>
      <c r="AE506" s="0" t="e">
        <f aca="false">CD506</f>
        <v>#NAME?</v>
      </c>
      <c r="AF506" s="226" t="e">
        <f aca="false">((O506/N506)*AH506)+AG506</f>
        <v>#NAME?</v>
      </c>
      <c r="AG506" s="226" t="e">
        <f aca="false">((xSPRDOPT($L506,$J506,$I506,$M506,$O506,$N506,$P506,$Q506-$C$3,$R506,6)*$H506)/100)</f>
        <v>#NAME?</v>
      </c>
      <c r="AH506" s="226" t="e">
        <f aca="false">((xSPRDOPT($L506,$J506,$I506,$M506,$O506,$N506,$P506,$Q506-$C$3,$R506,5)*$H506)/100)</f>
        <v>#NAME?</v>
      </c>
      <c r="AI506" s="226" t="e">
        <f aca="false">(((xSPRDOPT($L506,$J506,$I506,$M506,$O506,$N506,$P506,$Q506-$C$3,$R506,4)*$H506)/10000)/100)-AB506</f>
        <v>#NAME?</v>
      </c>
      <c r="AJ506" s="226"/>
      <c r="AK506" s="226"/>
      <c r="AL506" s="226"/>
      <c r="AM506" s="252"/>
      <c r="CC506" s="182" t="n">
        <f aca="false">G506</f>
        <v>36861</v>
      </c>
      <c r="CD506" s="253" t="e">
        <f aca="false">xSPRDOPT((VLOOKUP(G506,NGPrices,2,FALSE())+HLOOKUP(D506,Prices,VLOOKUP(G506,move_down,2,FALSE()),FALSE())),VLOOKUP(G506,NGPrices,2,FALSE()),I506,VLOOKUP(G506,NGPREVPRICES,4,FALSE()),HLOOKUP(D506,PREVVOLS,VLOOKUP(G506,MOVE_DOWN2,2,FALSE()),FALSE()),VLOOKUP(G506,NGPREVPRICES,3,FALSE()),HLOOKUP(D506,Correllate,VLOOKUP(G506,CorMove,2,FALSE()),FALSE()),Q506-$CD$3,R506,$CD$5)*H506-CJ506</f>
        <v>#NAME?</v>
      </c>
      <c r="CE506" s="253" t="e">
        <f aca="false">xSPRDOPT((VLOOKUP(G506,NGPREVPRICES,2,FALSE())+HLOOKUP(D506,PREVCURVES,VLOOKUP(G506,MOVE_DOWN2,2,FALSE()),FALSE())),VLOOKUP(G506,NGPREVPRICES,2,FALSE()),CK506,VLOOKUP(G506,NGPrices,4,FALSE()),HLOOKUP(D506,PREVVOLS,VLOOKUP(G506,MOVE_DOWN2,2,FALSE()),FALSE()),VLOOKUP(G506,NGPREVPRICES,3,FALSE()),HLOOKUP(D506,Correllate,VLOOKUP(G506,CorMove,2,FALSE()),FALSE()),Q506-$CD$3,R506,$CJ$5)*H506-CJ506</f>
        <v>#NAME?</v>
      </c>
      <c r="CF506" s="132" t="e">
        <f aca="false">(CJ506/VLOOKUP(CC506,discount,3,FALSE()))-(CJ506/VLOOKUP(CC506,discount,2,FALSE()))</f>
        <v>#NAME?</v>
      </c>
      <c r="CG506" s="253" t="e">
        <f aca="false">xSPRDOPT((VLOOKUP(G506,NGPREVPRICES,2,FALSE())+HLOOKUP(D506,PREVCURVES,VLOOKUP(G506,MOVE_DOWN2,2,FALSE()),FALSE())),VLOOKUP(G506,NGPREVPRICES,2,FALSE()),CK506,VLOOKUP(G506,NGPREVPRICES,4,FALSE()),HLOOKUP(D506,VOLS,VLOOKUP(G506,move_down,2,FALSE()),FALSE()),VLOOKUP(G506,NGPrices,3,FALSE()),HLOOKUP(D506,Correllate,VLOOKUP(G506,CorMove,2,FALSE()),FALSE()),Q506-$CD$3,R506,$CJ$5)*H506-CJ506</f>
        <v>#NAME?</v>
      </c>
      <c r="CH506" s="253" t="e">
        <f aca="false">xSPRDOPT((VLOOKUP(G506,NGPREVPRICES,2,FALSE())+HLOOKUP(D506,PREVCURVES,VLOOKUP(G506,MOVE_DOWN2,2,FALSE()),FALSE())),VLOOKUP(G506,NGPREVPRICES,2,FALSE()),CK506,VLOOKUP(G506,NGPREVPRICES,4,FALSE()),HLOOKUP(D506,PREVVOLS,VLOOKUP(G506,MOVE_DOWN2,2,FALSE()),FALSE()),VLOOKUP(G506,NGPREVPRICES,3,FALSE()),HLOOKUP(D506,Correllate,VLOOKUP(G506,CorMove,2,FALSE()),FALSE()),Q506-$C$3,R506,$CJ$5)*H506-CJ506</f>
        <v>#NAME?</v>
      </c>
      <c r="CI506" s="253" t="e">
        <f aca="false">SUM(CD506:CH506)</f>
        <v>#NAME?</v>
      </c>
      <c r="CJ506" s="253" t="e">
        <f aca="false">xSPRDOPT((VLOOKUP(G506,NGPREVPRICES,2,FALSE())+HLOOKUP(D506,PREVCURVES,VLOOKUP(G506,MOVE_DOWN2,2,FALSE()),FALSE())),VLOOKUP(G506,NGPREVPRICES,2,FALSE()),CK506,VLOOKUP(G506,NGPREVPRICES,4,FALSE()),HLOOKUP(D506,PREVVOLS,VLOOKUP(G506,MOVE_DOWN2,2,FALSE()),FALSE()),VLOOKUP(G506,NGPREVPRICES,3,FALSE()),HLOOKUP(D506,Correllate,VLOOKUP(G506,CorMove,2,FALSE()),FALSE()),Q506-$CD$3,R506,$CJ$5)*H506</f>
        <v>#NAME?</v>
      </c>
      <c r="CK506" s="254" t="n">
        <f aca="false">I506</f>
        <v>2.5</v>
      </c>
      <c r="CM506" s="0" t="str">
        <f aca="false">CONCATENATE(CC506,$CD$6)</f>
        <v>36861Curve Shift/Gamma</v>
      </c>
      <c r="CN506" s="0" t="str">
        <f aca="false">CONCATENATE($CC506,$CE$6)</f>
        <v>36861Rho</v>
      </c>
      <c r="CO506" s="0" t="str">
        <f aca="false">CONCATENATE($CC506,$CF$6)</f>
        <v>36861Drift</v>
      </c>
      <c r="CP506" s="0" t="str">
        <f aca="false">CONCATENATE($CC506,$CG$6)</f>
        <v>36861Vega</v>
      </c>
      <c r="CQ506" s="0" t="str">
        <f aca="false">CONCATENATE($CC506,$CH$6)</f>
        <v>36861Theta</v>
      </c>
    </row>
    <row r="507" customFormat="false" ht="12.75" hidden="false" customHeight="false" outlineLevel="0" collapsed="false">
      <c r="A507" s="17" t="s">
        <v>208</v>
      </c>
      <c r="B507" s="0" t="s">
        <v>192</v>
      </c>
      <c r="C507" s="0" t="s">
        <v>369</v>
      </c>
      <c r="D507" s="7" t="s">
        <v>149</v>
      </c>
      <c r="E507" s="0" t="s">
        <v>131</v>
      </c>
      <c r="F507" s="0" t="s">
        <v>136</v>
      </c>
      <c r="G507" s="92" t="n">
        <v>36831</v>
      </c>
      <c r="H507" s="248" t="n">
        <v>300000</v>
      </c>
      <c r="I507" s="0" t="n">
        <v>2.5</v>
      </c>
      <c r="J507" s="124" t="n">
        <f aca="false">VLOOKUP(G507,NGPrices,2,FALSE())</f>
        <v>4.736</v>
      </c>
      <c r="K507" s="125" t="n">
        <f aca="false">HLOOKUP(D507,Prices,VLOOKUP(G507,move_down,2,FALSE()),FALSE())+VLOOKUP(G507,CHANGE,HLOOKUP(D507,CHANGE,2,FALSE()),FALSE())</f>
        <v>0.77</v>
      </c>
      <c r="L507" s="124" t="n">
        <f aca="false">K507+J507</f>
        <v>5.506</v>
      </c>
      <c r="M507" s="126" t="n">
        <f aca="false">VLOOKUP(G507,NGPrices,4,FALSE())</f>
        <v>0.06810675983792</v>
      </c>
      <c r="N507" s="7" t="n">
        <f aca="false">VLOOKUP(G507,NGPrices,3,FALSE())</f>
        <v>0.595</v>
      </c>
      <c r="O507" s="7" t="n">
        <f aca="false">HLOOKUP(D507,VOLS,VLOOKUP(G507,move_down,2,FALSE()),FALSE())</f>
        <v>0.625</v>
      </c>
      <c r="P507" s="249" t="n">
        <f aca="false">HLOOKUP(D507,Correllate,VLOOKUP(G507,CorMove,2,FALSE()),FALSE())</f>
        <v>0.89</v>
      </c>
      <c r="Q507" s="92" t="n">
        <f aca="false">WORKDAY(G507,-2)</f>
        <v>36829</v>
      </c>
      <c r="R507" s="7" t="n">
        <f aca="false">IF(F507="P",0,1)</f>
        <v>1</v>
      </c>
      <c r="S507" s="130" t="e">
        <f aca="false">xSPRDOPT($L507,$J507,$I507,$M507,$O507,$N507,$P507,$Q507-$C$3,$R507,0)</f>
        <v>#NAME?</v>
      </c>
      <c r="T507" s="250" t="e">
        <f aca="false">xSPRDOPT($L507,$J507,$I507,$M507,$O507,$N507,$P507,$Q507-$C$3,$R507,1)*H507</f>
        <v>#NAME?</v>
      </c>
      <c r="U507" s="43" t="e">
        <f aca="false">S507*H507</f>
        <v>#NAME?</v>
      </c>
      <c r="V507" s="250" t="e">
        <f aca="false">xSPRDOPT($L507,$J507,$I507,$M507,$O507,$N507,$P507,$Q507-$C$3,$R507,2)*H507</f>
        <v>#NAME?</v>
      </c>
      <c r="W507" s="250" t="e">
        <f aca="false">+V507+T507</f>
        <v>#NAME?</v>
      </c>
      <c r="X507" s="2" t="str">
        <f aca="false">CONCATENATE(G507,D507)</f>
        <v>36831IF-TRANSCO/Z6</v>
      </c>
      <c r="Y507" s="251" t="n">
        <f aca="false">H507/10000</f>
        <v>30</v>
      </c>
      <c r="Z507" s="226" t="e">
        <f aca="false">T507/H507</f>
        <v>#NAME?</v>
      </c>
      <c r="AA507" s="226" t="e">
        <f aca="false">xSPRDOPT($L507,$J507,$I507,$M507,$O507,$N507,$P507,$Q507-$C$3,$R507,3)</f>
        <v>#NAME?</v>
      </c>
      <c r="AB507" s="226" t="e">
        <f aca="false">((xSPRDOPT($L507+AB$5,$J507,$I507,$M507,$O507,$N507,$P507,$Q507-$C$3,$R507,3)*$H507)/10000)/100</f>
        <v>#NAME?</v>
      </c>
      <c r="AC507" s="226" t="e">
        <f aca="false">((xSPRDOPT($L507+$AB$5,$J507,$I507,$M507,$O507,$N507,$P507,$Q507-$C$3,$R507,7)*$H507)/100)</f>
        <v>#NAME?</v>
      </c>
      <c r="AD507" s="226" t="e">
        <f aca="false">(xSPRDOPT($L507+$AB$5,$J507,$I507,$M507,$O507,$N507,$P507,$Q507-$C$3,$R507,9)/365)*$H507</f>
        <v>#NAME?</v>
      </c>
      <c r="AE507" s="0" t="e">
        <f aca="false">CD507</f>
        <v>#NAME?</v>
      </c>
      <c r="AF507" s="226" t="e">
        <f aca="false">((O507/N507)*AH507)+AG507</f>
        <v>#NAME?</v>
      </c>
      <c r="AG507" s="226" t="e">
        <f aca="false">((xSPRDOPT($L507,$J507,$I507,$M507,$O507,$N507,$P507,$Q507-$C$3,$R507,6)*$H507)/100)</f>
        <v>#NAME?</v>
      </c>
      <c r="AH507" s="226" t="e">
        <f aca="false">((xSPRDOPT($L507,$J507,$I507,$M507,$O507,$N507,$P507,$Q507-$C$3,$R507,5)*$H507)/100)</f>
        <v>#NAME?</v>
      </c>
      <c r="AI507" s="226" t="e">
        <f aca="false">(((xSPRDOPT($L507,$J507,$I507,$M507,$O507,$N507,$P507,$Q507-$C$3,$R507,4)*$H507)/10000)/100)-AB507</f>
        <v>#NAME?</v>
      </c>
      <c r="AJ507" s="226"/>
      <c r="AK507" s="226"/>
      <c r="AL507" s="226"/>
      <c r="AM507" s="252"/>
      <c r="CC507" s="182" t="n">
        <f aca="false">G507</f>
        <v>36831</v>
      </c>
      <c r="CD507" s="253" t="e">
        <f aca="false">xSPRDOPT((VLOOKUP(G507,NGPrices,2,FALSE())+HLOOKUP(D507,Prices,VLOOKUP(G507,move_down,2,FALSE()),FALSE())),VLOOKUP(G507,NGPrices,2,FALSE()),I507,VLOOKUP(G507,NGPREVPRICES,4,FALSE()),HLOOKUP(D507,PREVVOLS,VLOOKUP(G507,MOVE_DOWN2,2,FALSE()),FALSE()),VLOOKUP(G507,NGPREVPRICES,3,FALSE()),HLOOKUP(D507,Correllate,VLOOKUP(G507,CorMove,2,FALSE()),FALSE()),Q507-$CD$3,R507,$CD$5)*H507-CJ507</f>
        <v>#NAME?</v>
      </c>
      <c r="CE507" s="253" t="e">
        <f aca="false">xSPRDOPT((VLOOKUP(G507,NGPREVPRICES,2,FALSE())+HLOOKUP(D507,PREVCURVES,VLOOKUP(G507,MOVE_DOWN2,2,FALSE()),FALSE())),VLOOKUP(G507,NGPREVPRICES,2,FALSE()),CK507,VLOOKUP(G507,NGPrices,4,FALSE()),HLOOKUP(D507,PREVVOLS,VLOOKUP(G507,MOVE_DOWN2,2,FALSE()),FALSE()),VLOOKUP(G507,NGPREVPRICES,3,FALSE()),HLOOKUP(D507,Correllate,VLOOKUP(G507,CorMove,2,FALSE()),FALSE()),Q507-$CD$3,R507,$CJ$5)*H507-CJ507</f>
        <v>#NAME?</v>
      </c>
      <c r="CF507" s="132" t="e">
        <f aca="false">(CJ507/VLOOKUP(CC507,discount,3,FALSE()))-(CJ507/VLOOKUP(CC507,discount,2,FALSE()))</f>
        <v>#NAME?</v>
      </c>
      <c r="CG507" s="253" t="e">
        <f aca="false">xSPRDOPT((VLOOKUP(G507,NGPREVPRICES,2,FALSE())+HLOOKUP(D507,PREVCURVES,VLOOKUP(G507,MOVE_DOWN2,2,FALSE()),FALSE())),VLOOKUP(G507,NGPREVPRICES,2,FALSE()),CK507,VLOOKUP(G507,NGPREVPRICES,4,FALSE()),HLOOKUP(D507,VOLS,VLOOKUP(G507,move_down,2,FALSE()),FALSE()),VLOOKUP(G507,NGPrices,3,FALSE()),HLOOKUP(D507,Correllate,VLOOKUP(G507,CorMove,2,FALSE()),FALSE()),Q507-$CD$3,R507,$CJ$5)*H507-CJ507</f>
        <v>#NAME?</v>
      </c>
      <c r="CH507" s="253" t="e">
        <f aca="false">xSPRDOPT((VLOOKUP(G507,NGPREVPRICES,2,FALSE())+HLOOKUP(D507,PREVCURVES,VLOOKUP(G507,MOVE_DOWN2,2,FALSE()),FALSE())),VLOOKUP(G507,NGPREVPRICES,2,FALSE()),CK507,VLOOKUP(G507,NGPREVPRICES,4,FALSE()),HLOOKUP(D507,PREVVOLS,VLOOKUP(G507,MOVE_DOWN2,2,FALSE()),FALSE()),VLOOKUP(G507,NGPREVPRICES,3,FALSE()),HLOOKUP(D507,Correllate,VLOOKUP(G507,CorMove,2,FALSE()),FALSE()),Q507-$C$3,R507,$CJ$5)*H507-CJ507</f>
        <v>#NAME?</v>
      </c>
      <c r="CI507" s="253" t="e">
        <f aca="false">SUM(CD507:CH507)</f>
        <v>#NAME?</v>
      </c>
      <c r="CJ507" s="253" t="e">
        <f aca="false">xSPRDOPT((VLOOKUP(G507,NGPREVPRICES,2,FALSE())+HLOOKUP(D507,PREVCURVES,VLOOKUP(G507,MOVE_DOWN2,2,FALSE()),FALSE())),VLOOKUP(G507,NGPREVPRICES,2,FALSE()),CK507,VLOOKUP(G507,NGPREVPRICES,4,FALSE()),HLOOKUP(D507,PREVVOLS,VLOOKUP(G507,MOVE_DOWN2,2,FALSE()),FALSE()),VLOOKUP(G507,NGPREVPRICES,3,FALSE()),HLOOKUP(D507,Correllate,VLOOKUP(G507,CorMove,2,FALSE()),FALSE()),Q507-$CD$3,R507,$CJ$5)*H507</f>
        <v>#NAME?</v>
      </c>
      <c r="CK507" s="254" t="n">
        <f aca="false">I507</f>
        <v>2.5</v>
      </c>
      <c r="CM507" s="0" t="str">
        <f aca="false">CONCATENATE(CC507,$CD$6)</f>
        <v>36831Curve Shift/Gamma</v>
      </c>
      <c r="CN507" s="0" t="str">
        <f aca="false">CONCATENATE($CC507,$CE$6)</f>
        <v>36831Rho</v>
      </c>
      <c r="CO507" s="0" t="str">
        <f aca="false">CONCATENATE($CC507,$CF$6)</f>
        <v>36831Drift</v>
      </c>
      <c r="CP507" s="0" t="str">
        <f aca="false">CONCATENATE($CC507,$CG$6)</f>
        <v>36831Vega</v>
      </c>
      <c r="CQ507" s="0" t="str">
        <f aca="false">CONCATENATE($CC507,$CH$6)</f>
        <v>36831Theta</v>
      </c>
    </row>
    <row r="508" customFormat="false" ht="12.75" hidden="false" customHeight="false" outlineLevel="0" collapsed="false">
      <c r="A508" s="17" t="s">
        <v>208</v>
      </c>
      <c r="B508" s="0" t="s">
        <v>192</v>
      </c>
      <c r="C508" s="0" t="s">
        <v>370</v>
      </c>
      <c r="D508" s="7" t="s">
        <v>149</v>
      </c>
      <c r="E508" s="0" t="s">
        <v>131</v>
      </c>
      <c r="F508" s="0" t="s">
        <v>136</v>
      </c>
      <c r="G508" s="92" t="n">
        <v>36800</v>
      </c>
      <c r="H508" s="248" t="n">
        <v>-620000</v>
      </c>
      <c r="I508" s="0" t="n">
        <v>0.4</v>
      </c>
      <c r="J508" s="124" t="n">
        <f aca="false">VLOOKUP(G508,NGPrices,2,FALSE())</f>
        <v>4.692</v>
      </c>
      <c r="K508" s="125" t="n">
        <f aca="false">HLOOKUP(D508,Prices,VLOOKUP(G508,move_down,2,FALSE()),FALSE())+VLOOKUP(G508,CHANGE,HLOOKUP(D508,CHANGE,2,FALSE()),FALSE())</f>
        <v>0.415</v>
      </c>
      <c r="L508" s="124" t="n">
        <f aca="false">K508+J508</f>
        <v>5.107</v>
      </c>
      <c r="M508" s="126" t="n">
        <f aca="false">VLOOKUP(G508,NGPrices,4,FALSE())</f>
        <v>0.068050789414654</v>
      </c>
      <c r="N508" s="7" t="n">
        <f aca="false">VLOOKUP(G508,NGPrices,3,FALSE())</f>
        <v>0.575</v>
      </c>
      <c r="O508" s="7" t="n">
        <f aca="false">HLOOKUP(D508,VOLS,VLOOKUP(G508,move_down,2,FALSE()),FALSE())</f>
        <v>0.564</v>
      </c>
      <c r="P508" s="249" t="n">
        <f aca="false">HLOOKUP(D508,Correllate,VLOOKUP(G508,CorMove,2,FALSE()),FALSE())</f>
        <v>0.9925</v>
      </c>
      <c r="Q508" s="92" t="n">
        <f aca="false">WORKDAY(G508,-2)</f>
        <v>36797</v>
      </c>
      <c r="R508" s="7" t="n">
        <f aca="false">IF(F508="P",0,1)</f>
        <v>1</v>
      </c>
      <c r="S508" s="130" t="e">
        <f aca="false">xSPRDOPT($L508,$J508,$I508,$M508,$O508,$N508,$P508,$Q508-$C$3,$R508,0)</f>
        <v>#NAME?</v>
      </c>
      <c r="T508" s="250" t="e">
        <f aca="false">xSPRDOPT($L508,$J508,$I508,$M508,$O508,$N508,$P508,$Q508-$C$3,$R508,1)*H508</f>
        <v>#NAME?</v>
      </c>
      <c r="U508" s="43" t="e">
        <f aca="false">S508*H508</f>
        <v>#NAME?</v>
      </c>
      <c r="V508" s="250" t="e">
        <f aca="false">xSPRDOPT($L508,$J508,$I508,$M508,$O508,$N508,$P508,$Q508-$C$3,$R508,2)*H508</f>
        <v>#NAME?</v>
      </c>
      <c r="W508" s="250" t="e">
        <f aca="false">+V508+T508</f>
        <v>#NAME?</v>
      </c>
      <c r="X508" s="2" t="str">
        <f aca="false">CONCATENATE(G508,D508)</f>
        <v>36800IF-TRANSCO/Z6</v>
      </c>
      <c r="Y508" s="251" t="n">
        <f aca="false">H508/10000</f>
        <v>-62</v>
      </c>
      <c r="Z508" s="226" t="e">
        <f aca="false">T508/H508</f>
        <v>#NAME?</v>
      </c>
      <c r="AA508" s="226" t="e">
        <f aca="false">xSPRDOPT($L508,$J508,$I508,$M508,$O508,$N508,$P508,$Q508-$C$3,$R508,3)</f>
        <v>#NAME?</v>
      </c>
      <c r="AB508" s="226" t="e">
        <f aca="false">((xSPRDOPT($L508+AB$5,$J508,$I508,$M508,$O508,$N508,$P508,$Q508-$C$3,$R508,3)*$H508)/10000)/100</f>
        <v>#NAME?</v>
      </c>
      <c r="AC508" s="226" t="e">
        <f aca="false">((xSPRDOPT($L508+$AB$5,$J508,$I508,$M508,$O508,$N508,$P508,$Q508-$C$3,$R508,7)*$H508)/100)</f>
        <v>#NAME?</v>
      </c>
      <c r="AD508" s="226" t="e">
        <f aca="false">(xSPRDOPT($L508+$AB$5,$J508,$I508,$M508,$O508,$N508,$P508,$Q508-$C$3,$R508,9)/365)*$H508</f>
        <v>#NAME?</v>
      </c>
      <c r="AE508" s="0" t="e">
        <f aca="false">CD508</f>
        <v>#NAME?</v>
      </c>
      <c r="AF508" s="226" t="e">
        <f aca="false">((O508/N508)*AH508)+AG508</f>
        <v>#NAME?</v>
      </c>
      <c r="AG508" s="226" t="e">
        <f aca="false">((xSPRDOPT($L508,$J508,$I508,$M508,$O508,$N508,$P508,$Q508-$C$3,$R508,6)*$H508)/100)</f>
        <v>#NAME?</v>
      </c>
      <c r="AH508" s="226" t="e">
        <f aca="false">((xSPRDOPT($L508,$J508,$I508,$M508,$O508,$N508,$P508,$Q508-$C$3,$R508,5)*$H508)/100)</f>
        <v>#NAME?</v>
      </c>
      <c r="AI508" s="226" t="e">
        <f aca="false">(((xSPRDOPT($L508,$J508,$I508,$M508,$O508,$N508,$P508,$Q508-$C$3,$R508,4)*$H508)/10000)/100)-AB508</f>
        <v>#NAME?</v>
      </c>
      <c r="AJ508" s="226"/>
      <c r="AK508" s="226"/>
      <c r="AL508" s="226"/>
      <c r="AM508" s="252"/>
      <c r="CC508" s="182" t="n">
        <f aca="false">G508</f>
        <v>36800</v>
      </c>
      <c r="CD508" s="253" t="e">
        <f aca="false">xSPRDOPT((VLOOKUP(G508,NGPrices,2,FALSE())+HLOOKUP(D508,Prices,VLOOKUP(G508,move_down,2,FALSE()),FALSE())),VLOOKUP(G508,NGPrices,2,FALSE()),I508,VLOOKUP(G508,NGPREVPRICES,4,FALSE()),HLOOKUP(D508,PREVVOLS,VLOOKUP(G508,MOVE_DOWN2,2,FALSE()),FALSE()),VLOOKUP(G508,NGPREVPRICES,3,FALSE()),HLOOKUP(D508,Correllate,VLOOKUP(G508,CorMove,2,FALSE()),FALSE()),Q508-$CD$3,R508,$CD$5)*H508-CJ508</f>
        <v>#NAME?</v>
      </c>
      <c r="CE508" s="253" t="e">
        <f aca="false">xSPRDOPT((VLOOKUP(G508,NGPREVPRICES,2,FALSE())+HLOOKUP(D508,PREVCURVES,VLOOKUP(G508,MOVE_DOWN2,2,FALSE()),FALSE())),VLOOKUP(G508,NGPREVPRICES,2,FALSE()),CK508,VLOOKUP(G508,NGPrices,4,FALSE()),HLOOKUP(D508,PREVVOLS,VLOOKUP(G508,MOVE_DOWN2,2,FALSE()),FALSE()),VLOOKUP(G508,NGPREVPRICES,3,FALSE()),HLOOKUP(D508,Correllate,VLOOKUP(G508,CorMove,2,FALSE()),FALSE()),Q508-$CD$3,R508,$CJ$5)*H508-CJ508</f>
        <v>#NAME?</v>
      </c>
      <c r="CF508" s="132" t="e">
        <f aca="false">(CJ508/VLOOKUP(CC508,discount,3,FALSE()))-(CJ508/VLOOKUP(CC508,discount,2,FALSE()))</f>
        <v>#NAME?</v>
      </c>
      <c r="CG508" s="253" t="e">
        <f aca="false">xSPRDOPT((VLOOKUP(G508,NGPREVPRICES,2,FALSE())+HLOOKUP(D508,PREVCURVES,VLOOKUP(G508,MOVE_DOWN2,2,FALSE()),FALSE())),VLOOKUP(G508,NGPREVPRICES,2,FALSE()),CK508,VLOOKUP(G508,NGPREVPRICES,4,FALSE()),HLOOKUP(D508,VOLS,VLOOKUP(G508,move_down,2,FALSE()),FALSE()),VLOOKUP(G508,NGPrices,3,FALSE()),HLOOKUP(D508,Correllate,VLOOKUP(G508,CorMove,2,FALSE()),FALSE()),Q508-$CD$3,R508,$CJ$5)*H508-CJ508</f>
        <v>#NAME?</v>
      </c>
      <c r="CH508" s="253" t="e">
        <f aca="false">xSPRDOPT((VLOOKUP(G508,NGPREVPRICES,2,FALSE())+HLOOKUP(D508,PREVCURVES,VLOOKUP(G508,MOVE_DOWN2,2,FALSE()),FALSE())),VLOOKUP(G508,NGPREVPRICES,2,FALSE()),CK508,VLOOKUP(G508,NGPREVPRICES,4,FALSE()),HLOOKUP(D508,PREVVOLS,VLOOKUP(G508,MOVE_DOWN2,2,FALSE()),FALSE()),VLOOKUP(G508,NGPREVPRICES,3,FALSE()),HLOOKUP(D508,Correllate,VLOOKUP(G508,CorMove,2,FALSE()),FALSE()),Q508-$C$3,R508,$CJ$5)*H508-CJ508</f>
        <v>#NAME?</v>
      </c>
      <c r="CI508" s="253" t="e">
        <f aca="false">SUM(CD508:CH508)</f>
        <v>#NAME?</v>
      </c>
      <c r="CJ508" s="253" t="e">
        <f aca="false">xSPRDOPT((VLOOKUP(G508,NGPREVPRICES,2,FALSE())+HLOOKUP(D508,PREVCURVES,VLOOKUP(G508,MOVE_DOWN2,2,FALSE()),FALSE())),VLOOKUP(G508,NGPREVPRICES,2,FALSE()),CK508,VLOOKUP(G508,NGPREVPRICES,4,FALSE()),HLOOKUP(D508,PREVVOLS,VLOOKUP(G508,MOVE_DOWN2,2,FALSE()),FALSE()),VLOOKUP(G508,NGPREVPRICES,3,FALSE()),HLOOKUP(D508,Correllate,VLOOKUP(G508,CorMove,2,FALSE()),FALSE()),Q508-$CD$3,R508,$CJ$5)*H508</f>
        <v>#NAME?</v>
      </c>
      <c r="CK508" s="254" t="n">
        <f aca="false">I508</f>
        <v>0.4</v>
      </c>
      <c r="CM508" s="0" t="str">
        <f aca="false">CONCATENATE(CC508,$CD$6)</f>
        <v>36800Curve Shift/Gamma</v>
      </c>
      <c r="CN508" s="0" t="str">
        <f aca="false">CONCATENATE($CC508,$CE$6)</f>
        <v>36800Rho</v>
      </c>
      <c r="CO508" s="0" t="str">
        <f aca="false">CONCATENATE($CC508,$CF$6)</f>
        <v>36800Drift</v>
      </c>
      <c r="CP508" s="0" t="str">
        <f aca="false">CONCATENATE($CC508,$CG$6)</f>
        <v>36800Vega</v>
      </c>
      <c r="CQ508" s="0" t="str">
        <f aca="false">CONCATENATE($CC508,$CH$6)</f>
        <v>36800Theta</v>
      </c>
    </row>
    <row r="509" customFormat="false" ht="12.75" hidden="false" customHeight="false" outlineLevel="0" collapsed="false">
      <c r="A509" s="17" t="s">
        <v>208</v>
      </c>
      <c r="B509" s="0" t="s">
        <v>192</v>
      </c>
      <c r="C509" s="0" t="s">
        <v>371</v>
      </c>
      <c r="D509" s="7" t="s">
        <v>152</v>
      </c>
      <c r="E509" s="0" t="s">
        <v>131</v>
      </c>
      <c r="F509" s="0" t="s">
        <v>136</v>
      </c>
      <c r="G509" s="92" t="n">
        <v>36951</v>
      </c>
      <c r="H509" s="248" t="n">
        <v>-310000</v>
      </c>
      <c r="I509" s="0" t="n">
        <v>0.15</v>
      </c>
      <c r="J509" s="124" t="n">
        <f aca="false">VLOOKUP(G509,NGPrices,2,FALSE())</f>
        <v>4.213</v>
      </c>
      <c r="K509" s="125" t="n">
        <f aca="false">HLOOKUP(D509,Prices,VLOOKUP(G509,move_down,2,FALSE()),FALSE())+VLOOKUP(G509,CHANGE,HLOOKUP(D509,CHANGE,2,FALSE()),FALSE())</f>
        <v>0.1225</v>
      </c>
      <c r="L509" s="124" t="n">
        <f aca="false">K509+J509</f>
        <v>4.3355</v>
      </c>
      <c r="M509" s="126" t="n">
        <f aca="false">VLOOKUP(G509,NGPrices,4,FALSE())</f>
        <v>0.068879814952707</v>
      </c>
      <c r="N509" s="7" t="n">
        <f aca="false">VLOOKUP(G509,NGPrices,3,FALSE())</f>
        <v>0.5325</v>
      </c>
      <c r="O509" s="7" t="n">
        <f aca="false">HLOOKUP(D509,VOLS,VLOOKUP(G509,move_down,2,FALSE()),FALSE())</f>
        <v>0.533</v>
      </c>
      <c r="P509" s="249" t="n">
        <f aca="false">HLOOKUP(D509,Correllate,VLOOKUP(G509,CorMove,2,FALSE()),FALSE())</f>
        <v>0.997</v>
      </c>
      <c r="Q509" s="92" t="n">
        <f aca="false">WORKDAY(G509,-2)</f>
        <v>36949</v>
      </c>
      <c r="R509" s="7" t="n">
        <f aca="false">IF(F509="P",0,1)</f>
        <v>1</v>
      </c>
      <c r="S509" s="130" t="e">
        <f aca="false">xSPRDOPT($L509,$J509,$I509,$M509,$O509,$N509,$P509,$Q509-$C$3,$R509,0)</f>
        <v>#NAME?</v>
      </c>
      <c r="T509" s="250" t="e">
        <f aca="false">xSPRDOPT($L509,$J509,$I509,$M509,$O509,$N509,$P509,$Q509-$C$3,$R509,1)*H509</f>
        <v>#NAME?</v>
      </c>
      <c r="U509" s="43" t="e">
        <f aca="false">S509*H509</f>
        <v>#NAME?</v>
      </c>
      <c r="V509" s="250" t="e">
        <f aca="false">xSPRDOPT($L509,$J509,$I509,$M509,$O509,$N509,$P509,$Q509-$C$3,$R509,2)*H509</f>
        <v>#NAME?</v>
      </c>
      <c r="W509" s="250" t="e">
        <f aca="false">+V509+T509</f>
        <v>#NAME?</v>
      </c>
      <c r="X509" s="2" t="str">
        <f aca="false">CONCATENATE(G509,D509)</f>
        <v>36951NGI/CHI. GATE</v>
      </c>
      <c r="Y509" s="251" t="n">
        <f aca="false">H509/10000</f>
        <v>-31</v>
      </c>
      <c r="Z509" s="226" t="e">
        <f aca="false">T509/H509</f>
        <v>#NAME?</v>
      </c>
      <c r="AA509" s="226" t="e">
        <f aca="false">xSPRDOPT($L509,$J509,$I509,$M509,$O509,$N509,$P509,$Q509-$C$3,$R509,3)</f>
        <v>#NAME?</v>
      </c>
      <c r="AB509" s="226" t="e">
        <f aca="false">((xSPRDOPT($L509+AB$5,$J509,$I509,$M509,$O509,$N509,$P509,$Q509-$C$3,$R509,3)*$H509)/10000)/100</f>
        <v>#NAME?</v>
      </c>
      <c r="AC509" s="226" t="e">
        <f aca="false">((xSPRDOPT($L509+$AB$5,$J509,$I509,$M509,$O509,$N509,$P509,$Q509-$C$3,$R509,7)*$H509)/100)</f>
        <v>#NAME?</v>
      </c>
      <c r="AD509" s="226" t="e">
        <f aca="false">(xSPRDOPT($L509+$AB$5,$J509,$I509,$M509,$O509,$N509,$P509,$Q509-$C$3,$R509,9)/365)*$H509</f>
        <v>#NAME?</v>
      </c>
      <c r="AE509" s="0" t="e">
        <f aca="false">CD509</f>
        <v>#NAME?</v>
      </c>
      <c r="AF509" s="226" t="e">
        <f aca="false">((O509/N509)*AH509)+AG509</f>
        <v>#NAME?</v>
      </c>
      <c r="AG509" s="226" t="e">
        <f aca="false">((xSPRDOPT($L509,$J509,$I509,$M509,$O509,$N509,$P509,$Q509-$C$3,$R509,6)*$H509)/100)</f>
        <v>#NAME?</v>
      </c>
      <c r="AH509" s="226" t="e">
        <f aca="false">((xSPRDOPT($L509,$J509,$I509,$M509,$O509,$N509,$P509,$Q509-$C$3,$R509,5)*$H509)/100)</f>
        <v>#NAME?</v>
      </c>
      <c r="AI509" s="226" t="e">
        <f aca="false">(((xSPRDOPT($L509,$J509,$I509,$M509,$O509,$N509,$P509,$Q509-$C$3,$R509,4)*$H509)/10000)/100)-AB509</f>
        <v>#NAME?</v>
      </c>
      <c r="AJ509" s="226"/>
      <c r="AK509" s="226"/>
      <c r="AL509" s="226"/>
      <c r="AM509" s="252"/>
      <c r="CC509" s="182" t="n">
        <f aca="false">G509</f>
        <v>36951</v>
      </c>
      <c r="CD509" s="253" t="e">
        <f aca="false">xSPRDOPT((VLOOKUP(G509,NGPrices,2,FALSE())+HLOOKUP(D509,Prices,VLOOKUP(G509,move_down,2,FALSE()),FALSE())),VLOOKUP(G509,NGPrices,2,FALSE()),I509,VLOOKUP(G509,NGPREVPRICES,4,FALSE()),HLOOKUP(D509,PREVVOLS,VLOOKUP(G509,MOVE_DOWN2,2,FALSE()),FALSE()),VLOOKUP(G509,NGPREVPRICES,3,FALSE()),HLOOKUP(D509,Correllate,VLOOKUP(G509,CorMove,2,FALSE()),FALSE()),Q509-$CD$3,R509,$CD$5)*H509-CJ509</f>
        <v>#NAME?</v>
      </c>
      <c r="CE509" s="253" t="e">
        <f aca="false">xSPRDOPT((VLOOKUP(G509,NGPREVPRICES,2,FALSE())+HLOOKUP(D509,PREVCURVES,VLOOKUP(G509,MOVE_DOWN2,2,FALSE()),FALSE())),VLOOKUP(G509,NGPREVPRICES,2,FALSE()),CK509,VLOOKUP(G509,NGPrices,4,FALSE()),HLOOKUP(D509,PREVVOLS,VLOOKUP(G509,MOVE_DOWN2,2,FALSE()),FALSE()),VLOOKUP(G509,NGPREVPRICES,3,FALSE()),HLOOKUP(D509,Correllate,VLOOKUP(G509,CorMove,2,FALSE()),FALSE()),Q509-$CD$3,R509,$CJ$5)*H509-CJ509</f>
        <v>#NAME?</v>
      </c>
      <c r="CF509" s="132" t="e">
        <f aca="false">(CJ509/VLOOKUP(CC509,discount,3,FALSE()))-(CJ509/VLOOKUP(CC509,discount,2,FALSE()))</f>
        <v>#NAME?</v>
      </c>
      <c r="CG509" s="253" t="e">
        <f aca="false">xSPRDOPT((VLOOKUP(G509,NGPREVPRICES,2,FALSE())+HLOOKUP(D509,PREVCURVES,VLOOKUP(G509,MOVE_DOWN2,2,FALSE()),FALSE())),VLOOKUP(G509,NGPREVPRICES,2,FALSE()),CK509,VLOOKUP(G509,NGPREVPRICES,4,FALSE()),HLOOKUP(D509,VOLS,VLOOKUP(G509,move_down,2,FALSE()),FALSE()),VLOOKUP(G509,NGPrices,3,FALSE()),HLOOKUP(D509,Correllate,VLOOKUP(G509,CorMove,2,FALSE()),FALSE()),Q509-$CD$3,R509,$CJ$5)*H509-CJ509</f>
        <v>#NAME?</v>
      </c>
      <c r="CH509" s="253" t="e">
        <f aca="false">xSPRDOPT((VLOOKUP(G509,NGPREVPRICES,2,FALSE())+HLOOKUP(D509,PREVCURVES,VLOOKUP(G509,MOVE_DOWN2,2,FALSE()),FALSE())),VLOOKUP(G509,NGPREVPRICES,2,FALSE()),CK509,VLOOKUP(G509,NGPREVPRICES,4,FALSE()),HLOOKUP(D509,PREVVOLS,VLOOKUP(G509,MOVE_DOWN2,2,FALSE()),FALSE()),VLOOKUP(G509,NGPREVPRICES,3,FALSE()),HLOOKUP(D509,Correllate,VLOOKUP(G509,CorMove,2,FALSE()),FALSE()),Q509-$C$3,R509,$CJ$5)*H509-CJ509</f>
        <v>#NAME?</v>
      </c>
      <c r="CI509" s="253" t="e">
        <f aca="false">SUM(CD509:CH509)</f>
        <v>#NAME?</v>
      </c>
      <c r="CJ509" s="253" t="e">
        <f aca="false">xSPRDOPT((VLOOKUP(G509,NGPREVPRICES,2,FALSE())+HLOOKUP(D509,PREVCURVES,VLOOKUP(G509,MOVE_DOWN2,2,FALSE()),FALSE())),VLOOKUP(G509,NGPREVPRICES,2,FALSE()),CK509,VLOOKUP(G509,NGPREVPRICES,4,FALSE()),HLOOKUP(D509,PREVVOLS,VLOOKUP(G509,MOVE_DOWN2,2,FALSE()),FALSE()),VLOOKUP(G509,NGPREVPRICES,3,FALSE()),HLOOKUP(D509,Correllate,VLOOKUP(G509,CorMove,2,FALSE()),FALSE()),Q509-$CD$3,R509,$CJ$5)*H509</f>
        <v>#NAME?</v>
      </c>
      <c r="CK509" s="254" t="n">
        <f aca="false">I509</f>
        <v>0.15</v>
      </c>
      <c r="CM509" s="0" t="str">
        <f aca="false">CONCATENATE(CC509,$CD$6)</f>
        <v>36951Curve Shift/Gamma</v>
      </c>
      <c r="CN509" s="0" t="str">
        <f aca="false">CONCATENATE($CC509,$CE$6)</f>
        <v>36951Rho</v>
      </c>
      <c r="CO509" s="0" t="str">
        <f aca="false">CONCATENATE($CC509,$CF$6)</f>
        <v>36951Drift</v>
      </c>
      <c r="CP509" s="0" t="str">
        <f aca="false">CONCATENATE($CC509,$CG$6)</f>
        <v>36951Vega</v>
      </c>
      <c r="CQ509" s="0" t="str">
        <f aca="false">CONCATENATE($CC509,$CH$6)</f>
        <v>36951Theta</v>
      </c>
    </row>
    <row r="510" customFormat="false" ht="12.75" hidden="false" customHeight="false" outlineLevel="0" collapsed="false">
      <c r="A510" s="17" t="s">
        <v>208</v>
      </c>
      <c r="B510" s="0" t="s">
        <v>192</v>
      </c>
      <c r="C510" s="0" t="s">
        <v>371</v>
      </c>
      <c r="D510" s="7" t="s">
        <v>152</v>
      </c>
      <c r="E510" s="0" t="s">
        <v>131</v>
      </c>
      <c r="F510" s="0" t="s">
        <v>136</v>
      </c>
      <c r="G510" s="92" t="n">
        <v>36923</v>
      </c>
      <c r="H510" s="248" t="n">
        <v>-280000</v>
      </c>
      <c r="I510" s="0" t="n">
        <v>0.15</v>
      </c>
      <c r="J510" s="124" t="n">
        <f aca="false">VLOOKUP(G510,NGPrices,2,FALSE())</f>
        <v>4.48</v>
      </c>
      <c r="K510" s="125" t="n">
        <f aca="false">HLOOKUP(D510,Prices,VLOOKUP(G510,move_down,2,FALSE()),FALSE())+VLOOKUP(G510,CHANGE,HLOOKUP(D510,CHANGE,2,FALSE()),FALSE())</f>
        <v>0.1375</v>
      </c>
      <c r="L510" s="124" t="n">
        <f aca="false">K510+J510</f>
        <v>4.6175</v>
      </c>
      <c r="M510" s="126" t="n">
        <f aca="false">VLOOKUP(G510,NGPrices,4,FALSE())</f>
        <v>0.068640161611372</v>
      </c>
      <c r="N510" s="7" t="n">
        <f aca="false">VLOOKUP(G510,NGPrices,3,FALSE())</f>
        <v>0.5925</v>
      </c>
      <c r="O510" s="7" t="n">
        <f aca="false">HLOOKUP(D510,VOLS,VLOOKUP(G510,move_down,2,FALSE()),FALSE())</f>
        <v>0.593</v>
      </c>
      <c r="P510" s="249" t="n">
        <f aca="false">HLOOKUP(D510,Correllate,VLOOKUP(G510,CorMove,2,FALSE()),FALSE())</f>
        <v>0.997</v>
      </c>
      <c r="Q510" s="92" t="n">
        <f aca="false">WORKDAY(G510,-2)</f>
        <v>36921</v>
      </c>
      <c r="R510" s="7" t="n">
        <f aca="false">IF(F510="P",0,1)</f>
        <v>1</v>
      </c>
      <c r="S510" s="130" t="e">
        <f aca="false">xSPRDOPT($L510,$J510,$I510,$M510,$O510,$N510,$P510,$Q510-$C$3,$R510,0)</f>
        <v>#NAME?</v>
      </c>
      <c r="T510" s="250" t="e">
        <f aca="false">xSPRDOPT($L510,$J510,$I510,$M510,$O510,$N510,$P510,$Q510-$C$3,$R510,1)*H510</f>
        <v>#NAME?</v>
      </c>
      <c r="U510" s="43" t="e">
        <f aca="false">S510*H510</f>
        <v>#NAME?</v>
      </c>
      <c r="V510" s="250" t="e">
        <f aca="false">xSPRDOPT($L510,$J510,$I510,$M510,$O510,$N510,$P510,$Q510-$C$3,$R510,2)*H510</f>
        <v>#NAME?</v>
      </c>
      <c r="W510" s="250" t="e">
        <f aca="false">+V510+T510</f>
        <v>#NAME?</v>
      </c>
      <c r="X510" s="2" t="str">
        <f aca="false">CONCATENATE(G510,D510)</f>
        <v>36923NGI/CHI. GATE</v>
      </c>
      <c r="Y510" s="251" t="n">
        <f aca="false">H510/10000</f>
        <v>-28</v>
      </c>
      <c r="Z510" s="226" t="e">
        <f aca="false">T510/H510</f>
        <v>#NAME?</v>
      </c>
      <c r="AA510" s="226" t="e">
        <f aca="false">xSPRDOPT($L510,$J510,$I510,$M510,$O510,$N510,$P510,$Q510-$C$3,$R510,3)</f>
        <v>#NAME?</v>
      </c>
      <c r="AB510" s="226" t="e">
        <f aca="false">((xSPRDOPT($L510+AB$5,$J510,$I510,$M510,$O510,$N510,$P510,$Q510-$C$3,$R510,3)*$H510)/10000)/100</f>
        <v>#NAME?</v>
      </c>
      <c r="AC510" s="226" t="e">
        <f aca="false">((xSPRDOPT($L510+$AB$5,$J510,$I510,$M510,$O510,$N510,$P510,$Q510-$C$3,$R510,7)*$H510)/100)</f>
        <v>#NAME?</v>
      </c>
      <c r="AD510" s="226" t="e">
        <f aca="false">(xSPRDOPT($L510+$AB$5,$J510,$I510,$M510,$O510,$N510,$P510,$Q510-$C$3,$R510,9)/365)*$H510</f>
        <v>#NAME?</v>
      </c>
      <c r="AE510" s="0" t="e">
        <f aca="false">CD510</f>
        <v>#NAME?</v>
      </c>
      <c r="AF510" s="226" t="e">
        <f aca="false">((O510/N510)*AH510)+AG510</f>
        <v>#NAME?</v>
      </c>
      <c r="AG510" s="226" t="e">
        <f aca="false">((xSPRDOPT($L510,$J510,$I510,$M510,$O510,$N510,$P510,$Q510-$C$3,$R510,6)*$H510)/100)</f>
        <v>#NAME?</v>
      </c>
      <c r="AH510" s="226" t="e">
        <f aca="false">((xSPRDOPT($L510,$J510,$I510,$M510,$O510,$N510,$P510,$Q510-$C$3,$R510,5)*$H510)/100)</f>
        <v>#NAME?</v>
      </c>
      <c r="AI510" s="226" t="e">
        <f aca="false">(((xSPRDOPT($L510,$J510,$I510,$M510,$O510,$N510,$P510,$Q510-$C$3,$R510,4)*$H510)/10000)/100)-AB510</f>
        <v>#NAME?</v>
      </c>
      <c r="AJ510" s="226"/>
      <c r="AK510" s="226"/>
      <c r="AL510" s="226"/>
      <c r="AM510" s="252"/>
      <c r="CC510" s="182" t="n">
        <f aca="false">G510</f>
        <v>36923</v>
      </c>
      <c r="CD510" s="253" t="e">
        <f aca="false">xSPRDOPT((VLOOKUP(G510,NGPrices,2,FALSE())+HLOOKUP(D510,Prices,VLOOKUP(G510,move_down,2,FALSE()),FALSE())),VLOOKUP(G510,NGPrices,2,FALSE()),I510,VLOOKUP(G510,NGPREVPRICES,4,FALSE()),HLOOKUP(D510,PREVVOLS,VLOOKUP(G510,MOVE_DOWN2,2,FALSE()),FALSE()),VLOOKUP(G510,NGPREVPRICES,3,FALSE()),HLOOKUP(D510,Correllate,VLOOKUP(G510,CorMove,2,FALSE()),FALSE()),Q510-$CD$3,R510,$CD$5)*H510-CJ510</f>
        <v>#NAME?</v>
      </c>
      <c r="CE510" s="253" t="e">
        <f aca="false">xSPRDOPT((VLOOKUP(G510,NGPREVPRICES,2,FALSE())+HLOOKUP(D510,PREVCURVES,VLOOKUP(G510,MOVE_DOWN2,2,FALSE()),FALSE())),VLOOKUP(G510,NGPREVPRICES,2,FALSE()),CK510,VLOOKUP(G510,NGPrices,4,FALSE()),HLOOKUP(D510,PREVVOLS,VLOOKUP(G510,MOVE_DOWN2,2,FALSE()),FALSE()),VLOOKUP(G510,NGPREVPRICES,3,FALSE()),HLOOKUP(D510,Correllate,VLOOKUP(G510,CorMove,2,FALSE()),FALSE()),Q510-$CD$3,R510,$CJ$5)*H510-CJ510</f>
        <v>#NAME?</v>
      </c>
      <c r="CF510" s="132" t="e">
        <f aca="false">(CJ510/VLOOKUP(CC510,discount,3,FALSE()))-(CJ510/VLOOKUP(CC510,discount,2,FALSE()))</f>
        <v>#NAME?</v>
      </c>
      <c r="CG510" s="253" t="e">
        <f aca="false">xSPRDOPT((VLOOKUP(G510,NGPREVPRICES,2,FALSE())+HLOOKUP(D510,PREVCURVES,VLOOKUP(G510,MOVE_DOWN2,2,FALSE()),FALSE())),VLOOKUP(G510,NGPREVPRICES,2,FALSE()),CK510,VLOOKUP(G510,NGPREVPRICES,4,FALSE()),HLOOKUP(D510,VOLS,VLOOKUP(G510,move_down,2,FALSE()),FALSE()),VLOOKUP(G510,NGPrices,3,FALSE()),HLOOKUP(D510,Correllate,VLOOKUP(G510,CorMove,2,FALSE()),FALSE()),Q510-$CD$3,R510,$CJ$5)*H510-CJ510</f>
        <v>#NAME?</v>
      </c>
      <c r="CH510" s="253" t="e">
        <f aca="false">xSPRDOPT((VLOOKUP(G510,NGPREVPRICES,2,FALSE())+HLOOKUP(D510,PREVCURVES,VLOOKUP(G510,MOVE_DOWN2,2,FALSE()),FALSE())),VLOOKUP(G510,NGPREVPRICES,2,FALSE()),CK510,VLOOKUP(G510,NGPREVPRICES,4,FALSE()),HLOOKUP(D510,PREVVOLS,VLOOKUP(G510,MOVE_DOWN2,2,FALSE()),FALSE()),VLOOKUP(G510,NGPREVPRICES,3,FALSE()),HLOOKUP(D510,Correllate,VLOOKUP(G510,CorMove,2,FALSE()),FALSE()),Q510-$C$3,R510,$CJ$5)*H510-CJ510</f>
        <v>#NAME?</v>
      </c>
      <c r="CI510" s="253" t="e">
        <f aca="false">SUM(CD510:CH510)</f>
        <v>#NAME?</v>
      </c>
      <c r="CJ510" s="253" t="e">
        <f aca="false">xSPRDOPT((VLOOKUP(G510,NGPREVPRICES,2,FALSE())+HLOOKUP(D510,PREVCURVES,VLOOKUP(G510,MOVE_DOWN2,2,FALSE()),FALSE())),VLOOKUP(G510,NGPREVPRICES,2,FALSE()),CK510,VLOOKUP(G510,NGPREVPRICES,4,FALSE()),HLOOKUP(D510,PREVVOLS,VLOOKUP(G510,MOVE_DOWN2,2,FALSE()),FALSE()),VLOOKUP(G510,NGPREVPRICES,3,FALSE()),HLOOKUP(D510,Correllate,VLOOKUP(G510,CorMove,2,FALSE()),FALSE()),Q510-$CD$3,R510,$CJ$5)*H510</f>
        <v>#NAME?</v>
      </c>
      <c r="CK510" s="254" t="n">
        <f aca="false">I510</f>
        <v>0.15</v>
      </c>
      <c r="CM510" s="0" t="str">
        <f aca="false">CONCATENATE(CC510,$CD$6)</f>
        <v>36923Curve Shift/Gamma</v>
      </c>
      <c r="CN510" s="0" t="str">
        <f aca="false">CONCATENATE($CC510,$CE$6)</f>
        <v>36923Rho</v>
      </c>
      <c r="CO510" s="0" t="str">
        <f aca="false">CONCATENATE($CC510,$CF$6)</f>
        <v>36923Drift</v>
      </c>
      <c r="CP510" s="0" t="str">
        <f aca="false">CONCATENATE($CC510,$CG$6)</f>
        <v>36923Vega</v>
      </c>
      <c r="CQ510" s="0" t="str">
        <f aca="false">CONCATENATE($CC510,$CH$6)</f>
        <v>36923Theta</v>
      </c>
    </row>
    <row r="511" customFormat="false" ht="12.75" hidden="false" customHeight="false" outlineLevel="0" collapsed="false">
      <c r="A511" s="17" t="s">
        <v>208</v>
      </c>
      <c r="B511" s="0" t="s">
        <v>192</v>
      </c>
      <c r="C511" s="0" t="s">
        <v>371</v>
      </c>
      <c r="D511" s="7" t="s">
        <v>152</v>
      </c>
      <c r="E511" s="0" t="s">
        <v>131</v>
      </c>
      <c r="F511" s="0" t="s">
        <v>136</v>
      </c>
      <c r="G511" s="92" t="n">
        <v>36892</v>
      </c>
      <c r="H511" s="248" t="n">
        <v>-310000</v>
      </c>
      <c r="I511" s="0" t="n">
        <v>0.15</v>
      </c>
      <c r="J511" s="124" t="n">
        <f aca="false">VLOOKUP(G511,NGPrices,2,FALSE())</f>
        <v>4.744</v>
      </c>
      <c r="K511" s="125" t="n">
        <f aca="false">HLOOKUP(D511,Prices,VLOOKUP(G511,move_down,2,FALSE()),FALSE())+VLOOKUP(G511,CHANGE,HLOOKUP(D511,CHANGE,2,FALSE()),FALSE())</f>
        <v>0.1275</v>
      </c>
      <c r="L511" s="124" t="n">
        <f aca="false">K511+J511</f>
        <v>4.8715</v>
      </c>
      <c r="M511" s="126" t="n">
        <f aca="false">VLOOKUP(G511,NGPrices,4,FALSE())</f>
        <v>0.068374831148491</v>
      </c>
      <c r="N511" s="7" t="n">
        <f aca="false">VLOOKUP(G511,NGPrices,3,FALSE())</f>
        <v>0.605</v>
      </c>
      <c r="O511" s="7" t="n">
        <f aca="false">HLOOKUP(D511,VOLS,VLOOKUP(G511,move_down,2,FALSE()),FALSE())</f>
        <v>0.605</v>
      </c>
      <c r="P511" s="249" t="n">
        <f aca="false">HLOOKUP(D511,Correllate,VLOOKUP(G511,CorMove,2,FALSE()),FALSE())</f>
        <v>0.997</v>
      </c>
      <c r="Q511" s="92" t="n">
        <f aca="false">WORKDAY(G511,-2)</f>
        <v>36888</v>
      </c>
      <c r="R511" s="7" t="n">
        <f aca="false">IF(F511="P",0,1)</f>
        <v>1</v>
      </c>
      <c r="S511" s="130" t="e">
        <f aca="false">xSPRDOPT($L511,$J511,$I511,$M511,$O511,$N511,$P511,$Q511-$C$3,$R511,0)</f>
        <v>#NAME?</v>
      </c>
      <c r="T511" s="250" t="e">
        <f aca="false">xSPRDOPT($L511,$J511,$I511,$M511,$O511,$N511,$P511,$Q511-$C$3,$R511,1)*H511</f>
        <v>#NAME?</v>
      </c>
      <c r="U511" s="43" t="e">
        <f aca="false">S511*H511</f>
        <v>#NAME?</v>
      </c>
      <c r="V511" s="250" t="e">
        <f aca="false">xSPRDOPT($L511,$J511,$I511,$M511,$O511,$N511,$P511,$Q511-$C$3,$R511,2)*H511</f>
        <v>#NAME?</v>
      </c>
      <c r="W511" s="250" t="e">
        <f aca="false">+V511+T511</f>
        <v>#NAME?</v>
      </c>
      <c r="X511" s="2" t="str">
        <f aca="false">CONCATENATE(G511,D511)</f>
        <v>36892NGI/CHI. GATE</v>
      </c>
      <c r="Y511" s="251" t="n">
        <f aca="false">H511/10000</f>
        <v>-31</v>
      </c>
      <c r="Z511" s="226" t="e">
        <f aca="false">T511/H511</f>
        <v>#NAME?</v>
      </c>
      <c r="AA511" s="226" t="e">
        <f aca="false">xSPRDOPT($L511,$J511,$I511,$M511,$O511,$N511,$P511,$Q511-$C$3,$R511,3)</f>
        <v>#NAME?</v>
      </c>
      <c r="AB511" s="226" t="e">
        <f aca="false">((xSPRDOPT($L511+AB$5,$J511,$I511,$M511,$O511,$N511,$P511,$Q511-$C$3,$R511,3)*$H511)/10000)/100</f>
        <v>#NAME?</v>
      </c>
      <c r="AC511" s="226" t="e">
        <f aca="false">((xSPRDOPT($L511+$AB$5,$J511,$I511,$M511,$O511,$N511,$P511,$Q511-$C$3,$R511,7)*$H511)/100)</f>
        <v>#NAME?</v>
      </c>
      <c r="AD511" s="226" t="e">
        <f aca="false">(xSPRDOPT($L511+$AB$5,$J511,$I511,$M511,$O511,$N511,$P511,$Q511-$C$3,$R511,9)/365)*$H511</f>
        <v>#NAME?</v>
      </c>
      <c r="AE511" s="0" t="e">
        <f aca="false">CD511</f>
        <v>#NAME?</v>
      </c>
      <c r="AF511" s="226" t="e">
        <f aca="false">((O511/N511)*AH511)+AG511</f>
        <v>#NAME?</v>
      </c>
      <c r="AG511" s="226" t="e">
        <f aca="false">((xSPRDOPT($L511,$J511,$I511,$M511,$O511,$N511,$P511,$Q511-$C$3,$R511,6)*$H511)/100)</f>
        <v>#NAME?</v>
      </c>
      <c r="AH511" s="226" t="e">
        <f aca="false">((xSPRDOPT($L511,$J511,$I511,$M511,$O511,$N511,$P511,$Q511-$C$3,$R511,5)*$H511)/100)</f>
        <v>#NAME?</v>
      </c>
      <c r="AI511" s="226" t="e">
        <f aca="false">(((xSPRDOPT($L511,$J511,$I511,$M511,$O511,$N511,$P511,$Q511-$C$3,$R511,4)*$H511)/10000)/100)-AB511</f>
        <v>#NAME?</v>
      </c>
      <c r="AJ511" s="226"/>
      <c r="AK511" s="226"/>
      <c r="AL511" s="226"/>
      <c r="AM511" s="252"/>
      <c r="CC511" s="182" t="n">
        <f aca="false">G511</f>
        <v>36892</v>
      </c>
      <c r="CD511" s="253" t="e">
        <f aca="false">xSPRDOPT((VLOOKUP(G511,NGPrices,2,FALSE())+HLOOKUP(D511,Prices,VLOOKUP(G511,move_down,2,FALSE()),FALSE())),VLOOKUP(G511,NGPrices,2,FALSE()),I511,VLOOKUP(G511,NGPREVPRICES,4,FALSE()),HLOOKUP(D511,PREVVOLS,VLOOKUP(G511,MOVE_DOWN2,2,FALSE()),FALSE()),VLOOKUP(G511,NGPREVPRICES,3,FALSE()),HLOOKUP(D511,Correllate,VLOOKUP(G511,CorMove,2,FALSE()),FALSE()),Q511-$CD$3,R511,$CD$5)*H511-CJ511</f>
        <v>#NAME?</v>
      </c>
      <c r="CE511" s="253" t="e">
        <f aca="false">xSPRDOPT((VLOOKUP(G511,NGPREVPRICES,2,FALSE())+HLOOKUP(D511,PREVCURVES,VLOOKUP(G511,MOVE_DOWN2,2,FALSE()),FALSE())),VLOOKUP(G511,NGPREVPRICES,2,FALSE()),CK511,VLOOKUP(G511,NGPrices,4,FALSE()),HLOOKUP(D511,PREVVOLS,VLOOKUP(G511,MOVE_DOWN2,2,FALSE()),FALSE()),VLOOKUP(G511,NGPREVPRICES,3,FALSE()),HLOOKUP(D511,Correllate,VLOOKUP(G511,CorMove,2,FALSE()),FALSE()),Q511-$CD$3,R511,$CJ$5)*H511-CJ511</f>
        <v>#NAME?</v>
      </c>
      <c r="CF511" s="132" t="e">
        <f aca="false">(CJ511/VLOOKUP(CC511,discount,3,FALSE()))-(CJ511/VLOOKUP(CC511,discount,2,FALSE()))</f>
        <v>#NAME?</v>
      </c>
      <c r="CG511" s="253" t="e">
        <f aca="false">xSPRDOPT((VLOOKUP(G511,NGPREVPRICES,2,FALSE())+HLOOKUP(D511,PREVCURVES,VLOOKUP(G511,MOVE_DOWN2,2,FALSE()),FALSE())),VLOOKUP(G511,NGPREVPRICES,2,FALSE()),CK511,VLOOKUP(G511,NGPREVPRICES,4,FALSE()),HLOOKUP(D511,VOLS,VLOOKUP(G511,move_down,2,FALSE()),FALSE()),VLOOKUP(G511,NGPrices,3,FALSE()),HLOOKUP(D511,Correllate,VLOOKUP(G511,CorMove,2,FALSE()),FALSE()),Q511-$CD$3,R511,$CJ$5)*H511-CJ511</f>
        <v>#NAME?</v>
      </c>
      <c r="CH511" s="253" t="e">
        <f aca="false">xSPRDOPT((VLOOKUP(G511,NGPREVPRICES,2,FALSE())+HLOOKUP(D511,PREVCURVES,VLOOKUP(G511,MOVE_DOWN2,2,FALSE()),FALSE())),VLOOKUP(G511,NGPREVPRICES,2,FALSE()),CK511,VLOOKUP(G511,NGPREVPRICES,4,FALSE()),HLOOKUP(D511,PREVVOLS,VLOOKUP(G511,MOVE_DOWN2,2,FALSE()),FALSE()),VLOOKUP(G511,NGPREVPRICES,3,FALSE()),HLOOKUP(D511,Correllate,VLOOKUP(G511,CorMove,2,FALSE()),FALSE()),Q511-$C$3,R511,$CJ$5)*H511-CJ511</f>
        <v>#NAME?</v>
      </c>
      <c r="CI511" s="253" t="e">
        <f aca="false">SUM(CD511:CH511)</f>
        <v>#NAME?</v>
      </c>
      <c r="CJ511" s="253" t="e">
        <f aca="false">xSPRDOPT((VLOOKUP(G511,NGPREVPRICES,2,FALSE())+HLOOKUP(D511,PREVCURVES,VLOOKUP(G511,MOVE_DOWN2,2,FALSE()),FALSE())),VLOOKUP(G511,NGPREVPRICES,2,FALSE()),CK511,VLOOKUP(G511,NGPREVPRICES,4,FALSE()),HLOOKUP(D511,PREVVOLS,VLOOKUP(G511,MOVE_DOWN2,2,FALSE()),FALSE()),VLOOKUP(G511,NGPREVPRICES,3,FALSE()),HLOOKUP(D511,Correllate,VLOOKUP(G511,CorMove,2,FALSE()),FALSE()),Q511-$CD$3,R511,$CJ$5)*H511</f>
        <v>#NAME?</v>
      </c>
      <c r="CK511" s="254" t="n">
        <f aca="false">I511</f>
        <v>0.15</v>
      </c>
      <c r="CM511" s="0" t="str">
        <f aca="false">CONCATENATE(CC511,$CD$6)</f>
        <v>36892Curve Shift/Gamma</v>
      </c>
      <c r="CN511" s="0" t="str">
        <f aca="false">CONCATENATE($CC511,$CE$6)</f>
        <v>36892Rho</v>
      </c>
      <c r="CO511" s="0" t="str">
        <f aca="false">CONCATENATE($CC511,$CF$6)</f>
        <v>36892Drift</v>
      </c>
      <c r="CP511" s="0" t="str">
        <f aca="false">CONCATENATE($CC511,$CG$6)</f>
        <v>36892Vega</v>
      </c>
      <c r="CQ511" s="0" t="str">
        <f aca="false">CONCATENATE($CC511,$CH$6)</f>
        <v>36892Theta</v>
      </c>
    </row>
    <row r="512" customFormat="false" ht="12.75" hidden="false" customHeight="false" outlineLevel="0" collapsed="false">
      <c r="A512" s="17" t="s">
        <v>208</v>
      </c>
      <c r="B512" s="0" t="s">
        <v>192</v>
      </c>
      <c r="C512" s="0" t="s">
        <v>371</v>
      </c>
      <c r="D512" s="7" t="s">
        <v>152</v>
      </c>
      <c r="E512" s="0" t="s">
        <v>131</v>
      </c>
      <c r="F512" s="0" t="s">
        <v>136</v>
      </c>
      <c r="G512" s="92" t="n">
        <v>36861</v>
      </c>
      <c r="H512" s="248" t="n">
        <v>-310000</v>
      </c>
      <c r="I512" s="0" t="n">
        <v>0.15</v>
      </c>
      <c r="J512" s="124" t="n">
        <f aca="false">VLOOKUP(G512,NGPrices,2,FALSE())</f>
        <v>4.8</v>
      </c>
      <c r="K512" s="125" t="n">
        <f aca="false">HLOOKUP(D512,Prices,VLOOKUP(G512,move_down,2,FALSE()),FALSE())+VLOOKUP(G512,CHANGE,HLOOKUP(D512,CHANGE,2,FALSE()),FALSE())</f>
        <v>0.1</v>
      </c>
      <c r="L512" s="124" t="n">
        <f aca="false">K512+J512</f>
        <v>4.9</v>
      </c>
      <c r="M512" s="126" t="n">
        <f aca="false">VLOOKUP(G512,NGPrices,4,FALSE())</f>
        <v>0.068314027999354</v>
      </c>
      <c r="N512" s="7" t="n">
        <f aca="false">VLOOKUP(G512,NGPrices,3,FALSE())</f>
        <v>0.6</v>
      </c>
      <c r="O512" s="7" t="n">
        <f aca="false">HLOOKUP(D512,VOLS,VLOOKUP(G512,move_down,2,FALSE()),FALSE())</f>
        <v>0.6</v>
      </c>
      <c r="P512" s="249" t="n">
        <f aca="false">HLOOKUP(D512,Correllate,VLOOKUP(G512,CorMove,2,FALSE()),FALSE())</f>
        <v>0.997</v>
      </c>
      <c r="Q512" s="92" t="n">
        <f aca="false">WORKDAY(G512,-2)</f>
        <v>36859</v>
      </c>
      <c r="R512" s="7" t="n">
        <f aca="false">IF(F512="P",0,1)</f>
        <v>1</v>
      </c>
      <c r="S512" s="130" t="e">
        <f aca="false">xSPRDOPT($L512,$J512,$I512,$M512,$O512,$N512,$P512,$Q512-$C$3,$R512,0)</f>
        <v>#NAME?</v>
      </c>
      <c r="T512" s="250" t="e">
        <f aca="false">xSPRDOPT($L512,$J512,$I512,$M512,$O512,$N512,$P512,$Q512-$C$3,$R512,1)*H512</f>
        <v>#NAME?</v>
      </c>
      <c r="U512" s="43" t="e">
        <f aca="false">S512*H512</f>
        <v>#NAME?</v>
      </c>
      <c r="V512" s="250" t="e">
        <f aca="false">xSPRDOPT($L512,$J512,$I512,$M512,$O512,$N512,$P512,$Q512-$C$3,$R512,2)*H512</f>
        <v>#NAME?</v>
      </c>
      <c r="W512" s="250" t="e">
        <f aca="false">+V512+T512</f>
        <v>#NAME?</v>
      </c>
      <c r="X512" s="2" t="str">
        <f aca="false">CONCATENATE(G512,D512)</f>
        <v>36861NGI/CHI. GATE</v>
      </c>
      <c r="Y512" s="251" t="n">
        <f aca="false">H512/10000</f>
        <v>-31</v>
      </c>
      <c r="Z512" s="226" t="e">
        <f aca="false">T512/H512</f>
        <v>#NAME?</v>
      </c>
      <c r="AA512" s="226" t="e">
        <f aca="false">xSPRDOPT($L512,$J512,$I512,$M512,$O512,$N512,$P512,$Q512-$C$3,$R512,3)</f>
        <v>#NAME?</v>
      </c>
      <c r="AB512" s="226" t="e">
        <f aca="false">((xSPRDOPT($L512+AB$5,$J512,$I512,$M512,$O512,$N512,$P512,$Q512-$C$3,$R512,3)*$H512)/10000)/100</f>
        <v>#NAME?</v>
      </c>
      <c r="AC512" s="226" t="e">
        <f aca="false">((xSPRDOPT($L512+$AB$5,$J512,$I512,$M512,$O512,$N512,$P512,$Q512-$C$3,$R512,7)*$H512)/100)</f>
        <v>#NAME?</v>
      </c>
      <c r="AD512" s="226" t="e">
        <f aca="false">(xSPRDOPT($L512+$AB$5,$J512,$I512,$M512,$O512,$N512,$P512,$Q512-$C$3,$R512,9)/365)*$H512</f>
        <v>#NAME?</v>
      </c>
      <c r="AE512" s="0" t="e">
        <f aca="false">CD512</f>
        <v>#NAME?</v>
      </c>
      <c r="AF512" s="226" t="e">
        <f aca="false">((O512/N512)*AH512)+AG512</f>
        <v>#NAME?</v>
      </c>
      <c r="AG512" s="226" t="e">
        <f aca="false">((xSPRDOPT($L512,$J512,$I512,$M512,$O512,$N512,$P512,$Q512-$C$3,$R512,6)*$H512)/100)</f>
        <v>#NAME?</v>
      </c>
      <c r="AH512" s="226" t="e">
        <f aca="false">((xSPRDOPT($L512,$J512,$I512,$M512,$O512,$N512,$P512,$Q512-$C$3,$R512,5)*$H512)/100)</f>
        <v>#NAME?</v>
      </c>
      <c r="AI512" s="226" t="e">
        <f aca="false">(((xSPRDOPT($L512,$J512,$I512,$M512,$O512,$N512,$P512,$Q512-$C$3,$R512,4)*$H512)/10000)/100)-AB512</f>
        <v>#NAME?</v>
      </c>
      <c r="AJ512" s="226"/>
      <c r="AK512" s="226"/>
      <c r="AL512" s="226"/>
      <c r="AM512" s="252"/>
      <c r="CC512" s="182" t="n">
        <f aca="false">G512</f>
        <v>36861</v>
      </c>
      <c r="CD512" s="253" t="e">
        <f aca="false">xSPRDOPT((VLOOKUP(G512,NGPrices,2,FALSE())+HLOOKUP(D512,Prices,VLOOKUP(G512,move_down,2,FALSE()),FALSE())),VLOOKUP(G512,NGPrices,2,FALSE()),I512,VLOOKUP(G512,NGPREVPRICES,4,FALSE()),HLOOKUP(D512,PREVVOLS,VLOOKUP(G512,MOVE_DOWN2,2,FALSE()),FALSE()),VLOOKUP(G512,NGPREVPRICES,3,FALSE()),HLOOKUP(D512,Correllate,VLOOKUP(G512,CorMove,2,FALSE()),FALSE()),Q512-$CD$3,R512,$CD$5)*H512-CJ512</f>
        <v>#NAME?</v>
      </c>
      <c r="CE512" s="253" t="e">
        <f aca="false">xSPRDOPT((VLOOKUP(G512,NGPREVPRICES,2,FALSE())+HLOOKUP(D512,PREVCURVES,VLOOKUP(G512,MOVE_DOWN2,2,FALSE()),FALSE())),VLOOKUP(G512,NGPREVPRICES,2,FALSE()),CK512,VLOOKUP(G512,NGPrices,4,FALSE()),HLOOKUP(D512,PREVVOLS,VLOOKUP(G512,MOVE_DOWN2,2,FALSE()),FALSE()),VLOOKUP(G512,NGPREVPRICES,3,FALSE()),HLOOKUP(D512,Correllate,VLOOKUP(G512,CorMove,2,FALSE()),FALSE()),Q512-$CD$3,R512,$CJ$5)*H512-CJ512</f>
        <v>#NAME?</v>
      </c>
      <c r="CF512" s="132" t="e">
        <f aca="false">(CJ512/VLOOKUP(CC512,discount,3,FALSE()))-(CJ512/VLOOKUP(CC512,discount,2,FALSE()))</f>
        <v>#NAME?</v>
      </c>
      <c r="CG512" s="253" t="e">
        <f aca="false">xSPRDOPT((VLOOKUP(G512,NGPREVPRICES,2,FALSE())+HLOOKUP(D512,PREVCURVES,VLOOKUP(G512,MOVE_DOWN2,2,FALSE()),FALSE())),VLOOKUP(G512,NGPREVPRICES,2,FALSE()),CK512,VLOOKUP(G512,NGPREVPRICES,4,FALSE()),HLOOKUP(D512,VOLS,VLOOKUP(G512,move_down,2,FALSE()),FALSE()),VLOOKUP(G512,NGPrices,3,FALSE()),HLOOKUP(D512,Correllate,VLOOKUP(G512,CorMove,2,FALSE()),FALSE()),Q512-$CD$3,R512,$CJ$5)*H512-CJ512</f>
        <v>#NAME?</v>
      </c>
      <c r="CH512" s="253" t="e">
        <f aca="false">xSPRDOPT((VLOOKUP(G512,NGPREVPRICES,2,FALSE())+HLOOKUP(D512,PREVCURVES,VLOOKUP(G512,MOVE_DOWN2,2,FALSE()),FALSE())),VLOOKUP(G512,NGPREVPRICES,2,FALSE()),CK512,VLOOKUP(G512,NGPREVPRICES,4,FALSE()),HLOOKUP(D512,PREVVOLS,VLOOKUP(G512,MOVE_DOWN2,2,FALSE()),FALSE()),VLOOKUP(G512,NGPREVPRICES,3,FALSE()),HLOOKUP(D512,Correllate,VLOOKUP(G512,CorMove,2,FALSE()),FALSE()),Q512-$C$3,R512,$CJ$5)*H512-CJ512</f>
        <v>#NAME?</v>
      </c>
      <c r="CI512" s="253" t="e">
        <f aca="false">SUM(CD512:CH512)</f>
        <v>#NAME?</v>
      </c>
      <c r="CJ512" s="253" t="e">
        <f aca="false">xSPRDOPT((VLOOKUP(G512,NGPREVPRICES,2,FALSE())+HLOOKUP(D512,PREVCURVES,VLOOKUP(G512,MOVE_DOWN2,2,FALSE()),FALSE())),VLOOKUP(G512,NGPREVPRICES,2,FALSE()),CK512,VLOOKUP(G512,NGPREVPRICES,4,FALSE()),HLOOKUP(D512,PREVVOLS,VLOOKUP(G512,MOVE_DOWN2,2,FALSE()),FALSE()),VLOOKUP(G512,NGPREVPRICES,3,FALSE()),HLOOKUP(D512,Correllate,VLOOKUP(G512,CorMove,2,FALSE()),FALSE()),Q512-$CD$3,R512,$CJ$5)*H512</f>
        <v>#NAME?</v>
      </c>
      <c r="CK512" s="254" t="n">
        <f aca="false">I512</f>
        <v>0.15</v>
      </c>
      <c r="CM512" s="0" t="str">
        <f aca="false">CONCATENATE(CC512,$CD$6)</f>
        <v>36861Curve Shift/Gamma</v>
      </c>
      <c r="CN512" s="0" t="str">
        <f aca="false">CONCATENATE($CC512,$CE$6)</f>
        <v>36861Rho</v>
      </c>
      <c r="CO512" s="0" t="str">
        <f aca="false">CONCATENATE($CC512,$CF$6)</f>
        <v>36861Drift</v>
      </c>
      <c r="CP512" s="0" t="str">
        <f aca="false">CONCATENATE($CC512,$CG$6)</f>
        <v>36861Vega</v>
      </c>
      <c r="CQ512" s="0" t="str">
        <f aca="false">CONCATENATE($CC512,$CH$6)</f>
        <v>36861Theta</v>
      </c>
    </row>
    <row r="513" customFormat="false" ht="12.75" hidden="false" customHeight="false" outlineLevel="0" collapsed="false">
      <c r="A513" s="17" t="s">
        <v>208</v>
      </c>
      <c r="B513" s="0" t="s">
        <v>192</v>
      </c>
      <c r="C513" s="0" t="s">
        <v>371</v>
      </c>
      <c r="D513" s="7" t="s">
        <v>152</v>
      </c>
      <c r="E513" s="0" t="s">
        <v>131</v>
      </c>
      <c r="F513" s="0" t="s">
        <v>136</v>
      </c>
      <c r="G513" s="92" t="n">
        <v>36831</v>
      </c>
      <c r="H513" s="248" t="n">
        <v>-300000</v>
      </c>
      <c r="I513" s="0" t="n">
        <v>0.15</v>
      </c>
      <c r="J513" s="124" t="n">
        <f aca="false">VLOOKUP(G513,NGPrices,2,FALSE())</f>
        <v>4.736</v>
      </c>
      <c r="K513" s="125" t="n">
        <f aca="false">HLOOKUP(D513,Prices,VLOOKUP(G513,move_down,2,FALSE()),FALSE())+VLOOKUP(G513,CHANGE,HLOOKUP(D513,CHANGE,2,FALSE()),FALSE())</f>
        <v>0.0875</v>
      </c>
      <c r="L513" s="124" t="n">
        <f aca="false">K513+J513</f>
        <v>4.8235</v>
      </c>
      <c r="M513" s="126" t="n">
        <f aca="false">VLOOKUP(G513,NGPrices,4,FALSE())</f>
        <v>0.06810675983792</v>
      </c>
      <c r="N513" s="7" t="n">
        <f aca="false">VLOOKUP(G513,NGPrices,3,FALSE())</f>
        <v>0.595</v>
      </c>
      <c r="O513" s="7" t="n">
        <f aca="false">HLOOKUP(D513,VOLS,VLOOKUP(G513,move_down,2,FALSE()),FALSE())</f>
        <v>0.595</v>
      </c>
      <c r="P513" s="249" t="n">
        <f aca="false">HLOOKUP(D513,Correllate,VLOOKUP(G513,CorMove,2,FALSE()),FALSE())</f>
        <v>0.997</v>
      </c>
      <c r="Q513" s="92" t="n">
        <f aca="false">WORKDAY(G513,-2)</f>
        <v>36829</v>
      </c>
      <c r="R513" s="7" t="n">
        <f aca="false">IF(F513="P",0,1)</f>
        <v>1</v>
      </c>
      <c r="S513" s="130" t="e">
        <f aca="false">xSPRDOPT($L513,$J513,$I513,$M513,$O513,$N513,$P513,$Q513-$C$3,$R513,0)</f>
        <v>#NAME?</v>
      </c>
      <c r="T513" s="250" t="e">
        <f aca="false">xSPRDOPT($L513,$J513,$I513,$M513,$O513,$N513,$P513,$Q513-$C$3,$R513,1)*H513</f>
        <v>#NAME?</v>
      </c>
      <c r="U513" s="43" t="e">
        <f aca="false">S513*H513</f>
        <v>#NAME?</v>
      </c>
      <c r="V513" s="250" t="e">
        <f aca="false">xSPRDOPT($L513,$J513,$I513,$M513,$O513,$N513,$P513,$Q513-$C$3,$R513,2)*H513</f>
        <v>#NAME?</v>
      </c>
      <c r="W513" s="250" t="e">
        <f aca="false">+V513+T513</f>
        <v>#NAME?</v>
      </c>
      <c r="X513" s="2" t="str">
        <f aca="false">CONCATENATE(G513,D513)</f>
        <v>36831NGI/CHI. GATE</v>
      </c>
      <c r="Y513" s="251" t="n">
        <f aca="false">H513/10000</f>
        <v>-30</v>
      </c>
      <c r="Z513" s="226" t="e">
        <f aca="false">T513/H513</f>
        <v>#NAME?</v>
      </c>
      <c r="AA513" s="226" t="e">
        <f aca="false">xSPRDOPT($L513,$J513,$I513,$M513,$O513,$N513,$P513,$Q513-$C$3,$R513,3)</f>
        <v>#NAME?</v>
      </c>
      <c r="AB513" s="226" t="e">
        <f aca="false">((xSPRDOPT($L513+AB$5,$J513,$I513,$M513,$O513,$N513,$P513,$Q513-$C$3,$R513,3)*$H513)/10000)/100</f>
        <v>#NAME?</v>
      </c>
      <c r="AC513" s="226" t="e">
        <f aca="false">((xSPRDOPT($L513+$AB$5,$J513,$I513,$M513,$O513,$N513,$P513,$Q513-$C$3,$R513,7)*$H513)/100)</f>
        <v>#NAME?</v>
      </c>
      <c r="AD513" s="226" t="e">
        <f aca="false">(xSPRDOPT($L513+$AB$5,$J513,$I513,$M513,$O513,$N513,$P513,$Q513-$C$3,$R513,9)/365)*$H513</f>
        <v>#NAME?</v>
      </c>
      <c r="AE513" s="0" t="e">
        <f aca="false">CD513</f>
        <v>#NAME?</v>
      </c>
      <c r="AF513" s="226" t="e">
        <f aca="false">((O513/N513)*AH513)+AG513</f>
        <v>#NAME?</v>
      </c>
      <c r="AG513" s="226" t="e">
        <f aca="false">((xSPRDOPT($L513,$J513,$I513,$M513,$O513,$N513,$P513,$Q513-$C$3,$R513,6)*$H513)/100)</f>
        <v>#NAME?</v>
      </c>
      <c r="AH513" s="226" t="e">
        <f aca="false">((xSPRDOPT($L513,$J513,$I513,$M513,$O513,$N513,$P513,$Q513-$C$3,$R513,5)*$H513)/100)</f>
        <v>#NAME?</v>
      </c>
      <c r="AI513" s="226" t="e">
        <f aca="false">(((xSPRDOPT($L513,$J513,$I513,$M513,$O513,$N513,$P513,$Q513-$C$3,$R513,4)*$H513)/10000)/100)-AB513</f>
        <v>#NAME?</v>
      </c>
      <c r="AJ513" s="226"/>
      <c r="AK513" s="226"/>
      <c r="AL513" s="226"/>
      <c r="AM513" s="252"/>
      <c r="CC513" s="182" t="n">
        <f aca="false">G513</f>
        <v>36831</v>
      </c>
      <c r="CD513" s="253" t="e">
        <f aca="false">xSPRDOPT((VLOOKUP(G513,NGPrices,2,FALSE())+HLOOKUP(D513,Prices,VLOOKUP(G513,move_down,2,FALSE()),FALSE())),VLOOKUP(G513,NGPrices,2,FALSE()),I513,VLOOKUP(G513,NGPREVPRICES,4,FALSE()),HLOOKUP(D513,PREVVOLS,VLOOKUP(G513,MOVE_DOWN2,2,FALSE()),FALSE()),VLOOKUP(G513,NGPREVPRICES,3,FALSE()),HLOOKUP(D513,Correllate,VLOOKUP(G513,CorMove,2,FALSE()),FALSE()),Q513-$CD$3,R513,$CD$5)*H513-CJ513</f>
        <v>#NAME?</v>
      </c>
      <c r="CE513" s="253" t="e">
        <f aca="false">xSPRDOPT((VLOOKUP(G513,NGPREVPRICES,2,FALSE())+HLOOKUP(D513,PREVCURVES,VLOOKUP(G513,MOVE_DOWN2,2,FALSE()),FALSE())),VLOOKUP(G513,NGPREVPRICES,2,FALSE()),CK513,VLOOKUP(G513,NGPrices,4,FALSE()),HLOOKUP(D513,PREVVOLS,VLOOKUP(G513,MOVE_DOWN2,2,FALSE()),FALSE()),VLOOKUP(G513,NGPREVPRICES,3,FALSE()),HLOOKUP(D513,Correllate,VLOOKUP(G513,CorMove,2,FALSE()),FALSE()),Q513-$CD$3,R513,$CJ$5)*H513-CJ513</f>
        <v>#NAME?</v>
      </c>
      <c r="CF513" s="132" t="e">
        <f aca="false">(CJ513/VLOOKUP(CC513,discount,3,FALSE()))-(CJ513/VLOOKUP(CC513,discount,2,FALSE()))</f>
        <v>#NAME?</v>
      </c>
      <c r="CG513" s="253" t="e">
        <f aca="false">xSPRDOPT((VLOOKUP(G513,NGPREVPRICES,2,FALSE())+HLOOKUP(D513,PREVCURVES,VLOOKUP(G513,MOVE_DOWN2,2,FALSE()),FALSE())),VLOOKUP(G513,NGPREVPRICES,2,FALSE()),CK513,VLOOKUP(G513,NGPREVPRICES,4,FALSE()),HLOOKUP(D513,VOLS,VLOOKUP(G513,move_down,2,FALSE()),FALSE()),VLOOKUP(G513,NGPrices,3,FALSE()),HLOOKUP(D513,Correllate,VLOOKUP(G513,CorMove,2,FALSE()),FALSE()),Q513-$CD$3,R513,$CJ$5)*H513-CJ513</f>
        <v>#NAME?</v>
      </c>
      <c r="CH513" s="253" t="e">
        <f aca="false">xSPRDOPT((VLOOKUP(G513,NGPREVPRICES,2,FALSE())+HLOOKUP(D513,PREVCURVES,VLOOKUP(G513,MOVE_DOWN2,2,FALSE()),FALSE())),VLOOKUP(G513,NGPREVPRICES,2,FALSE()),CK513,VLOOKUP(G513,NGPREVPRICES,4,FALSE()),HLOOKUP(D513,PREVVOLS,VLOOKUP(G513,MOVE_DOWN2,2,FALSE()),FALSE()),VLOOKUP(G513,NGPREVPRICES,3,FALSE()),HLOOKUP(D513,Correllate,VLOOKUP(G513,CorMove,2,FALSE()),FALSE()),Q513-$C$3,R513,$CJ$5)*H513-CJ513</f>
        <v>#NAME?</v>
      </c>
      <c r="CI513" s="253" t="e">
        <f aca="false">SUM(CD513:CH513)</f>
        <v>#NAME?</v>
      </c>
      <c r="CJ513" s="253" t="e">
        <f aca="false">xSPRDOPT((VLOOKUP(G513,NGPREVPRICES,2,FALSE())+HLOOKUP(D513,PREVCURVES,VLOOKUP(G513,MOVE_DOWN2,2,FALSE()),FALSE())),VLOOKUP(G513,NGPREVPRICES,2,FALSE()),CK513,VLOOKUP(G513,NGPREVPRICES,4,FALSE()),HLOOKUP(D513,PREVVOLS,VLOOKUP(G513,MOVE_DOWN2,2,FALSE()),FALSE()),VLOOKUP(G513,NGPREVPRICES,3,FALSE()),HLOOKUP(D513,Correllate,VLOOKUP(G513,CorMove,2,FALSE()),FALSE()),Q513-$CD$3,R513,$CJ$5)*H513</f>
        <v>#NAME?</v>
      </c>
      <c r="CK513" s="254" t="n">
        <f aca="false">I513</f>
        <v>0.15</v>
      </c>
      <c r="CM513" s="0" t="str">
        <f aca="false">CONCATENATE(CC513,$CD$6)</f>
        <v>36831Curve Shift/Gamma</v>
      </c>
      <c r="CN513" s="0" t="str">
        <f aca="false">CONCATENATE($CC513,$CE$6)</f>
        <v>36831Rho</v>
      </c>
      <c r="CO513" s="0" t="str">
        <f aca="false">CONCATENATE($CC513,$CF$6)</f>
        <v>36831Drift</v>
      </c>
      <c r="CP513" s="0" t="str">
        <f aca="false">CONCATENATE($CC513,$CG$6)</f>
        <v>36831Vega</v>
      </c>
      <c r="CQ513" s="0" t="str">
        <f aca="false">CONCATENATE($CC513,$CH$6)</f>
        <v>36831Theta</v>
      </c>
    </row>
    <row r="514" customFormat="false" ht="12.75" hidden="false" customHeight="false" outlineLevel="0" collapsed="false">
      <c r="A514" s="17" t="s">
        <v>345</v>
      </c>
      <c r="B514" s="0" t="s">
        <v>192</v>
      </c>
      <c r="C514" s="0" t="s">
        <v>372</v>
      </c>
      <c r="D514" s="7" t="s">
        <v>149</v>
      </c>
      <c r="E514" s="0" t="s">
        <v>131</v>
      </c>
      <c r="F514" s="0" t="s">
        <v>132</v>
      </c>
      <c r="G514" s="92" t="n">
        <v>36800</v>
      </c>
      <c r="H514" s="248" t="n">
        <v>310000</v>
      </c>
      <c r="I514" s="0" t="n">
        <v>0.4</v>
      </c>
      <c r="J514" s="124" t="n">
        <f aca="false">VLOOKUP(G514,NGPrices,2,FALSE())</f>
        <v>4.692</v>
      </c>
      <c r="K514" s="125" t="n">
        <f aca="false">HLOOKUP(D514,Prices,VLOOKUP(G514,move_down,2,FALSE()),FALSE())+VLOOKUP(G514,CHANGE,HLOOKUP(D514,CHANGE,2,FALSE()),FALSE())</f>
        <v>0.415</v>
      </c>
      <c r="L514" s="124" t="n">
        <f aca="false">K514+J514</f>
        <v>5.107</v>
      </c>
      <c r="M514" s="126" t="n">
        <f aca="false">VLOOKUP(G514,NGPrices,4,FALSE())</f>
        <v>0.068050789414654</v>
      </c>
      <c r="N514" s="7" t="n">
        <f aca="false">VLOOKUP(G514,NGPrices,3,FALSE())</f>
        <v>0.575</v>
      </c>
      <c r="O514" s="7" t="n">
        <f aca="false">HLOOKUP(D514,VOLS,VLOOKUP(G514,move_down,2,FALSE()),FALSE())</f>
        <v>0.564</v>
      </c>
      <c r="P514" s="249" t="n">
        <f aca="false">HLOOKUP(D514,Correllate,VLOOKUP(G514,CorMove,2,FALSE()),FALSE())</f>
        <v>0.9925</v>
      </c>
      <c r="Q514" s="92" t="n">
        <f aca="false">WORKDAY(G514,-2)</f>
        <v>36797</v>
      </c>
      <c r="R514" s="7" t="n">
        <f aca="false">IF(F514="P",0,1)</f>
        <v>0</v>
      </c>
      <c r="S514" s="130" t="e">
        <f aca="false">xSPRDOPT($L514,$J514,$I514,$M514,$O514,$N514,$P514,$Q514-$C$3,$R514,0)</f>
        <v>#NAME?</v>
      </c>
      <c r="T514" s="250" t="e">
        <f aca="false">xSPRDOPT($L514,$J514,$I514,$M514,$O514,$N514,$P514,$Q514-$C$3,$R514,1)*H514</f>
        <v>#NAME?</v>
      </c>
      <c r="U514" s="43" t="e">
        <f aca="false">S514*H514</f>
        <v>#NAME?</v>
      </c>
      <c r="V514" s="250" t="e">
        <f aca="false">xSPRDOPT($L514,$J514,$I514,$M514,$O514,$N514,$P514,$Q514-$C$3,$R514,2)*H514</f>
        <v>#NAME?</v>
      </c>
      <c r="W514" s="250" t="e">
        <f aca="false">+V514+T514</f>
        <v>#NAME?</v>
      </c>
      <c r="X514" s="2" t="str">
        <f aca="false">CONCATENATE(G514,D514)</f>
        <v>36800IF-TRANSCO/Z6</v>
      </c>
      <c r="Y514" s="251" t="n">
        <f aca="false">H514/10000</f>
        <v>31</v>
      </c>
      <c r="Z514" s="226" t="e">
        <f aca="false">T514/H514</f>
        <v>#NAME?</v>
      </c>
      <c r="AA514" s="226" t="e">
        <f aca="false">xSPRDOPT($L514,$J514,$I514,$M514,$O514,$N514,$P514,$Q514-$C$3,$R514,3)</f>
        <v>#NAME?</v>
      </c>
      <c r="AB514" s="226" t="e">
        <f aca="false">((xSPRDOPT($L514+AB$5,$J514,$I514,$M514,$O514,$N514,$P514,$Q514-$C$3,$R514,3)*$H514)/10000)/100</f>
        <v>#NAME?</v>
      </c>
      <c r="AC514" s="226" t="e">
        <f aca="false">((xSPRDOPT($L514+$AB$5,$J514,$I514,$M514,$O514,$N514,$P514,$Q514-$C$3,$R514,7)*$H514)/100)</f>
        <v>#NAME?</v>
      </c>
      <c r="AD514" s="226" t="e">
        <f aca="false">(xSPRDOPT($L514+$AB$5,$J514,$I514,$M514,$O514,$N514,$P514,$Q514-$C$3,$R514,9)/365)*$H514</f>
        <v>#NAME?</v>
      </c>
      <c r="AE514" s="0" t="e">
        <f aca="false">CD514</f>
        <v>#NAME?</v>
      </c>
      <c r="AF514" s="226" t="e">
        <f aca="false">((O514/N514)*AH514)+AG514</f>
        <v>#NAME?</v>
      </c>
      <c r="AG514" s="226" t="e">
        <f aca="false">((xSPRDOPT($L514,$J514,$I514,$M514,$O514,$N514,$P514,$Q514-$C$3,$R514,6)*$H514)/100)</f>
        <v>#NAME?</v>
      </c>
      <c r="AH514" s="226" t="e">
        <f aca="false">((xSPRDOPT($L514,$J514,$I514,$M514,$O514,$N514,$P514,$Q514-$C$3,$R514,5)*$H514)/100)</f>
        <v>#NAME?</v>
      </c>
      <c r="AI514" s="226" t="e">
        <f aca="false">(((xSPRDOPT($L514,$J514,$I514,$M514,$O514,$N514,$P514,$Q514-$C$3,$R514,4)*$H514)/10000)/100)-AB514</f>
        <v>#NAME?</v>
      </c>
      <c r="AJ514" s="226"/>
      <c r="AK514" s="226"/>
      <c r="AL514" s="226"/>
      <c r="AM514" s="252"/>
      <c r="CC514" s="182" t="n">
        <f aca="false">G514</f>
        <v>36800</v>
      </c>
      <c r="CD514" s="253" t="e">
        <f aca="false">xSPRDOPT((VLOOKUP(G514,NGPrices,2,FALSE())+HLOOKUP(D514,Prices,VLOOKUP(G514,move_down,2,FALSE()),FALSE())),VLOOKUP(G514,NGPrices,2,FALSE()),I514,VLOOKUP(G514,NGPREVPRICES,4,FALSE()),HLOOKUP(D514,PREVVOLS,VLOOKUP(G514,MOVE_DOWN2,2,FALSE()),FALSE()),VLOOKUP(G514,NGPREVPRICES,3,FALSE()),HLOOKUP(D514,Correllate,VLOOKUP(G514,CorMove,2,FALSE()),FALSE()),Q514-$CD$3,R514,$CD$5)*H514-CJ514</f>
        <v>#NAME?</v>
      </c>
      <c r="CE514" s="253" t="e">
        <f aca="false">xSPRDOPT((VLOOKUP(G514,NGPREVPRICES,2,FALSE())+HLOOKUP(D514,PREVCURVES,VLOOKUP(G514,MOVE_DOWN2,2,FALSE()),FALSE())),VLOOKUP(G514,NGPREVPRICES,2,FALSE()),CK514,VLOOKUP(G514,NGPrices,4,FALSE()),HLOOKUP(D514,PREVVOLS,VLOOKUP(G514,MOVE_DOWN2,2,FALSE()),FALSE()),VLOOKUP(G514,NGPREVPRICES,3,FALSE()),HLOOKUP(D514,Correllate,VLOOKUP(G514,CorMove,2,FALSE()),FALSE()),Q514-$CD$3,R514,$CJ$5)*H514-CJ514</f>
        <v>#NAME?</v>
      </c>
      <c r="CF514" s="132" t="e">
        <f aca="false">(CJ514/VLOOKUP(CC514,discount,3,FALSE()))-(CJ514/VLOOKUP(CC514,discount,2,FALSE()))</f>
        <v>#NAME?</v>
      </c>
      <c r="CG514" s="253" t="e">
        <f aca="false">xSPRDOPT((VLOOKUP(G514,NGPREVPRICES,2,FALSE())+HLOOKUP(D514,PREVCURVES,VLOOKUP(G514,MOVE_DOWN2,2,FALSE()),FALSE())),VLOOKUP(G514,NGPREVPRICES,2,FALSE()),CK514,VLOOKUP(G514,NGPREVPRICES,4,FALSE()),HLOOKUP(D514,VOLS,VLOOKUP(G514,move_down,2,FALSE()),FALSE()),VLOOKUP(G514,NGPrices,3,FALSE()),HLOOKUP(D514,Correllate,VLOOKUP(G514,CorMove,2,FALSE()),FALSE()),Q514-$CD$3,R514,$CJ$5)*H514-CJ514</f>
        <v>#NAME?</v>
      </c>
      <c r="CH514" s="253" t="e">
        <f aca="false">xSPRDOPT((VLOOKUP(G514,NGPREVPRICES,2,FALSE())+HLOOKUP(D514,PREVCURVES,VLOOKUP(G514,MOVE_DOWN2,2,FALSE()),FALSE())),VLOOKUP(G514,NGPREVPRICES,2,FALSE()),CK514,VLOOKUP(G514,NGPREVPRICES,4,FALSE()),HLOOKUP(D514,PREVVOLS,VLOOKUP(G514,MOVE_DOWN2,2,FALSE()),FALSE()),VLOOKUP(G514,NGPREVPRICES,3,FALSE()),HLOOKUP(D514,Correllate,VLOOKUP(G514,CorMove,2,FALSE()),FALSE()),Q514-$C$3,R514,$CJ$5)*H514-CJ514</f>
        <v>#NAME?</v>
      </c>
      <c r="CI514" s="253" t="e">
        <f aca="false">SUM(CD514:CH514)</f>
        <v>#NAME?</v>
      </c>
      <c r="CJ514" s="253" t="e">
        <f aca="false">xSPRDOPT((VLOOKUP(G514,NGPREVPRICES,2,FALSE())+HLOOKUP(D514,PREVCURVES,VLOOKUP(G514,MOVE_DOWN2,2,FALSE()),FALSE())),VLOOKUP(G514,NGPREVPRICES,2,FALSE()),CK514,VLOOKUP(G514,NGPREVPRICES,4,FALSE()),HLOOKUP(D514,PREVVOLS,VLOOKUP(G514,MOVE_DOWN2,2,FALSE()),FALSE()),VLOOKUP(G514,NGPREVPRICES,3,FALSE()),HLOOKUP(D514,Correllate,VLOOKUP(G514,CorMove,2,FALSE()),FALSE()),Q514-$CD$3,R514,$CJ$5)*H514</f>
        <v>#NAME?</v>
      </c>
      <c r="CK514" s="254" t="n">
        <f aca="false">I514</f>
        <v>0.4</v>
      </c>
      <c r="CM514" s="0" t="str">
        <f aca="false">CONCATENATE(CC514,$CD$6)</f>
        <v>36800Curve Shift/Gamma</v>
      </c>
      <c r="CN514" s="0" t="str">
        <f aca="false">CONCATENATE($CC514,$CE$6)</f>
        <v>36800Rho</v>
      </c>
      <c r="CO514" s="0" t="str">
        <f aca="false">CONCATENATE($CC514,$CF$6)</f>
        <v>36800Drift</v>
      </c>
      <c r="CP514" s="0" t="str">
        <f aca="false">CONCATENATE($CC514,$CG$6)</f>
        <v>36800Vega</v>
      </c>
      <c r="CQ514" s="0" t="str">
        <f aca="false">CONCATENATE($CC514,$CH$6)</f>
        <v>36800Theta</v>
      </c>
    </row>
    <row r="515" customFormat="false" ht="12.75" hidden="false" customHeight="false" outlineLevel="0" collapsed="false">
      <c r="A515" s="17" t="s">
        <v>363</v>
      </c>
      <c r="B515" s="0" t="s">
        <v>192</v>
      </c>
      <c r="C515" s="0" t="s">
        <v>373</v>
      </c>
      <c r="D515" s="7" t="s">
        <v>137</v>
      </c>
      <c r="E515" s="0" t="s">
        <v>131</v>
      </c>
      <c r="F515" s="0" t="s">
        <v>132</v>
      </c>
      <c r="G515" s="92" t="n">
        <v>36800</v>
      </c>
      <c r="H515" s="248" t="n">
        <v>500000</v>
      </c>
      <c r="I515" s="0" t="n">
        <v>0.3</v>
      </c>
      <c r="J515" s="124" t="n">
        <f aca="false">VLOOKUP(G515,NGPrices,2,FALSE())</f>
        <v>4.692</v>
      </c>
      <c r="K515" s="125" t="n">
        <f aca="false">HLOOKUP(D515,Prices,VLOOKUP(G515,move_down,2,FALSE()),FALSE())+VLOOKUP(G515,CHANGE,HLOOKUP(D515,CHANGE,2,FALSE()),FALSE())</f>
        <v>1.99</v>
      </c>
      <c r="L515" s="124" t="n">
        <f aca="false">K515+J515</f>
        <v>6.682</v>
      </c>
      <c r="M515" s="126" t="n">
        <f aca="false">VLOOKUP(G515,NGPrices,4,FALSE())</f>
        <v>0.068050789414654</v>
      </c>
      <c r="N515" s="7" t="n">
        <f aca="false">VLOOKUP(G515,NGPrices,3,FALSE())</f>
        <v>0.575</v>
      </c>
      <c r="O515" s="7" t="n">
        <f aca="false">HLOOKUP(D515,VOLS,VLOOKUP(G515,move_down,2,FALSE()),FALSE())</f>
        <v>0.541</v>
      </c>
      <c r="P515" s="249" t="n">
        <f aca="false">HLOOKUP(D515,Correllate,VLOOKUP(G515,CorMove,2,FALSE()),FALSE())</f>
        <v>0.83</v>
      </c>
      <c r="Q515" s="92" t="n">
        <f aca="false">WORKDAY(G515,-2)</f>
        <v>36797</v>
      </c>
      <c r="R515" s="7" t="n">
        <f aca="false">IF(F515="P",0,1)</f>
        <v>0</v>
      </c>
      <c r="S515" s="130" t="e">
        <f aca="false">xSPRDOPT($L515,$J515,$I515,$M515,$O515,$N515,$P515,$Q515-$C$3,$R515,0)</f>
        <v>#NAME?</v>
      </c>
      <c r="T515" s="250" t="e">
        <f aca="false">xSPRDOPT($L515,$J515,$I515,$M515,$O515,$N515,$P515,$Q515-$C$3,$R515,1)*H515</f>
        <v>#NAME?</v>
      </c>
      <c r="U515" s="43" t="e">
        <f aca="false">S515*H515</f>
        <v>#NAME?</v>
      </c>
      <c r="V515" s="250" t="e">
        <f aca="false">xSPRDOPT($L515,$J515,$I515,$M515,$O515,$N515,$P515,$Q515-$C$3,$R515,2)*H515</f>
        <v>#NAME?</v>
      </c>
      <c r="W515" s="250" t="e">
        <f aca="false">+V515+T515</f>
        <v>#NAME?</v>
      </c>
      <c r="X515" s="2" t="str">
        <f aca="false">CONCATENATE(G515,D515)</f>
        <v>36800NGI-SOCAL</v>
      </c>
      <c r="Y515" s="251" t="n">
        <f aca="false">H515/10000</f>
        <v>50</v>
      </c>
      <c r="Z515" s="226" t="e">
        <f aca="false">T515/H515</f>
        <v>#NAME?</v>
      </c>
      <c r="AA515" s="226" t="e">
        <f aca="false">xSPRDOPT($L515,$J515,$I515,$M515,$O515,$N515,$P515,$Q515-$C$3,$R515,3)</f>
        <v>#NAME?</v>
      </c>
      <c r="AB515" s="226" t="e">
        <f aca="false">((xSPRDOPT($L515+AB$5,$J515,$I515,$M515,$O515,$N515,$P515,$Q515-$C$3,$R515,3)*$H515)/10000)/100</f>
        <v>#NAME?</v>
      </c>
      <c r="AC515" s="226" t="e">
        <f aca="false">((xSPRDOPT($L515+$AB$5,$J515,$I515,$M515,$O515,$N515,$P515,$Q515-$C$3,$R515,7)*$H515)/100)</f>
        <v>#NAME?</v>
      </c>
      <c r="AD515" s="226" t="e">
        <f aca="false">(xSPRDOPT($L515+$AB$5,$J515,$I515,$M515,$O515,$N515,$P515,$Q515-$C$3,$R515,9)/365)*$H515</f>
        <v>#NAME?</v>
      </c>
      <c r="AE515" s="0" t="e">
        <f aca="false">CD515</f>
        <v>#NAME?</v>
      </c>
      <c r="AF515" s="226" t="e">
        <f aca="false">((O515/N515)*AH515)+AG515</f>
        <v>#NAME?</v>
      </c>
      <c r="AG515" s="226" t="e">
        <f aca="false">((xSPRDOPT($L515,$J515,$I515,$M515,$O515,$N515,$P515,$Q515-$C$3,$R515,6)*$H515)/100)</f>
        <v>#NAME?</v>
      </c>
      <c r="AH515" s="226" t="e">
        <f aca="false">((xSPRDOPT($L515,$J515,$I515,$M515,$O515,$N515,$P515,$Q515-$C$3,$R515,5)*$H515)/100)</f>
        <v>#NAME?</v>
      </c>
      <c r="AI515" s="226" t="e">
        <f aca="false">(((xSPRDOPT($L515,$J515,$I515,$M515,$O515,$N515,$P515,$Q515-$C$3,$R515,4)*$H515)/10000)/100)-AB515</f>
        <v>#NAME?</v>
      </c>
      <c r="AJ515" s="226"/>
      <c r="AK515" s="226"/>
      <c r="AL515" s="226"/>
      <c r="AM515" s="252"/>
      <c r="CC515" s="182" t="n">
        <f aca="false">G515</f>
        <v>36800</v>
      </c>
      <c r="CD515" s="253" t="e">
        <f aca="false">xSPRDOPT((VLOOKUP(G515,NGPrices,2,FALSE())+HLOOKUP(D515,Prices,VLOOKUP(G515,move_down,2,FALSE()),FALSE())),VLOOKUP(G515,NGPrices,2,FALSE()),I515,VLOOKUP(G515,NGPREVPRICES,4,FALSE()),HLOOKUP(D515,PREVVOLS,VLOOKUP(G515,MOVE_DOWN2,2,FALSE()),FALSE()),VLOOKUP(G515,NGPREVPRICES,3,FALSE()),HLOOKUP(D515,Correllate,VLOOKUP(G515,CorMove,2,FALSE()),FALSE()),Q515-$CD$3,R515,$CD$5)*H515-CJ515</f>
        <v>#NAME?</v>
      </c>
      <c r="CE515" s="253" t="e">
        <f aca="false">xSPRDOPT((VLOOKUP(G515,NGPREVPRICES,2,FALSE())+HLOOKUP(D515,PREVCURVES,VLOOKUP(G515,MOVE_DOWN2,2,FALSE()),FALSE())),VLOOKUP(G515,NGPREVPRICES,2,FALSE()),CK515,VLOOKUP(G515,NGPrices,4,FALSE()),HLOOKUP(D515,PREVVOLS,VLOOKUP(G515,MOVE_DOWN2,2,FALSE()),FALSE()),VLOOKUP(G515,NGPREVPRICES,3,FALSE()),HLOOKUP(D515,Correllate,VLOOKUP(G515,CorMove,2,FALSE()),FALSE()),Q515-$CD$3,R515,$CJ$5)*H515-CJ515</f>
        <v>#NAME?</v>
      </c>
      <c r="CF515" s="132" t="e">
        <f aca="false">(CJ515/VLOOKUP(CC515,discount,3,FALSE()))-(CJ515/VLOOKUP(CC515,discount,2,FALSE()))</f>
        <v>#NAME?</v>
      </c>
      <c r="CG515" s="253" t="e">
        <f aca="false">xSPRDOPT((VLOOKUP(G515,NGPREVPRICES,2,FALSE())+HLOOKUP(D515,PREVCURVES,VLOOKUP(G515,MOVE_DOWN2,2,FALSE()),FALSE())),VLOOKUP(G515,NGPREVPRICES,2,FALSE()),CK515,VLOOKUP(G515,NGPREVPRICES,4,FALSE()),HLOOKUP(D515,VOLS,VLOOKUP(G515,move_down,2,FALSE()),FALSE()),VLOOKUP(G515,NGPrices,3,FALSE()),HLOOKUP(D515,Correllate,VLOOKUP(G515,CorMove,2,FALSE()),FALSE()),Q515-$CD$3,R515,$CJ$5)*H515-CJ515</f>
        <v>#NAME?</v>
      </c>
      <c r="CH515" s="253" t="e">
        <f aca="false">xSPRDOPT((VLOOKUP(G515,NGPREVPRICES,2,FALSE())+HLOOKUP(D515,PREVCURVES,VLOOKUP(G515,MOVE_DOWN2,2,FALSE()),FALSE())),VLOOKUP(G515,NGPREVPRICES,2,FALSE()),CK515,VLOOKUP(G515,NGPREVPRICES,4,FALSE()),HLOOKUP(D515,PREVVOLS,VLOOKUP(G515,MOVE_DOWN2,2,FALSE()),FALSE()),VLOOKUP(G515,NGPREVPRICES,3,FALSE()),HLOOKUP(D515,Correllate,VLOOKUP(G515,CorMove,2,FALSE()),FALSE()),Q515-$C$3,R515,$CJ$5)*H515-CJ515</f>
        <v>#NAME?</v>
      </c>
      <c r="CI515" s="253" t="e">
        <f aca="false">SUM(CD515:CH515)</f>
        <v>#NAME?</v>
      </c>
      <c r="CJ515" s="253" t="e">
        <f aca="false">xSPRDOPT((VLOOKUP(G515,NGPREVPRICES,2,FALSE())+HLOOKUP(D515,PREVCURVES,VLOOKUP(G515,MOVE_DOWN2,2,FALSE()),FALSE())),VLOOKUP(G515,NGPREVPRICES,2,FALSE()),CK515,VLOOKUP(G515,NGPREVPRICES,4,FALSE()),HLOOKUP(D515,PREVVOLS,VLOOKUP(G515,MOVE_DOWN2,2,FALSE()),FALSE()),VLOOKUP(G515,NGPREVPRICES,3,FALSE()),HLOOKUP(D515,Correllate,VLOOKUP(G515,CorMove,2,FALSE()),FALSE()),Q515-$CD$3,R515,$CJ$5)*H515</f>
        <v>#NAME?</v>
      </c>
      <c r="CK515" s="254" t="n">
        <f aca="false">I515</f>
        <v>0.3</v>
      </c>
      <c r="CM515" s="0" t="str">
        <f aca="false">CONCATENATE(CC515,$CD$6)</f>
        <v>36800Curve Shift/Gamma</v>
      </c>
      <c r="CN515" s="0" t="str">
        <f aca="false">CONCATENATE($CC515,$CE$6)</f>
        <v>36800Rho</v>
      </c>
      <c r="CO515" s="0" t="str">
        <f aca="false">CONCATENATE($CC515,$CF$6)</f>
        <v>36800Drift</v>
      </c>
      <c r="CP515" s="0" t="str">
        <f aca="false">CONCATENATE($CC515,$CG$6)</f>
        <v>36800Vega</v>
      </c>
      <c r="CQ515" s="0" t="str">
        <f aca="false">CONCATENATE($CC515,$CH$6)</f>
        <v>36800Theta</v>
      </c>
    </row>
    <row r="516" customFormat="false" ht="12.75" hidden="false" customHeight="false" outlineLevel="0" collapsed="false">
      <c r="A516" s="17" t="s">
        <v>198</v>
      </c>
      <c r="B516" s="0" t="s">
        <v>192</v>
      </c>
      <c r="C516" s="0" t="s">
        <v>374</v>
      </c>
      <c r="D516" s="7" t="s">
        <v>137</v>
      </c>
      <c r="E516" s="0" t="s">
        <v>131</v>
      </c>
      <c r="F516" s="0" t="s">
        <v>136</v>
      </c>
      <c r="G516" s="92" t="n">
        <v>36951</v>
      </c>
      <c r="H516" s="248" t="n">
        <v>500000</v>
      </c>
      <c r="I516" s="0" t="n">
        <v>0.3</v>
      </c>
      <c r="J516" s="124" t="n">
        <f aca="false">VLOOKUP(G516,NGPrices,2,FALSE())</f>
        <v>4.213</v>
      </c>
      <c r="K516" s="125" t="n">
        <f aca="false">HLOOKUP(D516,Prices,VLOOKUP(G516,move_down,2,FALSE()),FALSE())+VLOOKUP(G516,CHANGE,HLOOKUP(D516,CHANGE,2,FALSE()),FALSE())</f>
        <v>0.5975</v>
      </c>
      <c r="L516" s="124" t="n">
        <f aca="false">K516+J516</f>
        <v>4.8105</v>
      </c>
      <c r="M516" s="126" t="n">
        <f aca="false">VLOOKUP(G516,NGPrices,4,FALSE())</f>
        <v>0.068879814952707</v>
      </c>
      <c r="N516" s="7" t="n">
        <f aca="false">VLOOKUP(G516,NGPrices,3,FALSE())</f>
        <v>0.5325</v>
      </c>
      <c r="O516" s="7" t="n">
        <f aca="false">HLOOKUP(D516,VOLS,VLOOKUP(G516,move_down,2,FALSE()),FALSE())</f>
        <v>0.517</v>
      </c>
      <c r="P516" s="249" t="n">
        <f aca="false">HLOOKUP(D516,Correllate,VLOOKUP(G516,CorMove,2,FALSE()),FALSE())</f>
        <v>0.85</v>
      </c>
      <c r="Q516" s="92" t="n">
        <f aca="false">WORKDAY(G516,-2)</f>
        <v>36949</v>
      </c>
      <c r="R516" s="7" t="n">
        <f aca="false">IF(F516="P",0,1)</f>
        <v>1</v>
      </c>
      <c r="S516" s="130" t="e">
        <f aca="false">xSPRDOPT($L516,$J516,$I516,$M516,$O516,$N516,$P516,$Q516-$C$3,$R516,0)</f>
        <v>#NAME?</v>
      </c>
      <c r="T516" s="250" t="e">
        <f aca="false">xSPRDOPT($L516,$J516,$I516,$M516,$O516,$N516,$P516,$Q516-$C$3,$R516,1)*H516</f>
        <v>#NAME?</v>
      </c>
      <c r="U516" s="43" t="e">
        <f aca="false">S516*H516</f>
        <v>#NAME?</v>
      </c>
      <c r="V516" s="250" t="e">
        <f aca="false">xSPRDOPT($L516,$J516,$I516,$M516,$O516,$N516,$P516,$Q516-$C$3,$R516,2)*H516</f>
        <v>#NAME?</v>
      </c>
      <c r="W516" s="250" t="e">
        <f aca="false">+V516+T516</f>
        <v>#NAME?</v>
      </c>
      <c r="X516" s="2" t="str">
        <f aca="false">CONCATENATE(G516,D516)</f>
        <v>36951NGI-SOCAL</v>
      </c>
      <c r="Y516" s="251" t="n">
        <f aca="false">H516/10000</f>
        <v>50</v>
      </c>
      <c r="Z516" s="226" t="e">
        <f aca="false">T516/H516</f>
        <v>#NAME?</v>
      </c>
      <c r="AA516" s="226" t="e">
        <f aca="false">xSPRDOPT($L516,$J516,$I516,$M516,$O516,$N516,$P516,$Q516-$C$3,$R516,3)</f>
        <v>#NAME?</v>
      </c>
      <c r="AB516" s="226" t="e">
        <f aca="false">((xSPRDOPT($L516+AB$5,$J516,$I516,$M516,$O516,$N516,$P516,$Q516-$C$3,$R516,3)*$H516)/10000)/100</f>
        <v>#NAME?</v>
      </c>
      <c r="AC516" s="226" t="e">
        <f aca="false">((xSPRDOPT($L516+$AB$5,$J516,$I516,$M516,$O516,$N516,$P516,$Q516-$C$3,$R516,7)*$H516)/100)</f>
        <v>#NAME?</v>
      </c>
      <c r="AD516" s="226" t="e">
        <f aca="false">(xSPRDOPT($L516+$AB$5,$J516,$I516,$M516,$O516,$N516,$P516,$Q516-$C$3,$R516,9)/365)*$H516</f>
        <v>#NAME?</v>
      </c>
      <c r="AE516" s="0" t="e">
        <f aca="false">CD516</f>
        <v>#NAME?</v>
      </c>
      <c r="AF516" s="226" t="e">
        <f aca="false">((O516/N516)*AH516)+AG516</f>
        <v>#NAME?</v>
      </c>
      <c r="AG516" s="226" t="e">
        <f aca="false">((xSPRDOPT($L516,$J516,$I516,$M516,$O516,$N516,$P516,$Q516-$C$3,$R516,6)*$H516)/100)</f>
        <v>#NAME?</v>
      </c>
      <c r="AH516" s="226" t="e">
        <f aca="false">((xSPRDOPT($L516,$J516,$I516,$M516,$O516,$N516,$P516,$Q516-$C$3,$R516,5)*$H516)/100)</f>
        <v>#NAME?</v>
      </c>
      <c r="AI516" s="226" t="e">
        <f aca="false">(((xSPRDOPT($L516,$J516,$I516,$M516,$O516,$N516,$P516,$Q516-$C$3,$R516,4)*$H516)/10000)/100)-AB516</f>
        <v>#NAME?</v>
      </c>
      <c r="AJ516" s="226"/>
      <c r="AK516" s="226"/>
      <c r="AL516" s="226"/>
      <c r="AM516" s="252"/>
      <c r="CC516" s="182" t="n">
        <f aca="false">G516</f>
        <v>36951</v>
      </c>
      <c r="CD516" s="253" t="e">
        <f aca="false">xSPRDOPT((VLOOKUP(G516,NGPrices,2,FALSE())+HLOOKUP(D516,Prices,VLOOKUP(G516,move_down,2,FALSE()),FALSE())),VLOOKUP(G516,NGPrices,2,FALSE()),I516,VLOOKUP(G516,NGPREVPRICES,4,FALSE()),HLOOKUP(D516,PREVVOLS,VLOOKUP(G516,MOVE_DOWN2,2,FALSE()),FALSE()),VLOOKUP(G516,NGPREVPRICES,3,FALSE()),HLOOKUP(D516,Correllate,VLOOKUP(G516,CorMove,2,FALSE()),FALSE()),Q516-$CD$3,R516,$CD$5)*H516-CJ516</f>
        <v>#NAME?</v>
      </c>
      <c r="CE516" s="253" t="e">
        <f aca="false">xSPRDOPT((VLOOKUP(G516,NGPREVPRICES,2,FALSE())+HLOOKUP(D516,PREVCURVES,VLOOKUP(G516,MOVE_DOWN2,2,FALSE()),FALSE())),VLOOKUP(G516,NGPREVPRICES,2,FALSE()),CK516,VLOOKUP(G516,NGPrices,4,FALSE()),HLOOKUP(D516,PREVVOLS,VLOOKUP(G516,MOVE_DOWN2,2,FALSE()),FALSE()),VLOOKUP(G516,NGPREVPRICES,3,FALSE()),HLOOKUP(D516,Correllate,VLOOKUP(G516,CorMove,2,FALSE()),FALSE()),Q516-$CD$3,R516,$CJ$5)*H516-CJ516</f>
        <v>#NAME?</v>
      </c>
      <c r="CF516" s="132" t="e">
        <f aca="false">(CJ516/VLOOKUP(CC516,discount,3,FALSE()))-(CJ516/VLOOKUP(CC516,discount,2,FALSE()))</f>
        <v>#NAME?</v>
      </c>
      <c r="CG516" s="253" t="e">
        <f aca="false">xSPRDOPT((VLOOKUP(G516,NGPREVPRICES,2,FALSE())+HLOOKUP(D516,PREVCURVES,VLOOKUP(G516,MOVE_DOWN2,2,FALSE()),FALSE())),VLOOKUP(G516,NGPREVPRICES,2,FALSE()),CK516,VLOOKUP(G516,NGPREVPRICES,4,FALSE()),HLOOKUP(D516,VOLS,VLOOKUP(G516,move_down,2,FALSE()),FALSE()),VLOOKUP(G516,NGPrices,3,FALSE()),HLOOKUP(D516,Correllate,VLOOKUP(G516,CorMove,2,FALSE()),FALSE()),Q516-$CD$3,R516,$CJ$5)*H516-CJ516</f>
        <v>#NAME?</v>
      </c>
      <c r="CH516" s="253" t="e">
        <f aca="false">xSPRDOPT((VLOOKUP(G516,NGPREVPRICES,2,FALSE())+HLOOKUP(D516,PREVCURVES,VLOOKUP(G516,MOVE_DOWN2,2,FALSE()),FALSE())),VLOOKUP(G516,NGPREVPRICES,2,FALSE()),CK516,VLOOKUP(G516,NGPREVPRICES,4,FALSE()),HLOOKUP(D516,PREVVOLS,VLOOKUP(G516,MOVE_DOWN2,2,FALSE()),FALSE()),VLOOKUP(G516,NGPREVPRICES,3,FALSE()),HLOOKUP(D516,Correllate,VLOOKUP(G516,CorMove,2,FALSE()),FALSE()),Q516-$C$3,R516,$CJ$5)*H516-CJ516</f>
        <v>#NAME?</v>
      </c>
      <c r="CI516" s="253" t="e">
        <f aca="false">SUM(CD516:CH516)</f>
        <v>#NAME?</v>
      </c>
      <c r="CJ516" s="253" t="e">
        <f aca="false">xSPRDOPT((VLOOKUP(G516,NGPREVPRICES,2,FALSE())+HLOOKUP(D516,PREVCURVES,VLOOKUP(G516,MOVE_DOWN2,2,FALSE()),FALSE())),VLOOKUP(G516,NGPREVPRICES,2,FALSE()),CK516,VLOOKUP(G516,NGPREVPRICES,4,FALSE()),HLOOKUP(D516,PREVVOLS,VLOOKUP(G516,MOVE_DOWN2,2,FALSE()),FALSE()),VLOOKUP(G516,NGPREVPRICES,3,FALSE()),HLOOKUP(D516,Correllate,VLOOKUP(G516,CorMove,2,FALSE()),FALSE()),Q516-$CD$3,R516,$CJ$5)*H516</f>
        <v>#NAME?</v>
      </c>
      <c r="CK516" s="254" t="n">
        <f aca="false">I516</f>
        <v>0.3</v>
      </c>
      <c r="CM516" s="0" t="str">
        <f aca="false">CONCATENATE(CC516,$CD$6)</f>
        <v>36951Curve Shift/Gamma</v>
      </c>
      <c r="CN516" s="0" t="str">
        <f aca="false">CONCATENATE($CC516,$CE$6)</f>
        <v>36951Rho</v>
      </c>
      <c r="CO516" s="0" t="str">
        <f aca="false">CONCATENATE($CC516,$CF$6)</f>
        <v>36951Drift</v>
      </c>
      <c r="CP516" s="0" t="str">
        <f aca="false">CONCATENATE($CC516,$CG$6)</f>
        <v>36951Vega</v>
      </c>
      <c r="CQ516" s="0" t="str">
        <f aca="false">CONCATENATE($CC516,$CH$6)</f>
        <v>36951Theta</v>
      </c>
    </row>
    <row r="517" customFormat="false" ht="12.75" hidden="false" customHeight="false" outlineLevel="0" collapsed="false">
      <c r="A517" s="17" t="s">
        <v>198</v>
      </c>
      <c r="B517" s="0" t="s">
        <v>192</v>
      </c>
      <c r="C517" s="0" t="s">
        <v>374</v>
      </c>
      <c r="D517" s="7" t="s">
        <v>137</v>
      </c>
      <c r="E517" s="0" t="s">
        <v>131</v>
      </c>
      <c r="F517" s="0" t="s">
        <v>136</v>
      </c>
      <c r="G517" s="92" t="n">
        <v>36923</v>
      </c>
      <c r="H517" s="248" t="n">
        <v>500000</v>
      </c>
      <c r="I517" s="0" t="n">
        <v>0.3</v>
      </c>
      <c r="J517" s="124" t="n">
        <f aca="false">VLOOKUP(G517,NGPrices,2,FALSE())</f>
        <v>4.48</v>
      </c>
      <c r="K517" s="125" t="n">
        <f aca="false">HLOOKUP(D517,Prices,VLOOKUP(G517,move_down,2,FALSE()),FALSE())+VLOOKUP(G517,CHANGE,HLOOKUP(D517,CHANGE,2,FALSE()),FALSE())</f>
        <v>0.6175</v>
      </c>
      <c r="L517" s="124" t="n">
        <f aca="false">K517+J517</f>
        <v>5.0975</v>
      </c>
      <c r="M517" s="126" t="n">
        <f aca="false">VLOOKUP(G517,NGPrices,4,FALSE())</f>
        <v>0.068640161611372</v>
      </c>
      <c r="N517" s="7" t="n">
        <f aca="false">VLOOKUP(G517,NGPrices,3,FALSE())</f>
        <v>0.5925</v>
      </c>
      <c r="O517" s="7" t="n">
        <f aca="false">HLOOKUP(D517,VOLS,VLOOKUP(G517,move_down,2,FALSE()),FALSE())</f>
        <v>0.575</v>
      </c>
      <c r="P517" s="249" t="n">
        <f aca="false">HLOOKUP(D517,Correllate,VLOOKUP(G517,CorMove,2,FALSE()),FALSE())</f>
        <v>0.85</v>
      </c>
      <c r="Q517" s="92" t="n">
        <f aca="false">WORKDAY(G517,-2)</f>
        <v>36921</v>
      </c>
      <c r="R517" s="7" t="n">
        <f aca="false">IF(F517="P",0,1)</f>
        <v>1</v>
      </c>
      <c r="S517" s="130" t="e">
        <f aca="false">xSPRDOPT($L517,$J517,$I517,$M517,$O517,$N517,$P517,$Q517-$C$3,$R517,0)</f>
        <v>#NAME?</v>
      </c>
      <c r="T517" s="250" t="e">
        <f aca="false">xSPRDOPT($L517,$J517,$I517,$M517,$O517,$N517,$P517,$Q517-$C$3,$R517,1)*H517</f>
        <v>#NAME?</v>
      </c>
      <c r="U517" s="43" t="e">
        <f aca="false">S517*H517</f>
        <v>#NAME?</v>
      </c>
      <c r="V517" s="250" t="e">
        <f aca="false">xSPRDOPT($L517,$J517,$I517,$M517,$O517,$N517,$P517,$Q517-$C$3,$R517,2)*H517</f>
        <v>#NAME?</v>
      </c>
      <c r="W517" s="250" t="e">
        <f aca="false">+V517+T517</f>
        <v>#NAME?</v>
      </c>
      <c r="X517" s="2" t="str">
        <f aca="false">CONCATENATE(G517,D517)</f>
        <v>36923NGI-SOCAL</v>
      </c>
      <c r="Y517" s="251" t="n">
        <f aca="false">H517/10000</f>
        <v>50</v>
      </c>
      <c r="Z517" s="226" t="e">
        <f aca="false">T517/H517</f>
        <v>#NAME?</v>
      </c>
      <c r="AA517" s="226" t="e">
        <f aca="false">xSPRDOPT($L517,$J517,$I517,$M517,$O517,$N517,$P517,$Q517-$C$3,$R517,3)</f>
        <v>#NAME?</v>
      </c>
      <c r="AB517" s="226" t="e">
        <f aca="false">((xSPRDOPT($L517+AB$5,$J517,$I517,$M517,$O517,$N517,$P517,$Q517-$C$3,$R517,3)*$H517)/10000)/100</f>
        <v>#NAME?</v>
      </c>
      <c r="AC517" s="226" t="e">
        <f aca="false">((xSPRDOPT($L517+$AB$5,$J517,$I517,$M517,$O517,$N517,$P517,$Q517-$C$3,$R517,7)*$H517)/100)</f>
        <v>#NAME?</v>
      </c>
      <c r="AD517" s="226" t="e">
        <f aca="false">(xSPRDOPT($L517+$AB$5,$J517,$I517,$M517,$O517,$N517,$P517,$Q517-$C$3,$R517,9)/365)*$H517</f>
        <v>#NAME?</v>
      </c>
      <c r="AE517" s="0" t="e">
        <f aca="false">CD517</f>
        <v>#NAME?</v>
      </c>
      <c r="AF517" s="226" t="e">
        <f aca="false">((O517/N517)*AH517)+AG517</f>
        <v>#NAME?</v>
      </c>
      <c r="AG517" s="226" t="e">
        <f aca="false">((xSPRDOPT($L517,$J517,$I517,$M517,$O517,$N517,$P517,$Q517-$C$3,$R517,6)*$H517)/100)</f>
        <v>#NAME?</v>
      </c>
      <c r="AH517" s="226" t="e">
        <f aca="false">((xSPRDOPT($L517,$J517,$I517,$M517,$O517,$N517,$P517,$Q517-$C$3,$R517,5)*$H517)/100)</f>
        <v>#NAME?</v>
      </c>
      <c r="AI517" s="226" t="e">
        <f aca="false">(((xSPRDOPT($L517,$J517,$I517,$M517,$O517,$N517,$P517,$Q517-$C$3,$R517,4)*$H517)/10000)/100)-AB517</f>
        <v>#NAME?</v>
      </c>
      <c r="AJ517" s="226"/>
      <c r="AK517" s="226"/>
      <c r="AL517" s="226"/>
      <c r="AM517" s="252"/>
      <c r="CC517" s="182" t="n">
        <f aca="false">G517</f>
        <v>36923</v>
      </c>
      <c r="CD517" s="253" t="e">
        <f aca="false">xSPRDOPT((VLOOKUP(G517,NGPrices,2,FALSE())+HLOOKUP(D517,Prices,VLOOKUP(G517,move_down,2,FALSE()),FALSE())),VLOOKUP(G517,NGPrices,2,FALSE()),I517,VLOOKUP(G517,NGPREVPRICES,4,FALSE()),HLOOKUP(D517,PREVVOLS,VLOOKUP(G517,MOVE_DOWN2,2,FALSE()),FALSE()),VLOOKUP(G517,NGPREVPRICES,3,FALSE()),HLOOKUP(D517,Correllate,VLOOKUP(G517,CorMove,2,FALSE()),FALSE()),Q517-$CD$3,R517,$CD$5)*H517-CJ517</f>
        <v>#NAME?</v>
      </c>
      <c r="CE517" s="253" t="e">
        <f aca="false">xSPRDOPT((VLOOKUP(G517,NGPREVPRICES,2,FALSE())+HLOOKUP(D517,PREVCURVES,VLOOKUP(G517,MOVE_DOWN2,2,FALSE()),FALSE())),VLOOKUP(G517,NGPREVPRICES,2,FALSE()),CK517,VLOOKUP(G517,NGPrices,4,FALSE()),HLOOKUP(D517,PREVVOLS,VLOOKUP(G517,MOVE_DOWN2,2,FALSE()),FALSE()),VLOOKUP(G517,NGPREVPRICES,3,FALSE()),HLOOKUP(D517,Correllate,VLOOKUP(G517,CorMove,2,FALSE()),FALSE()),Q517-$CD$3,R517,$CJ$5)*H517-CJ517</f>
        <v>#NAME?</v>
      </c>
      <c r="CF517" s="132" t="e">
        <f aca="false">(CJ517/VLOOKUP(CC517,discount,3,FALSE()))-(CJ517/VLOOKUP(CC517,discount,2,FALSE()))</f>
        <v>#NAME?</v>
      </c>
      <c r="CG517" s="253" t="e">
        <f aca="false">xSPRDOPT((VLOOKUP(G517,NGPREVPRICES,2,FALSE())+HLOOKUP(D517,PREVCURVES,VLOOKUP(G517,MOVE_DOWN2,2,FALSE()),FALSE())),VLOOKUP(G517,NGPREVPRICES,2,FALSE()),CK517,VLOOKUP(G517,NGPREVPRICES,4,FALSE()),HLOOKUP(D517,VOLS,VLOOKUP(G517,move_down,2,FALSE()),FALSE()),VLOOKUP(G517,NGPrices,3,FALSE()),HLOOKUP(D517,Correllate,VLOOKUP(G517,CorMove,2,FALSE()),FALSE()),Q517-$CD$3,R517,$CJ$5)*H517-CJ517</f>
        <v>#NAME?</v>
      </c>
      <c r="CH517" s="253" t="e">
        <f aca="false">xSPRDOPT((VLOOKUP(G517,NGPREVPRICES,2,FALSE())+HLOOKUP(D517,PREVCURVES,VLOOKUP(G517,MOVE_DOWN2,2,FALSE()),FALSE())),VLOOKUP(G517,NGPREVPRICES,2,FALSE()),CK517,VLOOKUP(G517,NGPREVPRICES,4,FALSE()),HLOOKUP(D517,PREVVOLS,VLOOKUP(G517,MOVE_DOWN2,2,FALSE()),FALSE()),VLOOKUP(G517,NGPREVPRICES,3,FALSE()),HLOOKUP(D517,Correllate,VLOOKUP(G517,CorMove,2,FALSE()),FALSE()),Q517-$C$3,R517,$CJ$5)*H517-CJ517</f>
        <v>#NAME?</v>
      </c>
      <c r="CI517" s="253" t="e">
        <f aca="false">SUM(CD517:CH517)</f>
        <v>#NAME?</v>
      </c>
      <c r="CJ517" s="253" t="e">
        <f aca="false">xSPRDOPT((VLOOKUP(G517,NGPREVPRICES,2,FALSE())+HLOOKUP(D517,PREVCURVES,VLOOKUP(G517,MOVE_DOWN2,2,FALSE()),FALSE())),VLOOKUP(G517,NGPREVPRICES,2,FALSE()),CK517,VLOOKUP(G517,NGPREVPRICES,4,FALSE()),HLOOKUP(D517,PREVVOLS,VLOOKUP(G517,MOVE_DOWN2,2,FALSE()),FALSE()),VLOOKUP(G517,NGPREVPRICES,3,FALSE()),HLOOKUP(D517,Correllate,VLOOKUP(G517,CorMove,2,FALSE()),FALSE()),Q517-$CD$3,R517,$CJ$5)*H517</f>
        <v>#NAME?</v>
      </c>
      <c r="CK517" s="254" t="n">
        <f aca="false">I517</f>
        <v>0.3</v>
      </c>
      <c r="CM517" s="0" t="str">
        <f aca="false">CONCATENATE(CC517,$CD$6)</f>
        <v>36923Curve Shift/Gamma</v>
      </c>
      <c r="CN517" s="0" t="str">
        <f aca="false">CONCATENATE($CC517,$CE$6)</f>
        <v>36923Rho</v>
      </c>
      <c r="CO517" s="0" t="str">
        <f aca="false">CONCATENATE($CC517,$CF$6)</f>
        <v>36923Drift</v>
      </c>
      <c r="CP517" s="0" t="str">
        <f aca="false">CONCATENATE($CC517,$CG$6)</f>
        <v>36923Vega</v>
      </c>
      <c r="CQ517" s="0" t="str">
        <f aca="false">CONCATENATE($CC517,$CH$6)</f>
        <v>36923Theta</v>
      </c>
    </row>
    <row r="518" customFormat="false" ht="12.75" hidden="false" customHeight="false" outlineLevel="0" collapsed="false">
      <c r="A518" s="17" t="s">
        <v>198</v>
      </c>
      <c r="B518" s="0" t="s">
        <v>192</v>
      </c>
      <c r="C518" s="0" t="s">
        <v>374</v>
      </c>
      <c r="D518" s="7" t="s">
        <v>137</v>
      </c>
      <c r="E518" s="0" t="s">
        <v>131</v>
      </c>
      <c r="F518" s="0" t="s">
        <v>136</v>
      </c>
      <c r="G518" s="92" t="n">
        <v>36892</v>
      </c>
      <c r="H518" s="248" t="n">
        <v>500000</v>
      </c>
      <c r="I518" s="0" t="n">
        <v>0.3</v>
      </c>
      <c r="J518" s="124" t="n">
        <f aca="false">VLOOKUP(G518,NGPrices,2,FALSE())</f>
        <v>4.744</v>
      </c>
      <c r="K518" s="125" t="n">
        <f aca="false">HLOOKUP(D518,Prices,VLOOKUP(G518,move_down,2,FALSE()),FALSE())+VLOOKUP(G518,CHANGE,HLOOKUP(D518,CHANGE,2,FALSE()),FALSE())</f>
        <v>0.7675</v>
      </c>
      <c r="L518" s="124" t="n">
        <f aca="false">K518+J518</f>
        <v>5.5115</v>
      </c>
      <c r="M518" s="126" t="n">
        <f aca="false">VLOOKUP(G518,NGPrices,4,FALSE())</f>
        <v>0.068374831148491</v>
      </c>
      <c r="N518" s="7" t="n">
        <f aca="false">VLOOKUP(G518,NGPrices,3,FALSE())</f>
        <v>0.605</v>
      </c>
      <c r="O518" s="7" t="n">
        <f aca="false">HLOOKUP(D518,VOLS,VLOOKUP(G518,move_down,2,FALSE()),FALSE())</f>
        <v>0.587</v>
      </c>
      <c r="P518" s="249" t="n">
        <f aca="false">HLOOKUP(D518,Correllate,VLOOKUP(G518,CorMove,2,FALSE()),FALSE())</f>
        <v>0.85</v>
      </c>
      <c r="Q518" s="92" t="n">
        <f aca="false">WORKDAY(G518,-2)</f>
        <v>36888</v>
      </c>
      <c r="R518" s="7" t="n">
        <f aca="false">IF(F518="P",0,1)</f>
        <v>1</v>
      </c>
      <c r="S518" s="130" t="e">
        <f aca="false">xSPRDOPT($L518,$J518,$I518,$M518,$O518,$N518,$P518,$Q518-$C$3,$R518,0)</f>
        <v>#NAME?</v>
      </c>
      <c r="T518" s="250" t="e">
        <f aca="false">xSPRDOPT($L518,$J518,$I518,$M518,$O518,$N518,$P518,$Q518-$C$3,$R518,1)*H518</f>
        <v>#NAME?</v>
      </c>
      <c r="U518" s="43" t="e">
        <f aca="false">S518*H518</f>
        <v>#NAME?</v>
      </c>
      <c r="V518" s="250" t="e">
        <f aca="false">xSPRDOPT($L518,$J518,$I518,$M518,$O518,$N518,$P518,$Q518-$C$3,$R518,2)*H518</f>
        <v>#NAME?</v>
      </c>
      <c r="W518" s="250" t="e">
        <f aca="false">+V518+T518</f>
        <v>#NAME?</v>
      </c>
      <c r="X518" s="2" t="str">
        <f aca="false">CONCATENATE(G518,D518)</f>
        <v>36892NGI-SOCAL</v>
      </c>
      <c r="Y518" s="251" t="n">
        <f aca="false">H518/10000</f>
        <v>50</v>
      </c>
      <c r="Z518" s="226" t="e">
        <f aca="false">T518/H518</f>
        <v>#NAME?</v>
      </c>
      <c r="AA518" s="226" t="e">
        <f aca="false">xSPRDOPT($L518,$J518,$I518,$M518,$O518,$N518,$P518,$Q518-$C$3,$R518,3)</f>
        <v>#NAME?</v>
      </c>
      <c r="AB518" s="226" t="e">
        <f aca="false">((xSPRDOPT($L518+AB$5,$J518,$I518,$M518,$O518,$N518,$P518,$Q518-$C$3,$R518,3)*$H518)/10000)/100</f>
        <v>#NAME?</v>
      </c>
      <c r="AC518" s="226" t="e">
        <f aca="false">((xSPRDOPT($L518+$AB$5,$J518,$I518,$M518,$O518,$N518,$P518,$Q518-$C$3,$R518,7)*$H518)/100)</f>
        <v>#NAME?</v>
      </c>
      <c r="AD518" s="226" t="e">
        <f aca="false">(xSPRDOPT($L518+$AB$5,$J518,$I518,$M518,$O518,$N518,$P518,$Q518-$C$3,$R518,9)/365)*$H518</f>
        <v>#NAME?</v>
      </c>
      <c r="AE518" s="0" t="e">
        <f aca="false">CD518</f>
        <v>#NAME?</v>
      </c>
      <c r="AF518" s="226" t="e">
        <f aca="false">((O518/N518)*AH518)+AG518</f>
        <v>#NAME?</v>
      </c>
      <c r="AG518" s="226" t="e">
        <f aca="false">((xSPRDOPT($L518,$J518,$I518,$M518,$O518,$N518,$P518,$Q518-$C$3,$R518,6)*$H518)/100)</f>
        <v>#NAME?</v>
      </c>
      <c r="AH518" s="226" t="e">
        <f aca="false">((xSPRDOPT($L518,$J518,$I518,$M518,$O518,$N518,$P518,$Q518-$C$3,$R518,5)*$H518)/100)</f>
        <v>#NAME?</v>
      </c>
      <c r="AI518" s="226" t="e">
        <f aca="false">(((xSPRDOPT($L518,$J518,$I518,$M518,$O518,$N518,$P518,$Q518-$C$3,$R518,4)*$H518)/10000)/100)-AB518</f>
        <v>#NAME?</v>
      </c>
      <c r="AJ518" s="226"/>
      <c r="AK518" s="226"/>
      <c r="AL518" s="226"/>
      <c r="AM518" s="252"/>
      <c r="CC518" s="182" t="n">
        <f aca="false">G518</f>
        <v>36892</v>
      </c>
      <c r="CD518" s="253" t="e">
        <f aca="false">xSPRDOPT((VLOOKUP(G518,NGPrices,2,FALSE())+HLOOKUP(D518,Prices,VLOOKUP(G518,move_down,2,FALSE()),FALSE())),VLOOKUP(G518,NGPrices,2,FALSE()),I518,VLOOKUP(G518,NGPREVPRICES,4,FALSE()),HLOOKUP(D518,PREVVOLS,VLOOKUP(G518,MOVE_DOWN2,2,FALSE()),FALSE()),VLOOKUP(G518,NGPREVPRICES,3,FALSE()),HLOOKUP(D518,Correllate,VLOOKUP(G518,CorMove,2,FALSE()),FALSE()),Q518-$CD$3,R518,$CD$5)*H518-CJ518</f>
        <v>#NAME?</v>
      </c>
      <c r="CE518" s="253" t="e">
        <f aca="false">xSPRDOPT((VLOOKUP(G518,NGPREVPRICES,2,FALSE())+HLOOKUP(D518,PREVCURVES,VLOOKUP(G518,MOVE_DOWN2,2,FALSE()),FALSE())),VLOOKUP(G518,NGPREVPRICES,2,FALSE()),CK518,VLOOKUP(G518,NGPrices,4,FALSE()),HLOOKUP(D518,PREVVOLS,VLOOKUP(G518,MOVE_DOWN2,2,FALSE()),FALSE()),VLOOKUP(G518,NGPREVPRICES,3,FALSE()),HLOOKUP(D518,Correllate,VLOOKUP(G518,CorMove,2,FALSE()),FALSE()),Q518-$CD$3,R518,$CJ$5)*H518-CJ518</f>
        <v>#NAME?</v>
      </c>
      <c r="CF518" s="132" t="e">
        <f aca="false">(CJ518/VLOOKUP(CC518,discount,3,FALSE()))-(CJ518/VLOOKUP(CC518,discount,2,FALSE()))</f>
        <v>#NAME?</v>
      </c>
      <c r="CG518" s="253" t="e">
        <f aca="false">xSPRDOPT((VLOOKUP(G518,NGPREVPRICES,2,FALSE())+HLOOKUP(D518,PREVCURVES,VLOOKUP(G518,MOVE_DOWN2,2,FALSE()),FALSE())),VLOOKUP(G518,NGPREVPRICES,2,FALSE()),CK518,VLOOKUP(G518,NGPREVPRICES,4,FALSE()),HLOOKUP(D518,VOLS,VLOOKUP(G518,move_down,2,FALSE()),FALSE()),VLOOKUP(G518,NGPrices,3,FALSE()),HLOOKUP(D518,Correllate,VLOOKUP(G518,CorMove,2,FALSE()),FALSE()),Q518-$CD$3,R518,$CJ$5)*H518-CJ518</f>
        <v>#NAME?</v>
      </c>
      <c r="CH518" s="253" t="e">
        <f aca="false">xSPRDOPT((VLOOKUP(G518,NGPREVPRICES,2,FALSE())+HLOOKUP(D518,PREVCURVES,VLOOKUP(G518,MOVE_DOWN2,2,FALSE()),FALSE())),VLOOKUP(G518,NGPREVPRICES,2,FALSE()),CK518,VLOOKUP(G518,NGPREVPRICES,4,FALSE()),HLOOKUP(D518,PREVVOLS,VLOOKUP(G518,MOVE_DOWN2,2,FALSE()),FALSE()),VLOOKUP(G518,NGPREVPRICES,3,FALSE()),HLOOKUP(D518,Correllate,VLOOKUP(G518,CorMove,2,FALSE()),FALSE()),Q518-$C$3,R518,$CJ$5)*H518-CJ518</f>
        <v>#NAME?</v>
      </c>
      <c r="CI518" s="253" t="e">
        <f aca="false">SUM(CD518:CH518)</f>
        <v>#NAME?</v>
      </c>
      <c r="CJ518" s="253" t="e">
        <f aca="false">xSPRDOPT((VLOOKUP(G518,NGPREVPRICES,2,FALSE())+HLOOKUP(D518,PREVCURVES,VLOOKUP(G518,MOVE_DOWN2,2,FALSE()),FALSE())),VLOOKUP(G518,NGPREVPRICES,2,FALSE()),CK518,VLOOKUP(G518,NGPREVPRICES,4,FALSE()),HLOOKUP(D518,PREVVOLS,VLOOKUP(G518,MOVE_DOWN2,2,FALSE()),FALSE()),VLOOKUP(G518,NGPREVPRICES,3,FALSE()),HLOOKUP(D518,Correllate,VLOOKUP(G518,CorMove,2,FALSE()),FALSE()),Q518-$CD$3,R518,$CJ$5)*H518</f>
        <v>#NAME?</v>
      </c>
      <c r="CK518" s="254" t="n">
        <f aca="false">I518</f>
        <v>0.3</v>
      </c>
      <c r="CM518" s="0" t="str">
        <f aca="false">CONCATENATE(CC518,$CD$6)</f>
        <v>36892Curve Shift/Gamma</v>
      </c>
      <c r="CN518" s="0" t="str">
        <f aca="false">CONCATENATE($CC518,$CE$6)</f>
        <v>36892Rho</v>
      </c>
      <c r="CO518" s="0" t="str">
        <f aca="false">CONCATENATE($CC518,$CF$6)</f>
        <v>36892Drift</v>
      </c>
      <c r="CP518" s="0" t="str">
        <f aca="false">CONCATENATE($CC518,$CG$6)</f>
        <v>36892Vega</v>
      </c>
      <c r="CQ518" s="0" t="str">
        <f aca="false">CONCATENATE($CC518,$CH$6)</f>
        <v>36892Theta</v>
      </c>
    </row>
    <row r="519" customFormat="false" ht="12.75" hidden="false" customHeight="false" outlineLevel="0" collapsed="false">
      <c r="A519" s="17" t="s">
        <v>198</v>
      </c>
      <c r="B519" s="0" t="s">
        <v>192</v>
      </c>
      <c r="C519" s="0" t="s">
        <v>374</v>
      </c>
      <c r="D519" s="7" t="s">
        <v>137</v>
      </c>
      <c r="E519" s="0" t="s">
        <v>131</v>
      </c>
      <c r="F519" s="0" t="s">
        <v>136</v>
      </c>
      <c r="G519" s="92" t="n">
        <v>36861</v>
      </c>
      <c r="H519" s="248" t="n">
        <v>500000</v>
      </c>
      <c r="I519" s="0" t="n">
        <v>0.3</v>
      </c>
      <c r="J519" s="124" t="n">
        <f aca="false">VLOOKUP(G519,NGPrices,2,FALSE())</f>
        <v>4.8</v>
      </c>
      <c r="K519" s="125" t="n">
        <f aca="false">HLOOKUP(D519,Prices,VLOOKUP(G519,move_down,2,FALSE()),FALSE())+VLOOKUP(G519,CHANGE,HLOOKUP(D519,CHANGE,2,FALSE()),FALSE())</f>
        <v>1.005</v>
      </c>
      <c r="L519" s="124" t="n">
        <f aca="false">K519+J519</f>
        <v>5.805</v>
      </c>
      <c r="M519" s="126" t="n">
        <f aca="false">VLOOKUP(G519,NGPrices,4,FALSE())</f>
        <v>0.068314027999354</v>
      </c>
      <c r="N519" s="7" t="n">
        <f aca="false">VLOOKUP(G519,NGPrices,3,FALSE())</f>
        <v>0.6</v>
      </c>
      <c r="O519" s="7" t="n">
        <f aca="false">HLOOKUP(D519,VOLS,VLOOKUP(G519,move_down,2,FALSE()),FALSE())</f>
        <v>0.582</v>
      </c>
      <c r="P519" s="249" t="n">
        <f aca="false">HLOOKUP(D519,Correllate,VLOOKUP(G519,CorMove,2,FALSE()),FALSE())</f>
        <v>0.85</v>
      </c>
      <c r="Q519" s="92" t="n">
        <f aca="false">WORKDAY(G519,-2)</f>
        <v>36859</v>
      </c>
      <c r="R519" s="7" t="n">
        <f aca="false">IF(F519="P",0,1)</f>
        <v>1</v>
      </c>
      <c r="S519" s="130" t="e">
        <f aca="false">xSPRDOPT($L519,$J519,$I519,$M519,$O519,$N519,$P519,$Q519-$C$3,$R519,0)</f>
        <v>#NAME?</v>
      </c>
      <c r="T519" s="250" t="e">
        <f aca="false">xSPRDOPT($L519,$J519,$I519,$M519,$O519,$N519,$P519,$Q519-$C$3,$R519,1)*H519</f>
        <v>#NAME?</v>
      </c>
      <c r="U519" s="43" t="e">
        <f aca="false">S519*H519</f>
        <v>#NAME?</v>
      </c>
      <c r="V519" s="250" t="e">
        <f aca="false">xSPRDOPT($L519,$J519,$I519,$M519,$O519,$N519,$P519,$Q519-$C$3,$R519,2)*H519</f>
        <v>#NAME?</v>
      </c>
      <c r="W519" s="250" t="e">
        <f aca="false">+V519+T519</f>
        <v>#NAME?</v>
      </c>
      <c r="X519" s="2" t="str">
        <f aca="false">CONCATENATE(G519,D519)</f>
        <v>36861NGI-SOCAL</v>
      </c>
      <c r="Y519" s="251" t="n">
        <f aca="false">H519/10000</f>
        <v>50</v>
      </c>
      <c r="Z519" s="226" t="e">
        <f aca="false">T519/H519</f>
        <v>#NAME?</v>
      </c>
      <c r="AA519" s="226" t="e">
        <f aca="false">xSPRDOPT($L519,$J519,$I519,$M519,$O519,$N519,$P519,$Q519-$C$3,$R519,3)</f>
        <v>#NAME?</v>
      </c>
      <c r="AB519" s="226" t="e">
        <f aca="false">((xSPRDOPT($L519+AB$5,$J519,$I519,$M519,$O519,$N519,$P519,$Q519-$C$3,$R519,3)*$H519)/10000)/100</f>
        <v>#NAME?</v>
      </c>
      <c r="AC519" s="226" t="e">
        <f aca="false">((xSPRDOPT($L519+$AB$5,$J519,$I519,$M519,$O519,$N519,$P519,$Q519-$C$3,$R519,7)*$H519)/100)</f>
        <v>#NAME?</v>
      </c>
      <c r="AD519" s="226" t="e">
        <f aca="false">(xSPRDOPT($L519+$AB$5,$J519,$I519,$M519,$O519,$N519,$P519,$Q519-$C$3,$R519,9)/365)*$H519</f>
        <v>#NAME?</v>
      </c>
      <c r="AE519" s="0" t="e">
        <f aca="false">CD519</f>
        <v>#NAME?</v>
      </c>
      <c r="AF519" s="226" t="e">
        <f aca="false">((O519/N519)*AH519)+AG519</f>
        <v>#NAME?</v>
      </c>
      <c r="AG519" s="226" t="e">
        <f aca="false">((xSPRDOPT($L519,$J519,$I519,$M519,$O519,$N519,$P519,$Q519-$C$3,$R519,6)*$H519)/100)</f>
        <v>#NAME?</v>
      </c>
      <c r="AH519" s="226" t="e">
        <f aca="false">((xSPRDOPT($L519,$J519,$I519,$M519,$O519,$N519,$P519,$Q519-$C$3,$R519,5)*$H519)/100)</f>
        <v>#NAME?</v>
      </c>
      <c r="AI519" s="226" t="e">
        <f aca="false">(((xSPRDOPT($L519,$J519,$I519,$M519,$O519,$N519,$P519,$Q519-$C$3,$R519,4)*$H519)/10000)/100)-AB519</f>
        <v>#NAME?</v>
      </c>
      <c r="AJ519" s="226"/>
      <c r="AK519" s="226"/>
      <c r="AL519" s="226"/>
      <c r="AM519" s="252"/>
      <c r="CC519" s="182" t="n">
        <f aca="false">G519</f>
        <v>36861</v>
      </c>
      <c r="CD519" s="253" t="e">
        <f aca="false">xSPRDOPT((VLOOKUP(G519,NGPrices,2,FALSE())+HLOOKUP(D519,Prices,VLOOKUP(G519,move_down,2,FALSE()),FALSE())),VLOOKUP(G519,NGPrices,2,FALSE()),I519,VLOOKUP(G519,NGPREVPRICES,4,FALSE()),HLOOKUP(D519,PREVVOLS,VLOOKUP(G519,MOVE_DOWN2,2,FALSE()),FALSE()),VLOOKUP(G519,NGPREVPRICES,3,FALSE()),HLOOKUP(D519,Correllate,VLOOKUP(G519,CorMove,2,FALSE()),FALSE()),Q519-$CD$3,R519,$CD$5)*H519-CJ519</f>
        <v>#NAME?</v>
      </c>
      <c r="CE519" s="253" t="e">
        <f aca="false">xSPRDOPT((VLOOKUP(G519,NGPREVPRICES,2,FALSE())+HLOOKUP(D519,PREVCURVES,VLOOKUP(G519,MOVE_DOWN2,2,FALSE()),FALSE())),VLOOKUP(G519,NGPREVPRICES,2,FALSE()),CK519,VLOOKUP(G519,NGPrices,4,FALSE()),HLOOKUP(D519,PREVVOLS,VLOOKUP(G519,MOVE_DOWN2,2,FALSE()),FALSE()),VLOOKUP(G519,NGPREVPRICES,3,FALSE()),HLOOKUP(D519,Correllate,VLOOKUP(G519,CorMove,2,FALSE()),FALSE()),Q519-$CD$3,R519,$CJ$5)*H519-CJ519</f>
        <v>#NAME?</v>
      </c>
      <c r="CF519" s="132" t="e">
        <f aca="false">(CJ519/VLOOKUP(CC519,discount,3,FALSE()))-(CJ519/VLOOKUP(CC519,discount,2,FALSE()))</f>
        <v>#NAME?</v>
      </c>
      <c r="CG519" s="253" t="e">
        <f aca="false">xSPRDOPT((VLOOKUP(G519,NGPREVPRICES,2,FALSE())+HLOOKUP(D519,PREVCURVES,VLOOKUP(G519,MOVE_DOWN2,2,FALSE()),FALSE())),VLOOKUP(G519,NGPREVPRICES,2,FALSE()),CK519,VLOOKUP(G519,NGPREVPRICES,4,FALSE()),HLOOKUP(D519,VOLS,VLOOKUP(G519,move_down,2,FALSE()),FALSE()),VLOOKUP(G519,NGPrices,3,FALSE()),HLOOKUP(D519,Correllate,VLOOKUP(G519,CorMove,2,FALSE()),FALSE()),Q519-$CD$3,R519,$CJ$5)*H519-CJ519</f>
        <v>#NAME?</v>
      </c>
      <c r="CH519" s="253" t="e">
        <f aca="false">xSPRDOPT((VLOOKUP(G519,NGPREVPRICES,2,FALSE())+HLOOKUP(D519,PREVCURVES,VLOOKUP(G519,MOVE_DOWN2,2,FALSE()),FALSE())),VLOOKUP(G519,NGPREVPRICES,2,FALSE()),CK519,VLOOKUP(G519,NGPREVPRICES,4,FALSE()),HLOOKUP(D519,PREVVOLS,VLOOKUP(G519,MOVE_DOWN2,2,FALSE()),FALSE()),VLOOKUP(G519,NGPREVPRICES,3,FALSE()),HLOOKUP(D519,Correllate,VLOOKUP(G519,CorMove,2,FALSE()),FALSE()),Q519-$C$3,R519,$CJ$5)*H519-CJ519</f>
        <v>#NAME?</v>
      </c>
      <c r="CI519" s="253" t="e">
        <f aca="false">SUM(CD519:CH519)</f>
        <v>#NAME?</v>
      </c>
      <c r="CJ519" s="253" t="e">
        <f aca="false">xSPRDOPT((VLOOKUP(G519,NGPREVPRICES,2,FALSE())+HLOOKUP(D519,PREVCURVES,VLOOKUP(G519,MOVE_DOWN2,2,FALSE()),FALSE())),VLOOKUP(G519,NGPREVPRICES,2,FALSE()),CK519,VLOOKUP(G519,NGPREVPRICES,4,FALSE()),HLOOKUP(D519,PREVVOLS,VLOOKUP(G519,MOVE_DOWN2,2,FALSE()),FALSE()),VLOOKUP(G519,NGPREVPRICES,3,FALSE()),HLOOKUP(D519,Correllate,VLOOKUP(G519,CorMove,2,FALSE()),FALSE()),Q519-$CD$3,R519,$CJ$5)*H519</f>
        <v>#NAME?</v>
      </c>
      <c r="CK519" s="254" t="n">
        <f aca="false">I519</f>
        <v>0.3</v>
      </c>
      <c r="CM519" s="0" t="str">
        <f aca="false">CONCATENATE(CC519,$CD$6)</f>
        <v>36861Curve Shift/Gamma</v>
      </c>
      <c r="CN519" s="0" t="str">
        <f aca="false">CONCATENATE($CC519,$CE$6)</f>
        <v>36861Rho</v>
      </c>
      <c r="CO519" s="0" t="str">
        <f aca="false">CONCATENATE($CC519,$CF$6)</f>
        <v>36861Drift</v>
      </c>
      <c r="CP519" s="0" t="str">
        <f aca="false">CONCATENATE($CC519,$CG$6)</f>
        <v>36861Vega</v>
      </c>
      <c r="CQ519" s="0" t="str">
        <f aca="false">CONCATENATE($CC519,$CH$6)</f>
        <v>36861Theta</v>
      </c>
    </row>
    <row r="520" customFormat="false" ht="12.75" hidden="false" customHeight="false" outlineLevel="0" collapsed="false">
      <c r="A520" s="17" t="s">
        <v>198</v>
      </c>
      <c r="B520" s="0" t="s">
        <v>192</v>
      </c>
      <c r="C520" s="0" t="s">
        <v>374</v>
      </c>
      <c r="D520" s="7" t="s">
        <v>137</v>
      </c>
      <c r="E520" s="0" t="s">
        <v>131</v>
      </c>
      <c r="F520" s="0" t="s">
        <v>136</v>
      </c>
      <c r="G520" s="92" t="n">
        <v>36831</v>
      </c>
      <c r="H520" s="248" t="n">
        <v>500000</v>
      </c>
      <c r="I520" s="0" t="n">
        <v>0.3</v>
      </c>
      <c r="J520" s="124" t="n">
        <f aca="false">VLOOKUP(G520,NGPrices,2,FALSE())</f>
        <v>4.736</v>
      </c>
      <c r="K520" s="125" t="n">
        <f aca="false">HLOOKUP(D520,Prices,VLOOKUP(G520,move_down,2,FALSE()),FALSE())+VLOOKUP(G520,CHANGE,HLOOKUP(D520,CHANGE,2,FALSE()),FALSE())</f>
        <v>1.545</v>
      </c>
      <c r="L520" s="124" t="n">
        <f aca="false">K520+J520</f>
        <v>6.281</v>
      </c>
      <c r="M520" s="126" t="n">
        <f aca="false">VLOOKUP(G520,NGPrices,4,FALSE())</f>
        <v>0.06810675983792</v>
      </c>
      <c r="N520" s="7" t="n">
        <f aca="false">VLOOKUP(G520,NGPrices,3,FALSE())</f>
        <v>0.595</v>
      </c>
      <c r="O520" s="7" t="n">
        <f aca="false">HLOOKUP(D520,VOLS,VLOOKUP(G520,move_down,2,FALSE()),FALSE())</f>
        <v>0.577</v>
      </c>
      <c r="P520" s="249" t="n">
        <f aca="false">HLOOKUP(D520,Correllate,VLOOKUP(G520,CorMove,2,FALSE()),FALSE())</f>
        <v>0.85</v>
      </c>
      <c r="Q520" s="92" t="n">
        <f aca="false">WORKDAY(G520,-2)</f>
        <v>36829</v>
      </c>
      <c r="R520" s="7" t="n">
        <f aca="false">IF(F520="P",0,1)</f>
        <v>1</v>
      </c>
      <c r="S520" s="130" t="e">
        <f aca="false">xSPRDOPT($L520,$J520,$I520,$M520,$O520,$N520,$P520,$Q520-$C$3,$R520,0)</f>
        <v>#NAME?</v>
      </c>
      <c r="T520" s="250" t="e">
        <f aca="false">xSPRDOPT($L520,$J520,$I520,$M520,$O520,$N520,$P520,$Q520-$C$3,$R520,1)*H520</f>
        <v>#NAME?</v>
      </c>
      <c r="U520" s="43" t="e">
        <f aca="false">S520*H520</f>
        <v>#NAME?</v>
      </c>
      <c r="V520" s="250" t="e">
        <f aca="false">xSPRDOPT($L520,$J520,$I520,$M520,$O520,$N520,$P520,$Q520-$C$3,$R520,2)*H520</f>
        <v>#NAME?</v>
      </c>
      <c r="W520" s="250" t="e">
        <f aca="false">+V520+T520</f>
        <v>#NAME?</v>
      </c>
      <c r="X520" s="2" t="str">
        <f aca="false">CONCATENATE(G520,D520)</f>
        <v>36831NGI-SOCAL</v>
      </c>
      <c r="Y520" s="251" t="n">
        <f aca="false">H520/10000</f>
        <v>50</v>
      </c>
      <c r="Z520" s="226" t="e">
        <f aca="false">T520/H520</f>
        <v>#NAME?</v>
      </c>
      <c r="AA520" s="226" t="e">
        <f aca="false">xSPRDOPT($L520,$J520,$I520,$M520,$O520,$N520,$P520,$Q520-$C$3,$R520,3)</f>
        <v>#NAME?</v>
      </c>
      <c r="AB520" s="226" t="e">
        <f aca="false">((xSPRDOPT($L520+AB$5,$J520,$I520,$M520,$O520,$N520,$P520,$Q520-$C$3,$R520,3)*$H520)/10000)/100</f>
        <v>#NAME?</v>
      </c>
      <c r="AC520" s="226" t="e">
        <f aca="false">((xSPRDOPT($L520+$AB$5,$J520,$I520,$M520,$O520,$N520,$P520,$Q520-$C$3,$R520,7)*$H520)/100)</f>
        <v>#NAME?</v>
      </c>
      <c r="AD520" s="226" t="e">
        <f aca="false">(xSPRDOPT($L520+$AB$5,$J520,$I520,$M520,$O520,$N520,$P520,$Q520-$C$3,$R520,9)/365)*$H520</f>
        <v>#NAME?</v>
      </c>
      <c r="AE520" s="0" t="e">
        <f aca="false">CD520</f>
        <v>#NAME?</v>
      </c>
      <c r="AF520" s="226" t="e">
        <f aca="false">((O520/N520)*AH520)+AG520</f>
        <v>#NAME?</v>
      </c>
      <c r="AG520" s="226" t="e">
        <f aca="false">((xSPRDOPT($L520,$J520,$I520,$M520,$O520,$N520,$P520,$Q520-$C$3,$R520,6)*$H520)/100)</f>
        <v>#NAME?</v>
      </c>
      <c r="AH520" s="226" t="e">
        <f aca="false">((xSPRDOPT($L520,$J520,$I520,$M520,$O520,$N520,$P520,$Q520-$C$3,$R520,5)*$H520)/100)</f>
        <v>#NAME?</v>
      </c>
      <c r="AI520" s="226" t="e">
        <f aca="false">(((xSPRDOPT($L520,$J520,$I520,$M520,$O520,$N520,$P520,$Q520-$C$3,$R520,4)*$H520)/10000)/100)-AB520</f>
        <v>#NAME?</v>
      </c>
      <c r="AJ520" s="226"/>
      <c r="AK520" s="226"/>
      <c r="AL520" s="226"/>
      <c r="AM520" s="252"/>
      <c r="CC520" s="182" t="n">
        <f aca="false">G520</f>
        <v>36831</v>
      </c>
      <c r="CD520" s="253" t="e">
        <f aca="false">xSPRDOPT((VLOOKUP(G520,NGPrices,2,FALSE())+HLOOKUP(D520,Prices,VLOOKUP(G520,move_down,2,FALSE()),FALSE())),VLOOKUP(G520,NGPrices,2,FALSE()),I520,VLOOKUP(G520,NGPREVPRICES,4,FALSE()),HLOOKUP(D520,PREVVOLS,VLOOKUP(G520,MOVE_DOWN2,2,FALSE()),FALSE()),VLOOKUP(G520,NGPREVPRICES,3,FALSE()),HLOOKUP(D520,Correllate,VLOOKUP(G520,CorMove,2,FALSE()),FALSE()),Q520-$CD$3,R520,$CD$5)*H520-CJ520</f>
        <v>#NAME?</v>
      </c>
      <c r="CE520" s="253" t="e">
        <f aca="false">xSPRDOPT((VLOOKUP(G520,NGPREVPRICES,2,FALSE())+HLOOKUP(D520,PREVCURVES,VLOOKUP(G520,MOVE_DOWN2,2,FALSE()),FALSE())),VLOOKUP(G520,NGPREVPRICES,2,FALSE()),CK520,VLOOKUP(G520,NGPrices,4,FALSE()),HLOOKUP(D520,PREVVOLS,VLOOKUP(G520,MOVE_DOWN2,2,FALSE()),FALSE()),VLOOKUP(G520,NGPREVPRICES,3,FALSE()),HLOOKUP(D520,Correllate,VLOOKUP(G520,CorMove,2,FALSE()),FALSE()),Q520-$CD$3,R520,$CJ$5)*H520-CJ520</f>
        <v>#NAME?</v>
      </c>
      <c r="CF520" s="132" t="e">
        <f aca="false">(CJ520/VLOOKUP(CC520,discount,3,FALSE()))-(CJ520/VLOOKUP(CC520,discount,2,FALSE()))</f>
        <v>#NAME?</v>
      </c>
      <c r="CG520" s="253" t="e">
        <f aca="false">xSPRDOPT((VLOOKUP(G520,NGPREVPRICES,2,FALSE())+HLOOKUP(D520,PREVCURVES,VLOOKUP(G520,MOVE_DOWN2,2,FALSE()),FALSE())),VLOOKUP(G520,NGPREVPRICES,2,FALSE()),CK520,VLOOKUP(G520,NGPREVPRICES,4,FALSE()),HLOOKUP(D520,VOLS,VLOOKUP(G520,move_down,2,FALSE()),FALSE()),VLOOKUP(G520,NGPrices,3,FALSE()),HLOOKUP(D520,Correllate,VLOOKUP(G520,CorMove,2,FALSE()),FALSE()),Q520-$CD$3,R520,$CJ$5)*H520-CJ520</f>
        <v>#NAME?</v>
      </c>
      <c r="CH520" s="253" t="e">
        <f aca="false">xSPRDOPT((VLOOKUP(G520,NGPREVPRICES,2,FALSE())+HLOOKUP(D520,PREVCURVES,VLOOKUP(G520,MOVE_DOWN2,2,FALSE()),FALSE())),VLOOKUP(G520,NGPREVPRICES,2,FALSE()),CK520,VLOOKUP(G520,NGPREVPRICES,4,FALSE()),HLOOKUP(D520,PREVVOLS,VLOOKUP(G520,MOVE_DOWN2,2,FALSE()),FALSE()),VLOOKUP(G520,NGPREVPRICES,3,FALSE()),HLOOKUP(D520,Correllate,VLOOKUP(G520,CorMove,2,FALSE()),FALSE()),Q520-$C$3,R520,$CJ$5)*H520-CJ520</f>
        <v>#NAME?</v>
      </c>
      <c r="CI520" s="253" t="e">
        <f aca="false">SUM(CD520:CH520)</f>
        <v>#NAME?</v>
      </c>
      <c r="CJ520" s="253" t="e">
        <f aca="false">xSPRDOPT((VLOOKUP(G520,NGPREVPRICES,2,FALSE())+HLOOKUP(D520,PREVCURVES,VLOOKUP(G520,MOVE_DOWN2,2,FALSE()),FALSE())),VLOOKUP(G520,NGPREVPRICES,2,FALSE()),CK520,VLOOKUP(G520,NGPREVPRICES,4,FALSE()),HLOOKUP(D520,PREVVOLS,VLOOKUP(G520,MOVE_DOWN2,2,FALSE()),FALSE()),VLOOKUP(G520,NGPREVPRICES,3,FALSE()),HLOOKUP(D520,Correllate,VLOOKUP(G520,CorMove,2,FALSE()),FALSE()),Q520-$CD$3,R520,$CJ$5)*H520</f>
        <v>#NAME?</v>
      </c>
      <c r="CK520" s="254" t="n">
        <f aca="false">I520</f>
        <v>0.3</v>
      </c>
      <c r="CM520" s="0" t="str">
        <f aca="false">CONCATENATE(CC520,$CD$6)</f>
        <v>36831Curve Shift/Gamma</v>
      </c>
      <c r="CN520" s="0" t="str">
        <f aca="false">CONCATENATE($CC520,$CE$6)</f>
        <v>36831Rho</v>
      </c>
      <c r="CO520" s="0" t="str">
        <f aca="false">CONCATENATE($CC520,$CF$6)</f>
        <v>36831Drift</v>
      </c>
      <c r="CP520" s="0" t="str">
        <f aca="false">CONCATENATE($CC520,$CG$6)</f>
        <v>36831Vega</v>
      </c>
      <c r="CQ520" s="0" t="str">
        <f aca="false">CONCATENATE($CC520,$CH$6)</f>
        <v>36831Theta</v>
      </c>
    </row>
    <row r="521" customFormat="false" ht="12.75" hidden="false" customHeight="false" outlineLevel="0" collapsed="false">
      <c r="A521" s="17" t="s">
        <v>198</v>
      </c>
      <c r="B521" s="0" t="s">
        <v>192</v>
      </c>
      <c r="C521" s="0" t="s">
        <v>375</v>
      </c>
      <c r="D521" s="7" t="s">
        <v>149</v>
      </c>
      <c r="E521" s="0" t="s">
        <v>131</v>
      </c>
      <c r="F521" s="0" t="s">
        <v>132</v>
      </c>
      <c r="G521" s="92" t="n">
        <v>36951</v>
      </c>
      <c r="H521" s="248" t="n">
        <v>-1000000</v>
      </c>
      <c r="I521" s="0" t="n">
        <v>1.3</v>
      </c>
      <c r="J521" s="124" t="n">
        <f aca="false">VLOOKUP(G521,NGPrices,2,FALSE())</f>
        <v>4.213</v>
      </c>
      <c r="K521" s="125" t="n">
        <f aca="false">HLOOKUP(D521,Prices,VLOOKUP(G521,move_down,2,FALSE()),FALSE())+VLOOKUP(G521,CHANGE,HLOOKUP(D521,CHANGE,2,FALSE()),FALSE())</f>
        <v>1.075</v>
      </c>
      <c r="L521" s="124" t="n">
        <f aca="false">K521+J521</f>
        <v>5.288</v>
      </c>
      <c r="M521" s="126" t="n">
        <f aca="false">VLOOKUP(G521,NGPrices,4,FALSE())</f>
        <v>0.068879814952707</v>
      </c>
      <c r="N521" s="7" t="n">
        <f aca="false">VLOOKUP(G521,NGPrices,3,FALSE())</f>
        <v>0.5325</v>
      </c>
      <c r="O521" s="7" t="n">
        <f aca="false">HLOOKUP(D521,VOLS,VLOOKUP(G521,move_down,2,FALSE()),FALSE())</f>
        <v>0.612</v>
      </c>
      <c r="P521" s="249" t="n">
        <f aca="false">HLOOKUP(D521,Correllate,VLOOKUP(G521,CorMove,2,FALSE()),FALSE())</f>
        <v>0.83</v>
      </c>
      <c r="Q521" s="92" t="n">
        <f aca="false">WORKDAY(G521,-2)</f>
        <v>36949</v>
      </c>
      <c r="R521" s="7" t="n">
        <f aca="false">IF(F521="P",0,1)</f>
        <v>0</v>
      </c>
      <c r="S521" s="130" t="e">
        <f aca="false">xSPRDOPT($L521,$J521,$I521,$M521,$O521,$N521,$P521,$Q521-$C$3,$R521,0)</f>
        <v>#NAME?</v>
      </c>
      <c r="T521" s="250" t="e">
        <f aca="false">xSPRDOPT($L521,$J521,$I521,$M521,$O521,$N521,$P521,$Q521-$C$3,$R521,1)*H521</f>
        <v>#NAME?</v>
      </c>
      <c r="U521" s="43" t="e">
        <f aca="false">S521*H521</f>
        <v>#NAME?</v>
      </c>
      <c r="V521" s="250" t="e">
        <f aca="false">xSPRDOPT($L521,$J521,$I521,$M521,$O521,$N521,$P521,$Q521-$C$3,$R521,2)*H521</f>
        <v>#NAME?</v>
      </c>
      <c r="W521" s="250" t="e">
        <f aca="false">+V521+T521</f>
        <v>#NAME?</v>
      </c>
      <c r="X521" s="2" t="str">
        <f aca="false">CONCATENATE(G521,D521)</f>
        <v>36951IF-TRANSCO/Z6</v>
      </c>
      <c r="Y521" s="251" t="n">
        <f aca="false">H521/10000</f>
        <v>-100</v>
      </c>
      <c r="Z521" s="226" t="e">
        <f aca="false">T521/H521</f>
        <v>#NAME?</v>
      </c>
      <c r="AA521" s="226" t="e">
        <f aca="false">xSPRDOPT($L521,$J521,$I521,$M521,$O521,$N521,$P521,$Q521-$C$3,$R521,3)</f>
        <v>#NAME?</v>
      </c>
      <c r="AB521" s="226" t="e">
        <f aca="false">((xSPRDOPT($L521+AB$5,$J521,$I521,$M521,$O521,$N521,$P521,$Q521-$C$3,$R521,3)*$H521)/10000)/100</f>
        <v>#NAME?</v>
      </c>
      <c r="AC521" s="226" t="e">
        <f aca="false">((xSPRDOPT($L521+$AB$5,$J521,$I521,$M521,$O521,$N521,$P521,$Q521-$C$3,$R521,7)*$H521)/100)</f>
        <v>#NAME?</v>
      </c>
      <c r="AD521" s="226" t="e">
        <f aca="false">(xSPRDOPT($L521+$AB$5,$J521,$I521,$M521,$O521,$N521,$P521,$Q521-$C$3,$R521,9)/365)*$H521</f>
        <v>#NAME?</v>
      </c>
      <c r="AE521" s="0" t="e">
        <f aca="false">CD521</f>
        <v>#NAME?</v>
      </c>
      <c r="AF521" s="226" t="e">
        <f aca="false">((O521/N521)*AH521)+AG521</f>
        <v>#NAME?</v>
      </c>
      <c r="AG521" s="226" t="e">
        <f aca="false">((xSPRDOPT($L521,$J521,$I521,$M521,$O521,$N521,$P521,$Q521-$C$3,$R521,6)*$H521)/100)</f>
        <v>#NAME?</v>
      </c>
      <c r="AH521" s="226" t="e">
        <f aca="false">((xSPRDOPT($L521,$J521,$I521,$M521,$O521,$N521,$P521,$Q521-$C$3,$R521,5)*$H521)/100)</f>
        <v>#NAME?</v>
      </c>
      <c r="AI521" s="226" t="e">
        <f aca="false">(((xSPRDOPT($L521,$J521,$I521,$M521,$O521,$N521,$P521,$Q521-$C$3,$R521,4)*$H521)/10000)/100)-AB521</f>
        <v>#NAME?</v>
      </c>
      <c r="AJ521" s="226"/>
      <c r="AK521" s="226"/>
      <c r="AL521" s="226"/>
      <c r="AM521" s="252"/>
      <c r="CC521" s="182" t="n">
        <f aca="false">G521</f>
        <v>36951</v>
      </c>
      <c r="CD521" s="253" t="e">
        <f aca="false">xSPRDOPT((VLOOKUP(G521,NGPrices,2,FALSE())+HLOOKUP(D521,Prices,VLOOKUP(G521,move_down,2,FALSE()),FALSE())),VLOOKUP(G521,NGPrices,2,FALSE()),I521,VLOOKUP(G521,NGPREVPRICES,4,FALSE()),HLOOKUP(D521,PREVVOLS,VLOOKUP(G521,MOVE_DOWN2,2,FALSE()),FALSE()),VLOOKUP(G521,NGPREVPRICES,3,FALSE()),HLOOKUP(D521,Correllate,VLOOKUP(G521,CorMove,2,FALSE()),FALSE()),Q521-$CD$3,R521,$CD$5)*H521-CJ521</f>
        <v>#NAME?</v>
      </c>
      <c r="CE521" s="253" t="e">
        <f aca="false">xSPRDOPT((VLOOKUP(G521,NGPREVPRICES,2,FALSE())+HLOOKUP(D521,PREVCURVES,VLOOKUP(G521,MOVE_DOWN2,2,FALSE()),FALSE())),VLOOKUP(G521,NGPREVPRICES,2,FALSE()),CK521,VLOOKUP(G521,NGPrices,4,FALSE()),HLOOKUP(D521,PREVVOLS,VLOOKUP(G521,MOVE_DOWN2,2,FALSE()),FALSE()),VLOOKUP(G521,NGPREVPRICES,3,FALSE()),HLOOKUP(D521,Correllate,VLOOKUP(G521,CorMove,2,FALSE()),FALSE()),Q521-$CD$3,R521,$CJ$5)*H521-CJ521</f>
        <v>#NAME?</v>
      </c>
      <c r="CF521" s="132" t="e">
        <f aca="false">(CJ521/VLOOKUP(CC521,discount,3,FALSE()))-(CJ521/VLOOKUP(CC521,discount,2,FALSE()))</f>
        <v>#NAME?</v>
      </c>
      <c r="CG521" s="253" t="e">
        <f aca="false">xSPRDOPT((VLOOKUP(G521,NGPREVPRICES,2,FALSE())+HLOOKUP(D521,PREVCURVES,VLOOKUP(G521,MOVE_DOWN2,2,FALSE()),FALSE())),VLOOKUP(G521,NGPREVPRICES,2,FALSE()),CK521,VLOOKUP(G521,NGPREVPRICES,4,FALSE()),HLOOKUP(D521,VOLS,VLOOKUP(G521,move_down,2,FALSE()),FALSE()),VLOOKUP(G521,NGPrices,3,FALSE()),HLOOKUP(D521,Correllate,VLOOKUP(G521,CorMove,2,FALSE()),FALSE()),Q521-$CD$3,R521,$CJ$5)*H521-CJ521</f>
        <v>#NAME?</v>
      </c>
      <c r="CH521" s="253" t="e">
        <f aca="false">xSPRDOPT((VLOOKUP(G521,NGPREVPRICES,2,FALSE())+HLOOKUP(D521,PREVCURVES,VLOOKUP(G521,MOVE_DOWN2,2,FALSE()),FALSE())),VLOOKUP(G521,NGPREVPRICES,2,FALSE()),CK521,VLOOKUP(G521,NGPREVPRICES,4,FALSE()),HLOOKUP(D521,PREVVOLS,VLOOKUP(G521,MOVE_DOWN2,2,FALSE()),FALSE()),VLOOKUP(G521,NGPREVPRICES,3,FALSE()),HLOOKUP(D521,Correllate,VLOOKUP(G521,CorMove,2,FALSE()),FALSE()),Q521-$C$3,R521,$CJ$5)*H521-CJ521</f>
        <v>#NAME?</v>
      </c>
      <c r="CI521" s="253" t="e">
        <f aca="false">SUM(CD521:CH521)</f>
        <v>#NAME?</v>
      </c>
      <c r="CJ521" s="253" t="e">
        <f aca="false">xSPRDOPT((VLOOKUP(G521,NGPREVPRICES,2,FALSE())+HLOOKUP(D521,PREVCURVES,VLOOKUP(G521,MOVE_DOWN2,2,FALSE()),FALSE())),VLOOKUP(G521,NGPREVPRICES,2,FALSE()),CK521,VLOOKUP(G521,NGPREVPRICES,4,FALSE()),HLOOKUP(D521,PREVVOLS,VLOOKUP(G521,MOVE_DOWN2,2,FALSE()),FALSE()),VLOOKUP(G521,NGPREVPRICES,3,FALSE()),HLOOKUP(D521,Correllate,VLOOKUP(G521,CorMove,2,FALSE()),FALSE()),Q521-$CD$3,R521,$CJ$5)*H521</f>
        <v>#NAME?</v>
      </c>
      <c r="CK521" s="254" t="n">
        <f aca="false">I521</f>
        <v>1.3</v>
      </c>
      <c r="CM521" s="0" t="str">
        <f aca="false">CONCATENATE(CC521,$CD$6)</f>
        <v>36951Curve Shift/Gamma</v>
      </c>
      <c r="CN521" s="0" t="str">
        <f aca="false">CONCATENATE($CC521,$CE$6)</f>
        <v>36951Rho</v>
      </c>
      <c r="CO521" s="0" t="str">
        <f aca="false">CONCATENATE($CC521,$CF$6)</f>
        <v>36951Drift</v>
      </c>
      <c r="CP521" s="0" t="str">
        <f aca="false">CONCATENATE($CC521,$CG$6)</f>
        <v>36951Vega</v>
      </c>
      <c r="CQ521" s="0" t="str">
        <f aca="false">CONCATENATE($CC521,$CH$6)</f>
        <v>36951Theta</v>
      </c>
    </row>
    <row r="522" customFormat="false" ht="12.75" hidden="false" customHeight="false" outlineLevel="0" collapsed="false">
      <c r="A522" s="17" t="s">
        <v>198</v>
      </c>
      <c r="B522" s="0" t="s">
        <v>192</v>
      </c>
      <c r="C522" s="0" t="s">
        <v>375</v>
      </c>
      <c r="D522" s="7" t="s">
        <v>149</v>
      </c>
      <c r="E522" s="0" t="s">
        <v>131</v>
      </c>
      <c r="F522" s="0" t="s">
        <v>132</v>
      </c>
      <c r="G522" s="92" t="n">
        <v>36923</v>
      </c>
      <c r="H522" s="248" t="n">
        <v>-1000000</v>
      </c>
      <c r="I522" s="0" t="n">
        <v>1.3</v>
      </c>
      <c r="J522" s="124" t="n">
        <f aca="false">VLOOKUP(G522,NGPrices,2,FALSE())</f>
        <v>4.48</v>
      </c>
      <c r="K522" s="125" t="n">
        <f aca="false">HLOOKUP(D522,Prices,VLOOKUP(G522,move_down,2,FALSE()),FALSE())+VLOOKUP(G522,CHANGE,HLOOKUP(D522,CHANGE,2,FALSE()),FALSE())</f>
        <v>2.09</v>
      </c>
      <c r="L522" s="124" t="n">
        <f aca="false">K522+J522</f>
        <v>6.57</v>
      </c>
      <c r="M522" s="126" t="n">
        <f aca="false">VLOOKUP(G522,NGPrices,4,FALSE())</f>
        <v>0.068640161611372</v>
      </c>
      <c r="N522" s="7" t="n">
        <f aca="false">VLOOKUP(G522,NGPrices,3,FALSE())</f>
        <v>0.5925</v>
      </c>
      <c r="O522" s="7" t="n">
        <f aca="false">HLOOKUP(D522,VOLS,VLOOKUP(G522,move_down,2,FALSE()),FALSE())</f>
        <v>0.681</v>
      </c>
      <c r="P522" s="249" t="n">
        <f aca="false">HLOOKUP(D522,Correllate,VLOOKUP(G522,CorMove,2,FALSE()),FALSE())</f>
        <v>0.83</v>
      </c>
      <c r="Q522" s="92" t="n">
        <f aca="false">WORKDAY(G522,-2)</f>
        <v>36921</v>
      </c>
      <c r="R522" s="7" t="n">
        <f aca="false">IF(F522="P",0,1)</f>
        <v>0</v>
      </c>
      <c r="S522" s="130" t="e">
        <f aca="false">xSPRDOPT($L522,$J522,$I522,$M522,$O522,$N522,$P522,$Q522-$C$3,$R522,0)</f>
        <v>#NAME?</v>
      </c>
      <c r="T522" s="250" t="e">
        <f aca="false">xSPRDOPT($L522,$J522,$I522,$M522,$O522,$N522,$P522,$Q522-$C$3,$R522,1)*H522</f>
        <v>#NAME?</v>
      </c>
      <c r="U522" s="43" t="e">
        <f aca="false">S522*H522</f>
        <v>#NAME?</v>
      </c>
      <c r="V522" s="250" t="e">
        <f aca="false">xSPRDOPT($L522,$J522,$I522,$M522,$O522,$N522,$P522,$Q522-$C$3,$R522,2)*H522</f>
        <v>#NAME?</v>
      </c>
      <c r="W522" s="250" t="e">
        <f aca="false">+V522+T522</f>
        <v>#NAME?</v>
      </c>
      <c r="X522" s="2" t="str">
        <f aca="false">CONCATENATE(G522,D522)</f>
        <v>36923IF-TRANSCO/Z6</v>
      </c>
      <c r="Y522" s="251" t="n">
        <f aca="false">H522/10000</f>
        <v>-100</v>
      </c>
      <c r="Z522" s="226" t="e">
        <f aca="false">T522/H522</f>
        <v>#NAME?</v>
      </c>
      <c r="AA522" s="226" t="e">
        <f aca="false">xSPRDOPT($L522,$J522,$I522,$M522,$O522,$N522,$P522,$Q522-$C$3,$R522,3)</f>
        <v>#NAME?</v>
      </c>
      <c r="AB522" s="226" t="e">
        <f aca="false">((xSPRDOPT($L522+AB$5,$J522,$I522,$M522,$O522,$N522,$P522,$Q522-$C$3,$R522,3)*$H522)/10000)/100</f>
        <v>#NAME?</v>
      </c>
      <c r="AC522" s="226" t="e">
        <f aca="false">((xSPRDOPT($L522+$AB$5,$J522,$I522,$M522,$O522,$N522,$P522,$Q522-$C$3,$R522,7)*$H522)/100)</f>
        <v>#NAME?</v>
      </c>
      <c r="AD522" s="226" t="e">
        <f aca="false">(xSPRDOPT($L522+$AB$5,$J522,$I522,$M522,$O522,$N522,$P522,$Q522-$C$3,$R522,9)/365)*$H522</f>
        <v>#NAME?</v>
      </c>
      <c r="AE522" s="0" t="e">
        <f aca="false">CD522</f>
        <v>#NAME?</v>
      </c>
      <c r="AF522" s="226" t="e">
        <f aca="false">((O522/N522)*AH522)+AG522</f>
        <v>#NAME?</v>
      </c>
      <c r="AG522" s="226" t="e">
        <f aca="false">((xSPRDOPT($L522,$J522,$I522,$M522,$O522,$N522,$P522,$Q522-$C$3,$R522,6)*$H522)/100)</f>
        <v>#NAME?</v>
      </c>
      <c r="AH522" s="226" t="e">
        <f aca="false">((xSPRDOPT($L522,$J522,$I522,$M522,$O522,$N522,$P522,$Q522-$C$3,$R522,5)*$H522)/100)</f>
        <v>#NAME?</v>
      </c>
      <c r="AI522" s="226" t="e">
        <f aca="false">(((xSPRDOPT($L522,$J522,$I522,$M522,$O522,$N522,$P522,$Q522-$C$3,$R522,4)*$H522)/10000)/100)-AB522</f>
        <v>#NAME?</v>
      </c>
      <c r="AJ522" s="226"/>
      <c r="AK522" s="226"/>
      <c r="AL522" s="226"/>
      <c r="AM522" s="252"/>
      <c r="CC522" s="182" t="n">
        <f aca="false">G522</f>
        <v>36923</v>
      </c>
      <c r="CD522" s="253" t="e">
        <f aca="false">xSPRDOPT((VLOOKUP(G522,NGPrices,2,FALSE())+HLOOKUP(D522,Prices,VLOOKUP(G522,move_down,2,FALSE()),FALSE())),VLOOKUP(G522,NGPrices,2,FALSE()),I522,VLOOKUP(G522,NGPREVPRICES,4,FALSE()),HLOOKUP(D522,PREVVOLS,VLOOKUP(G522,MOVE_DOWN2,2,FALSE()),FALSE()),VLOOKUP(G522,NGPREVPRICES,3,FALSE()),HLOOKUP(D522,Correllate,VLOOKUP(G522,CorMove,2,FALSE()),FALSE()),Q522-$CD$3,R522,$CD$5)*H522-CJ522</f>
        <v>#NAME?</v>
      </c>
      <c r="CE522" s="253" t="e">
        <f aca="false">xSPRDOPT((VLOOKUP(G522,NGPREVPRICES,2,FALSE())+HLOOKUP(D522,PREVCURVES,VLOOKUP(G522,MOVE_DOWN2,2,FALSE()),FALSE())),VLOOKUP(G522,NGPREVPRICES,2,FALSE()),CK522,VLOOKUP(G522,NGPrices,4,FALSE()),HLOOKUP(D522,PREVVOLS,VLOOKUP(G522,MOVE_DOWN2,2,FALSE()),FALSE()),VLOOKUP(G522,NGPREVPRICES,3,FALSE()),HLOOKUP(D522,Correllate,VLOOKUP(G522,CorMove,2,FALSE()),FALSE()),Q522-$CD$3,R522,$CJ$5)*H522-CJ522</f>
        <v>#NAME?</v>
      </c>
      <c r="CF522" s="132" t="e">
        <f aca="false">(CJ522/VLOOKUP(CC522,discount,3,FALSE()))-(CJ522/VLOOKUP(CC522,discount,2,FALSE()))</f>
        <v>#NAME?</v>
      </c>
      <c r="CG522" s="253" t="e">
        <f aca="false">xSPRDOPT((VLOOKUP(G522,NGPREVPRICES,2,FALSE())+HLOOKUP(D522,PREVCURVES,VLOOKUP(G522,MOVE_DOWN2,2,FALSE()),FALSE())),VLOOKUP(G522,NGPREVPRICES,2,FALSE()),CK522,VLOOKUP(G522,NGPREVPRICES,4,FALSE()),HLOOKUP(D522,VOLS,VLOOKUP(G522,move_down,2,FALSE()),FALSE()),VLOOKUP(G522,NGPrices,3,FALSE()),HLOOKUP(D522,Correllate,VLOOKUP(G522,CorMove,2,FALSE()),FALSE()),Q522-$CD$3,R522,$CJ$5)*H522-CJ522</f>
        <v>#NAME?</v>
      </c>
      <c r="CH522" s="253" t="e">
        <f aca="false">xSPRDOPT((VLOOKUP(G522,NGPREVPRICES,2,FALSE())+HLOOKUP(D522,PREVCURVES,VLOOKUP(G522,MOVE_DOWN2,2,FALSE()),FALSE())),VLOOKUP(G522,NGPREVPRICES,2,FALSE()),CK522,VLOOKUP(G522,NGPREVPRICES,4,FALSE()),HLOOKUP(D522,PREVVOLS,VLOOKUP(G522,MOVE_DOWN2,2,FALSE()),FALSE()),VLOOKUP(G522,NGPREVPRICES,3,FALSE()),HLOOKUP(D522,Correllate,VLOOKUP(G522,CorMove,2,FALSE()),FALSE()),Q522-$C$3,R522,$CJ$5)*H522-CJ522</f>
        <v>#NAME?</v>
      </c>
      <c r="CI522" s="253" t="e">
        <f aca="false">SUM(CD522:CH522)</f>
        <v>#NAME?</v>
      </c>
      <c r="CJ522" s="253" t="e">
        <f aca="false">xSPRDOPT((VLOOKUP(G522,NGPREVPRICES,2,FALSE())+HLOOKUP(D522,PREVCURVES,VLOOKUP(G522,MOVE_DOWN2,2,FALSE()),FALSE())),VLOOKUP(G522,NGPREVPRICES,2,FALSE()),CK522,VLOOKUP(G522,NGPREVPRICES,4,FALSE()),HLOOKUP(D522,PREVVOLS,VLOOKUP(G522,MOVE_DOWN2,2,FALSE()),FALSE()),VLOOKUP(G522,NGPREVPRICES,3,FALSE()),HLOOKUP(D522,Correllate,VLOOKUP(G522,CorMove,2,FALSE()),FALSE()),Q522-$CD$3,R522,$CJ$5)*H522</f>
        <v>#NAME?</v>
      </c>
      <c r="CK522" s="254" t="n">
        <f aca="false">I522</f>
        <v>1.3</v>
      </c>
      <c r="CM522" s="0" t="str">
        <f aca="false">CONCATENATE(CC522,$CD$6)</f>
        <v>36923Curve Shift/Gamma</v>
      </c>
      <c r="CN522" s="0" t="str">
        <f aca="false">CONCATENATE($CC522,$CE$6)</f>
        <v>36923Rho</v>
      </c>
      <c r="CO522" s="0" t="str">
        <f aca="false">CONCATENATE($CC522,$CF$6)</f>
        <v>36923Drift</v>
      </c>
      <c r="CP522" s="0" t="str">
        <f aca="false">CONCATENATE($CC522,$CG$6)</f>
        <v>36923Vega</v>
      </c>
      <c r="CQ522" s="0" t="str">
        <f aca="false">CONCATENATE($CC522,$CH$6)</f>
        <v>36923Theta</v>
      </c>
    </row>
    <row r="523" customFormat="false" ht="12.75" hidden="false" customHeight="false" outlineLevel="0" collapsed="false">
      <c r="A523" s="17" t="s">
        <v>198</v>
      </c>
      <c r="B523" s="0" t="s">
        <v>192</v>
      </c>
      <c r="C523" s="0" t="s">
        <v>375</v>
      </c>
      <c r="D523" s="7" t="s">
        <v>149</v>
      </c>
      <c r="E523" s="0" t="s">
        <v>131</v>
      </c>
      <c r="F523" s="0" t="s">
        <v>132</v>
      </c>
      <c r="G523" s="92" t="n">
        <v>36892</v>
      </c>
      <c r="H523" s="248" t="n">
        <v>-1000000</v>
      </c>
      <c r="I523" s="0" t="n">
        <v>1.3</v>
      </c>
      <c r="J523" s="124" t="n">
        <f aca="false">VLOOKUP(G523,NGPrices,2,FALSE())</f>
        <v>4.744</v>
      </c>
      <c r="K523" s="125" t="n">
        <f aca="false">HLOOKUP(D523,Prices,VLOOKUP(G523,move_down,2,FALSE()),FALSE())+VLOOKUP(G523,CHANGE,HLOOKUP(D523,CHANGE,2,FALSE()),FALSE())</f>
        <v>2.17</v>
      </c>
      <c r="L523" s="124" t="n">
        <f aca="false">K523+J523</f>
        <v>6.914</v>
      </c>
      <c r="M523" s="126" t="n">
        <f aca="false">VLOOKUP(G523,NGPrices,4,FALSE())</f>
        <v>0.068374831148491</v>
      </c>
      <c r="N523" s="7" t="n">
        <f aca="false">VLOOKUP(G523,NGPrices,3,FALSE())</f>
        <v>0.605</v>
      </c>
      <c r="O523" s="7" t="n">
        <f aca="false">HLOOKUP(D523,VOLS,VLOOKUP(G523,move_down,2,FALSE()),FALSE())</f>
        <v>0.696</v>
      </c>
      <c r="P523" s="249" t="n">
        <f aca="false">HLOOKUP(D523,Correllate,VLOOKUP(G523,CorMove,2,FALSE()),FALSE())</f>
        <v>0.83</v>
      </c>
      <c r="Q523" s="92" t="n">
        <f aca="false">WORKDAY(G523,-2)</f>
        <v>36888</v>
      </c>
      <c r="R523" s="7" t="n">
        <f aca="false">IF(F523="P",0,1)</f>
        <v>0</v>
      </c>
      <c r="S523" s="130" t="e">
        <f aca="false">xSPRDOPT($L523,$J523,$I523,$M523,$O523,$N523,$P523,$Q523-$C$3,$R523,0)</f>
        <v>#NAME?</v>
      </c>
      <c r="T523" s="250" t="e">
        <f aca="false">xSPRDOPT($L523,$J523,$I523,$M523,$O523,$N523,$P523,$Q523-$C$3,$R523,1)*H523</f>
        <v>#NAME?</v>
      </c>
      <c r="U523" s="43" t="e">
        <f aca="false">S523*H523</f>
        <v>#NAME?</v>
      </c>
      <c r="V523" s="250" t="e">
        <f aca="false">xSPRDOPT($L523,$J523,$I523,$M523,$O523,$N523,$P523,$Q523-$C$3,$R523,2)*H523</f>
        <v>#NAME?</v>
      </c>
      <c r="W523" s="250" t="e">
        <f aca="false">+V523+T523</f>
        <v>#NAME?</v>
      </c>
      <c r="X523" s="2" t="str">
        <f aca="false">CONCATENATE(G523,D523)</f>
        <v>36892IF-TRANSCO/Z6</v>
      </c>
      <c r="Y523" s="251" t="n">
        <f aca="false">H523/10000</f>
        <v>-100</v>
      </c>
      <c r="Z523" s="226" t="e">
        <f aca="false">T523/H523</f>
        <v>#NAME?</v>
      </c>
      <c r="AA523" s="226" t="e">
        <f aca="false">xSPRDOPT($L523,$J523,$I523,$M523,$O523,$N523,$P523,$Q523-$C$3,$R523,3)</f>
        <v>#NAME?</v>
      </c>
      <c r="AB523" s="226" t="e">
        <f aca="false">((xSPRDOPT($L523+AB$5,$J523,$I523,$M523,$O523,$N523,$P523,$Q523-$C$3,$R523,3)*$H523)/10000)/100</f>
        <v>#NAME?</v>
      </c>
      <c r="AC523" s="226" t="e">
        <f aca="false">((xSPRDOPT($L523+$AB$5,$J523,$I523,$M523,$O523,$N523,$P523,$Q523-$C$3,$R523,7)*$H523)/100)</f>
        <v>#NAME?</v>
      </c>
      <c r="AD523" s="226" t="e">
        <f aca="false">(xSPRDOPT($L523+$AB$5,$J523,$I523,$M523,$O523,$N523,$P523,$Q523-$C$3,$R523,9)/365)*$H523</f>
        <v>#NAME?</v>
      </c>
      <c r="AE523" s="0" t="e">
        <f aca="false">CD523</f>
        <v>#NAME?</v>
      </c>
      <c r="AF523" s="226" t="e">
        <f aca="false">((O523/N523)*AH523)+AG523</f>
        <v>#NAME?</v>
      </c>
      <c r="AG523" s="226" t="e">
        <f aca="false">((xSPRDOPT($L523,$J523,$I523,$M523,$O523,$N523,$P523,$Q523-$C$3,$R523,6)*$H523)/100)</f>
        <v>#NAME?</v>
      </c>
      <c r="AH523" s="226" t="e">
        <f aca="false">((xSPRDOPT($L523,$J523,$I523,$M523,$O523,$N523,$P523,$Q523-$C$3,$R523,5)*$H523)/100)</f>
        <v>#NAME?</v>
      </c>
      <c r="AI523" s="226" t="e">
        <f aca="false">(((xSPRDOPT($L523,$J523,$I523,$M523,$O523,$N523,$P523,$Q523-$C$3,$R523,4)*$H523)/10000)/100)-AB523</f>
        <v>#NAME?</v>
      </c>
      <c r="AJ523" s="226"/>
      <c r="AK523" s="226"/>
      <c r="AL523" s="226"/>
      <c r="AM523" s="252"/>
      <c r="CC523" s="182" t="n">
        <f aca="false">G523</f>
        <v>36892</v>
      </c>
      <c r="CD523" s="253" t="e">
        <f aca="false">xSPRDOPT((VLOOKUP(G523,NGPrices,2,FALSE())+HLOOKUP(D523,Prices,VLOOKUP(G523,move_down,2,FALSE()),FALSE())),VLOOKUP(G523,NGPrices,2,FALSE()),I523,VLOOKUP(G523,NGPREVPRICES,4,FALSE()),HLOOKUP(D523,PREVVOLS,VLOOKUP(G523,MOVE_DOWN2,2,FALSE()),FALSE()),VLOOKUP(G523,NGPREVPRICES,3,FALSE()),HLOOKUP(D523,Correllate,VLOOKUP(G523,CorMove,2,FALSE()),FALSE()),Q523-$CD$3,R523,$CD$5)*H523-CJ523</f>
        <v>#NAME?</v>
      </c>
      <c r="CE523" s="253" t="e">
        <f aca="false">xSPRDOPT((VLOOKUP(G523,NGPREVPRICES,2,FALSE())+HLOOKUP(D523,PREVCURVES,VLOOKUP(G523,MOVE_DOWN2,2,FALSE()),FALSE())),VLOOKUP(G523,NGPREVPRICES,2,FALSE()),CK523,VLOOKUP(G523,NGPrices,4,FALSE()),HLOOKUP(D523,PREVVOLS,VLOOKUP(G523,MOVE_DOWN2,2,FALSE()),FALSE()),VLOOKUP(G523,NGPREVPRICES,3,FALSE()),HLOOKUP(D523,Correllate,VLOOKUP(G523,CorMove,2,FALSE()),FALSE()),Q523-$CD$3,R523,$CJ$5)*H523-CJ523</f>
        <v>#NAME?</v>
      </c>
      <c r="CF523" s="132" t="e">
        <f aca="false">(CJ523/VLOOKUP(CC523,discount,3,FALSE()))-(CJ523/VLOOKUP(CC523,discount,2,FALSE()))</f>
        <v>#NAME?</v>
      </c>
      <c r="CG523" s="253" t="e">
        <f aca="false">xSPRDOPT((VLOOKUP(G523,NGPREVPRICES,2,FALSE())+HLOOKUP(D523,PREVCURVES,VLOOKUP(G523,MOVE_DOWN2,2,FALSE()),FALSE())),VLOOKUP(G523,NGPREVPRICES,2,FALSE()),CK523,VLOOKUP(G523,NGPREVPRICES,4,FALSE()),HLOOKUP(D523,VOLS,VLOOKUP(G523,move_down,2,FALSE()),FALSE()),VLOOKUP(G523,NGPrices,3,FALSE()),HLOOKUP(D523,Correllate,VLOOKUP(G523,CorMove,2,FALSE()),FALSE()),Q523-$CD$3,R523,$CJ$5)*H523-CJ523</f>
        <v>#NAME?</v>
      </c>
      <c r="CH523" s="253" t="e">
        <f aca="false">xSPRDOPT((VLOOKUP(G523,NGPREVPRICES,2,FALSE())+HLOOKUP(D523,PREVCURVES,VLOOKUP(G523,MOVE_DOWN2,2,FALSE()),FALSE())),VLOOKUP(G523,NGPREVPRICES,2,FALSE()),CK523,VLOOKUP(G523,NGPREVPRICES,4,FALSE()),HLOOKUP(D523,PREVVOLS,VLOOKUP(G523,MOVE_DOWN2,2,FALSE()),FALSE()),VLOOKUP(G523,NGPREVPRICES,3,FALSE()),HLOOKUP(D523,Correllate,VLOOKUP(G523,CorMove,2,FALSE()),FALSE()),Q523-$C$3,R523,$CJ$5)*H523-CJ523</f>
        <v>#NAME?</v>
      </c>
      <c r="CI523" s="253" t="e">
        <f aca="false">SUM(CD523:CH523)</f>
        <v>#NAME?</v>
      </c>
      <c r="CJ523" s="253" t="e">
        <f aca="false">xSPRDOPT((VLOOKUP(G523,NGPREVPRICES,2,FALSE())+HLOOKUP(D523,PREVCURVES,VLOOKUP(G523,MOVE_DOWN2,2,FALSE()),FALSE())),VLOOKUP(G523,NGPREVPRICES,2,FALSE()),CK523,VLOOKUP(G523,NGPREVPRICES,4,FALSE()),HLOOKUP(D523,PREVVOLS,VLOOKUP(G523,MOVE_DOWN2,2,FALSE()),FALSE()),VLOOKUP(G523,NGPREVPRICES,3,FALSE()),HLOOKUP(D523,Correllate,VLOOKUP(G523,CorMove,2,FALSE()),FALSE()),Q523-$CD$3,R523,$CJ$5)*H523</f>
        <v>#NAME?</v>
      </c>
      <c r="CK523" s="254" t="n">
        <f aca="false">I523</f>
        <v>1.3</v>
      </c>
      <c r="CM523" s="0" t="str">
        <f aca="false">CONCATENATE(CC523,$CD$6)</f>
        <v>36892Curve Shift/Gamma</v>
      </c>
      <c r="CN523" s="0" t="str">
        <f aca="false">CONCATENATE($CC523,$CE$6)</f>
        <v>36892Rho</v>
      </c>
      <c r="CO523" s="0" t="str">
        <f aca="false">CONCATENATE($CC523,$CF$6)</f>
        <v>36892Drift</v>
      </c>
      <c r="CP523" s="0" t="str">
        <f aca="false">CONCATENATE($CC523,$CG$6)</f>
        <v>36892Vega</v>
      </c>
      <c r="CQ523" s="0" t="str">
        <f aca="false">CONCATENATE($CC523,$CH$6)</f>
        <v>36892Theta</v>
      </c>
    </row>
    <row r="524" customFormat="false" ht="12.75" hidden="false" customHeight="false" outlineLevel="0" collapsed="false">
      <c r="A524" s="17" t="s">
        <v>198</v>
      </c>
      <c r="B524" s="0" t="s">
        <v>192</v>
      </c>
      <c r="C524" s="0" t="s">
        <v>375</v>
      </c>
      <c r="D524" s="7" t="s">
        <v>149</v>
      </c>
      <c r="E524" s="0" t="s">
        <v>131</v>
      </c>
      <c r="F524" s="0" t="s">
        <v>132</v>
      </c>
      <c r="G524" s="92" t="n">
        <v>36861</v>
      </c>
      <c r="H524" s="248" t="n">
        <v>-1000000</v>
      </c>
      <c r="I524" s="0" t="n">
        <v>1.3</v>
      </c>
      <c r="J524" s="124" t="n">
        <f aca="false">VLOOKUP(G524,NGPrices,2,FALSE())</f>
        <v>4.8</v>
      </c>
      <c r="K524" s="125" t="n">
        <f aca="false">HLOOKUP(D524,Prices,VLOOKUP(G524,move_down,2,FALSE()),FALSE())+VLOOKUP(G524,CHANGE,HLOOKUP(D524,CHANGE,2,FALSE()),FALSE())</f>
        <v>1.645</v>
      </c>
      <c r="L524" s="124" t="n">
        <f aca="false">K524+J524</f>
        <v>6.445</v>
      </c>
      <c r="M524" s="126" t="n">
        <f aca="false">VLOOKUP(G524,NGPrices,4,FALSE())</f>
        <v>0.068314027999354</v>
      </c>
      <c r="N524" s="7" t="n">
        <f aca="false">VLOOKUP(G524,NGPrices,3,FALSE())</f>
        <v>0.6</v>
      </c>
      <c r="O524" s="7" t="n">
        <f aca="false">HLOOKUP(D524,VOLS,VLOOKUP(G524,move_down,2,FALSE()),FALSE())</f>
        <v>0.69</v>
      </c>
      <c r="P524" s="249" t="n">
        <f aca="false">HLOOKUP(D524,Correllate,VLOOKUP(G524,CorMove,2,FALSE()),FALSE())</f>
        <v>0.83</v>
      </c>
      <c r="Q524" s="92" t="n">
        <f aca="false">WORKDAY(G524,-2)</f>
        <v>36859</v>
      </c>
      <c r="R524" s="7" t="n">
        <f aca="false">IF(F524="P",0,1)</f>
        <v>0</v>
      </c>
      <c r="S524" s="130" t="e">
        <f aca="false">xSPRDOPT($L524,$J524,$I524,$M524,$O524,$N524,$P524,$Q524-$C$3,$R524,0)</f>
        <v>#NAME?</v>
      </c>
      <c r="T524" s="250" t="e">
        <f aca="false">xSPRDOPT($L524,$J524,$I524,$M524,$O524,$N524,$P524,$Q524-$C$3,$R524,1)*H524</f>
        <v>#NAME?</v>
      </c>
      <c r="U524" s="43" t="e">
        <f aca="false">S524*H524</f>
        <v>#NAME?</v>
      </c>
      <c r="V524" s="250" t="e">
        <f aca="false">xSPRDOPT($L524,$J524,$I524,$M524,$O524,$N524,$P524,$Q524-$C$3,$R524,2)*H524</f>
        <v>#NAME?</v>
      </c>
      <c r="W524" s="250" t="e">
        <f aca="false">+V524+T524</f>
        <v>#NAME?</v>
      </c>
      <c r="X524" s="2" t="str">
        <f aca="false">CONCATENATE(G524,D524)</f>
        <v>36861IF-TRANSCO/Z6</v>
      </c>
      <c r="Y524" s="251" t="n">
        <f aca="false">H524/10000</f>
        <v>-100</v>
      </c>
      <c r="Z524" s="226" t="e">
        <f aca="false">T524/H524</f>
        <v>#NAME?</v>
      </c>
      <c r="AA524" s="226" t="e">
        <f aca="false">xSPRDOPT($L524,$J524,$I524,$M524,$O524,$N524,$P524,$Q524-$C$3,$R524,3)</f>
        <v>#NAME?</v>
      </c>
      <c r="AB524" s="226" t="e">
        <f aca="false">((xSPRDOPT($L524+AB$5,$J524,$I524,$M524,$O524,$N524,$P524,$Q524-$C$3,$R524,3)*$H524)/10000)/100</f>
        <v>#NAME?</v>
      </c>
      <c r="AC524" s="226" t="e">
        <f aca="false">((xSPRDOPT($L524+$AB$5,$J524,$I524,$M524,$O524,$N524,$P524,$Q524-$C$3,$R524,7)*$H524)/100)</f>
        <v>#NAME?</v>
      </c>
      <c r="AD524" s="226" t="e">
        <f aca="false">(xSPRDOPT($L524+$AB$5,$J524,$I524,$M524,$O524,$N524,$P524,$Q524-$C$3,$R524,9)/365)*$H524</f>
        <v>#NAME?</v>
      </c>
      <c r="AE524" s="0" t="e">
        <f aca="false">CD524</f>
        <v>#NAME?</v>
      </c>
      <c r="AF524" s="226" t="e">
        <f aca="false">((O524/N524)*AH524)+AG524</f>
        <v>#NAME?</v>
      </c>
      <c r="AG524" s="226" t="e">
        <f aca="false">((xSPRDOPT($L524,$J524,$I524,$M524,$O524,$N524,$P524,$Q524-$C$3,$R524,6)*$H524)/100)</f>
        <v>#NAME?</v>
      </c>
      <c r="AH524" s="226" t="e">
        <f aca="false">((xSPRDOPT($L524,$J524,$I524,$M524,$O524,$N524,$P524,$Q524-$C$3,$R524,5)*$H524)/100)</f>
        <v>#NAME?</v>
      </c>
      <c r="AI524" s="226" t="e">
        <f aca="false">(((xSPRDOPT($L524,$J524,$I524,$M524,$O524,$N524,$P524,$Q524-$C$3,$R524,4)*$H524)/10000)/100)-AB524</f>
        <v>#NAME?</v>
      </c>
      <c r="AJ524" s="226"/>
      <c r="AK524" s="226"/>
      <c r="AL524" s="226"/>
      <c r="AM524" s="252"/>
      <c r="CC524" s="182" t="n">
        <f aca="false">G524</f>
        <v>36861</v>
      </c>
      <c r="CD524" s="253" t="e">
        <f aca="false">xSPRDOPT((VLOOKUP(G524,NGPrices,2,FALSE())+HLOOKUP(D524,Prices,VLOOKUP(G524,move_down,2,FALSE()),FALSE())),VLOOKUP(G524,NGPrices,2,FALSE()),I524,VLOOKUP(G524,NGPREVPRICES,4,FALSE()),HLOOKUP(D524,PREVVOLS,VLOOKUP(G524,MOVE_DOWN2,2,FALSE()),FALSE()),VLOOKUP(G524,NGPREVPRICES,3,FALSE()),HLOOKUP(D524,Correllate,VLOOKUP(G524,CorMove,2,FALSE()),FALSE()),Q524-$CD$3,R524,$CD$5)*H524-CJ524</f>
        <v>#NAME?</v>
      </c>
      <c r="CE524" s="253" t="e">
        <f aca="false">xSPRDOPT((VLOOKUP(G524,NGPREVPRICES,2,FALSE())+HLOOKUP(D524,PREVCURVES,VLOOKUP(G524,MOVE_DOWN2,2,FALSE()),FALSE())),VLOOKUP(G524,NGPREVPRICES,2,FALSE()),CK524,VLOOKUP(G524,NGPrices,4,FALSE()),HLOOKUP(D524,PREVVOLS,VLOOKUP(G524,MOVE_DOWN2,2,FALSE()),FALSE()),VLOOKUP(G524,NGPREVPRICES,3,FALSE()),HLOOKUP(D524,Correllate,VLOOKUP(G524,CorMove,2,FALSE()),FALSE()),Q524-$CD$3,R524,$CJ$5)*H524-CJ524</f>
        <v>#NAME?</v>
      </c>
      <c r="CF524" s="132" t="e">
        <f aca="false">(CJ524/VLOOKUP(CC524,discount,3,FALSE()))-(CJ524/VLOOKUP(CC524,discount,2,FALSE()))</f>
        <v>#NAME?</v>
      </c>
      <c r="CG524" s="253" t="e">
        <f aca="false">xSPRDOPT((VLOOKUP(G524,NGPREVPRICES,2,FALSE())+HLOOKUP(D524,PREVCURVES,VLOOKUP(G524,MOVE_DOWN2,2,FALSE()),FALSE())),VLOOKUP(G524,NGPREVPRICES,2,FALSE()),CK524,VLOOKUP(G524,NGPREVPRICES,4,FALSE()),HLOOKUP(D524,VOLS,VLOOKUP(G524,move_down,2,FALSE()),FALSE()),VLOOKUP(G524,NGPrices,3,FALSE()),HLOOKUP(D524,Correllate,VLOOKUP(G524,CorMove,2,FALSE()),FALSE()),Q524-$CD$3,R524,$CJ$5)*H524-CJ524</f>
        <v>#NAME?</v>
      </c>
      <c r="CH524" s="253" t="e">
        <f aca="false">xSPRDOPT((VLOOKUP(G524,NGPREVPRICES,2,FALSE())+HLOOKUP(D524,PREVCURVES,VLOOKUP(G524,MOVE_DOWN2,2,FALSE()),FALSE())),VLOOKUP(G524,NGPREVPRICES,2,FALSE()),CK524,VLOOKUP(G524,NGPREVPRICES,4,FALSE()),HLOOKUP(D524,PREVVOLS,VLOOKUP(G524,MOVE_DOWN2,2,FALSE()),FALSE()),VLOOKUP(G524,NGPREVPRICES,3,FALSE()),HLOOKUP(D524,Correllate,VLOOKUP(G524,CorMove,2,FALSE()),FALSE()),Q524-$C$3,R524,$CJ$5)*H524-CJ524</f>
        <v>#NAME?</v>
      </c>
      <c r="CI524" s="253" t="e">
        <f aca="false">SUM(CD524:CH524)</f>
        <v>#NAME?</v>
      </c>
      <c r="CJ524" s="253" t="e">
        <f aca="false">xSPRDOPT((VLOOKUP(G524,NGPREVPRICES,2,FALSE())+HLOOKUP(D524,PREVCURVES,VLOOKUP(G524,MOVE_DOWN2,2,FALSE()),FALSE())),VLOOKUP(G524,NGPREVPRICES,2,FALSE()),CK524,VLOOKUP(G524,NGPREVPRICES,4,FALSE()),HLOOKUP(D524,PREVVOLS,VLOOKUP(G524,MOVE_DOWN2,2,FALSE()),FALSE()),VLOOKUP(G524,NGPREVPRICES,3,FALSE()),HLOOKUP(D524,Correllate,VLOOKUP(G524,CorMove,2,FALSE()),FALSE()),Q524-$CD$3,R524,$CJ$5)*H524</f>
        <v>#NAME?</v>
      </c>
      <c r="CK524" s="254" t="n">
        <f aca="false">I524</f>
        <v>1.3</v>
      </c>
      <c r="CM524" s="0" t="str">
        <f aca="false">CONCATENATE(CC524,$CD$6)</f>
        <v>36861Curve Shift/Gamma</v>
      </c>
      <c r="CN524" s="0" t="str">
        <f aca="false">CONCATENATE($CC524,$CE$6)</f>
        <v>36861Rho</v>
      </c>
      <c r="CO524" s="0" t="str">
        <f aca="false">CONCATENATE($CC524,$CF$6)</f>
        <v>36861Drift</v>
      </c>
      <c r="CP524" s="0" t="str">
        <f aca="false">CONCATENATE($CC524,$CG$6)</f>
        <v>36861Vega</v>
      </c>
      <c r="CQ524" s="0" t="str">
        <f aca="false">CONCATENATE($CC524,$CH$6)</f>
        <v>36861Theta</v>
      </c>
    </row>
    <row r="525" customFormat="false" ht="12.75" hidden="false" customHeight="false" outlineLevel="0" collapsed="false">
      <c r="A525" s="17" t="s">
        <v>198</v>
      </c>
      <c r="B525" s="0" t="s">
        <v>192</v>
      </c>
      <c r="C525" s="0" t="s">
        <v>375</v>
      </c>
      <c r="D525" s="7" t="s">
        <v>149</v>
      </c>
      <c r="E525" s="0" t="s">
        <v>131</v>
      </c>
      <c r="F525" s="0" t="s">
        <v>132</v>
      </c>
      <c r="G525" s="92" t="n">
        <v>36831</v>
      </c>
      <c r="H525" s="248" t="n">
        <v>-1000000</v>
      </c>
      <c r="I525" s="0" t="n">
        <v>1.3</v>
      </c>
      <c r="J525" s="124" t="n">
        <f aca="false">VLOOKUP(G525,NGPrices,2,FALSE())</f>
        <v>4.736</v>
      </c>
      <c r="K525" s="125" t="n">
        <f aca="false">HLOOKUP(D525,Prices,VLOOKUP(G525,move_down,2,FALSE()),FALSE())+VLOOKUP(G525,CHANGE,HLOOKUP(D525,CHANGE,2,FALSE()),FALSE())</f>
        <v>0.77</v>
      </c>
      <c r="L525" s="124" t="n">
        <f aca="false">K525+J525</f>
        <v>5.506</v>
      </c>
      <c r="M525" s="126" t="n">
        <f aca="false">VLOOKUP(G525,NGPrices,4,FALSE())</f>
        <v>0.06810675983792</v>
      </c>
      <c r="N525" s="7" t="n">
        <f aca="false">VLOOKUP(G525,NGPrices,3,FALSE())</f>
        <v>0.595</v>
      </c>
      <c r="O525" s="7" t="n">
        <f aca="false">HLOOKUP(D525,VOLS,VLOOKUP(G525,move_down,2,FALSE()),FALSE())</f>
        <v>0.625</v>
      </c>
      <c r="P525" s="249" t="n">
        <f aca="false">HLOOKUP(D525,Correllate,VLOOKUP(G525,CorMove,2,FALSE()),FALSE())</f>
        <v>0.89</v>
      </c>
      <c r="Q525" s="92" t="n">
        <f aca="false">WORKDAY(G525,-2)</f>
        <v>36829</v>
      </c>
      <c r="R525" s="7" t="n">
        <f aca="false">IF(F525="P",0,1)</f>
        <v>0</v>
      </c>
      <c r="S525" s="130" t="e">
        <f aca="false">xSPRDOPT($L525,$J525,$I525,$M525,$O525,$N525,$P525,$Q525-$C$3,$R525,0)</f>
        <v>#NAME?</v>
      </c>
      <c r="T525" s="250" t="e">
        <f aca="false">xSPRDOPT($L525,$J525,$I525,$M525,$O525,$N525,$P525,$Q525-$C$3,$R525,1)*H525</f>
        <v>#NAME?</v>
      </c>
      <c r="U525" s="43" t="e">
        <f aca="false">S525*H525</f>
        <v>#NAME?</v>
      </c>
      <c r="V525" s="250" t="e">
        <f aca="false">xSPRDOPT($L525,$J525,$I525,$M525,$O525,$N525,$P525,$Q525-$C$3,$R525,2)*H525</f>
        <v>#NAME?</v>
      </c>
      <c r="W525" s="250" t="e">
        <f aca="false">+V525+T525</f>
        <v>#NAME?</v>
      </c>
      <c r="X525" s="2" t="str">
        <f aca="false">CONCATENATE(G525,D525)</f>
        <v>36831IF-TRANSCO/Z6</v>
      </c>
      <c r="Y525" s="251" t="n">
        <f aca="false">H525/10000</f>
        <v>-100</v>
      </c>
      <c r="Z525" s="226" t="e">
        <f aca="false">T525/H525</f>
        <v>#NAME?</v>
      </c>
      <c r="AA525" s="226" t="e">
        <f aca="false">xSPRDOPT($L525,$J525,$I525,$M525,$O525,$N525,$P525,$Q525-$C$3,$R525,3)</f>
        <v>#NAME?</v>
      </c>
      <c r="AB525" s="226" t="e">
        <f aca="false">((xSPRDOPT($L525+AB$5,$J525,$I525,$M525,$O525,$N525,$P525,$Q525-$C$3,$R525,3)*$H525)/10000)/100</f>
        <v>#NAME?</v>
      </c>
      <c r="AC525" s="226" t="e">
        <f aca="false">((xSPRDOPT($L525+$AB$5,$J525,$I525,$M525,$O525,$N525,$P525,$Q525-$C$3,$R525,7)*$H525)/100)</f>
        <v>#NAME?</v>
      </c>
      <c r="AD525" s="226" t="e">
        <f aca="false">(xSPRDOPT($L525+$AB$5,$J525,$I525,$M525,$O525,$N525,$P525,$Q525-$C$3,$R525,9)/365)*$H525</f>
        <v>#NAME?</v>
      </c>
      <c r="AE525" s="0" t="e">
        <f aca="false">CD525</f>
        <v>#NAME?</v>
      </c>
      <c r="AF525" s="226" t="e">
        <f aca="false">((O525/N525)*AH525)+AG525</f>
        <v>#NAME?</v>
      </c>
      <c r="AG525" s="226" t="e">
        <f aca="false">((xSPRDOPT($L525,$J525,$I525,$M525,$O525,$N525,$P525,$Q525-$C$3,$R525,6)*$H525)/100)</f>
        <v>#NAME?</v>
      </c>
      <c r="AH525" s="226" t="e">
        <f aca="false">((xSPRDOPT($L525,$J525,$I525,$M525,$O525,$N525,$P525,$Q525-$C$3,$R525,5)*$H525)/100)</f>
        <v>#NAME?</v>
      </c>
      <c r="AI525" s="226" t="e">
        <f aca="false">(((xSPRDOPT($L525,$J525,$I525,$M525,$O525,$N525,$P525,$Q525-$C$3,$R525,4)*$H525)/10000)/100)-AB525</f>
        <v>#NAME?</v>
      </c>
      <c r="AJ525" s="226"/>
      <c r="AK525" s="226"/>
      <c r="AL525" s="226"/>
      <c r="AM525" s="252"/>
      <c r="CC525" s="182" t="n">
        <f aca="false">G525</f>
        <v>36831</v>
      </c>
      <c r="CD525" s="253" t="e">
        <f aca="false">xSPRDOPT((VLOOKUP(G525,NGPrices,2,FALSE())+HLOOKUP(D525,Prices,VLOOKUP(G525,move_down,2,FALSE()),FALSE())),VLOOKUP(G525,NGPrices,2,FALSE()),I525,VLOOKUP(G525,NGPREVPRICES,4,FALSE()),HLOOKUP(D525,PREVVOLS,VLOOKUP(G525,MOVE_DOWN2,2,FALSE()),FALSE()),VLOOKUP(G525,NGPREVPRICES,3,FALSE()),HLOOKUP(D525,Correllate,VLOOKUP(G525,CorMove,2,FALSE()),FALSE()),Q525-$CD$3,R525,$CD$5)*H525-CJ525</f>
        <v>#NAME?</v>
      </c>
      <c r="CE525" s="253" t="e">
        <f aca="false">xSPRDOPT((VLOOKUP(G525,NGPREVPRICES,2,FALSE())+HLOOKUP(D525,PREVCURVES,VLOOKUP(G525,MOVE_DOWN2,2,FALSE()),FALSE())),VLOOKUP(G525,NGPREVPRICES,2,FALSE()),CK525,VLOOKUP(G525,NGPrices,4,FALSE()),HLOOKUP(D525,PREVVOLS,VLOOKUP(G525,MOVE_DOWN2,2,FALSE()),FALSE()),VLOOKUP(G525,NGPREVPRICES,3,FALSE()),HLOOKUP(D525,Correllate,VLOOKUP(G525,CorMove,2,FALSE()),FALSE()),Q525-$CD$3,R525,$CJ$5)*H525-CJ525</f>
        <v>#NAME?</v>
      </c>
      <c r="CF525" s="132" t="e">
        <f aca="false">(CJ525/VLOOKUP(CC525,discount,3,FALSE()))-(CJ525/VLOOKUP(CC525,discount,2,FALSE()))</f>
        <v>#NAME?</v>
      </c>
      <c r="CG525" s="253" t="e">
        <f aca="false">xSPRDOPT((VLOOKUP(G525,NGPREVPRICES,2,FALSE())+HLOOKUP(D525,PREVCURVES,VLOOKUP(G525,MOVE_DOWN2,2,FALSE()),FALSE())),VLOOKUP(G525,NGPREVPRICES,2,FALSE()),CK525,VLOOKUP(G525,NGPREVPRICES,4,FALSE()),HLOOKUP(D525,VOLS,VLOOKUP(G525,move_down,2,FALSE()),FALSE()),VLOOKUP(G525,NGPrices,3,FALSE()),HLOOKUP(D525,Correllate,VLOOKUP(G525,CorMove,2,FALSE()),FALSE()),Q525-$CD$3,R525,$CJ$5)*H525-CJ525</f>
        <v>#NAME?</v>
      </c>
      <c r="CH525" s="253" t="e">
        <f aca="false">xSPRDOPT((VLOOKUP(G525,NGPREVPRICES,2,FALSE())+HLOOKUP(D525,PREVCURVES,VLOOKUP(G525,MOVE_DOWN2,2,FALSE()),FALSE())),VLOOKUP(G525,NGPREVPRICES,2,FALSE()),CK525,VLOOKUP(G525,NGPREVPRICES,4,FALSE()),HLOOKUP(D525,PREVVOLS,VLOOKUP(G525,MOVE_DOWN2,2,FALSE()),FALSE()),VLOOKUP(G525,NGPREVPRICES,3,FALSE()),HLOOKUP(D525,Correllate,VLOOKUP(G525,CorMove,2,FALSE()),FALSE()),Q525-$C$3,R525,$CJ$5)*H525-CJ525</f>
        <v>#NAME?</v>
      </c>
      <c r="CI525" s="253" t="e">
        <f aca="false">SUM(CD525:CH525)</f>
        <v>#NAME?</v>
      </c>
      <c r="CJ525" s="253" t="e">
        <f aca="false">xSPRDOPT((VLOOKUP(G525,NGPREVPRICES,2,FALSE())+HLOOKUP(D525,PREVCURVES,VLOOKUP(G525,MOVE_DOWN2,2,FALSE()),FALSE())),VLOOKUP(G525,NGPREVPRICES,2,FALSE()),CK525,VLOOKUP(G525,NGPREVPRICES,4,FALSE()),HLOOKUP(D525,PREVVOLS,VLOOKUP(G525,MOVE_DOWN2,2,FALSE()),FALSE()),VLOOKUP(G525,NGPREVPRICES,3,FALSE()),HLOOKUP(D525,Correllate,VLOOKUP(G525,CorMove,2,FALSE()),FALSE()),Q525-$CD$3,R525,$CJ$5)*H525</f>
        <v>#NAME?</v>
      </c>
      <c r="CK525" s="254" t="n">
        <f aca="false">I525</f>
        <v>1.3</v>
      </c>
      <c r="CM525" s="0" t="str">
        <f aca="false">CONCATENATE(CC525,$CD$6)</f>
        <v>36831Curve Shift/Gamma</v>
      </c>
      <c r="CN525" s="0" t="str">
        <f aca="false">CONCATENATE($CC525,$CE$6)</f>
        <v>36831Rho</v>
      </c>
      <c r="CO525" s="0" t="str">
        <f aca="false">CONCATENATE($CC525,$CF$6)</f>
        <v>36831Drift</v>
      </c>
      <c r="CP525" s="0" t="str">
        <f aca="false">CONCATENATE($CC525,$CG$6)</f>
        <v>36831Vega</v>
      </c>
      <c r="CQ525" s="0" t="str">
        <f aca="false">CONCATENATE($CC525,$CH$6)</f>
        <v>36831Theta</v>
      </c>
    </row>
    <row r="526" customFormat="false" ht="12.75" hidden="false" customHeight="false" outlineLevel="0" collapsed="false">
      <c r="A526" s="17" t="s">
        <v>244</v>
      </c>
      <c r="B526" s="0" t="s">
        <v>192</v>
      </c>
      <c r="C526" s="0" t="s">
        <v>376</v>
      </c>
      <c r="D526" s="7" t="s">
        <v>149</v>
      </c>
      <c r="E526" s="0" t="s">
        <v>131</v>
      </c>
      <c r="F526" s="0" t="s">
        <v>136</v>
      </c>
      <c r="G526" s="92" t="n">
        <v>36831</v>
      </c>
      <c r="H526" s="248" t="n">
        <v>500000</v>
      </c>
      <c r="I526" s="0" t="n">
        <v>0.8</v>
      </c>
      <c r="J526" s="124" t="n">
        <f aca="false">VLOOKUP(G526,NGPrices,2,FALSE())</f>
        <v>4.736</v>
      </c>
      <c r="K526" s="125" t="n">
        <f aca="false">HLOOKUP(D526,Prices,VLOOKUP(G526,move_down,2,FALSE()),FALSE())+VLOOKUP(G526,CHANGE,HLOOKUP(D526,CHANGE,2,FALSE()),FALSE())</f>
        <v>0.77</v>
      </c>
      <c r="L526" s="124" t="n">
        <f aca="false">K526+J526</f>
        <v>5.506</v>
      </c>
      <c r="M526" s="126" t="n">
        <f aca="false">VLOOKUP(G526,NGPrices,4,FALSE())</f>
        <v>0.06810675983792</v>
      </c>
      <c r="N526" s="7" t="n">
        <f aca="false">VLOOKUP(G526,NGPrices,3,FALSE())</f>
        <v>0.595</v>
      </c>
      <c r="O526" s="7" t="n">
        <f aca="false">HLOOKUP(D526,VOLS,VLOOKUP(G526,move_down,2,FALSE()),FALSE())</f>
        <v>0.625</v>
      </c>
      <c r="P526" s="249" t="n">
        <f aca="false">HLOOKUP(D526,Correllate,VLOOKUP(G526,CorMove,2,FALSE()),FALSE())</f>
        <v>0.89</v>
      </c>
      <c r="Q526" s="92" t="n">
        <f aca="false">WORKDAY(G526,-2)</f>
        <v>36829</v>
      </c>
      <c r="R526" s="7" t="n">
        <f aca="false">IF(F526="P",0,1)</f>
        <v>1</v>
      </c>
      <c r="S526" s="130" t="e">
        <f aca="false">xSPRDOPT($L526,$J526,$I526,$M526,$O526,$N526,$P526,$Q526-$C$3,$R526,0)</f>
        <v>#NAME?</v>
      </c>
      <c r="T526" s="250" t="e">
        <f aca="false">xSPRDOPT($L526,$J526,$I526,$M526,$O526,$N526,$P526,$Q526-$C$3,$R526,1)*H526</f>
        <v>#NAME?</v>
      </c>
      <c r="U526" s="43" t="e">
        <f aca="false">S526*H526</f>
        <v>#NAME?</v>
      </c>
      <c r="V526" s="250" t="e">
        <f aca="false">xSPRDOPT($L526,$J526,$I526,$M526,$O526,$N526,$P526,$Q526-$C$3,$R526,2)*H526</f>
        <v>#NAME?</v>
      </c>
      <c r="W526" s="250" t="e">
        <f aca="false">+V526+T526</f>
        <v>#NAME?</v>
      </c>
      <c r="X526" s="2" t="str">
        <f aca="false">CONCATENATE(G526,D526)</f>
        <v>36831IF-TRANSCO/Z6</v>
      </c>
      <c r="Y526" s="251" t="n">
        <f aca="false">H526/10000</f>
        <v>50</v>
      </c>
      <c r="Z526" s="226" t="e">
        <f aca="false">T526/H526</f>
        <v>#NAME?</v>
      </c>
      <c r="AA526" s="226" t="e">
        <f aca="false">xSPRDOPT($L526,$J526,$I526,$M526,$O526,$N526,$P526,$Q526-$C$3,$R526,3)</f>
        <v>#NAME?</v>
      </c>
      <c r="AB526" s="226" t="e">
        <f aca="false">((xSPRDOPT($L526+AB$5,$J526,$I526,$M526,$O526,$N526,$P526,$Q526-$C$3,$R526,3)*$H526)/10000)/100</f>
        <v>#NAME?</v>
      </c>
      <c r="AC526" s="226" t="e">
        <f aca="false">((xSPRDOPT($L526+$AB$5,$J526,$I526,$M526,$O526,$N526,$P526,$Q526-$C$3,$R526,7)*$H526)/100)</f>
        <v>#NAME?</v>
      </c>
      <c r="AD526" s="226" t="e">
        <f aca="false">(xSPRDOPT($L526+$AB$5,$J526,$I526,$M526,$O526,$N526,$P526,$Q526-$C$3,$R526,9)/365)*$H526</f>
        <v>#NAME?</v>
      </c>
      <c r="AE526" s="0" t="e">
        <f aca="false">CD526</f>
        <v>#NAME?</v>
      </c>
      <c r="AF526" s="226" t="e">
        <f aca="false">((O526/N526)*AH526)+AG526</f>
        <v>#NAME?</v>
      </c>
      <c r="AG526" s="226" t="e">
        <f aca="false">((xSPRDOPT($L526,$J526,$I526,$M526,$O526,$N526,$P526,$Q526-$C$3,$R526,6)*$H526)/100)</f>
        <v>#NAME?</v>
      </c>
      <c r="AH526" s="226" t="e">
        <f aca="false">((xSPRDOPT($L526,$J526,$I526,$M526,$O526,$N526,$P526,$Q526-$C$3,$R526,5)*$H526)/100)</f>
        <v>#NAME?</v>
      </c>
      <c r="AI526" s="226" t="e">
        <f aca="false">(((xSPRDOPT($L526,$J526,$I526,$M526,$O526,$N526,$P526,$Q526-$C$3,$R526,4)*$H526)/10000)/100)-AB526</f>
        <v>#NAME?</v>
      </c>
      <c r="AJ526" s="226"/>
      <c r="AK526" s="226"/>
      <c r="AL526" s="226"/>
      <c r="AM526" s="252"/>
      <c r="CC526" s="182" t="n">
        <f aca="false">G526</f>
        <v>36831</v>
      </c>
      <c r="CD526" s="253" t="e">
        <f aca="false">xSPRDOPT((VLOOKUP(G526,NGPrices,2,FALSE())+HLOOKUP(D526,Prices,VLOOKUP(G526,move_down,2,FALSE()),FALSE())),VLOOKUP(G526,NGPrices,2,FALSE()),I526,VLOOKUP(G526,NGPREVPRICES,4,FALSE()),HLOOKUP(D526,PREVVOLS,VLOOKUP(G526,MOVE_DOWN2,2,FALSE()),FALSE()),VLOOKUP(G526,NGPREVPRICES,3,FALSE()),HLOOKUP(D526,Correllate,VLOOKUP(G526,CorMove,2,FALSE()),FALSE()),Q526-$CD$3,R526,$CD$5)*H526-CJ526</f>
        <v>#NAME?</v>
      </c>
      <c r="CE526" s="253" t="e">
        <f aca="false">xSPRDOPT((VLOOKUP(G526,NGPREVPRICES,2,FALSE())+HLOOKUP(D526,PREVCURVES,VLOOKUP(G526,MOVE_DOWN2,2,FALSE()),FALSE())),VLOOKUP(G526,NGPREVPRICES,2,FALSE()),CK526,VLOOKUP(G526,NGPrices,4,FALSE()),HLOOKUP(D526,PREVVOLS,VLOOKUP(G526,MOVE_DOWN2,2,FALSE()),FALSE()),VLOOKUP(G526,NGPREVPRICES,3,FALSE()),HLOOKUP(D526,Correllate,VLOOKUP(G526,CorMove,2,FALSE()),FALSE()),Q526-$CD$3,R526,$CJ$5)*H526-CJ526</f>
        <v>#NAME?</v>
      </c>
      <c r="CF526" s="132" t="e">
        <f aca="false">(CJ526/VLOOKUP(CC526,discount,3,FALSE()))-(CJ526/VLOOKUP(CC526,discount,2,FALSE()))</f>
        <v>#NAME?</v>
      </c>
      <c r="CG526" s="253" t="e">
        <f aca="false">xSPRDOPT((VLOOKUP(G526,NGPREVPRICES,2,FALSE())+HLOOKUP(D526,PREVCURVES,VLOOKUP(G526,MOVE_DOWN2,2,FALSE()),FALSE())),VLOOKUP(G526,NGPREVPRICES,2,FALSE()),CK526,VLOOKUP(G526,NGPREVPRICES,4,FALSE()),HLOOKUP(D526,VOLS,VLOOKUP(G526,move_down,2,FALSE()),FALSE()),VLOOKUP(G526,NGPrices,3,FALSE()),HLOOKUP(D526,Correllate,VLOOKUP(G526,CorMove,2,FALSE()),FALSE()),Q526-$CD$3,R526,$CJ$5)*H526-CJ526</f>
        <v>#NAME?</v>
      </c>
      <c r="CH526" s="253" t="e">
        <f aca="false">xSPRDOPT((VLOOKUP(G526,NGPREVPRICES,2,FALSE())+HLOOKUP(D526,PREVCURVES,VLOOKUP(G526,MOVE_DOWN2,2,FALSE()),FALSE())),VLOOKUP(G526,NGPREVPRICES,2,FALSE()),CK526,VLOOKUP(G526,NGPREVPRICES,4,FALSE()),HLOOKUP(D526,PREVVOLS,VLOOKUP(G526,MOVE_DOWN2,2,FALSE()),FALSE()),VLOOKUP(G526,NGPREVPRICES,3,FALSE()),HLOOKUP(D526,Correllate,VLOOKUP(G526,CorMove,2,FALSE()),FALSE()),Q526-$C$3,R526,$CJ$5)*H526-CJ526</f>
        <v>#NAME?</v>
      </c>
      <c r="CI526" s="253" t="e">
        <f aca="false">SUM(CD526:CH526)</f>
        <v>#NAME?</v>
      </c>
      <c r="CJ526" s="253" t="e">
        <f aca="false">xSPRDOPT((VLOOKUP(G526,NGPREVPRICES,2,FALSE())+HLOOKUP(D526,PREVCURVES,VLOOKUP(G526,MOVE_DOWN2,2,FALSE()),FALSE())),VLOOKUP(G526,NGPREVPRICES,2,FALSE()),CK526,VLOOKUP(G526,NGPREVPRICES,4,FALSE()),HLOOKUP(D526,PREVVOLS,VLOOKUP(G526,MOVE_DOWN2,2,FALSE()),FALSE()),VLOOKUP(G526,NGPREVPRICES,3,FALSE()),HLOOKUP(D526,Correllate,VLOOKUP(G526,CorMove,2,FALSE()),FALSE()),Q526-$CD$3,R526,$CJ$5)*H526</f>
        <v>#NAME?</v>
      </c>
      <c r="CK526" s="254" t="n">
        <f aca="false">I526</f>
        <v>0.8</v>
      </c>
      <c r="CM526" s="0" t="str">
        <f aca="false">CONCATENATE(CC526,$CD$6)</f>
        <v>36831Curve Shift/Gamma</v>
      </c>
      <c r="CN526" s="0" t="str">
        <f aca="false">CONCATENATE($CC526,$CE$6)</f>
        <v>36831Rho</v>
      </c>
      <c r="CO526" s="0" t="str">
        <f aca="false">CONCATENATE($CC526,$CF$6)</f>
        <v>36831Drift</v>
      </c>
      <c r="CP526" s="0" t="str">
        <f aca="false">CONCATENATE($CC526,$CG$6)</f>
        <v>36831Vega</v>
      </c>
      <c r="CQ526" s="0" t="str">
        <f aca="false">CONCATENATE($CC526,$CH$6)</f>
        <v>36831Theta</v>
      </c>
    </row>
    <row r="527" customFormat="false" ht="12.75" hidden="false" customHeight="false" outlineLevel="0" collapsed="false">
      <c r="A527" s="17" t="s">
        <v>206</v>
      </c>
      <c r="B527" s="0" t="s">
        <v>192</v>
      </c>
      <c r="C527" s="0" t="s">
        <v>377</v>
      </c>
      <c r="D527" s="7" t="s">
        <v>149</v>
      </c>
      <c r="E527" s="0" t="s">
        <v>131</v>
      </c>
      <c r="F527" s="0" t="s">
        <v>136</v>
      </c>
      <c r="G527" s="92" t="n">
        <v>36951</v>
      </c>
      <c r="H527" s="248" t="n">
        <v>155000</v>
      </c>
      <c r="I527" s="0" t="n">
        <v>1.3</v>
      </c>
      <c r="J527" s="124" t="n">
        <f aca="false">VLOOKUP(G527,NGPrices,2,FALSE())</f>
        <v>4.213</v>
      </c>
      <c r="K527" s="125" t="n">
        <f aca="false">HLOOKUP(D527,Prices,VLOOKUP(G527,move_down,2,FALSE()),FALSE())+VLOOKUP(G527,CHANGE,HLOOKUP(D527,CHANGE,2,FALSE()),FALSE())</f>
        <v>1.075</v>
      </c>
      <c r="L527" s="124" t="n">
        <f aca="false">K527+J527</f>
        <v>5.288</v>
      </c>
      <c r="M527" s="126" t="n">
        <f aca="false">VLOOKUP(G527,NGPrices,4,FALSE())</f>
        <v>0.068879814952707</v>
      </c>
      <c r="N527" s="7" t="n">
        <f aca="false">VLOOKUP(G527,NGPrices,3,FALSE())</f>
        <v>0.5325</v>
      </c>
      <c r="O527" s="7" t="n">
        <f aca="false">HLOOKUP(D527,VOLS,VLOOKUP(G527,move_down,2,FALSE()),FALSE())</f>
        <v>0.612</v>
      </c>
      <c r="P527" s="249" t="n">
        <f aca="false">HLOOKUP(D527,Correllate,VLOOKUP(G527,CorMove,2,FALSE()),FALSE())</f>
        <v>0.83</v>
      </c>
      <c r="Q527" s="92" t="n">
        <f aca="false">WORKDAY(G527,-2)</f>
        <v>36949</v>
      </c>
      <c r="R527" s="7" t="n">
        <f aca="false">IF(F527="P",0,1)</f>
        <v>1</v>
      </c>
      <c r="S527" s="130" t="e">
        <f aca="false">xSPRDOPT($L527,$J527,$I527,$M527,$O527,$N527,$P527,$Q527-$C$3,$R527,0)</f>
        <v>#NAME?</v>
      </c>
      <c r="T527" s="250" t="e">
        <f aca="false">xSPRDOPT($L527,$J527,$I527,$M527,$O527,$N527,$P527,$Q527-$C$3,$R527,1)*H527</f>
        <v>#NAME?</v>
      </c>
      <c r="U527" s="43" t="e">
        <f aca="false">S527*H527</f>
        <v>#NAME?</v>
      </c>
      <c r="V527" s="250" t="e">
        <f aca="false">xSPRDOPT($L527,$J527,$I527,$M527,$O527,$N527,$P527,$Q527-$C$3,$R527,2)*H527</f>
        <v>#NAME?</v>
      </c>
      <c r="W527" s="250" t="e">
        <f aca="false">+V527+T527</f>
        <v>#NAME?</v>
      </c>
      <c r="X527" s="2" t="str">
        <f aca="false">CONCATENATE(G527,D527)</f>
        <v>36951IF-TRANSCO/Z6</v>
      </c>
      <c r="Y527" s="251" t="n">
        <f aca="false">H527/10000</f>
        <v>15.5</v>
      </c>
      <c r="Z527" s="226" t="e">
        <f aca="false">T527/H527</f>
        <v>#NAME?</v>
      </c>
      <c r="AA527" s="226" t="e">
        <f aca="false">xSPRDOPT($L527,$J527,$I527,$M527,$O527,$N527,$P527,$Q527-$C$3,$R527,3)</f>
        <v>#NAME?</v>
      </c>
      <c r="AB527" s="226" t="e">
        <f aca="false">((xSPRDOPT($L527+AB$5,$J527,$I527,$M527,$O527,$N527,$P527,$Q527-$C$3,$R527,3)*$H527)/10000)/100</f>
        <v>#NAME?</v>
      </c>
      <c r="AC527" s="226" t="e">
        <f aca="false">((xSPRDOPT($L527+$AB$5,$J527,$I527,$M527,$O527,$N527,$P527,$Q527-$C$3,$R527,7)*$H527)/100)</f>
        <v>#NAME?</v>
      </c>
      <c r="AD527" s="226" t="e">
        <f aca="false">(xSPRDOPT($L527+$AB$5,$J527,$I527,$M527,$O527,$N527,$P527,$Q527-$C$3,$R527,9)/365)*$H527</f>
        <v>#NAME?</v>
      </c>
      <c r="AE527" s="0" t="e">
        <f aca="false">CD527</f>
        <v>#NAME?</v>
      </c>
      <c r="AF527" s="226" t="e">
        <f aca="false">((O527/N527)*AH527)+AG527</f>
        <v>#NAME?</v>
      </c>
      <c r="AG527" s="226" t="e">
        <f aca="false">((xSPRDOPT($L527,$J527,$I527,$M527,$O527,$N527,$P527,$Q527-$C$3,$R527,6)*$H527)/100)</f>
        <v>#NAME?</v>
      </c>
      <c r="AH527" s="226" t="e">
        <f aca="false">((xSPRDOPT($L527,$J527,$I527,$M527,$O527,$N527,$P527,$Q527-$C$3,$R527,5)*$H527)/100)</f>
        <v>#NAME?</v>
      </c>
      <c r="AI527" s="226" t="e">
        <f aca="false">(((xSPRDOPT($L527,$J527,$I527,$M527,$O527,$N527,$P527,$Q527-$C$3,$R527,4)*$H527)/10000)/100)-AB527</f>
        <v>#NAME?</v>
      </c>
      <c r="AJ527" s="226"/>
      <c r="AK527" s="226"/>
      <c r="AL527" s="226"/>
      <c r="AM527" s="252"/>
      <c r="CC527" s="182" t="n">
        <f aca="false">G527</f>
        <v>36951</v>
      </c>
      <c r="CD527" s="253" t="e">
        <f aca="false">xSPRDOPT((VLOOKUP(G527,NGPrices,2,FALSE())+HLOOKUP(D527,Prices,VLOOKUP(G527,move_down,2,FALSE()),FALSE())),VLOOKUP(G527,NGPrices,2,FALSE()),I527,VLOOKUP(G527,NGPREVPRICES,4,FALSE()),HLOOKUP(D527,PREVVOLS,VLOOKUP(G527,MOVE_DOWN2,2,FALSE()),FALSE()),VLOOKUP(G527,NGPREVPRICES,3,FALSE()),HLOOKUP(D527,Correllate,VLOOKUP(G527,CorMove,2,FALSE()),FALSE()),Q527-$CD$3,R527,$CD$5)*H527-CJ527</f>
        <v>#NAME?</v>
      </c>
      <c r="CE527" s="253" t="e">
        <f aca="false">xSPRDOPT((VLOOKUP(G527,NGPREVPRICES,2,FALSE())+HLOOKUP(D527,PREVCURVES,VLOOKUP(G527,MOVE_DOWN2,2,FALSE()),FALSE())),VLOOKUP(G527,NGPREVPRICES,2,FALSE()),CK527,VLOOKUP(G527,NGPrices,4,FALSE()),HLOOKUP(D527,PREVVOLS,VLOOKUP(G527,MOVE_DOWN2,2,FALSE()),FALSE()),VLOOKUP(G527,NGPREVPRICES,3,FALSE()),HLOOKUP(D527,Correllate,VLOOKUP(G527,CorMove,2,FALSE()),FALSE()),Q527-$CD$3,R527,$CJ$5)*H527-CJ527</f>
        <v>#NAME?</v>
      </c>
      <c r="CF527" s="132" t="e">
        <f aca="false">(CJ527/VLOOKUP(CC527,discount,3,FALSE()))-(CJ527/VLOOKUP(CC527,discount,2,FALSE()))</f>
        <v>#NAME?</v>
      </c>
      <c r="CG527" s="253" t="e">
        <f aca="false">xSPRDOPT((VLOOKUP(G527,NGPREVPRICES,2,FALSE())+HLOOKUP(D527,PREVCURVES,VLOOKUP(G527,MOVE_DOWN2,2,FALSE()),FALSE())),VLOOKUP(G527,NGPREVPRICES,2,FALSE()),CK527,VLOOKUP(G527,NGPREVPRICES,4,FALSE()),HLOOKUP(D527,VOLS,VLOOKUP(G527,move_down,2,FALSE()),FALSE()),VLOOKUP(G527,NGPrices,3,FALSE()),HLOOKUP(D527,Correllate,VLOOKUP(G527,CorMove,2,FALSE()),FALSE()),Q527-$CD$3,R527,$CJ$5)*H527-CJ527</f>
        <v>#NAME?</v>
      </c>
      <c r="CH527" s="253" t="e">
        <f aca="false">xSPRDOPT((VLOOKUP(G527,NGPREVPRICES,2,FALSE())+HLOOKUP(D527,PREVCURVES,VLOOKUP(G527,MOVE_DOWN2,2,FALSE()),FALSE())),VLOOKUP(G527,NGPREVPRICES,2,FALSE()),CK527,VLOOKUP(G527,NGPREVPRICES,4,FALSE()),HLOOKUP(D527,PREVVOLS,VLOOKUP(G527,MOVE_DOWN2,2,FALSE()),FALSE()),VLOOKUP(G527,NGPREVPRICES,3,FALSE()),HLOOKUP(D527,Correllate,VLOOKUP(G527,CorMove,2,FALSE()),FALSE()),Q527-$C$3,R527,$CJ$5)*H527-CJ527</f>
        <v>#NAME?</v>
      </c>
      <c r="CI527" s="253" t="e">
        <f aca="false">SUM(CD527:CH527)</f>
        <v>#NAME?</v>
      </c>
      <c r="CJ527" s="253" t="e">
        <f aca="false">xSPRDOPT((VLOOKUP(G527,NGPREVPRICES,2,FALSE())+HLOOKUP(D527,PREVCURVES,VLOOKUP(G527,MOVE_DOWN2,2,FALSE()),FALSE())),VLOOKUP(G527,NGPREVPRICES,2,FALSE()),CK527,VLOOKUP(G527,NGPREVPRICES,4,FALSE()),HLOOKUP(D527,PREVVOLS,VLOOKUP(G527,MOVE_DOWN2,2,FALSE()),FALSE()),VLOOKUP(G527,NGPREVPRICES,3,FALSE()),HLOOKUP(D527,Correllate,VLOOKUP(G527,CorMove,2,FALSE()),FALSE()),Q527-$CD$3,R527,$CJ$5)*H527</f>
        <v>#NAME?</v>
      </c>
      <c r="CK527" s="254" t="n">
        <f aca="false">I527</f>
        <v>1.3</v>
      </c>
      <c r="CM527" s="0" t="str">
        <f aca="false">CONCATENATE(CC527,$CD$6)</f>
        <v>36951Curve Shift/Gamma</v>
      </c>
      <c r="CN527" s="0" t="str">
        <f aca="false">CONCATENATE($CC527,$CE$6)</f>
        <v>36951Rho</v>
      </c>
      <c r="CO527" s="0" t="str">
        <f aca="false">CONCATENATE($CC527,$CF$6)</f>
        <v>36951Drift</v>
      </c>
      <c r="CP527" s="0" t="str">
        <f aca="false">CONCATENATE($CC527,$CG$6)</f>
        <v>36951Vega</v>
      </c>
      <c r="CQ527" s="0" t="str">
        <f aca="false">CONCATENATE($CC527,$CH$6)</f>
        <v>36951Theta</v>
      </c>
    </row>
    <row r="528" customFormat="false" ht="12.75" hidden="false" customHeight="false" outlineLevel="0" collapsed="false">
      <c r="A528" s="17" t="s">
        <v>206</v>
      </c>
      <c r="B528" s="0" t="s">
        <v>192</v>
      </c>
      <c r="C528" s="0" t="s">
        <v>377</v>
      </c>
      <c r="D528" s="7" t="s">
        <v>149</v>
      </c>
      <c r="E528" s="0" t="s">
        <v>131</v>
      </c>
      <c r="F528" s="0" t="s">
        <v>136</v>
      </c>
      <c r="G528" s="92" t="n">
        <v>36923</v>
      </c>
      <c r="H528" s="248" t="n">
        <v>140000</v>
      </c>
      <c r="I528" s="0" t="n">
        <v>1.3</v>
      </c>
      <c r="J528" s="124" t="n">
        <f aca="false">VLOOKUP(G528,NGPrices,2,FALSE())</f>
        <v>4.48</v>
      </c>
      <c r="K528" s="125" t="n">
        <f aca="false">HLOOKUP(D528,Prices,VLOOKUP(G528,move_down,2,FALSE()),FALSE())+VLOOKUP(G528,CHANGE,HLOOKUP(D528,CHANGE,2,FALSE()),FALSE())</f>
        <v>2.09</v>
      </c>
      <c r="L528" s="124" t="n">
        <f aca="false">K528+J528</f>
        <v>6.57</v>
      </c>
      <c r="M528" s="126" t="n">
        <f aca="false">VLOOKUP(G528,NGPrices,4,FALSE())</f>
        <v>0.068640161611372</v>
      </c>
      <c r="N528" s="7" t="n">
        <f aca="false">VLOOKUP(G528,NGPrices,3,FALSE())</f>
        <v>0.5925</v>
      </c>
      <c r="O528" s="7" t="n">
        <f aca="false">HLOOKUP(D528,VOLS,VLOOKUP(G528,move_down,2,FALSE()),FALSE())</f>
        <v>0.681</v>
      </c>
      <c r="P528" s="249" t="n">
        <f aca="false">HLOOKUP(D528,Correllate,VLOOKUP(G528,CorMove,2,FALSE()),FALSE())</f>
        <v>0.83</v>
      </c>
      <c r="Q528" s="92" t="n">
        <f aca="false">WORKDAY(G528,-2)</f>
        <v>36921</v>
      </c>
      <c r="R528" s="7" t="n">
        <f aca="false">IF(F528="P",0,1)</f>
        <v>1</v>
      </c>
      <c r="S528" s="130" t="e">
        <f aca="false">xSPRDOPT($L528,$J528,$I528,$M528,$O528,$N528,$P528,$Q528-$C$3,$R528,0)</f>
        <v>#NAME?</v>
      </c>
      <c r="T528" s="250" t="e">
        <f aca="false">xSPRDOPT($L528,$J528,$I528,$M528,$O528,$N528,$P528,$Q528-$C$3,$R528,1)*H528</f>
        <v>#NAME?</v>
      </c>
      <c r="U528" s="43" t="e">
        <f aca="false">S528*H528</f>
        <v>#NAME?</v>
      </c>
      <c r="V528" s="250" t="e">
        <f aca="false">xSPRDOPT($L528,$J528,$I528,$M528,$O528,$N528,$P528,$Q528-$C$3,$R528,2)*H528</f>
        <v>#NAME?</v>
      </c>
      <c r="W528" s="250" t="e">
        <f aca="false">+V528+T528</f>
        <v>#NAME?</v>
      </c>
      <c r="X528" s="2" t="str">
        <f aca="false">CONCATENATE(G528,D528)</f>
        <v>36923IF-TRANSCO/Z6</v>
      </c>
      <c r="Y528" s="251" t="n">
        <f aca="false">H528/10000</f>
        <v>14</v>
      </c>
      <c r="Z528" s="226" t="e">
        <f aca="false">T528/H528</f>
        <v>#NAME?</v>
      </c>
      <c r="AA528" s="226" t="e">
        <f aca="false">xSPRDOPT($L528,$J528,$I528,$M528,$O528,$N528,$P528,$Q528-$C$3,$R528,3)</f>
        <v>#NAME?</v>
      </c>
      <c r="AB528" s="226" t="e">
        <f aca="false">((xSPRDOPT($L528+AB$5,$J528,$I528,$M528,$O528,$N528,$P528,$Q528-$C$3,$R528,3)*$H528)/10000)/100</f>
        <v>#NAME?</v>
      </c>
      <c r="AC528" s="226" t="e">
        <f aca="false">((xSPRDOPT($L528+$AB$5,$J528,$I528,$M528,$O528,$N528,$P528,$Q528-$C$3,$R528,7)*$H528)/100)</f>
        <v>#NAME?</v>
      </c>
      <c r="AD528" s="226" t="e">
        <f aca="false">(xSPRDOPT($L528+$AB$5,$J528,$I528,$M528,$O528,$N528,$P528,$Q528-$C$3,$R528,9)/365)*$H528</f>
        <v>#NAME?</v>
      </c>
      <c r="AE528" s="0" t="e">
        <f aca="false">CD528</f>
        <v>#NAME?</v>
      </c>
      <c r="AF528" s="226" t="e">
        <f aca="false">((O528/N528)*AH528)+AG528</f>
        <v>#NAME?</v>
      </c>
      <c r="AG528" s="226" t="e">
        <f aca="false">((xSPRDOPT($L528,$J528,$I528,$M528,$O528,$N528,$P528,$Q528-$C$3,$R528,6)*$H528)/100)</f>
        <v>#NAME?</v>
      </c>
      <c r="AH528" s="226" t="e">
        <f aca="false">((xSPRDOPT($L528,$J528,$I528,$M528,$O528,$N528,$P528,$Q528-$C$3,$R528,5)*$H528)/100)</f>
        <v>#NAME?</v>
      </c>
      <c r="AI528" s="226" t="e">
        <f aca="false">(((xSPRDOPT($L528,$J528,$I528,$M528,$O528,$N528,$P528,$Q528-$C$3,$R528,4)*$H528)/10000)/100)-AB528</f>
        <v>#NAME?</v>
      </c>
      <c r="AJ528" s="226"/>
      <c r="AK528" s="226"/>
      <c r="AL528" s="226"/>
      <c r="AM528" s="252"/>
      <c r="CC528" s="182" t="n">
        <f aca="false">G528</f>
        <v>36923</v>
      </c>
      <c r="CD528" s="253" t="e">
        <f aca="false">xSPRDOPT((VLOOKUP(G528,NGPrices,2,FALSE())+HLOOKUP(D528,Prices,VLOOKUP(G528,move_down,2,FALSE()),FALSE())),VLOOKUP(G528,NGPrices,2,FALSE()),I528,VLOOKUP(G528,NGPREVPRICES,4,FALSE()),HLOOKUP(D528,PREVVOLS,VLOOKUP(G528,MOVE_DOWN2,2,FALSE()),FALSE()),VLOOKUP(G528,NGPREVPRICES,3,FALSE()),HLOOKUP(D528,Correllate,VLOOKUP(G528,CorMove,2,FALSE()),FALSE()),Q528-$CD$3,R528,$CD$5)*H528-CJ528</f>
        <v>#NAME?</v>
      </c>
      <c r="CE528" s="253" t="e">
        <f aca="false">xSPRDOPT((VLOOKUP(G528,NGPREVPRICES,2,FALSE())+HLOOKUP(D528,PREVCURVES,VLOOKUP(G528,MOVE_DOWN2,2,FALSE()),FALSE())),VLOOKUP(G528,NGPREVPRICES,2,FALSE()),CK528,VLOOKUP(G528,NGPrices,4,FALSE()),HLOOKUP(D528,PREVVOLS,VLOOKUP(G528,MOVE_DOWN2,2,FALSE()),FALSE()),VLOOKUP(G528,NGPREVPRICES,3,FALSE()),HLOOKUP(D528,Correllate,VLOOKUP(G528,CorMove,2,FALSE()),FALSE()),Q528-$CD$3,R528,$CJ$5)*H528-CJ528</f>
        <v>#NAME?</v>
      </c>
      <c r="CF528" s="132" t="e">
        <f aca="false">(CJ528/VLOOKUP(CC528,discount,3,FALSE()))-(CJ528/VLOOKUP(CC528,discount,2,FALSE()))</f>
        <v>#NAME?</v>
      </c>
      <c r="CG528" s="253" t="e">
        <f aca="false">xSPRDOPT((VLOOKUP(G528,NGPREVPRICES,2,FALSE())+HLOOKUP(D528,PREVCURVES,VLOOKUP(G528,MOVE_DOWN2,2,FALSE()),FALSE())),VLOOKUP(G528,NGPREVPRICES,2,FALSE()),CK528,VLOOKUP(G528,NGPREVPRICES,4,FALSE()),HLOOKUP(D528,VOLS,VLOOKUP(G528,move_down,2,FALSE()),FALSE()),VLOOKUP(G528,NGPrices,3,FALSE()),HLOOKUP(D528,Correllate,VLOOKUP(G528,CorMove,2,FALSE()),FALSE()),Q528-$CD$3,R528,$CJ$5)*H528-CJ528</f>
        <v>#NAME?</v>
      </c>
      <c r="CH528" s="253" t="e">
        <f aca="false">xSPRDOPT((VLOOKUP(G528,NGPREVPRICES,2,FALSE())+HLOOKUP(D528,PREVCURVES,VLOOKUP(G528,MOVE_DOWN2,2,FALSE()),FALSE())),VLOOKUP(G528,NGPREVPRICES,2,FALSE()),CK528,VLOOKUP(G528,NGPREVPRICES,4,FALSE()),HLOOKUP(D528,PREVVOLS,VLOOKUP(G528,MOVE_DOWN2,2,FALSE()),FALSE()),VLOOKUP(G528,NGPREVPRICES,3,FALSE()),HLOOKUP(D528,Correllate,VLOOKUP(G528,CorMove,2,FALSE()),FALSE()),Q528-$C$3,R528,$CJ$5)*H528-CJ528</f>
        <v>#NAME?</v>
      </c>
      <c r="CI528" s="253" t="e">
        <f aca="false">SUM(CD528:CH528)</f>
        <v>#NAME?</v>
      </c>
      <c r="CJ528" s="253" t="e">
        <f aca="false">xSPRDOPT((VLOOKUP(G528,NGPREVPRICES,2,FALSE())+HLOOKUP(D528,PREVCURVES,VLOOKUP(G528,MOVE_DOWN2,2,FALSE()),FALSE())),VLOOKUP(G528,NGPREVPRICES,2,FALSE()),CK528,VLOOKUP(G528,NGPREVPRICES,4,FALSE()),HLOOKUP(D528,PREVVOLS,VLOOKUP(G528,MOVE_DOWN2,2,FALSE()),FALSE()),VLOOKUP(G528,NGPREVPRICES,3,FALSE()),HLOOKUP(D528,Correllate,VLOOKUP(G528,CorMove,2,FALSE()),FALSE()),Q528-$CD$3,R528,$CJ$5)*H528</f>
        <v>#NAME?</v>
      </c>
      <c r="CK528" s="254" t="n">
        <f aca="false">I528</f>
        <v>1.3</v>
      </c>
      <c r="CM528" s="0" t="str">
        <f aca="false">CONCATENATE(CC528,$CD$6)</f>
        <v>36923Curve Shift/Gamma</v>
      </c>
      <c r="CN528" s="0" t="str">
        <f aca="false">CONCATENATE($CC528,$CE$6)</f>
        <v>36923Rho</v>
      </c>
      <c r="CO528" s="0" t="str">
        <f aca="false">CONCATENATE($CC528,$CF$6)</f>
        <v>36923Drift</v>
      </c>
      <c r="CP528" s="0" t="str">
        <f aca="false">CONCATENATE($CC528,$CG$6)</f>
        <v>36923Vega</v>
      </c>
      <c r="CQ528" s="0" t="str">
        <f aca="false">CONCATENATE($CC528,$CH$6)</f>
        <v>36923Theta</v>
      </c>
    </row>
    <row r="529" customFormat="false" ht="12.75" hidden="false" customHeight="false" outlineLevel="0" collapsed="false">
      <c r="A529" s="17" t="s">
        <v>206</v>
      </c>
      <c r="B529" s="0" t="s">
        <v>192</v>
      </c>
      <c r="C529" s="0" t="s">
        <v>377</v>
      </c>
      <c r="D529" s="7" t="s">
        <v>149</v>
      </c>
      <c r="E529" s="0" t="s">
        <v>131</v>
      </c>
      <c r="F529" s="0" t="s">
        <v>136</v>
      </c>
      <c r="G529" s="92" t="n">
        <v>36892</v>
      </c>
      <c r="H529" s="248" t="n">
        <v>155000</v>
      </c>
      <c r="I529" s="0" t="n">
        <v>1.3</v>
      </c>
      <c r="J529" s="124" t="n">
        <f aca="false">VLOOKUP(G529,NGPrices,2,FALSE())</f>
        <v>4.744</v>
      </c>
      <c r="K529" s="125" t="n">
        <f aca="false">HLOOKUP(D529,Prices,VLOOKUP(G529,move_down,2,FALSE()),FALSE())+VLOOKUP(G529,CHANGE,HLOOKUP(D529,CHANGE,2,FALSE()),FALSE())</f>
        <v>2.17</v>
      </c>
      <c r="L529" s="124" t="n">
        <f aca="false">K529+J529</f>
        <v>6.914</v>
      </c>
      <c r="M529" s="126" t="n">
        <f aca="false">VLOOKUP(G529,NGPrices,4,FALSE())</f>
        <v>0.068374831148491</v>
      </c>
      <c r="N529" s="7" t="n">
        <f aca="false">VLOOKUP(G529,NGPrices,3,FALSE())</f>
        <v>0.605</v>
      </c>
      <c r="O529" s="7" t="n">
        <f aca="false">HLOOKUP(D529,VOLS,VLOOKUP(G529,move_down,2,FALSE()),FALSE())</f>
        <v>0.696</v>
      </c>
      <c r="P529" s="249" t="n">
        <f aca="false">HLOOKUP(D529,Correllate,VLOOKUP(G529,CorMove,2,FALSE()),FALSE())</f>
        <v>0.83</v>
      </c>
      <c r="Q529" s="92" t="n">
        <f aca="false">WORKDAY(G529,-2)</f>
        <v>36888</v>
      </c>
      <c r="R529" s="7" t="n">
        <f aca="false">IF(F529="P",0,1)</f>
        <v>1</v>
      </c>
      <c r="S529" s="130" t="e">
        <f aca="false">xSPRDOPT($L529,$J529,$I529,$M529,$O529,$N529,$P529,$Q529-$C$3,$R529,0)</f>
        <v>#NAME?</v>
      </c>
      <c r="T529" s="250" t="e">
        <f aca="false">xSPRDOPT($L529,$J529,$I529,$M529,$O529,$N529,$P529,$Q529-$C$3,$R529,1)*H529</f>
        <v>#NAME?</v>
      </c>
      <c r="U529" s="43" t="e">
        <f aca="false">S529*H529</f>
        <v>#NAME?</v>
      </c>
      <c r="V529" s="250" t="e">
        <f aca="false">xSPRDOPT($L529,$J529,$I529,$M529,$O529,$N529,$P529,$Q529-$C$3,$R529,2)*H529</f>
        <v>#NAME?</v>
      </c>
      <c r="W529" s="250" t="e">
        <f aca="false">+V529+T529</f>
        <v>#NAME?</v>
      </c>
      <c r="X529" s="2" t="str">
        <f aca="false">CONCATENATE(G529,D529)</f>
        <v>36892IF-TRANSCO/Z6</v>
      </c>
      <c r="Y529" s="251" t="n">
        <f aca="false">H529/10000</f>
        <v>15.5</v>
      </c>
      <c r="Z529" s="226" t="e">
        <f aca="false">T529/H529</f>
        <v>#NAME?</v>
      </c>
      <c r="AA529" s="226" t="e">
        <f aca="false">xSPRDOPT($L529,$J529,$I529,$M529,$O529,$N529,$P529,$Q529-$C$3,$R529,3)</f>
        <v>#NAME?</v>
      </c>
      <c r="AB529" s="226" t="e">
        <f aca="false">((xSPRDOPT($L529+AB$5,$J529,$I529,$M529,$O529,$N529,$P529,$Q529-$C$3,$R529,3)*$H529)/10000)/100</f>
        <v>#NAME?</v>
      </c>
      <c r="AC529" s="226" t="e">
        <f aca="false">((xSPRDOPT($L529+$AB$5,$J529,$I529,$M529,$O529,$N529,$P529,$Q529-$C$3,$R529,7)*$H529)/100)</f>
        <v>#NAME?</v>
      </c>
      <c r="AD529" s="226" t="e">
        <f aca="false">(xSPRDOPT($L529+$AB$5,$J529,$I529,$M529,$O529,$N529,$P529,$Q529-$C$3,$R529,9)/365)*$H529</f>
        <v>#NAME?</v>
      </c>
      <c r="AE529" s="0" t="e">
        <f aca="false">CD529</f>
        <v>#NAME?</v>
      </c>
      <c r="AF529" s="226" t="e">
        <f aca="false">((O529/N529)*AH529)+AG529</f>
        <v>#NAME?</v>
      </c>
      <c r="AG529" s="226" t="e">
        <f aca="false">((xSPRDOPT($L529,$J529,$I529,$M529,$O529,$N529,$P529,$Q529-$C$3,$R529,6)*$H529)/100)</f>
        <v>#NAME?</v>
      </c>
      <c r="AH529" s="226" t="e">
        <f aca="false">((xSPRDOPT($L529,$J529,$I529,$M529,$O529,$N529,$P529,$Q529-$C$3,$R529,5)*$H529)/100)</f>
        <v>#NAME?</v>
      </c>
      <c r="AI529" s="226" t="e">
        <f aca="false">(((xSPRDOPT($L529,$J529,$I529,$M529,$O529,$N529,$P529,$Q529-$C$3,$R529,4)*$H529)/10000)/100)-AB529</f>
        <v>#NAME?</v>
      </c>
      <c r="AJ529" s="226"/>
      <c r="AK529" s="226"/>
      <c r="AL529" s="226"/>
      <c r="AM529" s="252"/>
      <c r="CC529" s="182" t="n">
        <f aca="false">G529</f>
        <v>36892</v>
      </c>
      <c r="CD529" s="253" t="e">
        <f aca="false">xSPRDOPT((VLOOKUP(G529,NGPrices,2,FALSE())+HLOOKUP(D529,Prices,VLOOKUP(G529,move_down,2,FALSE()),FALSE())),VLOOKUP(G529,NGPrices,2,FALSE()),I529,VLOOKUP(G529,NGPREVPRICES,4,FALSE()),HLOOKUP(D529,PREVVOLS,VLOOKUP(G529,MOVE_DOWN2,2,FALSE()),FALSE()),VLOOKUP(G529,NGPREVPRICES,3,FALSE()),HLOOKUP(D529,Correllate,VLOOKUP(G529,CorMove,2,FALSE()),FALSE()),Q529-$CD$3,R529,$CD$5)*H529-CJ529</f>
        <v>#NAME?</v>
      </c>
      <c r="CE529" s="253" t="e">
        <f aca="false">xSPRDOPT((VLOOKUP(G529,NGPREVPRICES,2,FALSE())+HLOOKUP(D529,PREVCURVES,VLOOKUP(G529,MOVE_DOWN2,2,FALSE()),FALSE())),VLOOKUP(G529,NGPREVPRICES,2,FALSE()),CK529,VLOOKUP(G529,NGPrices,4,FALSE()),HLOOKUP(D529,PREVVOLS,VLOOKUP(G529,MOVE_DOWN2,2,FALSE()),FALSE()),VLOOKUP(G529,NGPREVPRICES,3,FALSE()),HLOOKUP(D529,Correllate,VLOOKUP(G529,CorMove,2,FALSE()),FALSE()),Q529-$CD$3,R529,$CJ$5)*H529-CJ529</f>
        <v>#NAME?</v>
      </c>
      <c r="CF529" s="132" t="e">
        <f aca="false">(CJ529/VLOOKUP(CC529,discount,3,FALSE()))-(CJ529/VLOOKUP(CC529,discount,2,FALSE()))</f>
        <v>#NAME?</v>
      </c>
      <c r="CG529" s="253" t="e">
        <f aca="false">xSPRDOPT((VLOOKUP(G529,NGPREVPRICES,2,FALSE())+HLOOKUP(D529,PREVCURVES,VLOOKUP(G529,MOVE_DOWN2,2,FALSE()),FALSE())),VLOOKUP(G529,NGPREVPRICES,2,FALSE()),CK529,VLOOKUP(G529,NGPREVPRICES,4,FALSE()),HLOOKUP(D529,VOLS,VLOOKUP(G529,move_down,2,FALSE()),FALSE()),VLOOKUP(G529,NGPrices,3,FALSE()),HLOOKUP(D529,Correllate,VLOOKUP(G529,CorMove,2,FALSE()),FALSE()),Q529-$CD$3,R529,$CJ$5)*H529-CJ529</f>
        <v>#NAME?</v>
      </c>
      <c r="CH529" s="253" t="e">
        <f aca="false">xSPRDOPT((VLOOKUP(G529,NGPREVPRICES,2,FALSE())+HLOOKUP(D529,PREVCURVES,VLOOKUP(G529,MOVE_DOWN2,2,FALSE()),FALSE())),VLOOKUP(G529,NGPREVPRICES,2,FALSE()),CK529,VLOOKUP(G529,NGPREVPRICES,4,FALSE()),HLOOKUP(D529,PREVVOLS,VLOOKUP(G529,MOVE_DOWN2,2,FALSE()),FALSE()),VLOOKUP(G529,NGPREVPRICES,3,FALSE()),HLOOKUP(D529,Correllate,VLOOKUP(G529,CorMove,2,FALSE()),FALSE()),Q529-$C$3,R529,$CJ$5)*H529-CJ529</f>
        <v>#NAME?</v>
      </c>
      <c r="CI529" s="253" t="e">
        <f aca="false">SUM(CD529:CH529)</f>
        <v>#NAME?</v>
      </c>
      <c r="CJ529" s="253" t="e">
        <f aca="false">xSPRDOPT((VLOOKUP(G529,NGPREVPRICES,2,FALSE())+HLOOKUP(D529,PREVCURVES,VLOOKUP(G529,MOVE_DOWN2,2,FALSE()),FALSE())),VLOOKUP(G529,NGPREVPRICES,2,FALSE()),CK529,VLOOKUP(G529,NGPREVPRICES,4,FALSE()),HLOOKUP(D529,PREVVOLS,VLOOKUP(G529,MOVE_DOWN2,2,FALSE()),FALSE()),VLOOKUP(G529,NGPREVPRICES,3,FALSE()),HLOOKUP(D529,Correllate,VLOOKUP(G529,CorMove,2,FALSE()),FALSE()),Q529-$CD$3,R529,$CJ$5)*H529</f>
        <v>#NAME?</v>
      </c>
      <c r="CK529" s="254" t="n">
        <f aca="false">I529</f>
        <v>1.3</v>
      </c>
      <c r="CM529" s="0" t="str">
        <f aca="false">CONCATENATE(CC529,$CD$6)</f>
        <v>36892Curve Shift/Gamma</v>
      </c>
      <c r="CN529" s="0" t="str">
        <f aca="false">CONCATENATE($CC529,$CE$6)</f>
        <v>36892Rho</v>
      </c>
      <c r="CO529" s="0" t="str">
        <f aca="false">CONCATENATE($CC529,$CF$6)</f>
        <v>36892Drift</v>
      </c>
      <c r="CP529" s="0" t="str">
        <f aca="false">CONCATENATE($CC529,$CG$6)</f>
        <v>36892Vega</v>
      </c>
      <c r="CQ529" s="0" t="str">
        <f aca="false">CONCATENATE($CC529,$CH$6)</f>
        <v>36892Theta</v>
      </c>
    </row>
    <row r="530" customFormat="false" ht="12.75" hidden="false" customHeight="false" outlineLevel="0" collapsed="false">
      <c r="A530" s="17" t="s">
        <v>206</v>
      </c>
      <c r="B530" s="0" t="s">
        <v>192</v>
      </c>
      <c r="C530" s="0" t="s">
        <v>377</v>
      </c>
      <c r="D530" s="7" t="s">
        <v>149</v>
      </c>
      <c r="E530" s="0" t="s">
        <v>131</v>
      </c>
      <c r="F530" s="0" t="s">
        <v>136</v>
      </c>
      <c r="G530" s="92" t="n">
        <v>36861</v>
      </c>
      <c r="H530" s="248" t="n">
        <v>155000</v>
      </c>
      <c r="I530" s="0" t="n">
        <v>1.3</v>
      </c>
      <c r="J530" s="124" t="n">
        <f aca="false">VLOOKUP(G530,NGPrices,2,FALSE())</f>
        <v>4.8</v>
      </c>
      <c r="K530" s="125" t="n">
        <f aca="false">HLOOKUP(D530,Prices,VLOOKUP(G530,move_down,2,FALSE()),FALSE())+VLOOKUP(G530,CHANGE,HLOOKUP(D530,CHANGE,2,FALSE()),FALSE())</f>
        <v>1.645</v>
      </c>
      <c r="L530" s="124" t="n">
        <f aca="false">K530+J530</f>
        <v>6.445</v>
      </c>
      <c r="M530" s="126" t="n">
        <f aca="false">VLOOKUP(G530,NGPrices,4,FALSE())</f>
        <v>0.068314027999354</v>
      </c>
      <c r="N530" s="7" t="n">
        <f aca="false">VLOOKUP(G530,NGPrices,3,FALSE())</f>
        <v>0.6</v>
      </c>
      <c r="O530" s="7" t="n">
        <f aca="false">HLOOKUP(D530,VOLS,VLOOKUP(G530,move_down,2,FALSE()),FALSE())</f>
        <v>0.69</v>
      </c>
      <c r="P530" s="249" t="n">
        <f aca="false">HLOOKUP(D530,Correllate,VLOOKUP(G530,CorMove,2,FALSE()),FALSE())</f>
        <v>0.83</v>
      </c>
      <c r="Q530" s="92" t="n">
        <f aca="false">WORKDAY(G530,-2)</f>
        <v>36859</v>
      </c>
      <c r="R530" s="7" t="n">
        <f aca="false">IF(F530="P",0,1)</f>
        <v>1</v>
      </c>
      <c r="S530" s="130" t="e">
        <f aca="false">xSPRDOPT($L530,$J530,$I530,$M530,$O530,$N530,$P530,$Q530-$C$3,$R530,0)</f>
        <v>#NAME?</v>
      </c>
      <c r="T530" s="250" t="e">
        <f aca="false">xSPRDOPT($L530,$J530,$I530,$M530,$O530,$N530,$P530,$Q530-$C$3,$R530,1)*H530</f>
        <v>#NAME?</v>
      </c>
      <c r="U530" s="43" t="e">
        <f aca="false">S530*H530</f>
        <v>#NAME?</v>
      </c>
      <c r="V530" s="250" t="e">
        <f aca="false">xSPRDOPT($L530,$J530,$I530,$M530,$O530,$N530,$P530,$Q530-$C$3,$R530,2)*H530</f>
        <v>#NAME?</v>
      </c>
      <c r="W530" s="250" t="e">
        <f aca="false">+V530+T530</f>
        <v>#NAME?</v>
      </c>
      <c r="X530" s="2" t="str">
        <f aca="false">CONCATENATE(G530,D530)</f>
        <v>36861IF-TRANSCO/Z6</v>
      </c>
      <c r="Y530" s="251" t="n">
        <f aca="false">H530/10000</f>
        <v>15.5</v>
      </c>
      <c r="Z530" s="226" t="e">
        <f aca="false">T530/H530</f>
        <v>#NAME?</v>
      </c>
      <c r="AA530" s="226" t="e">
        <f aca="false">xSPRDOPT($L530,$J530,$I530,$M530,$O530,$N530,$P530,$Q530-$C$3,$R530,3)</f>
        <v>#NAME?</v>
      </c>
      <c r="AB530" s="226" t="e">
        <f aca="false">((xSPRDOPT($L530+AB$5,$J530,$I530,$M530,$O530,$N530,$P530,$Q530-$C$3,$R530,3)*$H530)/10000)/100</f>
        <v>#NAME?</v>
      </c>
      <c r="AC530" s="226" t="e">
        <f aca="false">((xSPRDOPT($L530+$AB$5,$J530,$I530,$M530,$O530,$N530,$P530,$Q530-$C$3,$R530,7)*$H530)/100)</f>
        <v>#NAME?</v>
      </c>
      <c r="AD530" s="226" t="e">
        <f aca="false">(xSPRDOPT($L530+$AB$5,$J530,$I530,$M530,$O530,$N530,$P530,$Q530-$C$3,$R530,9)/365)*$H530</f>
        <v>#NAME?</v>
      </c>
      <c r="AE530" s="0" t="e">
        <f aca="false">CD530</f>
        <v>#NAME?</v>
      </c>
      <c r="AF530" s="226" t="e">
        <f aca="false">((O530/N530)*AH530)+AG530</f>
        <v>#NAME?</v>
      </c>
      <c r="AG530" s="226" t="e">
        <f aca="false">((xSPRDOPT($L530,$J530,$I530,$M530,$O530,$N530,$P530,$Q530-$C$3,$R530,6)*$H530)/100)</f>
        <v>#NAME?</v>
      </c>
      <c r="AH530" s="226" t="e">
        <f aca="false">((xSPRDOPT($L530,$J530,$I530,$M530,$O530,$N530,$P530,$Q530-$C$3,$R530,5)*$H530)/100)</f>
        <v>#NAME?</v>
      </c>
      <c r="AI530" s="226" t="e">
        <f aca="false">(((xSPRDOPT($L530,$J530,$I530,$M530,$O530,$N530,$P530,$Q530-$C$3,$R530,4)*$H530)/10000)/100)-AB530</f>
        <v>#NAME?</v>
      </c>
      <c r="AJ530" s="226"/>
      <c r="AK530" s="226"/>
      <c r="AL530" s="226"/>
      <c r="AM530" s="252"/>
      <c r="CC530" s="182" t="n">
        <f aca="false">G530</f>
        <v>36861</v>
      </c>
      <c r="CD530" s="253" t="e">
        <f aca="false">xSPRDOPT((VLOOKUP(G530,NGPrices,2,FALSE())+HLOOKUP(D530,Prices,VLOOKUP(G530,move_down,2,FALSE()),FALSE())),VLOOKUP(G530,NGPrices,2,FALSE()),I530,VLOOKUP(G530,NGPREVPRICES,4,FALSE()),HLOOKUP(D530,PREVVOLS,VLOOKUP(G530,MOVE_DOWN2,2,FALSE()),FALSE()),VLOOKUP(G530,NGPREVPRICES,3,FALSE()),HLOOKUP(D530,Correllate,VLOOKUP(G530,CorMove,2,FALSE()),FALSE()),Q530-$CD$3,R530,$CD$5)*H530-CJ530</f>
        <v>#NAME?</v>
      </c>
      <c r="CE530" s="253" t="e">
        <f aca="false">xSPRDOPT((VLOOKUP(G530,NGPREVPRICES,2,FALSE())+HLOOKUP(D530,PREVCURVES,VLOOKUP(G530,MOVE_DOWN2,2,FALSE()),FALSE())),VLOOKUP(G530,NGPREVPRICES,2,FALSE()),CK530,VLOOKUP(G530,NGPrices,4,FALSE()),HLOOKUP(D530,PREVVOLS,VLOOKUP(G530,MOVE_DOWN2,2,FALSE()),FALSE()),VLOOKUP(G530,NGPREVPRICES,3,FALSE()),HLOOKUP(D530,Correllate,VLOOKUP(G530,CorMove,2,FALSE()),FALSE()),Q530-$CD$3,R530,$CJ$5)*H530-CJ530</f>
        <v>#NAME?</v>
      </c>
      <c r="CF530" s="132" t="e">
        <f aca="false">(CJ530/VLOOKUP(CC530,discount,3,FALSE()))-(CJ530/VLOOKUP(CC530,discount,2,FALSE()))</f>
        <v>#NAME?</v>
      </c>
      <c r="CG530" s="253" t="e">
        <f aca="false">xSPRDOPT((VLOOKUP(G530,NGPREVPRICES,2,FALSE())+HLOOKUP(D530,PREVCURVES,VLOOKUP(G530,MOVE_DOWN2,2,FALSE()),FALSE())),VLOOKUP(G530,NGPREVPRICES,2,FALSE()),CK530,VLOOKUP(G530,NGPREVPRICES,4,FALSE()),HLOOKUP(D530,VOLS,VLOOKUP(G530,move_down,2,FALSE()),FALSE()),VLOOKUP(G530,NGPrices,3,FALSE()),HLOOKUP(D530,Correllate,VLOOKUP(G530,CorMove,2,FALSE()),FALSE()),Q530-$CD$3,R530,$CJ$5)*H530-CJ530</f>
        <v>#NAME?</v>
      </c>
      <c r="CH530" s="253" t="e">
        <f aca="false">xSPRDOPT((VLOOKUP(G530,NGPREVPRICES,2,FALSE())+HLOOKUP(D530,PREVCURVES,VLOOKUP(G530,MOVE_DOWN2,2,FALSE()),FALSE())),VLOOKUP(G530,NGPREVPRICES,2,FALSE()),CK530,VLOOKUP(G530,NGPREVPRICES,4,FALSE()),HLOOKUP(D530,PREVVOLS,VLOOKUP(G530,MOVE_DOWN2,2,FALSE()),FALSE()),VLOOKUP(G530,NGPREVPRICES,3,FALSE()),HLOOKUP(D530,Correllate,VLOOKUP(G530,CorMove,2,FALSE()),FALSE()),Q530-$C$3,R530,$CJ$5)*H530-CJ530</f>
        <v>#NAME?</v>
      </c>
      <c r="CI530" s="253" t="e">
        <f aca="false">SUM(CD530:CH530)</f>
        <v>#NAME?</v>
      </c>
      <c r="CJ530" s="253" t="e">
        <f aca="false">xSPRDOPT((VLOOKUP(G530,NGPREVPRICES,2,FALSE())+HLOOKUP(D530,PREVCURVES,VLOOKUP(G530,MOVE_DOWN2,2,FALSE()),FALSE())),VLOOKUP(G530,NGPREVPRICES,2,FALSE()),CK530,VLOOKUP(G530,NGPREVPRICES,4,FALSE()),HLOOKUP(D530,PREVVOLS,VLOOKUP(G530,MOVE_DOWN2,2,FALSE()),FALSE()),VLOOKUP(G530,NGPREVPRICES,3,FALSE()),HLOOKUP(D530,Correllate,VLOOKUP(G530,CorMove,2,FALSE()),FALSE()),Q530-$CD$3,R530,$CJ$5)*H530</f>
        <v>#NAME?</v>
      </c>
      <c r="CK530" s="254" t="n">
        <f aca="false">I530</f>
        <v>1.3</v>
      </c>
      <c r="CM530" s="0" t="str">
        <f aca="false">CONCATENATE(CC530,$CD$6)</f>
        <v>36861Curve Shift/Gamma</v>
      </c>
      <c r="CN530" s="0" t="str">
        <f aca="false">CONCATENATE($CC530,$CE$6)</f>
        <v>36861Rho</v>
      </c>
      <c r="CO530" s="0" t="str">
        <f aca="false">CONCATENATE($CC530,$CF$6)</f>
        <v>36861Drift</v>
      </c>
      <c r="CP530" s="0" t="str">
        <f aca="false">CONCATENATE($CC530,$CG$6)</f>
        <v>36861Vega</v>
      </c>
      <c r="CQ530" s="0" t="str">
        <f aca="false">CONCATENATE($CC530,$CH$6)</f>
        <v>36861Theta</v>
      </c>
    </row>
    <row r="531" customFormat="false" ht="12.75" hidden="false" customHeight="false" outlineLevel="0" collapsed="false">
      <c r="A531" s="17" t="s">
        <v>206</v>
      </c>
      <c r="B531" s="0" t="s">
        <v>192</v>
      </c>
      <c r="C531" s="0" t="s">
        <v>377</v>
      </c>
      <c r="D531" s="7" t="s">
        <v>149</v>
      </c>
      <c r="E531" s="0" t="s">
        <v>131</v>
      </c>
      <c r="F531" s="0" t="s">
        <v>136</v>
      </c>
      <c r="G531" s="92" t="n">
        <v>36831</v>
      </c>
      <c r="H531" s="248" t="n">
        <v>150000</v>
      </c>
      <c r="I531" s="0" t="n">
        <v>1.3</v>
      </c>
      <c r="J531" s="124" t="n">
        <f aca="false">VLOOKUP(G531,NGPrices,2,FALSE())</f>
        <v>4.736</v>
      </c>
      <c r="K531" s="125" t="n">
        <f aca="false">HLOOKUP(D531,Prices,VLOOKUP(G531,move_down,2,FALSE()),FALSE())+VLOOKUP(G531,CHANGE,HLOOKUP(D531,CHANGE,2,FALSE()),FALSE())</f>
        <v>0.77</v>
      </c>
      <c r="L531" s="124" t="n">
        <f aca="false">K531+J531</f>
        <v>5.506</v>
      </c>
      <c r="M531" s="126" t="n">
        <f aca="false">VLOOKUP(G531,NGPrices,4,FALSE())</f>
        <v>0.06810675983792</v>
      </c>
      <c r="N531" s="7" t="n">
        <f aca="false">VLOOKUP(G531,NGPrices,3,FALSE())</f>
        <v>0.595</v>
      </c>
      <c r="O531" s="7" t="n">
        <f aca="false">HLOOKUP(D531,VOLS,VLOOKUP(G531,move_down,2,FALSE()),FALSE())</f>
        <v>0.625</v>
      </c>
      <c r="P531" s="249" t="n">
        <f aca="false">HLOOKUP(D531,Correllate,VLOOKUP(G531,CorMove,2,FALSE()),FALSE())</f>
        <v>0.89</v>
      </c>
      <c r="Q531" s="92" t="n">
        <f aca="false">WORKDAY(G531,-2)</f>
        <v>36829</v>
      </c>
      <c r="R531" s="7" t="n">
        <f aca="false">IF(F531="P",0,1)</f>
        <v>1</v>
      </c>
      <c r="S531" s="130" t="e">
        <f aca="false">xSPRDOPT($L531,$J531,$I531,$M531,$O531,$N531,$P531,$Q531-$C$3,$R531,0)</f>
        <v>#NAME?</v>
      </c>
      <c r="T531" s="250" t="e">
        <f aca="false">xSPRDOPT($L531,$J531,$I531,$M531,$O531,$N531,$P531,$Q531-$C$3,$R531,1)*H531</f>
        <v>#NAME?</v>
      </c>
      <c r="U531" s="43" t="e">
        <f aca="false">S531*H531</f>
        <v>#NAME?</v>
      </c>
      <c r="V531" s="250" t="e">
        <f aca="false">xSPRDOPT($L531,$J531,$I531,$M531,$O531,$N531,$P531,$Q531-$C$3,$R531,2)*H531</f>
        <v>#NAME?</v>
      </c>
      <c r="W531" s="250" t="e">
        <f aca="false">+V531+T531</f>
        <v>#NAME?</v>
      </c>
      <c r="X531" s="2" t="str">
        <f aca="false">CONCATENATE(G531,D531)</f>
        <v>36831IF-TRANSCO/Z6</v>
      </c>
      <c r="Y531" s="251" t="n">
        <f aca="false">H531/10000</f>
        <v>15</v>
      </c>
      <c r="Z531" s="226" t="e">
        <f aca="false">T531/H531</f>
        <v>#NAME?</v>
      </c>
      <c r="AA531" s="226" t="e">
        <f aca="false">xSPRDOPT($L531,$J531,$I531,$M531,$O531,$N531,$P531,$Q531-$C$3,$R531,3)</f>
        <v>#NAME?</v>
      </c>
      <c r="AB531" s="226" t="e">
        <f aca="false">((xSPRDOPT($L531+AB$5,$J531,$I531,$M531,$O531,$N531,$P531,$Q531-$C$3,$R531,3)*$H531)/10000)/100</f>
        <v>#NAME?</v>
      </c>
      <c r="AC531" s="226" t="e">
        <f aca="false">((xSPRDOPT($L531+$AB$5,$J531,$I531,$M531,$O531,$N531,$P531,$Q531-$C$3,$R531,7)*$H531)/100)</f>
        <v>#NAME?</v>
      </c>
      <c r="AD531" s="226" t="e">
        <f aca="false">(xSPRDOPT($L531+$AB$5,$J531,$I531,$M531,$O531,$N531,$P531,$Q531-$C$3,$R531,9)/365)*$H531</f>
        <v>#NAME?</v>
      </c>
      <c r="AE531" s="0" t="e">
        <f aca="false">CD531</f>
        <v>#NAME?</v>
      </c>
      <c r="AF531" s="226" t="e">
        <f aca="false">((O531/N531)*AH531)+AG531</f>
        <v>#NAME?</v>
      </c>
      <c r="AG531" s="226" t="e">
        <f aca="false">((xSPRDOPT($L531,$J531,$I531,$M531,$O531,$N531,$P531,$Q531-$C$3,$R531,6)*$H531)/100)</f>
        <v>#NAME?</v>
      </c>
      <c r="AH531" s="226" t="e">
        <f aca="false">((xSPRDOPT($L531,$J531,$I531,$M531,$O531,$N531,$P531,$Q531-$C$3,$R531,5)*$H531)/100)</f>
        <v>#NAME?</v>
      </c>
      <c r="AI531" s="226" t="e">
        <f aca="false">(((xSPRDOPT($L531,$J531,$I531,$M531,$O531,$N531,$P531,$Q531-$C$3,$R531,4)*$H531)/10000)/100)-AB531</f>
        <v>#NAME?</v>
      </c>
      <c r="AJ531" s="226"/>
      <c r="AK531" s="226"/>
      <c r="AL531" s="226"/>
      <c r="AM531" s="252"/>
      <c r="CC531" s="182" t="n">
        <f aca="false">G531</f>
        <v>36831</v>
      </c>
      <c r="CD531" s="253" t="e">
        <f aca="false">xSPRDOPT((VLOOKUP(G531,NGPrices,2,FALSE())+HLOOKUP(D531,Prices,VLOOKUP(G531,move_down,2,FALSE()),FALSE())),VLOOKUP(G531,NGPrices,2,FALSE()),I531,VLOOKUP(G531,NGPREVPRICES,4,FALSE()),HLOOKUP(D531,PREVVOLS,VLOOKUP(G531,MOVE_DOWN2,2,FALSE()),FALSE()),VLOOKUP(G531,NGPREVPRICES,3,FALSE()),HLOOKUP(D531,Correllate,VLOOKUP(G531,CorMove,2,FALSE()),FALSE()),Q531-$CD$3,R531,$CD$5)*H531-CJ531</f>
        <v>#NAME?</v>
      </c>
      <c r="CE531" s="253" t="e">
        <f aca="false">xSPRDOPT((VLOOKUP(G531,NGPREVPRICES,2,FALSE())+HLOOKUP(D531,PREVCURVES,VLOOKUP(G531,MOVE_DOWN2,2,FALSE()),FALSE())),VLOOKUP(G531,NGPREVPRICES,2,FALSE()),CK531,VLOOKUP(G531,NGPrices,4,FALSE()),HLOOKUP(D531,PREVVOLS,VLOOKUP(G531,MOVE_DOWN2,2,FALSE()),FALSE()),VLOOKUP(G531,NGPREVPRICES,3,FALSE()),HLOOKUP(D531,Correllate,VLOOKUP(G531,CorMove,2,FALSE()),FALSE()),Q531-$CD$3,R531,$CJ$5)*H531-CJ531</f>
        <v>#NAME?</v>
      </c>
      <c r="CF531" s="132" t="e">
        <f aca="false">(CJ531/VLOOKUP(CC531,discount,3,FALSE()))-(CJ531/VLOOKUP(CC531,discount,2,FALSE()))</f>
        <v>#NAME?</v>
      </c>
      <c r="CG531" s="253" t="e">
        <f aca="false">xSPRDOPT((VLOOKUP(G531,NGPREVPRICES,2,FALSE())+HLOOKUP(D531,PREVCURVES,VLOOKUP(G531,MOVE_DOWN2,2,FALSE()),FALSE())),VLOOKUP(G531,NGPREVPRICES,2,FALSE()),CK531,VLOOKUP(G531,NGPREVPRICES,4,FALSE()),HLOOKUP(D531,VOLS,VLOOKUP(G531,move_down,2,FALSE()),FALSE()),VLOOKUP(G531,NGPrices,3,FALSE()),HLOOKUP(D531,Correllate,VLOOKUP(G531,CorMove,2,FALSE()),FALSE()),Q531-$CD$3,R531,$CJ$5)*H531-CJ531</f>
        <v>#NAME?</v>
      </c>
      <c r="CH531" s="253" t="e">
        <f aca="false">xSPRDOPT((VLOOKUP(G531,NGPREVPRICES,2,FALSE())+HLOOKUP(D531,PREVCURVES,VLOOKUP(G531,MOVE_DOWN2,2,FALSE()),FALSE())),VLOOKUP(G531,NGPREVPRICES,2,FALSE()),CK531,VLOOKUP(G531,NGPREVPRICES,4,FALSE()),HLOOKUP(D531,PREVVOLS,VLOOKUP(G531,MOVE_DOWN2,2,FALSE()),FALSE()),VLOOKUP(G531,NGPREVPRICES,3,FALSE()),HLOOKUP(D531,Correllate,VLOOKUP(G531,CorMove,2,FALSE()),FALSE()),Q531-$C$3,R531,$CJ$5)*H531-CJ531</f>
        <v>#NAME?</v>
      </c>
      <c r="CI531" s="253" t="e">
        <f aca="false">SUM(CD531:CH531)</f>
        <v>#NAME?</v>
      </c>
      <c r="CJ531" s="253" t="e">
        <f aca="false">xSPRDOPT((VLOOKUP(G531,NGPREVPRICES,2,FALSE())+HLOOKUP(D531,PREVCURVES,VLOOKUP(G531,MOVE_DOWN2,2,FALSE()),FALSE())),VLOOKUP(G531,NGPREVPRICES,2,FALSE()),CK531,VLOOKUP(G531,NGPREVPRICES,4,FALSE()),HLOOKUP(D531,PREVVOLS,VLOOKUP(G531,MOVE_DOWN2,2,FALSE()),FALSE()),VLOOKUP(G531,NGPREVPRICES,3,FALSE()),HLOOKUP(D531,Correllate,VLOOKUP(G531,CorMove,2,FALSE()),FALSE()),Q531-$CD$3,R531,$CJ$5)*H531</f>
        <v>#NAME?</v>
      </c>
      <c r="CK531" s="254" t="n">
        <f aca="false">I531</f>
        <v>1.3</v>
      </c>
      <c r="CM531" s="0" t="str">
        <f aca="false">CONCATENATE(CC531,$CD$6)</f>
        <v>36831Curve Shift/Gamma</v>
      </c>
      <c r="CN531" s="0" t="str">
        <f aca="false">CONCATENATE($CC531,$CE$6)</f>
        <v>36831Rho</v>
      </c>
      <c r="CO531" s="0" t="str">
        <f aca="false">CONCATENATE($CC531,$CF$6)</f>
        <v>36831Drift</v>
      </c>
      <c r="CP531" s="0" t="str">
        <f aca="false">CONCATENATE($CC531,$CG$6)</f>
        <v>36831Vega</v>
      </c>
      <c r="CQ531" s="0" t="str">
        <f aca="false">CONCATENATE($CC531,$CH$6)</f>
        <v>36831Theta</v>
      </c>
    </row>
    <row r="532" customFormat="false" ht="12.75" hidden="false" customHeight="false" outlineLevel="0" collapsed="false">
      <c r="A532" s="17" t="s">
        <v>206</v>
      </c>
      <c r="B532" s="0" t="s">
        <v>192</v>
      </c>
      <c r="C532" s="0" t="s">
        <v>378</v>
      </c>
      <c r="D532" s="7" t="s">
        <v>149</v>
      </c>
      <c r="E532" s="0" t="s">
        <v>131</v>
      </c>
      <c r="F532" s="0" t="s">
        <v>132</v>
      </c>
      <c r="G532" s="92" t="n">
        <v>36951</v>
      </c>
      <c r="H532" s="248" t="n">
        <v>155000</v>
      </c>
      <c r="I532" s="0" t="n">
        <v>1.3</v>
      </c>
      <c r="J532" s="124" t="n">
        <f aca="false">VLOOKUP(G532,NGPrices,2,FALSE())</f>
        <v>4.213</v>
      </c>
      <c r="K532" s="125" t="n">
        <f aca="false">HLOOKUP(D532,Prices,VLOOKUP(G532,move_down,2,FALSE()),FALSE())+VLOOKUP(G532,CHANGE,HLOOKUP(D532,CHANGE,2,FALSE()),FALSE())</f>
        <v>1.075</v>
      </c>
      <c r="L532" s="124" t="n">
        <f aca="false">K532+J532</f>
        <v>5.288</v>
      </c>
      <c r="M532" s="126" t="n">
        <f aca="false">VLOOKUP(G532,NGPrices,4,FALSE())</f>
        <v>0.068879814952707</v>
      </c>
      <c r="N532" s="7" t="n">
        <f aca="false">VLOOKUP(G532,NGPrices,3,FALSE())</f>
        <v>0.5325</v>
      </c>
      <c r="O532" s="7" t="n">
        <f aca="false">HLOOKUP(D532,VOLS,VLOOKUP(G532,move_down,2,FALSE()),FALSE())</f>
        <v>0.612</v>
      </c>
      <c r="P532" s="249" t="n">
        <f aca="false">HLOOKUP(D532,Correllate,VLOOKUP(G532,CorMove,2,FALSE()),FALSE())</f>
        <v>0.83</v>
      </c>
      <c r="Q532" s="92" t="n">
        <f aca="false">WORKDAY(G532,-2)</f>
        <v>36949</v>
      </c>
      <c r="R532" s="7" t="n">
        <f aca="false">IF(F532="P",0,1)</f>
        <v>0</v>
      </c>
      <c r="S532" s="130" t="e">
        <f aca="false">xSPRDOPT($L532,$J532,$I532,$M532,$O532,$N532,$P532,$Q532-$C$3,$R532,0)</f>
        <v>#NAME?</v>
      </c>
      <c r="T532" s="250" t="e">
        <f aca="false">xSPRDOPT($L532,$J532,$I532,$M532,$O532,$N532,$P532,$Q532-$C$3,$R532,1)*H532</f>
        <v>#NAME?</v>
      </c>
      <c r="U532" s="43" t="e">
        <f aca="false">S532*H532</f>
        <v>#NAME?</v>
      </c>
      <c r="V532" s="250" t="e">
        <f aca="false">xSPRDOPT($L532,$J532,$I532,$M532,$O532,$N532,$P532,$Q532-$C$3,$R532,2)*H532</f>
        <v>#NAME?</v>
      </c>
      <c r="W532" s="250" t="e">
        <f aca="false">+V532+T532</f>
        <v>#NAME?</v>
      </c>
      <c r="X532" s="2" t="str">
        <f aca="false">CONCATENATE(G532,D532)</f>
        <v>36951IF-TRANSCO/Z6</v>
      </c>
      <c r="Y532" s="251" t="n">
        <f aca="false">H532/10000</f>
        <v>15.5</v>
      </c>
      <c r="Z532" s="226" t="e">
        <f aca="false">T532/H532</f>
        <v>#NAME?</v>
      </c>
      <c r="AA532" s="226" t="e">
        <f aca="false">xSPRDOPT($L532,$J532,$I532,$M532,$O532,$N532,$P532,$Q532-$C$3,$R532,3)</f>
        <v>#NAME?</v>
      </c>
      <c r="AB532" s="226" t="e">
        <f aca="false">((xSPRDOPT($L532+AB$5,$J532,$I532,$M532,$O532,$N532,$P532,$Q532-$C$3,$R532,3)*$H532)/10000)/100</f>
        <v>#NAME?</v>
      </c>
      <c r="AC532" s="226" t="e">
        <f aca="false">((xSPRDOPT($L532+$AB$5,$J532,$I532,$M532,$O532,$N532,$P532,$Q532-$C$3,$R532,7)*$H532)/100)</f>
        <v>#NAME?</v>
      </c>
      <c r="AD532" s="226" t="e">
        <f aca="false">(xSPRDOPT($L532+$AB$5,$J532,$I532,$M532,$O532,$N532,$P532,$Q532-$C$3,$R532,9)/365)*$H532</f>
        <v>#NAME?</v>
      </c>
      <c r="AE532" s="0" t="e">
        <f aca="false">CD532</f>
        <v>#NAME?</v>
      </c>
      <c r="AF532" s="226" t="e">
        <f aca="false">((O532/N532)*AH532)+AG532</f>
        <v>#NAME?</v>
      </c>
      <c r="AG532" s="226" t="e">
        <f aca="false">((xSPRDOPT($L532,$J532,$I532,$M532,$O532,$N532,$P532,$Q532-$C$3,$R532,6)*$H532)/100)</f>
        <v>#NAME?</v>
      </c>
      <c r="AH532" s="226" t="e">
        <f aca="false">((xSPRDOPT($L532,$J532,$I532,$M532,$O532,$N532,$P532,$Q532-$C$3,$R532,5)*$H532)/100)</f>
        <v>#NAME?</v>
      </c>
      <c r="AI532" s="226" t="e">
        <f aca="false">(((xSPRDOPT($L532,$J532,$I532,$M532,$O532,$N532,$P532,$Q532-$C$3,$R532,4)*$H532)/10000)/100)-AB532</f>
        <v>#NAME?</v>
      </c>
      <c r="AJ532" s="226"/>
      <c r="AK532" s="226"/>
      <c r="AL532" s="226"/>
      <c r="AM532" s="252"/>
      <c r="CC532" s="182" t="n">
        <f aca="false">G532</f>
        <v>36951</v>
      </c>
      <c r="CD532" s="253" t="e">
        <f aca="false">xSPRDOPT((VLOOKUP(G532,NGPrices,2,FALSE())+HLOOKUP(D532,Prices,VLOOKUP(G532,move_down,2,FALSE()),FALSE())),VLOOKUP(G532,NGPrices,2,FALSE()),I532,VLOOKUP(G532,NGPREVPRICES,4,FALSE()),HLOOKUP(D532,PREVVOLS,VLOOKUP(G532,MOVE_DOWN2,2,FALSE()),FALSE()),VLOOKUP(G532,NGPREVPRICES,3,FALSE()),HLOOKUP(D532,Correllate,VLOOKUP(G532,CorMove,2,FALSE()),FALSE()),Q532-$CD$3,R532,$CD$5)*H532-CJ532</f>
        <v>#NAME?</v>
      </c>
      <c r="CE532" s="253" t="e">
        <f aca="false">xSPRDOPT((VLOOKUP(G532,NGPREVPRICES,2,FALSE())+HLOOKUP(D532,PREVCURVES,VLOOKUP(G532,MOVE_DOWN2,2,FALSE()),FALSE())),VLOOKUP(G532,NGPREVPRICES,2,FALSE()),CK532,VLOOKUP(G532,NGPrices,4,FALSE()),HLOOKUP(D532,PREVVOLS,VLOOKUP(G532,MOVE_DOWN2,2,FALSE()),FALSE()),VLOOKUP(G532,NGPREVPRICES,3,FALSE()),HLOOKUP(D532,Correllate,VLOOKUP(G532,CorMove,2,FALSE()),FALSE()),Q532-$CD$3,R532,$CJ$5)*H532-CJ532</f>
        <v>#NAME?</v>
      </c>
      <c r="CF532" s="132" t="e">
        <f aca="false">(CJ532/VLOOKUP(CC532,discount,3,FALSE()))-(CJ532/VLOOKUP(CC532,discount,2,FALSE()))</f>
        <v>#NAME?</v>
      </c>
      <c r="CG532" s="253" t="e">
        <f aca="false">xSPRDOPT((VLOOKUP(G532,NGPREVPRICES,2,FALSE())+HLOOKUP(D532,PREVCURVES,VLOOKUP(G532,MOVE_DOWN2,2,FALSE()),FALSE())),VLOOKUP(G532,NGPREVPRICES,2,FALSE()),CK532,VLOOKUP(G532,NGPREVPRICES,4,FALSE()),HLOOKUP(D532,VOLS,VLOOKUP(G532,move_down,2,FALSE()),FALSE()),VLOOKUP(G532,NGPrices,3,FALSE()),HLOOKUP(D532,Correllate,VLOOKUP(G532,CorMove,2,FALSE()),FALSE()),Q532-$CD$3,R532,$CJ$5)*H532-CJ532</f>
        <v>#NAME?</v>
      </c>
      <c r="CH532" s="253" t="e">
        <f aca="false">xSPRDOPT((VLOOKUP(G532,NGPREVPRICES,2,FALSE())+HLOOKUP(D532,PREVCURVES,VLOOKUP(G532,MOVE_DOWN2,2,FALSE()),FALSE())),VLOOKUP(G532,NGPREVPRICES,2,FALSE()),CK532,VLOOKUP(G532,NGPREVPRICES,4,FALSE()),HLOOKUP(D532,PREVVOLS,VLOOKUP(G532,MOVE_DOWN2,2,FALSE()),FALSE()),VLOOKUP(G532,NGPREVPRICES,3,FALSE()),HLOOKUP(D532,Correllate,VLOOKUP(G532,CorMove,2,FALSE()),FALSE()),Q532-$C$3,R532,$CJ$5)*H532-CJ532</f>
        <v>#NAME?</v>
      </c>
      <c r="CI532" s="253" t="e">
        <f aca="false">SUM(CD532:CH532)</f>
        <v>#NAME?</v>
      </c>
      <c r="CJ532" s="253" t="e">
        <f aca="false">xSPRDOPT((VLOOKUP(G532,NGPREVPRICES,2,FALSE())+HLOOKUP(D532,PREVCURVES,VLOOKUP(G532,MOVE_DOWN2,2,FALSE()),FALSE())),VLOOKUP(G532,NGPREVPRICES,2,FALSE()),CK532,VLOOKUP(G532,NGPREVPRICES,4,FALSE()),HLOOKUP(D532,PREVVOLS,VLOOKUP(G532,MOVE_DOWN2,2,FALSE()),FALSE()),VLOOKUP(G532,NGPREVPRICES,3,FALSE()),HLOOKUP(D532,Correllate,VLOOKUP(G532,CorMove,2,FALSE()),FALSE()),Q532-$CD$3,R532,$CJ$5)*H532</f>
        <v>#NAME?</v>
      </c>
      <c r="CK532" s="254" t="n">
        <f aca="false">I532</f>
        <v>1.3</v>
      </c>
      <c r="CM532" s="0" t="str">
        <f aca="false">CONCATENATE(CC532,$CD$6)</f>
        <v>36951Curve Shift/Gamma</v>
      </c>
      <c r="CN532" s="0" t="str">
        <f aca="false">CONCATENATE($CC532,$CE$6)</f>
        <v>36951Rho</v>
      </c>
      <c r="CO532" s="0" t="str">
        <f aca="false">CONCATENATE($CC532,$CF$6)</f>
        <v>36951Drift</v>
      </c>
      <c r="CP532" s="0" t="str">
        <f aca="false">CONCATENATE($CC532,$CG$6)</f>
        <v>36951Vega</v>
      </c>
      <c r="CQ532" s="0" t="str">
        <f aca="false">CONCATENATE($CC532,$CH$6)</f>
        <v>36951Theta</v>
      </c>
    </row>
    <row r="533" customFormat="false" ht="12.75" hidden="false" customHeight="false" outlineLevel="0" collapsed="false">
      <c r="A533" s="17" t="s">
        <v>206</v>
      </c>
      <c r="B533" s="0" t="s">
        <v>192</v>
      </c>
      <c r="C533" s="0" t="s">
        <v>378</v>
      </c>
      <c r="D533" s="7" t="s">
        <v>149</v>
      </c>
      <c r="E533" s="0" t="s">
        <v>131</v>
      </c>
      <c r="F533" s="0" t="s">
        <v>132</v>
      </c>
      <c r="G533" s="92" t="n">
        <v>36923</v>
      </c>
      <c r="H533" s="248" t="n">
        <v>140000</v>
      </c>
      <c r="I533" s="0" t="n">
        <v>1.3</v>
      </c>
      <c r="J533" s="124" t="n">
        <f aca="false">VLOOKUP(G533,NGPrices,2,FALSE())</f>
        <v>4.48</v>
      </c>
      <c r="K533" s="125" t="n">
        <f aca="false">HLOOKUP(D533,Prices,VLOOKUP(G533,move_down,2,FALSE()),FALSE())+VLOOKUP(G533,CHANGE,HLOOKUP(D533,CHANGE,2,FALSE()),FALSE())</f>
        <v>2.09</v>
      </c>
      <c r="L533" s="124" t="n">
        <f aca="false">K533+J533</f>
        <v>6.57</v>
      </c>
      <c r="M533" s="126" t="n">
        <f aca="false">VLOOKUP(G533,NGPrices,4,FALSE())</f>
        <v>0.068640161611372</v>
      </c>
      <c r="N533" s="7" t="n">
        <f aca="false">VLOOKUP(G533,NGPrices,3,FALSE())</f>
        <v>0.5925</v>
      </c>
      <c r="O533" s="7" t="n">
        <f aca="false">HLOOKUP(D533,VOLS,VLOOKUP(G533,move_down,2,FALSE()),FALSE())</f>
        <v>0.681</v>
      </c>
      <c r="P533" s="249" t="n">
        <f aca="false">HLOOKUP(D533,Correllate,VLOOKUP(G533,CorMove,2,FALSE()),FALSE())</f>
        <v>0.83</v>
      </c>
      <c r="Q533" s="92" t="n">
        <f aca="false">WORKDAY(G533,-2)</f>
        <v>36921</v>
      </c>
      <c r="R533" s="7" t="n">
        <f aca="false">IF(F533="P",0,1)</f>
        <v>0</v>
      </c>
      <c r="S533" s="130" t="e">
        <f aca="false">xSPRDOPT($L533,$J533,$I533,$M533,$O533,$N533,$P533,$Q533-$C$3,$R533,0)</f>
        <v>#NAME?</v>
      </c>
      <c r="T533" s="250" t="e">
        <f aca="false">xSPRDOPT($L533,$J533,$I533,$M533,$O533,$N533,$P533,$Q533-$C$3,$R533,1)*H533</f>
        <v>#NAME?</v>
      </c>
      <c r="U533" s="43" t="e">
        <f aca="false">S533*H533</f>
        <v>#NAME?</v>
      </c>
      <c r="V533" s="250" t="e">
        <f aca="false">xSPRDOPT($L533,$J533,$I533,$M533,$O533,$N533,$P533,$Q533-$C$3,$R533,2)*H533</f>
        <v>#NAME?</v>
      </c>
      <c r="W533" s="250" t="e">
        <f aca="false">+V533+T533</f>
        <v>#NAME?</v>
      </c>
      <c r="X533" s="2" t="str">
        <f aca="false">CONCATENATE(G533,D533)</f>
        <v>36923IF-TRANSCO/Z6</v>
      </c>
      <c r="Y533" s="251" t="n">
        <f aca="false">H533/10000</f>
        <v>14</v>
      </c>
      <c r="Z533" s="226" t="e">
        <f aca="false">T533/H533</f>
        <v>#NAME?</v>
      </c>
      <c r="AA533" s="226" t="e">
        <f aca="false">xSPRDOPT($L533,$J533,$I533,$M533,$O533,$N533,$P533,$Q533-$C$3,$R533,3)</f>
        <v>#NAME?</v>
      </c>
      <c r="AB533" s="226" t="e">
        <f aca="false">((xSPRDOPT($L533+AB$5,$J533,$I533,$M533,$O533,$N533,$P533,$Q533-$C$3,$R533,3)*$H533)/10000)/100</f>
        <v>#NAME?</v>
      </c>
      <c r="AC533" s="226" t="e">
        <f aca="false">((xSPRDOPT($L533+$AB$5,$J533,$I533,$M533,$O533,$N533,$P533,$Q533-$C$3,$R533,7)*$H533)/100)</f>
        <v>#NAME?</v>
      </c>
      <c r="AD533" s="226" t="e">
        <f aca="false">(xSPRDOPT($L533+$AB$5,$J533,$I533,$M533,$O533,$N533,$P533,$Q533-$C$3,$R533,9)/365)*$H533</f>
        <v>#NAME?</v>
      </c>
      <c r="AE533" s="0" t="e">
        <f aca="false">CD533</f>
        <v>#NAME?</v>
      </c>
      <c r="AF533" s="226" t="e">
        <f aca="false">((O533/N533)*AH533)+AG533</f>
        <v>#NAME?</v>
      </c>
      <c r="AG533" s="226" t="e">
        <f aca="false">((xSPRDOPT($L533,$J533,$I533,$M533,$O533,$N533,$P533,$Q533-$C$3,$R533,6)*$H533)/100)</f>
        <v>#NAME?</v>
      </c>
      <c r="AH533" s="226" t="e">
        <f aca="false">((xSPRDOPT($L533,$J533,$I533,$M533,$O533,$N533,$P533,$Q533-$C$3,$R533,5)*$H533)/100)</f>
        <v>#NAME?</v>
      </c>
      <c r="AI533" s="226" t="e">
        <f aca="false">(((xSPRDOPT($L533,$J533,$I533,$M533,$O533,$N533,$P533,$Q533-$C$3,$R533,4)*$H533)/10000)/100)-AB533</f>
        <v>#NAME?</v>
      </c>
      <c r="AJ533" s="226"/>
      <c r="AK533" s="226"/>
      <c r="AL533" s="226"/>
      <c r="AM533" s="252"/>
      <c r="CC533" s="182" t="n">
        <f aca="false">G533</f>
        <v>36923</v>
      </c>
      <c r="CD533" s="253" t="e">
        <f aca="false">xSPRDOPT((VLOOKUP(G533,NGPrices,2,FALSE())+HLOOKUP(D533,Prices,VLOOKUP(G533,move_down,2,FALSE()),FALSE())),VLOOKUP(G533,NGPrices,2,FALSE()),I533,VLOOKUP(G533,NGPREVPRICES,4,FALSE()),HLOOKUP(D533,PREVVOLS,VLOOKUP(G533,MOVE_DOWN2,2,FALSE()),FALSE()),VLOOKUP(G533,NGPREVPRICES,3,FALSE()),HLOOKUP(D533,Correllate,VLOOKUP(G533,CorMove,2,FALSE()),FALSE()),Q533-$CD$3,R533,$CD$5)*H533-CJ533</f>
        <v>#NAME?</v>
      </c>
      <c r="CE533" s="253" t="e">
        <f aca="false">xSPRDOPT((VLOOKUP(G533,NGPREVPRICES,2,FALSE())+HLOOKUP(D533,PREVCURVES,VLOOKUP(G533,MOVE_DOWN2,2,FALSE()),FALSE())),VLOOKUP(G533,NGPREVPRICES,2,FALSE()),CK533,VLOOKUP(G533,NGPrices,4,FALSE()),HLOOKUP(D533,PREVVOLS,VLOOKUP(G533,MOVE_DOWN2,2,FALSE()),FALSE()),VLOOKUP(G533,NGPREVPRICES,3,FALSE()),HLOOKUP(D533,Correllate,VLOOKUP(G533,CorMove,2,FALSE()),FALSE()),Q533-$CD$3,R533,$CJ$5)*H533-CJ533</f>
        <v>#NAME?</v>
      </c>
      <c r="CF533" s="132" t="e">
        <f aca="false">(CJ533/VLOOKUP(CC533,discount,3,FALSE()))-(CJ533/VLOOKUP(CC533,discount,2,FALSE()))</f>
        <v>#NAME?</v>
      </c>
      <c r="CG533" s="253" t="e">
        <f aca="false">xSPRDOPT((VLOOKUP(G533,NGPREVPRICES,2,FALSE())+HLOOKUP(D533,PREVCURVES,VLOOKUP(G533,MOVE_DOWN2,2,FALSE()),FALSE())),VLOOKUP(G533,NGPREVPRICES,2,FALSE()),CK533,VLOOKUP(G533,NGPREVPRICES,4,FALSE()),HLOOKUP(D533,VOLS,VLOOKUP(G533,move_down,2,FALSE()),FALSE()),VLOOKUP(G533,NGPrices,3,FALSE()),HLOOKUP(D533,Correllate,VLOOKUP(G533,CorMove,2,FALSE()),FALSE()),Q533-$CD$3,R533,$CJ$5)*H533-CJ533</f>
        <v>#NAME?</v>
      </c>
      <c r="CH533" s="253" t="e">
        <f aca="false">xSPRDOPT((VLOOKUP(G533,NGPREVPRICES,2,FALSE())+HLOOKUP(D533,PREVCURVES,VLOOKUP(G533,MOVE_DOWN2,2,FALSE()),FALSE())),VLOOKUP(G533,NGPREVPRICES,2,FALSE()),CK533,VLOOKUP(G533,NGPREVPRICES,4,FALSE()),HLOOKUP(D533,PREVVOLS,VLOOKUP(G533,MOVE_DOWN2,2,FALSE()),FALSE()),VLOOKUP(G533,NGPREVPRICES,3,FALSE()),HLOOKUP(D533,Correllate,VLOOKUP(G533,CorMove,2,FALSE()),FALSE()),Q533-$C$3,R533,$CJ$5)*H533-CJ533</f>
        <v>#NAME?</v>
      </c>
      <c r="CI533" s="253" t="e">
        <f aca="false">SUM(CD533:CH533)</f>
        <v>#NAME?</v>
      </c>
      <c r="CJ533" s="253" t="e">
        <f aca="false">xSPRDOPT((VLOOKUP(G533,NGPREVPRICES,2,FALSE())+HLOOKUP(D533,PREVCURVES,VLOOKUP(G533,MOVE_DOWN2,2,FALSE()),FALSE())),VLOOKUP(G533,NGPREVPRICES,2,FALSE()),CK533,VLOOKUP(G533,NGPREVPRICES,4,FALSE()),HLOOKUP(D533,PREVVOLS,VLOOKUP(G533,MOVE_DOWN2,2,FALSE()),FALSE()),VLOOKUP(G533,NGPREVPRICES,3,FALSE()),HLOOKUP(D533,Correllate,VLOOKUP(G533,CorMove,2,FALSE()),FALSE()),Q533-$CD$3,R533,$CJ$5)*H533</f>
        <v>#NAME?</v>
      </c>
      <c r="CK533" s="254" t="n">
        <f aca="false">I533</f>
        <v>1.3</v>
      </c>
      <c r="CM533" s="0" t="str">
        <f aca="false">CONCATENATE(CC533,$CD$6)</f>
        <v>36923Curve Shift/Gamma</v>
      </c>
      <c r="CN533" s="0" t="str">
        <f aca="false">CONCATENATE($CC533,$CE$6)</f>
        <v>36923Rho</v>
      </c>
      <c r="CO533" s="0" t="str">
        <f aca="false">CONCATENATE($CC533,$CF$6)</f>
        <v>36923Drift</v>
      </c>
      <c r="CP533" s="0" t="str">
        <f aca="false">CONCATENATE($CC533,$CG$6)</f>
        <v>36923Vega</v>
      </c>
      <c r="CQ533" s="0" t="str">
        <f aca="false">CONCATENATE($CC533,$CH$6)</f>
        <v>36923Theta</v>
      </c>
    </row>
    <row r="534" customFormat="false" ht="12.75" hidden="false" customHeight="false" outlineLevel="0" collapsed="false">
      <c r="A534" s="17" t="s">
        <v>206</v>
      </c>
      <c r="B534" s="0" t="s">
        <v>192</v>
      </c>
      <c r="C534" s="0" t="s">
        <v>378</v>
      </c>
      <c r="D534" s="7" t="s">
        <v>149</v>
      </c>
      <c r="E534" s="0" t="s">
        <v>131</v>
      </c>
      <c r="F534" s="0" t="s">
        <v>132</v>
      </c>
      <c r="G534" s="92" t="n">
        <v>36892</v>
      </c>
      <c r="H534" s="248" t="n">
        <v>155000</v>
      </c>
      <c r="I534" s="0" t="n">
        <v>1.3</v>
      </c>
      <c r="J534" s="124" t="n">
        <f aca="false">VLOOKUP(G534,NGPrices,2,FALSE())</f>
        <v>4.744</v>
      </c>
      <c r="K534" s="125" t="n">
        <f aca="false">HLOOKUP(D534,Prices,VLOOKUP(G534,move_down,2,FALSE()),FALSE())+VLOOKUP(G534,CHANGE,HLOOKUP(D534,CHANGE,2,FALSE()),FALSE())</f>
        <v>2.17</v>
      </c>
      <c r="L534" s="124" t="n">
        <f aca="false">K534+J534</f>
        <v>6.914</v>
      </c>
      <c r="M534" s="126" t="n">
        <f aca="false">VLOOKUP(G534,NGPrices,4,FALSE())</f>
        <v>0.068374831148491</v>
      </c>
      <c r="N534" s="7" t="n">
        <f aca="false">VLOOKUP(G534,NGPrices,3,FALSE())</f>
        <v>0.605</v>
      </c>
      <c r="O534" s="7" t="n">
        <f aca="false">HLOOKUP(D534,VOLS,VLOOKUP(G534,move_down,2,FALSE()),FALSE())</f>
        <v>0.696</v>
      </c>
      <c r="P534" s="249" t="n">
        <f aca="false">HLOOKUP(D534,Correllate,VLOOKUP(G534,CorMove,2,FALSE()),FALSE())</f>
        <v>0.83</v>
      </c>
      <c r="Q534" s="92" t="n">
        <f aca="false">WORKDAY(G534,-2)</f>
        <v>36888</v>
      </c>
      <c r="R534" s="7" t="n">
        <f aca="false">IF(F534="P",0,1)</f>
        <v>0</v>
      </c>
      <c r="S534" s="130" t="e">
        <f aca="false">xSPRDOPT($L534,$J534,$I534,$M534,$O534,$N534,$P534,$Q534-$C$3,$R534,0)</f>
        <v>#NAME?</v>
      </c>
      <c r="T534" s="250" t="e">
        <f aca="false">xSPRDOPT($L534,$J534,$I534,$M534,$O534,$N534,$P534,$Q534-$C$3,$R534,1)*H534</f>
        <v>#NAME?</v>
      </c>
      <c r="U534" s="43" t="e">
        <f aca="false">S534*H534</f>
        <v>#NAME?</v>
      </c>
      <c r="V534" s="250" t="e">
        <f aca="false">xSPRDOPT($L534,$J534,$I534,$M534,$O534,$N534,$P534,$Q534-$C$3,$R534,2)*H534</f>
        <v>#NAME?</v>
      </c>
      <c r="W534" s="250" t="e">
        <f aca="false">+V534+T534</f>
        <v>#NAME?</v>
      </c>
      <c r="X534" s="2" t="str">
        <f aca="false">CONCATENATE(G534,D534)</f>
        <v>36892IF-TRANSCO/Z6</v>
      </c>
      <c r="Y534" s="251" t="n">
        <f aca="false">H534/10000</f>
        <v>15.5</v>
      </c>
      <c r="Z534" s="226" t="e">
        <f aca="false">T534/H534</f>
        <v>#NAME?</v>
      </c>
      <c r="AA534" s="226" t="e">
        <f aca="false">xSPRDOPT($L534,$J534,$I534,$M534,$O534,$N534,$P534,$Q534-$C$3,$R534,3)</f>
        <v>#NAME?</v>
      </c>
      <c r="AB534" s="226" t="e">
        <f aca="false">((xSPRDOPT($L534+AB$5,$J534,$I534,$M534,$O534,$N534,$P534,$Q534-$C$3,$R534,3)*$H534)/10000)/100</f>
        <v>#NAME?</v>
      </c>
      <c r="AC534" s="226" t="e">
        <f aca="false">((xSPRDOPT($L534+$AB$5,$J534,$I534,$M534,$O534,$N534,$P534,$Q534-$C$3,$R534,7)*$H534)/100)</f>
        <v>#NAME?</v>
      </c>
      <c r="AD534" s="226" t="e">
        <f aca="false">(xSPRDOPT($L534+$AB$5,$J534,$I534,$M534,$O534,$N534,$P534,$Q534-$C$3,$R534,9)/365)*$H534</f>
        <v>#NAME?</v>
      </c>
      <c r="AE534" s="0" t="e">
        <f aca="false">CD534</f>
        <v>#NAME?</v>
      </c>
      <c r="AF534" s="226" t="e">
        <f aca="false">((O534/N534)*AH534)+AG534</f>
        <v>#NAME?</v>
      </c>
      <c r="AG534" s="226" t="e">
        <f aca="false">((xSPRDOPT($L534,$J534,$I534,$M534,$O534,$N534,$P534,$Q534-$C$3,$R534,6)*$H534)/100)</f>
        <v>#NAME?</v>
      </c>
      <c r="AH534" s="226" t="e">
        <f aca="false">((xSPRDOPT($L534,$J534,$I534,$M534,$O534,$N534,$P534,$Q534-$C$3,$R534,5)*$H534)/100)</f>
        <v>#NAME?</v>
      </c>
      <c r="AI534" s="226" t="e">
        <f aca="false">(((xSPRDOPT($L534,$J534,$I534,$M534,$O534,$N534,$P534,$Q534-$C$3,$R534,4)*$H534)/10000)/100)-AB534</f>
        <v>#NAME?</v>
      </c>
      <c r="AJ534" s="226"/>
      <c r="AK534" s="226"/>
      <c r="AL534" s="226"/>
      <c r="AM534" s="252"/>
      <c r="CC534" s="182" t="n">
        <f aca="false">G534</f>
        <v>36892</v>
      </c>
      <c r="CD534" s="253" t="e">
        <f aca="false">xSPRDOPT((VLOOKUP(G534,NGPrices,2,FALSE())+HLOOKUP(D534,Prices,VLOOKUP(G534,move_down,2,FALSE()),FALSE())),VLOOKUP(G534,NGPrices,2,FALSE()),I534,VLOOKUP(G534,NGPREVPRICES,4,FALSE()),HLOOKUP(D534,PREVVOLS,VLOOKUP(G534,MOVE_DOWN2,2,FALSE()),FALSE()),VLOOKUP(G534,NGPREVPRICES,3,FALSE()),HLOOKUP(D534,Correllate,VLOOKUP(G534,CorMove,2,FALSE()),FALSE()),Q534-$CD$3,R534,$CD$5)*H534-CJ534</f>
        <v>#NAME?</v>
      </c>
      <c r="CE534" s="253" t="e">
        <f aca="false">xSPRDOPT((VLOOKUP(G534,NGPREVPRICES,2,FALSE())+HLOOKUP(D534,PREVCURVES,VLOOKUP(G534,MOVE_DOWN2,2,FALSE()),FALSE())),VLOOKUP(G534,NGPREVPRICES,2,FALSE()),CK534,VLOOKUP(G534,NGPrices,4,FALSE()),HLOOKUP(D534,PREVVOLS,VLOOKUP(G534,MOVE_DOWN2,2,FALSE()),FALSE()),VLOOKUP(G534,NGPREVPRICES,3,FALSE()),HLOOKUP(D534,Correllate,VLOOKUP(G534,CorMove,2,FALSE()),FALSE()),Q534-$CD$3,R534,$CJ$5)*H534-CJ534</f>
        <v>#NAME?</v>
      </c>
      <c r="CF534" s="132" t="e">
        <f aca="false">(CJ534/VLOOKUP(CC534,discount,3,FALSE()))-(CJ534/VLOOKUP(CC534,discount,2,FALSE()))</f>
        <v>#NAME?</v>
      </c>
      <c r="CG534" s="253" t="e">
        <f aca="false">xSPRDOPT((VLOOKUP(G534,NGPREVPRICES,2,FALSE())+HLOOKUP(D534,PREVCURVES,VLOOKUP(G534,MOVE_DOWN2,2,FALSE()),FALSE())),VLOOKUP(G534,NGPREVPRICES,2,FALSE()),CK534,VLOOKUP(G534,NGPREVPRICES,4,FALSE()),HLOOKUP(D534,VOLS,VLOOKUP(G534,move_down,2,FALSE()),FALSE()),VLOOKUP(G534,NGPrices,3,FALSE()),HLOOKUP(D534,Correllate,VLOOKUP(G534,CorMove,2,FALSE()),FALSE()),Q534-$CD$3,R534,$CJ$5)*H534-CJ534</f>
        <v>#NAME?</v>
      </c>
      <c r="CH534" s="253" t="e">
        <f aca="false">xSPRDOPT((VLOOKUP(G534,NGPREVPRICES,2,FALSE())+HLOOKUP(D534,PREVCURVES,VLOOKUP(G534,MOVE_DOWN2,2,FALSE()),FALSE())),VLOOKUP(G534,NGPREVPRICES,2,FALSE()),CK534,VLOOKUP(G534,NGPREVPRICES,4,FALSE()),HLOOKUP(D534,PREVVOLS,VLOOKUP(G534,MOVE_DOWN2,2,FALSE()),FALSE()),VLOOKUP(G534,NGPREVPRICES,3,FALSE()),HLOOKUP(D534,Correllate,VLOOKUP(G534,CorMove,2,FALSE()),FALSE()),Q534-$C$3,R534,$CJ$5)*H534-CJ534</f>
        <v>#NAME?</v>
      </c>
      <c r="CI534" s="253" t="e">
        <f aca="false">SUM(CD534:CH534)</f>
        <v>#NAME?</v>
      </c>
      <c r="CJ534" s="253" t="e">
        <f aca="false">xSPRDOPT((VLOOKUP(G534,NGPREVPRICES,2,FALSE())+HLOOKUP(D534,PREVCURVES,VLOOKUP(G534,MOVE_DOWN2,2,FALSE()),FALSE())),VLOOKUP(G534,NGPREVPRICES,2,FALSE()),CK534,VLOOKUP(G534,NGPREVPRICES,4,FALSE()),HLOOKUP(D534,PREVVOLS,VLOOKUP(G534,MOVE_DOWN2,2,FALSE()),FALSE()),VLOOKUP(G534,NGPREVPRICES,3,FALSE()),HLOOKUP(D534,Correllate,VLOOKUP(G534,CorMove,2,FALSE()),FALSE()),Q534-$CD$3,R534,$CJ$5)*H534</f>
        <v>#NAME?</v>
      </c>
      <c r="CK534" s="254" t="n">
        <f aca="false">I534</f>
        <v>1.3</v>
      </c>
      <c r="CM534" s="0" t="str">
        <f aca="false">CONCATENATE(CC534,$CD$6)</f>
        <v>36892Curve Shift/Gamma</v>
      </c>
      <c r="CN534" s="0" t="str">
        <f aca="false">CONCATENATE($CC534,$CE$6)</f>
        <v>36892Rho</v>
      </c>
      <c r="CO534" s="0" t="str">
        <f aca="false">CONCATENATE($CC534,$CF$6)</f>
        <v>36892Drift</v>
      </c>
      <c r="CP534" s="0" t="str">
        <f aca="false">CONCATENATE($CC534,$CG$6)</f>
        <v>36892Vega</v>
      </c>
      <c r="CQ534" s="0" t="str">
        <f aca="false">CONCATENATE($CC534,$CH$6)</f>
        <v>36892Theta</v>
      </c>
    </row>
    <row r="535" customFormat="false" ht="12.75" hidden="false" customHeight="false" outlineLevel="0" collapsed="false">
      <c r="A535" s="17" t="s">
        <v>206</v>
      </c>
      <c r="B535" s="0" t="s">
        <v>192</v>
      </c>
      <c r="C535" s="0" t="s">
        <v>378</v>
      </c>
      <c r="D535" s="7" t="s">
        <v>149</v>
      </c>
      <c r="E535" s="0" t="s">
        <v>131</v>
      </c>
      <c r="F535" s="0" t="s">
        <v>132</v>
      </c>
      <c r="G535" s="92" t="n">
        <v>36861</v>
      </c>
      <c r="H535" s="248" t="n">
        <v>155000</v>
      </c>
      <c r="I535" s="0" t="n">
        <v>1.3</v>
      </c>
      <c r="J535" s="124" t="n">
        <f aca="false">VLOOKUP(G535,NGPrices,2,FALSE())</f>
        <v>4.8</v>
      </c>
      <c r="K535" s="125" t="n">
        <f aca="false">HLOOKUP(D535,Prices,VLOOKUP(G535,move_down,2,FALSE()),FALSE())+VLOOKUP(G535,CHANGE,HLOOKUP(D535,CHANGE,2,FALSE()),FALSE())</f>
        <v>1.645</v>
      </c>
      <c r="L535" s="124" t="n">
        <f aca="false">K535+J535</f>
        <v>6.445</v>
      </c>
      <c r="M535" s="126" t="n">
        <f aca="false">VLOOKUP(G535,NGPrices,4,FALSE())</f>
        <v>0.068314027999354</v>
      </c>
      <c r="N535" s="7" t="n">
        <f aca="false">VLOOKUP(G535,NGPrices,3,FALSE())</f>
        <v>0.6</v>
      </c>
      <c r="O535" s="7" t="n">
        <f aca="false">HLOOKUP(D535,VOLS,VLOOKUP(G535,move_down,2,FALSE()),FALSE())</f>
        <v>0.69</v>
      </c>
      <c r="P535" s="249" t="n">
        <f aca="false">HLOOKUP(D535,Correllate,VLOOKUP(G535,CorMove,2,FALSE()),FALSE())</f>
        <v>0.83</v>
      </c>
      <c r="Q535" s="92" t="n">
        <f aca="false">WORKDAY(G535,-2)</f>
        <v>36859</v>
      </c>
      <c r="R535" s="7" t="n">
        <f aca="false">IF(F535="P",0,1)</f>
        <v>0</v>
      </c>
      <c r="S535" s="130" t="e">
        <f aca="false">xSPRDOPT($L535,$J535,$I535,$M535,$O535,$N535,$P535,$Q535-$C$3,$R535,0)</f>
        <v>#NAME?</v>
      </c>
      <c r="T535" s="250" t="e">
        <f aca="false">xSPRDOPT($L535,$J535,$I535,$M535,$O535,$N535,$P535,$Q535-$C$3,$R535,1)*H535</f>
        <v>#NAME?</v>
      </c>
      <c r="U535" s="43" t="e">
        <f aca="false">S535*H535</f>
        <v>#NAME?</v>
      </c>
      <c r="V535" s="250" t="e">
        <f aca="false">xSPRDOPT($L535,$J535,$I535,$M535,$O535,$N535,$P535,$Q535-$C$3,$R535,2)*H535</f>
        <v>#NAME?</v>
      </c>
      <c r="W535" s="250" t="e">
        <f aca="false">+V535+T535</f>
        <v>#NAME?</v>
      </c>
      <c r="X535" s="2" t="str">
        <f aca="false">CONCATENATE(G535,D535)</f>
        <v>36861IF-TRANSCO/Z6</v>
      </c>
      <c r="Y535" s="251" t="n">
        <f aca="false">H535/10000</f>
        <v>15.5</v>
      </c>
      <c r="Z535" s="226" t="e">
        <f aca="false">T535/H535</f>
        <v>#NAME?</v>
      </c>
      <c r="AA535" s="226" t="e">
        <f aca="false">xSPRDOPT($L535,$J535,$I535,$M535,$O535,$N535,$P535,$Q535-$C$3,$R535,3)</f>
        <v>#NAME?</v>
      </c>
      <c r="AB535" s="226" t="e">
        <f aca="false">((xSPRDOPT($L535+AB$5,$J535,$I535,$M535,$O535,$N535,$P535,$Q535-$C$3,$R535,3)*$H535)/10000)/100</f>
        <v>#NAME?</v>
      </c>
      <c r="AC535" s="226" t="e">
        <f aca="false">((xSPRDOPT($L535+$AB$5,$J535,$I535,$M535,$O535,$N535,$P535,$Q535-$C$3,$R535,7)*$H535)/100)</f>
        <v>#NAME?</v>
      </c>
      <c r="AD535" s="226" t="e">
        <f aca="false">(xSPRDOPT($L535+$AB$5,$J535,$I535,$M535,$O535,$N535,$P535,$Q535-$C$3,$R535,9)/365)*$H535</f>
        <v>#NAME?</v>
      </c>
      <c r="AE535" s="0" t="e">
        <f aca="false">CD535</f>
        <v>#NAME?</v>
      </c>
      <c r="AF535" s="226" t="e">
        <f aca="false">((O535/N535)*AH535)+AG535</f>
        <v>#NAME?</v>
      </c>
      <c r="AG535" s="226" t="e">
        <f aca="false">((xSPRDOPT($L535,$J535,$I535,$M535,$O535,$N535,$P535,$Q535-$C$3,$R535,6)*$H535)/100)</f>
        <v>#NAME?</v>
      </c>
      <c r="AH535" s="226" t="e">
        <f aca="false">((xSPRDOPT($L535,$J535,$I535,$M535,$O535,$N535,$P535,$Q535-$C$3,$R535,5)*$H535)/100)</f>
        <v>#NAME?</v>
      </c>
      <c r="AI535" s="226" t="e">
        <f aca="false">(((xSPRDOPT($L535,$J535,$I535,$M535,$O535,$N535,$P535,$Q535-$C$3,$R535,4)*$H535)/10000)/100)-AB535</f>
        <v>#NAME?</v>
      </c>
      <c r="AJ535" s="226"/>
      <c r="AK535" s="226"/>
      <c r="AL535" s="226"/>
      <c r="AM535" s="252"/>
      <c r="CC535" s="182" t="n">
        <f aca="false">G535</f>
        <v>36861</v>
      </c>
      <c r="CD535" s="253" t="e">
        <f aca="false">xSPRDOPT((VLOOKUP(G535,NGPrices,2,FALSE())+HLOOKUP(D535,Prices,VLOOKUP(G535,move_down,2,FALSE()),FALSE())),VLOOKUP(G535,NGPrices,2,FALSE()),I535,VLOOKUP(G535,NGPREVPRICES,4,FALSE()),HLOOKUP(D535,PREVVOLS,VLOOKUP(G535,MOVE_DOWN2,2,FALSE()),FALSE()),VLOOKUP(G535,NGPREVPRICES,3,FALSE()),HLOOKUP(D535,Correllate,VLOOKUP(G535,CorMove,2,FALSE()),FALSE()),Q535-$CD$3,R535,$CD$5)*H535-CJ535</f>
        <v>#NAME?</v>
      </c>
      <c r="CE535" s="253" t="e">
        <f aca="false">xSPRDOPT((VLOOKUP(G535,NGPREVPRICES,2,FALSE())+HLOOKUP(D535,PREVCURVES,VLOOKUP(G535,MOVE_DOWN2,2,FALSE()),FALSE())),VLOOKUP(G535,NGPREVPRICES,2,FALSE()),CK535,VLOOKUP(G535,NGPrices,4,FALSE()),HLOOKUP(D535,PREVVOLS,VLOOKUP(G535,MOVE_DOWN2,2,FALSE()),FALSE()),VLOOKUP(G535,NGPREVPRICES,3,FALSE()),HLOOKUP(D535,Correllate,VLOOKUP(G535,CorMove,2,FALSE()),FALSE()),Q535-$CD$3,R535,$CJ$5)*H535-CJ535</f>
        <v>#NAME?</v>
      </c>
      <c r="CF535" s="132" t="e">
        <f aca="false">(CJ535/VLOOKUP(CC535,discount,3,FALSE()))-(CJ535/VLOOKUP(CC535,discount,2,FALSE()))</f>
        <v>#NAME?</v>
      </c>
      <c r="CG535" s="253" t="e">
        <f aca="false">xSPRDOPT((VLOOKUP(G535,NGPREVPRICES,2,FALSE())+HLOOKUP(D535,PREVCURVES,VLOOKUP(G535,MOVE_DOWN2,2,FALSE()),FALSE())),VLOOKUP(G535,NGPREVPRICES,2,FALSE()),CK535,VLOOKUP(G535,NGPREVPRICES,4,FALSE()),HLOOKUP(D535,VOLS,VLOOKUP(G535,move_down,2,FALSE()),FALSE()),VLOOKUP(G535,NGPrices,3,FALSE()),HLOOKUP(D535,Correllate,VLOOKUP(G535,CorMove,2,FALSE()),FALSE()),Q535-$CD$3,R535,$CJ$5)*H535-CJ535</f>
        <v>#NAME?</v>
      </c>
      <c r="CH535" s="253" t="e">
        <f aca="false">xSPRDOPT((VLOOKUP(G535,NGPREVPRICES,2,FALSE())+HLOOKUP(D535,PREVCURVES,VLOOKUP(G535,MOVE_DOWN2,2,FALSE()),FALSE())),VLOOKUP(G535,NGPREVPRICES,2,FALSE()),CK535,VLOOKUP(G535,NGPREVPRICES,4,FALSE()),HLOOKUP(D535,PREVVOLS,VLOOKUP(G535,MOVE_DOWN2,2,FALSE()),FALSE()),VLOOKUP(G535,NGPREVPRICES,3,FALSE()),HLOOKUP(D535,Correllate,VLOOKUP(G535,CorMove,2,FALSE()),FALSE()),Q535-$C$3,R535,$CJ$5)*H535-CJ535</f>
        <v>#NAME?</v>
      </c>
      <c r="CI535" s="253" t="e">
        <f aca="false">SUM(CD535:CH535)</f>
        <v>#NAME?</v>
      </c>
      <c r="CJ535" s="253" t="e">
        <f aca="false">xSPRDOPT((VLOOKUP(G535,NGPREVPRICES,2,FALSE())+HLOOKUP(D535,PREVCURVES,VLOOKUP(G535,MOVE_DOWN2,2,FALSE()),FALSE())),VLOOKUP(G535,NGPREVPRICES,2,FALSE()),CK535,VLOOKUP(G535,NGPREVPRICES,4,FALSE()),HLOOKUP(D535,PREVVOLS,VLOOKUP(G535,MOVE_DOWN2,2,FALSE()),FALSE()),VLOOKUP(G535,NGPREVPRICES,3,FALSE()),HLOOKUP(D535,Correllate,VLOOKUP(G535,CorMove,2,FALSE()),FALSE()),Q535-$CD$3,R535,$CJ$5)*H535</f>
        <v>#NAME?</v>
      </c>
      <c r="CK535" s="254" t="n">
        <f aca="false">I535</f>
        <v>1.3</v>
      </c>
      <c r="CM535" s="0" t="str">
        <f aca="false">CONCATENATE(CC535,$CD$6)</f>
        <v>36861Curve Shift/Gamma</v>
      </c>
      <c r="CN535" s="0" t="str">
        <f aca="false">CONCATENATE($CC535,$CE$6)</f>
        <v>36861Rho</v>
      </c>
      <c r="CO535" s="0" t="str">
        <f aca="false">CONCATENATE($CC535,$CF$6)</f>
        <v>36861Drift</v>
      </c>
      <c r="CP535" s="0" t="str">
        <f aca="false">CONCATENATE($CC535,$CG$6)</f>
        <v>36861Vega</v>
      </c>
      <c r="CQ535" s="0" t="str">
        <f aca="false">CONCATENATE($CC535,$CH$6)</f>
        <v>36861Theta</v>
      </c>
    </row>
    <row r="536" customFormat="false" ht="12.75" hidden="false" customHeight="false" outlineLevel="0" collapsed="false">
      <c r="A536" s="17" t="s">
        <v>206</v>
      </c>
      <c r="B536" s="0" t="s">
        <v>192</v>
      </c>
      <c r="C536" s="0" t="s">
        <v>378</v>
      </c>
      <c r="D536" s="7" t="s">
        <v>149</v>
      </c>
      <c r="E536" s="0" t="s">
        <v>131</v>
      </c>
      <c r="F536" s="0" t="s">
        <v>132</v>
      </c>
      <c r="G536" s="92" t="n">
        <v>36831</v>
      </c>
      <c r="H536" s="248" t="n">
        <v>150000</v>
      </c>
      <c r="I536" s="0" t="n">
        <v>1.3</v>
      </c>
      <c r="J536" s="124" t="n">
        <f aca="false">VLOOKUP(G536,NGPrices,2,FALSE())</f>
        <v>4.736</v>
      </c>
      <c r="K536" s="125" t="n">
        <f aca="false">HLOOKUP(D536,Prices,VLOOKUP(G536,move_down,2,FALSE()),FALSE())+VLOOKUP(G536,CHANGE,HLOOKUP(D536,CHANGE,2,FALSE()),FALSE())</f>
        <v>0.77</v>
      </c>
      <c r="L536" s="124" t="n">
        <f aca="false">K536+J536</f>
        <v>5.506</v>
      </c>
      <c r="M536" s="126" t="n">
        <f aca="false">VLOOKUP(G536,NGPrices,4,FALSE())</f>
        <v>0.06810675983792</v>
      </c>
      <c r="N536" s="7" t="n">
        <f aca="false">VLOOKUP(G536,NGPrices,3,FALSE())</f>
        <v>0.595</v>
      </c>
      <c r="O536" s="7" t="n">
        <f aca="false">HLOOKUP(D536,VOLS,VLOOKUP(G536,move_down,2,FALSE()),FALSE())</f>
        <v>0.625</v>
      </c>
      <c r="P536" s="249" t="n">
        <f aca="false">HLOOKUP(D536,Correllate,VLOOKUP(G536,CorMove,2,FALSE()),FALSE())</f>
        <v>0.89</v>
      </c>
      <c r="Q536" s="92" t="n">
        <f aca="false">WORKDAY(G536,-2)</f>
        <v>36829</v>
      </c>
      <c r="R536" s="7" t="n">
        <f aca="false">IF(F536="P",0,1)</f>
        <v>0</v>
      </c>
      <c r="S536" s="130" t="e">
        <f aca="false">xSPRDOPT($L536,$J536,$I536,$M536,$O536,$N536,$P536,$Q536-$C$3,$R536,0)</f>
        <v>#NAME?</v>
      </c>
      <c r="T536" s="250" t="e">
        <f aca="false">xSPRDOPT($L536,$J536,$I536,$M536,$O536,$N536,$P536,$Q536-$C$3,$R536,1)*H536</f>
        <v>#NAME?</v>
      </c>
      <c r="U536" s="43" t="e">
        <f aca="false">S536*H536</f>
        <v>#NAME?</v>
      </c>
      <c r="V536" s="250" t="e">
        <f aca="false">xSPRDOPT($L536,$J536,$I536,$M536,$O536,$N536,$P536,$Q536-$C$3,$R536,2)*H536</f>
        <v>#NAME?</v>
      </c>
      <c r="W536" s="250" t="e">
        <f aca="false">+V536+T536</f>
        <v>#NAME?</v>
      </c>
      <c r="X536" s="2" t="str">
        <f aca="false">CONCATENATE(G536,D536)</f>
        <v>36831IF-TRANSCO/Z6</v>
      </c>
      <c r="Y536" s="251" t="n">
        <f aca="false">H536/10000</f>
        <v>15</v>
      </c>
      <c r="Z536" s="226" t="e">
        <f aca="false">T536/H536</f>
        <v>#NAME?</v>
      </c>
      <c r="AA536" s="226" t="e">
        <f aca="false">xSPRDOPT($L536,$J536,$I536,$M536,$O536,$N536,$P536,$Q536-$C$3,$R536,3)</f>
        <v>#NAME?</v>
      </c>
      <c r="AB536" s="226" t="e">
        <f aca="false">((xSPRDOPT($L536+AB$5,$J536,$I536,$M536,$O536,$N536,$P536,$Q536-$C$3,$R536,3)*$H536)/10000)/100</f>
        <v>#NAME?</v>
      </c>
      <c r="AC536" s="226" t="e">
        <f aca="false">((xSPRDOPT($L536+$AB$5,$J536,$I536,$M536,$O536,$N536,$P536,$Q536-$C$3,$R536,7)*$H536)/100)</f>
        <v>#NAME?</v>
      </c>
      <c r="AD536" s="226" t="e">
        <f aca="false">(xSPRDOPT($L536+$AB$5,$J536,$I536,$M536,$O536,$N536,$P536,$Q536-$C$3,$R536,9)/365)*$H536</f>
        <v>#NAME?</v>
      </c>
      <c r="AE536" s="0" t="e">
        <f aca="false">CD536</f>
        <v>#NAME?</v>
      </c>
      <c r="AF536" s="226" t="e">
        <f aca="false">((O536/N536)*AH536)+AG536</f>
        <v>#NAME?</v>
      </c>
      <c r="AG536" s="226" t="e">
        <f aca="false">((xSPRDOPT($L536,$J536,$I536,$M536,$O536,$N536,$P536,$Q536-$C$3,$R536,6)*$H536)/100)</f>
        <v>#NAME?</v>
      </c>
      <c r="AH536" s="226" t="e">
        <f aca="false">((xSPRDOPT($L536,$J536,$I536,$M536,$O536,$N536,$P536,$Q536-$C$3,$R536,5)*$H536)/100)</f>
        <v>#NAME?</v>
      </c>
      <c r="AI536" s="226" t="e">
        <f aca="false">(((xSPRDOPT($L536,$J536,$I536,$M536,$O536,$N536,$P536,$Q536-$C$3,$R536,4)*$H536)/10000)/100)-AB536</f>
        <v>#NAME?</v>
      </c>
      <c r="AJ536" s="226"/>
      <c r="AK536" s="226"/>
      <c r="AL536" s="226"/>
      <c r="AM536" s="252"/>
      <c r="CC536" s="182" t="n">
        <f aca="false">G536</f>
        <v>36831</v>
      </c>
      <c r="CD536" s="253" t="e">
        <f aca="false">xSPRDOPT((VLOOKUP(G536,NGPrices,2,FALSE())+HLOOKUP(D536,Prices,VLOOKUP(G536,move_down,2,FALSE()),FALSE())),VLOOKUP(G536,NGPrices,2,FALSE()),I536,VLOOKUP(G536,NGPREVPRICES,4,FALSE()),HLOOKUP(D536,PREVVOLS,VLOOKUP(G536,MOVE_DOWN2,2,FALSE()),FALSE()),VLOOKUP(G536,NGPREVPRICES,3,FALSE()),HLOOKUP(D536,Correllate,VLOOKUP(G536,CorMove,2,FALSE()),FALSE()),Q536-$CD$3,R536,$CD$5)*H536-CJ536</f>
        <v>#NAME?</v>
      </c>
      <c r="CE536" s="253" t="e">
        <f aca="false">xSPRDOPT((VLOOKUP(G536,NGPREVPRICES,2,FALSE())+HLOOKUP(D536,PREVCURVES,VLOOKUP(G536,MOVE_DOWN2,2,FALSE()),FALSE())),VLOOKUP(G536,NGPREVPRICES,2,FALSE()),CK536,VLOOKUP(G536,NGPrices,4,FALSE()),HLOOKUP(D536,PREVVOLS,VLOOKUP(G536,MOVE_DOWN2,2,FALSE()),FALSE()),VLOOKUP(G536,NGPREVPRICES,3,FALSE()),HLOOKUP(D536,Correllate,VLOOKUP(G536,CorMove,2,FALSE()),FALSE()),Q536-$CD$3,R536,$CJ$5)*H536-CJ536</f>
        <v>#NAME?</v>
      </c>
      <c r="CF536" s="132" t="e">
        <f aca="false">(CJ536/VLOOKUP(CC536,discount,3,FALSE()))-(CJ536/VLOOKUP(CC536,discount,2,FALSE()))</f>
        <v>#NAME?</v>
      </c>
      <c r="CG536" s="253" t="e">
        <f aca="false">xSPRDOPT((VLOOKUP(G536,NGPREVPRICES,2,FALSE())+HLOOKUP(D536,PREVCURVES,VLOOKUP(G536,MOVE_DOWN2,2,FALSE()),FALSE())),VLOOKUP(G536,NGPREVPRICES,2,FALSE()),CK536,VLOOKUP(G536,NGPREVPRICES,4,FALSE()),HLOOKUP(D536,VOLS,VLOOKUP(G536,move_down,2,FALSE()),FALSE()),VLOOKUP(G536,NGPrices,3,FALSE()),HLOOKUP(D536,Correllate,VLOOKUP(G536,CorMove,2,FALSE()),FALSE()),Q536-$CD$3,R536,$CJ$5)*H536-CJ536</f>
        <v>#NAME?</v>
      </c>
      <c r="CH536" s="253" t="e">
        <f aca="false">xSPRDOPT((VLOOKUP(G536,NGPREVPRICES,2,FALSE())+HLOOKUP(D536,PREVCURVES,VLOOKUP(G536,MOVE_DOWN2,2,FALSE()),FALSE())),VLOOKUP(G536,NGPREVPRICES,2,FALSE()),CK536,VLOOKUP(G536,NGPREVPRICES,4,FALSE()),HLOOKUP(D536,PREVVOLS,VLOOKUP(G536,MOVE_DOWN2,2,FALSE()),FALSE()),VLOOKUP(G536,NGPREVPRICES,3,FALSE()),HLOOKUP(D536,Correllate,VLOOKUP(G536,CorMove,2,FALSE()),FALSE()),Q536-$C$3,R536,$CJ$5)*H536-CJ536</f>
        <v>#NAME?</v>
      </c>
      <c r="CI536" s="253" t="e">
        <f aca="false">SUM(CD536:CH536)</f>
        <v>#NAME?</v>
      </c>
      <c r="CJ536" s="253" t="e">
        <f aca="false">xSPRDOPT((VLOOKUP(G536,NGPREVPRICES,2,FALSE())+HLOOKUP(D536,PREVCURVES,VLOOKUP(G536,MOVE_DOWN2,2,FALSE()),FALSE())),VLOOKUP(G536,NGPREVPRICES,2,FALSE()),CK536,VLOOKUP(G536,NGPREVPRICES,4,FALSE()),HLOOKUP(D536,PREVVOLS,VLOOKUP(G536,MOVE_DOWN2,2,FALSE()),FALSE()),VLOOKUP(G536,NGPREVPRICES,3,FALSE()),HLOOKUP(D536,Correllate,VLOOKUP(G536,CorMove,2,FALSE()),FALSE()),Q536-$CD$3,R536,$CJ$5)*H536</f>
        <v>#NAME?</v>
      </c>
      <c r="CK536" s="254" t="n">
        <f aca="false">I536</f>
        <v>1.3</v>
      </c>
      <c r="CM536" s="0" t="str">
        <f aca="false">CONCATENATE(CC536,$CD$6)</f>
        <v>36831Curve Shift/Gamma</v>
      </c>
      <c r="CN536" s="0" t="str">
        <f aca="false">CONCATENATE($CC536,$CE$6)</f>
        <v>36831Rho</v>
      </c>
      <c r="CO536" s="0" t="str">
        <f aca="false">CONCATENATE($CC536,$CF$6)</f>
        <v>36831Drift</v>
      </c>
      <c r="CP536" s="0" t="str">
        <f aca="false">CONCATENATE($CC536,$CG$6)</f>
        <v>36831Vega</v>
      </c>
      <c r="CQ536" s="0" t="str">
        <f aca="false">CONCATENATE($CC536,$CH$6)</f>
        <v>36831Theta</v>
      </c>
    </row>
    <row r="537" customFormat="false" ht="12.75" hidden="false" customHeight="false" outlineLevel="0" collapsed="false">
      <c r="A537" s="17" t="s">
        <v>345</v>
      </c>
      <c r="B537" s="0" t="s">
        <v>192</v>
      </c>
      <c r="C537" s="0" t="s">
        <v>379</v>
      </c>
      <c r="D537" s="7" t="s">
        <v>149</v>
      </c>
      <c r="E537" s="0" t="s">
        <v>131</v>
      </c>
      <c r="F537" s="0" t="s">
        <v>132</v>
      </c>
      <c r="G537" s="92" t="n">
        <v>36800</v>
      </c>
      <c r="H537" s="248" t="n">
        <v>-1240000</v>
      </c>
      <c r="I537" s="0" t="n">
        <v>0.4</v>
      </c>
      <c r="J537" s="124" t="n">
        <f aca="false">VLOOKUP(G537,NGPrices,2,FALSE())</f>
        <v>4.692</v>
      </c>
      <c r="K537" s="125" t="n">
        <f aca="false">HLOOKUP(D537,Prices,VLOOKUP(G537,move_down,2,FALSE()),FALSE())+VLOOKUP(G537,CHANGE,HLOOKUP(D537,CHANGE,2,FALSE()),FALSE())</f>
        <v>0.415</v>
      </c>
      <c r="L537" s="124" t="n">
        <f aca="false">K537+J537</f>
        <v>5.107</v>
      </c>
      <c r="M537" s="126" t="n">
        <f aca="false">VLOOKUP(G537,NGPrices,4,FALSE())</f>
        <v>0.068050789414654</v>
      </c>
      <c r="N537" s="7" t="n">
        <f aca="false">VLOOKUP(G537,NGPrices,3,FALSE())</f>
        <v>0.575</v>
      </c>
      <c r="O537" s="7" t="n">
        <f aca="false">HLOOKUP(D537,VOLS,VLOOKUP(G537,move_down,2,FALSE()),FALSE())</f>
        <v>0.564</v>
      </c>
      <c r="P537" s="249" t="n">
        <f aca="false">HLOOKUP(D537,Correllate,VLOOKUP(G537,CorMove,2,FALSE()),FALSE())</f>
        <v>0.9925</v>
      </c>
      <c r="Q537" s="92" t="n">
        <f aca="false">WORKDAY(G537,-2)</f>
        <v>36797</v>
      </c>
      <c r="R537" s="7" t="n">
        <f aca="false">IF(F537="P",0,1)</f>
        <v>0</v>
      </c>
      <c r="S537" s="130" t="e">
        <f aca="false">xSPRDOPT($L537,$J537,$I537,$M537,$O537,$N537,$P537,$Q537-$C$3,$R537,0)</f>
        <v>#NAME?</v>
      </c>
      <c r="T537" s="250" t="e">
        <f aca="false">xSPRDOPT($L537,$J537,$I537,$M537,$O537,$N537,$P537,$Q537-$C$3,$R537,1)*H537</f>
        <v>#NAME?</v>
      </c>
      <c r="U537" s="43" t="e">
        <f aca="false">S537*H537</f>
        <v>#NAME?</v>
      </c>
      <c r="V537" s="250" t="e">
        <f aca="false">xSPRDOPT($L537,$J537,$I537,$M537,$O537,$N537,$P537,$Q537-$C$3,$R537,2)*H537</f>
        <v>#NAME?</v>
      </c>
      <c r="W537" s="250" t="e">
        <f aca="false">+V537+T537</f>
        <v>#NAME?</v>
      </c>
      <c r="X537" s="2" t="str">
        <f aca="false">CONCATENATE(G537,D537)</f>
        <v>36800IF-TRANSCO/Z6</v>
      </c>
      <c r="Y537" s="251" t="n">
        <f aca="false">H537/10000</f>
        <v>-124</v>
      </c>
      <c r="Z537" s="226" t="e">
        <f aca="false">T537/H537</f>
        <v>#NAME?</v>
      </c>
      <c r="AA537" s="226" t="e">
        <f aca="false">xSPRDOPT($L537,$J537,$I537,$M537,$O537,$N537,$P537,$Q537-$C$3,$R537,3)</f>
        <v>#NAME?</v>
      </c>
      <c r="AB537" s="226" t="e">
        <f aca="false">((xSPRDOPT($L537+AB$5,$J537,$I537,$M537,$O537,$N537,$P537,$Q537-$C$3,$R537,3)*$H537)/10000)/100</f>
        <v>#NAME?</v>
      </c>
      <c r="AC537" s="226" t="e">
        <f aca="false">((xSPRDOPT($L537+$AB$5,$J537,$I537,$M537,$O537,$N537,$P537,$Q537-$C$3,$R537,7)*$H537)/100)</f>
        <v>#NAME?</v>
      </c>
      <c r="AD537" s="226" t="e">
        <f aca="false">(xSPRDOPT($L537+$AB$5,$J537,$I537,$M537,$O537,$N537,$P537,$Q537-$C$3,$R537,9)/365)*$H537</f>
        <v>#NAME?</v>
      </c>
      <c r="AE537" s="0" t="e">
        <f aca="false">CD537</f>
        <v>#NAME?</v>
      </c>
      <c r="AF537" s="226" t="e">
        <f aca="false">((O537/N537)*AH537)+AG537</f>
        <v>#NAME?</v>
      </c>
      <c r="AG537" s="226" t="e">
        <f aca="false">((xSPRDOPT($L537,$J537,$I537,$M537,$O537,$N537,$P537,$Q537-$C$3,$R537,6)*$H537)/100)</f>
        <v>#NAME?</v>
      </c>
      <c r="AH537" s="226" t="e">
        <f aca="false">((xSPRDOPT($L537,$J537,$I537,$M537,$O537,$N537,$P537,$Q537-$C$3,$R537,5)*$H537)/100)</f>
        <v>#NAME?</v>
      </c>
      <c r="AI537" s="226" t="e">
        <f aca="false">(((xSPRDOPT($L537,$J537,$I537,$M537,$O537,$N537,$P537,$Q537-$C$3,$R537,4)*$H537)/10000)/100)-AB537</f>
        <v>#NAME?</v>
      </c>
      <c r="AJ537" s="226"/>
      <c r="AK537" s="226"/>
      <c r="AL537" s="226"/>
      <c r="AM537" s="252"/>
      <c r="CC537" s="182" t="n">
        <f aca="false">G537</f>
        <v>36800</v>
      </c>
      <c r="CD537" s="253" t="e">
        <f aca="false">xSPRDOPT((VLOOKUP(G537,NGPrices,2,FALSE())+HLOOKUP(D537,Prices,VLOOKUP(G537,move_down,2,FALSE()),FALSE())),VLOOKUP(G537,NGPrices,2,FALSE()),I537,VLOOKUP(G537,NGPREVPRICES,4,FALSE()),HLOOKUP(D537,PREVVOLS,VLOOKUP(G537,MOVE_DOWN2,2,FALSE()),FALSE()),VLOOKUP(G537,NGPREVPRICES,3,FALSE()),HLOOKUP(D537,Correllate,VLOOKUP(G537,CorMove,2,FALSE()),FALSE()),Q537-$CD$3,R537,$CD$5)*H537-CJ537</f>
        <v>#NAME?</v>
      </c>
      <c r="CE537" s="253" t="e">
        <f aca="false">xSPRDOPT((VLOOKUP(G537,NGPREVPRICES,2,FALSE())+HLOOKUP(D537,PREVCURVES,VLOOKUP(G537,MOVE_DOWN2,2,FALSE()),FALSE())),VLOOKUP(G537,NGPREVPRICES,2,FALSE()),CK537,VLOOKUP(G537,NGPrices,4,FALSE()),HLOOKUP(D537,PREVVOLS,VLOOKUP(G537,MOVE_DOWN2,2,FALSE()),FALSE()),VLOOKUP(G537,NGPREVPRICES,3,FALSE()),HLOOKUP(D537,Correllate,VLOOKUP(G537,CorMove,2,FALSE()),FALSE()),Q537-$CD$3,R537,$CJ$5)*H537-CJ537</f>
        <v>#NAME?</v>
      </c>
      <c r="CF537" s="132" t="e">
        <f aca="false">(CJ537/VLOOKUP(CC537,discount,3,FALSE()))-(CJ537/VLOOKUP(CC537,discount,2,FALSE()))</f>
        <v>#NAME?</v>
      </c>
      <c r="CG537" s="253" t="e">
        <f aca="false">xSPRDOPT((VLOOKUP(G537,NGPREVPRICES,2,FALSE())+HLOOKUP(D537,PREVCURVES,VLOOKUP(G537,MOVE_DOWN2,2,FALSE()),FALSE())),VLOOKUP(G537,NGPREVPRICES,2,FALSE()),CK537,VLOOKUP(G537,NGPREVPRICES,4,FALSE()),HLOOKUP(D537,VOLS,VLOOKUP(G537,move_down,2,FALSE()),FALSE()),VLOOKUP(G537,NGPrices,3,FALSE()),HLOOKUP(D537,Correllate,VLOOKUP(G537,CorMove,2,FALSE()),FALSE()),Q537-$CD$3,R537,$CJ$5)*H537-CJ537</f>
        <v>#NAME?</v>
      </c>
      <c r="CH537" s="253" t="e">
        <f aca="false">xSPRDOPT((VLOOKUP(G537,NGPREVPRICES,2,FALSE())+HLOOKUP(D537,PREVCURVES,VLOOKUP(G537,MOVE_DOWN2,2,FALSE()),FALSE())),VLOOKUP(G537,NGPREVPRICES,2,FALSE()),CK537,VLOOKUP(G537,NGPREVPRICES,4,FALSE()),HLOOKUP(D537,PREVVOLS,VLOOKUP(G537,MOVE_DOWN2,2,FALSE()),FALSE()),VLOOKUP(G537,NGPREVPRICES,3,FALSE()),HLOOKUP(D537,Correllate,VLOOKUP(G537,CorMove,2,FALSE()),FALSE()),Q537-$C$3,R537,$CJ$5)*H537-CJ537</f>
        <v>#NAME?</v>
      </c>
      <c r="CI537" s="253" t="e">
        <f aca="false">SUM(CD537:CH537)</f>
        <v>#NAME?</v>
      </c>
      <c r="CJ537" s="253" t="e">
        <f aca="false">xSPRDOPT((VLOOKUP(G537,NGPREVPRICES,2,FALSE())+HLOOKUP(D537,PREVCURVES,VLOOKUP(G537,MOVE_DOWN2,2,FALSE()),FALSE())),VLOOKUP(G537,NGPREVPRICES,2,FALSE()),CK537,VLOOKUP(G537,NGPREVPRICES,4,FALSE()),HLOOKUP(D537,PREVVOLS,VLOOKUP(G537,MOVE_DOWN2,2,FALSE()),FALSE()),VLOOKUP(G537,NGPREVPRICES,3,FALSE()),HLOOKUP(D537,Correllate,VLOOKUP(G537,CorMove,2,FALSE()),FALSE()),Q537-$CD$3,R537,$CJ$5)*H537</f>
        <v>#NAME?</v>
      </c>
      <c r="CK537" s="254" t="n">
        <f aca="false">I537</f>
        <v>0.4</v>
      </c>
      <c r="CM537" s="0" t="str">
        <f aca="false">CONCATENATE(CC537,$CD$6)</f>
        <v>36800Curve Shift/Gamma</v>
      </c>
      <c r="CN537" s="0" t="str">
        <f aca="false">CONCATENATE($CC537,$CE$6)</f>
        <v>36800Rho</v>
      </c>
      <c r="CO537" s="0" t="str">
        <f aca="false">CONCATENATE($CC537,$CF$6)</f>
        <v>36800Drift</v>
      </c>
      <c r="CP537" s="0" t="str">
        <f aca="false">CONCATENATE($CC537,$CG$6)</f>
        <v>36800Vega</v>
      </c>
      <c r="CQ537" s="0" t="str">
        <f aca="false">CONCATENATE($CC537,$CH$6)</f>
        <v>36800Theta</v>
      </c>
    </row>
    <row r="538" customFormat="false" ht="12.75" hidden="false" customHeight="false" outlineLevel="0" collapsed="false">
      <c r="A538" s="17" t="s">
        <v>345</v>
      </c>
      <c r="B538" s="0" t="s">
        <v>192</v>
      </c>
      <c r="C538" s="0" t="s">
        <v>380</v>
      </c>
      <c r="D538" s="7" t="s">
        <v>150</v>
      </c>
      <c r="E538" s="0" t="s">
        <v>131</v>
      </c>
      <c r="F538" s="0" t="s">
        <v>136</v>
      </c>
      <c r="G538" s="92" t="n">
        <v>36951</v>
      </c>
      <c r="H538" s="248" t="n">
        <v>-310000</v>
      </c>
      <c r="I538" s="0" t="n">
        <v>0.4</v>
      </c>
      <c r="J538" s="124" t="n">
        <f aca="false">VLOOKUP(G538,NGPrices,2,FALSE())</f>
        <v>4.213</v>
      </c>
      <c r="K538" s="125" t="n">
        <f aca="false">HLOOKUP(D538,Prices,VLOOKUP(G538,move_down,2,FALSE()),FALSE())+VLOOKUP(G538,CHANGE,HLOOKUP(D538,CHANGE,2,FALSE()),FALSE())</f>
        <v>0.27</v>
      </c>
      <c r="L538" s="124" t="n">
        <f aca="false">K538+J538</f>
        <v>4.483</v>
      </c>
      <c r="M538" s="126" t="n">
        <f aca="false">VLOOKUP(G538,NGPrices,4,FALSE())</f>
        <v>0.068879814952707</v>
      </c>
      <c r="N538" s="7" t="n">
        <f aca="false">VLOOKUP(G538,NGPrices,3,FALSE())</f>
        <v>0.5325</v>
      </c>
      <c r="O538" s="7" t="n">
        <f aca="false">HLOOKUP(D538,VOLS,VLOOKUP(G538,move_down,2,FALSE()),FALSE())</f>
        <v>0.533</v>
      </c>
      <c r="P538" s="249" t="n">
        <f aca="false">HLOOKUP(D538,Correllate,VLOOKUP(G538,CorMove,2,FALSE()),FALSE())</f>
        <v>0.99</v>
      </c>
      <c r="Q538" s="92" t="n">
        <f aca="false">WORKDAY(G538,-2)</f>
        <v>36949</v>
      </c>
      <c r="R538" s="7" t="n">
        <f aca="false">IF(F538="P",0,1)</f>
        <v>1</v>
      </c>
      <c r="S538" s="130" t="e">
        <f aca="false">xSPRDOPT($L538,$J538,$I538,$M538,$O538,$N538,$P538,$Q538-$C$3,$R538,0)</f>
        <v>#NAME?</v>
      </c>
      <c r="T538" s="250" t="e">
        <f aca="false">xSPRDOPT($L538,$J538,$I538,$M538,$O538,$N538,$P538,$Q538-$C$3,$R538,1)*H538</f>
        <v>#NAME?</v>
      </c>
      <c r="U538" s="43" t="e">
        <f aca="false">S538*H538</f>
        <v>#NAME?</v>
      </c>
      <c r="V538" s="250" t="e">
        <f aca="false">xSPRDOPT($L538,$J538,$I538,$M538,$O538,$N538,$P538,$Q538-$C$3,$R538,2)*H538</f>
        <v>#NAME?</v>
      </c>
      <c r="W538" s="250" t="e">
        <f aca="false">+V538+T538</f>
        <v>#NAME?</v>
      </c>
      <c r="X538" s="2" t="str">
        <f aca="false">CONCATENATE(G538,D538)</f>
        <v>36951IF-CGT/APPALAC</v>
      </c>
      <c r="Y538" s="251" t="n">
        <f aca="false">H538/10000</f>
        <v>-31</v>
      </c>
      <c r="Z538" s="226" t="e">
        <f aca="false">T538/H538</f>
        <v>#NAME?</v>
      </c>
      <c r="AA538" s="226" t="e">
        <f aca="false">xSPRDOPT($L538,$J538,$I538,$M538,$O538,$N538,$P538,$Q538-$C$3,$R538,3)</f>
        <v>#NAME?</v>
      </c>
      <c r="AB538" s="226" t="e">
        <f aca="false">((xSPRDOPT($L538+AB$5,$J538,$I538,$M538,$O538,$N538,$P538,$Q538-$C$3,$R538,3)*$H538)/10000)/100</f>
        <v>#NAME?</v>
      </c>
      <c r="AC538" s="226" t="e">
        <f aca="false">((xSPRDOPT($L538+$AB$5,$J538,$I538,$M538,$O538,$N538,$P538,$Q538-$C$3,$R538,7)*$H538)/100)</f>
        <v>#NAME?</v>
      </c>
      <c r="AD538" s="226" t="e">
        <f aca="false">(xSPRDOPT($L538+$AB$5,$J538,$I538,$M538,$O538,$N538,$P538,$Q538-$C$3,$R538,9)/365)*$H538</f>
        <v>#NAME?</v>
      </c>
      <c r="AE538" s="0" t="e">
        <f aca="false">CD538</f>
        <v>#NAME?</v>
      </c>
      <c r="AF538" s="226" t="e">
        <f aca="false">((O538/N538)*AH538)+AG538</f>
        <v>#NAME?</v>
      </c>
      <c r="AG538" s="226" t="e">
        <f aca="false">((xSPRDOPT($L538,$J538,$I538,$M538,$O538,$N538,$P538,$Q538-$C$3,$R538,6)*$H538)/100)</f>
        <v>#NAME?</v>
      </c>
      <c r="AH538" s="226" t="e">
        <f aca="false">((xSPRDOPT($L538,$J538,$I538,$M538,$O538,$N538,$P538,$Q538-$C$3,$R538,5)*$H538)/100)</f>
        <v>#NAME?</v>
      </c>
      <c r="AI538" s="226" t="e">
        <f aca="false">(((xSPRDOPT($L538,$J538,$I538,$M538,$O538,$N538,$P538,$Q538-$C$3,$R538,4)*$H538)/10000)/100)-AB538</f>
        <v>#NAME?</v>
      </c>
      <c r="AJ538" s="226"/>
      <c r="AK538" s="226"/>
      <c r="AL538" s="226"/>
      <c r="AM538" s="252"/>
      <c r="CC538" s="182" t="n">
        <f aca="false">G538</f>
        <v>36951</v>
      </c>
      <c r="CD538" s="253" t="e">
        <f aca="false">xSPRDOPT((VLOOKUP(G538,NGPrices,2,FALSE())+HLOOKUP(D538,Prices,VLOOKUP(G538,move_down,2,FALSE()),FALSE())),VLOOKUP(G538,NGPrices,2,FALSE()),I538,VLOOKUP(G538,NGPREVPRICES,4,FALSE()),HLOOKUP(D538,PREVVOLS,VLOOKUP(G538,MOVE_DOWN2,2,FALSE()),FALSE()),VLOOKUP(G538,NGPREVPRICES,3,FALSE()),HLOOKUP(D538,Correllate,VLOOKUP(G538,CorMove,2,FALSE()),FALSE()),Q538-$CD$3,R538,$CD$5)*H538-CJ538</f>
        <v>#NAME?</v>
      </c>
      <c r="CE538" s="253" t="e">
        <f aca="false">xSPRDOPT((VLOOKUP(G538,NGPREVPRICES,2,FALSE())+HLOOKUP(D538,PREVCURVES,VLOOKUP(G538,MOVE_DOWN2,2,FALSE()),FALSE())),VLOOKUP(G538,NGPREVPRICES,2,FALSE()),CK538,VLOOKUP(G538,NGPrices,4,FALSE()),HLOOKUP(D538,PREVVOLS,VLOOKUP(G538,MOVE_DOWN2,2,FALSE()),FALSE()),VLOOKUP(G538,NGPREVPRICES,3,FALSE()),HLOOKUP(D538,Correllate,VLOOKUP(G538,CorMove,2,FALSE()),FALSE()),Q538-$CD$3,R538,$CJ$5)*H538-CJ538</f>
        <v>#NAME?</v>
      </c>
      <c r="CF538" s="132" t="e">
        <f aca="false">(CJ538/VLOOKUP(CC538,discount,3,FALSE()))-(CJ538/VLOOKUP(CC538,discount,2,FALSE()))</f>
        <v>#NAME?</v>
      </c>
      <c r="CG538" s="253" t="e">
        <f aca="false">xSPRDOPT((VLOOKUP(G538,NGPREVPRICES,2,FALSE())+HLOOKUP(D538,PREVCURVES,VLOOKUP(G538,MOVE_DOWN2,2,FALSE()),FALSE())),VLOOKUP(G538,NGPREVPRICES,2,FALSE()),CK538,VLOOKUP(G538,NGPREVPRICES,4,FALSE()),HLOOKUP(D538,VOLS,VLOOKUP(G538,move_down,2,FALSE()),FALSE()),VLOOKUP(G538,NGPrices,3,FALSE()),HLOOKUP(D538,Correllate,VLOOKUP(G538,CorMove,2,FALSE()),FALSE()),Q538-$CD$3,R538,$CJ$5)*H538-CJ538</f>
        <v>#NAME?</v>
      </c>
      <c r="CH538" s="253" t="e">
        <f aca="false">xSPRDOPT((VLOOKUP(G538,NGPREVPRICES,2,FALSE())+HLOOKUP(D538,PREVCURVES,VLOOKUP(G538,MOVE_DOWN2,2,FALSE()),FALSE())),VLOOKUP(G538,NGPREVPRICES,2,FALSE()),CK538,VLOOKUP(G538,NGPREVPRICES,4,FALSE()),HLOOKUP(D538,PREVVOLS,VLOOKUP(G538,MOVE_DOWN2,2,FALSE()),FALSE()),VLOOKUP(G538,NGPREVPRICES,3,FALSE()),HLOOKUP(D538,Correllate,VLOOKUP(G538,CorMove,2,FALSE()),FALSE()),Q538-$C$3,R538,$CJ$5)*H538-CJ538</f>
        <v>#NAME?</v>
      </c>
      <c r="CI538" s="253" t="e">
        <f aca="false">SUM(CD538:CH538)</f>
        <v>#NAME?</v>
      </c>
      <c r="CJ538" s="253" t="e">
        <f aca="false">xSPRDOPT((VLOOKUP(G538,NGPREVPRICES,2,FALSE())+HLOOKUP(D538,PREVCURVES,VLOOKUP(G538,MOVE_DOWN2,2,FALSE()),FALSE())),VLOOKUP(G538,NGPREVPRICES,2,FALSE()),CK538,VLOOKUP(G538,NGPREVPRICES,4,FALSE()),HLOOKUP(D538,PREVVOLS,VLOOKUP(G538,MOVE_DOWN2,2,FALSE()),FALSE()),VLOOKUP(G538,NGPREVPRICES,3,FALSE()),HLOOKUP(D538,Correllate,VLOOKUP(G538,CorMove,2,FALSE()),FALSE()),Q538-$CD$3,R538,$CJ$5)*H538</f>
        <v>#NAME?</v>
      </c>
      <c r="CK538" s="254" t="n">
        <f aca="false">I538</f>
        <v>0.4</v>
      </c>
      <c r="CM538" s="0" t="str">
        <f aca="false">CONCATENATE(CC538,$CD$6)</f>
        <v>36951Curve Shift/Gamma</v>
      </c>
      <c r="CN538" s="0" t="str">
        <f aca="false">CONCATENATE($CC538,$CE$6)</f>
        <v>36951Rho</v>
      </c>
      <c r="CO538" s="0" t="str">
        <f aca="false">CONCATENATE($CC538,$CF$6)</f>
        <v>36951Drift</v>
      </c>
      <c r="CP538" s="0" t="str">
        <f aca="false">CONCATENATE($CC538,$CG$6)</f>
        <v>36951Vega</v>
      </c>
      <c r="CQ538" s="0" t="str">
        <f aca="false">CONCATENATE($CC538,$CH$6)</f>
        <v>36951Theta</v>
      </c>
    </row>
    <row r="539" customFormat="false" ht="12.75" hidden="false" customHeight="false" outlineLevel="0" collapsed="false">
      <c r="A539" s="17" t="s">
        <v>345</v>
      </c>
      <c r="B539" s="0" t="s">
        <v>192</v>
      </c>
      <c r="C539" s="0" t="s">
        <v>380</v>
      </c>
      <c r="D539" s="7" t="s">
        <v>150</v>
      </c>
      <c r="E539" s="0" t="s">
        <v>131</v>
      </c>
      <c r="F539" s="0" t="s">
        <v>136</v>
      </c>
      <c r="G539" s="92" t="n">
        <v>36923</v>
      </c>
      <c r="H539" s="248" t="n">
        <v>-280000</v>
      </c>
      <c r="I539" s="0" t="n">
        <v>0.4</v>
      </c>
      <c r="J539" s="124" t="n">
        <f aca="false">VLOOKUP(G539,NGPrices,2,FALSE())</f>
        <v>4.48</v>
      </c>
      <c r="K539" s="125" t="n">
        <f aca="false">HLOOKUP(D539,Prices,VLOOKUP(G539,move_down,2,FALSE()),FALSE())+VLOOKUP(G539,CHANGE,HLOOKUP(D539,CHANGE,2,FALSE()),FALSE())</f>
        <v>0.295</v>
      </c>
      <c r="L539" s="124" t="n">
        <f aca="false">K539+J539</f>
        <v>4.775</v>
      </c>
      <c r="M539" s="126" t="n">
        <f aca="false">VLOOKUP(G539,NGPrices,4,FALSE())</f>
        <v>0.068640161611372</v>
      </c>
      <c r="N539" s="7" t="n">
        <f aca="false">VLOOKUP(G539,NGPrices,3,FALSE())</f>
        <v>0.5925</v>
      </c>
      <c r="O539" s="7" t="n">
        <f aca="false">HLOOKUP(D539,VOLS,VLOOKUP(G539,move_down,2,FALSE()),FALSE())</f>
        <v>0.593</v>
      </c>
      <c r="P539" s="249" t="n">
        <f aca="false">HLOOKUP(D539,Correllate,VLOOKUP(G539,CorMove,2,FALSE()),FALSE())</f>
        <v>0.99</v>
      </c>
      <c r="Q539" s="92" t="n">
        <f aca="false">WORKDAY(G539,-2)</f>
        <v>36921</v>
      </c>
      <c r="R539" s="7" t="n">
        <f aca="false">IF(F539="P",0,1)</f>
        <v>1</v>
      </c>
      <c r="S539" s="130" t="e">
        <f aca="false">xSPRDOPT($L539,$J539,$I539,$M539,$O539,$N539,$P539,$Q539-$C$3,$R539,0)</f>
        <v>#NAME?</v>
      </c>
      <c r="T539" s="250" t="e">
        <f aca="false">xSPRDOPT($L539,$J539,$I539,$M539,$O539,$N539,$P539,$Q539-$C$3,$R539,1)*H539</f>
        <v>#NAME?</v>
      </c>
      <c r="U539" s="43" t="e">
        <f aca="false">S539*H539</f>
        <v>#NAME?</v>
      </c>
      <c r="V539" s="250" t="e">
        <f aca="false">xSPRDOPT($L539,$J539,$I539,$M539,$O539,$N539,$P539,$Q539-$C$3,$R539,2)*H539</f>
        <v>#NAME?</v>
      </c>
      <c r="W539" s="250" t="e">
        <f aca="false">+V539+T539</f>
        <v>#NAME?</v>
      </c>
      <c r="X539" s="2" t="str">
        <f aca="false">CONCATENATE(G539,D539)</f>
        <v>36923IF-CGT/APPALAC</v>
      </c>
      <c r="Y539" s="251" t="n">
        <f aca="false">H539/10000</f>
        <v>-28</v>
      </c>
      <c r="Z539" s="226" t="e">
        <f aca="false">T539/H539</f>
        <v>#NAME?</v>
      </c>
      <c r="AA539" s="226" t="e">
        <f aca="false">xSPRDOPT($L539,$J539,$I539,$M539,$O539,$N539,$P539,$Q539-$C$3,$R539,3)</f>
        <v>#NAME?</v>
      </c>
      <c r="AB539" s="226" t="e">
        <f aca="false">((xSPRDOPT($L539+AB$5,$J539,$I539,$M539,$O539,$N539,$P539,$Q539-$C$3,$R539,3)*$H539)/10000)/100</f>
        <v>#NAME?</v>
      </c>
      <c r="AC539" s="226" t="e">
        <f aca="false">((xSPRDOPT($L539+$AB$5,$J539,$I539,$M539,$O539,$N539,$P539,$Q539-$C$3,$R539,7)*$H539)/100)</f>
        <v>#NAME?</v>
      </c>
      <c r="AD539" s="226" t="e">
        <f aca="false">(xSPRDOPT($L539+$AB$5,$J539,$I539,$M539,$O539,$N539,$P539,$Q539-$C$3,$R539,9)/365)*$H539</f>
        <v>#NAME?</v>
      </c>
      <c r="AE539" s="0" t="e">
        <f aca="false">CD539</f>
        <v>#NAME?</v>
      </c>
      <c r="AF539" s="226" t="e">
        <f aca="false">((O539/N539)*AH539)+AG539</f>
        <v>#NAME?</v>
      </c>
      <c r="AG539" s="226" t="e">
        <f aca="false">((xSPRDOPT($L539,$J539,$I539,$M539,$O539,$N539,$P539,$Q539-$C$3,$R539,6)*$H539)/100)</f>
        <v>#NAME?</v>
      </c>
      <c r="AH539" s="226" t="e">
        <f aca="false">((xSPRDOPT($L539,$J539,$I539,$M539,$O539,$N539,$P539,$Q539-$C$3,$R539,5)*$H539)/100)</f>
        <v>#NAME?</v>
      </c>
      <c r="AI539" s="226" t="e">
        <f aca="false">(((xSPRDOPT($L539,$J539,$I539,$M539,$O539,$N539,$P539,$Q539-$C$3,$R539,4)*$H539)/10000)/100)-AB539</f>
        <v>#NAME?</v>
      </c>
      <c r="AJ539" s="226"/>
      <c r="AK539" s="226"/>
      <c r="AL539" s="226"/>
      <c r="AM539" s="252"/>
      <c r="CC539" s="182" t="n">
        <f aca="false">G539</f>
        <v>36923</v>
      </c>
      <c r="CD539" s="253" t="e">
        <f aca="false">xSPRDOPT((VLOOKUP(G539,NGPrices,2,FALSE())+HLOOKUP(D539,Prices,VLOOKUP(G539,move_down,2,FALSE()),FALSE())),VLOOKUP(G539,NGPrices,2,FALSE()),I539,VLOOKUP(G539,NGPREVPRICES,4,FALSE()),HLOOKUP(D539,PREVVOLS,VLOOKUP(G539,MOVE_DOWN2,2,FALSE()),FALSE()),VLOOKUP(G539,NGPREVPRICES,3,FALSE()),HLOOKUP(D539,Correllate,VLOOKUP(G539,CorMove,2,FALSE()),FALSE()),Q539-$CD$3,R539,$CD$5)*H539-CJ539</f>
        <v>#NAME?</v>
      </c>
      <c r="CE539" s="253" t="e">
        <f aca="false">xSPRDOPT((VLOOKUP(G539,NGPREVPRICES,2,FALSE())+HLOOKUP(D539,PREVCURVES,VLOOKUP(G539,MOVE_DOWN2,2,FALSE()),FALSE())),VLOOKUP(G539,NGPREVPRICES,2,FALSE()),CK539,VLOOKUP(G539,NGPrices,4,FALSE()),HLOOKUP(D539,PREVVOLS,VLOOKUP(G539,MOVE_DOWN2,2,FALSE()),FALSE()),VLOOKUP(G539,NGPREVPRICES,3,FALSE()),HLOOKUP(D539,Correllate,VLOOKUP(G539,CorMove,2,FALSE()),FALSE()),Q539-$CD$3,R539,$CJ$5)*H539-CJ539</f>
        <v>#NAME?</v>
      </c>
      <c r="CF539" s="132" t="e">
        <f aca="false">(CJ539/VLOOKUP(CC539,discount,3,FALSE()))-(CJ539/VLOOKUP(CC539,discount,2,FALSE()))</f>
        <v>#NAME?</v>
      </c>
      <c r="CG539" s="253" t="e">
        <f aca="false">xSPRDOPT((VLOOKUP(G539,NGPREVPRICES,2,FALSE())+HLOOKUP(D539,PREVCURVES,VLOOKUP(G539,MOVE_DOWN2,2,FALSE()),FALSE())),VLOOKUP(G539,NGPREVPRICES,2,FALSE()),CK539,VLOOKUP(G539,NGPREVPRICES,4,FALSE()),HLOOKUP(D539,VOLS,VLOOKUP(G539,move_down,2,FALSE()),FALSE()),VLOOKUP(G539,NGPrices,3,FALSE()),HLOOKUP(D539,Correllate,VLOOKUP(G539,CorMove,2,FALSE()),FALSE()),Q539-$CD$3,R539,$CJ$5)*H539-CJ539</f>
        <v>#NAME?</v>
      </c>
      <c r="CH539" s="253" t="e">
        <f aca="false">xSPRDOPT((VLOOKUP(G539,NGPREVPRICES,2,FALSE())+HLOOKUP(D539,PREVCURVES,VLOOKUP(G539,MOVE_DOWN2,2,FALSE()),FALSE())),VLOOKUP(G539,NGPREVPRICES,2,FALSE()),CK539,VLOOKUP(G539,NGPREVPRICES,4,FALSE()),HLOOKUP(D539,PREVVOLS,VLOOKUP(G539,MOVE_DOWN2,2,FALSE()),FALSE()),VLOOKUP(G539,NGPREVPRICES,3,FALSE()),HLOOKUP(D539,Correllate,VLOOKUP(G539,CorMove,2,FALSE()),FALSE()),Q539-$C$3,R539,$CJ$5)*H539-CJ539</f>
        <v>#NAME?</v>
      </c>
      <c r="CI539" s="253" t="e">
        <f aca="false">SUM(CD539:CH539)</f>
        <v>#NAME?</v>
      </c>
      <c r="CJ539" s="253" t="e">
        <f aca="false">xSPRDOPT((VLOOKUP(G539,NGPREVPRICES,2,FALSE())+HLOOKUP(D539,PREVCURVES,VLOOKUP(G539,MOVE_DOWN2,2,FALSE()),FALSE())),VLOOKUP(G539,NGPREVPRICES,2,FALSE()),CK539,VLOOKUP(G539,NGPREVPRICES,4,FALSE()),HLOOKUP(D539,PREVVOLS,VLOOKUP(G539,MOVE_DOWN2,2,FALSE()),FALSE()),VLOOKUP(G539,NGPREVPRICES,3,FALSE()),HLOOKUP(D539,Correllate,VLOOKUP(G539,CorMove,2,FALSE()),FALSE()),Q539-$CD$3,R539,$CJ$5)*H539</f>
        <v>#NAME?</v>
      </c>
      <c r="CK539" s="254" t="n">
        <f aca="false">I539</f>
        <v>0.4</v>
      </c>
      <c r="CM539" s="0" t="str">
        <f aca="false">CONCATENATE(CC539,$CD$6)</f>
        <v>36923Curve Shift/Gamma</v>
      </c>
      <c r="CN539" s="0" t="str">
        <f aca="false">CONCATENATE($CC539,$CE$6)</f>
        <v>36923Rho</v>
      </c>
      <c r="CO539" s="0" t="str">
        <f aca="false">CONCATENATE($CC539,$CF$6)</f>
        <v>36923Drift</v>
      </c>
      <c r="CP539" s="0" t="str">
        <f aca="false">CONCATENATE($CC539,$CG$6)</f>
        <v>36923Vega</v>
      </c>
      <c r="CQ539" s="0" t="str">
        <f aca="false">CONCATENATE($CC539,$CH$6)</f>
        <v>36923Theta</v>
      </c>
    </row>
    <row r="540" customFormat="false" ht="12.75" hidden="false" customHeight="false" outlineLevel="0" collapsed="false">
      <c r="A540" s="17" t="s">
        <v>345</v>
      </c>
      <c r="B540" s="0" t="s">
        <v>192</v>
      </c>
      <c r="C540" s="0" t="s">
        <v>380</v>
      </c>
      <c r="D540" s="7" t="s">
        <v>150</v>
      </c>
      <c r="E540" s="0" t="s">
        <v>131</v>
      </c>
      <c r="F540" s="0" t="s">
        <v>136</v>
      </c>
      <c r="G540" s="92" t="n">
        <v>36892</v>
      </c>
      <c r="H540" s="248" t="n">
        <v>-310000</v>
      </c>
      <c r="I540" s="0" t="n">
        <v>0.4</v>
      </c>
      <c r="J540" s="124" t="n">
        <f aca="false">VLOOKUP(G540,NGPrices,2,FALSE())</f>
        <v>4.744</v>
      </c>
      <c r="K540" s="125" t="n">
        <f aca="false">HLOOKUP(D540,Prices,VLOOKUP(G540,move_down,2,FALSE()),FALSE())+VLOOKUP(G540,CHANGE,HLOOKUP(D540,CHANGE,2,FALSE()),FALSE())</f>
        <v>0.3</v>
      </c>
      <c r="L540" s="124" t="n">
        <f aca="false">K540+J540</f>
        <v>5.044</v>
      </c>
      <c r="M540" s="126" t="n">
        <f aca="false">VLOOKUP(G540,NGPrices,4,FALSE())</f>
        <v>0.068374831148491</v>
      </c>
      <c r="N540" s="7" t="n">
        <f aca="false">VLOOKUP(G540,NGPrices,3,FALSE())</f>
        <v>0.605</v>
      </c>
      <c r="O540" s="7" t="n">
        <f aca="false">HLOOKUP(D540,VOLS,VLOOKUP(G540,move_down,2,FALSE()),FALSE())</f>
        <v>0.605</v>
      </c>
      <c r="P540" s="249" t="n">
        <f aca="false">HLOOKUP(D540,Correllate,VLOOKUP(G540,CorMove,2,FALSE()),FALSE())</f>
        <v>0.99</v>
      </c>
      <c r="Q540" s="92" t="n">
        <f aca="false">WORKDAY(G540,-2)</f>
        <v>36888</v>
      </c>
      <c r="R540" s="7" t="n">
        <f aca="false">IF(F540="P",0,1)</f>
        <v>1</v>
      </c>
      <c r="S540" s="130" t="e">
        <f aca="false">xSPRDOPT($L540,$J540,$I540,$M540,$O540,$N540,$P540,$Q540-$C$3,$R540,0)</f>
        <v>#NAME?</v>
      </c>
      <c r="T540" s="250" t="e">
        <f aca="false">xSPRDOPT($L540,$J540,$I540,$M540,$O540,$N540,$P540,$Q540-$C$3,$R540,1)*H540</f>
        <v>#NAME?</v>
      </c>
      <c r="U540" s="43" t="e">
        <f aca="false">S540*H540</f>
        <v>#NAME?</v>
      </c>
      <c r="V540" s="250" t="e">
        <f aca="false">xSPRDOPT($L540,$J540,$I540,$M540,$O540,$N540,$P540,$Q540-$C$3,$R540,2)*H540</f>
        <v>#NAME?</v>
      </c>
      <c r="W540" s="250" t="e">
        <f aca="false">+V540+T540</f>
        <v>#NAME?</v>
      </c>
      <c r="X540" s="2" t="str">
        <f aca="false">CONCATENATE(G540,D540)</f>
        <v>36892IF-CGT/APPALAC</v>
      </c>
      <c r="Y540" s="251" t="n">
        <f aca="false">H540/10000</f>
        <v>-31</v>
      </c>
      <c r="Z540" s="226" t="e">
        <f aca="false">T540/H540</f>
        <v>#NAME?</v>
      </c>
      <c r="AA540" s="226" t="e">
        <f aca="false">xSPRDOPT($L540,$J540,$I540,$M540,$O540,$N540,$P540,$Q540-$C$3,$R540,3)</f>
        <v>#NAME?</v>
      </c>
      <c r="AB540" s="226" t="e">
        <f aca="false">((xSPRDOPT($L540+AB$5,$J540,$I540,$M540,$O540,$N540,$P540,$Q540-$C$3,$R540,3)*$H540)/10000)/100</f>
        <v>#NAME?</v>
      </c>
      <c r="AC540" s="226" t="e">
        <f aca="false">((xSPRDOPT($L540+$AB$5,$J540,$I540,$M540,$O540,$N540,$P540,$Q540-$C$3,$R540,7)*$H540)/100)</f>
        <v>#NAME?</v>
      </c>
      <c r="AD540" s="226" t="e">
        <f aca="false">(xSPRDOPT($L540+$AB$5,$J540,$I540,$M540,$O540,$N540,$P540,$Q540-$C$3,$R540,9)/365)*$H540</f>
        <v>#NAME?</v>
      </c>
      <c r="AE540" s="0" t="e">
        <f aca="false">CD540</f>
        <v>#NAME?</v>
      </c>
      <c r="AF540" s="226" t="e">
        <f aca="false">((O540/N540)*AH540)+AG540</f>
        <v>#NAME?</v>
      </c>
      <c r="AG540" s="226" t="e">
        <f aca="false">((xSPRDOPT($L540,$J540,$I540,$M540,$O540,$N540,$P540,$Q540-$C$3,$R540,6)*$H540)/100)</f>
        <v>#NAME?</v>
      </c>
      <c r="AH540" s="226" t="e">
        <f aca="false">((xSPRDOPT($L540,$J540,$I540,$M540,$O540,$N540,$P540,$Q540-$C$3,$R540,5)*$H540)/100)</f>
        <v>#NAME?</v>
      </c>
      <c r="AI540" s="226" t="e">
        <f aca="false">(((xSPRDOPT($L540,$J540,$I540,$M540,$O540,$N540,$P540,$Q540-$C$3,$R540,4)*$H540)/10000)/100)-AB540</f>
        <v>#NAME?</v>
      </c>
      <c r="AJ540" s="226"/>
      <c r="AK540" s="226"/>
      <c r="AL540" s="226"/>
      <c r="AM540" s="252"/>
      <c r="CC540" s="182" t="n">
        <f aca="false">G540</f>
        <v>36892</v>
      </c>
      <c r="CD540" s="253" t="e">
        <f aca="false">xSPRDOPT((VLOOKUP(G540,NGPrices,2,FALSE())+HLOOKUP(D540,Prices,VLOOKUP(G540,move_down,2,FALSE()),FALSE())),VLOOKUP(G540,NGPrices,2,FALSE()),I540,VLOOKUP(G540,NGPREVPRICES,4,FALSE()),HLOOKUP(D540,PREVVOLS,VLOOKUP(G540,MOVE_DOWN2,2,FALSE()),FALSE()),VLOOKUP(G540,NGPREVPRICES,3,FALSE()),HLOOKUP(D540,Correllate,VLOOKUP(G540,CorMove,2,FALSE()),FALSE()),Q540-$CD$3,R540,$CD$5)*H540-CJ540</f>
        <v>#NAME?</v>
      </c>
      <c r="CE540" s="253" t="e">
        <f aca="false">xSPRDOPT((VLOOKUP(G540,NGPREVPRICES,2,FALSE())+HLOOKUP(D540,PREVCURVES,VLOOKUP(G540,MOVE_DOWN2,2,FALSE()),FALSE())),VLOOKUP(G540,NGPREVPRICES,2,FALSE()),CK540,VLOOKUP(G540,NGPrices,4,FALSE()),HLOOKUP(D540,PREVVOLS,VLOOKUP(G540,MOVE_DOWN2,2,FALSE()),FALSE()),VLOOKUP(G540,NGPREVPRICES,3,FALSE()),HLOOKUP(D540,Correllate,VLOOKUP(G540,CorMove,2,FALSE()),FALSE()),Q540-$CD$3,R540,$CJ$5)*H540-CJ540</f>
        <v>#NAME?</v>
      </c>
      <c r="CF540" s="132" t="e">
        <f aca="false">(CJ540/VLOOKUP(CC540,discount,3,FALSE()))-(CJ540/VLOOKUP(CC540,discount,2,FALSE()))</f>
        <v>#NAME?</v>
      </c>
      <c r="CG540" s="253" t="e">
        <f aca="false">xSPRDOPT((VLOOKUP(G540,NGPREVPRICES,2,FALSE())+HLOOKUP(D540,PREVCURVES,VLOOKUP(G540,MOVE_DOWN2,2,FALSE()),FALSE())),VLOOKUP(G540,NGPREVPRICES,2,FALSE()),CK540,VLOOKUP(G540,NGPREVPRICES,4,FALSE()),HLOOKUP(D540,VOLS,VLOOKUP(G540,move_down,2,FALSE()),FALSE()),VLOOKUP(G540,NGPrices,3,FALSE()),HLOOKUP(D540,Correllate,VLOOKUP(G540,CorMove,2,FALSE()),FALSE()),Q540-$CD$3,R540,$CJ$5)*H540-CJ540</f>
        <v>#NAME?</v>
      </c>
      <c r="CH540" s="253" t="e">
        <f aca="false">xSPRDOPT((VLOOKUP(G540,NGPREVPRICES,2,FALSE())+HLOOKUP(D540,PREVCURVES,VLOOKUP(G540,MOVE_DOWN2,2,FALSE()),FALSE())),VLOOKUP(G540,NGPREVPRICES,2,FALSE()),CK540,VLOOKUP(G540,NGPREVPRICES,4,FALSE()),HLOOKUP(D540,PREVVOLS,VLOOKUP(G540,MOVE_DOWN2,2,FALSE()),FALSE()),VLOOKUP(G540,NGPREVPRICES,3,FALSE()),HLOOKUP(D540,Correllate,VLOOKUP(G540,CorMove,2,FALSE()),FALSE()),Q540-$C$3,R540,$CJ$5)*H540-CJ540</f>
        <v>#NAME?</v>
      </c>
      <c r="CI540" s="253" t="e">
        <f aca="false">SUM(CD540:CH540)</f>
        <v>#NAME?</v>
      </c>
      <c r="CJ540" s="253" t="e">
        <f aca="false">xSPRDOPT((VLOOKUP(G540,NGPREVPRICES,2,FALSE())+HLOOKUP(D540,PREVCURVES,VLOOKUP(G540,MOVE_DOWN2,2,FALSE()),FALSE())),VLOOKUP(G540,NGPREVPRICES,2,FALSE()),CK540,VLOOKUP(G540,NGPREVPRICES,4,FALSE()),HLOOKUP(D540,PREVVOLS,VLOOKUP(G540,MOVE_DOWN2,2,FALSE()),FALSE()),VLOOKUP(G540,NGPREVPRICES,3,FALSE()),HLOOKUP(D540,Correllate,VLOOKUP(G540,CorMove,2,FALSE()),FALSE()),Q540-$CD$3,R540,$CJ$5)*H540</f>
        <v>#NAME?</v>
      </c>
      <c r="CK540" s="254" t="n">
        <f aca="false">I540</f>
        <v>0.4</v>
      </c>
      <c r="CM540" s="0" t="str">
        <f aca="false">CONCATENATE(CC540,$CD$6)</f>
        <v>36892Curve Shift/Gamma</v>
      </c>
      <c r="CN540" s="0" t="str">
        <f aca="false">CONCATENATE($CC540,$CE$6)</f>
        <v>36892Rho</v>
      </c>
      <c r="CO540" s="0" t="str">
        <f aca="false">CONCATENATE($CC540,$CF$6)</f>
        <v>36892Drift</v>
      </c>
      <c r="CP540" s="0" t="str">
        <f aca="false">CONCATENATE($CC540,$CG$6)</f>
        <v>36892Vega</v>
      </c>
      <c r="CQ540" s="0" t="str">
        <f aca="false">CONCATENATE($CC540,$CH$6)</f>
        <v>36892Theta</v>
      </c>
    </row>
    <row r="541" customFormat="false" ht="12.75" hidden="false" customHeight="false" outlineLevel="0" collapsed="false">
      <c r="A541" s="17" t="s">
        <v>345</v>
      </c>
      <c r="B541" s="0" t="s">
        <v>192</v>
      </c>
      <c r="C541" s="0" t="s">
        <v>380</v>
      </c>
      <c r="D541" s="7" t="s">
        <v>150</v>
      </c>
      <c r="E541" s="0" t="s">
        <v>131</v>
      </c>
      <c r="F541" s="0" t="s">
        <v>136</v>
      </c>
      <c r="G541" s="92" t="n">
        <v>36861</v>
      </c>
      <c r="H541" s="248" t="n">
        <v>-310000</v>
      </c>
      <c r="I541" s="0" t="n">
        <v>0.4</v>
      </c>
      <c r="J541" s="124" t="n">
        <f aca="false">VLOOKUP(G541,NGPrices,2,FALSE())</f>
        <v>4.8</v>
      </c>
      <c r="K541" s="125" t="n">
        <f aca="false">HLOOKUP(D541,Prices,VLOOKUP(G541,move_down,2,FALSE()),FALSE())+VLOOKUP(G541,CHANGE,HLOOKUP(D541,CHANGE,2,FALSE()),FALSE())</f>
        <v>0.295</v>
      </c>
      <c r="L541" s="124" t="n">
        <f aca="false">K541+J541</f>
        <v>5.095</v>
      </c>
      <c r="M541" s="126" t="n">
        <f aca="false">VLOOKUP(G541,NGPrices,4,FALSE())</f>
        <v>0.068314027999354</v>
      </c>
      <c r="N541" s="7" t="n">
        <f aca="false">VLOOKUP(G541,NGPrices,3,FALSE())</f>
        <v>0.6</v>
      </c>
      <c r="O541" s="7" t="n">
        <f aca="false">HLOOKUP(D541,VOLS,VLOOKUP(G541,move_down,2,FALSE()),FALSE())</f>
        <v>0.6</v>
      </c>
      <c r="P541" s="249" t="n">
        <f aca="false">HLOOKUP(D541,Correllate,VLOOKUP(G541,CorMove,2,FALSE()),FALSE())</f>
        <v>0.99</v>
      </c>
      <c r="Q541" s="92" t="n">
        <f aca="false">WORKDAY(G541,-2)</f>
        <v>36859</v>
      </c>
      <c r="R541" s="7" t="n">
        <f aca="false">IF(F541="P",0,1)</f>
        <v>1</v>
      </c>
      <c r="S541" s="130" t="e">
        <f aca="false">xSPRDOPT($L541,$J541,$I541,$M541,$O541,$N541,$P541,$Q541-$C$3,$R541,0)</f>
        <v>#NAME?</v>
      </c>
      <c r="T541" s="250" t="e">
        <f aca="false">xSPRDOPT($L541,$J541,$I541,$M541,$O541,$N541,$P541,$Q541-$C$3,$R541,1)*H541</f>
        <v>#NAME?</v>
      </c>
      <c r="U541" s="43" t="e">
        <f aca="false">S541*H541</f>
        <v>#NAME?</v>
      </c>
      <c r="V541" s="250" t="e">
        <f aca="false">xSPRDOPT($L541,$J541,$I541,$M541,$O541,$N541,$P541,$Q541-$C$3,$R541,2)*H541</f>
        <v>#NAME?</v>
      </c>
      <c r="W541" s="250" t="e">
        <f aca="false">+V541+T541</f>
        <v>#NAME?</v>
      </c>
      <c r="X541" s="2" t="str">
        <f aca="false">CONCATENATE(G541,D541)</f>
        <v>36861IF-CGT/APPALAC</v>
      </c>
      <c r="Y541" s="251" t="n">
        <f aca="false">H541/10000</f>
        <v>-31</v>
      </c>
      <c r="Z541" s="226" t="e">
        <f aca="false">T541/H541</f>
        <v>#NAME?</v>
      </c>
      <c r="AA541" s="226" t="e">
        <f aca="false">xSPRDOPT($L541,$J541,$I541,$M541,$O541,$N541,$P541,$Q541-$C$3,$R541,3)</f>
        <v>#NAME?</v>
      </c>
      <c r="AB541" s="226" t="e">
        <f aca="false">((xSPRDOPT($L541+AB$5,$J541,$I541,$M541,$O541,$N541,$P541,$Q541-$C$3,$R541,3)*$H541)/10000)/100</f>
        <v>#NAME?</v>
      </c>
      <c r="AC541" s="226" t="e">
        <f aca="false">((xSPRDOPT($L541+$AB$5,$J541,$I541,$M541,$O541,$N541,$P541,$Q541-$C$3,$R541,7)*$H541)/100)</f>
        <v>#NAME?</v>
      </c>
      <c r="AD541" s="226" t="e">
        <f aca="false">(xSPRDOPT($L541+$AB$5,$J541,$I541,$M541,$O541,$N541,$P541,$Q541-$C$3,$R541,9)/365)*$H541</f>
        <v>#NAME?</v>
      </c>
      <c r="AE541" s="0" t="e">
        <f aca="false">CD541</f>
        <v>#NAME?</v>
      </c>
      <c r="AF541" s="226" t="e">
        <f aca="false">((O541/N541)*AH541)+AG541</f>
        <v>#NAME?</v>
      </c>
      <c r="AG541" s="226" t="e">
        <f aca="false">((xSPRDOPT($L541,$J541,$I541,$M541,$O541,$N541,$P541,$Q541-$C$3,$R541,6)*$H541)/100)</f>
        <v>#NAME?</v>
      </c>
      <c r="AH541" s="226" t="e">
        <f aca="false">((xSPRDOPT($L541,$J541,$I541,$M541,$O541,$N541,$P541,$Q541-$C$3,$R541,5)*$H541)/100)</f>
        <v>#NAME?</v>
      </c>
      <c r="AI541" s="226" t="e">
        <f aca="false">(((xSPRDOPT($L541,$J541,$I541,$M541,$O541,$N541,$P541,$Q541-$C$3,$R541,4)*$H541)/10000)/100)-AB541</f>
        <v>#NAME?</v>
      </c>
      <c r="AJ541" s="226"/>
      <c r="AK541" s="226"/>
      <c r="AL541" s="226"/>
      <c r="AM541" s="252"/>
      <c r="CC541" s="182" t="n">
        <f aca="false">G541</f>
        <v>36861</v>
      </c>
      <c r="CD541" s="253" t="e">
        <f aca="false">xSPRDOPT((VLOOKUP(G541,NGPrices,2,FALSE())+HLOOKUP(D541,Prices,VLOOKUP(G541,move_down,2,FALSE()),FALSE())),VLOOKUP(G541,NGPrices,2,FALSE()),I541,VLOOKUP(G541,NGPREVPRICES,4,FALSE()),HLOOKUP(D541,PREVVOLS,VLOOKUP(G541,MOVE_DOWN2,2,FALSE()),FALSE()),VLOOKUP(G541,NGPREVPRICES,3,FALSE()),HLOOKUP(D541,Correllate,VLOOKUP(G541,CorMove,2,FALSE()),FALSE()),Q541-$CD$3,R541,$CD$5)*H541-CJ541</f>
        <v>#NAME?</v>
      </c>
      <c r="CE541" s="253" t="e">
        <f aca="false">xSPRDOPT((VLOOKUP(G541,NGPREVPRICES,2,FALSE())+HLOOKUP(D541,PREVCURVES,VLOOKUP(G541,MOVE_DOWN2,2,FALSE()),FALSE())),VLOOKUP(G541,NGPREVPRICES,2,FALSE()),CK541,VLOOKUP(G541,NGPrices,4,FALSE()),HLOOKUP(D541,PREVVOLS,VLOOKUP(G541,MOVE_DOWN2,2,FALSE()),FALSE()),VLOOKUP(G541,NGPREVPRICES,3,FALSE()),HLOOKUP(D541,Correllate,VLOOKUP(G541,CorMove,2,FALSE()),FALSE()),Q541-$CD$3,R541,$CJ$5)*H541-CJ541</f>
        <v>#NAME?</v>
      </c>
      <c r="CF541" s="132" t="e">
        <f aca="false">(CJ541/VLOOKUP(CC541,discount,3,FALSE()))-(CJ541/VLOOKUP(CC541,discount,2,FALSE()))</f>
        <v>#NAME?</v>
      </c>
      <c r="CG541" s="253" t="e">
        <f aca="false">xSPRDOPT((VLOOKUP(G541,NGPREVPRICES,2,FALSE())+HLOOKUP(D541,PREVCURVES,VLOOKUP(G541,MOVE_DOWN2,2,FALSE()),FALSE())),VLOOKUP(G541,NGPREVPRICES,2,FALSE()),CK541,VLOOKUP(G541,NGPREVPRICES,4,FALSE()),HLOOKUP(D541,VOLS,VLOOKUP(G541,move_down,2,FALSE()),FALSE()),VLOOKUP(G541,NGPrices,3,FALSE()),HLOOKUP(D541,Correllate,VLOOKUP(G541,CorMove,2,FALSE()),FALSE()),Q541-$CD$3,R541,$CJ$5)*H541-CJ541</f>
        <v>#NAME?</v>
      </c>
      <c r="CH541" s="253" t="e">
        <f aca="false">xSPRDOPT((VLOOKUP(G541,NGPREVPRICES,2,FALSE())+HLOOKUP(D541,PREVCURVES,VLOOKUP(G541,MOVE_DOWN2,2,FALSE()),FALSE())),VLOOKUP(G541,NGPREVPRICES,2,FALSE()),CK541,VLOOKUP(G541,NGPREVPRICES,4,FALSE()),HLOOKUP(D541,PREVVOLS,VLOOKUP(G541,MOVE_DOWN2,2,FALSE()),FALSE()),VLOOKUP(G541,NGPREVPRICES,3,FALSE()),HLOOKUP(D541,Correllate,VLOOKUP(G541,CorMove,2,FALSE()),FALSE()),Q541-$C$3,R541,$CJ$5)*H541-CJ541</f>
        <v>#NAME?</v>
      </c>
      <c r="CI541" s="253" t="e">
        <f aca="false">SUM(CD541:CH541)</f>
        <v>#NAME?</v>
      </c>
      <c r="CJ541" s="253" t="e">
        <f aca="false">xSPRDOPT((VLOOKUP(G541,NGPREVPRICES,2,FALSE())+HLOOKUP(D541,PREVCURVES,VLOOKUP(G541,MOVE_DOWN2,2,FALSE()),FALSE())),VLOOKUP(G541,NGPREVPRICES,2,FALSE()),CK541,VLOOKUP(G541,NGPREVPRICES,4,FALSE()),HLOOKUP(D541,PREVVOLS,VLOOKUP(G541,MOVE_DOWN2,2,FALSE()),FALSE()),VLOOKUP(G541,NGPREVPRICES,3,FALSE()),HLOOKUP(D541,Correllate,VLOOKUP(G541,CorMove,2,FALSE()),FALSE()),Q541-$CD$3,R541,$CJ$5)*H541</f>
        <v>#NAME?</v>
      </c>
      <c r="CK541" s="254" t="n">
        <f aca="false">I541</f>
        <v>0.4</v>
      </c>
      <c r="CM541" s="0" t="str">
        <f aca="false">CONCATENATE(CC541,$CD$6)</f>
        <v>36861Curve Shift/Gamma</v>
      </c>
      <c r="CN541" s="0" t="str">
        <f aca="false">CONCATENATE($CC541,$CE$6)</f>
        <v>36861Rho</v>
      </c>
      <c r="CO541" s="0" t="str">
        <f aca="false">CONCATENATE($CC541,$CF$6)</f>
        <v>36861Drift</v>
      </c>
      <c r="CP541" s="0" t="str">
        <f aca="false">CONCATENATE($CC541,$CG$6)</f>
        <v>36861Vega</v>
      </c>
      <c r="CQ541" s="0" t="str">
        <f aca="false">CONCATENATE($CC541,$CH$6)</f>
        <v>36861Theta</v>
      </c>
    </row>
    <row r="542" customFormat="false" ht="12.75" hidden="false" customHeight="false" outlineLevel="0" collapsed="false">
      <c r="A542" s="17" t="s">
        <v>345</v>
      </c>
      <c r="B542" s="0" t="s">
        <v>192</v>
      </c>
      <c r="C542" s="0" t="s">
        <v>380</v>
      </c>
      <c r="D542" s="7" t="s">
        <v>150</v>
      </c>
      <c r="E542" s="0" t="s">
        <v>131</v>
      </c>
      <c r="F542" s="0" t="s">
        <v>136</v>
      </c>
      <c r="G542" s="92" t="n">
        <v>36831</v>
      </c>
      <c r="H542" s="248" t="n">
        <v>-300000</v>
      </c>
      <c r="I542" s="0" t="n">
        <v>0.4</v>
      </c>
      <c r="J542" s="124" t="n">
        <f aca="false">VLOOKUP(G542,NGPrices,2,FALSE())</f>
        <v>4.736</v>
      </c>
      <c r="K542" s="125" t="n">
        <f aca="false">HLOOKUP(D542,Prices,VLOOKUP(G542,move_down,2,FALSE()),FALSE())+VLOOKUP(G542,CHANGE,HLOOKUP(D542,CHANGE,2,FALSE()),FALSE())</f>
        <v>0.265</v>
      </c>
      <c r="L542" s="124" t="n">
        <f aca="false">K542+J542</f>
        <v>5.001</v>
      </c>
      <c r="M542" s="126" t="n">
        <f aca="false">VLOOKUP(G542,NGPrices,4,FALSE())</f>
        <v>0.06810675983792</v>
      </c>
      <c r="N542" s="7" t="n">
        <f aca="false">VLOOKUP(G542,NGPrices,3,FALSE())</f>
        <v>0.595</v>
      </c>
      <c r="O542" s="7" t="n">
        <f aca="false">HLOOKUP(D542,VOLS,VLOOKUP(G542,move_down,2,FALSE()),FALSE())</f>
        <v>0.595</v>
      </c>
      <c r="P542" s="249" t="n">
        <f aca="false">HLOOKUP(D542,Correllate,VLOOKUP(G542,CorMove,2,FALSE()),FALSE())</f>
        <v>0.99</v>
      </c>
      <c r="Q542" s="92" t="n">
        <f aca="false">WORKDAY(G542,-2)</f>
        <v>36829</v>
      </c>
      <c r="R542" s="7" t="n">
        <f aca="false">IF(F542="P",0,1)</f>
        <v>1</v>
      </c>
      <c r="S542" s="130" t="e">
        <f aca="false">xSPRDOPT($L542,$J542,$I542,$M542,$O542,$N542,$P542,$Q542-$C$3,$R542,0)</f>
        <v>#NAME?</v>
      </c>
      <c r="T542" s="250" t="e">
        <f aca="false">xSPRDOPT($L542,$J542,$I542,$M542,$O542,$N542,$P542,$Q542-$C$3,$R542,1)*H542</f>
        <v>#NAME?</v>
      </c>
      <c r="U542" s="43" t="e">
        <f aca="false">S542*H542</f>
        <v>#NAME?</v>
      </c>
      <c r="V542" s="250" t="e">
        <f aca="false">xSPRDOPT($L542,$J542,$I542,$M542,$O542,$N542,$P542,$Q542-$C$3,$R542,2)*H542</f>
        <v>#NAME?</v>
      </c>
      <c r="W542" s="250" t="e">
        <f aca="false">+V542+T542</f>
        <v>#NAME?</v>
      </c>
      <c r="X542" s="2" t="str">
        <f aca="false">CONCATENATE(G542,D542)</f>
        <v>36831IF-CGT/APPALAC</v>
      </c>
      <c r="Y542" s="251" t="n">
        <f aca="false">H542/10000</f>
        <v>-30</v>
      </c>
      <c r="Z542" s="226" t="e">
        <f aca="false">T542/H542</f>
        <v>#NAME?</v>
      </c>
      <c r="AA542" s="226" t="e">
        <f aca="false">xSPRDOPT($L542,$J542,$I542,$M542,$O542,$N542,$P542,$Q542-$C$3,$R542,3)</f>
        <v>#NAME?</v>
      </c>
      <c r="AB542" s="226" t="e">
        <f aca="false">((xSPRDOPT($L542+AB$5,$J542,$I542,$M542,$O542,$N542,$P542,$Q542-$C$3,$R542,3)*$H542)/10000)/100</f>
        <v>#NAME?</v>
      </c>
      <c r="AC542" s="226" t="e">
        <f aca="false">((xSPRDOPT($L542+$AB$5,$J542,$I542,$M542,$O542,$N542,$P542,$Q542-$C$3,$R542,7)*$H542)/100)</f>
        <v>#NAME?</v>
      </c>
      <c r="AD542" s="226" t="e">
        <f aca="false">(xSPRDOPT($L542+$AB$5,$J542,$I542,$M542,$O542,$N542,$P542,$Q542-$C$3,$R542,9)/365)*$H542</f>
        <v>#NAME?</v>
      </c>
      <c r="AE542" s="0" t="e">
        <f aca="false">CD542</f>
        <v>#NAME?</v>
      </c>
      <c r="AF542" s="226" t="e">
        <f aca="false">((O542/N542)*AH542)+AG542</f>
        <v>#NAME?</v>
      </c>
      <c r="AG542" s="226" t="e">
        <f aca="false">((xSPRDOPT($L542,$J542,$I542,$M542,$O542,$N542,$P542,$Q542-$C$3,$R542,6)*$H542)/100)</f>
        <v>#NAME?</v>
      </c>
      <c r="AH542" s="226" t="e">
        <f aca="false">((xSPRDOPT($L542,$J542,$I542,$M542,$O542,$N542,$P542,$Q542-$C$3,$R542,5)*$H542)/100)</f>
        <v>#NAME?</v>
      </c>
      <c r="AI542" s="226" t="e">
        <f aca="false">(((xSPRDOPT($L542,$J542,$I542,$M542,$O542,$N542,$P542,$Q542-$C$3,$R542,4)*$H542)/10000)/100)-AB542</f>
        <v>#NAME?</v>
      </c>
      <c r="AJ542" s="226"/>
      <c r="AK542" s="226"/>
      <c r="AL542" s="226"/>
      <c r="AM542" s="252"/>
      <c r="CC542" s="182" t="n">
        <f aca="false">G542</f>
        <v>36831</v>
      </c>
      <c r="CD542" s="253" t="e">
        <f aca="false">xSPRDOPT((VLOOKUP(G542,NGPrices,2,FALSE())+HLOOKUP(D542,Prices,VLOOKUP(G542,move_down,2,FALSE()),FALSE())),VLOOKUP(G542,NGPrices,2,FALSE()),I542,VLOOKUP(G542,NGPREVPRICES,4,FALSE()),HLOOKUP(D542,PREVVOLS,VLOOKUP(G542,MOVE_DOWN2,2,FALSE()),FALSE()),VLOOKUP(G542,NGPREVPRICES,3,FALSE()),HLOOKUP(D542,Correllate,VLOOKUP(G542,CorMove,2,FALSE()),FALSE()),Q542-$CD$3,R542,$CD$5)*H542-CJ542</f>
        <v>#NAME?</v>
      </c>
      <c r="CE542" s="253" t="e">
        <f aca="false">xSPRDOPT((VLOOKUP(G542,NGPREVPRICES,2,FALSE())+HLOOKUP(D542,PREVCURVES,VLOOKUP(G542,MOVE_DOWN2,2,FALSE()),FALSE())),VLOOKUP(G542,NGPREVPRICES,2,FALSE()),CK542,VLOOKUP(G542,NGPrices,4,FALSE()),HLOOKUP(D542,PREVVOLS,VLOOKUP(G542,MOVE_DOWN2,2,FALSE()),FALSE()),VLOOKUP(G542,NGPREVPRICES,3,FALSE()),HLOOKUP(D542,Correllate,VLOOKUP(G542,CorMove,2,FALSE()),FALSE()),Q542-$CD$3,R542,$CJ$5)*H542-CJ542</f>
        <v>#NAME?</v>
      </c>
      <c r="CF542" s="132" t="e">
        <f aca="false">(CJ542/VLOOKUP(CC542,discount,3,FALSE()))-(CJ542/VLOOKUP(CC542,discount,2,FALSE()))</f>
        <v>#NAME?</v>
      </c>
      <c r="CG542" s="253" t="e">
        <f aca="false">xSPRDOPT((VLOOKUP(G542,NGPREVPRICES,2,FALSE())+HLOOKUP(D542,PREVCURVES,VLOOKUP(G542,MOVE_DOWN2,2,FALSE()),FALSE())),VLOOKUP(G542,NGPREVPRICES,2,FALSE()),CK542,VLOOKUP(G542,NGPREVPRICES,4,FALSE()),HLOOKUP(D542,VOLS,VLOOKUP(G542,move_down,2,FALSE()),FALSE()),VLOOKUP(G542,NGPrices,3,FALSE()),HLOOKUP(D542,Correllate,VLOOKUP(G542,CorMove,2,FALSE()),FALSE()),Q542-$CD$3,R542,$CJ$5)*H542-CJ542</f>
        <v>#NAME?</v>
      </c>
      <c r="CH542" s="253" t="e">
        <f aca="false">xSPRDOPT((VLOOKUP(G542,NGPREVPRICES,2,FALSE())+HLOOKUP(D542,PREVCURVES,VLOOKUP(G542,MOVE_DOWN2,2,FALSE()),FALSE())),VLOOKUP(G542,NGPREVPRICES,2,FALSE()),CK542,VLOOKUP(G542,NGPREVPRICES,4,FALSE()),HLOOKUP(D542,PREVVOLS,VLOOKUP(G542,MOVE_DOWN2,2,FALSE()),FALSE()),VLOOKUP(G542,NGPREVPRICES,3,FALSE()),HLOOKUP(D542,Correllate,VLOOKUP(G542,CorMove,2,FALSE()),FALSE()),Q542-$C$3,R542,$CJ$5)*H542-CJ542</f>
        <v>#NAME?</v>
      </c>
      <c r="CI542" s="253" t="e">
        <f aca="false">SUM(CD542:CH542)</f>
        <v>#NAME?</v>
      </c>
      <c r="CJ542" s="253" t="e">
        <f aca="false">xSPRDOPT((VLOOKUP(G542,NGPREVPRICES,2,FALSE())+HLOOKUP(D542,PREVCURVES,VLOOKUP(G542,MOVE_DOWN2,2,FALSE()),FALSE())),VLOOKUP(G542,NGPREVPRICES,2,FALSE()),CK542,VLOOKUP(G542,NGPREVPRICES,4,FALSE()),HLOOKUP(D542,PREVVOLS,VLOOKUP(G542,MOVE_DOWN2,2,FALSE()),FALSE()),VLOOKUP(G542,NGPREVPRICES,3,FALSE()),HLOOKUP(D542,Correllate,VLOOKUP(G542,CorMove,2,FALSE()),FALSE()),Q542-$CD$3,R542,$CJ$5)*H542</f>
        <v>#NAME?</v>
      </c>
      <c r="CK542" s="254" t="n">
        <f aca="false">I542</f>
        <v>0.4</v>
      </c>
      <c r="CM542" s="0" t="str">
        <f aca="false">CONCATENATE(CC542,$CD$6)</f>
        <v>36831Curve Shift/Gamma</v>
      </c>
      <c r="CN542" s="0" t="str">
        <f aca="false">CONCATENATE($CC542,$CE$6)</f>
        <v>36831Rho</v>
      </c>
      <c r="CO542" s="0" t="str">
        <f aca="false">CONCATENATE($CC542,$CF$6)</f>
        <v>36831Drift</v>
      </c>
      <c r="CP542" s="0" t="str">
        <f aca="false">CONCATENATE($CC542,$CG$6)</f>
        <v>36831Vega</v>
      </c>
      <c r="CQ542" s="0" t="str">
        <f aca="false">CONCATENATE($CC542,$CH$6)</f>
        <v>36831Theta</v>
      </c>
    </row>
    <row r="543" customFormat="false" ht="12.75" hidden="false" customHeight="false" outlineLevel="0" collapsed="false">
      <c r="A543" s="17" t="s">
        <v>345</v>
      </c>
      <c r="B543" s="0" t="s">
        <v>192</v>
      </c>
      <c r="C543" s="0" t="s">
        <v>381</v>
      </c>
      <c r="D543" s="7" t="s">
        <v>157</v>
      </c>
      <c r="E543" s="0" t="s">
        <v>131</v>
      </c>
      <c r="F543" s="0" t="s">
        <v>136</v>
      </c>
      <c r="G543" s="92" t="n">
        <v>36951</v>
      </c>
      <c r="H543" s="248" t="n">
        <v>-310000</v>
      </c>
      <c r="I543" s="0" t="n">
        <v>0.5</v>
      </c>
      <c r="J543" s="124" t="n">
        <f aca="false">VLOOKUP(G543,NGPrices,2,FALSE())</f>
        <v>4.213</v>
      </c>
      <c r="K543" s="125" t="n">
        <f aca="false">HLOOKUP(D543,Prices,VLOOKUP(G543,move_down,2,FALSE()),FALSE())+VLOOKUP(G543,CHANGE,HLOOKUP(D543,CHANGE,2,FALSE()),FALSE())</f>
        <v>0.36</v>
      </c>
      <c r="L543" s="124" t="n">
        <f aca="false">K543+J543</f>
        <v>4.573</v>
      </c>
      <c r="M543" s="126" t="n">
        <f aca="false">VLOOKUP(G543,NGPrices,4,FALSE())</f>
        <v>0.068879814952707</v>
      </c>
      <c r="N543" s="7" t="n">
        <f aca="false">VLOOKUP(G543,NGPrices,3,FALSE())</f>
        <v>0.5325</v>
      </c>
      <c r="O543" s="7" t="n">
        <f aca="false">HLOOKUP(D543,VOLS,VLOOKUP(G543,move_down,2,FALSE()),FALSE())</f>
        <v>0.533</v>
      </c>
      <c r="P543" s="249" t="n">
        <f aca="false">HLOOKUP(D543,Correllate,VLOOKUP(G543,CorMove,2,FALSE()),FALSE())</f>
        <v>0.995</v>
      </c>
      <c r="Q543" s="92" t="n">
        <f aca="false">WORKDAY(G543,-2)</f>
        <v>36949</v>
      </c>
      <c r="R543" s="7" t="n">
        <f aca="false">IF(F543="P",0,1)</f>
        <v>1</v>
      </c>
      <c r="S543" s="130" t="e">
        <f aca="false">xSPRDOPT($L543,$J543,$I543,$M543,$O543,$N543,$P543,$Q543-$C$3,$R543,0)</f>
        <v>#NAME?</v>
      </c>
      <c r="T543" s="250" t="e">
        <f aca="false">xSPRDOPT($L543,$J543,$I543,$M543,$O543,$N543,$P543,$Q543-$C$3,$R543,1)*H543</f>
        <v>#NAME?</v>
      </c>
      <c r="U543" s="43" t="e">
        <f aca="false">S543*H543</f>
        <v>#NAME?</v>
      </c>
      <c r="V543" s="250" t="e">
        <f aca="false">xSPRDOPT($L543,$J543,$I543,$M543,$O543,$N543,$P543,$Q543-$C$3,$R543,2)*H543</f>
        <v>#NAME?</v>
      </c>
      <c r="W543" s="250" t="e">
        <f aca="false">+V543+T543</f>
        <v>#NAME?</v>
      </c>
      <c r="X543" s="2" t="str">
        <f aca="false">CONCATENATE(G543,D543)</f>
        <v>36951IF-CNG/APPALACH</v>
      </c>
      <c r="Y543" s="251" t="n">
        <f aca="false">H543/10000</f>
        <v>-31</v>
      </c>
      <c r="Z543" s="226" t="e">
        <f aca="false">T543/H543</f>
        <v>#NAME?</v>
      </c>
      <c r="AA543" s="226" t="e">
        <f aca="false">xSPRDOPT($L543,$J543,$I543,$M543,$O543,$N543,$P543,$Q543-$C$3,$R543,3)</f>
        <v>#NAME?</v>
      </c>
      <c r="AB543" s="226" t="e">
        <f aca="false">((xSPRDOPT($L543+AB$5,$J543,$I543,$M543,$O543,$N543,$P543,$Q543-$C$3,$R543,3)*$H543)/10000)/100</f>
        <v>#NAME?</v>
      </c>
      <c r="AC543" s="226" t="e">
        <f aca="false">((xSPRDOPT($L543+$AB$5,$J543,$I543,$M543,$O543,$N543,$P543,$Q543-$C$3,$R543,7)*$H543)/100)</f>
        <v>#NAME?</v>
      </c>
      <c r="AD543" s="226" t="e">
        <f aca="false">(xSPRDOPT($L543+$AB$5,$J543,$I543,$M543,$O543,$N543,$P543,$Q543-$C$3,$R543,9)/365)*$H543</f>
        <v>#NAME?</v>
      </c>
      <c r="AE543" s="0" t="e">
        <f aca="false">CD543</f>
        <v>#NAME?</v>
      </c>
      <c r="AF543" s="226" t="e">
        <f aca="false">((O543/N543)*AH543)+AG543</f>
        <v>#NAME?</v>
      </c>
      <c r="AG543" s="226" t="e">
        <f aca="false">((xSPRDOPT($L543,$J543,$I543,$M543,$O543,$N543,$P543,$Q543-$C$3,$R543,6)*$H543)/100)</f>
        <v>#NAME?</v>
      </c>
      <c r="AH543" s="226" t="e">
        <f aca="false">((xSPRDOPT($L543,$J543,$I543,$M543,$O543,$N543,$P543,$Q543-$C$3,$R543,5)*$H543)/100)</f>
        <v>#NAME?</v>
      </c>
      <c r="AI543" s="226" t="e">
        <f aca="false">(((xSPRDOPT($L543,$J543,$I543,$M543,$O543,$N543,$P543,$Q543-$C$3,$R543,4)*$H543)/10000)/100)-AB543</f>
        <v>#NAME?</v>
      </c>
      <c r="AJ543" s="226"/>
      <c r="AK543" s="226"/>
      <c r="AL543" s="226"/>
      <c r="AM543" s="252"/>
      <c r="CC543" s="182" t="n">
        <f aca="false">G543</f>
        <v>36951</v>
      </c>
      <c r="CD543" s="253" t="e">
        <f aca="false">xSPRDOPT((VLOOKUP(G543,NGPrices,2,FALSE())+HLOOKUP(D543,Prices,VLOOKUP(G543,move_down,2,FALSE()),FALSE())),VLOOKUP(G543,NGPrices,2,FALSE()),I543,VLOOKUP(G543,NGPREVPRICES,4,FALSE()),HLOOKUP(D543,PREVVOLS,VLOOKUP(G543,MOVE_DOWN2,2,FALSE()),FALSE()),VLOOKUP(G543,NGPREVPRICES,3,FALSE()),HLOOKUP(D543,Correllate,VLOOKUP(G543,CorMove,2,FALSE()),FALSE()),Q543-$CD$3,R543,$CD$5)*H543-CJ543</f>
        <v>#NAME?</v>
      </c>
      <c r="CE543" s="253" t="e">
        <f aca="false">xSPRDOPT((VLOOKUP(G543,NGPREVPRICES,2,FALSE())+HLOOKUP(D543,PREVCURVES,VLOOKUP(G543,MOVE_DOWN2,2,FALSE()),FALSE())),VLOOKUP(G543,NGPREVPRICES,2,FALSE()),CK543,VLOOKUP(G543,NGPrices,4,FALSE()),HLOOKUP(D543,PREVVOLS,VLOOKUP(G543,MOVE_DOWN2,2,FALSE()),FALSE()),VLOOKUP(G543,NGPREVPRICES,3,FALSE()),HLOOKUP(D543,Correllate,VLOOKUP(G543,CorMove,2,FALSE()),FALSE()),Q543-$CD$3,R543,$CJ$5)*H543-CJ543</f>
        <v>#NAME?</v>
      </c>
      <c r="CF543" s="132" t="e">
        <f aca="false">(CJ543/VLOOKUP(CC543,discount,3,FALSE()))-(CJ543/VLOOKUP(CC543,discount,2,FALSE()))</f>
        <v>#NAME?</v>
      </c>
      <c r="CG543" s="253" t="e">
        <f aca="false">xSPRDOPT((VLOOKUP(G543,NGPREVPRICES,2,FALSE())+HLOOKUP(D543,PREVCURVES,VLOOKUP(G543,MOVE_DOWN2,2,FALSE()),FALSE())),VLOOKUP(G543,NGPREVPRICES,2,FALSE()),CK543,VLOOKUP(G543,NGPREVPRICES,4,FALSE()),HLOOKUP(D543,VOLS,VLOOKUP(G543,move_down,2,FALSE()),FALSE()),VLOOKUP(G543,NGPrices,3,FALSE()),HLOOKUP(D543,Correllate,VLOOKUP(G543,CorMove,2,FALSE()),FALSE()),Q543-$CD$3,R543,$CJ$5)*H543-CJ543</f>
        <v>#NAME?</v>
      </c>
      <c r="CH543" s="253" t="e">
        <f aca="false">xSPRDOPT((VLOOKUP(G543,NGPREVPRICES,2,FALSE())+HLOOKUP(D543,PREVCURVES,VLOOKUP(G543,MOVE_DOWN2,2,FALSE()),FALSE())),VLOOKUP(G543,NGPREVPRICES,2,FALSE()),CK543,VLOOKUP(G543,NGPREVPRICES,4,FALSE()),HLOOKUP(D543,PREVVOLS,VLOOKUP(G543,MOVE_DOWN2,2,FALSE()),FALSE()),VLOOKUP(G543,NGPREVPRICES,3,FALSE()),HLOOKUP(D543,Correllate,VLOOKUP(G543,CorMove,2,FALSE()),FALSE()),Q543-$C$3,R543,$CJ$5)*H543-CJ543</f>
        <v>#NAME?</v>
      </c>
      <c r="CI543" s="253" t="e">
        <f aca="false">SUM(CD543:CH543)</f>
        <v>#NAME?</v>
      </c>
      <c r="CJ543" s="253" t="e">
        <f aca="false">xSPRDOPT((VLOOKUP(G543,NGPREVPRICES,2,FALSE())+HLOOKUP(D543,PREVCURVES,VLOOKUP(G543,MOVE_DOWN2,2,FALSE()),FALSE())),VLOOKUP(G543,NGPREVPRICES,2,FALSE()),CK543,VLOOKUP(G543,NGPREVPRICES,4,FALSE()),HLOOKUP(D543,PREVVOLS,VLOOKUP(G543,MOVE_DOWN2,2,FALSE()),FALSE()),VLOOKUP(G543,NGPREVPRICES,3,FALSE()),HLOOKUP(D543,Correllate,VLOOKUP(G543,CorMove,2,FALSE()),FALSE()),Q543-$CD$3,R543,$CJ$5)*H543</f>
        <v>#NAME?</v>
      </c>
      <c r="CK543" s="254" t="n">
        <f aca="false">I543</f>
        <v>0.5</v>
      </c>
      <c r="CM543" s="0" t="str">
        <f aca="false">CONCATENATE(CC543,$CD$6)</f>
        <v>36951Curve Shift/Gamma</v>
      </c>
      <c r="CN543" s="0" t="str">
        <f aca="false">CONCATENATE($CC543,$CE$6)</f>
        <v>36951Rho</v>
      </c>
      <c r="CO543" s="0" t="str">
        <f aca="false">CONCATENATE($CC543,$CF$6)</f>
        <v>36951Drift</v>
      </c>
      <c r="CP543" s="0" t="str">
        <f aca="false">CONCATENATE($CC543,$CG$6)</f>
        <v>36951Vega</v>
      </c>
      <c r="CQ543" s="0" t="str">
        <f aca="false">CONCATENATE($CC543,$CH$6)</f>
        <v>36951Theta</v>
      </c>
    </row>
    <row r="544" customFormat="false" ht="12.75" hidden="false" customHeight="false" outlineLevel="0" collapsed="false">
      <c r="A544" s="17" t="s">
        <v>345</v>
      </c>
      <c r="B544" s="0" t="s">
        <v>192</v>
      </c>
      <c r="C544" s="0" t="s">
        <v>381</v>
      </c>
      <c r="D544" s="7" t="s">
        <v>157</v>
      </c>
      <c r="E544" s="0" t="s">
        <v>131</v>
      </c>
      <c r="F544" s="0" t="s">
        <v>136</v>
      </c>
      <c r="G544" s="92" t="n">
        <v>36923</v>
      </c>
      <c r="H544" s="248" t="n">
        <v>-280000</v>
      </c>
      <c r="I544" s="0" t="n">
        <v>0.5</v>
      </c>
      <c r="J544" s="124" t="n">
        <f aca="false">VLOOKUP(G544,NGPrices,2,FALSE())</f>
        <v>4.48</v>
      </c>
      <c r="K544" s="125" t="n">
        <f aca="false">HLOOKUP(D544,Prices,VLOOKUP(G544,move_down,2,FALSE()),FALSE())+VLOOKUP(G544,CHANGE,HLOOKUP(D544,CHANGE,2,FALSE()),FALSE())</f>
        <v>0.415</v>
      </c>
      <c r="L544" s="124" t="n">
        <f aca="false">K544+J544</f>
        <v>4.895</v>
      </c>
      <c r="M544" s="126" t="n">
        <f aca="false">VLOOKUP(G544,NGPrices,4,FALSE())</f>
        <v>0.068640161611372</v>
      </c>
      <c r="N544" s="7" t="n">
        <f aca="false">VLOOKUP(G544,NGPrices,3,FALSE())</f>
        <v>0.5925</v>
      </c>
      <c r="O544" s="7" t="n">
        <f aca="false">HLOOKUP(D544,VOLS,VLOOKUP(G544,move_down,2,FALSE()),FALSE())</f>
        <v>0.593</v>
      </c>
      <c r="P544" s="249" t="n">
        <f aca="false">HLOOKUP(D544,Correllate,VLOOKUP(G544,CorMove,2,FALSE()),FALSE())</f>
        <v>0.995</v>
      </c>
      <c r="Q544" s="92" t="n">
        <f aca="false">WORKDAY(G544,-2)</f>
        <v>36921</v>
      </c>
      <c r="R544" s="7" t="n">
        <f aca="false">IF(F544="P",0,1)</f>
        <v>1</v>
      </c>
      <c r="S544" s="130" t="e">
        <f aca="false">xSPRDOPT($L544,$J544,$I544,$M544,$O544,$N544,$P544,$Q544-$C$3,$R544,0)</f>
        <v>#NAME?</v>
      </c>
      <c r="T544" s="250" t="e">
        <f aca="false">xSPRDOPT($L544,$J544,$I544,$M544,$O544,$N544,$P544,$Q544-$C$3,$R544,1)*H544</f>
        <v>#NAME?</v>
      </c>
      <c r="U544" s="43" t="e">
        <f aca="false">S544*H544</f>
        <v>#NAME?</v>
      </c>
      <c r="V544" s="250" t="e">
        <f aca="false">xSPRDOPT($L544,$J544,$I544,$M544,$O544,$N544,$P544,$Q544-$C$3,$R544,2)*H544</f>
        <v>#NAME?</v>
      </c>
      <c r="W544" s="250" t="e">
        <f aca="false">+V544+T544</f>
        <v>#NAME?</v>
      </c>
      <c r="X544" s="2" t="str">
        <f aca="false">CONCATENATE(G544,D544)</f>
        <v>36923IF-CNG/APPALACH</v>
      </c>
      <c r="Y544" s="251" t="n">
        <f aca="false">H544/10000</f>
        <v>-28</v>
      </c>
      <c r="Z544" s="226" t="e">
        <f aca="false">T544/H544</f>
        <v>#NAME?</v>
      </c>
      <c r="AA544" s="226" t="e">
        <f aca="false">xSPRDOPT($L544,$J544,$I544,$M544,$O544,$N544,$P544,$Q544-$C$3,$R544,3)</f>
        <v>#NAME?</v>
      </c>
      <c r="AB544" s="226" t="e">
        <f aca="false">((xSPRDOPT($L544+AB$5,$J544,$I544,$M544,$O544,$N544,$P544,$Q544-$C$3,$R544,3)*$H544)/10000)/100</f>
        <v>#NAME?</v>
      </c>
      <c r="AC544" s="226" t="e">
        <f aca="false">((xSPRDOPT($L544+$AB$5,$J544,$I544,$M544,$O544,$N544,$P544,$Q544-$C$3,$R544,7)*$H544)/100)</f>
        <v>#NAME?</v>
      </c>
      <c r="AD544" s="226" t="e">
        <f aca="false">(xSPRDOPT($L544+$AB$5,$J544,$I544,$M544,$O544,$N544,$P544,$Q544-$C$3,$R544,9)/365)*$H544</f>
        <v>#NAME?</v>
      </c>
      <c r="AE544" s="0" t="e">
        <f aca="false">CD544</f>
        <v>#NAME?</v>
      </c>
      <c r="AF544" s="226" t="e">
        <f aca="false">((O544/N544)*AH544)+AG544</f>
        <v>#NAME?</v>
      </c>
      <c r="AG544" s="226" t="e">
        <f aca="false">((xSPRDOPT($L544,$J544,$I544,$M544,$O544,$N544,$P544,$Q544-$C$3,$R544,6)*$H544)/100)</f>
        <v>#NAME?</v>
      </c>
      <c r="AH544" s="226" t="e">
        <f aca="false">((xSPRDOPT($L544,$J544,$I544,$M544,$O544,$N544,$P544,$Q544-$C$3,$R544,5)*$H544)/100)</f>
        <v>#NAME?</v>
      </c>
      <c r="AI544" s="226" t="e">
        <f aca="false">(((xSPRDOPT($L544,$J544,$I544,$M544,$O544,$N544,$P544,$Q544-$C$3,$R544,4)*$H544)/10000)/100)-AB544</f>
        <v>#NAME?</v>
      </c>
      <c r="AJ544" s="226"/>
      <c r="AK544" s="226"/>
      <c r="AL544" s="226"/>
      <c r="AM544" s="252"/>
      <c r="CC544" s="182" t="n">
        <f aca="false">G544</f>
        <v>36923</v>
      </c>
      <c r="CD544" s="253" t="e">
        <f aca="false">xSPRDOPT((VLOOKUP(G544,NGPrices,2,FALSE())+HLOOKUP(D544,Prices,VLOOKUP(G544,move_down,2,FALSE()),FALSE())),VLOOKUP(G544,NGPrices,2,FALSE()),I544,VLOOKUP(G544,NGPREVPRICES,4,FALSE()),HLOOKUP(D544,PREVVOLS,VLOOKUP(G544,MOVE_DOWN2,2,FALSE()),FALSE()),VLOOKUP(G544,NGPREVPRICES,3,FALSE()),HLOOKUP(D544,Correllate,VLOOKUP(G544,CorMove,2,FALSE()),FALSE()),Q544-$CD$3,R544,$CD$5)*H544-CJ544</f>
        <v>#NAME?</v>
      </c>
      <c r="CE544" s="253" t="e">
        <f aca="false">xSPRDOPT((VLOOKUP(G544,NGPREVPRICES,2,FALSE())+HLOOKUP(D544,PREVCURVES,VLOOKUP(G544,MOVE_DOWN2,2,FALSE()),FALSE())),VLOOKUP(G544,NGPREVPRICES,2,FALSE()),CK544,VLOOKUP(G544,NGPrices,4,FALSE()),HLOOKUP(D544,PREVVOLS,VLOOKUP(G544,MOVE_DOWN2,2,FALSE()),FALSE()),VLOOKUP(G544,NGPREVPRICES,3,FALSE()),HLOOKUP(D544,Correllate,VLOOKUP(G544,CorMove,2,FALSE()),FALSE()),Q544-$CD$3,R544,$CJ$5)*H544-CJ544</f>
        <v>#NAME?</v>
      </c>
      <c r="CF544" s="132" t="e">
        <f aca="false">(CJ544/VLOOKUP(CC544,discount,3,FALSE()))-(CJ544/VLOOKUP(CC544,discount,2,FALSE()))</f>
        <v>#NAME?</v>
      </c>
      <c r="CG544" s="253" t="e">
        <f aca="false">xSPRDOPT((VLOOKUP(G544,NGPREVPRICES,2,FALSE())+HLOOKUP(D544,PREVCURVES,VLOOKUP(G544,MOVE_DOWN2,2,FALSE()),FALSE())),VLOOKUP(G544,NGPREVPRICES,2,FALSE()),CK544,VLOOKUP(G544,NGPREVPRICES,4,FALSE()),HLOOKUP(D544,VOLS,VLOOKUP(G544,move_down,2,FALSE()),FALSE()),VLOOKUP(G544,NGPrices,3,FALSE()),HLOOKUP(D544,Correllate,VLOOKUP(G544,CorMove,2,FALSE()),FALSE()),Q544-$CD$3,R544,$CJ$5)*H544-CJ544</f>
        <v>#NAME?</v>
      </c>
      <c r="CH544" s="253" t="e">
        <f aca="false">xSPRDOPT((VLOOKUP(G544,NGPREVPRICES,2,FALSE())+HLOOKUP(D544,PREVCURVES,VLOOKUP(G544,MOVE_DOWN2,2,FALSE()),FALSE())),VLOOKUP(G544,NGPREVPRICES,2,FALSE()),CK544,VLOOKUP(G544,NGPREVPRICES,4,FALSE()),HLOOKUP(D544,PREVVOLS,VLOOKUP(G544,MOVE_DOWN2,2,FALSE()),FALSE()),VLOOKUP(G544,NGPREVPRICES,3,FALSE()),HLOOKUP(D544,Correllate,VLOOKUP(G544,CorMove,2,FALSE()),FALSE()),Q544-$C$3,R544,$CJ$5)*H544-CJ544</f>
        <v>#NAME?</v>
      </c>
      <c r="CI544" s="253" t="e">
        <f aca="false">SUM(CD544:CH544)</f>
        <v>#NAME?</v>
      </c>
      <c r="CJ544" s="253" t="e">
        <f aca="false">xSPRDOPT((VLOOKUP(G544,NGPREVPRICES,2,FALSE())+HLOOKUP(D544,PREVCURVES,VLOOKUP(G544,MOVE_DOWN2,2,FALSE()),FALSE())),VLOOKUP(G544,NGPREVPRICES,2,FALSE()),CK544,VLOOKUP(G544,NGPREVPRICES,4,FALSE()),HLOOKUP(D544,PREVVOLS,VLOOKUP(G544,MOVE_DOWN2,2,FALSE()),FALSE()),VLOOKUP(G544,NGPREVPRICES,3,FALSE()),HLOOKUP(D544,Correllate,VLOOKUP(G544,CorMove,2,FALSE()),FALSE()),Q544-$CD$3,R544,$CJ$5)*H544</f>
        <v>#NAME?</v>
      </c>
      <c r="CK544" s="254" t="n">
        <f aca="false">I544</f>
        <v>0.5</v>
      </c>
      <c r="CM544" s="0" t="str">
        <f aca="false">CONCATENATE(CC544,$CD$6)</f>
        <v>36923Curve Shift/Gamma</v>
      </c>
      <c r="CN544" s="0" t="str">
        <f aca="false">CONCATENATE($CC544,$CE$6)</f>
        <v>36923Rho</v>
      </c>
      <c r="CO544" s="0" t="str">
        <f aca="false">CONCATENATE($CC544,$CF$6)</f>
        <v>36923Drift</v>
      </c>
      <c r="CP544" s="0" t="str">
        <f aca="false">CONCATENATE($CC544,$CG$6)</f>
        <v>36923Vega</v>
      </c>
      <c r="CQ544" s="0" t="str">
        <f aca="false">CONCATENATE($CC544,$CH$6)</f>
        <v>36923Theta</v>
      </c>
    </row>
    <row r="545" customFormat="false" ht="12.75" hidden="false" customHeight="false" outlineLevel="0" collapsed="false">
      <c r="A545" s="17" t="s">
        <v>345</v>
      </c>
      <c r="B545" s="0" t="s">
        <v>192</v>
      </c>
      <c r="C545" s="0" t="s">
        <v>381</v>
      </c>
      <c r="D545" s="7" t="s">
        <v>157</v>
      </c>
      <c r="E545" s="0" t="s">
        <v>131</v>
      </c>
      <c r="F545" s="0" t="s">
        <v>136</v>
      </c>
      <c r="G545" s="92" t="n">
        <v>36892</v>
      </c>
      <c r="H545" s="248" t="n">
        <v>-310000</v>
      </c>
      <c r="I545" s="0" t="n">
        <v>0.5</v>
      </c>
      <c r="J545" s="124" t="n">
        <f aca="false">VLOOKUP(G545,NGPrices,2,FALSE())</f>
        <v>4.744</v>
      </c>
      <c r="K545" s="125" t="n">
        <f aca="false">HLOOKUP(D545,Prices,VLOOKUP(G545,move_down,2,FALSE()),FALSE())+VLOOKUP(G545,CHANGE,HLOOKUP(D545,CHANGE,2,FALSE()),FALSE())</f>
        <v>0.455</v>
      </c>
      <c r="L545" s="124" t="n">
        <f aca="false">K545+J545</f>
        <v>5.199</v>
      </c>
      <c r="M545" s="126" t="n">
        <f aca="false">VLOOKUP(G545,NGPrices,4,FALSE())</f>
        <v>0.068374831148491</v>
      </c>
      <c r="N545" s="7" t="n">
        <f aca="false">VLOOKUP(G545,NGPrices,3,FALSE())</f>
        <v>0.605</v>
      </c>
      <c r="O545" s="7" t="n">
        <f aca="false">HLOOKUP(D545,VOLS,VLOOKUP(G545,move_down,2,FALSE()),FALSE())</f>
        <v>0.605</v>
      </c>
      <c r="P545" s="249" t="n">
        <f aca="false">HLOOKUP(D545,Correllate,VLOOKUP(G545,CorMove,2,FALSE()),FALSE())</f>
        <v>0.995</v>
      </c>
      <c r="Q545" s="92" t="n">
        <f aca="false">WORKDAY(G545,-2)</f>
        <v>36888</v>
      </c>
      <c r="R545" s="7" t="n">
        <f aca="false">IF(F545="P",0,1)</f>
        <v>1</v>
      </c>
      <c r="S545" s="130" t="e">
        <f aca="false">xSPRDOPT($L545,$J545,$I545,$M545,$O545,$N545,$P545,$Q545-$C$3,$R545,0)</f>
        <v>#NAME?</v>
      </c>
      <c r="T545" s="250" t="e">
        <f aca="false">xSPRDOPT($L545,$J545,$I545,$M545,$O545,$N545,$P545,$Q545-$C$3,$R545,1)*H545</f>
        <v>#NAME?</v>
      </c>
      <c r="U545" s="43" t="e">
        <f aca="false">S545*H545</f>
        <v>#NAME?</v>
      </c>
      <c r="V545" s="250" t="e">
        <f aca="false">xSPRDOPT($L545,$J545,$I545,$M545,$O545,$N545,$P545,$Q545-$C$3,$R545,2)*H545</f>
        <v>#NAME?</v>
      </c>
      <c r="W545" s="250" t="e">
        <f aca="false">+V545+T545</f>
        <v>#NAME?</v>
      </c>
      <c r="X545" s="2" t="str">
        <f aca="false">CONCATENATE(G545,D545)</f>
        <v>36892IF-CNG/APPALACH</v>
      </c>
      <c r="Y545" s="251" t="n">
        <f aca="false">H545/10000</f>
        <v>-31</v>
      </c>
      <c r="Z545" s="226" t="e">
        <f aca="false">T545/H545</f>
        <v>#NAME?</v>
      </c>
      <c r="AA545" s="226" t="e">
        <f aca="false">xSPRDOPT($L545,$J545,$I545,$M545,$O545,$N545,$P545,$Q545-$C$3,$R545,3)</f>
        <v>#NAME?</v>
      </c>
      <c r="AB545" s="226" t="e">
        <f aca="false">((xSPRDOPT($L545+AB$5,$J545,$I545,$M545,$O545,$N545,$P545,$Q545-$C$3,$R545,3)*$H545)/10000)/100</f>
        <v>#NAME?</v>
      </c>
      <c r="AC545" s="226" t="e">
        <f aca="false">((xSPRDOPT($L545+$AB$5,$J545,$I545,$M545,$O545,$N545,$P545,$Q545-$C$3,$R545,7)*$H545)/100)</f>
        <v>#NAME?</v>
      </c>
      <c r="AD545" s="226" t="e">
        <f aca="false">(xSPRDOPT($L545+$AB$5,$J545,$I545,$M545,$O545,$N545,$P545,$Q545-$C$3,$R545,9)/365)*$H545</f>
        <v>#NAME?</v>
      </c>
      <c r="AE545" s="0" t="e">
        <f aca="false">CD545</f>
        <v>#NAME?</v>
      </c>
      <c r="AF545" s="226" t="e">
        <f aca="false">((O545/N545)*AH545)+AG545</f>
        <v>#NAME?</v>
      </c>
      <c r="AG545" s="226" t="e">
        <f aca="false">((xSPRDOPT($L545,$J545,$I545,$M545,$O545,$N545,$P545,$Q545-$C$3,$R545,6)*$H545)/100)</f>
        <v>#NAME?</v>
      </c>
      <c r="AH545" s="226" t="e">
        <f aca="false">((xSPRDOPT($L545,$J545,$I545,$M545,$O545,$N545,$P545,$Q545-$C$3,$R545,5)*$H545)/100)</f>
        <v>#NAME?</v>
      </c>
      <c r="AI545" s="226" t="e">
        <f aca="false">(((xSPRDOPT($L545,$J545,$I545,$M545,$O545,$N545,$P545,$Q545-$C$3,$R545,4)*$H545)/10000)/100)-AB545</f>
        <v>#NAME?</v>
      </c>
      <c r="AJ545" s="226"/>
      <c r="AK545" s="226"/>
      <c r="AL545" s="226"/>
      <c r="AM545" s="252"/>
      <c r="CC545" s="182" t="n">
        <f aca="false">G545</f>
        <v>36892</v>
      </c>
      <c r="CD545" s="253" t="e">
        <f aca="false">xSPRDOPT((VLOOKUP(G545,NGPrices,2,FALSE())+HLOOKUP(D545,Prices,VLOOKUP(G545,move_down,2,FALSE()),FALSE())),VLOOKUP(G545,NGPrices,2,FALSE()),I545,VLOOKUP(G545,NGPREVPRICES,4,FALSE()),HLOOKUP(D545,PREVVOLS,VLOOKUP(G545,MOVE_DOWN2,2,FALSE()),FALSE()),VLOOKUP(G545,NGPREVPRICES,3,FALSE()),HLOOKUP(D545,Correllate,VLOOKUP(G545,CorMove,2,FALSE()),FALSE()),Q545-$CD$3,R545,$CD$5)*H545-CJ545</f>
        <v>#NAME?</v>
      </c>
      <c r="CE545" s="253" t="e">
        <f aca="false">xSPRDOPT((VLOOKUP(G545,NGPREVPRICES,2,FALSE())+HLOOKUP(D545,PREVCURVES,VLOOKUP(G545,MOVE_DOWN2,2,FALSE()),FALSE())),VLOOKUP(G545,NGPREVPRICES,2,FALSE()),CK545,VLOOKUP(G545,NGPrices,4,FALSE()),HLOOKUP(D545,PREVVOLS,VLOOKUP(G545,MOVE_DOWN2,2,FALSE()),FALSE()),VLOOKUP(G545,NGPREVPRICES,3,FALSE()),HLOOKUP(D545,Correllate,VLOOKUP(G545,CorMove,2,FALSE()),FALSE()),Q545-$CD$3,R545,$CJ$5)*H545-CJ545</f>
        <v>#NAME?</v>
      </c>
      <c r="CF545" s="132" t="e">
        <f aca="false">(CJ545/VLOOKUP(CC545,discount,3,FALSE()))-(CJ545/VLOOKUP(CC545,discount,2,FALSE()))</f>
        <v>#NAME?</v>
      </c>
      <c r="CG545" s="253" t="e">
        <f aca="false">xSPRDOPT((VLOOKUP(G545,NGPREVPRICES,2,FALSE())+HLOOKUP(D545,PREVCURVES,VLOOKUP(G545,MOVE_DOWN2,2,FALSE()),FALSE())),VLOOKUP(G545,NGPREVPRICES,2,FALSE()),CK545,VLOOKUP(G545,NGPREVPRICES,4,FALSE()),HLOOKUP(D545,VOLS,VLOOKUP(G545,move_down,2,FALSE()),FALSE()),VLOOKUP(G545,NGPrices,3,FALSE()),HLOOKUP(D545,Correllate,VLOOKUP(G545,CorMove,2,FALSE()),FALSE()),Q545-$CD$3,R545,$CJ$5)*H545-CJ545</f>
        <v>#NAME?</v>
      </c>
      <c r="CH545" s="253" t="e">
        <f aca="false">xSPRDOPT((VLOOKUP(G545,NGPREVPRICES,2,FALSE())+HLOOKUP(D545,PREVCURVES,VLOOKUP(G545,MOVE_DOWN2,2,FALSE()),FALSE())),VLOOKUP(G545,NGPREVPRICES,2,FALSE()),CK545,VLOOKUP(G545,NGPREVPRICES,4,FALSE()),HLOOKUP(D545,PREVVOLS,VLOOKUP(G545,MOVE_DOWN2,2,FALSE()),FALSE()),VLOOKUP(G545,NGPREVPRICES,3,FALSE()),HLOOKUP(D545,Correllate,VLOOKUP(G545,CorMove,2,FALSE()),FALSE()),Q545-$C$3,R545,$CJ$5)*H545-CJ545</f>
        <v>#NAME?</v>
      </c>
      <c r="CI545" s="253" t="e">
        <f aca="false">SUM(CD545:CH545)</f>
        <v>#NAME?</v>
      </c>
      <c r="CJ545" s="253" t="e">
        <f aca="false">xSPRDOPT((VLOOKUP(G545,NGPREVPRICES,2,FALSE())+HLOOKUP(D545,PREVCURVES,VLOOKUP(G545,MOVE_DOWN2,2,FALSE()),FALSE())),VLOOKUP(G545,NGPREVPRICES,2,FALSE()),CK545,VLOOKUP(G545,NGPREVPRICES,4,FALSE()),HLOOKUP(D545,PREVVOLS,VLOOKUP(G545,MOVE_DOWN2,2,FALSE()),FALSE()),VLOOKUP(G545,NGPREVPRICES,3,FALSE()),HLOOKUP(D545,Correllate,VLOOKUP(G545,CorMove,2,FALSE()),FALSE()),Q545-$CD$3,R545,$CJ$5)*H545</f>
        <v>#NAME?</v>
      </c>
      <c r="CK545" s="254" t="n">
        <f aca="false">I545</f>
        <v>0.5</v>
      </c>
      <c r="CM545" s="0" t="str">
        <f aca="false">CONCATENATE(CC545,$CD$6)</f>
        <v>36892Curve Shift/Gamma</v>
      </c>
      <c r="CN545" s="0" t="str">
        <f aca="false">CONCATENATE($CC545,$CE$6)</f>
        <v>36892Rho</v>
      </c>
      <c r="CO545" s="0" t="str">
        <f aca="false">CONCATENATE($CC545,$CF$6)</f>
        <v>36892Drift</v>
      </c>
      <c r="CP545" s="0" t="str">
        <f aca="false">CONCATENATE($CC545,$CG$6)</f>
        <v>36892Vega</v>
      </c>
      <c r="CQ545" s="0" t="str">
        <f aca="false">CONCATENATE($CC545,$CH$6)</f>
        <v>36892Theta</v>
      </c>
    </row>
    <row r="546" customFormat="false" ht="12.75" hidden="false" customHeight="false" outlineLevel="0" collapsed="false">
      <c r="A546" s="17" t="s">
        <v>345</v>
      </c>
      <c r="B546" s="0" t="s">
        <v>192</v>
      </c>
      <c r="C546" s="0" t="s">
        <v>381</v>
      </c>
      <c r="D546" s="7" t="s">
        <v>157</v>
      </c>
      <c r="E546" s="0" t="s">
        <v>131</v>
      </c>
      <c r="F546" s="0" t="s">
        <v>136</v>
      </c>
      <c r="G546" s="92" t="n">
        <v>36861</v>
      </c>
      <c r="H546" s="248" t="n">
        <v>-310000</v>
      </c>
      <c r="I546" s="0" t="n">
        <v>0.5</v>
      </c>
      <c r="J546" s="124" t="n">
        <f aca="false">VLOOKUP(G546,NGPrices,2,FALSE())</f>
        <v>4.8</v>
      </c>
      <c r="K546" s="125" t="n">
        <f aca="false">HLOOKUP(D546,Prices,VLOOKUP(G546,move_down,2,FALSE()),FALSE())+VLOOKUP(G546,CHANGE,HLOOKUP(D546,CHANGE,2,FALSE()),FALSE())</f>
        <v>0.375</v>
      </c>
      <c r="L546" s="124" t="n">
        <f aca="false">K546+J546</f>
        <v>5.175</v>
      </c>
      <c r="M546" s="126" t="n">
        <f aca="false">VLOOKUP(G546,NGPrices,4,FALSE())</f>
        <v>0.068314027999354</v>
      </c>
      <c r="N546" s="7" t="n">
        <f aca="false">VLOOKUP(G546,NGPrices,3,FALSE())</f>
        <v>0.6</v>
      </c>
      <c r="O546" s="7" t="n">
        <f aca="false">HLOOKUP(D546,VOLS,VLOOKUP(G546,move_down,2,FALSE()),FALSE())</f>
        <v>0.6</v>
      </c>
      <c r="P546" s="249" t="n">
        <f aca="false">HLOOKUP(D546,Correllate,VLOOKUP(G546,CorMove,2,FALSE()),FALSE())</f>
        <v>0.995</v>
      </c>
      <c r="Q546" s="92" t="n">
        <f aca="false">WORKDAY(G546,-2)</f>
        <v>36859</v>
      </c>
      <c r="R546" s="7" t="n">
        <f aca="false">IF(F546="P",0,1)</f>
        <v>1</v>
      </c>
      <c r="S546" s="130" t="e">
        <f aca="false">xSPRDOPT($L546,$J546,$I546,$M546,$O546,$N546,$P546,$Q546-$C$3,$R546,0)</f>
        <v>#NAME?</v>
      </c>
      <c r="T546" s="250" t="e">
        <f aca="false">xSPRDOPT($L546,$J546,$I546,$M546,$O546,$N546,$P546,$Q546-$C$3,$R546,1)*H546</f>
        <v>#NAME?</v>
      </c>
      <c r="U546" s="43" t="e">
        <f aca="false">S546*H546</f>
        <v>#NAME?</v>
      </c>
      <c r="V546" s="250" t="e">
        <f aca="false">xSPRDOPT($L546,$J546,$I546,$M546,$O546,$N546,$P546,$Q546-$C$3,$R546,2)*H546</f>
        <v>#NAME?</v>
      </c>
      <c r="W546" s="250" t="e">
        <f aca="false">+V546+T546</f>
        <v>#NAME?</v>
      </c>
      <c r="X546" s="2" t="str">
        <f aca="false">CONCATENATE(G546,D546)</f>
        <v>36861IF-CNG/APPALACH</v>
      </c>
      <c r="Y546" s="251" t="n">
        <f aca="false">H546/10000</f>
        <v>-31</v>
      </c>
      <c r="Z546" s="226" t="e">
        <f aca="false">T546/H546</f>
        <v>#NAME?</v>
      </c>
      <c r="AA546" s="226" t="e">
        <f aca="false">xSPRDOPT($L546,$J546,$I546,$M546,$O546,$N546,$P546,$Q546-$C$3,$R546,3)</f>
        <v>#NAME?</v>
      </c>
      <c r="AB546" s="226" t="e">
        <f aca="false">((xSPRDOPT($L546+AB$5,$J546,$I546,$M546,$O546,$N546,$P546,$Q546-$C$3,$R546,3)*$H546)/10000)/100</f>
        <v>#NAME?</v>
      </c>
      <c r="AC546" s="226" t="e">
        <f aca="false">((xSPRDOPT($L546+$AB$5,$J546,$I546,$M546,$O546,$N546,$P546,$Q546-$C$3,$R546,7)*$H546)/100)</f>
        <v>#NAME?</v>
      </c>
      <c r="AD546" s="226" t="e">
        <f aca="false">(xSPRDOPT($L546+$AB$5,$J546,$I546,$M546,$O546,$N546,$P546,$Q546-$C$3,$R546,9)/365)*$H546</f>
        <v>#NAME?</v>
      </c>
      <c r="AE546" s="0" t="e">
        <f aca="false">CD546</f>
        <v>#NAME?</v>
      </c>
      <c r="AF546" s="226" t="e">
        <f aca="false">((O546/N546)*AH546)+AG546</f>
        <v>#NAME?</v>
      </c>
      <c r="AG546" s="226" t="e">
        <f aca="false">((xSPRDOPT($L546,$J546,$I546,$M546,$O546,$N546,$P546,$Q546-$C$3,$R546,6)*$H546)/100)</f>
        <v>#NAME?</v>
      </c>
      <c r="AH546" s="226" t="e">
        <f aca="false">((xSPRDOPT($L546,$J546,$I546,$M546,$O546,$N546,$P546,$Q546-$C$3,$R546,5)*$H546)/100)</f>
        <v>#NAME?</v>
      </c>
      <c r="AI546" s="226" t="e">
        <f aca="false">(((xSPRDOPT($L546,$J546,$I546,$M546,$O546,$N546,$P546,$Q546-$C$3,$R546,4)*$H546)/10000)/100)-AB546</f>
        <v>#NAME?</v>
      </c>
      <c r="AJ546" s="226"/>
      <c r="AK546" s="226"/>
      <c r="AL546" s="226"/>
      <c r="AM546" s="252"/>
      <c r="CC546" s="182" t="n">
        <f aca="false">G546</f>
        <v>36861</v>
      </c>
      <c r="CD546" s="253" t="e">
        <f aca="false">xSPRDOPT((VLOOKUP(G546,NGPrices,2,FALSE())+HLOOKUP(D546,Prices,VLOOKUP(G546,move_down,2,FALSE()),FALSE())),VLOOKUP(G546,NGPrices,2,FALSE()),I546,VLOOKUP(G546,NGPREVPRICES,4,FALSE()),HLOOKUP(D546,PREVVOLS,VLOOKUP(G546,MOVE_DOWN2,2,FALSE()),FALSE()),VLOOKUP(G546,NGPREVPRICES,3,FALSE()),HLOOKUP(D546,Correllate,VLOOKUP(G546,CorMove,2,FALSE()),FALSE()),Q546-$CD$3,R546,$CD$5)*H546-CJ546</f>
        <v>#NAME?</v>
      </c>
      <c r="CE546" s="253" t="e">
        <f aca="false">xSPRDOPT((VLOOKUP(G546,NGPREVPRICES,2,FALSE())+HLOOKUP(D546,PREVCURVES,VLOOKUP(G546,MOVE_DOWN2,2,FALSE()),FALSE())),VLOOKUP(G546,NGPREVPRICES,2,FALSE()),CK546,VLOOKUP(G546,NGPrices,4,FALSE()),HLOOKUP(D546,PREVVOLS,VLOOKUP(G546,MOVE_DOWN2,2,FALSE()),FALSE()),VLOOKUP(G546,NGPREVPRICES,3,FALSE()),HLOOKUP(D546,Correllate,VLOOKUP(G546,CorMove,2,FALSE()),FALSE()),Q546-$CD$3,R546,$CJ$5)*H546-CJ546</f>
        <v>#NAME?</v>
      </c>
      <c r="CF546" s="132" t="e">
        <f aca="false">(CJ546/VLOOKUP(CC546,discount,3,FALSE()))-(CJ546/VLOOKUP(CC546,discount,2,FALSE()))</f>
        <v>#NAME?</v>
      </c>
      <c r="CG546" s="253" t="e">
        <f aca="false">xSPRDOPT((VLOOKUP(G546,NGPREVPRICES,2,FALSE())+HLOOKUP(D546,PREVCURVES,VLOOKUP(G546,MOVE_DOWN2,2,FALSE()),FALSE())),VLOOKUP(G546,NGPREVPRICES,2,FALSE()),CK546,VLOOKUP(G546,NGPREVPRICES,4,FALSE()),HLOOKUP(D546,VOLS,VLOOKUP(G546,move_down,2,FALSE()),FALSE()),VLOOKUP(G546,NGPrices,3,FALSE()),HLOOKUP(D546,Correllate,VLOOKUP(G546,CorMove,2,FALSE()),FALSE()),Q546-$CD$3,R546,$CJ$5)*H546-CJ546</f>
        <v>#NAME?</v>
      </c>
      <c r="CH546" s="253" t="e">
        <f aca="false">xSPRDOPT((VLOOKUP(G546,NGPREVPRICES,2,FALSE())+HLOOKUP(D546,PREVCURVES,VLOOKUP(G546,MOVE_DOWN2,2,FALSE()),FALSE())),VLOOKUP(G546,NGPREVPRICES,2,FALSE()),CK546,VLOOKUP(G546,NGPREVPRICES,4,FALSE()),HLOOKUP(D546,PREVVOLS,VLOOKUP(G546,MOVE_DOWN2,2,FALSE()),FALSE()),VLOOKUP(G546,NGPREVPRICES,3,FALSE()),HLOOKUP(D546,Correllate,VLOOKUP(G546,CorMove,2,FALSE()),FALSE()),Q546-$C$3,R546,$CJ$5)*H546-CJ546</f>
        <v>#NAME?</v>
      </c>
      <c r="CI546" s="253" t="e">
        <f aca="false">SUM(CD546:CH546)</f>
        <v>#NAME?</v>
      </c>
      <c r="CJ546" s="253" t="e">
        <f aca="false">xSPRDOPT((VLOOKUP(G546,NGPREVPRICES,2,FALSE())+HLOOKUP(D546,PREVCURVES,VLOOKUP(G546,MOVE_DOWN2,2,FALSE()),FALSE())),VLOOKUP(G546,NGPREVPRICES,2,FALSE()),CK546,VLOOKUP(G546,NGPREVPRICES,4,FALSE()),HLOOKUP(D546,PREVVOLS,VLOOKUP(G546,MOVE_DOWN2,2,FALSE()),FALSE()),VLOOKUP(G546,NGPREVPRICES,3,FALSE()),HLOOKUP(D546,Correllate,VLOOKUP(G546,CorMove,2,FALSE()),FALSE()),Q546-$CD$3,R546,$CJ$5)*H546</f>
        <v>#NAME?</v>
      </c>
      <c r="CK546" s="254" t="n">
        <f aca="false">I546</f>
        <v>0.5</v>
      </c>
      <c r="CM546" s="0" t="str">
        <f aca="false">CONCATENATE(CC546,$CD$6)</f>
        <v>36861Curve Shift/Gamma</v>
      </c>
      <c r="CN546" s="0" t="str">
        <f aca="false">CONCATENATE($CC546,$CE$6)</f>
        <v>36861Rho</v>
      </c>
      <c r="CO546" s="0" t="str">
        <f aca="false">CONCATENATE($CC546,$CF$6)</f>
        <v>36861Drift</v>
      </c>
      <c r="CP546" s="0" t="str">
        <f aca="false">CONCATENATE($CC546,$CG$6)</f>
        <v>36861Vega</v>
      </c>
      <c r="CQ546" s="0" t="str">
        <f aca="false">CONCATENATE($CC546,$CH$6)</f>
        <v>36861Theta</v>
      </c>
    </row>
    <row r="547" customFormat="false" ht="12.75" hidden="false" customHeight="false" outlineLevel="0" collapsed="false">
      <c r="A547" s="17" t="s">
        <v>345</v>
      </c>
      <c r="B547" s="0" t="s">
        <v>192</v>
      </c>
      <c r="C547" s="0" t="s">
        <v>381</v>
      </c>
      <c r="D547" s="7" t="s">
        <v>157</v>
      </c>
      <c r="E547" s="0" t="s">
        <v>131</v>
      </c>
      <c r="F547" s="0" t="s">
        <v>136</v>
      </c>
      <c r="G547" s="92" t="n">
        <v>36831</v>
      </c>
      <c r="H547" s="248" t="n">
        <v>-300000</v>
      </c>
      <c r="I547" s="0" t="n">
        <v>0.5</v>
      </c>
      <c r="J547" s="124" t="n">
        <f aca="false">VLOOKUP(G547,NGPrices,2,FALSE())</f>
        <v>4.736</v>
      </c>
      <c r="K547" s="125" t="n">
        <f aca="false">HLOOKUP(D547,Prices,VLOOKUP(G547,move_down,2,FALSE()),FALSE())+VLOOKUP(G547,CHANGE,HLOOKUP(D547,CHANGE,2,FALSE()),FALSE())</f>
        <v>0.3215</v>
      </c>
      <c r="L547" s="124" t="n">
        <f aca="false">K547+J547</f>
        <v>5.0575</v>
      </c>
      <c r="M547" s="126" t="n">
        <f aca="false">VLOOKUP(G547,NGPrices,4,FALSE())</f>
        <v>0.06810675983792</v>
      </c>
      <c r="N547" s="7" t="n">
        <f aca="false">VLOOKUP(G547,NGPrices,3,FALSE())</f>
        <v>0.595</v>
      </c>
      <c r="O547" s="7" t="n">
        <f aca="false">HLOOKUP(D547,VOLS,VLOOKUP(G547,move_down,2,FALSE()),FALSE())</f>
        <v>0.595</v>
      </c>
      <c r="P547" s="249" t="n">
        <f aca="false">HLOOKUP(D547,Correllate,VLOOKUP(G547,CorMove,2,FALSE()),FALSE())</f>
        <v>0.995</v>
      </c>
      <c r="Q547" s="92" t="n">
        <f aca="false">WORKDAY(G547,-2)</f>
        <v>36829</v>
      </c>
      <c r="R547" s="7" t="n">
        <f aca="false">IF(F547="P",0,1)</f>
        <v>1</v>
      </c>
      <c r="S547" s="130" t="e">
        <f aca="false">xSPRDOPT($L547,$J547,$I547,$M547,$O547,$N547,$P547,$Q547-$C$3,$R547,0)</f>
        <v>#NAME?</v>
      </c>
      <c r="T547" s="250" t="e">
        <f aca="false">xSPRDOPT($L547,$J547,$I547,$M547,$O547,$N547,$P547,$Q547-$C$3,$R547,1)*H547</f>
        <v>#NAME?</v>
      </c>
      <c r="U547" s="43" t="e">
        <f aca="false">S547*H547</f>
        <v>#NAME?</v>
      </c>
      <c r="V547" s="250" t="e">
        <f aca="false">xSPRDOPT($L547,$J547,$I547,$M547,$O547,$N547,$P547,$Q547-$C$3,$R547,2)*H547</f>
        <v>#NAME?</v>
      </c>
      <c r="W547" s="250" t="e">
        <f aca="false">+V547+T547</f>
        <v>#NAME?</v>
      </c>
      <c r="X547" s="2" t="str">
        <f aca="false">CONCATENATE(G547,D547)</f>
        <v>36831IF-CNG/APPALACH</v>
      </c>
      <c r="Y547" s="251" t="n">
        <f aca="false">H547/10000</f>
        <v>-30</v>
      </c>
      <c r="Z547" s="226" t="e">
        <f aca="false">T547/H547</f>
        <v>#NAME?</v>
      </c>
      <c r="AA547" s="226" t="e">
        <f aca="false">xSPRDOPT($L547,$J547,$I547,$M547,$O547,$N547,$P547,$Q547-$C$3,$R547,3)</f>
        <v>#NAME?</v>
      </c>
      <c r="AB547" s="226" t="e">
        <f aca="false">((xSPRDOPT($L547+AB$5,$J547,$I547,$M547,$O547,$N547,$P547,$Q547-$C$3,$R547,3)*$H547)/10000)/100</f>
        <v>#NAME?</v>
      </c>
      <c r="AC547" s="226" t="e">
        <f aca="false">((xSPRDOPT($L547+$AB$5,$J547,$I547,$M547,$O547,$N547,$P547,$Q547-$C$3,$R547,7)*$H547)/100)</f>
        <v>#NAME?</v>
      </c>
      <c r="AD547" s="226" t="e">
        <f aca="false">(xSPRDOPT($L547+$AB$5,$J547,$I547,$M547,$O547,$N547,$P547,$Q547-$C$3,$R547,9)/365)*$H547</f>
        <v>#NAME?</v>
      </c>
      <c r="AE547" s="0" t="e">
        <f aca="false">CD547</f>
        <v>#NAME?</v>
      </c>
      <c r="AF547" s="226" t="e">
        <f aca="false">((O547/N547)*AH547)+AG547</f>
        <v>#NAME?</v>
      </c>
      <c r="AG547" s="226" t="e">
        <f aca="false">((xSPRDOPT($L547,$J547,$I547,$M547,$O547,$N547,$P547,$Q547-$C$3,$R547,6)*$H547)/100)</f>
        <v>#NAME?</v>
      </c>
      <c r="AH547" s="226" t="e">
        <f aca="false">((xSPRDOPT($L547,$J547,$I547,$M547,$O547,$N547,$P547,$Q547-$C$3,$R547,5)*$H547)/100)</f>
        <v>#NAME?</v>
      </c>
      <c r="AI547" s="226" t="e">
        <f aca="false">(((xSPRDOPT($L547,$J547,$I547,$M547,$O547,$N547,$P547,$Q547-$C$3,$R547,4)*$H547)/10000)/100)-AB547</f>
        <v>#NAME?</v>
      </c>
      <c r="AJ547" s="226"/>
      <c r="AK547" s="226"/>
      <c r="AL547" s="226"/>
      <c r="AM547" s="252"/>
      <c r="CC547" s="182" t="n">
        <f aca="false">G547</f>
        <v>36831</v>
      </c>
      <c r="CD547" s="253" t="e">
        <f aca="false">xSPRDOPT((VLOOKUP(G547,NGPrices,2,FALSE())+HLOOKUP(D547,Prices,VLOOKUP(G547,move_down,2,FALSE()),FALSE())),VLOOKUP(G547,NGPrices,2,FALSE()),I547,VLOOKUP(G547,NGPREVPRICES,4,FALSE()),HLOOKUP(D547,PREVVOLS,VLOOKUP(G547,MOVE_DOWN2,2,FALSE()),FALSE()),VLOOKUP(G547,NGPREVPRICES,3,FALSE()),HLOOKUP(D547,Correllate,VLOOKUP(G547,CorMove,2,FALSE()),FALSE()),Q547-$CD$3,R547,$CD$5)*H547-CJ547</f>
        <v>#NAME?</v>
      </c>
      <c r="CE547" s="253" t="e">
        <f aca="false">xSPRDOPT((VLOOKUP(G547,NGPREVPRICES,2,FALSE())+HLOOKUP(D547,PREVCURVES,VLOOKUP(G547,MOVE_DOWN2,2,FALSE()),FALSE())),VLOOKUP(G547,NGPREVPRICES,2,FALSE()),CK547,VLOOKUP(G547,NGPrices,4,FALSE()),HLOOKUP(D547,PREVVOLS,VLOOKUP(G547,MOVE_DOWN2,2,FALSE()),FALSE()),VLOOKUP(G547,NGPREVPRICES,3,FALSE()),HLOOKUP(D547,Correllate,VLOOKUP(G547,CorMove,2,FALSE()),FALSE()),Q547-$CD$3,R547,$CJ$5)*H547-CJ547</f>
        <v>#NAME?</v>
      </c>
      <c r="CF547" s="132" t="e">
        <f aca="false">(CJ547/VLOOKUP(CC547,discount,3,FALSE()))-(CJ547/VLOOKUP(CC547,discount,2,FALSE()))</f>
        <v>#NAME?</v>
      </c>
      <c r="CG547" s="253" t="e">
        <f aca="false">xSPRDOPT((VLOOKUP(G547,NGPREVPRICES,2,FALSE())+HLOOKUP(D547,PREVCURVES,VLOOKUP(G547,MOVE_DOWN2,2,FALSE()),FALSE())),VLOOKUP(G547,NGPREVPRICES,2,FALSE()),CK547,VLOOKUP(G547,NGPREVPRICES,4,FALSE()),HLOOKUP(D547,VOLS,VLOOKUP(G547,move_down,2,FALSE()),FALSE()),VLOOKUP(G547,NGPrices,3,FALSE()),HLOOKUP(D547,Correllate,VLOOKUP(G547,CorMove,2,FALSE()),FALSE()),Q547-$CD$3,R547,$CJ$5)*H547-CJ547</f>
        <v>#NAME?</v>
      </c>
      <c r="CH547" s="253" t="e">
        <f aca="false">xSPRDOPT((VLOOKUP(G547,NGPREVPRICES,2,FALSE())+HLOOKUP(D547,PREVCURVES,VLOOKUP(G547,MOVE_DOWN2,2,FALSE()),FALSE())),VLOOKUP(G547,NGPREVPRICES,2,FALSE()),CK547,VLOOKUP(G547,NGPREVPRICES,4,FALSE()),HLOOKUP(D547,PREVVOLS,VLOOKUP(G547,MOVE_DOWN2,2,FALSE()),FALSE()),VLOOKUP(G547,NGPREVPRICES,3,FALSE()),HLOOKUP(D547,Correllate,VLOOKUP(G547,CorMove,2,FALSE()),FALSE()),Q547-$C$3,R547,$CJ$5)*H547-CJ547</f>
        <v>#NAME?</v>
      </c>
      <c r="CI547" s="253" t="e">
        <f aca="false">SUM(CD547:CH547)</f>
        <v>#NAME?</v>
      </c>
      <c r="CJ547" s="253" t="e">
        <f aca="false">xSPRDOPT((VLOOKUP(G547,NGPREVPRICES,2,FALSE())+HLOOKUP(D547,PREVCURVES,VLOOKUP(G547,MOVE_DOWN2,2,FALSE()),FALSE())),VLOOKUP(G547,NGPREVPRICES,2,FALSE()),CK547,VLOOKUP(G547,NGPREVPRICES,4,FALSE()),HLOOKUP(D547,PREVVOLS,VLOOKUP(G547,MOVE_DOWN2,2,FALSE()),FALSE()),VLOOKUP(G547,NGPREVPRICES,3,FALSE()),HLOOKUP(D547,Correllate,VLOOKUP(G547,CorMove,2,FALSE()),FALSE()),Q547-$CD$3,R547,$CJ$5)*H547</f>
        <v>#NAME?</v>
      </c>
      <c r="CK547" s="254" t="n">
        <f aca="false">I547</f>
        <v>0.5</v>
      </c>
      <c r="CM547" s="0" t="str">
        <f aca="false">CONCATENATE(CC547,$CD$6)</f>
        <v>36831Curve Shift/Gamma</v>
      </c>
      <c r="CN547" s="0" t="str">
        <f aca="false">CONCATENATE($CC547,$CE$6)</f>
        <v>36831Rho</v>
      </c>
      <c r="CO547" s="0" t="str">
        <f aca="false">CONCATENATE($CC547,$CF$6)</f>
        <v>36831Drift</v>
      </c>
      <c r="CP547" s="0" t="str">
        <f aca="false">CONCATENATE($CC547,$CG$6)</f>
        <v>36831Vega</v>
      </c>
      <c r="CQ547" s="0" t="str">
        <f aca="false">CONCATENATE($CC547,$CH$6)</f>
        <v>36831Theta</v>
      </c>
    </row>
    <row r="548" customFormat="false" ht="12.75" hidden="false" customHeight="false" outlineLevel="0" collapsed="false">
      <c r="A548" s="17" t="s">
        <v>196</v>
      </c>
      <c r="B548" s="0" t="s">
        <v>192</v>
      </c>
      <c r="C548" s="0" t="s">
        <v>382</v>
      </c>
      <c r="D548" s="7" t="s">
        <v>68</v>
      </c>
      <c r="E548" s="0" t="s">
        <v>131</v>
      </c>
      <c r="F548" s="0" t="s">
        <v>132</v>
      </c>
      <c r="G548" s="92" t="n">
        <v>36951</v>
      </c>
      <c r="H548" s="248" t="n">
        <v>-310000</v>
      </c>
      <c r="I548" s="0" t="n">
        <v>-0.25</v>
      </c>
      <c r="J548" s="124" t="n">
        <f aca="false">VLOOKUP(G548,NGPrices,2,FALSE())</f>
        <v>4.213</v>
      </c>
      <c r="K548" s="125" t="n">
        <f aca="false">HLOOKUP(D548,Prices,VLOOKUP(G548,move_down,2,FALSE()),FALSE())+VLOOKUP(G548,CHANGE,HLOOKUP(D548,CHANGE,2,FALSE()),FALSE())</f>
        <v>-0.1375</v>
      </c>
      <c r="L548" s="124" t="n">
        <f aca="false">K548+J548</f>
        <v>4.0755</v>
      </c>
      <c r="M548" s="126" t="n">
        <f aca="false">VLOOKUP(G548,NGPrices,4,FALSE())</f>
        <v>0.068879814952707</v>
      </c>
      <c r="N548" s="7" t="n">
        <f aca="false">VLOOKUP(G548,NGPrices,3,FALSE())</f>
        <v>0.5325</v>
      </c>
      <c r="O548" s="7" t="n">
        <f aca="false">HLOOKUP(D548,VOLS,VLOOKUP(G548,move_down,2,FALSE()),FALSE())</f>
        <v>0.533</v>
      </c>
      <c r="P548" s="249" t="n">
        <f aca="false">HLOOKUP(D548,Correllate,VLOOKUP(G548,CorMove,2,FALSE()),FALSE())</f>
        <v>0.995</v>
      </c>
      <c r="Q548" s="92" t="n">
        <f aca="false">WORKDAY(G548,-2)</f>
        <v>36949</v>
      </c>
      <c r="R548" s="7" t="n">
        <f aca="false">IF(F548="P",0,1)</f>
        <v>0</v>
      </c>
      <c r="S548" s="130" t="e">
        <f aca="false">xSPRDOPT($L548,$J548,$I548,$M548,$O548,$N548,$P548,$Q548-$C$3,$R548,0)</f>
        <v>#NAME?</v>
      </c>
      <c r="T548" s="250" t="e">
        <f aca="false">xSPRDOPT($L548,$J548,$I548,$M548,$O548,$N548,$P548,$Q548-$C$3,$R548,1)*H548</f>
        <v>#NAME?</v>
      </c>
      <c r="U548" s="43" t="e">
        <f aca="false">S548*H548</f>
        <v>#NAME?</v>
      </c>
      <c r="V548" s="250" t="e">
        <f aca="false">xSPRDOPT($L548,$J548,$I548,$M548,$O548,$N548,$P548,$Q548-$C$3,$R548,2)*H548</f>
        <v>#NAME?</v>
      </c>
      <c r="W548" s="250" t="e">
        <f aca="false">+V548+T548</f>
        <v>#NAME?</v>
      </c>
      <c r="X548" s="2" t="str">
        <f aca="false">CONCATENATE(G548,D548)</f>
        <v>36951IF-PAN/TX/OK</v>
      </c>
      <c r="Y548" s="251" t="n">
        <f aca="false">H548/10000</f>
        <v>-31</v>
      </c>
      <c r="Z548" s="226" t="e">
        <f aca="false">T548/H548</f>
        <v>#NAME?</v>
      </c>
      <c r="AA548" s="226" t="e">
        <f aca="false">xSPRDOPT($L548,$J548,$I548,$M548,$O548,$N548,$P548,$Q548-$C$3,$R548,3)</f>
        <v>#NAME?</v>
      </c>
      <c r="AB548" s="226" t="e">
        <f aca="false">((xSPRDOPT($L548+AB$5,$J548,$I548,$M548,$O548,$N548,$P548,$Q548-$C$3,$R548,3)*$H548)/10000)/100</f>
        <v>#NAME?</v>
      </c>
      <c r="AC548" s="226" t="e">
        <f aca="false">((xSPRDOPT($L548+$AB$5,$J548,$I548,$M548,$O548,$N548,$P548,$Q548-$C$3,$R548,7)*$H548)/100)</f>
        <v>#NAME?</v>
      </c>
      <c r="AD548" s="226" t="e">
        <f aca="false">(xSPRDOPT($L548+$AB$5,$J548,$I548,$M548,$O548,$N548,$P548,$Q548-$C$3,$R548,9)/365)*$H548</f>
        <v>#NAME?</v>
      </c>
      <c r="AE548" s="0" t="e">
        <f aca="false">CD548</f>
        <v>#NAME?</v>
      </c>
      <c r="AF548" s="226" t="e">
        <f aca="false">((O548/N548)*AH548)+AG548</f>
        <v>#NAME?</v>
      </c>
      <c r="AG548" s="226" t="e">
        <f aca="false">((xSPRDOPT($L548,$J548,$I548,$M548,$O548,$N548,$P548,$Q548-$C$3,$R548,6)*$H548)/100)</f>
        <v>#NAME?</v>
      </c>
      <c r="AH548" s="226" t="e">
        <f aca="false">((xSPRDOPT($L548,$J548,$I548,$M548,$O548,$N548,$P548,$Q548-$C$3,$R548,5)*$H548)/100)</f>
        <v>#NAME?</v>
      </c>
      <c r="AI548" s="226" t="e">
        <f aca="false">(((xSPRDOPT($L548,$J548,$I548,$M548,$O548,$N548,$P548,$Q548-$C$3,$R548,4)*$H548)/10000)/100)-AB548</f>
        <v>#NAME?</v>
      </c>
      <c r="AJ548" s="226"/>
      <c r="AK548" s="226"/>
      <c r="AL548" s="226"/>
      <c r="AM548" s="252"/>
      <c r="CC548" s="182" t="n">
        <f aca="false">G548</f>
        <v>36951</v>
      </c>
      <c r="CD548" s="253" t="e">
        <f aca="false">xSPRDOPT((VLOOKUP(G548,NGPrices,2,FALSE())+HLOOKUP(D548,Prices,VLOOKUP(G548,move_down,2,FALSE()),FALSE())),VLOOKUP(G548,NGPrices,2,FALSE()),I548,VLOOKUP(G548,NGPREVPRICES,4,FALSE()),HLOOKUP(D548,PREVVOLS,VLOOKUP(G548,MOVE_DOWN2,2,FALSE()),FALSE()),VLOOKUP(G548,NGPREVPRICES,3,FALSE()),HLOOKUP(D548,Correllate,VLOOKUP(G548,CorMove,2,FALSE()),FALSE()),Q548-$CD$3,R548,$CD$5)*H548-CJ548</f>
        <v>#NAME?</v>
      </c>
      <c r="CE548" s="253" t="e">
        <f aca="false">xSPRDOPT((VLOOKUP(G548,NGPREVPRICES,2,FALSE())+HLOOKUP(D548,PREVCURVES,VLOOKUP(G548,MOVE_DOWN2,2,FALSE()),FALSE())),VLOOKUP(G548,NGPREVPRICES,2,FALSE()),CK548,VLOOKUP(G548,NGPrices,4,FALSE()),HLOOKUP(D548,PREVVOLS,VLOOKUP(G548,MOVE_DOWN2,2,FALSE()),FALSE()),VLOOKUP(G548,NGPREVPRICES,3,FALSE()),HLOOKUP(D548,Correllate,VLOOKUP(G548,CorMove,2,FALSE()),FALSE()),Q548-$CD$3,R548,$CJ$5)*H548-CJ548</f>
        <v>#NAME?</v>
      </c>
      <c r="CF548" s="132" t="e">
        <f aca="false">(CJ548/VLOOKUP(CC548,discount,3,FALSE()))-(CJ548/VLOOKUP(CC548,discount,2,FALSE()))</f>
        <v>#NAME?</v>
      </c>
      <c r="CG548" s="253" t="e">
        <f aca="false">xSPRDOPT((VLOOKUP(G548,NGPREVPRICES,2,FALSE())+HLOOKUP(D548,PREVCURVES,VLOOKUP(G548,MOVE_DOWN2,2,FALSE()),FALSE())),VLOOKUP(G548,NGPREVPRICES,2,FALSE()),CK548,VLOOKUP(G548,NGPREVPRICES,4,FALSE()),HLOOKUP(D548,VOLS,VLOOKUP(G548,move_down,2,FALSE()),FALSE()),VLOOKUP(G548,NGPrices,3,FALSE()),HLOOKUP(D548,Correllate,VLOOKUP(G548,CorMove,2,FALSE()),FALSE()),Q548-$CD$3,R548,$CJ$5)*H548-CJ548</f>
        <v>#NAME?</v>
      </c>
      <c r="CH548" s="253" t="e">
        <f aca="false">xSPRDOPT((VLOOKUP(G548,NGPREVPRICES,2,FALSE())+HLOOKUP(D548,PREVCURVES,VLOOKUP(G548,MOVE_DOWN2,2,FALSE()),FALSE())),VLOOKUP(G548,NGPREVPRICES,2,FALSE()),CK548,VLOOKUP(G548,NGPREVPRICES,4,FALSE()),HLOOKUP(D548,PREVVOLS,VLOOKUP(G548,MOVE_DOWN2,2,FALSE()),FALSE()),VLOOKUP(G548,NGPREVPRICES,3,FALSE()),HLOOKUP(D548,Correllate,VLOOKUP(G548,CorMove,2,FALSE()),FALSE()),Q548-$C$3,R548,$CJ$5)*H548-CJ548</f>
        <v>#NAME?</v>
      </c>
      <c r="CI548" s="253" t="e">
        <f aca="false">SUM(CD548:CH548)</f>
        <v>#NAME?</v>
      </c>
      <c r="CJ548" s="253" t="e">
        <f aca="false">xSPRDOPT((VLOOKUP(G548,NGPREVPRICES,2,FALSE())+HLOOKUP(D548,PREVCURVES,VLOOKUP(G548,MOVE_DOWN2,2,FALSE()),FALSE())),VLOOKUP(G548,NGPREVPRICES,2,FALSE()),CK548,VLOOKUP(G548,NGPREVPRICES,4,FALSE()),HLOOKUP(D548,PREVVOLS,VLOOKUP(G548,MOVE_DOWN2,2,FALSE()),FALSE()),VLOOKUP(G548,NGPREVPRICES,3,FALSE()),HLOOKUP(D548,Correllate,VLOOKUP(G548,CorMove,2,FALSE()),FALSE()),Q548-$CD$3,R548,$CJ$5)*H548</f>
        <v>#NAME?</v>
      </c>
      <c r="CK548" s="254" t="n">
        <f aca="false">I548</f>
        <v>-0.25</v>
      </c>
      <c r="CM548" s="0" t="str">
        <f aca="false">CONCATENATE(CC548,$CD$6)</f>
        <v>36951Curve Shift/Gamma</v>
      </c>
      <c r="CN548" s="0" t="str">
        <f aca="false">CONCATENATE($CC548,$CE$6)</f>
        <v>36951Rho</v>
      </c>
      <c r="CO548" s="0" t="str">
        <f aca="false">CONCATENATE($CC548,$CF$6)</f>
        <v>36951Drift</v>
      </c>
      <c r="CP548" s="0" t="str">
        <f aca="false">CONCATENATE($CC548,$CG$6)</f>
        <v>36951Vega</v>
      </c>
      <c r="CQ548" s="0" t="str">
        <f aca="false">CONCATENATE($CC548,$CH$6)</f>
        <v>36951Theta</v>
      </c>
    </row>
    <row r="549" customFormat="false" ht="12.75" hidden="false" customHeight="false" outlineLevel="0" collapsed="false">
      <c r="A549" s="17" t="s">
        <v>196</v>
      </c>
      <c r="B549" s="0" t="s">
        <v>192</v>
      </c>
      <c r="C549" s="0" t="s">
        <v>382</v>
      </c>
      <c r="D549" s="7" t="s">
        <v>68</v>
      </c>
      <c r="E549" s="0" t="s">
        <v>131</v>
      </c>
      <c r="F549" s="0" t="s">
        <v>132</v>
      </c>
      <c r="G549" s="92" t="n">
        <v>36923</v>
      </c>
      <c r="H549" s="248" t="n">
        <v>-280000</v>
      </c>
      <c r="I549" s="0" t="n">
        <v>-0.25</v>
      </c>
      <c r="J549" s="124" t="n">
        <f aca="false">VLOOKUP(G549,NGPrices,2,FALSE())</f>
        <v>4.48</v>
      </c>
      <c r="K549" s="125" t="n">
        <f aca="false">HLOOKUP(D549,Prices,VLOOKUP(G549,move_down,2,FALSE()),FALSE())+VLOOKUP(G549,CHANGE,HLOOKUP(D549,CHANGE,2,FALSE()),FALSE())</f>
        <v>-0.145</v>
      </c>
      <c r="L549" s="124" t="n">
        <f aca="false">K549+J549</f>
        <v>4.335</v>
      </c>
      <c r="M549" s="126" t="n">
        <f aca="false">VLOOKUP(G549,NGPrices,4,FALSE())</f>
        <v>0.068640161611372</v>
      </c>
      <c r="N549" s="7" t="n">
        <f aca="false">VLOOKUP(G549,NGPrices,3,FALSE())</f>
        <v>0.5925</v>
      </c>
      <c r="O549" s="7" t="n">
        <f aca="false">HLOOKUP(D549,VOLS,VLOOKUP(G549,move_down,2,FALSE()),FALSE())</f>
        <v>0.593</v>
      </c>
      <c r="P549" s="249" t="n">
        <f aca="false">HLOOKUP(D549,Correllate,VLOOKUP(G549,CorMove,2,FALSE()),FALSE())</f>
        <v>0.995</v>
      </c>
      <c r="Q549" s="92" t="n">
        <f aca="false">WORKDAY(G549,-2)</f>
        <v>36921</v>
      </c>
      <c r="R549" s="7" t="n">
        <f aca="false">IF(F549="P",0,1)</f>
        <v>0</v>
      </c>
      <c r="S549" s="130" t="e">
        <f aca="false">xSPRDOPT($L549,$J549,$I549,$M549,$O549,$N549,$P549,$Q549-$C$3,$R549,0)</f>
        <v>#NAME?</v>
      </c>
      <c r="T549" s="250" t="e">
        <f aca="false">xSPRDOPT($L549,$J549,$I549,$M549,$O549,$N549,$P549,$Q549-$C$3,$R549,1)*H549</f>
        <v>#NAME?</v>
      </c>
      <c r="U549" s="43" t="e">
        <f aca="false">S549*H549</f>
        <v>#NAME?</v>
      </c>
      <c r="V549" s="250" t="e">
        <f aca="false">xSPRDOPT($L549,$J549,$I549,$M549,$O549,$N549,$P549,$Q549-$C$3,$R549,2)*H549</f>
        <v>#NAME?</v>
      </c>
      <c r="W549" s="250" t="e">
        <f aca="false">+V549+T549</f>
        <v>#NAME?</v>
      </c>
      <c r="X549" s="2" t="str">
        <f aca="false">CONCATENATE(G549,D549)</f>
        <v>36923IF-PAN/TX/OK</v>
      </c>
      <c r="Y549" s="251" t="n">
        <f aca="false">H549/10000</f>
        <v>-28</v>
      </c>
      <c r="Z549" s="226" t="e">
        <f aca="false">T549/H549</f>
        <v>#NAME?</v>
      </c>
      <c r="AA549" s="226" t="e">
        <f aca="false">xSPRDOPT($L549,$J549,$I549,$M549,$O549,$N549,$P549,$Q549-$C$3,$R549,3)</f>
        <v>#NAME?</v>
      </c>
      <c r="AB549" s="226" t="e">
        <f aca="false">((xSPRDOPT($L549+AB$5,$J549,$I549,$M549,$O549,$N549,$P549,$Q549-$C$3,$R549,3)*$H549)/10000)/100</f>
        <v>#NAME?</v>
      </c>
      <c r="AC549" s="226" t="e">
        <f aca="false">((xSPRDOPT($L549+$AB$5,$J549,$I549,$M549,$O549,$N549,$P549,$Q549-$C$3,$R549,7)*$H549)/100)</f>
        <v>#NAME?</v>
      </c>
      <c r="AD549" s="226" t="e">
        <f aca="false">(xSPRDOPT($L549+$AB$5,$J549,$I549,$M549,$O549,$N549,$P549,$Q549-$C$3,$R549,9)/365)*$H549</f>
        <v>#NAME?</v>
      </c>
      <c r="AE549" s="0" t="e">
        <f aca="false">CD549</f>
        <v>#NAME?</v>
      </c>
      <c r="AF549" s="226" t="e">
        <f aca="false">((O549/N549)*AH549)+AG549</f>
        <v>#NAME?</v>
      </c>
      <c r="AG549" s="226" t="e">
        <f aca="false">((xSPRDOPT($L549,$J549,$I549,$M549,$O549,$N549,$P549,$Q549-$C$3,$R549,6)*$H549)/100)</f>
        <v>#NAME?</v>
      </c>
      <c r="AH549" s="226" t="e">
        <f aca="false">((xSPRDOPT($L549,$J549,$I549,$M549,$O549,$N549,$P549,$Q549-$C$3,$R549,5)*$H549)/100)</f>
        <v>#NAME?</v>
      </c>
      <c r="AI549" s="226" t="e">
        <f aca="false">(((xSPRDOPT($L549,$J549,$I549,$M549,$O549,$N549,$P549,$Q549-$C$3,$R549,4)*$H549)/10000)/100)-AB549</f>
        <v>#NAME?</v>
      </c>
      <c r="AJ549" s="226"/>
      <c r="AK549" s="226"/>
      <c r="AL549" s="226"/>
      <c r="AM549" s="252"/>
      <c r="CC549" s="182" t="n">
        <f aca="false">G549</f>
        <v>36923</v>
      </c>
      <c r="CD549" s="253" t="e">
        <f aca="false">xSPRDOPT((VLOOKUP(G549,NGPrices,2,FALSE())+HLOOKUP(D549,Prices,VLOOKUP(G549,move_down,2,FALSE()),FALSE())),VLOOKUP(G549,NGPrices,2,FALSE()),I549,VLOOKUP(G549,NGPREVPRICES,4,FALSE()),HLOOKUP(D549,PREVVOLS,VLOOKUP(G549,MOVE_DOWN2,2,FALSE()),FALSE()),VLOOKUP(G549,NGPREVPRICES,3,FALSE()),HLOOKUP(D549,Correllate,VLOOKUP(G549,CorMove,2,FALSE()),FALSE()),Q549-$CD$3,R549,$CD$5)*H549-CJ549</f>
        <v>#NAME?</v>
      </c>
      <c r="CE549" s="253" t="e">
        <f aca="false">xSPRDOPT((VLOOKUP(G549,NGPREVPRICES,2,FALSE())+HLOOKUP(D549,PREVCURVES,VLOOKUP(G549,MOVE_DOWN2,2,FALSE()),FALSE())),VLOOKUP(G549,NGPREVPRICES,2,FALSE()),CK549,VLOOKUP(G549,NGPrices,4,FALSE()),HLOOKUP(D549,PREVVOLS,VLOOKUP(G549,MOVE_DOWN2,2,FALSE()),FALSE()),VLOOKUP(G549,NGPREVPRICES,3,FALSE()),HLOOKUP(D549,Correllate,VLOOKUP(G549,CorMove,2,FALSE()),FALSE()),Q549-$CD$3,R549,$CJ$5)*H549-CJ549</f>
        <v>#NAME?</v>
      </c>
      <c r="CF549" s="132" t="e">
        <f aca="false">(CJ549/VLOOKUP(CC549,discount,3,FALSE()))-(CJ549/VLOOKUP(CC549,discount,2,FALSE()))</f>
        <v>#NAME?</v>
      </c>
      <c r="CG549" s="253" t="e">
        <f aca="false">xSPRDOPT((VLOOKUP(G549,NGPREVPRICES,2,FALSE())+HLOOKUP(D549,PREVCURVES,VLOOKUP(G549,MOVE_DOWN2,2,FALSE()),FALSE())),VLOOKUP(G549,NGPREVPRICES,2,FALSE()),CK549,VLOOKUP(G549,NGPREVPRICES,4,FALSE()),HLOOKUP(D549,VOLS,VLOOKUP(G549,move_down,2,FALSE()),FALSE()),VLOOKUP(G549,NGPrices,3,FALSE()),HLOOKUP(D549,Correllate,VLOOKUP(G549,CorMove,2,FALSE()),FALSE()),Q549-$CD$3,R549,$CJ$5)*H549-CJ549</f>
        <v>#NAME?</v>
      </c>
      <c r="CH549" s="253" t="e">
        <f aca="false">xSPRDOPT((VLOOKUP(G549,NGPREVPRICES,2,FALSE())+HLOOKUP(D549,PREVCURVES,VLOOKUP(G549,MOVE_DOWN2,2,FALSE()),FALSE())),VLOOKUP(G549,NGPREVPRICES,2,FALSE()),CK549,VLOOKUP(G549,NGPREVPRICES,4,FALSE()),HLOOKUP(D549,PREVVOLS,VLOOKUP(G549,MOVE_DOWN2,2,FALSE()),FALSE()),VLOOKUP(G549,NGPREVPRICES,3,FALSE()),HLOOKUP(D549,Correllate,VLOOKUP(G549,CorMove,2,FALSE()),FALSE()),Q549-$C$3,R549,$CJ$5)*H549-CJ549</f>
        <v>#NAME?</v>
      </c>
      <c r="CI549" s="253" t="e">
        <f aca="false">SUM(CD549:CH549)</f>
        <v>#NAME?</v>
      </c>
      <c r="CJ549" s="253" t="e">
        <f aca="false">xSPRDOPT((VLOOKUP(G549,NGPREVPRICES,2,FALSE())+HLOOKUP(D549,PREVCURVES,VLOOKUP(G549,MOVE_DOWN2,2,FALSE()),FALSE())),VLOOKUP(G549,NGPREVPRICES,2,FALSE()),CK549,VLOOKUP(G549,NGPREVPRICES,4,FALSE()),HLOOKUP(D549,PREVVOLS,VLOOKUP(G549,MOVE_DOWN2,2,FALSE()),FALSE()),VLOOKUP(G549,NGPREVPRICES,3,FALSE()),HLOOKUP(D549,Correllate,VLOOKUP(G549,CorMove,2,FALSE()),FALSE()),Q549-$CD$3,R549,$CJ$5)*H549</f>
        <v>#NAME?</v>
      </c>
      <c r="CK549" s="254" t="n">
        <f aca="false">I549</f>
        <v>-0.25</v>
      </c>
      <c r="CM549" s="0" t="str">
        <f aca="false">CONCATENATE(CC549,$CD$6)</f>
        <v>36923Curve Shift/Gamma</v>
      </c>
      <c r="CN549" s="0" t="str">
        <f aca="false">CONCATENATE($CC549,$CE$6)</f>
        <v>36923Rho</v>
      </c>
      <c r="CO549" s="0" t="str">
        <f aca="false">CONCATENATE($CC549,$CF$6)</f>
        <v>36923Drift</v>
      </c>
      <c r="CP549" s="0" t="str">
        <f aca="false">CONCATENATE($CC549,$CG$6)</f>
        <v>36923Vega</v>
      </c>
      <c r="CQ549" s="0" t="str">
        <f aca="false">CONCATENATE($CC549,$CH$6)</f>
        <v>36923Theta</v>
      </c>
    </row>
    <row r="550" customFormat="false" ht="12.75" hidden="false" customHeight="false" outlineLevel="0" collapsed="false">
      <c r="A550" s="17" t="s">
        <v>196</v>
      </c>
      <c r="B550" s="0" t="s">
        <v>192</v>
      </c>
      <c r="C550" s="0" t="s">
        <v>382</v>
      </c>
      <c r="D550" s="7" t="s">
        <v>68</v>
      </c>
      <c r="E550" s="0" t="s">
        <v>131</v>
      </c>
      <c r="F550" s="0" t="s">
        <v>132</v>
      </c>
      <c r="G550" s="92" t="n">
        <v>36892</v>
      </c>
      <c r="H550" s="248" t="n">
        <v>-310000</v>
      </c>
      <c r="I550" s="0" t="n">
        <v>-0.25</v>
      </c>
      <c r="J550" s="124" t="n">
        <f aca="false">VLOOKUP(G550,NGPrices,2,FALSE())</f>
        <v>4.744</v>
      </c>
      <c r="K550" s="125" t="n">
        <f aca="false">HLOOKUP(D550,Prices,VLOOKUP(G550,move_down,2,FALSE()),FALSE())+VLOOKUP(G550,CHANGE,HLOOKUP(D550,CHANGE,2,FALSE()),FALSE())</f>
        <v>-0.16</v>
      </c>
      <c r="L550" s="124" t="n">
        <f aca="false">K550+J550</f>
        <v>4.584</v>
      </c>
      <c r="M550" s="126" t="n">
        <f aca="false">VLOOKUP(G550,NGPrices,4,FALSE())</f>
        <v>0.068374831148491</v>
      </c>
      <c r="N550" s="7" t="n">
        <f aca="false">VLOOKUP(G550,NGPrices,3,FALSE())</f>
        <v>0.605</v>
      </c>
      <c r="O550" s="7" t="n">
        <f aca="false">HLOOKUP(D550,VOLS,VLOOKUP(G550,move_down,2,FALSE()),FALSE())</f>
        <v>0.605</v>
      </c>
      <c r="P550" s="249" t="n">
        <f aca="false">HLOOKUP(D550,Correllate,VLOOKUP(G550,CorMove,2,FALSE()),FALSE())</f>
        <v>0.995</v>
      </c>
      <c r="Q550" s="92" t="n">
        <f aca="false">WORKDAY(G550,-2)</f>
        <v>36888</v>
      </c>
      <c r="R550" s="7" t="n">
        <f aca="false">IF(F550="P",0,1)</f>
        <v>0</v>
      </c>
      <c r="S550" s="130" t="e">
        <f aca="false">xSPRDOPT($L550,$J550,$I550,$M550,$O550,$N550,$P550,$Q550-$C$3,$R550,0)</f>
        <v>#NAME?</v>
      </c>
      <c r="T550" s="250" t="e">
        <f aca="false">xSPRDOPT($L550,$J550,$I550,$M550,$O550,$N550,$P550,$Q550-$C$3,$R550,1)*H550</f>
        <v>#NAME?</v>
      </c>
      <c r="U550" s="43" t="e">
        <f aca="false">S550*H550</f>
        <v>#NAME?</v>
      </c>
      <c r="V550" s="250" t="e">
        <f aca="false">xSPRDOPT($L550,$J550,$I550,$M550,$O550,$N550,$P550,$Q550-$C$3,$R550,2)*H550</f>
        <v>#NAME?</v>
      </c>
      <c r="W550" s="250" t="e">
        <f aca="false">+V550+T550</f>
        <v>#NAME?</v>
      </c>
      <c r="X550" s="2" t="str">
        <f aca="false">CONCATENATE(G550,D550)</f>
        <v>36892IF-PAN/TX/OK</v>
      </c>
      <c r="Y550" s="251" t="n">
        <f aca="false">H550/10000</f>
        <v>-31</v>
      </c>
      <c r="Z550" s="226" t="e">
        <f aca="false">T550/H550</f>
        <v>#NAME?</v>
      </c>
      <c r="AA550" s="226" t="e">
        <f aca="false">xSPRDOPT($L550,$J550,$I550,$M550,$O550,$N550,$P550,$Q550-$C$3,$R550,3)</f>
        <v>#NAME?</v>
      </c>
      <c r="AB550" s="226" t="e">
        <f aca="false">((xSPRDOPT($L550+AB$5,$J550,$I550,$M550,$O550,$N550,$P550,$Q550-$C$3,$R550,3)*$H550)/10000)/100</f>
        <v>#NAME?</v>
      </c>
      <c r="AC550" s="226" t="e">
        <f aca="false">((xSPRDOPT($L550+$AB$5,$J550,$I550,$M550,$O550,$N550,$P550,$Q550-$C$3,$R550,7)*$H550)/100)</f>
        <v>#NAME?</v>
      </c>
      <c r="AD550" s="226" t="e">
        <f aca="false">(xSPRDOPT($L550+$AB$5,$J550,$I550,$M550,$O550,$N550,$P550,$Q550-$C$3,$R550,9)/365)*$H550</f>
        <v>#NAME?</v>
      </c>
      <c r="AE550" s="0" t="e">
        <f aca="false">CD550</f>
        <v>#NAME?</v>
      </c>
      <c r="AF550" s="226" t="e">
        <f aca="false">((O550/N550)*AH550)+AG550</f>
        <v>#NAME?</v>
      </c>
      <c r="AG550" s="226" t="e">
        <f aca="false">((xSPRDOPT($L550,$J550,$I550,$M550,$O550,$N550,$P550,$Q550-$C$3,$R550,6)*$H550)/100)</f>
        <v>#NAME?</v>
      </c>
      <c r="AH550" s="226" t="e">
        <f aca="false">((xSPRDOPT($L550,$J550,$I550,$M550,$O550,$N550,$P550,$Q550-$C$3,$R550,5)*$H550)/100)</f>
        <v>#NAME?</v>
      </c>
      <c r="AI550" s="226" t="e">
        <f aca="false">(((xSPRDOPT($L550,$J550,$I550,$M550,$O550,$N550,$P550,$Q550-$C$3,$R550,4)*$H550)/10000)/100)-AB550</f>
        <v>#NAME?</v>
      </c>
      <c r="AJ550" s="226"/>
      <c r="AK550" s="226"/>
      <c r="AL550" s="226"/>
      <c r="AM550" s="252"/>
      <c r="CC550" s="182" t="n">
        <f aca="false">G550</f>
        <v>36892</v>
      </c>
      <c r="CD550" s="253" t="e">
        <f aca="false">xSPRDOPT((VLOOKUP(G550,NGPrices,2,FALSE())+HLOOKUP(D550,Prices,VLOOKUP(G550,move_down,2,FALSE()),FALSE())),VLOOKUP(G550,NGPrices,2,FALSE()),I550,VLOOKUP(G550,NGPREVPRICES,4,FALSE()),HLOOKUP(D550,PREVVOLS,VLOOKUP(G550,MOVE_DOWN2,2,FALSE()),FALSE()),VLOOKUP(G550,NGPREVPRICES,3,FALSE()),HLOOKUP(D550,Correllate,VLOOKUP(G550,CorMove,2,FALSE()),FALSE()),Q550-$CD$3,R550,$CD$5)*H550-CJ550</f>
        <v>#NAME?</v>
      </c>
      <c r="CE550" s="253" t="e">
        <f aca="false">xSPRDOPT((VLOOKUP(G550,NGPREVPRICES,2,FALSE())+HLOOKUP(D550,PREVCURVES,VLOOKUP(G550,MOVE_DOWN2,2,FALSE()),FALSE())),VLOOKUP(G550,NGPREVPRICES,2,FALSE()),CK550,VLOOKUP(G550,NGPrices,4,FALSE()),HLOOKUP(D550,PREVVOLS,VLOOKUP(G550,MOVE_DOWN2,2,FALSE()),FALSE()),VLOOKUP(G550,NGPREVPRICES,3,FALSE()),HLOOKUP(D550,Correllate,VLOOKUP(G550,CorMove,2,FALSE()),FALSE()),Q550-$CD$3,R550,$CJ$5)*H550-CJ550</f>
        <v>#NAME?</v>
      </c>
      <c r="CF550" s="132" t="e">
        <f aca="false">(CJ550/VLOOKUP(CC550,discount,3,FALSE()))-(CJ550/VLOOKUP(CC550,discount,2,FALSE()))</f>
        <v>#NAME?</v>
      </c>
      <c r="CG550" s="253" t="e">
        <f aca="false">xSPRDOPT((VLOOKUP(G550,NGPREVPRICES,2,FALSE())+HLOOKUP(D550,PREVCURVES,VLOOKUP(G550,MOVE_DOWN2,2,FALSE()),FALSE())),VLOOKUP(G550,NGPREVPRICES,2,FALSE()),CK550,VLOOKUP(G550,NGPREVPRICES,4,FALSE()),HLOOKUP(D550,VOLS,VLOOKUP(G550,move_down,2,FALSE()),FALSE()),VLOOKUP(G550,NGPrices,3,FALSE()),HLOOKUP(D550,Correllate,VLOOKUP(G550,CorMove,2,FALSE()),FALSE()),Q550-$CD$3,R550,$CJ$5)*H550-CJ550</f>
        <v>#NAME?</v>
      </c>
      <c r="CH550" s="253" t="e">
        <f aca="false">xSPRDOPT((VLOOKUP(G550,NGPREVPRICES,2,FALSE())+HLOOKUP(D550,PREVCURVES,VLOOKUP(G550,MOVE_DOWN2,2,FALSE()),FALSE())),VLOOKUP(G550,NGPREVPRICES,2,FALSE()),CK550,VLOOKUP(G550,NGPREVPRICES,4,FALSE()),HLOOKUP(D550,PREVVOLS,VLOOKUP(G550,MOVE_DOWN2,2,FALSE()),FALSE()),VLOOKUP(G550,NGPREVPRICES,3,FALSE()),HLOOKUP(D550,Correllate,VLOOKUP(G550,CorMove,2,FALSE()),FALSE()),Q550-$C$3,R550,$CJ$5)*H550-CJ550</f>
        <v>#NAME?</v>
      </c>
      <c r="CI550" s="253" t="e">
        <f aca="false">SUM(CD550:CH550)</f>
        <v>#NAME?</v>
      </c>
      <c r="CJ550" s="253" t="e">
        <f aca="false">xSPRDOPT((VLOOKUP(G550,NGPREVPRICES,2,FALSE())+HLOOKUP(D550,PREVCURVES,VLOOKUP(G550,MOVE_DOWN2,2,FALSE()),FALSE())),VLOOKUP(G550,NGPREVPRICES,2,FALSE()),CK550,VLOOKUP(G550,NGPREVPRICES,4,FALSE()),HLOOKUP(D550,PREVVOLS,VLOOKUP(G550,MOVE_DOWN2,2,FALSE()),FALSE()),VLOOKUP(G550,NGPREVPRICES,3,FALSE()),HLOOKUP(D550,Correllate,VLOOKUP(G550,CorMove,2,FALSE()),FALSE()),Q550-$CD$3,R550,$CJ$5)*H550</f>
        <v>#NAME?</v>
      </c>
      <c r="CK550" s="254" t="n">
        <f aca="false">I550</f>
        <v>-0.25</v>
      </c>
      <c r="CM550" s="0" t="str">
        <f aca="false">CONCATENATE(CC550,$CD$6)</f>
        <v>36892Curve Shift/Gamma</v>
      </c>
      <c r="CN550" s="0" t="str">
        <f aca="false">CONCATENATE($CC550,$CE$6)</f>
        <v>36892Rho</v>
      </c>
      <c r="CO550" s="0" t="str">
        <f aca="false">CONCATENATE($CC550,$CF$6)</f>
        <v>36892Drift</v>
      </c>
      <c r="CP550" s="0" t="str">
        <f aca="false">CONCATENATE($CC550,$CG$6)</f>
        <v>36892Vega</v>
      </c>
      <c r="CQ550" s="0" t="str">
        <f aca="false">CONCATENATE($CC550,$CH$6)</f>
        <v>36892Theta</v>
      </c>
    </row>
    <row r="551" customFormat="false" ht="12.75" hidden="false" customHeight="false" outlineLevel="0" collapsed="false">
      <c r="A551" s="17" t="s">
        <v>196</v>
      </c>
      <c r="B551" s="0" t="s">
        <v>192</v>
      </c>
      <c r="C551" s="0" t="s">
        <v>382</v>
      </c>
      <c r="D551" s="7" t="s">
        <v>68</v>
      </c>
      <c r="E551" s="0" t="s">
        <v>131</v>
      </c>
      <c r="F551" s="0" t="s">
        <v>132</v>
      </c>
      <c r="G551" s="92" t="n">
        <v>36861</v>
      </c>
      <c r="H551" s="248" t="n">
        <v>-310000</v>
      </c>
      <c r="I551" s="0" t="n">
        <v>-0.25</v>
      </c>
      <c r="J551" s="124" t="n">
        <f aca="false">VLOOKUP(G551,NGPrices,2,FALSE())</f>
        <v>4.8</v>
      </c>
      <c r="K551" s="125" t="n">
        <f aca="false">HLOOKUP(D551,Prices,VLOOKUP(G551,move_down,2,FALSE()),FALSE())+VLOOKUP(G551,CHANGE,HLOOKUP(D551,CHANGE,2,FALSE()),FALSE())</f>
        <v>-0.1525</v>
      </c>
      <c r="L551" s="124" t="n">
        <f aca="false">K551+J551</f>
        <v>4.6475</v>
      </c>
      <c r="M551" s="126" t="n">
        <f aca="false">VLOOKUP(G551,NGPrices,4,FALSE())</f>
        <v>0.068314027999354</v>
      </c>
      <c r="N551" s="7" t="n">
        <f aca="false">VLOOKUP(G551,NGPrices,3,FALSE())</f>
        <v>0.6</v>
      </c>
      <c r="O551" s="7" t="n">
        <f aca="false">HLOOKUP(D551,VOLS,VLOOKUP(G551,move_down,2,FALSE()),FALSE())</f>
        <v>0.6</v>
      </c>
      <c r="P551" s="249" t="n">
        <f aca="false">HLOOKUP(D551,Correllate,VLOOKUP(G551,CorMove,2,FALSE()),FALSE())</f>
        <v>0.995</v>
      </c>
      <c r="Q551" s="92" t="n">
        <f aca="false">WORKDAY(G551,-2)</f>
        <v>36859</v>
      </c>
      <c r="R551" s="7" t="n">
        <f aca="false">IF(F551="P",0,1)</f>
        <v>0</v>
      </c>
      <c r="S551" s="130" t="e">
        <f aca="false">xSPRDOPT($L551,$J551,$I551,$M551,$O551,$N551,$P551,$Q551-$C$3,$R551,0)</f>
        <v>#NAME?</v>
      </c>
      <c r="T551" s="250" t="e">
        <f aca="false">xSPRDOPT($L551,$J551,$I551,$M551,$O551,$N551,$P551,$Q551-$C$3,$R551,1)*H551</f>
        <v>#NAME?</v>
      </c>
      <c r="U551" s="43" t="e">
        <f aca="false">S551*H551</f>
        <v>#NAME?</v>
      </c>
      <c r="V551" s="250" t="e">
        <f aca="false">xSPRDOPT($L551,$J551,$I551,$M551,$O551,$N551,$P551,$Q551-$C$3,$R551,2)*H551</f>
        <v>#NAME?</v>
      </c>
      <c r="W551" s="250" t="e">
        <f aca="false">+V551+T551</f>
        <v>#NAME?</v>
      </c>
      <c r="X551" s="2" t="str">
        <f aca="false">CONCATENATE(G551,D551)</f>
        <v>36861IF-PAN/TX/OK</v>
      </c>
      <c r="Y551" s="251" t="n">
        <f aca="false">H551/10000</f>
        <v>-31</v>
      </c>
      <c r="Z551" s="226" t="e">
        <f aca="false">T551/H551</f>
        <v>#NAME?</v>
      </c>
      <c r="AA551" s="226" t="e">
        <f aca="false">xSPRDOPT($L551,$J551,$I551,$M551,$O551,$N551,$P551,$Q551-$C$3,$R551,3)</f>
        <v>#NAME?</v>
      </c>
      <c r="AB551" s="226" t="e">
        <f aca="false">((xSPRDOPT($L551+AB$5,$J551,$I551,$M551,$O551,$N551,$P551,$Q551-$C$3,$R551,3)*$H551)/10000)/100</f>
        <v>#NAME?</v>
      </c>
      <c r="AC551" s="226" t="e">
        <f aca="false">((xSPRDOPT($L551+$AB$5,$J551,$I551,$M551,$O551,$N551,$P551,$Q551-$C$3,$R551,7)*$H551)/100)</f>
        <v>#NAME?</v>
      </c>
      <c r="AD551" s="226" t="e">
        <f aca="false">(xSPRDOPT($L551+$AB$5,$J551,$I551,$M551,$O551,$N551,$P551,$Q551-$C$3,$R551,9)/365)*$H551</f>
        <v>#NAME?</v>
      </c>
      <c r="AE551" s="0" t="e">
        <f aca="false">CD551</f>
        <v>#NAME?</v>
      </c>
      <c r="AF551" s="226" t="e">
        <f aca="false">((O551/N551)*AH551)+AG551</f>
        <v>#NAME?</v>
      </c>
      <c r="AG551" s="226" t="e">
        <f aca="false">((xSPRDOPT($L551,$J551,$I551,$M551,$O551,$N551,$P551,$Q551-$C$3,$R551,6)*$H551)/100)</f>
        <v>#NAME?</v>
      </c>
      <c r="AH551" s="226" t="e">
        <f aca="false">((xSPRDOPT($L551,$J551,$I551,$M551,$O551,$N551,$P551,$Q551-$C$3,$R551,5)*$H551)/100)</f>
        <v>#NAME?</v>
      </c>
      <c r="AI551" s="226" t="e">
        <f aca="false">(((xSPRDOPT($L551,$J551,$I551,$M551,$O551,$N551,$P551,$Q551-$C$3,$R551,4)*$H551)/10000)/100)-AB551</f>
        <v>#NAME?</v>
      </c>
      <c r="AJ551" s="226"/>
      <c r="AK551" s="226"/>
      <c r="AL551" s="226"/>
      <c r="AM551" s="252"/>
      <c r="CC551" s="182" t="n">
        <f aca="false">G551</f>
        <v>36861</v>
      </c>
      <c r="CD551" s="253" t="e">
        <f aca="false">xSPRDOPT((VLOOKUP(G551,NGPrices,2,FALSE())+HLOOKUP(D551,Prices,VLOOKUP(G551,move_down,2,FALSE()),FALSE())),VLOOKUP(G551,NGPrices,2,FALSE()),I551,VLOOKUP(G551,NGPREVPRICES,4,FALSE()),HLOOKUP(D551,PREVVOLS,VLOOKUP(G551,MOVE_DOWN2,2,FALSE()),FALSE()),VLOOKUP(G551,NGPREVPRICES,3,FALSE()),HLOOKUP(D551,Correllate,VLOOKUP(G551,CorMove,2,FALSE()),FALSE()),Q551-$CD$3,R551,$CD$5)*H551-CJ551</f>
        <v>#NAME?</v>
      </c>
      <c r="CE551" s="253" t="e">
        <f aca="false">xSPRDOPT((VLOOKUP(G551,NGPREVPRICES,2,FALSE())+HLOOKUP(D551,PREVCURVES,VLOOKUP(G551,MOVE_DOWN2,2,FALSE()),FALSE())),VLOOKUP(G551,NGPREVPRICES,2,FALSE()),CK551,VLOOKUP(G551,NGPrices,4,FALSE()),HLOOKUP(D551,PREVVOLS,VLOOKUP(G551,MOVE_DOWN2,2,FALSE()),FALSE()),VLOOKUP(G551,NGPREVPRICES,3,FALSE()),HLOOKUP(D551,Correllate,VLOOKUP(G551,CorMove,2,FALSE()),FALSE()),Q551-$CD$3,R551,$CJ$5)*H551-CJ551</f>
        <v>#NAME?</v>
      </c>
      <c r="CF551" s="132" t="e">
        <f aca="false">(CJ551/VLOOKUP(CC551,discount,3,FALSE()))-(CJ551/VLOOKUP(CC551,discount,2,FALSE()))</f>
        <v>#NAME?</v>
      </c>
      <c r="CG551" s="253" t="e">
        <f aca="false">xSPRDOPT((VLOOKUP(G551,NGPREVPRICES,2,FALSE())+HLOOKUP(D551,PREVCURVES,VLOOKUP(G551,MOVE_DOWN2,2,FALSE()),FALSE())),VLOOKUP(G551,NGPREVPRICES,2,FALSE()),CK551,VLOOKUP(G551,NGPREVPRICES,4,FALSE()),HLOOKUP(D551,VOLS,VLOOKUP(G551,move_down,2,FALSE()),FALSE()),VLOOKUP(G551,NGPrices,3,FALSE()),HLOOKUP(D551,Correllate,VLOOKUP(G551,CorMove,2,FALSE()),FALSE()),Q551-$CD$3,R551,$CJ$5)*H551-CJ551</f>
        <v>#NAME?</v>
      </c>
      <c r="CH551" s="253" t="e">
        <f aca="false">xSPRDOPT((VLOOKUP(G551,NGPREVPRICES,2,FALSE())+HLOOKUP(D551,PREVCURVES,VLOOKUP(G551,MOVE_DOWN2,2,FALSE()),FALSE())),VLOOKUP(G551,NGPREVPRICES,2,FALSE()),CK551,VLOOKUP(G551,NGPREVPRICES,4,FALSE()),HLOOKUP(D551,PREVVOLS,VLOOKUP(G551,MOVE_DOWN2,2,FALSE()),FALSE()),VLOOKUP(G551,NGPREVPRICES,3,FALSE()),HLOOKUP(D551,Correllate,VLOOKUP(G551,CorMove,2,FALSE()),FALSE()),Q551-$C$3,R551,$CJ$5)*H551-CJ551</f>
        <v>#NAME?</v>
      </c>
      <c r="CI551" s="253" t="e">
        <f aca="false">SUM(CD551:CH551)</f>
        <v>#NAME?</v>
      </c>
      <c r="CJ551" s="253" t="e">
        <f aca="false">xSPRDOPT((VLOOKUP(G551,NGPREVPRICES,2,FALSE())+HLOOKUP(D551,PREVCURVES,VLOOKUP(G551,MOVE_DOWN2,2,FALSE()),FALSE())),VLOOKUP(G551,NGPREVPRICES,2,FALSE()),CK551,VLOOKUP(G551,NGPREVPRICES,4,FALSE()),HLOOKUP(D551,PREVVOLS,VLOOKUP(G551,MOVE_DOWN2,2,FALSE()),FALSE()),VLOOKUP(G551,NGPREVPRICES,3,FALSE()),HLOOKUP(D551,Correllate,VLOOKUP(G551,CorMove,2,FALSE()),FALSE()),Q551-$CD$3,R551,$CJ$5)*H551</f>
        <v>#NAME?</v>
      </c>
      <c r="CK551" s="254" t="n">
        <f aca="false">I551</f>
        <v>-0.25</v>
      </c>
      <c r="CM551" s="0" t="str">
        <f aca="false">CONCATENATE(CC551,$CD$6)</f>
        <v>36861Curve Shift/Gamma</v>
      </c>
      <c r="CN551" s="0" t="str">
        <f aca="false">CONCATENATE($CC551,$CE$6)</f>
        <v>36861Rho</v>
      </c>
      <c r="CO551" s="0" t="str">
        <f aca="false">CONCATENATE($CC551,$CF$6)</f>
        <v>36861Drift</v>
      </c>
      <c r="CP551" s="0" t="str">
        <f aca="false">CONCATENATE($CC551,$CG$6)</f>
        <v>36861Vega</v>
      </c>
      <c r="CQ551" s="0" t="str">
        <f aca="false">CONCATENATE($CC551,$CH$6)</f>
        <v>36861Theta</v>
      </c>
    </row>
    <row r="552" customFormat="false" ht="12.75" hidden="false" customHeight="false" outlineLevel="0" collapsed="false">
      <c r="A552" s="17" t="s">
        <v>196</v>
      </c>
      <c r="B552" s="0" t="s">
        <v>192</v>
      </c>
      <c r="C552" s="0" t="s">
        <v>382</v>
      </c>
      <c r="D552" s="7" t="s">
        <v>68</v>
      </c>
      <c r="E552" s="0" t="s">
        <v>131</v>
      </c>
      <c r="F552" s="0" t="s">
        <v>132</v>
      </c>
      <c r="G552" s="92" t="n">
        <v>36831</v>
      </c>
      <c r="H552" s="248" t="n">
        <v>-300000</v>
      </c>
      <c r="I552" s="0" t="n">
        <v>-0.25</v>
      </c>
      <c r="J552" s="124" t="n">
        <f aca="false">VLOOKUP(G552,NGPrices,2,FALSE())</f>
        <v>4.736</v>
      </c>
      <c r="K552" s="125" t="n">
        <f aca="false">HLOOKUP(D552,Prices,VLOOKUP(G552,move_down,2,FALSE()),FALSE())+VLOOKUP(G552,CHANGE,HLOOKUP(D552,CHANGE,2,FALSE()),FALSE())</f>
        <v>-0.1425</v>
      </c>
      <c r="L552" s="124" t="n">
        <f aca="false">K552+J552</f>
        <v>4.5935</v>
      </c>
      <c r="M552" s="126" t="n">
        <f aca="false">VLOOKUP(G552,NGPrices,4,FALSE())</f>
        <v>0.06810675983792</v>
      </c>
      <c r="N552" s="7" t="n">
        <f aca="false">VLOOKUP(G552,NGPrices,3,FALSE())</f>
        <v>0.595</v>
      </c>
      <c r="O552" s="7" t="n">
        <f aca="false">HLOOKUP(D552,VOLS,VLOOKUP(G552,move_down,2,FALSE()),FALSE())</f>
        <v>0.595</v>
      </c>
      <c r="P552" s="249" t="n">
        <f aca="false">HLOOKUP(D552,Correllate,VLOOKUP(G552,CorMove,2,FALSE()),FALSE())</f>
        <v>0.995</v>
      </c>
      <c r="Q552" s="92" t="n">
        <f aca="false">WORKDAY(G552,-2)</f>
        <v>36829</v>
      </c>
      <c r="R552" s="7" t="n">
        <f aca="false">IF(F552="P",0,1)</f>
        <v>0</v>
      </c>
      <c r="S552" s="130" t="e">
        <f aca="false">xSPRDOPT($L552,$J552,$I552,$M552,$O552,$N552,$P552,$Q552-$C$3,$R552,0)</f>
        <v>#NAME?</v>
      </c>
      <c r="T552" s="250" t="e">
        <f aca="false">xSPRDOPT($L552,$J552,$I552,$M552,$O552,$N552,$P552,$Q552-$C$3,$R552,1)*H552</f>
        <v>#NAME?</v>
      </c>
      <c r="U552" s="43" t="e">
        <f aca="false">S552*H552</f>
        <v>#NAME?</v>
      </c>
      <c r="V552" s="250" t="e">
        <f aca="false">xSPRDOPT($L552,$J552,$I552,$M552,$O552,$N552,$P552,$Q552-$C$3,$R552,2)*H552</f>
        <v>#NAME?</v>
      </c>
      <c r="W552" s="250" t="e">
        <f aca="false">+V552+T552</f>
        <v>#NAME?</v>
      </c>
      <c r="X552" s="2" t="str">
        <f aca="false">CONCATENATE(G552,D552)</f>
        <v>36831IF-PAN/TX/OK</v>
      </c>
      <c r="Y552" s="251" t="n">
        <f aca="false">H552/10000</f>
        <v>-30</v>
      </c>
      <c r="Z552" s="226" t="e">
        <f aca="false">T552/H552</f>
        <v>#NAME?</v>
      </c>
      <c r="AA552" s="226" t="e">
        <f aca="false">xSPRDOPT($L552,$J552,$I552,$M552,$O552,$N552,$P552,$Q552-$C$3,$R552,3)</f>
        <v>#NAME?</v>
      </c>
      <c r="AB552" s="226" t="e">
        <f aca="false">((xSPRDOPT($L552+AB$5,$J552,$I552,$M552,$O552,$N552,$P552,$Q552-$C$3,$R552,3)*$H552)/10000)/100</f>
        <v>#NAME?</v>
      </c>
      <c r="AC552" s="226" t="e">
        <f aca="false">((xSPRDOPT($L552+$AB$5,$J552,$I552,$M552,$O552,$N552,$P552,$Q552-$C$3,$R552,7)*$H552)/100)</f>
        <v>#NAME?</v>
      </c>
      <c r="AD552" s="226" t="e">
        <f aca="false">(xSPRDOPT($L552+$AB$5,$J552,$I552,$M552,$O552,$N552,$P552,$Q552-$C$3,$R552,9)/365)*$H552</f>
        <v>#NAME?</v>
      </c>
      <c r="AE552" s="0" t="e">
        <f aca="false">CD552</f>
        <v>#NAME?</v>
      </c>
      <c r="AF552" s="226" t="e">
        <f aca="false">((O552/N552)*AH552)+AG552</f>
        <v>#NAME?</v>
      </c>
      <c r="AG552" s="226" t="e">
        <f aca="false">((xSPRDOPT($L552,$J552,$I552,$M552,$O552,$N552,$P552,$Q552-$C$3,$R552,6)*$H552)/100)</f>
        <v>#NAME?</v>
      </c>
      <c r="AH552" s="226" t="e">
        <f aca="false">((xSPRDOPT($L552,$J552,$I552,$M552,$O552,$N552,$P552,$Q552-$C$3,$R552,5)*$H552)/100)</f>
        <v>#NAME?</v>
      </c>
      <c r="AI552" s="226" t="e">
        <f aca="false">(((xSPRDOPT($L552,$J552,$I552,$M552,$O552,$N552,$P552,$Q552-$C$3,$R552,4)*$H552)/10000)/100)-AB552</f>
        <v>#NAME?</v>
      </c>
      <c r="AJ552" s="226"/>
      <c r="AK552" s="226"/>
      <c r="AL552" s="226"/>
      <c r="AM552" s="252"/>
      <c r="CC552" s="182" t="n">
        <f aca="false">G552</f>
        <v>36831</v>
      </c>
      <c r="CD552" s="253" t="e">
        <f aca="false">xSPRDOPT((VLOOKUP(G552,NGPrices,2,FALSE())+HLOOKUP(D552,Prices,VLOOKUP(G552,move_down,2,FALSE()),FALSE())),VLOOKUP(G552,NGPrices,2,FALSE()),I552,VLOOKUP(G552,NGPREVPRICES,4,FALSE()),HLOOKUP(D552,PREVVOLS,VLOOKUP(G552,MOVE_DOWN2,2,FALSE()),FALSE()),VLOOKUP(G552,NGPREVPRICES,3,FALSE()),HLOOKUP(D552,Correllate,VLOOKUP(G552,CorMove,2,FALSE()),FALSE()),Q552-$CD$3,R552,$CD$5)*H552-CJ552</f>
        <v>#NAME?</v>
      </c>
      <c r="CE552" s="253" t="e">
        <f aca="false">xSPRDOPT((VLOOKUP(G552,NGPREVPRICES,2,FALSE())+HLOOKUP(D552,PREVCURVES,VLOOKUP(G552,MOVE_DOWN2,2,FALSE()),FALSE())),VLOOKUP(G552,NGPREVPRICES,2,FALSE()),CK552,VLOOKUP(G552,NGPrices,4,FALSE()),HLOOKUP(D552,PREVVOLS,VLOOKUP(G552,MOVE_DOWN2,2,FALSE()),FALSE()),VLOOKUP(G552,NGPREVPRICES,3,FALSE()),HLOOKUP(D552,Correllate,VLOOKUP(G552,CorMove,2,FALSE()),FALSE()),Q552-$CD$3,R552,$CJ$5)*H552-CJ552</f>
        <v>#NAME?</v>
      </c>
      <c r="CF552" s="132" t="e">
        <f aca="false">(CJ552/VLOOKUP(CC552,discount,3,FALSE()))-(CJ552/VLOOKUP(CC552,discount,2,FALSE()))</f>
        <v>#NAME?</v>
      </c>
      <c r="CG552" s="253" t="e">
        <f aca="false">xSPRDOPT((VLOOKUP(G552,NGPREVPRICES,2,FALSE())+HLOOKUP(D552,PREVCURVES,VLOOKUP(G552,MOVE_DOWN2,2,FALSE()),FALSE())),VLOOKUP(G552,NGPREVPRICES,2,FALSE()),CK552,VLOOKUP(G552,NGPREVPRICES,4,FALSE()),HLOOKUP(D552,VOLS,VLOOKUP(G552,move_down,2,FALSE()),FALSE()),VLOOKUP(G552,NGPrices,3,FALSE()),HLOOKUP(D552,Correllate,VLOOKUP(G552,CorMove,2,FALSE()),FALSE()),Q552-$CD$3,R552,$CJ$5)*H552-CJ552</f>
        <v>#NAME?</v>
      </c>
      <c r="CH552" s="253" t="e">
        <f aca="false">xSPRDOPT((VLOOKUP(G552,NGPREVPRICES,2,FALSE())+HLOOKUP(D552,PREVCURVES,VLOOKUP(G552,MOVE_DOWN2,2,FALSE()),FALSE())),VLOOKUP(G552,NGPREVPRICES,2,FALSE()),CK552,VLOOKUP(G552,NGPREVPRICES,4,FALSE()),HLOOKUP(D552,PREVVOLS,VLOOKUP(G552,MOVE_DOWN2,2,FALSE()),FALSE()),VLOOKUP(G552,NGPREVPRICES,3,FALSE()),HLOOKUP(D552,Correllate,VLOOKUP(G552,CorMove,2,FALSE()),FALSE()),Q552-$C$3,R552,$CJ$5)*H552-CJ552</f>
        <v>#NAME?</v>
      </c>
      <c r="CI552" s="253" t="e">
        <f aca="false">SUM(CD552:CH552)</f>
        <v>#NAME?</v>
      </c>
      <c r="CJ552" s="253" t="e">
        <f aca="false">xSPRDOPT((VLOOKUP(G552,NGPREVPRICES,2,FALSE())+HLOOKUP(D552,PREVCURVES,VLOOKUP(G552,MOVE_DOWN2,2,FALSE()),FALSE())),VLOOKUP(G552,NGPREVPRICES,2,FALSE()),CK552,VLOOKUP(G552,NGPREVPRICES,4,FALSE()),HLOOKUP(D552,PREVVOLS,VLOOKUP(G552,MOVE_DOWN2,2,FALSE()),FALSE()),VLOOKUP(G552,NGPREVPRICES,3,FALSE()),HLOOKUP(D552,Correllate,VLOOKUP(G552,CorMove,2,FALSE()),FALSE()),Q552-$CD$3,R552,$CJ$5)*H552</f>
        <v>#NAME?</v>
      </c>
      <c r="CK552" s="254" t="n">
        <f aca="false">I552</f>
        <v>-0.25</v>
      </c>
      <c r="CM552" s="0" t="str">
        <f aca="false">CONCATENATE(CC552,$CD$6)</f>
        <v>36831Curve Shift/Gamma</v>
      </c>
      <c r="CN552" s="0" t="str">
        <f aca="false">CONCATENATE($CC552,$CE$6)</f>
        <v>36831Rho</v>
      </c>
      <c r="CO552" s="0" t="str">
        <f aca="false">CONCATENATE($CC552,$CF$6)</f>
        <v>36831Drift</v>
      </c>
      <c r="CP552" s="0" t="str">
        <f aca="false">CONCATENATE($CC552,$CG$6)</f>
        <v>36831Vega</v>
      </c>
      <c r="CQ552" s="0" t="str">
        <f aca="false">CONCATENATE($CC552,$CH$6)</f>
        <v>36831Theta</v>
      </c>
    </row>
    <row r="553" customFormat="false" ht="12.75" hidden="false" customHeight="false" outlineLevel="0" collapsed="false">
      <c r="A553" s="17" t="s">
        <v>210</v>
      </c>
      <c r="B553" s="0" t="s">
        <v>192</v>
      </c>
      <c r="C553" s="0" t="s">
        <v>383</v>
      </c>
      <c r="D553" s="7" t="s">
        <v>152</v>
      </c>
      <c r="E553" s="0" t="s">
        <v>131</v>
      </c>
      <c r="F553" s="0" t="s">
        <v>136</v>
      </c>
      <c r="G553" s="92" t="n">
        <v>37681</v>
      </c>
      <c r="H553" s="248" t="n">
        <v>310000</v>
      </c>
      <c r="I553" s="0" t="n">
        <v>0.2</v>
      </c>
      <c r="J553" s="124" t="n">
        <f aca="false">VLOOKUP(G553,NGPrices,2,FALSE())</f>
        <v>3.185</v>
      </c>
      <c r="K553" s="125" t="n">
        <f aca="false">HLOOKUP(D553,Prices,VLOOKUP(G553,move_down,2,FALSE()),FALSE())+VLOOKUP(G553,CHANGE,HLOOKUP(D553,CHANGE,2,FALSE()),FALSE())</f>
        <v>0.12</v>
      </c>
      <c r="L553" s="124" t="n">
        <f aca="false">K553+J553</f>
        <v>3.305</v>
      </c>
      <c r="M553" s="126" t="n">
        <f aca="false">VLOOKUP(G553,NGPrices,4,FALSE())</f>
        <v>0.069518538831175</v>
      </c>
      <c r="N553" s="7" t="n">
        <f aca="false">VLOOKUP(G553,NGPrices,3,FALSE())</f>
        <v>0.2725</v>
      </c>
      <c r="O553" s="7" t="n">
        <f aca="false">HLOOKUP(D553,VOLS,VLOOKUP(G553,move_down,2,FALSE()),FALSE())</f>
        <v>0.273</v>
      </c>
      <c r="P553" s="249" t="n">
        <f aca="false">HLOOKUP(D553,Correllate,VLOOKUP(G553,CorMove,2,FALSE()),FALSE())</f>
        <v>0.984107647518451</v>
      </c>
      <c r="Q553" s="92" t="n">
        <f aca="false">WORKDAY(G553,-2)</f>
        <v>37679</v>
      </c>
      <c r="R553" s="7" t="n">
        <f aca="false">IF(F553="P",0,1)</f>
        <v>1</v>
      </c>
      <c r="S553" s="130" t="e">
        <f aca="false">xSPRDOPT($L553,$J553,$I553,$M553,$O553,$N553,$P553,$Q553-$C$3,$R553,0)</f>
        <v>#NAME?</v>
      </c>
      <c r="T553" s="250" t="e">
        <f aca="false">xSPRDOPT($L553,$J553,$I553,$M553,$O553,$N553,$P553,$Q553-$C$3,$R553,1)*H553</f>
        <v>#NAME?</v>
      </c>
      <c r="U553" s="43" t="e">
        <f aca="false">S553*H553</f>
        <v>#NAME?</v>
      </c>
      <c r="V553" s="250" t="e">
        <f aca="false">xSPRDOPT($L553,$J553,$I553,$M553,$O553,$N553,$P553,$Q553-$C$3,$R553,2)*H553</f>
        <v>#NAME?</v>
      </c>
      <c r="W553" s="250" t="e">
        <f aca="false">+V553+T553</f>
        <v>#NAME?</v>
      </c>
      <c r="X553" s="2" t="str">
        <f aca="false">CONCATENATE(G553,D553)</f>
        <v>37681NGI/CHI. GATE</v>
      </c>
      <c r="Y553" s="251" t="n">
        <f aca="false">H553/10000</f>
        <v>31</v>
      </c>
      <c r="Z553" s="226" t="e">
        <f aca="false">T553/H553</f>
        <v>#NAME?</v>
      </c>
      <c r="AA553" s="226" t="e">
        <f aca="false">xSPRDOPT($L553,$J553,$I553,$M553,$O553,$N553,$P553,$Q553-$C$3,$R553,3)</f>
        <v>#NAME?</v>
      </c>
      <c r="AB553" s="226" t="e">
        <f aca="false">((xSPRDOPT($L553+AB$5,$J553,$I553,$M553,$O553,$N553,$P553,$Q553-$C$3,$R553,3)*$H553)/10000)/100</f>
        <v>#NAME?</v>
      </c>
      <c r="AC553" s="226" t="e">
        <f aca="false">((xSPRDOPT($L553+$AB$5,$J553,$I553,$M553,$O553,$N553,$P553,$Q553-$C$3,$R553,7)*$H553)/100)</f>
        <v>#NAME?</v>
      </c>
      <c r="AD553" s="226" t="e">
        <f aca="false">(xSPRDOPT($L553+$AB$5,$J553,$I553,$M553,$O553,$N553,$P553,$Q553-$C$3,$R553,9)/365)*$H553</f>
        <v>#NAME?</v>
      </c>
      <c r="AE553" s="0" t="e">
        <f aca="false">CD553</f>
        <v>#NAME?</v>
      </c>
      <c r="AF553" s="226" t="e">
        <f aca="false">((O553/N553)*AH553)+AG553</f>
        <v>#NAME?</v>
      </c>
      <c r="AG553" s="226" t="e">
        <f aca="false">((xSPRDOPT($L553,$J553,$I553,$M553,$O553,$N553,$P553,$Q553-$C$3,$R553,6)*$H553)/100)</f>
        <v>#NAME?</v>
      </c>
      <c r="AH553" s="226" t="e">
        <f aca="false">((xSPRDOPT($L553,$J553,$I553,$M553,$O553,$N553,$P553,$Q553-$C$3,$R553,5)*$H553)/100)</f>
        <v>#NAME?</v>
      </c>
      <c r="AI553" s="226" t="e">
        <f aca="false">(((xSPRDOPT($L553,$J553,$I553,$M553,$O553,$N553,$P553,$Q553-$C$3,$R553,4)*$H553)/10000)/100)-AB553</f>
        <v>#NAME?</v>
      </c>
      <c r="AJ553" s="226"/>
      <c r="AK553" s="226"/>
      <c r="AL553" s="226"/>
      <c r="AM553" s="252"/>
      <c r="CC553" s="182" t="n">
        <f aca="false">G553</f>
        <v>37681</v>
      </c>
      <c r="CD553" s="253" t="e">
        <f aca="false">xSPRDOPT((VLOOKUP(G553,NGPrices,2,FALSE())+HLOOKUP(D553,Prices,VLOOKUP(G553,move_down,2,FALSE()),FALSE())),VLOOKUP(G553,NGPrices,2,FALSE()),I553,VLOOKUP(G553,NGPREVPRICES,4,FALSE()),HLOOKUP(D553,PREVVOLS,VLOOKUP(G553,MOVE_DOWN2,2,FALSE()),FALSE()),VLOOKUP(G553,NGPREVPRICES,3,FALSE()),HLOOKUP(D553,Correllate,VLOOKUP(G553,CorMove,2,FALSE()),FALSE()),Q553-$CD$3,R553,$CD$5)*H553-CJ553</f>
        <v>#NAME?</v>
      </c>
      <c r="CE553" s="253" t="e">
        <f aca="false">xSPRDOPT((VLOOKUP(G553,NGPREVPRICES,2,FALSE())+HLOOKUP(D553,PREVCURVES,VLOOKUP(G553,MOVE_DOWN2,2,FALSE()),FALSE())),VLOOKUP(G553,NGPREVPRICES,2,FALSE()),CK553,VLOOKUP(G553,NGPrices,4,FALSE()),HLOOKUP(D553,PREVVOLS,VLOOKUP(G553,MOVE_DOWN2,2,FALSE()),FALSE()),VLOOKUP(G553,NGPREVPRICES,3,FALSE()),HLOOKUP(D553,Correllate,VLOOKUP(G553,CorMove,2,FALSE()),FALSE()),Q553-$CD$3,R553,$CJ$5)*H553-CJ553</f>
        <v>#NAME?</v>
      </c>
      <c r="CF553" s="132" t="e">
        <f aca="false">(CJ553/VLOOKUP(CC553,discount,3,FALSE()))-(CJ553/VLOOKUP(CC553,discount,2,FALSE()))</f>
        <v>#NAME?</v>
      </c>
      <c r="CG553" s="253" t="e">
        <f aca="false">xSPRDOPT((VLOOKUP(G553,NGPREVPRICES,2,FALSE())+HLOOKUP(D553,PREVCURVES,VLOOKUP(G553,MOVE_DOWN2,2,FALSE()),FALSE())),VLOOKUP(G553,NGPREVPRICES,2,FALSE()),CK553,VLOOKUP(G553,NGPREVPRICES,4,FALSE()),HLOOKUP(D553,VOLS,VLOOKUP(G553,move_down,2,FALSE()),FALSE()),VLOOKUP(G553,NGPrices,3,FALSE()),HLOOKUP(D553,Correllate,VLOOKUP(G553,CorMove,2,FALSE()),FALSE()),Q553-$CD$3,R553,$CJ$5)*H553-CJ553</f>
        <v>#NAME?</v>
      </c>
      <c r="CH553" s="253" t="e">
        <f aca="false">xSPRDOPT((VLOOKUP(G553,NGPREVPRICES,2,FALSE())+HLOOKUP(D553,PREVCURVES,VLOOKUP(G553,MOVE_DOWN2,2,FALSE()),FALSE())),VLOOKUP(G553,NGPREVPRICES,2,FALSE()),CK553,VLOOKUP(G553,NGPREVPRICES,4,FALSE()),HLOOKUP(D553,PREVVOLS,VLOOKUP(G553,MOVE_DOWN2,2,FALSE()),FALSE()),VLOOKUP(G553,NGPREVPRICES,3,FALSE()),HLOOKUP(D553,Correllate,VLOOKUP(G553,CorMove,2,FALSE()),FALSE()),Q553-$C$3,R553,$CJ$5)*H553-CJ553</f>
        <v>#NAME?</v>
      </c>
      <c r="CI553" s="253" t="e">
        <f aca="false">SUM(CD553:CH553)</f>
        <v>#NAME?</v>
      </c>
      <c r="CJ553" s="253" t="e">
        <f aca="false">xSPRDOPT((VLOOKUP(G553,NGPREVPRICES,2,FALSE())+HLOOKUP(D553,PREVCURVES,VLOOKUP(G553,MOVE_DOWN2,2,FALSE()),FALSE())),VLOOKUP(G553,NGPREVPRICES,2,FALSE()),CK553,VLOOKUP(G553,NGPREVPRICES,4,FALSE()),HLOOKUP(D553,PREVVOLS,VLOOKUP(G553,MOVE_DOWN2,2,FALSE()),FALSE()),VLOOKUP(G553,NGPREVPRICES,3,FALSE()),HLOOKUP(D553,Correllate,VLOOKUP(G553,CorMove,2,FALSE()),FALSE()),Q553-$CD$3,R553,$CJ$5)*H553</f>
        <v>#NAME?</v>
      </c>
      <c r="CK553" s="254" t="n">
        <f aca="false">I553</f>
        <v>0.2</v>
      </c>
      <c r="CM553" s="0" t="str">
        <f aca="false">CONCATENATE(CC553,$CD$6)</f>
        <v>37681Curve Shift/Gamma</v>
      </c>
      <c r="CN553" s="0" t="str">
        <f aca="false">CONCATENATE($CC553,$CE$6)</f>
        <v>37681Rho</v>
      </c>
      <c r="CO553" s="0" t="str">
        <f aca="false">CONCATENATE($CC553,$CF$6)</f>
        <v>37681Drift</v>
      </c>
      <c r="CP553" s="0" t="str">
        <f aca="false">CONCATENATE($CC553,$CG$6)</f>
        <v>37681Vega</v>
      </c>
      <c r="CQ553" s="0" t="str">
        <f aca="false">CONCATENATE($CC553,$CH$6)</f>
        <v>37681Theta</v>
      </c>
    </row>
    <row r="554" customFormat="false" ht="12.75" hidden="false" customHeight="false" outlineLevel="0" collapsed="false">
      <c r="A554" s="17" t="s">
        <v>210</v>
      </c>
      <c r="B554" s="0" t="s">
        <v>192</v>
      </c>
      <c r="C554" s="0" t="s">
        <v>383</v>
      </c>
      <c r="D554" s="7" t="s">
        <v>152</v>
      </c>
      <c r="E554" s="0" t="s">
        <v>131</v>
      </c>
      <c r="F554" s="0" t="s">
        <v>136</v>
      </c>
      <c r="G554" s="92" t="n">
        <v>37653</v>
      </c>
      <c r="H554" s="248" t="n">
        <v>280000</v>
      </c>
      <c r="I554" s="0" t="n">
        <v>0.2</v>
      </c>
      <c r="J554" s="124" t="n">
        <f aca="false">VLOOKUP(G554,NGPrices,2,FALSE())</f>
        <v>3.355</v>
      </c>
      <c r="K554" s="125" t="n">
        <f aca="false">HLOOKUP(D554,Prices,VLOOKUP(G554,move_down,2,FALSE()),FALSE())+VLOOKUP(G554,CHANGE,HLOOKUP(D554,CHANGE,2,FALSE()),FALSE())</f>
        <v>0.1225</v>
      </c>
      <c r="L554" s="124" t="n">
        <f aca="false">K554+J554</f>
        <v>3.4775</v>
      </c>
      <c r="M554" s="126" t="n">
        <f aca="false">VLOOKUP(G554,NGPrices,4,FALSE())</f>
        <v>0.06951065309818</v>
      </c>
      <c r="N554" s="7" t="n">
        <f aca="false">VLOOKUP(G554,NGPrices,3,FALSE())</f>
        <v>0.2825</v>
      </c>
      <c r="O554" s="7" t="n">
        <f aca="false">HLOOKUP(D554,VOLS,VLOOKUP(G554,move_down,2,FALSE()),FALSE())</f>
        <v>0.283</v>
      </c>
      <c r="P554" s="249" t="n">
        <f aca="false">HLOOKUP(D554,Correllate,VLOOKUP(G554,CorMove,2,FALSE()),FALSE())</f>
        <v>0.984107647518451</v>
      </c>
      <c r="Q554" s="92" t="n">
        <f aca="false">WORKDAY(G554,-2)</f>
        <v>37651</v>
      </c>
      <c r="R554" s="7" t="n">
        <f aca="false">IF(F554="P",0,1)</f>
        <v>1</v>
      </c>
      <c r="S554" s="130" t="e">
        <f aca="false">xSPRDOPT($L554,$J554,$I554,$M554,$O554,$N554,$P554,$Q554-$C$3,$R554,0)</f>
        <v>#NAME?</v>
      </c>
      <c r="T554" s="250" t="e">
        <f aca="false">xSPRDOPT($L554,$J554,$I554,$M554,$O554,$N554,$P554,$Q554-$C$3,$R554,1)*H554</f>
        <v>#NAME?</v>
      </c>
      <c r="U554" s="43" t="e">
        <f aca="false">S554*H554</f>
        <v>#NAME?</v>
      </c>
      <c r="V554" s="250" t="e">
        <f aca="false">xSPRDOPT($L554,$J554,$I554,$M554,$O554,$N554,$P554,$Q554-$C$3,$R554,2)*H554</f>
        <v>#NAME?</v>
      </c>
      <c r="W554" s="250" t="e">
        <f aca="false">+V554+T554</f>
        <v>#NAME?</v>
      </c>
      <c r="X554" s="2" t="str">
        <f aca="false">CONCATENATE(G554,D554)</f>
        <v>37653NGI/CHI. GATE</v>
      </c>
      <c r="Y554" s="251" t="n">
        <f aca="false">H554/10000</f>
        <v>28</v>
      </c>
      <c r="Z554" s="226" t="e">
        <f aca="false">T554/H554</f>
        <v>#NAME?</v>
      </c>
      <c r="AA554" s="226" t="e">
        <f aca="false">xSPRDOPT($L554,$J554,$I554,$M554,$O554,$N554,$P554,$Q554-$C$3,$R554,3)</f>
        <v>#NAME?</v>
      </c>
      <c r="AB554" s="226" t="e">
        <f aca="false">((xSPRDOPT($L554+AB$5,$J554,$I554,$M554,$O554,$N554,$P554,$Q554-$C$3,$R554,3)*$H554)/10000)/100</f>
        <v>#NAME?</v>
      </c>
      <c r="AC554" s="226" t="e">
        <f aca="false">((xSPRDOPT($L554+$AB$5,$J554,$I554,$M554,$O554,$N554,$P554,$Q554-$C$3,$R554,7)*$H554)/100)</f>
        <v>#NAME?</v>
      </c>
      <c r="AD554" s="226" t="e">
        <f aca="false">(xSPRDOPT($L554+$AB$5,$J554,$I554,$M554,$O554,$N554,$P554,$Q554-$C$3,$R554,9)/365)*$H554</f>
        <v>#NAME?</v>
      </c>
      <c r="AE554" s="0" t="e">
        <f aca="false">CD554</f>
        <v>#NAME?</v>
      </c>
      <c r="AF554" s="226" t="e">
        <f aca="false">((O554/N554)*AH554)+AG554</f>
        <v>#NAME?</v>
      </c>
      <c r="AG554" s="226" t="e">
        <f aca="false">((xSPRDOPT($L554,$J554,$I554,$M554,$O554,$N554,$P554,$Q554-$C$3,$R554,6)*$H554)/100)</f>
        <v>#NAME?</v>
      </c>
      <c r="AH554" s="226" t="e">
        <f aca="false">((xSPRDOPT($L554,$J554,$I554,$M554,$O554,$N554,$P554,$Q554-$C$3,$R554,5)*$H554)/100)</f>
        <v>#NAME?</v>
      </c>
      <c r="AI554" s="226" t="e">
        <f aca="false">(((xSPRDOPT($L554,$J554,$I554,$M554,$O554,$N554,$P554,$Q554-$C$3,$R554,4)*$H554)/10000)/100)-AB554</f>
        <v>#NAME?</v>
      </c>
      <c r="AJ554" s="226"/>
      <c r="AK554" s="226"/>
      <c r="AL554" s="226"/>
      <c r="AM554" s="252"/>
      <c r="CC554" s="182" t="n">
        <f aca="false">G554</f>
        <v>37653</v>
      </c>
      <c r="CD554" s="253" t="e">
        <f aca="false">xSPRDOPT((VLOOKUP(G554,NGPrices,2,FALSE())+HLOOKUP(D554,Prices,VLOOKUP(G554,move_down,2,FALSE()),FALSE())),VLOOKUP(G554,NGPrices,2,FALSE()),I554,VLOOKUP(G554,NGPREVPRICES,4,FALSE()),HLOOKUP(D554,PREVVOLS,VLOOKUP(G554,MOVE_DOWN2,2,FALSE()),FALSE()),VLOOKUP(G554,NGPREVPRICES,3,FALSE()),HLOOKUP(D554,Correllate,VLOOKUP(G554,CorMove,2,FALSE()),FALSE()),Q554-$CD$3,R554,$CD$5)*H554-CJ554</f>
        <v>#NAME?</v>
      </c>
      <c r="CE554" s="253" t="e">
        <f aca="false">xSPRDOPT((VLOOKUP(G554,NGPREVPRICES,2,FALSE())+HLOOKUP(D554,PREVCURVES,VLOOKUP(G554,MOVE_DOWN2,2,FALSE()),FALSE())),VLOOKUP(G554,NGPREVPRICES,2,FALSE()),CK554,VLOOKUP(G554,NGPrices,4,FALSE()),HLOOKUP(D554,PREVVOLS,VLOOKUP(G554,MOVE_DOWN2,2,FALSE()),FALSE()),VLOOKUP(G554,NGPREVPRICES,3,FALSE()),HLOOKUP(D554,Correllate,VLOOKUP(G554,CorMove,2,FALSE()),FALSE()),Q554-$CD$3,R554,$CJ$5)*H554-CJ554</f>
        <v>#NAME?</v>
      </c>
      <c r="CF554" s="132" t="e">
        <f aca="false">(CJ554/VLOOKUP(CC554,discount,3,FALSE()))-(CJ554/VLOOKUP(CC554,discount,2,FALSE()))</f>
        <v>#NAME?</v>
      </c>
      <c r="CG554" s="253" t="e">
        <f aca="false">xSPRDOPT((VLOOKUP(G554,NGPREVPRICES,2,FALSE())+HLOOKUP(D554,PREVCURVES,VLOOKUP(G554,MOVE_DOWN2,2,FALSE()),FALSE())),VLOOKUP(G554,NGPREVPRICES,2,FALSE()),CK554,VLOOKUP(G554,NGPREVPRICES,4,FALSE()),HLOOKUP(D554,VOLS,VLOOKUP(G554,move_down,2,FALSE()),FALSE()),VLOOKUP(G554,NGPrices,3,FALSE()),HLOOKUP(D554,Correllate,VLOOKUP(G554,CorMove,2,FALSE()),FALSE()),Q554-$CD$3,R554,$CJ$5)*H554-CJ554</f>
        <v>#NAME?</v>
      </c>
      <c r="CH554" s="253" t="e">
        <f aca="false">xSPRDOPT((VLOOKUP(G554,NGPREVPRICES,2,FALSE())+HLOOKUP(D554,PREVCURVES,VLOOKUP(G554,MOVE_DOWN2,2,FALSE()),FALSE())),VLOOKUP(G554,NGPREVPRICES,2,FALSE()),CK554,VLOOKUP(G554,NGPREVPRICES,4,FALSE()),HLOOKUP(D554,PREVVOLS,VLOOKUP(G554,MOVE_DOWN2,2,FALSE()),FALSE()),VLOOKUP(G554,NGPREVPRICES,3,FALSE()),HLOOKUP(D554,Correllate,VLOOKUP(G554,CorMove,2,FALSE()),FALSE()),Q554-$C$3,R554,$CJ$5)*H554-CJ554</f>
        <v>#NAME?</v>
      </c>
      <c r="CI554" s="253" t="e">
        <f aca="false">SUM(CD554:CH554)</f>
        <v>#NAME?</v>
      </c>
      <c r="CJ554" s="253" t="e">
        <f aca="false">xSPRDOPT((VLOOKUP(G554,NGPREVPRICES,2,FALSE())+HLOOKUP(D554,PREVCURVES,VLOOKUP(G554,MOVE_DOWN2,2,FALSE()),FALSE())),VLOOKUP(G554,NGPREVPRICES,2,FALSE()),CK554,VLOOKUP(G554,NGPREVPRICES,4,FALSE()),HLOOKUP(D554,PREVVOLS,VLOOKUP(G554,MOVE_DOWN2,2,FALSE()),FALSE()),VLOOKUP(G554,NGPREVPRICES,3,FALSE()),HLOOKUP(D554,Correllate,VLOOKUP(G554,CorMove,2,FALSE()),FALSE()),Q554-$CD$3,R554,$CJ$5)*H554</f>
        <v>#NAME?</v>
      </c>
      <c r="CK554" s="254" t="n">
        <f aca="false">I554</f>
        <v>0.2</v>
      </c>
      <c r="CM554" s="0" t="str">
        <f aca="false">CONCATENATE(CC554,$CD$6)</f>
        <v>37653Curve Shift/Gamma</v>
      </c>
      <c r="CN554" s="0" t="str">
        <f aca="false">CONCATENATE($CC554,$CE$6)</f>
        <v>37653Rho</v>
      </c>
      <c r="CO554" s="0" t="str">
        <f aca="false">CONCATENATE($CC554,$CF$6)</f>
        <v>37653Drift</v>
      </c>
      <c r="CP554" s="0" t="str">
        <f aca="false">CONCATENATE($CC554,$CG$6)</f>
        <v>37653Vega</v>
      </c>
      <c r="CQ554" s="0" t="str">
        <f aca="false">CONCATENATE($CC554,$CH$6)</f>
        <v>37653Theta</v>
      </c>
    </row>
    <row r="555" customFormat="false" ht="12.75" hidden="false" customHeight="false" outlineLevel="0" collapsed="false">
      <c r="A555" s="17" t="s">
        <v>210</v>
      </c>
      <c r="B555" s="0" t="s">
        <v>192</v>
      </c>
      <c r="C555" s="0" t="s">
        <v>383</v>
      </c>
      <c r="D555" s="7" t="s">
        <v>152</v>
      </c>
      <c r="E555" s="0" t="s">
        <v>131</v>
      </c>
      <c r="F555" s="0" t="s">
        <v>136</v>
      </c>
      <c r="G555" s="92" t="n">
        <v>37622</v>
      </c>
      <c r="H555" s="248" t="n">
        <v>310000</v>
      </c>
      <c r="I555" s="0" t="n">
        <v>0.2</v>
      </c>
      <c r="J555" s="124" t="n">
        <f aca="false">VLOOKUP(G555,NGPrices,2,FALSE())</f>
        <v>3.497</v>
      </c>
      <c r="K555" s="125" t="n">
        <f aca="false">HLOOKUP(D555,Prices,VLOOKUP(G555,move_down,2,FALSE()),FALSE())+VLOOKUP(G555,CHANGE,HLOOKUP(D555,CHANGE,2,FALSE()),FALSE())</f>
        <v>0.145</v>
      </c>
      <c r="L555" s="124" t="n">
        <f aca="false">K555+J555</f>
        <v>3.642</v>
      </c>
      <c r="M555" s="126" t="n">
        <f aca="false">VLOOKUP(G555,NGPrices,4,FALSE())</f>
        <v>0.069501922465244</v>
      </c>
      <c r="N555" s="7" t="n">
        <f aca="false">VLOOKUP(G555,NGPrices,3,FALSE())</f>
        <v>0.2825</v>
      </c>
      <c r="O555" s="7" t="n">
        <f aca="false">HLOOKUP(D555,VOLS,VLOOKUP(G555,move_down,2,FALSE()),FALSE())</f>
        <v>0.283</v>
      </c>
      <c r="P555" s="249" t="n">
        <f aca="false">HLOOKUP(D555,Correllate,VLOOKUP(G555,CorMove,2,FALSE()),FALSE())</f>
        <v>0.984107647518451</v>
      </c>
      <c r="Q555" s="92" t="n">
        <f aca="false">WORKDAY(G555,-2)</f>
        <v>37620</v>
      </c>
      <c r="R555" s="7" t="n">
        <f aca="false">IF(F555="P",0,1)</f>
        <v>1</v>
      </c>
      <c r="S555" s="130" t="e">
        <f aca="false">xSPRDOPT($L555,$J555,$I555,$M555,$O555,$N555,$P555,$Q555-$C$3,$R555,0)</f>
        <v>#NAME?</v>
      </c>
      <c r="T555" s="250" t="e">
        <f aca="false">xSPRDOPT($L555,$J555,$I555,$M555,$O555,$N555,$P555,$Q555-$C$3,$R555,1)*H555</f>
        <v>#NAME?</v>
      </c>
      <c r="U555" s="43" t="e">
        <f aca="false">S555*H555</f>
        <v>#NAME?</v>
      </c>
      <c r="V555" s="250" t="e">
        <f aca="false">xSPRDOPT($L555,$J555,$I555,$M555,$O555,$N555,$P555,$Q555-$C$3,$R555,2)*H555</f>
        <v>#NAME?</v>
      </c>
      <c r="W555" s="250" t="e">
        <f aca="false">+V555+T555</f>
        <v>#NAME?</v>
      </c>
      <c r="X555" s="2" t="str">
        <f aca="false">CONCATENATE(G555,D555)</f>
        <v>37622NGI/CHI. GATE</v>
      </c>
      <c r="Y555" s="251" t="n">
        <f aca="false">H555/10000</f>
        <v>31</v>
      </c>
      <c r="Z555" s="226" t="e">
        <f aca="false">T555/H555</f>
        <v>#NAME?</v>
      </c>
      <c r="AA555" s="226" t="e">
        <f aca="false">xSPRDOPT($L555,$J555,$I555,$M555,$O555,$N555,$P555,$Q555-$C$3,$R555,3)</f>
        <v>#NAME?</v>
      </c>
      <c r="AB555" s="226" t="e">
        <f aca="false">((xSPRDOPT($L555+AB$5,$J555,$I555,$M555,$O555,$N555,$P555,$Q555-$C$3,$R555,3)*$H555)/10000)/100</f>
        <v>#NAME?</v>
      </c>
      <c r="AC555" s="226" t="e">
        <f aca="false">((xSPRDOPT($L555+$AB$5,$J555,$I555,$M555,$O555,$N555,$P555,$Q555-$C$3,$R555,7)*$H555)/100)</f>
        <v>#NAME?</v>
      </c>
      <c r="AD555" s="226" t="e">
        <f aca="false">(xSPRDOPT($L555+$AB$5,$J555,$I555,$M555,$O555,$N555,$P555,$Q555-$C$3,$R555,9)/365)*$H555</f>
        <v>#NAME?</v>
      </c>
      <c r="AE555" s="0" t="e">
        <f aca="false">CD555</f>
        <v>#NAME?</v>
      </c>
      <c r="AF555" s="226" t="e">
        <f aca="false">((O555/N555)*AH555)+AG555</f>
        <v>#NAME?</v>
      </c>
      <c r="AG555" s="226" t="e">
        <f aca="false">((xSPRDOPT($L555,$J555,$I555,$M555,$O555,$N555,$P555,$Q555-$C$3,$R555,6)*$H555)/100)</f>
        <v>#NAME?</v>
      </c>
      <c r="AH555" s="226" t="e">
        <f aca="false">((xSPRDOPT($L555,$J555,$I555,$M555,$O555,$N555,$P555,$Q555-$C$3,$R555,5)*$H555)/100)</f>
        <v>#NAME?</v>
      </c>
      <c r="AI555" s="226" t="e">
        <f aca="false">(((xSPRDOPT($L555,$J555,$I555,$M555,$O555,$N555,$P555,$Q555-$C$3,$R555,4)*$H555)/10000)/100)-AB555</f>
        <v>#NAME?</v>
      </c>
      <c r="AJ555" s="226"/>
      <c r="AK555" s="226"/>
      <c r="AL555" s="226"/>
      <c r="AM555" s="252"/>
      <c r="CC555" s="182" t="n">
        <f aca="false">G555</f>
        <v>37622</v>
      </c>
      <c r="CD555" s="253" t="e">
        <f aca="false">xSPRDOPT((VLOOKUP(G555,NGPrices,2,FALSE())+HLOOKUP(D555,Prices,VLOOKUP(G555,move_down,2,FALSE()),FALSE())),VLOOKUP(G555,NGPrices,2,FALSE()),I555,VLOOKUP(G555,NGPREVPRICES,4,FALSE()),HLOOKUP(D555,PREVVOLS,VLOOKUP(G555,MOVE_DOWN2,2,FALSE()),FALSE()),VLOOKUP(G555,NGPREVPRICES,3,FALSE()),HLOOKUP(D555,Correllate,VLOOKUP(G555,CorMove,2,FALSE()),FALSE()),Q555-$CD$3,R555,$CD$5)*H555-CJ555</f>
        <v>#NAME?</v>
      </c>
      <c r="CE555" s="253" t="e">
        <f aca="false">xSPRDOPT((VLOOKUP(G555,NGPREVPRICES,2,FALSE())+HLOOKUP(D555,PREVCURVES,VLOOKUP(G555,MOVE_DOWN2,2,FALSE()),FALSE())),VLOOKUP(G555,NGPREVPRICES,2,FALSE()),CK555,VLOOKUP(G555,NGPrices,4,FALSE()),HLOOKUP(D555,PREVVOLS,VLOOKUP(G555,MOVE_DOWN2,2,FALSE()),FALSE()),VLOOKUP(G555,NGPREVPRICES,3,FALSE()),HLOOKUP(D555,Correllate,VLOOKUP(G555,CorMove,2,FALSE()),FALSE()),Q555-$CD$3,R555,$CJ$5)*H555-CJ555</f>
        <v>#NAME?</v>
      </c>
      <c r="CF555" s="132" t="e">
        <f aca="false">(CJ555/VLOOKUP(CC555,discount,3,FALSE()))-(CJ555/VLOOKUP(CC555,discount,2,FALSE()))</f>
        <v>#NAME?</v>
      </c>
      <c r="CG555" s="253" t="e">
        <f aca="false">xSPRDOPT((VLOOKUP(G555,NGPREVPRICES,2,FALSE())+HLOOKUP(D555,PREVCURVES,VLOOKUP(G555,MOVE_DOWN2,2,FALSE()),FALSE())),VLOOKUP(G555,NGPREVPRICES,2,FALSE()),CK555,VLOOKUP(G555,NGPREVPRICES,4,FALSE()),HLOOKUP(D555,VOLS,VLOOKUP(G555,move_down,2,FALSE()),FALSE()),VLOOKUP(G555,NGPrices,3,FALSE()),HLOOKUP(D555,Correllate,VLOOKUP(G555,CorMove,2,FALSE()),FALSE()),Q555-$CD$3,R555,$CJ$5)*H555-CJ555</f>
        <v>#NAME?</v>
      </c>
      <c r="CH555" s="253" t="e">
        <f aca="false">xSPRDOPT((VLOOKUP(G555,NGPREVPRICES,2,FALSE())+HLOOKUP(D555,PREVCURVES,VLOOKUP(G555,MOVE_DOWN2,2,FALSE()),FALSE())),VLOOKUP(G555,NGPREVPRICES,2,FALSE()),CK555,VLOOKUP(G555,NGPREVPRICES,4,FALSE()),HLOOKUP(D555,PREVVOLS,VLOOKUP(G555,MOVE_DOWN2,2,FALSE()),FALSE()),VLOOKUP(G555,NGPREVPRICES,3,FALSE()),HLOOKUP(D555,Correllate,VLOOKUP(G555,CorMove,2,FALSE()),FALSE()),Q555-$C$3,R555,$CJ$5)*H555-CJ555</f>
        <v>#NAME?</v>
      </c>
      <c r="CI555" s="253" t="e">
        <f aca="false">SUM(CD555:CH555)</f>
        <v>#NAME?</v>
      </c>
      <c r="CJ555" s="253" t="e">
        <f aca="false">xSPRDOPT((VLOOKUP(G555,NGPREVPRICES,2,FALSE())+HLOOKUP(D555,PREVCURVES,VLOOKUP(G555,MOVE_DOWN2,2,FALSE()),FALSE())),VLOOKUP(G555,NGPREVPRICES,2,FALSE()),CK555,VLOOKUP(G555,NGPREVPRICES,4,FALSE()),HLOOKUP(D555,PREVVOLS,VLOOKUP(G555,MOVE_DOWN2,2,FALSE()),FALSE()),VLOOKUP(G555,NGPREVPRICES,3,FALSE()),HLOOKUP(D555,Correllate,VLOOKUP(G555,CorMove,2,FALSE()),FALSE()),Q555-$CD$3,R555,$CJ$5)*H555</f>
        <v>#NAME?</v>
      </c>
      <c r="CK555" s="254" t="n">
        <f aca="false">I555</f>
        <v>0.2</v>
      </c>
      <c r="CM555" s="0" t="str">
        <f aca="false">CONCATENATE(CC555,$CD$6)</f>
        <v>37622Curve Shift/Gamma</v>
      </c>
      <c r="CN555" s="0" t="str">
        <f aca="false">CONCATENATE($CC555,$CE$6)</f>
        <v>37622Rho</v>
      </c>
      <c r="CO555" s="0" t="str">
        <f aca="false">CONCATENATE($CC555,$CF$6)</f>
        <v>37622Drift</v>
      </c>
      <c r="CP555" s="0" t="str">
        <f aca="false">CONCATENATE($CC555,$CG$6)</f>
        <v>37622Vega</v>
      </c>
      <c r="CQ555" s="0" t="str">
        <f aca="false">CONCATENATE($CC555,$CH$6)</f>
        <v>37622Theta</v>
      </c>
    </row>
    <row r="556" customFormat="false" ht="12.75" hidden="false" customHeight="false" outlineLevel="0" collapsed="false">
      <c r="A556" s="17" t="s">
        <v>210</v>
      </c>
      <c r="B556" s="0" t="s">
        <v>192</v>
      </c>
      <c r="C556" s="0" t="s">
        <v>383</v>
      </c>
      <c r="D556" s="7" t="s">
        <v>152</v>
      </c>
      <c r="E556" s="0" t="s">
        <v>131</v>
      </c>
      <c r="F556" s="0" t="s">
        <v>136</v>
      </c>
      <c r="G556" s="92" t="n">
        <v>37591</v>
      </c>
      <c r="H556" s="248" t="n">
        <v>310000</v>
      </c>
      <c r="I556" s="0" t="n">
        <v>0.2</v>
      </c>
      <c r="J556" s="124" t="n">
        <f aca="false">VLOOKUP(G556,NGPrices,2,FALSE())</f>
        <v>3.504</v>
      </c>
      <c r="K556" s="125" t="n">
        <f aca="false">HLOOKUP(D556,Prices,VLOOKUP(G556,move_down,2,FALSE()),FALSE())+VLOOKUP(G556,CHANGE,HLOOKUP(D556,CHANGE,2,FALSE()),FALSE())</f>
        <v>0.1325</v>
      </c>
      <c r="L556" s="124" t="n">
        <f aca="false">K556+J556</f>
        <v>3.6365</v>
      </c>
      <c r="M556" s="126" t="n">
        <f aca="false">VLOOKUP(G556,NGPrices,4,FALSE())</f>
        <v>0.069502480385871</v>
      </c>
      <c r="N556" s="7" t="n">
        <f aca="false">VLOOKUP(G556,NGPrices,3,FALSE())</f>
        <v>0.295</v>
      </c>
      <c r="O556" s="7" t="n">
        <f aca="false">HLOOKUP(D556,VOLS,VLOOKUP(G556,move_down,2,FALSE()),FALSE())</f>
        <v>0.295</v>
      </c>
      <c r="P556" s="249" t="n">
        <f aca="false">HLOOKUP(D556,Correllate,VLOOKUP(G556,CorMove,2,FALSE()),FALSE())</f>
        <v>0.984107647518451</v>
      </c>
      <c r="Q556" s="92" t="n">
        <f aca="false">WORKDAY(G556,-2)</f>
        <v>37588</v>
      </c>
      <c r="R556" s="7" t="n">
        <f aca="false">IF(F556="P",0,1)</f>
        <v>1</v>
      </c>
      <c r="S556" s="130" t="e">
        <f aca="false">xSPRDOPT($L556,$J556,$I556,$M556,$O556,$N556,$P556,$Q556-$C$3,$R556,0)</f>
        <v>#NAME?</v>
      </c>
      <c r="T556" s="250" t="e">
        <f aca="false">xSPRDOPT($L556,$J556,$I556,$M556,$O556,$N556,$P556,$Q556-$C$3,$R556,1)*H556</f>
        <v>#NAME?</v>
      </c>
      <c r="U556" s="43" t="e">
        <f aca="false">S556*H556</f>
        <v>#NAME?</v>
      </c>
      <c r="V556" s="250" t="e">
        <f aca="false">xSPRDOPT($L556,$J556,$I556,$M556,$O556,$N556,$P556,$Q556-$C$3,$R556,2)*H556</f>
        <v>#NAME?</v>
      </c>
      <c r="W556" s="250" t="e">
        <f aca="false">+V556+T556</f>
        <v>#NAME?</v>
      </c>
      <c r="X556" s="2" t="str">
        <f aca="false">CONCATENATE(G556,D556)</f>
        <v>37591NGI/CHI. GATE</v>
      </c>
      <c r="Y556" s="251" t="n">
        <f aca="false">H556/10000</f>
        <v>31</v>
      </c>
      <c r="Z556" s="226" t="e">
        <f aca="false">T556/H556</f>
        <v>#NAME?</v>
      </c>
      <c r="AA556" s="226" t="e">
        <f aca="false">xSPRDOPT($L556,$J556,$I556,$M556,$O556,$N556,$P556,$Q556-$C$3,$R556,3)</f>
        <v>#NAME?</v>
      </c>
      <c r="AB556" s="226" t="e">
        <f aca="false">((xSPRDOPT($L556+AB$5,$J556,$I556,$M556,$O556,$N556,$P556,$Q556-$C$3,$R556,3)*$H556)/10000)/100</f>
        <v>#NAME?</v>
      </c>
      <c r="AC556" s="226" t="e">
        <f aca="false">((xSPRDOPT($L556+$AB$5,$J556,$I556,$M556,$O556,$N556,$P556,$Q556-$C$3,$R556,7)*$H556)/100)</f>
        <v>#NAME?</v>
      </c>
      <c r="AD556" s="226" t="e">
        <f aca="false">(xSPRDOPT($L556+$AB$5,$J556,$I556,$M556,$O556,$N556,$P556,$Q556-$C$3,$R556,9)/365)*$H556</f>
        <v>#NAME?</v>
      </c>
      <c r="AE556" s="0" t="e">
        <f aca="false">CD556</f>
        <v>#NAME?</v>
      </c>
      <c r="AF556" s="226" t="e">
        <f aca="false">((O556/N556)*AH556)+AG556</f>
        <v>#NAME?</v>
      </c>
      <c r="AG556" s="226" t="e">
        <f aca="false">((xSPRDOPT($L556,$J556,$I556,$M556,$O556,$N556,$P556,$Q556-$C$3,$R556,6)*$H556)/100)</f>
        <v>#NAME?</v>
      </c>
      <c r="AH556" s="226" t="e">
        <f aca="false">((xSPRDOPT($L556,$J556,$I556,$M556,$O556,$N556,$P556,$Q556-$C$3,$R556,5)*$H556)/100)</f>
        <v>#NAME?</v>
      </c>
      <c r="AI556" s="226" t="e">
        <f aca="false">(((xSPRDOPT($L556,$J556,$I556,$M556,$O556,$N556,$P556,$Q556-$C$3,$R556,4)*$H556)/10000)/100)-AB556</f>
        <v>#NAME?</v>
      </c>
      <c r="AJ556" s="226"/>
      <c r="AK556" s="226"/>
      <c r="AL556" s="226"/>
      <c r="AM556" s="252"/>
      <c r="CC556" s="182" t="n">
        <f aca="false">G556</f>
        <v>37591</v>
      </c>
      <c r="CD556" s="253" t="e">
        <f aca="false">xSPRDOPT((VLOOKUP(G556,NGPrices,2,FALSE())+HLOOKUP(D556,Prices,VLOOKUP(G556,move_down,2,FALSE()),FALSE())),VLOOKUP(G556,NGPrices,2,FALSE()),I556,VLOOKUP(G556,NGPREVPRICES,4,FALSE()),HLOOKUP(D556,PREVVOLS,VLOOKUP(G556,MOVE_DOWN2,2,FALSE()),FALSE()),VLOOKUP(G556,NGPREVPRICES,3,FALSE()),HLOOKUP(D556,Correllate,VLOOKUP(G556,CorMove,2,FALSE()),FALSE()),Q556-$CD$3,R556,$CD$5)*H556-CJ556</f>
        <v>#NAME?</v>
      </c>
      <c r="CE556" s="253" t="e">
        <f aca="false">xSPRDOPT((VLOOKUP(G556,NGPREVPRICES,2,FALSE())+HLOOKUP(D556,PREVCURVES,VLOOKUP(G556,MOVE_DOWN2,2,FALSE()),FALSE())),VLOOKUP(G556,NGPREVPRICES,2,FALSE()),CK556,VLOOKUP(G556,NGPrices,4,FALSE()),HLOOKUP(D556,PREVVOLS,VLOOKUP(G556,MOVE_DOWN2,2,FALSE()),FALSE()),VLOOKUP(G556,NGPREVPRICES,3,FALSE()),HLOOKUP(D556,Correllate,VLOOKUP(G556,CorMove,2,FALSE()),FALSE()),Q556-$CD$3,R556,$CJ$5)*H556-CJ556</f>
        <v>#NAME?</v>
      </c>
      <c r="CF556" s="132" t="e">
        <f aca="false">(CJ556/VLOOKUP(CC556,discount,3,FALSE()))-(CJ556/VLOOKUP(CC556,discount,2,FALSE()))</f>
        <v>#NAME?</v>
      </c>
      <c r="CG556" s="253" t="e">
        <f aca="false">xSPRDOPT((VLOOKUP(G556,NGPREVPRICES,2,FALSE())+HLOOKUP(D556,PREVCURVES,VLOOKUP(G556,MOVE_DOWN2,2,FALSE()),FALSE())),VLOOKUP(G556,NGPREVPRICES,2,FALSE()),CK556,VLOOKUP(G556,NGPREVPRICES,4,FALSE()),HLOOKUP(D556,VOLS,VLOOKUP(G556,move_down,2,FALSE()),FALSE()),VLOOKUP(G556,NGPrices,3,FALSE()),HLOOKUP(D556,Correllate,VLOOKUP(G556,CorMove,2,FALSE()),FALSE()),Q556-$CD$3,R556,$CJ$5)*H556-CJ556</f>
        <v>#NAME?</v>
      </c>
      <c r="CH556" s="253" t="e">
        <f aca="false">xSPRDOPT((VLOOKUP(G556,NGPREVPRICES,2,FALSE())+HLOOKUP(D556,PREVCURVES,VLOOKUP(G556,MOVE_DOWN2,2,FALSE()),FALSE())),VLOOKUP(G556,NGPREVPRICES,2,FALSE()),CK556,VLOOKUP(G556,NGPREVPRICES,4,FALSE()),HLOOKUP(D556,PREVVOLS,VLOOKUP(G556,MOVE_DOWN2,2,FALSE()),FALSE()),VLOOKUP(G556,NGPREVPRICES,3,FALSE()),HLOOKUP(D556,Correllate,VLOOKUP(G556,CorMove,2,FALSE()),FALSE()),Q556-$C$3,R556,$CJ$5)*H556-CJ556</f>
        <v>#NAME?</v>
      </c>
      <c r="CI556" s="253" t="e">
        <f aca="false">SUM(CD556:CH556)</f>
        <v>#NAME?</v>
      </c>
      <c r="CJ556" s="253" t="e">
        <f aca="false">xSPRDOPT((VLOOKUP(G556,NGPREVPRICES,2,FALSE())+HLOOKUP(D556,PREVCURVES,VLOOKUP(G556,MOVE_DOWN2,2,FALSE()),FALSE())),VLOOKUP(G556,NGPREVPRICES,2,FALSE()),CK556,VLOOKUP(G556,NGPREVPRICES,4,FALSE()),HLOOKUP(D556,PREVVOLS,VLOOKUP(G556,MOVE_DOWN2,2,FALSE()),FALSE()),VLOOKUP(G556,NGPREVPRICES,3,FALSE()),HLOOKUP(D556,Correllate,VLOOKUP(G556,CorMove,2,FALSE()),FALSE()),Q556-$CD$3,R556,$CJ$5)*H556</f>
        <v>#NAME?</v>
      </c>
      <c r="CK556" s="254" t="n">
        <f aca="false">I556</f>
        <v>0.2</v>
      </c>
      <c r="CM556" s="0" t="str">
        <f aca="false">CONCATENATE(CC556,$CD$6)</f>
        <v>37591Curve Shift/Gamma</v>
      </c>
      <c r="CN556" s="0" t="str">
        <f aca="false">CONCATENATE($CC556,$CE$6)</f>
        <v>37591Rho</v>
      </c>
      <c r="CO556" s="0" t="str">
        <f aca="false">CONCATENATE($CC556,$CF$6)</f>
        <v>37591Drift</v>
      </c>
      <c r="CP556" s="0" t="str">
        <f aca="false">CONCATENATE($CC556,$CG$6)</f>
        <v>37591Vega</v>
      </c>
      <c r="CQ556" s="0" t="str">
        <f aca="false">CONCATENATE($CC556,$CH$6)</f>
        <v>37591Theta</v>
      </c>
    </row>
    <row r="557" customFormat="false" ht="12.75" hidden="false" customHeight="false" outlineLevel="0" collapsed="false">
      <c r="A557" s="17" t="s">
        <v>210</v>
      </c>
      <c r="B557" s="0" t="s">
        <v>192</v>
      </c>
      <c r="C557" s="0" t="s">
        <v>383</v>
      </c>
      <c r="D557" s="7" t="s">
        <v>152</v>
      </c>
      <c r="E557" s="0" t="s">
        <v>131</v>
      </c>
      <c r="F557" s="0" t="s">
        <v>136</v>
      </c>
      <c r="G557" s="92" t="n">
        <v>37561</v>
      </c>
      <c r="H557" s="248" t="n">
        <v>300000</v>
      </c>
      <c r="I557" s="0" t="n">
        <v>0.2</v>
      </c>
      <c r="J557" s="124" t="n">
        <f aca="false">VLOOKUP(G557,NGPrices,2,FALSE())</f>
        <v>3.418</v>
      </c>
      <c r="K557" s="125" t="n">
        <f aca="false">HLOOKUP(D557,Prices,VLOOKUP(G557,move_down,2,FALSE()),FALSE())+VLOOKUP(G557,CHANGE,HLOOKUP(D557,CHANGE,2,FALSE()),FALSE())</f>
        <v>0.0925</v>
      </c>
      <c r="L557" s="124" t="n">
        <f aca="false">K557+J557</f>
        <v>3.5105</v>
      </c>
      <c r="M557" s="126" t="n">
        <f aca="false">VLOOKUP(G557,NGPrices,4,FALSE())</f>
        <v>0.069510422951367</v>
      </c>
      <c r="N557" s="7" t="n">
        <f aca="false">VLOOKUP(G557,NGPrices,3,FALSE())</f>
        <v>0.2925</v>
      </c>
      <c r="O557" s="7" t="n">
        <f aca="false">HLOOKUP(D557,VOLS,VLOOKUP(G557,move_down,2,FALSE()),FALSE())</f>
        <v>0.293</v>
      </c>
      <c r="P557" s="249" t="n">
        <f aca="false">HLOOKUP(D557,Correllate,VLOOKUP(G557,CorMove,2,FALSE()),FALSE())</f>
        <v>0.984107647518451</v>
      </c>
      <c r="Q557" s="92" t="n">
        <f aca="false">WORKDAY(G557,-2)</f>
        <v>37559</v>
      </c>
      <c r="R557" s="7" t="n">
        <f aca="false">IF(F557="P",0,1)</f>
        <v>1</v>
      </c>
      <c r="S557" s="130" t="e">
        <f aca="false">xSPRDOPT($L557,$J557,$I557,$M557,$O557,$N557,$P557,$Q557-$C$3,$R557,0)</f>
        <v>#NAME?</v>
      </c>
      <c r="T557" s="250" t="e">
        <f aca="false">xSPRDOPT($L557,$J557,$I557,$M557,$O557,$N557,$P557,$Q557-$C$3,$R557,1)*H557</f>
        <v>#NAME?</v>
      </c>
      <c r="U557" s="43" t="e">
        <f aca="false">S557*H557</f>
        <v>#NAME?</v>
      </c>
      <c r="V557" s="250" t="e">
        <f aca="false">xSPRDOPT($L557,$J557,$I557,$M557,$O557,$N557,$P557,$Q557-$C$3,$R557,2)*H557</f>
        <v>#NAME?</v>
      </c>
      <c r="W557" s="250" t="e">
        <f aca="false">+V557+T557</f>
        <v>#NAME?</v>
      </c>
      <c r="X557" s="2" t="str">
        <f aca="false">CONCATENATE(G557,D557)</f>
        <v>37561NGI/CHI. GATE</v>
      </c>
      <c r="Y557" s="251" t="n">
        <f aca="false">H557/10000</f>
        <v>30</v>
      </c>
      <c r="Z557" s="226" t="e">
        <f aca="false">T557/H557</f>
        <v>#NAME?</v>
      </c>
      <c r="AA557" s="226" t="e">
        <f aca="false">xSPRDOPT($L557,$J557,$I557,$M557,$O557,$N557,$P557,$Q557-$C$3,$R557,3)</f>
        <v>#NAME?</v>
      </c>
      <c r="AB557" s="226" t="e">
        <f aca="false">((xSPRDOPT($L557+AB$5,$J557,$I557,$M557,$O557,$N557,$P557,$Q557-$C$3,$R557,3)*$H557)/10000)/100</f>
        <v>#NAME?</v>
      </c>
      <c r="AC557" s="226" t="e">
        <f aca="false">((xSPRDOPT($L557+$AB$5,$J557,$I557,$M557,$O557,$N557,$P557,$Q557-$C$3,$R557,7)*$H557)/100)</f>
        <v>#NAME?</v>
      </c>
      <c r="AD557" s="226" t="e">
        <f aca="false">(xSPRDOPT($L557+$AB$5,$J557,$I557,$M557,$O557,$N557,$P557,$Q557-$C$3,$R557,9)/365)*$H557</f>
        <v>#NAME?</v>
      </c>
      <c r="AE557" s="0" t="e">
        <f aca="false">CD557</f>
        <v>#NAME?</v>
      </c>
      <c r="AF557" s="226" t="e">
        <f aca="false">((O557/N557)*AH557)+AG557</f>
        <v>#NAME?</v>
      </c>
      <c r="AG557" s="226" t="e">
        <f aca="false">((xSPRDOPT($L557,$J557,$I557,$M557,$O557,$N557,$P557,$Q557-$C$3,$R557,6)*$H557)/100)</f>
        <v>#NAME?</v>
      </c>
      <c r="AH557" s="226" t="e">
        <f aca="false">((xSPRDOPT($L557,$J557,$I557,$M557,$O557,$N557,$P557,$Q557-$C$3,$R557,5)*$H557)/100)</f>
        <v>#NAME?</v>
      </c>
      <c r="AI557" s="226" t="e">
        <f aca="false">(((xSPRDOPT($L557,$J557,$I557,$M557,$O557,$N557,$P557,$Q557-$C$3,$R557,4)*$H557)/10000)/100)-AB557</f>
        <v>#NAME?</v>
      </c>
      <c r="AJ557" s="226"/>
      <c r="AK557" s="226"/>
      <c r="AL557" s="226"/>
      <c r="AM557" s="252"/>
      <c r="CC557" s="182" t="n">
        <f aca="false">G557</f>
        <v>37561</v>
      </c>
      <c r="CD557" s="253" t="e">
        <f aca="false">xSPRDOPT((VLOOKUP(G557,NGPrices,2,FALSE())+HLOOKUP(D557,Prices,VLOOKUP(G557,move_down,2,FALSE()),FALSE())),VLOOKUP(G557,NGPrices,2,FALSE()),I557,VLOOKUP(G557,NGPREVPRICES,4,FALSE()),HLOOKUP(D557,PREVVOLS,VLOOKUP(G557,MOVE_DOWN2,2,FALSE()),FALSE()),VLOOKUP(G557,NGPREVPRICES,3,FALSE()),HLOOKUP(D557,Correllate,VLOOKUP(G557,CorMove,2,FALSE()),FALSE()),Q557-$CD$3,R557,$CD$5)*H557-CJ557</f>
        <v>#NAME?</v>
      </c>
      <c r="CE557" s="253" t="e">
        <f aca="false">xSPRDOPT((VLOOKUP(G557,NGPREVPRICES,2,FALSE())+HLOOKUP(D557,PREVCURVES,VLOOKUP(G557,MOVE_DOWN2,2,FALSE()),FALSE())),VLOOKUP(G557,NGPREVPRICES,2,FALSE()),CK557,VLOOKUP(G557,NGPrices,4,FALSE()),HLOOKUP(D557,PREVVOLS,VLOOKUP(G557,MOVE_DOWN2,2,FALSE()),FALSE()),VLOOKUP(G557,NGPREVPRICES,3,FALSE()),HLOOKUP(D557,Correllate,VLOOKUP(G557,CorMove,2,FALSE()),FALSE()),Q557-$CD$3,R557,$CJ$5)*H557-CJ557</f>
        <v>#NAME?</v>
      </c>
      <c r="CF557" s="132" t="e">
        <f aca="false">(CJ557/VLOOKUP(CC557,discount,3,FALSE()))-(CJ557/VLOOKUP(CC557,discount,2,FALSE()))</f>
        <v>#NAME?</v>
      </c>
      <c r="CG557" s="253" t="e">
        <f aca="false">xSPRDOPT((VLOOKUP(G557,NGPREVPRICES,2,FALSE())+HLOOKUP(D557,PREVCURVES,VLOOKUP(G557,MOVE_DOWN2,2,FALSE()),FALSE())),VLOOKUP(G557,NGPREVPRICES,2,FALSE()),CK557,VLOOKUP(G557,NGPREVPRICES,4,FALSE()),HLOOKUP(D557,VOLS,VLOOKUP(G557,move_down,2,FALSE()),FALSE()),VLOOKUP(G557,NGPrices,3,FALSE()),HLOOKUP(D557,Correllate,VLOOKUP(G557,CorMove,2,FALSE()),FALSE()),Q557-$CD$3,R557,$CJ$5)*H557-CJ557</f>
        <v>#NAME?</v>
      </c>
      <c r="CH557" s="253" t="e">
        <f aca="false">xSPRDOPT((VLOOKUP(G557,NGPREVPRICES,2,FALSE())+HLOOKUP(D557,PREVCURVES,VLOOKUP(G557,MOVE_DOWN2,2,FALSE()),FALSE())),VLOOKUP(G557,NGPREVPRICES,2,FALSE()),CK557,VLOOKUP(G557,NGPREVPRICES,4,FALSE()),HLOOKUP(D557,PREVVOLS,VLOOKUP(G557,MOVE_DOWN2,2,FALSE()),FALSE()),VLOOKUP(G557,NGPREVPRICES,3,FALSE()),HLOOKUP(D557,Correllate,VLOOKUP(G557,CorMove,2,FALSE()),FALSE()),Q557-$C$3,R557,$CJ$5)*H557-CJ557</f>
        <v>#NAME?</v>
      </c>
      <c r="CI557" s="253" t="e">
        <f aca="false">SUM(CD557:CH557)</f>
        <v>#NAME?</v>
      </c>
      <c r="CJ557" s="253" t="e">
        <f aca="false">xSPRDOPT((VLOOKUP(G557,NGPREVPRICES,2,FALSE())+HLOOKUP(D557,PREVCURVES,VLOOKUP(G557,MOVE_DOWN2,2,FALSE()),FALSE())),VLOOKUP(G557,NGPREVPRICES,2,FALSE()),CK557,VLOOKUP(G557,NGPREVPRICES,4,FALSE()),HLOOKUP(D557,PREVVOLS,VLOOKUP(G557,MOVE_DOWN2,2,FALSE()),FALSE()),VLOOKUP(G557,NGPREVPRICES,3,FALSE()),HLOOKUP(D557,Correllate,VLOOKUP(G557,CorMove,2,FALSE()),FALSE()),Q557-$CD$3,R557,$CJ$5)*H557</f>
        <v>#NAME?</v>
      </c>
      <c r="CK557" s="254" t="n">
        <f aca="false">I557</f>
        <v>0.2</v>
      </c>
      <c r="CM557" s="0" t="str">
        <f aca="false">CONCATENATE(CC557,$CD$6)</f>
        <v>37561Curve Shift/Gamma</v>
      </c>
      <c r="CN557" s="0" t="str">
        <f aca="false">CONCATENATE($CC557,$CE$6)</f>
        <v>37561Rho</v>
      </c>
      <c r="CO557" s="0" t="str">
        <f aca="false">CONCATENATE($CC557,$CF$6)</f>
        <v>37561Drift</v>
      </c>
      <c r="CP557" s="0" t="str">
        <f aca="false">CONCATENATE($CC557,$CG$6)</f>
        <v>37561Vega</v>
      </c>
      <c r="CQ557" s="0" t="str">
        <f aca="false">CONCATENATE($CC557,$CH$6)</f>
        <v>37561Theta</v>
      </c>
    </row>
    <row r="558" customFormat="false" ht="12.75" hidden="false" customHeight="false" outlineLevel="0" collapsed="false">
      <c r="A558" s="17" t="s">
        <v>198</v>
      </c>
      <c r="B558" s="0" t="s">
        <v>192</v>
      </c>
      <c r="C558" s="0" t="s">
        <v>384</v>
      </c>
      <c r="D558" s="7" t="s">
        <v>137</v>
      </c>
      <c r="E558" s="0" t="s">
        <v>131</v>
      </c>
      <c r="F558" s="0" t="s">
        <v>136</v>
      </c>
      <c r="G558" s="92" t="n">
        <v>36951</v>
      </c>
      <c r="H558" s="248" t="n">
        <v>155000</v>
      </c>
      <c r="I558" s="0" t="n">
        <v>0.3</v>
      </c>
      <c r="J558" s="124" t="n">
        <f aca="false">VLOOKUP(G558,NGPrices,2,FALSE())</f>
        <v>4.213</v>
      </c>
      <c r="K558" s="125" t="n">
        <f aca="false">HLOOKUP(D558,Prices,VLOOKUP(G558,move_down,2,FALSE()),FALSE())+VLOOKUP(G558,CHANGE,HLOOKUP(D558,CHANGE,2,FALSE()),FALSE())</f>
        <v>0.5975</v>
      </c>
      <c r="L558" s="124" t="n">
        <f aca="false">K558+J558</f>
        <v>4.8105</v>
      </c>
      <c r="M558" s="126" t="n">
        <f aca="false">VLOOKUP(G558,NGPrices,4,FALSE())</f>
        <v>0.068879814952707</v>
      </c>
      <c r="N558" s="7" t="n">
        <f aca="false">VLOOKUP(G558,NGPrices,3,FALSE())</f>
        <v>0.5325</v>
      </c>
      <c r="O558" s="7" t="n">
        <f aca="false">HLOOKUP(D558,VOLS,VLOOKUP(G558,move_down,2,FALSE()),FALSE())</f>
        <v>0.517</v>
      </c>
      <c r="P558" s="249" t="n">
        <f aca="false">HLOOKUP(D558,Correllate,VLOOKUP(G558,CorMove,2,FALSE()),FALSE())</f>
        <v>0.85</v>
      </c>
      <c r="Q558" s="92" t="n">
        <f aca="false">WORKDAY(G558,-2)</f>
        <v>36949</v>
      </c>
      <c r="R558" s="7" t="n">
        <f aca="false">IF(F558="P",0,1)</f>
        <v>1</v>
      </c>
      <c r="S558" s="130" t="e">
        <f aca="false">xSPRDOPT($L558,$J558,$I558,$M558,$O558,$N558,$P558,$Q558-$C$3,$R558,0)</f>
        <v>#NAME?</v>
      </c>
      <c r="T558" s="250" t="e">
        <f aca="false">xSPRDOPT($L558,$J558,$I558,$M558,$O558,$N558,$P558,$Q558-$C$3,$R558,1)*H558</f>
        <v>#NAME?</v>
      </c>
      <c r="U558" s="43" t="e">
        <f aca="false">S558*H558</f>
        <v>#NAME?</v>
      </c>
      <c r="V558" s="250" t="e">
        <f aca="false">xSPRDOPT($L558,$J558,$I558,$M558,$O558,$N558,$P558,$Q558-$C$3,$R558,2)*H558</f>
        <v>#NAME?</v>
      </c>
      <c r="W558" s="250" t="e">
        <f aca="false">+V558+T558</f>
        <v>#NAME?</v>
      </c>
      <c r="X558" s="2" t="str">
        <f aca="false">CONCATENATE(G558,D558)</f>
        <v>36951NGI-SOCAL</v>
      </c>
      <c r="Y558" s="251" t="n">
        <f aca="false">H558/10000</f>
        <v>15.5</v>
      </c>
      <c r="Z558" s="226" t="e">
        <f aca="false">T558/H558</f>
        <v>#NAME?</v>
      </c>
      <c r="AA558" s="226" t="e">
        <f aca="false">xSPRDOPT($L558,$J558,$I558,$M558,$O558,$N558,$P558,$Q558-$C$3,$R558,3)</f>
        <v>#NAME?</v>
      </c>
      <c r="AB558" s="226" t="e">
        <f aca="false">((xSPRDOPT($L558+AB$5,$J558,$I558,$M558,$O558,$N558,$P558,$Q558-$C$3,$R558,3)*$H558)/10000)/100</f>
        <v>#NAME?</v>
      </c>
      <c r="AC558" s="226" t="e">
        <f aca="false">((xSPRDOPT($L558+$AB$5,$J558,$I558,$M558,$O558,$N558,$P558,$Q558-$C$3,$R558,7)*$H558)/100)</f>
        <v>#NAME?</v>
      </c>
      <c r="AD558" s="226" t="e">
        <f aca="false">(xSPRDOPT($L558+$AB$5,$J558,$I558,$M558,$O558,$N558,$P558,$Q558-$C$3,$R558,9)/365)*$H558</f>
        <v>#NAME?</v>
      </c>
      <c r="AE558" s="0" t="e">
        <f aca="false">CD558</f>
        <v>#NAME?</v>
      </c>
      <c r="AF558" s="226" t="e">
        <f aca="false">((O558/N558)*AH558)+AG558</f>
        <v>#NAME?</v>
      </c>
      <c r="AG558" s="226" t="e">
        <f aca="false">((xSPRDOPT($L558,$J558,$I558,$M558,$O558,$N558,$P558,$Q558-$C$3,$R558,6)*$H558)/100)</f>
        <v>#NAME?</v>
      </c>
      <c r="AH558" s="226" t="e">
        <f aca="false">((xSPRDOPT($L558,$J558,$I558,$M558,$O558,$N558,$P558,$Q558-$C$3,$R558,5)*$H558)/100)</f>
        <v>#NAME?</v>
      </c>
      <c r="AI558" s="226" t="e">
        <f aca="false">(((xSPRDOPT($L558,$J558,$I558,$M558,$O558,$N558,$P558,$Q558-$C$3,$R558,4)*$H558)/10000)/100)-AB558</f>
        <v>#NAME?</v>
      </c>
      <c r="AJ558" s="226"/>
      <c r="AK558" s="226"/>
      <c r="AL558" s="226"/>
      <c r="AM558" s="252"/>
      <c r="CC558" s="182" t="n">
        <f aca="false">G558</f>
        <v>36951</v>
      </c>
      <c r="CD558" s="253" t="e">
        <f aca="false">xSPRDOPT((VLOOKUP(G558,NGPrices,2,FALSE())+HLOOKUP(D558,Prices,VLOOKUP(G558,move_down,2,FALSE()),FALSE())),VLOOKUP(G558,NGPrices,2,FALSE()),I558,VLOOKUP(G558,NGPREVPRICES,4,FALSE()),HLOOKUP(D558,PREVVOLS,VLOOKUP(G558,MOVE_DOWN2,2,FALSE()),FALSE()),VLOOKUP(G558,NGPREVPRICES,3,FALSE()),HLOOKUP(D558,Correllate,VLOOKUP(G558,CorMove,2,FALSE()),FALSE()),Q558-$CD$3,R558,$CD$5)*H558-CJ558</f>
        <v>#NAME?</v>
      </c>
      <c r="CE558" s="253" t="e">
        <f aca="false">xSPRDOPT((VLOOKUP(G558,NGPREVPRICES,2,FALSE())+HLOOKUP(D558,PREVCURVES,VLOOKUP(G558,MOVE_DOWN2,2,FALSE()),FALSE())),VLOOKUP(G558,NGPREVPRICES,2,FALSE()),CK558,VLOOKUP(G558,NGPrices,4,FALSE()),HLOOKUP(D558,PREVVOLS,VLOOKUP(G558,MOVE_DOWN2,2,FALSE()),FALSE()),VLOOKUP(G558,NGPREVPRICES,3,FALSE()),HLOOKUP(D558,Correllate,VLOOKUP(G558,CorMove,2,FALSE()),FALSE()),Q558-$CD$3,R558,$CJ$5)*H558-CJ558</f>
        <v>#NAME?</v>
      </c>
      <c r="CF558" s="132" t="e">
        <f aca="false">(CJ558/VLOOKUP(CC558,discount,3,FALSE()))-(CJ558/VLOOKUP(CC558,discount,2,FALSE()))</f>
        <v>#NAME?</v>
      </c>
      <c r="CG558" s="253" t="e">
        <f aca="false">xSPRDOPT((VLOOKUP(G558,NGPREVPRICES,2,FALSE())+HLOOKUP(D558,PREVCURVES,VLOOKUP(G558,MOVE_DOWN2,2,FALSE()),FALSE())),VLOOKUP(G558,NGPREVPRICES,2,FALSE()),CK558,VLOOKUP(G558,NGPREVPRICES,4,FALSE()),HLOOKUP(D558,VOLS,VLOOKUP(G558,move_down,2,FALSE()),FALSE()),VLOOKUP(G558,NGPrices,3,FALSE()),HLOOKUP(D558,Correllate,VLOOKUP(G558,CorMove,2,FALSE()),FALSE()),Q558-$CD$3,R558,$CJ$5)*H558-CJ558</f>
        <v>#NAME?</v>
      </c>
      <c r="CH558" s="253" t="e">
        <f aca="false">xSPRDOPT((VLOOKUP(G558,NGPREVPRICES,2,FALSE())+HLOOKUP(D558,PREVCURVES,VLOOKUP(G558,MOVE_DOWN2,2,FALSE()),FALSE())),VLOOKUP(G558,NGPREVPRICES,2,FALSE()),CK558,VLOOKUP(G558,NGPREVPRICES,4,FALSE()),HLOOKUP(D558,PREVVOLS,VLOOKUP(G558,MOVE_DOWN2,2,FALSE()),FALSE()),VLOOKUP(G558,NGPREVPRICES,3,FALSE()),HLOOKUP(D558,Correllate,VLOOKUP(G558,CorMove,2,FALSE()),FALSE()),Q558-$C$3,R558,$CJ$5)*H558-CJ558</f>
        <v>#NAME?</v>
      </c>
      <c r="CI558" s="253" t="e">
        <f aca="false">SUM(CD558:CH558)</f>
        <v>#NAME?</v>
      </c>
      <c r="CJ558" s="253" t="e">
        <f aca="false">xSPRDOPT((VLOOKUP(G558,NGPREVPRICES,2,FALSE())+HLOOKUP(D558,PREVCURVES,VLOOKUP(G558,MOVE_DOWN2,2,FALSE()),FALSE())),VLOOKUP(G558,NGPREVPRICES,2,FALSE()),CK558,VLOOKUP(G558,NGPREVPRICES,4,FALSE()),HLOOKUP(D558,PREVVOLS,VLOOKUP(G558,MOVE_DOWN2,2,FALSE()),FALSE()),VLOOKUP(G558,NGPREVPRICES,3,FALSE()),HLOOKUP(D558,Correllate,VLOOKUP(G558,CorMove,2,FALSE()),FALSE()),Q558-$CD$3,R558,$CJ$5)*H558</f>
        <v>#NAME?</v>
      </c>
      <c r="CK558" s="254" t="n">
        <f aca="false">I558</f>
        <v>0.3</v>
      </c>
      <c r="CM558" s="0" t="str">
        <f aca="false">CONCATENATE(CC558,$CD$6)</f>
        <v>36951Curve Shift/Gamma</v>
      </c>
      <c r="CN558" s="0" t="str">
        <f aca="false">CONCATENATE($CC558,$CE$6)</f>
        <v>36951Rho</v>
      </c>
      <c r="CO558" s="0" t="str">
        <f aca="false">CONCATENATE($CC558,$CF$6)</f>
        <v>36951Drift</v>
      </c>
      <c r="CP558" s="0" t="str">
        <f aca="false">CONCATENATE($CC558,$CG$6)</f>
        <v>36951Vega</v>
      </c>
      <c r="CQ558" s="0" t="str">
        <f aca="false">CONCATENATE($CC558,$CH$6)</f>
        <v>36951Theta</v>
      </c>
    </row>
    <row r="559" customFormat="false" ht="12.75" hidden="false" customHeight="false" outlineLevel="0" collapsed="false">
      <c r="A559" s="17" t="s">
        <v>198</v>
      </c>
      <c r="B559" s="0" t="s">
        <v>192</v>
      </c>
      <c r="C559" s="0" t="s">
        <v>384</v>
      </c>
      <c r="D559" s="7" t="s">
        <v>137</v>
      </c>
      <c r="E559" s="0" t="s">
        <v>131</v>
      </c>
      <c r="F559" s="0" t="s">
        <v>136</v>
      </c>
      <c r="G559" s="92" t="n">
        <v>36923</v>
      </c>
      <c r="H559" s="248" t="n">
        <v>140000</v>
      </c>
      <c r="I559" s="0" t="n">
        <v>0.3</v>
      </c>
      <c r="J559" s="124" t="n">
        <f aca="false">VLOOKUP(G559,NGPrices,2,FALSE())</f>
        <v>4.48</v>
      </c>
      <c r="K559" s="125" t="n">
        <f aca="false">HLOOKUP(D559,Prices,VLOOKUP(G559,move_down,2,FALSE()),FALSE())+VLOOKUP(G559,CHANGE,HLOOKUP(D559,CHANGE,2,FALSE()),FALSE())</f>
        <v>0.6175</v>
      </c>
      <c r="L559" s="124" t="n">
        <f aca="false">K559+J559</f>
        <v>5.0975</v>
      </c>
      <c r="M559" s="126" t="n">
        <f aca="false">VLOOKUP(G559,NGPrices,4,FALSE())</f>
        <v>0.068640161611372</v>
      </c>
      <c r="N559" s="7" t="n">
        <f aca="false">VLOOKUP(G559,NGPrices,3,FALSE())</f>
        <v>0.5925</v>
      </c>
      <c r="O559" s="7" t="n">
        <f aca="false">HLOOKUP(D559,VOLS,VLOOKUP(G559,move_down,2,FALSE()),FALSE())</f>
        <v>0.575</v>
      </c>
      <c r="P559" s="249" t="n">
        <f aca="false">HLOOKUP(D559,Correllate,VLOOKUP(G559,CorMove,2,FALSE()),FALSE())</f>
        <v>0.85</v>
      </c>
      <c r="Q559" s="92" t="n">
        <f aca="false">WORKDAY(G559,-2)</f>
        <v>36921</v>
      </c>
      <c r="R559" s="7" t="n">
        <f aca="false">IF(F559="P",0,1)</f>
        <v>1</v>
      </c>
      <c r="S559" s="130" t="e">
        <f aca="false">xSPRDOPT($L559,$J559,$I559,$M559,$O559,$N559,$P559,$Q559-$C$3,$R559,0)</f>
        <v>#NAME?</v>
      </c>
      <c r="T559" s="250" t="e">
        <f aca="false">xSPRDOPT($L559,$J559,$I559,$M559,$O559,$N559,$P559,$Q559-$C$3,$R559,1)*H559</f>
        <v>#NAME?</v>
      </c>
      <c r="U559" s="43" t="e">
        <f aca="false">S559*H559</f>
        <v>#NAME?</v>
      </c>
      <c r="V559" s="250" t="e">
        <f aca="false">xSPRDOPT($L559,$J559,$I559,$M559,$O559,$N559,$P559,$Q559-$C$3,$R559,2)*H559</f>
        <v>#NAME?</v>
      </c>
      <c r="W559" s="250" t="e">
        <f aca="false">+V559+T559</f>
        <v>#NAME?</v>
      </c>
      <c r="X559" s="2" t="str">
        <f aca="false">CONCATENATE(G559,D559)</f>
        <v>36923NGI-SOCAL</v>
      </c>
      <c r="Y559" s="251" t="n">
        <f aca="false">H559/10000</f>
        <v>14</v>
      </c>
      <c r="Z559" s="226" t="e">
        <f aca="false">T559/H559</f>
        <v>#NAME?</v>
      </c>
      <c r="AA559" s="226" t="e">
        <f aca="false">xSPRDOPT($L559,$J559,$I559,$M559,$O559,$N559,$P559,$Q559-$C$3,$R559,3)</f>
        <v>#NAME?</v>
      </c>
      <c r="AB559" s="226" t="e">
        <f aca="false">((xSPRDOPT($L559+AB$5,$J559,$I559,$M559,$O559,$N559,$P559,$Q559-$C$3,$R559,3)*$H559)/10000)/100</f>
        <v>#NAME?</v>
      </c>
      <c r="AC559" s="226" t="e">
        <f aca="false">((xSPRDOPT($L559+$AB$5,$J559,$I559,$M559,$O559,$N559,$P559,$Q559-$C$3,$R559,7)*$H559)/100)</f>
        <v>#NAME?</v>
      </c>
      <c r="AD559" s="226" t="e">
        <f aca="false">(xSPRDOPT($L559+$AB$5,$J559,$I559,$M559,$O559,$N559,$P559,$Q559-$C$3,$R559,9)/365)*$H559</f>
        <v>#NAME?</v>
      </c>
      <c r="AE559" s="0" t="e">
        <f aca="false">CD559</f>
        <v>#NAME?</v>
      </c>
      <c r="AF559" s="226" t="e">
        <f aca="false">((O559/N559)*AH559)+AG559</f>
        <v>#NAME?</v>
      </c>
      <c r="AG559" s="226" t="e">
        <f aca="false">((xSPRDOPT($L559,$J559,$I559,$M559,$O559,$N559,$P559,$Q559-$C$3,$R559,6)*$H559)/100)</f>
        <v>#NAME?</v>
      </c>
      <c r="AH559" s="226" t="e">
        <f aca="false">((xSPRDOPT($L559,$J559,$I559,$M559,$O559,$N559,$P559,$Q559-$C$3,$R559,5)*$H559)/100)</f>
        <v>#NAME?</v>
      </c>
      <c r="AI559" s="226" t="e">
        <f aca="false">(((xSPRDOPT($L559,$J559,$I559,$M559,$O559,$N559,$P559,$Q559-$C$3,$R559,4)*$H559)/10000)/100)-AB559</f>
        <v>#NAME?</v>
      </c>
      <c r="AJ559" s="226"/>
      <c r="AK559" s="226"/>
      <c r="AL559" s="226"/>
      <c r="AM559" s="252"/>
      <c r="CC559" s="182" t="n">
        <f aca="false">G559</f>
        <v>36923</v>
      </c>
      <c r="CD559" s="253" t="e">
        <f aca="false">xSPRDOPT((VLOOKUP(G559,NGPrices,2,FALSE())+HLOOKUP(D559,Prices,VLOOKUP(G559,move_down,2,FALSE()),FALSE())),VLOOKUP(G559,NGPrices,2,FALSE()),I559,VLOOKUP(G559,NGPREVPRICES,4,FALSE()),HLOOKUP(D559,PREVVOLS,VLOOKUP(G559,MOVE_DOWN2,2,FALSE()),FALSE()),VLOOKUP(G559,NGPREVPRICES,3,FALSE()),HLOOKUP(D559,Correllate,VLOOKUP(G559,CorMove,2,FALSE()),FALSE()),Q559-$CD$3,R559,$CD$5)*H559-CJ559</f>
        <v>#NAME?</v>
      </c>
      <c r="CE559" s="253" t="e">
        <f aca="false">xSPRDOPT((VLOOKUP(G559,NGPREVPRICES,2,FALSE())+HLOOKUP(D559,PREVCURVES,VLOOKUP(G559,MOVE_DOWN2,2,FALSE()),FALSE())),VLOOKUP(G559,NGPREVPRICES,2,FALSE()),CK559,VLOOKUP(G559,NGPrices,4,FALSE()),HLOOKUP(D559,PREVVOLS,VLOOKUP(G559,MOVE_DOWN2,2,FALSE()),FALSE()),VLOOKUP(G559,NGPREVPRICES,3,FALSE()),HLOOKUP(D559,Correllate,VLOOKUP(G559,CorMove,2,FALSE()),FALSE()),Q559-$CD$3,R559,$CJ$5)*H559-CJ559</f>
        <v>#NAME?</v>
      </c>
      <c r="CF559" s="132" t="e">
        <f aca="false">(CJ559/VLOOKUP(CC559,discount,3,FALSE()))-(CJ559/VLOOKUP(CC559,discount,2,FALSE()))</f>
        <v>#NAME?</v>
      </c>
      <c r="CG559" s="253" t="e">
        <f aca="false">xSPRDOPT((VLOOKUP(G559,NGPREVPRICES,2,FALSE())+HLOOKUP(D559,PREVCURVES,VLOOKUP(G559,MOVE_DOWN2,2,FALSE()),FALSE())),VLOOKUP(G559,NGPREVPRICES,2,FALSE()),CK559,VLOOKUP(G559,NGPREVPRICES,4,FALSE()),HLOOKUP(D559,VOLS,VLOOKUP(G559,move_down,2,FALSE()),FALSE()),VLOOKUP(G559,NGPrices,3,FALSE()),HLOOKUP(D559,Correllate,VLOOKUP(G559,CorMove,2,FALSE()),FALSE()),Q559-$CD$3,R559,$CJ$5)*H559-CJ559</f>
        <v>#NAME?</v>
      </c>
      <c r="CH559" s="253" t="e">
        <f aca="false">xSPRDOPT((VLOOKUP(G559,NGPREVPRICES,2,FALSE())+HLOOKUP(D559,PREVCURVES,VLOOKUP(G559,MOVE_DOWN2,2,FALSE()),FALSE())),VLOOKUP(G559,NGPREVPRICES,2,FALSE()),CK559,VLOOKUP(G559,NGPREVPRICES,4,FALSE()),HLOOKUP(D559,PREVVOLS,VLOOKUP(G559,MOVE_DOWN2,2,FALSE()),FALSE()),VLOOKUP(G559,NGPREVPRICES,3,FALSE()),HLOOKUP(D559,Correllate,VLOOKUP(G559,CorMove,2,FALSE()),FALSE()),Q559-$C$3,R559,$CJ$5)*H559-CJ559</f>
        <v>#NAME?</v>
      </c>
      <c r="CI559" s="253" t="e">
        <f aca="false">SUM(CD559:CH559)</f>
        <v>#NAME?</v>
      </c>
      <c r="CJ559" s="253" t="e">
        <f aca="false">xSPRDOPT((VLOOKUP(G559,NGPREVPRICES,2,FALSE())+HLOOKUP(D559,PREVCURVES,VLOOKUP(G559,MOVE_DOWN2,2,FALSE()),FALSE())),VLOOKUP(G559,NGPREVPRICES,2,FALSE()),CK559,VLOOKUP(G559,NGPREVPRICES,4,FALSE()),HLOOKUP(D559,PREVVOLS,VLOOKUP(G559,MOVE_DOWN2,2,FALSE()),FALSE()),VLOOKUP(G559,NGPREVPRICES,3,FALSE()),HLOOKUP(D559,Correllate,VLOOKUP(G559,CorMove,2,FALSE()),FALSE()),Q559-$CD$3,R559,$CJ$5)*H559</f>
        <v>#NAME?</v>
      </c>
      <c r="CK559" s="254" t="n">
        <f aca="false">I559</f>
        <v>0.3</v>
      </c>
      <c r="CM559" s="0" t="str">
        <f aca="false">CONCATENATE(CC559,$CD$6)</f>
        <v>36923Curve Shift/Gamma</v>
      </c>
      <c r="CN559" s="0" t="str">
        <f aca="false">CONCATENATE($CC559,$CE$6)</f>
        <v>36923Rho</v>
      </c>
      <c r="CO559" s="0" t="str">
        <f aca="false">CONCATENATE($CC559,$CF$6)</f>
        <v>36923Drift</v>
      </c>
      <c r="CP559" s="0" t="str">
        <f aca="false">CONCATENATE($CC559,$CG$6)</f>
        <v>36923Vega</v>
      </c>
      <c r="CQ559" s="0" t="str">
        <f aca="false">CONCATENATE($CC559,$CH$6)</f>
        <v>36923Theta</v>
      </c>
    </row>
    <row r="560" customFormat="false" ht="12.75" hidden="false" customHeight="false" outlineLevel="0" collapsed="false">
      <c r="A560" s="17" t="s">
        <v>198</v>
      </c>
      <c r="B560" s="0" t="s">
        <v>192</v>
      </c>
      <c r="C560" s="0" t="s">
        <v>384</v>
      </c>
      <c r="D560" s="7" t="s">
        <v>137</v>
      </c>
      <c r="E560" s="0" t="s">
        <v>131</v>
      </c>
      <c r="F560" s="0" t="s">
        <v>136</v>
      </c>
      <c r="G560" s="92" t="n">
        <v>36892</v>
      </c>
      <c r="H560" s="248" t="n">
        <v>155000</v>
      </c>
      <c r="I560" s="0" t="n">
        <v>0.3</v>
      </c>
      <c r="J560" s="124" t="n">
        <f aca="false">VLOOKUP(G560,NGPrices,2,FALSE())</f>
        <v>4.744</v>
      </c>
      <c r="K560" s="125" t="n">
        <f aca="false">HLOOKUP(D560,Prices,VLOOKUP(G560,move_down,2,FALSE()),FALSE())+VLOOKUP(G560,CHANGE,HLOOKUP(D560,CHANGE,2,FALSE()),FALSE())</f>
        <v>0.7675</v>
      </c>
      <c r="L560" s="124" t="n">
        <f aca="false">K560+J560</f>
        <v>5.5115</v>
      </c>
      <c r="M560" s="126" t="n">
        <f aca="false">VLOOKUP(G560,NGPrices,4,FALSE())</f>
        <v>0.068374831148491</v>
      </c>
      <c r="N560" s="7" t="n">
        <f aca="false">VLOOKUP(G560,NGPrices,3,FALSE())</f>
        <v>0.605</v>
      </c>
      <c r="O560" s="7" t="n">
        <f aca="false">HLOOKUP(D560,VOLS,VLOOKUP(G560,move_down,2,FALSE()),FALSE())</f>
        <v>0.587</v>
      </c>
      <c r="P560" s="249" t="n">
        <f aca="false">HLOOKUP(D560,Correllate,VLOOKUP(G560,CorMove,2,FALSE()),FALSE())</f>
        <v>0.85</v>
      </c>
      <c r="Q560" s="92" t="n">
        <f aca="false">WORKDAY(G560,-2)</f>
        <v>36888</v>
      </c>
      <c r="R560" s="7" t="n">
        <f aca="false">IF(F560="P",0,1)</f>
        <v>1</v>
      </c>
      <c r="S560" s="130" t="e">
        <f aca="false">xSPRDOPT($L560,$J560,$I560,$M560,$O560,$N560,$P560,$Q560-$C$3,$R560,0)</f>
        <v>#NAME?</v>
      </c>
      <c r="T560" s="250" t="e">
        <f aca="false">xSPRDOPT($L560,$J560,$I560,$M560,$O560,$N560,$P560,$Q560-$C$3,$R560,1)*H560</f>
        <v>#NAME?</v>
      </c>
      <c r="U560" s="43" t="e">
        <f aca="false">S560*H560</f>
        <v>#NAME?</v>
      </c>
      <c r="V560" s="250" t="e">
        <f aca="false">xSPRDOPT($L560,$J560,$I560,$M560,$O560,$N560,$P560,$Q560-$C$3,$R560,2)*H560</f>
        <v>#NAME?</v>
      </c>
      <c r="W560" s="250" t="e">
        <f aca="false">+V560+T560</f>
        <v>#NAME?</v>
      </c>
      <c r="X560" s="2" t="str">
        <f aca="false">CONCATENATE(G560,D560)</f>
        <v>36892NGI-SOCAL</v>
      </c>
      <c r="Y560" s="251" t="n">
        <f aca="false">H560/10000</f>
        <v>15.5</v>
      </c>
      <c r="Z560" s="226" t="e">
        <f aca="false">T560/H560</f>
        <v>#NAME?</v>
      </c>
      <c r="AA560" s="226" t="e">
        <f aca="false">xSPRDOPT($L560,$J560,$I560,$M560,$O560,$N560,$P560,$Q560-$C$3,$R560,3)</f>
        <v>#NAME?</v>
      </c>
      <c r="AB560" s="226" t="e">
        <f aca="false">((xSPRDOPT($L560+AB$5,$J560,$I560,$M560,$O560,$N560,$P560,$Q560-$C$3,$R560,3)*$H560)/10000)/100</f>
        <v>#NAME?</v>
      </c>
      <c r="AC560" s="226" t="e">
        <f aca="false">((xSPRDOPT($L560+$AB$5,$J560,$I560,$M560,$O560,$N560,$P560,$Q560-$C$3,$R560,7)*$H560)/100)</f>
        <v>#NAME?</v>
      </c>
      <c r="AD560" s="226" t="e">
        <f aca="false">(xSPRDOPT($L560+$AB$5,$J560,$I560,$M560,$O560,$N560,$P560,$Q560-$C$3,$R560,9)/365)*$H560</f>
        <v>#NAME?</v>
      </c>
      <c r="AE560" s="0" t="e">
        <f aca="false">CD560</f>
        <v>#NAME?</v>
      </c>
      <c r="AF560" s="226" t="e">
        <f aca="false">((O560/N560)*AH560)+AG560</f>
        <v>#NAME?</v>
      </c>
      <c r="AG560" s="226" t="e">
        <f aca="false">((xSPRDOPT($L560,$J560,$I560,$M560,$O560,$N560,$P560,$Q560-$C$3,$R560,6)*$H560)/100)</f>
        <v>#NAME?</v>
      </c>
      <c r="AH560" s="226" t="e">
        <f aca="false">((xSPRDOPT($L560,$J560,$I560,$M560,$O560,$N560,$P560,$Q560-$C$3,$R560,5)*$H560)/100)</f>
        <v>#NAME?</v>
      </c>
      <c r="AI560" s="226" t="e">
        <f aca="false">(((xSPRDOPT($L560,$J560,$I560,$M560,$O560,$N560,$P560,$Q560-$C$3,$R560,4)*$H560)/10000)/100)-AB560</f>
        <v>#NAME?</v>
      </c>
      <c r="AJ560" s="226"/>
      <c r="AK560" s="226"/>
      <c r="AL560" s="226"/>
      <c r="CC560" s="182" t="n">
        <f aca="false">G560</f>
        <v>36892</v>
      </c>
      <c r="CD560" s="253" t="e">
        <f aca="false">xSPRDOPT((VLOOKUP(G560,NGPrices,2,FALSE())+HLOOKUP(D560,Prices,VLOOKUP(G560,move_down,2,FALSE()),FALSE())),VLOOKUP(G560,NGPrices,2,FALSE()),I560,VLOOKUP(G560,NGPREVPRICES,4,FALSE()),HLOOKUP(D560,PREVVOLS,VLOOKUP(G560,MOVE_DOWN2,2,FALSE()),FALSE()),VLOOKUP(G560,NGPREVPRICES,3,FALSE()),HLOOKUP(D560,Correllate,VLOOKUP(G560,CorMove,2,FALSE()),FALSE()),Q560-$CD$3,R560,$CD$5)*H560-CJ560</f>
        <v>#NAME?</v>
      </c>
      <c r="CE560" s="253" t="e">
        <f aca="false">xSPRDOPT((VLOOKUP(G560,NGPREVPRICES,2,FALSE())+HLOOKUP(D560,PREVCURVES,VLOOKUP(G560,MOVE_DOWN2,2,FALSE()),FALSE())),VLOOKUP(G560,NGPREVPRICES,2,FALSE()),CK560,VLOOKUP(G560,NGPrices,4,FALSE()),HLOOKUP(D560,PREVVOLS,VLOOKUP(G560,MOVE_DOWN2,2,FALSE()),FALSE()),VLOOKUP(G560,NGPREVPRICES,3,FALSE()),HLOOKUP(D560,Correllate,VLOOKUP(G560,CorMove,2,FALSE()),FALSE()),Q560-$CD$3,R560,$CJ$5)*H560-CJ560</f>
        <v>#NAME?</v>
      </c>
      <c r="CF560" s="132" t="e">
        <f aca="false">(CJ560/VLOOKUP(CC560,discount,3,FALSE()))-(CJ560/VLOOKUP(CC560,discount,2,FALSE()))</f>
        <v>#NAME?</v>
      </c>
      <c r="CG560" s="253" t="e">
        <f aca="false">xSPRDOPT((VLOOKUP(G560,NGPREVPRICES,2,FALSE())+HLOOKUP(D560,PREVCURVES,VLOOKUP(G560,MOVE_DOWN2,2,FALSE()),FALSE())),VLOOKUP(G560,NGPREVPRICES,2,FALSE()),CK560,VLOOKUP(G560,NGPREVPRICES,4,FALSE()),HLOOKUP(D560,VOLS,VLOOKUP(G560,move_down,2,FALSE()),FALSE()),VLOOKUP(G560,NGPrices,3,FALSE()),HLOOKUP(D560,Correllate,VLOOKUP(G560,CorMove,2,FALSE()),FALSE()),Q560-$CD$3,R560,$CJ$5)*H560-CJ560</f>
        <v>#NAME?</v>
      </c>
      <c r="CH560" s="253" t="e">
        <f aca="false">xSPRDOPT((VLOOKUP(G560,NGPREVPRICES,2,FALSE())+HLOOKUP(D560,PREVCURVES,VLOOKUP(G560,MOVE_DOWN2,2,FALSE()),FALSE())),VLOOKUP(G560,NGPREVPRICES,2,FALSE()),CK560,VLOOKUP(G560,NGPREVPRICES,4,FALSE()),HLOOKUP(D560,PREVVOLS,VLOOKUP(G560,MOVE_DOWN2,2,FALSE()),FALSE()),VLOOKUP(G560,NGPREVPRICES,3,FALSE()),HLOOKUP(D560,Correllate,VLOOKUP(G560,CorMove,2,FALSE()),FALSE()),Q560-$C$3,R560,$CJ$5)*H560-CJ560</f>
        <v>#NAME?</v>
      </c>
      <c r="CI560" s="253" t="e">
        <f aca="false">SUM(CD560:CH560)</f>
        <v>#NAME?</v>
      </c>
      <c r="CJ560" s="253" t="e">
        <f aca="false">xSPRDOPT((VLOOKUP(G560,NGPREVPRICES,2,FALSE())+HLOOKUP(D560,PREVCURVES,VLOOKUP(G560,MOVE_DOWN2,2,FALSE()),FALSE())),VLOOKUP(G560,NGPREVPRICES,2,FALSE()),CK560,VLOOKUP(G560,NGPREVPRICES,4,FALSE()),HLOOKUP(D560,PREVVOLS,VLOOKUP(G560,MOVE_DOWN2,2,FALSE()),FALSE()),VLOOKUP(G560,NGPREVPRICES,3,FALSE()),HLOOKUP(D560,Correllate,VLOOKUP(G560,CorMove,2,FALSE()),FALSE()),Q560-$CD$3,R560,$CJ$5)*H560</f>
        <v>#NAME?</v>
      </c>
      <c r="CK560" s="254" t="n">
        <f aca="false">I560</f>
        <v>0.3</v>
      </c>
      <c r="CM560" s="0" t="str">
        <f aca="false">CONCATENATE(CC560,$CD$6)</f>
        <v>36892Curve Shift/Gamma</v>
      </c>
      <c r="CN560" s="0" t="str">
        <f aca="false">CONCATENATE($CC560,$CE$6)</f>
        <v>36892Rho</v>
      </c>
      <c r="CO560" s="0" t="str">
        <f aca="false">CONCATENATE($CC560,$CF$6)</f>
        <v>36892Drift</v>
      </c>
      <c r="CP560" s="0" t="str">
        <f aca="false">CONCATENATE($CC560,$CG$6)</f>
        <v>36892Vega</v>
      </c>
      <c r="CQ560" s="0" t="str">
        <f aca="false">CONCATENATE($CC560,$CH$6)</f>
        <v>36892Theta</v>
      </c>
    </row>
    <row r="561" customFormat="false" ht="12.75" hidden="false" customHeight="false" outlineLevel="0" collapsed="false">
      <c r="A561" s="17" t="s">
        <v>198</v>
      </c>
      <c r="B561" s="0" t="s">
        <v>192</v>
      </c>
      <c r="C561" s="0" t="s">
        <v>384</v>
      </c>
      <c r="D561" s="7" t="s">
        <v>137</v>
      </c>
      <c r="E561" s="0" t="s">
        <v>131</v>
      </c>
      <c r="F561" s="0" t="s">
        <v>136</v>
      </c>
      <c r="G561" s="92" t="n">
        <v>36861</v>
      </c>
      <c r="H561" s="248" t="n">
        <v>155000</v>
      </c>
      <c r="I561" s="0" t="n">
        <v>0.3</v>
      </c>
      <c r="J561" s="124" t="n">
        <f aca="false">VLOOKUP(G561,NGPrices,2,FALSE())</f>
        <v>4.8</v>
      </c>
      <c r="K561" s="125" t="n">
        <f aca="false">HLOOKUP(D561,Prices,VLOOKUP(G561,move_down,2,FALSE()),FALSE())+VLOOKUP(G561,CHANGE,HLOOKUP(D561,CHANGE,2,FALSE()),FALSE())</f>
        <v>1.005</v>
      </c>
      <c r="L561" s="124" t="n">
        <f aca="false">K561+J561</f>
        <v>5.805</v>
      </c>
      <c r="M561" s="126" t="n">
        <f aca="false">VLOOKUP(G561,NGPrices,4,FALSE())</f>
        <v>0.068314027999354</v>
      </c>
      <c r="N561" s="7" t="n">
        <f aca="false">VLOOKUP(G561,NGPrices,3,FALSE())</f>
        <v>0.6</v>
      </c>
      <c r="O561" s="7" t="n">
        <f aca="false">HLOOKUP(D561,VOLS,VLOOKUP(G561,move_down,2,FALSE()),FALSE())</f>
        <v>0.582</v>
      </c>
      <c r="P561" s="249" t="n">
        <f aca="false">HLOOKUP(D561,Correllate,VLOOKUP(G561,CorMove,2,FALSE()),FALSE())</f>
        <v>0.85</v>
      </c>
      <c r="Q561" s="92" t="n">
        <f aca="false">WORKDAY(G561,-2)</f>
        <v>36859</v>
      </c>
      <c r="R561" s="7" t="n">
        <f aca="false">IF(F561="P",0,1)</f>
        <v>1</v>
      </c>
      <c r="S561" s="130" t="e">
        <f aca="false">xSPRDOPT($L561,$J561,$I561,$M561,$O561,$N561,$P561,$Q561-$C$3,$R561,0)</f>
        <v>#NAME?</v>
      </c>
      <c r="T561" s="250" t="e">
        <f aca="false">xSPRDOPT($L561,$J561,$I561,$M561,$O561,$N561,$P561,$Q561-$C$3,$R561,1)*H561</f>
        <v>#NAME?</v>
      </c>
      <c r="U561" s="43" t="e">
        <f aca="false">S561*H561</f>
        <v>#NAME?</v>
      </c>
      <c r="V561" s="250" t="e">
        <f aca="false">xSPRDOPT($L561,$J561,$I561,$M561,$O561,$N561,$P561,$Q561-$C$3,$R561,2)*H561</f>
        <v>#NAME?</v>
      </c>
      <c r="W561" s="250" t="e">
        <f aca="false">+V561+T561</f>
        <v>#NAME?</v>
      </c>
      <c r="X561" s="2" t="str">
        <f aca="false">CONCATENATE(G561,D561)</f>
        <v>36861NGI-SOCAL</v>
      </c>
      <c r="Y561" s="251" t="n">
        <f aca="false">H561/10000</f>
        <v>15.5</v>
      </c>
      <c r="Z561" s="226" t="e">
        <f aca="false">T561/H561</f>
        <v>#NAME?</v>
      </c>
      <c r="AA561" s="226" t="e">
        <f aca="false">xSPRDOPT($L561,$J561,$I561,$M561,$O561,$N561,$P561,$Q561-$C$3,$R561,3)</f>
        <v>#NAME?</v>
      </c>
      <c r="AB561" s="226" t="e">
        <f aca="false">((xSPRDOPT($L561+AB$5,$J561,$I561,$M561,$O561,$N561,$P561,$Q561-$C$3,$R561,3)*$H561)/10000)/100</f>
        <v>#NAME?</v>
      </c>
      <c r="AC561" s="226" t="e">
        <f aca="false">((xSPRDOPT($L561+$AB$5,$J561,$I561,$M561,$O561,$N561,$P561,$Q561-$C$3,$R561,7)*$H561)/100)</f>
        <v>#NAME?</v>
      </c>
      <c r="AD561" s="226" t="e">
        <f aca="false">(xSPRDOPT($L561+$AB$5,$J561,$I561,$M561,$O561,$N561,$P561,$Q561-$C$3,$R561,9)/365)*$H561</f>
        <v>#NAME?</v>
      </c>
      <c r="AE561" s="0" t="e">
        <f aca="false">CD561</f>
        <v>#NAME?</v>
      </c>
      <c r="AF561" s="226" t="e">
        <f aca="false">((O561/N561)*AH561)+AG561</f>
        <v>#NAME?</v>
      </c>
      <c r="AG561" s="226" t="e">
        <f aca="false">((xSPRDOPT($L561,$J561,$I561,$M561,$O561,$N561,$P561,$Q561-$C$3,$R561,6)*$H561)/100)</f>
        <v>#NAME?</v>
      </c>
      <c r="AH561" s="226" t="e">
        <f aca="false">((xSPRDOPT($L561,$J561,$I561,$M561,$O561,$N561,$P561,$Q561-$C$3,$R561,5)*$H561)/100)</f>
        <v>#NAME?</v>
      </c>
      <c r="AI561" s="226" t="e">
        <f aca="false">(((xSPRDOPT($L561,$J561,$I561,$M561,$O561,$N561,$P561,$Q561-$C$3,$R561,4)*$H561)/10000)/100)-AB561</f>
        <v>#NAME?</v>
      </c>
      <c r="AJ561" s="226"/>
      <c r="AK561" s="226"/>
      <c r="AL561" s="226"/>
      <c r="CC561" s="182" t="n">
        <f aca="false">G561</f>
        <v>36861</v>
      </c>
      <c r="CD561" s="253" t="e">
        <f aca="false">xSPRDOPT((VLOOKUP(G561,NGPrices,2,FALSE())+HLOOKUP(D561,Prices,VLOOKUP(G561,move_down,2,FALSE()),FALSE())),VLOOKUP(G561,NGPrices,2,FALSE()),I561,VLOOKUP(G561,NGPREVPRICES,4,FALSE()),HLOOKUP(D561,PREVVOLS,VLOOKUP(G561,MOVE_DOWN2,2,FALSE()),FALSE()),VLOOKUP(G561,NGPREVPRICES,3,FALSE()),HLOOKUP(D561,Correllate,VLOOKUP(G561,CorMove,2,FALSE()),FALSE()),Q561-$CD$3,R561,$CD$5)*H561-CJ561</f>
        <v>#NAME?</v>
      </c>
      <c r="CE561" s="253" t="e">
        <f aca="false">xSPRDOPT((VLOOKUP(G561,NGPREVPRICES,2,FALSE())+HLOOKUP(D561,PREVCURVES,VLOOKUP(G561,MOVE_DOWN2,2,FALSE()),FALSE())),VLOOKUP(G561,NGPREVPRICES,2,FALSE()),CK561,VLOOKUP(G561,NGPrices,4,FALSE()),HLOOKUP(D561,PREVVOLS,VLOOKUP(G561,MOVE_DOWN2,2,FALSE()),FALSE()),VLOOKUP(G561,NGPREVPRICES,3,FALSE()),HLOOKUP(D561,Correllate,VLOOKUP(G561,CorMove,2,FALSE()),FALSE()),Q561-$CD$3,R561,$CJ$5)*H561-CJ561</f>
        <v>#NAME?</v>
      </c>
      <c r="CF561" s="132" t="e">
        <f aca="false">(CJ561/VLOOKUP(CC561,discount,3,FALSE()))-(CJ561/VLOOKUP(CC561,discount,2,FALSE()))</f>
        <v>#NAME?</v>
      </c>
      <c r="CG561" s="253" t="e">
        <f aca="false">xSPRDOPT((VLOOKUP(G561,NGPREVPRICES,2,FALSE())+HLOOKUP(D561,PREVCURVES,VLOOKUP(G561,MOVE_DOWN2,2,FALSE()),FALSE())),VLOOKUP(G561,NGPREVPRICES,2,FALSE()),CK561,VLOOKUP(G561,NGPREVPRICES,4,FALSE()),HLOOKUP(D561,VOLS,VLOOKUP(G561,move_down,2,FALSE()),FALSE()),VLOOKUP(G561,NGPrices,3,FALSE()),HLOOKUP(D561,Correllate,VLOOKUP(G561,CorMove,2,FALSE()),FALSE()),Q561-$CD$3,R561,$CJ$5)*H561-CJ561</f>
        <v>#NAME?</v>
      </c>
      <c r="CH561" s="253" t="e">
        <f aca="false">xSPRDOPT((VLOOKUP(G561,NGPREVPRICES,2,FALSE())+HLOOKUP(D561,PREVCURVES,VLOOKUP(G561,MOVE_DOWN2,2,FALSE()),FALSE())),VLOOKUP(G561,NGPREVPRICES,2,FALSE()),CK561,VLOOKUP(G561,NGPREVPRICES,4,FALSE()),HLOOKUP(D561,PREVVOLS,VLOOKUP(G561,MOVE_DOWN2,2,FALSE()),FALSE()),VLOOKUP(G561,NGPREVPRICES,3,FALSE()),HLOOKUP(D561,Correllate,VLOOKUP(G561,CorMove,2,FALSE()),FALSE()),Q561-$C$3,R561,$CJ$5)*H561-CJ561</f>
        <v>#NAME?</v>
      </c>
      <c r="CI561" s="253" t="e">
        <f aca="false">SUM(CD561:CH561)</f>
        <v>#NAME?</v>
      </c>
      <c r="CJ561" s="253" t="e">
        <f aca="false">xSPRDOPT((VLOOKUP(G561,NGPREVPRICES,2,FALSE())+HLOOKUP(D561,PREVCURVES,VLOOKUP(G561,MOVE_DOWN2,2,FALSE()),FALSE())),VLOOKUP(G561,NGPREVPRICES,2,FALSE()),CK561,VLOOKUP(G561,NGPREVPRICES,4,FALSE()),HLOOKUP(D561,PREVVOLS,VLOOKUP(G561,MOVE_DOWN2,2,FALSE()),FALSE()),VLOOKUP(G561,NGPREVPRICES,3,FALSE()),HLOOKUP(D561,Correllate,VLOOKUP(G561,CorMove,2,FALSE()),FALSE()),Q561-$CD$3,R561,$CJ$5)*H561</f>
        <v>#NAME?</v>
      </c>
      <c r="CK561" s="254" t="n">
        <f aca="false">I561</f>
        <v>0.3</v>
      </c>
      <c r="CM561" s="0" t="str">
        <f aca="false">CONCATENATE(CC561,$CD$6)</f>
        <v>36861Curve Shift/Gamma</v>
      </c>
      <c r="CN561" s="0" t="str">
        <f aca="false">CONCATENATE($CC561,$CE$6)</f>
        <v>36861Rho</v>
      </c>
      <c r="CO561" s="0" t="str">
        <f aca="false">CONCATENATE($CC561,$CF$6)</f>
        <v>36861Drift</v>
      </c>
      <c r="CP561" s="0" t="str">
        <f aca="false">CONCATENATE($CC561,$CG$6)</f>
        <v>36861Vega</v>
      </c>
      <c r="CQ561" s="0" t="str">
        <f aca="false">CONCATENATE($CC561,$CH$6)</f>
        <v>36861Theta</v>
      </c>
    </row>
    <row r="562" customFormat="false" ht="12.75" hidden="false" customHeight="false" outlineLevel="0" collapsed="false">
      <c r="A562" s="17" t="s">
        <v>198</v>
      </c>
      <c r="B562" s="0" t="s">
        <v>192</v>
      </c>
      <c r="C562" s="0" t="s">
        <v>384</v>
      </c>
      <c r="D562" s="7" t="s">
        <v>137</v>
      </c>
      <c r="E562" s="0" t="s">
        <v>131</v>
      </c>
      <c r="F562" s="0" t="s">
        <v>136</v>
      </c>
      <c r="G562" s="92" t="n">
        <v>36831</v>
      </c>
      <c r="H562" s="248" t="n">
        <v>150000</v>
      </c>
      <c r="I562" s="0" t="n">
        <v>0.3</v>
      </c>
      <c r="J562" s="124" t="n">
        <f aca="false">VLOOKUP(G562,NGPrices,2,FALSE())</f>
        <v>4.736</v>
      </c>
      <c r="K562" s="125" t="n">
        <f aca="false">HLOOKUP(D562,Prices,VLOOKUP(G562,move_down,2,FALSE()),FALSE())+VLOOKUP(G562,CHANGE,HLOOKUP(D562,CHANGE,2,FALSE()),FALSE())</f>
        <v>1.545</v>
      </c>
      <c r="L562" s="124" t="n">
        <f aca="false">K562+J562</f>
        <v>6.281</v>
      </c>
      <c r="M562" s="126" t="n">
        <f aca="false">VLOOKUP(G562,NGPrices,4,FALSE())</f>
        <v>0.06810675983792</v>
      </c>
      <c r="N562" s="7" t="n">
        <f aca="false">VLOOKUP(G562,NGPrices,3,FALSE())</f>
        <v>0.595</v>
      </c>
      <c r="O562" s="7" t="n">
        <f aca="false">HLOOKUP(D562,VOLS,VLOOKUP(G562,move_down,2,FALSE()),FALSE())</f>
        <v>0.577</v>
      </c>
      <c r="P562" s="249" t="n">
        <f aca="false">HLOOKUP(D562,Correllate,VLOOKUP(G562,CorMove,2,FALSE()),FALSE())</f>
        <v>0.85</v>
      </c>
      <c r="Q562" s="92" t="n">
        <f aca="false">WORKDAY(G562,-2)</f>
        <v>36829</v>
      </c>
      <c r="R562" s="7" t="n">
        <f aca="false">IF(F562="P",0,1)</f>
        <v>1</v>
      </c>
      <c r="S562" s="130" t="e">
        <f aca="false">xSPRDOPT($L562,$J562,$I562,$M562,$O562,$N562,$P562,$Q562-$C$3,$R562,0)</f>
        <v>#NAME?</v>
      </c>
      <c r="T562" s="250" t="e">
        <f aca="false">xSPRDOPT($L562,$J562,$I562,$M562,$O562,$N562,$P562,$Q562-$C$3,$R562,1)*H562</f>
        <v>#NAME?</v>
      </c>
      <c r="U562" s="43" t="e">
        <f aca="false">S562*H562</f>
        <v>#NAME?</v>
      </c>
      <c r="V562" s="250" t="e">
        <f aca="false">xSPRDOPT($L562,$J562,$I562,$M562,$O562,$N562,$P562,$Q562-$C$3,$R562,2)*H562</f>
        <v>#NAME?</v>
      </c>
      <c r="W562" s="250" t="e">
        <f aca="false">+V562+T562</f>
        <v>#NAME?</v>
      </c>
      <c r="X562" s="2" t="str">
        <f aca="false">CONCATENATE(G562,D562)</f>
        <v>36831NGI-SOCAL</v>
      </c>
      <c r="Y562" s="251" t="n">
        <f aca="false">H562/10000</f>
        <v>15</v>
      </c>
      <c r="Z562" s="226" t="e">
        <f aca="false">T562/H562</f>
        <v>#NAME?</v>
      </c>
      <c r="AA562" s="226" t="e">
        <f aca="false">xSPRDOPT($L562,$J562,$I562,$M562,$O562,$N562,$P562,$Q562-$C$3,$R562,3)</f>
        <v>#NAME?</v>
      </c>
      <c r="AB562" s="226" t="e">
        <f aca="false">((xSPRDOPT($L562+AB$5,$J562,$I562,$M562,$O562,$N562,$P562,$Q562-$C$3,$R562,3)*$H562)/10000)/100</f>
        <v>#NAME?</v>
      </c>
      <c r="AC562" s="226" t="e">
        <f aca="false">((xSPRDOPT($L562+$AB$5,$J562,$I562,$M562,$O562,$N562,$P562,$Q562-$C$3,$R562,7)*$H562)/100)</f>
        <v>#NAME?</v>
      </c>
      <c r="AD562" s="226" t="e">
        <f aca="false">(xSPRDOPT($L562+$AB$5,$J562,$I562,$M562,$O562,$N562,$P562,$Q562-$C$3,$R562,9)/365)*$H562</f>
        <v>#NAME?</v>
      </c>
      <c r="AE562" s="0" t="e">
        <f aca="false">CD562</f>
        <v>#NAME?</v>
      </c>
      <c r="AF562" s="226" t="e">
        <f aca="false">((O562/N562)*AH562)+AG562</f>
        <v>#NAME?</v>
      </c>
      <c r="AG562" s="226" t="e">
        <f aca="false">((xSPRDOPT($L562,$J562,$I562,$M562,$O562,$N562,$P562,$Q562-$C$3,$R562,6)*$H562)/100)</f>
        <v>#NAME?</v>
      </c>
      <c r="AH562" s="226" t="e">
        <f aca="false">((xSPRDOPT($L562,$J562,$I562,$M562,$O562,$N562,$P562,$Q562-$C$3,$R562,5)*$H562)/100)</f>
        <v>#NAME?</v>
      </c>
      <c r="AI562" s="226" t="e">
        <f aca="false">(((xSPRDOPT($L562,$J562,$I562,$M562,$O562,$N562,$P562,$Q562-$C$3,$R562,4)*$H562)/10000)/100)-AB562</f>
        <v>#NAME?</v>
      </c>
      <c r="AJ562" s="226"/>
      <c r="AK562" s="226"/>
      <c r="AL562" s="226"/>
      <c r="CC562" s="182" t="n">
        <f aca="false">G562</f>
        <v>36831</v>
      </c>
      <c r="CD562" s="253" t="e">
        <f aca="false">xSPRDOPT((VLOOKUP(G562,NGPrices,2,FALSE())+HLOOKUP(D562,Prices,VLOOKUP(G562,move_down,2,FALSE()),FALSE())),VLOOKUP(G562,NGPrices,2,FALSE()),I562,VLOOKUP(G562,NGPREVPRICES,4,FALSE()),HLOOKUP(D562,PREVVOLS,VLOOKUP(G562,MOVE_DOWN2,2,FALSE()),FALSE()),VLOOKUP(G562,NGPREVPRICES,3,FALSE()),HLOOKUP(D562,Correllate,VLOOKUP(G562,CorMove,2,FALSE()),FALSE()),Q562-$CD$3,R562,$CD$5)*H562-CJ562</f>
        <v>#NAME?</v>
      </c>
      <c r="CE562" s="253" t="e">
        <f aca="false">xSPRDOPT((VLOOKUP(G562,NGPREVPRICES,2,FALSE())+HLOOKUP(D562,PREVCURVES,VLOOKUP(G562,MOVE_DOWN2,2,FALSE()),FALSE())),VLOOKUP(G562,NGPREVPRICES,2,FALSE()),CK562,VLOOKUP(G562,NGPrices,4,FALSE()),HLOOKUP(D562,PREVVOLS,VLOOKUP(G562,MOVE_DOWN2,2,FALSE()),FALSE()),VLOOKUP(G562,NGPREVPRICES,3,FALSE()),HLOOKUP(D562,Correllate,VLOOKUP(G562,CorMove,2,FALSE()),FALSE()),Q562-$CD$3,R562,$CJ$5)*H562-CJ562</f>
        <v>#NAME?</v>
      </c>
      <c r="CF562" s="132" t="e">
        <f aca="false">(CJ562/VLOOKUP(CC562,discount,3,FALSE()))-(CJ562/VLOOKUP(CC562,discount,2,FALSE()))</f>
        <v>#NAME?</v>
      </c>
      <c r="CG562" s="253" t="e">
        <f aca="false">xSPRDOPT((VLOOKUP(G562,NGPREVPRICES,2,FALSE())+HLOOKUP(D562,PREVCURVES,VLOOKUP(G562,MOVE_DOWN2,2,FALSE()),FALSE())),VLOOKUP(G562,NGPREVPRICES,2,FALSE()),CK562,VLOOKUP(G562,NGPREVPRICES,4,FALSE()),HLOOKUP(D562,VOLS,VLOOKUP(G562,move_down,2,FALSE()),FALSE()),VLOOKUP(G562,NGPrices,3,FALSE()),HLOOKUP(D562,Correllate,VLOOKUP(G562,CorMove,2,FALSE()),FALSE()),Q562-$CD$3,R562,$CJ$5)*H562-CJ562</f>
        <v>#NAME?</v>
      </c>
      <c r="CH562" s="253" t="e">
        <f aca="false">xSPRDOPT((VLOOKUP(G562,NGPREVPRICES,2,FALSE())+HLOOKUP(D562,PREVCURVES,VLOOKUP(G562,MOVE_DOWN2,2,FALSE()),FALSE())),VLOOKUP(G562,NGPREVPRICES,2,FALSE()),CK562,VLOOKUP(G562,NGPREVPRICES,4,FALSE()),HLOOKUP(D562,PREVVOLS,VLOOKUP(G562,MOVE_DOWN2,2,FALSE()),FALSE()),VLOOKUP(G562,NGPREVPRICES,3,FALSE()),HLOOKUP(D562,Correllate,VLOOKUP(G562,CorMove,2,FALSE()),FALSE()),Q562-$C$3,R562,$CJ$5)*H562-CJ562</f>
        <v>#NAME?</v>
      </c>
      <c r="CI562" s="253" t="e">
        <f aca="false">SUM(CD562:CH562)</f>
        <v>#NAME?</v>
      </c>
      <c r="CJ562" s="253" t="e">
        <f aca="false">xSPRDOPT((VLOOKUP(G562,NGPREVPRICES,2,FALSE())+HLOOKUP(D562,PREVCURVES,VLOOKUP(G562,MOVE_DOWN2,2,FALSE()),FALSE())),VLOOKUP(G562,NGPREVPRICES,2,FALSE()),CK562,VLOOKUP(G562,NGPREVPRICES,4,FALSE()),HLOOKUP(D562,PREVVOLS,VLOOKUP(G562,MOVE_DOWN2,2,FALSE()),FALSE()),VLOOKUP(G562,NGPREVPRICES,3,FALSE()),HLOOKUP(D562,Correllate,VLOOKUP(G562,CorMove,2,FALSE()),FALSE()),Q562-$CD$3,R562,$CJ$5)*H562</f>
        <v>#NAME?</v>
      </c>
      <c r="CK562" s="254" t="n">
        <f aca="false">I562</f>
        <v>0.3</v>
      </c>
      <c r="CM562" s="0" t="str">
        <f aca="false">CONCATENATE(CC562,$CD$6)</f>
        <v>36831Curve Shift/Gamma</v>
      </c>
      <c r="CN562" s="0" t="str">
        <f aca="false">CONCATENATE($CC562,$CE$6)</f>
        <v>36831Rho</v>
      </c>
      <c r="CO562" s="0" t="str">
        <f aca="false">CONCATENATE($CC562,$CF$6)</f>
        <v>36831Drift</v>
      </c>
      <c r="CP562" s="0" t="str">
        <f aca="false">CONCATENATE($CC562,$CG$6)</f>
        <v>36831Vega</v>
      </c>
      <c r="CQ562" s="0" t="str">
        <f aca="false">CONCATENATE($CC562,$CH$6)</f>
        <v>36831Theta</v>
      </c>
    </row>
    <row r="563" customFormat="false" ht="12.75" hidden="false" customHeight="false" outlineLevel="0" collapsed="false">
      <c r="A563" s="17" t="s">
        <v>275</v>
      </c>
      <c r="B563" s="0" t="s">
        <v>192</v>
      </c>
      <c r="C563" s="0" t="s">
        <v>385</v>
      </c>
      <c r="D563" s="7" t="s">
        <v>137</v>
      </c>
      <c r="E563" s="0" t="s">
        <v>131</v>
      </c>
      <c r="F563" s="0" t="s">
        <v>136</v>
      </c>
      <c r="G563" s="92" t="n">
        <v>36800</v>
      </c>
      <c r="H563" s="248" t="n">
        <v>620000</v>
      </c>
      <c r="I563" s="0" t="n">
        <v>0.85</v>
      </c>
      <c r="J563" s="124" t="n">
        <f aca="false">VLOOKUP(G563,NGPrices,2,FALSE())</f>
        <v>4.692</v>
      </c>
      <c r="K563" s="125" t="n">
        <f aca="false">HLOOKUP(D563,Prices,VLOOKUP(G563,move_down,2,FALSE()),FALSE())+VLOOKUP(G563,CHANGE,HLOOKUP(D563,CHANGE,2,FALSE()),FALSE())</f>
        <v>1.99</v>
      </c>
      <c r="L563" s="124" t="n">
        <f aca="false">K563+J563</f>
        <v>6.682</v>
      </c>
      <c r="M563" s="126" t="n">
        <f aca="false">VLOOKUP(G563,NGPrices,4,FALSE())</f>
        <v>0.068050789414654</v>
      </c>
      <c r="N563" s="7" t="n">
        <f aca="false">VLOOKUP(G563,NGPrices,3,FALSE())</f>
        <v>0.575</v>
      </c>
      <c r="O563" s="7" t="n">
        <f aca="false">HLOOKUP(D563,VOLS,VLOOKUP(G563,move_down,2,FALSE()),FALSE())</f>
        <v>0.541</v>
      </c>
      <c r="P563" s="249" t="n">
        <f aca="false">HLOOKUP(D563,Correllate,VLOOKUP(G563,CorMove,2,FALSE()),FALSE())</f>
        <v>0.83</v>
      </c>
      <c r="Q563" s="92" t="n">
        <f aca="false">WORKDAY(G563,-2)</f>
        <v>36797</v>
      </c>
      <c r="R563" s="7" t="n">
        <f aca="false">IF(F563="P",0,1)</f>
        <v>1</v>
      </c>
      <c r="S563" s="130" t="e">
        <f aca="false">xSPRDOPT($L563,$J563,$I563,$M563,$O563,$N563,$P563,$Q563-$C$3,$R563,0)</f>
        <v>#NAME?</v>
      </c>
      <c r="T563" s="250" t="e">
        <f aca="false">xSPRDOPT($L563,$J563,$I563,$M563,$O563,$N563,$P563,$Q563-$C$3,$R563,1)*H563</f>
        <v>#NAME?</v>
      </c>
      <c r="U563" s="43" t="e">
        <f aca="false">S563*H563</f>
        <v>#NAME?</v>
      </c>
      <c r="V563" s="250" t="e">
        <f aca="false">xSPRDOPT($L563,$J563,$I563,$M563,$O563,$N563,$P563,$Q563-$C$3,$R563,2)*H563</f>
        <v>#NAME?</v>
      </c>
      <c r="W563" s="250" t="e">
        <f aca="false">+V563+T563</f>
        <v>#NAME?</v>
      </c>
      <c r="X563" s="2" t="str">
        <f aca="false">CONCATENATE(G563,D563)</f>
        <v>36800NGI-SOCAL</v>
      </c>
      <c r="Y563" s="251" t="n">
        <f aca="false">H563/10000</f>
        <v>62</v>
      </c>
      <c r="Z563" s="226" t="e">
        <f aca="false">T563/H563</f>
        <v>#NAME?</v>
      </c>
      <c r="AA563" s="226" t="e">
        <f aca="false">xSPRDOPT($L563,$J563,$I563,$M563,$O563,$N563,$P563,$Q563-$C$3,$R563,3)</f>
        <v>#NAME?</v>
      </c>
      <c r="AB563" s="226" t="e">
        <f aca="false">((xSPRDOPT($L563+AB$5,$J563,$I563,$M563,$O563,$N563,$P563,$Q563-$C$3,$R563,3)*$H563)/10000)/100</f>
        <v>#NAME?</v>
      </c>
      <c r="AC563" s="226" t="e">
        <f aca="false">((xSPRDOPT($L563+$AB$5,$J563,$I563,$M563,$O563,$N563,$P563,$Q563-$C$3,$R563,7)*$H563)/100)</f>
        <v>#NAME?</v>
      </c>
      <c r="AD563" s="226" t="e">
        <f aca="false">(xSPRDOPT($L563+$AB$5,$J563,$I563,$M563,$O563,$N563,$P563,$Q563-$C$3,$R563,9)/365)*$H563</f>
        <v>#NAME?</v>
      </c>
      <c r="AE563" s="0" t="e">
        <f aca="false">CD563</f>
        <v>#NAME?</v>
      </c>
      <c r="AF563" s="226" t="e">
        <f aca="false">((O563/N563)*AH563)+AG563</f>
        <v>#NAME?</v>
      </c>
      <c r="AG563" s="226" t="e">
        <f aca="false">((xSPRDOPT($L563,$J563,$I563,$M563,$O563,$N563,$P563,$Q563-$C$3,$R563,6)*$H563)/100)</f>
        <v>#NAME?</v>
      </c>
      <c r="AH563" s="226" t="e">
        <f aca="false">((xSPRDOPT($L563,$J563,$I563,$M563,$O563,$N563,$P563,$Q563-$C$3,$R563,5)*$H563)/100)</f>
        <v>#NAME?</v>
      </c>
      <c r="AI563" s="226" t="e">
        <f aca="false">(((xSPRDOPT($L563,$J563,$I563,$M563,$O563,$N563,$P563,$Q563-$C$3,$R563,4)*$H563)/10000)/100)-AB563</f>
        <v>#NAME?</v>
      </c>
      <c r="AJ563" s="226"/>
      <c r="AK563" s="226"/>
      <c r="AL563" s="226"/>
      <c r="CC563" s="182" t="n">
        <f aca="false">G563</f>
        <v>36800</v>
      </c>
      <c r="CD563" s="253" t="e">
        <f aca="false">xSPRDOPT((VLOOKUP(G563,NGPrices,2,FALSE())+HLOOKUP(D563,Prices,VLOOKUP(G563,move_down,2,FALSE()),FALSE())),VLOOKUP(G563,NGPrices,2,FALSE()),I563,VLOOKUP(G563,NGPREVPRICES,4,FALSE()),HLOOKUP(D563,PREVVOLS,VLOOKUP(G563,MOVE_DOWN2,2,FALSE()),FALSE()),VLOOKUP(G563,NGPREVPRICES,3,FALSE()),HLOOKUP(D563,Correllate,VLOOKUP(G563,CorMove,2,FALSE()),FALSE()),Q563-$CD$3,R563,$CD$5)*H563-CJ563</f>
        <v>#NAME?</v>
      </c>
      <c r="CE563" s="253" t="e">
        <f aca="false">xSPRDOPT((VLOOKUP(G563,NGPREVPRICES,2,FALSE())+HLOOKUP(D563,PREVCURVES,VLOOKUP(G563,MOVE_DOWN2,2,FALSE()),FALSE())),VLOOKUP(G563,NGPREVPRICES,2,FALSE()),CK563,VLOOKUP(G563,NGPrices,4,FALSE()),HLOOKUP(D563,PREVVOLS,VLOOKUP(G563,MOVE_DOWN2,2,FALSE()),FALSE()),VLOOKUP(G563,NGPREVPRICES,3,FALSE()),HLOOKUP(D563,Correllate,VLOOKUP(G563,CorMove,2,FALSE()),FALSE()),Q563-$CD$3,R563,$CJ$5)*H563-CJ563</f>
        <v>#NAME?</v>
      </c>
      <c r="CF563" s="132" t="e">
        <f aca="false">(CJ563/VLOOKUP(CC563,discount,3,FALSE()))-(CJ563/VLOOKUP(CC563,discount,2,FALSE()))</f>
        <v>#NAME?</v>
      </c>
      <c r="CG563" s="253" t="e">
        <f aca="false">xSPRDOPT((VLOOKUP(G563,NGPREVPRICES,2,FALSE())+HLOOKUP(D563,PREVCURVES,VLOOKUP(G563,MOVE_DOWN2,2,FALSE()),FALSE())),VLOOKUP(G563,NGPREVPRICES,2,FALSE()),CK563,VLOOKUP(G563,NGPREVPRICES,4,FALSE()),HLOOKUP(D563,VOLS,VLOOKUP(G563,move_down,2,FALSE()),FALSE()),VLOOKUP(G563,NGPrices,3,FALSE()),HLOOKUP(D563,Correllate,VLOOKUP(G563,CorMove,2,FALSE()),FALSE()),Q563-$CD$3,R563,$CJ$5)*H563-CJ563</f>
        <v>#NAME?</v>
      </c>
      <c r="CH563" s="253" t="e">
        <f aca="false">xSPRDOPT((VLOOKUP(G563,NGPREVPRICES,2,FALSE())+HLOOKUP(D563,PREVCURVES,VLOOKUP(G563,MOVE_DOWN2,2,FALSE()),FALSE())),VLOOKUP(G563,NGPREVPRICES,2,FALSE()),CK563,VLOOKUP(G563,NGPREVPRICES,4,FALSE()),HLOOKUP(D563,PREVVOLS,VLOOKUP(G563,MOVE_DOWN2,2,FALSE()),FALSE()),VLOOKUP(G563,NGPREVPRICES,3,FALSE()),HLOOKUP(D563,Correllate,VLOOKUP(G563,CorMove,2,FALSE()),FALSE()),Q563-$C$3,R563,$CJ$5)*H563-CJ563</f>
        <v>#NAME?</v>
      </c>
      <c r="CI563" s="253" t="e">
        <f aca="false">SUM(CD563:CH563)</f>
        <v>#NAME?</v>
      </c>
      <c r="CJ563" s="253" t="e">
        <f aca="false">xSPRDOPT((VLOOKUP(G563,NGPREVPRICES,2,FALSE())+HLOOKUP(D563,PREVCURVES,VLOOKUP(G563,MOVE_DOWN2,2,FALSE()),FALSE())),VLOOKUP(G563,NGPREVPRICES,2,FALSE()),CK563,VLOOKUP(G563,NGPREVPRICES,4,FALSE()),HLOOKUP(D563,PREVVOLS,VLOOKUP(G563,MOVE_DOWN2,2,FALSE()),FALSE()),VLOOKUP(G563,NGPREVPRICES,3,FALSE()),HLOOKUP(D563,Correllate,VLOOKUP(G563,CorMove,2,FALSE()),FALSE()),Q563-$CD$3,R563,$CJ$5)*H563</f>
        <v>#NAME?</v>
      </c>
      <c r="CK563" s="254" t="n">
        <f aca="false">I563</f>
        <v>0.85</v>
      </c>
      <c r="CM563" s="0" t="str">
        <f aca="false">CONCATENATE(CC563,$CD$6)</f>
        <v>36800Curve Shift/Gamma</v>
      </c>
      <c r="CN563" s="0" t="str">
        <f aca="false">CONCATENATE($CC563,$CE$6)</f>
        <v>36800Rho</v>
      </c>
      <c r="CO563" s="0" t="str">
        <f aca="false">CONCATENATE($CC563,$CF$6)</f>
        <v>36800Drift</v>
      </c>
      <c r="CP563" s="0" t="str">
        <f aca="false">CONCATENATE($CC563,$CG$6)</f>
        <v>36800Vega</v>
      </c>
      <c r="CQ563" s="0" t="str">
        <f aca="false">CONCATENATE($CC563,$CH$6)</f>
        <v>36800Theta</v>
      </c>
    </row>
    <row r="564" customFormat="false" ht="12.75" hidden="false" customHeight="false" outlineLevel="0" collapsed="false">
      <c r="A564" s="17" t="s">
        <v>275</v>
      </c>
      <c r="B564" s="0" t="s">
        <v>192</v>
      </c>
      <c r="C564" s="0" t="s">
        <v>385</v>
      </c>
      <c r="D564" s="7" t="s">
        <v>137</v>
      </c>
      <c r="E564" s="0" t="s">
        <v>131</v>
      </c>
      <c r="F564" s="0" t="s">
        <v>136</v>
      </c>
      <c r="G564" s="92" t="n">
        <v>36770</v>
      </c>
      <c r="H564" s="248" t="n">
        <v>600000</v>
      </c>
      <c r="I564" s="0" t="n">
        <v>0.85</v>
      </c>
      <c r="J564" s="124" t="n">
        <f aca="false">VLOOKUP(G564,NGPrices,2,FALSE())</f>
        <v>4.685</v>
      </c>
      <c r="K564" s="125" t="n">
        <f aca="false">HLOOKUP(D564,Prices,VLOOKUP(G564,move_down,2,FALSE()),FALSE())+VLOOKUP(G564,CHANGE,HLOOKUP(D564,CHANGE,2,FALSE()),FALSE())</f>
        <v>2.5</v>
      </c>
      <c r="L564" s="124" t="n">
        <f aca="false">K564+J564</f>
        <v>7.185</v>
      </c>
      <c r="M564" s="126" t="n">
        <f aca="false">VLOOKUP(G564,NGPrices,4,FALSE())</f>
        <v>0.067216196212185</v>
      </c>
      <c r="N564" s="7" t="n">
        <f aca="false">VLOOKUP(G564,NGPrices,3,FALSE())</f>
        <v>0.4</v>
      </c>
      <c r="O564" s="7" t="n">
        <f aca="false">HLOOKUP(D564,VOLS,VLOOKUP(G564,move_down,2,FALSE()),FALSE())</f>
        <v>0.376</v>
      </c>
      <c r="P564" s="249" t="n">
        <f aca="false">HLOOKUP(D564,Correllate,VLOOKUP(G564,CorMove,2,FALSE()),FALSE())</f>
        <v>0.83</v>
      </c>
      <c r="Q564" s="92" t="n">
        <f aca="false">WORKDAY(G564,-2)</f>
        <v>36768</v>
      </c>
      <c r="R564" s="7" t="n">
        <f aca="false">IF(F564="P",0,1)</f>
        <v>1</v>
      </c>
      <c r="S564" s="130" t="e">
        <f aca="false">xSPRDOPT($L564,$J564,$I564,$M564,$O564,$N564,$P564,$Q564-$C$3,$R564,0)</f>
        <v>#NAME?</v>
      </c>
      <c r="T564" s="250" t="e">
        <f aca="false">xSPRDOPT($L564,$J564,$I564,$M564,$O564,$N564,$P564,$Q564-$C$3,$R564,1)*H564</f>
        <v>#NAME?</v>
      </c>
      <c r="U564" s="43" t="e">
        <f aca="false">S564*H564</f>
        <v>#NAME?</v>
      </c>
      <c r="V564" s="250" t="e">
        <f aca="false">xSPRDOPT($L564,$J564,$I564,$M564,$O564,$N564,$P564,$Q564-$C$3,$R564,2)*H564</f>
        <v>#NAME?</v>
      </c>
      <c r="W564" s="250" t="e">
        <f aca="false">+V564+T564</f>
        <v>#NAME?</v>
      </c>
      <c r="X564" s="2" t="str">
        <f aca="false">CONCATENATE(G564,D564)</f>
        <v>36770NGI-SOCAL</v>
      </c>
      <c r="Y564" s="251" t="n">
        <f aca="false">H564/10000</f>
        <v>60</v>
      </c>
      <c r="Z564" s="226" t="e">
        <f aca="false">T564/H564</f>
        <v>#NAME?</v>
      </c>
      <c r="AA564" s="226" t="e">
        <f aca="false">xSPRDOPT($L564,$J564,$I564,$M564,$O564,$N564,$P564,$Q564-$C$3,$R564,3)</f>
        <v>#NAME?</v>
      </c>
      <c r="AB564" s="226" t="e">
        <f aca="false">((xSPRDOPT($L564+AB$5,$J564,$I564,$M564,$O564,$N564,$P564,$Q564-$C$3,$R564,3)*$H564)/10000)/100</f>
        <v>#NAME?</v>
      </c>
      <c r="AC564" s="226" t="e">
        <f aca="false">((xSPRDOPT($L564+$AB$5,$J564,$I564,$M564,$O564,$N564,$P564,$Q564-$C$3,$R564,7)*$H564)/100)</f>
        <v>#NAME?</v>
      </c>
      <c r="AD564" s="226" t="e">
        <f aca="false">(xSPRDOPT($L564+$AB$5,$J564,$I564,$M564,$O564,$N564,$P564,$Q564-$C$3,$R564,9)/365)*$H564</f>
        <v>#NAME?</v>
      </c>
      <c r="AE564" s="0" t="e">
        <f aca="false">CD564</f>
        <v>#NAME?</v>
      </c>
      <c r="AF564" s="226" t="e">
        <f aca="false">((O564/N564)*AH564)+AG564</f>
        <v>#NAME?</v>
      </c>
      <c r="AG564" s="226" t="e">
        <f aca="false">((xSPRDOPT($L564,$J564,$I564,$M564,$O564,$N564,$P564,$Q564-$C$3,$R564,6)*$H564)/100)</f>
        <v>#NAME?</v>
      </c>
      <c r="AH564" s="226" t="e">
        <f aca="false">((xSPRDOPT($L564,$J564,$I564,$M564,$O564,$N564,$P564,$Q564-$C$3,$R564,5)*$H564)/100)</f>
        <v>#NAME?</v>
      </c>
      <c r="AI564" s="226" t="e">
        <f aca="false">(((xSPRDOPT($L564,$J564,$I564,$M564,$O564,$N564,$P564,$Q564-$C$3,$R564,4)*$H564)/10000)/100)-AB564</f>
        <v>#NAME?</v>
      </c>
      <c r="AJ564" s="226"/>
      <c r="AK564" s="226"/>
      <c r="AL564" s="226"/>
      <c r="CC564" s="182" t="n">
        <f aca="false">G564</f>
        <v>36770</v>
      </c>
      <c r="CD564" s="253" t="e">
        <f aca="false">xSPRDOPT((VLOOKUP(G564,NGPrices,2,FALSE())+HLOOKUP(D564,Prices,VLOOKUP(G564,move_down,2,FALSE()),FALSE())),VLOOKUP(G564,NGPrices,2,FALSE()),I564,VLOOKUP(G564,NGPREVPRICES,4,FALSE()),HLOOKUP(D564,PREVVOLS,VLOOKUP(G564,MOVE_DOWN2,2,FALSE()),FALSE()),VLOOKUP(G564,NGPREVPRICES,3,FALSE()),HLOOKUP(D564,Correllate,VLOOKUP(G564,CorMove,2,FALSE()),FALSE()),Q564-$CD$3,R564,$CD$5)*H564-CJ564</f>
        <v>#NAME?</v>
      </c>
      <c r="CE564" s="253" t="e">
        <f aca="false">xSPRDOPT((VLOOKUP(G564,NGPREVPRICES,2,FALSE())+HLOOKUP(D564,PREVCURVES,VLOOKUP(G564,MOVE_DOWN2,2,FALSE()),FALSE())),VLOOKUP(G564,NGPREVPRICES,2,FALSE()),CK564,VLOOKUP(G564,NGPrices,4,FALSE()),HLOOKUP(D564,PREVVOLS,VLOOKUP(G564,MOVE_DOWN2,2,FALSE()),FALSE()),VLOOKUP(G564,NGPREVPRICES,3,FALSE()),HLOOKUP(D564,Correllate,VLOOKUP(G564,CorMove,2,FALSE()),FALSE()),Q564-$CD$3,R564,$CJ$5)*H564-CJ564</f>
        <v>#NAME?</v>
      </c>
      <c r="CF564" s="132" t="e">
        <f aca="false">(CJ564/VLOOKUP(CC564,discount,3,FALSE()))-(CJ564/VLOOKUP(CC564,discount,2,FALSE()))</f>
        <v>#NAME?</v>
      </c>
      <c r="CG564" s="253" t="e">
        <f aca="false">xSPRDOPT((VLOOKUP(G564,NGPREVPRICES,2,FALSE())+HLOOKUP(D564,PREVCURVES,VLOOKUP(G564,MOVE_DOWN2,2,FALSE()),FALSE())),VLOOKUP(G564,NGPREVPRICES,2,FALSE()),CK564,VLOOKUP(G564,NGPREVPRICES,4,FALSE()),HLOOKUP(D564,VOLS,VLOOKUP(G564,move_down,2,FALSE()),FALSE()),VLOOKUP(G564,NGPrices,3,FALSE()),HLOOKUP(D564,Correllate,VLOOKUP(G564,CorMove,2,FALSE()),FALSE()),Q564-$CD$3,R564,$CJ$5)*H564-CJ564</f>
        <v>#NAME?</v>
      </c>
      <c r="CH564" s="253" t="e">
        <f aca="false">xSPRDOPT((VLOOKUP(G564,NGPREVPRICES,2,FALSE())+HLOOKUP(D564,PREVCURVES,VLOOKUP(G564,MOVE_DOWN2,2,FALSE()),FALSE())),VLOOKUP(G564,NGPREVPRICES,2,FALSE()),CK564,VLOOKUP(G564,NGPREVPRICES,4,FALSE()),HLOOKUP(D564,PREVVOLS,VLOOKUP(G564,MOVE_DOWN2,2,FALSE()),FALSE()),VLOOKUP(G564,NGPREVPRICES,3,FALSE()),HLOOKUP(D564,Correllate,VLOOKUP(G564,CorMove,2,FALSE()),FALSE()),Q564-$C$3,R564,$CJ$5)*H564-CJ564</f>
        <v>#NAME?</v>
      </c>
      <c r="CI564" s="253" t="e">
        <f aca="false">SUM(CD564:CH564)</f>
        <v>#NAME?</v>
      </c>
      <c r="CJ564" s="253" t="e">
        <f aca="false">xSPRDOPT((VLOOKUP(G564,NGPREVPRICES,2,FALSE())+HLOOKUP(D564,PREVCURVES,VLOOKUP(G564,MOVE_DOWN2,2,FALSE()),FALSE())),VLOOKUP(G564,NGPREVPRICES,2,FALSE()),CK564,VLOOKUP(G564,NGPREVPRICES,4,FALSE()),HLOOKUP(D564,PREVVOLS,VLOOKUP(G564,MOVE_DOWN2,2,FALSE()),FALSE()),VLOOKUP(G564,NGPREVPRICES,3,FALSE()),HLOOKUP(D564,Correllate,VLOOKUP(G564,CorMove,2,FALSE()),FALSE()),Q564-$CD$3,R564,$CJ$5)*H564</f>
        <v>#NAME?</v>
      </c>
      <c r="CK564" s="254" t="n">
        <f aca="false">I564</f>
        <v>0.85</v>
      </c>
      <c r="CM564" s="0" t="str">
        <f aca="false">CONCATENATE(CC564,$CD$6)</f>
        <v>36770Curve Shift/Gamma</v>
      </c>
      <c r="CN564" s="0" t="str">
        <f aca="false">CONCATENATE($CC564,$CE$6)</f>
        <v>36770Rho</v>
      </c>
      <c r="CO564" s="0" t="str">
        <f aca="false">CONCATENATE($CC564,$CF$6)</f>
        <v>36770Drift</v>
      </c>
      <c r="CP564" s="0" t="str">
        <f aca="false">CONCATENATE($CC564,$CG$6)</f>
        <v>36770Vega</v>
      </c>
      <c r="CQ564" s="0" t="str">
        <f aca="false">CONCATENATE($CC564,$CH$6)</f>
        <v>36770Theta</v>
      </c>
    </row>
    <row r="565" customFormat="false" ht="12.75" hidden="false" customHeight="false" outlineLevel="0" collapsed="false">
      <c r="A565" s="17" t="s">
        <v>275</v>
      </c>
      <c r="B565" s="0" t="s">
        <v>192</v>
      </c>
      <c r="C565" s="0" t="s">
        <v>386</v>
      </c>
      <c r="D565" s="7" t="s">
        <v>137</v>
      </c>
      <c r="E565" s="0" t="s">
        <v>131</v>
      </c>
      <c r="F565" s="0" t="s">
        <v>132</v>
      </c>
      <c r="G565" s="92" t="n">
        <v>36800</v>
      </c>
      <c r="H565" s="248" t="n">
        <v>-620000</v>
      </c>
      <c r="I565" s="0" t="n">
        <v>0.5</v>
      </c>
      <c r="J565" s="124" t="n">
        <f aca="false">VLOOKUP(G565,NGPrices,2,FALSE())</f>
        <v>4.692</v>
      </c>
      <c r="K565" s="125" t="n">
        <f aca="false">HLOOKUP(D565,Prices,VLOOKUP(G565,move_down,2,FALSE()),FALSE())+VLOOKUP(G565,CHANGE,HLOOKUP(D565,CHANGE,2,FALSE()),FALSE())</f>
        <v>1.99</v>
      </c>
      <c r="L565" s="124" t="n">
        <f aca="false">K565+J565</f>
        <v>6.682</v>
      </c>
      <c r="M565" s="126" t="n">
        <f aca="false">VLOOKUP(G565,NGPrices,4,FALSE())</f>
        <v>0.068050789414654</v>
      </c>
      <c r="N565" s="7" t="n">
        <f aca="false">VLOOKUP(G565,NGPrices,3,FALSE())</f>
        <v>0.575</v>
      </c>
      <c r="O565" s="7" t="n">
        <f aca="false">HLOOKUP(D565,VOLS,VLOOKUP(G565,move_down,2,FALSE()),FALSE())</f>
        <v>0.541</v>
      </c>
      <c r="P565" s="249" t="n">
        <f aca="false">HLOOKUP(D565,Correllate,VLOOKUP(G565,CorMove,2,FALSE()),FALSE())</f>
        <v>0.83</v>
      </c>
      <c r="Q565" s="92" t="n">
        <f aca="false">WORKDAY(G565,-2)</f>
        <v>36797</v>
      </c>
      <c r="R565" s="7" t="n">
        <f aca="false">IF(F565="P",0,1)</f>
        <v>0</v>
      </c>
      <c r="S565" s="130" t="e">
        <f aca="false">xSPRDOPT($L565,$J565,$I565,$M565,$O565,$N565,$P565,$Q565-$C$3,$R565,0)</f>
        <v>#NAME?</v>
      </c>
      <c r="T565" s="250" t="e">
        <f aca="false">xSPRDOPT($L565,$J565,$I565,$M565,$O565,$N565,$P565,$Q565-$C$3,$R565,1)*H565</f>
        <v>#NAME?</v>
      </c>
      <c r="U565" s="43" t="e">
        <f aca="false">S565*H565</f>
        <v>#NAME?</v>
      </c>
      <c r="V565" s="250" t="e">
        <f aca="false">xSPRDOPT($L565,$J565,$I565,$M565,$O565,$N565,$P565,$Q565-$C$3,$R565,2)*H565</f>
        <v>#NAME?</v>
      </c>
      <c r="W565" s="250" t="e">
        <f aca="false">+V565+T565</f>
        <v>#NAME?</v>
      </c>
      <c r="X565" s="2" t="str">
        <f aca="false">CONCATENATE(G565,D565)</f>
        <v>36800NGI-SOCAL</v>
      </c>
      <c r="Y565" s="251" t="n">
        <f aca="false">H565/10000</f>
        <v>-62</v>
      </c>
      <c r="Z565" s="226" t="e">
        <f aca="false">T565/H565</f>
        <v>#NAME?</v>
      </c>
      <c r="AA565" s="226" t="e">
        <f aca="false">xSPRDOPT($L565,$J565,$I565,$M565,$O565,$N565,$P565,$Q565-$C$3,$R565,3)</f>
        <v>#NAME?</v>
      </c>
      <c r="AB565" s="226" t="e">
        <f aca="false">((xSPRDOPT($L565+AB$5,$J565,$I565,$M565,$O565,$N565,$P565,$Q565-$C$3,$R565,3)*$H565)/10000)/100</f>
        <v>#NAME?</v>
      </c>
      <c r="AC565" s="226" t="e">
        <f aca="false">((xSPRDOPT($L565+$AB$5,$J565,$I565,$M565,$O565,$N565,$P565,$Q565-$C$3,$R565,7)*$H565)/100)</f>
        <v>#NAME?</v>
      </c>
      <c r="AD565" s="226" t="e">
        <f aca="false">(xSPRDOPT($L565+$AB$5,$J565,$I565,$M565,$O565,$N565,$P565,$Q565-$C$3,$R565,9)/365)*$H565</f>
        <v>#NAME?</v>
      </c>
      <c r="AE565" s="0" t="e">
        <f aca="false">CD565</f>
        <v>#NAME?</v>
      </c>
      <c r="AF565" s="226" t="e">
        <f aca="false">((O565/N565)*AH565)+AG565</f>
        <v>#NAME?</v>
      </c>
      <c r="AG565" s="226" t="e">
        <f aca="false">((xSPRDOPT($L565,$J565,$I565,$M565,$O565,$N565,$P565,$Q565-$C$3,$R565,6)*$H565)/100)</f>
        <v>#NAME?</v>
      </c>
      <c r="AH565" s="226" t="e">
        <f aca="false">((xSPRDOPT($L565,$J565,$I565,$M565,$O565,$N565,$P565,$Q565-$C$3,$R565,5)*$H565)/100)</f>
        <v>#NAME?</v>
      </c>
      <c r="AI565" s="226" t="e">
        <f aca="false">(((xSPRDOPT($L565,$J565,$I565,$M565,$O565,$N565,$P565,$Q565-$C$3,$R565,4)*$H565)/10000)/100)-AB565</f>
        <v>#NAME?</v>
      </c>
      <c r="AJ565" s="226"/>
      <c r="AK565" s="226"/>
      <c r="AL565" s="226"/>
      <c r="CC565" s="182" t="n">
        <f aca="false">G565</f>
        <v>36800</v>
      </c>
      <c r="CD565" s="253" t="e">
        <f aca="false">xSPRDOPT((VLOOKUP(G565,NGPrices,2,FALSE())+HLOOKUP(D565,Prices,VLOOKUP(G565,move_down,2,FALSE()),FALSE())),VLOOKUP(G565,NGPrices,2,FALSE()),I565,VLOOKUP(G565,NGPREVPRICES,4,FALSE()),HLOOKUP(D565,PREVVOLS,VLOOKUP(G565,MOVE_DOWN2,2,FALSE()),FALSE()),VLOOKUP(G565,NGPREVPRICES,3,FALSE()),HLOOKUP(D565,Correllate,VLOOKUP(G565,CorMove,2,FALSE()),FALSE()),Q565-$CD$3,R565,$CD$5)*H565-CJ565</f>
        <v>#NAME?</v>
      </c>
      <c r="CE565" s="253" t="e">
        <f aca="false">xSPRDOPT((VLOOKUP(G565,NGPREVPRICES,2,FALSE())+HLOOKUP(D565,PREVCURVES,VLOOKUP(G565,MOVE_DOWN2,2,FALSE()),FALSE())),VLOOKUP(G565,NGPREVPRICES,2,FALSE()),CK565,VLOOKUP(G565,NGPrices,4,FALSE()),HLOOKUP(D565,PREVVOLS,VLOOKUP(G565,MOVE_DOWN2,2,FALSE()),FALSE()),VLOOKUP(G565,NGPREVPRICES,3,FALSE()),HLOOKUP(D565,Correllate,VLOOKUP(G565,CorMove,2,FALSE()),FALSE()),Q565-$CD$3,R565,$CJ$5)*H565-CJ565</f>
        <v>#NAME?</v>
      </c>
      <c r="CF565" s="132" t="e">
        <f aca="false">(CJ565/VLOOKUP(CC565,discount,3,FALSE()))-(CJ565/VLOOKUP(CC565,discount,2,FALSE()))</f>
        <v>#NAME?</v>
      </c>
      <c r="CG565" s="253" t="e">
        <f aca="false">xSPRDOPT((VLOOKUP(G565,NGPREVPRICES,2,FALSE())+HLOOKUP(D565,PREVCURVES,VLOOKUP(G565,MOVE_DOWN2,2,FALSE()),FALSE())),VLOOKUP(G565,NGPREVPRICES,2,FALSE()),CK565,VLOOKUP(G565,NGPREVPRICES,4,FALSE()),HLOOKUP(D565,VOLS,VLOOKUP(G565,move_down,2,FALSE()),FALSE()),VLOOKUP(G565,NGPrices,3,FALSE()),HLOOKUP(D565,Correllate,VLOOKUP(G565,CorMove,2,FALSE()),FALSE()),Q565-$CD$3,R565,$CJ$5)*H565-CJ565</f>
        <v>#NAME?</v>
      </c>
      <c r="CH565" s="253" t="e">
        <f aca="false">xSPRDOPT((VLOOKUP(G565,NGPREVPRICES,2,FALSE())+HLOOKUP(D565,PREVCURVES,VLOOKUP(G565,MOVE_DOWN2,2,FALSE()),FALSE())),VLOOKUP(G565,NGPREVPRICES,2,FALSE()),CK565,VLOOKUP(G565,NGPREVPRICES,4,FALSE()),HLOOKUP(D565,PREVVOLS,VLOOKUP(G565,MOVE_DOWN2,2,FALSE()),FALSE()),VLOOKUP(G565,NGPREVPRICES,3,FALSE()),HLOOKUP(D565,Correllate,VLOOKUP(G565,CorMove,2,FALSE()),FALSE()),Q565-$C$3,R565,$CJ$5)*H565-CJ565</f>
        <v>#NAME?</v>
      </c>
      <c r="CI565" s="253" t="e">
        <f aca="false">SUM(CD565:CH565)</f>
        <v>#NAME?</v>
      </c>
      <c r="CJ565" s="253" t="e">
        <f aca="false">xSPRDOPT((VLOOKUP(G565,NGPREVPRICES,2,FALSE())+HLOOKUP(D565,PREVCURVES,VLOOKUP(G565,MOVE_DOWN2,2,FALSE()),FALSE())),VLOOKUP(G565,NGPREVPRICES,2,FALSE()),CK565,VLOOKUP(G565,NGPREVPRICES,4,FALSE()),HLOOKUP(D565,PREVVOLS,VLOOKUP(G565,MOVE_DOWN2,2,FALSE()),FALSE()),VLOOKUP(G565,NGPREVPRICES,3,FALSE()),HLOOKUP(D565,Correllate,VLOOKUP(G565,CorMove,2,FALSE()),FALSE()),Q565-$CD$3,R565,$CJ$5)*H565</f>
        <v>#NAME?</v>
      </c>
      <c r="CK565" s="254" t="n">
        <f aca="false">I565</f>
        <v>0.5</v>
      </c>
      <c r="CM565" s="0" t="str">
        <f aca="false">CONCATENATE(CC565,$CD$6)</f>
        <v>36800Curve Shift/Gamma</v>
      </c>
      <c r="CN565" s="0" t="str">
        <f aca="false">CONCATENATE($CC565,$CE$6)</f>
        <v>36800Rho</v>
      </c>
      <c r="CO565" s="0" t="str">
        <f aca="false">CONCATENATE($CC565,$CF$6)</f>
        <v>36800Drift</v>
      </c>
      <c r="CP565" s="0" t="str">
        <f aca="false">CONCATENATE($CC565,$CG$6)</f>
        <v>36800Vega</v>
      </c>
      <c r="CQ565" s="0" t="str">
        <f aca="false">CONCATENATE($CC565,$CH$6)</f>
        <v>36800Theta</v>
      </c>
    </row>
    <row r="566" customFormat="false" ht="12.75" hidden="false" customHeight="false" outlineLevel="0" collapsed="false">
      <c r="A566" s="17" t="s">
        <v>275</v>
      </c>
      <c r="B566" s="0" t="s">
        <v>192</v>
      </c>
      <c r="C566" s="0" t="s">
        <v>386</v>
      </c>
      <c r="D566" s="7" t="s">
        <v>137</v>
      </c>
      <c r="E566" s="0" t="s">
        <v>131</v>
      </c>
      <c r="F566" s="0" t="s">
        <v>132</v>
      </c>
      <c r="G566" s="92" t="n">
        <v>36770</v>
      </c>
      <c r="H566" s="248" t="n">
        <v>-600000</v>
      </c>
      <c r="I566" s="0" t="n">
        <v>0.5</v>
      </c>
      <c r="J566" s="124" t="n">
        <f aca="false">VLOOKUP(G566,NGPrices,2,FALSE())</f>
        <v>4.685</v>
      </c>
      <c r="K566" s="125" t="n">
        <f aca="false">HLOOKUP(D566,Prices,VLOOKUP(G566,move_down,2,FALSE()),FALSE())+VLOOKUP(G566,CHANGE,HLOOKUP(D566,CHANGE,2,FALSE()),FALSE())</f>
        <v>2.5</v>
      </c>
      <c r="L566" s="124" t="n">
        <f aca="false">K566+J566</f>
        <v>7.185</v>
      </c>
      <c r="M566" s="126" t="n">
        <f aca="false">VLOOKUP(G566,NGPrices,4,FALSE())</f>
        <v>0.067216196212185</v>
      </c>
      <c r="N566" s="7" t="n">
        <f aca="false">VLOOKUP(G566,NGPrices,3,FALSE())</f>
        <v>0.4</v>
      </c>
      <c r="O566" s="7" t="n">
        <f aca="false">HLOOKUP(D566,VOLS,VLOOKUP(G566,move_down,2,FALSE()),FALSE())</f>
        <v>0.376</v>
      </c>
      <c r="P566" s="249" t="n">
        <f aca="false">HLOOKUP(D566,Correllate,VLOOKUP(G566,CorMove,2,FALSE()),FALSE())</f>
        <v>0.83</v>
      </c>
      <c r="Q566" s="92" t="n">
        <f aca="false">WORKDAY(G566,-2)</f>
        <v>36768</v>
      </c>
      <c r="R566" s="7" t="n">
        <f aca="false">IF(F566="P",0,1)</f>
        <v>0</v>
      </c>
      <c r="S566" s="130" t="e">
        <f aca="false">xSPRDOPT($L566,$J566,$I566,$M566,$O566,$N566,$P566,$Q566-$C$3,$R566,0)</f>
        <v>#NAME?</v>
      </c>
      <c r="T566" s="250" t="e">
        <f aca="false">xSPRDOPT($L566,$J566,$I566,$M566,$O566,$N566,$P566,$Q566-$C$3,$R566,1)*H566</f>
        <v>#NAME?</v>
      </c>
      <c r="U566" s="43" t="e">
        <f aca="false">S566*H566</f>
        <v>#NAME?</v>
      </c>
      <c r="V566" s="250" t="e">
        <f aca="false">xSPRDOPT($L566,$J566,$I566,$M566,$O566,$N566,$P566,$Q566-$C$3,$R566,2)*H566</f>
        <v>#NAME?</v>
      </c>
      <c r="W566" s="250" t="e">
        <f aca="false">+V566+T566</f>
        <v>#NAME?</v>
      </c>
      <c r="X566" s="2" t="str">
        <f aca="false">CONCATENATE(G566,D566)</f>
        <v>36770NGI-SOCAL</v>
      </c>
      <c r="Y566" s="251" t="n">
        <f aca="false">H566/10000</f>
        <v>-60</v>
      </c>
      <c r="Z566" s="226" t="e">
        <f aca="false">T566/H566</f>
        <v>#NAME?</v>
      </c>
      <c r="AA566" s="226" t="e">
        <f aca="false">xSPRDOPT($L566,$J566,$I566,$M566,$O566,$N566,$P566,$Q566-$C$3,$R566,3)</f>
        <v>#NAME?</v>
      </c>
      <c r="AB566" s="226" t="e">
        <f aca="false">((xSPRDOPT($L566+AB$5,$J566,$I566,$M566,$O566,$N566,$P566,$Q566-$C$3,$R566,3)*$H566)/10000)/100</f>
        <v>#NAME?</v>
      </c>
      <c r="AC566" s="226" t="e">
        <f aca="false">((xSPRDOPT($L566+$AB$5,$J566,$I566,$M566,$O566,$N566,$P566,$Q566-$C$3,$R566,7)*$H566)/100)</f>
        <v>#NAME?</v>
      </c>
      <c r="AD566" s="226" t="e">
        <f aca="false">(xSPRDOPT($L566+$AB$5,$J566,$I566,$M566,$O566,$N566,$P566,$Q566-$C$3,$R566,9)/365)*$H566</f>
        <v>#NAME?</v>
      </c>
      <c r="AE566" s="0" t="e">
        <f aca="false">CD566</f>
        <v>#NAME?</v>
      </c>
      <c r="AF566" s="226" t="e">
        <f aca="false">((O566/N566)*AH566)+AG566</f>
        <v>#NAME?</v>
      </c>
      <c r="AG566" s="226" t="e">
        <f aca="false">((xSPRDOPT($L566,$J566,$I566,$M566,$O566,$N566,$P566,$Q566-$C$3,$R566,6)*$H566)/100)</f>
        <v>#NAME?</v>
      </c>
      <c r="AH566" s="226" t="e">
        <f aca="false">((xSPRDOPT($L566,$J566,$I566,$M566,$O566,$N566,$P566,$Q566-$C$3,$R566,5)*$H566)/100)</f>
        <v>#NAME?</v>
      </c>
      <c r="AI566" s="226" t="e">
        <f aca="false">(((xSPRDOPT($L566,$J566,$I566,$M566,$O566,$N566,$P566,$Q566-$C$3,$R566,4)*$H566)/10000)/100)-AB566</f>
        <v>#NAME?</v>
      </c>
      <c r="AJ566" s="226"/>
      <c r="AK566" s="226"/>
      <c r="AL566" s="226"/>
      <c r="CC566" s="182" t="n">
        <f aca="false">G566</f>
        <v>36770</v>
      </c>
      <c r="CD566" s="253" t="e">
        <f aca="false">xSPRDOPT((VLOOKUP(G566,NGPrices,2,FALSE())+HLOOKUP(D566,Prices,VLOOKUP(G566,move_down,2,FALSE()),FALSE())),VLOOKUP(G566,NGPrices,2,FALSE()),I566,VLOOKUP(G566,NGPREVPRICES,4,FALSE()),HLOOKUP(D566,PREVVOLS,VLOOKUP(G566,MOVE_DOWN2,2,FALSE()),FALSE()),VLOOKUP(G566,NGPREVPRICES,3,FALSE()),HLOOKUP(D566,Correllate,VLOOKUP(G566,CorMove,2,FALSE()),FALSE()),Q566-$CD$3,R566,$CD$5)*H566-CJ566</f>
        <v>#NAME?</v>
      </c>
      <c r="CE566" s="253" t="e">
        <f aca="false">xSPRDOPT((VLOOKUP(G566,NGPREVPRICES,2,FALSE())+HLOOKUP(D566,PREVCURVES,VLOOKUP(G566,MOVE_DOWN2,2,FALSE()),FALSE())),VLOOKUP(G566,NGPREVPRICES,2,FALSE()),CK566,VLOOKUP(G566,NGPrices,4,FALSE()),HLOOKUP(D566,PREVVOLS,VLOOKUP(G566,MOVE_DOWN2,2,FALSE()),FALSE()),VLOOKUP(G566,NGPREVPRICES,3,FALSE()),HLOOKUP(D566,Correllate,VLOOKUP(G566,CorMove,2,FALSE()),FALSE()),Q566-$CD$3,R566,$CJ$5)*H566-CJ566</f>
        <v>#NAME?</v>
      </c>
      <c r="CF566" s="132" t="e">
        <f aca="false">(CJ566/VLOOKUP(CC566,discount,3,FALSE()))-(CJ566/VLOOKUP(CC566,discount,2,FALSE()))</f>
        <v>#NAME?</v>
      </c>
      <c r="CG566" s="253" t="e">
        <f aca="false">xSPRDOPT((VLOOKUP(G566,NGPREVPRICES,2,FALSE())+HLOOKUP(D566,PREVCURVES,VLOOKUP(G566,MOVE_DOWN2,2,FALSE()),FALSE())),VLOOKUP(G566,NGPREVPRICES,2,FALSE()),CK566,VLOOKUP(G566,NGPREVPRICES,4,FALSE()),HLOOKUP(D566,VOLS,VLOOKUP(G566,move_down,2,FALSE()),FALSE()),VLOOKUP(G566,NGPrices,3,FALSE()),HLOOKUP(D566,Correllate,VLOOKUP(G566,CorMove,2,FALSE()),FALSE()),Q566-$CD$3,R566,$CJ$5)*H566-CJ566</f>
        <v>#NAME?</v>
      </c>
      <c r="CH566" s="253" t="e">
        <f aca="false">xSPRDOPT((VLOOKUP(G566,NGPREVPRICES,2,FALSE())+HLOOKUP(D566,PREVCURVES,VLOOKUP(G566,MOVE_DOWN2,2,FALSE()),FALSE())),VLOOKUP(G566,NGPREVPRICES,2,FALSE()),CK566,VLOOKUP(G566,NGPREVPRICES,4,FALSE()),HLOOKUP(D566,PREVVOLS,VLOOKUP(G566,MOVE_DOWN2,2,FALSE()),FALSE()),VLOOKUP(G566,NGPREVPRICES,3,FALSE()),HLOOKUP(D566,Correllate,VLOOKUP(G566,CorMove,2,FALSE()),FALSE()),Q566-$C$3,R566,$CJ$5)*H566-CJ566</f>
        <v>#NAME?</v>
      </c>
      <c r="CI566" s="253" t="e">
        <f aca="false">SUM(CD566:CH566)</f>
        <v>#NAME?</v>
      </c>
      <c r="CJ566" s="253" t="e">
        <f aca="false">xSPRDOPT((VLOOKUP(G566,NGPREVPRICES,2,FALSE())+HLOOKUP(D566,PREVCURVES,VLOOKUP(G566,MOVE_DOWN2,2,FALSE()),FALSE())),VLOOKUP(G566,NGPREVPRICES,2,FALSE()),CK566,VLOOKUP(G566,NGPREVPRICES,4,FALSE()),HLOOKUP(D566,PREVVOLS,VLOOKUP(G566,MOVE_DOWN2,2,FALSE()),FALSE()),VLOOKUP(G566,NGPREVPRICES,3,FALSE()),HLOOKUP(D566,Correllate,VLOOKUP(G566,CorMove,2,FALSE()),FALSE()),Q566-$CD$3,R566,$CJ$5)*H566</f>
        <v>#NAME?</v>
      </c>
      <c r="CK566" s="254" t="n">
        <f aca="false">I566</f>
        <v>0.5</v>
      </c>
      <c r="CM566" s="0" t="str">
        <f aca="false">CONCATENATE(CC566,$CD$6)</f>
        <v>36770Curve Shift/Gamma</v>
      </c>
      <c r="CN566" s="0" t="str">
        <f aca="false">CONCATENATE($CC566,$CE$6)</f>
        <v>36770Rho</v>
      </c>
      <c r="CO566" s="0" t="str">
        <f aca="false">CONCATENATE($CC566,$CF$6)</f>
        <v>36770Drift</v>
      </c>
      <c r="CP566" s="0" t="str">
        <f aca="false">CONCATENATE($CC566,$CG$6)</f>
        <v>36770Vega</v>
      </c>
      <c r="CQ566" s="0" t="str">
        <f aca="false">CONCATENATE($CC566,$CH$6)</f>
        <v>36770Theta</v>
      </c>
    </row>
    <row r="567" customFormat="false" ht="12.75" hidden="false" customHeight="false" outlineLevel="0" collapsed="false">
      <c r="A567" s="17" t="s">
        <v>275</v>
      </c>
      <c r="B567" s="0" t="s">
        <v>192</v>
      </c>
      <c r="C567" s="0" t="s">
        <v>387</v>
      </c>
      <c r="D567" s="7" t="s">
        <v>137</v>
      </c>
      <c r="E567" s="0" t="s">
        <v>131</v>
      </c>
      <c r="F567" s="0" t="s">
        <v>132</v>
      </c>
      <c r="G567" s="92" t="n">
        <v>36800</v>
      </c>
      <c r="H567" s="248" t="n">
        <v>-155000</v>
      </c>
      <c r="I567" s="0" t="n">
        <v>0.5</v>
      </c>
      <c r="J567" s="124" t="n">
        <f aca="false">VLOOKUP(G567,NGPrices,2,FALSE())</f>
        <v>4.692</v>
      </c>
      <c r="K567" s="125" t="n">
        <f aca="false">HLOOKUP(D567,Prices,VLOOKUP(G567,move_down,2,FALSE()),FALSE())+VLOOKUP(G567,CHANGE,HLOOKUP(D567,CHANGE,2,FALSE()),FALSE())</f>
        <v>1.99</v>
      </c>
      <c r="L567" s="124" t="n">
        <f aca="false">K567+J567</f>
        <v>6.682</v>
      </c>
      <c r="M567" s="126" t="n">
        <f aca="false">VLOOKUP(G567,NGPrices,4,FALSE())</f>
        <v>0.068050789414654</v>
      </c>
      <c r="N567" s="7" t="n">
        <f aca="false">VLOOKUP(G567,NGPrices,3,FALSE())</f>
        <v>0.575</v>
      </c>
      <c r="O567" s="7" t="n">
        <f aca="false">HLOOKUP(D567,VOLS,VLOOKUP(G567,move_down,2,FALSE()),FALSE())</f>
        <v>0.541</v>
      </c>
      <c r="P567" s="249" t="n">
        <f aca="false">HLOOKUP(D567,Correllate,VLOOKUP(G567,CorMove,2,FALSE()),FALSE())</f>
        <v>0.83</v>
      </c>
      <c r="Q567" s="92" t="n">
        <f aca="false">WORKDAY(G567,-2)</f>
        <v>36797</v>
      </c>
      <c r="R567" s="7" t="n">
        <f aca="false">IF(F567="P",0,1)</f>
        <v>0</v>
      </c>
      <c r="S567" s="130" t="e">
        <f aca="false">xSPRDOPT($L567,$J567,$I567,$M567,$O567,$N567,$P567,$Q567-$C$3,$R567,0)</f>
        <v>#NAME?</v>
      </c>
      <c r="T567" s="250" t="e">
        <f aca="false">xSPRDOPT($L567,$J567,$I567,$M567,$O567,$N567,$P567,$Q567-$C$3,$R567,1)*H567</f>
        <v>#NAME?</v>
      </c>
      <c r="U567" s="43" t="e">
        <f aca="false">S567*H567</f>
        <v>#NAME?</v>
      </c>
      <c r="V567" s="250" t="e">
        <f aca="false">xSPRDOPT($L567,$J567,$I567,$M567,$O567,$N567,$P567,$Q567-$C$3,$R567,2)*H567</f>
        <v>#NAME?</v>
      </c>
      <c r="W567" s="250" t="e">
        <f aca="false">+V567+T567</f>
        <v>#NAME?</v>
      </c>
      <c r="X567" s="2" t="str">
        <f aca="false">CONCATENATE(G567,D567)</f>
        <v>36800NGI-SOCAL</v>
      </c>
      <c r="Y567" s="251" t="n">
        <f aca="false">H567/10000</f>
        <v>-15.5</v>
      </c>
      <c r="Z567" s="226" t="e">
        <f aca="false">T567/H567</f>
        <v>#NAME?</v>
      </c>
      <c r="AA567" s="226" t="e">
        <f aca="false">xSPRDOPT($L567,$J567,$I567,$M567,$O567,$N567,$P567,$Q567-$C$3,$R567,3)</f>
        <v>#NAME?</v>
      </c>
      <c r="AB567" s="226" t="e">
        <f aca="false">((xSPRDOPT($L567+AB$5,$J567,$I567,$M567,$O567,$N567,$P567,$Q567-$C$3,$R567,3)*$H567)/10000)/100</f>
        <v>#NAME?</v>
      </c>
      <c r="AC567" s="226" t="e">
        <f aca="false">((xSPRDOPT($L567+$AB$5,$J567,$I567,$M567,$O567,$N567,$P567,$Q567-$C$3,$R567,7)*$H567)/100)</f>
        <v>#NAME?</v>
      </c>
      <c r="AD567" s="226" t="e">
        <f aca="false">(xSPRDOPT($L567+$AB$5,$J567,$I567,$M567,$O567,$N567,$P567,$Q567-$C$3,$R567,9)/365)*$H567</f>
        <v>#NAME?</v>
      </c>
      <c r="AE567" s="0" t="e">
        <f aca="false">CD567</f>
        <v>#NAME?</v>
      </c>
      <c r="AF567" s="226" t="e">
        <f aca="false">((O567/N567)*AH567)+AG567</f>
        <v>#NAME?</v>
      </c>
      <c r="AG567" s="226" t="e">
        <f aca="false">((xSPRDOPT($L567,$J567,$I567,$M567,$O567,$N567,$P567,$Q567-$C$3,$R567,6)*$H567)/100)</f>
        <v>#NAME?</v>
      </c>
      <c r="AH567" s="226" t="e">
        <f aca="false">((xSPRDOPT($L567,$J567,$I567,$M567,$O567,$N567,$P567,$Q567-$C$3,$R567,5)*$H567)/100)</f>
        <v>#NAME?</v>
      </c>
      <c r="AI567" s="226" t="e">
        <f aca="false">(((xSPRDOPT($L567,$J567,$I567,$M567,$O567,$N567,$P567,$Q567-$C$3,$R567,4)*$H567)/10000)/100)-AB567</f>
        <v>#NAME?</v>
      </c>
      <c r="AJ567" s="226"/>
      <c r="AK567" s="226"/>
      <c r="AL567" s="226"/>
      <c r="CC567" s="182" t="n">
        <f aca="false">G567</f>
        <v>36800</v>
      </c>
      <c r="CD567" s="253" t="e">
        <f aca="false">xSPRDOPT((VLOOKUP(G567,NGPrices,2,FALSE())+HLOOKUP(D567,Prices,VLOOKUP(G567,move_down,2,FALSE()),FALSE())),VLOOKUP(G567,NGPrices,2,FALSE()),I567,VLOOKUP(G567,NGPREVPRICES,4,FALSE()),HLOOKUP(D567,PREVVOLS,VLOOKUP(G567,MOVE_DOWN2,2,FALSE()),FALSE()),VLOOKUP(G567,NGPREVPRICES,3,FALSE()),HLOOKUP(D567,Correllate,VLOOKUP(G567,CorMove,2,FALSE()),FALSE()),Q567-$CD$3,R567,$CD$5)*H567-CJ567</f>
        <v>#NAME?</v>
      </c>
      <c r="CE567" s="253" t="e">
        <f aca="false">xSPRDOPT((VLOOKUP(G567,NGPREVPRICES,2,FALSE())+HLOOKUP(D567,PREVCURVES,VLOOKUP(G567,MOVE_DOWN2,2,FALSE()),FALSE())),VLOOKUP(G567,NGPREVPRICES,2,FALSE()),CK567,VLOOKUP(G567,NGPrices,4,FALSE()),HLOOKUP(D567,PREVVOLS,VLOOKUP(G567,MOVE_DOWN2,2,FALSE()),FALSE()),VLOOKUP(G567,NGPREVPRICES,3,FALSE()),HLOOKUP(D567,Correllate,VLOOKUP(G567,CorMove,2,FALSE()),FALSE()),Q567-$CD$3,R567,$CJ$5)*H567-CJ567</f>
        <v>#NAME?</v>
      </c>
      <c r="CF567" s="132" t="e">
        <f aca="false">(CJ567/VLOOKUP(CC567,discount,3,FALSE()))-(CJ567/VLOOKUP(CC567,discount,2,FALSE()))</f>
        <v>#NAME?</v>
      </c>
      <c r="CG567" s="253" t="e">
        <f aca="false">xSPRDOPT((VLOOKUP(G567,NGPREVPRICES,2,FALSE())+HLOOKUP(D567,PREVCURVES,VLOOKUP(G567,MOVE_DOWN2,2,FALSE()),FALSE())),VLOOKUP(G567,NGPREVPRICES,2,FALSE()),CK567,VLOOKUP(G567,NGPREVPRICES,4,FALSE()),HLOOKUP(D567,VOLS,VLOOKUP(G567,move_down,2,FALSE()),FALSE()),VLOOKUP(G567,NGPrices,3,FALSE()),HLOOKUP(D567,Correllate,VLOOKUP(G567,CorMove,2,FALSE()),FALSE()),Q567-$CD$3,R567,$CJ$5)*H567-CJ567</f>
        <v>#NAME?</v>
      </c>
      <c r="CH567" s="253" t="e">
        <f aca="false">xSPRDOPT((VLOOKUP(G567,NGPREVPRICES,2,FALSE())+HLOOKUP(D567,PREVCURVES,VLOOKUP(G567,MOVE_DOWN2,2,FALSE()),FALSE())),VLOOKUP(G567,NGPREVPRICES,2,FALSE()),CK567,VLOOKUP(G567,NGPREVPRICES,4,FALSE()),HLOOKUP(D567,PREVVOLS,VLOOKUP(G567,MOVE_DOWN2,2,FALSE()),FALSE()),VLOOKUP(G567,NGPREVPRICES,3,FALSE()),HLOOKUP(D567,Correllate,VLOOKUP(G567,CorMove,2,FALSE()),FALSE()),Q567-$C$3,R567,$CJ$5)*H567-CJ567</f>
        <v>#NAME?</v>
      </c>
      <c r="CI567" s="253" t="e">
        <f aca="false">SUM(CD567:CH567)</f>
        <v>#NAME?</v>
      </c>
      <c r="CJ567" s="253" t="e">
        <f aca="false">xSPRDOPT((VLOOKUP(G567,NGPREVPRICES,2,FALSE())+HLOOKUP(D567,PREVCURVES,VLOOKUP(G567,MOVE_DOWN2,2,FALSE()),FALSE())),VLOOKUP(G567,NGPREVPRICES,2,FALSE()),CK567,VLOOKUP(G567,NGPREVPRICES,4,FALSE()),HLOOKUP(D567,PREVVOLS,VLOOKUP(G567,MOVE_DOWN2,2,FALSE()),FALSE()),VLOOKUP(G567,NGPREVPRICES,3,FALSE()),HLOOKUP(D567,Correllate,VLOOKUP(G567,CorMove,2,FALSE()),FALSE()),Q567-$CD$3,R567,$CJ$5)*H567</f>
        <v>#NAME?</v>
      </c>
      <c r="CK567" s="254" t="n">
        <f aca="false">I567</f>
        <v>0.5</v>
      </c>
      <c r="CM567" s="0" t="str">
        <f aca="false">CONCATENATE(CC567,$CD$6)</f>
        <v>36800Curve Shift/Gamma</v>
      </c>
      <c r="CN567" s="0" t="str">
        <f aca="false">CONCATENATE($CC567,$CE$6)</f>
        <v>36800Rho</v>
      </c>
      <c r="CO567" s="0" t="str">
        <f aca="false">CONCATENATE($CC567,$CF$6)</f>
        <v>36800Drift</v>
      </c>
      <c r="CP567" s="0" t="str">
        <f aca="false">CONCATENATE($CC567,$CG$6)</f>
        <v>36800Vega</v>
      </c>
      <c r="CQ567" s="0" t="str">
        <f aca="false">CONCATENATE($CC567,$CH$6)</f>
        <v>36800Theta</v>
      </c>
    </row>
    <row r="568" customFormat="false" ht="12.75" hidden="false" customHeight="false" outlineLevel="0" collapsed="false">
      <c r="A568" s="17" t="s">
        <v>275</v>
      </c>
      <c r="B568" s="0" t="s">
        <v>192</v>
      </c>
      <c r="C568" s="0" t="s">
        <v>387</v>
      </c>
      <c r="D568" s="7" t="s">
        <v>137</v>
      </c>
      <c r="E568" s="0" t="s">
        <v>131</v>
      </c>
      <c r="F568" s="0" t="s">
        <v>132</v>
      </c>
      <c r="G568" s="92" t="n">
        <v>36770</v>
      </c>
      <c r="H568" s="248" t="n">
        <v>-150000</v>
      </c>
      <c r="I568" s="0" t="n">
        <v>0.5</v>
      </c>
      <c r="J568" s="124" t="n">
        <f aca="false">VLOOKUP(G568,NGPrices,2,FALSE())</f>
        <v>4.685</v>
      </c>
      <c r="K568" s="125" t="n">
        <f aca="false">HLOOKUP(D568,Prices,VLOOKUP(G568,move_down,2,FALSE()),FALSE())+VLOOKUP(G568,CHANGE,HLOOKUP(D568,CHANGE,2,FALSE()),FALSE())</f>
        <v>2.5</v>
      </c>
      <c r="L568" s="124" t="n">
        <f aca="false">K568+J568</f>
        <v>7.185</v>
      </c>
      <c r="M568" s="126" t="n">
        <f aca="false">VLOOKUP(G568,NGPrices,4,FALSE())</f>
        <v>0.067216196212185</v>
      </c>
      <c r="N568" s="7" t="n">
        <f aca="false">VLOOKUP(G568,NGPrices,3,FALSE())</f>
        <v>0.4</v>
      </c>
      <c r="O568" s="7" t="n">
        <f aca="false">HLOOKUP(D568,VOLS,VLOOKUP(G568,move_down,2,FALSE()),FALSE())</f>
        <v>0.376</v>
      </c>
      <c r="P568" s="249" t="n">
        <f aca="false">HLOOKUP(D568,Correllate,VLOOKUP(G568,CorMove,2,FALSE()),FALSE())</f>
        <v>0.83</v>
      </c>
      <c r="Q568" s="92" t="n">
        <f aca="false">WORKDAY(G568,-2)</f>
        <v>36768</v>
      </c>
      <c r="R568" s="7" t="n">
        <f aca="false">IF(F568="P",0,1)</f>
        <v>0</v>
      </c>
      <c r="S568" s="130" t="e">
        <f aca="false">xSPRDOPT($L568,$J568,$I568,$M568,$O568,$N568,$P568,$Q568-$C$3,$R568,0)</f>
        <v>#NAME?</v>
      </c>
      <c r="T568" s="250" t="e">
        <f aca="false">xSPRDOPT($L568,$J568,$I568,$M568,$O568,$N568,$P568,$Q568-$C$3,$R568,1)*H568</f>
        <v>#NAME?</v>
      </c>
      <c r="U568" s="43" t="e">
        <f aca="false">S568*H568</f>
        <v>#NAME?</v>
      </c>
      <c r="V568" s="250" t="e">
        <f aca="false">xSPRDOPT($L568,$J568,$I568,$M568,$O568,$N568,$P568,$Q568-$C$3,$R568,2)*H568</f>
        <v>#NAME?</v>
      </c>
      <c r="W568" s="250" t="e">
        <f aca="false">+V568+T568</f>
        <v>#NAME?</v>
      </c>
      <c r="X568" s="2" t="str">
        <f aca="false">CONCATENATE(G568,D568)</f>
        <v>36770NGI-SOCAL</v>
      </c>
      <c r="Y568" s="251" t="n">
        <f aca="false">H568/10000</f>
        <v>-15</v>
      </c>
      <c r="Z568" s="226" t="e">
        <f aca="false">T568/H568</f>
        <v>#NAME?</v>
      </c>
      <c r="AA568" s="226" t="e">
        <f aca="false">xSPRDOPT($L568,$J568,$I568,$M568,$O568,$N568,$P568,$Q568-$C$3,$R568,3)</f>
        <v>#NAME?</v>
      </c>
      <c r="AB568" s="226" t="e">
        <f aca="false">((xSPRDOPT($L568+AB$5,$J568,$I568,$M568,$O568,$N568,$P568,$Q568-$C$3,$R568,3)*$H568)/10000)/100</f>
        <v>#NAME?</v>
      </c>
      <c r="AC568" s="226" t="e">
        <f aca="false">((xSPRDOPT($L568+$AB$5,$J568,$I568,$M568,$O568,$N568,$P568,$Q568-$C$3,$R568,7)*$H568)/100)</f>
        <v>#NAME?</v>
      </c>
      <c r="AD568" s="226" t="e">
        <f aca="false">(xSPRDOPT($L568+$AB$5,$J568,$I568,$M568,$O568,$N568,$P568,$Q568-$C$3,$R568,9)/365)*$H568</f>
        <v>#NAME?</v>
      </c>
      <c r="AE568" s="0" t="e">
        <f aca="false">CD568</f>
        <v>#NAME?</v>
      </c>
      <c r="AF568" s="226" t="e">
        <f aca="false">((O568/N568)*AH568)+AG568</f>
        <v>#NAME?</v>
      </c>
      <c r="AG568" s="226" t="e">
        <f aca="false">((xSPRDOPT($L568,$J568,$I568,$M568,$O568,$N568,$P568,$Q568-$C$3,$R568,6)*$H568)/100)</f>
        <v>#NAME?</v>
      </c>
      <c r="AH568" s="226" t="e">
        <f aca="false">((xSPRDOPT($L568,$J568,$I568,$M568,$O568,$N568,$P568,$Q568-$C$3,$R568,5)*$H568)/100)</f>
        <v>#NAME?</v>
      </c>
      <c r="AI568" s="226" t="e">
        <f aca="false">(((xSPRDOPT($L568,$J568,$I568,$M568,$O568,$N568,$P568,$Q568-$C$3,$R568,4)*$H568)/10000)/100)-AB568</f>
        <v>#NAME?</v>
      </c>
      <c r="AJ568" s="226"/>
      <c r="AK568" s="226"/>
      <c r="AL568" s="226"/>
      <c r="CC568" s="182" t="n">
        <f aca="false">G568</f>
        <v>36770</v>
      </c>
      <c r="CD568" s="253" t="e">
        <f aca="false">xSPRDOPT((VLOOKUP(G568,NGPrices,2,FALSE())+HLOOKUP(D568,Prices,VLOOKUP(G568,move_down,2,FALSE()),FALSE())),VLOOKUP(G568,NGPrices,2,FALSE()),I568,VLOOKUP(G568,NGPREVPRICES,4,FALSE()),HLOOKUP(D568,PREVVOLS,VLOOKUP(G568,MOVE_DOWN2,2,FALSE()),FALSE()),VLOOKUP(G568,NGPREVPRICES,3,FALSE()),HLOOKUP(D568,Correllate,VLOOKUP(G568,CorMove,2,FALSE()),FALSE()),Q568-$CD$3,R568,$CD$5)*H568-CJ568</f>
        <v>#NAME?</v>
      </c>
      <c r="CE568" s="253" t="e">
        <f aca="false">xSPRDOPT((VLOOKUP(G568,NGPREVPRICES,2,FALSE())+HLOOKUP(D568,PREVCURVES,VLOOKUP(G568,MOVE_DOWN2,2,FALSE()),FALSE())),VLOOKUP(G568,NGPREVPRICES,2,FALSE()),CK568,VLOOKUP(G568,NGPrices,4,FALSE()),HLOOKUP(D568,PREVVOLS,VLOOKUP(G568,MOVE_DOWN2,2,FALSE()),FALSE()),VLOOKUP(G568,NGPREVPRICES,3,FALSE()),HLOOKUP(D568,Correllate,VLOOKUP(G568,CorMove,2,FALSE()),FALSE()),Q568-$CD$3,R568,$CJ$5)*H568-CJ568</f>
        <v>#NAME?</v>
      </c>
      <c r="CF568" s="132" t="e">
        <f aca="false">(CJ568/VLOOKUP(CC568,discount,3,FALSE()))-(CJ568/VLOOKUP(CC568,discount,2,FALSE()))</f>
        <v>#NAME?</v>
      </c>
      <c r="CG568" s="253" t="e">
        <f aca="false">xSPRDOPT((VLOOKUP(G568,NGPREVPRICES,2,FALSE())+HLOOKUP(D568,PREVCURVES,VLOOKUP(G568,MOVE_DOWN2,2,FALSE()),FALSE())),VLOOKUP(G568,NGPREVPRICES,2,FALSE()),CK568,VLOOKUP(G568,NGPREVPRICES,4,FALSE()),HLOOKUP(D568,VOLS,VLOOKUP(G568,move_down,2,FALSE()),FALSE()),VLOOKUP(G568,NGPrices,3,FALSE()),HLOOKUP(D568,Correllate,VLOOKUP(G568,CorMove,2,FALSE()),FALSE()),Q568-$CD$3,R568,$CJ$5)*H568-CJ568</f>
        <v>#NAME?</v>
      </c>
      <c r="CH568" s="253" t="e">
        <f aca="false">xSPRDOPT((VLOOKUP(G568,NGPREVPRICES,2,FALSE())+HLOOKUP(D568,PREVCURVES,VLOOKUP(G568,MOVE_DOWN2,2,FALSE()),FALSE())),VLOOKUP(G568,NGPREVPRICES,2,FALSE()),CK568,VLOOKUP(G568,NGPREVPRICES,4,FALSE()),HLOOKUP(D568,PREVVOLS,VLOOKUP(G568,MOVE_DOWN2,2,FALSE()),FALSE()),VLOOKUP(G568,NGPREVPRICES,3,FALSE()),HLOOKUP(D568,Correllate,VLOOKUP(G568,CorMove,2,FALSE()),FALSE()),Q568-$C$3,R568,$CJ$5)*H568-CJ568</f>
        <v>#NAME?</v>
      </c>
      <c r="CI568" s="253" t="e">
        <f aca="false">SUM(CD568:CH568)</f>
        <v>#NAME?</v>
      </c>
      <c r="CJ568" s="253" t="e">
        <f aca="false">xSPRDOPT((VLOOKUP(G568,NGPREVPRICES,2,FALSE())+HLOOKUP(D568,PREVCURVES,VLOOKUP(G568,MOVE_DOWN2,2,FALSE()),FALSE())),VLOOKUP(G568,NGPREVPRICES,2,FALSE()),CK568,VLOOKUP(G568,NGPREVPRICES,4,FALSE()),HLOOKUP(D568,PREVVOLS,VLOOKUP(G568,MOVE_DOWN2,2,FALSE()),FALSE()),VLOOKUP(G568,NGPREVPRICES,3,FALSE()),HLOOKUP(D568,Correllate,VLOOKUP(G568,CorMove,2,FALSE()),FALSE()),Q568-$CD$3,R568,$CJ$5)*H568</f>
        <v>#NAME?</v>
      </c>
      <c r="CK568" s="254" t="n">
        <f aca="false">I568</f>
        <v>0.5</v>
      </c>
      <c r="CM568" s="0" t="str">
        <f aca="false">CONCATENATE(CC568,$CD$6)</f>
        <v>36770Curve Shift/Gamma</v>
      </c>
      <c r="CN568" s="0" t="str">
        <f aca="false">CONCATENATE($CC568,$CE$6)</f>
        <v>36770Rho</v>
      </c>
      <c r="CO568" s="0" t="str">
        <f aca="false">CONCATENATE($CC568,$CF$6)</f>
        <v>36770Drift</v>
      </c>
      <c r="CP568" s="0" t="str">
        <f aca="false">CONCATENATE($CC568,$CG$6)</f>
        <v>36770Vega</v>
      </c>
      <c r="CQ568" s="0" t="str">
        <f aca="false">CONCATENATE($CC568,$CH$6)</f>
        <v>36770Theta</v>
      </c>
    </row>
    <row r="569" customFormat="false" ht="12.75" hidden="false" customHeight="false" outlineLevel="0" collapsed="false">
      <c r="A569" s="17" t="s">
        <v>212</v>
      </c>
      <c r="B569" s="0" t="s">
        <v>192</v>
      </c>
      <c r="C569" s="0" t="s">
        <v>388</v>
      </c>
      <c r="D569" s="7" t="s">
        <v>137</v>
      </c>
      <c r="E569" s="0" t="s">
        <v>131</v>
      </c>
      <c r="F569" s="0" t="s">
        <v>132</v>
      </c>
      <c r="G569" s="92" t="n">
        <v>36800</v>
      </c>
      <c r="H569" s="248" t="n">
        <v>155000</v>
      </c>
      <c r="I569" s="0" t="n">
        <v>0.5</v>
      </c>
      <c r="J569" s="124" t="n">
        <f aca="false">VLOOKUP(G569,NGPrices,2,FALSE())</f>
        <v>4.692</v>
      </c>
      <c r="K569" s="125" t="n">
        <f aca="false">HLOOKUP(D569,Prices,VLOOKUP(G569,move_down,2,FALSE()),FALSE())+VLOOKUP(G569,CHANGE,HLOOKUP(D569,CHANGE,2,FALSE()),FALSE())</f>
        <v>1.99</v>
      </c>
      <c r="L569" s="124" t="n">
        <f aca="false">K569+J569</f>
        <v>6.682</v>
      </c>
      <c r="M569" s="126" t="n">
        <f aca="false">VLOOKUP(G569,NGPrices,4,FALSE())</f>
        <v>0.068050789414654</v>
      </c>
      <c r="N569" s="7" t="n">
        <f aca="false">VLOOKUP(G569,NGPrices,3,FALSE())</f>
        <v>0.575</v>
      </c>
      <c r="O569" s="7" t="n">
        <f aca="false">HLOOKUP(D569,VOLS,VLOOKUP(G569,move_down,2,FALSE()),FALSE())</f>
        <v>0.541</v>
      </c>
      <c r="P569" s="249" t="n">
        <f aca="false">HLOOKUP(D569,Correllate,VLOOKUP(G569,CorMove,2,FALSE()),FALSE())</f>
        <v>0.83</v>
      </c>
      <c r="Q569" s="92" t="n">
        <f aca="false">WORKDAY(G569,-2)</f>
        <v>36797</v>
      </c>
      <c r="R569" s="7" t="n">
        <f aca="false">IF(F569="P",0,1)</f>
        <v>0</v>
      </c>
      <c r="S569" s="130" t="e">
        <f aca="false">xSPRDOPT($L569,$J569,$I569,$M569,$O569,$N569,$P569,$Q569-$C$3,$R569,0)</f>
        <v>#NAME?</v>
      </c>
      <c r="T569" s="250" t="e">
        <f aca="false">xSPRDOPT($L569,$J569,$I569,$M569,$O569,$N569,$P569,$Q569-$C$3,$R569,1)*H569</f>
        <v>#NAME?</v>
      </c>
      <c r="U569" s="43" t="e">
        <f aca="false">S569*H569</f>
        <v>#NAME?</v>
      </c>
      <c r="V569" s="250" t="e">
        <f aca="false">xSPRDOPT($L569,$J569,$I569,$M569,$O569,$N569,$P569,$Q569-$C$3,$R569,2)*H569</f>
        <v>#NAME?</v>
      </c>
      <c r="W569" s="250" t="e">
        <f aca="false">+V569+T569</f>
        <v>#NAME?</v>
      </c>
      <c r="X569" s="2" t="str">
        <f aca="false">CONCATENATE(G569,D569)</f>
        <v>36800NGI-SOCAL</v>
      </c>
      <c r="Y569" s="251" t="n">
        <f aca="false">H569/10000</f>
        <v>15.5</v>
      </c>
      <c r="Z569" s="226" t="e">
        <f aca="false">T569/H569</f>
        <v>#NAME?</v>
      </c>
      <c r="AA569" s="226" t="e">
        <f aca="false">xSPRDOPT($L569,$J569,$I569,$M569,$O569,$N569,$P569,$Q569-$C$3,$R569,3)</f>
        <v>#NAME?</v>
      </c>
      <c r="AB569" s="226" t="e">
        <f aca="false">((xSPRDOPT($L569+AB$5,$J569,$I569,$M569,$O569,$N569,$P569,$Q569-$C$3,$R569,3)*$H569)/10000)/100</f>
        <v>#NAME?</v>
      </c>
      <c r="AC569" s="226" t="e">
        <f aca="false">((xSPRDOPT($L569+$AB$5,$J569,$I569,$M569,$O569,$N569,$P569,$Q569-$C$3,$R569,7)*$H569)/100)</f>
        <v>#NAME?</v>
      </c>
      <c r="AD569" s="226" t="e">
        <f aca="false">(xSPRDOPT($L569+$AB$5,$J569,$I569,$M569,$O569,$N569,$P569,$Q569-$C$3,$R569,9)/365)*$H569</f>
        <v>#NAME?</v>
      </c>
      <c r="AE569" s="0" t="e">
        <f aca="false">CD569</f>
        <v>#NAME?</v>
      </c>
      <c r="AF569" s="226" t="e">
        <f aca="false">((O569/N569)*AH569)+AG569</f>
        <v>#NAME?</v>
      </c>
      <c r="AG569" s="226" t="e">
        <f aca="false">((xSPRDOPT($L569,$J569,$I569,$M569,$O569,$N569,$P569,$Q569-$C$3,$R569,6)*$H569)/100)</f>
        <v>#NAME?</v>
      </c>
      <c r="AH569" s="226" t="e">
        <f aca="false">((xSPRDOPT($L569,$J569,$I569,$M569,$O569,$N569,$P569,$Q569-$C$3,$R569,5)*$H569)/100)</f>
        <v>#NAME?</v>
      </c>
      <c r="AI569" s="226" t="e">
        <f aca="false">(((xSPRDOPT($L569,$J569,$I569,$M569,$O569,$N569,$P569,$Q569-$C$3,$R569,4)*$H569)/10000)/100)-AB569</f>
        <v>#NAME?</v>
      </c>
      <c r="AJ569" s="226"/>
      <c r="AK569" s="226"/>
      <c r="AL569" s="226"/>
      <c r="CC569" s="182" t="n">
        <f aca="false">G569</f>
        <v>36800</v>
      </c>
      <c r="CD569" s="253" t="e">
        <f aca="false">xSPRDOPT((VLOOKUP(G569,NGPrices,2,FALSE())+HLOOKUP(D569,Prices,VLOOKUP(G569,move_down,2,FALSE()),FALSE())),VLOOKUP(G569,NGPrices,2,FALSE()),I569,VLOOKUP(G569,NGPREVPRICES,4,FALSE()),HLOOKUP(D569,PREVVOLS,VLOOKUP(G569,MOVE_DOWN2,2,FALSE()),FALSE()),VLOOKUP(G569,NGPREVPRICES,3,FALSE()),HLOOKUP(D569,Correllate,VLOOKUP(G569,CorMove,2,FALSE()),FALSE()),Q569-$CD$3,R569,$CD$5)*H569-CJ569</f>
        <v>#NAME?</v>
      </c>
      <c r="CE569" s="253" t="e">
        <f aca="false">xSPRDOPT((VLOOKUP(G569,NGPREVPRICES,2,FALSE())+HLOOKUP(D569,PREVCURVES,VLOOKUP(G569,MOVE_DOWN2,2,FALSE()),FALSE())),VLOOKUP(G569,NGPREVPRICES,2,FALSE()),CK569,VLOOKUP(G569,NGPrices,4,FALSE()),HLOOKUP(D569,PREVVOLS,VLOOKUP(G569,MOVE_DOWN2,2,FALSE()),FALSE()),VLOOKUP(G569,NGPREVPRICES,3,FALSE()),HLOOKUP(D569,Correllate,VLOOKUP(G569,CorMove,2,FALSE()),FALSE()),Q569-$CD$3,R569,$CJ$5)*H569-CJ569</f>
        <v>#NAME?</v>
      </c>
      <c r="CF569" s="132" t="e">
        <f aca="false">(CJ569/VLOOKUP(CC569,discount,3,FALSE()))-(CJ569/VLOOKUP(CC569,discount,2,FALSE()))</f>
        <v>#NAME?</v>
      </c>
      <c r="CG569" s="253" t="e">
        <f aca="false">xSPRDOPT((VLOOKUP(G569,NGPREVPRICES,2,FALSE())+HLOOKUP(D569,PREVCURVES,VLOOKUP(G569,MOVE_DOWN2,2,FALSE()),FALSE())),VLOOKUP(G569,NGPREVPRICES,2,FALSE()),CK569,VLOOKUP(G569,NGPREVPRICES,4,FALSE()),HLOOKUP(D569,VOLS,VLOOKUP(G569,move_down,2,FALSE()),FALSE()),VLOOKUP(G569,NGPrices,3,FALSE()),HLOOKUP(D569,Correllate,VLOOKUP(G569,CorMove,2,FALSE()),FALSE()),Q569-$CD$3,R569,$CJ$5)*H569-CJ569</f>
        <v>#NAME?</v>
      </c>
      <c r="CH569" s="253" t="e">
        <f aca="false">xSPRDOPT((VLOOKUP(G569,NGPREVPRICES,2,FALSE())+HLOOKUP(D569,PREVCURVES,VLOOKUP(G569,MOVE_DOWN2,2,FALSE()),FALSE())),VLOOKUP(G569,NGPREVPRICES,2,FALSE()),CK569,VLOOKUP(G569,NGPREVPRICES,4,FALSE()),HLOOKUP(D569,PREVVOLS,VLOOKUP(G569,MOVE_DOWN2,2,FALSE()),FALSE()),VLOOKUP(G569,NGPREVPRICES,3,FALSE()),HLOOKUP(D569,Correllate,VLOOKUP(G569,CorMove,2,FALSE()),FALSE()),Q569-$C$3,R569,$CJ$5)*H569-CJ569</f>
        <v>#NAME?</v>
      </c>
      <c r="CI569" s="253" t="e">
        <f aca="false">SUM(CD569:CH569)</f>
        <v>#NAME?</v>
      </c>
      <c r="CJ569" s="253" t="e">
        <f aca="false">xSPRDOPT((VLOOKUP(G569,NGPREVPRICES,2,FALSE())+HLOOKUP(D569,PREVCURVES,VLOOKUP(G569,MOVE_DOWN2,2,FALSE()),FALSE())),VLOOKUP(G569,NGPREVPRICES,2,FALSE()),CK569,VLOOKUP(G569,NGPREVPRICES,4,FALSE()),HLOOKUP(D569,PREVVOLS,VLOOKUP(G569,MOVE_DOWN2,2,FALSE()),FALSE()),VLOOKUP(G569,NGPREVPRICES,3,FALSE()),HLOOKUP(D569,Correllate,VLOOKUP(G569,CorMove,2,FALSE()),FALSE()),Q569-$CD$3,R569,$CJ$5)*H569</f>
        <v>#NAME?</v>
      </c>
      <c r="CK569" s="254" t="n">
        <f aca="false">I569</f>
        <v>0.5</v>
      </c>
      <c r="CM569" s="0" t="str">
        <f aca="false">CONCATENATE(CC569,$CD$6)</f>
        <v>36800Curve Shift/Gamma</v>
      </c>
      <c r="CN569" s="0" t="str">
        <f aca="false">CONCATENATE($CC569,$CE$6)</f>
        <v>36800Rho</v>
      </c>
      <c r="CO569" s="0" t="str">
        <f aca="false">CONCATENATE($CC569,$CF$6)</f>
        <v>36800Drift</v>
      </c>
      <c r="CP569" s="0" t="str">
        <f aca="false">CONCATENATE($CC569,$CG$6)</f>
        <v>36800Vega</v>
      </c>
      <c r="CQ569" s="0" t="str">
        <f aca="false">CONCATENATE($CC569,$CH$6)</f>
        <v>36800Theta</v>
      </c>
    </row>
    <row r="570" customFormat="false" ht="12.75" hidden="false" customHeight="false" outlineLevel="0" collapsed="false">
      <c r="A570" s="17" t="s">
        <v>212</v>
      </c>
      <c r="B570" s="0" t="s">
        <v>192</v>
      </c>
      <c r="C570" s="0" t="s">
        <v>388</v>
      </c>
      <c r="D570" s="7" t="s">
        <v>137</v>
      </c>
      <c r="E570" s="0" t="s">
        <v>131</v>
      </c>
      <c r="F570" s="0" t="s">
        <v>132</v>
      </c>
      <c r="G570" s="92" t="n">
        <v>36770</v>
      </c>
      <c r="H570" s="248" t="n">
        <v>150000</v>
      </c>
      <c r="I570" s="0" t="n">
        <v>0.5</v>
      </c>
      <c r="J570" s="124" t="n">
        <f aca="false">VLOOKUP(G570,NGPrices,2,FALSE())</f>
        <v>4.685</v>
      </c>
      <c r="K570" s="125" t="n">
        <f aca="false">HLOOKUP(D570,Prices,VLOOKUP(G570,move_down,2,FALSE()),FALSE())+VLOOKUP(G570,CHANGE,HLOOKUP(D570,CHANGE,2,FALSE()),FALSE())</f>
        <v>2.5</v>
      </c>
      <c r="L570" s="124" t="n">
        <f aca="false">K570+J570</f>
        <v>7.185</v>
      </c>
      <c r="M570" s="126" t="n">
        <f aca="false">VLOOKUP(G570,NGPrices,4,FALSE())</f>
        <v>0.067216196212185</v>
      </c>
      <c r="N570" s="7" t="n">
        <f aca="false">VLOOKUP(G570,NGPrices,3,FALSE())</f>
        <v>0.4</v>
      </c>
      <c r="O570" s="7" t="n">
        <f aca="false">HLOOKUP(D570,VOLS,VLOOKUP(G570,move_down,2,FALSE()),FALSE())</f>
        <v>0.376</v>
      </c>
      <c r="P570" s="249" t="n">
        <f aca="false">HLOOKUP(D570,Correllate,VLOOKUP(G570,CorMove,2,FALSE()),FALSE())</f>
        <v>0.83</v>
      </c>
      <c r="Q570" s="92" t="n">
        <f aca="false">WORKDAY(G570,-2)</f>
        <v>36768</v>
      </c>
      <c r="R570" s="7" t="n">
        <f aca="false">IF(F570="P",0,1)</f>
        <v>0</v>
      </c>
      <c r="S570" s="130" t="e">
        <f aca="false">xSPRDOPT($L570,$J570,$I570,$M570,$O570,$N570,$P570,$Q570-$C$3,$R570,0)</f>
        <v>#NAME?</v>
      </c>
      <c r="T570" s="250" t="e">
        <f aca="false">xSPRDOPT($L570,$J570,$I570,$M570,$O570,$N570,$P570,$Q570-$C$3,$R570,1)*H570</f>
        <v>#NAME?</v>
      </c>
      <c r="U570" s="43" t="e">
        <f aca="false">S570*H570</f>
        <v>#NAME?</v>
      </c>
      <c r="V570" s="250" t="e">
        <f aca="false">xSPRDOPT($L570,$J570,$I570,$M570,$O570,$N570,$P570,$Q570-$C$3,$R570,2)*H570</f>
        <v>#NAME?</v>
      </c>
      <c r="W570" s="250" t="e">
        <f aca="false">+V570+T570</f>
        <v>#NAME?</v>
      </c>
      <c r="X570" s="2" t="str">
        <f aca="false">CONCATENATE(G570,D570)</f>
        <v>36770NGI-SOCAL</v>
      </c>
      <c r="Y570" s="251" t="n">
        <f aca="false">H570/10000</f>
        <v>15</v>
      </c>
      <c r="Z570" s="226" t="e">
        <f aca="false">T570/H570</f>
        <v>#NAME?</v>
      </c>
      <c r="AA570" s="226" t="e">
        <f aca="false">xSPRDOPT($L570,$J570,$I570,$M570,$O570,$N570,$P570,$Q570-$C$3,$R570,3)</f>
        <v>#NAME?</v>
      </c>
      <c r="AB570" s="226" t="e">
        <f aca="false">((xSPRDOPT($L570+AB$5,$J570,$I570,$M570,$O570,$N570,$P570,$Q570-$C$3,$R570,3)*$H570)/10000)/100</f>
        <v>#NAME?</v>
      </c>
      <c r="AC570" s="226" t="e">
        <f aca="false">((xSPRDOPT($L570+$AB$5,$J570,$I570,$M570,$O570,$N570,$P570,$Q570-$C$3,$R570,7)*$H570)/100)</f>
        <v>#NAME?</v>
      </c>
      <c r="AD570" s="226" t="e">
        <f aca="false">(xSPRDOPT($L570+$AB$5,$J570,$I570,$M570,$O570,$N570,$P570,$Q570-$C$3,$R570,9)/365)*$H570</f>
        <v>#NAME?</v>
      </c>
      <c r="AE570" s="0" t="e">
        <f aca="false">CD570</f>
        <v>#NAME?</v>
      </c>
      <c r="AF570" s="226" t="e">
        <f aca="false">((O570/N570)*AH570)+AG570</f>
        <v>#NAME?</v>
      </c>
      <c r="AG570" s="226" t="e">
        <f aca="false">((xSPRDOPT($L570,$J570,$I570,$M570,$O570,$N570,$P570,$Q570-$C$3,$R570,6)*$H570)/100)</f>
        <v>#NAME?</v>
      </c>
      <c r="AH570" s="226" t="e">
        <f aca="false">((xSPRDOPT($L570,$J570,$I570,$M570,$O570,$N570,$P570,$Q570-$C$3,$R570,5)*$H570)/100)</f>
        <v>#NAME?</v>
      </c>
      <c r="AI570" s="226" t="e">
        <f aca="false">(((xSPRDOPT($L570,$J570,$I570,$M570,$O570,$N570,$P570,$Q570-$C$3,$R570,4)*$H570)/10000)/100)-AB570</f>
        <v>#NAME?</v>
      </c>
      <c r="AJ570" s="226"/>
      <c r="AK570" s="226"/>
      <c r="AL570" s="226"/>
      <c r="CC570" s="182" t="n">
        <f aca="false">G570</f>
        <v>36770</v>
      </c>
      <c r="CD570" s="253" t="e">
        <f aca="false">xSPRDOPT((VLOOKUP(G570,NGPrices,2,FALSE())+HLOOKUP(D570,Prices,VLOOKUP(G570,move_down,2,FALSE()),FALSE())),VLOOKUP(G570,NGPrices,2,FALSE()),I570,VLOOKUP(G570,NGPREVPRICES,4,FALSE()),HLOOKUP(D570,PREVVOLS,VLOOKUP(G570,MOVE_DOWN2,2,FALSE()),FALSE()),VLOOKUP(G570,NGPREVPRICES,3,FALSE()),HLOOKUP(D570,Correllate,VLOOKUP(G570,CorMove,2,FALSE()),FALSE()),Q570-$CD$3,R570,$CD$5)*H570-CJ570</f>
        <v>#NAME?</v>
      </c>
      <c r="CE570" s="253" t="e">
        <f aca="false">xSPRDOPT((VLOOKUP(G570,NGPREVPRICES,2,FALSE())+HLOOKUP(D570,PREVCURVES,VLOOKUP(G570,MOVE_DOWN2,2,FALSE()),FALSE())),VLOOKUP(G570,NGPREVPRICES,2,FALSE()),CK570,VLOOKUP(G570,NGPrices,4,FALSE()),HLOOKUP(D570,PREVVOLS,VLOOKUP(G570,MOVE_DOWN2,2,FALSE()),FALSE()),VLOOKUP(G570,NGPREVPRICES,3,FALSE()),HLOOKUP(D570,Correllate,VLOOKUP(G570,CorMove,2,FALSE()),FALSE()),Q570-$CD$3,R570,$CJ$5)*H570-CJ570</f>
        <v>#NAME?</v>
      </c>
      <c r="CF570" s="132" t="e">
        <f aca="false">(CJ570/VLOOKUP(CC570,discount,3,FALSE()))-(CJ570/VLOOKUP(CC570,discount,2,FALSE()))</f>
        <v>#NAME?</v>
      </c>
      <c r="CG570" s="253" t="e">
        <f aca="false">xSPRDOPT((VLOOKUP(G570,NGPREVPRICES,2,FALSE())+HLOOKUP(D570,PREVCURVES,VLOOKUP(G570,MOVE_DOWN2,2,FALSE()),FALSE())),VLOOKUP(G570,NGPREVPRICES,2,FALSE()),CK570,VLOOKUP(G570,NGPREVPRICES,4,FALSE()),HLOOKUP(D570,VOLS,VLOOKUP(G570,move_down,2,FALSE()),FALSE()),VLOOKUP(G570,NGPrices,3,FALSE()),HLOOKUP(D570,Correllate,VLOOKUP(G570,CorMove,2,FALSE()),FALSE()),Q570-$CD$3,R570,$CJ$5)*H570-CJ570</f>
        <v>#NAME?</v>
      </c>
      <c r="CH570" s="253" t="e">
        <f aca="false">xSPRDOPT((VLOOKUP(G570,NGPREVPRICES,2,FALSE())+HLOOKUP(D570,PREVCURVES,VLOOKUP(G570,MOVE_DOWN2,2,FALSE()),FALSE())),VLOOKUP(G570,NGPREVPRICES,2,FALSE()),CK570,VLOOKUP(G570,NGPREVPRICES,4,FALSE()),HLOOKUP(D570,PREVVOLS,VLOOKUP(G570,MOVE_DOWN2,2,FALSE()),FALSE()),VLOOKUP(G570,NGPREVPRICES,3,FALSE()),HLOOKUP(D570,Correllate,VLOOKUP(G570,CorMove,2,FALSE()),FALSE()),Q570-$C$3,R570,$CJ$5)*H570-CJ570</f>
        <v>#NAME?</v>
      </c>
      <c r="CI570" s="253" t="e">
        <f aca="false">SUM(CD570:CH570)</f>
        <v>#NAME?</v>
      </c>
      <c r="CJ570" s="253" t="e">
        <f aca="false">xSPRDOPT((VLOOKUP(G570,NGPREVPRICES,2,FALSE())+HLOOKUP(D570,PREVCURVES,VLOOKUP(G570,MOVE_DOWN2,2,FALSE()),FALSE())),VLOOKUP(G570,NGPREVPRICES,2,FALSE()),CK570,VLOOKUP(G570,NGPREVPRICES,4,FALSE()),HLOOKUP(D570,PREVVOLS,VLOOKUP(G570,MOVE_DOWN2,2,FALSE()),FALSE()),VLOOKUP(G570,NGPREVPRICES,3,FALSE()),HLOOKUP(D570,Correllate,VLOOKUP(G570,CorMove,2,FALSE()),FALSE()),Q570-$CD$3,R570,$CJ$5)*H570</f>
        <v>#NAME?</v>
      </c>
      <c r="CK570" s="254" t="n">
        <f aca="false">I570</f>
        <v>0.5</v>
      </c>
      <c r="CM570" s="0" t="str">
        <f aca="false">CONCATENATE(CC570,$CD$6)</f>
        <v>36770Curve Shift/Gamma</v>
      </c>
      <c r="CN570" s="0" t="str">
        <f aca="false">CONCATENATE($CC570,$CE$6)</f>
        <v>36770Rho</v>
      </c>
      <c r="CO570" s="0" t="str">
        <f aca="false">CONCATENATE($CC570,$CF$6)</f>
        <v>36770Drift</v>
      </c>
      <c r="CP570" s="0" t="str">
        <f aca="false">CONCATENATE($CC570,$CG$6)</f>
        <v>36770Vega</v>
      </c>
      <c r="CQ570" s="0" t="str">
        <f aca="false">CONCATENATE($CC570,$CH$6)</f>
        <v>36770Theta</v>
      </c>
    </row>
    <row r="571" customFormat="false" ht="12.75" hidden="false" customHeight="false" outlineLevel="0" collapsed="false">
      <c r="A571" s="17" t="s">
        <v>198</v>
      </c>
      <c r="B571" s="0" t="s">
        <v>192</v>
      </c>
      <c r="C571" s="0" t="s">
        <v>389</v>
      </c>
      <c r="D571" s="7" t="s">
        <v>137</v>
      </c>
      <c r="E571" s="0" t="s">
        <v>131</v>
      </c>
      <c r="F571" s="0" t="s">
        <v>136</v>
      </c>
      <c r="G571" s="92" t="n">
        <v>36951</v>
      </c>
      <c r="H571" s="248" t="n">
        <v>155000</v>
      </c>
      <c r="I571" s="0" t="n">
        <v>0.3</v>
      </c>
      <c r="J571" s="124" t="n">
        <f aca="false">VLOOKUP(G571,NGPrices,2,FALSE())</f>
        <v>4.213</v>
      </c>
      <c r="K571" s="125" t="n">
        <f aca="false">HLOOKUP(D571,Prices,VLOOKUP(G571,move_down,2,FALSE()),FALSE())+VLOOKUP(G571,CHANGE,HLOOKUP(D571,CHANGE,2,FALSE()),FALSE())</f>
        <v>0.5975</v>
      </c>
      <c r="L571" s="124" t="n">
        <f aca="false">K571+J571</f>
        <v>4.8105</v>
      </c>
      <c r="M571" s="126" t="n">
        <f aca="false">VLOOKUP(G571,NGPrices,4,FALSE())</f>
        <v>0.068879814952707</v>
      </c>
      <c r="N571" s="7" t="n">
        <f aca="false">VLOOKUP(G571,NGPrices,3,FALSE())</f>
        <v>0.5325</v>
      </c>
      <c r="O571" s="7" t="n">
        <f aca="false">HLOOKUP(D571,VOLS,VLOOKUP(G571,move_down,2,FALSE()),FALSE())</f>
        <v>0.517</v>
      </c>
      <c r="P571" s="249" t="n">
        <f aca="false">HLOOKUP(D571,Correllate,VLOOKUP(G571,CorMove,2,FALSE()),FALSE())</f>
        <v>0.85</v>
      </c>
      <c r="Q571" s="92" t="n">
        <f aca="false">WORKDAY(G571,-2)</f>
        <v>36949</v>
      </c>
      <c r="R571" s="7" t="n">
        <f aca="false">IF(F571="P",0,1)</f>
        <v>1</v>
      </c>
      <c r="S571" s="130" t="e">
        <f aca="false">xSPRDOPT($L571,$J571,$I571,$M571,$O571,$N571,$P571,$Q571-$C$3,$R571,0)</f>
        <v>#NAME?</v>
      </c>
      <c r="T571" s="250" t="e">
        <f aca="false">xSPRDOPT($L571,$J571,$I571,$M571,$O571,$N571,$P571,$Q571-$C$3,$R571,1)*H571</f>
        <v>#NAME?</v>
      </c>
      <c r="U571" s="43" t="e">
        <f aca="false">S571*H571</f>
        <v>#NAME?</v>
      </c>
      <c r="V571" s="250" t="e">
        <f aca="false">xSPRDOPT($L571,$J571,$I571,$M571,$O571,$N571,$P571,$Q571-$C$3,$R571,2)*H571</f>
        <v>#NAME?</v>
      </c>
      <c r="W571" s="250" t="e">
        <f aca="false">+V571+T571</f>
        <v>#NAME?</v>
      </c>
      <c r="X571" s="2" t="str">
        <f aca="false">CONCATENATE(G571,D571)</f>
        <v>36951NGI-SOCAL</v>
      </c>
      <c r="Y571" s="251" t="n">
        <f aca="false">H571/10000</f>
        <v>15.5</v>
      </c>
      <c r="Z571" s="226" t="e">
        <f aca="false">T571/H571</f>
        <v>#NAME?</v>
      </c>
      <c r="AA571" s="226" t="e">
        <f aca="false">xSPRDOPT($L571,$J571,$I571,$M571,$O571,$N571,$P571,$Q571-$C$3,$R571,3)</f>
        <v>#NAME?</v>
      </c>
      <c r="AB571" s="226" t="e">
        <f aca="false">((xSPRDOPT($L571+AB$5,$J571,$I571,$M571,$O571,$N571,$P571,$Q571-$C$3,$R571,3)*$H571)/10000)/100</f>
        <v>#NAME?</v>
      </c>
      <c r="AC571" s="226" t="e">
        <f aca="false">((xSPRDOPT($L571+$AB$5,$J571,$I571,$M571,$O571,$N571,$P571,$Q571-$C$3,$R571,7)*$H571)/100)</f>
        <v>#NAME?</v>
      </c>
      <c r="AD571" s="226" t="e">
        <f aca="false">(xSPRDOPT($L571+$AB$5,$J571,$I571,$M571,$O571,$N571,$P571,$Q571-$C$3,$R571,9)/365)*$H571</f>
        <v>#NAME?</v>
      </c>
      <c r="AE571" s="0" t="e">
        <f aca="false">CD571</f>
        <v>#NAME?</v>
      </c>
      <c r="AF571" s="226" t="e">
        <f aca="false">((O571/N571)*AH571)+AG571</f>
        <v>#NAME?</v>
      </c>
      <c r="AG571" s="226" t="e">
        <f aca="false">((xSPRDOPT($L571,$J571,$I571,$M571,$O571,$N571,$P571,$Q571-$C$3,$R571,6)*$H571)/100)</f>
        <v>#NAME?</v>
      </c>
      <c r="AH571" s="226" t="e">
        <f aca="false">((xSPRDOPT($L571,$J571,$I571,$M571,$O571,$N571,$P571,$Q571-$C$3,$R571,5)*$H571)/100)</f>
        <v>#NAME?</v>
      </c>
      <c r="AI571" s="226" t="e">
        <f aca="false">(((xSPRDOPT($L571,$J571,$I571,$M571,$O571,$N571,$P571,$Q571-$C$3,$R571,4)*$H571)/10000)/100)-AB571</f>
        <v>#NAME?</v>
      </c>
      <c r="AJ571" s="226"/>
      <c r="AK571" s="226"/>
      <c r="AL571" s="226"/>
      <c r="CC571" s="182" t="n">
        <f aca="false">G571</f>
        <v>36951</v>
      </c>
      <c r="CD571" s="253" t="e">
        <f aca="false">xSPRDOPT((VLOOKUP(G571,NGPrices,2,FALSE())+HLOOKUP(D571,Prices,VLOOKUP(G571,move_down,2,FALSE()),FALSE())),VLOOKUP(G571,NGPrices,2,FALSE()),I571,VLOOKUP(G571,NGPREVPRICES,4,FALSE()),HLOOKUP(D571,PREVVOLS,VLOOKUP(G571,MOVE_DOWN2,2,FALSE()),FALSE()),VLOOKUP(G571,NGPREVPRICES,3,FALSE()),HLOOKUP(D571,Correllate,VLOOKUP(G571,CorMove,2,FALSE()),FALSE()),Q571-$CD$3,R571,$CD$5)*H571-CJ571</f>
        <v>#NAME?</v>
      </c>
      <c r="CE571" s="253" t="e">
        <f aca="false">xSPRDOPT((VLOOKUP(G571,NGPREVPRICES,2,FALSE())+HLOOKUP(D571,PREVCURVES,VLOOKUP(G571,MOVE_DOWN2,2,FALSE()),FALSE())),VLOOKUP(G571,NGPREVPRICES,2,FALSE()),CK571,VLOOKUP(G571,NGPrices,4,FALSE()),HLOOKUP(D571,PREVVOLS,VLOOKUP(G571,MOVE_DOWN2,2,FALSE()),FALSE()),VLOOKUP(G571,NGPREVPRICES,3,FALSE()),HLOOKUP(D571,Correllate,VLOOKUP(G571,CorMove,2,FALSE()),FALSE()),Q571-$CD$3,R571,$CJ$5)*H571-CJ571</f>
        <v>#NAME?</v>
      </c>
      <c r="CF571" s="132" t="e">
        <f aca="false">(CJ571/VLOOKUP(CC571,discount,3,FALSE()))-(CJ571/VLOOKUP(CC571,discount,2,FALSE()))</f>
        <v>#NAME?</v>
      </c>
      <c r="CG571" s="253" t="e">
        <f aca="false">xSPRDOPT((VLOOKUP(G571,NGPREVPRICES,2,FALSE())+HLOOKUP(D571,PREVCURVES,VLOOKUP(G571,MOVE_DOWN2,2,FALSE()),FALSE())),VLOOKUP(G571,NGPREVPRICES,2,FALSE()),CK571,VLOOKUP(G571,NGPREVPRICES,4,FALSE()),HLOOKUP(D571,VOLS,VLOOKUP(G571,move_down,2,FALSE()),FALSE()),VLOOKUP(G571,NGPrices,3,FALSE()),HLOOKUP(D571,Correllate,VLOOKUP(G571,CorMove,2,FALSE()),FALSE()),Q571-$CD$3,R571,$CJ$5)*H571-CJ571</f>
        <v>#NAME?</v>
      </c>
      <c r="CH571" s="253" t="e">
        <f aca="false">xSPRDOPT((VLOOKUP(G571,NGPREVPRICES,2,FALSE())+HLOOKUP(D571,PREVCURVES,VLOOKUP(G571,MOVE_DOWN2,2,FALSE()),FALSE())),VLOOKUP(G571,NGPREVPRICES,2,FALSE()),CK571,VLOOKUP(G571,NGPREVPRICES,4,FALSE()),HLOOKUP(D571,PREVVOLS,VLOOKUP(G571,MOVE_DOWN2,2,FALSE()),FALSE()),VLOOKUP(G571,NGPREVPRICES,3,FALSE()),HLOOKUP(D571,Correllate,VLOOKUP(G571,CorMove,2,FALSE()),FALSE()),Q571-$C$3,R571,$CJ$5)*H571-CJ571</f>
        <v>#NAME?</v>
      </c>
      <c r="CI571" s="253" t="e">
        <f aca="false">SUM(CD571:CH571)</f>
        <v>#NAME?</v>
      </c>
      <c r="CJ571" s="253" t="e">
        <f aca="false">xSPRDOPT((VLOOKUP(G571,NGPREVPRICES,2,FALSE())+HLOOKUP(D571,PREVCURVES,VLOOKUP(G571,MOVE_DOWN2,2,FALSE()),FALSE())),VLOOKUP(G571,NGPREVPRICES,2,FALSE()),CK571,VLOOKUP(G571,NGPREVPRICES,4,FALSE()),HLOOKUP(D571,PREVVOLS,VLOOKUP(G571,MOVE_DOWN2,2,FALSE()),FALSE()),VLOOKUP(G571,NGPREVPRICES,3,FALSE()),HLOOKUP(D571,Correllate,VLOOKUP(G571,CorMove,2,FALSE()),FALSE()),Q571-$CD$3,R571,$CJ$5)*H571</f>
        <v>#NAME?</v>
      </c>
      <c r="CK571" s="254" t="n">
        <f aca="false">I571</f>
        <v>0.3</v>
      </c>
      <c r="CM571" s="0" t="str">
        <f aca="false">CONCATENATE(CC571,$CD$6)</f>
        <v>36951Curve Shift/Gamma</v>
      </c>
      <c r="CN571" s="0" t="str">
        <f aca="false">CONCATENATE($CC571,$CE$6)</f>
        <v>36951Rho</v>
      </c>
      <c r="CO571" s="0" t="str">
        <f aca="false">CONCATENATE($CC571,$CF$6)</f>
        <v>36951Drift</v>
      </c>
      <c r="CP571" s="0" t="str">
        <f aca="false">CONCATENATE($CC571,$CG$6)</f>
        <v>36951Vega</v>
      </c>
      <c r="CQ571" s="0" t="str">
        <f aca="false">CONCATENATE($CC571,$CH$6)</f>
        <v>36951Theta</v>
      </c>
    </row>
    <row r="572" customFormat="false" ht="12.75" hidden="false" customHeight="false" outlineLevel="0" collapsed="false">
      <c r="A572" s="17" t="s">
        <v>198</v>
      </c>
      <c r="B572" s="0" t="s">
        <v>192</v>
      </c>
      <c r="C572" s="0" t="s">
        <v>389</v>
      </c>
      <c r="D572" s="7" t="s">
        <v>137</v>
      </c>
      <c r="E572" s="0" t="s">
        <v>131</v>
      </c>
      <c r="F572" s="0" t="s">
        <v>136</v>
      </c>
      <c r="G572" s="92" t="n">
        <v>36923</v>
      </c>
      <c r="H572" s="248" t="n">
        <v>140000</v>
      </c>
      <c r="I572" s="0" t="n">
        <v>0.3</v>
      </c>
      <c r="J572" s="124" t="n">
        <f aca="false">VLOOKUP(G572,NGPrices,2,FALSE())</f>
        <v>4.48</v>
      </c>
      <c r="K572" s="125" t="n">
        <f aca="false">HLOOKUP(D572,Prices,VLOOKUP(G572,move_down,2,FALSE()),FALSE())+VLOOKUP(G572,CHANGE,HLOOKUP(D572,CHANGE,2,FALSE()),FALSE())</f>
        <v>0.6175</v>
      </c>
      <c r="L572" s="124" t="n">
        <f aca="false">K572+J572</f>
        <v>5.0975</v>
      </c>
      <c r="M572" s="126" t="n">
        <f aca="false">VLOOKUP(G572,NGPrices,4,FALSE())</f>
        <v>0.068640161611372</v>
      </c>
      <c r="N572" s="7" t="n">
        <f aca="false">VLOOKUP(G572,NGPrices,3,FALSE())</f>
        <v>0.5925</v>
      </c>
      <c r="O572" s="7" t="n">
        <f aca="false">HLOOKUP(D572,VOLS,VLOOKUP(G572,move_down,2,FALSE()),FALSE())</f>
        <v>0.575</v>
      </c>
      <c r="P572" s="249" t="n">
        <f aca="false">HLOOKUP(D572,Correllate,VLOOKUP(G572,CorMove,2,FALSE()),FALSE())</f>
        <v>0.85</v>
      </c>
      <c r="Q572" s="92" t="n">
        <f aca="false">WORKDAY(G572,-2)</f>
        <v>36921</v>
      </c>
      <c r="R572" s="7" t="n">
        <f aca="false">IF(F572="P",0,1)</f>
        <v>1</v>
      </c>
      <c r="S572" s="130" t="e">
        <f aca="false">xSPRDOPT($L572,$J572,$I572,$M572,$O572,$N572,$P572,$Q572-$C$3,$R572,0)</f>
        <v>#NAME?</v>
      </c>
      <c r="T572" s="250" t="e">
        <f aca="false">xSPRDOPT($L572,$J572,$I572,$M572,$O572,$N572,$P572,$Q572-$C$3,$R572,1)*H572</f>
        <v>#NAME?</v>
      </c>
      <c r="U572" s="43" t="e">
        <f aca="false">S572*H572</f>
        <v>#NAME?</v>
      </c>
      <c r="V572" s="250" t="e">
        <f aca="false">xSPRDOPT($L572,$J572,$I572,$M572,$O572,$N572,$P572,$Q572-$C$3,$R572,2)*H572</f>
        <v>#NAME?</v>
      </c>
      <c r="W572" s="250" t="e">
        <f aca="false">+V572+T572</f>
        <v>#NAME?</v>
      </c>
      <c r="X572" s="2" t="str">
        <f aca="false">CONCATENATE(G572,D572)</f>
        <v>36923NGI-SOCAL</v>
      </c>
      <c r="Y572" s="251" t="n">
        <f aca="false">H572/10000</f>
        <v>14</v>
      </c>
      <c r="Z572" s="226" t="e">
        <f aca="false">T572/H572</f>
        <v>#NAME?</v>
      </c>
      <c r="AA572" s="226" t="e">
        <f aca="false">xSPRDOPT($L572,$J572,$I572,$M572,$O572,$N572,$P572,$Q572-$C$3,$R572,3)</f>
        <v>#NAME?</v>
      </c>
      <c r="AB572" s="226" t="e">
        <f aca="false">((xSPRDOPT($L572+AB$5,$J572,$I572,$M572,$O572,$N572,$P572,$Q572-$C$3,$R572,3)*$H572)/10000)/100</f>
        <v>#NAME?</v>
      </c>
      <c r="AC572" s="226" t="e">
        <f aca="false">((xSPRDOPT($L572+$AB$5,$J572,$I572,$M572,$O572,$N572,$P572,$Q572-$C$3,$R572,7)*$H572)/100)</f>
        <v>#NAME?</v>
      </c>
      <c r="AD572" s="226" t="e">
        <f aca="false">(xSPRDOPT($L572+$AB$5,$J572,$I572,$M572,$O572,$N572,$P572,$Q572-$C$3,$R572,9)/365)*$H572</f>
        <v>#NAME?</v>
      </c>
      <c r="AE572" s="0" t="e">
        <f aca="false">CD572</f>
        <v>#NAME?</v>
      </c>
      <c r="AF572" s="226" t="e">
        <f aca="false">((O572/N572)*AH572)+AG572</f>
        <v>#NAME?</v>
      </c>
      <c r="AG572" s="226" t="e">
        <f aca="false">((xSPRDOPT($L572,$J572,$I572,$M572,$O572,$N572,$P572,$Q572-$C$3,$R572,6)*$H572)/100)</f>
        <v>#NAME?</v>
      </c>
      <c r="AH572" s="226" t="e">
        <f aca="false">((xSPRDOPT($L572,$J572,$I572,$M572,$O572,$N572,$P572,$Q572-$C$3,$R572,5)*$H572)/100)</f>
        <v>#NAME?</v>
      </c>
      <c r="AI572" s="226" t="e">
        <f aca="false">(((xSPRDOPT($L572,$J572,$I572,$M572,$O572,$N572,$P572,$Q572-$C$3,$R572,4)*$H572)/10000)/100)-AB572</f>
        <v>#NAME?</v>
      </c>
      <c r="AJ572" s="226"/>
      <c r="AK572" s="226"/>
      <c r="CC572" s="182" t="n">
        <f aca="false">G572</f>
        <v>36923</v>
      </c>
      <c r="CD572" s="253" t="e">
        <f aca="false">xSPRDOPT((VLOOKUP(G572,NGPrices,2,FALSE())+HLOOKUP(D572,Prices,VLOOKUP(G572,move_down,2,FALSE()),FALSE())),VLOOKUP(G572,NGPrices,2,FALSE()),I572,VLOOKUP(G572,NGPREVPRICES,4,FALSE()),HLOOKUP(D572,PREVVOLS,VLOOKUP(G572,MOVE_DOWN2,2,FALSE()),FALSE()),VLOOKUP(G572,NGPREVPRICES,3,FALSE()),HLOOKUP(D572,Correllate,VLOOKUP(G572,CorMove,2,FALSE()),FALSE()),Q572-$CD$3,R572,$CD$5)*H572-CJ572</f>
        <v>#NAME?</v>
      </c>
      <c r="CE572" s="253" t="e">
        <f aca="false">xSPRDOPT((VLOOKUP(G572,NGPREVPRICES,2,FALSE())+HLOOKUP(D572,PREVCURVES,VLOOKUP(G572,MOVE_DOWN2,2,FALSE()),FALSE())),VLOOKUP(G572,NGPREVPRICES,2,FALSE()),CK572,VLOOKUP(G572,NGPrices,4,FALSE()),HLOOKUP(D572,PREVVOLS,VLOOKUP(G572,MOVE_DOWN2,2,FALSE()),FALSE()),VLOOKUP(G572,NGPREVPRICES,3,FALSE()),HLOOKUP(D572,Correllate,VLOOKUP(G572,CorMove,2,FALSE()),FALSE()),Q572-$CD$3,R572,$CJ$5)*H572-CJ572</f>
        <v>#NAME?</v>
      </c>
      <c r="CF572" s="132" t="e">
        <f aca="false">(CJ572/VLOOKUP(CC572,discount,3,FALSE()))-(CJ572/VLOOKUP(CC572,discount,2,FALSE()))</f>
        <v>#NAME?</v>
      </c>
      <c r="CG572" s="253" t="e">
        <f aca="false">xSPRDOPT((VLOOKUP(G572,NGPREVPRICES,2,FALSE())+HLOOKUP(D572,PREVCURVES,VLOOKUP(G572,MOVE_DOWN2,2,FALSE()),FALSE())),VLOOKUP(G572,NGPREVPRICES,2,FALSE()),CK572,VLOOKUP(G572,NGPREVPRICES,4,FALSE()),HLOOKUP(D572,VOLS,VLOOKUP(G572,move_down,2,FALSE()),FALSE()),VLOOKUP(G572,NGPrices,3,FALSE()),HLOOKUP(D572,Correllate,VLOOKUP(G572,CorMove,2,FALSE()),FALSE()),Q572-$CD$3,R572,$CJ$5)*H572-CJ572</f>
        <v>#NAME?</v>
      </c>
      <c r="CH572" s="253" t="e">
        <f aca="false">xSPRDOPT((VLOOKUP(G572,NGPREVPRICES,2,FALSE())+HLOOKUP(D572,PREVCURVES,VLOOKUP(G572,MOVE_DOWN2,2,FALSE()),FALSE())),VLOOKUP(G572,NGPREVPRICES,2,FALSE()),CK572,VLOOKUP(G572,NGPREVPRICES,4,FALSE()),HLOOKUP(D572,PREVVOLS,VLOOKUP(G572,MOVE_DOWN2,2,FALSE()),FALSE()),VLOOKUP(G572,NGPREVPRICES,3,FALSE()),HLOOKUP(D572,Correllate,VLOOKUP(G572,CorMove,2,FALSE()),FALSE()),Q572-$C$3,R572,$CJ$5)*H572-CJ572</f>
        <v>#NAME?</v>
      </c>
      <c r="CI572" s="253" t="e">
        <f aca="false">SUM(CD572:CH572)</f>
        <v>#NAME?</v>
      </c>
      <c r="CJ572" s="253" t="e">
        <f aca="false">xSPRDOPT((VLOOKUP(G572,NGPREVPRICES,2,FALSE())+HLOOKUP(D572,PREVCURVES,VLOOKUP(G572,MOVE_DOWN2,2,FALSE()),FALSE())),VLOOKUP(G572,NGPREVPRICES,2,FALSE()),CK572,VLOOKUP(G572,NGPREVPRICES,4,FALSE()),HLOOKUP(D572,PREVVOLS,VLOOKUP(G572,MOVE_DOWN2,2,FALSE()),FALSE()),VLOOKUP(G572,NGPREVPRICES,3,FALSE()),HLOOKUP(D572,Correllate,VLOOKUP(G572,CorMove,2,FALSE()),FALSE()),Q572-$CD$3,R572,$CJ$5)*H572</f>
        <v>#NAME?</v>
      </c>
      <c r="CK572" s="254" t="n">
        <f aca="false">I572</f>
        <v>0.3</v>
      </c>
      <c r="CM572" s="0" t="str">
        <f aca="false">CONCATENATE(CC572,$CD$6)</f>
        <v>36923Curve Shift/Gamma</v>
      </c>
      <c r="CN572" s="0" t="str">
        <f aca="false">CONCATENATE($CC572,$CE$6)</f>
        <v>36923Rho</v>
      </c>
      <c r="CO572" s="0" t="str">
        <f aca="false">CONCATENATE($CC572,$CF$6)</f>
        <v>36923Drift</v>
      </c>
      <c r="CP572" s="0" t="str">
        <f aca="false">CONCATENATE($CC572,$CG$6)</f>
        <v>36923Vega</v>
      </c>
      <c r="CQ572" s="0" t="str">
        <f aca="false">CONCATENATE($CC572,$CH$6)</f>
        <v>36923Theta</v>
      </c>
    </row>
    <row r="573" customFormat="false" ht="12.75" hidden="false" customHeight="false" outlineLevel="0" collapsed="false">
      <c r="A573" s="17" t="s">
        <v>198</v>
      </c>
      <c r="B573" s="0" t="s">
        <v>192</v>
      </c>
      <c r="C573" s="0" t="s">
        <v>389</v>
      </c>
      <c r="D573" s="7" t="s">
        <v>137</v>
      </c>
      <c r="E573" s="0" t="s">
        <v>131</v>
      </c>
      <c r="F573" s="0" t="s">
        <v>136</v>
      </c>
      <c r="G573" s="92" t="n">
        <v>36892</v>
      </c>
      <c r="H573" s="248" t="n">
        <v>155000</v>
      </c>
      <c r="I573" s="0" t="n">
        <v>0.3</v>
      </c>
      <c r="J573" s="124" t="n">
        <f aca="false">VLOOKUP(G573,NGPrices,2,FALSE())</f>
        <v>4.744</v>
      </c>
      <c r="K573" s="125" t="n">
        <f aca="false">HLOOKUP(D573,Prices,VLOOKUP(G573,move_down,2,FALSE()),FALSE())+VLOOKUP(G573,CHANGE,HLOOKUP(D573,CHANGE,2,FALSE()),FALSE())</f>
        <v>0.7675</v>
      </c>
      <c r="L573" s="124" t="n">
        <f aca="false">K573+J573</f>
        <v>5.5115</v>
      </c>
      <c r="M573" s="126" t="n">
        <f aca="false">VLOOKUP(G573,NGPrices,4,FALSE())</f>
        <v>0.068374831148491</v>
      </c>
      <c r="N573" s="7" t="n">
        <f aca="false">VLOOKUP(G573,NGPrices,3,FALSE())</f>
        <v>0.605</v>
      </c>
      <c r="O573" s="7" t="n">
        <f aca="false">HLOOKUP(D573,VOLS,VLOOKUP(G573,move_down,2,FALSE()),FALSE())</f>
        <v>0.587</v>
      </c>
      <c r="P573" s="249" t="n">
        <f aca="false">HLOOKUP(D573,Correllate,VLOOKUP(G573,CorMove,2,FALSE()),FALSE())</f>
        <v>0.85</v>
      </c>
      <c r="Q573" s="92" t="n">
        <f aca="false">WORKDAY(G573,-2)</f>
        <v>36888</v>
      </c>
      <c r="R573" s="7" t="n">
        <f aca="false">IF(F573="P",0,1)</f>
        <v>1</v>
      </c>
      <c r="S573" s="130" t="e">
        <f aca="false">xSPRDOPT($L573,$J573,$I573,$M573,$O573,$N573,$P573,$Q573-$C$3,$R573,0)</f>
        <v>#NAME?</v>
      </c>
      <c r="T573" s="250" t="e">
        <f aca="false">xSPRDOPT($L573,$J573,$I573,$M573,$O573,$N573,$P573,$Q573-$C$3,$R573,1)*H573</f>
        <v>#NAME?</v>
      </c>
      <c r="U573" s="43" t="e">
        <f aca="false">S573*H573</f>
        <v>#NAME?</v>
      </c>
      <c r="V573" s="250" t="e">
        <f aca="false">xSPRDOPT($L573,$J573,$I573,$M573,$O573,$N573,$P573,$Q573-$C$3,$R573,2)*H573</f>
        <v>#NAME?</v>
      </c>
      <c r="W573" s="250" t="e">
        <f aca="false">+V573+T573</f>
        <v>#NAME?</v>
      </c>
      <c r="X573" s="2" t="str">
        <f aca="false">CONCATENATE(G573,D573)</f>
        <v>36892NGI-SOCAL</v>
      </c>
      <c r="Y573" s="251" t="n">
        <f aca="false">H573/10000</f>
        <v>15.5</v>
      </c>
      <c r="Z573" s="226" t="e">
        <f aca="false">T573/H573</f>
        <v>#NAME?</v>
      </c>
      <c r="AA573" s="226" t="e">
        <f aca="false">xSPRDOPT($L573,$J573,$I573,$M573,$O573,$N573,$P573,$Q573-$C$3,$R573,3)</f>
        <v>#NAME?</v>
      </c>
      <c r="AB573" s="226" t="e">
        <f aca="false">((xSPRDOPT($L573+AB$5,$J573,$I573,$M573,$O573,$N573,$P573,$Q573-$C$3,$R573,3)*$H573)/10000)/100</f>
        <v>#NAME?</v>
      </c>
      <c r="AC573" s="226" t="e">
        <f aca="false">((xSPRDOPT($L573+$AB$5,$J573,$I573,$M573,$O573,$N573,$P573,$Q573-$C$3,$R573,7)*$H573)/100)</f>
        <v>#NAME?</v>
      </c>
      <c r="AD573" s="226" t="e">
        <f aca="false">(xSPRDOPT($L573+$AB$5,$J573,$I573,$M573,$O573,$N573,$P573,$Q573-$C$3,$R573,9)/365)*$H573</f>
        <v>#NAME?</v>
      </c>
      <c r="AE573" s="0" t="e">
        <f aca="false">CD573</f>
        <v>#NAME?</v>
      </c>
      <c r="AF573" s="226" t="e">
        <f aca="false">((O573/N573)*AH573)+AG573</f>
        <v>#NAME?</v>
      </c>
      <c r="AG573" s="226" t="e">
        <f aca="false">((xSPRDOPT($L573,$J573,$I573,$M573,$O573,$N573,$P573,$Q573-$C$3,$R573,6)*$H573)/100)</f>
        <v>#NAME?</v>
      </c>
      <c r="AH573" s="226" t="e">
        <f aca="false">((xSPRDOPT($L573,$J573,$I573,$M573,$O573,$N573,$P573,$Q573-$C$3,$R573,5)*$H573)/100)</f>
        <v>#NAME?</v>
      </c>
      <c r="AI573" s="226" t="e">
        <f aca="false">(((xSPRDOPT($L573,$J573,$I573,$M573,$O573,$N573,$P573,$Q573-$C$3,$R573,4)*$H573)/10000)/100)-AB573</f>
        <v>#NAME?</v>
      </c>
      <c r="AJ573" s="226"/>
      <c r="AK573" s="226"/>
      <c r="CC573" s="182" t="n">
        <f aca="false">G573</f>
        <v>36892</v>
      </c>
      <c r="CD573" s="253" t="e">
        <f aca="false">xSPRDOPT((VLOOKUP(G573,NGPrices,2,FALSE())+HLOOKUP(D573,Prices,VLOOKUP(G573,move_down,2,FALSE()),FALSE())),VLOOKUP(G573,NGPrices,2,FALSE()),I573,VLOOKUP(G573,NGPREVPRICES,4,FALSE()),HLOOKUP(D573,PREVVOLS,VLOOKUP(G573,MOVE_DOWN2,2,FALSE()),FALSE()),VLOOKUP(G573,NGPREVPRICES,3,FALSE()),HLOOKUP(D573,Correllate,VLOOKUP(G573,CorMove,2,FALSE()),FALSE()),Q573-$CD$3,R573,$CD$5)*H573-CJ573</f>
        <v>#NAME?</v>
      </c>
      <c r="CE573" s="253" t="e">
        <f aca="false">xSPRDOPT((VLOOKUP(G573,NGPREVPRICES,2,FALSE())+HLOOKUP(D573,PREVCURVES,VLOOKUP(G573,MOVE_DOWN2,2,FALSE()),FALSE())),VLOOKUP(G573,NGPREVPRICES,2,FALSE()),CK573,VLOOKUP(G573,NGPrices,4,FALSE()),HLOOKUP(D573,PREVVOLS,VLOOKUP(G573,MOVE_DOWN2,2,FALSE()),FALSE()),VLOOKUP(G573,NGPREVPRICES,3,FALSE()),HLOOKUP(D573,Correllate,VLOOKUP(G573,CorMove,2,FALSE()),FALSE()),Q573-$CD$3,R573,$CJ$5)*H573-CJ573</f>
        <v>#NAME?</v>
      </c>
      <c r="CF573" s="132" t="e">
        <f aca="false">(CJ573/VLOOKUP(CC573,discount,3,FALSE()))-(CJ573/VLOOKUP(CC573,discount,2,FALSE()))</f>
        <v>#NAME?</v>
      </c>
      <c r="CG573" s="253" t="e">
        <f aca="false">xSPRDOPT((VLOOKUP(G573,NGPREVPRICES,2,FALSE())+HLOOKUP(D573,PREVCURVES,VLOOKUP(G573,MOVE_DOWN2,2,FALSE()),FALSE())),VLOOKUP(G573,NGPREVPRICES,2,FALSE()),CK573,VLOOKUP(G573,NGPREVPRICES,4,FALSE()),HLOOKUP(D573,VOLS,VLOOKUP(G573,move_down,2,FALSE()),FALSE()),VLOOKUP(G573,NGPrices,3,FALSE()),HLOOKUP(D573,Correllate,VLOOKUP(G573,CorMove,2,FALSE()),FALSE()),Q573-$CD$3,R573,$CJ$5)*H573-CJ573</f>
        <v>#NAME?</v>
      </c>
      <c r="CH573" s="253" t="e">
        <f aca="false">xSPRDOPT((VLOOKUP(G573,NGPREVPRICES,2,FALSE())+HLOOKUP(D573,PREVCURVES,VLOOKUP(G573,MOVE_DOWN2,2,FALSE()),FALSE())),VLOOKUP(G573,NGPREVPRICES,2,FALSE()),CK573,VLOOKUP(G573,NGPREVPRICES,4,FALSE()),HLOOKUP(D573,PREVVOLS,VLOOKUP(G573,MOVE_DOWN2,2,FALSE()),FALSE()),VLOOKUP(G573,NGPREVPRICES,3,FALSE()),HLOOKUP(D573,Correllate,VLOOKUP(G573,CorMove,2,FALSE()),FALSE()),Q573-$C$3,R573,$CJ$5)*H573-CJ573</f>
        <v>#NAME?</v>
      </c>
      <c r="CI573" s="253" t="e">
        <f aca="false">SUM(CD573:CH573)</f>
        <v>#NAME?</v>
      </c>
      <c r="CJ573" s="253" t="e">
        <f aca="false">xSPRDOPT((VLOOKUP(G573,NGPREVPRICES,2,FALSE())+HLOOKUP(D573,PREVCURVES,VLOOKUP(G573,MOVE_DOWN2,2,FALSE()),FALSE())),VLOOKUP(G573,NGPREVPRICES,2,FALSE()),CK573,VLOOKUP(G573,NGPREVPRICES,4,FALSE()),HLOOKUP(D573,PREVVOLS,VLOOKUP(G573,MOVE_DOWN2,2,FALSE()),FALSE()),VLOOKUP(G573,NGPREVPRICES,3,FALSE()),HLOOKUP(D573,Correllate,VLOOKUP(G573,CorMove,2,FALSE()),FALSE()),Q573-$CD$3,R573,$CJ$5)*H573</f>
        <v>#NAME?</v>
      </c>
      <c r="CK573" s="254" t="n">
        <f aca="false">I573</f>
        <v>0.3</v>
      </c>
      <c r="CM573" s="0" t="str">
        <f aca="false">CONCATENATE(CC573,$CD$6)</f>
        <v>36892Curve Shift/Gamma</v>
      </c>
      <c r="CN573" s="0" t="str">
        <f aca="false">CONCATENATE($CC573,$CE$6)</f>
        <v>36892Rho</v>
      </c>
      <c r="CO573" s="0" t="str">
        <f aca="false">CONCATENATE($CC573,$CF$6)</f>
        <v>36892Drift</v>
      </c>
      <c r="CP573" s="0" t="str">
        <f aca="false">CONCATENATE($CC573,$CG$6)</f>
        <v>36892Vega</v>
      </c>
      <c r="CQ573" s="0" t="str">
        <f aca="false">CONCATENATE($CC573,$CH$6)</f>
        <v>36892Theta</v>
      </c>
    </row>
    <row r="574" customFormat="false" ht="12.75" hidden="false" customHeight="false" outlineLevel="0" collapsed="false">
      <c r="A574" s="17" t="s">
        <v>198</v>
      </c>
      <c r="B574" s="0" t="s">
        <v>192</v>
      </c>
      <c r="C574" s="0" t="s">
        <v>389</v>
      </c>
      <c r="D574" s="7" t="s">
        <v>137</v>
      </c>
      <c r="E574" s="0" t="s">
        <v>131</v>
      </c>
      <c r="F574" s="0" t="s">
        <v>136</v>
      </c>
      <c r="G574" s="92" t="n">
        <v>36861</v>
      </c>
      <c r="H574" s="248" t="n">
        <v>155000</v>
      </c>
      <c r="I574" s="0" t="n">
        <v>0.3</v>
      </c>
      <c r="J574" s="124" t="n">
        <f aca="false">VLOOKUP(G574,NGPrices,2,FALSE())</f>
        <v>4.8</v>
      </c>
      <c r="K574" s="125" t="n">
        <f aca="false">HLOOKUP(D574,Prices,VLOOKUP(G574,move_down,2,FALSE()),FALSE())+VLOOKUP(G574,CHANGE,HLOOKUP(D574,CHANGE,2,FALSE()),FALSE())</f>
        <v>1.005</v>
      </c>
      <c r="L574" s="124" t="n">
        <f aca="false">K574+J574</f>
        <v>5.805</v>
      </c>
      <c r="M574" s="126" t="n">
        <f aca="false">VLOOKUP(G574,NGPrices,4,FALSE())</f>
        <v>0.068314027999354</v>
      </c>
      <c r="N574" s="7" t="n">
        <f aca="false">VLOOKUP(G574,NGPrices,3,FALSE())</f>
        <v>0.6</v>
      </c>
      <c r="O574" s="7" t="n">
        <f aca="false">HLOOKUP(D574,VOLS,VLOOKUP(G574,move_down,2,FALSE()),FALSE())</f>
        <v>0.582</v>
      </c>
      <c r="P574" s="249" t="n">
        <f aca="false">HLOOKUP(D574,Correllate,VLOOKUP(G574,CorMove,2,FALSE()),FALSE())</f>
        <v>0.85</v>
      </c>
      <c r="Q574" s="92" t="n">
        <f aca="false">WORKDAY(G574,-2)</f>
        <v>36859</v>
      </c>
      <c r="R574" s="7" t="n">
        <f aca="false">IF(F574="P",0,1)</f>
        <v>1</v>
      </c>
      <c r="S574" s="130" t="e">
        <f aca="false">xSPRDOPT($L574,$J574,$I574,$M574,$O574,$N574,$P574,$Q574-$C$3,$R574,0)</f>
        <v>#NAME?</v>
      </c>
      <c r="T574" s="250" t="e">
        <f aca="false">xSPRDOPT($L574,$J574,$I574,$M574,$O574,$N574,$P574,$Q574-$C$3,$R574,1)*H574</f>
        <v>#NAME?</v>
      </c>
      <c r="U574" s="43" t="e">
        <f aca="false">S574*H574</f>
        <v>#NAME?</v>
      </c>
      <c r="V574" s="250" t="e">
        <f aca="false">xSPRDOPT($L574,$J574,$I574,$M574,$O574,$N574,$P574,$Q574-$C$3,$R574,2)*H574</f>
        <v>#NAME?</v>
      </c>
      <c r="W574" s="250" t="e">
        <f aca="false">+V574+T574</f>
        <v>#NAME?</v>
      </c>
      <c r="X574" s="2" t="str">
        <f aca="false">CONCATENATE(G574,D574)</f>
        <v>36861NGI-SOCAL</v>
      </c>
      <c r="Y574" s="251" t="n">
        <f aca="false">H574/10000</f>
        <v>15.5</v>
      </c>
      <c r="Z574" s="226" t="e">
        <f aca="false">T574/H574</f>
        <v>#NAME?</v>
      </c>
      <c r="AA574" s="226" t="e">
        <f aca="false">xSPRDOPT($L574,$J574,$I574,$M574,$O574,$N574,$P574,$Q574-$C$3,$R574,3)</f>
        <v>#NAME?</v>
      </c>
      <c r="AB574" s="226" t="e">
        <f aca="false">((xSPRDOPT($L574+AB$5,$J574,$I574,$M574,$O574,$N574,$P574,$Q574-$C$3,$R574,3)*$H574)/10000)/100</f>
        <v>#NAME?</v>
      </c>
      <c r="AC574" s="226" t="e">
        <f aca="false">((xSPRDOPT($L574+$AB$5,$J574,$I574,$M574,$O574,$N574,$P574,$Q574-$C$3,$R574,7)*$H574)/100)</f>
        <v>#NAME?</v>
      </c>
      <c r="AD574" s="226" t="e">
        <f aca="false">(xSPRDOPT($L574+$AB$5,$J574,$I574,$M574,$O574,$N574,$P574,$Q574-$C$3,$R574,9)/365)*$H574</f>
        <v>#NAME?</v>
      </c>
      <c r="AE574" s="0" t="e">
        <f aca="false">CD574</f>
        <v>#NAME?</v>
      </c>
      <c r="AF574" s="226" t="e">
        <f aca="false">((O574/N574)*AH574)+AG574</f>
        <v>#NAME?</v>
      </c>
      <c r="AG574" s="226" t="e">
        <f aca="false">((xSPRDOPT($L574,$J574,$I574,$M574,$O574,$N574,$P574,$Q574-$C$3,$R574,6)*$H574)/100)</f>
        <v>#NAME?</v>
      </c>
      <c r="AH574" s="226" t="e">
        <f aca="false">((xSPRDOPT($L574,$J574,$I574,$M574,$O574,$N574,$P574,$Q574-$C$3,$R574,5)*$H574)/100)</f>
        <v>#NAME?</v>
      </c>
      <c r="AI574" s="226" t="e">
        <f aca="false">(((xSPRDOPT($L574,$J574,$I574,$M574,$O574,$N574,$P574,$Q574-$C$3,$R574,4)*$H574)/10000)/100)-AB574</f>
        <v>#NAME?</v>
      </c>
      <c r="AJ574" s="226"/>
      <c r="AK574" s="226"/>
      <c r="CC574" s="182" t="n">
        <f aca="false">G574</f>
        <v>36861</v>
      </c>
      <c r="CD574" s="253" t="e">
        <f aca="false">xSPRDOPT((VLOOKUP(G574,NGPrices,2,FALSE())+HLOOKUP(D574,Prices,VLOOKUP(G574,move_down,2,FALSE()),FALSE())),VLOOKUP(G574,NGPrices,2,FALSE()),I574,VLOOKUP(G574,NGPREVPRICES,4,FALSE()),HLOOKUP(D574,PREVVOLS,VLOOKUP(G574,MOVE_DOWN2,2,FALSE()),FALSE()),VLOOKUP(G574,NGPREVPRICES,3,FALSE()),HLOOKUP(D574,Correllate,VLOOKUP(G574,CorMove,2,FALSE()),FALSE()),Q574-$CD$3,R574,$CD$5)*H574-CJ574</f>
        <v>#NAME?</v>
      </c>
      <c r="CE574" s="253" t="e">
        <f aca="false">xSPRDOPT((VLOOKUP(G574,NGPREVPRICES,2,FALSE())+HLOOKUP(D574,PREVCURVES,VLOOKUP(G574,MOVE_DOWN2,2,FALSE()),FALSE())),VLOOKUP(G574,NGPREVPRICES,2,FALSE()),CK574,VLOOKUP(G574,NGPrices,4,FALSE()),HLOOKUP(D574,PREVVOLS,VLOOKUP(G574,MOVE_DOWN2,2,FALSE()),FALSE()),VLOOKUP(G574,NGPREVPRICES,3,FALSE()),HLOOKUP(D574,Correllate,VLOOKUP(G574,CorMove,2,FALSE()),FALSE()),Q574-$CD$3,R574,$CJ$5)*H574-CJ574</f>
        <v>#NAME?</v>
      </c>
      <c r="CF574" s="132" t="e">
        <f aca="false">(CJ574/VLOOKUP(CC574,discount,3,FALSE()))-(CJ574/VLOOKUP(CC574,discount,2,FALSE()))</f>
        <v>#NAME?</v>
      </c>
      <c r="CG574" s="253" t="e">
        <f aca="false">xSPRDOPT((VLOOKUP(G574,NGPREVPRICES,2,FALSE())+HLOOKUP(D574,PREVCURVES,VLOOKUP(G574,MOVE_DOWN2,2,FALSE()),FALSE())),VLOOKUP(G574,NGPREVPRICES,2,FALSE()),CK574,VLOOKUP(G574,NGPREVPRICES,4,FALSE()),HLOOKUP(D574,VOLS,VLOOKUP(G574,move_down,2,FALSE()),FALSE()),VLOOKUP(G574,NGPrices,3,FALSE()),HLOOKUP(D574,Correllate,VLOOKUP(G574,CorMove,2,FALSE()),FALSE()),Q574-$CD$3,R574,$CJ$5)*H574-CJ574</f>
        <v>#NAME?</v>
      </c>
      <c r="CH574" s="253" t="e">
        <f aca="false">xSPRDOPT((VLOOKUP(G574,NGPREVPRICES,2,FALSE())+HLOOKUP(D574,PREVCURVES,VLOOKUP(G574,MOVE_DOWN2,2,FALSE()),FALSE())),VLOOKUP(G574,NGPREVPRICES,2,FALSE()),CK574,VLOOKUP(G574,NGPREVPRICES,4,FALSE()),HLOOKUP(D574,PREVVOLS,VLOOKUP(G574,MOVE_DOWN2,2,FALSE()),FALSE()),VLOOKUP(G574,NGPREVPRICES,3,FALSE()),HLOOKUP(D574,Correllate,VLOOKUP(G574,CorMove,2,FALSE()),FALSE()),Q574-$C$3,R574,$CJ$5)*H574-CJ574</f>
        <v>#NAME?</v>
      </c>
      <c r="CI574" s="253" t="e">
        <f aca="false">SUM(CD574:CH574)</f>
        <v>#NAME?</v>
      </c>
      <c r="CJ574" s="253" t="e">
        <f aca="false">xSPRDOPT((VLOOKUP(G574,NGPREVPRICES,2,FALSE())+HLOOKUP(D574,PREVCURVES,VLOOKUP(G574,MOVE_DOWN2,2,FALSE()),FALSE())),VLOOKUP(G574,NGPREVPRICES,2,FALSE()),CK574,VLOOKUP(G574,NGPREVPRICES,4,FALSE()),HLOOKUP(D574,PREVVOLS,VLOOKUP(G574,MOVE_DOWN2,2,FALSE()),FALSE()),VLOOKUP(G574,NGPREVPRICES,3,FALSE()),HLOOKUP(D574,Correllate,VLOOKUP(G574,CorMove,2,FALSE()),FALSE()),Q574-$CD$3,R574,$CJ$5)*H574</f>
        <v>#NAME?</v>
      </c>
      <c r="CK574" s="254" t="n">
        <f aca="false">I574</f>
        <v>0.3</v>
      </c>
      <c r="CM574" s="0" t="str">
        <f aca="false">CONCATENATE(CC574,$CD$6)</f>
        <v>36861Curve Shift/Gamma</v>
      </c>
      <c r="CN574" s="0" t="str">
        <f aca="false">CONCATENATE($CC574,$CE$6)</f>
        <v>36861Rho</v>
      </c>
      <c r="CO574" s="0" t="str">
        <f aca="false">CONCATENATE($CC574,$CF$6)</f>
        <v>36861Drift</v>
      </c>
      <c r="CP574" s="0" t="str">
        <f aca="false">CONCATENATE($CC574,$CG$6)</f>
        <v>36861Vega</v>
      </c>
      <c r="CQ574" s="0" t="str">
        <f aca="false">CONCATENATE($CC574,$CH$6)</f>
        <v>36861Theta</v>
      </c>
    </row>
    <row r="575" customFormat="false" ht="12.75" hidden="false" customHeight="false" outlineLevel="0" collapsed="false">
      <c r="A575" s="17" t="s">
        <v>198</v>
      </c>
      <c r="B575" s="0" t="s">
        <v>192</v>
      </c>
      <c r="C575" s="0" t="s">
        <v>389</v>
      </c>
      <c r="D575" s="7" t="s">
        <v>137</v>
      </c>
      <c r="E575" s="0" t="s">
        <v>131</v>
      </c>
      <c r="F575" s="0" t="s">
        <v>136</v>
      </c>
      <c r="G575" s="92" t="n">
        <v>36831</v>
      </c>
      <c r="H575" s="248" t="n">
        <v>150000</v>
      </c>
      <c r="I575" s="0" t="n">
        <v>0.3</v>
      </c>
      <c r="J575" s="124" t="n">
        <f aca="false">VLOOKUP(G575,NGPrices,2,FALSE())</f>
        <v>4.736</v>
      </c>
      <c r="K575" s="125" t="n">
        <f aca="false">HLOOKUP(D575,Prices,VLOOKUP(G575,move_down,2,FALSE()),FALSE())+VLOOKUP(G575,CHANGE,HLOOKUP(D575,CHANGE,2,FALSE()),FALSE())</f>
        <v>1.545</v>
      </c>
      <c r="L575" s="124" t="n">
        <f aca="false">K575+J575</f>
        <v>6.281</v>
      </c>
      <c r="M575" s="126" t="n">
        <f aca="false">VLOOKUP(G575,NGPrices,4,FALSE())</f>
        <v>0.06810675983792</v>
      </c>
      <c r="N575" s="7" t="n">
        <f aca="false">VLOOKUP(G575,NGPrices,3,FALSE())</f>
        <v>0.595</v>
      </c>
      <c r="O575" s="7" t="n">
        <f aca="false">HLOOKUP(D575,VOLS,VLOOKUP(G575,move_down,2,FALSE()),FALSE())</f>
        <v>0.577</v>
      </c>
      <c r="P575" s="249" t="n">
        <f aca="false">HLOOKUP(D575,Correllate,VLOOKUP(G575,CorMove,2,FALSE()),FALSE())</f>
        <v>0.85</v>
      </c>
      <c r="Q575" s="92" t="n">
        <f aca="false">WORKDAY(G575,-2)</f>
        <v>36829</v>
      </c>
      <c r="R575" s="7" t="n">
        <f aca="false">IF(F575="P",0,1)</f>
        <v>1</v>
      </c>
      <c r="S575" s="130" t="e">
        <f aca="false">xSPRDOPT($L575,$J575,$I575,$M575,$O575,$N575,$P575,$Q575-$C$3,$R575,0)</f>
        <v>#NAME?</v>
      </c>
      <c r="T575" s="250" t="e">
        <f aca="false">xSPRDOPT($L575,$J575,$I575,$M575,$O575,$N575,$P575,$Q575-$C$3,$R575,1)*H575</f>
        <v>#NAME?</v>
      </c>
      <c r="U575" s="43" t="e">
        <f aca="false">S575*H575</f>
        <v>#NAME?</v>
      </c>
      <c r="V575" s="250" t="e">
        <f aca="false">xSPRDOPT($L575,$J575,$I575,$M575,$O575,$N575,$P575,$Q575-$C$3,$R575,2)*H575</f>
        <v>#NAME?</v>
      </c>
      <c r="W575" s="250" t="e">
        <f aca="false">+V575+T575</f>
        <v>#NAME?</v>
      </c>
      <c r="X575" s="2" t="str">
        <f aca="false">CONCATENATE(G575,D575)</f>
        <v>36831NGI-SOCAL</v>
      </c>
      <c r="Y575" s="251" t="n">
        <f aca="false">H575/10000</f>
        <v>15</v>
      </c>
      <c r="Z575" s="226" t="e">
        <f aca="false">T575/H575</f>
        <v>#NAME?</v>
      </c>
      <c r="AA575" s="226" t="e">
        <f aca="false">xSPRDOPT($L575,$J575,$I575,$M575,$O575,$N575,$P575,$Q575-$C$3,$R575,3)</f>
        <v>#NAME?</v>
      </c>
      <c r="AB575" s="226" t="e">
        <f aca="false">((xSPRDOPT($L575+AB$5,$J575,$I575,$M575,$O575,$N575,$P575,$Q575-$C$3,$R575,3)*$H575)/10000)/100</f>
        <v>#NAME?</v>
      </c>
      <c r="AC575" s="226" t="e">
        <f aca="false">((xSPRDOPT($L575+$AB$5,$J575,$I575,$M575,$O575,$N575,$P575,$Q575-$C$3,$R575,7)*$H575)/100)</f>
        <v>#NAME?</v>
      </c>
      <c r="AD575" s="226" t="e">
        <f aca="false">(xSPRDOPT($L575+$AB$5,$J575,$I575,$M575,$O575,$N575,$P575,$Q575-$C$3,$R575,9)/365)*$H575</f>
        <v>#NAME?</v>
      </c>
      <c r="AE575" s="0" t="e">
        <f aca="false">CD575</f>
        <v>#NAME?</v>
      </c>
      <c r="AF575" s="226" t="e">
        <f aca="false">((O575/N575)*AH575)+AG575</f>
        <v>#NAME?</v>
      </c>
      <c r="AG575" s="226" t="e">
        <f aca="false">((xSPRDOPT($L575,$J575,$I575,$M575,$O575,$N575,$P575,$Q575-$C$3,$R575,6)*$H575)/100)</f>
        <v>#NAME?</v>
      </c>
      <c r="AH575" s="226" t="e">
        <f aca="false">((xSPRDOPT($L575,$J575,$I575,$M575,$O575,$N575,$P575,$Q575-$C$3,$R575,5)*$H575)/100)</f>
        <v>#NAME?</v>
      </c>
      <c r="AI575" s="226" t="e">
        <f aca="false">(((xSPRDOPT($L575,$J575,$I575,$M575,$O575,$N575,$P575,$Q575-$C$3,$R575,4)*$H575)/10000)/100)-AB575</f>
        <v>#NAME?</v>
      </c>
      <c r="AJ575" s="226"/>
      <c r="AK575" s="226"/>
      <c r="CC575" s="182" t="n">
        <f aca="false">G575</f>
        <v>36831</v>
      </c>
      <c r="CD575" s="253" t="e">
        <f aca="false">xSPRDOPT((VLOOKUP(G575,NGPrices,2,FALSE())+HLOOKUP(D575,Prices,VLOOKUP(G575,move_down,2,FALSE()),FALSE())),VLOOKUP(G575,NGPrices,2,FALSE()),I575,VLOOKUP(G575,NGPREVPRICES,4,FALSE()),HLOOKUP(D575,PREVVOLS,VLOOKUP(G575,MOVE_DOWN2,2,FALSE()),FALSE()),VLOOKUP(G575,NGPREVPRICES,3,FALSE()),HLOOKUP(D575,Correllate,VLOOKUP(G575,CorMove,2,FALSE()),FALSE()),Q575-$CD$3,R575,$CD$5)*H575-CJ575</f>
        <v>#NAME?</v>
      </c>
      <c r="CE575" s="253" t="e">
        <f aca="false">xSPRDOPT((VLOOKUP(G575,NGPREVPRICES,2,FALSE())+HLOOKUP(D575,PREVCURVES,VLOOKUP(G575,MOVE_DOWN2,2,FALSE()),FALSE())),VLOOKUP(G575,NGPREVPRICES,2,FALSE()),CK575,VLOOKUP(G575,NGPrices,4,FALSE()),HLOOKUP(D575,PREVVOLS,VLOOKUP(G575,MOVE_DOWN2,2,FALSE()),FALSE()),VLOOKUP(G575,NGPREVPRICES,3,FALSE()),HLOOKUP(D575,Correllate,VLOOKUP(G575,CorMove,2,FALSE()),FALSE()),Q575-$CD$3,R575,$CJ$5)*H575-CJ575</f>
        <v>#NAME?</v>
      </c>
      <c r="CF575" s="132" t="e">
        <f aca="false">(CJ575/VLOOKUP(CC575,discount,3,FALSE()))-(CJ575/VLOOKUP(CC575,discount,2,FALSE()))</f>
        <v>#NAME?</v>
      </c>
      <c r="CG575" s="253" t="e">
        <f aca="false">xSPRDOPT((VLOOKUP(G575,NGPREVPRICES,2,FALSE())+HLOOKUP(D575,PREVCURVES,VLOOKUP(G575,MOVE_DOWN2,2,FALSE()),FALSE())),VLOOKUP(G575,NGPREVPRICES,2,FALSE()),CK575,VLOOKUP(G575,NGPREVPRICES,4,FALSE()),HLOOKUP(D575,VOLS,VLOOKUP(G575,move_down,2,FALSE()),FALSE()),VLOOKUP(G575,NGPrices,3,FALSE()),HLOOKUP(D575,Correllate,VLOOKUP(G575,CorMove,2,FALSE()),FALSE()),Q575-$CD$3,R575,$CJ$5)*H575-CJ575</f>
        <v>#NAME?</v>
      </c>
      <c r="CH575" s="253" t="e">
        <f aca="false">xSPRDOPT((VLOOKUP(G575,NGPREVPRICES,2,FALSE())+HLOOKUP(D575,PREVCURVES,VLOOKUP(G575,MOVE_DOWN2,2,FALSE()),FALSE())),VLOOKUP(G575,NGPREVPRICES,2,FALSE()),CK575,VLOOKUP(G575,NGPREVPRICES,4,FALSE()),HLOOKUP(D575,PREVVOLS,VLOOKUP(G575,MOVE_DOWN2,2,FALSE()),FALSE()),VLOOKUP(G575,NGPREVPRICES,3,FALSE()),HLOOKUP(D575,Correllate,VLOOKUP(G575,CorMove,2,FALSE()),FALSE()),Q575-$C$3,R575,$CJ$5)*H575-CJ575</f>
        <v>#NAME?</v>
      </c>
      <c r="CI575" s="253" t="e">
        <f aca="false">SUM(CD575:CH575)</f>
        <v>#NAME?</v>
      </c>
      <c r="CJ575" s="253" t="e">
        <f aca="false">xSPRDOPT((VLOOKUP(G575,NGPREVPRICES,2,FALSE())+HLOOKUP(D575,PREVCURVES,VLOOKUP(G575,MOVE_DOWN2,2,FALSE()),FALSE())),VLOOKUP(G575,NGPREVPRICES,2,FALSE()),CK575,VLOOKUP(G575,NGPREVPRICES,4,FALSE()),HLOOKUP(D575,PREVVOLS,VLOOKUP(G575,MOVE_DOWN2,2,FALSE()),FALSE()),VLOOKUP(G575,NGPREVPRICES,3,FALSE()),HLOOKUP(D575,Correllate,VLOOKUP(G575,CorMove,2,FALSE()),FALSE()),Q575-$CD$3,R575,$CJ$5)*H575</f>
        <v>#NAME?</v>
      </c>
      <c r="CK575" s="254" t="n">
        <f aca="false">I575</f>
        <v>0.3</v>
      </c>
      <c r="CM575" s="0" t="str">
        <f aca="false">CONCATENATE(CC575,$CD$6)</f>
        <v>36831Curve Shift/Gamma</v>
      </c>
      <c r="CN575" s="0" t="str">
        <f aca="false">CONCATENATE($CC575,$CE$6)</f>
        <v>36831Rho</v>
      </c>
      <c r="CO575" s="0" t="str">
        <f aca="false">CONCATENATE($CC575,$CF$6)</f>
        <v>36831Drift</v>
      </c>
      <c r="CP575" s="0" t="str">
        <f aca="false">CONCATENATE($CC575,$CG$6)</f>
        <v>36831Vega</v>
      </c>
      <c r="CQ575" s="0" t="str">
        <f aca="false">CONCATENATE($CC575,$CH$6)</f>
        <v>36831Theta</v>
      </c>
    </row>
    <row r="576" customFormat="false" ht="12.75" hidden="false" customHeight="false" outlineLevel="0" collapsed="false">
      <c r="A576" s="17" t="s">
        <v>198</v>
      </c>
      <c r="B576" s="0" t="s">
        <v>192</v>
      </c>
      <c r="C576" s="0" t="s">
        <v>390</v>
      </c>
      <c r="D576" s="7" t="s">
        <v>137</v>
      </c>
      <c r="E576" s="0" t="s">
        <v>131</v>
      </c>
      <c r="F576" s="0" t="s">
        <v>136</v>
      </c>
      <c r="G576" s="92" t="n">
        <v>36800</v>
      </c>
      <c r="H576" s="248" t="n">
        <v>1000000</v>
      </c>
      <c r="I576" s="0" t="n">
        <v>0.7</v>
      </c>
      <c r="J576" s="124" t="n">
        <f aca="false">VLOOKUP(G576,NGPrices,2,FALSE())</f>
        <v>4.692</v>
      </c>
      <c r="K576" s="125" t="n">
        <f aca="false">HLOOKUP(D576,Prices,VLOOKUP(G576,move_down,2,FALSE()),FALSE())+VLOOKUP(G576,CHANGE,HLOOKUP(D576,CHANGE,2,FALSE()),FALSE())</f>
        <v>1.99</v>
      </c>
      <c r="L576" s="124" t="n">
        <f aca="false">K576+J576</f>
        <v>6.682</v>
      </c>
      <c r="M576" s="126" t="n">
        <f aca="false">VLOOKUP(G576,NGPrices,4,FALSE())</f>
        <v>0.068050789414654</v>
      </c>
      <c r="N576" s="7" t="n">
        <f aca="false">VLOOKUP(G576,NGPrices,3,FALSE())</f>
        <v>0.575</v>
      </c>
      <c r="O576" s="7" t="n">
        <f aca="false">HLOOKUP(D576,VOLS,VLOOKUP(G576,move_down,2,FALSE()),FALSE())</f>
        <v>0.541</v>
      </c>
      <c r="P576" s="249" t="n">
        <f aca="false">HLOOKUP(D576,Correllate,VLOOKUP(G576,CorMove,2,FALSE()),FALSE())</f>
        <v>0.83</v>
      </c>
      <c r="Q576" s="92" t="n">
        <f aca="false">WORKDAY(G576,-2)</f>
        <v>36797</v>
      </c>
      <c r="R576" s="7" t="n">
        <f aca="false">IF(F576="P",0,1)</f>
        <v>1</v>
      </c>
      <c r="S576" s="130" t="e">
        <f aca="false">xSPRDOPT($L576,$J576,$I576,$M576,$O576,$N576,$P576,$Q576-$C$3,$R576,0)</f>
        <v>#NAME?</v>
      </c>
      <c r="T576" s="250" t="e">
        <f aca="false">xSPRDOPT($L576,$J576,$I576,$M576,$O576,$N576,$P576,$Q576-$C$3,$R576,1)*H576</f>
        <v>#NAME?</v>
      </c>
      <c r="U576" s="43" t="e">
        <f aca="false">S576*H576</f>
        <v>#NAME?</v>
      </c>
      <c r="V576" s="250" t="e">
        <f aca="false">xSPRDOPT($L576,$J576,$I576,$M576,$O576,$N576,$P576,$Q576-$C$3,$R576,2)*H576</f>
        <v>#NAME?</v>
      </c>
      <c r="W576" s="250" t="e">
        <f aca="false">+V576+T576</f>
        <v>#NAME?</v>
      </c>
      <c r="X576" s="2" t="str">
        <f aca="false">CONCATENATE(G576,D576)</f>
        <v>36800NGI-SOCAL</v>
      </c>
      <c r="Y576" s="251" t="n">
        <f aca="false">H576/10000</f>
        <v>100</v>
      </c>
      <c r="Z576" s="226" t="e">
        <f aca="false">T576/H576</f>
        <v>#NAME?</v>
      </c>
      <c r="AA576" s="226" t="e">
        <f aca="false">xSPRDOPT($L576,$J576,$I576,$M576,$O576,$N576,$P576,$Q576-$C$3,$R576,3)</f>
        <v>#NAME?</v>
      </c>
      <c r="AB576" s="226" t="e">
        <f aca="false">((xSPRDOPT($L576+AB$5,$J576,$I576,$M576,$O576,$N576,$P576,$Q576-$C$3,$R576,3)*$H576)/10000)/100</f>
        <v>#NAME?</v>
      </c>
      <c r="AC576" s="226" t="e">
        <f aca="false">((xSPRDOPT($L576+$AB$5,$J576,$I576,$M576,$O576,$N576,$P576,$Q576-$C$3,$R576,7)*$H576)/100)</f>
        <v>#NAME?</v>
      </c>
      <c r="AD576" s="226" t="e">
        <f aca="false">(xSPRDOPT($L576+$AB$5,$J576,$I576,$M576,$O576,$N576,$P576,$Q576-$C$3,$R576,9)/365)*$H576</f>
        <v>#NAME?</v>
      </c>
      <c r="AE576" s="0" t="e">
        <f aca="false">CD577</f>
        <v>#NAME?</v>
      </c>
      <c r="AF576" s="226" t="e">
        <f aca="false">((O576/N576)*AH576)+AG576</f>
        <v>#NAME?</v>
      </c>
      <c r="AG576" s="226" t="e">
        <f aca="false">((xSPRDOPT($L576,$J576,$I576,$M576,$O576,$N576,$P576,$Q576-$C$3,$R576,6)*$H576)/100)</f>
        <v>#NAME?</v>
      </c>
      <c r="AH576" s="226" t="e">
        <f aca="false">((xSPRDOPT($L576,$J576,$I576,$M576,$O576,$N576,$P576,$Q576-$C$3,$R576,5)*$H576)/100)</f>
        <v>#NAME?</v>
      </c>
      <c r="AI576" s="226" t="e">
        <f aca="false">(((xSPRDOPT($L576,$J576,$I576,$M576,$O576,$N576,$P576,$Q576-$C$3,$R576,4)*$H576)/10000)/100)-AB576</f>
        <v>#NAME?</v>
      </c>
      <c r="AJ576" s="226"/>
      <c r="AK576" s="226"/>
      <c r="AL576" s="226"/>
      <c r="CC576" s="182" t="e">
        <f aca="false">#REF!</f>
        <v>#REF!</v>
      </c>
      <c r="CD576" s="253" t="e">
        <f aca="false">xSPRDOPT((VLOOKUP(#REF!,NGPrices,2,FALSE())+HLOOKUP(#REF!,Prices,VLOOKUP(#REF!,move_down,2,FALSE()),FALSE())),VLOOKUP(#REF!,NGPrices,2,FALSE()),#REF!,VLOOKUP(#REF!,NGPREVPRICES,4,FALSE()),HLOOKUP(#REF!,PREVVOLS,VLOOKUP(#REF!,MOVE_DOWN2,2,FALSE()),FALSE()),VLOOKUP(#REF!,NGPREVPRICES,3,FALSE()),HLOOKUP(#REF!,Correllate,VLOOKUP(#REF!,CorMove,2,FALSE()),FALSE()),#REF!-$CD$3,#REF!,$CD$5)*#REF!-CJ576</f>
        <v>#REF!</v>
      </c>
      <c r="CE576" s="253" t="e">
        <f aca="false">xSPRDOPT((VLOOKUP(#REF!,NGPREVPRICES,2,FALSE())+HLOOKUP(#REF!,PREVCURVES,VLOOKUP(#REF!,MOVE_DOWN2,2,FALSE()),FALSE())),VLOOKUP(#REF!,NGPREVPRICES,2,FALSE()),CK576,VLOOKUP(#REF!,NGPrices,4,FALSE()),HLOOKUP(#REF!,PREVVOLS,VLOOKUP(#REF!,MOVE_DOWN2,2,FALSE()),FALSE()),VLOOKUP(#REF!,NGPREVPRICES,3,FALSE()),HLOOKUP(#REF!,Correllate,VLOOKUP(#REF!,CorMove,2,FALSE()),FALSE()),#REF!-$CD$3,#REF!,$CJ$5)*#REF!-CJ576</f>
        <v>#REF!</v>
      </c>
      <c r="CF576" s="132" t="e">
        <f aca="false">(CJ576/VLOOKUP(CC576,discount,3,FALSE()))-(CJ576/VLOOKUP(CC576,discount,2,FALSE()))</f>
        <v>#REF!</v>
      </c>
      <c r="CG576" s="253" t="e">
        <f aca="false">xSPRDOPT((VLOOKUP(#REF!,NGPREVPRICES,2,FALSE())+HLOOKUP(#REF!,PREVCURVES,VLOOKUP(#REF!,MOVE_DOWN2,2,FALSE()),FALSE())),VLOOKUP(#REF!,NGPREVPRICES,2,FALSE()),CK576,VLOOKUP(#REF!,NGPREVPRICES,4,FALSE()),HLOOKUP(#REF!,VOLS,VLOOKUP(#REF!,move_down,2,FALSE()),FALSE()),VLOOKUP(#REF!,NGPrices,3,FALSE()),HLOOKUP(#REF!,Correllate,VLOOKUP(#REF!,CorMove,2,FALSE()),FALSE()),#REF!-$CD$3,#REF!,$CJ$5)*#REF!-CJ576</f>
        <v>#REF!</v>
      </c>
      <c r="CH576" s="253" t="e">
        <f aca="false">xSPRDOPT((VLOOKUP(#REF!,NGPREVPRICES,2,FALSE())+HLOOKUP(#REF!,PREVCURVES,VLOOKUP(#REF!,MOVE_DOWN2,2,FALSE()),FALSE())),VLOOKUP(#REF!,NGPREVPRICES,2,FALSE()),CK576,VLOOKUP(#REF!,NGPREVPRICES,4,FALSE()),HLOOKUP(#REF!,PREVVOLS,VLOOKUP(#REF!,MOVE_DOWN2,2,FALSE()),FALSE()),VLOOKUP(#REF!,NGPREVPRICES,3,FALSE()),HLOOKUP(#REF!,Correllate,VLOOKUP(#REF!,CorMove,2,FALSE()),FALSE()),#REF!-$C$3,#REF!,$CJ$5)*#REF!-CJ576</f>
        <v>#REF!</v>
      </c>
      <c r="CI576" s="253" t="e">
        <f aca="false">SUM(CD576:CH576)</f>
        <v>#REF!</v>
      </c>
      <c r="CJ576" s="253" t="e">
        <f aca="false">xSPRDOPT((VLOOKUP(#REF!,NGPREVPRICES,2,FALSE())+HLOOKUP(#REF!,PREVCURVES,VLOOKUP(#REF!,MOVE_DOWN2,2,FALSE()),FALSE())),VLOOKUP(#REF!,NGPREVPRICES,2,FALSE()),CK576,VLOOKUP(#REF!,NGPREVPRICES,4,FALSE()),HLOOKUP(#REF!,PREVVOLS,VLOOKUP(#REF!,MOVE_DOWN2,2,FALSE()),FALSE()),VLOOKUP(#REF!,NGPREVPRICES,3,FALSE()),HLOOKUP(#REF!,Correllate,VLOOKUP(#REF!,CorMove,2,FALSE()),FALSE()),#REF!-$CD$3,#REF!,$CJ$5)*#REF!</f>
        <v>#REF!</v>
      </c>
      <c r="CK576" s="254" t="e">
        <f aca="false">#REF!</f>
        <v>#REF!</v>
      </c>
      <c r="CM576" s="0" t="e">
        <f aca="false">CONCATENATE(CC576,$CD$6)</f>
        <v>#REF!</v>
      </c>
      <c r="CN576" s="0" t="e">
        <f aca="false">CONCATENATE($CC576,$CE$6)</f>
        <v>#REF!</v>
      </c>
      <c r="CO576" s="0" t="e">
        <f aca="false">CONCATENATE($CC576,$CF$6)</f>
        <v>#REF!</v>
      </c>
      <c r="CP576" s="0" t="e">
        <f aca="false">CONCATENATE($CC576,$CG$6)</f>
        <v>#REF!</v>
      </c>
      <c r="CQ576" s="0" t="e">
        <f aca="false">CONCATENATE($CC576,$CH$6)</f>
        <v>#REF!</v>
      </c>
    </row>
    <row r="577" customFormat="false" ht="12.75" hidden="false" customHeight="false" outlineLevel="0" collapsed="false">
      <c r="A577" s="17" t="s">
        <v>198</v>
      </c>
      <c r="B577" s="0" t="s">
        <v>192</v>
      </c>
      <c r="C577" s="0" t="s">
        <v>390</v>
      </c>
      <c r="D577" s="7" t="s">
        <v>137</v>
      </c>
      <c r="E577" s="0" t="s">
        <v>131</v>
      </c>
      <c r="F577" s="0" t="s">
        <v>136</v>
      </c>
      <c r="G577" s="92" t="n">
        <v>36770</v>
      </c>
      <c r="H577" s="248" t="n">
        <v>1000000</v>
      </c>
      <c r="I577" s="0" t="n">
        <v>0.7</v>
      </c>
      <c r="J577" s="124" t="n">
        <f aca="false">VLOOKUP(G577,NGPrices,2,FALSE())</f>
        <v>4.685</v>
      </c>
      <c r="K577" s="125" t="n">
        <f aca="false">HLOOKUP(D577,Prices,VLOOKUP(G577,move_down,2,FALSE()),FALSE())+VLOOKUP(G577,CHANGE,HLOOKUP(D577,CHANGE,2,FALSE()),FALSE())</f>
        <v>2.5</v>
      </c>
      <c r="L577" s="124" t="n">
        <f aca="false">K577+J577</f>
        <v>7.185</v>
      </c>
      <c r="M577" s="126" t="n">
        <f aca="false">VLOOKUP(G577,NGPrices,4,FALSE())</f>
        <v>0.067216196212185</v>
      </c>
      <c r="N577" s="7" t="n">
        <f aca="false">VLOOKUP(G577,NGPrices,3,FALSE())</f>
        <v>0.4</v>
      </c>
      <c r="O577" s="7" t="n">
        <f aca="false">HLOOKUP(D577,VOLS,VLOOKUP(G577,move_down,2,FALSE()),FALSE())</f>
        <v>0.376</v>
      </c>
      <c r="P577" s="249" t="n">
        <f aca="false">HLOOKUP(D577,Correllate,VLOOKUP(G577,CorMove,2,FALSE()),FALSE())</f>
        <v>0.83</v>
      </c>
      <c r="Q577" s="92" t="n">
        <f aca="false">WORKDAY(G577,-2)</f>
        <v>36768</v>
      </c>
      <c r="R577" s="7" t="n">
        <f aca="false">IF(F577="P",0,1)</f>
        <v>1</v>
      </c>
      <c r="S577" s="130" t="e">
        <f aca="false">xSPRDOPT($L577,$J577,$I577,$M577,$O577,$N577,$P577,$Q577-$C$3,$R577,0)</f>
        <v>#NAME?</v>
      </c>
      <c r="T577" s="250" t="e">
        <f aca="false">xSPRDOPT($L577,$J577,$I577,$M577,$O577,$N577,$P577,$Q577-$C$3,$R577,1)*H577</f>
        <v>#NAME?</v>
      </c>
      <c r="U577" s="43" t="e">
        <f aca="false">S577*H577</f>
        <v>#NAME?</v>
      </c>
      <c r="V577" s="250" t="e">
        <f aca="false">xSPRDOPT($L577,$J577,$I577,$M577,$O577,$N577,$P577,$Q577-$C$3,$R577,2)*H577</f>
        <v>#NAME?</v>
      </c>
      <c r="W577" s="250" t="e">
        <f aca="false">+V577+T577</f>
        <v>#NAME?</v>
      </c>
      <c r="X577" s="2" t="str">
        <f aca="false">CONCATENATE(G577,D577)</f>
        <v>36770NGI-SOCAL</v>
      </c>
      <c r="Y577" s="251" t="n">
        <f aca="false">H577/10000</f>
        <v>100</v>
      </c>
      <c r="Z577" s="226" t="e">
        <f aca="false">T577/H577</f>
        <v>#NAME?</v>
      </c>
      <c r="AA577" s="226" t="e">
        <f aca="false">xSPRDOPT($L577,$J577,$I577,$M577,$O577,$N577,$P577,$Q577-$C$3,$R577,3)</f>
        <v>#NAME?</v>
      </c>
      <c r="AB577" s="226" t="e">
        <f aca="false">((xSPRDOPT($L577+AB$5,$J577,$I577,$M577,$O577,$N577,$P577,$Q577-$C$3,$R577,3)*$H577)/10000)/100</f>
        <v>#NAME?</v>
      </c>
      <c r="AC577" s="226" t="e">
        <f aca="false">((xSPRDOPT($L577+$AB$5,$J577,$I577,$M577,$O577,$N577,$P577,$Q577-$C$3,$R577,7)*$H577)/100)</f>
        <v>#NAME?</v>
      </c>
      <c r="AD577" s="226" t="e">
        <f aca="false">(xSPRDOPT($L577+$AB$5,$J577,$I577,$M577,$O577,$N577,$P577,$Q577-$C$3,$R577,9)/365)*$H577</f>
        <v>#NAME?</v>
      </c>
      <c r="AE577" s="0" t="e">
        <f aca="false">CD578</f>
        <v>#NAME?</v>
      </c>
      <c r="AF577" s="226" t="e">
        <f aca="false">((O577/N577)*AH577)+AG577</f>
        <v>#NAME?</v>
      </c>
      <c r="AG577" s="226" t="e">
        <f aca="false">((xSPRDOPT($L577,$J577,$I577,$M577,$O577,$N577,$P577,$Q577-$C$3,$R577,6)*$H577)/100)</f>
        <v>#NAME?</v>
      </c>
      <c r="AH577" s="226" t="e">
        <f aca="false">((xSPRDOPT($L577,$J577,$I577,$M577,$O577,$N577,$P577,$Q577-$C$3,$R577,5)*$H577)/100)</f>
        <v>#NAME?</v>
      </c>
      <c r="AI577" s="226" t="e">
        <f aca="false">(((xSPRDOPT($L577,$J577,$I577,$M577,$O577,$N577,$P577,$Q577-$C$3,$R577,4)*$H577)/10000)/100)-AB577</f>
        <v>#NAME?</v>
      </c>
      <c r="AJ577" s="226"/>
      <c r="AK577" s="226"/>
      <c r="CC577" s="182" t="n">
        <f aca="false">G576</f>
        <v>36800</v>
      </c>
      <c r="CD577" s="253" t="e">
        <f aca="false">xSPRDOPT((VLOOKUP(G576,NGPrices,2,FALSE())+HLOOKUP(D576,Prices,VLOOKUP(G576,move_down,2,FALSE()),FALSE())),VLOOKUP(G576,NGPrices,2,FALSE()),I576,VLOOKUP(G576,NGPREVPRICES,4,FALSE()),HLOOKUP(D576,PREVVOLS,VLOOKUP(G576,MOVE_DOWN2,2,FALSE()),FALSE()),VLOOKUP(G576,NGPREVPRICES,3,FALSE()),HLOOKUP(D576,Correllate,VLOOKUP(G576,CorMove,2,FALSE()),FALSE()),Q576-$CD$3,R576,$CD$5)*H576-CJ577</f>
        <v>#NAME?</v>
      </c>
      <c r="CE577" s="253" t="e">
        <f aca="false">xSPRDOPT((VLOOKUP(G576,NGPREVPRICES,2,FALSE())+HLOOKUP(D576,PREVCURVES,VLOOKUP(G576,MOVE_DOWN2,2,FALSE()),FALSE())),VLOOKUP(G576,NGPREVPRICES,2,FALSE()),CK577,VLOOKUP(G576,NGPrices,4,FALSE()),HLOOKUP(D576,PREVVOLS,VLOOKUP(G576,MOVE_DOWN2,2,FALSE()),FALSE()),VLOOKUP(G576,NGPREVPRICES,3,FALSE()),HLOOKUP(D576,Correllate,VLOOKUP(G576,CorMove,2,FALSE()),FALSE()),Q576-$CD$3,R576,$CJ$5)*H576-CJ577</f>
        <v>#NAME?</v>
      </c>
      <c r="CF577" s="132" t="e">
        <f aca="false">(CJ577/VLOOKUP(CC577,discount,3,FALSE()))-(CJ577/VLOOKUP(CC577,discount,2,FALSE()))</f>
        <v>#NAME?</v>
      </c>
      <c r="CG577" s="253" t="e">
        <f aca="false">xSPRDOPT((VLOOKUP(G576,NGPREVPRICES,2,FALSE())+HLOOKUP(D576,PREVCURVES,VLOOKUP(G576,MOVE_DOWN2,2,FALSE()),FALSE())),VLOOKUP(G576,NGPREVPRICES,2,FALSE()),CK577,VLOOKUP(G576,NGPREVPRICES,4,FALSE()),HLOOKUP(D576,VOLS,VLOOKUP(G576,move_down,2,FALSE()),FALSE()),VLOOKUP(G576,NGPrices,3,FALSE()),HLOOKUP(D576,Correllate,VLOOKUP(G576,CorMove,2,FALSE()),FALSE()),Q576-$CD$3,R576,$CJ$5)*H576-CJ577</f>
        <v>#NAME?</v>
      </c>
      <c r="CH577" s="253" t="e">
        <f aca="false">xSPRDOPT((VLOOKUP(G576,NGPREVPRICES,2,FALSE())+HLOOKUP(D576,PREVCURVES,VLOOKUP(G576,MOVE_DOWN2,2,FALSE()),FALSE())),VLOOKUP(G576,NGPREVPRICES,2,FALSE()),CK577,VLOOKUP(G576,NGPREVPRICES,4,FALSE()),HLOOKUP(D576,PREVVOLS,VLOOKUP(G576,MOVE_DOWN2,2,FALSE()),FALSE()),VLOOKUP(G576,NGPREVPRICES,3,FALSE()),HLOOKUP(D576,Correllate,VLOOKUP(G576,CorMove,2,FALSE()),FALSE()),Q576-$C$3,R576,$CJ$5)*H576-CJ577</f>
        <v>#NAME?</v>
      </c>
      <c r="CI577" s="253" t="e">
        <f aca="false">SUM(CD577:CH577)</f>
        <v>#NAME?</v>
      </c>
      <c r="CJ577" s="253" t="e">
        <f aca="false">xSPRDOPT((VLOOKUP(G576,NGPREVPRICES,2,FALSE())+HLOOKUP(D576,PREVCURVES,VLOOKUP(G576,MOVE_DOWN2,2,FALSE()),FALSE())),VLOOKUP(G576,NGPREVPRICES,2,FALSE()),CK577,VLOOKUP(G576,NGPREVPRICES,4,FALSE()),HLOOKUP(D576,PREVVOLS,VLOOKUP(G576,MOVE_DOWN2,2,FALSE()),FALSE()),VLOOKUP(G576,NGPREVPRICES,3,FALSE()),HLOOKUP(D576,Correllate,VLOOKUP(G576,CorMove,2,FALSE()),FALSE()),Q576-$CD$3,R576,$CJ$5)*H576</f>
        <v>#NAME?</v>
      </c>
      <c r="CK577" s="254" t="n">
        <f aca="false">I576</f>
        <v>0.7</v>
      </c>
      <c r="CM577" s="0" t="str">
        <f aca="false">CONCATENATE(CC577,$CD$6)</f>
        <v>36800Curve Shift/Gamma</v>
      </c>
      <c r="CN577" s="0" t="str">
        <f aca="false">CONCATENATE($CC577,$CE$6)</f>
        <v>36800Rho</v>
      </c>
      <c r="CO577" s="0" t="str">
        <f aca="false">CONCATENATE($CC577,$CF$6)</f>
        <v>36800Drift</v>
      </c>
      <c r="CP577" s="0" t="str">
        <f aca="false">CONCATENATE($CC577,$CG$6)</f>
        <v>36800Vega</v>
      </c>
      <c r="CQ577" s="0" t="str">
        <f aca="false">CONCATENATE($CC577,$CH$6)</f>
        <v>36800Theta</v>
      </c>
    </row>
    <row r="578" customFormat="false" ht="12.75" hidden="false" customHeight="false" outlineLevel="0" collapsed="false">
      <c r="A578" s="17" t="s">
        <v>212</v>
      </c>
      <c r="B578" s="0" t="s">
        <v>192</v>
      </c>
      <c r="C578" s="0" t="s">
        <v>391</v>
      </c>
      <c r="D578" s="7" t="s">
        <v>137</v>
      </c>
      <c r="E578" s="0" t="s">
        <v>131</v>
      </c>
      <c r="F578" s="0" t="s">
        <v>132</v>
      </c>
      <c r="G578" s="92" t="n">
        <v>36800</v>
      </c>
      <c r="H578" s="248" t="n">
        <v>-155000</v>
      </c>
      <c r="I578" s="0" t="n">
        <v>0.5</v>
      </c>
      <c r="J578" s="124" t="n">
        <f aca="false">VLOOKUP(G578,NGPrices,2,FALSE())</f>
        <v>4.692</v>
      </c>
      <c r="K578" s="125" t="n">
        <f aca="false">HLOOKUP(D578,Prices,VLOOKUP(G578,move_down,2,FALSE()),FALSE())+VLOOKUP(G578,CHANGE,HLOOKUP(D578,CHANGE,2,FALSE()),FALSE())</f>
        <v>1.99</v>
      </c>
      <c r="L578" s="124" t="n">
        <f aca="false">K578+J578</f>
        <v>6.682</v>
      </c>
      <c r="M578" s="126" t="n">
        <f aca="false">VLOOKUP(G578,NGPrices,4,FALSE())</f>
        <v>0.068050789414654</v>
      </c>
      <c r="N578" s="7" t="n">
        <f aca="false">VLOOKUP(G578,NGPrices,3,FALSE())</f>
        <v>0.575</v>
      </c>
      <c r="O578" s="7" t="n">
        <f aca="false">HLOOKUP(D578,VOLS,VLOOKUP(G578,move_down,2,FALSE()),FALSE())</f>
        <v>0.541</v>
      </c>
      <c r="P578" s="249" t="n">
        <f aca="false">HLOOKUP(D578,Correllate,VLOOKUP(G578,CorMove,2,FALSE()),FALSE())</f>
        <v>0.83</v>
      </c>
      <c r="Q578" s="92" t="n">
        <f aca="false">WORKDAY(G578,-2)</f>
        <v>36797</v>
      </c>
      <c r="R578" s="7" t="n">
        <f aca="false">IF(F578="P",0,1)</f>
        <v>0</v>
      </c>
      <c r="S578" s="130" t="e">
        <f aca="false">xSPRDOPT($L578,$J578,$I578,$M578,$O578,$N578,$P578,$Q578-$C$3,$R578,0)</f>
        <v>#NAME?</v>
      </c>
      <c r="T578" s="250" t="e">
        <f aca="false">xSPRDOPT($L578,$J578,$I578,$M578,$O578,$N578,$P578,$Q578-$C$3,$R578,1)*H578</f>
        <v>#NAME?</v>
      </c>
      <c r="U578" s="43" t="e">
        <f aca="false">S578*H578</f>
        <v>#NAME?</v>
      </c>
      <c r="V578" s="250" t="e">
        <f aca="false">xSPRDOPT($L578,$J578,$I578,$M578,$O578,$N578,$P578,$Q578-$C$3,$R578,2)*H578</f>
        <v>#NAME?</v>
      </c>
      <c r="W578" s="250" t="e">
        <f aca="false">+V578+T578</f>
        <v>#NAME?</v>
      </c>
      <c r="X578" s="2" t="str">
        <f aca="false">CONCATENATE(G578,D578)</f>
        <v>36800NGI-SOCAL</v>
      </c>
      <c r="Y578" s="251" t="n">
        <f aca="false">H578/10000</f>
        <v>-15.5</v>
      </c>
      <c r="Z578" s="226" t="e">
        <f aca="false">T578/H578</f>
        <v>#NAME?</v>
      </c>
      <c r="AA578" s="226" t="e">
        <f aca="false">xSPRDOPT($L578,$J578,$I578,$M578,$O578,$N578,$P578,$Q578-$C$3,$R578,3)</f>
        <v>#NAME?</v>
      </c>
      <c r="AB578" s="226" t="e">
        <f aca="false">((xSPRDOPT($L578+AB$5,$J578,$I578,$M578,$O578,$N578,$P578,$Q578-$C$3,$R578,3)*$H578)/10000)/100</f>
        <v>#NAME?</v>
      </c>
      <c r="AC578" s="226" t="e">
        <f aca="false">((xSPRDOPT($L578+$AB$5,$J578,$I578,$M578,$O578,$N578,$P578,$Q578-$C$3,$R578,7)*$H578)/100)</f>
        <v>#NAME?</v>
      </c>
      <c r="AD578" s="226" t="e">
        <f aca="false">(xSPRDOPT($L578+$AB$5,$J578,$I578,$M578,$O578,$N578,$P578,$Q578-$C$3,$R578,9)/365)*$H578</f>
        <v>#NAME?</v>
      </c>
      <c r="AE578" s="0" t="e">
        <f aca="false">CD579</f>
        <v>#NAME?</v>
      </c>
      <c r="AF578" s="226" t="e">
        <f aca="false">((O578/N578)*AH578)+AG578</f>
        <v>#NAME?</v>
      </c>
      <c r="AG578" s="226" t="e">
        <f aca="false">((xSPRDOPT($L578,$J578,$I578,$M578,$O578,$N578,$P578,$Q578-$C$3,$R578,6)*$H578)/100)</f>
        <v>#NAME?</v>
      </c>
      <c r="AH578" s="226" t="e">
        <f aca="false">((xSPRDOPT($L578,$J578,$I578,$M578,$O578,$N578,$P578,$Q578-$C$3,$R578,5)*$H578)/100)</f>
        <v>#NAME?</v>
      </c>
      <c r="AI578" s="226" t="e">
        <f aca="false">(((xSPRDOPT($L578,$J578,$I578,$M578,$O578,$N578,$P578,$Q578-$C$3,$R578,4)*$H578)/10000)/100)-AB578</f>
        <v>#NAME?</v>
      </c>
      <c r="AJ578" s="226"/>
      <c r="AK578" s="226"/>
      <c r="CC578" s="182" t="n">
        <f aca="false">G577</f>
        <v>36770</v>
      </c>
      <c r="CD578" s="253" t="e">
        <f aca="false">xSPRDOPT((VLOOKUP(G577,NGPrices,2,FALSE())+HLOOKUP(D577,Prices,VLOOKUP(G577,move_down,2,FALSE()),FALSE())),VLOOKUP(G577,NGPrices,2,FALSE()),I577,VLOOKUP(G577,NGPREVPRICES,4,FALSE()),HLOOKUP(D577,PREVVOLS,VLOOKUP(G577,MOVE_DOWN2,2,FALSE()),FALSE()),VLOOKUP(G577,NGPREVPRICES,3,FALSE()),HLOOKUP(D577,Correllate,VLOOKUP(G577,CorMove,2,FALSE()),FALSE()),Q577-$CD$3,R577,$CD$5)*H577-CJ578</f>
        <v>#NAME?</v>
      </c>
      <c r="CE578" s="253" t="e">
        <f aca="false">xSPRDOPT((VLOOKUP(G577,NGPREVPRICES,2,FALSE())+HLOOKUP(D577,PREVCURVES,VLOOKUP(G577,MOVE_DOWN2,2,FALSE()),FALSE())),VLOOKUP(G577,NGPREVPRICES,2,FALSE()),CK578,VLOOKUP(G577,NGPrices,4,FALSE()),HLOOKUP(D577,PREVVOLS,VLOOKUP(G577,MOVE_DOWN2,2,FALSE()),FALSE()),VLOOKUP(G577,NGPREVPRICES,3,FALSE()),HLOOKUP(D577,Correllate,VLOOKUP(G577,CorMove,2,FALSE()),FALSE()),Q577-$CD$3,R577,$CJ$5)*H577-CJ578</f>
        <v>#NAME?</v>
      </c>
      <c r="CF578" s="132" t="e">
        <f aca="false">(CJ578/VLOOKUP(CC578,discount,3,FALSE()))-(CJ578/VLOOKUP(CC578,discount,2,FALSE()))</f>
        <v>#NAME?</v>
      </c>
      <c r="CG578" s="253" t="e">
        <f aca="false">xSPRDOPT((VLOOKUP(G577,NGPREVPRICES,2,FALSE())+HLOOKUP(D577,PREVCURVES,VLOOKUP(G577,MOVE_DOWN2,2,FALSE()),FALSE())),VLOOKUP(G577,NGPREVPRICES,2,FALSE()),CK578,VLOOKUP(G577,NGPREVPRICES,4,FALSE()),HLOOKUP(D577,VOLS,VLOOKUP(G577,move_down,2,FALSE()),FALSE()),VLOOKUP(G577,NGPrices,3,FALSE()),HLOOKUP(D577,Correllate,VLOOKUP(G577,CorMove,2,FALSE()),FALSE()),Q577-$CD$3,R577,$CJ$5)*H577-CJ578</f>
        <v>#NAME?</v>
      </c>
      <c r="CH578" s="253" t="e">
        <f aca="false">xSPRDOPT((VLOOKUP(G577,NGPREVPRICES,2,FALSE())+HLOOKUP(D577,PREVCURVES,VLOOKUP(G577,MOVE_DOWN2,2,FALSE()),FALSE())),VLOOKUP(G577,NGPREVPRICES,2,FALSE()),CK578,VLOOKUP(G577,NGPREVPRICES,4,FALSE()),HLOOKUP(D577,PREVVOLS,VLOOKUP(G577,MOVE_DOWN2,2,FALSE()),FALSE()),VLOOKUP(G577,NGPREVPRICES,3,FALSE()),HLOOKUP(D577,Correllate,VLOOKUP(G577,CorMove,2,FALSE()),FALSE()),Q577-$C$3,R577,$CJ$5)*H577-CJ578</f>
        <v>#NAME?</v>
      </c>
      <c r="CI578" s="253" t="e">
        <f aca="false">SUM(CD578:CH578)</f>
        <v>#NAME?</v>
      </c>
      <c r="CJ578" s="253" t="e">
        <f aca="false">xSPRDOPT((VLOOKUP(G577,NGPREVPRICES,2,FALSE())+HLOOKUP(D577,PREVCURVES,VLOOKUP(G577,MOVE_DOWN2,2,FALSE()),FALSE())),VLOOKUP(G577,NGPREVPRICES,2,FALSE()),CK578,VLOOKUP(G577,NGPREVPRICES,4,FALSE()),HLOOKUP(D577,PREVVOLS,VLOOKUP(G577,MOVE_DOWN2,2,FALSE()),FALSE()),VLOOKUP(G577,NGPREVPRICES,3,FALSE()),HLOOKUP(D577,Correllate,VLOOKUP(G577,CorMove,2,FALSE()),FALSE()),Q577-$CD$3,R577,$CJ$5)*H577</f>
        <v>#NAME?</v>
      </c>
      <c r="CK578" s="254" t="n">
        <f aca="false">I577</f>
        <v>0.7</v>
      </c>
      <c r="CM578" s="0" t="str">
        <f aca="false">CONCATENATE(CC578,$CD$6)</f>
        <v>36770Curve Shift/Gamma</v>
      </c>
      <c r="CN578" s="0" t="str">
        <f aca="false">CONCATENATE($CC578,$CE$6)</f>
        <v>36770Rho</v>
      </c>
      <c r="CO578" s="0" t="str">
        <f aca="false">CONCATENATE($CC578,$CF$6)</f>
        <v>36770Drift</v>
      </c>
      <c r="CP578" s="0" t="str">
        <f aca="false">CONCATENATE($CC578,$CG$6)</f>
        <v>36770Vega</v>
      </c>
      <c r="CQ578" s="0" t="str">
        <f aca="false">CONCATENATE($CC578,$CH$6)</f>
        <v>36770Theta</v>
      </c>
    </row>
    <row r="579" customFormat="false" ht="12.75" hidden="false" customHeight="false" outlineLevel="0" collapsed="false">
      <c r="A579" s="17" t="s">
        <v>212</v>
      </c>
      <c r="B579" s="0" t="s">
        <v>192</v>
      </c>
      <c r="C579" s="0" t="s">
        <v>391</v>
      </c>
      <c r="D579" s="7" t="s">
        <v>137</v>
      </c>
      <c r="E579" s="0" t="s">
        <v>131</v>
      </c>
      <c r="F579" s="0" t="s">
        <v>132</v>
      </c>
      <c r="G579" s="92" t="n">
        <v>36770</v>
      </c>
      <c r="H579" s="248" t="n">
        <v>-150000</v>
      </c>
      <c r="I579" s="0" t="n">
        <v>0.5</v>
      </c>
      <c r="J579" s="124" t="n">
        <f aca="false">VLOOKUP(G579,NGPrices,2,FALSE())</f>
        <v>4.685</v>
      </c>
      <c r="K579" s="125" t="n">
        <f aca="false">HLOOKUP(D579,Prices,VLOOKUP(G579,move_down,2,FALSE()),FALSE())+VLOOKUP(G579,CHANGE,HLOOKUP(D579,CHANGE,2,FALSE()),FALSE())</f>
        <v>2.5</v>
      </c>
      <c r="L579" s="124" t="n">
        <f aca="false">K579+J579</f>
        <v>7.185</v>
      </c>
      <c r="M579" s="126" t="n">
        <f aca="false">VLOOKUP(G579,NGPrices,4,FALSE())</f>
        <v>0.067216196212185</v>
      </c>
      <c r="N579" s="7" t="n">
        <f aca="false">VLOOKUP(G579,NGPrices,3,FALSE())</f>
        <v>0.4</v>
      </c>
      <c r="O579" s="7" t="n">
        <f aca="false">HLOOKUP(D579,VOLS,VLOOKUP(G579,move_down,2,FALSE()),FALSE())</f>
        <v>0.376</v>
      </c>
      <c r="P579" s="249" t="n">
        <f aca="false">HLOOKUP(D579,Correllate,VLOOKUP(G579,CorMove,2,FALSE()),FALSE())</f>
        <v>0.83</v>
      </c>
      <c r="Q579" s="92" t="n">
        <f aca="false">WORKDAY(G579,-2)</f>
        <v>36768</v>
      </c>
      <c r="R579" s="7" t="n">
        <f aca="false">IF(F579="P",0,1)</f>
        <v>0</v>
      </c>
      <c r="S579" s="130" t="e">
        <f aca="false">xSPRDOPT($L579,$J579,$I579,$M579,$O579,$N579,$P579,$Q579-$C$3,$R579,0)</f>
        <v>#NAME?</v>
      </c>
      <c r="T579" s="250" t="e">
        <f aca="false">xSPRDOPT($L579,$J579,$I579,$M579,$O579,$N579,$P579,$Q579-$C$3,$R579,1)*H579</f>
        <v>#NAME?</v>
      </c>
      <c r="U579" s="43" t="e">
        <f aca="false">S579*H579</f>
        <v>#NAME?</v>
      </c>
      <c r="V579" s="250" t="e">
        <f aca="false">xSPRDOPT($L579,$J579,$I579,$M579,$O579,$N579,$P579,$Q579-$C$3,$R579,2)*H579</f>
        <v>#NAME?</v>
      </c>
      <c r="W579" s="250" t="e">
        <f aca="false">+V579+T579</f>
        <v>#NAME?</v>
      </c>
      <c r="X579" s="2" t="str">
        <f aca="false">CONCATENATE(G579,D579)</f>
        <v>36770NGI-SOCAL</v>
      </c>
      <c r="Y579" s="251" t="n">
        <f aca="false">H579/10000</f>
        <v>-15</v>
      </c>
      <c r="Z579" s="226" t="e">
        <f aca="false">T579/H579</f>
        <v>#NAME?</v>
      </c>
      <c r="AA579" s="226" t="e">
        <f aca="false">xSPRDOPT($L579,$J579,$I579,$M579,$O579,$N579,$P579,$Q579-$C$3,$R579,3)</f>
        <v>#NAME?</v>
      </c>
      <c r="AB579" s="226" t="e">
        <f aca="false">((xSPRDOPT($L579+AB$5,$J579,$I579,$M579,$O579,$N579,$P579,$Q579-$C$3,$R579,3)*$H579)/10000)/100</f>
        <v>#NAME?</v>
      </c>
      <c r="AC579" s="226" t="e">
        <f aca="false">((xSPRDOPT($L579+$AB$5,$J579,$I579,$M579,$O579,$N579,$P579,$Q579-$C$3,$R579,7)*$H579)/100)</f>
        <v>#NAME?</v>
      </c>
      <c r="AD579" s="226" t="e">
        <f aca="false">(xSPRDOPT($L579+$AB$5,$J579,$I579,$M579,$O579,$N579,$P579,$Q579-$C$3,$R579,9)/365)*$H579</f>
        <v>#NAME?</v>
      </c>
      <c r="AE579" s="0" t="e">
        <f aca="false">CD580</f>
        <v>#NAME?</v>
      </c>
      <c r="AF579" s="226" t="e">
        <f aca="false">((O579/N579)*AH579)+AG579</f>
        <v>#NAME?</v>
      </c>
      <c r="AG579" s="226" t="e">
        <f aca="false">((xSPRDOPT($L579,$J579,$I579,$M579,$O579,$N579,$P579,$Q579-$C$3,$R579,6)*$H579)/100)</f>
        <v>#NAME?</v>
      </c>
      <c r="AH579" s="226" t="e">
        <f aca="false">((xSPRDOPT($L579,$J579,$I579,$M579,$O579,$N579,$P579,$Q579-$C$3,$R579,5)*$H579)/100)</f>
        <v>#NAME?</v>
      </c>
      <c r="AI579" s="226" t="e">
        <f aca="false">(((xSPRDOPT($L579,$J579,$I579,$M579,$O579,$N579,$P579,$Q579-$C$3,$R579,4)*$H579)/10000)/100)-AB579</f>
        <v>#NAME?</v>
      </c>
      <c r="AJ579" s="226"/>
      <c r="AK579" s="226"/>
      <c r="CC579" s="182" t="n">
        <f aca="false">G578</f>
        <v>36800</v>
      </c>
      <c r="CD579" s="253" t="e">
        <f aca="false">xSPRDOPT((VLOOKUP(G578,NGPrices,2,FALSE())+HLOOKUP(D578,Prices,VLOOKUP(G578,move_down,2,FALSE()),FALSE())),VLOOKUP(G578,NGPrices,2,FALSE()),I578,VLOOKUP(G578,NGPREVPRICES,4,FALSE()),HLOOKUP(D578,PREVVOLS,VLOOKUP(G578,MOVE_DOWN2,2,FALSE()),FALSE()),VLOOKUP(G578,NGPREVPRICES,3,FALSE()),HLOOKUP(D578,Correllate,VLOOKUP(G578,CorMove,2,FALSE()),FALSE()),Q578-$CD$3,R578,$CD$5)*H578-CJ579</f>
        <v>#NAME?</v>
      </c>
      <c r="CE579" s="253" t="e">
        <f aca="false">xSPRDOPT((VLOOKUP(G578,NGPREVPRICES,2,FALSE())+HLOOKUP(D578,PREVCURVES,VLOOKUP(G578,MOVE_DOWN2,2,FALSE()),FALSE())),VLOOKUP(G578,NGPREVPRICES,2,FALSE()),CK579,VLOOKUP(G578,NGPrices,4,FALSE()),HLOOKUP(D578,PREVVOLS,VLOOKUP(G578,MOVE_DOWN2,2,FALSE()),FALSE()),VLOOKUP(G578,NGPREVPRICES,3,FALSE()),HLOOKUP(D578,Correllate,VLOOKUP(G578,CorMove,2,FALSE()),FALSE()),Q578-$CD$3,R578,$CJ$5)*H578-CJ579</f>
        <v>#NAME?</v>
      </c>
      <c r="CF579" s="132" t="e">
        <f aca="false">(CJ579/VLOOKUP(CC579,discount,3,FALSE()))-(CJ579/VLOOKUP(CC579,discount,2,FALSE()))</f>
        <v>#NAME?</v>
      </c>
      <c r="CG579" s="253" t="e">
        <f aca="false">xSPRDOPT((VLOOKUP(G578,NGPREVPRICES,2,FALSE())+HLOOKUP(D578,PREVCURVES,VLOOKUP(G578,MOVE_DOWN2,2,FALSE()),FALSE())),VLOOKUP(G578,NGPREVPRICES,2,FALSE()),CK579,VLOOKUP(G578,NGPREVPRICES,4,FALSE()),HLOOKUP(D578,VOLS,VLOOKUP(G578,move_down,2,FALSE()),FALSE()),VLOOKUP(G578,NGPrices,3,FALSE()),HLOOKUP(D578,Correllate,VLOOKUP(G578,CorMove,2,FALSE()),FALSE()),Q578-$CD$3,R578,$CJ$5)*H578-CJ579</f>
        <v>#NAME?</v>
      </c>
      <c r="CH579" s="253" t="e">
        <f aca="false">xSPRDOPT((VLOOKUP(G578,NGPREVPRICES,2,FALSE())+HLOOKUP(D578,PREVCURVES,VLOOKUP(G578,MOVE_DOWN2,2,FALSE()),FALSE())),VLOOKUP(G578,NGPREVPRICES,2,FALSE()),CK579,VLOOKUP(G578,NGPREVPRICES,4,FALSE()),HLOOKUP(D578,PREVVOLS,VLOOKUP(G578,MOVE_DOWN2,2,FALSE()),FALSE()),VLOOKUP(G578,NGPREVPRICES,3,FALSE()),HLOOKUP(D578,Correllate,VLOOKUP(G578,CorMove,2,FALSE()),FALSE()),Q578-$C$3,R578,$CJ$5)*H578-CJ579</f>
        <v>#NAME?</v>
      </c>
      <c r="CI579" s="253" t="e">
        <f aca="false">SUM(CD579:CH579)</f>
        <v>#NAME?</v>
      </c>
      <c r="CJ579" s="253" t="e">
        <f aca="false">xSPRDOPT((VLOOKUP(G578,NGPREVPRICES,2,FALSE())+HLOOKUP(D578,PREVCURVES,VLOOKUP(G578,MOVE_DOWN2,2,FALSE()),FALSE())),VLOOKUP(G578,NGPREVPRICES,2,FALSE()),CK579,VLOOKUP(G578,NGPREVPRICES,4,FALSE()),HLOOKUP(D578,PREVVOLS,VLOOKUP(G578,MOVE_DOWN2,2,FALSE()),FALSE()),VLOOKUP(G578,NGPREVPRICES,3,FALSE()),HLOOKUP(D578,Correllate,VLOOKUP(G578,CorMove,2,FALSE()),FALSE()),Q578-$CD$3,R578,$CJ$5)*H578</f>
        <v>#NAME?</v>
      </c>
      <c r="CK579" s="254" t="n">
        <f aca="false">I578</f>
        <v>0.5</v>
      </c>
      <c r="CM579" s="0" t="str">
        <f aca="false">CONCATENATE(CC579,$CD$6)</f>
        <v>36800Curve Shift/Gamma</v>
      </c>
      <c r="CN579" s="0" t="str">
        <f aca="false">CONCATENATE($CC579,$CE$6)</f>
        <v>36800Rho</v>
      </c>
      <c r="CO579" s="0" t="str">
        <f aca="false">CONCATENATE($CC579,$CF$6)</f>
        <v>36800Drift</v>
      </c>
      <c r="CP579" s="0" t="str">
        <f aca="false">CONCATENATE($CC579,$CG$6)</f>
        <v>36800Vega</v>
      </c>
      <c r="CQ579" s="0" t="str">
        <f aca="false">CONCATENATE($CC579,$CH$6)</f>
        <v>36800Theta</v>
      </c>
    </row>
    <row r="580" customFormat="false" ht="12.75" hidden="false" customHeight="false" outlineLevel="0" collapsed="false">
      <c r="A580" s="17" t="s">
        <v>345</v>
      </c>
      <c r="B580" s="0" t="s">
        <v>192</v>
      </c>
      <c r="C580" s="0" t="s">
        <v>392</v>
      </c>
      <c r="D580" s="7" t="s">
        <v>152</v>
      </c>
      <c r="E580" s="0" t="s">
        <v>131</v>
      </c>
      <c r="F580" s="0" t="s">
        <v>136</v>
      </c>
      <c r="G580" s="92" t="n">
        <v>36831</v>
      </c>
      <c r="H580" s="248" t="n">
        <v>-150000</v>
      </c>
      <c r="I580" s="0" t="n">
        <v>0.15</v>
      </c>
      <c r="J580" s="124" t="n">
        <f aca="false">VLOOKUP(G580,NGPrices,2,FALSE())</f>
        <v>4.736</v>
      </c>
      <c r="K580" s="125" t="n">
        <f aca="false">HLOOKUP(D580,Prices,VLOOKUP(G580,move_down,2,FALSE()),FALSE())+VLOOKUP(G580,CHANGE,HLOOKUP(D580,CHANGE,2,FALSE()),FALSE())</f>
        <v>0.0875</v>
      </c>
      <c r="L580" s="124" t="n">
        <f aca="false">K580+J580</f>
        <v>4.8235</v>
      </c>
      <c r="M580" s="126" t="n">
        <f aca="false">VLOOKUP(G580,NGPrices,4,FALSE())</f>
        <v>0.06810675983792</v>
      </c>
      <c r="N580" s="7" t="n">
        <f aca="false">VLOOKUP(G580,NGPrices,3,FALSE())</f>
        <v>0.595</v>
      </c>
      <c r="O580" s="7" t="n">
        <f aca="false">HLOOKUP(D580,VOLS,VLOOKUP(G580,move_down,2,FALSE()),FALSE())</f>
        <v>0.595</v>
      </c>
      <c r="P580" s="249" t="n">
        <f aca="false">HLOOKUP(D580,Correllate,VLOOKUP(G580,CorMove,2,FALSE()),FALSE())</f>
        <v>0.997</v>
      </c>
      <c r="Q580" s="92" t="n">
        <f aca="false">WORKDAY(G580,-2)</f>
        <v>36829</v>
      </c>
      <c r="R580" s="7" t="n">
        <f aca="false">IF(F580="P",0,1)</f>
        <v>1</v>
      </c>
      <c r="S580" s="130" t="e">
        <f aca="false">xSPRDOPT($L580,$J580,$I580,$M580,$O580,$N580,$P580,$Q580-$C$3,$R580,0)</f>
        <v>#NAME?</v>
      </c>
      <c r="T580" s="250" t="e">
        <f aca="false">xSPRDOPT($L580,$J580,$I580,$M580,$O580,$N580,$P580,$Q580-$C$3,$R580,1)*H580</f>
        <v>#NAME?</v>
      </c>
      <c r="U580" s="43" t="e">
        <f aca="false">S580*H580</f>
        <v>#NAME?</v>
      </c>
      <c r="V580" s="250" t="e">
        <f aca="false">xSPRDOPT($L580,$J580,$I580,$M580,$O580,$N580,$P580,$Q580-$C$3,$R580,2)*H580</f>
        <v>#NAME?</v>
      </c>
      <c r="W580" s="250" t="e">
        <f aca="false">+V580+T580</f>
        <v>#NAME?</v>
      </c>
      <c r="X580" s="2" t="str">
        <f aca="false">CONCATENATE(G580,D580)</f>
        <v>36831NGI/CHI. GATE</v>
      </c>
      <c r="Y580" s="251" t="n">
        <f aca="false">H580/10000</f>
        <v>-15</v>
      </c>
      <c r="Z580" s="226" t="e">
        <f aca="false">T580/H580</f>
        <v>#NAME?</v>
      </c>
      <c r="AA580" s="226" t="e">
        <f aca="false">xSPRDOPT($L580,$J580,$I580,$M580,$O580,$N580,$P580,$Q580-$C$3,$R580,3)</f>
        <v>#NAME?</v>
      </c>
      <c r="AB580" s="226" t="e">
        <f aca="false">((xSPRDOPT($L580+AB$5,$J580,$I580,$M580,$O580,$N580,$P580,$Q580-$C$3,$R580,3)*$H580)/10000)/100</f>
        <v>#NAME?</v>
      </c>
      <c r="AC580" s="226" t="e">
        <f aca="false">((xSPRDOPT($L580+$AB$5,$J580,$I580,$M580,$O580,$N580,$P580,$Q580-$C$3,$R580,7)*$H580)/100)</f>
        <v>#NAME?</v>
      </c>
      <c r="AD580" s="226" t="e">
        <f aca="false">(xSPRDOPT($L580+$AB$5,$J580,$I580,$M580,$O580,$N580,$P580,$Q580-$C$3,$R580,9)/365)*$H580</f>
        <v>#NAME?</v>
      </c>
      <c r="AE580" s="0" t="e">
        <f aca="false">CD581</f>
        <v>#NAME?</v>
      </c>
      <c r="AF580" s="226" t="e">
        <f aca="false">((O580/N580)*AH580)+AG580</f>
        <v>#NAME?</v>
      </c>
      <c r="AG580" s="226" t="e">
        <f aca="false">((xSPRDOPT($L580,$J580,$I580,$M580,$O580,$N580,$P580,$Q580-$C$3,$R580,6)*$H580)/100)</f>
        <v>#NAME?</v>
      </c>
      <c r="AH580" s="226" t="e">
        <f aca="false">((xSPRDOPT($L580,$J580,$I580,$M580,$O580,$N580,$P580,$Q580-$C$3,$R580,5)*$H580)/100)</f>
        <v>#NAME?</v>
      </c>
      <c r="AI580" s="226" t="e">
        <f aca="false">(((xSPRDOPT($L580,$J580,$I580,$M580,$O580,$N580,$P580,$Q580-$C$3,$R580,4)*$H580)/10000)/100)-AB580</f>
        <v>#NAME?</v>
      </c>
      <c r="AJ580" s="226"/>
      <c r="AK580" s="226"/>
      <c r="CC580" s="182" t="n">
        <f aca="false">G579</f>
        <v>36770</v>
      </c>
      <c r="CD580" s="253" t="e">
        <f aca="false">xSPRDOPT((VLOOKUP(G579,NGPrices,2,FALSE())+HLOOKUP(D579,Prices,VLOOKUP(G579,move_down,2,FALSE()),FALSE())),VLOOKUP(G579,NGPrices,2,FALSE()),I579,VLOOKUP(G579,NGPREVPRICES,4,FALSE()),HLOOKUP(D579,PREVVOLS,VLOOKUP(G579,MOVE_DOWN2,2,FALSE()),FALSE()),VLOOKUP(G579,NGPREVPRICES,3,FALSE()),HLOOKUP(D579,Correllate,VLOOKUP(G579,CorMove,2,FALSE()),FALSE()),Q579-$CD$3,R579,$CD$5)*H579-CJ580</f>
        <v>#NAME?</v>
      </c>
      <c r="CE580" s="253" t="e">
        <f aca="false">xSPRDOPT((VLOOKUP(G579,NGPREVPRICES,2,FALSE())+HLOOKUP(D579,PREVCURVES,VLOOKUP(G579,MOVE_DOWN2,2,FALSE()),FALSE())),VLOOKUP(G579,NGPREVPRICES,2,FALSE()),CK580,VLOOKUP(G579,NGPrices,4,FALSE()),HLOOKUP(D579,PREVVOLS,VLOOKUP(G579,MOVE_DOWN2,2,FALSE()),FALSE()),VLOOKUP(G579,NGPREVPRICES,3,FALSE()),HLOOKUP(D579,Correllate,VLOOKUP(G579,CorMove,2,FALSE()),FALSE()),Q579-$CD$3,R579,$CJ$5)*H579-CJ580</f>
        <v>#NAME?</v>
      </c>
      <c r="CF580" s="132" t="e">
        <f aca="false">(CJ580/VLOOKUP(CC580,discount,3,FALSE()))-(CJ580/VLOOKUP(CC580,discount,2,FALSE()))</f>
        <v>#NAME?</v>
      </c>
      <c r="CG580" s="253" t="e">
        <f aca="false">xSPRDOPT((VLOOKUP(G579,NGPREVPRICES,2,FALSE())+HLOOKUP(D579,PREVCURVES,VLOOKUP(G579,MOVE_DOWN2,2,FALSE()),FALSE())),VLOOKUP(G579,NGPREVPRICES,2,FALSE()),CK580,VLOOKUP(G579,NGPREVPRICES,4,FALSE()),HLOOKUP(D579,VOLS,VLOOKUP(G579,move_down,2,FALSE()),FALSE()),VLOOKUP(G579,NGPrices,3,FALSE()),HLOOKUP(D579,Correllate,VLOOKUP(G579,CorMove,2,FALSE()),FALSE()),Q579-$CD$3,R579,$CJ$5)*H579-CJ580</f>
        <v>#NAME?</v>
      </c>
      <c r="CH580" s="253" t="e">
        <f aca="false">xSPRDOPT((VLOOKUP(G579,NGPREVPRICES,2,FALSE())+HLOOKUP(D579,PREVCURVES,VLOOKUP(G579,MOVE_DOWN2,2,FALSE()),FALSE())),VLOOKUP(G579,NGPREVPRICES,2,FALSE()),CK580,VLOOKUP(G579,NGPREVPRICES,4,FALSE()),HLOOKUP(D579,PREVVOLS,VLOOKUP(G579,MOVE_DOWN2,2,FALSE()),FALSE()),VLOOKUP(G579,NGPREVPRICES,3,FALSE()),HLOOKUP(D579,Correllate,VLOOKUP(G579,CorMove,2,FALSE()),FALSE()),Q579-$C$3,R579,$CJ$5)*H579-CJ580</f>
        <v>#NAME?</v>
      </c>
      <c r="CI580" s="253" t="e">
        <f aca="false">SUM(CD580:CH580)</f>
        <v>#NAME?</v>
      </c>
      <c r="CJ580" s="253" t="e">
        <f aca="false">xSPRDOPT((VLOOKUP(G579,NGPREVPRICES,2,FALSE())+HLOOKUP(D579,PREVCURVES,VLOOKUP(G579,MOVE_DOWN2,2,FALSE()),FALSE())),VLOOKUP(G579,NGPREVPRICES,2,FALSE()),CK580,VLOOKUP(G579,NGPREVPRICES,4,FALSE()),HLOOKUP(D579,PREVVOLS,VLOOKUP(G579,MOVE_DOWN2,2,FALSE()),FALSE()),VLOOKUP(G579,NGPREVPRICES,3,FALSE()),HLOOKUP(D579,Correllate,VLOOKUP(G579,CorMove,2,FALSE()),FALSE()),Q579-$CD$3,R579,$CJ$5)*H579</f>
        <v>#NAME?</v>
      </c>
      <c r="CK580" s="254" t="n">
        <f aca="false">I579</f>
        <v>0.5</v>
      </c>
      <c r="CM580" s="0" t="str">
        <f aca="false">CONCATENATE(CC580,$CD$6)</f>
        <v>36770Curve Shift/Gamma</v>
      </c>
      <c r="CN580" s="0" t="str">
        <f aca="false">CONCATENATE($CC580,$CE$6)</f>
        <v>36770Rho</v>
      </c>
      <c r="CO580" s="0" t="str">
        <f aca="false">CONCATENATE($CC580,$CF$6)</f>
        <v>36770Drift</v>
      </c>
      <c r="CP580" s="0" t="str">
        <f aca="false">CONCATENATE($CC580,$CG$6)</f>
        <v>36770Vega</v>
      </c>
      <c r="CQ580" s="0" t="str">
        <f aca="false">CONCATENATE($CC580,$CH$6)</f>
        <v>36770Theta</v>
      </c>
    </row>
    <row r="581" customFormat="false" ht="12.75" hidden="false" customHeight="false" outlineLevel="0" collapsed="false">
      <c r="A581" s="17" t="s">
        <v>345</v>
      </c>
      <c r="B581" s="0" t="s">
        <v>192</v>
      </c>
      <c r="C581" s="0" t="s">
        <v>392</v>
      </c>
      <c r="D581" s="7" t="s">
        <v>152</v>
      </c>
      <c r="E581" s="0" t="s">
        <v>131</v>
      </c>
      <c r="F581" s="0" t="s">
        <v>136</v>
      </c>
      <c r="G581" s="92" t="n">
        <v>36861</v>
      </c>
      <c r="H581" s="248" t="n">
        <v>-155000</v>
      </c>
      <c r="I581" s="0" t="n">
        <v>0.15</v>
      </c>
      <c r="J581" s="124" t="n">
        <f aca="false">VLOOKUP(G581,NGPrices,2,FALSE())</f>
        <v>4.8</v>
      </c>
      <c r="K581" s="125" t="n">
        <f aca="false">HLOOKUP(D581,Prices,VLOOKUP(G581,move_down,2,FALSE()),FALSE())+VLOOKUP(G581,CHANGE,HLOOKUP(D581,CHANGE,2,FALSE()),FALSE())</f>
        <v>0.1</v>
      </c>
      <c r="L581" s="124" t="n">
        <f aca="false">K581+J581</f>
        <v>4.9</v>
      </c>
      <c r="M581" s="126" t="n">
        <f aca="false">VLOOKUP(G581,NGPrices,4,FALSE())</f>
        <v>0.068314027999354</v>
      </c>
      <c r="N581" s="7" t="n">
        <f aca="false">VLOOKUP(G581,NGPrices,3,FALSE())</f>
        <v>0.6</v>
      </c>
      <c r="O581" s="7" t="n">
        <f aca="false">HLOOKUP(D581,VOLS,VLOOKUP(G581,move_down,2,FALSE()),FALSE())</f>
        <v>0.6</v>
      </c>
      <c r="P581" s="249" t="n">
        <f aca="false">HLOOKUP(D581,Correllate,VLOOKUP(G581,CorMove,2,FALSE()),FALSE())</f>
        <v>0.997</v>
      </c>
      <c r="Q581" s="92" t="n">
        <f aca="false">WORKDAY(G581,-2)</f>
        <v>36859</v>
      </c>
      <c r="R581" s="7" t="n">
        <f aca="false">IF(F581="P",0,1)</f>
        <v>1</v>
      </c>
      <c r="S581" s="130" t="e">
        <f aca="false">xSPRDOPT($L581,$J581,$I581,$M581,$O581,$N581,$P581,$Q581-$C$3,$R581,0)</f>
        <v>#NAME?</v>
      </c>
      <c r="T581" s="250" t="e">
        <f aca="false">xSPRDOPT($L581,$J581,$I581,$M581,$O581,$N581,$P581,$Q581-$C$3,$R581,1)*H581</f>
        <v>#NAME?</v>
      </c>
      <c r="U581" s="43" t="e">
        <f aca="false">S581*H581</f>
        <v>#NAME?</v>
      </c>
      <c r="V581" s="250" t="e">
        <f aca="false">xSPRDOPT($L581,$J581,$I581,$M581,$O581,$N581,$P581,$Q581-$C$3,$R581,2)*H581</f>
        <v>#NAME?</v>
      </c>
      <c r="W581" s="250" t="e">
        <f aca="false">+V581+T581</f>
        <v>#NAME?</v>
      </c>
      <c r="X581" s="2" t="str">
        <f aca="false">CONCATENATE(G581,D581)</f>
        <v>36861NGI/CHI. GATE</v>
      </c>
      <c r="Y581" s="251" t="n">
        <f aca="false">H581/10000</f>
        <v>-15.5</v>
      </c>
      <c r="Z581" s="226" t="e">
        <f aca="false">T581/H581</f>
        <v>#NAME?</v>
      </c>
      <c r="AA581" s="226" t="e">
        <f aca="false">xSPRDOPT($L581,$J581,$I581,$M581,$O581,$N581,$P581,$Q581-$C$3,$R581,3)</f>
        <v>#NAME?</v>
      </c>
      <c r="AB581" s="226" t="e">
        <f aca="false">((xSPRDOPT($L581+AB$5,$J581,$I581,$M581,$O581,$N581,$P581,$Q581-$C$3,$R581,3)*$H581)/10000)/100</f>
        <v>#NAME?</v>
      </c>
      <c r="AC581" s="226" t="e">
        <f aca="false">((xSPRDOPT($L581+$AB$5,$J581,$I581,$M581,$O581,$N581,$P581,$Q581-$C$3,$R581,7)*$H581)/100)</f>
        <v>#NAME?</v>
      </c>
      <c r="AD581" s="226" t="e">
        <f aca="false">(xSPRDOPT($L581+$AB$5,$J581,$I581,$M581,$O581,$N581,$P581,$Q581-$C$3,$R581,9)/365)*$H581</f>
        <v>#NAME?</v>
      </c>
      <c r="AE581" s="0" t="e">
        <f aca="false">CD582</f>
        <v>#NAME?</v>
      </c>
      <c r="AF581" s="226" t="e">
        <f aca="false">((O581/N581)*AH581)+AG581</f>
        <v>#NAME?</v>
      </c>
      <c r="AG581" s="226" t="e">
        <f aca="false">((xSPRDOPT($L581,$J581,$I581,$M581,$O581,$N581,$P581,$Q581-$C$3,$R581,6)*$H581)/100)</f>
        <v>#NAME?</v>
      </c>
      <c r="AH581" s="226" t="e">
        <f aca="false">((xSPRDOPT($L581,$J581,$I581,$M581,$O581,$N581,$P581,$Q581-$C$3,$R581,5)*$H581)/100)</f>
        <v>#NAME?</v>
      </c>
      <c r="AI581" s="226" t="e">
        <f aca="false">(((xSPRDOPT($L581,$J581,$I581,$M581,$O581,$N581,$P581,$Q581-$C$3,$R581,4)*$H581)/10000)/100)-AB581</f>
        <v>#NAME?</v>
      </c>
      <c r="AJ581" s="226"/>
      <c r="AK581" s="226"/>
      <c r="CC581" s="182" t="n">
        <f aca="false">G580</f>
        <v>36831</v>
      </c>
      <c r="CD581" s="253" t="e">
        <f aca="false">xSPRDOPT((VLOOKUP(G580,NGPrices,2,FALSE())+HLOOKUP(D580,Prices,VLOOKUP(G580,move_down,2,FALSE()),FALSE())),VLOOKUP(G580,NGPrices,2,FALSE()),I580,VLOOKUP(G580,NGPREVPRICES,4,FALSE()),HLOOKUP(D580,PREVVOLS,VLOOKUP(G580,MOVE_DOWN2,2,FALSE()),FALSE()),VLOOKUP(G580,NGPREVPRICES,3,FALSE()),HLOOKUP(D580,Correllate,VLOOKUP(G580,CorMove,2,FALSE()),FALSE()),Q580-$CD$3,R580,$CD$5)*H580-CJ581</f>
        <v>#NAME?</v>
      </c>
      <c r="CE581" s="253" t="e">
        <f aca="false">xSPRDOPT((VLOOKUP(G580,NGPREVPRICES,2,FALSE())+HLOOKUP(D580,PREVCURVES,VLOOKUP(G580,MOVE_DOWN2,2,FALSE()),FALSE())),VLOOKUP(G580,NGPREVPRICES,2,FALSE()),CK581,VLOOKUP(G580,NGPrices,4,FALSE()),HLOOKUP(D580,PREVVOLS,VLOOKUP(G580,MOVE_DOWN2,2,FALSE()),FALSE()),VLOOKUP(G580,NGPREVPRICES,3,FALSE()),HLOOKUP(D580,Correllate,VLOOKUP(G580,CorMove,2,FALSE()),FALSE()),Q580-$CD$3,R580,$CJ$5)*H580-CJ581</f>
        <v>#NAME?</v>
      </c>
      <c r="CF581" s="132" t="e">
        <f aca="false">(CJ581/VLOOKUP(CC581,discount,3,FALSE()))-(CJ581/VLOOKUP(CC581,discount,2,FALSE()))</f>
        <v>#NAME?</v>
      </c>
      <c r="CG581" s="253" t="e">
        <f aca="false">xSPRDOPT((VLOOKUP(G580,NGPREVPRICES,2,FALSE())+HLOOKUP(D580,PREVCURVES,VLOOKUP(G580,MOVE_DOWN2,2,FALSE()),FALSE())),VLOOKUP(G580,NGPREVPRICES,2,FALSE()),CK581,VLOOKUP(G580,NGPREVPRICES,4,FALSE()),HLOOKUP(D580,VOLS,VLOOKUP(G580,move_down,2,FALSE()),FALSE()),VLOOKUP(G580,NGPrices,3,FALSE()),HLOOKUP(D580,Correllate,VLOOKUP(G580,CorMove,2,FALSE()),FALSE()),Q580-$CD$3,R580,$CJ$5)*H580-CJ581</f>
        <v>#NAME?</v>
      </c>
      <c r="CH581" s="253" t="e">
        <f aca="false">xSPRDOPT((VLOOKUP(G580,NGPREVPRICES,2,FALSE())+HLOOKUP(D580,PREVCURVES,VLOOKUP(G580,MOVE_DOWN2,2,FALSE()),FALSE())),VLOOKUP(G580,NGPREVPRICES,2,FALSE()),CK581,VLOOKUP(G580,NGPREVPRICES,4,FALSE()),HLOOKUP(D580,PREVVOLS,VLOOKUP(G580,MOVE_DOWN2,2,FALSE()),FALSE()),VLOOKUP(G580,NGPREVPRICES,3,FALSE()),HLOOKUP(D580,Correllate,VLOOKUP(G580,CorMove,2,FALSE()),FALSE()),Q580-$C$3,R580,$CJ$5)*H580-CJ581</f>
        <v>#NAME?</v>
      </c>
      <c r="CI581" s="253" t="e">
        <f aca="false">SUM(CD581:CH581)</f>
        <v>#NAME?</v>
      </c>
      <c r="CJ581" s="253" t="e">
        <f aca="false">xSPRDOPT((VLOOKUP(G580,NGPREVPRICES,2,FALSE())+HLOOKUP(D580,PREVCURVES,VLOOKUP(G580,MOVE_DOWN2,2,FALSE()),FALSE())),VLOOKUP(G580,NGPREVPRICES,2,FALSE()),CK581,VLOOKUP(G580,NGPREVPRICES,4,FALSE()),HLOOKUP(D580,PREVVOLS,VLOOKUP(G580,MOVE_DOWN2,2,FALSE()),FALSE()),VLOOKUP(G580,NGPREVPRICES,3,FALSE()),HLOOKUP(D580,Correllate,VLOOKUP(G580,CorMove,2,FALSE()),FALSE()),Q580-$CD$3,R580,$CJ$5)*H580</f>
        <v>#NAME?</v>
      </c>
      <c r="CK581" s="254" t="n">
        <f aca="false">I580</f>
        <v>0.15</v>
      </c>
      <c r="CM581" s="0" t="str">
        <f aca="false">CONCATENATE(CC581,$CD$6)</f>
        <v>36831Curve Shift/Gamma</v>
      </c>
      <c r="CN581" s="0" t="str">
        <f aca="false">CONCATENATE($CC581,$CE$6)</f>
        <v>36831Rho</v>
      </c>
      <c r="CO581" s="0" t="str">
        <f aca="false">CONCATENATE($CC581,$CF$6)</f>
        <v>36831Drift</v>
      </c>
      <c r="CP581" s="0" t="str">
        <f aca="false">CONCATENATE($CC581,$CG$6)</f>
        <v>36831Vega</v>
      </c>
      <c r="CQ581" s="0" t="str">
        <f aca="false">CONCATENATE($CC581,$CH$6)</f>
        <v>36831Theta</v>
      </c>
    </row>
    <row r="582" customFormat="false" ht="12.75" hidden="false" customHeight="false" outlineLevel="0" collapsed="false">
      <c r="A582" s="17" t="s">
        <v>345</v>
      </c>
      <c r="B582" s="0" t="s">
        <v>192</v>
      </c>
      <c r="C582" s="0" t="s">
        <v>392</v>
      </c>
      <c r="D582" s="7" t="s">
        <v>152</v>
      </c>
      <c r="E582" s="0" t="s">
        <v>131</v>
      </c>
      <c r="F582" s="0" t="s">
        <v>136</v>
      </c>
      <c r="G582" s="92" t="n">
        <v>36892</v>
      </c>
      <c r="H582" s="248" t="n">
        <v>-155000</v>
      </c>
      <c r="I582" s="0" t="n">
        <v>0.15</v>
      </c>
      <c r="J582" s="124" t="n">
        <f aca="false">VLOOKUP(G582,NGPrices,2,FALSE())</f>
        <v>4.744</v>
      </c>
      <c r="K582" s="125" t="n">
        <f aca="false">HLOOKUP(D582,Prices,VLOOKUP(G582,move_down,2,FALSE()),FALSE())+VLOOKUP(G582,CHANGE,HLOOKUP(D582,CHANGE,2,FALSE()),FALSE())</f>
        <v>0.1275</v>
      </c>
      <c r="L582" s="124" t="n">
        <f aca="false">K582+J582</f>
        <v>4.8715</v>
      </c>
      <c r="M582" s="126" t="n">
        <f aca="false">VLOOKUP(G582,NGPrices,4,FALSE())</f>
        <v>0.068374831148491</v>
      </c>
      <c r="N582" s="7" t="n">
        <f aca="false">VLOOKUP(G582,NGPrices,3,FALSE())</f>
        <v>0.605</v>
      </c>
      <c r="O582" s="7" t="n">
        <f aca="false">HLOOKUP(D582,VOLS,VLOOKUP(G582,move_down,2,FALSE()),FALSE())</f>
        <v>0.605</v>
      </c>
      <c r="P582" s="249" t="n">
        <f aca="false">HLOOKUP(D582,Correllate,VLOOKUP(G582,CorMove,2,FALSE()),FALSE())</f>
        <v>0.997</v>
      </c>
      <c r="Q582" s="92" t="n">
        <f aca="false">WORKDAY(G582,-2)</f>
        <v>36888</v>
      </c>
      <c r="R582" s="7" t="n">
        <f aca="false">IF(F582="P",0,1)</f>
        <v>1</v>
      </c>
      <c r="S582" s="130" t="e">
        <f aca="false">xSPRDOPT($L582,$J582,$I582,$M582,$O582,$N582,$P582,$Q582-$C$3,$R582,0)</f>
        <v>#NAME?</v>
      </c>
      <c r="T582" s="250" t="e">
        <f aca="false">xSPRDOPT($L582,$J582,$I582,$M582,$O582,$N582,$P582,$Q582-$C$3,$R582,1)*H582</f>
        <v>#NAME?</v>
      </c>
      <c r="U582" s="43" t="e">
        <f aca="false">S582*H582</f>
        <v>#NAME?</v>
      </c>
      <c r="V582" s="250" t="e">
        <f aca="false">xSPRDOPT($L582,$J582,$I582,$M582,$O582,$N582,$P582,$Q582-$C$3,$R582,2)*H582</f>
        <v>#NAME?</v>
      </c>
      <c r="W582" s="250" t="e">
        <f aca="false">+V582+T582</f>
        <v>#NAME?</v>
      </c>
      <c r="X582" s="2" t="str">
        <f aca="false">CONCATENATE(G582,D582)</f>
        <v>36892NGI/CHI. GATE</v>
      </c>
      <c r="Y582" s="251" t="n">
        <f aca="false">H582/10000</f>
        <v>-15.5</v>
      </c>
      <c r="Z582" s="226" t="e">
        <f aca="false">T582/H582</f>
        <v>#NAME?</v>
      </c>
      <c r="AA582" s="226" t="e">
        <f aca="false">xSPRDOPT($L582,$J582,$I582,$M582,$O582,$N582,$P582,$Q582-$C$3,$R582,3)</f>
        <v>#NAME?</v>
      </c>
      <c r="AB582" s="226" t="e">
        <f aca="false">((xSPRDOPT($L582+AB$5,$J582,$I582,$M582,$O582,$N582,$P582,$Q582-$C$3,$R582,3)*$H582)/10000)/100</f>
        <v>#NAME?</v>
      </c>
      <c r="AC582" s="226" t="e">
        <f aca="false">((xSPRDOPT($L582+$AB$5,$J582,$I582,$M582,$O582,$N582,$P582,$Q582-$C$3,$R582,7)*$H582)/100)</f>
        <v>#NAME?</v>
      </c>
      <c r="AD582" s="226" t="e">
        <f aca="false">(xSPRDOPT($L582+$AB$5,$J582,$I582,$M582,$O582,$N582,$P582,$Q582-$C$3,$R582,9)/365)*$H582</f>
        <v>#NAME?</v>
      </c>
      <c r="AE582" s="0" t="e">
        <f aca="false">CD583</f>
        <v>#NAME?</v>
      </c>
      <c r="AF582" s="226" t="e">
        <f aca="false">((O582/N582)*AH582)+AG582</f>
        <v>#NAME?</v>
      </c>
      <c r="AG582" s="226" t="e">
        <f aca="false">((xSPRDOPT($L582,$J582,$I582,$M582,$O582,$N582,$P582,$Q582-$C$3,$R582,6)*$H582)/100)</f>
        <v>#NAME?</v>
      </c>
      <c r="AH582" s="226" t="e">
        <f aca="false">((xSPRDOPT($L582,$J582,$I582,$M582,$O582,$N582,$P582,$Q582-$C$3,$R582,5)*$H582)/100)</f>
        <v>#NAME?</v>
      </c>
      <c r="AI582" s="226" t="e">
        <f aca="false">(((xSPRDOPT($L582,$J582,$I582,$M582,$O582,$N582,$P582,$Q582-$C$3,$R582,4)*$H582)/10000)/100)-AB582</f>
        <v>#NAME?</v>
      </c>
      <c r="AJ582" s="226"/>
      <c r="AK582" s="226"/>
      <c r="CC582" s="182" t="n">
        <f aca="false">G581</f>
        <v>36861</v>
      </c>
      <c r="CD582" s="253" t="e">
        <f aca="false">xSPRDOPT((VLOOKUP(G581,NGPrices,2,FALSE())+HLOOKUP(D581,Prices,VLOOKUP(G581,move_down,2,FALSE()),FALSE())),VLOOKUP(G581,NGPrices,2,FALSE()),I581,VLOOKUP(G581,NGPREVPRICES,4,FALSE()),HLOOKUP(D581,PREVVOLS,VLOOKUP(G581,MOVE_DOWN2,2,FALSE()),FALSE()),VLOOKUP(G581,NGPREVPRICES,3,FALSE()),HLOOKUP(D581,Correllate,VLOOKUP(G581,CorMove,2,FALSE()),FALSE()),Q581-$CD$3,R581,$CD$5)*H581-CJ582</f>
        <v>#NAME?</v>
      </c>
      <c r="CE582" s="253" t="e">
        <f aca="false">xSPRDOPT((VLOOKUP(G581,NGPREVPRICES,2,FALSE())+HLOOKUP(D581,PREVCURVES,VLOOKUP(G581,MOVE_DOWN2,2,FALSE()),FALSE())),VLOOKUP(G581,NGPREVPRICES,2,FALSE()),CK582,VLOOKUP(G581,NGPrices,4,FALSE()),HLOOKUP(D581,PREVVOLS,VLOOKUP(G581,MOVE_DOWN2,2,FALSE()),FALSE()),VLOOKUP(G581,NGPREVPRICES,3,FALSE()),HLOOKUP(D581,Correllate,VLOOKUP(G581,CorMove,2,FALSE()),FALSE()),Q581-$CD$3,R581,$CJ$5)*H581-CJ582</f>
        <v>#NAME?</v>
      </c>
      <c r="CF582" s="132" t="e">
        <f aca="false">(CJ582/VLOOKUP(CC582,discount,3,FALSE()))-(CJ582/VLOOKUP(CC582,discount,2,FALSE()))</f>
        <v>#NAME?</v>
      </c>
      <c r="CG582" s="253" t="e">
        <f aca="false">xSPRDOPT((VLOOKUP(G581,NGPREVPRICES,2,FALSE())+HLOOKUP(D581,PREVCURVES,VLOOKUP(G581,MOVE_DOWN2,2,FALSE()),FALSE())),VLOOKUP(G581,NGPREVPRICES,2,FALSE()),CK582,VLOOKUP(G581,NGPREVPRICES,4,FALSE()),HLOOKUP(D581,VOLS,VLOOKUP(G581,move_down,2,FALSE()),FALSE()),VLOOKUP(G581,NGPrices,3,FALSE()),HLOOKUP(D581,Correllate,VLOOKUP(G581,CorMove,2,FALSE()),FALSE()),Q581-$CD$3,R581,$CJ$5)*H581-CJ582</f>
        <v>#NAME?</v>
      </c>
      <c r="CH582" s="253" t="e">
        <f aca="false">xSPRDOPT((VLOOKUP(G581,NGPREVPRICES,2,FALSE())+HLOOKUP(D581,PREVCURVES,VLOOKUP(G581,MOVE_DOWN2,2,FALSE()),FALSE())),VLOOKUP(G581,NGPREVPRICES,2,FALSE()),CK582,VLOOKUP(G581,NGPREVPRICES,4,FALSE()),HLOOKUP(D581,PREVVOLS,VLOOKUP(G581,MOVE_DOWN2,2,FALSE()),FALSE()),VLOOKUP(G581,NGPREVPRICES,3,FALSE()),HLOOKUP(D581,Correllate,VLOOKUP(G581,CorMove,2,FALSE()),FALSE()),Q581-$C$3,R581,$CJ$5)*H581-CJ582</f>
        <v>#NAME?</v>
      </c>
      <c r="CI582" s="253" t="e">
        <f aca="false">SUM(CD582:CH582)</f>
        <v>#NAME?</v>
      </c>
      <c r="CJ582" s="253" t="e">
        <f aca="false">xSPRDOPT((VLOOKUP(G581,NGPREVPRICES,2,FALSE())+HLOOKUP(D581,PREVCURVES,VLOOKUP(G581,MOVE_DOWN2,2,FALSE()),FALSE())),VLOOKUP(G581,NGPREVPRICES,2,FALSE()),CK582,VLOOKUP(G581,NGPREVPRICES,4,FALSE()),HLOOKUP(D581,PREVVOLS,VLOOKUP(G581,MOVE_DOWN2,2,FALSE()),FALSE()),VLOOKUP(G581,NGPREVPRICES,3,FALSE()),HLOOKUP(D581,Correllate,VLOOKUP(G581,CorMove,2,FALSE()),FALSE()),Q581-$CD$3,R581,$CJ$5)*H581</f>
        <v>#NAME?</v>
      </c>
      <c r="CK582" s="254" t="n">
        <f aca="false">I581</f>
        <v>0.15</v>
      </c>
      <c r="CM582" s="0" t="str">
        <f aca="false">CONCATENATE(CC582,$CD$6)</f>
        <v>36861Curve Shift/Gamma</v>
      </c>
      <c r="CN582" s="0" t="str">
        <f aca="false">CONCATENATE($CC582,$CE$6)</f>
        <v>36861Rho</v>
      </c>
      <c r="CO582" s="0" t="str">
        <f aca="false">CONCATENATE($CC582,$CF$6)</f>
        <v>36861Drift</v>
      </c>
      <c r="CP582" s="0" t="str">
        <f aca="false">CONCATENATE($CC582,$CG$6)</f>
        <v>36861Vega</v>
      </c>
      <c r="CQ582" s="0" t="str">
        <f aca="false">CONCATENATE($CC582,$CH$6)</f>
        <v>36861Theta</v>
      </c>
    </row>
    <row r="583" customFormat="false" ht="12.75" hidden="false" customHeight="false" outlineLevel="0" collapsed="false">
      <c r="A583" s="17" t="s">
        <v>345</v>
      </c>
      <c r="B583" s="0" t="s">
        <v>192</v>
      </c>
      <c r="C583" s="0" t="s">
        <v>392</v>
      </c>
      <c r="D583" s="7" t="s">
        <v>152</v>
      </c>
      <c r="E583" s="0" t="s">
        <v>131</v>
      </c>
      <c r="F583" s="0" t="s">
        <v>136</v>
      </c>
      <c r="G583" s="92" t="n">
        <v>36923</v>
      </c>
      <c r="H583" s="248" t="n">
        <v>-140000</v>
      </c>
      <c r="I583" s="0" t="n">
        <v>0.15</v>
      </c>
      <c r="J583" s="124" t="n">
        <f aca="false">VLOOKUP(G583,NGPrices,2,FALSE())</f>
        <v>4.48</v>
      </c>
      <c r="K583" s="125" t="n">
        <f aca="false">HLOOKUP(D583,Prices,VLOOKUP(G583,move_down,2,FALSE()),FALSE())+VLOOKUP(G583,CHANGE,HLOOKUP(D583,CHANGE,2,FALSE()),FALSE())</f>
        <v>0.1375</v>
      </c>
      <c r="L583" s="124" t="n">
        <f aca="false">K583+J583</f>
        <v>4.6175</v>
      </c>
      <c r="M583" s="126" t="n">
        <f aca="false">VLOOKUP(G583,NGPrices,4,FALSE())</f>
        <v>0.068640161611372</v>
      </c>
      <c r="N583" s="7" t="n">
        <f aca="false">VLOOKUP(G583,NGPrices,3,FALSE())</f>
        <v>0.5925</v>
      </c>
      <c r="O583" s="7" t="n">
        <f aca="false">HLOOKUP(D583,VOLS,VLOOKUP(G583,move_down,2,FALSE()),FALSE())</f>
        <v>0.593</v>
      </c>
      <c r="P583" s="249" t="n">
        <f aca="false">HLOOKUP(D583,Correllate,VLOOKUP(G583,CorMove,2,FALSE()),FALSE())</f>
        <v>0.997</v>
      </c>
      <c r="Q583" s="92" t="n">
        <f aca="false">WORKDAY(G583,-2)</f>
        <v>36921</v>
      </c>
      <c r="R583" s="7" t="n">
        <f aca="false">IF(F583="P",0,1)</f>
        <v>1</v>
      </c>
      <c r="S583" s="130" t="e">
        <f aca="false">xSPRDOPT($L583,$J583,$I583,$M583,$O583,$N583,$P583,$Q583-$C$3,$R583,0)</f>
        <v>#NAME?</v>
      </c>
      <c r="T583" s="250" t="e">
        <f aca="false">xSPRDOPT($L583,$J583,$I583,$M583,$O583,$N583,$P583,$Q583-$C$3,$R583,1)*H583</f>
        <v>#NAME?</v>
      </c>
      <c r="U583" s="43" t="e">
        <f aca="false">S583*H583</f>
        <v>#NAME?</v>
      </c>
      <c r="V583" s="250" t="e">
        <f aca="false">xSPRDOPT($L583,$J583,$I583,$M583,$O583,$N583,$P583,$Q583-$C$3,$R583,2)*H583</f>
        <v>#NAME?</v>
      </c>
      <c r="W583" s="250" t="e">
        <f aca="false">+V583+T583</f>
        <v>#NAME?</v>
      </c>
      <c r="X583" s="2" t="str">
        <f aca="false">CONCATENATE(G583,D583)</f>
        <v>36923NGI/CHI. GATE</v>
      </c>
      <c r="Y583" s="251" t="n">
        <f aca="false">H583/10000</f>
        <v>-14</v>
      </c>
      <c r="Z583" s="226" t="e">
        <f aca="false">T583/H583</f>
        <v>#NAME?</v>
      </c>
      <c r="AA583" s="226" t="e">
        <f aca="false">xSPRDOPT($L583,$J583,$I583,$M583,$O583,$N583,$P583,$Q583-$C$3,$R583,3)</f>
        <v>#NAME?</v>
      </c>
      <c r="AB583" s="226" t="e">
        <f aca="false">((xSPRDOPT($L583+AB$5,$J583,$I583,$M583,$O583,$N583,$P583,$Q583-$C$3,$R583,3)*$H583)/10000)/100</f>
        <v>#NAME?</v>
      </c>
      <c r="AC583" s="226" t="e">
        <f aca="false">((xSPRDOPT($L583+$AB$5,$J583,$I583,$M583,$O583,$N583,$P583,$Q583-$C$3,$R583,7)*$H583)/100)</f>
        <v>#NAME?</v>
      </c>
      <c r="AD583" s="226" t="e">
        <f aca="false">(xSPRDOPT($L583+$AB$5,$J583,$I583,$M583,$O583,$N583,$P583,$Q583-$C$3,$R583,9)/365)*$H583</f>
        <v>#NAME?</v>
      </c>
      <c r="AE583" s="0" t="e">
        <f aca="false">CD584</f>
        <v>#NAME?</v>
      </c>
      <c r="AF583" s="226" t="e">
        <f aca="false">((O583/N583)*AH583)+AG583</f>
        <v>#NAME?</v>
      </c>
      <c r="AG583" s="226" t="e">
        <f aca="false">((xSPRDOPT($L583,$J583,$I583,$M583,$O583,$N583,$P583,$Q583-$C$3,$R583,6)*$H583)/100)</f>
        <v>#NAME?</v>
      </c>
      <c r="AH583" s="226" t="e">
        <f aca="false">((xSPRDOPT($L583,$J583,$I583,$M583,$O583,$N583,$P583,$Q583-$C$3,$R583,5)*$H583)/100)</f>
        <v>#NAME?</v>
      </c>
      <c r="AI583" s="226" t="e">
        <f aca="false">(((xSPRDOPT($L583,$J583,$I583,$M583,$O583,$N583,$P583,$Q583-$C$3,$R583,4)*$H583)/10000)/100)-AB583</f>
        <v>#NAME?</v>
      </c>
      <c r="AJ583" s="226"/>
      <c r="AK583" s="226"/>
      <c r="CC583" s="182" t="n">
        <f aca="false">G582</f>
        <v>36892</v>
      </c>
      <c r="CD583" s="253" t="e">
        <f aca="false">xSPRDOPT((VLOOKUP(G582,NGPrices,2,FALSE())+HLOOKUP(D582,Prices,VLOOKUP(G582,move_down,2,FALSE()),FALSE())),VLOOKUP(G582,NGPrices,2,FALSE()),I582,VLOOKUP(G582,NGPREVPRICES,4,FALSE()),HLOOKUP(D582,PREVVOLS,VLOOKUP(G582,MOVE_DOWN2,2,FALSE()),FALSE()),VLOOKUP(G582,NGPREVPRICES,3,FALSE()),HLOOKUP(D582,Correllate,VLOOKUP(G582,CorMove,2,FALSE()),FALSE()),Q582-$CD$3,R582,$CD$5)*H582-CJ583</f>
        <v>#NAME?</v>
      </c>
      <c r="CE583" s="253" t="e">
        <f aca="false">xSPRDOPT((VLOOKUP(G582,NGPREVPRICES,2,FALSE())+HLOOKUP(D582,PREVCURVES,VLOOKUP(G582,MOVE_DOWN2,2,FALSE()),FALSE())),VLOOKUP(G582,NGPREVPRICES,2,FALSE()),CK583,VLOOKUP(G582,NGPrices,4,FALSE()),HLOOKUP(D582,PREVVOLS,VLOOKUP(G582,MOVE_DOWN2,2,FALSE()),FALSE()),VLOOKUP(G582,NGPREVPRICES,3,FALSE()),HLOOKUP(D582,Correllate,VLOOKUP(G582,CorMove,2,FALSE()),FALSE()),Q582-$CD$3,R582,$CJ$5)*H582-CJ583</f>
        <v>#NAME?</v>
      </c>
      <c r="CF583" s="132" t="e">
        <f aca="false">(CJ583/VLOOKUP(CC583,discount,3,FALSE()))-(CJ583/VLOOKUP(CC583,discount,2,FALSE()))</f>
        <v>#NAME?</v>
      </c>
      <c r="CG583" s="253" t="e">
        <f aca="false">xSPRDOPT((VLOOKUP(G582,NGPREVPRICES,2,FALSE())+HLOOKUP(D582,PREVCURVES,VLOOKUP(G582,MOVE_DOWN2,2,FALSE()),FALSE())),VLOOKUP(G582,NGPREVPRICES,2,FALSE()),CK583,VLOOKUP(G582,NGPREVPRICES,4,FALSE()),HLOOKUP(D582,VOLS,VLOOKUP(G582,move_down,2,FALSE()),FALSE()),VLOOKUP(G582,NGPrices,3,FALSE()),HLOOKUP(D582,Correllate,VLOOKUP(G582,CorMove,2,FALSE()),FALSE()),Q582-$CD$3,R582,$CJ$5)*H582-CJ583</f>
        <v>#NAME?</v>
      </c>
      <c r="CH583" s="253" t="e">
        <f aca="false">xSPRDOPT((VLOOKUP(G582,NGPREVPRICES,2,FALSE())+HLOOKUP(D582,PREVCURVES,VLOOKUP(G582,MOVE_DOWN2,2,FALSE()),FALSE())),VLOOKUP(G582,NGPREVPRICES,2,FALSE()),CK583,VLOOKUP(G582,NGPREVPRICES,4,FALSE()),HLOOKUP(D582,PREVVOLS,VLOOKUP(G582,MOVE_DOWN2,2,FALSE()),FALSE()),VLOOKUP(G582,NGPREVPRICES,3,FALSE()),HLOOKUP(D582,Correllate,VLOOKUP(G582,CorMove,2,FALSE()),FALSE()),Q582-$C$3,R582,$CJ$5)*H582-CJ583</f>
        <v>#NAME?</v>
      </c>
      <c r="CI583" s="253" t="e">
        <f aca="false">SUM(CD583:CH583)</f>
        <v>#NAME?</v>
      </c>
      <c r="CJ583" s="253" t="e">
        <f aca="false">xSPRDOPT((VLOOKUP(G582,NGPREVPRICES,2,FALSE())+HLOOKUP(D582,PREVCURVES,VLOOKUP(G582,MOVE_DOWN2,2,FALSE()),FALSE())),VLOOKUP(G582,NGPREVPRICES,2,FALSE()),CK583,VLOOKUP(G582,NGPREVPRICES,4,FALSE()),HLOOKUP(D582,PREVVOLS,VLOOKUP(G582,MOVE_DOWN2,2,FALSE()),FALSE()),VLOOKUP(G582,NGPREVPRICES,3,FALSE()),HLOOKUP(D582,Correllate,VLOOKUP(G582,CorMove,2,FALSE()),FALSE()),Q582-$CD$3,R582,$CJ$5)*H582</f>
        <v>#NAME?</v>
      </c>
      <c r="CK583" s="254" t="n">
        <f aca="false">I582</f>
        <v>0.15</v>
      </c>
      <c r="CM583" s="0" t="str">
        <f aca="false">CONCATENATE(CC583,$CD$6)</f>
        <v>36892Curve Shift/Gamma</v>
      </c>
      <c r="CN583" s="0" t="str">
        <f aca="false">CONCATENATE($CC583,$CE$6)</f>
        <v>36892Rho</v>
      </c>
      <c r="CO583" s="0" t="str">
        <f aca="false">CONCATENATE($CC583,$CF$6)</f>
        <v>36892Drift</v>
      </c>
      <c r="CP583" s="0" t="str">
        <f aca="false">CONCATENATE($CC583,$CG$6)</f>
        <v>36892Vega</v>
      </c>
      <c r="CQ583" s="0" t="str">
        <f aca="false">CONCATENATE($CC583,$CH$6)</f>
        <v>36892Theta</v>
      </c>
    </row>
    <row r="584" customFormat="false" ht="12.75" hidden="false" customHeight="false" outlineLevel="0" collapsed="false">
      <c r="A584" s="17" t="s">
        <v>345</v>
      </c>
      <c r="B584" s="0" t="s">
        <v>192</v>
      </c>
      <c r="C584" s="0" t="s">
        <v>392</v>
      </c>
      <c r="D584" s="7" t="s">
        <v>152</v>
      </c>
      <c r="E584" s="0" t="s">
        <v>131</v>
      </c>
      <c r="F584" s="0" t="s">
        <v>136</v>
      </c>
      <c r="G584" s="92" t="n">
        <v>36951</v>
      </c>
      <c r="H584" s="248" t="n">
        <v>-155000</v>
      </c>
      <c r="I584" s="0" t="n">
        <v>0.15</v>
      </c>
      <c r="J584" s="124" t="n">
        <f aca="false">VLOOKUP(G584,NGPrices,2,FALSE())</f>
        <v>4.213</v>
      </c>
      <c r="K584" s="125" t="n">
        <f aca="false">HLOOKUP(D584,Prices,VLOOKUP(G584,move_down,2,FALSE()),FALSE())+VLOOKUP(G584,CHANGE,HLOOKUP(D584,CHANGE,2,FALSE()),FALSE())</f>
        <v>0.1225</v>
      </c>
      <c r="L584" s="124" t="n">
        <f aca="false">K584+J584</f>
        <v>4.3355</v>
      </c>
      <c r="M584" s="126" t="n">
        <f aca="false">VLOOKUP(G584,NGPrices,4,FALSE())</f>
        <v>0.068879814952707</v>
      </c>
      <c r="N584" s="7" t="n">
        <f aca="false">VLOOKUP(G584,NGPrices,3,FALSE())</f>
        <v>0.5325</v>
      </c>
      <c r="O584" s="7" t="n">
        <f aca="false">HLOOKUP(D584,VOLS,VLOOKUP(G584,move_down,2,FALSE()),FALSE())</f>
        <v>0.533</v>
      </c>
      <c r="P584" s="249" t="n">
        <f aca="false">HLOOKUP(D584,Correllate,VLOOKUP(G584,CorMove,2,FALSE()),FALSE())</f>
        <v>0.997</v>
      </c>
      <c r="Q584" s="92" t="n">
        <f aca="false">WORKDAY(G584,-2)</f>
        <v>36949</v>
      </c>
      <c r="R584" s="7" t="n">
        <f aca="false">IF(F584="P",0,1)</f>
        <v>1</v>
      </c>
      <c r="S584" s="130" t="e">
        <f aca="false">xSPRDOPT($L584,$J584,$I584,$M584,$O584,$N584,$P584,$Q584-$C$3,$R584,0)</f>
        <v>#NAME?</v>
      </c>
      <c r="T584" s="250" t="e">
        <f aca="false">xSPRDOPT($L584,$J584,$I584,$M584,$O584,$N584,$P584,$Q584-$C$3,$R584,1)*H584</f>
        <v>#NAME?</v>
      </c>
      <c r="U584" s="43" t="e">
        <f aca="false">S584*H584</f>
        <v>#NAME?</v>
      </c>
      <c r="V584" s="250" t="e">
        <f aca="false">xSPRDOPT($L584,$J584,$I584,$M584,$O584,$N584,$P584,$Q584-$C$3,$R584,2)*H584</f>
        <v>#NAME?</v>
      </c>
      <c r="W584" s="250" t="e">
        <f aca="false">+V584+T584</f>
        <v>#NAME?</v>
      </c>
      <c r="X584" s="2" t="str">
        <f aca="false">CONCATENATE(G584,D584)</f>
        <v>36951NGI/CHI. GATE</v>
      </c>
      <c r="Y584" s="251" t="n">
        <f aca="false">H584/10000</f>
        <v>-15.5</v>
      </c>
      <c r="Z584" s="226" t="e">
        <f aca="false">T584/H584</f>
        <v>#NAME?</v>
      </c>
      <c r="AA584" s="226" t="e">
        <f aca="false">xSPRDOPT($L584,$J584,$I584,$M584,$O584,$N584,$P584,$Q584-$C$3,$R584,3)</f>
        <v>#NAME?</v>
      </c>
      <c r="AB584" s="226" t="e">
        <f aca="false">((xSPRDOPT($L584+AB$5,$J584,$I584,$M584,$O584,$N584,$P584,$Q584-$C$3,$R584,3)*$H584)/10000)/100</f>
        <v>#NAME?</v>
      </c>
      <c r="AC584" s="226" t="e">
        <f aca="false">((xSPRDOPT($L584+$AB$5,$J584,$I584,$M584,$O584,$N584,$P584,$Q584-$C$3,$R584,7)*$H584)/100)</f>
        <v>#NAME?</v>
      </c>
      <c r="AD584" s="226" t="e">
        <f aca="false">(xSPRDOPT($L584+$AB$5,$J584,$I584,$M584,$O584,$N584,$P584,$Q584-$C$3,$R584,9)/365)*$H584</f>
        <v>#NAME?</v>
      </c>
      <c r="AE584" s="0" t="e">
        <f aca="false">CD585</f>
        <v>#NAME?</v>
      </c>
      <c r="AF584" s="226" t="e">
        <f aca="false">((O584/N584)*AH584)+AG584</f>
        <v>#NAME?</v>
      </c>
      <c r="AG584" s="226" t="e">
        <f aca="false">((xSPRDOPT($L584,$J584,$I584,$M584,$O584,$N584,$P584,$Q584-$C$3,$R584,6)*$H584)/100)</f>
        <v>#NAME?</v>
      </c>
      <c r="AH584" s="226" t="e">
        <f aca="false">((xSPRDOPT($L584,$J584,$I584,$M584,$O584,$N584,$P584,$Q584-$C$3,$R584,5)*$H584)/100)</f>
        <v>#NAME?</v>
      </c>
      <c r="AI584" s="226" t="e">
        <f aca="false">(((xSPRDOPT($L584,$J584,$I584,$M584,$O584,$N584,$P584,$Q584-$C$3,$R584,4)*$H584)/10000)/100)-AB584</f>
        <v>#NAME?</v>
      </c>
      <c r="AJ584" s="226"/>
      <c r="AK584" s="226"/>
      <c r="CC584" s="182" t="n">
        <f aca="false">G583</f>
        <v>36923</v>
      </c>
      <c r="CD584" s="253" t="e">
        <f aca="false">xSPRDOPT((VLOOKUP(G583,NGPrices,2,FALSE())+HLOOKUP(D583,Prices,VLOOKUP(G583,move_down,2,FALSE()),FALSE())),VLOOKUP(G583,NGPrices,2,FALSE()),I583,VLOOKUP(G583,NGPREVPRICES,4,FALSE()),HLOOKUP(D583,PREVVOLS,VLOOKUP(G583,MOVE_DOWN2,2,FALSE()),FALSE()),VLOOKUP(G583,NGPREVPRICES,3,FALSE()),HLOOKUP(D583,Correllate,VLOOKUP(G583,CorMove,2,FALSE()),FALSE()),Q583-$CD$3,R583,$CD$5)*H583-CJ584</f>
        <v>#NAME?</v>
      </c>
      <c r="CE584" s="253" t="e">
        <f aca="false">xSPRDOPT((VLOOKUP(G583,NGPREVPRICES,2,FALSE())+HLOOKUP(D583,PREVCURVES,VLOOKUP(G583,MOVE_DOWN2,2,FALSE()),FALSE())),VLOOKUP(G583,NGPREVPRICES,2,FALSE()),CK584,VLOOKUP(G583,NGPrices,4,FALSE()),HLOOKUP(D583,PREVVOLS,VLOOKUP(G583,MOVE_DOWN2,2,FALSE()),FALSE()),VLOOKUP(G583,NGPREVPRICES,3,FALSE()),HLOOKUP(D583,Correllate,VLOOKUP(G583,CorMove,2,FALSE()),FALSE()),Q583-$CD$3,R583,$CJ$5)*H583-CJ584</f>
        <v>#NAME?</v>
      </c>
      <c r="CF584" s="132" t="e">
        <f aca="false">(CJ584/VLOOKUP(CC584,discount,3,FALSE()))-(CJ584/VLOOKUP(CC584,discount,2,FALSE()))</f>
        <v>#NAME?</v>
      </c>
      <c r="CG584" s="253" t="e">
        <f aca="false">xSPRDOPT((VLOOKUP(G583,NGPREVPRICES,2,FALSE())+HLOOKUP(D583,PREVCURVES,VLOOKUP(G583,MOVE_DOWN2,2,FALSE()),FALSE())),VLOOKUP(G583,NGPREVPRICES,2,FALSE()),CK584,VLOOKUP(G583,NGPREVPRICES,4,FALSE()),HLOOKUP(D583,VOLS,VLOOKUP(G583,move_down,2,FALSE()),FALSE()),VLOOKUP(G583,NGPrices,3,FALSE()),HLOOKUP(D583,Correllate,VLOOKUP(G583,CorMove,2,FALSE()),FALSE()),Q583-$CD$3,R583,$CJ$5)*H583-CJ584</f>
        <v>#NAME?</v>
      </c>
      <c r="CH584" s="253" t="e">
        <f aca="false">xSPRDOPT((VLOOKUP(G583,NGPREVPRICES,2,FALSE())+HLOOKUP(D583,PREVCURVES,VLOOKUP(G583,MOVE_DOWN2,2,FALSE()),FALSE())),VLOOKUP(G583,NGPREVPRICES,2,FALSE()),CK584,VLOOKUP(G583,NGPREVPRICES,4,FALSE()),HLOOKUP(D583,PREVVOLS,VLOOKUP(G583,MOVE_DOWN2,2,FALSE()),FALSE()),VLOOKUP(G583,NGPREVPRICES,3,FALSE()),HLOOKUP(D583,Correllate,VLOOKUP(G583,CorMove,2,FALSE()),FALSE()),Q583-$C$3,R583,$CJ$5)*H583-CJ584</f>
        <v>#NAME?</v>
      </c>
      <c r="CI584" s="253" t="e">
        <f aca="false">SUM(CD584:CH584)</f>
        <v>#NAME?</v>
      </c>
      <c r="CJ584" s="253" t="e">
        <f aca="false">xSPRDOPT((VLOOKUP(G583,NGPREVPRICES,2,FALSE())+HLOOKUP(D583,PREVCURVES,VLOOKUP(G583,MOVE_DOWN2,2,FALSE()),FALSE())),VLOOKUP(G583,NGPREVPRICES,2,FALSE()),CK584,VLOOKUP(G583,NGPREVPRICES,4,FALSE()),HLOOKUP(D583,PREVVOLS,VLOOKUP(G583,MOVE_DOWN2,2,FALSE()),FALSE()),VLOOKUP(G583,NGPREVPRICES,3,FALSE()),HLOOKUP(D583,Correllate,VLOOKUP(G583,CorMove,2,FALSE()),FALSE()),Q583-$CD$3,R583,$CJ$5)*H583</f>
        <v>#NAME?</v>
      </c>
      <c r="CK584" s="254" t="n">
        <f aca="false">I583</f>
        <v>0.15</v>
      </c>
      <c r="CM584" s="0" t="str">
        <f aca="false">CONCATENATE(CC584,$CD$6)</f>
        <v>36923Curve Shift/Gamma</v>
      </c>
      <c r="CN584" s="0" t="str">
        <f aca="false">CONCATENATE($CC584,$CE$6)</f>
        <v>36923Rho</v>
      </c>
      <c r="CO584" s="0" t="str">
        <f aca="false">CONCATENATE($CC584,$CF$6)</f>
        <v>36923Drift</v>
      </c>
      <c r="CP584" s="0" t="str">
        <f aca="false">CONCATENATE($CC584,$CG$6)</f>
        <v>36923Vega</v>
      </c>
      <c r="CQ584" s="0" t="str">
        <f aca="false">CONCATENATE($CC584,$CH$6)</f>
        <v>36923Theta</v>
      </c>
    </row>
    <row r="585" customFormat="false" ht="12.75" hidden="false" customHeight="false" outlineLevel="0" collapsed="false">
      <c r="A585" s="17" t="s">
        <v>196</v>
      </c>
      <c r="B585" s="0" t="s">
        <v>192</v>
      </c>
      <c r="C585" s="0" t="s">
        <v>393</v>
      </c>
      <c r="D585" s="7" t="s">
        <v>68</v>
      </c>
      <c r="E585" s="0" t="s">
        <v>131</v>
      </c>
      <c r="F585" s="0" t="s">
        <v>136</v>
      </c>
      <c r="G585" s="92" t="n">
        <v>36831</v>
      </c>
      <c r="H585" s="248" t="n">
        <v>-300000</v>
      </c>
      <c r="I585" s="0" t="n">
        <v>-0.15</v>
      </c>
      <c r="J585" s="124" t="n">
        <f aca="false">VLOOKUP(G585,NGPrices,2,FALSE())</f>
        <v>4.736</v>
      </c>
      <c r="K585" s="125" t="n">
        <f aca="false">HLOOKUP(D585,Prices,VLOOKUP(G585,move_down,2,FALSE()),FALSE())+VLOOKUP(G585,CHANGE,HLOOKUP(D585,CHANGE,2,FALSE()),FALSE())</f>
        <v>-0.1425</v>
      </c>
      <c r="L585" s="124" t="n">
        <f aca="false">K585+J585</f>
        <v>4.5935</v>
      </c>
      <c r="M585" s="126" t="n">
        <f aca="false">VLOOKUP(G585,NGPrices,4,FALSE())</f>
        <v>0.06810675983792</v>
      </c>
      <c r="N585" s="7" t="n">
        <f aca="false">VLOOKUP(G585,NGPrices,3,FALSE())</f>
        <v>0.595</v>
      </c>
      <c r="O585" s="7" t="n">
        <f aca="false">HLOOKUP(D585,VOLS,VLOOKUP(G585,move_down,2,FALSE()),FALSE())</f>
        <v>0.595</v>
      </c>
      <c r="P585" s="249" t="n">
        <f aca="false">HLOOKUP(D585,Correllate,VLOOKUP(G585,CorMove,2,FALSE()),FALSE())</f>
        <v>0.995</v>
      </c>
      <c r="Q585" s="92" t="n">
        <f aca="false">WORKDAY(G585,-2)</f>
        <v>36829</v>
      </c>
      <c r="R585" s="7" t="n">
        <f aca="false">IF(F585="P",0,1)</f>
        <v>1</v>
      </c>
      <c r="S585" s="130" t="e">
        <f aca="false">xSPRDOPT($L585,$J585,$I585,$M585,$O585,$N585,$P585,$Q585-$C$3,$R585,0)</f>
        <v>#NAME?</v>
      </c>
      <c r="T585" s="250" t="e">
        <f aca="false">xSPRDOPT($L585,$J585,$I585,$M585,$O585,$N585,$P585,$Q585-$C$3,$R585,1)*H585</f>
        <v>#NAME?</v>
      </c>
      <c r="U585" s="43" t="e">
        <f aca="false">S585*H585</f>
        <v>#NAME?</v>
      </c>
      <c r="V585" s="250" t="e">
        <f aca="false">xSPRDOPT($L585,$J585,$I585,$M585,$O585,$N585,$P585,$Q585-$C$3,$R585,2)*H585</f>
        <v>#NAME?</v>
      </c>
      <c r="W585" s="250" t="e">
        <f aca="false">+V585+T585</f>
        <v>#NAME?</v>
      </c>
      <c r="X585" s="2" t="str">
        <f aca="false">CONCATENATE(G585,D585)</f>
        <v>36831IF-PAN/TX/OK</v>
      </c>
      <c r="Y585" s="251" t="n">
        <f aca="false">H585/10000</f>
        <v>-30</v>
      </c>
      <c r="Z585" s="226" t="e">
        <f aca="false">T585/H585</f>
        <v>#NAME?</v>
      </c>
      <c r="AA585" s="226" t="e">
        <f aca="false">xSPRDOPT($L585,$J585,$I585,$M585,$O585,$N585,$P585,$Q585-$C$3,$R585,3)</f>
        <v>#NAME?</v>
      </c>
      <c r="AB585" s="226" t="e">
        <f aca="false">((xSPRDOPT($L585+AB$5,$J585,$I585,$M585,$O585,$N585,$P585,$Q585-$C$3,$R585,3)*$H585)/10000)/100</f>
        <v>#NAME?</v>
      </c>
      <c r="AC585" s="226" t="e">
        <f aca="false">((xSPRDOPT($L585+$AB$5,$J585,$I585,$M585,$O585,$N585,$P585,$Q585-$C$3,$R585,7)*$H585)/100)</f>
        <v>#NAME?</v>
      </c>
      <c r="AD585" s="226" t="e">
        <f aca="false">(xSPRDOPT($L585+$AB$5,$J585,$I585,$M585,$O585,$N585,$P585,$Q585-$C$3,$R585,9)/365)*$H585</f>
        <v>#NAME?</v>
      </c>
      <c r="AE585" s="0" t="e">
        <f aca="false">CD586</f>
        <v>#NAME?</v>
      </c>
      <c r="AF585" s="226" t="e">
        <f aca="false">((O585/N585)*AH585)+AG585</f>
        <v>#NAME?</v>
      </c>
      <c r="AG585" s="226" t="e">
        <f aca="false">((xSPRDOPT($L585,$J585,$I585,$M585,$O585,$N585,$P585,$Q585-$C$3,$R585,6)*$H585)/100)</f>
        <v>#NAME?</v>
      </c>
      <c r="AH585" s="226" t="e">
        <f aca="false">((xSPRDOPT($L585,$J585,$I585,$M585,$O585,$N585,$P585,$Q585-$C$3,$R585,5)*$H585)/100)</f>
        <v>#NAME?</v>
      </c>
      <c r="AI585" s="226" t="e">
        <f aca="false">(((xSPRDOPT($L585,$J585,$I585,$M585,$O585,$N585,$P585,$Q585-$C$3,$R585,4)*$H585)/10000)/100)-AB585</f>
        <v>#NAME?</v>
      </c>
      <c r="AJ585" s="226"/>
      <c r="AK585" s="226"/>
      <c r="CC585" s="182" t="n">
        <f aca="false">G584</f>
        <v>36951</v>
      </c>
      <c r="CD585" s="253" t="e">
        <f aca="false">xSPRDOPT((VLOOKUP(G584,NGPrices,2,FALSE())+HLOOKUP(D584,Prices,VLOOKUP(G584,move_down,2,FALSE()),FALSE())),VLOOKUP(G584,NGPrices,2,FALSE()),I584,VLOOKUP(G584,NGPREVPRICES,4,FALSE()),HLOOKUP(D584,PREVVOLS,VLOOKUP(G584,MOVE_DOWN2,2,FALSE()),FALSE()),VLOOKUP(G584,NGPREVPRICES,3,FALSE()),HLOOKUP(D584,Correllate,VLOOKUP(G584,CorMove,2,FALSE()),FALSE()),Q584-$CD$3,R584,$CD$5)*H584-CJ585</f>
        <v>#NAME?</v>
      </c>
      <c r="CE585" s="253" t="e">
        <f aca="false">xSPRDOPT((VLOOKUP(G584,NGPREVPRICES,2,FALSE())+HLOOKUP(D584,PREVCURVES,VLOOKUP(G584,MOVE_DOWN2,2,FALSE()),FALSE())),VLOOKUP(G584,NGPREVPRICES,2,FALSE()),CK585,VLOOKUP(G584,NGPrices,4,FALSE()),HLOOKUP(D584,PREVVOLS,VLOOKUP(G584,MOVE_DOWN2,2,FALSE()),FALSE()),VLOOKUP(G584,NGPREVPRICES,3,FALSE()),HLOOKUP(D584,Correllate,VLOOKUP(G584,CorMove,2,FALSE()),FALSE()),Q584-$CD$3,R584,$CJ$5)*H584-CJ585</f>
        <v>#NAME?</v>
      </c>
      <c r="CF585" s="132" t="e">
        <f aca="false">(CJ585/VLOOKUP(CC585,discount,3,FALSE()))-(CJ585/VLOOKUP(CC585,discount,2,FALSE()))</f>
        <v>#NAME?</v>
      </c>
      <c r="CG585" s="253" t="e">
        <f aca="false">xSPRDOPT((VLOOKUP(G584,NGPREVPRICES,2,FALSE())+HLOOKUP(D584,PREVCURVES,VLOOKUP(G584,MOVE_DOWN2,2,FALSE()),FALSE())),VLOOKUP(G584,NGPREVPRICES,2,FALSE()),CK585,VLOOKUP(G584,NGPREVPRICES,4,FALSE()),HLOOKUP(D584,VOLS,VLOOKUP(G584,move_down,2,FALSE()),FALSE()),VLOOKUP(G584,NGPrices,3,FALSE()),HLOOKUP(D584,Correllate,VLOOKUP(G584,CorMove,2,FALSE()),FALSE()),Q584-$CD$3,R584,$CJ$5)*H584-CJ585</f>
        <v>#NAME?</v>
      </c>
      <c r="CH585" s="253" t="e">
        <f aca="false">xSPRDOPT((VLOOKUP(G584,NGPREVPRICES,2,FALSE())+HLOOKUP(D584,PREVCURVES,VLOOKUP(G584,MOVE_DOWN2,2,FALSE()),FALSE())),VLOOKUP(G584,NGPREVPRICES,2,FALSE()),CK585,VLOOKUP(G584,NGPREVPRICES,4,FALSE()),HLOOKUP(D584,PREVVOLS,VLOOKUP(G584,MOVE_DOWN2,2,FALSE()),FALSE()),VLOOKUP(G584,NGPREVPRICES,3,FALSE()),HLOOKUP(D584,Correllate,VLOOKUP(G584,CorMove,2,FALSE()),FALSE()),Q584-$C$3,R584,$CJ$5)*H584-CJ585</f>
        <v>#NAME?</v>
      </c>
      <c r="CI585" s="253" t="e">
        <f aca="false">SUM(CD585:CH585)</f>
        <v>#NAME?</v>
      </c>
      <c r="CJ585" s="253" t="e">
        <f aca="false">xSPRDOPT((VLOOKUP(G584,NGPREVPRICES,2,FALSE())+HLOOKUP(D584,PREVCURVES,VLOOKUP(G584,MOVE_DOWN2,2,FALSE()),FALSE())),VLOOKUP(G584,NGPREVPRICES,2,FALSE()),CK585,VLOOKUP(G584,NGPREVPRICES,4,FALSE()),HLOOKUP(D584,PREVVOLS,VLOOKUP(G584,MOVE_DOWN2,2,FALSE()),FALSE()),VLOOKUP(G584,NGPREVPRICES,3,FALSE()),HLOOKUP(D584,Correllate,VLOOKUP(G584,CorMove,2,FALSE()),FALSE()),Q584-$CD$3,R584,$CJ$5)*H584</f>
        <v>#NAME?</v>
      </c>
      <c r="CK585" s="254" t="n">
        <f aca="false">I584</f>
        <v>0.15</v>
      </c>
      <c r="CM585" s="0" t="str">
        <f aca="false">CONCATENATE(CC585,$CD$6)</f>
        <v>36951Curve Shift/Gamma</v>
      </c>
      <c r="CN585" s="0" t="str">
        <f aca="false">CONCATENATE($CC585,$CE$6)</f>
        <v>36951Rho</v>
      </c>
      <c r="CO585" s="0" t="str">
        <f aca="false">CONCATENATE($CC585,$CF$6)</f>
        <v>36951Drift</v>
      </c>
      <c r="CP585" s="0" t="str">
        <f aca="false">CONCATENATE($CC585,$CG$6)</f>
        <v>36951Vega</v>
      </c>
      <c r="CQ585" s="0" t="str">
        <f aca="false">CONCATENATE($CC585,$CH$6)</f>
        <v>36951Theta</v>
      </c>
    </row>
    <row r="586" customFormat="false" ht="12.75" hidden="false" customHeight="false" outlineLevel="0" collapsed="false">
      <c r="A586" s="17" t="s">
        <v>196</v>
      </c>
      <c r="B586" s="0" t="s">
        <v>192</v>
      </c>
      <c r="C586" s="0" t="s">
        <v>393</v>
      </c>
      <c r="D586" s="7" t="s">
        <v>68</v>
      </c>
      <c r="E586" s="0" t="s">
        <v>131</v>
      </c>
      <c r="F586" s="0" t="s">
        <v>136</v>
      </c>
      <c r="G586" s="92" t="n">
        <v>36861</v>
      </c>
      <c r="H586" s="248" t="n">
        <v>-310000</v>
      </c>
      <c r="I586" s="0" t="n">
        <v>-0.15</v>
      </c>
      <c r="J586" s="124" t="n">
        <f aca="false">VLOOKUP(G586,NGPrices,2,FALSE())</f>
        <v>4.8</v>
      </c>
      <c r="K586" s="125" t="n">
        <f aca="false">HLOOKUP(D586,Prices,VLOOKUP(G586,move_down,2,FALSE()),FALSE())+VLOOKUP(G586,CHANGE,HLOOKUP(D586,CHANGE,2,FALSE()),FALSE())</f>
        <v>-0.1525</v>
      </c>
      <c r="L586" s="124" t="n">
        <f aca="false">K586+J586</f>
        <v>4.6475</v>
      </c>
      <c r="M586" s="126" t="n">
        <f aca="false">VLOOKUP(G586,NGPrices,4,FALSE())</f>
        <v>0.068314027999354</v>
      </c>
      <c r="N586" s="7" t="n">
        <f aca="false">VLOOKUP(G586,NGPrices,3,FALSE())</f>
        <v>0.6</v>
      </c>
      <c r="O586" s="7" t="n">
        <f aca="false">HLOOKUP(D586,VOLS,VLOOKUP(G586,move_down,2,FALSE()),FALSE())</f>
        <v>0.6</v>
      </c>
      <c r="P586" s="249" t="n">
        <f aca="false">HLOOKUP(D586,Correllate,VLOOKUP(G586,CorMove,2,FALSE()),FALSE())</f>
        <v>0.995</v>
      </c>
      <c r="Q586" s="92" t="n">
        <f aca="false">WORKDAY(G586,-2)</f>
        <v>36859</v>
      </c>
      <c r="R586" s="7" t="n">
        <f aca="false">IF(F586="P",0,1)</f>
        <v>1</v>
      </c>
      <c r="S586" s="130" t="e">
        <f aca="false">xSPRDOPT($L586,$J586,$I586,$M586,$O586,$N586,$P586,$Q586-$C$3,$R586,0)</f>
        <v>#NAME?</v>
      </c>
      <c r="T586" s="250" t="e">
        <f aca="false">xSPRDOPT($L586,$J586,$I586,$M586,$O586,$N586,$P586,$Q586-$C$3,$R586,1)*H586</f>
        <v>#NAME?</v>
      </c>
      <c r="U586" s="43" t="e">
        <f aca="false">S586*H586</f>
        <v>#NAME?</v>
      </c>
      <c r="V586" s="250" t="e">
        <f aca="false">xSPRDOPT($L586,$J586,$I586,$M586,$O586,$N586,$P586,$Q586-$C$3,$R586,2)*H586</f>
        <v>#NAME?</v>
      </c>
      <c r="W586" s="250" t="e">
        <f aca="false">+V586+T586</f>
        <v>#NAME?</v>
      </c>
      <c r="X586" s="2" t="str">
        <f aca="false">CONCATENATE(G586,D586)</f>
        <v>36861IF-PAN/TX/OK</v>
      </c>
      <c r="Y586" s="251" t="n">
        <f aca="false">H586/10000</f>
        <v>-31</v>
      </c>
      <c r="Z586" s="226" t="e">
        <f aca="false">T586/H586</f>
        <v>#NAME?</v>
      </c>
      <c r="AA586" s="226" t="e">
        <f aca="false">xSPRDOPT($L586,$J586,$I586,$M586,$O586,$N586,$P586,$Q586-$C$3,$R586,3)</f>
        <v>#NAME?</v>
      </c>
      <c r="AB586" s="226" t="e">
        <f aca="false">((xSPRDOPT($L586+AB$5,$J586,$I586,$M586,$O586,$N586,$P586,$Q586-$C$3,$R586,3)*$H586)/10000)/100</f>
        <v>#NAME?</v>
      </c>
      <c r="AC586" s="226" t="e">
        <f aca="false">((xSPRDOPT($L586+$AB$5,$J586,$I586,$M586,$O586,$N586,$P586,$Q586-$C$3,$R586,7)*$H586)/100)</f>
        <v>#NAME?</v>
      </c>
      <c r="AD586" s="226" t="e">
        <f aca="false">(xSPRDOPT($L586+$AB$5,$J586,$I586,$M586,$O586,$N586,$P586,$Q586-$C$3,$R586,9)/365)*$H586</f>
        <v>#NAME?</v>
      </c>
      <c r="AE586" s="0" t="e">
        <f aca="false">CD587</f>
        <v>#NAME?</v>
      </c>
      <c r="AF586" s="226" t="e">
        <f aca="false">((O586/N586)*AH586)+AG586</f>
        <v>#NAME?</v>
      </c>
      <c r="AG586" s="226" t="e">
        <f aca="false">((xSPRDOPT($L586,$J586,$I586,$M586,$O586,$N586,$P586,$Q586-$C$3,$R586,6)*$H586)/100)</f>
        <v>#NAME?</v>
      </c>
      <c r="AH586" s="226" t="e">
        <f aca="false">((xSPRDOPT($L586,$J586,$I586,$M586,$O586,$N586,$P586,$Q586-$C$3,$R586,5)*$H586)/100)</f>
        <v>#NAME?</v>
      </c>
      <c r="AI586" s="226" t="e">
        <f aca="false">(((xSPRDOPT($L586,$J586,$I586,$M586,$O586,$N586,$P586,$Q586-$C$3,$R586,4)*$H586)/10000)/100)-AB586</f>
        <v>#NAME?</v>
      </c>
      <c r="AJ586" s="226"/>
      <c r="AK586" s="226"/>
      <c r="CC586" s="182" t="n">
        <f aca="false">G585</f>
        <v>36831</v>
      </c>
      <c r="CD586" s="253" t="e">
        <f aca="false">xSPRDOPT((VLOOKUP(G585,NGPrices,2,FALSE())+HLOOKUP(D585,Prices,VLOOKUP(G585,move_down,2,FALSE()),FALSE())),VLOOKUP(G585,NGPrices,2,FALSE()),I585,VLOOKUP(G585,NGPREVPRICES,4,FALSE()),HLOOKUP(D585,PREVVOLS,VLOOKUP(G585,MOVE_DOWN2,2,FALSE()),FALSE()),VLOOKUP(G585,NGPREVPRICES,3,FALSE()),HLOOKUP(D585,Correllate,VLOOKUP(G585,CorMove,2,FALSE()),FALSE()),Q585-$CD$3,R585,$CD$5)*H585-CJ586</f>
        <v>#NAME?</v>
      </c>
      <c r="CE586" s="253" t="e">
        <f aca="false">xSPRDOPT((VLOOKUP(G585,NGPREVPRICES,2,FALSE())+HLOOKUP(D585,PREVCURVES,VLOOKUP(G585,MOVE_DOWN2,2,FALSE()),FALSE())),VLOOKUP(G585,NGPREVPRICES,2,FALSE()),CK586,VLOOKUP(G585,NGPrices,4,FALSE()),HLOOKUP(D585,PREVVOLS,VLOOKUP(G585,MOVE_DOWN2,2,FALSE()),FALSE()),VLOOKUP(G585,NGPREVPRICES,3,FALSE()),HLOOKUP(D585,Correllate,VLOOKUP(G585,CorMove,2,FALSE()),FALSE()),Q585-$CD$3,R585,$CJ$5)*H585-CJ586</f>
        <v>#NAME?</v>
      </c>
      <c r="CF586" s="132" t="e">
        <f aca="false">(CJ586/VLOOKUP(CC586,discount,3,FALSE()))-(CJ586/VLOOKUP(CC586,discount,2,FALSE()))</f>
        <v>#NAME?</v>
      </c>
      <c r="CG586" s="253" t="e">
        <f aca="false">xSPRDOPT((VLOOKUP(G585,NGPREVPRICES,2,FALSE())+HLOOKUP(D585,PREVCURVES,VLOOKUP(G585,MOVE_DOWN2,2,FALSE()),FALSE())),VLOOKUP(G585,NGPREVPRICES,2,FALSE()),CK586,VLOOKUP(G585,NGPREVPRICES,4,FALSE()),HLOOKUP(D585,VOLS,VLOOKUP(G585,move_down,2,FALSE()),FALSE()),VLOOKUP(G585,NGPrices,3,FALSE()),HLOOKUP(D585,Correllate,VLOOKUP(G585,CorMove,2,FALSE()),FALSE()),Q585-$CD$3,R585,$CJ$5)*H585-CJ586</f>
        <v>#NAME?</v>
      </c>
      <c r="CH586" s="253" t="e">
        <f aca="false">xSPRDOPT((VLOOKUP(G585,NGPREVPRICES,2,FALSE())+HLOOKUP(D585,PREVCURVES,VLOOKUP(G585,MOVE_DOWN2,2,FALSE()),FALSE())),VLOOKUP(G585,NGPREVPRICES,2,FALSE()),CK586,VLOOKUP(G585,NGPREVPRICES,4,FALSE()),HLOOKUP(D585,PREVVOLS,VLOOKUP(G585,MOVE_DOWN2,2,FALSE()),FALSE()),VLOOKUP(G585,NGPREVPRICES,3,FALSE()),HLOOKUP(D585,Correllate,VLOOKUP(G585,CorMove,2,FALSE()),FALSE()),Q585-$C$3,R585,$CJ$5)*H585-CJ586</f>
        <v>#NAME?</v>
      </c>
      <c r="CI586" s="253" t="e">
        <f aca="false">SUM(CD586:CH586)</f>
        <v>#NAME?</v>
      </c>
      <c r="CJ586" s="253" t="e">
        <f aca="false">xSPRDOPT((VLOOKUP(G585,NGPREVPRICES,2,FALSE())+HLOOKUP(D585,PREVCURVES,VLOOKUP(G585,MOVE_DOWN2,2,FALSE()),FALSE())),VLOOKUP(G585,NGPREVPRICES,2,FALSE()),CK586,VLOOKUP(G585,NGPREVPRICES,4,FALSE()),HLOOKUP(D585,PREVVOLS,VLOOKUP(G585,MOVE_DOWN2,2,FALSE()),FALSE()),VLOOKUP(G585,NGPREVPRICES,3,FALSE()),HLOOKUP(D585,Correllate,VLOOKUP(G585,CorMove,2,FALSE()),FALSE()),Q585-$CD$3,R585,$CJ$5)*H585</f>
        <v>#NAME?</v>
      </c>
      <c r="CK586" s="254" t="n">
        <f aca="false">I585</f>
        <v>-0.15</v>
      </c>
      <c r="CM586" s="0" t="str">
        <f aca="false">CONCATENATE(CC586,$CD$6)</f>
        <v>36831Curve Shift/Gamma</v>
      </c>
      <c r="CN586" s="0" t="str">
        <f aca="false">CONCATENATE($CC586,$CE$6)</f>
        <v>36831Rho</v>
      </c>
      <c r="CO586" s="0" t="str">
        <f aca="false">CONCATENATE($CC586,$CF$6)</f>
        <v>36831Drift</v>
      </c>
      <c r="CP586" s="0" t="str">
        <f aca="false">CONCATENATE($CC586,$CG$6)</f>
        <v>36831Vega</v>
      </c>
      <c r="CQ586" s="0" t="str">
        <f aca="false">CONCATENATE($CC586,$CH$6)</f>
        <v>36831Theta</v>
      </c>
    </row>
    <row r="587" customFormat="false" ht="12.75" hidden="false" customHeight="false" outlineLevel="0" collapsed="false">
      <c r="A587" s="17" t="s">
        <v>196</v>
      </c>
      <c r="B587" s="0" t="s">
        <v>192</v>
      </c>
      <c r="C587" s="0" t="s">
        <v>393</v>
      </c>
      <c r="D587" s="7" t="s">
        <v>68</v>
      </c>
      <c r="E587" s="0" t="s">
        <v>131</v>
      </c>
      <c r="F587" s="0" t="s">
        <v>136</v>
      </c>
      <c r="G587" s="92" t="n">
        <v>36892</v>
      </c>
      <c r="H587" s="248" t="n">
        <v>-310000</v>
      </c>
      <c r="I587" s="0" t="n">
        <v>-0.15</v>
      </c>
      <c r="J587" s="124" t="n">
        <f aca="false">VLOOKUP(G587,NGPrices,2,FALSE())</f>
        <v>4.744</v>
      </c>
      <c r="K587" s="125" t="n">
        <f aca="false">HLOOKUP(D587,Prices,VLOOKUP(G587,move_down,2,FALSE()),FALSE())+VLOOKUP(G587,CHANGE,HLOOKUP(D587,CHANGE,2,FALSE()),FALSE())</f>
        <v>-0.16</v>
      </c>
      <c r="L587" s="124" t="n">
        <f aca="false">K587+J587</f>
        <v>4.584</v>
      </c>
      <c r="M587" s="126" t="n">
        <f aca="false">VLOOKUP(G587,NGPrices,4,FALSE())</f>
        <v>0.068374831148491</v>
      </c>
      <c r="N587" s="7" t="n">
        <f aca="false">VLOOKUP(G587,NGPrices,3,FALSE())</f>
        <v>0.605</v>
      </c>
      <c r="O587" s="7" t="n">
        <f aca="false">HLOOKUP(D587,VOLS,VLOOKUP(G587,move_down,2,FALSE()),FALSE())</f>
        <v>0.605</v>
      </c>
      <c r="P587" s="249" t="n">
        <f aca="false">HLOOKUP(D587,Correllate,VLOOKUP(G587,CorMove,2,FALSE()),FALSE())</f>
        <v>0.995</v>
      </c>
      <c r="Q587" s="92" t="n">
        <f aca="false">WORKDAY(G587,-2)</f>
        <v>36888</v>
      </c>
      <c r="R587" s="7" t="n">
        <f aca="false">IF(F587="P",0,1)</f>
        <v>1</v>
      </c>
      <c r="S587" s="130" t="e">
        <f aca="false">xSPRDOPT($L587,$J587,$I587,$M587,$O587,$N587,$P587,$Q587-$C$3,$R587,0)</f>
        <v>#NAME?</v>
      </c>
      <c r="T587" s="250" t="e">
        <f aca="false">xSPRDOPT($L587,$J587,$I587,$M587,$O587,$N587,$P587,$Q587-$C$3,$R587,1)*H587</f>
        <v>#NAME?</v>
      </c>
      <c r="U587" s="43" t="e">
        <f aca="false">S587*H587</f>
        <v>#NAME?</v>
      </c>
      <c r="V587" s="250" t="e">
        <f aca="false">xSPRDOPT($L587,$J587,$I587,$M587,$O587,$N587,$P587,$Q587-$C$3,$R587,2)*H587</f>
        <v>#NAME?</v>
      </c>
      <c r="W587" s="250" t="e">
        <f aca="false">+V587+T587</f>
        <v>#NAME?</v>
      </c>
      <c r="X587" s="2" t="str">
        <f aca="false">CONCATENATE(G587,D587)</f>
        <v>36892IF-PAN/TX/OK</v>
      </c>
      <c r="Y587" s="251" t="n">
        <f aca="false">H587/10000</f>
        <v>-31</v>
      </c>
      <c r="Z587" s="226" t="e">
        <f aca="false">T587/H587</f>
        <v>#NAME?</v>
      </c>
      <c r="AA587" s="226" t="e">
        <f aca="false">xSPRDOPT($L587,$J587,$I587,$M587,$O587,$N587,$P587,$Q587-$C$3,$R587,3)</f>
        <v>#NAME?</v>
      </c>
      <c r="AB587" s="226" t="e">
        <f aca="false">((xSPRDOPT($L587+AB$5,$J587,$I587,$M587,$O587,$N587,$P587,$Q587-$C$3,$R587,3)*$H587)/10000)/100</f>
        <v>#NAME?</v>
      </c>
      <c r="AC587" s="226" t="e">
        <f aca="false">((xSPRDOPT($L587+$AB$5,$J587,$I587,$M587,$O587,$N587,$P587,$Q587-$C$3,$R587,7)*$H587)/100)</f>
        <v>#NAME?</v>
      </c>
      <c r="AD587" s="226" t="e">
        <f aca="false">(xSPRDOPT($L587+$AB$5,$J587,$I587,$M587,$O587,$N587,$P587,$Q587-$C$3,$R587,9)/365)*$H587</f>
        <v>#NAME?</v>
      </c>
      <c r="AE587" s="0" t="e">
        <f aca="false">CD588</f>
        <v>#NAME?</v>
      </c>
      <c r="AF587" s="226" t="e">
        <f aca="false">((O587/N587)*AH587)+AG587</f>
        <v>#NAME?</v>
      </c>
      <c r="AG587" s="226" t="e">
        <f aca="false">((xSPRDOPT($L587,$J587,$I587,$M587,$O587,$N587,$P587,$Q587-$C$3,$R587,6)*$H587)/100)</f>
        <v>#NAME?</v>
      </c>
      <c r="AH587" s="226" t="e">
        <f aca="false">((xSPRDOPT($L587,$J587,$I587,$M587,$O587,$N587,$P587,$Q587-$C$3,$R587,5)*$H587)/100)</f>
        <v>#NAME?</v>
      </c>
      <c r="AI587" s="226" t="e">
        <f aca="false">(((xSPRDOPT($L587,$J587,$I587,$M587,$O587,$N587,$P587,$Q587-$C$3,$R587,4)*$H587)/10000)/100)-AB587</f>
        <v>#NAME?</v>
      </c>
      <c r="AJ587" s="226"/>
      <c r="AK587" s="226"/>
      <c r="CC587" s="182" t="n">
        <f aca="false">G586</f>
        <v>36861</v>
      </c>
      <c r="CD587" s="253" t="e">
        <f aca="false">xSPRDOPT((VLOOKUP(G586,NGPrices,2,FALSE())+HLOOKUP(D586,Prices,VLOOKUP(G586,move_down,2,FALSE()),FALSE())),VLOOKUP(G586,NGPrices,2,FALSE()),I586,VLOOKUP(G586,NGPREVPRICES,4,FALSE()),HLOOKUP(D586,PREVVOLS,VLOOKUP(G586,MOVE_DOWN2,2,FALSE()),FALSE()),VLOOKUP(G586,NGPREVPRICES,3,FALSE()),HLOOKUP(D586,Correllate,VLOOKUP(G586,CorMove,2,FALSE()),FALSE()),Q586-$CD$3,R586,$CD$5)*H586-CJ587</f>
        <v>#NAME?</v>
      </c>
      <c r="CE587" s="253" t="e">
        <f aca="false">xSPRDOPT((VLOOKUP(G586,NGPREVPRICES,2,FALSE())+HLOOKUP(D586,PREVCURVES,VLOOKUP(G586,MOVE_DOWN2,2,FALSE()),FALSE())),VLOOKUP(G586,NGPREVPRICES,2,FALSE()),CK587,VLOOKUP(G586,NGPrices,4,FALSE()),HLOOKUP(D586,PREVVOLS,VLOOKUP(G586,MOVE_DOWN2,2,FALSE()),FALSE()),VLOOKUP(G586,NGPREVPRICES,3,FALSE()),HLOOKUP(D586,Correllate,VLOOKUP(G586,CorMove,2,FALSE()),FALSE()),Q586-$CD$3,R586,$CJ$5)*H586-CJ587</f>
        <v>#NAME?</v>
      </c>
      <c r="CF587" s="132" t="e">
        <f aca="false">(CJ587/VLOOKUP(CC587,discount,3,FALSE()))-(CJ587/VLOOKUP(CC587,discount,2,FALSE()))</f>
        <v>#NAME?</v>
      </c>
      <c r="CG587" s="253" t="e">
        <f aca="false">xSPRDOPT((VLOOKUP(G586,NGPREVPRICES,2,FALSE())+HLOOKUP(D586,PREVCURVES,VLOOKUP(G586,MOVE_DOWN2,2,FALSE()),FALSE())),VLOOKUP(G586,NGPREVPRICES,2,FALSE()),CK587,VLOOKUP(G586,NGPREVPRICES,4,FALSE()),HLOOKUP(D586,VOLS,VLOOKUP(G586,move_down,2,FALSE()),FALSE()),VLOOKUP(G586,NGPrices,3,FALSE()),HLOOKUP(D586,Correllate,VLOOKUP(G586,CorMove,2,FALSE()),FALSE()),Q586-$CD$3,R586,$CJ$5)*H586-CJ587</f>
        <v>#NAME?</v>
      </c>
      <c r="CH587" s="253" t="e">
        <f aca="false">xSPRDOPT((VLOOKUP(G586,NGPREVPRICES,2,FALSE())+HLOOKUP(D586,PREVCURVES,VLOOKUP(G586,MOVE_DOWN2,2,FALSE()),FALSE())),VLOOKUP(G586,NGPREVPRICES,2,FALSE()),CK587,VLOOKUP(G586,NGPREVPRICES,4,FALSE()),HLOOKUP(D586,PREVVOLS,VLOOKUP(G586,MOVE_DOWN2,2,FALSE()),FALSE()),VLOOKUP(G586,NGPREVPRICES,3,FALSE()),HLOOKUP(D586,Correllate,VLOOKUP(G586,CorMove,2,FALSE()),FALSE()),Q586-$C$3,R586,$CJ$5)*H586-CJ587</f>
        <v>#NAME?</v>
      </c>
      <c r="CI587" s="253" t="e">
        <f aca="false">SUM(CD587:CH587)</f>
        <v>#NAME?</v>
      </c>
      <c r="CJ587" s="253" t="e">
        <f aca="false">xSPRDOPT((VLOOKUP(G586,NGPREVPRICES,2,FALSE())+HLOOKUP(D586,PREVCURVES,VLOOKUP(G586,MOVE_DOWN2,2,FALSE()),FALSE())),VLOOKUP(G586,NGPREVPRICES,2,FALSE()),CK587,VLOOKUP(G586,NGPREVPRICES,4,FALSE()),HLOOKUP(D586,PREVVOLS,VLOOKUP(G586,MOVE_DOWN2,2,FALSE()),FALSE()),VLOOKUP(G586,NGPREVPRICES,3,FALSE()),HLOOKUP(D586,Correllate,VLOOKUP(G586,CorMove,2,FALSE()),FALSE()),Q586-$CD$3,R586,$CJ$5)*H586</f>
        <v>#NAME?</v>
      </c>
      <c r="CK587" s="254" t="n">
        <f aca="false">I586</f>
        <v>-0.15</v>
      </c>
      <c r="CM587" s="0" t="str">
        <f aca="false">CONCATENATE(CC587,$CD$6)</f>
        <v>36861Curve Shift/Gamma</v>
      </c>
      <c r="CN587" s="0" t="str">
        <f aca="false">CONCATENATE($CC587,$CE$6)</f>
        <v>36861Rho</v>
      </c>
      <c r="CO587" s="0" t="str">
        <f aca="false">CONCATENATE($CC587,$CF$6)</f>
        <v>36861Drift</v>
      </c>
      <c r="CP587" s="0" t="str">
        <f aca="false">CONCATENATE($CC587,$CG$6)</f>
        <v>36861Vega</v>
      </c>
      <c r="CQ587" s="0" t="str">
        <f aca="false">CONCATENATE($CC587,$CH$6)</f>
        <v>36861Theta</v>
      </c>
    </row>
    <row r="588" customFormat="false" ht="12.75" hidden="false" customHeight="false" outlineLevel="0" collapsed="false">
      <c r="A588" s="17" t="s">
        <v>196</v>
      </c>
      <c r="B588" s="0" t="s">
        <v>192</v>
      </c>
      <c r="C588" s="0" t="s">
        <v>393</v>
      </c>
      <c r="D588" s="7" t="s">
        <v>68</v>
      </c>
      <c r="E588" s="0" t="s">
        <v>131</v>
      </c>
      <c r="F588" s="0" t="s">
        <v>136</v>
      </c>
      <c r="G588" s="92" t="n">
        <v>36923</v>
      </c>
      <c r="H588" s="248" t="n">
        <v>-280000</v>
      </c>
      <c r="I588" s="0" t="n">
        <v>-0.15</v>
      </c>
      <c r="J588" s="124" t="n">
        <f aca="false">VLOOKUP(G588,NGPrices,2,FALSE())</f>
        <v>4.48</v>
      </c>
      <c r="K588" s="125" t="n">
        <f aca="false">HLOOKUP(D588,Prices,VLOOKUP(G588,move_down,2,FALSE()),FALSE())+VLOOKUP(G588,CHANGE,HLOOKUP(D588,CHANGE,2,FALSE()),FALSE())</f>
        <v>-0.145</v>
      </c>
      <c r="L588" s="124" t="n">
        <f aca="false">K588+J588</f>
        <v>4.335</v>
      </c>
      <c r="M588" s="126" t="n">
        <f aca="false">VLOOKUP(G588,NGPrices,4,FALSE())</f>
        <v>0.068640161611372</v>
      </c>
      <c r="N588" s="7" t="n">
        <f aca="false">VLOOKUP(G588,NGPrices,3,FALSE())</f>
        <v>0.5925</v>
      </c>
      <c r="O588" s="7" t="n">
        <f aca="false">HLOOKUP(D588,VOLS,VLOOKUP(G588,move_down,2,FALSE()),FALSE())</f>
        <v>0.593</v>
      </c>
      <c r="P588" s="249" t="n">
        <f aca="false">HLOOKUP(D588,Correllate,VLOOKUP(G588,CorMove,2,FALSE()),FALSE())</f>
        <v>0.995</v>
      </c>
      <c r="Q588" s="92" t="n">
        <f aca="false">WORKDAY(G588,-2)</f>
        <v>36921</v>
      </c>
      <c r="R588" s="7" t="n">
        <f aca="false">IF(F588="P",0,1)</f>
        <v>1</v>
      </c>
      <c r="S588" s="130" t="e">
        <f aca="false">xSPRDOPT($L588,$J588,$I588,$M588,$O588,$N588,$P588,$Q588-$C$3,$R588,0)</f>
        <v>#NAME?</v>
      </c>
      <c r="T588" s="250" t="e">
        <f aca="false">xSPRDOPT($L588,$J588,$I588,$M588,$O588,$N588,$P588,$Q588-$C$3,$R588,1)*H588</f>
        <v>#NAME?</v>
      </c>
      <c r="U588" s="43" t="e">
        <f aca="false">S588*H588</f>
        <v>#NAME?</v>
      </c>
      <c r="V588" s="250" t="e">
        <f aca="false">xSPRDOPT($L588,$J588,$I588,$M588,$O588,$N588,$P588,$Q588-$C$3,$R588,2)*H588</f>
        <v>#NAME?</v>
      </c>
      <c r="W588" s="250" t="e">
        <f aca="false">+V588+T588</f>
        <v>#NAME?</v>
      </c>
      <c r="X588" s="2" t="str">
        <f aca="false">CONCATENATE(G588,D588)</f>
        <v>36923IF-PAN/TX/OK</v>
      </c>
      <c r="Y588" s="251" t="n">
        <f aca="false">H588/10000</f>
        <v>-28</v>
      </c>
      <c r="Z588" s="226" t="e">
        <f aca="false">T588/H588</f>
        <v>#NAME?</v>
      </c>
      <c r="AA588" s="226" t="e">
        <f aca="false">xSPRDOPT($L588,$J588,$I588,$M588,$O588,$N588,$P588,$Q588-$C$3,$R588,3)</f>
        <v>#NAME?</v>
      </c>
      <c r="AB588" s="226" t="e">
        <f aca="false">((xSPRDOPT($L588+AB$5,$J588,$I588,$M588,$O588,$N588,$P588,$Q588-$C$3,$R588,3)*$H588)/10000)/100</f>
        <v>#NAME?</v>
      </c>
      <c r="AC588" s="226" t="e">
        <f aca="false">((xSPRDOPT($L588+$AB$5,$J588,$I588,$M588,$O588,$N588,$P588,$Q588-$C$3,$R588,7)*$H588)/100)</f>
        <v>#NAME?</v>
      </c>
      <c r="AD588" s="226" t="e">
        <f aca="false">(xSPRDOPT($L588+$AB$5,$J588,$I588,$M588,$O588,$N588,$P588,$Q588-$C$3,$R588,9)/365)*$H588</f>
        <v>#NAME?</v>
      </c>
      <c r="AE588" s="0" t="e">
        <f aca="false">CD589</f>
        <v>#NAME?</v>
      </c>
      <c r="AF588" s="226" t="e">
        <f aca="false">((O588/N588)*AH588)+AG588</f>
        <v>#NAME?</v>
      </c>
      <c r="AG588" s="226" t="e">
        <f aca="false">((xSPRDOPT($L588,$J588,$I588,$M588,$O588,$N588,$P588,$Q588-$C$3,$R588,6)*$H588)/100)</f>
        <v>#NAME?</v>
      </c>
      <c r="AH588" s="226" t="e">
        <f aca="false">((xSPRDOPT($L588,$J588,$I588,$M588,$O588,$N588,$P588,$Q588-$C$3,$R588,5)*$H588)/100)</f>
        <v>#NAME?</v>
      </c>
      <c r="AI588" s="226" t="e">
        <f aca="false">(((xSPRDOPT($L588,$J588,$I588,$M588,$O588,$N588,$P588,$Q588-$C$3,$R588,4)*$H588)/10000)/100)-AB588</f>
        <v>#NAME?</v>
      </c>
      <c r="AJ588" s="226"/>
      <c r="AK588" s="226"/>
      <c r="CC588" s="182" t="n">
        <f aca="false">G587</f>
        <v>36892</v>
      </c>
      <c r="CD588" s="253" t="e">
        <f aca="false">xSPRDOPT((VLOOKUP(G587,NGPrices,2,FALSE())+HLOOKUP(D587,Prices,VLOOKUP(G587,move_down,2,FALSE()),FALSE())),VLOOKUP(G587,NGPrices,2,FALSE()),I587,VLOOKUP(G587,NGPREVPRICES,4,FALSE()),HLOOKUP(D587,PREVVOLS,VLOOKUP(G587,MOVE_DOWN2,2,FALSE()),FALSE()),VLOOKUP(G587,NGPREVPRICES,3,FALSE()),HLOOKUP(D587,Correllate,VLOOKUP(G587,CorMove,2,FALSE()),FALSE()),Q587-$CD$3,R587,$CD$5)*H587-CJ588</f>
        <v>#NAME?</v>
      </c>
      <c r="CE588" s="253" t="e">
        <f aca="false">xSPRDOPT((VLOOKUP(G587,NGPREVPRICES,2,FALSE())+HLOOKUP(D587,PREVCURVES,VLOOKUP(G587,MOVE_DOWN2,2,FALSE()),FALSE())),VLOOKUP(G587,NGPREVPRICES,2,FALSE()),CK588,VLOOKUP(G587,NGPrices,4,FALSE()),HLOOKUP(D587,PREVVOLS,VLOOKUP(G587,MOVE_DOWN2,2,FALSE()),FALSE()),VLOOKUP(G587,NGPREVPRICES,3,FALSE()),HLOOKUP(D587,Correllate,VLOOKUP(G587,CorMove,2,FALSE()),FALSE()),Q587-$CD$3,R587,$CJ$5)*H587-CJ588</f>
        <v>#NAME?</v>
      </c>
      <c r="CF588" s="132" t="e">
        <f aca="false">(CJ588/VLOOKUP(CC588,discount,3,FALSE()))-(CJ588/VLOOKUP(CC588,discount,2,FALSE()))</f>
        <v>#NAME?</v>
      </c>
      <c r="CG588" s="253" t="e">
        <f aca="false">xSPRDOPT((VLOOKUP(G587,NGPREVPRICES,2,FALSE())+HLOOKUP(D587,PREVCURVES,VLOOKUP(G587,MOVE_DOWN2,2,FALSE()),FALSE())),VLOOKUP(G587,NGPREVPRICES,2,FALSE()),CK588,VLOOKUP(G587,NGPREVPRICES,4,FALSE()),HLOOKUP(D587,VOLS,VLOOKUP(G587,move_down,2,FALSE()),FALSE()),VLOOKUP(G587,NGPrices,3,FALSE()),HLOOKUP(D587,Correllate,VLOOKUP(G587,CorMove,2,FALSE()),FALSE()),Q587-$CD$3,R587,$CJ$5)*H587-CJ588</f>
        <v>#NAME?</v>
      </c>
      <c r="CH588" s="253" t="e">
        <f aca="false">xSPRDOPT((VLOOKUP(G587,NGPREVPRICES,2,FALSE())+HLOOKUP(D587,PREVCURVES,VLOOKUP(G587,MOVE_DOWN2,2,FALSE()),FALSE())),VLOOKUP(G587,NGPREVPRICES,2,FALSE()),CK588,VLOOKUP(G587,NGPREVPRICES,4,FALSE()),HLOOKUP(D587,PREVVOLS,VLOOKUP(G587,MOVE_DOWN2,2,FALSE()),FALSE()),VLOOKUP(G587,NGPREVPRICES,3,FALSE()),HLOOKUP(D587,Correllate,VLOOKUP(G587,CorMove,2,FALSE()),FALSE()),Q587-$C$3,R587,$CJ$5)*H587-CJ588</f>
        <v>#NAME?</v>
      </c>
      <c r="CI588" s="253" t="e">
        <f aca="false">SUM(CD588:CH588)</f>
        <v>#NAME?</v>
      </c>
      <c r="CJ588" s="253" t="e">
        <f aca="false">xSPRDOPT((VLOOKUP(G587,NGPREVPRICES,2,FALSE())+HLOOKUP(D587,PREVCURVES,VLOOKUP(G587,MOVE_DOWN2,2,FALSE()),FALSE())),VLOOKUP(G587,NGPREVPRICES,2,FALSE()),CK588,VLOOKUP(G587,NGPREVPRICES,4,FALSE()),HLOOKUP(D587,PREVVOLS,VLOOKUP(G587,MOVE_DOWN2,2,FALSE()),FALSE()),VLOOKUP(G587,NGPREVPRICES,3,FALSE()),HLOOKUP(D587,Correllate,VLOOKUP(G587,CorMove,2,FALSE()),FALSE()),Q587-$CD$3,R587,$CJ$5)*H587</f>
        <v>#NAME?</v>
      </c>
      <c r="CK588" s="254" t="n">
        <f aca="false">I587</f>
        <v>-0.15</v>
      </c>
      <c r="CM588" s="0" t="str">
        <f aca="false">CONCATENATE(CC588,$CD$6)</f>
        <v>36892Curve Shift/Gamma</v>
      </c>
      <c r="CN588" s="0" t="str">
        <f aca="false">CONCATENATE($CC588,$CE$6)</f>
        <v>36892Rho</v>
      </c>
      <c r="CO588" s="0" t="str">
        <f aca="false">CONCATENATE($CC588,$CF$6)</f>
        <v>36892Drift</v>
      </c>
      <c r="CP588" s="0" t="str">
        <f aca="false">CONCATENATE($CC588,$CG$6)</f>
        <v>36892Vega</v>
      </c>
      <c r="CQ588" s="0" t="str">
        <f aca="false">CONCATENATE($CC588,$CH$6)</f>
        <v>36892Theta</v>
      </c>
    </row>
    <row r="589" customFormat="false" ht="12.75" hidden="false" customHeight="false" outlineLevel="0" collapsed="false">
      <c r="A589" s="17" t="s">
        <v>196</v>
      </c>
      <c r="B589" s="0" t="s">
        <v>192</v>
      </c>
      <c r="C589" s="0" t="s">
        <v>393</v>
      </c>
      <c r="D589" s="7" t="s">
        <v>68</v>
      </c>
      <c r="E589" s="0" t="s">
        <v>131</v>
      </c>
      <c r="F589" s="0" t="s">
        <v>136</v>
      </c>
      <c r="G589" s="92" t="n">
        <v>36951</v>
      </c>
      <c r="H589" s="248" t="n">
        <v>-310000</v>
      </c>
      <c r="I589" s="0" t="n">
        <v>-0.15</v>
      </c>
      <c r="J589" s="124" t="n">
        <f aca="false">VLOOKUP(G589,NGPrices,2,FALSE())</f>
        <v>4.213</v>
      </c>
      <c r="K589" s="125" t="n">
        <f aca="false">HLOOKUP(D589,Prices,VLOOKUP(G589,move_down,2,FALSE()),FALSE())+VLOOKUP(G589,CHANGE,HLOOKUP(D589,CHANGE,2,FALSE()),FALSE())</f>
        <v>-0.1375</v>
      </c>
      <c r="L589" s="124" t="n">
        <f aca="false">K589+J589</f>
        <v>4.0755</v>
      </c>
      <c r="M589" s="126" t="n">
        <f aca="false">VLOOKUP(G589,NGPrices,4,FALSE())</f>
        <v>0.068879814952707</v>
      </c>
      <c r="N589" s="7" t="n">
        <f aca="false">VLOOKUP(G589,NGPrices,3,FALSE())</f>
        <v>0.5325</v>
      </c>
      <c r="O589" s="7" t="n">
        <f aca="false">HLOOKUP(D589,VOLS,VLOOKUP(G589,move_down,2,FALSE()),FALSE())</f>
        <v>0.533</v>
      </c>
      <c r="P589" s="249" t="n">
        <f aca="false">HLOOKUP(D589,Correllate,VLOOKUP(G589,CorMove,2,FALSE()),FALSE())</f>
        <v>0.995</v>
      </c>
      <c r="Q589" s="92" t="n">
        <f aca="false">WORKDAY(G589,-2)</f>
        <v>36949</v>
      </c>
      <c r="R589" s="7" t="n">
        <f aca="false">IF(F589="P",0,1)</f>
        <v>1</v>
      </c>
      <c r="S589" s="130" t="e">
        <f aca="false">xSPRDOPT($L589,$J589,$I589,$M589,$O589,$N589,$P589,$Q589-$C$3,$R589,0)</f>
        <v>#NAME?</v>
      </c>
      <c r="T589" s="250" t="e">
        <f aca="false">xSPRDOPT($L589,$J589,$I589,$M589,$O589,$N589,$P589,$Q589-$C$3,$R589,1)*H589</f>
        <v>#NAME?</v>
      </c>
      <c r="U589" s="43" t="e">
        <f aca="false">S589*H589</f>
        <v>#NAME?</v>
      </c>
      <c r="V589" s="250" t="e">
        <f aca="false">xSPRDOPT($L589,$J589,$I589,$M589,$O589,$N589,$P589,$Q589-$C$3,$R589,2)*H589</f>
        <v>#NAME?</v>
      </c>
      <c r="W589" s="250" t="e">
        <f aca="false">+V589+T589</f>
        <v>#NAME?</v>
      </c>
      <c r="X589" s="2" t="str">
        <f aca="false">CONCATENATE(G589,D589)</f>
        <v>36951IF-PAN/TX/OK</v>
      </c>
      <c r="Y589" s="251" t="n">
        <f aca="false">H589/10000</f>
        <v>-31</v>
      </c>
      <c r="Z589" s="226" t="e">
        <f aca="false">T589/H589</f>
        <v>#NAME?</v>
      </c>
      <c r="AA589" s="226" t="e">
        <f aca="false">xSPRDOPT($L589,$J589,$I589,$M589,$O589,$N589,$P589,$Q589-$C$3,$R589,3)</f>
        <v>#NAME?</v>
      </c>
      <c r="AB589" s="226" t="e">
        <f aca="false">((xSPRDOPT($L589+AB$5,$J589,$I589,$M589,$O589,$N589,$P589,$Q589-$C$3,$R589,3)*$H589)/10000)/100</f>
        <v>#NAME?</v>
      </c>
      <c r="AC589" s="226" t="e">
        <f aca="false">((xSPRDOPT($L589+$AB$5,$J589,$I589,$M589,$O589,$N589,$P589,$Q589-$C$3,$R589,7)*$H589)/100)</f>
        <v>#NAME?</v>
      </c>
      <c r="AD589" s="226" t="e">
        <f aca="false">(xSPRDOPT($L589+$AB$5,$J589,$I589,$M589,$O589,$N589,$P589,$Q589-$C$3,$R589,9)/365)*$H589</f>
        <v>#NAME?</v>
      </c>
      <c r="AE589" s="0" t="e">
        <f aca="false">CD590</f>
        <v>#NAME?</v>
      </c>
      <c r="AF589" s="226" t="e">
        <f aca="false">((O589/N589)*AH589)+AG589</f>
        <v>#NAME?</v>
      </c>
      <c r="AG589" s="226" t="e">
        <f aca="false">((xSPRDOPT($L589,$J589,$I589,$M589,$O589,$N589,$P589,$Q589-$C$3,$R589,6)*$H589)/100)</f>
        <v>#NAME?</v>
      </c>
      <c r="AH589" s="226" t="e">
        <f aca="false">((xSPRDOPT($L589,$J589,$I589,$M589,$O589,$N589,$P589,$Q589-$C$3,$R589,5)*$H589)/100)</f>
        <v>#NAME?</v>
      </c>
      <c r="AI589" s="226" t="e">
        <f aca="false">(((xSPRDOPT($L589,$J589,$I589,$M589,$O589,$N589,$P589,$Q589-$C$3,$R589,4)*$H589)/10000)/100)-AB589</f>
        <v>#NAME?</v>
      </c>
      <c r="AJ589" s="226"/>
      <c r="AK589" s="226"/>
      <c r="CC589" s="182" t="n">
        <f aca="false">G588</f>
        <v>36923</v>
      </c>
      <c r="CD589" s="253" t="e">
        <f aca="false">xSPRDOPT((VLOOKUP(G588,NGPrices,2,FALSE())+HLOOKUP(D588,Prices,VLOOKUP(G588,move_down,2,FALSE()),FALSE())),VLOOKUP(G588,NGPrices,2,FALSE()),I588,VLOOKUP(G588,NGPREVPRICES,4,FALSE()),HLOOKUP(D588,PREVVOLS,VLOOKUP(G588,MOVE_DOWN2,2,FALSE()),FALSE()),VLOOKUP(G588,NGPREVPRICES,3,FALSE()),HLOOKUP(D588,Correllate,VLOOKUP(G588,CorMove,2,FALSE()),FALSE()),Q588-$CD$3,R588,$CD$5)*H588-CJ589</f>
        <v>#NAME?</v>
      </c>
      <c r="CE589" s="253" t="e">
        <f aca="false">xSPRDOPT((VLOOKUP(G588,NGPREVPRICES,2,FALSE())+HLOOKUP(D588,PREVCURVES,VLOOKUP(G588,MOVE_DOWN2,2,FALSE()),FALSE())),VLOOKUP(G588,NGPREVPRICES,2,FALSE()),CK589,VLOOKUP(G588,NGPrices,4,FALSE()),HLOOKUP(D588,PREVVOLS,VLOOKUP(G588,MOVE_DOWN2,2,FALSE()),FALSE()),VLOOKUP(G588,NGPREVPRICES,3,FALSE()),HLOOKUP(D588,Correllate,VLOOKUP(G588,CorMove,2,FALSE()),FALSE()),Q588-$CD$3,R588,$CJ$5)*H588-CJ589</f>
        <v>#NAME?</v>
      </c>
      <c r="CF589" s="132" t="e">
        <f aca="false">(CJ589/VLOOKUP(CC589,discount,3,FALSE()))-(CJ589/VLOOKUP(CC589,discount,2,FALSE()))</f>
        <v>#NAME?</v>
      </c>
      <c r="CG589" s="253" t="e">
        <f aca="false">xSPRDOPT((VLOOKUP(G588,NGPREVPRICES,2,FALSE())+HLOOKUP(D588,PREVCURVES,VLOOKUP(G588,MOVE_DOWN2,2,FALSE()),FALSE())),VLOOKUP(G588,NGPREVPRICES,2,FALSE()),CK589,VLOOKUP(G588,NGPREVPRICES,4,FALSE()),HLOOKUP(D588,VOLS,VLOOKUP(G588,move_down,2,FALSE()),FALSE()),VLOOKUP(G588,NGPrices,3,FALSE()),HLOOKUP(D588,Correllate,VLOOKUP(G588,CorMove,2,FALSE()),FALSE()),Q588-$CD$3,R588,$CJ$5)*H588-CJ589</f>
        <v>#NAME?</v>
      </c>
      <c r="CH589" s="253" t="e">
        <f aca="false">xSPRDOPT((VLOOKUP(G588,NGPREVPRICES,2,FALSE())+HLOOKUP(D588,PREVCURVES,VLOOKUP(G588,MOVE_DOWN2,2,FALSE()),FALSE())),VLOOKUP(G588,NGPREVPRICES,2,FALSE()),CK589,VLOOKUP(G588,NGPREVPRICES,4,FALSE()),HLOOKUP(D588,PREVVOLS,VLOOKUP(G588,MOVE_DOWN2,2,FALSE()),FALSE()),VLOOKUP(G588,NGPREVPRICES,3,FALSE()),HLOOKUP(D588,Correllate,VLOOKUP(G588,CorMove,2,FALSE()),FALSE()),Q588-$C$3,R588,$CJ$5)*H588-CJ589</f>
        <v>#NAME?</v>
      </c>
      <c r="CI589" s="253" t="e">
        <f aca="false">SUM(CD589:CH589)</f>
        <v>#NAME?</v>
      </c>
      <c r="CJ589" s="253" t="e">
        <f aca="false">xSPRDOPT((VLOOKUP(G588,NGPREVPRICES,2,FALSE())+HLOOKUP(D588,PREVCURVES,VLOOKUP(G588,MOVE_DOWN2,2,FALSE()),FALSE())),VLOOKUP(G588,NGPREVPRICES,2,FALSE()),CK589,VLOOKUP(G588,NGPREVPRICES,4,FALSE()),HLOOKUP(D588,PREVVOLS,VLOOKUP(G588,MOVE_DOWN2,2,FALSE()),FALSE()),VLOOKUP(G588,NGPREVPRICES,3,FALSE()),HLOOKUP(D588,Correllate,VLOOKUP(G588,CorMove,2,FALSE()),FALSE()),Q588-$CD$3,R588,$CJ$5)*H588</f>
        <v>#NAME?</v>
      </c>
      <c r="CK589" s="254" t="n">
        <f aca="false">I588</f>
        <v>-0.15</v>
      </c>
      <c r="CM589" s="0" t="str">
        <f aca="false">CONCATENATE(CC589,$CD$6)</f>
        <v>36923Curve Shift/Gamma</v>
      </c>
      <c r="CN589" s="0" t="str">
        <f aca="false">CONCATENATE($CC589,$CE$6)</f>
        <v>36923Rho</v>
      </c>
      <c r="CO589" s="0" t="str">
        <f aca="false">CONCATENATE($CC589,$CF$6)</f>
        <v>36923Drift</v>
      </c>
      <c r="CP589" s="0" t="str">
        <f aca="false">CONCATENATE($CC589,$CG$6)</f>
        <v>36923Vega</v>
      </c>
      <c r="CQ589" s="0" t="str">
        <f aca="false">CONCATENATE($CC589,$CH$6)</f>
        <v>36923Theta</v>
      </c>
    </row>
    <row r="590" customFormat="false" ht="12.75" hidden="false" customHeight="false" outlineLevel="0" collapsed="false">
      <c r="A590" s="17" t="s">
        <v>198</v>
      </c>
      <c r="B590" s="0" t="s">
        <v>192</v>
      </c>
      <c r="C590" s="0" t="s">
        <v>394</v>
      </c>
      <c r="D590" s="7" t="s">
        <v>149</v>
      </c>
      <c r="E590" s="0" t="s">
        <v>131</v>
      </c>
      <c r="F590" s="0" t="s">
        <v>132</v>
      </c>
      <c r="G590" s="92" t="n">
        <v>36831</v>
      </c>
      <c r="H590" s="248" t="n">
        <v>500000</v>
      </c>
      <c r="I590" s="254" t="n">
        <v>1</v>
      </c>
      <c r="J590" s="124" t="n">
        <f aca="false">VLOOKUP(G590,NGPrices,2,FALSE())</f>
        <v>4.736</v>
      </c>
      <c r="K590" s="125" t="n">
        <f aca="false">HLOOKUP(D590,Prices,VLOOKUP(G590,move_down,2,FALSE()),FALSE())+VLOOKUP(G590,CHANGE,HLOOKUP(D590,CHANGE,2,FALSE()),FALSE())</f>
        <v>0.77</v>
      </c>
      <c r="L590" s="124" t="n">
        <f aca="false">K590+J590</f>
        <v>5.506</v>
      </c>
      <c r="M590" s="126" t="n">
        <f aca="false">VLOOKUP(G590,NGPrices,4,FALSE())</f>
        <v>0.06810675983792</v>
      </c>
      <c r="N590" s="7" t="n">
        <f aca="false">VLOOKUP(G590,NGPrices,3,FALSE())</f>
        <v>0.595</v>
      </c>
      <c r="O590" s="7" t="n">
        <f aca="false">HLOOKUP(D590,VOLS,VLOOKUP(G590,move_down,2,FALSE()),FALSE())</f>
        <v>0.625</v>
      </c>
      <c r="P590" s="249" t="n">
        <f aca="false">HLOOKUP(D590,Correllate,VLOOKUP(G590,CorMove,2,FALSE()),FALSE())</f>
        <v>0.89</v>
      </c>
      <c r="Q590" s="92" t="n">
        <f aca="false">WORKDAY(G590,-2)</f>
        <v>36829</v>
      </c>
      <c r="R590" s="7" t="n">
        <f aca="false">IF(F590="P",0,1)</f>
        <v>0</v>
      </c>
      <c r="S590" s="130" t="e">
        <f aca="false">xSPRDOPT($L590,$J590,$I590,$M590,$O590,$N590,$P590,$Q590-$C$3,$R590,0)</f>
        <v>#NAME?</v>
      </c>
      <c r="T590" s="250" t="e">
        <f aca="false">xSPRDOPT($L590,$J590,$I590,$M590,$O590,$N590,$P590,$Q590-$C$3,$R590,1)*H590</f>
        <v>#NAME?</v>
      </c>
      <c r="U590" s="43" t="e">
        <f aca="false">S590*H590</f>
        <v>#NAME?</v>
      </c>
      <c r="V590" s="250" t="e">
        <f aca="false">xSPRDOPT($L590,$J590,$I590,$M590,$O590,$N590,$P590,$Q590-$C$3,$R590,2)*H590</f>
        <v>#NAME?</v>
      </c>
      <c r="W590" s="250" t="e">
        <f aca="false">+V590+T590</f>
        <v>#NAME?</v>
      </c>
      <c r="X590" s="2" t="str">
        <f aca="false">CONCATENATE(G590,D590)</f>
        <v>36831IF-TRANSCO/Z6</v>
      </c>
      <c r="Y590" s="251" t="n">
        <f aca="false">H590/10000</f>
        <v>50</v>
      </c>
      <c r="Z590" s="226" t="e">
        <f aca="false">T590/H590</f>
        <v>#NAME?</v>
      </c>
      <c r="AA590" s="226" t="e">
        <f aca="false">xSPRDOPT($L590,$J590,$I590,$M590,$O590,$N590,$P590,$Q590-$C$3,$R590,3)</f>
        <v>#NAME?</v>
      </c>
      <c r="AB590" s="226" t="e">
        <f aca="false">((xSPRDOPT($L590+AB$5,$J590,$I590,$M590,$O590,$N590,$P590,$Q590-$C$3,$R590,3)*$H590)/10000)/100</f>
        <v>#NAME?</v>
      </c>
      <c r="AC590" s="226" t="e">
        <f aca="false">((xSPRDOPT($L590+$AB$5,$J590,$I590,$M590,$O590,$N590,$P590,$Q590-$C$3,$R590,7)*$H590)/100)</f>
        <v>#NAME?</v>
      </c>
      <c r="AD590" s="226" t="e">
        <f aca="false">(xSPRDOPT($L590+$AB$5,$J590,$I590,$M590,$O590,$N590,$P590,$Q590-$C$3,$R590,9)/365)*$H590</f>
        <v>#NAME?</v>
      </c>
      <c r="AE590" s="0" t="e">
        <f aca="false">CD591</f>
        <v>#NAME?</v>
      </c>
      <c r="AF590" s="226" t="e">
        <f aca="false">((O590/N590)*AH590)+AG590</f>
        <v>#NAME?</v>
      </c>
      <c r="AG590" s="226" t="e">
        <f aca="false">((xSPRDOPT($L590,$J590,$I590,$M590,$O590,$N590,$P590,$Q590-$C$3,$R590,6)*$H590)/100)</f>
        <v>#NAME?</v>
      </c>
      <c r="AH590" s="226" t="e">
        <f aca="false">((xSPRDOPT($L590,$J590,$I590,$M590,$O590,$N590,$P590,$Q590-$C$3,$R590,5)*$H590)/100)</f>
        <v>#NAME?</v>
      </c>
      <c r="AI590" s="226" t="e">
        <f aca="false">(((xSPRDOPT($L590,$J590,$I590,$M590,$O590,$N590,$P590,$Q590-$C$3,$R590,4)*$H590)/10000)/100)-AB590</f>
        <v>#NAME?</v>
      </c>
      <c r="AJ590" s="226"/>
      <c r="AK590" s="226"/>
      <c r="CC590" s="182" t="n">
        <f aca="false">G589</f>
        <v>36951</v>
      </c>
      <c r="CD590" s="253" t="e">
        <f aca="false">xSPRDOPT((VLOOKUP(G589,NGPrices,2,FALSE())+HLOOKUP(D589,Prices,VLOOKUP(G589,move_down,2,FALSE()),FALSE())),VLOOKUP(G589,NGPrices,2,FALSE()),I589,VLOOKUP(G589,NGPREVPRICES,4,FALSE()),HLOOKUP(D589,PREVVOLS,VLOOKUP(G589,MOVE_DOWN2,2,FALSE()),FALSE()),VLOOKUP(G589,NGPREVPRICES,3,FALSE()),HLOOKUP(D589,Correllate,VLOOKUP(G589,CorMove,2,FALSE()),FALSE()),Q589-$CD$3,R589,$CD$5)*H589-CJ590</f>
        <v>#NAME?</v>
      </c>
      <c r="CE590" s="253" t="e">
        <f aca="false">xSPRDOPT((VLOOKUP(G589,NGPREVPRICES,2,FALSE())+HLOOKUP(D589,PREVCURVES,VLOOKUP(G589,MOVE_DOWN2,2,FALSE()),FALSE())),VLOOKUP(G589,NGPREVPRICES,2,FALSE()),CK590,VLOOKUP(G589,NGPrices,4,FALSE()),HLOOKUP(D589,PREVVOLS,VLOOKUP(G589,MOVE_DOWN2,2,FALSE()),FALSE()),VLOOKUP(G589,NGPREVPRICES,3,FALSE()),HLOOKUP(D589,Correllate,VLOOKUP(G589,CorMove,2,FALSE()),FALSE()),Q589-$CD$3,R589,$CJ$5)*H589-CJ590</f>
        <v>#NAME?</v>
      </c>
      <c r="CF590" s="132" t="e">
        <f aca="false">(CJ590/VLOOKUP(CC590,discount,3,FALSE()))-(CJ590/VLOOKUP(CC590,discount,2,FALSE()))</f>
        <v>#NAME?</v>
      </c>
      <c r="CG590" s="253" t="e">
        <f aca="false">xSPRDOPT((VLOOKUP(G589,NGPREVPRICES,2,FALSE())+HLOOKUP(D589,PREVCURVES,VLOOKUP(G589,MOVE_DOWN2,2,FALSE()),FALSE())),VLOOKUP(G589,NGPREVPRICES,2,FALSE()),CK590,VLOOKUP(G589,NGPREVPRICES,4,FALSE()),HLOOKUP(D589,VOLS,VLOOKUP(G589,move_down,2,FALSE()),FALSE()),VLOOKUP(G589,NGPrices,3,FALSE()),HLOOKUP(D589,Correllate,VLOOKUP(G589,CorMove,2,FALSE()),FALSE()),Q589-$CD$3,R589,$CJ$5)*H589-CJ590</f>
        <v>#NAME?</v>
      </c>
      <c r="CH590" s="253" t="e">
        <f aca="false">xSPRDOPT((VLOOKUP(G589,NGPREVPRICES,2,FALSE())+HLOOKUP(D589,PREVCURVES,VLOOKUP(G589,MOVE_DOWN2,2,FALSE()),FALSE())),VLOOKUP(G589,NGPREVPRICES,2,FALSE()),CK590,VLOOKUP(G589,NGPREVPRICES,4,FALSE()),HLOOKUP(D589,PREVVOLS,VLOOKUP(G589,MOVE_DOWN2,2,FALSE()),FALSE()),VLOOKUP(G589,NGPREVPRICES,3,FALSE()),HLOOKUP(D589,Correllate,VLOOKUP(G589,CorMove,2,FALSE()),FALSE()),Q589-$C$3,R589,$CJ$5)*H589-CJ590</f>
        <v>#NAME?</v>
      </c>
      <c r="CI590" s="253" t="e">
        <f aca="false">SUM(CD590:CH590)</f>
        <v>#NAME?</v>
      </c>
      <c r="CJ590" s="253" t="e">
        <f aca="false">xSPRDOPT((VLOOKUP(G589,NGPREVPRICES,2,FALSE())+HLOOKUP(D589,PREVCURVES,VLOOKUP(G589,MOVE_DOWN2,2,FALSE()),FALSE())),VLOOKUP(G589,NGPREVPRICES,2,FALSE()),CK590,VLOOKUP(G589,NGPREVPRICES,4,FALSE()),HLOOKUP(D589,PREVVOLS,VLOOKUP(G589,MOVE_DOWN2,2,FALSE()),FALSE()),VLOOKUP(G589,NGPREVPRICES,3,FALSE()),HLOOKUP(D589,Correllate,VLOOKUP(G589,CorMove,2,FALSE()),FALSE()),Q589-$CD$3,R589,$CJ$5)*H589</f>
        <v>#NAME?</v>
      </c>
      <c r="CK590" s="254" t="n">
        <f aca="false">I589</f>
        <v>-0.15</v>
      </c>
      <c r="CM590" s="0" t="str">
        <f aca="false">CONCATENATE(CC590,$CD$6)</f>
        <v>36951Curve Shift/Gamma</v>
      </c>
      <c r="CN590" s="0" t="str">
        <f aca="false">CONCATENATE($CC590,$CE$6)</f>
        <v>36951Rho</v>
      </c>
      <c r="CO590" s="0" t="str">
        <f aca="false">CONCATENATE($CC590,$CF$6)</f>
        <v>36951Drift</v>
      </c>
      <c r="CP590" s="0" t="str">
        <f aca="false">CONCATENATE($CC590,$CG$6)</f>
        <v>36951Vega</v>
      </c>
      <c r="CQ590" s="0" t="str">
        <f aca="false">CONCATENATE($CC590,$CH$6)</f>
        <v>36951Theta</v>
      </c>
    </row>
    <row r="591" customFormat="false" ht="12.75" hidden="false" customHeight="false" outlineLevel="0" collapsed="false">
      <c r="A591" s="17" t="s">
        <v>198</v>
      </c>
      <c r="B591" s="0" t="s">
        <v>192</v>
      </c>
      <c r="C591" s="0" t="s">
        <v>394</v>
      </c>
      <c r="D591" s="7" t="s">
        <v>149</v>
      </c>
      <c r="E591" s="0" t="s">
        <v>131</v>
      </c>
      <c r="F591" s="0" t="s">
        <v>132</v>
      </c>
      <c r="G591" s="92" t="n">
        <v>36861</v>
      </c>
      <c r="H591" s="248" t="n">
        <v>500000</v>
      </c>
      <c r="I591" s="254" t="n">
        <v>1</v>
      </c>
      <c r="J591" s="124" t="n">
        <f aca="false">VLOOKUP(G591,NGPrices,2,FALSE())</f>
        <v>4.8</v>
      </c>
      <c r="K591" s="125" t="n">
        <f aca="false">HLOOKUP(D591,Prices,VLOOKUP(G591,move_down,2,FALSE()),FALSE())+VLOOKUP(G591,CHANGE,HLOOKUP(D591,CHANGE,2,FALSE()),FALSE())</f>
        <v>1.645</v>
      </c>
      <c r="L591" s="124" t="n">
        <f aca="false">K591+J591</f>
        <v>6.445</v>
      </c>
      <c r="M591" s="126" t="n">
        <f aca="false">VLOOKUP(G591,NGPrices,4,FALSE())</f>
        <v>0.068314027999354</v>
      </c>
      <c r="N591" s="7" t="n">
        <f aca="false">VLOOKUP(G591,NGPrices,3,FALSE())</f>
        <v>0.6</v>
      </c>
      <c r="O591" s="7" t="n">
        <f aca="false">HLOOKUP(D591,VOLS,VLOOKUP(G591,move_down,2,FALSE()),FALSE())</f>
        <v>0.69</v>
      </c>
      <c r="P591" s="249" t="n">
        <f aca="false">HLOOKUP(D591,Correllate,VLOOKUP(G591,CorMove,2,FALSE()),FALSE())</f>
        <v>0.83</v>
      </c>
      <c r="Q591" s="92" t="n">
        <f aca="false">WORKDAY(G591,-2)</f>
        <v>36859</v>
      </c>
      <c r="R591" s="7" t="n">
        <f aca="false">IF(F591="P",0,1)</f>
        <v>0</v>
      </c>
      <c r="S591" s="130" t="e">
        <f aca="false">xSPRDOPT($L591,$J591,$I591,$M591,$O591,$N591,$P591,$Q591-$C$3,$R591,0)</f>
        <v>#NAME?</v>
      </c>
      <c r="T591" s="250" t="e">
        <f aca="false">xSPRDOPT($L591,$J591,$I591,$M591,$O591,$N591,$P591,$Q591-$C$3,$R591,1)*H591</f>
        <v>#NAME?</v>
      </c>
      <c r="U591" s="43" t="e">
        <f aca="false">S591*H591</f>
        <v>#NAME?</v>
      </c>
      <c r="V591" s="250" t="e">
        <f aca="false">xSPRDOPT($L591,$J591,$I591,$M591,$O591,$N591,$P591,$Q591-$C$3,$R591,2)*H591</f>
        <v>#NAME?</v>
      </c>
      <c r="W591" s="250" t="e">
        <f aca="false">+V591+T591</f>
        <v>#NAME?</v>
      </c>
      <c r="X591" s="2" t="str">
        <f aca="false">CONCATENATE(G591,D591)</f>
        <v>36861IF-TRANSCO/Z6</v>
      </c>
      <c r="Y591" s="251" t="n">
        <f aca="false">H591/10000</f>
        <v>50</v>
      </c>
      <c r="Z591" s="226" t="e">
        <f aca="false">T591/H591</f>
        <v>#NAME?</v>
      </c>
      <c r="AA591" s="226" t="e">
        <f aca="false">xSPRDOPT($L591,$J591,$I591,$M591,$O591,$N591,$P591,$Q591-$C$3,$R591,3)</f>
        <v>#NAME?</v>
      </c>
      <c r="AB591" s="226" t="e">
        <f aca="false">((xSPRDOPT($L591+AB$5,$J591,$I591,$M591,$O591,$N591,$P591,$Q591-$C$3,$R591,3)*$H591)/10000)/100</f>
        <v>#NAME?</v>
      </c>
      <c r="AC591" s="226" t="e">
        <f aca="false">((xSPRDOPT($L591+$AB$5,$J591,$I591,$M591,$O591,$N591,$P591,$Q591-$C$3,$R591,7)*$H591)/100)</f>
        <v>#NAME?</v>
      </c>
      <c r="AD591" s="226" t="e">
        <f aca="false">(xSPRDOPT($L591+$AB$5,$J591,$I591,$M591,$O591,$N591,$P591,$Q591-$C$3,$R591,9)/365)*$H591</f>
        <v>#NAME?</v>
      </c>
      <c r="AE591" s="0" t="e">
        <f aca="false">CD592</f>
        <v>#NAME?</v>
      </c>
      <c r="AF591" s="226" t="e">
        <f aca="false">((O591/N591)*AH591)+AG591</f>
        <v>#NAME?</v>
      </c>
      <c r="AG591" s="226" t="e">
        <f aca="false">((xSPRDOPT($L591,$J591,$I591,$M591,$O591,$N591,$P591,$Q591-$C$3,$R591,6)*$H591)/100)</f>
        <v>#NAME?</v>
      </c>
      <c r="AH591" s="226" t="e">
        <f aca="false">((xSPRDOPT($L591,$J591,$I591,$M591,$O591,$N591,$P591,$Q591-$C$3,$R591,5)*$H591)/100)</f>
        <v>#NAME?</v>
      </c>
      <c r="AI591" s="226" t="e">
        <f aca="false">(((xSPRDOPT($L591,$J591,$I591,$M591,$O591,$N591,$P591,$Q591-$C$3,$R591,4)*$H591)/10000)/100)-AB591</f>
        <v>#NAME?</v>
      </c>
      <c r="AJ591" s="226"/>
      <c r="AK591" s="226"/>
      <c r="CC591" s="182" t="n">
        <f aca="false">G590</f>
        <v>36831</v>
      </c>
      <c r="CD591" s="253" t="e">
        <f aca="false">xSPRDOPT((VLOOKUP(G590,NGPrices,2,FALSE())+HLOOKUP(D590,Prices,VLOOKUP(G590,move_down,2,FALSE()),FALSE())),VLOOKUP(G590,NGPrices,2,FALSE()),I590,VLOOKUP(G590,NGPREVPRICES,4,FALSE()),HLOOKUP(D590,PREVVOLS,VLOOKUP(G590,MOVE_DOWN2,2,FALSE()),FALSE()),VLOOKUP(G590,NGPREVPRICES,3,FALSE()),HLOOKUP(D590,Correllate,VLOOKUP(G590,CorMove,2,FALSE()),FALSE()),Q590-$CD$3,R590,$CD$5)*H590-CJ591</f>
        <v>#NAME?</v>
      </c>
      <c r="CE591" s="253" t="e">
        <f aca="false">xSPRDOPT((VLOOKUP(G590,NGPREVPRICES,2,FALSE())+HLOOKUP(D590,PREVCURVES,VLOOKUP(G590,MOVE_DOWN2,2,FALSE()),FALSE())),VLOOKUP(G590,NGPREVPRICES,2,FALSE()),CK591,VLOOKUP(G590,NGPrices,4,FALSE()),HLOOKUP(D590,PREVVOLS,VLOOKUP(G590,MOVE_DOWN2,2,FALSE()),FALSE()),VLOOKUP(G590,NGPREVPRICES,3,FALSE()),HLOOKUP(D590,Correllate,VLOOKUP(G590,CorMove,2,FALSE()),FALSE()),Q590-$CD$3,R590,$CJ$5)*H590-CJ591</f>
        <v>#NAME?</v>
      </c>
      <c r="CF591" s="132" t="e">
        <f aca="false">(CJ591/VLOOKUP(CC591,discount,3,FALSE()))-(CJ591/VLOOKUP(CC591,discount,2,FALSE()))</f>
        <v>#NAME?</v>
      </c>
      <c r="CG591" s="253" t="e">
        <f aca="false">xSPRDOPT((VLOOKUP(G590,NGPREVPRICES,2,FALSE())+HLOOKUP(D590,PREVCURVES,VLOOKUP(G590,MOVE_DOWN2,2,FALSE()),FALSE())),VLOOKUP(G590,NGPREVPRICES,2,FALSE()),CK591,VLOOKUP(G590,NGPREVPRICES,4,FALSE()),HLOOKUP(D590,VOLS,VLOOKUP(G590,move_down,2,FALSE()),FALSE()),VLOOKUP(G590,NGPrices,3,FALSE()),HLOOKUP(D590,Correllate,VLOOKUP(G590,CorMove,2,FALSE()),FALSE()),Q590-$CD$3,R590,$CJ$5)*H590-CJ591</f>
        <v>#NAME?</v>
      </c>
      <c r="CH591" s="253" t="e">
        <f aca="false">xSPRDOPT((VLOOKUP(G590,NGPREVPRICES,2,FALSE())+HLOOKUP(D590,PREVCURVES,VLOOKUP(G590,MOVE_DOWN2,2,FALSE()),FALSE())),VLOOKUP(G590,NGPREVPRICES,2,FALSE()),CK591,VLOOKUP(G590,NGPREVPRICES,4,FALSE()),HLOOKUP(D590,PREVVOLS,VLOOKUP(G590,MOVE_DOWN2,2,FALSE()),FALSE()),VLOOKUP(G590,NGPREVPRICES,3,FALSE()),HLOOKUP(D590,Correllate,VLOOKUP(G590,CorMove,2,FALSE()),FALSE()),Q590-$C$3,R590,$CJ$5)*H590-CJ591</f>
        <v>#NAME?</v>
      </c>
      <c r="CI591" s="253" t="e">
        <f aca="false">SUM(CD591:CH591)</f>
        <v>#NAME?</v>
      </c>
      <c r="CJ591" s="253" t="e">
        <f aca="false">xSPRDOPT((VLOOKUP(G590,NGPREVPRICES,2,FALSE())+HLOOKUP(D590,PREVCURVES,VLOOKUP(G590,MOVE_DOWN2,2,FALSE()),FALSE())),VLOOKUP(G590,NGPREVPRICES,2,FALSE()),CK591,VLOOKUP(G590,NGPREVPRICES,4,FALSE()),HLOOKUP(D590,PREVVOLS,VLOOKUP(G590,MOVE_DOWN2,2,FALSE()),FALSE()),VLOOKUP(G590,NGPREVPRICES,3,FALSE()),HLOOKUP(D590,Correllate,VLOOKUP(G590,CorMove,2,FALSE()),FALSE()),Q590-$CD$3,R590,$CJ$5)*H590</f>
        <v>#NAME?</v>
      </c>
      <c r="CK591" s="254" t="n">
        <f aca="false">I590</f>
        <v>1</v>
      </c>
      <c r="CM591" s="0" t="str">
        <f aca="false">CONCATENATE(CC591,$CD$6)</f>
        <v>36831Curve Shift/Gamma</v>
      </c>
      <c r="CN591" s="0" t="str">
        <f aca="false">CONCATENATE($CC591,$CE$6)</f>
        <v>36831Rho</v>
      </c>
      <c r="CO591" s="0" t="str">
        <f aca="false">CONCATENATE($CC591,$CF$6)</f>
        <v>36831Drift</v>
      </c>
      <c r="CP591" s="0" t="str">
        <f aca="false">CONCATENATE($CC591,$CG$6)</f>
        <v>36831Vega</v>
      </c>
      <c r="CQ591" s="0" t="str">
        <f aca="false">CONCATENATE($CC591,$CH$6)</f>
        <v>36831Theta</v>
      </c>
    </row>
    <row r="592" customFormat="false" ht="12.75" hidden="false" customHeight="false" outlineLevel="0" collapsed="false">
      <c r="A592" s="17" t="s">
        <v>198</v>
      </c>
      <c r="B592" s="0" t="s">
        <v>192</v>
      </c>
      <c r="C592" s="0" t="s">
        <v>394</v>
      </c>
      <c r="D592" s="7" t="s">
        <v>149</v>
      </c>
      <c r="E592" s="0" t="s">
        <v>131</v>
      </c>
      <c r="F592" s="0" t="s">
        <v>132</v>
      </c>
      <c r="G592" s="92" t="n">
        <v>36892</v>
      </c>
      <c r="H592" s="248" t="n">
        <v>500000</v>
      </c>
      <c r="I592" s="254" t="n">
        <v>1</v>
      </c>
      <c r="J592" s="124" t="n">
        <f aca="false">VLOOKUP(G592,NGPrices,2,FALSE())</f>
        <v>4.744</v>
      </c>
      <c r="K592" s="125" t="n">
        <f aca="false">HLOOKUP(D592,Prices,VLOOKUP(G592,move_down,2,FALSE()),FALSE())+VLOOKUP(G592,CHANGE,HLOOKUP(D592,CHANGE,2,FALSE()),FALSE())</f>
        <v>2.17</v>
      </c>
      <c r="L592" s="124" t="n">
        <f aca="false">K592+J592</f>
        <v>6.914</v>
      </c>
      <c r="M592" s="126" t="n">
        <f aca="false">VLOOKUP(G592,NGPrices,4,FALSE())</f>
        <v>0.068374831148491</v>
      </c>
      <c r="N592" s="7" t="n">
        <f aca="false">VLOOKUP(G592,NGPrices,3,FALSE())</f>
        <v>0.605</v>
      </c>
      <c r="O592" s="7" t="n">
        <f aca="false">HLOOKUP(D592,VOLS,VLOOKUP(G592,move_down,2,FALSE()),FALSE())</f>
        <v>0.696</v>
      </c>
      <c r="P592" s="249" t="n">
        <f aca="false">HLOOKUP(D592,Correllate,VLOOKUP(G592,CorMove,2,FALSE()),FALSE())</f>
        <v>0.83</v>
      </c>
      <c r="Q592" s="92" t="n">
        <f aca="false">WORKDAY(G592,-2)</f>
        <v>36888</v>
      </c>
      <c r="R592" s="7" t="n">
        <f aca="false">IF(F592="P",0,1)</f>
        <v>0</v>
      </c>
      <c r="S592" s="130" t="e">
        <f aca="false">xSPRDOPT($L592,$J592,$I592,$M592,$O592,$N592,$P592,$Q592-$C$3,$R592,0)</f>
        <v>#NAME?</v>
      </c>
      <c r="T592" s="250" t="e">
        <f aca="false">xSPRDOPT($L592,$J592,$I592,$M592,$O592,$N592,$P592,$Q592-$C$3,$R592,1)*H592</f>
        <v>#NAME?</v>
      </c>
      <c r="U592" s="43" t="e">
        <f aca="false">S592*H592</f>
        <v>#NAME?</v>
      </c>
      <c r="V592" s="250" t="e">
        <f aca="false">xSPRDOPT($L592,$J592,$I592,$M592,$O592,$N592,$P592,$Q592-$C$3,$R592,2)*H592</f>
        <v>#NAME?</v>
      </c>
      <c r="W592" s="250" t="e">
        <f aca="false">+V592+T592</f>
        <v>#NAME?</v>
      </c>
      <c r="X592" s="2" t="str">
        <f aca="false">CONCATENATE(G592,D592)</f>
        <v>36892IF-TRANSCO/Z6</v>
      </c>
      <c r="Y592" s="251" t="n">
        <f aca="false">H592/10000</f>
        <v>50</v>
      </c>
      <c r="Z592" s="226" t="e">
        <f aca="false">T592/H592</f>
        <v>#NAME?</v>
      </c>
      <c r="AA592" s="226" t="e">
        <f aca="false">xSPRDOPT($L592,$J592,$I592,$M592,$O592,$N592,$P592,$Q592-$C$3,$R592,3)</f>
        <v>#NAME?</v>
      </c>
      <c r="AB592" s="226" t="e">
        <f aca="false">((xSPRDOPT($L592+AB$5,$J592,$I592,$M592,$O592,$N592,$P592,$Q592-$C$3,$R592,3)*$H592)/10000)/100</f>
        <v>#NAME?</v>
      </c>
      <c r="AC592" s="226" t="e">
        <f aca="false">((xSPRDOPT($L592+$AB$5,$J592,$I592,$M592,$O592,$N592,$P592,$Q592-$C$3,$R592,7)*$H592)/100)</f>
        <v>#NAME?</v>
      </c>
      <c r="AD592" s="226" t="e">
        <f aca="false">(xSPRDOPT($L592+$AB$5,$J592,$I592,$M592,$O592,$N592,$P592,$Q592-$C$3,$R592,9)/365)*$H592</f>
        <v>#NAME?</v>
      </c>
      <c r="AE592" s="0" t="e">
        <f aca="false">CD593</f>
        <v>#NAME?</v>
      </c>
      <c r="AF592" s="226" t="e">
        <f aca="false">((O592/N592)*AH592)+AG592</f>
        <v>#NAME?</v>
      </c>
      <c r="AG592" s="226" t="e">
        <f aca="false">((xSPRDOPT($L592,$J592,$I592,$M592,$O592,$N592,$P592,$Q592-$C$3,$R592,6)*$H592)/100)</f>
        <v>#NAME?</v>
      </c>
      <c r="AH592" s="226" t="e">
        <f aca="false">((xSPRDOPT($L592,$J592,$I592,$M592,$O592,$N592,$P592,$Q592-$C$3,$R592,5)*$H592)/100)</f>
        <v>#NAME?</v>
      </c>
      <c r="AI592" s="226" t="e">
        <f aca="false">(((xSPRDOPT($L592,$J592,$I592,$M592,$O592,$N592,$P592,$Q592-$C$3,$R592,4)*$H592)/10000)/100)-AB592</f>
        <v>#NAME?</v>
      </c>
      <c r="AJ592" s="226"/>
      <c r="AK592" s="226"/>
      <c r="CC592" s="182" t="n">
        <f aca="false">G591</f>
        <v>36861</v>
      </c>
      <c r="CD592" s="253" t="e">
        <f aca="false">xSPRDOPT((VLOOKUP(G591,NGPrices,2,FALSE())+HLOOKUP(D591,Prices,VLOOKUP(G591,move_down,2,FALSE()),FALSE())),VLOOKUP(G591,NGPrices,2,FALSE()),I591,VLOOKUP(G591,NGPREVPRICES,4,FALSE()),HLOOKUP(D591,PREVVOLS,VLOOKUP(G591,MOVE_DOWN2,2,FALSE()),FALSE()),VLOOKUP(G591,NGPREVPRICES,3,FALSE()),HLOOKUP(D591,Correllate,VLOOKUP(G591,CorMove,2,FALSE()),FALSE()),Q591-$CD$3,R591,$CD$5)*H591-CJ592</f>
        <v>#NAME?</v>
      </c>
      <c r="CE592" s="253" t="e">
        <f aca="false">xSPRDOPT((VLOOKUP(G591,NGPREVPRICES,2,FALSE())+HLOOKUP(D591,PREVCURVES,VLOOKUP(G591,MOVE_DOWN2,2,FALSE()),FALSE())),VLOOKUP(G591,NGPREVPRICES,2,FALSE()),CK592,VLOOKUP(G591,NGPrices,4,FALSE()),HLOOKUP(D591,PREVVOLS,VLOOKUP(G591,MOVE_DOWN2,2,FALSE()),FALSE()),VLOOKUP(G591,NGPREVPRICES,3,FALSE()),HLOOKUP(D591,Correllate,VLOOKUP(G591,CorMove,2,FALSE()),FALSE()),Q591-$CD$3,R591,$CJ$5)*H591-CJ592</f>
        <v>#NAME?</v>
      </c>
      <c r="CF592" s="132" t="e">
        <f aca="false">(CJ592/VLOOKUP(CC592,discount,3,FALSE()))-(CJ592/VLOOKUP(CC592,discount,2,FALSE()))</f>
        <v>#NAME?</v>
      </c>
      <c r="CG592" s="253" t="e">
        <f aca="false">xSPRDOPT((VLOOKUP(G591,NGPREVPRICES,2,FALSE())+HLOOKUP(D591,PREVCURVES,VLOOKUP(G591,MOVE_DOWN2,2,FALSE()),FALSE())),VLOOKUP(G591,NGPREVPRICES,2,FALSE()),CK592,VLOOKUP(G591,NGPREVPRICES,4,FALSE()),HLOOKUP(D591,VOLS,VLOOKUP(G591,move_down,2,FALSE()),FALSE()),VLOOKUP(G591,NGPrices,3,FALSE()),HLOOKUP(D591,Correllate,VLOOKUP(G591,CorMove,2,FALSE()),FALSE()),Q591-$CD$3,R591,$CJ$5)*H591-CJ592</f>
        <v>#NAME?</v>
      </c>
      <c r="CH592" s="253" t="e">
        <f aca="false">xSPRDOPT((VLOOKUP(G591,NGPREVPRICES,2,FALSE())+HLOOKUP(D591,PREVCURVES,VLOOKUP(G591,MOVE_DOWN2,2,FALSE()),FALSE())),VLOOKUP(G591,NGPREVPRICES,2,FALSE()),CK592,VLOOKUP(G591,NGPREVPRICES,4,FALSE()),HLOOKUP(D591,PREVVOLS,VLOOKUP(G591,MOVE_DOWN2,2,FALSE()),FALSE()),VLOOKUP(G591,NGPREVPRICES,3,FALSE()),HLOOKUP(D591,Correllate,VLOOKUP(G591,CorMove,2,FALSE()),FALSE()),Q591-$C$3,R591,$CJ$5)*H591-CJ592</f>
        <v>#NAME?</v>
      </c>
      <c r="CI592" s="253" t="e">
        <f aca="false">SUM(CD592:CH592)</f>
        <v>#NAME?</v>
      </c>
      <c r="CJ592" s="253" t="e">
        <f aca="false">xSPRDOPT((VLOOKUP(G591,NGPREVPRICES,2,FALSE())+HLOOKUP(D591,PREVCURVES,VLOOKUP(G591,MOVE_DOWN2,2,FALSE()),FALSE())),VLOOKUP(G591,NGPREVPRICES,2,FALSE()),CK592,VLOOKUP(G591,NGPREVPRICES,4,FALSE()),HLOOKUP(D591,PREVVOLS,VLOOKUP(G591,MOVE_DOWN2,2,FALSE()),FALSE()),VLOOKUP(G591,NGPREVPRICES,3,FALSE()),HLOOKUP(D591,Correllate,VLOOKUP(G591,CorMove,2,FALSE()),FALSE()),Q591-$CD$3,R591,$CJ$5)*H591</f>
        <v>#NAME?</v>
      </c>
      <c r="CK592" s="254" t="n">
        <f aca="false">I591</f>
        <v>1</v>
      </c>
      <c r="CM592" s="0" t="str">
        <f aca="false">CONCATENATE(CC592,$CD$6)</f>
        <v>36861Curve Shift/Gamma</v>
      </c>
      <c r="CN592" s="0" t="str">
        <f aca="false">CONCATENATE($CC592,$CE$6)</f>
        <v>36861Rho</v>
      </c>
      <c r="CO592" s="0" t="str">
        <f aca="false">CONCATENATE($CC592,$CF$6)</f>
        <v>36861Drift</v>
      </c>
      <c r="CP592" s="0" t="str">
        <f aca="false">CONCATENATE($CC592,$CG$6)</f>
        <v>36861Vega</v>
      </c>
      <c r="CQ592" s="0" t="str">
        <f aca="false">CONCATENATE($CC592,$CH$6)</f>
        <v>36861Theta</v>
      </c>
    </row>
    <row r="593" customFormat="false" ht="12.75" hidden="false" customHeight="false" outlineLevel="0" collapsed="false">
      <c r="A593" s="17" t="s">
        <v>198</v>
      </c>
      <c r="B593" s="0" t="s">
        <v>192</v>
      </c>
      <c r="C593" s="0" t="s">
        <v>394</v>
      </c>
      <c r="D593" s="7" t="s">
        <v>149</v>
      </c>
      <c r="E593" s="0" t="s">
        <v>131</v>
      </c>
      <c r="F593" s="0" t="s">
        <v>132</v>
      </c>
      <c r="G593" s="92" t="n">
        <v>36923</v>
      </c>
      <c r="H593" s="248" t="n">
        <v>500000</v>
      </c>
      <c r="I593" s="254" t="n">
        <v>1</v>
      </c>
      <c r="J593" s="124" t="n">
        <f aca="false">VLOOKUP(G593,NGPrices,2,FALSE())</f>
        <v>4.48</v>
      </c>
      <c r="K593" s="125" t="n">
        <f aca="false">HLOOKUP(D593,Prices,VLOOKUP(G593,move_down,2,FALSE()),FALSE())+VLOOKUP(G593,CHANGE,HLOOKUP(D593,CHANGE,2,FALSE()),FALSE())</f>
        <v>2.09</v>
      </c>
      <c r="L593" s="124" t="n">
        <f aca="false">K593+J593</f>
        <v>6.57</v>
      </c>
      <c r="M593" s="126" t="n">
        <f aca="false">VLOOKUP(G593,NGPrices,4,FALSE())</f>
        <v>0.068640161611372</v>
      </c>
      <c r="N593" s="7" t="n">
        <f aca="false">VLOOKUP(G593,NGPrices,3,FALSE())</f>
        <v>0.5925</v>
      </c>
      <c r="O593" s="7" t="n">
        <f aca="false">HLOOKUP(D593,VOLS,VLOOKUP(G593,move_down,2,FALSE()),FALSE())</f>
        <v>0.681</v>
      </c>
      <c r="P593" s="249" t="n">
        <f aca="false">HLOOKUP(D593,Correllate,VLOOKUP(G593,CorMove,2,FALSE()),FALSE())</f>
        <v>0.83</v>
      </c>
      <c r="Q593" s="92" t="n">
        <f aca="false">WORKDAY(G593,-2)</f>
        <v>36921</v>
      </c>
      <c r="R593" s="7" t="n">
        <f aca="false">IF(F593="P",0,1)</f>
        <v>0</v>
      </c>
      <c r="S593" s="130" t="e">
        <f aca="false">xSPRDOPT($L593,$J593,$I593,$M593,$O593,$N593,$P593,$Q593-$C$3,$R593,0)</f>
        <v>#NAME?</v>
      </c>
      <c r="T593" s="250" t="e">
        <f aca="false">xSPRDOPT($L593,$J593,$I593,$M593,$O593,$N593,$P593,$Q593-$C$3,$R593,1)*H593</f>
        <v>#NAME?</v>
      </c>
      <c r="U593" s="43" t="e">
        <f aca="false">S593*H593</f>
        <v>#NAME?</v>
      </c>
      <c r="V593" s="250" t="e">
        <f aca="false">xSPRDOPT($L593,$J593,$I593,$M593,$O593,$N593,$P593,$Q593-$C$3,$R593,2)*H593</f>
        <v>#NAME?</v>
      </c>
      <c r="W593" s="250" t="e">
        <f aca="false">+V593+T593</f>
        <v>#NAME?</v>
      </c>
      <c r="X593" s="2" t="str">
        <f aca="false">CONCATENATE(G593,D593)</f>
        <v>36923IF-TRANSCO/Z6</v>
      </c>
      <c r="Y593" s="251" t="n">
        <f aca="false">H593/10000</f>
        <v>50</v>
      </c>
      <c r="Z593" s="226" t="e">
        <f aca="false">T593/H593</f>
        <v>#NAME?</v>
      </c>
      <c r="AA593" s="226" t="e">
        <f aca="false">xSPRDOPT($L593,$J593,$I593,$M593,$O593,$N593,$P593,$Q593-$C$3,$R593,3)</f>
        <v>#NAME?</v>
      </c>
      <c r="AB593" s="226" t="e">
        <f aca="false">((xSPRDOPT($L593+AB$5,$J593,$I593,$M593,$O593,$N593,$P593,$Q593-$C$3,$R593,3)*$H593)/10000)/100</f>
        <v>#NAME?</v>
      </c>
      <c r="AC593" s="226" t="e">
        <f aca="false">((xSPRDOPT($L593+$AB$5,$J593,$I593,$M593,$O593,$N593,$P593,$Q593-$C$3,$R593,7)*$H593)/100)</f>
        <v>#NAME?</v>
      </c>
      <c r="AD593" s="226" t="e">
        <f aca="false">(xSPRDOPT($L593+$AB$5,$J593,$I593,$M593,$O593,$N593,$P593,$Q593-$C$3,$R593,9)/365)*$H593</f>
        <v>#NAME?</v>
      </c>
      <c r="AE593" s="0" t="e">
        <f aca="false">CD594</f>
        <v>#NAME?</v>
      </c>
      <c r="AF593" s="226" t="e">
        <f aca="false">((O593/N593)*AH593)+AG593</f>
        <v>#NAME?</v>
      </c>
      <c r="AG593" s="226" t="e">
        <f aca="false">((xSPRDOPT($L593,$J593,$I593,$M593,$O593,$N593,$P593,$Q593-$C$3,$R593,6)*$H593)/100)</f>
        <v>#NAME?</v>
      </c>
      <c r="AH593" s="226" t="e">
        <f aca="false">((xSPRDOPT($L593,$J593,$I593,$M593,$O593,$N593,$P593,$Q593-$C$3,$R593,5)*$H593)/100)</f>
        <v>#NAME?</v>
      </c>
      <c r="AI593" s="226" t="e">
        <f aca="false">(((xSPRDOPT($L593,$J593,$I593,$M593,$O593,$N593,$P593,$Q593-$C$3,$R593,4)*$H593)/10000)/100)-AB593</f>
        <v>#NAME?</v>
      </c>
      <c r="AJ593" s="226"/>
      <c r="AK593" s="226"/>
      <c r="CC593" s="182" t="n">
        <f aca="false">G592</f>
        <v>36892</v>
      </c>
      <c r="CD593" s="253" t="e">
        <f aca="false">xSPRDOPT((VLOOKUP(G592,NGPrices,2,FALSE())+HLOOKUP(D592,Prices,VLOOKUP(G592,move_down,2,FALSE()),FALSE())),VLOOKUP(G592,NGPrices,2,FALSE()),I592,VLOOKUP(G592,NGPREVPRICES,4,FALSE()),HLOOKUP(D592,PREVVOLS,VLOOKUP(G592,MOVE_DOWN2,2,FALSE()),FALSE()),VLOOKUP(G592,NGPREVPRICES,3,FALSE()),HLOOKUP(D592,Correllate,VLOOKUP(G592,CorMove,2,FALSE()),FALSE()),Q592-$CD$3,R592,$CD$5)*H592-CJ593</f>
        <v>#NAME?</v>
      </c>
      <c r="CE593" s="253" t="e">
        <f aca="false">xSPRDOPT((VLOOKUP(G592,NGPREVPRICES,2,FALSE())+HLOOKUP(D592,PREVCURVES,VLOOKUP(G592,MOVE_DOWN2,2,FALSE()),FALSE())),VLOOKUP(G592,NGPREVPRICES,2,FALSE()),CK593,VLOOKUP(G592,NGPrices,4,FALSE()),HLOOKUP(D592,PREVVOLS,VLOOKUP(G592,MOVE_DOWN2,2,FALSE()),FALSE()),VLOOKUP(G592,NGPREVPRICES,3,FALSE()),HLOOKUP(D592,Correllate,VLOOKUP(G592,CorMove,2,FALSE()),FALSE()),Q592-$CD$3,R592,$CJ$5)*H592-CJ593</f>
        <v>#NAME?</v>
      </c>
      <c r="CF593" s="132" t="e">
        <f aca="false">(CJ593/VLOOKUP(CC593,discount,3,FALSE()))-(CJ593/VLOOKUP(CC593,discount,2,FALSE()))</f>
        <v>#NAME?</v>
      </c>
      <c r="CG593" s="253" t="e">
        <f aca="false">xSPRDOPT((VLOOKUP(G592,NGPREVPRICES,2,FALSE())+HLOOKUP(D592,PREVCURVES,VLOOKUP(G592,MOVE_DOWN2,2,FALSE()),FALSE())),VLOOKUP(G592,NGPREVPRICES,2,FALSE()),CK593,VLOOKUP(G592,NGPREVPRICES,4,FALSE()),HLOOKUP(D592,VOLS,VLOOKUP(G592,move_down,2,FALSE()),FALSE()),VLOOKUP(G592,NGPrices,3,FALSE()),HLOOKUP(D592,Correllate,VLOOKUP(G592,CorMove,2,FALSE()),FALSE()),Q592-$CD$3,R592,$CJ$5)*H592-CJ593</f>
        <v>#NAME?</v>
      </c>
      <c r="CH593" s="253" t="e">
        <f aca="false">xSPRDOPT((VLOOKUP(G592,NGPREVPRICES,2,FALSE())+HLOOKUP(D592,PREVCURVES,VLOOKUP(G592,MOVE_DOWN2,2,FALSE()),FALSE())),VLOOKUP(G592,NGPREVPRICES,2,FALSE()),CK593,VLOOKUP(G592,NGPREVPRICES,4,FALSE()),HLOOKUP(D592,PREVVOLS,VLOOKUP(G592,MOVE_DOWN2,2,FALSE()),FALSE()),VLOOKUP(G592,NGPREVPRICES,3,FALSE()),HLOOKUP(D592,Correllate,VLOOKUP(G592,CorMove,2,FALSE()),FALSE()),Q592-$C$3,R592,$CJ$5)*H592-CJ593</f>
        <v>#NAME?</v>
      </c>
      <c r="CI593" s="253" t="e">
        <f aca="false">SUM(CD593:CH593)</f>
        <v>#NAME?</v>
      </c>
      <c r="CJ593" s="253" t="e">
        <f aca="false">xSPRDOPT((VLOOKUP(G592,NGPREVPRICES,2,FALSE())+HLOOKUP(D592,PREVCURVES,VLOOKUP(G592,MOVE_DOWN2,2,FALSE()),FALSE())),VLOOKUP(G592,NGPREVPRICES,2,FALSE()),CK593,VLOOKUP(G592,NGPREVPRICES,4,FALSE()),HLOOKUP(D592,PREVVOLS,VLOOKUP(G592,MOVE_DOWN2,2,FALSE()),FALSE()),VLOOKUP(G592,NGPREVPRICES,3,FALSE()),HLOOKUP(D592,Correllate,VLOOKUP(G592,CorMove,2,FALSE()),FALSE()),Q592-$CD$3,R592,$CJ$5)*H592</f>
        <v>#NAME?</v>
      </c>
      <c r="CK593" s="254" t="n">
        <f aca="false">I592</f>
        <v>1</v>
      </c>
      <c r="CM593" s="0" t="str">
        <f aca="false">CONCATENATE(CC593,$CD$6)</f>
        <v>36892Curve Shift/Gamma</v>
      </c>
      <c r="CN593" s="0" t="str">
        <f aca="false">CONCATENATE($CC593,$CE$6)</f>
        <v>36892Rho</v>
      </c>
      <c r="CO593" s="0" t="str">
        <f aca="false">CONCATENATE($CC593,$CF$6)</f>
        <v>36892Drift</v>
      </c>
      <c r="CP593" s="0" t="str">
        <f aca="false">CONCATENATE($CC593,$CG$6)</f>
        <v>36892Vega</v>
      </c>
      <c r="CQ593" s="0" t="str">
        <f aca="false">CONCATENATE($CC593,$CH$6)</f>
        <v>36892Theta</v>
      </c>
    </row>
    <row r="594" customFormat="false" ht="12.75" hidden="false" customHeight="false" outlineLevel="0" collapsed="false">
      <c r="A594" s="17" t="s">
        <v>198</v>
      </c>
      <c r="B594" s="0" t="s">
        <v>192</v>
      </c>
      <c r="C594" s="0" t="s">
        <v>394</v>
      </c>
      <c r="D594" s="7" t="s">
        <v>149</v>
      </c>
      <c r="E594" s="0" t="s">
        <v>131</v>
      </c>
      <c r="F594" s="0" t="s">
        <v>132</v>
      </c>
      <c r="G594" s="92" t="n">
        <v>36951</v>
      </c>
      <c r="H594" s="248" t="n">
        <v>500000</v>
      </c>
      <c r="I594" s="254" t="n">
        <v>1</v>
      </c>
      <c r="J594" s="124" t="n">
        <f aca="false">VLOOKUP(G594,NGPrices,2,FALSE())</f>
        <v>4.213</v>
      </c>
      <c r="K594" s="125" t="n">
        <f aca="false">HLOOKUP(D594,Prices,VLOOKUP(G594,move_down,2,FALSE()),FALSE())+VLOOKUP(G594,CHANGE,HLOOKUP(D594,CHANGE,2,FALSE()),FALSE())</f>
        <v>1.075</v>
      </c>
      <c r="L594" s="124" t="n">
        <f aca="false">K594+J594</f>
        <v>5.288</v>
      </c>
      <c r="M594" s="126" t="n">
        <f aca="false">VLOOKUP(G594,NGPrices,4,FALSE())</f>
        <v>0.068879814952707</v>
      </c>
      <c r="N594" s="7" t="n">
        <f aca="false">VLOOKUP(G594,NGPrices,3,FALSE())</f>
        <v>0.5325</v>
      </c>
      <c r="O594" s="7" t="n">
        <f aca="false">HLOOKUP(D594,VOLS,VLOOKUP(G594,move_down,2,FALSE()),FALSE())</f>
        <v>0.612</v>
      </c>
      <c r="P594" s="249" t="n">
        <f aca="false">HLOOKUP(D594,Correllate,VLOOKUP(G594,CorMove,2,FALSE()),FALSE())</f>
        <v>0.83</v>
      </c>
      <c r="Q594" s="92" t="n">
        <f aca="false">WORKDAY(G594,-2)</f>
        <v>36949</v>
      </c>
      <c r="R594" s="7" t="n">
        <f aca="false">IF(F594="P",0,1)</f>
        <v>0</v>
      </c>
      <c r="S594" s="130" t="e">
        <f aca="false">xSPRDOPT($L594,$J594,$I594,$M594,$O594,$N594,$P594,$Q594-$C$3,$R594,0)</f>
        <v>#NAME?</v>
      </c>
      <c r="T594" s="250" t="e">
        <f aca="false">xSPRDOPT($L594,$J594,$I594,$M594,$O594,$N594,$P594,$Q594-$C$3,$R594,1)*H594</f>
        <v>#NAME?</v>
      </c>
      <c r="U594" s="43" t="e">
        <f aca="false">S594*H594</f>
        <v>#NAME?</v>
      </c>
      <c r="V594" s="250" t="e">
        <f aca="false">xSPRDOPT($L594,$J594,$I594,$M594,$O594,$N594,$P594,$Q594-$C$3,$R594,2)*H594</f>
        <v>#NAME?</v>
      </c>
      <c r="W594" s="250" t="e">
        <f aca="false">+V594+T594</f>
        <v>#NAME?</v>
      </c>
      <c r="X594" s="2" t="str">
        <f aca="false">CONCATENATE(G594,D594)</f>
        <v>36951IF-TRANSCO/Z6</v>
      </c>
      <c r="Y594" s="251" t="n">
        <f aca="false">H594/10000</f>
        <v>50</v>
      </c>
      <c r="Z594" s="226" t="e">
        <f aca="false">T594/H594</f>
        <v>#NAME?</v>
      </c>
      <c r="AA594" s="226" t="e">
        <f aca="false">xSPRDOPT($L594,$J594,$I594,$M594,$O594,$N594,$P594,$Q594-$C$3,$R594,3)</f>
        <v>#NAME?</v>
      </c>
      <c r="AB594" s="226" t="e">
        <f aca="false">((xSPRDOPT($L594+AB$5,$J594,$I594,$M594,$O594,$N594,$P594,$Q594-$C$3,$R594,3)*$H594)/10000)/100</f>
        <v>#NAME?</v>
      </c>
      <c r="AC594" s="226" t="e">
        <f aca="false">((xSPRDOPT($L594+$AB$5,$J594,$I594,$M594,$O594,$N594,$P594,$Q594-$C$3,$R594,7)*$H594)/100)</f>
        <v>#NAME?</v>
      </c>
      <c r="AD594" s="226" t="e">
        <f aca="false">(xSPRDOPT($L594+$AB$5,$J594,$I594,$M594,$O594,$N594,$P594,$Q594-$C$3,$R594,9)/365)*$H594</f>
        <v>#NAME?</v>
      </c>
      <c r="AE594" s="0" t="e">
        <f aca="false">CD595</f>
        <v>#NAME?</v>
      </c>
      <c r="AF594" s="226" t="e">
        <f aca="false">((O594/N594)*AH594)+AG594</f>
        <v>#NAME?</v>
      </c>
      <c r="AG594" s="226" t="e">
        <f aca="false">((xSPRDOPT($L594,$J594,$I594,$M594,$O594,$N594,$P594,$Q594-$C$3,$R594,6)*$H594)/100)</f>
        <v>#NAME?</v>
      </c>
      <c r="AH594" s="226" t="e">
        <f aca="false">((xSPRDOPT($L594,$J594,$I594,$M594,$O594,$N594,$P594,$Q594-$C$3,$R594,5)*$H594)/100)</f>
        <v>#NAME?</v>
      </c>
      <c r="AI594" s="226" t="e">
        <f aca="false">(((xSPRDOPT($L594,$J594,$I594,$M594,$O594,$N594,$P594,$Q594-$C$3,$R594,4)*$H594)/10000)/100)-AB594</f>
        <v>#NAME?</v>
      </c>
      <c r="AJ594" s="226"/>
      <c r="AK594" s="226"/>
      <c r="CC594" s="182" t="n">
        <f aca="false">G593</f>
        <v>36923</v>
      </c>
      <c r="CD594" s="253" t="e">
        <f aca="false">xSPRDOPT((VLOOKUP(G593,NGPrices,2,FALSE())+HLOOKUP(D593,Prices,VLOOKUP(G593,move_down,2,FALSE()),FALSE())),VLOOKUP(G593,NGPrices,2,FALSE()),I593,VLOOKUP(G593,NGPREVPRICES,4,FALSE()),HLOOKUP(D593,PREVVOLS,VLOOKUP(G593,MOVE_DOWN2,2,FALSE()),FALSE()),VLOOKUP(G593,NGPREVPRICES,3,FALSE()),HLOOKUP(D593,Correllate,VLOOKUP(G593,CorMove,2,FALSE()),FALSE()),Q593-$CD$3,R593,$CD$5)*H593-CJ594</f>
        <v>#NAME?</v>
      </c>
      <c r="CE594" s="253" t="e">
        <f aca="false">xSPRDOPT((VLOOKUP(G593,NGPREVPRICES,2,FALSE())+HLOOKUP(D593,PREVCURVES,VLOOKUP(G593,MOVE_DOWN2,2,FALSE()),FALSE())),VLOOKUP(G593,NGPREVPRICES,2,FALSE()),CK594,VLOOKUP(G593,NGPrices,4,FALSE()),HLOOKUP(D593,PREVVOLS,VLOOKUP(G593,MOVE_DOWN2,2,FALSE()),FALSE()),VLOOKUP(G593,NGPREVPRICES,3,FALSE()),HLOOKUP(D593,Correllate,VLOOKUP(G593,CorMove,2,FALSE()),FALSE()),Q593-$CD$3,R593,$CJ$5)*H593-CJ594</f>
        <v>#NAME?</v>
      </c>
      <c r="CF594" s="132" t="e">
        <f aca="false">(CJ594/VLOOKUP(CC594,discount,3,FALSE()))-(CJ594/VLOOKUP(CC594,discount,2,FALSE()))</f>
        <v>#NAME?</v>
      </c>
      <c r="CG594" s="253" t="e">
        <f aca="false">xSPRDOPT((VLOOKUP(G593,NGPREVPRICES,2,FALSE())+HLOOKUP(D593,PREVCURVES,VLOOKUP(G593,MOVE_DOWN2,2,FALSE()),FALSE())),VLOOKUP(G593,NGPREVPRICES,2,FALSE()),CK594,VLOOKUP(G593,NGPREVPRICES,4,FALSE()),HLOOKUP(D593,VOLS,VLOOKUP(G593,move_down,2,FALSE()),FALSE()),VLOOKUP(G593,NGPrices,3,FALSE()),HLOOKUP(D593,Correllate,VLOOKUP(G593,CorMove,2,FALSE()),FALSE()),Q593-$CD$3,R593,$CJ$5)*H593-CJ594</f>
        <v>#NAME?</v>
      </c>
      <c r="CH594" s="253" t="e">
        <f aca="false">xSPRDOPT((VLOOKUP(G593,NGPREVPRICES,2,FALSE())+HLOOKUP(D593,PREVCURVES,VLOOKUP(G593,MOVE_DOWN2,2,FALSE()),FALSE())),VLOOKUP(G593,NGPREVPRICES,2,FALSE()),CK594,VLOOKUP(G593,NGPREVPRICES,4,FALSE()),HLOOKUP(D593,PREVVOLS,VLOOKUP(G593,MOVE_DOWN2,2,FALSE()),FALSE()),VLOOKUP(G593,NGPREVPRICES,3,FALSE()),HLOOKUP(D593,Correllate,VLOOKUP(G593,CorMove,2,FALSE()),FALSE()),Q593-$C$3,R593,$CJ$5)*H593-CJ594</f>
        <v>#NAME?</v>
      </c>
      <c r="CI594" s="253" t="e">
        <f aca="false">SUM(CD594:CH594)</f>
        <v>#NAME?</v>
      </c>
      <c r="CJ594" s="253" t="e">
        <f aca="false">xSPRDOPT((VLOOKUP(G593,NGPREVPRICES,2,FALSE())+HLOOKUP(D593,PREVCURVES,VLOOKUP(G593,MOVE_DOWN2,2,FALSE()),FALSE())),VLOOKUP(G593,NGPREVPRICES,2,FALSE()),CK594,VLOOKUP(G593,NGPREVPRICES,4,FALSE()),HLOOKUP(D593,PREVVOLS,VLOOKUP(G593,MOVE_DOWN2,2,FALSE()),FALSE()),VLOOKUP(G593,NGPREVPRICES,3,FALSE()),HLOOKUP(D593,Correllate,VLOOKUP(G593,CorMove,2,FALSE()),FALSE()),Q593-$CD$3,R593,$CJ$5)*H593</f>
        <v>#NAME?</v>
      </c>
      <c r="CK594" s="254" t="n">
        <f aca="false">I593</f>
        <v>1</v>
      </c>
      <c r="CM594" s="0" t="str">
        <f aca="false">CONCATENATE(CC594,$CD$6)</f>
        <v>36923Curve Shift/Gamma</v>
      </c>
      <c r="CN594" s="0" t="str">
        <f aca="false">CONCATENATE($CC594,$CE$6)</f>
        <v>36923Rho</v>
      </c>
      <c r="CO594" s="0" t="str">
        <f aca="false">CONCATENATE($CC594,$CF$6)</f>
        <v>36923Drift</v>
      </c>
      <c r="CP594" s="0" t="str">
        <f aca="false">CONCATENATE($CC594,$CG$6)</f>
        <v>36923Vega</v>
      </c>
      <c r="CQ594" s="0" t="str">
        <f aca="false">CONCATENATE($CC594,$CH$6)</f>
        <v>36923Theta</v>
      </c>
    </row>
    <row r="595" customFormat="false" ht="12.75" hidden="false" customHeight="false" outlineLevel="0" collapsed="false">
      <c r="A595" s="17" t="s">
        <v>198</v>
      </c>
      <c r="B595" s="0" t="s">
        <v>192</v>
      </c>
      <c r="C595" s="0" t="s">
        <v>395</v>
      </c>
      <c r="D595" s="7" t="s">
        <v>149</v>
      </c>
      <c r="E595" s="0" t="s">
        <v>131</v>
      </c>
      <c r="F595" s="0" t="s">
        <v>136</v>
      </c>
      <c r="G595" s="92" t="n">
        <v>36831</v>
      </c>
      <c r="H595" s="248" t="n">
        <v>-300000</v>
      </c>
      <c r="I595" s="254" t="n">
        <v>2.5</v>
      </c>
      <c r="J595" s="124" t="n">
        <f aca="false">VLOOKUP(G595,NGPrices,2,FALSE())</f>
        <v>4.736</v>
      </c>
      <c r="K595" s="125" t="n">
        <f aca="false">HLOOKUP(D595,Prices,VLOOKUP(G595,move_down,2,FALSE()),FALSE())+VLOOKUP(G595,CHANGE,HLOOKUP(D595,CHANGE,2,FALSE()),FALSE())</f>
        <v>0.77</v>
      </c>
      <c r="L595" s="124" t="n">
        <f aca="false">K595+J595</f>
        <v>5.506</v>
      </c>
      <c r="M595" s="126" t="n">
        <f aca="false">VLOOKUP(G595,NGPrices,4,FALSE())</f>
        <v>0.06810675983792</v>
      </c>
      <c r="N595" s="7" t="n">
        <f aca="false">VLOOKUP(G595,NGPrices,3,FALSE())</f>
        <v>0.595</v>
      </c>
      <c r="O595" s="7" t="n">
        <f aca="false">HLOOKUP(D595,VOLS,VLOOKUP(G595,move_down,2,FALSE()),FALSE())</f>
        <v>0.625</v>
      </c>
      <c r="P595" s="249" t="n">
        <f aca="false">HLOOKUP(D595,Correllate,VLOOKUP(G595,CorMove,2,FALSE()),FALSE())</f>
        <v>0.89</v>
      </c>
      <c r="Q595" s="92" t="n">
        <f aca="false">WORKDAY(G595,-2)</f>
        <v>36829</v>
      </c>
      <c r="R595" s="7" t="n">
        <f aca="false">IF(F595="P",0,1)</f>
        <v>1</v>
      </c>
      <c r="S595" s="130" t="e">
        <f aca="false">xSPRDOPT($L595,$J595,$I595,$M595,$O595,$N595,$P595,$Q595-$C$3,$R595,0)</f>
        <v>#NAME?</v>
      </c>
      <c r="T595" s="250" t="e">
        <f aca="false">xSPRDOPT($L595,$J595,$I595,$M595,$O595,$N595,$P595,$Q595-$C$3,$R595,1)*H595</f>
        <v>#NAME?</v>
      </c>
      <c r="U595" s="43" t="e">
        <f aca="false">S595*H595</f>
        <v>#NAME?</v>
      </c>
      <c r="V595" s="250" t="e">
        <f aca="false">xSPRDOPT($L595,$J595,$I595,$M595,$O595,$N595,$P595,$Q595-$C$3,$R595,2)*H595</f>
        <v>#NAME?</v>
      </c>
      <c r="W595" s="250" t="e">
        <f aca="false">+V595+T595</f>
        <v>#NAME?</v>
      </c>
      <c r="X595" s="2" t="str">
        <f aca="false">CONCATENATE(G595,D595)</f>
        <v>36831IF-TRANSCO/Z6</v>
      </c>
      <c r="Y595" s="251" t="n">
        <f aca="false">H595/10000</f>
        <v>-30</v>
      </c>
      <c r="Z595" s="226" t="e">
        <f aca="false">T595/H595</f>
        <v>#NAME?</v>
      </c>
      <c r="AA595" s="226" t="e">
        <f aca="false">xSPRDOPT($L595,$J595,$I595,$M595,$O595,$N595,$P595,$Q595-$C$3,$R595,3)</f>
        <v>#NAME?</v>
      </c>
      <c r="AB595" s="226" t="e">
        <f aca="false">((xSPRDOPT($L595+AB$5,$J595,$I595,$M595,$O595,$N595,$P595,$Q595-$C$3,$R595,3)*$H595)/10000)/100</f>
        <v>#NAME?</v>
      </c>
      <c r="AC595" s="226" t="e">
        <f aca="false">((xSPRDOPT($L595+$AB$5,$J595,$I595,$M595,$O595,$N595,$P595,$Q595-$C$3,$R595,7)*$H595)/100)</f>
        <v>#NAME?</v>
      </c>
      <c r="AD595" s="226" t="e">
        <f aca="false">(xSPRDOPT($L595+$AB$5,$J595,$I595,$M595,$O595,$N595,$P595,$Q595-$C$3,$R595,9)/365)*$H595</f>
        <v>#NAME?</v>
      </c>
      <c r="AE595" s="0" t="e">
        <f aca="false">CD596</f>
        <v>#NAME?</v>
      </c>
      <c r="AF595" s="226" t="e">
        <f aca="false">((O595/N595)*AH595)+AG595</f>
        <v>#NAME?</v>
      </c>
      <c r="AG595" s="226" t="e">
        <f aca="false">((xSPRDOPT($L595,$J595,$I595,$M595,$O595,$N595,$P595,$Q595-$C$3,$R595,6)*$H595)/100)</f>
        <v>#NAME?</v>
      </c>
      <c r="AH595" s="226" t="e">
        <f aca="false">((xSPRDOPT($L595,$J595,$I595,$M595,$O595,$N595,$P595,$Q595-$C$3,$R595,5)*$H595)/100)</f>
        <v>#NAME?</v>
      </c>
      <c r="AI595" s="226" t="e">
        <f aca="false">(((xSPRDOPT($L595,$J595,$I595,$M595,$O595,$N595,$P595,$Q595-$C$3,$R595,4)*$H595)/10000)/100)-AB595</f>
        <v>#NAME?</v>
      </c>
      <c r="AJ595" s="226"/>
      <c r="AK595" s="226"/>
      <c r="CC595" s="182" t="n">
        <f aca="false">G594</f>
        <v>36951</v>
      </c>
      <c r="CD595" s="253" t="e">
        <f aca="false">xSPRDOPT((VLOOKUP(G594,NGPrices,2,FALSE())+HLOOKUP(D594,Prices,VLOOKUP(G594,move_down,2,FALSE()),FALSE())),VLOOKUP(G594,NGPrices,2,FALSE()),I594,VLOOKUP(G594,NGPREVPRICES,4,FALSE()),HLOOKUP(D594,PREVVOLS,VLOOKUP(G594,MOVE_DOWN2,2,FALSE()),FALSE()),VLOOKUP(G594,NGPREVPRICES,3,FALSE()),HLOOKUP(D594,Correllate,VLOOKUP(G594,CorMove,2,FALSE()),FALSE()),Q594-$CD$3,R594,$CD$5)*H594-CJ595</f>
        <v>#NAME?</v>
      </c>
      <c r="CE595" s="253" t="e">
        <f aca="false">xSPRDOPT((VLOOKUP(G594,NGPREVPRICES,2,FALSE())+HLOOKUP(D594,PREVCURVES,VLOOKUP(G594,MOVE_DOWN2,2,FALSE()),FALSE())),VLOOKUP(G594,NGPREVPRICES,2,FALSE()),CK595,VLOOKUP(G594,NGPrices,4,FALSE()),HLOOKUP(D594,PREVVOLS,VLOOKUP(G594,MOVE_DOWN2,2,FALSE()),FALSE()),VLOOKUP(G594,NGPREVPRICES,3,FALSE()),HLOOKUP(D594,Correllate,VLOOKUP(G594,CorMove,2,FALSE()),FALSE()),Q594-$CD$3,R594,$CJ$5)*H594-CJ595</f>
        <v>#NAME?</v>
      </c>
      <c r="CF595" s="132" t="e">
        <f aca="false">(CJ595/VLOOKUP(CC595,discount,3,FALSE()))-(CJ595/VLOOKUP(CC595,discount,2,FALSE()))</f>
        <v>#NAME?</v>
      </c>
      <c r="CG595" s="253" t="e">
        <f aca="false">xSPRDOPT((VLOOKUP(G594,NGPREVPRICES,2,FALSE())+HLOOKUP(D594,PREVCURVES,VLOOKUP(G594,MOVE_DOWN2,2,FALSE()),FALSE())),VLOOKUP(G594,NGPREVPRICES,2,FALSE()),CK595,VLOOKUP(G594,NGPREVPRICES,4,FALSE()),HLOOKUP(D594,VOLS,VLOOKUP(G594,move_down,2,FALSE()),FALSE()),VLOOKUP(G594,NGPrices,3,FALSE()),HLOOKUP(D594,Correllate,VLOOKUP(G594,CorMove,2,FALSE()),FALSE()),Q594-$CD$3,R594,$CJ$5)*H594-CJ595</f>
        <v>#NAME?</v>
      </c>
      <c r="CH595" s="253" t="e">
        <f aca="false">xSPRDOPT((VLOOKUP(G594,NGPREVPRICES,2,FALSE())+HLOOKUP(D594,PREVCURVES,VLOOKUP(G594,MOVE_DOWN2,2,FALSE()),FALSE())),VLOOKUP(G594,NGPREVPRICES,2,FALSE()),CK595,VLOOKUP(G594,NGPREVPRICES,4,FALSE()),HLOOKUP(D594,PREVVOLS,VLOOKUP(G594,MOVE_DOWN2,2,FALSE()),FALSE()),VLOOKUP(G594,NGPREVPRICES,3,FALSE()),HLOOKUP(D594,Correllate,VLOOKUP(G594,CorMove,2,FALSE()),FALSE()),Q594-$C$3,R594,$CJ$5)*H594-CJ595</f>
        <v>#NAME?</v>
      </c>
      <c r="CI595" s="253" t="e">
        <f aca="false">SUM(CD595:CH595)</f>
        <v>#NAME?</v>
      </c>
      <c r="CJ595" s="253" t="e">
        <f aca="false">xSPRDOPT((VLOOKUP(G594,NGPREVPRICES,2,FALSE())+HLOOKUP(D594,PREVCURVES,VLOOKUP(G594,MOVE_DOWN2,2,FALSE()),FALSE())),VLOOKUP(G594,NGPREVPRICES,2,FALSE()),CK595,VLOOKUP(G594,NGPREVPRICES,4,FALSE()),HLOOKUP(D594,PREVVOLS,VLOOKUP(G594,MOVE_DOWN2,2,FALSE()),FALSE()),VLOOKUP(G594,NGPREVPRICES,3,FALSE()),HLOOKUP(D594,Correllate,VLOOKUP(G594,CorMove,2,FALSE()),FALSE()),Q594-$CD$3,R594,$CJ$5)*H594</f>
        <v>#NAME?</v>
      </c>
      <c r="CK595" s="254" t="n">
        <f aca="false">I594</f>
        <v>1</v>
      </c>
      <c r="CM595" s="0" t="str">
        <f aca="false">CONCATENATE(CC595,$CD$6)</f>
        <v>36951Curve Shift/Gamma</v>
      </c>
      <c r="CN595" s="0" t="str">
        <f aca="false">CONCATENATE($CC595,$CE$6)</f>
        <v>36951Rho</v>
      </c>
      <c r="CO595" s="0" t="str">
        <f aca="false">CONCATENATE($CC595,$CF$6)</f>
        <v>36951Drift</v>
      </c>
      <c r="CP595" s="0" t="str">
        <f aca="false">CONCATENATE($CC595,$CG$6)</f>
        <v>36951Vega</v>
      </c>
      <c r="CQ595" s="0" t="str">
        <f aca="false">CONCATENATE($CC595,$CH$6)</f>
        <v>36951Theta</v>
      </c>
    </row>
    <row r="596" customFormat="false" ht="12.75" hidden="false" customHeight="false" outlineLevel="0" collapsed="false">
      <c r="A596" s="17" t="s">
        <v>198</v>
      </c>
      <c r="B596" s="0" t="s">
        <v>192</v>
      </c>
      <c r="C596" s="0" t="s">
        <v>395</v>
      </c>
      <c r="D596" s="7" t="s">
        <v>149</v>
      </c>
      <c r="E596" s="0" t="s">
        <v>131</v>
      </c>
      <c r="F596" s="0" t="s">
        <v>136</v>
      </c>
      <c r="G596" s="92" t="n">
        <v>36861</v>
      </c>
      <c r="H596" s="248" t="n">
        <v>-310000</v>
      </c>
      <c r="I596" s="254" t="n">
        <v>2.5</v>
      </c>
      <c r="J596" s="124" t="n">
        <f aca="false">VLOOKUP(G596,NGPrices,2,FALSE())</f>
        <v>4.8</v>
      </c>
      <c r="K596" s="125" t="n">
        <f aca="false">HLOOKUP(D596,Prices,VLOOKUP(G596,move_down,2,FALSE()),FALSE())+VLOOKUP(G596,CHANGE,HLOOKUP(D596,CHANGE,2,FALSE()),FALSE())</f>
        <v>1.645</v>
      </c>
      <c r="L596" s="124" t="n">
        <f aca="false">K596+J596</f>
        <v>6.445</v>
      </c>
      <c r="M596" s="126" t="n">
        <f aca="false">VLOOKUP(G596,NGPrices,4,FALSE())</f>
        <v>0.068314027999354</v>
      </c>
      <c r="N596" s="7" t="n">
        <f aca="false">VLOOKUP(G596,NGPrices,3,FALSE())</f>
        <v>0.6</v>
      </c>
      <c r="O596" s="7" t="n">
        <f aca="false">HLOOKUP(D596,VOLS,VLOOKUP(G596,move_down,2,FALSE()),FALSE())</f>
        <v>0.69</v>
      </c>
      <c r="P596" s="249" t="n">
        <f aca="false">HLOOKUP(D596,Correllate,VLOOKUP(G596,CorMove,2,FALSE()),FALSE())</f>
        <v>0.83</v>
      </c>
      <c r="Q596" s="92" t="n">
        <f aca="false">WORKDAY(G596,-2)</f>
        <v>36859</v>
      </c>
      <c r="R596" s="7" t="n">
        <f aca="false">IF(F596="P",0,1)</f>
        <v>1</v>
      </c>
      <c r="S596" s="130" t="e">
        <f aca="false">xSPRDOPT($L596,$J596,$I596,$M596,$O596,$N596,$P596,$Q596-$C$3,$R596,0)</f>
        <v>#NAME?</v>
      </c>
      <c r="T596" s="250" t="e">
        <f aca="false">xSPRDOPT($L596,$J596,$I596,$M596,$O596,$N596,$P596,$Q596-$C$3,$R596,1)*H596</f>
        <v>#NAME?</v>
      </c>
      <c r="U596" s="43" t="e">
        <f aca="false">S596*H596</f>
        <v>#NAME?</v>
      </c>
      <c r="V596" s="250" t="e">
        <f aca="false">xSPRDOPT($L596,$J596,$I596,$M596,$O596,$N596,$P596,$Q596-$C$3,$R596,2)*H596</f>
        <v>#NAME?</v>
      </c>
      <c r="W596" s="250" t="e">
        <f aca="false">+V596+T596</f>
        <v>#NAME?</v>
      </c>
      <c r="X596" s="2" t="str">
        <f aca="false">CONCATENATE(G596,D596)</f>
        <v>36861IF-TRANSCO/Z6</v>
      </c>
      <c r="Y596" s="251" t="n">
        <f aca="false">H596/10000</f>
        <v>-31</v>
      </c>
      <c r="Z596" s="226" t="e">
        <f aca="false">T596/H596</f>
        <v>#NAME?</v>
      </c>
      <c r="AA596" s="226" t="e">
        <f aca="false">xSPRDOPT($L596,$J596,$I596,$M596,$O596,$N596,$P596,$Q596-$C$3,$R596,3)</f>
        <v>#NAME?</v>
      </c>
      <c r="AB596" s="226" t="e">
        <f aca="false">((xSPRDOPT($L596+AB$5,$J596,$I596,$M596,$O596,$N596,$P596,$Q596-$C$3,$R596,3)*$H596)/10000)/100</f>
        <v>#NAME?</v>
      </c>
      <c r="AC596" s="226" t="e">
        <f aca="false">((xSPRDOPT($L596+$AB$5,$J596,$I596,$M596,$O596,$N596,$P596,$Q596-$C$3,$R596,7)*$H596)/100)</f>
        <v>#NAME?</v>
      </c>
      <c r="AD596" s="226" t="e">
        <f aca="false">(xSPRDOPT($L596+$AB$5,$J596,$I596,$M596,$O596,$N596,$P596,$Q596-$C$3,$R596,9)/365)*$H596</f>
        <v>#NAME?</v>
      </c>
      <c r="AE596" s="0" t="e">
        <f aca="false">CD597</f>
        <v>#NAME?</v>
      </c>
      <c r="AF596" s="226" t="e">
        <f aca="false">((O596/N596)*AH596)+AG596</f>
        <v>#NAME?</v>
      </c>
      <c r="AG596" s="226" t="e">
        <f aca="false">((xSPRDOPT($L596,$J596,$I596,$M596,$O596,$N596,$P596,$Q596-$C$3,$R596,6)*$H596)/100)</f>
        <v>#NAME?</v>
      </c>
      <c r="AH596" s="226" t="e">
        <f aca="false">((xSPRDOPT($L596,$J596,$I596,$M596,$O596,$N596,$P596,$Q596-$C$3,$R596,5)*$H596)/100)</f>
        <v>#NAME?</v>
      </c>
      <c r="AI596" s="226" t="e">
        <f aca="false">(((xSPRDOPT($L596,$J596,$I596,$M596,$O596,$N596,$P596,$Q596-$C$3,$R596,4)*$H596)/10000)/100)-AB596</f>
        <v>#NAME?</v>
      </c>
      <c r="AJ596" s="226"/>
      <c r="AK596" s="226"/>
      <c r="CC596" s="182" t="n">
        <f aca="false">G595</f>
        <v>36831</v>
      </c>
      <c r="CD596" s="253" t="e">
        <f aca="false">xSPRDOPT((VLOOKUP(G595,NGPrices,2,FALSE())+HLOOKUP(D595,Prices,VLOOKUP(G595,move_down,2,FALSE()),FALSE())),VLOOKUP(G595,NGPrices,2,FALSE()),I595,VLOOKUP(G595,NGPREVPRICES,4,FALSE()),HLOOKUP(D595,PREVVOLS,VLOOKUP(G595,MOVE_DOWN2,2,FALSE()),FALSE()),VLOOKUP(G595,NGPREVPRICES,3,FALSE()),HLOOKUP(D595,Correllate,VLOOKUP(G595,CorMove,2,FALSE()),FALSE()),Q595-$CD$3,R595,$CD$5)*H595-CJ596</f>
        <v>#NAME?</v>
      </c>
      <c r="CE596" s="253" t="e">
        <f aca="false">xSPRDOPT((VLOOKUP(G595,NGPREVPRICES,2,FALSE())+HLOOKUP(D595,PREVCURVES,VLOOKUP(G595,MOVE_DOWN2,2,FALSE()),FALSE())),VLOOKUP(G595,NGPREVPRICES,2,FALSE()),CK596,VLOOKUP(G595,NGPrices,4,FALSE()),HLOOKUP(D595,PREVVOLS,VLOOKUP(G595,MOVE_DOWN2,2,FALSE()),FALSE()),VLOOKUP(G595,NGPREVPRICES,3,FALSE()),HLOOKUP(D595,Correllate,VLOOKUP(G595,CorMove,2,FALSE()),FALSE()),Q595-$CD$3,R595,$CJ$5)*H595-CJ596</f>
        <v>#NAME?</v>
      </c>
      <c r="CF596" s="132" t="e">
        <f aca="false">(CJ596/VLOOKUP(CC596,discount,3,FALSE()))-(CJ596/VLOOKUP(CC596,discount,2,FALSE()))</f>
        <v>#NAME?</v>
      </c>
      <c r="CG596" s="253" t="e">
        <f aca="false">xSPRDOPT((VLOOKUP(G595,NGPREVPRICES,2,FALSE())+HLOOKUP(D595,PREVCURVES,VLOOKUP(G595,MOVE_DOWN2,2,FALSE()),FALSE())),VLOOKUP(G595,NGPREVPRICES,2,FALSE()),CK596,VLOOKUP(G595,NGPREVPRICES,4,FALSE()),HLOOKUP(D595,VOLS,VLOOKUP(G595,move_down,2,FALSE()),FALSE()),VLOOKUP(G595,NGPrices,3,FALSE()),HLOOKUP(D595,Correllate,VLOOKUP(G595,CorMove,2,FALSE()),FALSE()),Q595-$CD$3,R595,$CJ$5)*H595-CJ596</f>
        <v>#NAME?</v>
      </c>
      <c r="CH596" s="253" t="e">
        <f aca="false">xSPRDOPT((VLOOKUP(G595,NGPREVPRICES,2,FALSE())+HLOOKUP(D595,PREVCURVES,VLOOKUP(G595,MOVE_DOWN2,2,FALSE()),FALSE())),VLOOKUP(G595,NGPREVPRICES,2,FALSE()),CK596,VLOOKUP(G595,NGPREVPRICES,4,FALSE()),HLOOKUP(D595,PREVVOLS,VLOOKUP(G595,MOVE_DOWN2,2,FALSE()),FALSE()),VLOOKUP(G595,NGPREVPRICES,3,FALSE()),HLOOKUP(D595,Correllate,VLOOKUP(G595,CorMove,2,FALSE()),FALSE()),Q595-$C$3,R595,$CJ$5)*H595-CJ596</f>
        <v>#NAME?</v>
      </c>
      <c r="CI596" s="253" t="e">
        <f aca="false">SUM(CD596:CH596)</f>
        <v>#NAME?</v>
      </c>
      <c r="CJ596" s="253" t="e">
        <f aca="false">xSPRDOPT((VLOOKUP(G595,NGPREVPRICES,2,FALSE())+HLOOKUP(D595,PREVCURVES,VLOOKUP(G595,MOVE_DOWN2,2,FALSE()),FALSE())),VLOOKUP(G595,NGPREVPRICES,2,FALSE()),CK596,VLOOKUP(G595,NGPREVPRICES,4,FALSE()),HLOOKUP(D595,PREVVOLS,VLOOKUP(G595,MOVE_DOWN2,2,FALSE()),FALSE()),VLOOKUP(G595,NGPREVPRICES,3,FALSE()),HLOOKUP(D595,Correllate,VLOOKUP(G595,CorMove,2,FALSE()),FALSE()),Q595-$CD$3,R595,$CJ$5)*H595</f>
        <v>#NAME?</v>
      </c>
      <c r="CK596" s="254" t="n">
        <f aca="false">I595</f>
        <v>2.5</v>
      </c>
      <c r="CM596" s="0" t="str">
        <f aca="false">CONCATENATE(CC596,$CD$6)</f>
        <v>36831Curve Shift/Gamma</v>
      </c>
      <c r="CN596" s="0" t="str">
        <f aca="false">CONCATENATE($CC596,$CE$6)</f>
        <v>36831Rho</v>
      </c>
      <c r="CO596" s="0" t="str">
        <f aca="false">CONCATENATE($CC596,$CF$6)</f>
        <v>36831Drift</v>
      </c>
      <c r="CP596" s="0" t="str">
        <f aca="false">CONCATENATE($CC596,$CG$6)</f>
        <v>36831Vega</v>
      </c>
      <c r="CQ596" s="0" t="str">
        <f aca="false">CONCATENATE($CC596,$CH$6)</f>
        <v>36831Theta</v>
      </c>
    </row>
    <row r="597" customFormat="false" ht="12.75" hidden="false" customHeight="false" outlineLevel="0" collapsed="false">
      <c r="A597" s="17" t="s">
        <v>198</v>
      </c>
      <c r="B597" s="0" t="s">
        <v>192</v>
      </c>
      <c r="C597" s="0" t="s">
        <v>395</v>
      </c>
      <c r="D597" s="7" t="s">
        <v>149</v>
      </c>
      <c r="E597" s="0" t="s">
        <v>131</v>
      </c>
      <c r="F597" s="0" t="s">
        <v>136</v>
      </c>
      <c r="G597" s="92" t="n">
        <v>36892</v>
      </c>
      <c r="H597" s="248" t="n">
        <v>-310000</v>
      </c>
      <c r="I597" s="254" t="n">
        <v>2.5</v>
      </c>
      <c r="J597" s="124" t="n">
        <f aca="false">VLOOKUP(G597,NGPrices,2,FALSE())</f>
        <v>4.744</v>
      </c>
      <c r="K597" s="125" t="n">
        <f aca="false">HLOOKUP(D597,Prices,VLOOKUP(G597,move_down,2,FALSE()),FALSE())+VLOOKUP(G597,CHANGE,HLOOKUP(D597,CHANGE,2,FALSE()),FALSE())</f>
        <v>2.17</v>
      </c>
      <c r="L597" s="124" t="n">
        <f aca="false">K597+J597</f>
        <v>6.914</v>
      </c>
      <c r="M597" s="126" t="n">
        <f aca="false">VLOOKUP(G597,NGPrices,4,FALSE())</f>
        <v>0.068374831148491</v>
      </c>
      <c r="N597" s="7" t="n">
        <f aca="false">VLOOKUP(G597,NGPrices,3,FALSE())</f>
        <v>0.605</v>
      </c>
      <c r="O597" s="7" t="n">
        <f aca="false">HLOOKUP(D597,VOLS,VLOOKUP(G597,move_down,2,FALSE()),FALSE())</f>
        <v>0.696</v>
      </c>
      <c r="P597" s="249" t="n">
        <f aca="false">HLOOKUP(D597,Correllate,VLOOKUP(G597,CorMove,2,FALSE()),FALSE())</f>
        <v>0.83</v>
      </c>
      <c r="Q597" s="92" t="n">
        <f aca="false">WORKDAY(G597,-2)</f>
        <v>36888</v>
      </c>
      <c r="R597" s="7" t="n">
        <f aca="false">IF(F597="P",0,1)</f>
        <v>1</v>
      </c>
      <c r="S597" s="130" t="e">
        <f aca="false">xSPRDOPT($L597,$J597,$I597,$M597,$O597,$N597,$P597,$Q597-$C$3,$R597,0)</f>
        <v>#NAME?</v>
      </c>
      <c r="T597" s="250" t="e">
        <f aca="false">xSPRDOPT($L597,$J597,$I597,$M597,$O597,$N597,$P597,$Q597-$C$3,$R597,1)*H597</f>
        <v>#NAME?</v>
      </c>
      <c r="U597" s="43" t="e">
        <f aca="false">S597*H597</f>
        <v>#NAME?</v>
      </c>
      <c r="V597" s="250" t="e">
        <f aca="false">xSPRDOPT($L597,$J597,$I597,$M597,$O597,$N597,$P597,$Q597-$C$3,$R597,2)*H597</f>
        <v>#NAME?</v>
      </c>
      <c r="W597" s="250" t="e">
        <f aca="false">+V597+T597</f>
        <v>#NAME?</v>
      </c>
      <c r="X597" s="2" t="str">
        <f aca="false">CONCATENATE(G597,D597)</f>
        <v>36892IF-TRANSCO/Z6</v>
      </c>
      <c r="Y597" s="251" t="n">
        <f aca="false">H597/10000</f>
        <v>-31</v>
      </c>
      <c r="Z597" s="226" t="e">
        <f aca="false">T597/H597</f>
        <v>#NAME?</v>
      </c>
      <c r="AA597" s="226" t="e">
        <f aca="false">xSPRDOPT($L597,$J597,$I597,$M597,$O597,$N597,$P597,$Q597-$C$3,$R597,3)</f>
        <v>#NAME?</v>
      </c>
      <c r="AB597" s="226" t="e">
        <f aca="false">((xSPRDOPT($L597+AB$5,$J597,$I597,$M597,$O597,$N597,$P597,$Q597-$C$3,$R597,3)*$H597)/10000)/100</f>
        <v>#NAME?</v>
      </c>
      <c r="AC597" s="226" t="e">
        <f aca="false">((xSPRDOPT($L597+$AB$5,$J597,$I597,$M597,$O597,$N597,$P597,$Q597-$C$3,$R597,7)*$H597)/100)</f>
        <v>#NAME?</v>
      </c>
      <c r="AD597" s="226" t="e">
        <f aca="false">(xSPRDOPT($L597+$AB$5,$J597,$I597,$M597,$O597,$N597,$P597,$Q597-$C$3,$R597,9)/365)*$H597</f>
        <v>#NAME?</v>
      </c>
      <c r="AE597" s="0" t="e">
        <f aca="false">CD598</f>
        <v>#NAME?</v>
      </c>
      <c r="AF597" s="226" t="e">
        <f aca="false">((O597/N597)*AH597)+AG597</f>
        <v>#NAME?</v>
      </c>
      <c r="AG597" s="226" t="e">
        <f aca="false">((xSPRDOPT($L597,$J597,$I597,$M597,$O597,$N597,$P597,$Q597-$C$3,$R597,6)*$H597)/100)</f>
        <v>#NAME?</v>
      </c>
      <c r="AH597" s="226" t="e">
        <f aca="false">((xSPRDOPT($L597,$J597,$I597,$M597,$O597,$N597,$P597,$Q597-$C$3,$R597,5)*$H597)/100)</f>
        <v>#NAME?</v>
      </c>
      <c r="AI597" s="226" t="e">
        <f aca="false">(((xSPRDOPT($L597,$J597,$I597,$M597,$O597,$N597,$P597,$Q597-$C$3,$R597,4)*$H597)/10000)/100)-AB597</f>
        <v>#NAME?</v>
      </c>
      <c r="AJ597" s="226"/>
      <c r="AK597" s="226"/>
      <c r="CC597" s="182" t="n">
        <f aca="false">G596</f>
        <v>36861</v>
      </c>
      <c r="CD597" s="253" t="e">
        <f aca="false">xSPRDOPT((VLOOKUP(G596,NGPrices,2,FALSE())+HLOOKUP(D596,Prices,VLOOKUP(G596,move_down,2,FALSE()),FALSE())),VLOOKUP(G596,NGPrices,2,FALSE()),I596,VLOOKUP(G596,NGPREVPRICES,4,FALSE()),HLOOKUP(D596,PREVVOLS,VLOOKUP(G596,MOVE_DOWN2,2,FALSE()),FALSE()),VLOOKUP(G596,NGPREVPRICES,3,FALSE()),HLOOKUP(D596,Correllate,VLOOKUP(G596,CorMove,2,FALSE()),FALSE()),Q596-$CD$3,R596,$CD$5)*H596-CJ597</f>
        <v>#NAME?</v>
      </c>
      <c r="CE597" s="253" t="e">
        <f aca="false">xSPRDOPT((VLOOKUP(G596,NGPREVPRICES,2,FALSE())+HLOOKUP(D596,PREVCURVES,VLOOKUP(G596,MOVE_DOWN2,2,FALSE()),FALSE())),VLOOKUP(G596,NGPREVPRICES,2,FALSE()),CK597,VLOOKUP(G596,NGPrices,4,FALSE()),HLOOKUP(D596,PREVVOLS,VLOOKUP(G596,MOVE_DOWN2,2,FALSE()),FALSE()),VLOOKUP(G596,NGPREVPRICES,3,FALSE()),HLOOKUP(D596,Correllate,VLOOKUP(G596,CorMove,2,FALSE()),FALSE()),Q596-$CD$3,R596,$CJ$5)*H596-CJ597</f>
        <v>#NAME?</v>
      </c>
      <c r="CF597" s="132" t="e">
        <f aca="false">(CJ597/VLOOKUP(CC597,discount,3,FALSE()))-(CJ597/VLOOKUP(CC597,discount,2,FALSE()))</f>
        <v>#NAME?</v>
      </c>
      <c r="CG597" s="253" t="e">
        <f aca="false">xSPRDOPT((VLOOKUP(G596,NGPREVPRICES,2,FALSE())+HLOOKUP(D596,PREVCURVES,VLOOKUP(G596,MOVE_DOWN2,2,FALSE()),FALSE())),VLOOKUP(G596,NGPREVPRICES,2,FALSE()),CK597,VLOOKUP(G596,NGPREVPRICES,4,FALSE()),HLOOKUP(D596,VOLS,VLOOKUP(G596,move_down,2,FALSE()),FALSE()),VLOOKUP(G596,NGPrices,3,FALSE()),HLOOKUP(D596,Correllate,VLOOKUP(G596,CorMove,2,FALSE()),FALSE()),Q596-$CD$3,R596,$CJ$5)*H596-CJ597</f>
        <v>#NAME?</v>
      </c>
      <c r="CH597" s="253" t="e">
        <f aca="false">xSPRDOPT((VLOOKUP(G596,NGPREVPRICES,2,FALSE())+HLOOKUP(D596,PREVCURVES,VLOOKUP(G596,MOVE_DOWN2,2,FALSE()),FALSE())),VLOOKUP(G596,NGPREVPRICES,2,FALSE()),CK597,VLOOKUP(G596,NGPREVPRICES,4,FALSE()),HLOOKUP(D596,PREVVOLS,VLOOKUP(G596,MOVE_DOWN2,2,FALSE()),FALSE()),VLOOKUP(G596,NGPREVPRICES,3,FALSE()),HLOOKUP(D596,Correllate,VLOOKUP(G596,CorMove,2,FALSE()),FALSE()),Q596-$C$3,R596,$CJ$5)*H596-CJ597</f>
        <v>#NAME?</v>
      </c>
      <c r="CI597" s="253" t="e">
        <f aca="false">SUM(CD597:CH597)</f>
        <v>#NAME?</v>
      </c>
      <c r="CJ597" s="253" t="e">
        <f aca="false">xSPRDOPT((VLOOKUP(G596,NGPREVPRICES,2,FALSE())+HLOOKUP(D596,PREVCURVES,VLOOKUP(G596,MOVE_DOWN2,2,FALSE()),FALSE())),VLOOKUP(G596,NGPREVPRICES,2,FALSE()),CK597,VLOOKUP(G596,NGPREVPRICES,4,FALSE()),HLOOKUP(D596,PREVVOLS,VLOOKUP(G596,MOVE_DOWN2,2,FALSE()),FALSE()),VLOOKUP(G596,NGPREVPRICES,3,FALSE()),HLOOKUP(D596,Correllate,VLOOKUP(G596,CorMove,2,FALSE()),FALSE()),Q596-$CD$3,R596,$CJ$5)*H596</f>
        <v>#NAME?</v>
      </c>
      <c r="CK597" s="254" t="n">
        <f aca="false">I596</f>
        <v>2.5</v>
      </c>
      <c r="CM597" s="0" t="str">
        <f aca="false">CONCATENATE(CC597,$CD$6)</f>
        <v>36861Curve Shift/Gamma</v>
      </c>
      <c r="CN597" s="0" t="str">
        <f aca="false">CONCATENATE($CC597,$CE$6)</f>
        <v>36861Rho</v>
      </c>
      <c r="CO597" s="0" t="str">
        <f aca="false">CONCATENATE($CC597,$CF$6)</f>
        <v>36861Drift</v>
      </c>
      <c r="CP597" s="0" t="str">
        <f aca="false">CONCATENATE($CC597,$CG$6)</f>
        <v>36861Vega</v>
      </c>
      <c r="CQ597" s="0" t="str">
        <f aca="false">CONCATENATE($CC597,$CH$6)</f>
        <v>36861Theta</v>
      </c>
    </row>
    <row r="598" customFormat="false" ht="12.75" hidden="false" customHeight="false" outlineLevel="0" collapsed="false">
      <c r="A598" s="17" t="s">
        <v>198</v>
      </c>
      <c r="B598" s="0" t="s">
        <v>192</v>
      </c>
      <c r="C598" s="0" t="s">
        <v>395</v>
      </c>
      <c r="D598" s="7" t="s">
        <v>149</v>
      </c>
      <c r="E598" s="0" t="s">
        <v>131</v>
      </c>
      <c r="F598" s="0" t="s">
        <v>136</v>
      </c>
      <c r="G598" s="92" t="n">
        <v>36923</v>
      </c>
      <c r="H598" s="248" t="n">
        <v>-280000</v>
      </c>
      <c r="I598" s="254" t="n">
        <v>2.5</v>
      </c>
      <c r="J598" s="124" t="n">
        <f aca="false">VLOOKUP(G598,NGPrices,2,FALSE())</f>
        <v>4.48</v>
      </c>
      <c r="K598" s="125" t="n">
        <f aca="false">HLOOKUP(D598,Prices,VLOOKUP(G598,move_down,2,FALSE()),FALSE())+VLOOKUP(G598,CHANGE,HLOOKUP(D598,CHANGE,2,FALSE()),FALSE())</f>
        <v>2.09</v>
      </c>
      <c r="L598" s="124" t="n">
        <f aca="false">K598+J598</f>
        <v>6.57</v>
      </c>
      <c r="M598" s="126" t="n">
        <f aca="false">VLOOKUP(G598,NGPrices,4,FALSE())</f>
        <v>0.068640161611372</v>
      </c>
      <c r="N598" s="7" t="n">
        <f aca="false">VLOOKUP(G598,NGPrices,3,FALSE())</f>
        <v>0.5925</v>
      </c>
      <c r="O598" s="7" t="n">
        <f aca="false">HLOOKUP(D598,VOLS,VLOOKUP(G598,move_down,2,FALSE()),FALSE())</f>
        <v>0.681</v>
      </c>
      <c r="P598" s="249" t="n">
        <f aca="false">HLOOKUP(D598,Correllate,VLOOKUP(G598,CorMove,2,FALSE()),FALSE())</f>
        <v>0.83</v>
      </c>
      <c r="Q598" s="92" t="n">
        <f aca="false">WORKDAY(G598,-2)</f>
        <v>36921</v>
      </c>
      <c r="R598" s="7" t="n">
        <f aca="false">IF(F598="P",0,1)</f>
        <v>1</v>
      </c>
      <c r="S598" s="130" t="e">
        <f aca="false">xSPRDOPT($L598,$J598,$I598,$M598,$O598,$N598,$P598,$Q598-$C$3,$R598,0)</f>
        <v>#NAME?</v>
      </c>
      <c r="T598" s="250" t="e">
        <f aca="false">xSPRDOPT($L598,$J598,$I598,$M598,$O598,$N598,$P598,$Q598-$C$3,$R598,1)*H598</f>
        <v>#NAME?</v>
      </c>
      <c r="U598" s="43" t="e">
        <f aca="false">S598*H598</f>
        <v>#NAME?</v>
      </c>
      <c r="V598" s="250" t="e">
        <f aca="false">xSPRDOPT($L598,$J598,$I598,$M598,$O598,$N598,$P598,$Q598-$C$3,$R598,2)*H598</f>
        <v>#NAME?</v>
      </c>
      <c r="W598" s="250" t="e">
        <f aca="false">+V598+T598</f>
        <v>#NAME?</v>
      </c>
      <c r="X598" s="2" t="str">
        <f aca="false">CONCATENATE(G598,D598)</f>
        <v>36923IF-TRANSCO/Z6</v>
      </c>
      <c r="Y598" s="251" t="n">
        <f aca="false">H598/10000</f>
        <v>-28</v>
      </c>
      <c r="Z598" s="226" t="e">
        <f aca="false">T598/H598</f>
        <v>#NAME?</v>
      </c>
      <c r="AA598" s="226" t="e">
        <f aca="false">xSPRDOPT($L598,$J598,$I598,$M598,$O598,$N598,$P598,$Q598-$C$3,$R598,3)</f>
        <v>#NAME?</v>
      </c>
      <c r="AB598" s="226" t="e">
        <f aca="false">((xSPRDOPT($L598+AB$5,$J598,$I598,$M598,$O598,$N598,$P598,$Q598-$C$3,$R598,3)*$H598)/10000)/100</f>
        <v>#NAME?</v>
      </c>
      <c r="AC598" s="226" t="e">
        <f aca="false">((xSPRDOPT($L598+$AB$5,$J598,$I598,$M598,$O598,$N598,$P598,$Q598-$C$3,$R598,7)*$H598)/100)</f>
        <v>#NAME?</v>
      </c>
      <c r="AD598" s="226" t="e">
        <f aca="false">(xSPRDOPT($L598+$AB$5,$J598,$I598,$M598,$O598,$N598,$P598,$Q598-$C$3,$R598,9)/365)*$H598</f>
        <v>#NAME?</v>
      </c>
      <c r="AE598" s="0" t="e">
        <f aca="false">CD599</f>
        <v>#NAME?</v>
      </c>
      <c r="AF598" s="226" t="e">
        <f aca="false">((O598/N598)*AH598)+AG598</f>
        <v>#NAME?</v>
      </c>
      <c r="AG598" s="226" t="e">
        <f aca="false">((xSPRDOPT($L598,$J598,$I598,$M598,$O598,$N598,$P598,$Q598-$C$3,$R598,6)*$H598)/100)</f>
        <v>#NAME?</v>
      </c>
      <c r="AH598" s="226" t="e">
        <f aca="false">((xSPRDOPT($L598,$J598,$I598,$M598,$O598,$N598,$P598,$Q598-$C$3,$R598,5)*$H598)/100)</f>
        <v>#NAME?</v>
      </c>
      <c r="AI598" s="226" t="e">
        <f aca="false">(((xSPRDOPT($L598,$J598,$I598,$M598,$O598,$N598,$P598,$Q598-$C$3,$R598,4)*$H598)/10000)/100)-AB598</f>
        <v>#NAME?</v>
      </c>
      <c r="AJ598" s="226"/>
      <c r="AK598" s="226"/>
      <c r="CC598" s="182" t="n">
        <f aca="false">G597</f>
        <v>36892</v>
      </c>
      <c r="CD598" s="253" t="e">
        <f aca="false">xSPRDOPT((VLOOKUP(G597,NGPrices,2,FALSE())+HLOOKUP(D597,Prices,VLOOKUP(G597,move_down,2,FALSE()),FALSE())),VLOOKUP(G597,NGPrices,2,FALSE()),I597,VLOOKUP(G597,NGPREVPRICES,4,FALSE()),HLOOKUP(D597,PREVVOLS,VLOOKUP(G597,MOVE_DOWN2,2,FALSE()),FALSE()),VLOOKUP(G597,NGPREVPRICES,3,FALSE()),HLOOKUP(D597,Correllate,VLOOKUP(G597,CorMove,2,FALSE()),FALSE()),Q597-$CD$3,R597,$CD$5)*H597-CJ598</f>
        <v>#NAME?</v>
      </c>
      <c r="CE598" s="253" t="e">
        <f aca="false">xSPRDOPT((VLOOKUP(G597,NGPREVPRICES,2,FALSE())+HLOOKUP(D597,PREVCURVES,VLOOKUP(G597,MOVE_DOWN2,2,FALSE()),FALSE())),VLOOKUP(G597,NGPREVPRICES,2,FALSE()),CK598,VLOOKUP(G597,NGPrices,4,FALSE()),HLOOKUP(D597,PREVVOLS,VLOOKUP(G597,MOVE_DOWN2,2,FALSE()),FALSE()),VLOOKUP(G597,NGPREVPRICES,3,FALSE()),HLOOKUP(D597,Correllate,VLOOKUP(G597,CorMove,2,FALSE()),FALSE()),Q597-$CD$3,R597,$CJ$5)*H597-CJ598</f>
        <v>#NAME?</v>
      </c>
      <c r="CF598" s="132" t="e">
        <f aca="false">(CJ598/VLOOKUP(CC598,discount,3,FALSE()))-(CJ598/VLOOKUP(CC598,discount,2,FALSE()))</f>
        <v>#NAME?</v>
      </c>
      <c r="CG598" s="253" t="e">
        <f aca="false">xSPRDOPT((VLOOKUP(G597,NGPREVPRICES,2,FALSE())+HLOOKUP(D597,PREVCURVES,VLOOKUP(G597,MOVE_DOWN2,2,FALSE()),FALSE())),VLOOKUP(G597,NGPREVPRICES,2,FALSE()),CK598,VLOOKUP(G597,NGPREVPRICES,4,FALSE()),HLOOKUP(D597,VOLS,VLOOKUP(G597,move_down,2,FALSE()),FALSE()),VLOOKUP(G597,NGPrices,3,FALSE()),HLOOKUP(D597,Correllate,VLOOKUP(G597,CorMove,2,FALSE()),FALSE()),Q597-$CD$3,R597,$CJ$5)*H597-CJ598</f>
        <v>#NAME?</v>
      </c>
      <c r="CH598" s="253" t="e">
        <f aca="false">xSPRDOPT((VLOOKUP(G597,NGPREVPRICES,2,FALSE())+HLOOKUP(D597,PREVCURVES,VLOOKUP(G597,MOVE_DOWN2,2,FALSE()),FALSE())),VLOOKUP(G597,NGPREVPRICES,2,FALSE()),CK598,VLOOKUP(G597,NGPREVPRICES,4,FALSE()),HLOOKUP(D597,PREVVOLS,VLOOKUP(G597,MOVE_DOWN2,2,FALSE()),FALSE()),VLOOKUP(G597,NGPREVPRICES,3,FALSE()),HLOOKUP(D597,Correllate,VLOOKUP(G597,CorMove,2,FALSE()),FALSE()),Q597-$C$3,R597,$CJ$5)*H597-CJ598</f>
        <v>#NAME?</v>
      </c>
      <c r="CI598" s="253" t="e">
        <f aca="false">SUM(CD598:CH598)</f>
        <v>#NAME?</v>
      </c>
      <c r="CJ598" s="253" t="e">
        <f aca="false">xSPRDOPT((VLOOKUP(G597,NGPREVPRICES,2,FALSE())+HLOOKUP(D597,PREVCURVES,VLOOKUP(G597,MOVE_DOWN2,2,FALSE()),FALSE())),VLOOKUP(G597,NGPREVPRICES,2,FALSE()),CK598,VLOOKUP(G597,NGPREVPRICES,4,FALSE()),HLOOKUP(D597,PREVVOLS,VLOOKUP(G597,MOVE_DOWN2,2,FALSE()),FALSE()),VLOOKUP(G597,NGPREVPRICES,3,FALSE()),HLOOKUP(D597,Correllate,VLOOKUP(G597,CorMove,2,FALSE()),FALSE()),Q597-$CD$3,R597,$CJ$5)*H597</f>
        <v>#NAME?</v>
      </c>
      <c r="CK598" s="254" t="n">
        <f aca="false">I597</f>
        <v>2.5</v>
      </c>
      <c r="CM598" s="0" t="str">
        <f aca="false">CONCATENATE(CC598,$CD$6)</f>
        <v>36892Curve Shift/Gamma</v>
      </c>
      <c r="CN598" s="0" t="str">
        <f aca="false">CONCATENATE($CC598,$CE$6)</f>
        <v>36892Rho</v>
      </c>
      <c r="CO598" s="0" t="str">
        <f aca="false">CONCATENATE($CC598,$CF$6)</f>
        <v>36892Drift</v>
      </c>
      <c r="CP598" s="0" t="str">
        <f aca="false">CONCATENATE($CC598,$CG$6)</f>
        <v>36892Vega</v>
      </c>
      <c r="CQ598" s="0" t="str">
        <f aca="false">CONCATENATE($CC598,$CH$6)</f>
        <v>36892Theta</v>
      </c>
    </row>
    <row r="599" customFormat="false" ht="12.75" hidden="false" customHeight="false" outlineLevel="0" collapsed="false">
      <c r="A599" s="17" t="s">
        <v>198</v>
      </c>
      <c r="B599" s="0" t="s">
        <v>192</v>
      </c>
      <c r="C599" s="0" t="s">
        <v>395</v>
      </c>
      <c r="D599" s="7" t="s">
        <v>149</v>
      </c>
      <c r="E599" s="0" t="s">
        <v>131</v>
      </c>
      <c r="F599" s="0" t="s">
        <v>136</v>
      </c>
      <c r="G599" s="92" t="n">
        <v>36951</v>
      </c>
      <c r="H599" s="248" t="n">
        <v>-310000</v>
      </c>
      <c r="I599" s="254" t="n">
        <v>2.5</v>
      </c>
      <c r="J599" s="124" t="n">
        <f aca="false">VLOOKUP(G599,NGPrices,2,FALSE())</f>
        <v>4.213</v>
      </c>
      <c r="K599" s="125" t="n">
        <f aca="false">HLOOKUP(D599,Prices,VLOOKUP(G599,move_down,2,FALSE()),FALSE())+VLOOKUP(G599,CHANGE,HLOOKUP(D599,CHANGE,2,FALSE()),FALSE())</f>
        <v>1.075</v>
      </c>
      <c r="L599" s="124" t="n">
        <f aca="false">K599+J599</f>
        <v>5.288</v>
      </c>
      <c r="M599" s="126" t="n">
        <f aca="false">VLOOKUP(G599,NGPrices,4,FALSE())</f>
        <v>0.068879814952707</v>
      </c>
      <c r="N599" s="7" t="n">
        <f aca="false">VLOOKUP(G599,NGPrices,3,FALSE())</f>
        <v>0.5325</v>
      </c>
      <c r="O599" s="7" t="n">
        <f aca="false">HLOOKUP(D599,VOLS,VLOOKUP(G599,move_down,2,FALSE()),FALSE())</f>
        <v>0.612</v>
      </c>
      <c r="P599" s="249" t="n">
        <f aca="false">HLOOKUP(D599,Correllate,VLOOKUP(G599,CorMove,2,FALSE()),FALSE())</f>
        <v>0.83</v>
      </c>
      <c r="Q599" s="92" t="n">
        <f aca="false">WORKDAY(G599,-2)</f>
        <v>36949</v>
      </c>
      <c r="R599" s="7" t="n">
        <f aca="false">IF(F599="P",0,1)</f>
        <v>1</v>
      </c>
      <c r="S599" s="130" t="e">
        <f aca="false">xSPRDOPT($L599,$J599,$I599,$M599,$O599,$N599,$P599,$Q599-$C$3,$R599,0)</f>
        <v>#NAME?</v>
      </c>
      <c r="T599" s="250" t="e">
        <f aca="false">xSPRDOPT($L599,$J599,$I599,$M599,$O599,$N599,$P599,$Q599-$C$3,$R599,1)*H599</f>
        <v>#NAME?</v>
      </c>
      <c r="U599" s="43" t="e">
        <f aca="false">S599*H599</f>
        <v>#NAME?</v>
      </c>
      <c r="V599" s="250" t="e">
        <f aca="false">xSPRDOPT($L599,$J599,$I599,$M599,$O599,$N599,$P599,$Q599-$C$3,$R599,2)*H599</f>
        <v>#NAME?</v>
      </c>
      <c r="W599" s="250" t="e">
        <f aca="false">+V599+T599</f>
        <v>#NAME?</v>
      </c>
      <c r="X599" s="2" t="str">
        <f aca="false">CONCATENATE(G599,D599)</f>
        <v>36951IF-TRANSCO/Z6</v>
      </c>
      <c r="Y599" s="251" t="n">
        <f aca="false">H599/10000</f>
        <v>-31</v>
      </c>
      <c r="Z599" s="226" t="e">
        <f aca="false">T599/H599</f>
        <v>#NAME?</v>
      </c>
      <c r="AA599" s="226" t="e">
        <f aca="false">xSPRDOPT($L599,$J599,$I599,$M599,$O599,$N599,$P599,$Q599-$C$3,$R599,3)</f>
        <v>#NAME?</v>
      </c>
      <c r="AB599" s="226" t="e">
        <f aca="false">((xSPRDOPT($L599+AB$5,$J599,$I599,$M599,$O599,$N599,$P599,$Q599-$C$3,$R599,3)*$H599)/10000)/100</f>
        <v>#NAME?</v>
      </c>
      <c r="AC599" s="226" t="e">
        <f aca="false">((xSPRDOPT($L599+$AB$5,$J599,$I599,$M599,$O599,$N599,$P599,$Q599-$C$3,$R599,7)*$H599)/100)</f>
        <v>#NAME?</v>
      </c>
      <c r="AD599" s="226" t="e">
        <f aca="false">(xSPRDOPT($L599+$AB$5,$J599,$I599,$M599,$O599,$N599,$P599,$Q599-$C$3,$R599,9)/365)*$H599</f>
        <v>#NAME?</v>
      </c>
      <c r="AE599" s="0" t="e">
        <f aca="false">CD600</f>
        <v>#NAME?</v>
      </c>
      <c r="AF599" s="226" t="e">
        <f aca="false">((O599/N599)*AH599)+AG599</f>
        <v>#NAME?</v>
      </c>
      <c r="AG599" s="226" t="e">
        <f aca="false">((xSPRDOPT($L599,$J599,$I599,$M599,$O599,$N599,$P599,$Q599-$C$3,$R599,6)*$H599)/100)</f>
        <v>#NAME?</v>
      </c>
      <c r="AH599" s="226" t="e">
        <f aca="false">((xSPRDOPT($L599,$J599,$I599,$M599,$O599,$N599,$P599,$Q599-$C$3,$R599,5)*$H599)/100)</f>
        <v>#NAME?</v>
      </c>
      <c r="AI599" s="226" t="e">
        <f aca="false">(((xSPRDOPT($L599,$J599,$I599,$M599,$O599,$N599,$P599,$Q599-$C$3,$R599,4)*$H599)/10000)/100)-AB599</f>
        <v>#NAME?</v>
      </c>
      <c r="AJ599" s="226"/>
      <c r="AK599" s="226"/>
      <c r="CC599" s="182" t="n">
        <f aca="false">G598</f>
        <v>36923</v>
      </c>
      <c r="CD599" s="253" t="e">
        <f aca="false">xSPRDOPT((VLOOKUP(G598,NGPrices,2,FALSE())+HLOOKUP(D598,Prices,VLOOKUP(G598,move_down,2,FALSE()),FALSE())),VLOOKUP(G598,NGPrices,2,FALSE()),I598,VLOOKUP(G598,NGPREVPRICES,4,FALSE()),HLOOKUP(D598,PREVVOLS,VLOOKUP(G598,MOVE_DOWN2,2,FALSE()),FALSE()),VLOOKUP(G598,NGPREVPRICES,3,FALSE()),HLOOKUP(D598,Correllate,VLOOKUP(G598,CorMove,2,FALSE()),FALSE()),Q598-$CD$3,R598,$CD$5)*H598-CJ599</f>
        <v>#NAME?</v>
      </c>
      <c r="CE599" s="253" t="e">
        <f aca="false">xSPRDOPT((VLOOKUP(G598,NGPREVPRICES,2,FALSE())+HLOOKUP(D598,PREVCURVES,VLOOKUP(G598,MOVE_DOWN2,2,FALSE()),FALSE())),VLOOKUP(G598,NGPREVPRICES,2,FALSE()),CK599,VLOOKUP(G598,NGPrices,4,FALSE()),HLOOKUP(D598,PREVVOLS,VLOOKUP(G598,MOVE_DOWN2,2,FALSE()),FALSE()),VLOOKUP(G598,NGPREVPRICES,3,FALSE()),HLOOKUP(D598,Correllate,VLOOKUP(G598,CorMove,2,FALSE()),FALSE()),Q598-$CD$3,R598,$CJ$5)*H598-CJ599</f>
        <v>#NAME?</v>
      </c>
      <c r="CF599" s="132" t="e">
        <f aca="false">(CJ599/VLOOKUP(CC599,discount,3,FALSE()))-(CJ599/VLOOKUP(CC599,discount,2,FALSE()))</f>
        <v>#NAME?</v>
      </c>
      <c r="CG599" s="253" t="e">
        <f aca="false">xSPRDOPT((VLOOKUP(G598,NGPREVPRICES,2,FALSE())+HLOOKUP(D598,PREVCURVES,VLOOKUP(G598,MOVE_DOWN2,2,FALSE()),FALSE())),VLOOKUP(G598,NGPREVPRICES,2,FALSE()),CK599,VLOOKUP(G598,NGPREVPRICES,4,FALSE()),HLOOKUP(D598,VOLS,VLOOKUP(G598,move_down,2,FALSE()),FALSE()),VLOOKUP(G598,NGPrices,3,FALSE()),HLOOKUP(D598,Correllate,VLOOKUP(G598,CorMove,2,FALSE()),FALSE()),Q598-$CD$3,R598,$CJ$5)*H598-CJ599</f>
        <v>#NAME?</v>
      </c>
      <c r="CH599" s="253" t="e">
        <f aca="false">xSPRDOPT((VLOOKUP(G598,NGPREVPRICES,2,FALSE())+HLOOKUP(D598,PREVCURVES,VLOOKUP(G598,MOVE_DOWN2,2,FALSE()),FALSE())),VLOOKUP(G598,NGPREVPRICES,2,FALSE()),CK599,VLOOKUP(G598,NGPREVPRICES,4,FALSE()),HLOOKUP(D598,PREVVOLS,VLOOKUP(G598,MOVE_DOWN2,2,FALSE()),FALSE()),VLOOKUP(G598,NGPREVPRICES,3,FALSE()),HLOOKUP(D598,Correllate,VLOOKUP(G598,CorMove,2,FALSE()),FALSE()),Q598-$C$3,R598,$CJ$5)*H598-CJ599</f>
        <v>#NAME?</v>
      </c>
      <c r="CI599" s="253" t="e">
        <f aca="false">SUM(CD599:CH599)</f>
        <v>#NAME?</v>
      </c>
      <c r="CJ599" s="253" t="e">
        <f aca="false">xSPRDOPT((VLOOKUP(G598,NGPREVPRICES,2,FALSE())+HLOOKUP(D598,PREVCURVES,VLOOKUP(G598,MOVE_DOWN2,2,FALSE()),FALSE())),VLOOKUP(G598,NGPREVPRICES,2,FALSE()),CK599,VLOOKUP(G598,NGPREVPRICES,4,FALSE()),HLOOKUP(D598,PREVVOLS,VLOOKUP(G598,MOVE_DOWN2,2,FALSE()),FALSE()),VLOOKUP(G598,NGPREVPRICES,3,FALSE()),HLOOKUP(D598,Correllate,VLOOKUP(G598,CorMove,2,FALSE()),FALSE()),Q598-$CD$3,R598,$CJ$5)*H598</f>
        <v>#NAME?</v>
      </c>
      <c r="CK599" s="254" t="n">
        <f aca="false">I598</f>
        <v>2.5</v>
      </c>
      <c r="CM599" s="0" t="str">
        <f aca="false">CONCATENATE(CC599,$CD$6)</f>
        <v>36923Curve Shift/Gamma</v>
      </c>
      <c r="CN599" s="0" t="str">
        <f aca="false">CONCATENATE($CC599,$CE$6)</f>
        <v>36923Rho</v>
      </c>
      <c r="CO599" s="0" t="str">
        <f aca="false">CONCATENATE($CC599,$CF$6)</f>
        <v>36923Drift</v>
      </c>
      <c r="CP599" s="0" t="str">
        <f aca="false">CONCATENATE($CC599,$CG$6)</f>
        <v>36923Vega</v>
      </c>
      <c r="CQ599" s="0" t="str">
        <f aca="false">CONCATENATE($CC599,$CH$6)</f>
        <v>36923Theta</v>
      </c>
    </row>
    <row r="600" customFormat="false" ht="12.75" hidden="false" customHeight="false" outlineLevel="0" collapsed="false">
      <c r="A600" s="17" t="s">
        <v>198</v>
      </c>
      <c r="B600" s="0" t="s">
        <v>192</v>
      </c>
      <c r="C600" s="0" t="s">
        <v>396</v>
      </c>
      <c r="D600" s="7" t="s">
        <v>149</v>
      </c>
      <c r="E600" s="0" t="s">
        <v>131</v>
      </c>
      <c r="F600" s="0" t="s">
        <v>136</v>
      </c>
      <c r="G600" s="92" t="n">
        <v>36831</v>
      </c>
      <c r="H600" s="248" t="n">
        <v>-500000</v>
      </c>
      <c r="I600" s="254" t="n">
        <v>1.52</v>
      </c>
      <c r="J600" s="124" t="n">
        <f aca="false">VLOOKUP(G600,NGPrices,2,FALSE())</f>
        <v>4.736</v>
      </c>
      <c r="K600" s="125" t="n">
        <f aca="false">HLOOKUP(D600,Prices,VLOOKUP(G600,move_down,2,FALSE()),FALSE())+VLOOKUP(G600,CHANGE,HLOOKUP(D600,CHANGE,2,FALSE()),FALSE())</f>
        <v>0.77</v>
      </c>
      <c r="L600" s="124" t="n">
        <f aca="false">K600+J600</f>
        <v>5.506</v>
      </c>
      <c r="M600" s="126" t="n">
        <f aca="false">VLOOKUP(G600,NGPrices,4,FALSE())</f>
        <v>0.06810675983792</v>
      </c>
      <c r="N600" s="7" t="n">
        <f aca="false">VLOOKUP(G600,NGPrices,3,FALSE())</f>
        <v>0.595</v>
      </c>
      <c r="O600" s="7" t="n">
        <f aca="false">HLOOKUP(D600,VOLS,VLOOKUP(G600,move_down,2,FALSE()),FALSE())</f>
        <v>0.625</v>
      </c>
      <c r="P600" s="249" t="n">
        <f aca="false">HLOOKUP(D600,Correllate,VLOOKUP(G600,CorMove,2,FALSE()),FALSE())</f>
        <v>0.89</v>
      </c>
      <c r="Q600" s="92" t="n">
        <f aca="false">WORKDAY(G600,-2)</f>
        <v>36829</v>
      </c>
      <c r="R600" s="7" t="n">
        <f aca="false">IF(F600="P",0,1)</f>
        <v>1</v>
      </c>
      <c r="S600" s="130" t="e">
        <f aca="false">xSPRDOPT($L600,$J600,$I600,$M600,$O600,$N600,$P600,$Q600-$C$3,$R600,0)</f>
        <v>#NAME?</v>
      </c>
      <c r="T600" s="250" t="e">
        <f aca="false">xSPRDOPT($L600,$J600,$I600,$M600,$O600,$N600,$P600,$Q600-$C$3,$R600,1)*H600</f>
        <v>#NAME?</v>
      </c>
      <c r="U600" s="43" t="e">
        <f aca="false">S600*H600</f>
        <v>#NAME?</v>
      </c>
      <c r="V600" s="250" t="e">
        <f aca="false">xSPRDOPT($L600,$J600,$I600,$M600,$O600,$N600,$P600,$Q600-$C$3,$R600,2)*H600</f>
        <v>#NAME?</v>
      </c>
      <c r="W600" s="250" t="e">
        <f aca="false">+V600+T600</f>
        <v>#NAME?</v>
      </c>
      <c r="X600" s="2" t="str">
        <f aca="false">CONCATENATE(G600,D600)</f>
        <v>36831IF-TRANSCO/Z6</v>
      </c>
      <c r="Y600" s="251" t="n">
        <f aca="false">H600/10000</f>
        <v>-50</v>
      </c>
      <c r="Z600" s="226" t="e">
        <f aca="false">T600/H600</f>
        <v>#NAME?</v>
      </c>
      <c r="AA600" s="226" t="e">
        <f aca="false">xSPRDOPT($L600,$J600,$I600,$M600,$O600,$N600,$P600,$Q600-$C$3,$R600,3)</f>
        <v>#NAME?</v>
      </c>
      <c r="AB600" s="226" t="e">
        <f aca="false">((xSPRDOPT($L600+AB$5,$J600,$I600,$M600,$O600,$N600,$P600,$Q600-$C$3,$R600,3)*$H600)/10000)/100</f>
        <v>#NAME?</v>
      </c>
      <c r="AC600" s="226" t="e">
        <f aca="false">((xSPRDOPT($L600+$AB$5,$J600,$I600,$M600,$O600,$N600,$P600,$Q600-$C$3,$R600,7)*$H600)/100)</f>
        <v>#NAME?</v>
      </c>
      <c r="AD600" s="226" t="e">
        <f aca="false">(xSPRDOPT($L600+$AB$5,$J600,$I600,$M600,$O600,$N600,$P600,$Q600-$C$3,$R600,9)/365)*$H600</f>
        <v>#NAME?</v>
      </c>
      <c r="AE600" s="0" t="e">
        <f aca="false">CD601</f>
        <v>#NAME?</v>
      </c>
      <c r="AF600" s="226" t="e">
        <f aca="false">((O600/N600)*AH600)+AG600</f>
        <v>#NAME?</v>
      </c>
      <c r="AG600" s="226" t="e">
        <f aca="false">((xSPRDOPT($L600,$J600,$I600,$M600,$O600,$N600,$P600,$Q600-$C$3,$R600,6)*$H600)/100)</f>
        <v>#NAME?</v>
      </c>
      <c r="AH600" s="226" t="e">
        <f aca="false">((xSPRDOPT($L600,$J600,$I600,$M600,$O600,$N600,$P600,$Q600-$C$3,$R600,5)*$H600)/100)</f>
        <v>#NAME?</v>
      </c>
      <c r="AI600" s="226" t="e">
        <f aca="false">(((xSPRDOPT($L600,$J600,$I600,$M600,$O600,$N600,$P600,$Q600-$C$3,$R600,4)*$H600)/10000)/100)-AB600</f>
        <v>#NAME?</v>
      </c>
      <c r="AJ600" s="226"/>
      <c r="AK600" s="226"/>
      <c r="CC600" s="182" t="n">
        <f aca="false">G599</f>
        <v>36951</v>
      </c>
      <c r="CD600" s="253" t="e">
        <f aca="false">xSPRDOPT((VLOOKUP(G599,NGPrices,2,FALSE())+HLOOKUP(D599,Prices,VLOOKUP(G599,move_down,2,FALSE()),FALSE())),VLOOKUP(G599,NGPrices,2,FALSE()),I599,VLOOKUP(G599,NGPREVPRICES,4,FALSE()),HLOOKUP(D599,PREVVOLS,VLOOKUP(G599,MOVE_DOWN2,2,FALSE()),FALSE()),VLOOKUP(G599,NGPREVPRICES,3,FALSE()),HLOOKUP(D599,Correllate,VLOOKUP(G599,CorMove,2,FALSE()),FALSE()),Q599-$CD$3,R599,$CD$5)*H599-CJ600</f>
        <v>#NAME?</v>
      </c>
      <c r="CE600" s="253" t="e">
        <f aca="false">xSPRDOPT((VLOOKUP(G599,NGPREVPRICES,2,FALSE())+HLOOKUP(D599,PREVCURVES,VLOOKUP(G599,MOVE_DOWN2,2,FALSE()),FALSE())),VLOOKUP(G599,NGPREVPRICES,2,FALSE()),CK600,VLOOKUP(G599,NGPrices,4,FALSE()),HLOOKUP(D599,PREVVOLS,VLOOKUP(G599,MOVE_DOWN2,2,FALSE()),FALSE()),VLOOKUP(G599,NGPREVPRICES,3,FALSE()),HLOOKUP(D599,Correllate,VLOOKUP(G599,CorMove,2,FALSE()),FALSE()),Q599-$CD$3,R599,$CJ$5)*H599-CJ600</f>
        <v>#NAME?</v>
      </c>
      <c r="CF600" s="132" t="e">
        <f aca="false">(CJ600/VLOOKUP(CC600,discount,3,FALSE()))-(CJ600/VLOOKUP(CC600,discount,2,FALSE()))</f>
        <v>#NAME?</v>
      </c>
      <c r="CG600" s="253" t="e">
        <f aca="false">xSPRDOPT((VLOOKUP(G599,NGPREVPRICES,2,FALSE())+HLOOKUP(D599,PREVCURVES,VLOOKUP(G599,MOVE_DOWN2,2,FALSE()),FALSE())),VLOOKUP(G599,NGPREVPRICES,2,FALSE()),CK600,VLOOKUP(G599,NGPREVPRICES,4,FALSE()),HLOOKUP(D599,VOLS,VLOOKUP(G599,move_down,2,FALSE()),FALSE()),VLOOKUP(G599,NGPrices,3,FALSE()),HLOOKUP(D599,Correllate,VLOOKUP(G599,CorMove,2,FALSE()),FALSE()),Q599-$CD$3,R599,$CJ$5)*H599-CJ600</f>
        <v>#NAME?</v>
      </c>
      <c r="CH600" s="253" t="e">
        <f aca="false">xSPRDOPT((VLOOKUP(G599,NGPREVPRICES,2,FALSE())+HLOOKUP(D599,PREVCURVES,VLOOKUP(G599,MOVE_DOWN2,2,FALSE()),FALSE())),VLOOKUP(G599,NGPREVPRICES,2,FALSE()),CK600,VLOOKUP(G599,NGPREVPRICES,4,FALSE()),HLOOKUP(D599,PREVVOLS,VLOOKUP(G599,MOVE_DOWN2,2,FALSE()),FALSE()),VLOOKUP(G599,NGPREVPRICES,3,FALSE()),HLOOKUP(D599,Correllate,VLOOKUP(G599,CorMove,2,FALSE()),FALSE()),Q599-$C$3,R599,$CJ$5)*H599-CJ600</f>
        <v>#NAME?</v>
      </c>
      <c r="CI600" s="253" t="e">
        <f aca="false">SUM(CD600:CH600)</f>
        <v>#NAME?</v>
      </c>
      <c r="CJ600" s="253" t="e">
        <f aca="false">xSPRDOPT((VLOOKUP(G599,NGPREVPRICES,2,FALSE())+HLOOKUP(D599,PREVCURVES,VLOOKUP(G599,MOVE_DOWN2,2,FALSE()),FALSE())),VLOOKUP(G599,NGPREVPRICES,2,FALSE()),CK600,VLOOKUP(G599,NGPREVPRICES,4,FALSE()),HLOOKUP(D599,PREVVOLS,VLOOKUP(G599,MOVE_DOWN2,2,FALSE()),FALSE()),VLOOKUP(G599,NGPREVPRICES,3,FALSE()),HLOOKUP(D599,Correllate,VLOOKUP(G599,CorMove,2,FALSE()),FALSE()),Q599-$CD$3,R599,$CJ$5)*H599</f>
        <v>#NAME?</v>
      </c>
      <c r="CK600" s="254" t="n">
        <f aca="false">I599</f>
        <v>2.5</v>
      </c>
      <c r="CM600" s="0" t="str">
        <f aca="false">CONCATENATE(CC600,$CD$6)</f>
        <v>36951Curve Shift/Gamma</v>
      </c>
      <c r="CN600" s="0" t="str">
        <f aca="false">CONCATENATE($CC600,$CE$6)</f>
        <v>36951Rho</v>
      </c>
      <c r="CO600" s="0" t="str">
        <f aca="false">CONCATENATE($CC600,$CF$6)</f>
        <v>36951Drift</v>
      </c>
      <c r="CP600" s="0" t="str">
        <f aca="false">CONCATENATE($CC600,$CG$6)</f>
        <v>36951Vega</v>
      </c>
      <c r="CQ600" s="0" t="str">
        <f aca="false">CONCATENATE($CC600,$CH$6)</f>
        <v>36951Theta</v>
      </c>
    </row>
    <row r="601" customFormat="false" ht="12.75" hidden="false" customHeight="false" outlineLevel="0" collapsed="false">
      <c r="A601" s="17" t="s">
        <v>198</v>
      </c>
      <c r="B601" s="0" t="s">
        <v>192</v>
      </c>
      <c r="C601" s="0" t="s">
        <v>396</v>
      </c>
      <c r="D601" s="7" t="s">
        <v>149</v>
      </c>
      <c r="E601" s="0" t="s">
        <v>131</v>
      </c>
      <c r="F601" s="0" t="s">
        <v>136</v>
      </c>
      <c r="G601" s="92" t="n">
        <v>36861</v>
      </c>
      <c r="H601" s="248" t="n">
        <v>-500000</v>
      </c>
      <c r="I601" s="254" t="n">
        <v>1.52</v>
      </c>
      <c r="J601" s="124" t="n">
        <f aca="false">VLOOKUP(G601,NGPrices,2,FALSE())</f>
        <v>4.8</v>
      </c>
      <c r="K601" s="125" t="n">
        <f aca="false">HLOOKUP(D601,Prices,VLOOKUP(G601,move_down,2,FALSE()),FALSE())+VLOOKUP(G601,CHANGE,HLOOKUP(D601,CHANGE,2,FALSE()),FALSE())</f>
        <v>1.645</v>
      </c>
      <c r="L601" s="124" t="n">
        <f aca="false">K601+J601</f>
        <v>6.445</v>
      </c>
      <c r="M601" s="126" t="n">
        <f aca="false">VLOOKUP(G601,NGPrices,4,FALSE())</f>
        <v>0.068314027999354</v>
      </c>
      <c r="N601" s="7" t="n">
        <f aca="false">VLOOKUP(G601,NGPrices,3,FALSE())</f>
        <v>0.6</v>
      </c>
      <c r="O601" s="7" t="n">
        <f aca="false">HLOOKUP(D601,VOLS,VLOOKUP(G601,move_down,2,FALSE()),FALSE())</f>
        <v>0.69</v>
      </c>
      <c r="P601" s="249" t="n">
        <f aca="false">HLOOKUP(D601,Correllate,VLOOKUP(G601,CorMove,2,FALSE()),FALSE())</f>
        <v>0.83</v>
      </c>
      <c r="Q601" s="92" t="n">
        <f aca="false">WORKDAY(G601,-2)</f>
        <v>36859</v>
      </c>
      <c r="R601" s="7" t="n">
        <f aca="false">IF(F601="P",0,1)</f>
        <v>1</v>
      </c>
      <c r="S601" s="130" t="e">
        <f aca="false">xSPRDOPT($L601,$J601,$I601,$M601,$O601,$N601,$P601,$Q601-$C$3,$R601,0)</f>
        <v>#NAME?</v>
      </c>
      <c r="T601" s="250" t="e">
        <f aca="false">xSPRDOPT($L601,$J601,$I601,$M601,$O601,$N601,$P601,$Q601-$C$3,$R601,1)*H601</f>
        <v>#NAME?</v>
      </c>
      <c r="U601" s="43" t="e">
        <f aca="false">S601*H601</f>
        <v>#NAME?</v>
      </c>
      <c r="V601" s="250" t="e">
        <f aca="false">xSPRDOPT($L601,$J601,$I601,$M601,$O601,$N601,$P601,$Q601-$C$3,$R601,2)*H601</f>
        <v>#NAME?</v>
      </c>
      <c r="W601" s="250" t="e">
        <f aca="false">+V601+T601</f>
        <v>#NAME?</v>
      </c>
      <c r="X601" s="2" t="str">
        <f aca="false">CONCATENATE(G601,D601)</f>
        <v>36861IF-TRANSCO/Z6</v>
      </c>
      <c r="Y601" s="251" t="n">
        <f aca="false">H601/10000</f>
        <v>-50</v>
      </c>
      <c r="Z601" s="226" t="e">
        <f aca="false">T601/H601</f>
        <v>#NAME?</v>
      </c>
      <c r="AA601" s="226" t="e">
        <f aca="false">xSPRDOPT($L601,$J601,$I601,$M601,$O601,$N601,$P601,$Q601-$C$3,$R601,3)</f>
        <v>#NAME?</v>
      </c>
      <c r="AB601" s="226" t="e">
        <f aca="false">((xSPRDOPT($L601+AB$5,$J601,$I601,$M601,$O601,$N601,$P601,$Q601-$C$3,$R601,3)*$H601)/10000)/100</f>
        <v>#NAME?</v>
      </c>
      <c r="AC601" s="226" t="e">
        <f aca="false">((xSPRDOPT($L601+$AB$5,$J601,$I601,$M601,$O601,$N601,$P601,$Q601-$C$3,$R601,7)*$H601)/100)</f>
        <v>#NAME?</v>
      </c>
      <c r="AD601" s="226" t="e">
        <f aca="false">(xSPRDOPT($L601+$AB$5,$J601,$I601,$M601,$O601,$N601,$P601,$Q601-$C$3,$R601,9)/365)*$H601</f>
        <v>#NAME?</v>
      </c>
      <c r="AE601" s="0" t="e">
        <f aca="false">CD602</f>
        <v>#NAME?</v>
      </c>
      <c r="AF601" s="226" t="e">
        <f aca="false">((O601/N601)*AH601)+AG601</f>
        <v>#NAME?</v>
      </c>
      <c r="AG601" s="226" t="e">
        <f aca="false">((xSPRDOPT($L601,$J601,$I601,$M601,$O601,$N601,$P601,$Q601-$C$3,$R601,6)*$H601)/100)</f>
        <v>#NAME?</v>
      </c>
      <c r="AH601" s="226" t="e">
        <f aca="false">((xSPRDOPT($L601,$J601,$I601,$M601,$O601,$N601,$P601,$Q601-$C$3,$R601,5)*$H601)/100)</f>
        <v>#NAME?</v>
      </c>
      <c r="AI601" s="226" t="e">
        <f aca="false">(((xSPRDOPT($L601,$J601,$I601,$M601,$O601,$N601,$P601,$Q601-$C$3,$R601,4)*$H601)/10000)/100)-AB601</f>
        <v>#NAME?</v>
      </c>
      <c r="AJ601" s="226"/>
      <c r="AK601" s="226"/>
      <c r="CC601" s="182" t="n">
        <f aca="false">G600</f>
        <v>36831</v>
      </c>
      <c r="CD601" s="253" t="e">
        <f aca="false">xSPRDOPT((VLOOKUP(G600,NGPrices,2,FALSE())+HLOOKUP(D600,Prices,VLOOKUP(G600,move_down,2,FALSE()),FALSE())),VLOOKUP(G600,NGPrices,2,FALSE()),I600,VLOOKUP(G600,NGPREVPRICES,4,FALSE()),HLOOKUP(D600,PREVVOLS,VLOOKUP(G600,MOVE_DOWN2,2,FALSE()),FALSE()),VLOOKUP(G600,NGPREVPRICES,3,FALSE()),HLOOKUP(D600,Correllate,VLOOKUP(G600,CorMove,2,FALSE()),FALSE()),Q600-$CD$3,R600,$CD$5)*H600-CJ601</f>
        <v>#NAME?</v>
      </c>
      <c r="CE601" s="253" t="e">
        <f aca="false">xSPRDOPT((VLOOKUP(G600,NGPREVPRICES,2,FALSE())+HLOOKUP(D600,PREVCURVES,VLOOKUP(G600,MOVE_DOWN2,2,FALSE()),FALSE())),VLOOKUP(G600,NGPREVPRICES,2,FALSE()),CK601,VLOOKUP(G600,NGPrices,4,FALSE()),HLOOKUP(D600,PREVVOLS,VLOOKUP(G600,MOVE_DOWN2,2,FALSE()),FALSE()),VLOOKUP(G600,NGPREVPRICES,3,FALSE()),HLOOKUP(D600,Correllate,VLOOKUP(G600,CorMove,2,FALSE()),FALSE()),Q600-$CD$3,R600,$CJ$5)*H600-CJ601</f>
        <v>#NAME?</v>
      </c>
      <c r="CF601" s="132" t="e">
        <f aca="false">(CJ601/VLOOKUP(CC601,discount,3,FALSE()))-(CJ601/VLOOKUP(CC601,discount,2,FALSE()))</f>
        <v>#NAME?</v>
      </c>
      <c r="CG601" s="253" t="e">
        <f aca="false">xSPRDOPT((VLOOKUP(G600,NGPREVPRICES,2,FALSE())+HLOOKUP(D600,PREVCURVES,VLOOKUP(G600,MOVE_DOWN2,2,FALSE()),FALSE())),VLOOKUP(G600,NGPREVPRICES,2,FALSE()),CK601,VLOOKUP(G600,NGPREVPRICES,4,FALSE()),HLOOKUP(D600,VOLS,VLOOKUP(G600,move_down,2,FALSE()),FALSE()),VLOOKUP(G600,NGPrices,3,FALSE()),HLOOKUP(D600,Correllate,VLOOKUP(G600,CorMove,2,FALSE()),FALSE()),Q600-$CD$3,R600,$CJ$5)*H600-CJ601</f>
        <v>#NAME?</v>
      </c>
      <c r="CH601" s="253" t="e">
        <f aca="false">xSPRDOPT((VLOOKUP(G600,NGPREVPRICES,2,FALSE())+HLOOKUP(D600,PREVCURVES,VLOOKUP(G600,MOVE_DOWN2,2,FALSE()),FALSE())),VLOOKUP(G600,NGPREVPRICES,2,FALSE()),CK601,VLOOKUP(G600,NGPREVPRICES,4,FALSE()),HLOOKUP(D600,PREVVOLS,VLOOKUP(G600,MOVE_DOWN2,2,FALSE()),FALSE()),VLOOKUP(G600,NGPREVPRICES,3,FALSE()),HLOOKUP(D600,Correllate,VLOOKUP(G600,CorMove,2,FALSE()),FALSE()),Q600-$C$3,R600,$CJ$5)*H600-CJ601</f>
        <v>#NAME?</v>
      </c>
      <c r="CI601" s="253" t="e">
        <f aca="false">SUM(CD601:CH601)</f>
        <v>#NAME?</v>
      </c>
      <c r="CJ601" s="253" t="e">
        <f aca="false">xSPRDOPT((VLOOKUP(G600,NGPREVPRICES,2,FALSE())+HLOOKUP(D600,PREVCURVES,VLOOKUP(G600,MOVE_DOWN2,2,FALSE()),FALSE())),VLOOKUP(G600,NGPREVPRICES,2,FALSE()),CK601,VLOOKUP(G600,NGPREVPRICES,4,FALSE()),HLOOKUP(D600,PREVVOLS,VLOOKUP(G600,MOVE_DOWN2,2,FALSE()),FALSE()),VLOOKUP(G600,NGPREVPRICES,3,FALSE()),HLOOKUP(D600,Correllate,VLOOKUP(G600,CorMove,2,FALSE()),FALSE()),Q600-$CD$3,R600,$CJ$5)*H600</f>
        <v>#NAME?</v>
      </c>
      <c r="CK601" s="254" t="n">
        <f aca="false">I600</f>
        <v>1.52</v>
      </c>
      <c r="CM601" s="0" t="str">
        <f aca="false">CONCATENATE(CC601,$CD$6)</f>
        <v>36831Curve Shift/Gamma</v>
      </c>
      <c r="CN601" s="0" t="str">
        <f aca="false">CONCATENATE($CC601,$CE$6)</f>
        <v>36831Rho</v>
      </c>
      <c r="CO601" s="0" t="str">
        <f aca="false">CONCATENATE($CC601,$CF$6)</f>
        <v>36831Drift</v>
      </c>
      <c r="CP601" s="0" t="str">
        <f aca="false">CONCATENATE($CC601,$CG$6)</f>
        <v>36831Vega</v>
      </c>
      <c r="CQ601" s="0" t="str">
        <f aca="false">CONCATENATE($CC601,$CH$6)</f>
        <v>36831Theta</v>
      </c>
    </row>
    <row r="602" customFormat="false" ht="12.75" hidden="false" customHeight="false" outlineLevel="0" collapsed="false">
      <c r="A602" s="17" t="s">
        <v>198</v>
      </c>
      <c r="B602" s="0" t="s">
        <v>192</v>
      </c>
      <c r="C602" s="0" t="s">
        <v>396</v>
      </c>
      <c r="D602" s="7" t="s">
        <v>149</v>
      </c>
      <c r="E602" s="0" t="s">
        <v>131</v>
      </c>
      <c r="F602" s="0" t="s">
        <v>136</v>
      </c>
      <c r="G602" s="92" t="n">
        <v>36892</v>
      </c>
      <c r="H602" s="248" t="n">
        <v>-500000</v>
      </c>
      <c r="I602" s="254" t="n">
        <v>1.52</v>
      </c>
      <c r="J602" s="124" t="n">
        <f aca="false">VLOOKUP(G602,NGPrices,2,FALSE())</f>
        <v>4.744</v>
      </c>
      <c r="K602" s="125" t="n">
        <f aca="false">HLOOKUP(D602,Prices,VLOOKUP(G602,move_down,2,FALSE()),FALSE())+VLOOKUP(G602,CHANGE,HLOOKUP(D602,CHANGE,2,FALSE()),FALSE())</f>
        <v>2.17</v>
      </c>
      <c r="L602" s="124" t="n">
        <f aca="false">K602+J602</f>
        <v>6.914</v>
      </c>
      <c r="M602" s="126" t="n">
        <f aca="false">VLOOKUP(G602,NGPrices,4,FALSE())</f>
        <v>0.068374831148491</v>
      </c>
      <c r="N602" s="7" t="n">
        <f aca="false">VLOOKUP(G602,NGPrices,3,FALSE())</f>
        <v>0.605</v>
      </c>
      <c r="O602" s="7" t="n">
        <f aca="false">HLOOKUP(D602,VOLS,VLOOKUP(G602,move_down,2,FALSE()),FALSE())</f>
        <v>0.696</v>
      </c>
      <c r="P602" s="249" t="n">
        <f aca="false">HLOOKUP(D602,Correllate,VLOOKUP(G602,CorMove,2,FALSE()),FALSE())</f>
        <v>0.83</v>
      </c>
      <c r="Q602" s="92" t="n">
        <f aca="false">WORKDAY(G602,-2)</f>
        <v>36888</v>
      </c>
      <c r="R602" s="7" t="n">
        <f aca="false">IF(F602="P",0,1)</f>
        <v>1</v>
      </c>
      <c r="S602" s="130" t="e">
        <f aca="false">xSPRDOPT($L602,$J602,$I602,$M602,$O602,$N602,$P602,$Q602-$C$3,$R602,0)</f>
        <v>#NAME?</v>
      </c>
      <c r="T602" s="250" t="e">
        <f aca="false">xSPRDOPT($L602,$J602,$I602,$M602,$O602,$N602,$P602,$Q602-$C$3,$R602,1)*H602</f>
        <v>#NAME?</v>
      </c>
      <c r="U602" s="43" t="e">
        <f aca="false">S602*H602</f>
        <v>#NAME?</v>
      </c>
      <c r="V602" s="250" t="e">
        <f aca="false">xSPRDOPT($L602,$J602,$I602,$M602,$O602,$N602,$P602,$Q602-$C$3,$R602,2)*H602</f>
        <v>#NAME?</v>
      </c>
      <c r="W602" s="250" t="e">
        <f aca="false">+V602+T602</f>
        <v>#NAME?</v>
      </c>
      <c r="X602" s="2" t="str">
        <f aca="false">CONCATENATE(G602,D602)</f>
        <v>36892IF-TRANSCO/Z6</v>
      </c>
      <c r="Y602" s="251" t="n">
        <f aca="false">H602/10000</f>
        <v>-50</v>
      </c>
      <c r="Z602" s="226" t="e">
        <f aca="false">T602/H602</f>
        <v>#NAME?</v>
      </c>
      <c r="AA602" s="226" t="e">
        <f aca="false">xSPRDOPT($L602,$J602,$I602,$M602,$O602,$N602,$P602,$Q602-$C$3,$R602,3)</f>
        <v>#NAME?</v>
      </c>
      <c r="AB602" s="226" t="e">
        <f aca="false">((xSPRDOPT($L602+AB$5,$J602,$I602,$M602,$O602,$N602,$P602,$Q602-$C$3,$R602,3)*$H602)/10000)/100</f>
        <v>#NAME?</v>
      </c>
      <c r="AC602" s="226" t="e">
        <f aca="false">((xSPRDOPT($L602+$AB$5,$J602,$I602,$M602,$O602,$N602,$P602,$Q602-$C$3,$R602,7)*$H602)/100)</f>
        <v>#NAME?</v>
      </c>
      <c r="AD602" s="226" t="e">
        <f aca="false">(xSPRDOPT($L602+$AB$5,$J602,$I602,$M602,$O602,$N602,$P602,$Q602-$C$3,$R602,9)/365)*$H602</f>
        <v>#NAME?</v>
      </c>
      <c r="AE602" s="0" t="e">
        <f aca="false">CD603</f>
        <v>#NAME?</v>
      </c>
      <c r="AF602" s="226" t="e">
        <f aca="false">((O602/N602)*AH602)+AG602</f>
        <v>#NAME?</v>
      </c>
      <c r="AG602" s="226" t="e">
        <f aca="false">((xSPRDOPT($L602,$J602,$I602,$M602,$O602,$N602,$P602,$Q602-$C$3,$R602,6)*$H602)/100)</f>
        <v>#NAME?</v>
      </c>
      <c r="AH602" s="226" t="e">
        <f aca="false">((xSPRDOPT($L602,$J602,$I602,$M602,$O602,$N602,$P602,$Q602-$C$3,$R602,5)*$H602)/100)</f>
        <v>#NAME?</v>
      </c>
      <c r="AI602" s="226" t="e">
        <f aca="false">(((xSPRDOPT($L602,$J602,$I602,$M602,$O602,$N602,$P602,$Q602-$C$3,$R602,4)*$H602)/10000)/100)-AB602</f>
        <v>#NAME?</v>
      </c>
      <c r="AJ602" s="226"/>
      <c r="AK602" s="226"/>
      <c r="CC602" s="182" t="n">
        <f aca="false">G601</f>
        <v>36861</v>
      </c>
      <c r="CD602" s="253" t="e">
        <f aca="false">xSPRDOPT((VLOOKUP(G601,NGPrices,2,FALSE())+HLOOKUP(D601,Prices,VLOOKUP(G601,move_down,2,FALSE()),FALSE())),VLOOKUP(G601,NGPrices,2,FALSE()),I601,VLOOKUP(G601,NGPREVPRICES,4,FALSE()),HLOOKUP(D601,PREVVOLS,VLOOKUP(G601,MOVE_DOWN2,2,FALSE()),FALSE()),VLOOKUP(G601,NGPREVPRICES,3,FALSE()),HLOOKUP(D601,Correllate,VLOOKUP(G601,CorMove,2,FALSE()),FALSE()),Q601-$CD$3,R601,$CD$5)*H601-CJ602</f>
        <v>#NAME?</v>
      </c>
      <c r="CE602" s="253" t="e">
        <f aca="false">xSPRDOPT((VLOOKUP(G601,NGPREVPRICES,2,FALSE())+HLOOKUP(D601,PREVCURVES,VLOOKUP(G601,MOVE_DOWN2,2,FALSE()),FALSE())),VLOOKUP(G601,NGPREVPRICES,2,FALSE()),CK602,VLOOKUP(G601,NGPrices,4,FALSE()),HLOOKUP(D601,PREVVOLS,VLOOKUP(G601,MOVE_DOWN2,2,FALSE()),FALSE()),VLOOKUP(G601,NGPREVPRICES,3,FALSE()),HLOOKUP(D601,Correllate,VLOOKUP(G601,CorMove,2,FALSE()),FALSE()),Q601-$CD$3,R601,$CJ$5)*H601-CJ602</f>
        <v>#NAME?</v>
      </c>
      <c r="CF602" s="132" t="e">
        <f aca="false">(CJ602/VLOOKUP(CC602,discount,3,FALSE()))-(CJ602/VLOOKUP(CC602,discount,2,FALSE()))</f>
        <v>#NAME?</v>
      </c>
      <c r="CG602" s="253" t="e">
        <f aca="false">xSPRDOPT((VLOOKUP(G601,NGPREVPRICES,2,FALSE())+HLOOKUP(D601,PREVCURVES,VLOOKUP(G601,MOVE_DOWN2,2,FALSE()),FALSE())),VLOOKUP(G601,NGPREVPRICES,2,FALSE()),CK602,VLOOKUP(G601,NGPREVPRICES,4,FALSE()),HLOOKUP(D601,VOLS,VLOOKUP(G601,move_down,2,FALSE()),FALSE()),VLOOKUP(G601,NGPrices,3,FALSE()),HLOOKUP(D601,Correllate,VLOOKUP(G601,CorMove,2,FALSE()),FALSE()),Q601-$CD$3,R601,$CJ$5)*H601-CJ602</f>
        <v>#NAME?</v>
      </c>
      <c r="CH602" s="253" t="e">
        <f aca="false">xSPRDOPT((VLOOKUP(G601,NGPREVPRICES,2,FALSE())+HLOOKUP(D601,PREVCURVES,VLOOKUP(G601,MOVE_DOWN2,2,FALSE()),FALSE())),VLOOKUP(G601,NGPREVPRICES,2,FALSE()),CK602,VLOOKUP(G601,NGPREVPRICES,4,FALSE()),HLOOKUP(D601,PREVVOLS,VLOOKUP(G601,MOVE_DOWN2,2,FALSE()),FALSE()),VLOOKUP(G601,NGPREVPRICES,3,FALSE()),HLOOKUP(D601,Correllate,VLOOKUP(G601,CorMove,2,FALSE()),FALSE()),Q601-$C$3,R601,$CJ$5)*H601-CJ602</f>
        <v>#NAME?</v>
      </c>
      <c r="CI602" s="253" t="e">
        <f aca="false">SUM(CD602:CH602)</f>
        <v>#NAME?</v>
      </c>
      <c r="CJ602" s="253" t="e">
        <f aca="false">xSPRDOPT((VLOOKUP(G601,NGPREVPRICES,2,FALSE())+HLOOKUP(D601,PREVCURVES,VLOOKUP(G601,MOVE_DOWN2,2,FALSE()),FALSE())),VLOOKUP(G601,NGPREVPRICES,2,FALSE()),CK602,VLOOKUP(G601,NGPREVPRICES,4,FALSE()),HLOOKUP(D601,PREVVOLS,VLOOKUP(G601,MOVE_DOWN2,2,FALSE()),FALSE()),VLOOKUP(G601,NGPREVPRICES,3,FALSE()),HLOOKUP(D601,Correllate,VLOOKUP(G601,CorMove,2,FALSE()),FALSE()),Q601-$CD$3,R601,$CJ$5)*H601</f>
        <v>#NAME?</v>
      </c>
      <c r="CK602" s="254" t="n">
        <f aca="false">I601</f>
        <v>1.52</v>
      </c>
      <c r="CM602" s="0" t="str">
        <f aca="false">CONCATENATE(CC602,$CD$6)</f>
        <v>36861Curve Shift/Gamma</v>
      </c>
      <c r="CN602" s="0" t="str">
        <f aca="false">CONCATENATE($CC602,$CE$6)</f>
        <v>36861Rho</v>
      </c>
      <c r="CO602" s="0" t="str">
        <f aca="false">CONCATENATE($CC602,$CF$6)</f>
        <v>36861Drift</v>
      </c>
      <c r="CP602" s="0" t="str">
        <f aca="false">CONCATENATE($CC602,$CG$6)</f>
        <v>36861Vega</v>
      </c>
      <c r="CQ602" s="0" t="str">
        <f aca="false">CONCATENATE($CC602,$CH$6)</f>
        <v>36861Theta</v>
      </c>
    </row>
    <row r="603" customFormat="false" ht="12.75" hidden="false" customHeight="false" outlineLevel="0" collapsed="false">
      <c r="A603" s="17" t="s">
        <v>198</v>
      </c>
      <c r="B603" s="0" t="s">
        <v>192</v>
      </c>
      <c r="C603" s="0" t="s">
        <v>396</v>
      </c>
      <c r="D603" s="7" t="s">
        <v>149</v>
      </c>
      <c r="E603" s="0" t="s">
        <v>131</v>
      </c>
      <c r="F603" s="0" t="s">
        <v>136</v>
      </c>
      <c r="G603" s="92" t="n">
        <v>36923</v>
      </c>
      <c r="H603" s="248" t="n">
        <v>-500000</v>
      </c>
      <c r="I603" s="254" t="n">
        <v>1.52</v>
      </c>
      <c r="J603" s="124" t="n">
        <f aca="false">VLOOKUP(G603,NGPrices,2,FALSE())</f>
        <v>4.48</v>
      </c>
      <c r="K603" s="125" t="n">
        <f aca="false">HLOOKUP(D603,Prices,VLOOKUP(G603,move_down,2,FALSE()),FALSE())+VLOOKUP(G603,CHANGE,HLOOKUP(D603,CHANGE,2,FALSE()),FALSE())</f>
        <v>2.09</v>
      </c>
      <c r="L603" s="124" t="n">
        <f aca="false">K603+J603</f>
        <v>6.57</v>
      </c>
      <c r="M603" s="126" t="n">
        <f aca="false">VLOOKUP(G603,NGPrices,4,FALSE())</f>
        <v>0.068640161611372</v>
      </c>
      <c r="N603" s="7" t="n">
        <f aca="false">VLOOKUP(G603,NGPrices,3,FALSE())</f>
        <v>0.5925</v>
      </c>
      <c r="O603" s="7" t="n">
        <f aca="false">HLOOKUP(D603,VOLS,VLOOKUP(G603,move_down,2,FALSE()),FALSE())</f>
        <v>0.681</v>
      </c>
      <c r="P603" s="249" t="n">
        <f aca="false">HLOOKUP(D603,Correllate,VLOOKUP(G603,CorMove,2,FALSE()),FALSE())</f>
        <v>0.83</v>
      </c>
      <c r="Q603" s="92" t="n">
        <f aca="false">WORKDAY(G603,-2)</f>
        <v>36921</v>
      </c>
      <c r="R603" s="7" t="n">
        <f aca="false">IF(F603="P",0,1)</f>
        <v>1</v>
      </c>
      <c r="S603" s="130" t="e">
        <f aca="false">xSPRDOPT($L603,$J603,$I603,$M603,$O603,$N603,$P603,$Q603-$C$3,$R603,0)</f>
        <v>#NAME?</v>
      </c>
      <c r="T603" s="250" t="e">
        <f aca="false">xSPRDOPT($L603,$J603,$I603,$M603,$O603,$N603,$P603,$Q603-$C$3,$R603,1)*H603</f>
        <v>#NAME?</v>
      </c>
      <c r="U603" s="43" t="e">
        <f aca="false">S603*H603</f>
        <v>#NAME?</v>
      </c>
      <c r="V603" s="250" t="e">
        <f aca="false">xSPRDOPT($L603,$J603,$I603,$M603,$O603,$N603,$P603,$Q603-$C$3,$R603,2)*H603</f>
        <v>#NAME?</v>
      </c>
      <c r="W603" s="250" t="e">
        <f aca="false">+V603+T603</f>
        <v>#NAME?</v>
      </c>
      <c r="X603" s="2" t="str">
        <f aca="false">CONCATENATE(G603,D603)</f>
        <v>36923IF-TRANSCO/Z6</v>
      </c>
      <c r="Y603" s="251" t="n">
        <f aca="false">H603/10000</f>
        <v>-50</v>
      </c>
      <c r="Z603" s="226" t="e">
        <f aca="false">T603/H603</f>
        <v>#NAME?</v>
      </c>
      <c r="AA603" s="226" t="e">
        <f aca="false">xSPRDOPT($L603,$J603,$I603,$M603,$O603,$N603,$P603,$Q603-$C$3,$R603,3)</f>
        <v>#NAME?</v>
      </c>
      <c r="AB603" s="226" t="e">
        <f aca="false">((xSPRDOPT($L603+AB$5,$J603,$I603,$M603,$O603,$N603,$P603,$Q603-$C$3,$R603,3)*$H603)/10000)/100</f>
        <v>#NAME?</v>
      </c>
      <c r="AC603" s="226" t="e">
        <f aca="false">((xSPRDOPT($L603+$AB$5,$J603,$I603,$M603,$O603,$N603,$P603,$Q603-$C$3,$R603,7)*$H603)/100)</f>
        <v>#NAME?</v>
      </c>
      <c r="AD603" s="226" t="e">
        <f aca="false">(xSPRDOPT($L603+$AB$5,$J603,$I603,$M603,$O603,$N603,$P603,$Q603-$C$3,$R603,9)/365)*$H603</f>
        <v>#NAME?</v>
      </c>
      <c r="AE603" s="0" t="e">
        <f aca="false">CD604</f>
        <v>#NAME?</v>
      </c>
      <c r="AF603" s="226" t="e">
        <f aca="false">((O603/N603)*AH603)+AG603</f>
        <v>#NAME?</v>
      </c>
      <c r="AG603" s="226" t="e">
        <f aca="false">((xSPRDOPT($L603,$J603,$I603,$M603,$O603,$N603,$P603,$Q603-$C$3,$R603,6)*$H603)/100)</f>
        <v>#NAME?</v>
      </c>
      <c r="AH603" s="226" t="e">
        <f aca="false">((xSPRDOPT($L603,$J603,$I603,$M603,$O603,$N603,$P603,$Q603-$C$3,$R603,5)*$H603)/100)</f>
        <v>#NAME?</v>
      </c>
      <c r="AI603" s="226" t="e">
        <f aca="false">(((xSPRDOPT($L603,$J603,$I603,$M603,$O603,$N603,$P603,$Q603-$C$3,$R603,4)*$H603)/10000)/100)-AB603</f>
        <v>#NAME?</v>
      </c>
      <c r="AJ603" s="226"/>
      <c r="AK603" s="226"/>
      <c r="CC603" s="182" t="n">
        <f aca="false">G602</f>
        <v>36892</v>
      </c>
      <c r="CD603" s="253" t="e">
        <f aca="false">xSPRDOPT((VLOOKUP(G602,NGPrices,2,FALSE())+HLOOKUP(D602,Prices,VLOOKUP(G602,move_down,2,FALSE()),FALSE())),VLOOKUP(G602,NGPrices,2,FALSE()),I602,VLOOKUP(G602,NGPREVPRICES,4,FALSE()),HLOOKUP(D602,PREVVOLS,VLOOKUP(G602,MOVE_DOWN2,2,FALSE()),FALSE()),VLOOKUP(G602,NGPREVPRICES,3,FALSE()),HLOOKUP(D602,Correllate,VLOOKUP(G602,CorMove,2,FALSE()),FALSE()),Q602-$CD$3,R602,$CD$5)*H602-CJ603</f>
        <v>#NAME?</v>
      </c>
      <c r="CE603" s="253" t="e">
        <f aca="false">xSPRDOPT((VLOOKUP(G602,NGPREVPRICES,2,FALSE())+HLOOKUP(D602,PREVCURVES,VLOOKUP(G602,MOVE_DOWN2,2,FALSE()),FALSE())),VLOOKUP(G602,NGPREVPRICES,2,FALSE()),CK603,VLOOKUP(G602,NGPrices,4,FALSE()),HLOOKUP(D602,PREVVOLS,VLOOKUP(G602,MOVE_DOWN2,2,FALSE()),FALSE()),VLOOKUP(G602,NGPREVPRICES,3,FALSE()),HLOOKUP(D602,Correllate,VLOOKUP(G602,CorMove,2,FALSE()),FALSE()),Q602-$CD$3,R602,$CJ$5)*H602-CJ603</f>
        <v>#NAME?</v>
      </c>
      <c r="CF603" s="132" t="e">
        <f aca="false">(CJ603/VLOOKUP(CC603,discount,3,FALSE()))-(CJ603/VLOOKUP(CC603,discount,2,FALSE()))</f>
        <v>#NAME?</v>
      </c>
      <c r="CG603" s="253" t="e">
        <f aca="false">xSPRDOPT((VLOOKUP(G602,NGPREVPRICES,2,FALSE())+HLOOKUP(D602,PREVCURVES,VLOOKUP(G602,MOVE_DOWN2,2,FALSE()),FALSE())),VLOOKUP(G602,NGPREVPRICES,2,FALSE()),CK603,VLOOKUP(G602,NGPREVPRICES,4,FALSE()),HLOOKUP(D602,VOLS,VLOOKUP(G602,move_down,2,FALSE()),FALSE()),VLOOKUP(G602,NGPrices,3,FALSE()),HLOOKUP(D602,Correllate,VLOOKUP(G602,CorMove,2,FALSE()),FALSE()),Q602-$CD$3,R602,$CJ$5)*H602-CJ603</f>
        <v>#NAME?</v>
      </c>
      <c r="CH603" s="253" t="e">
        <f aca="false">xSPRDOPT((VLOOKUP(G602,NGPREVPRICES,2,FALSE())+HLOOKUP(D602,PREVCURVES,VLOOKUP(G602,MOVE_DOWN2,2,FALSE()),FALSE())),VLOOKUP(G602,NGPREVPRICES,2,FALSE()),CK603,VLOOKUP(G602,NGPREVPRICES,4,FALSE()),HLOOKUP(D602,PREVVOLS,VLOOKUP(G602,MOVE_DOWN2,2,FALSE()),FALSE()),VLOOKUP(G602,NGPREVPRICES,3,FALSE()),HLOOKUP(D602,Correllate,VLOOKUP(G602,CorMove,2,FALSE()),FALSE()),Q602-$C$3,R602,$CJ$5)*H602-CJ603</f>
        <v>#NAME?</v>
      </c>
      <c r="CI603" s="253" t="e">
        <f aca="false">SUM(CD603:CH603)</f>
        <v>#NAME?</v>
      </c>
      <c r="CJ603" s="253" t="e">
        <f aca="false">xSPRDOPT((VLOOKUP(G602,NGPREVPRICES,2,FALSE())+HLOOKUP(D602,PREVCURVES,VLOOKUP(G602,MOVE_DOWN2,2,FALSE()),FALSE())),VLOOKUP(G602,NGPREVPRICES,2,FALSE()),CK603,VLOOKUP(G602,NGPREVPRICES,4,FALSE()),HLOOKUP(D602,PREVVOLS,VLOOKUP(G602,MOVE_DOWN2,2,FALSE()),FALSE()),VLOOKUP(G602,NGPREVPRICES,3,FALSE()),HLOOKUP(D602,Correllate,VLOOKUP(G602,CorMove,2,FALSE()),FALSE()),Q602-$CD$3,R602,$CJ$5)*H602</f>
        <v>#NAME?</v>
      </c>
      <c r="CK603" s="254" t="n">
        <f aca="false">I602</f>
        <v>1.52</v>
      </c>
      <c r="CM603" s="0" t="str">
        <f aca="false">CONCATENATE(CC603,$CD$6)</f>
        <v>36892Curve Shift/Gamma</v>
      </c>
      <c r="CN603" s="0" t="str">
        <f aca="false">CONCATENATE($CC603,$CE$6)</f>
        <v>36892Rho</v>
      </c>
      <c r="CO603" s="0" t="str">
        <f aca="false">CONCATENATE($CC603,$CF$6)</f>
        <v>36892Drift</v>
      </c>
      <c r="CP603" s="0" t="str">
        <f aca="false">CONCATENATE($CC603,$CG$6)</f>
        <v>36892Vega</v>
      </c>
      <c r="CQ603" s="0" t="str">
        <f aca="false">CONCATENATE($CC603,$CH$6)</f>
        <v>36892Theta</v>
      </c>
    </row>
    <row r="604" customFormat="false" ht="12.75" hidden="false" customHeight="false" outlineLevel="0" collapsed="false">
      <c r="A604" s="17" t="s">
        <v>198</v>
      </c>
      <c r="B604" s="0" t="s">
        <v>192</v>
      </c>
      <c r="C604" s="0" t="s">
        <v>396</v>
      </c>
      <c r="D604" s="7" t="s">
        <v>149</v>
      </c>
      <c r="E604" s="0" t="s">
        <v>131</v>
      </c>
      <c r="F604" s="0" t="s">
        <v>136</v>
      </c>
      <c r="G604" s="92" t="n">
        <v>36951</v>
      </c>
      <c r="H604" s="248" t="n">
        <v>-500000</v>
      </c>
      <c r="I604" s="254" t="n">
        <v>1.52</v>
      </c>
      <c r="J604" s="124" t="n">
        <f aca="false">VLOOKUP(G604,NGPrices,2,FALSE())</f>
        <v>4.213</v>
      </c>
      <c r="K604" s="125" t="n">
        <f aca="false">HLOOKUP(D604,Prices,VLOOKUP(G604,move_down,2,FALSE()),FALSE())+VLOOKUP(G604,CHANGE,HLOOKUP(D604,CHANGE,2,FALSE()),FALSE())</f>
        <v>1.075</v>
      </c>
      <c r="L604" s="124" t="n">
        <f aca="false">K604+J604</f>
        <v>5.288</v>
      </c>
      <c r="M604" s="126" t="n">
        <f aca="false">VLOOKUP(G604,NGPrices,4,FALSE())</f>
        <v>0.068879814952707</v>
      </c>
      <c r="N604" s="7" t="n">
        <f aca="false">VLOOKUP(G604,NGPrices,3,FALSE())</f>
        <v>0.5325</v>
      </c>
      <c r="O604" s="7" t="n">
        <f aca="false">HLOOKUP(D604,VOLS,VLOOKUP(G604,move_down,2,FALSE()),FALSE())</f>
        <v>0.612</v>
      </c>
      <c r="P604" s="249" t="n">
        <f aca="false">HLOOKUP(D604,Correllate,VLOOKUP(G604,CorMove,2,FALSE()),FALSE())</f>
        <v>0.83</v>
      </c>
      <c r="Q604" s="92" t="n">
        <f aca="false">WORKDAY(G604,-2)</f>
        <v>36949</v>
      </c>
      <c r="R604" s="7" t="n">
        <f aca="false">IF(F604="P",0,1)</f>
        <v>1</v>
      </c>
      <c r="S604" s="130" t="e">
        <f aca="false">xSPRDOPT($L604,$J604,$I604,$M604,$O604,$N604,$P604,$Q604-$C$3,$R604,0)</f>
        <v>#NAME?</v>
      </c>
      <c r="T604" s="250" t="e">
        <f aca="false">xSPRDOPT($L604,$J604,$I604,$M604,$O604,$N604,$P604,$Q604-$C$3,$R604,1)*H604</f>
        <v>#NAME?</v>
      </c>
      <c r="U604" s="43" t="e">
        <f aca="false">S604*H604</f>
        <v>#NAME?</v>
      </c>
      <c r="V604" s="250" t="e">
        <f aca="false">xSPRDOPT($L604,$J604,$I604,$M604,$O604,$N604,$P604,$Q604-$C$3,$R604,2)*H604</f>
        <v>#NAME?</v>
      </c>
      <c r="W604" s="250" t="e">
        <f aca="false">+V604+T604</f>
        <v>#NAME?</v>
      </c>
      <c r="X604" s="2" t="str">
        <f aca="false">CONCATENATE(G604,D604)</f>
        <v>36951IF-TRANSCO/Z6</v>
      </c>
      <c r="Y604" s="251" t="n">
        <f aca="false">H604/10000</f>
        <v>-50</v>
      </c>
      <c r="Z604" s="226" t="e">
        <f aca="false">T604/H604</f>
        <v>#NAME?</v>
      </c>
      <c r="AA604" s="226" t="e">
        <f aca="false">xSPRDOPT($L604,$J604,$I604,$M604,$O604,$N604,$P604,$Q604-$C$3,$R604,3)</f>
        <v>#NAME?</v>
      </c>
      <c r="AB604" s="226" t="e">
        <f aca="false">((xSPRDOPT($L604+AB$5,$J604,$I604,$M604,$O604,$N604,$P604,$Q604-$C$3,$R604,3)*$H604)/10000)/100</f>
        <v>#NAME?</v>
      </c>
      <c r="AC604" s="226" t="e">
        <f aca="false">((xSPRDOPT($L604+$AB$5,$J604,$I604,$M604,$O604,$N604,$P604,$Q604-$C$3,$R604,7)*$H604)/100)</f>
        <v>#NAME?</v>
      </c>
      <c r="AD604" s="226" t="e">
        <f aca="false">(xSPRDOPT($L604+$AB$5,$J604,$I604,$M604,$O604,$N604,$P604,$Q604-$C$3,$R604,9)/365)*$H604</f>
        <v>#NAME?</v>
      </c>
      <c r="AE604" s="0" t="e">
        <f aca="false">CD605</f>
        <v>#NAME?</v>
      </c>
      <c r="AF604" s="226" t="e">
        <f aca="false">((O604/N604)*AH604)+AG604</f>
        <v>#NAME?</v>
      </c>
      <c r="AG604" s="226" t="e">
        <f aca="false">((xSPRDOPT($L604,$J604,$I604,$M604,$O604,$N604,$P604,$Q604-$C$3,$R604,6)*$H604)/100)</f>
        <v>#NAME?</v>
      </c>
      <c r="AH604" s="226" t="e">
        <f aca="false">((xSPRDOPT($L604,$J604,$I604,$M604,$O604,$N604,$P604,$Q604-$C$3,$R604,5)*$H604)/100)</f>
        <v>#NAME?</v>
      </c>
      <c r="AI604" s="226" t="e">
        <f aca="false">(((xSPRDOPT($L604,$J604,$I604,$M604,$O604,$N604,$P604,$Q604-$C$3,$R604,4)*$H604)/10000)/100)-AB604</f>
        <v>#NAME?</v>
      </c>
      <c r="AJ604" s="226"/>
      <c r="AK604" s="226"/>
      <c r="CC604" s="182" t="n">
        <f aca="false">G603</f>
        <v>36923</v>
      </c>
      <c r="CD604" s="253" t="e">
        <f aca="false">xSPRDOPT((VLOOKUP(G603,NGPrices,2,FALSE())+HLOOKUP(D603,Prices,VLOOKUP(G603,move_down,2,FALSE()),FALSE())),VLOOKUP(G603,NGPrices,2,FALSE()),I603,VLOOKUP(G603,NGPREVPRICES,4,FALSE()),HLOOKUP(D603,PREVVOLS,VLOOKUP(G603,MOVE_DOWN2,2,FALSE()),FALSE()),VLOOKUP(G603,NGPREVPRICES,3,FALSE()),HLOOKUP(D603,Correllate,VLOOKUP(G603,CorMove,2,FALSE()),FALSE()),Q603-$CD$3,R603,$CD$5)*H603-CJ604</f>
        <v>#NAME?</v>
      </c>
      <c r="CE604" s="253" t="e">
        <f aca="false">xSPRDOPT((VLOOKUP(G603,NGPREVPRICES,2,FALSE())+HLOOKUP(D603,PREVCURVES,VLOOKUP(G603,MOVE_DOWN2,2,FALSE()),FALSE())),VLOOKUP(G603,NGPREVPRICES,2,FALSE()),CK604,VLOOKUP(G603,NGPrices,4,FALSE()),HLOOKUP(D603,PREVVOLS,VLOOKUP(G603,MOVE_DOWN2,2,FALSE()),FALSE()),VLOOKUP(G603,NGPREVPRICES,3,FALSE()),HLOOKUP(D603,Correllate,VLOOKUP(G603,CorMove,2,FALSE()),FALSE()),Q603-$CD$3,R603,$CJ$5)*H603-CJ604</f>
        <v>#NAME?</v>
      </c>
      <c r="CF604" s="132" t="e">
        <f aca="false">(CJ604/VLOOKUP(CC604,discount,3,FALSE()))-(CJ604/VLOOKUP(CC604,discount,2,FALSE()))</f>
        <v>#NAME?</v>
      </c>
      <c r="CG604" s="253" t="e">
        <f aca="false">xSPRDOPT((VLOOKUP(G603,NGPREVPRICES,2,FALSE())+HLOOKUP(D603,PREVCURVES,VLOOKUP(G603,MOVE_DOWN2,2,FALSE()),FALSE())),VLOOKUP(G603,NGPREVPRICES,2,FALSE()),CK604,VLOOKUP(G603,NGPREVPRICES,4,FALSE()),HLOOKUP(D603,VOLS,VLOOKUP(G603,move_down,2,FALSE()),FALSE()),VLOOKUP(G603,NGPrices,3,FALSE()),HLOOKUP(D603,Correllate,VLOOKUP(G603,CorMove,2,FALSE()),FALSE()),Q603-$CD$3,R603,$CJ$5)*H603-CJ604</f>
        <v>#NAME?</v>
      </c>
      <c r="CH604" s="253" t="e">
        <f aca="false">xSPRDOPT((VLOOKUP(G603,NGPREVPRICES,2,FALSE())+HLOOKUP(D603,PREVCURVES,VLOOKUP(G603,MOVE_DOWN2,2,FALSE()),FALSE())),VLOOKUP(G603,NGPREVPRICES,2,FALSE()),CK604,VLOOKUP(G603,NGPREVPRICES,4,FALSE()),HLOOKUP(D603,PREVVOLS,VLOOKUP(G603,MOVE_DOWN2,2,FALSE()),FALSE()),VLOOKUP(G603,NGPREVPRICES,3,FALSE()),HLOOKUP(D603,Correllate,VLOOKUP(G603,CorMove,2,FALSE()),FALSE()),Q603-$C$3,R603,$CJ$5)*H603-CJ604</f>
        <v>#NAME?</v>
      </c>
      <c r="CI604" s="253" t="e">
        <f aca="false">SUM(CD604:CH604)</f>
        <v>#NAME?</v>
      </c>
      <c r="CJ604" s="253" t="e">
        <f aca="false">xSPRDOPT((VLOOKUP(G603,NGPREVPRICES,2,FALSE())+HLOOKUP(D603,PREVCURVES,VLOOKUP(G603,MOVE_DOWN2,2,FALSE()),FALSE())),VLOOKUP(G603,NGPREVPRICES,2,FALSE()),CK604,VLOOKUP(G603,NGPREVPRICES,4,FALSE()),HLOOKUP(D603,PREVVOLS,VLOOKUP(G603,MOVE_DOWN2,2,FALSE()),FALSE()),VLOOKUP(G603,NGPREVPRICES,3,FALSE()),HLOOKUP(D603,Correllate,VLOOKUP(G603,CorMove,2,FALSE()),FALSE()),Q603-$CD$3,R603,$CJ$5)*H603</f>
        <v>#NAME?</v>
      </c>
      <c r="CK604" s="254" t="n">
        <f aca="false">I603</f>
        <v>1.52</v>
      </c>
      <c r="CM604" s="0" t="str">
        <f aca="false">CONCATENATE(CC604,$CD$6)</f>
        <v>36923Curve Shift/Gamma</v>
      </c>
      <c r="CN604" s="0" t="str">
        <f aca="false">CONCATENATE($CC604,$CE$6)</f>
        <v>36923Rho</v>
      </c>
      <c r="CO604" s="0" t="str">
        <f aca="false">CONCATENATE($CC604,$CF$6)</f>
        <v>36923Drift</v>
      </c>
      <c r="CP604" s="0" t="str">
        <f aca="false">CONCATENATE($CC604,$CG$6)</f>
        <v>36923Vega</v>
      </c>
      <c r="CQ604" s="0" t="str">
        <f aca="false">CONCATENATE($CC604,$CH$6)</f>
        <v>36923Theta</v>
      </c>
    </row>
    <row r="605" customFormat="false" ht="12.75" hidden="false" customHeight="false" outlineLevel="0" collapsed="false">
      <c r="A605" s="17" t="s">
        <v>198</v>
      </c>
      <c r="B605" s="0" t="s">
        <v>192</v>
      </c>
      <c r="C605" s="0" t="s">
        <v>397</v>
      </c>
      <c r="D605" s="7" t="s">
        <v>149</v>
      </c>
      <c r="E605" s="0" t="s">
        <v>131</v>
      </c>
      <c r="F605" s="0" t="s">
        <v>132</v>
      </c>
      <c r="G605" s="92" t="n">
        <v>36831</v>
      </c>
      <c r="H605" s="248" t="n">
        <v>-500000</v>
      </c>
      <c r="I605" s="254" t="n">
        <v>1.52</v>
      </c>
      <c r="J605" s="124" t="n">
        <f aca="false">VLOOKUP(G605,NGPrices,2,FALSE())</f>
        <v>4.736</v>
      </c>
      <c r="K605" s="125" t="n">
        <f aca="false">HLOOKUP(D605,Prices,VLOOKUP(G605,move_down,2,FALSE()),FALSE())+VLOOKUP(G605,CHANGE,HLOOKUP(D605,CHANGE,2,FALSE()),FALSE())</f>
        <v>0.77</v>
      </c>
      <c r="L605" s="124" t="n">
        <f aca="false">K605+J605</f>
        <v>5.506</v>
      </c>
      <c r="M605" s="126" t="n">
        <f aca="false">VLOOKUP(G605,NGPrices,4,FALSE())</f>
        <v>0.06810675983792</v>
      </c>
      <c r="N605" s="7" t="n">
        <f aca="false">VLOOKUP(G605,NGPrices,3,FALSE())</f>
        <v>0.595</v>
      </c>
      <c r="O605" s="7" t="n">
        <f aca="false">HLOOKUP(D605,VOLS,VLOOKUP(G605,move_down,2,FALSE()),FALSE())</f>
        <v>0.625</v>
      </c>
      <c r="P605" s="249" t="n">
        <f aca="false">HLOOKUP(D605,Correllate,VLOOKUP(G605,CorMove,2,FALSE()),FALSE())</f>
        <v>0.89</v>
      </c>
      <c r="Q605" s="92" t="n">
        <f aca="false">WORKDAY(G605,-2)</f>
        <v>36829</v>
      </c>
      <c r="R605" s="7" t="n">
        <f aca="false">IF(F605="P",0,1)</f>
        <v>0</v>
      </c>
      <c r="S605" s="130" t="e">
        <f aca="false">xSPRDOPT($L605,$J605,$I605,$M605,$O605,$N605,$P605,$Q605-$C$3,$R605,0)</f>
        <v>#NAME?</v>
      </c>
      <c r="T605" s="250" t="e">
        <f aca="false">xSPRDOPT($L605,$J605,$I605,$M605,$O605,$N605,$P605,$Q605-$C$3,$R605,1)*H605</f>
        <v>#NAME?</v>
      </c>
      <c r="U605" s="43" t="e">
        <f aca="false">S605*H605</f>
        <v>#NAME?</v>
      </c>
      <c r="V605" s="250" t="e">
        <f aca="false">xSPRDOPT($L605,$J605,$I605,$M605,$O605,$N605,$P605,$Q605-$C$3,$R605,2)*H605</f>
        <v>#NAME?</v>
      </c>
      <c r="W605" s="250" t="e">
        <f aca="false">+V605+T605</f>
        <v>#NAME?</v>
      </c>
      <c r="X605" s="2" t="str">
        <f aca="false">CONCATENATE(G605,D605)</f>
        <v>36831IF-TRANSCO/Z6</v>
      </c>
      <c r="Y605" s="251" t="n">
        <f aca="false">H605/10000</f>
        <v>-50</v>
      </c>
      <c r="Z605" s="226" t="e">
        <f aca="false">T605/H605</f>
        <v>#NAME?</v>
      </c>
      <c r="AA605" s="226" t="e">
        <f aca="false">xSPRDOPT($L605,$J605,$I605,$M605,$O605,$N605,$P605,$Q605-$C$3,$R605,3)</f>
        <v>#NAME?</v>
      </c>
      <c r="AB605" s="226" t="e">
        <f aca="false">((xSPRDOPT($L605+AB$5,$J605,$I605,$M605,$O605,$N605,$P605,$Q605-$C$3,$R605,3)*$H605)/10000)/100</f>
        <v>#NAME?</v>
      </c>
      <c r="AC605" s="226" t="e">
        <f aca="false">((xSPRDOPT($L605+$AB$5,$J605,$I605,$M605,$O605,$N605,$P605,$Q605-$C$3,$R605,7)*$H605)/100)</f>
        <v>#NAME?</v>
      </c>
      <c r="AD605" s="226" t="e">
        <f aca="false">(xSPRDOPT($L605+$AB$5,$J605,$I605,$M605,$O605,$N605,$P605,$Q605-$C$3,$R605,9)/365)*$H605</f>
        <v>#NAME?</v>
      </c>
      <c r="AE605" s="0" t="e">
        <f aca="false">CD606</f>
        <v>#NAME?</v>
      </c>
      <c r="AF605" s="226" t="e">
        <f aca="false">((O605/N605)*AH605)+AG605</f>
        <v>#NAME?</v>
      </c>
      <c r="AG605" s="226" t="e">
        <f aca="false">((xSPRDOPT($L605,$J605,$I605,$M605,$O605,$N605,$P605,$Q605-$C$3,$R605,6)*$H605)/100)</f>
        <v>#NAME?</v>
      </c>
      <c r="AH605" s="226" t="e">
        <f aca="false">((xSPRDOPT($L605,$J605,$I605,$M605,$O605,$N605,$P605,$Q605-$C$3,$R605,5)*$H605)/100)</f>
        <v>#NAME?</v>
      </c>
      <c r="AI605" s="226" t="e">
        <f aca="false">(((xSPRDOPT($L605,$J605,$I605,$M605,$O605,$N605,$P605,$Q605-$C$3,$R605,4)*$H605)/10000)/100)-AB605</f>
        <v>#NAME?</v>
      </c>
      <c r="AJ605" s="226"/>
      <c r="AK605" s="226"/>
      <c r="CC605" s="182" t="n">
        <f aca="false">G604</f>
        <v>36951</v>
      </c>
      <c r="CD605" s="253" t="e">
        <f aca="false">xSPRDOPT((VLOOKUP(G604,NGPrices,2,FALSE())+HLOOKUP(D604,Prices,VLOOKUP(G604,move_down,2,FALSE()),FALSE())),VLOOKUP(G604,NGPrices,2,FALSE()),I604,VLOOKUP(G604,NGPREVPRICES,4,FALSE()),HLOOKUP(D604,PREVVOLS,VLOOKUP(G604,MOVE_DOWN2,2,FALSE()),FALSE()),VLOOKUP(G604,NGPREVPRICES,3,FALSE()),HLOOKUP(D604,Correllate,VLOOKUP(G604,CorMove,2,FALSE()),FALSE()),Q604-$CD$3,R604,$CD$5)*H604-CJ605</f>
        <v>#NAME?</v>
      </c>
      <c r="CE605" s="253" t="e">
        <f aca="false">xSPRDOPT((VLOOKUP(G604,NGPREVPRICES,2,FALSE())+HLOOKUP(D604,PREVCURVES,VLOOKUP(G604,MOVE_DOWN2,2,FALSE()),FALSE())),VLOOKUP(G604,NGPREVPRICES,2,FALSE()),CK605,VLOOKUP(G604,NGPrices,4,FALSE()),HLOOKUP(D604,PREVVOLS,VLOOKUP(G604,MOVE_DOWN2,2,FALSE()),FALSE()),VLOOKUP(G604,NGPREVPRICES,3,FALSE()),HLOOKUP(D604,Correllate,VLOOKUP(G604,CorMove,2,FALSE()),FALSE()),Q604-$CD$3,R604,$CJ$5)*H604-CJ605</f>
        <v>#NAME?</v>
      </c>
      <c r="CF605" s="132" t="e">
        <f aca="false">(CJ605/VLOOKUP(CC605,discount,3,FALSE()))-(CJ605/VLOOKUP(CC605,discount,2,FALSE()))</f>
        <v>#NAME?</v>
      </c>
      <c r="CG605" s="253" t="e">
        <f aca="false">xSPRDOPT((VLOOKUP(G604,NGPREVPRICES,2,FALSE())+HLOOKUP(D604,PREVCURVES,VLOOKUP(G604,MOVE_DOWN2,2,FALSE()),FALSE())),VLOOKUP(G604,NGPREVPRICES,2,FALSE()),CK605,VLOOKUP(G604,NGPREVPRICES,4,FALSE()),HLOOKUP(D604,VOLS,VLOOKUP(G604,move_down,2,FALSE()),FALSE()),VLOOKUP(G604,NGPrices,3,FALSE()),HLOOKUP(D604,Correllate,VLOOKUP(G604,CorMove,2,FALSE()),FALSE()),Q604-$CD$3,R604,$CJ$5)*H604-CJ605</f>
        <v>#NAME?</v>
      </c>
      <c r="CH605" s="253" t="e">
        <f aca="false">xSPRDOPT((VLOOKUP(G604,NGPREVPRICES,2,FALSE())+HLOOKUP(D604,PREVCURVES,VLOOKUP(G604,MOVE_DOWN2,2,FALSE()),FALSE())),VLOOKUP(G604,NGPREVPRICES,2,FALSE()),CK605,VLOOKUP(G604,NGPREVPRICES,4,FALSE()),HLOOKUP(D604,PREVVOLS,VLOOKUP(G604,MOVE_DOWN2,2,FALSE()),FALSE()),VLOOKUP(G604,NGPREVPRICES,3,FALSE()),HLOOKUP(D604,Correllate,VLOOKUP(G604,CorMove,2,FALSE()),FALSE()),Q604-$C$3,R604,$CJ$5)*H604-CJ605</f>
        <v>#NAME?</v>
      </c>
      <c r="CI605" s="253" t="e">
        <f aca="false">SUM(CD605:CH605)</f>
        <v>#NAME?</v>
      </c>
      <c r="CJ605" s="253" t="e">
        <f aca="false">xSPRDOPT((VLOOKUP(G604,NGPREVPRICES,2,FALSE())+HLOOKUP(D604,PREVCURVES,VLOOKUP(G604,MOVE_DOWN2,2,FALSE()),FALSE())),VLOOKUP(G604,NGPREVPRICES,2,FALSE()),CK605,VLOOKUP(G604,NGPREVPRICES,4,FALSE()),HLOOKUP(D604,PREVVOLS,VLOOKUP(G604,MOVE_DOWN2,2,FALSE()),FALSE()),VLOOKUP(G604,NGPREVPRICES,3,FALSE()),HLOOKUP(D604,Correllate,VLOOKUP(G604,CorMove,2,FALSE()),FALSE()),Q604-$CD$3,R604,$CJ$5)*H604</f>
        <v>#NAME?</v>
      </c>
      <c r="CK605" s="254" t="n">
        <f aca="false">I604</f>
        <v>1.52</v>
      </c>
      <c r="CM605" s="0" t="str">
        <f aca="false">CONCATENATE(CC605,$CD$6)</f>
        <v>36951Curve Shift/Gamma</v>
      </c>
      <c r="CN605" s="0" t="str">
        <f aca="false">CONCATENATE($CC605,$CE$6)</f>
        <v>36951Rho</v>
      </c>
      <c r="CO605" s="0" t="str">
        <f aca="false">CONCATENATE($CC605,$CF$6)</f>
        <v>36951Drift</v>
      </c>
      <c r="CP605" s="0" t="str">
        <f aca="false">CONCATENATE($CC605,$CG$6)</f>
        <v>36951Vega</v>
      </c>
      <c r="CQ605" s="0" t="str">
        <f aca="false">CONCATENATE($CC605,$CH$6)</f>
        <v>36951Theta</v>
      </c>
    </row>
    <row r="606" customFormat="false" ht="12.75" hidden="false" customHeight="false" outlineLevel="0" collapsed="false">
      <c r="A606" s="17" t="s">
        <v>198</v>
      </c>
      <c r="B606" s="0" t="s">
        <v>192</v>
      </c>
      <c r="C606" s="0" t="s">
        <v>397</v>
      </c>
      <c r="D606" s="7" t="s">
        <v>149</v>
      </c>
      <c r="E606" s="0" t="s">
        <v>131</v>
      </c>
      <c r="F606" s="0" t="s">
        <v>132</v>
      </c>
      <c r="G606" s="92" t="n">
        <v>36861</v>
      </c>
      <c r="H606" s="248" t="n">
        <v>-500000</v>
      </c>
      <c r="I606" s="254" t="n">
        <v>1.52</v>
      </c>
      <c r="J606" s="124" t="n">
        <f aca="false">VLOOKUP(G606,NGPrices,2,FALSE())</f>
        <v>4.8</v>
      </c>
      <c r="K606" s="125" t="n">
        <f aca="false">HLOOKUP(D606,Prices,VLOOKUP(G606,move_down,2,FALSE()),FALSE())+VLOOKUP(G606,CHANGE,HLOOKUP(D606,CHANGE,2,FALSE()),FALSE())</f>
        <v>1.645</v>
      </c>
      <c r="L606" s="124" t="n">
        <f aca="false">K606+J606</f>
        <v>6.445</v>
      </c>
      <c r="M606" s="126" t="n">
        <f aca="false">VLOOKUP(G606,NGPrices,4,FALSE())</f>
        <v>0.068314027999354</v>
      </c>
      <c r="N606" s="7" t="n">
        <f aca="false">VLOOKUP(G606,NGPrices,3,FALSE())</f>
        <v>0.6</v>
      </c>
      <c r="O606" s="7" t="n">
        <f aca="false">HLOOKUP(D606,VOLS,VLOOKUP(G606,move_down,2,FALSE()),FALSE())</f>
        <v>0.69</v>
      </c>
      <c r="P606" s="249" t="n">
        <f aca="false">HLOOKUP(D606,Correllate,VLOOKUP(G606,CorMove,2,FALSE()),FALSE())</f>
        <v>0.83</v>
      </c>
      <c r="Q606" s="92" t="n">
        <f aca="false">WORKDAY(G606,-2)</f>
        <v>36859</v>
      </c>
      <c r="R606" s="7" t="n">
        <f aca="false">IF(F606="P",0,1)</f>
        <v>0</v>
      </c>
      <c r="S606" s="130" t="e">
        <f aca="false">xSPRDOPT($L606,$J606,$I606,$M606,$O606,$N606,$P606,$Q606-$C$3,$R606,0)</f>
        <v>#NAME?</v>
      </c>
      <c r="T606" s="250" t="e">
        <f aca="false">xSPRDOPT($L606,$J606,$I606,$M606,$O606,$N606,$P606,$Q606-$C$3,$R606,1)*H606</f>
        <v>#NAME?</v>
      </c>
      <c r="U606" s="43" t="e">
        <f aca="false">S606*H606</f>
        <v>#NAME?</v>
      </c>
      <c r="V606" s="250" t="e">
        <f aca="false">xSPRDOPT($L606,$J606,$I606,$M606,$O606,$N606,$P606,$Q606-$C$3,$R606,2)*H606</f>
        <v>#NAME?</v>
      </c>
      <c r="W606" s="250" t="e">
        <f aca="false">+V606+T606</f>
        <v>#NAME?</v>
      </c>
      <c r="X606" s="2" t="str">
        <f aca="false">CONCATENATE(G606,D606)</f>
        <v>36861IF-TRANSCO/Z6</v>
      </c>
      <c r="Y606" s="251" t="n">
        <f aca="false">H606/10000</f>
        <v>-50</v>
      </c>
      <c r="Z606" s="226" t="e">
        <f aca="false">T606/H606</f>
        <v>#NAME?</v>
      </c>
      <c r="AA606" s="226" t="e">
        <f aca="false">xSPRDOPT($L606,$J606,$I606,$M606,$O606,$N606,$P606,$Q606-$C$3,$R606,3)</f>
        <v>#NAME?</v>
      </c>
      <c r="AB606" s="226" t="e">
        <f aca="false">((xSPRDOPT($L606+AB$5,$J606,$I606,$M606,$O606,$N606,$P606,$Q606-$C$3,$R606,3)*$H606)/10000)/100</f>
        <v>#NAME?</v>
      </c>
      <c r="AC606" s="226" t="e">
        <f aca="false">((xSPRDOPT($L606+$AB$5,$J606,$I606,$M606,$O606,$N606,$P606,$Q606-$C$3,$R606,7)*$H606)/100)</f>
        <v>#NAME?</v>
      </c>
      <c r="AD606" s="226" t="e">
        <f aca="false">(xSPRDOPT($L606+$AB$5,$J606,$I606,$M606,$O606,$N606,$P606,$Q606-$C$3,$R606,9)/365)*$H606</f>
        <v>#NAME?</v>
      </c>
      <c r="AE606" s="0" t="e">
        <f aca="false">CD607</f>
        <v>#NAME?</v>
      </c>
      <c r="AF606" s="226" t="e">
        <f aca="false">((O606/N606)*AH606)+AG606</f>
        <v>#NAME?</v>
      </c>
      <c r="AG606" s="226" t="e">
        <f aca="false">((xSPRDOPT($L606,$J606,$I606,$M606,$O606,$N606,$P606,$Q606-$C$3,$R606,6)*$H606)/100)</f>
        <v>#NAME?</v>
      </c>
      <c r="AH606" s="226" t="e">
        <f aca="false">((xSPRDOPT($L606,$J606,$I606,$M606,$O606,$N606,$P606,$Q606-$C$3,$R606,5)*$H606)/100)</f>
        <v>#NAME?</v>
      </c>
      <c r="AI606" s="226" t="e">
        <f aca="false">(((xSPRDOPT($L606,$J606,$I606,$M606,$O606,$N606,$P606,$Q606-$C$3,$R606,4)*$H606)/10000)/100)-AB606</f>
        <v>#NAME?</v>
      </c>
      <c r="AJ606" s="226"/>
      <c r="AK606" s="226"/>
      <c r="CC606" s="182" t="n">
        <f aca="false">G605</f>
        <v>36831</v>
      </c>
      <c r="CD606" s="253" t="e">
        <f aca="false">xSPRDOPT((VLOOKUP(G605,NGPrices,2,FALSE())+HLOOKUP(D605,Prices,VLOOKUP(G605,move_down,2,FALSE()),FALSE())),VLOOKUP(G605,NGPrices,2,FALSE()),I605,VLOOKUP(G605,NGPREVPRICES,4,FALSE()),HLOOKUP(D605,PREVVOLS,VLOOKUP(G605,MOVE_DOWN2,2,FALSE()),FALSE()),VLOOKUP(G605,NGPREVPRICES,3,FALSE()),HLOOKUP(D605,Correllate,VLOOKUP(G605,CorMove,2,FALSE()),FALSE()),Q605-$CD$3,R605,$CD$5)*H605-CJ606</f>
        <v>#NAME?</v>
      </c>
      <c r="CE606" s="253" t="e">
        <f aca="false">xSPRDOPT((VLOOKUP(G605,NGPREVPRICES,2,FALSE())+HLOOKUP(D605,PREVCURVES,VLOOKUP(G605,MOVE_DOWN2,2,FALSE()),FALSE())),VLOOKUP(G605,NGPREVPRICES,2,FALSE()),CK606,VLOOKUP(G605,NGPrices,4,FALSE()),HLOOKUP(D605,PREVVOLS,VLOOKUP(G605,MOVE_DOWN2,2,FALSE()),FALSE()),VLOOKUP(G605,NGPREVPRICES,3,FALSE()),HLOOKUP(D605,Correllate,VLOOKUP(G605,CorMove,2,FALSE()),FALSE()),Q605-$CD$3,R605,$CJ$5)*H605-CJ606</f>
        <v>#NAME?</v>
      </c>
      <c r="CF606" s="132" t="e">
        <f aca="false">(CJ606/VLOOKUP(CC606,discount,3,FALSE()))-(CJ606/VLOOKUP(CC606,discount,2,FALSE()))</f>
        <v>#NAME?</v>
      </c>
      <c r="CG606" s="253" t="e">
        <f aca="false">xSPRDOPT((VLOOKUP(G605,NGPREVPRICES,2,FALSE())+HLOOKUP(D605,PREVCURVES,VLOOKUP(G605,MOVE_DOWN2,2,FALSE()),FALSE())),VLOOKUP(G605,NGPREVPRICES,2,FALSE()),CK606,VLOOKUP(G605,NGPREVPRICES,4,FALSE()),HLOOKUP(D605,VOLS,VLOOKUP(G605,move_down,2,FALSE()),FALSE()),VLOOKUP(G605,NGPrices,3,FALSE()),HLOOKUP(D605,Correllate,VLOOKUP(G605,CorMove,2,FALSE()),FALSE()),Q605-$CD$3,R605,$CJ$5)*H605-CJ606</f>
        <v>#NAME?</v>
      </c>
      <c r="CH606" s="253" t="e">
        <f aca="false">xSPRDOPT((VLOOKUP(G605,NGPREVPRICES,2,FALSE())+HLOOKUP(D605,PREVCURVES,VLOOKUP(G605,MOVE_DOWN2,2,FALSE()),FALSE())),VLOOKUP(G605,NGPREVPRICES,2,FALSE()),CK606,VLOOKUP(G605,NGPREVPRICES,4,FALSE()),HLOOKUP(D605,PREVVOLS,VLOOKUP(G605,MOVE_DOWN2,2,FALSE()),FALSE()),VLOOKUP(G605,NGPREVPRICES,3,FALSE()),HLOOKUP(D605,Correllate,VLOOKUP(G605,CorMove,2,FALSE()),FALSE()),Q605-$C$3,R605,$CJ$5)*H605-CJ606</f>
        <v>#NAME?</v>
      </c>
      <c r="CI606" s="253" t="e">
        <f aca="false">SUM(CD606:CH606)</f>
        <v>#NAME?</v>
      </c>
      <c r="CJ606" s="253" t="e">
        <f aca="false">xSPRDOPT((VLOOKUP(G605,NGPREVPRICES,2,FALSE())+HLOOKUP(D605,PREVCURVES,VLOOKUP(G605,MOVE_DOWN2,2,FALSE()),FALSE())),VLOOKUP(G605,NGPREVPRICES,2,FALSE()),CK606,VLOOKUP(G605,NGPREVPRICES,4,FALSE()),HLOOKUP(D605,PREVVOLS,VLOOKUP(G605,MOVE_DOWN2,2,FALSE()),FALSE()),VLOOKUP(G605,NGPREVPRICES,3,FALSE()),HLOOKUP(D605,Correllate,VLOOKUP(G605,CorMove,2,FALSE()),FALSE()),Q605-$CD$3,R605,$CJ$5)*H605</f>
        <v>#NAME?</v>
      </c>
      <c r="CK606" s="254" t="n">
        <f aca="false">I605</f>
        <v>1.52</v>
      </c>
      <c r="CM606" s="0" t="str">
        <f aca="false">CONCATENATE(CC606,$CD$6)</f>
        <v>36831Curve Shift/Gamma</v>
      </c>
      <c r="CN606" s="0" t="str">
        <f aca="false">CONCATENATE($CC606,$CE$6)</f>
        <v>36831Rho</v>
      </c>
      <c r="CO606" s="0" t="str">
        <f aca="false">CONCATENATE($CC606,$CF$6)</f>
        <v>36831Drift</v>
      </c>
      <c r="CP606" s="0" t="str">
        <f aca="false">CONCATENATE($CC606,$CG$6)</f>
        <v>36831Vega</v>
      </c>
      <c r="CQ606" s="0" t="str">
        <f aca="false">CONCATENATE($CC606,$CH$6)</f>
        <v>36831Theta</v>
      </c>
    </row>
    <row r="607" customFormat="false" ht="12.75" hidden="false" customHeight="false" outlineLevel="0" collapsed="false">
      <c r="A607" s="17" t="s">
        <v>198</v>
      </c>
      <c r="B607" s="0" t="s">
        <v>192</v>
      </c>
      <c r="C607" s="0" t="s">
        <v>397</v>
      </c>
      <c r="D607" s="7" t="s">
        <v>149</v>
      </c>
      <c r="E607" s="0" t="s">
        <v>131</v>
      </c>
      <c r="F607" s="0" t="s">
        <v>132</v>
      </c>
      <c r="G607" s="92" t="n">
        <v>36892</v>
      </c>
      <c r="H607" s="248" t="n">
        <v>-500000</v>
      </c>
      <c r="I607" s="254" t="n">
        <v>1.52</v>
      </c>
      <c r="J607" s="124" t="n">
        <f aca="false">VLOOKUP(G607,NGPrices,2,FALSE())</f>
        <v>4.744</v>
      </c>
      <c r="K607" s="125" t="n">
        <f aca="false">HLOOKUP(D607,Prices,VLOOKUP(G607,move_down,2,FALSE()),FALSE())+VLOOKUP(G607,CHANGE,HLOOKUP(D607,CHANGE,2,FALSE()),FALSE())</f>
        <v>2.17</v>
      </c>
      <c r="L607" s="124" t="n">
        <f aca="false">K607+J607</f>
        <v>6.914</v>
      </c>
      <c r="M607" s="126" t="n">
        <f aca="false">VLOOKUP(G607,NGPrices,4,FALSE())</f>
        <v>0.068374831148491</v>
      </c>
      <c r="N607" s="7" t="n">
        <f aca="false">VLOOKUP(G607,NGPrices,3,FALSE())</f>
        <v>0.605</v>
      </c>
      <c r="O607" s="7" t="n">
        <f aca="false">HLOOKUP(D607,VOLS,VLOOKUP(G607,move_down,2,FALSE()),FALSE())</f>
        <v>0.696</v>
      </c>
      <c r="P607" s="249" t="n">
        <f aca="false">HLOOKUP(D607,Correllate,VLOOKUP(G607,CorMove,2,FALSE()),FALSE())</f>
        <v>0.83</v>
      </c>
      <c r="Q607" s="92" t="n">
        <f aca="false">WORKDAY(G607,-2)</f>
        <v>36888</v>
      </c>
      <c r="R607" s="7" t="n">
        <f aca="false">IF(F607="P",0,1)</f>
        <v>0</v>
      </c>
      <c r="S607" s="130" t="e">
        <f aca="false">xSPRDOPT($L607,$J607,$I607,$M607,$O607,$N607,$P607,$Q607-$C$3,$R607,0)</f>
        <v>#NAME?</v>
      </c>
      <c r="T607" s="250" t="e">
        <f aca="false">xSPRDOPT($L607,$J607,$I607,$M607,$O607,$N607,$P607,$Q607-$C$3,$R607,1)*H607</f>
        <v>#NAME?</v>
      </c>
      <c r="U607" s="43" t="e">
        <f aca="false">S607*H607</f>
        <v>#NAME?</v>
      </c>
      <c r="V607" s="250" t="e">
        <f aca="false">xSPRDOPT($L607,$J607,$I607,$M607,$O607,$N607,$P607,$Q607-$C$3,$R607,2)*H607</f>
        <v>#NAME?</v>
      </c>
      <c r="W607" s="250" t="e">
        <f aca="false">+V607+T607</f>
        <v>#NAME?</v>
      </c>
      <c r="X607" s="2" t="str">
        <f aca="false">CONCATENATE(G607,D607)</f>
        <v>36892IF-TRANSCO/Z6</v>
      </c>
      <c r="Y607" s="251" t="n">
        <f aca="false">H607/10000</f>
        <v>-50</v>
      </c>
      <c r="Z607" s="226" t="e">
        <f aca="false">T607/H607</f>
        <v>#NAME?</v>
      </c>
      <c r="AA607" s="226" t="e">
        <f aca="false">xSPRDOPT($L607,$J607,$I607,$M607,$O607,$N607,$P607,$Q607-$C$3,$R607,3)</f>
        <v>#NAME?</v>
      </c>
      <c r="AB607" s="226" t="e">
        <f aca="false">((xSPRDOPT($L607+AB$5,$J607,$I607,$M607,$O607,$N607,$P607,$Q607-$C$3,$R607,3)*$H607)/10000)/100</f>
        <v>#NAME?</v>
      </c>
      <c r="AC607" s="226" t="e">
        <f aca="false">((xSPRDOPT($L607+$AB$5,$J607,$I607,$M607,$O607,$N607,$P607,$Q607-$C$3,$R607,7)*$H607)/100)</f>
        <v>#NAME?</v>
      </c>
      <c r="AD607" s="226" t="e">
        <f aca="false">(xSPRDOPT($L607+$AB$5,$J607,$I607,$M607,$O607,$N607,$P607,$Q607-$C$3,$R607,9)/365)*$H607</f>
        <v>#NAME?</v>
      </c>
      <c r="AE607" s="0" t="e">
        <f aca="false">CD608</f>
        <v>#NAME?</v>
      </c>
      <c r="AF607" s="226" t="e">
        <f aca="false">((O607/N607)*AH607)+AG607</f>
        <v>#NAME?</v>
      </c>
      <c r="AG607" s="226" t="e">
        <f aca="false">((xSPRDOPT($L607,$J607,$I607,$M607,$O607,$N607,$P607,$Q607-$C$3,$R607,6)*$H607)/100)</f>
        <v>#NAME?</v>
      </c>
      <c r="AH607" s="226" t="e">
        <f aca="false">((xSPRDOPT($L607,$J607,$I607,$M607,$O607,$N607,$P607,$Q607-$C$3,$R607,5)*$H607)/100)</f>
        <v>#NAME?</v>
      </c>
      <c r="AI607" s="226" t="e">
        <f aca="false">(((xSPRDOPT($L607,$J607,$I607,$M607,$O607,$N607,$P607,$Q607-$C$3,$R607,4)*$H607)/10000)/100)-AB607</f>
        <v>#NAME?</v>
      </c>
      <c r="AJ607" s="226"/>
      <c r="AK607" s="226"/>
      <c r="CC607" s="182" t="n">
        <f aca="false">G606</f>
        <v>36861</v>
      </c>
      <c r="CD607" s="253" t="e">
        <f aca="false">xSPRDOPT((VLOOKUP(G606,NGPrices,2,FALSE())+HLOOKUP(D606,Prices,VLOOKUP(G606,move_down,2,FALSE()),FALSE())),VLOOKUP(G606,NGPrices,2,FALSE()),I606,VLOOKUP(G606,NGPREVPRICES,4,FALSE()),HLOOKUP(D606,PREVVOLS,VLOOKUP(G606,MOVE_DOWN2,2,FALSE()),FALSE()),VLOOKUP(G606,NGPREVPRICES,3,FALSE()),HLOOKUP(D606,Correllate,VLOOKUP(G606,CorMove,2,FALSE()),FALSE()),Q606-$CD$3,R606,$CD$5)*H606-CJ607</f>
        <v>#NAME?</v>
      </c>
      <c r="CE607" s="253" t="e">
        <f aca="false">xSPRDOPT((VLOOKUP(G606,NGPREVPRICES,2,FALSE())+HLOOKUP(D606,PREVCURVES,VLOOKUP(G606,MOVE_DOWN2,2,FALSE()),FALSE())),VLOOKUP(G606,NGPREVPRICES,2,FALSE()),CK607,VLOOKUP(G606,NGPrices,4,FALSE()),HLOOKUP(D606,PREVVOLS,VLOOKUP(G606,MOVE_DOWN2,2,FALSE()),FALSE()),VLOOKUP(G606,NGPREVPRICES,3,FALSE()),HLOOKUP(D606,Correllate,VLOOKUP(G606,CorMove,2,FALSE()),FALSE()),Q606-$CD$3,R606,$CJ$5)*H606-CJ607</f>
        <v>#NAME?</v>
      </c>
      <c r="CF607" s="132" t="e">
        <f aca="false">(CJ607/VLOOKUP(CC607,discount,3,FALSE()))-(CJ607/VLOOKUP(CC607,discount,2,FALSE()))</f>
        <v>#NAME?</v>
      </c>
      <c r="CG607" s="253" t="e">
        <f aca="false">xSPRDOPT((VLOOKUP(G606,NGPREVPRICES,2,FALSE())+HLOOKUP(D606,PREVCURVES,VLOOKUP(G606,MOVE_DOWN2,2,FALSE()),FALSE())),VLOOKUP(G606,NGPREVPRICES,2,FALSE()),CK607,VLOOKUP(G606,NGPREVPRICES,4,FALSE()),HLOOKUP(D606,VOLS,VLOOKUP(G606,move_down,2,FALSE()),FALSE()),VLOOKUP(G606,NGPrices,3,FALSE()),HLOOKUP(D606,Correllate,VLOOKUP(G606,CorMove,2,FALSE()),FALSE()),Q606-$CD$3,R606,$CJ$5)*H606-CJ607</f>
        <v>#NAME?</v>
      </c>
      <c r="CH607" s="253" t="e">
        <f aca="false">xSPRDOPT((VLOOKUP(G606,NGPREVPRICES,2,FALSE())+HLOOKUP(D606,PREVCURVES,VLOOKUP(G606,MOVE_DOWN2,2,FALSE()),FALSE())),VLOOKUP(G606,NGPREVPRICES,2,FALSE()),CK607,VLOOKUP(G606,NGPREVPRICES,4,FALSE()),HLOOKUP(D606,PREVVOLS,VLOOKUP(G606,MOVE_DOWN2,2,FALSE()),FALSE()),VLOOKUP(G606,NGPREVPRICES,3,FALSE()),HLOOKUP(D606,Correllate,VLOOKUP(G606,CorMove,2,FALSE()),FALSE()),Q606-$C$3,R606,$CJ$5)*H606-CJ607</f>
        <v>#NAME?</v>
      </c>
      <c r="CI607" s="253" t="e">
        <f aca="false">SUM(CD607:CH607)</f>
        <v>#NAME?</v>
      </c>
      <c r="CJ607" s="253" t="e">
        <f aca="false">xSPRDOPT((VLOOKUP(G606,NGPREVPRICES,2,FALSE())+HLOOKUP(D606,PREVCURVES,VLOOKUP(G606,MOVE_DOWN2,2,FALSE()),FALSE())),VLOOKUP(G606,NGPREVPRICES,2,FALSE()),CK607,VLOOKUP(G606,NGPREVPRICES,4,FALSE()),HLOOKUP(D606,PREVVOLS,VLOOKUP(G606,MOVE_DOWN2,2,FALSE()),FALSE()),VLOOKUP(G606,NGPREVPRICES,3,FALSE()),HLOOKUP(D606,Correllate,VLOOKUP(G606,CorMove,2,FALSE()),FALSE()),Q606-$CD$3,R606,$CJ$5)*H606</f>
        <v>#NAME?</v>
      </c>
      <c r="CK607" s="254" t="n">
        <f aca="false">I606</f>
        <v>1.52</v>
      </c>
      <c r="CM607" s="0" t="str">
        <f aca="false">CONCATENATE(CC607,$CD$6)</f>
        <v>36861Curve Shift/Gamma</v>
      </c>
      <c r="CN607" s="0" t="str">
        <f aca="false">CONCATENATE($CC607,$CE$6)</f>
        <v>36861Rho</v>
      </c>
      <c r="CO607" s="0" t="str">
        <f aca="false">CONCATENATE($CC607,$CF$6)</f>
        <v>36861Drift</v>
      </c>
      <c r="CP607" s="0" t="str">
        <f aca="false">CONCATENATE($CC607,$CG$6)</f>
        <v>36861Vega</v>
      </c>
      <c r="CQ607" s="0" t="str">
        <f aca="false">CONCATENATE($CC607,$CH$6)</f>
        <v>36861Theta</v>
      </c>
    </row>
    <row r="608" customFormat="false" ht="12.75" hidden="false" customHeight="false" outlineLevel="0" collapsed="false">
      <c r="A608" s="17" t="s">
        <v>198</v>
      </c>
      <c r="B608" s="0" t="s">
        <v>192</v>
      </c>
      <c r="C608" s="0" t="s">
        <v>397</v>
      </c>
      <c r="D608" s="7" t="s">
        <v>149</v>
      </c>
      <c r="E608" s="0" t="s">
        <v>131</v>
      </c>
      <c r="F608" s="0" t="s">
        <v>132</v>
      </c>
      <c r="G608" s="92" t="n">
        <v>36923</v>
      </c>
      <c r="H608" s="248" t="n">
        <v>-500000</v>
      </c>
      <c r="I608" s="254" t="n">
        <v>1.52</v>
      </c>
      <c r="J608" s="124" t="n">
        <f aca="false">VLOOKUP(G608,NGPrices,2,FALSE())</f>
        <v>4.48</v>
      </c>
      <c r="K608" s="125" t="n">
        <f aca="false">HLOOKUP(D608,Prices,VLOOKUP(G608,move_down,2,FALSE()),FALSE())+VLOOKUP(G608,CHANGE,HLOOKUP(D608,CHANGE,2,FALSE()),FALSE())</f>
        <v>2.09</v>
      </c>
      <c r="L608" s="124" t="n">
        <f aca="false">K608+J608</f>
        <v>6.57</v>
      </c>
      <c r="M608" s="126" t="n">
        <f aca="false">VLOOKUP(G608,NGPrices,4,FALSE())</f>
        <v>0.068640161611372</v>
      </c>
      <c r="N608" s="7" t="n">
        <f aca="false">VLOOKUP(G608,NGPrices,3,FALSE())</f>
        <v>0.5925</v>
      </c>
      <c r="O608" s="7" t="n">
        <f aca="false">HLOOKUP(D608,VOLS,VLOOKUP(G608,move_down,2,FALSE()),FALSE())</f>
        <v>0.681</v>
      </c>
      <c r="P608" s="249" t="n">
        <f aca="false">HLOOKUP(D608,Correllate,VLOOKUP(G608,CorMove,2,FALSE()),FALSE())</f>
        <v>0.83</v>
      </c>
      <c r="Q608" s="92" t="n">
        <f aca="false">WORKDAY(G608,-2)</f>
        <v>36921</v>
      </c>
      <c r="R608" s="7" t="n">
        <f aca="false">IF(F608="P",0,1)</f>
        <v>0</v>
      </c>
      <c r="S608" s="130" t="e">
        <f aca="false">xSPRDOPT($L608,$J608,$I608,$M608,$O608,$N608,$P608,$Q608-$C$3,$R608,0)</f>
        <v>#NAME?</v>
      </c>
      <c r="T608" s="250" t="e">
        <f aca="false">xSPRDOPT($L608,$J608,$I608,$M608,$O608,$N608,$P608,$Q608-$C$3,$R608,1)*H608</f>
        <v>#NAME?</v>
      </c>
      <c r="U608" s="43" t="e">
        <f aca="false">S608*H608</f>
        <v>#NAME?</v>
      </c>
      <c r="V608" s="250" t="e">
        <f aca="false">xSPRDOPT($L608,$J608,$I608,$M608,$O608,$N608,$P608,$Q608-$C$3,$R608,2)*H608</f>
        <v>#NAME?</v>
      </c>
      <c r="W608" s="250" t="e">
        <f aca="false">+V608+T608</f>
        <v>#NAME?</v>
      </c>
      <c r="X608" s="2" t="str">
        <f aca="false">CONCATENATE(G608,D608)</f>
        <v>36923IF-TRANSCO/Z6</v>
      </c>
      <c r="Y608" s="251" t="n">
        <f aca="false">H608/10000</f>
        <v>-50</v>
      </c>
      <c r="Z608" s="226" t="e">
        <f aca="false">T608/H608</f>
        <v>#NAME?</v>
      </c>
      <c r="AA608" s="226" t="e">
        <f aca="false">xSPRDOPT($L608,$J608,$I608,$M608,$O608,$N608,$P608,$Q608-$C$3,$R608,3)</f>
        <v>#NAME?</v>
      </c>
      <c r="AB608" s="226" t="e">
        <f aca="false">((xSPRDOPT($L608+AB$5,$J608,$I608,$M608,$O608,$N608,$P608,$Q608-$C$3,$R608,3)*$H608)/10000)/100</f>
        <v>#NAME?</v>
      </c>
      <c r="AC608" s="226" t="e">
        <f aca="false">((xSPRDOPT($L608+$AB$5,$J608,$I608,$M608,$O608,$N608,$P608,$Q608-$C$3,$R608,7)*$H608)/100)</f>
        <v>#NAME?</v>
      </c>
      <c r="AD608" s="226" t="e">
        <f aca="false">(xSPRDOPT($L608+$AB$5,$J608,$I608,$M608,$O608,$N608,$P608,$Q608-$C$3,$R608,9)/365)*$H608</f>
        <v>#NAME?</v>
      </c>
      <c r="AE608" s="0" t="e">
        <f aca="false">CD609</f>
        <v>#NAME?</v>
      </c>
      <c r="AF608" s="226" t="e">
        <f aca="false">((O608/N608)*AH608)+AG608</f>
        <v>#NAME?</v>
      </c>
      <c r="AG608" s="226" t="e">
        <f aca="false">((xSPRDOPT($L608,$J608,$I608,$M608,$O608,$N608,$P608,$Q608-$C$3,$R608,6)*$H608)/100)</f>
        <v>#NAME?</v>
      </c>
      <c r="AH608" s="226" t="e">
        <f aca="false">((xSPRDOPT($L608,$J608,$I608,$M608,$O608,$N608,$P608,$Q608-$C$3,$R608,5)*$H608)/100)</f>
        <v>#NAME?</v>
      </c>
      <c r="AI608" s="226" t="e">
        <f aca="false">(((xSPRDOPT($L608,$J608,$I608,$M608,$O608,$N608,$P608,$Q608-$C$3,$R608,4)*$H608)/10000)/100)-AB608</f>
        <v>#NAME?</v>
      </c>
      <c r="AJ608" s="226"/>
      <c r="AK608" s="226"/>
      <c r="CC608" s="182" t="n">
        <f aca="false">G607</f>
        <v>36892</v>
      </c>
      <c r="CD608" s="253" t="e">
        <f aca="false">xSPRDOPT((VLOOKUP(G607,NGPrices,2,FALSE())+HLOOKUP(D607,Prices,VLOOKUP(G607,move_down,2,FALSE()),FALSE())),VLOOKUP(G607,NGPrices,2,FALSE()),I607,VLOOKUP(G607,NGPREVPRICES,4,FALSE()),HLOOKUP(D607,PREVVOLS,VLOOKUP(G607,MOVE_DOWN2,2,FALSE()),FALSE()),VLOOKUP(G607,NGPREVPRICES,3,FALSE()),HLOOKUP(D607,Correllate,VLOOKUP(G607,CorMove,2,FALSE()),FALSE()),Q607-$CD$3,R607,$CD$5)*H607-CJ608</f>
        <v>#NAME?</v>
      </c>
      <c r="CE608" s="253" t="e">
        <f aca="false">xSPRDOPT((VLOOKUP(G607,NGPREVPRICES,2,FALSE())+HLOOKUP(D607,PREVCURVES,VLOOKUP(G607,MOVE_DOWN2,2,FALSE()),FALSE())),VLOOKUP(G607,NGPREVPRICES,2,FALSE()),CK608,VLOOKUP(G607,NGPrices,4,FALSE()),HLOOKUP(D607,PREVVOLS,VLOOKUP(G607,MOVE_DOWN2,2,FALSE()),FALSE()),VLOOKUP(G607,NGPREVPRICES,3,FALSE()),HLOOKUP(D607,Correllate,VLOOKUP(G607,CorMove,2,FALSE()),FALSE()),Q607-$CD$3,R607,$CJ$5)*H607-CJ608</f>
        <v>#NAME?</v>
      </c>
      <c r="CF608" s="132" t="e">
        <f aca="false">(CJ608/VLOOKUP(CC608,discount,3,FALSE()))-(CJ608/VLOOKUP(CC608,discount,2,FALSE()))</f>
        <v>#NAME?</v>
      </c>
      <c r="CG608" s="253" t="e">
        <f aca="false">xSPRDOPT((VLOOKUP(G607,NGPREVPRICES,2,FALSE())+HLOOKUP(D607,PREVCURVES,VLOOKUP(G607,MOVE_DOWN2,2,FALSE()),FALSE())),VLOOKUP(G607,NGPREVPRICES,2,FALSE()),CK608,VLOOKUP(G607,NGPREVPRICES,4,FALSE()),HLOOKUP(D607,VOLS,VLOOKUP(G607,move_down,2,FALSE()),FALSE()),VLOOKUP(G607,NGPrices,3,FALSE()),HLOOKUP(D607,Correllate,VLOOKUP(G607,CorMove,2,FALSE()),FALSE()),Q607-$CD$3,R607,$CJ$5)*H607-CJ608</f>
        <v>#NAME?</v>
      </c>
      <c r="CH608" s="253" t="e">
        <f aca="false">xSPRDOPT((VLOOKUP(G607,NGPREVPRICES,2,FALSE())+HLOOKUP(D607,PREVCURVES,VLOOKUP(G607,MOVE_DOWN2,2,FALSE()),FALSE())),VLOOKUP(G607,NGPREVPRICES,2,FALSE()),CK608,VLOOKUP(G607,NGPREVPRICES,4,FALSE()),HLOOKUP(D607,PREVVOLS,VLOOKUP(G607,MOVE_DOWN2,2,FALSE()),FALSE()),VLOOKUP(G607,NGPREVPRICES,3,FALSE()),HLOOKUP(D607,Correllate,VLOOKUP(G607,CorMove,2,FALSE()),FALSE()),Q607-$C$3,R607,$CJ$5)*H607-CJ608</f>
        <v>#NAME?</v>
      </c>
      <c r="CI608" s="253" t="e">
        <f aca="false">SUM(CD608:CH608)</f>
        <v>#NAME?</v>
      </c>
      <c r="CJ608" s="253" t="e">
        <f aca="false">xSPRDOPT((VLOOKUP(G607,NGPREVPRICES,2,FALSE())+HLOOKUP(D607,PREVCURVES,VLOOKUP(G607,MOVE_DOWN2,2,FALSE()),FALSE())),VLOOKUP(G607,NGPREVPRICES,2,FALSE()),CK608,VLOOKUP(G607,NGPREVPRICES,4,FALSE()),HLOOKUP(D607,PREVVOLS,VLOOKUP(G607,MOVE_DOWN2,2,FALSE()),FALSE()),VLOOKUP(G607,NGPREVPRICES,3,FALSE()),HLOOKUP(D607,Correllate,VLOOKUP(G607,CorMove,2,FALSE()),FALSE()),Q607-$CD$3,R607,$CJ$5)*H607</f>
        <v>#NAME?</v>
      </c>
      <c r="CK608" s="254" t="n">
        <f aca="false">I607</f>
        <v>1.52</v>
      </c>
      <c r="CM608" s="0" t="str">
        <f aca="false">CONCATENATE(CC608,$CD$6)</f>
        <v>36892Curve Shift/Gamma</v>
      </c>
      <c r="CN608" s="0" t="str">
        <f aca="false">CONCATENATE($CC608,$CE$6)</f>
        <v>36892Rho</v>
      </c>
      <c r="CO608" s="0" t="str">
        <f aca="false">CONCATENATE($CC608,$CF$6)</f>
        <v>36892Drift</v>
      </c>
      <c r="CP608" s="0" t="str">
        <f aca="false">CONCATENATE($CC608,$CG$6)</f>
        <v>36892Vega</v>
      </c>
      <c r="CQ608" s="0" t="str">
        <f aca="false">CONCATENATE($CC608,$CH$6)</f>
        <v>36892Theta</v>
      </c>
    </row>
    <row r="609" customFormat="false" ht="12.75" hidden="false" customHeight="false" outlineLevel="0" collapsed="false">
      <c r="A609" s="17" t="s">
        <v>198</v>
      </c>
      <c r="B609" s="0" t="s">
        <v>192</v>
      </c>
      <c r="C609" s="0" t="s">
        <v>397</v>
      </c>
      <c r="D609" s="7" t="s">
        <v>149</v>
      </c>
      <c r="E609" s="0" t="s">
        <v>131</v>
      </c>
      <c r="F609" s="0" t="s">
        <v>132</v>
      </c>
      <c r="G609" s="92" t="n">
        <v>36951</v>
      </c>
      <c r="H609" s="248" t="n">
        <v>-500000</v>
      </c>
      <c r="I609" s="254" t="n">
        <v>1.52</v>
      </c>
      <c r="J609" s="124" t="n">
        <f aca="false">VLOOKUP(G609,NGPrices,2,FALSE())</f>
        <v>4.213</v>
      </c>
      <c r="K609" s="125" t="n">
        <f aca="false">HLOOKUP(D609,Prices,VLOOKUP(G609,move_down,2,FALSE()),FALSE())+VLOOKUP(G609,CHANGE,HLOOKUP(D609,CHANGE,2,FALSE()),FALSE())</f>
        <v>1.075</v>
      </c>
      <c r="L609" s="124" t="n">
        <f aca="false">K609+J609</f>
        <v>5.288</v>
      </c>
      <c r="M609" s="126" t="n">
        <f aca="false">VLOOKUP(G609,NGPrices,4,FALSE())</f>
        <v>0.068879814952707</v>
      </c>
      <c r="N609" s="7" t="n">
        <f aca="false">VLOOKUP(G609,NGPrices,3,FALSE())</f>
        <v>0.5325</v>
      </c>
      <c r="O609" s="7" t="n">
        <f aca="false">HLOOKUP(D609,VOLS,VLOOKUP(G609,move_down,2,FALSE()),FALSE())</f>
        <v>0.612</v>
      </c>
      <c r="P609" s="249" t="n">
        <f aca="false">HLOOKUP(D609,Correllate,VLOOKUP(G609,CorMove,2,FALSE()),FALSE())</f>
        <v>0.83</v>
      </c>
      <c r="Q609" s="92" t="n">
        <f aca="false">WORKDAY(G609,-2)</f>
        <v>36949</v>
      </c>
      <c r="R609" s="7" t="n">
        <f aca="false">IF(F609="P",0,1)</f>
        <v>0</v>
      </c>
      <c r="S609" s="130" t="e">
        <f aca="false">xSPRDOPT($L609,$J609,$I609,$M609,$O609,$N609,$P609,$Q609-$C$3,$R609,0)</f>
        <v>#NAME?</v>
      </c>
      <c r="T609" s="250" t="e">
        <f aca="false">xSPRDOPT($L609,$J609,$I609,$M609,$O609,$N609,$P609,$Q609-$C$3,$R609,1)*H609</f>
        <v>#NAME?</v>
      </c>
      <c r="U609" s="43" t="e">
        <f aca="false">S609*H609</f>
        <v>#NAME?</v>
      </c>
      <c r="V609" s="250" t="e">
        <f aca="false">xSPRDOPT($L609,$J609,$I609,$M609,$O609,$N609,$P609,$Q609-$C$3,$R609,2)*H609</f>
        <v>#NAME?</v>
      </c>
      <c r="W609" s="250" t="e">
        <f aca="false">+V609+T609</f>
        <v>#NAME?</v>
      </c>
      <c r="X609" s="2" t="str">
        <f aca="false">CONCATENATE(G609,D609)</f>
        <v>36951IF-TRANSCO/Z6</v>
      </c>
      <c r="Y609" s="251" t="n">
        <f aca="false">H609/10000</f>
        <v>-50</v>
      </c>
      <c r="Z609" s="226" t="e">
        <f aca="false">T609/H609</f>
        <v>#NAME?</v>
      </c>
      <c r="AA609" s="226" t="e">
        <f aca="false">xSPRDOPT($L609,$J609,$I609,$M609,$O609,$N609,$P609,$Q609-$C$3,$R609,3)</f>
        <v>#NAME?</v>
      </c>
      <c r="AB609" s="226" t="e">
        <f aca="false">((xSPRDOPT($L609+AB$5,$J609,$I609,$M609,$O609,$N609,$P609,$Q609-$C$3,$R609,3)*$H609)/10000)/100</f>
        <v>#NAME?</v>
      </c>
      <c r="AC609" s="226" t="e">
        <f aca="false">((xSPRDOPT($L609+$AB$5,$J609,$I609,$M609,$O609,$N609,$P609,$Q609-$C$3,$R609,7)*$H609)/100)</f>
        <v>#NAME?</v>
      </c>
      <c r="AD609" s="226" t="e">
        <f aca="false">(xSPRDOPT($L609+$AB$5,$J609,$I609,$M609,$O609,$N609,$P609,$Q609-$C$3,$R609,9)/365)*$H609</f>
        <v>#NAME?</v>
      </c>
      <c r="AE609" s="0" t="e">
        <f aca="false">CD610</f>
        <v>#NAME?</v>
      </c>
      <c r="AF609" s="226" t="e">
        <f aca="false">((O609/N609)*AH609)+AG609</f>
        <v>#NAME?</v>
      </c>
      <c r="AG609" s="226" t="e">
        <f aca="false">((xSPRDOPT($L609,$J609,$I609,$M609,$O609,$N609,$P609,$Q609-$C$3,$R609,6)*$H609)/100)</f>
        <v>#NAME?</v>
      </c>
      <c r="AH609" s="226" t="e">
        <f aca="false">((xSPRDOPT($L609,$J609,$I609,$M609,$O609,$N609,$P609,$Q609-$C$3,$R609,5)*$H609)/100)</f>
        <v>#NAME?</v>
      </c>
      <c r="AI609" s="226" t="e">
        <f aca="false">(((xSPRDOPT($L609,$J609,$I609,$M609,$O609,$N609,$P609,$Q609-$C$3,$R609,4)*$H609)/10000)/100)-AB609</f>
        <v>#NAME?</v>
      </c>
      <c r="AJ609" s="226"/>
      <c r="AK609" s="226"/>
      <c r="CC609" s="182" t="n">
        <f aca="false">G608</f>
        <v>36923</v>
      </c>
      <c r="CD609" s="253" t="e">
        <f aca="false">xSPRDOPT((VLOOKUP(G608,NGPrices,2,FALSE())+HLOOKUP(D608,Prices,VLOOKUP(G608,move_down,2,FALSE()),FALSE())),VLOOKUP(G608,NGPrices,2,FALSE()),I608,VLOOKUP(G608,NGPREVPRICES,4,FALSE()),HLOOKUP(D608,PREVVOLS,VLOOKUP(G608,MOVE_DOWN2,2,FALSE()),FALSE()),VLOOKUP(G608,NGPREVPRICES,3,FALSE()),HLOOKUP(D608,Correllate,VLOOKUP(G608,CorMove,2,FALSE()),FALSE()),Q608-$CD$3,R608,$CD$5)*H608-CJ609</f>
        <v>#NAME?</v>
      </c>
      <c r="CE609" s="253" t="e">
        <f aca="false">xSPRDOPT((VLOOKUP(G608,NGPREVPRICES,2,FALSE())+HLOOKUP(D608,PREVCURVES,VLOOKUP(G608,MOVE_DOWN2,2,FALSE()),FALSE())),VLOOKUP(G608,NGPREVPRICES,2,FALSE()),CK609,VLOOKUP(G608,NGPrices,4,FALSE()),HLOOKUP(D608,PREVVOLS,VLOOKUP(G608,MOVE_DOWN2,2,FALSE()),FALSE()),VLOOKUP(G608,NGPREVPRICES,3,FALSE()),HLOOKUP(D608,Correllate,VLOOKUP(G608,CorMove,2,FALSE()),FALSE()),Q608-$CD$3,R608,$CJ$5)*H608-CJ609</f>
        <v>#NAME?</v>
      </c>
      <c r="CF609" s="132" t="e">
        <f aca="false">(CJ609/VLOOKUP(CC609,discount,3,FALSE()))-(CJ609/VLOOKUP(CC609,discount,2,FALSE()))</f>
        <v>#NAME?</v>
      </c>
      <c r="CG609" s="253" t="e">
        <f aca="false">xSPRDOPT((VLOOKUP(G608,NGPREVPRICES,2,FALSE())+HLOOKUP(D608,PREVCURVES,VLOOKUP(G608,MOVE_DOWN2,2,FALSE()),FALSE())),VLOOKUP(G608,NGPREVPRICES,2,FALSE()),CK609,VLOOKUP(G608,NGPREVPRICES,4,FALSE()),HLOOKUP(D608,VOLS,VLOOKUP(G608,move_down,2,FALSE()),FALSE()),VLOOKUP(G608,NGPrices,3,FALSE()),HLOOKUP(D608,Correllate,VLOOKUP(G608,CorMove,2,FALSE()),FALSE()),Q608-$CD$3,R608,$CJ$5)*H608-CJ609</f>
        <v>#NAME?</v>
      </c>
      <c r="CH609" s="253" t="e">
        <f aca="false">xSPRDOPT((VLOOKUP(G608,NGPREVPRICES,2,FALSE())+HLOOKUP(D608,PREVCURVES,VLOOKUP(G608,MOVE_DOWN2,2,FALSE()),FALSE())),VLOOKUP(G608,NGPREVPRICES,2,FALSE()),CK609,VLOOKUP(G608,NGPREVPRICES,4,FALSE()),HLOOKUP(D608,PREVVOLS,VLOOKUP(G608,MOVE_DOWN2,2,FALSE()),FALSE()),VLOOKUP(G608,NGPREVPRICES,3,FALSE()),HLOOKUP(D608,Correllate,VLOOKUP(G608,CorMove,2,FALSE()),FALSE()),Q608-$C$3,R608,$CJ$5)*H608-CJ609</f>
        <v>#NAME?</v>
      </c>
      <c r="CI609" s="253" t="e">
        <f aca="false">SUM(CD609:CH609)</f>
        <v>#NAME?</v>
      </c>
      <c r="CJ609" s="253" t="e">
        <f aca="false">xSPRDOPT((VLOOKUP(G608,NGPREVPRICES,2,FALSE())+HLOOKUP(D608,PREVCURVES,VLOOKUP(G608,MOVE_DOWN2,2,FALSE()),FALSE())),VLOOKUP(G608,NGPREVPRICES,2,FALSE()),CK609,VLOOKUP(G608,NGPREVPRICES,4,FALSE()),HLOOKUP(D608,PREVVOLS,VLOOKUP(G608,MOVE_DOWN2,2,FALSE()),FALSE()),VLOOKUP(G608,NGPREVPRICES,3,FALSE()),HLOOKUP(D608,Correllate,VLOOKUP(G608,CorMove,2,FALSE()),FALSE()),Q608-$CD$3,R608,$CJ$5)*H608</f>
        <v>#NAME?</v>
      </c>
      <c r="CK609" s="254" t="n">
        <f aca="false">I608</f>
        <v>1.52</v>
      </c>
      <c r="CM609" s="0" t="str">
        <f aca="false">CONCATENATE(CC609,$CD$6)</f>
        <v>36923Curve Shift/Gamma</v>
      </c>
      <c r="CN609" s="0" t="str">
        <f aca="false">CONCATENATE($CC609,$CE$6)</f>
        <v>36923Rho</v>
      </c>
      <c r="CO609" s="0" t="str">
        <f aca="false">CONCATENATE($CC609,$CF$6)</f>
        <v>36923Drift</v>
      </c>
      <c r="CP609" s="0" t="str">
        <f aca="false">CONCATENATE($CC609,$CG$6)</f>
        <v>36923Vega</v>
      </c>
      <c r="CQ609" s="0" t="str">
        <f aca="false">CONCATENATE($CC609,$CH$6)</f>
        <v>36923Theta</v>
      </c>
    </row>
    <row r="610" customFormat="false" ht="12.75" hidden="false" customHeight="false" outlineLevel="0" collapsed="false">
      <c r="A610" s="17" t="s">
        <v>244</v>
      </c>
      <c r="B610" s="0" t="s">
        <v>192</v>
      </c>
      <c r="C610" s="0" t="s">
        <v>398</v>
      </c>
      <c r="D610" s="7" t="s">
        <v>149</v>
      </c>
      <c r="E610" s="0" t="s">
        <v>131</v>
      </c>
      <c r="F610" s="0" t="s">
        <v>136</v>
      </c>
      <c r="G610" s="92" t="n">
        <v>36831</v>
      </c>
      <c r="H610" s="248" t="n">
        <v>500000</v>
      </c>
      <c r="I610" s="254" t="n">
        <v>1</v>
      </c>
      <c r="J610" s="124" t="n">
        <f aca="false">VLOOKUP(G610,NGPrices,2,FALSE())</f>
        <v>4.736</v>
      </c>
      <c r="K610" s="125" t="n">
        <f aca="false">HLOOKUP(D610,Prices,VLOOKUP(G610,move_down,2,FALSE()),FALSE())+VLOOKUP(G610,CHANGE,HLOOKUP(D610,CHANGE,2,FALSE()),FALSE())</f>
        <v>0.77</v>
      </c>
      <c r="L610" s="124" t="n">
        <f aca="false">K610+J610</f>
        <v>5.506</v>
      </c>
      <c r="M610" s="126" t="n">
        <f aca="false">VLOOKUP(G610,NGPrices,4,FALSE())</f>
        <v>0.06810675983792</v>
      </c>
      <c r="N610" s="7" t="n">
        <f aca="false">VLOOKUP(G610,NGPrices,3,FALSE())</f>
        <v>0.595</v>
      </c>
      <c r="O610" s="7" t="n">
        <f aca="false">HLOOKUP(D610,VOLS,VLOOKUP(G610,move_down,2,FALSE()),FALSE())</f>
        <v>0.625</v>
      </c>
      <c r="P610" s="249" t="n">
        <f aca="false">HLOOKUP(D610,Correllate,VLOOKUP(G610,CorMove,2,FALSE()),FALSE())</f>
        <v>0.89</v>
      </c>
      <c r="Q610" s="92" t="n">
        <f aca="false">WORKDAY(G610,-2)</f>
        <v>36829</v>
      </c>
      <c r="R610" s="7" t="n">
        <f aca="false">IF(F610="P",0,1)</f>
        <v>1</v>
      </c>
      <c r="S610" s="130" t="e">
        <f aca="false">xSPRDOPT($L610,$J610,$I610,$M610,$O610,$N610,$P610,$Q610-$C$3,$R610,0)</f>
        <v>#NAME?</v>
      </c>
      <c r="T610" s="250" t="e">
        <f aca="false">xSPRDOPT($L610,$J610,$I610,$M610,$O610,$N610,$P610,$Q610-$C$3,$R610,1)*H610</f>
        <v>#NAME?</v>
      </c>
      <c r="U610" s="43" t="e">
        <f aca="false">S610*H610</f>
        <v>#NAME?</v>
      </c>
      <c r="V610" s="250" t="e">
        <f aca="false">xSPRDOPT($L610,$J610,$I610,$M610,$O610,$N610,$P610,$Q610-$C$3,$R610,2)*H610</f>
        <v>#NAME?</v>
      </c>
      <c r="W610" s="250" t="e">
        <f aca="false">+V610+T610</f>
        <v>#NAME?</v>
      </c>
      <c r="X610" s="2" t="str">
        <f aca="false">CONCATENATE(G610,D610)</f>
        <v>36831IF-TRANSCO/Z6</v>
      </c>
      <c r="Y610" s="251" t="n">
        <f aca="false">H610/10000</f>
        <v>50</v>
      </c>
      <c r="Z610" s="226" t="e">
        <f aca="false">T610/H610</f>
        <v>#NAME?</v>
      </c>
      <c r="AA610" s="226" t="e">
        <f aca="false">xSPRDOPT($L610,$J610,$I610,$M610,$O610,$N610,$P610,$Q610-$C$3,$R610,3)</f>
        <v>#NAME?</v>
      </c>
      <c r="AB610" s="226" t="e">
        <f aca="false">((xSPRDOPT($L610+AB$5,$J610,$I610,$M610,$O610,$N610,$P610,$Q610-$C$3,$R610,3)*$H610)/10000)/100</f>
        <v>#NAME?</v>
      </c>
      <c r="AC610" s="226" t="e">
        <f aca="false">((xSPRDOPT($L610+$AB$5,$J610,$I610,$M610,$O610,$N610,$P610,$Q610-$C$3,$R610,7)*$H610)/100)</f>
        <v>#NAME?</v>
      </c>
      <c r="AD610" s="226" t="e">
        <f aca="false">(xSPRDOPT($L610+$AB$5,$J610,$I610,$M610,$O610,$N610,$P610,$Q610-$C$3,$R610,9)/365)*$H610</f>
        <v>#NAME?</v>
      </c>
      <c r="AE610" s="0" t="e">
        <f aca="false">CD611</f>
        <v>#NAME?</v>
      </c>
      <c r="AF610" s="226" t="e">
        <f aca="false">((O610/N610)*AH610)+AG610</f>
        <v>#NAME?</v>
      </c>
      <c r="AG610" s="226" t="e">
        <f aca="false">((xSPRDOPT($L610,$J610,$I610,$M610,$O610,$N610,$P610,$Q610-$C$3,$R610,6)*$H610)/100)</f>
        <v>#NAME?</v>
      </c>
      <c r="AH610" s="226" t="e">
        <f aca="false">((xSPRDOPT($L610,$J610,$I610,$M610,$O610,$N610,$P610,$Q610-$C$3,$R610,5)*$H610)/100)</f>
        <v>#NAME?</v>
      </c>
      <c r="AI610" s="226" t="e">
        <f aca="false">(((xSPRDOPT($L610,$J610,$I610,$M610,$O610,$N610,$P610,$Q610-$C$3,$R610,4)*$H610)/10000)/100)-AB610</f>
        <v>#NAME?</v>
      </c>
      <c r="AJ610" s="226"/>
      <c r="AK610" s="226"/>
      <c r="CC610" s="182" t="n">
        <f aca="false">G609</f>
        <v>36951</v>
      </c>
      <c r="CD610" s="253" t="e">
        <f aca="false">xSPRDOPT((VLOOKUP(G609,NGPrices,2,FALSE())+HLOOKUP(D609,Prices,VLOOKUP(G609,move_down,2,FALSE()),FALSE())),VLOOKUP(G609,NGPrices,2,FALSE()),I609,VLOOKUP(G609,NGPREVPRICES,4,FALSE()),HLOOKUP(D609,PREVVOLS,VLOOKUP(G609,MOVE_DOWN2,2,FALSE()),FALSE()),VLOOKUP(G609,NGPREVPRICES,3,FALSE()),HLOOKUP(D609,Correllate,VLOOKUP(G609,CorMove,2,FALSE()),FALSE()),Q609-$CD$3,R609,$CD$5)*H609-CJ610</f>
        <v>#NAME?</v>
      </c>
      <c r="CE610" s="253" t="e">
        <f aca="false">xSPRDOPT((VLOOKUP(G609,NGPREVPRICES,2,FALSE())+HLOOKUP(D609,PREVCURVES,VLOOKUP(G609,MOVE_DOWN2,2,FALSE()),FALSE())),VLOOKUP(G609,NGPREVPRICES,2,FALSE()),CK610,VLOOKUP(G609,NGPrices,4,FALSE()),HLOOKUP(D609,PREVVOLS,VLOOKUP(G609,MOVE_DOWN2,2,FALSE()),FALSE()),VLOOKUP(G609,NGPREVPRICES,3,FALSE()),HLOOKUP(D609,Correllate,VLOOKUP(G609,CorMove,2,FALSE()),FALSE()),Q609-$CD$3,R609,$CJ$5)*H609-CJ610</f>
        <v>#NAME?</v>
      </c>
      <c r="CF610" s="132" t="e">
        <f aca="false">(CJ610/VLOOKUP(CC610,discount,3,FALSE()))-(CJ610/VLOOKUP(CC610,discount,2,FALSE()))</f>
        <v>#NAME?</v>
      </c>
      <c r="CG610" s="253" t="e">
        <f aca="false">xSPRDOPT((VLOOKUP(G609,NGPREVPRICES,2,FALSE())+HLOOKUP(D609,PREVCURVES,VLOOKUP(G609,MOVE_DOWN2,2,FALSE()),FALSE())),VLOOKUP(G609,NGPREVPRICES,2,FALSE()),CK610,VLOOKUP(G609,NGPREVPRICES,4,FALSE()),HLOOKUP(D609,VOLS,VLOOKUP(G609,move_down,2,FALSE()),FALSE()),VLOOKUP(G609,NGPrices,3,FALSE()),HLOOKUP(D609,Correllate,VLOOKUP(G609,CorMove,2,FALSE()),FALSE()),Q609-$CD$3,R609,$CJ$5)*H609-CJ610</f>
        <v>#NAME?</v>
      </c>
      <c r="CH610" s="253" t="e">
        <f aca="false">xSPRDOPT((VLOOKUP(G609,NGPREVPRICES,2,FALSE())+HLOOKUP(D609,PREVCURVES,VLOOKUP(G609,MOVE_DOWN2,2,FALSE()),FALSE())),VLOOKUP(G609,NGPREVPRICES,2,FALSE()),CK610,VLOOKUP(G609,NGPREVPRICES,4,FALSE()),HLOOKUP(D609,PREVVOLS,VLOOKUP(G609,MOVE_DOWN2,2,FALSE()),FALSE()),VLOOKUP(G609,NGPREVPRICES,3,FALSE()),HLOOKUP(D609,Correllate,VLOOKUP(G609,CorMove,2,FALSE()),FALSE()),Q609-$C$3,R609,$CJ$5)*H609-CJ610</f>
        <v>#NAME?</v>
      </c>
      <c r="CI610" s="253" t="e">
        <f aca="false">SUM(CD610:CH610)</f>
        <v>#NAME?</v>
      </c>
      <c r="CJ610" s="253" t="e">
        <f aca="false">xSPRDOPT((VLOOKUP(G609,NGPREVPRICES,2,FALSE())+HLOOKUP(D609,PREVCURVES,VLOOKUP(G609,MOVE_DOWN2,2,FALSE()),FALSE())),VLOOKUP(G609,NGPREVPRICES,2,FALSE()),CK610,VLOOKUP(G609,NGPREVPRICES,4,FALSE()),HLOOKUP(D609,PREVVOLS,VLOOKUP(G609,MOVE_DOWN2,2,FALSE()),FALSE()),VLOOKUP(G609,NGPREVPRICES,3,FALSE()),HLOOKUP(D609,Correllate,VLOOKUP(G609,CorMove,2,FALSE()),FALSE()),Q609-$CD$3,R609,$CJ$5)*H609</f>
        <v>#NAME?</v>
      </c>
      <c r="CK610" s="254" t="n">
        <f aca="false">I609</f>
        <v>1.52</v>
      </c>
      <c r="CM610" s="0" t="str">
        <f aca="false">CONCATENATE(CC610,$CD$6)</f>
        <v>36951Curve Shift/Gamma</v>
      </c>
      <c r="CN610" s="0" t="str">
        <f aca="false">CONCATENATE($CC610,$CE$6)</f>
        <v>36951Rho</v>
      </c>
      <c r="CO610" s="0" t="str">
        <f aca="false">CONCATENATE($CC610,$CF$6)</f>
        <v>36951Drift</v>
      </c>
      <c r="CP610" s="0" t="str">
        <f aca="false">CONCATENATE($CC610,$CG$6)</f>
        <v>36951Vega</v>
      </c>
      <c r="CQ610" s="0" t="str">
        <f aca="false">CONCATENATE($CC610,$CH$6)</f>
        <v>36951Theta</v>
      </c>
    </row>
    <row r="611" customFormat="false" ht="12.75" hidden="false" customHeight="false" outlineLevel="0" collapsed="false">
      <c r="A611" s="17" t="s">
        <v>244</v>
      </c>
      <c r="B611" s="0" t="s">
        <v>192</v>
      </c>
      <c r="C611" s="0" t="s">
        <v>399</v>
      </c>
      <c r="D611" s="7" t="s">
        <v>149</v>
      </c>
      <c r="E611" s="0" t="s">
        <v>131</v>
      </c>
      <c r="F611" s="0" t="s">
        <v>136</v>
      </c>
      <c r="G611" s="92" t="n">
        <v>36831</v>
      </c>
      <c r="H611" s="248" t="n">
        <v>-500000</v>
      </c>
      <c r="I611" s="254" t="n">
        <v>1.5</v>
      </c>
      <c r="J611" s="124" t="n">
        <f aca="false">VLOOKUP(G611,NGPrices,2,FALSE())</f>
        <v>4.736</v>
      </c>
      <c r="K611" s="125" t="n">
        <f aca="false">HLOOKUP(D611,Prices,VLOOKUP(G611,move_down,2,FALSE()),FALSE())+VLOOKUP(G611,CHANGE,HLOOKUP(D611,CHANGE,2,FALSE()),FALSE())</f>
        <v>0.77</v>
      </c>
      <c r="L611" s="124" t="n">
        <f aca="false">K611+J611</f>
        <v>5.506</v>
      </c>
      <c r="M611" s="126" t="n">
        <f aca="false">VLOOKUP(G611,NGPrices,4,FALSE())</f>
        <v>0.06810675983792</v>
      </c>
      <c r="N611" s="7" t="n">
        <f aca="false">VLOOKUP(G611,NGPrices,3,FALSE())</f>
        <v>0.595</v>
      </c>
      <c r="O611" s="7" t="n">
        <f aca="false">HLOOKUP(D611,VOLS,VLOOKUP(G611,move_down,2,FALSE()),FALSE())</f>
        <v>0.625</v>
      </c>
      <c r="P611" s="249" t="n">
        <f aca="false">HLOOKUP(D611,Correllate,VLOOKUP(G611,CorMove,2,FALSE()),FALSE())</f>
        <v>0.89</v>
      </c>
      <c r="Q611" s="92" t="n">
        <f aca="false">WORKDAY(G611,-2)</f>
        <v>36829</v>
      </c>
      <c r="R611" s="7" t="n">
        <f aca="false">IF(F611="P",0,1)</f>
        <v>1</v>
      </c>
      <c r="S611" s="130" t="e">
        <f aca="false">xSPRDOPT($L611,$J611,$I611,$M611,$O611,$N611,$P611,$Q611-$C$3,$R611,0)</f>
        <v>#NAME?</v>
      </c>
      <c r="T611" s="250" t="e">
        <f aca="false">xSPRDOPT($L611,$J611,$I611,$M611,$O611,$N611,$P611,$Q611-$C$3,$R611,1)*H611</f>
        <v>#NAME?</v>
      </c>
      <c r="U611" s="43" t="e">
        <f aca="false">S611*H611</f>
        <v>#NAME?</v>
      </c>
      <c r="V611" s="250" t="e">
        <f aca="false">xSPRDOPT($L611,$J611,$I611,$M611,$O611,$N611,$P611,$Q611-$C$3,$R611,2)*H611</f>
        <v>#NAME?</v>
      </c>
      <c r="W611" s="250" t="e">
        <f aca="false">+V611+T611</f>
        <v>#NAME?</v>
      </c>
      <c r="X611" s="2" t="str">
        <f aca="false">CONCATENATE(G611,D611)</f>
        <v>36831IF-TRANSCO/Z6</v>
      </c>
      <c r="Y611" s="251" t="n">
        <f aca="false">H611/10000</f>
        <v>-50</v>
      </c>
      <c r="Z611" s="226" t="e">
        <f aca="false">T611/H611</f>
        <v>#NAME?</v>
      </c>
      <c r="AA611" s="226" t="e">
        <f aca="false">xSPRDOPT($L611,$J611,$I611,$M611,$O611,$N611,$P611,$Q611-$C$3,$R611,3)</f>
        <v>#NAME?</v>
      </c>
      <c r="AB611" s="226" t="e">
        <f aca="false">((xSPRDOPT($L611+AB$5,$J611,$I611,$M611,$O611,$N611,$P611,$Q611-$C$3,$R611,3)*$H611)/10000)/100</f>
        <v>#NAME?</v>
      </c>
      <c r="AC611" s="226" t="e">
        <f aca="false">((xSPRDOPT($L611+$AB$5,$J611,$I611,$M611,$O611,$N611,$P611,$Q611-$C$3,$R611,7)*$H611)/100)</f>
        <v>#NAME?</v>
      </c>
      <c r="AD611" s="226" t="e">
        <f aca="false">(xSPRDOPT($L611+$AB$5,$J611,$I611,$M611,$O611,$N611,$P611,$Q611-$C$3,$R611,9)/365)*$H611</f>
        <v>#NAME?</v>
      </c>
      <c r="AE611" s="0" t="e">
        <f aca="false">CD612</f>
        <v>#NAME?</v>
      </c>
      <c r="AF611" s="226" t="e">
        <f aca="false">((O611/N611)*AH611)+AG611</f>
        <v>#NAME?</v>
      </c>
      <c r="AG611" s="226" t="e">
        <f aca="false">((xSPRDOPT($L611,$J611,$I611,$M611,$O611,$N611,$P611,$Q611-$C$3,$R611,6)*$H611)/100)</f>
        <v>#NAME?</v>
      </c>
      <c r="AH611" s="226" t="e">
        <f aca="false">((xSPRDOPT($L611,$J611,$I611,$M611,$O611,$N611,$P611,$Q611-$C$3,$R611,5)*$H611)/100)</f>
        <v>#NAME?</v>
      </c>
      <c r="AI611" s="226" t="e">
        <f aca="false">(((xSPRDOPT($L611,$J611,$I611,$M611,$O611,$N611,$P611,$Q611-$C$3,$R611,4)*$H611)/10000)/100)-AB611</f>
        <v>#NAME?</v>
      </c>
      <c r="AJ611" s="226"/>
      <c r="AK611" s="226"/>
      <c r="CC611" s="182" t="n">
        <f aca="false">G610</f>
        <v>36831</v>
      </c>
      <c r="CD611" s="253" t="e">
        <f aca="false">xSPRDOPT((VLOOKUP(G610,NGPrices,2,FALSE())+HLOOKUP(D610,Prices,VLOOKUP(G610,move_down,2,FALSE()),FALSE())),VLOOKUP(G610,NGPrices,2,FALSE()),I610,VLOOKUP(G610,NGPREVPRICES,4,FALSE()),HLOOKUP(D610,PREVVOLS,VLOOKUP(G610,MOVE_DOWN2,2,FALSE()),FALSE()),VLOOKUP(G610,NGPREVPRICES,3,FALSE()),HLOOKUP(D610,Correllate,VLOOKUP(G610,CorMove,2,FALSE()),FALSE()),Q610-$CD$3,R610,$CD$5)*H610-CJ611</f>
        <v>#NAME?</v>
      </c>
      <c r="CE611" s="253" t="e">
        <f aca="false">xSPRDOPT((VLOOKUP(G610,NGPREVPRICES,2,FALSE())+HLOOKUP(D610,PREVCURVES,VLOOKUP(G610,MOVE_DOWN2,2,FALSE()),FALSE())),VLOOKUP(G610,NGPREVPRICES,2,FALSE()),CK611,VLOOKUP(G610,NGPrices,4,FALSE()),HLOOKUP(D610,PREVVOLS,VLOOKUP(G610,MOVE_DOWN2,2,FALSE()),FALSE()),VLOOKUP(G610,NGPREVPRICES,3,FALSE()),HLOOKUP(D610,Correllate,VLOOKUP(G610,CorMove,2,FALSE()),FALSE()),Q610-$CD$3,R610,$CJ$5)*H610-CJ611</f>
        <v>#NAME?</v>
      </c>
      <c r="CF611" s="132" t="e">
        <f aca="false">(CJ611/VLOOKUP(CC611,discount,3,FALSE()))-(CJ611/VLOOKUP(CC611,discount,2,FALSE()))</f>
        <v>#NAME?</v>
      </c>
      <c r="CG611" s="253" t="e">
        <f aca="false">xSPRDOPT((VLOOKUP(G610,NGPREVPRICES,2,FALSE())+HLOOKUP(D610,PREVCURVES,VLOOKUP(G610,MOVE_DOWN2,2,FALSE()),FALSE())),VLOOKUP(G610,NGPREVPRICES,2,FALSE()),CK611,VLOOKUP(G610,NGPREVPRICES,4,FALSE()),HLOOKUP(D610,VOLS,VLOOKUP(G610,move_down,2,FALSE()),FALSE()),VLOOKUP(G610,NGPrices,3,FALSE()),HLOOKUP(D610,Correllate,VLOOKUP(G610,CorMove,2,FALSE()),FALSE()),Q610-$CD$3,R610,$CJ$5)*H610-CJ611</f>
        <v>#NAME?</v>
      </c>
      <c r="CH611" s="253" t="e">
        <f aca="false">xSPRDOPT((VLOOKUP(G610,NGPREVPRICES,2,FALSE())+HLOOKUP(D610,PREVCURVES,VLOOKUP(G610,MOVE_DOWN2,2,FALSE()),FALSE())),VLOOKUP(G610,NGPREVPRICES,2,FALSE()),CK611,VLOOKUP(G610,NGPREVPRICES,4,FALSE()),HLOOKUP(D610,PREVVOLS,VLOOKUP(G610,MOVE_DOWN2,2,FALSE()),FALSE()),VLOOKUP(G610,NGPREVPRICES,3,FALSE()),HLOOKUP(D610,Correllate,VLOOKUP(G610,CorMove,2,FALSE()),FALSE()),Q610-$C$3,R610,$CJ$5)*H610-CJ611</f>
        <v>#NAME?</v>
      </c>
      <c r="CI611" s="253" t="e">
        <f aca="false">SUM(CD611:CH611)</f>
        <v>#NAME?</v>
      </c>
      <c r="CJ611" s="253" t="e">
        <f aca="false">xSPRDOPT((VLOOKUP(G610,NGPREVPRICES,2,FALSE())+HLOOKUP(D610,PREVCURVES,VLOOKUP(G610,MOVE_DOWN2,2,FALSE()),FALSE())),VLOOKUP(G610,NGPREVPRICES,2,FALSE()),CK611,VLOOKUP(G610,NGPREVPRICES,4,FALSE()),HLOOKUP(D610,PREVVOLS,VLOOKUP(G610,MOVE_DOWN2,2,FALSE()),FALSE()),VLOOKUP(G610,NGPREVPRICES,3,FALSE()),HLOOKUP(D610,Correllate,VLOOKUP(G610,CorMove,2,FALSE()),FALSE()),Q610-$CD$3,R610,$CJ$5)*H610</f>
        <v>#NAME?</v>
      </c>
      <c r="CK611" s="254" t="n">
        <f aca="false">I610</f>
        <v>1</v>
      </c>
      <c r="CM611" s="0" t="str">
        <f aca="false">CONCATENATE(CC611,$CD$6)</f>
        <v>36831Curve Shift/Gamma</v>
      </c>
      <c r="CN611" s="0" t="str">
        <f aca="false">CONCATENATE($CC611,$CE$6)</f>
        <v>36831Rho</v>
      </c>
      <c r="CO611" s="0" t="str">
        <f aca="false">CONCATENATE($CC611,$CF$6)</f>
        <v>36831Drift</v>
      </c>
      <c r="CP611" s="0" t="str">
        <f aca="false">CONCATENATE($CC611,$CG$6)</f>
        <v>36831Vega</v>
      </c>
      <c r="CQ611" s="0" t="str">
        <f aca="false">CONCATENATE($CC611,$CH$6)</f>
        <v>36831Theta</v>
      </c>
    </row>
    <row r="612" customFormat="false" ht="12.75" hidden="false" customHeight="false" outlineLevel="0" collapsed="false">
      <c r="A612" s="17" t="s">
        <v>363</v>
      </c>
      <c r="B612" s="0" t="s">
        <v>192</v>
      </c>
      <c r="C612" s="0" t="s">
        <v>400</v>
      </c>
      <c r="D612" s="7" t="s">
        <v>149</v>
      </c>
      <c r="E612" s="0" t="s">
        <v>131</v>
      </c>
      <c r="F612" s="0" t="s">
        <v>136</v>
      </c>
      <c r="G612" s="92" t="n">
        <v>36831</v>
      </c>
      <c r="H612" s="248" t="n">
        <v>1000000</v>
      </c>
      <c r="I612" s="254" t="n">
        <v>1</v>
      </c>
      <c r="J612" s="124" t="n">
        <f aca="false">VLOOKUP(G612,NGPrices,2,FALSE())</f>
        <v>4.736</v>
      </c>
      <c r="K612" s="125" t="n">
        <f aca="false">HLOOKUP(D612,Prices,VLOOKUP(G612,move_down,2,FALSE()),FALSE())+VLOOKUP(G612,CHANGE,HLOOKUP(D612,CHANGE,2,FALSE()),FALSE())</f>
        <v>0.77</v>
      </c>
      <c r="L612" s="124" t="n">
        <f aca="false">K612+J612</f>
        <v>5.506</v>
      </c>
      <c r="M612" s="126" t="n">
        <f aca="false">VLOOKUP(G612,NGPrices,4,FALSE())</f>
        <v>0.06810675983792</v>
      </c>
      <c r="N612" s="7" t="n">
        <f aca="false">VLOOKUP(G612,NGPrices,3,FALSE())</f>
        <v>0.595</v>
      </c>
      <c r="O612" s="7" t="n">
        <f aca="false">HLOOKUP(D612,VOLS,VLOOKUP(G612,move_down,2,FALSE()),FALSE())</f>
        <v>0.625</v>
      </c>
      <c r="P612" s="249" t="n">
        <f aca="false">HLOOKUP(D612,Correllate,VLOOKUP(G612,CorMove,2,FALSE()),FALSE())</f>
        <v>0.89</v>
      </c>
      <c r="Q612" s="92" t="n">
        <f aca="false">WORKDAY(G612,-2)</f>
        <v>36829</v>
      </c>
      <c r="R612" s="7" t="n">
        <f aca="false">IF(F612="P",0,1)</f>
        <v>1</v>
      </c>
      <c r="S612" s="130" t="e">
        <f aca="false">xSPRDOPT($L612,$J612,$I612,$M612,$O612,$N612,$P612,$Q612-$C$3,$R612,0)</f>
        <v>#NAME?</v>
      </c>
      <c r="T612" s="250" t="e">
        <f aca="false">xSPRDOPT($L612,$J612,$I612,$M612,$O612,$N612,$P612,$Q612-$C$3,$R612,1)*H612</f>
        <v>#NAME?</v>
      </c>
      <c r="U612" s="43" t="e">
        <f aca="false">S612*H612</f>
        <v>#NAME?</v>
      </c>
      <c r="V612" s="250" t="e">
        <f aca="false">xSPRDOPT($L612,$J612,$I612,$M612,$O612,$N612,$P612,$Q612-$C$3,$R612,2)*H612</f>
        <v>#NAME?</v>
      </c>
      <c r="W612" s="250" t="e">
        <f aca="false">+V612+T612</f>
        <v>#NAME?</v>
      </c>
      <c r="X612" s="2" t="str">
        <f aca="false">CONCATENATE(G612,D612)</f>
        <v>36831IF-TRANSCO/Z6</v>
      </c>
      <c r="Y612" s="251" t="n">
        <f aca="false">H612/10000</f>
        <v>100</v>
      </c>
      <c r="Z612" s="226" t="e">
        <f aca="false">T612/H612</f>
        <v>#NAME?</v>
      </c>
      <c r="AA612" s="226" t="e">
        <f aca="false">xSPRDOPT($L612,$J612,$I612,$M612,$O612,$N612,$P612,$Q612-$C$3,$R612,3)</f>
        <v>#NAME?</v>
      </c>
      <c r="AB612" s="226" t="e">
        <f aca="false">((xSPRDOPT($L612+AB$5,$J612,$I612,$M612,$O612,$N612,$P612,$Q612-$C$3,$R612,3)*$H612)/10000)/100</f>
        <v>#NAME?</v>
      </c>
      <c r="AC612" s="226" t="e">
        <f aca="false">((xSPRDOPT($L612+$AB$5,$J612,$I612,$M612,$O612,$N612,$P612,$Q612-$C$3,$R612,7)*$H612)/100)</f>
        <v>#NAME?</v>
      </c>
      <c r="AD612" s="226" t="e">
        <f aca="false">(xSPRDOPT($L612+$AB$5,$J612,$I612,$M612,$O612,$N612,$P612,$Q612-$C$3,$R612,9)/365)*$H612</f>
        <v>#NAME?</v>
      </c>
      <c r="AE612" s="0" t="e">
        <f aca="false">CD613</f>
        <v>#NAME?</v>
      </c>
      <c r="AF612" s="226" t="e">
        <f aca="false">((O612/N612)*AH612)+AG612</f>
        <v>#NAME?</v>
      </c>
      <c r="AG612" s="226" t="e">
        <f aca="false">((xSPRDOPT($L612,$J612,$I612,$M612,$O612,$N612,$P612,$Q612-$C$3,$R612,6)*$H612)/100)</f>
        <v>#NAME?</v>
      </c>
      <c r="AH612" s="226" t="e">
        <f aca="false">((xSPRDOPT($L612,$J612,$I612,$M612,$O612,$N612,$P612,$Q612-$C$3,$R612,5)*$H612)/100)</f>
        <v>#NAME?</v>
      </c>
      <c r="AI612" s="226" t="e">
        <f aca="false">(((xSPRDOPT($L612,$J612,$I612,$M612,$O612,$N612,$P612,$Q612-$C$3,$R612,4)*$H612)/10000)/100)-AB612</f>
        <v>#NAME?</v>
      </c>
      <c r="AJ612" s="226"/>
      <c r="AK612" s="226"/>
      <c r="CC612" s="182" t="n">
        <f aca="false">G611</f>
        <v>36831</v>
      </c>
      <c r="CD612" s="253" t="e">
        <f aca="false">xSPRDOPT((VLOOKUP(G611,NGPrices,2,FALSE())+HLOOKUP(D611,Prices,VLOOKUP(G611,move_down,2,FALSE()),FALSE())),VLOOKUP(G611,NGPrices,2,FALSE()),I611,VLOOKUP(G611,NGPREVPRICES,4,FALSE()),HLOOKUP(D611,PREVVOLS,VLOOKUP(G611,MOVE_DOWN2,2,FALSE()),FALSE()),VLOOKUP(G611,NGPREVPRICES,3,FALSE()),HLOOKUP(D611,Correllate,VLOOKUP(G611,CorMove,2,FALSE()),FALSE()),Q611-$CD$3,R611,$CD$5)*H611-CJ612</f>
        <v>#NAME?</v>
      </c>
      <c r="CE612" s="253" t="e">
        <f aca="false">xSPRDOPT((VLOOKUP(G611,NGPREVPRICES,2,FALSE())+HLOOKUP(D611,PREVCURVES,VLOOKUP(G611,MOVE_DOWN2,2,FALSE()),FALSE())),VLOOKUP(G611,NGPREVPRICES,2,FALSE()),CK612,VLOOKUP(G611,NGPrices,4,FALSE()),HLOOKUP(D611,PREVVOLS,VLOOKUP(G611,MOVE_DOWN2,2,FALSE()),FALSE()),VLOOKUP(G611,NGPREVPRICES,3,FALSE()),HLOOKUP(D611,Correllate,VLOOKUP(G611,CorMove,2,FALSE()),FALSE()),Q611-$CD$3,R611,$CJ$5)*H611-CJ612</f>
        <v>#NAME?</v>
      </c>
      <c r="CF612" s="132" t="e">
        <f aca="false">(CJ612/VLOOKUP(CC612,discount,3,FALSE()))-(CJ612/VLOOKUP(CC612,discount,2,FALSE()))</f>
        <v>#NAME?</v>
      </c>
      <c r="CG612" s="253" t="e">
        <f aca="false">xSPRDOPT((VLOOKUP(G611,NGPREVPRICES,2,FALSE())+HLOOKUP(D611,PREVCURVES,VLOOKUP(G611,MOVE_DOWN2,2,FALSE()),FALSE())),VLOOKUP(G611,NGPREVPRICES,2,FALSE()),CK612,VLOOKUP(G611,NGPREVPRICES,4,FALSE()),HLOOKUP(D611,VOLS,VLOOKUP(G611,move_down,2,FALSE()),FALSE()),VLOOKUP(G611,NGPrices,3,FALSE()),HLOOKUP(D611,Correllate,VLOOKUP(G611,CorMove,2,FALSE()),FALSE()),Q611-$CD$3,R611,$CJ$5)*H611-CJ612</f>
        <v>#NAME?</v>
      </c>
      <c r="CH612" s="253" t="e">
        <f aca="false">xSPRDOPT((VLOOKUP(G611,NGPREVPRICES,2,FALSE())+HLOOKUP(D611,PREVCURVES,VLOOKUP(G611,MOVE_DOWN2,2,FALSE()),FALSE())),VLOOKUP(G611,NGPREVPRICES,2,FALSE()),CK612,VLOOKUP(G611,NGPREVPRICES,4,FALSE()),HLOOKUP(D611,PREVVOLS,VLOOKUP(G611,MOVE_DOWN2,2,FALSE()),FALSE()),VLOOKUP(G611,NGPREVPRICES,3,FALSE()),HLOOKUP(D611,Correllate,VLOOKUP(G611,CorMove,2,FALSE()),FALSE()),Q611-$C$3,R611,$CJ$5)*H611-CJ612</f>
        <v>#NAME?</v>
      </c>
      <c r="CI612" s="253" t="e">
        <f aca="false">SUM(CD612:CH612)</f>
        <v>#NAME?</v>
      </c>
      <c r="CJ612" s="253" t="e">
        <f aca="false">xSPRDOPT((VLOOKUP(G611,NGPREVPRICES,2,FALSE())+HLOOKUP(D611,PREVCURVES,VLOOKUP(G611,MOVE_DOWN2,2,FALSE()),FALSE())),VLOOKUP(G611,NGPREVPRICES,2,FALSE()),CK612,VLOOKUP(G611,NGPREVPRICES,4,FALSE()),HLOOKUP(D611,PREVVOLS,VLOOKUP(G611,MOVE_DOWN2,2,FALSE()),FALSE()),VLOOKUP(G611,NGPREVPRICES,3,FALSE()),HLOOKUP(D611,Correllate,VLOOKUP(G611,CorMove,2,FALSE()),FALSE()),Q611-$CD$3,R611,$CJ$5)*H611</f>
        <v>#NAME?</v>
      </c>
      <c r="CK612" s="254" t="n">
        <f aca="false">I611</f>
        <v>1.5</v>
      </c>
      <c r="CM612" s="0" t="str">
        <f aca="false">CONCATENATE(CC612,$CD$6)</f>
        <v>36831Curve Shift/Gamma</v>
      </c>
      <c r="CN612" s="0" t="str">
        <f aca="false">CONCATENATE($CC612,$CE$6)</f>
        <v>36831Rho</v>
      </c>
      <c r="CO612" s="0" t="str">
        <f aca="false">CONCATENATE($CC612,$CF$6)</f>
        <v>36831Drift</v>
      </c>
      <c r="CP612" s="0" t="str">
        <f aca="false">CONCATENATE($CC612,$CG$6)</f>
        <v>36831Vega</v>
      </c>
      <c r="CQ612" s="0" t="str">
        <f aca="false">CONCATENATE($CC612,$CH$6)</f>
        <v>36831Theta</v>
      </c>
    </row>
    <row r="613" customFormat="false" ht="12.75" hidden="false" customHeight="false" outlineLevel="0" collapsed="false">
      <c r="A613" s="17" t="s">
        <v>275</v>
      </c>
      <c r="B613" s="0" t="s">
        <v>192</v>
      </c>
      <c r="C613" s="0" t="s">
        <v>401</v>
      </c>
      <c r="D613" s="7" t="s">
        <v>149</v>
      </c>
      <c r="E613" s="0" t="s">
        <v>131</v>
      </c>
      <c r="F613" s="0" t="s">
        <v>136</v>
      </c>
      <c r="G613" s="92" t="n">
        <v>36831</v>
      </c>
      <c r="H613" s="248" t="n">
        <v>600000</v>
      </c>
      <c r="I613" s="254" t="n">
        <v>3</v>
      </c>
      <c r="J613" s="124" t="n">
        <f aca="false">VLOOKUP(G613,NGPrices,2,FALSE())</f>
        <v>4.736</v>
      </c>
      <c r="K613" s="125" t="n">
        <f aca="false">HLOOKUP(D613,Prices,VLOOKUP(G613,move_down,2,FALSE()),FALSE())+VLOOKUP(G613,CHANGE,HLOOKUP(D613,CHANGE,2,FALSE()),FALSE())</f>
        <v>0.77</v>
      </c>
      <c r="L613" s="124" t="n">
        <f aca="false">K613+J613</f>
        <v>5.506</v>
      </c>
      <c r="M613" s="126" t="n">
        <f aca="false">VLOOKUP(G613,NGPrices,4,FALSE())</f>
        <v>0.06810675983792</v>
      </c>
      <c r="N613" s="7" t="n">
        <f aca="false">VLOOKUP(G613,NGPrices,3,FALSE())</f>
        <v>0.595</v>
      </c>
      <c r="O613" s="7" t="n">
        <f aca="false">HLOOKUP(D613,VOLS,VLOOKUP(G613,move_down,2,FALSE()),FALSE())</f>
        <v>0.625</v>
      </c>
      <c r="P613" s="249" t="n">
        <f aca="false">HLOOKUP(D613,Correllate,VLOOKUP(G613,CorMove,2,FALSE()),FALSE())</f>
        <v>0.89</v>
      </c>
      <c r="Q613" s="92" t="n">
        <f aca="false">WORKDAY(G613,-2)</f>
        <v>36829</v>
      </c>
      <c r="R613" s="7" t="n">
        <f aca="false">IF(F613="P",0,1)</f>
        <v>1</v>
      </c>
      <c r="S613" s="130" t="e">
        <f aca="false">xSPRDOPT($L613,$J613,$I613,$M613,$O613,$N613,$P613,$Q613-$C$3,$R613,0)</f>
        <v>#NAME?</v>
      </c>
      <c r="T613" s="250" t="e">
        <f aca="false">xSPRDOPT($L613,$J613,$I613,$M613,$O613,$N613,$P613,$Q613-$C$3,$R613,1)*H613</f>
        <v>#NAME?</v>
      </c>
      <c r="U613" s="43" t="e">
        <f aca="false">S613*H613</f>
        <v>#NAME?</v>
      </c>
      <c r="V613" s="250" t="e">
        <f aca="false">xSPRDOPT($L613,$J613,$I613,$M613,$O613,$N613,$P613,$Q613-$C$3,$R613,2)*H613</f>
        <v>#NAME?</v>
      </c>
      <c r="W613" s="250" t="e">
        <f aca="false">+V613+T613</f>
        <v>#NAME?</v>
      </c>
      <c r="X613" s="2" t="str">
        <f aca="false">CONCATENATE(G613,D613)</f>
        <v>36831IF-TRANSCO/Z6</v>
      </c>
      <c r="Y613" s="251" t="n">
        <f aca="false">H613/10000</f>
        <v>60</v>
      </c>
      <c r="Z613" s="226" t="e">
        <f aca="false">T613/H613</f>
        <v>#NAME?</v>
      </c>
      <c r="AA613" s="226" t="e">
        <f aca="false">xSPRDOPT($L613,$J613,$I613,$M613,$O613,$N613,$P613,$Q613-$C$3,$R613,3)</f>
        <v>#NAME?</v>
      </c>
      <c r="AB613" s="226" t="e">
        <f aca="false">((xSPRDOPT($L613+AB$5,$J613,$I613,$M613,$O613,$N613,$P613,$Q613-$C$3,$R613,3)*$H613)/10000)/100</f>
        <v>#NAME?</v>
      </c>
      <c r="AC613" s="226" t="e">
        <f aca="false">((xSPRDOPT($L613+$AB$5,$J613,$I613,$M613,$O613,$N613,$P613,$Q613-$C$3,$R613,7)*$H613)/100)</f>
        <v>#NAME?</v>
      </c>
      <c r="AD613" s="226" t="e">
        <f aca="false">(xSPRDOPT($L613+$AB$5,$J613,$I613,$M613,$O613,$N613,$P613,$Q613-$C$3,$R613,9)/365)*$H613</f>
        <v>#NAME?</v>
      </c>
      <c r="AE613" s="0" t="e">
        <f aca="false">CD614</f>
        <v>#NAME?</v>
      </c>
      <c r="AF613" s="226" t="e">
        <f aca="false">((O613/N613)*AH613)+AG613</f>
        <v>#NAME?</v>
      </c>
      <c r="AG613" s="226" t="e">
        <f aca="false">((xSPRDOPT($L613,$J613,$I613,$M613,$O613,$N613,$P613,$Q613-$C$3,$R613,6)*$H613)/100)</f>
        <v>#NAME?</v>
      </c>
      <c r="AH613" s="226" t="e">
        <f aca="false">((xSPRDOPT($L613,$J613,$I613,$M613,$O613,$N613,$P613,$Q613-$C$3,$R613,5)*$H613)/100)</f>
        <v>#NAME?</v>
      </c>
      <c r="AI613" s="226" t="e">
        <f aca="false">(((xSPRDOPT($L613,$J613,$I613,$M613,$O613,$N613,$P613,$Q613-$C$3,$R613,4)*$H613)/10000)/100)-AB613</f>
        <v>#NAME?</v>
      </c>
      <c r="AJ613" s="226"/>
      <c r="AK613" s="226"/>
      <c r="CC613" s="182" t="n">
        <f aca="false">G612</f>
        <v>36831</v>
      </c>
      <c r="CD613" s="253" t="e">
        <f aca="false">xSPRDOPT((VLOOKUP(G612,NGPrices,2,FALSE())+HLOOKUP(D612,Prices,VLOOKUP(G612,move_down,2,FALSE()),FALSE())),VLOOKUP(G612,NGPrices,2,FALSE()),I612,VLOOKUP(G612,NGPREVPRICES,4,FALSE()),HLOOKUP(D612,PREVVOLS,VLOOKUP(G612,MOVE_DOWN2,2,FALSE()),FALSE()),VLOOKUP(G612,NGPREVPRICES,3,FALSE()),HLOOKUP(D612,Correllate,VLOOKUP(G612,CorMove,2,FALSE()),FALSE()),Q612-$CD$3,R612,$CD$5)*H612-CJ613</f>
        <v>#NAME?</v>
      </c>
      <c r="CE613" s="253" t="e">
        <f aca="false">xSPRDOPT((VLOOKUP(G612,NGPREVPRICES,2,FALSE())+HLOOKUP(D612,PREVCURVES,VLOOKUP(G612,MOVE_DOWN2,2,FALSE()),FALSE())),VLOOKUP(G612,NGPREVPRICES,2,FALSE()),CK613,VLOOKUP(G612,NGPrices,4,FALSE()),HLOOKUP(D612,PREVVOLS,VLOOKUP(G612,MOVE_DOWN2,2,FALSE()),FALSE()),VLOOKUP(G612,NGPREVPRICES,3,FALSE()),HLOOKUP(D612,Correllate,VLOOKUP(G612,CorMove,2,FALSE()),FALSE()),Q612-$CD$3,R612,$CJ$5)*H612-CJ613</f>
        <v>#NAME?</v>
      </c>
      <c r="CF613" s="132" t="e">
        <f aca="false">(CJ613/VLOOKUP(CC613,discount,3,FALSE()))-(CJ613/VLOOKUP(CC613,discount,2,FALSE()))</f>
        <v>#NAME?</v>
      </c>
      <c r="CG613" s="253" t="e">
        <f aca="false">xSPRDOPT((VLOOKUP(G612,NGPREVPRICES,2,FALSE())+HLOOKUP(D612,PREVCURVES,VLOOKUP(G612,MOVE_DOWN2,2,FALSE()),FALSE())),VLOOKUP(G612,NGPREVPRICES,2,FALSE()),CK613,VLOOKUP(G612,NGPREVPRICES,4,FALSE()),HLOOKUP(D612,VOLS,VLOOKUP(G612,move_down,2,FALSE()),FALSE()),VLOOKUP(G612,NGPrices,3,FALSE()),HLOOKUP(D612,Correllate,VLOOKUP(G612,CorMove,2,FALSE()),FALSE()),Q612-$CD$3,R612,$CJ$5)*H612-CJ613</f>
        <v>#NAME?</v>
      </c>
      <c r="CH613" s="253" t="e">
        <f aca="false">xSPRDOPT((VLOOKUP(G612,NGPREVPRICES,2,FALSE())+HLOOKUP(D612,PREVCURVES,VLOOKUP(G612,MOVE_DOWN2,2,FALSE()),FALSE())),VLOOKUP(G612,NGPREVPRICES,2,FALSE()),CK613,VLOOKUP(G612,NGPREVPRICES,4,FALSE()),HLOOKUP(D612,PREVVOLS,VLOOKUP(G612,MOVE_DOWN2,2,FALSE()),FALSE()),VLOOKUP(G612,NGPREVPRICES,3,FALSE()),HLOOKUP(D612,Correllate,VLOOKUP(G612,CorMove,2,FALSE()),FALSE()),Q612-$C$3,R612,$CJ$5)*H612-CJ613</f>
        <v>#NAME?</v>
      </c>
      <c r="CI613" s="253" t="e">
        <f aca="false">SUM(CD613:CH613)</f>
        <v>#NAME?</v>
      </c>
      <c r="CJ613" s="253" t="e">
        <f aca="false">xSPRDOPT((VLOOKUP(G612,NGPREVPRICES,2,FALSE())+HLOOKUP(D612,PREVCURVES,VLOOKUP(G612,MOVE_DOWN2,2,FALSE()),FALSE())),VLOOKUP(G612,NGPREVPRICES,2,FALSE()),CK613,VLOOKUP(G612,NGPREVPRICES,4,FALSE()),HLOOKUP(D612,PREVVOLS,VLOOKUP(G612,MOVE_DOWN2,2,FALSE()),FALSE()),VLOOKUP(G612,NGPREVPRICES,3,FALSE()),HLOOKUP(D612,Correllate,VLOOKUP(G612,CorMove,2,FALSE()),FALSE()),Q612-$CD$3,R612,$CJ$5)*H612</f>
        <v>#NAME?</v>
      </c>
      <c r="CK613" s="254" t="n">
        <f aca="false">I612</f>
        <v>1</v>
      </c>
      <c r="CM613" s="0" t="str">
        <f aca="false">CONCATENATE(CC613,$CD$6)</f>
        <v>36831Curve Shift/Gamma</v>
      </c>
      <c r="CN613" s="0" t="str">
        <f aca="false">CONCATENATE($CC613,$CE$6)</f>
        <v>36831Rho</v>
      </c>
      <c r="CO613" s="0" t="str">
        <f aca="false">CONCATENATE($CC613,$CF$6)</f>
        <v>36831Drift</v>
      </c>
      <c r="CP613" s="0" t="str">
        <f aca="false">CONCATENATE($CC613,$CG$6)</f>
        <v>36831Vega</v>
      </c>
      <c r="CQ613" s="0" t="str">
        <f aca="false">CONCATENATE($CC613,$CH$6)</f>
        <v>36831Theta</v>
      </c>
    </row>
    <row r="614" customFormat="false" ht="12.75" hidden="false" customHeight="false" outlineLevel="0" collapsed="false">
      <c r="A614" s="17" t="s">
        <v>275</v>
      </c>
      <c r="B614" s="0" t="s">
        <v>192</v>
      </c>
      <c r="C614" s="0" t="s">
        <v>401</v>
      </c>
      <c r="D614" s="7" t="s">
        <v>149</v>
      </c>
      <c r="E614" s="0" t="s">
        <v>131</v>
      </c>
      <c r="F614" s="0" t="s">
        <v>136</v>
      </c>
      <c r="G614" s="92" t="n">
        <v>36861</v>
      </c>
      <c r="H614" s="248" t="n">
        <v>620000</v>
      </c>
      <c r="I614" s="254" t="n">
        <v>3</v>
      </c>
      <c r="J614" s="124" t="n">
        <f aca="false">VLOOKUP(G614,NGPrices,2,FALSE())</f>
        <v>4.8</v>
      </c>
      <c r="K614" s="125" t="n">
        <f aca="false">HLOOKUP(D614,Prices,VLOOKUP(G614,move_down,2,FALSE()),FALSE())+VLOOKUP(G614,CHANGE,HLOOKUP(D614,CHANGE,2,FALSE()),FALSE())</f>
        <v>1.645</v>
      </c>
      <c r="L614" s="124" t="n">
        <f aca="false">K614+J614</f>
        <v>6.445</v>
      </c>
      <c r="M614" s="126" t="n">
        <f aca="false">VLOOKUP(G614,NGPrices,4,FALSE())</f>
        <v>0.068314027999354</v>
      </c>
      <c r="N614" s="7" t="n">
        <f aca="false">VLOOKUP(G614,NGPrices,3,FALSE())</f>
        <v>0.6</v>
      </c>
      <c r="O614" s="7" t="n">
        <f aca="false">HLOOKUP(D614,VOLS,VLOOKUP(G614,move_down,2,FALSE()),FALSE())</f>
        <v>0.69</v>
      </c>
      <c r="P614" s="249" t="n">
        <f aca="false">HLOOKUP(D614,Correllate,VLOOKUP(G614,CorMove,2,FALSE()),FALSE())</f>
        <v>0.83</v>
      </c>
      <c r="Q614" s="92" t="n">
        <f aca="false">WORKDAY(G614,-2)</f>
        <v>36859</v>
      </c>
      <c r="R614" s="7" t="n">
        <f aca="false">IF(F614="P",0,1)</f>
        <v>1</v>
      </c>
      <c r="S614" s="130" t="e">
        <f aca="false">xSPRDOPT($L614,$J614,$I614,$M614,$O614,$N614,$P614,$Q614-$C$3,$R614,0)</f>
        <v>#NAME?</v>
      </c>
      <c r="T614" s="250" t="e">
        <f aca="false">xSPRDOPT($L614,$J614,$I614,$M614,$O614,$N614,$P614,$Q614-$C$3,$R614,1)*H614</f>
        <v>#NAME?</v>
      </c>
      <c r="U614" s="43" t="e">
        <f aca="false">S614*H614</f>
        <v>#NAME?</v>
      </c>
      <c r="V614" s="250" t="e">
        <f aca="false">xSPRDOPT($L614,$J614,$I614,$M614,$O614,$N614,$P614,$Q614-$C$3,$R614,2)*H614</f>
        <v>#NAME?</v>
      </c>
      <c r="W614" s="250" t="e">
        <f aca="false">+V614+T614</f>
        <v>#NAME?</v>
      </c>
      <c r="X614" s="2" t="str">
        <f aca="false">CONCATENATE(G614,D614)</f>
        <v>36861IF-TRANSCO/Z6</v>
      </c>
      <c r="Y614" s="251" t="n">
        <f aca="false">H614/10000</f>
        <v>62</v>
      </c>
      <c r="Z614" s="226" t="e">
        <f aca="false">T614/H614</f>
        <v>#NAME?</v>
      </c>
      <c r="AA614" s="226" t="e">
        <f aca="false">xSPRDOPT($L614,$J614,$I614,$M614,$O614,$N614,$P614,$Q614-$C$3,$R614,3)</f>
        <v>#NAME?</v>
      </c>
      <c r="AB614" s="226" t="e">
        <f aca="false">((xSPRDOPT($L614+AB$5,$J614,$I614,$M614,$O614,$N614,$P614,$Q614-$C$3,$R614,3)*$H614)/10000)/100</f>
        <v>#NAME?</v>
      </c>
      <c r="AC614" s="226" t="e">
        <f aca="false">((xSPRDOPT($L614+$AB$5,$J614,$I614,$M614,$O614,$N614,$P614,$Q614-$C$3,$R614,7)*$H614)/100)</f>
        <v>#NAME?</v>
      </c>
      <c r="AD614" s="226" t="e">
        <f aca="false">(xSPRDOPT($L614+$AB$5,$J614,$I614,$M614,$O614,$N614,$P614,$Q614-$C$3,$R614,9)/365)*$H614</f>
        <v>#NAME?</v>
      </c>
      <c r="AE614" s="0" t="e">
        <f aca="false">CD615</f>
        <v>#NAME?</v>
      </c>
      <c r="AF614" s="226" t="e">
        <f aca="false">((O614/N614)*AH614)+AG614</f>
        <v>#NAME?</v>
      </c>
      <c r="AG614" s="226" t="e">
        <f aca="false">((xSPRDOPT($L614,$J614,$I614,$M614,$O614,$N614,$P614,$Q614-$C$3,$R614,6)*$H614)/100)</f>
        <v>#NAME?</v>
      </c>
      <c r="AH614" s="226" t="e">
        <f aca="false">((xSPRDOPT($L614,$J614,$I614,$M614,$O614,$N614,$P614,$Q614-$C$3,$R614,5)*$H614)/100)</f>
        <v>#NAME?</v>
      </c>
      <c r="AI614" s="226" t="e">
        <f aca="false">(((xSPRDOPT($L614,$J614,$I614,$M614,$O614,$N614,$P614,$Q614-$C$3,$R614,4)*$H614)/10000)/100)-AB614</f>
        <v>#NAME?</v>
      </c>
      <c r="AJ614" s="226"/>
      <c r="AK614" s="226"/>
      <c r="CC614" s="182" t="n">
        <f aca="false">G613</f>
        <v>36831</v>
      </c>
      <c r="CD614" s="253" t="e">
        <f aca="false">xSPRDOPT((VLOOKUP(G613,NGPrices,2,FALSE())+HLOOKUP(D613,Prices,VLOOKUP(G613,move_down,2,FALSE()),FALSE())),VLOOKUP(G613,NGPrices,2,FALSE()),I613,VLOOKUP(G613,NGPREVPRICES,4,FALSE()),HLOOKUP(D613,PREVVOLS,VLOOKUP(G613,MOVE_DOWN2,2,FALSE()),FALSE()),VLOOKUP(G613,NGPREVPRICES,3,FALSE()),HLOOKUP(D613,Correllate,VLOOKUP(G613,CorMove,2,FALSE()),FALSE()),Q613-$CD$3,R613,$CD$5)*H613-CJ614</f>
        <v>#NAME?</v>
      </c>
      <c r="CE614" s="253" t="e">
        <f aca="false">xSPRDOPT((VLOOKUP(G613,NGPREVPRICES,2,FALSE())+HLOOKUP(D613,PREVCURVES,VLOOKUP(G613,MOVE_DOWN2,2,FALSE()),FALSE())),VLOOKUP(G613,NGPREVPRICES,2,FALSE()),CK614,VLOOKUP(G613,NGPrices,4,FALSE()),HLOOKUP(D613,PREVVOLS,VLOOKUP(G613,MOVE_DOWN2,2,FALSE()),FALSE()),VLOOKUP(G613,NGPREVPRICES,3,FALSE()),HLOOKUP(D613,Correllate,VLOOKUP(G613,CorMove,2,FALSE()),FALSE()),Q613-$CD$3,R613,$CJ$5)*H613-CJ614</f>
        <v>#NAME?</v>
      </c>
      <c r="CF614" s="132" t="e">
        <f aca="false">(CJ614/VLOOKUP(CC614,discount,3,FALSE()))-(CJ614/VLOOKUP(CC614,discount,2,FALSE()))</f>
        <v>#NAME?</v>
      </c>
      <c r="CG614" s="253" t="e">
        <f aca="false">xSPRDOPT((VLOOKUP(G613,NGPREVPRICES,2,FALSE())+HLOOKUP(D613,PREVCURVES,VLOOKUP(G613,MOVE_DOWN2,2,FALSE()),FALSE())),VLOOKUP(G613,NGPREVPRICES,2,FALSE()),CK614,VLOOKUP(G613,NGPREVPRICES,4,FALSE()),HLOOKUP(D613,VOLS,VLOOKUP(G613,move_down,2,FALSE()),FALSE()),VLOOKUP(G613,NGPrices,3,FALSE()),HLOOKUP(D613,Correllate,VLOOKUP(G613,CorMove,2,FALSE()),FALSE()),Q613-$CD$3,R613,$CJ$5)*H613-CJ614</f>
        <v>#NAME?</v>
      </c>
      <c r="CH614" s="253" t="e">
        <f aca="false">xSPRDOPT((VLOOKUP(G613,NGPREVPRICES,2,FALSE())+HLOOKUP(D613,PREVCURVES,VLOOKUP(G613,MOVE_DOWN2,2,FALSE()),FALSE())),VLOOKUP(G613,NGPREVPRICES,2,FALSE()),CK614,VLOOKUP(G613,NGPREVPRICES,4,FALSE()),HLOOKUP(D613,PREVVOLS,VLOOKUP(G613,MOVE_DOWN2,2,FALSE()),FALSE()),VLOOKUP(G613,NGPREVPRICES,3,FALSE()),HLOOKUP(D613,Correllate,VLOOKUP(G613,CorMove,2,FALSE()),FALSE()),Q613-$C$3,R613,$CJ$5)*H613-CJ614</f>
        <v>#NAME?</v>
      </c>
      <c r="CI614" s="253" t="e">
        <f aca="false">SUM(CD614:CH614)</f>
        <v>#NAME?</v>
      </c>
      <c r="CJ614" s="253" t="e">
        <f aca="false">xSPRDOPT((VLOOKUP(G613,NGPREVPRICES,2,FALSE())+HLOOKUP(D613,PREVCURVES,VLOOKUP(G613,MOVE_DOWN2,2,FALSE()),FALSE())),VLOOKUP(G613,NGPREVPRICES,2,FALSE()),CK614,VLOOKUP(G613,NGPREVPRICES,4,FALSE()),HLOOKUP(D613,PREVVOLS,VLOOKUP(G613,MOVE_DOWN2,2,FALSE()),FALSE()),VLOOKUP(G613,NGPREVPRICES,3,FALSE()),HLOOKUP(D613,Correllate,VLOOKUP(G613,CorMove,2,FALSE()),FALSE()),Q613-$CD$3,R613,$CJ$5)*H613</f>
        <v>#NAME?</v>
      </c>
      <c r="CK614" s="254" t="n">
        <f aca="false">I613</f>
        <v>3</v>
      </c>
      <c r="CM614" s="0" t="str">
        <f aca="false">CONCATENATE(CC614,$CD$6)</f>
        <v>36831Curve Shift/Gamma</v>
      </c>
      <c r="CN614" s="0" t="str">
        <f aca="false">CONCATENATE($CC614,$CE$6)</f>
        <v>36831Rho</v>
      </c>
      <c r="CO614" s="0" t="str">
        <f aca="false">CONCATENATE($CC614,$CF$6)</f>
        <v>36831Drift</v>
      </c>
      <c r="CP614" s="0" t="str">
        <f aca="false">CONCATENATE($CC614,$CG$6)</f>
        <v>36831Vega</v>
      </c>
      <c r="CQ614" s="0" t="str">
        <f aca="false">CONCATENATE($CC614,$CH$6)</f>
        <v>36831Theta</v>
      </c>
    </row>
    <row r="615" customFormat="false" ht="12.75" hidden="false" customHeight="false" outlineLevel="0" collapsed="false">
      <c r="A615" s="17" t="s">
        <v>275</v>
      </c>
      <c r="B615" s="0" t="s">
        <v>192</v>
      </c>
      <c r="C615" s="0" t="s">
        <v>401</v>
      </c>
      <c r="D615" s="7" t="s">
        <v>149</v>
      </c>
      <c r="E615" s="0" t="s">
        <v>131</v>
      </c>
      <c r="F615" s="0" t="s">
        <v>136</v>
      </c>
      <c r="G615" s="92" t="n">
        <v>36892</v>
      </c>
      <c r="H615" s="248" t="n">
        <v>620000</v>
      </c>
      <c r="I615" s="254" t="n">
        <v>3</v>
      </c>
      <c r="J615" s="124" t="n">
        <f aca="false">VLOOKUP(G615,NGPrices,2,FALSE())</f>
        <v>4.744</v>
      </c>
      <c r="K615" s="125" t="n">
        <f aca="false">HLOOKUP(D615,Prices,VLOOKUP(G615,move_down,2,FALSE()),FALSE())+VLOOKUP(G615,CHANGE,HLOOKUP(D615,CHANGE,2,FALSE()),FALSE())</f>
        <v>2.17</v>
      </c>
      <c r="L615" s="124" t="n">
        <f aca="false">K615+J615</f>
        <v>6.914</v>
      </c>
      <c r="M615" s="126" t="n">
        <f aca="false">VLOOKUP(G615,NGPrices,4,FALSE())</f>
        <v>0.068374831148491</v>
      </c>
      <c r="N615" s="7" t="n">
        <f aca="false">VLOOKUP(G615,NGPrices,3,FALSE())</f>
        <v>0.605</v>
      </c>
      <c r="O615" s="7" t="n">
        <f aca="false">HLOOKUP(D615,VOLS,VLOOKUP(G615,move_down,2,FALSE()),FALSE())</f>
        <v>0.696</v>
      </c>
      <c r="P615" s="249" t="n">
        <f aca="false">HLOOKUP(D615,Correllate,VLOOKUP(G615,CorMove,2,FALSE()),FALSE())</f>
        <v>0.83</v>
      </c>
      <c r="Q615" s="92" t="n">
        <f aca="false">WORKDAY(G615,-2)</f>
        <v>36888</v>
      </c>
      <c r="R615" s="7" t="n">
        <f aca="false">IF(F615="P",0,1)</f>
        <v>1</v>
      </c>
      <c r="S615" s="130" t="e">
        <f aca="false">xSPRDOPT($L615,$J615,$I615,$M615,$O615,$N615,$P615,$Q615-$C$3,$R615,0)</f>
        <v>#NAME?</v>
      </c>
      <c r="T615" s="250" t="e">
        <f aca="false">xSPRDOPT($L615,$J615,$I615,$M615,$O615,$N615,$P615,$Q615-$C$3,$R615,1)*H615</f>
        <v>#NAME?</v>
      </c>
      <c r="U615" s="43" t="e">
        <f aca="false">S615*H615</f>
        <v>#NAME?</v>
      </c>
      <c r="V615" s="250" t="e">
        <f aca="false">xSPRDOPT($L615,$J615,$I615,$M615,$O615,$N615,$P615,$Q615-$C$3,$R615,2)*H615</f>
        <v>#NAME?</v>
      </c>
      <c r="W615" s="250" t="e">
        <f aca="false">+V615+T615</f>
        <v>#NAME?</v>
      </c>
      <c r="X615" s="2" t="str">
        <f aca="false">CONCATENATE(G615,D615)</f>
        <v>36892IF-TRANSCO/Z6</v>
      </c>
      <c r="Y615" s="251" t="n">
        <f aca="false">H615/10000</f>
        <v>62</v>
      </c>
      <c r="Z615" s="226" t="e">
        <f aca="false">T615/H615</f>
        <v>#NAME?</v>
      </c>
      <c r="AA615" s="226" t="e">
        <f aca="false">xSPRDOPT($L615,$J615,$I615,$M615,$O615,$N615,$P615,$Q615-$C$3,$R615,3)</f>
        <v>#NAME?</v>
      </c>
      <c r="AB615" s="226" t="e">
        <f aca="false">((xSPRDOPT($L615+AB$5,$J615,$I615,$M615,$O615,$N615,$P615,$Q615-$C$3,$R615,3)*$H615)/10000)/100</f>
        <v>#NAME?</v>
      </c>
      <c r="AC615" s="226" t="e">
        <f aca="false">((xSPRDOPT($L615+$AB$5,$J615,$I615,$M615,$O615,$N615,$P615,$Q615-$C$3,$R615,7)*$H615)/100)</f>
        <v>#NAME?</v>
      </c>
      <c r="AD615" s="226" t="e">
        <f aca="false">(xSPRDOPT($L615+$AB$5,$J615,$I615,$M615,$O615,$N615,$P615,$Q615-$C$3,$R615,9)/365)*$H615</f>
        <v>#NAME?</v>
      </c>
      <c r="AE615" s="0" t="e">
        <f aca="false">CD616</f>
        <v>#NAME?</v>
      </c>
      <c r="AF615" s="226" t="e">
        <f aca="false">((O615/N615)*AH615)+AG615</f>
        <v>#NAME?</v>
      </c>
      <c r="AG615" s="226" t="e">
        <f aca="false">((xSPRDOPT($L615,$J615,$I615,$M615,$O615,$N615,$P615,$Q615-$C$3,$R615,6)*$H615)/100)</f>
        <v>#NAME?</v>
      </c>
      <c r="AH615" s="226" t="e">
        <f aca="false">((xSPRDOPT($L615,$J615,$I615,$M615,$O615,$N615,$P615,$Q615-$C$3,$R615,5)*$H615)/100)</f>
        <v>#NAME?</v>
      </c>
      <c r="AI615" s="226" t="e">
        <f aca="false">(((xSPRDOPT($L615,$J615,$I615,$M615,$O615,$N615,$P615,$Q615-$C$3,$R615,4)*$H615)/10000)/100)-AB615</f>
        <v>#NAME?</v>
      </c>
      <c r="AJ615" s="226"/>
      <c r="AK615" s="226"/>
      <c r="CC615" s="182" t="n">
        <f aca="false">G614</f>
        <v>36861</v>
      </c>
      <c r="CD615" s="253" t="e">
        <f aca="false">xSPRDOPT((VLOOKUP(G614,NGPrices,2,FALSE())+HLOOKUP(D614,Prices,VLOOKUP(G614,move_down,2,FALSE()),FALSE())),VLOOKUP(G614,NGPrices,2,FALSE()),I614,VLOOKUP(G614,NGPREVPRICES,4,FALSE()),HLOOKUP(D614,PREVVOLS,VLOOKUP(G614,MOVE_DOWN2,2,FALSE()),FALSE()),VLOOKUP(G614,NGPREVPRICES,3,FALSE()),HLOOKUP(D614,Correllate,VLOOKUP(G614,CorMove,2,FALSE()),FALSE()),Q614-$CD$3,R614,$CD$5)*H614-CJ615</f>
        <v>#NAME?</v>
      </c>
      <c r="CE615" s="253" t="e">
        <f aca="false">xSPRDOPT((VLOOKUP(G614,NGPREVPRICES,2,FALSE())+HLOOKUP(D614,PREVCURVES,VLOOKUP(G614,MOVE_DOWN2,2,FALSE()),FALSE())),VLOOKUP(G614,NGPREVPRICES,2,FALSE()),CK615,VLOOKUP(G614,NGPrices,4,FALSE()),HLOOKUP(D614,PREVVOLS,VLOOKUP(G614,MOVE_DOWN2,2,FALSE()),FALSE()),VLOOKUP(G614,NGPREVPRICES,3,FALSE()),HLOOKUP(D614,Correllate,VLOOKUP(G614,CorMove,2,FALSE()),FALSE()),Q614-$CD$3,R614,$CJ$5)*H614-CJ615</f>
        <v>#NAME?</v>
      </c>
      <c r="CF615" s="132" t="e">
        <f aca="false">(CJ615/VLOOKUP(CC615,discount,3,FALSE()))-(CJ615/VLOOKUP(CC615,discount,2,FALSE()))</f>
        <v>#NAME?</v>
      </c>
      <c r="CG615" s="253" t="e">
        <f aca="false">xSPRDOPT((VLOOKUP(G614,NGPREVPRICES,2,FALSE())+HLOOKUP(D614,PREVCURVES,VLOOKUP(G614,MOVE_DOWN2,2,FALSE()),FALSE())),VLOOKUP(G614,NGPREVPRICES,2,FALSE()),CK615,VLOOKUP(G614,NGPREVPRICES,4,FALSE()),HLOOKUP(D614,VOLS,VLOOKUP(G614,move_down,2,FALSE()),FALSE()),VLOOKUP(G614,NGPrices,3,FALSE()),HLOOKUP(D614,Correllate,VLOOKUP(G614,CorMove,2,FALSE()),FALSE()),Q614-$CD$3,R614,$CJ$5)*H614-CJ615</f>
        <v>#NAME?</v>
      </c>
      <c r="CH615" s="253" t="e">
        <f aca="false">xSPRDOPT((VLOOKUP(G614,NGPREVPRICES,2,FALSE())+HLOOKUP(D614,PREVCURVES,VLOOKUP(G614,MOVE_DOWN2,2,FALSE()),FALSE())),VLOOKUP(G614,NGPREVPRICES,2,FALSE()),CK615,VLOOKUP(G614,NGPREVPRICES,4,FALSE()),HLOOKUP(D614,PREVVOLS,VLOOKUP(G614,MOVE_DOWN2,2,FALSE()),FALSE()),VLOOKUP(G614,NGPREVPRICES,3,FALSE()),HLOOKUP(D614,Correllate,VLOOKUP(G614,CorMove,2,FALSE()),FALSE()),Q614-$C$3,R614,$CJ$5)*H614-CJ615</f>
        <v>#NAME?</v>
      </c>
      <c r="CI615" s="253" t="e">
        <f aca="false">SUM(CD615:CH615)</f>
        <v>#NAME?</v>
      </c>
      <c r="CJ615" s="253" t="e">
        <f aca="false">xSPRDOPT((VLOOKUP(G614,NGPREVPRICES,2,FALSE())+HLOOKUP(D614,PREVCURVES,VLOOKUP(G614,MOVE_DOWN2,2,FALSE()),FALSE())),VLOOKUP(G614,NGPREVPRICES,2,FALSE()),CK615,VLOOKUP(G614,NGPREVPRICES,4,FALSE()),HLOOKUP(D614,PREVVOLS,VLOOKUP(G614,MOVE_DOWN2,2,FALSE()),FALSE()),VLOOKUP(G614,NGPREVPRICES,3,FALSE()),HLOOKUP(D614,Correllate,VLOOKUP(G614,CorMove,2,FALSE()),FALSE()),Q614-$CD$3,R614,$CJ$5)*H614</f>
        <v>#NAME?</v>
      </c>
      <c r="CK615" s="254" t="n">
        <f aca="false">I614</f>
        <v>3</v>
      </c>
      <c r="CM615" s="0" t="str">
        <f aca="false">CONCATENATE(CC615,$CD$6)</f>
        <v>36861Curve Shift/Gamma</v>
      </c>
      <c r="CN615" s="0" t="str">
        <f aca="false">CONCATENATE($CC615,$CE$6)</f>
        <v>36861Rho</v>
      </c>
      <c r="CO615" s="0" t="str">
        <f aca="false">CONCATENATE($CC615,$CF$6)</f>
        <v>36861Drift</v>
      </c>
      <c r="CP615" s="0" t="str">
        <f aca="false">CONCATENATE($CC615,$CG$6)</f>
        <v>36861Vega</v>
      </c>
      <c r="CQ615" s="0" t="str">
        <f aca="false">CONCATENATE($CC615,$CH$6)</f>
        <v>36861Theta</v>
      </c>
    </row>
    <row r="616" customFormat="false" ht="12.75" hidden="false" customHeight="false" outlineLevel="0" collapsed="false">
      <c r="A616" s="17" t="s">
        <v>275</v>
      </c>
      <c r="B616" s="0" t="s">
        <v>192</v>
      </c>
      <c r="C616" s="0" t="s">
        <v>401</v>
      </c>
      <c r="D616" s="7" t="s">
        <v>149</v>
      </c>
      <c r="E616" s="0" t="s">
        <v>131</v>
      </c>
      <c r="F616" s="0" t="s">
        <v>136</v>
      </c>
      <c r="G616" s="92" t="n">
        <v>36923</v>
      </c>
      <c r="H616" s="248" t="n">
        <v>560000</v>
      </c>
      <c r="I616" s="254" t="n">
        <v>3</v>
      </c>
      <c r="J616" s="124" t="n">
        <f aca="false">VLOOKUP(G616,NGPrices,2,FALSE())</f>
        <v>4.48</v>
      </c>
      <c r="K616" s="125" t="n">
        <f aca="false">HLOOKUP(D616,Prices,VLOOKUP(G616,move_down,2,FALSE()),FALSE())+VLOOKUP(G616,CHANGE,HLOOKUP(D616,CHANGE,2,FALSE()),FALSE())</f>
        <v>2.09</v>
      </c>
      <c r="L616" s="124" t="n">
        <f aca="false">K616+J616</f>
        <v>6.57</v>
      </c>
      <c r="M616" s="126" t="n">
        <f aca="false">VLOOKUP(G616,NGPrices,4,FALSE())</f>
        <v>0.068640161611372</v>
      </c>
      <c r="N616" s="7" t="n">
        <f aca="false">VLOOKUP(G616,NGPrices,3,FALSE())</f>
        <v>0.5925</v>
      </c>
      <c r="O616" s="7" t="n">
        <f aca="false">HLOOKUP(D616,VOLS,VLOOKUP(G616,move_down,2,FALSE()),FALSE())</f>
        <v>0.681</v>
      </c>
      <c r="P616" s="249" t="n">
        <f aca="false">HLOOKUP(D616,Correllate,VLOOKUP(G616,CorMove,2,FALSE()),FALSE())</f>
        <v>0.83</v>
      </c>
      <c r="Q616" s="92" t="n">
        <f aca="false">WORKDAY(G616,-2)</f>
        <v>36921</v>
      </c>
      <c r="R616" s="7" t="n">
        <f aca="false">IF(F616="P",0,1)</f>
        <v>1</v>
      </c>
      <c r="S616" s="130" t="e">
        <f aca="false">xSPRDOPT($L616,$J616,$I616,$M616,$O616,$N616,$P616,$Q616-$C$3,$R616,0)</f>
        <v>#NAME?</v>
      </c>
      <c r="T616" s="250" t="e">
        <f aca="false">xSPRDOPT($L616,$J616,$I616,$M616,$O616,$N616,$P616,$Q616-$C$3,$R616,1)*H616</f>
        <v>#NAME?</v>
      </c>
      <c r="U616" s="43" t="e">
        <f aca="false">S616*H616</f>
        <v>#NAME?</v>
      </c>
      <c r="V616" s="250" t="e">
        <f aca="false">xSPRDOPT($L616,$J616,$I616,$M616,$O616,$N616,$P616,$Q616-$C$3,$R616,2)*H616</f>
        <v>#NAME?</v>
      </c>
      <c r="W616" s="250" t="e">
        <f aca="false">+V616+T616</f>
        <v>#NAME?</v>
      </c>
      <c r="X616" s="2" t="str">
        <f aca="false">CONCATENATE(G616,D616)</f>
        <v>36923IF-TRANSCO/Z6</v>
      </c>
      <c r="Y616" s="251" t="n">
        <f aca="false">H616/10000</f>
        <v>56</v>
      </c>
      <c r="Z616" s="226" t="e">
        <f aca="false">T616/H616</f>
        <v>#NAME?</v>
      </c>
      <c r="AA616" s="226" t="e">
        <f aca="false">xSPRDOPT($L616,$J616,$I616,$M616,$O616,$N616,$P616,$Q616-$C$3,$R616,3)</f>
        <v>#NAME?</v>
      </c>
      <c r="AB616" s="226" t="e">
        <f aca="false">((xSPRDOPT($L616+AB$5,$J616,$I616,$M616,$O616,$N616,$P616,$Q616-$C$3,$R616,3)*$H616)/10000)/100</f>
        <v>#NAME?</v>
      </c>
      <c r="AC616" s="226" t="e">
        <f aca="false">((xSPRDOPT($L616+$AB$5,$J616,$I616,$M616,$O616,$N616,$P616,$Q616-$C$3,$R616,7)*$H616)/100)</f>
        <v>#NAME?</v>
      </c>
      <c r="AD616" s="226" t="e">
        <f aca="false">(xSPRDOPT($L616+$AB$5,$J616,$I616,$M616,$O616,$N616,$P616,$Q616-$C$3,$R616,9)/365)*$H616</f>
        <v>#NAME?</v>
      </c>
      <c r="AE616" s="0" t="e">
        <f aca="false">CD617</f>
        <v>#NAME?</v>
      </c>
      <c r="AF616" s="226" t="e">
        <f aca="false">((O616/N616)*AH616)+AG616</f>
        <v>#NAME?</v>
      </c>
      <c r="AG616" s="226" t="e">
        <f aca="false">((xSPRDOPT($L616,$J616,$I616,$M616,$O616,$N616,$P616,$Q616-$C$3,$R616,6)*$H616)/100)</f>
        <v>#NAME?</v>
      </c>
      <c r="AH616" s="226" t="e">
        <f aca="false">((xSPRDOPT($L616,$J616,$I616,$M616,$O616,$N616,$P616,$Q616-$C$3,$R616,5)*$H616)/100)</f>
        <v>#NAME?</v>
      </c>
      <c r="AI616" s="226" t="e">
        <f aca="false">(((xSPRDOPT($L616,$J616,$I616,$M616,$O616,$N616,$P616,$Q616-$C$3,$R616,4)*$H616)/10000)/100)-AB616</f>
        <v>#NAME?</v>
      </c>
      <c r="AJ616" s="226"/>
      <c r="AK616" s="226"/>
      <c r="CC616" s="182" t="n">
        <f aca="false">G615</f>
        <v>36892</v>
      </c>
      <c r="CD616" s="253" t="e">
        <f aca="false">xSPRDOPT((VLOOKUP(G615,NGPrices,2,FALSE())+HLOOKUP(D615,Prices,VLOOKUP(G615,move_down,2,FALSE()),FALSE())),VLOOKUP(G615,NGPrices,2,FALSE()),I615,VLOOKUP(G615,NGPREVPRICES,4,FALSE()),HLOOKUP(D615,PREVVOLS,VLOOKUP(G615,MOVE_DOWN2,2,FALSE()),FALSE()),VLOOKUP(G615,NGPREVPRICES,3,FALSE()),HLOOKUP(D615,Correllate,VLOOKUP(G615,CorMove,2,FALSE()),FALSE()),Q615-$CD$3,R615,$CD$5)*H615-CJ616</f>
        <v>#NAME?</v>
      </c>
      <c r="CE616" s="253" t="e">
        <f aca="false">xSPRDOPT((VLOOKUP(G615,NGPREVPRICES,2,FALSE())+HLOOKUP(D615,PREVCURVES,VLOOKUP(G615,MOVE_DOWN2,2,FALSE()),FALSE())),VLOOKUP(G615,NGPREVPRICES,2,FALSE()),CK616,VLOOKUP(G615,NGPrices,4,FALSE()),HLOOKUP(D615,PREVVOLS,VLOOKUP(G615,MOVE_DOWN2,2,FALSE()),FALSE()),VLOOKUP(G615,NGPREVPRICES,3,FALSE()),HLOOKUP(D615,Correllate,VLOOKUP(G615,CorMove,2,FALSE()),FALSE()),Q615-$CD$3,R615,$CJ$5)*H615-CJ616</f>
        <v>#NAME?</v>
      </c>
      <c r="CF616" s="132" t="e">
        <f aca="false">(CJ616/VLOOKUP(CC616,discount,3,FALSE()))-(CJ616/VLOOKUP(CC616,discount,2,FALSE()))</f>
        <v>#NAME?</v>
      </c>
      <c r="CG616" s="253" t="e">
        <f aca="false">xSPRDOPT((VLOOKUP(G615,NGPREVPRICES,2,FALSE())+HLOOKUP(D615,PREVCURVES,VLOOKUP(G615,MOVE_DOWN2,2,FALSE()),FALSE())),VLOOKUP(G615,NGPREVPRICES,2,FALSE()),CK616,VLOOKUP(G615,NGPREVPRICES,4,FALSE()),HLOOKUP(D615,VOLS,VLOOKUP(G615,move_down,2,FALSE()),FALSE()),VLOOKUP(G615,NGPrices,3,FALSE()),HLOOKUP(D615,Correllate,VLOOKUP(G615,CorMove,2,FALSE()),FALSE()),Q615-$CD$3,R615,$CJ$5)*H615-CJ616</f>
        <v>#NAME?</v>
      </c>
      <c r="CH616" s="253" t="e">
        <f aca="false">xSPRDOPT((VLOOKUP(G615,NGPREVPRICES,2,FALSE())+HLOOKUP(D615,PREVCURVES,VLOOKUP(G615,MOVE_DOWN2,2,FALSE()),FALSE())),VLOOKUP(G615,NGPREVPRICES,2,FALSE()),CK616,VLOOKUP(G615,NGPREVPRICES,4,FALSE()),HLOOKUP(D615,PREVVOLS,VLOOKUP(G615,MOVE_DOWN2,2,FALSE()),FALSE()),VLOOKUP(G615,NGPREVPRICES,3,FALSE()),HLOOKUP(D615,Correllate,VLOOKUP(G615,CorMove,2,FALSE()),FALSE()),Q615-$C$3,R615,$CJ$5)*H615-CJ616</f>
        <v>#NAME?</v>
      </c>
      <c r="CI616" s="253" t="e">
        <f aca="false">SUM(CD616:CH616)</f>
        <v>#NAME?</v>
      </c>
      <c r="CJ616" s="253" t="e">
        <f aca="false">xSPRDOPT((VLOOKUP(G615,NGPREVPRICES,2,FALSE())+HLOOKUP(D615,PREVCURVES,VLOOKUP(G615,MOVE_DOWN2,2,FALSE()),FALSE())),VLOOKUP(G615,NGPREVPRICES,2,FALSE()),CK616,VLOOKUP(G615,NGPREVPRICES,4,FALSE()),HLOOKUP(D615,PREVVOLS,VLOOKUP(G615,MOVE_DOWN2,2,FALSE()),FALSE()),VLOOKUP(G615,NGPREVPRICES,3,FALSE()),HLOOKUP(D615,Correllate,VLOOKUP(G615,CorMove,2,FALSE()),FALSE()),Q615-$CD$3,R615,$CJ$5)*H615</f>
        <v>#NAME?</v>
      </c>
      <c r="CK616" s="254" t="n">
        <f aca="false">I615</f>
        <v>3</v>
      </c>
      <c r="CM616" s="0" t="str">
        <f aca="false">CONCATENATE(CC616,$CD$6)</f>
        <v>36892Curve Shift/Gamma</v>
      </c>
      <c r="CN616" s="0" t="str">
        <f aca="false">CONCATENATE($CC616,$CE$6)</f>
        <v>36892Rho</v>
      </c>
      <c r="CO616" s="0" t="str">
        <f aca="false">CONCATENATE($CC616,$CF$6)</f>
        <v>36892Drift</v>
      </c>
      <c r="CP616" s="0" t="str">
        <f aca="false">CONCATENATE($CC616,$CG$6)</f>
        <v>36892Vega</v>
      </c>
      <c r="CQ616" s="0" t="str">
        <f aca="false">CONCATENATE($CC616,$CH$6)</f>
        <v>36892Theta</v>
      </c>
    </row>
    <row r="617" customFormat="false" ht="12.75" hidden="false" customHeight="false" outlineLevel="0" collapsed="false">
      <c r="A617" s="17" t="s">
        <v>275</v>
      </c>
      <c r="B617" s="0" t="s">
        <v>192</v>
      </c>
      <c r="C617" s="0" t="s">
        <v>401</v>
      </c>
      <c r="D617" s="7" t="s">
        <v>149</v>
      </c>
      <c r="E617" s="0" t="s">
        <v>131</v>
      </c>
      <c r="F617" s="0" t="s">
        <v>136</v>
      </c>
      <c r="G617" s="92" t="n">
        <v>36951</v>
      </c>
      <c r="H617" s="248" t="n">
        <v>620000</v>
      </c>
      <c r="I617" s="254" t="n">
        <v>3</v>
      </c>
      <c r="J617" s="124" t="n">
        <f aca="false">VLOOKUP(G617,NGPrices,2,FALSE())</f>
        <v>4.213</v>
      </c>
      <c r="K617" s="125" t="n">
        <f aca="false">HLOOKUP(D617,Prices,VLOOKUP(G617,move_down,2,FALSE()),FALSE())+VLOOKUP(G617,CHANGE,HLOOKUP(D617,CHANGE,2,FALSE()),FALSE())</f>
        <v>1.075</v>
      </c>
      <c r="L617" s="124" t="n">
        <f aca="false">K617+J617</f>
        <v>5.288</v>
      </c>
      <c r="M617" s="126" t="n">
        <f aca="false">VLOOKUP(G617,NGPrices,4,FALSE())</f>
        <v>0.068879814952707</v>
      </c>
      <c r="N617" s="7" t="n">
        <f aca="false">VLOOKUP(G617,NGPrices,3,FALSE())</f>
        <v>0.5325</v>
      </c>
      <c r="O617" s="7" t="n">
        <f aca="false">HLOOKUP(D617,VOLS,VLOOKUP(G617,move_down,2,FALSE()),FALSE())</f>
        <v>0.612</v>
      </c>
      <c r="P617" s="249" t="n">
        <f aca="false">HLOOKUP(D617,Correllate,VLOOKUP(G617,CorMove,2,FALSE()),FALSE())</f>
        <v>0.83</v>
      </c>
      <c r="Q617" s="92" t="n">
        <f aca="false">WORKDAY(G617,-2)</f>
        <v>36949</v>
      </c>
      <c r="R617" s="7" t="n">
        <f aca="false">IF(F617="P",0,1)</f>
        <v>1</v>
      </c>
      <c r="S617" s="130" t="e">
        <f aca="false">xSPRDOPT($L617,$J617,$I617,$M617,$O617,$N617,$P617,$Q617-$C$3,$R617,0)</f>
        <v>#NAME?</v>
      </c>
      <c r="T617" s="250" t="e">
        <f aca="false">xSPRDOPT($L617,$J617,$I617,$M617,$O617,$N617,$P617,$Q617-$C$3,$R617,1)*H617</f>
        <v>#NAME?</v>
      </c>
      <c r="U617" s="43" t="e">
        <f aca="false">S617*H617</f>
        <v>#NAME?</v>
      </c>
      <c r="V617" s="250" t="e">
        <f aca="false">xSPRDOPT($L617,$J617,$I617,$M617,$O617,$N617,$P617,$Q617-$C$3,$R617,2)*H617</f>
        <v>#NAME?</v>
      </c>
      <c r="W617" s="250" t="e">
        <f aca="false">+V617+T617</f>
        <v>#NAME?</v>
      </c>
      <c r="X617" s="2" t="str">
        <f aca="false">CONCATENATE(G617,D617)</f>
        <v>36951IF-TRANSCO/Z6</v>
      </c>
      <c r="Y617" s="251" t="n">
        <f aca="false">H617/10000</f>
        <v>62</v>
      </c>
      <c r="Z617" s="226" t="e">
        <f aca="false">T617/H617</f>
        <v>#NAME?</v>
      </c>
      <c r="AA617" s="226" t="e">
        <f aca="false">xSPRDOPT($L617,$J617,$I617,$M617,$O617,$N617,$P617,$Q617-$C$3,$R617,3)</f>
        <v>#NAME?</v>
      </c>
      <c r="AB617" s="226" t="e">
        <f aca="false">((xSPRDOPT($L617+AB$5,$J617,$I617,$M617,$O617,$N617,$P617,$Q617-$C$3,$R617,3)*$H617)/10000)/100</f>
        <v>#NAME?</v>
      </c>
      <c r="AC617" s="226" t="e">
        <f aca="false">((xSPRDOPT($L617+$AB$5,$J617,$I617,$M617,$O617,$N617,$P617,$Q617-$C$3,$R617,7)*$H617)/100)</f>
        <v>#NAME?</v>
      </c>
      <c r="AD617" s="226" t="e">
        <f aca="false">(xSPRDOPT($L617+$AB$5,$J617,$I617,$M617,$O617,$N617,$P617,$Q617-$C$3,$R617,9)/365)*$H617</f>
        <v>#NAME?</v>
      </c>
      <c r="AE617" s="0" t="e">
        <f aca="false">CD618</f>
        <v>#NAME?</v>
      </c>
      <c r="AF617" s="226" t="e">
        <f aca="false">((O617/N617)*AH617)+AG617</f>
        <v>#NAME?</v>
      </c>
      <c r="AG617" s="226" t="e">
        <f aca="false">((xSPRDOPT($L617,$J617,$I617,$M617,$O617,$N617,$P617,$Q617-$C$3,$R617,6)*$H617)/100)</f>
        <v>#NAME?</v>
      </c>
      <c r="AH617" s="226" t="e">
        <f aca="false">((xSPRDOPT($L617,$J617,$I617,$M617,$O617,$N617,$P617,$Q617-$C$3,$R617,5)*$H617)/100)</f>
        <v>#NAME?</v>
      </c>
      <c r="AI617" s="226" t="e">
        <f aca="false">(((xSPRDOPT($L617,$J617,$I617,$M617,$O617,$N617,$P617,$Q617-$C$3,$R617,4)*$H617)/10000)/100)-AB617</f>
        <v>#NAME?</v>
      </c>
      <c r="AJ617" s="226"/>
      <c r="AK617" s="226"/>
      <c r="CC617" s="182" t="n">
        <f aca="false">G616</f>
        <v>36923</v>
      </c>
      <c r="CD617" s="253" t="e">
        <f aca="false">xSPRDOPT((VLOOKUP(G616,NGPrices,2,FALSE())+HLOOKUP(D616,Prices,VLOOKUP(G616,move_down,2,FALSE()),FALSE())),VLOOKUP(G616,NGPrices,2,FALSE()),I616,VLOOKUP(G616,NGPREVPRICES,4,FALSE()),HLOOKUP(D616,PREVVOLS,VLOOKUP(G616,MOVE_DOWN2,2,FALSE()),FALSE()),VLOOKUP(G616,NGPREVPRICES,3,FALSE()),HLOOKUP(D616,Correllate,VLOOKUP(G616,CorMove,2,FALSE()),FALSE()),Q616-$CD$3,R616,$CD$5)*H616-CJ617</f>
        <v>#NAME?</v>
      </c>
      <c r="CE617" s="253" t="e">
        <f aca="false">xSPRDOPT((VLOOKUP(G616,NGPREVPRICES,2,FALSE())+HLOOKUP(D616,PREVCURVES,VLOOKUP(G616,MOVE_DOWN2,2,FALSE()),FALSE())),VLOOKUP(G616,NGPREVPRICES,2,FALSE()),CK617,VLOOKUP(G616,NGPrices,4,FALSE()),HLOOKUP(D616,PREVVOLS,VLOOKUP(G616,MOVE_DOWN2,2,FALSE()),FALSE()),VLOOKUP(G616,NGPREVPRICES,3,FALSE()),HLOOKUP(D616,Correllate,VLOOKUP(G616,CorMove,2,FALSE()),FALSE()),Q616-$CD$3,R616,$CJ$5)*H616-CJ617</f>
        <v>#NAME?</v>
      </c>
      <c r="CF617" s="132" t="e">
        <f aca="false">(CJ617/VLOOKUP(CC617,discount,3,FALSE()))-(CJ617/VLOOKUP(CC617,discount,2,FALSE()))</f>
        <v>#NAME?</v>
      </c>
      <c r="CG617" s="253" t="e">
        <f aca="false">xSPRDOPT((VLOOKUP(G616,NGPREVPRICES,2,FALSE())+HLOOKUP(D616,PREVCURVES,VLOOKUP(G616,MOVE_DOWN2,2,FALSE()),FALSE())),VLOOKUP(G616,NGPREVPRICES,2,FALSE()),CK617,VLOOKUP(G616,NGPREVPRICES,4,FALSE()),HLOOKUP(D616,VOLS,VLOOKUP(G616,move_down,2,FALSE()),FALSE()),VLOOKUP(G616,NGPrices,3,FALSE()),HLOOKUP(D616,Correllate,VLOOKUP(G616,CorMove,2,FALSE()),FALSE()),Q616-$CD$3,R616,$CJ$5)*H616-CJ617</f>
        <v>#NAME?</v>
      </c>
      <c r="CH617" s="253" t="e">
        <f aca="false">xSPRDOPT((VLOOKUP(G616,NGPREVPRICES,2,FALSE())+HLOOKUP(D616,PREVCURVES,VLOOKUP(G616,MOVE_DOWN2,2,FALSE()),FALSE())),VLOOKUP(G616,NGPREVPRICES,2,FALSE()),CK617,VLOOKUP(G616,NGPREVPRICES,4,FALSE()),HLOOKUP(D616,PREVVOLS,VLOOKUP(G616,MOVE_DOWN2,2,FALSE()),FALSE()),VLOOKUP(G616,NGPREVPRICES,3,FALSE()),HLOOKUP(D616,Correllate,VLOOKUP(G616,CorMove,2,FALSE()),FALSE()),Q616-$C$3,R616,$CJ$5)*H616-CJ617</f>
        <v>#NAME?</v>
      </c>
      <c r="CI617" s="253" t="e">
        <f aca="false">SUM(CD617:CH617)</f>
        <v>#NAME?</v>
      </c>
      <c r="CJ617" s="253" t="e">
        <f aca="false">xSPRDOPT((VLOOKUP(G616,NGPREVPRICES,2,FALSE())+HLOOKUP(D616,PREVCURVES,VLOOKUP(G616,MOVE_DOWN2,2,FALSE()),FALSE())),VLOOKUP(G616,NGPREVPRICES,2,FALSE()),CK617,VLOOKUP(G616,NGPREVPRICES,4,FALSE()),HLOOKUP(D616,PREVVOLS,VLOOKUP(G616,MOVE_DOWN2,2,FALSE()),FALSE()),VLOOKUP(G616,NGPREVPRICES,3,FALSE()),HLOOKUP(D616,Correllate,VLOOKUP(G616,CorMove,2,FALSE()),FALSE()),Q616-$CD$3,R616,$CJ$5)*H616</f>
        <v>#NAME?</v>
      </c>
      <c r="CK617" s="254" t="n">
        <f aca="false">I616</f>
        <v>3</v>
      </c>
      <c r="CM617" s="0" t="str">
        <f aca="false">CONCATENATE(CC617,$CD$6)</f>
        <v>36923Curve Shift/Gamma</v>
      </c>
      <c r="CN617" s="0" t="str">
        <f aca="false">CONCATENATE($CC617,$CE$6)</f>
        <v>36923Rho</v>
      </c>
      <c r="CO617" s="0" t="str">
        <f aca="false">CONCATENATE($CC617,$CF$6)</f>
        <v>36923Drift</v>
      </c>
      <c r="CP617" s="0" t="str">
        <f aca="false">CONCATENATE($CC617,$CG$6)</f>
        <v>36923Vega</v>
      </c>
      <c r="CQ617" s="0" t="str">
        <f aca="false">CONCATENATE($CC617,$CH$6)</f>
        <v>36923Theta</v>
      </c>
    </row>
    <row r="618" customFormat="false" ht="12.75" hidden="false" customHeight="false" outlineLevel="0" collapsed="false">
      <c r="A618" s="17" t="s">
        <v>275</v>
      </c>
      <c r="B618" s="0" t="s">
        <v>192</v>
      </c>
      <c r="C618" s="0" t="s">
        <v>402</v>
      </c>
      <c r="D618" s="7" t="s">
        <v>149</v>
      </c>
      <c r="E618" s="0" t="s">
        <v>131</v>
      </c>
      <c r="F618" s="0" t="s">
        <v>136</v>
      </c>
      <c r="G618" s="92" t="n">
        <v>36831</v>
      </c>
      <c r="H618" s="248" t="n">
        <v>-600000</v>
      </c>
      <c r="I618" s="254" t="n">
        <v>3.5</v>
      </c>
      <c r="J618" s="124" t="n">
        <f aca="false">VLOOKUP(G618,NGPrices,2,FALSE())</f>
        <v>4.736</v>
      </c>
      <c r="K618" s="125" t="n">
        <f aca="false">HLOOKUP(D618,Prices,VLOOKUP(G618,move_down,2,FALSE()),FALSE())+VLOOKUP(G618,CHANGE,HLOOKUP(D618,CHANGE,2,FALSE()),FALSE())</f>
        <v>0.77</v>
      </c>
      <c r="L618" s="124" t="n">
        <f aca="false">K618+J618</f>
        <v>5.506</v>
      </c>
      <c r="M618" s="126" t="n">
        <f aca="false">VLOOKUP(G618,NGPrices,4,FALSE())</f>
        <v>0.06810675983792</v>
      </c>
      <c r="N618" s="7" t="n">
        <f aca="false">VLOOKUP(G618,NGPrices,3,FALSE())</f>
        <v>0.595</v>
      </c>
      <c r="O618" s="7" t="n">
        <f aca="false">HLOOKUP(D618,VOLS,VLOOKUP(G618,move_down,2,FALSE()),FALSE())</f>
        <v>0.625</v>
      </c>
      <c r="P618" s="249" t="n">
        <f aca="false">HLOOKUP(D618,Correllate,VLOOKUP(G618,CorMove,2,FALSE()),FALSE())</f>
        <v>0.89</v>
      </c>
      <c r="Q618" s="92" t="n">
        <f aca="false">WORKDAY(G618,-2)</f>
        <v>36829</v>
      </c>
      <c r="R618" s="7" t="n">
        <f aca="false">IF(F618="P",0,1)</f>
        <v>1</v>
      </c>
      <c r="S618" s="130" t="e">
        <f aca="false">xSPRDOPT($L618,$J618,$I618,$M618,$O618,$N618,$P618,$Q618-$C$3,$R618,0)</f>
        <v>#NAME?</v>
      </c>
      <c r="T618" s="250" t="e">
        <f aca="false">xSPRDOPT($L618,$J618,$I618,$M618,$O618,$N618,$P618,$Q618-$C$3,$R618,1)*H618</f>
        <v>#NAME?</v>
      </c>
      <c r="U618" s="43" t="e">
        <f aca="false">S618*H618</f>
        <v>#NAME?</v>
      </c>
      <c r="V618" s="250" t="e">
        <f aca="false">xSPRDOPT($L618,$J618,$I618,$M618,$O618,$N618,$P618,$Q618-$C$3,$R618,2)*H618</f>
        <v>#NAME?</v>
      </c>
      <c r="W618" s="250" t="e">
        <f aca="false">+V618+T618</f>
        <v>#NAME?</v>
      </c>
      <c r="X618" s="2" t="str">
        <f aca="false">CONCATENATE(G618,D618)</f>
        <v>36831IF-TRANSCO/Z6</v>
      </c>
      <c r="Y618" s="251" t="n">
        <f aca="false">H618/10000</f>
        <v>-60</v>
      </c>
      <c r="Z618" s="226" t="e">
        <f aca="false">T618/H618</f>
        <v>#NAME?</v>
      </c>
      <c r="AA618" s="226" t="e">
        <f aca="false">xSPRDOPT($L618,$J618,$I618,$M618,$O618,$N618,$P618,$Q618-$C$3,$R618,3)</f>
        <v>#NAME?</v>
      </c>
      <c r="AB618" s="226" t="e">
        <f aca="false">((xSPRDOPT($L618+AB$5,$J618,$I618,$M618,$O618,$N618,$P618,$Q618-$C$3,$R618,3)*$H618)/10000)/100</f>
        <v>#NAME?</v>
      </c>
      <c r="AC618" s="226" t="e">
        <f aca="false">((xSPRDOPT($L618+$AB$5,$J618,$I618,$M618,$O618,$N618,$P618,$Q618-$C$3,$R618,7)*$H618)/100)</f>
        <v>#NAME?</v>
      </c>
      <c r="AD618" s="226" t="e">
        <f aca="false">(xSPRDOPT($L618+$AB$5,$J618,$I618,$M618,$O618,$N618,$P618,$Q618-$C$3,$R618,9)/365)*$H618</f>
        <v>#NAME?</v>
      </c>
      <c r="AE618" s="0" t="e">
        <f aca="false">CD619</f>
        <v>#NAME?</v>
      </c>
      <c r="AF618" s="226" t="e">
        <f aca="false">((O618/N618)*AH618)+AG618</f>
        <v>#NAME?</v>
      </c>
      <c r="AG618" s="226" t="e">
        <f aca="false">((xSPRDOPT($L618,$J618,$I618,$M618,$O618,$N618,$P618,$Q618-$C$3,$R618,6)*$H618)/100)</f>
        <v>#NAME?</v>
      </c>
      <c r="AH618" s="226" t="e">
        <f aca="false">((xSPRDOPT($L618,$J618,$I618,$M618,$O618,$N618,$P618,$Q618-$C$3,$R618,5)*$H618)/100)</f>
        <v>#NAME?</v>
      </c>
      <c r="AI618" s="226" t="e">
        <f aca="false">(((xSPRDOPT($L618,$J618,$I618,$M618,$O618,$N618,$P618,$Q618-$C$3,$R618,4)*$H618)/10000)/100)-AB618</f>
        <v>#NAME?</v>
      </c>
      <c r="AJ618" s="226"/>
      <c r="AK618" s="226"/>
      <c r="CC618" s="182" t="n">
        <f aca="false">G617</f>
        <v>36951</v>
      </c>
      <c r="CD618" s="253" t="e">
        <f aca="false">xSPRDOPT((VLOOKUP(G617,NGPrices,2,FALSE())+HLOOKUP(D617,Prices,VLOOKUP(G617,move_down,2,FALSE()),FALSE())),VLOOKUP(G617,NGPrices,2,FALSE()),I617,VLOOKUP(G617,NGPREVPRICES,4,FALSE()),HLOOKUP(D617,PREVVOLS,VLOOKUP(G617,MOVE_DOWN2,2,FALSE()),FALSE()),VLOOKUP(G617,NGPREVPRICES,3,FALSE()),HLOOKUP(D617,Correllate,VLOOKUP(G617,CorMove,2,FALSE()),FALSE()),Q617-$CD$3,R617,$CD$5)*H617-CJ618</f>
        <v>#NAME?</v>
      </c>
      <c r="CE618" s="253" t="e">
        <f aca="false">xSPRDOPT((VLOOKUP(G617,NGPREVPRICES,2,FALSE())+HLOOKUP(D617,PREVCURVES,VLOOKUP(G617,MOVE_DOWN2,2,FALSE()),FALSE())),VLOOKUP(G617,NGPREVPRICES,2,FALSE()),CK618,VLOOKUP(G617,NGPrices,4,FALSE()),HLOOKUP(D617,PREVVOLS,VLOOKUP(G617,MOVE_DOWN2,2,FALSE()),FALSE()),VLOOKUP(G617,NGPREVPRICES,3,FALSE()),HLOOKUP(D617,Correllate,VLOOKUP(G617,CorMove,2,FALSE()),FALSE()),Q617-$CD$3,R617,$CJ$5)*H617-CJ618</f>
        <v>#NAME?</v>
      </c>
      <c r="CF618" s="132" t="e">
        <f aca="false">(CJ618/VLOOKUP(CC618,discount,3,FALSE()))-(CJ618/VLOOKUP(CC618,discount,2,FALSE()))</f>
        <v>#NAME?</v>
      </c>
      <c r="CG618" s="253" t="e">
        <f aca="false">xSPRDOPT((VLOOKUP(G617,NGPREVPRICES,2,FALSE())+HLOOKUP(D617,PREVCURVES,VLOOKUP(G617,MOVE_DOWN2,2,FALSE()),FALSE())),VLOOKUP(G617,NGPREVPRICES,2,FALSE()),CK618,VLOOKUP(G617,NGPREVPRICES,4,FALSE()),HLOOKUP(D617,VOLS,VLOOKUP(G617,move_down,2,FALSE()),FALSE()),VLOOKUP(G617,NGPrices,3,FALSE()),HLOOKUP(D617,Correllate,VLOOKUP(G617,CorMove,2,FALSE()),FALSE()),Q617-$CD$3,R617,$CJ$5)*H617-CJ618</f>
        <v>#NAME?</v>
      </c>
      <c r="CH618" s="253" t="e">
        <f aca="false">xSPRDOPT((VLOOKUP(G617,NGPREVPRICES,2,FALSE())+HLOOKUP(D617,PREVCURVES,VLOOKUP(G617,MOVE_DOWN2,2,FALSE()),FALSE())),VLOOKUP(G617,NGPREVPRICES,2,FALSE()),CK618,VLOOKUP(G617,NGPREVPRICES,4,FALSE()),HLOOKUP(D617,PREVVOLS,VLOOKUP(G617,MOVE_DOWN2,2,FALSE()),FALSE()),VLOOKUP(G617,NGPREVPRICES,3,FALSE()),HLOOKUP(D617,Correllate,VLOOKUP(G617,CorMove,2,FALSE()),FALSE()),Q617-$C$3,R617,$CJ$5)*H617-CJ618</f>
        <v>#NAME?</v>
      </c>
      <c r="CI618" s="253" t="e">
        <f aca="false">SUM(CD618:CH618)</f>
        <v>#NAME?</v>
      </c>
      <c r="CJ618" s="253" t="e">
        <f aca="false">xSPRDOPT((VLOOKUP(G617,NGPREVPRICES,2,FALSE())+HLOOKUP(D617,PREVCURVES,VLOOKUP(G617,MOVE_DOWN2,2,FALSE()),FALSE())),VLOOKUP(G617,NGPREVPRICES,2,FALSE()),CK618,VLOOKUP(G617,NGPREVPRICES,4,FALSE()),HLOOKUP(D617,PREVVOLS,VLOOKUP(G617,MOVE_DOWN2,2,FALSE()),FALSE()),VLOOKUP(G617,NGPREVPRICES,3,FALSE()),HLOOKUP(D617,Correllate,VLOOKUP(G617,CorMove,2,FALSE()),FALSE()),Q617-$CD$3,R617,$CJ$5)*H617</f>
        <v>#NAME?</v>
      </c>
      <c r="CK618" s="254" t="n">
        <f aca="false">I617</f>
        <v>3</v>
      </c>
      <c r="CM618" s="0" t="str">
        <f aca="false">CONCATENATE(CC618,$CD$6)</f>
        <v>36951Curve Shift/Gamma</v>
      </c>
      <c r="CN618" s="0" t="str">
        <f aca="false">CONCATENATE($CC618,$CE$6)</f>
        <v>36951Rho</v>
      </c>
      <c r="CO618" s="0" t="str">
        <f aca="false">CONCATENATE($CC618,$CF$6)</f>
        <v>36951Drift</v>
      </c>
      <c r="CP618" s="0" t="str">
        <f aca="false">CONCATENATE($CC618,$CG$6)</f>
        <v>36951Vega</v>
      </c>
      <c r="CQ618" s="0" t="str">
        <f aca="false">CONCATENATE($CC618,$CH$6)</f>
        <v>36951Theta</v>
      </c>
    </row>
    <row r="619" customFormat="false" ht="12.75" hidden="false" customHeight="false" outlineLevel="0" collapsed="false">
      <c r="A619" s="17" t="s">
        <v>275</v>
      </c>
      <c r="B619" s="0" t="s">
        <v>192</v>
      </c>
      <c r="C619" s="0" t="s">
        <v>402</v>
      </c>
      <c r="D619" s="7" t="s">
        <v>149</v>
      </c>
      <c r="E619" s="0" t="s">
        <v>131</v>
      </c>
      <c r="F619" s="0" t="s">
        <v>136</v>
      </c>
      <c r="G619" s="92" t="n">
        <v>36861</v>
      </c>
      <c r="H619" s="248" t="n">
        <v>-620000</v>
      </c>
      <c r="I619" s="254" t="n">
        <v>3.5</v>
      </c>
      <c r="J619" s="124" t="n">
        <f aca="false">VLOOKUP(G619,NGPrices,2,FALSE())</f>
        <v>4.8</v>
      </c>
      <c r="K619" s="125" t="n">
        <f aca="false">HLOOKUP(D619,Prices,VLOOKUP(G619,move_down,2,FALSE()),FALSE())+VLOOKUP(G619,CHANGE,HLOOKUP(D619,CHANGE,2,FALSE()),FALSE())</f>
        <v>1.645</v>
      </c>
      <c r="L619" s="124" t="n">
        <f aca="false">K619+J619</f>
        <v>6.445</v>
      </c>
      <c r="M619" s="126" t="n">
        <f aca="false">VLOOKUP(G619,NGPrices,4,FALSE())</f>
        <v>0.068314027999354</v>
      </c>
      <c r="N619" s="7" t="n">
        <f aca="false">VLOOKUP(G619,NGPrices,3,FALSE())</f>
        <v>0.6</v>
      </c>
      <c r="O619" s="7" t="n">
        <f aca="false">HLOOKUP(D619,VOLS,VLOOKUP(G619,move_down,2,FALSE()),FALSE())</f>
        <v>0.69</v>
      </c>
      <c r="P619" s="249" t="n">
        <f aca="false">HLOOKUP(D619,Correllate,VLOOKUP(G619,CorMove,2,FALSE()),FALSE())</f>
        <v>0.83</v>
      </c>
      <c r="Q619" s="92" t="n">
        <f aca="false">WORKDAY(G619,-2)</f>
        <v>36859</v>
      </c>
      <c r="R619" s="7" t="n">
        <f aca="false">IF(F619="P",0,1)</f>
        <v>1</v>
      </c>
      <c r="S619" s="130" t="e">
        <f aca="false">xSPRDOPT($L619,$J619,$I619,$M619,$O619,$N619,$P619,$Q619-$C$3,$R619,0)</f>
        <v>#NAME?</v>
      </c>
      <c r="T619" s="250" t="e">
        <f aca="false">xSPRDOPT($L619,$J619,$I619,$M619,$O619,$N619,$P619,$Q619-$C$3,$R619,1)*H619</f>
        <v>#NAME?</v>
      </c>
      <c r="U619" s="43" t="e">
        <f aca="false">S619*H619</f>
        <v>#NAME?</v>
      </c>
      <c r="V619" s="250" t="e">
        <f aca="false">xSPRDOPT($L619,$J619,$I619,$M619,$O619,$N619,$P619,$Q619-$C$3,$R619,2)*H619</f>
        <v>#NAME?</v>
      </c>
      <c r="W619" s="250" t="e">
        <f aca="false">+V619+T619</f>
        <v>#NAME?</v>
      </c>
      <c r="X619" s="2" t="str">
        <f aca="false">CONCATENATE(G619,D619)</f>
        <v>36861IF-TRANSCO/Z6</v>
      </c>
      <c r="Y619" s="251" t="n">
        <f aca="false">H619/10000</f>
        <v>-62</v>
      </c>
      <c r="Z619" s="226" t="e">
        <f aca="false">T619/H619</f>
        <v>#NAME?</v>
      </c>
      <c r="AA619" s="226" t="e">
        <f aca="false">xSPRDOPT($L619,$J619,$I619,$M619,$O619,$N619,$P619,$Q619-$C$3,$R619,3)</f>
        <v>#NAME?</v>
      </c>
      <c r="AB619" s="226" t="e">
        <f aca="false">((xSPRDOPT($L619+AB$5,$J619,$I619,$M619,$O619,$N619,$P619,$Q619-$C$3,$R619,3)*$H619)/10000)/100</f>
        <v>#NAME?</v>
      </c>
      <c r="AC619" s="226" t="e">
        <f aca="false">((xSPRDOPT($L619+$AB$5,$J619,$I619,$M619,$O619,$N619,$P619,$Q619-$C$3,$R619,7)*$H619)/100)</f>
        <v>#NAME?</v>
      </c>
      <c r="AD619" s="226" t="e">
        <f aca="false">(xSPRDOPT($L619+$AB$5,$J619,$I619,$M619,$O619,$N619,$P619,$Q619-$C$3,$R619,9)/365)*$H619</f>
        <v>#NAME?</v>
      </c>
      <c r="AE619" s="0" t="e">
        <f aca="false">CD620</f>
        <v>#NAME?</v>
      </c>
      <c r="AF619" s="226" t="e">
        <f aca="false">((O619/N619)*AH619)+AG619</f>
        <v>#NAME?</v>
      </c>
      <c r="AG619" s="226" t="e">
        <f aca="false">((xSPRDOPT($L619,$J619,$I619,$M619,$O619,$N619,$P619,$Q619-$C$3,$R619,6)*$H619)/100)</f>
        <v>#NAME?</v>
      </c>
      <c r="AH619" s="226" t="e">
        <f aca="false">((xSPRDOPT($L619,$J619,$I619,$M619,$O619,$N619,$P619,$Q619-$C$3,$R619,5)*$H619)/100)</f>
        <v>#NAME?</v>
      </c>
      <c r="AI619" s="226" t="e">
        <f aca="false">(((xSPRDOPT($L619,$J619,$I619,$M619,$O619,$N619,$P619,$Q619-$C$3,$R619,4)*$H619)/10000)/100)-AB619</f>
        <v>#NAME?</v>
      </c>
      <c r="AJ619" s="226"/>
      <c r="AK619" s="226"/>
      <c r="CC619" s="182" t="n">
        <f aca="false">G618</f>
        <v>36831</v>
      </c>
      <c r="CD619" s="253" t="e">
        <f aca="false">xSPRDOPT((VLOOKUP(G618,NGPrices,2,FALSE())+HLOOKUP(D618,Prices,VLOOKUP(G618,move_down,2,FALSE()),FALSE())),VLOOKUP(G618,NGPrices,2,FALSE()),I618,VLOOKUP(G618,NGPREVPRICES,4,FALSE()),HLOOKUP(D618,PREVVOLS,VLOOKUP(G618,MOVE_DOWN2,2,FALSE()),FALSE()),VLOOKUP(G618,NGPREVPRICES,3,FALSE()),HLOOKUP(D618,Correllate,VLOOKUP(G618,CorMove,2,FALSE()),FALSE()),Q618-$CD$3,R618,$CD$5)*H618-CJ619</f>
        <v>#NAME?</v>
      </c>
      <c r="CE619" s="253" t="e">
        <f aca="false">xSPRDOPT((VLOOKUP(G618,NGPREVPRICES,2,FALSE())+HLOOKUP(D618,PREVCURVES,VLOOKUP(G618,MOVE_DOWN2,2,FALSE()),FALSE())),VLOOKUP(G618,NGPREVPRICES,2,FALSE()),CK619,VLOOKUP(G618,NGPrices,4,FALSE()),HLOOKUP(D618,PREVVOLS,VLOOKUP(G618,MOVE_DOWN2,2,FALSE()),FALSE()),VLOOKUP(G618,NGPREVPRICES,3,FALSE()),HLOOKUP(D618,Correllate,VLOOKUP(G618,CorMove,2,FALSE()),FALSE()),Q618-$CD$3,R618,$CJ$5)*H618-CJ619</f>
        <v>#NAME?</v>
      </c>
      <c r="CF619" s="132" t="e">
        <f aca="false">(CJ619/VLOOKUP(CC619,discount,3,FALSE()))-(CJ619/VLOOKUP(CC619,discount,2,FALSE()))</f>
        <v>#NAME?</v>
      </c>
      <c r="CG619" s="253" t="e">
        <f aca="false">xSPRDOPT((VLOOKUP(G618,NGPREVPRICES,2,FALSE())+HLOOKUP(D618,PREVCURVES,VLOOKUP(G618,MOVE_DOWN2,2,FALSE()),FALSE())),VLOOKUP(G618,NGPREVPRICES,2,FALSE()),CK619,VLOOKUP(G618,NGPREVPRICES,4,FALSE()),HLOOKUP(D618,VOLS,VLOOKUP(G618,move_down,2,FALSE()),FALSE()),VLOOKUP(G618,NGPrices,3,FALSE()),HLOOKUP(D618,Correllate,VLOOKUP(G618,CorMove,2,FALSE()),FALSE()),Q618-$CD$3,R618,$CJ$5)*H618-CJ619</f>
        <v>#NAME?</v>
      </c>
      <c r="CH619" s="253" t="e">
        <f aca="false">xSPRDOPT((VLOOKUP(G618,NGPREVPRICES,2,FALSE())+HLOOKUP(D618,PREVCURVES,VLOOKUP(G618,MOVE_DOWN2,2,FALSE()),FALSE())),VLOOKUP(G618,NGPREVPRICES,2,FALSE()),CK619,VLOOKUP(G618,NGPREVPRICES,4,FALSE()),HLOOKUP(D618,PREVVOLS,VLOOKUP(G618,MOVE_DOWN2,2,FALSE()),FALSE()),VLOOKUP(G618,NGPREVPRICES,3,FALSE()),HLOOKUP(D618,Correllate,VLOOKUP(G618,CorMove,2,FALSE()),FALSE()),Q618-$C$3,R618,$CJ$5)*H618-CJ619</f>
        <v>#NAME?</v>
      </c>
      <c r="CI619" s="253" t="e">
        <f aca="false">SUM(CD619:CH619)</f>
        <v>#NAME?</v>
      </c>
      <c r="CJ619" s="253" t="e">
        <f aca="false">xSPRDOPT((VLOOKUP(G618,NGPREVPRICES,2,FALSE())+HLOOKUP(D618,PREVCURVES,VLOOKUP(G618,MOVE_DOWN2,2,FALSE()),FALSE())),VLOOKUP(G618,NGPREVPRICES,2,FALSE()),CK619,VLOOKUP(G618,NGPREVPRICES,4,FALSE()),HLOOKUP(D618,PREVVOLS,VLOOKUP(G618,MOVE_DOWN2,2,FALSE()),FALSE()),VLOOKUP(G618,NGPREVPRICES,3,FALSE()),HLOOKUP(D618,Correllate,VLOOKUP(G618,CorMove,2,FALSE()),FALSE()),Q618-$CD$3,R618,$CJ$5)*H618</f>
        <v>#NAME?</v>
      </c>
      <c r="CK619" s="254" t="n">
        <f aca="false">I618</f>
        <v>3.5</v>
      </c>
      <c r="CM619" s="0" t="str">
        <f aca="false">CONCATENATE(CC619,$CD$6)</f>
        <v>36831Curve Shift/Gamma</v>
      </c>
      <c r="CN619" s="0" t="str">
        <f aca="false">CONCATENATE($CC619,$CE$6)</f>
        <v>36831Rho</v>
      </c>
      <c r="CO619" s="0" t="str">
        <f aca="false">CONCATENATE($CC619,$CF$6)</f>
        <v>36831Drift</v>
      </c>
      <c r="CP619" s="0" t="str">
        <f aca="false">CONCATENATE($CC619,$CG$6)</f>
        <v>36831Vega</v>
      </c>
      <c r="CQ619" s="0" t="str">
        <f aca="false">CONCATENATE($CC619,$CH$6)</f>
        <v>36831Theta</v>
      </c>
    </row>
    <row r="620" customFormat="false" ht="12.75" hidden="false" customHeight="false" outlineLevel="0" collapsed="false">
      <c r="A620" s="17" t="s">
        <v>275</v>
      </c>
      <c r="B620" s="0" t="s">
        <v>192</v>
      </c>
      <c r="C620" s="0" t="s">
        <v>402</v>
      </c>
      <c r="D620" s="7" t="s">
        <v>149</v>
      </c>
      <c r="E620" s="0" t="s">
        <v>131</v>
      </c>
      <c r="F620" s="0" t="s">
        <v>136</v>
      </c>
      <c r="G620" s="92" t="n">
        <v>36892</v>
      </c>
      <c r="H620" s="248" t="n">
        <v>-620000</v>
      </c>
      <c r="I620" s="254" t="n">
        <v>3.5</v>
      </c>
      <c r="J620" s="124" t="n">
        <f aca="false">VLOOKUP(G620,NGPrices,2,FALSE())</f>
        <v>4.744</v>
      </c>
      <c r="K620" s="125" t="n">
        <f aca="false">HLOOKUP(D620,Prices,VLOOKUP(G620,move_down,2,FALSE()),FALSE())+VLOOKUP(G620,CHANGE,HLOOKUP(D620,CHANGE,2,FALSE()),FALSE())</f>
        <v>2.17</v>
      </c>
      <c r="L620" s="124" t="n">
        <f aca="false">K620+J620</f>
        <v>6.914</v>
      </c>
      <c r="M620" s="126" t="n">
        <f aca="false">VLOOKUP(G620,NGPrices,4,FALSE())</f>
        <v>0.068374831148491</v>
      </c>
      <c r="N620" s="7" t="n">
        <f aca="false">VLOOKUP(G620,NGPrices,3,FALSE())</f>
        <v>0.605</v>
      </c>
      <c r="O620" s="7" t="n">
        <f aca="false">HLOOKUP(D620,VOLS,VLOOKUP(G620,move_down,2,FALSE()),FALSE())</f>
        <v>0.696</v>
      </c>
      <c r="P620" s="249" t="n">
        <f aca="false">HLOOKUP(D620,Correllate,VLOOKUP(G620,CorMove,2,FALSE()),FALSE())</f>
        <v>0.83</v>
      </c>
      <c r="Q620" s="92" t="n">
        <f aca="false">WORKDAY(G620,-2)</f>
        <v>36888</v>
      </c>
      <c r="R620" s="7" t="n">
        <f aca="false">IF(F620="P",0,1)</f>
        <v>1</v>
      </c>
      <c r="S620" s="130" t="e">
        <f aca="false">xSPRDOPT($L620,$J620,$I620,$M620,$O620,$N620,$P620,$Q620-$C$3,$R620,0)</f>
        <v>#NAME?</v>
      </c>
      <c r="T620" s="250" t="e">
        <f aca="false">xSPRDOPT($L620,$J620,$I620,$M620,$O620,$N620,$P620,$Q620-$C$3,$R620,1)*H620</f>
        <v>#NAME?</v>
      </c>
      <c r="U620" s="43" t="e">
        <f aca="false">S620*H620</f>
        <v>#NAME?</v>
      </c>
      <c r="V620" s="250" t="e">
        <f aca="false">xSPRDOPT($L620,$J620,$I620,$M620,$O620,$N620,$P620,$Q620-$C$3,$R620,2)*H620</f>
        <v>#NAME?</v>
      </c>
      <c r="W620" s="250" t="e">
        <f aca="false">+V620+T620</f>
        <v>#NAME?</v>
      </c>
      <c r="X620" s="2" t="str">
        <f aca="false">CONCATENATE(G620,D620)</f>
        <v>36892IF-TRANSCO/Z6</v>
      </c>
      <c r="Y620" s="251" t="n">
        <f aca="false">H620/10000</f>
        <v>-62</v>
      </c>
      <c r="Z620" s="226" t="e">
        <f aca="false">T620/H620</f>
        <v>#NAME?</v>
      </c>
      <c r="AA620" s="226" t="e">
        <f aca="false">xSPRDOPT($L620,$J620,$I620,$M620,$O620,$N620,$P620,$Q620-$C$3,$R620,3)</f>
        <v>#NAME?</v>
      </c>
      <c r="AB620" s="226" t="e">
        <f aca="false">((xSPRDOPT($L620+AB$5,$J620,$I620,$M620,$O620,$N620,$P620,$Q620-$C$3,$R620,3)*$H620)/10000)/100</f>
        <v>#NAME?</v>
      </c>
      <c r="AC620" s="226" t="e">
        <f aca="false">((xSPRDOPT($L620+$AB$5,$J620,$I620,$M620,$O620,$N620,$P620,$Q620-$C$3,$R620,7)*$H620)/100)</f>
        <v>#NAME?</v>
      </c>
      <c r="AD620" s="226" t="e">
        <f aca="false">(xSPRDOPT($L620+$AB$5,$J620,$I620,$M620,$O620,$N620,$P620,$Q620-$C$3,$R620,9)/365)*$H620</f>
        <v>#NAME?</v>
      </c>
      <c r="AE620" s="0" t="e">
        <f aca="false">CD621</f>
        <v>#NAME?</v>
      </c>
      <c r="AF620" s="226" t="e">
        <f aca="false">((O620/N620)*AH620)+AG620</f>
        <v>#NAME?</v>
      </c>
      <c r="AG620" s="226" t="e">
        <f aca="false">((xSPRDOPT($L620,$J620,$I620,$M620,$O620,$N620,$P620,$Q620-$C$3,$R620,6)*$H620)/100)</f>
        <v>#NAME?</v>
      </c>
      <c r="AH620" s="226" t="e">
        <f aca="false">((xSPRDOPT($L620,$J620,$I620,$M620,$O620,$N620,$P620,$Q620-$C$3,$R620,5)*$H620)/100)</f>
        <v>#NAME?</v>
      </c>
      <c r="AI620" s="226" t="e">
        <f aca="false">(((xSPRDOPT($L620,$J620,$I620,$M620,$O620,$N620,$P620,$Q620-$C$3,$R620,4)*$H620)/10000)/100)-AB620</f>
        <v>#NAME?</v>
      </c>
      <c r="AJ620" s="226"/>
      <c r="AK620" s="226"/>
      <c r="CC620" s="182" t="n">
        <f aca="false">G619</f>
        <v>36861</v>
      </c>
      <c r="CD620" s="253" t="e">
        <f aca="false">xSPRDOPT((VLOOKUP(G619,NGPrices,2,FALSE())+HLOOKUP(D619,Prices,VLOOKUP(G619,move_down,2,FALSE()),FALSE())),VLOOKUP(G619,NGPrices,2,FALSE()),I619,VLOOKUP(G619,NGPREVPRICES,4,FALSE()),HLOOKUP(D619,PREVVOLS,VLOOKUP(G619,MOVE_DOWN2,2,FALSE()),FALSE()),VLOOKUP(G619,NGPREVPRICES,3,FALSE()),HLOOKUP(D619,Correllate,VLOOKUP(G619,CorMove,2,FALSE()),FALSE()),Q619-$CD$3,R619,$CD$5)*H619-CJ620</f>
        <v>#NAME?</v>
      </c>
      <c r="CE620" s="253" t="e">
        <f aca="false">xSPRDOPT((VLOOKUP(G619,NGPREVPRICES,2,FALSE())+HLOOKUP(D619,PREVCURVES,VLOOKUP(G619,MOVE_DOWN2,2,FALSE()),FALSE())),VLOOKUP(G619,NGPREVPRICES,2,FALSE()),CK620,VLOOKUP(G619,NGPrices,4,FALSE()),HLOOKUP(D619,PREVVOLS,VLOOKUP(G619,MOVE_DOWN2,2,FALSE()),FALSE()),VLOOKUP(G619,NGPREVPRICES,3,FALSE()),HLOOKUP(D619,Correllate,VLOOKUP(G619,CorMove,2,FALSE()),FALSE()),Q619-$CD$3,R619,$CJ$5)*H619-CJ620</f>
        <v>#NAME?</v>
      </c>
      <c r="CF620" s="132" t="e">
        <f aca="false">(CJ620/VLOOKUP(CC620,discount,3,FALSE()))-(CJ620/VLOOKUP(CC620,discount,2,FALSE()))</f>
        <v>#NAME?</v>
      </c>
      <c r="CG620" s="253" t="e">
        <f aca="false">xSPRDOPT((VLOOKUP(G619,NGPREVPRICES,2,FALSE())+HLOOKUP(D619,PREVCURVES,VLOOKUP(G619,MOVE_DOWN2,2,FALSE()),FALSE())),VLOOKUP(G619,NGPREVPRICES,2,FALSE()),CK620,VLOOKUP(G619,NGPREVPRICES,4,FALSE()),HLOOKUP(D619,VOLS,VLOOKUP(G619,move_down,2,FALSE()),FALSE()),VLOOKUP(G619,NGPrices,3,FALSE()),HLOOKUP(D619,Correllate,VLOOKUP(G619,CorMove,2,FALSE()),FALSE()),Q619-$CD$3,R619,$CJ$5)*H619-CJ620</f>
        <v>#NAME?</v>
      </c>
      <c r="CH620" s="253" t="e">
        <f aca="false">xSPRDOPT((VLOOKUP(G619,NGPREVPRICES,2,FALSE())+HLOOKUP(D619,PREVCURVES,VLOOKUP(G619,MOVE_DOWN2,2,FALSE()),FALSE())),VLOOKUP(G619,NGPREVPRICES,2,FALSE()),CK620,VLOOKUP(G619,NGPREVPRICES,4,FALSE()),HLOOKUP(D619,PREVVOLS,VLOOKUP(G619,MOVE_DOWN2,2,FALSE()),FALSE()),VLOOKUP(G619,NGPREVPRICES,3,FALSE()),HLOOKUP(D619,Correllate,VLOOKUP(G619,CorMove,2,FALSE()),FALSE()),Q619-$C$3,R619,$CJ$5)*H619-CJ620</f>
        <v>#NAME?</v>
      </c>
      <c r="CI620" s="253" t="e">
        <f aca="false">SUM(CD620:CH620)</f>
        <v>#NAME?</v>
      </c>
      <c r="CJ620" s="253" t="e">
        <f aca="false">xSPRDOPT((VLOOKUP(G619,NGPREVPRICES,2,FALSE())+HLOOKUP(D619,PREVCURVES,VLOOKUP(G619,MOVE_DOWN2,2,FALSE()),FALSE())),VLOOKUP(G619,NGPREVPRICES,2,FALSE()),CK620,VLOOKUP(G619,NGPREVPRICES,4,FALSE()),HLOOKUP(D619,PREVVOLS,VLOOKUP(G619,MOVE_DOWN2,2,FALSE()),FALSE()),VLOOKUP(G619,NGPREVPRICES,3,FALSE()),HLOOKUP(D619,Correllate,VLOOKUP(G619,CorMove,2,FALSE()),FALSE()),Q619-$CD$3,R619,$CJ$5)*H619</f>
        <v>#NAME?</v>
      </c>
      <c r="CK620" s="254" t="n">
        <f aca="false">I619</f>
        <v>3.5</v>
      </c>
      <c r="CM620" s="0" t="str">
        <f aca="false">CONCATENATE(CC620,$CD$6)</f>
        <v>36861Curve Shift/Gamma</v>
      </c>
      <c r="CN620" s="0" t="str">
        <f aca="false">CONCATENATE($CC620,$CE$6)</f>
        <v>36861Rho</v>
      </c>
      <c r="CO620" s="0" t="str">
        <f aca="false">CONCATENATE($CC620,$CF$6)</f>
        <v>36861Drift</v>
      </c>
      <c r="CP620" s="0" t="str">
        <f aca="false">CONCATENATE($CC620,$CG$6)</f>
        <v>36861Vega</v>
      </c>
      <c r="CQ620" s="0" t="str">
        <f aca="false">CONCATENATE($CC620,$CH$6)</f>
        <v>36861Theta</v>
      </c>
    </row>
    <row r="621" customFormat="false" ht="12.75" hidden="false" customHeight="false" outlineLevel="0" collapsed="false">
      <c r="A621" s="17" t="s">
        <v>275</v>
      </c>
      <c r="B621" s="0" t="s">
        <v>192</v>
      </c>
      <c r="C621" s="0" t="s">
        <v>402</v>
      </c>
      <c r="D621" s="7" t="s">
        <v>149</v>
      </c>
      <c r="E621" s="0" t="s">
        <v>131</v>
      </c>
      <c r="F621" s="0" t="s">
        <v>136</v>
      </c>
      <c r="G621" s="92" t="n">
        <v>36923</v>
      </c>
      <c r="H621" s="248" t="n">
        <v>-560000</v>
      </c>
      <c r="I621" s="254" t="n">
        <v>3.5</v>
      </c>
      <c r="J621" s="124" t="n">
        <f aca="false">VLOOKUP(G621,NGPrices,2,FALSE())</f>
        <v>4.48</v>
      </c>
      <c r="K621" s="125" t="n">
        <f aca="false">HLOOKUP(D621,Prices,VLOOKUP(G621,move_down,2,FALSE()),FALSE())+VLOOKUP(G621,CHANGE,HLOOKUP(D621,CHANGE,2,FALSE()),FALSE())</f>
        <v>2.09</v>
      </c>
      <c r="L621" s="124" t="n">
        <f aca="false">K621+J621</f>
        <v>6.57</v>
      </c>
      <c r="M621" s="126" t="n">
        <f aca="false">VLOOKUP(G621,NGPrices,4,FALSE())</f>
        <v>0.068640161611372</v>
      </c>
      <c r="N621" s="7" t="n">
        <f aca="false">VLOOKUP(G621,NGPrices,3,FALSE())</f>
        <v>0.5925</v>
      </c>
      <c r="O621" s="7" t="n">
        <f aca="false">HLOOKUP(D621,VOLS,VLOOKUP(G621,move_down,2,FALSE()),FALSE())</f>
        <v>0.681</v>
      </c>
      <c r="P621" s="249" t="n">
        <f aca="false">HLOOKUP(D621,Correllate,VLOOKUP(G621,CorMove,2,FALSE()),FALSE())</f>
        <v>0.83</v>
      </c>
      <c r="Q621" s="92" t="n">
        <f aca="false">WORKDAY(G621,-2)</f>
        <v>36921</v>
      </c>
      <c r="R621" s="7" t="n">
        <f aca="false">IF(F621="P",0,1)</f>
        <v>1</v>
      </c>
      <c r="S621" s="130" t="e">
        <f aca="false">xSPRDOPT($L621,$J621,$I621,$M621,$O621,$N621,$P621,$Q621-$C$3,$R621,0)</f>
        <v>#NAME?</v>
      </c>
      <c r="T621" s="250" t="e">
        <f aca="false">xSPRDOPT($L621,$J621,$I621,$M621,$O621,$N621,$P621,$Q621-$C$3,$R621,1)*H621</f>
        <v>#NAME?</v>
      </c>
      <c r="U621" s="43" t="e">
        <f aca="false">S621*H621</f>
        <v>#NAME?</v>
      </c>
      <c r="V621" s="250" t="e">
        <f aca="false">xSPRDOPT($L621,$J621,$I621,$M621,$O621,$N621,$P621,$Q621-$C$3,$R621,2)*H621</f>
        <v>#NAME?</v>
      </c>
      <c r="W621" s="250" t="e">
        <f aca="false">+V621+T621</f>
        <v>#NAME?</v>
      </c>
      <c r="X621" s="2" t="str">
        <f aca="false">CONCATENATE(G621,D621)</f>
        <v>36923IF-TRANSCO/Z6</v>
      </c>
      <c r="Y621" s="251" t="n">
        <f aca="false">H621/10000</f>
        <v>-56</v>
      </c>
      <c r="Z621" s="226" t="e">
        <f aca="false">T621/H621</f>
        <v>#NAME?</v>
      </c>
      <c r="AA621" s="226" t="e">
        <f aca="false">xSPRDOPT($L621,$J621,$I621,$M621,$O621,$N621,$P621,$Q621-$C$3,$R621,3)</f>
        <v>#NAME?</v>
      </c>
      <c r="AB621" s="226" t="e">
        <f aca="false">((xSPRDOPT($L621+AB$5,$J621,$I621,$M621,$O621,$N621,$P621,$Q621-$C$3,$R621,3)*$H621)/10000)/100</f>
        <v>#NAME?</v>
      </c>
      <c r="AC621" s="226" t="e">
        <f aca="false">((xSPRDOPT($L621+$AB$5,$J621,$I621,$M621,$O621,$N621,$P621,$Q621-$C$3,$R621,7)*$H621)/100)</f>
        <v>#NAME?</v>
      </c>
      <c r="AD621" s="226" t="e">
        <f aca="false">(xSPRDOPT($L621+$AB$5,$J621,$I621,$M621,$O621,$N621,$P621,$Q621-$C$3,$R621,9)/365)*$H621</f>
        <v>#NAME?</v>
      </c>
      <c r="AE621" s="0" t="e">
        <f aca="false">CD622</f>
        <v>#NAME?</v>
      </c>
      <c r="AF621" s="226" t="e">
        <f aca="false">((O621/N621)*AH621)+AG621</f>
        <v>#NAME?</v>
      </c>
      <c r="AG621" s="226" t="e">
        <f aca="false">((xSPRDOPT($L621,$J621,$I621,$M621,$O621,$N621,$P621,$Q621-$C$3,$R621,6)*$H621)/100)</f>
        <v>#NAME?</v>
      </c>
      <c r="AH621" s="226" t="e">
        <f aca="false">((xSPRDOPT($L621,$J621,$I621,$M621,$O621,$N621,$P621,$Q621-$C$3,$R621,5)*$H621)/100)</f>
        <v>#NAME?</v>
      </c>
      <c r="AI621" s="226" t="e">
        <f aca="false">(((xSPRDOPT($L621,$J621,$I621,$M621,$O621,$N621,$P621,$Q621-$C$3,$R621,4)*$H621)/10000)/100)-AB621</f>
        <v>#NAME?</v>
      </c>
      <c r="AJ621" s="226"/>
      <c r="AK621" s="226"/>
      <c r="CC621" s="182" t="n">
        <f aca="false">G620</f>
        <v>36892</v>
      </c>
      <c r="CD621" s="253" t="e">
        <f aca="false">xSPRDOPT((VLOOKUP(G620,NGPrices,2,FALSE())+HLOOKUP(D620,Prices,VLOOKUP(G620,move_down,2,FALSE()),FALSE())),VLOOKUP(G620,NGPrices,2,FALSE()),I620,VLOOKUP(G620,NGPREVPRICES,4,FALSE()),HLOOKUP(D620,PREVVOLS,VLOOKUP(G620,MOVE_DOWN2,2,FALSE()),FALSE()),VLOOKUP(G620,NGPREVPRICES,3,FALSE()),HLOOKUP(D620,Correllate,VLOOKUP(G620,CorMove,2,FALSE()),FALSE()),Q620-$CD$3,R620,$CD$5)*H620-CJ621</f>
        <v>#NAME?</v>
      </c>
      <c r="CE621" s="253" t="e">
        <f aca="false">xSPRDOPT((VLOOKUP(G620,NGPREVPRICES,2,FALSE())+HLOOKUP(D620,PREVCURVES,VLOOKUP(G620,MOVE_DOWN2,2,FALSE()),FALSE())),VLOOKUP(G620,NGPREVPRICES,2,FALSE()),CK621,VLOOKUP(G620,NGPrices,4,FALSE()),HLOOKUP(D620,PREVVOLS,VLOOKUP(G620,MOVE_DOWN2,2,FALSE()),FALSE()),VLOOKUP(G620,NGPREVPRICES,3,FALSE()),HLOOKUP(D620,Correllate,VLOOKUP(G620,CorMove,2,FALSE()),FALSE()),Q620-$CD$3,R620,$CJ$5)*H620-CJ621</f>
        <v>#NAME?</v>
      </c>
      <c r="CF621" s="132" t="e">
        <f aca="false">(CJ621/VLOOKUP(CC621,discount,3,FALSE()))-(CJ621/VLOOKUP(CC621,discount,2,FALSE()))</f>
        <v>#NAME?</v>
      </c>
      <c r="CG621" s="253" t="e">
        <f aca="false">xSPRDOPT((VLOOKUP(G620,NGPREVPRICES,2,FALSE())+HLOOKUP(D620,PREVCURVES,VLOOKUP(G620,MOVE_DOWN2,2,FALSE()),FALSE())),VLOOKUP(G620,NGPREVPRICES,2,FALSE()),CK621,VLOOKUP(G620,NGPREVPRICES,4,FALSE()),HLOOKUP(D620,VOLS,VLOOKUP(G620,move_down,2,FALSE()),FALSE()),VLOOKUP(G620,NGPrices,3,FALSE()),HLOOKUP(D620,Correllate,VLOOKUP(G620,CorMove,2,FALSE()),FALSE()),Q620-$CD$3,R620,$CJ$5)*H620-CJ621</f>
        <v>#NAME?</v>
      </c>
      <c r="CH621" s="253" t="e">
        <f aca="false">xSPRDOPT((VLOOKUP(G620,NGPREVPRICES,2,FALSE())+HLOOKUP(D620,PREVCURVES,VLOOKUP(G620,MOVE_DOWN2,2,FALSE()),FALSE())),VLOOKUP(G620,NGPREVPRICES,2,FALSE()),CK621,VLOOKUP(G620,NGPREVPRICES,4,FALSE()),HLOOKUP(D620,PREVVOLS,VLOOKUP(G620,MOVE_DOWN2,2,FALSE()),FALSE()),VLOOKUP(G620,NGPREVPRICES,3,FALSE()),HLOOKUP(D620,Correllate,VLOOKUP(G620,CorMove,2,FALSE()),FALSE()),Q620-$C$3,R620,$CJ$5)*H620-CJ621</f>
        <v>#NAME?</v>
      </c>
      <c r="CI621" s="253" t="e">
        <f aca="false">SUM(CD621:CH621)</f>
        <v>#NAME?</v>
      </c>
      <c r="CJ621" s="253" t="e">
        <f aca="false">xSPRDOPT((VLOOKUP(G620,NGPREVPRICES,2,FALSE())+HLOOKUP(D620,PREVCURVES,VLOOKUP(G620,MOVE_DOWN2,2,FALSE()),FALSE())),VLOOKUP(G620,NGPREVPRICES,2,FALSE()),CK621,VLOOKUP(G620,NGPREVPRICES,4,FALSE()),HLOOKUP(D620,PREVVOLS,VLOOKUP(G620,MOVE_DOWN2,2,FALSE()),FALSE()),VLOOKUP(G620,NGPREVPRICES,3,FALSE()),HLOOKUP(D620,Correllate,VLOOKUP(G620,CorMove,2,FALSE()),FALSE()),Q620-$CD$3,R620,$CJ$5)*H620</f>
        <v>#NAME?</v>
      </c>
      <c r="CK621" s="254" t="n">
        <f aca="false">I620</f>
        <v>3.5</v>
      </c>
      <c r="CM621" s="0" t="str">
        <f aca="false">CONCATENATE(CC621,$CD$6)</f>
        <v>36892Curve Shift/Gamma</v>
      </c>
      <c r="CN621" s="0" t="str">
        <f aca="false">CONCATENATE($CC621,$CE$6)</f>
        <v>36892Rho</v>
      </c>
      <c r="CO621" s="0" t="str">
        <f aca="false">CONCATENATE($CC621,$CF$6)</f>
        <v>36892Drift</v>
      </c>
      <c r="CP621" s="0" t="str">
        <f aca="false">CONCATENATE($CC621,$CG$6)</f>
        <v>36892Vega</v>
      </c>
      <c r="CQ621" s="0" t="str">
        <f aca="false">CONCATENATE($CC621,$CH$6)</f>
        <v>36892Theta</v>
      </c>
    </row>
    <row r="622" customFormat="false" ht="12.75" hidden="false" customHeight="false" outlineLevel="0" collapsed="false">
      <c r="A622" s="17" t="s">
        <v>275</v>
      </c>
      <c r="B622" s="0" t="s">
        <v>192</v>
      </c>
      <c r="C622" s="0" t="s">
        <v>402</v>
      </c>
      <c r="D622" s="7" t="s">
        <v>149</v>
      </c>
      <c r="E622" s="0" t="s">
        <v>131</v>
      </c>
      <c r="F622" s="0" t="s">
        <v>136</v>
      </c>
      <c r="G622" s="92" t="n">
        <v>36951</v>
      </c>
      <c r="H622" s="248" t="n">
        <v>-620000</v>
      </c>
      <c r="I622" s="254" t="n">
        <v>3.5</v>
      </c>
      <c r="J622" s="124" t="n">
        <f aca="false">VLOOKUP(G622,NGPrices,2,FALSE())</f>
        <v>4.213</v>
      </c>
      <c r="K622" s="125" t="n">
        <f aca="false">HLOOKUP(D622,Prices,VLOOKUP(G622,move_down,2,FALSE()),FALSE())+VLOOKUP(G622,CHANGE,HLOOKUP(D622,CHANGE,2,FALSE()),FALSE())</f>
        <v>1.075</v>
      </c>
      <c r="L622" s="124" t="n">
        <f aca="false">K622+J622</f>
        <v>5.288</v>
      </c>
      <c r="M622" s="126" t="n">
        <f aca="false">VLOOKUP(G622,NGPrices,4,FALSE())</f>
        <v>0.068879814952707</v>
      </c>
      <c r="N622" s="7" t="n">
        <f aca="false">VLOOKUP(G622,NGPrices,3,FALSE())</f>
        <v>0.5325</v>
      </c>
      <c r="O622" s="7" t="n">
        <f aca="false">HLOOKUP(D622,VOLS,VLOOKUP(G622,move_down,2,FALSE()),FALSE())</f>
        <v>0.612</v>
      </c>
      <c r="P622" s="249" t="n">
        <f aca="false">HLOOKUP(D622,Correllate,VLOOKUP(G622,CorMove,2,FALSE()),FALSE())</f>
        <v>0.83</v>
      </c>
      <c r="Q622" s="92" t="n">
        <f aca="false">WORKDAY(G622,-2)</f>
        <v>36949</v>
      </c>
      <c r="R622" s="7" t="n">
        <f aca="false">IF(F622="P",0,1)</f>
        <v>1</v>
      </c>
      <c r="S622" s="130" t="e">
        <f aca="false">xSPRDOPT($L622,$J622,$I622,$M622,$O622,$N622,$P622,$Q622-$C$3,$R622,0)</f>
        <v>#NAME?</v>
      </c>
      <c r="T622" s="250" t="e">
        <f aca="false">xSPRDOPT($L622,$J622,$I622,$M622,$O622,$N622,$P622,$Q622-$C$3,$R622,1)*H622</f>
        <v>#NAME?</v>
      </c>
      <c r="U622" s="43" t="e">
        <f aca="false">S622*H622</f>
        <v>#NAME?</v>
      </c>
      <c r="V622" s="250" t="e">
        <f aca="false">xSPRDOPT($L622,$J622,$I622,$M622,$O622,$N622,$P622,$Q622-$C$3,$R622,2)*H622</f>
        <v>#NAME?</v>
      </c>
      <c r="W622" s="250" t="e">
        <f aca="false">+V622+T622</f>
        <v>#NAME?</v>
      </c>
      <c r="X622" s="2" t="str">
        <f aca="false">CONCATENATE(G622,D622)</f>
        <v>36951IF-TRANSCO/Z6</v>
      </c>
      <c r="Y622" s="251" t="n">
        <f aca="false">H622/10000</f>
        <v>-62</v>
      </c>
      <c r="Z622" s="226" t="e">
        <f aca="false">T622/H622</f>
        <v>#NAME?</v>
      </c>
      <c r="AA622" s="226" t="e">
        <f aca="false">xSPRDOPT($L622,$J622,$I622,$M622,$O622,$N622,$P622,$Q622-$C$3,$R622,3)</f>
        <v>#NAME?</v>
      </c>
      <c r="AB622" s="226" t="e">
        <f aca="false">((xSPRDOPT($L622+AB$5,$J622,$I622,$M622,$O622,$N622,$P622,$Q622-$C$3,$R622,3)*$H622)/10000)/100</f>
        <v>#NAME?</v>
      </c>
      <c r="AC622" s="226" t="e">
        <f aca="false">((xSPRDOPT($L622+$AB$5,$J622,$I622,$M622,$O622,$N622,$P622,$Q622-$C$3,$R622,7)*$H622)/100)</f>
        <v>#NAME?</v>
      </c>
      <c r="AD622" s="226" t="e">
        <f aca="false">(xSPRDOPT($L622+$AB$5,$J622,$I622,$M622,$O622,$N622,$P622,$Q622-$C$3,$R622,9)/365)*$H622</f>
        <v>#NAME?</v>
      </c>
      <c r="AE622" s="0" t="e">
        <f aca="false">CD623</f>
        <v>#NAME?</v>
      </c>
      <c r="AF622" s="226" t="e">
        <f aca="false">((O622/N622)*AH622)+AG622</f>
        <v>#NAME?</v>
      </c>
      <c r="AG622" s="226" t="e">
        <f aca="false">((xSPRDOPT($L622,$J622,$I622,$M622,$O622,$N622,$P622,$Q622-$C$3,$R622,6)*$H622)/100)</f>
        <v>#NAME?</v>
      </c>
      <c r="AH622" s="226" t="e">
        <f aca="false">((xSPRDOPT($L622,$J622,$I622,$M622,$O622,$N622,$P622,$Q622-$C$3,$R622,5)*$H622)/100)</f>
        <v>#NAME?</v>
      </c>
      <c r="AI622" s="226" t="e">
        <f aca="false">(((xSPRDOPT($L622,$J622,$I622,$M622,$O622,$N622,$P622,$Q622-$C$3,$R622,4)*$H622)/10000)/100)-AB622</f>
        <v>#NAME?</v>
      </c>
      <c r="AJ622" s="226"/>
      <c r="AK622" s="226"/>
      <c r="CC622" s="182" t="n">
        <f aca="false">G621</f>
        <v>36923</v>
      </c>
      <c r="CD622" s="253" t="e">
        <f aca="false">xSPRDOPT((VLOOKUP(G621,NGPrices,2,FALSE())+HLOOKUP(D621,Prices,VLOOKUP(G621,move_down,2,FALSE()),FALSE())),VLOOKUP(G621,NGPrices,2,FALSE()),I621,VLOOKUP(G621,NGPREVPRICES,4,FALSE()),HLOOKUP(D621,PREVVOLS,VLOOKUP(G621,MOVE_DOWN2,2,FALSE()),FALSE()),VLOOKUP(G621,NGPREVPRICES,3,FALSE()),HLOOKUP(D621,Correllate,VLOOKUP(G621,CorMove,2,FALSE()),FALSE()),Q621-$CD$3,R621,$CD$5)*H621-CJ622</f>
        <v>#NAME?</v>
      </c>
      <c r="CE622" s="253" t="e">
        <f aca="false">xSPRDOPT((VLOOKUP(G621,NGPREVPRICES,2,FALSE())+HLOOKUP(D621,PREVCURVES,VLOOKUP(G621,MOVE_DOWN2,2,FALSE()),FALSE())),VLOOKUP(G621,NGPREVPRICES,2,FALSE()),CK622,VLOOKUP(G621,NGPrices,4,FALSE()),HLOOKUP(D621,PREVVOLS,VLOOKUP(G621,MOVE_DOWN2,2,FALSE()),FALSE()),VLOOKUP(G621,NGPREVPRICES,3,FALSE()),HLOOKUP(D621,Correllate,VLOOKUP(G621,CorMove,2,FALSE()),FALSE()),Q621-$CD$3,R621,$CJ$5)*H621-CJ622</f>
        <v>#NAME?</v>
      </c>
      <c r="CF622" s="132" t="e">
        <f aca="false">(CJ622/VLOOKUP(CC622,discount,3,FALSE()))-(CJ622/VLOOKUP(CC622,discount,2,FALSE()))</f>
        <v>#NAME?</v>
      </c>
      <c r="CG622" s="253" t="e">
        <f aca="false">xSPRDOPT((VLOOKUP(G621,NGPREVPRICES,2,FALSE())+HLOOKUP(D621,PREVCURVES,VLOOKUP(G621,MOVE_DOWN2,2,FALSE()),FALSE())),VLOOKUP(G621,NGPREVPRICES,2,FALSE()),CK622,VLOOKUP(G621,NGPREVPRICES,4,FALSE()),HLOOKUP(D621,VOLS,VLOOKUP(G621,move_down,2,FALSE()),FALSE()),VLOOKUP(G621,NGPrices,3,FALSE()),HLOOKUP(D621,Correllate,VLOOKUP(G621,CorMove,2,FALSE()),FALSE()),Q621-$CD$3,R621,$CJ$5)*H621-CJ622</f>
        <v>#NAME?</v>
      </c>
      <c r="CH622" s="253" t="e">
        <f aca="false">xSPRDOPT((VLOOKUP(G621,NGPREVPRICES,2,FALSE())+HLOOKUP(D621,PREVCURVES,VLOOKUP(G621,MOVE_DOWN2,2,FALSE()),FALSE())),VLOOKUP(G621,NGPREVPRICES,2,FALSE()),CK622,VLOOKUP(G621,NGPREVPRICES,4,FALSE()),HLOOKUP(D621,PREVVOLS,VLOOKUP(G621,MOVE_DOWN2,2,FALSE()),FALSE()),VLOOKUP(G621,NGPREVPRICES,3,FALSE()),HLOOKUP(D621,Correllate,VLOOKUP(G621,CorMove,2,FALSE()),FALSE()),Q621-$C$3,R621,$CJ$5)*H621-CJ622</f>
        <v>#NAME?</v>
      </c>
      <c r="CI622" s="253" t="e">
        <f aca="false">SUM(CD622:CH622)</f>
        <v>#NAME?</v>
      </c>
      <c r="CJ622" s="253" t="e">
        <f aca="false">xSPRDOPT((VLOOKUP(G621,NGPREVPRICES,2,FALSE())+HLOOKUP(D621,PREVCURVES,VLOOKUP(G621,MOVE_DOWN2,2,FALSE()),FALSE())),VLOOKUP(G621,NGPREVPRICES,2,FALSE()),CK622,VLOOKUP(G621,NGPREVPRICES,4,FALSE()),HLOOKUP(D621,PREVVOLS,VLOOKUP(G621,MOVE_DOWN2,2,FALSE()),FALSE()),VLOOKUP(G621,NGPREVPRICES,3,FALSE()),HLOOKUP(D621,Correllate,VLOOKUP(G621,CorMove,2,FALSE()),FALSE()),Q621-$CD$3,R621,$CJ$5)*H621</f>
        <v>#NAME?</v>
      </c>
      <c r="CK622" s="254" t="n">
        <f aca="false">I621</f>
        <v>3.5</v>
      </c>
      <c r="CM622" s="0" t="str">
        <f aca="false">CONCATENATE(CC622,$CD$6)</f>
        <v>36923Curve Shift/Gamma</v>
      </c>
      <c r="CN622" s="0" t="str">
        <f aca="false">CONCATENATE($CC622,$CE$6)</f>
        <v>36923Rho</v>
      </c>
      <c r="CO622" s="0" t="str">
        <f aca="false">CONCATENATE($CC622,$CF$6)</f>
        <v>36923Drift</v>
      </c>
      <c r="CP622" s="0" t="str">
        <f aca="false">CONCATENATE($CC622,$CG$6)</f>
        <v>36923Vega</v>
      </c>
      <c r="CQ622" s="0" t="str">
        <f aca="false">CONCATENATE($CC622,$CH$6)</f>
        <v>36923Theta</v>
      </c>
    </row>
    <row r="623" customFormat="false" ht="12.75" hidden="false" customHeight="false" outlineLevel="0" collapsed="false">
      <c r="A623" s="17" t="s">
        <v>198</v>
      </c>
      <c r="B623" s="0" t="s">
        <v>192</v>
      </c>
      <c r="C623" s="0" t="s">
        <v>403</v>
      </c>
      <c r="D623" s="7" t="s">
        <v>149</v>
      </c>
      <c r="E623" s="0" t="s">
        <v>131</v>
      </c>
      <c r="F623" s="0" t="s">
        <v>136</v>
      </c>
      <c r="G623" s="92" t="n">
        <v>36861</v>
      </c>
      <c r="H623" s="248" t="n">
        <v>-500000</v>
      </c>
      <c r="I623" s="254" t="n">
        <v>3</v>
      </c>
      <c r="J623" s="124" t="n">
        <f aca="false">VLOOKUP(G623,NGPrices,2,FALSE())</f>
        <v>4.8</v>
      </c>
      <c r="K623" s="125" t="n">
        <f aca="false">HLOOKUP(D623,Prices,VLOOKUP(G623,move_down,2,FALSE()),FALSE())+VLOOKUP(G623,CHANGE,HLOOKUP(D623,CHANGE,2,FALSE()),FALSE())</f>
        <v>1.645</v>
      </c>
      <c r="L623" s="124" t="n">
        <f aca="false">K623+J623</f>
        <v>6.445</v>
      </c>
      <c r="M623" s="126" t="n">
        <f aca="false">VLOOKUP(G623,NGPrices,4,FALSE())</f>
        <v>0.068314027999354</v>
      </c>
      <c r="N623" s="7" t="n">
        <f aca="false">VLOOKUP(G623,NGPrices,3,FALSE())</f>
        <v>0.6</v>
      </c>
      <c r="O623" s="7" t="n">
        <f aca="false">HLOOKUP(D623,VOLS,VLOOKUP(G623,move_down,2,FALSE()),FALSE())</f>
        <v>0.69</v>
      </c>
      <c r="P623" s="249" t="n">
        <f aca="false">HLOOKUP(D623,Correllate,VLOOKUP(G623,CorMove,2,FALSE()),FALSE())</f>
        <v>0.83</v>
      </c>
      <c r="Q623" s="92" t="n">
        <f aca="false">WORKDAY(G623,-2)</f>
        <v>36859</v>
      </c>
      <c r="R623" s="7" t="n">
        <f aca="false">IF(F623="P",0,1)</f>
        <v>1</v>
      </c>
      <c r="S623" s="130" t="e">
        <f aca="false">xSPRDOPT($L623,$J623,$I623,$M623,$O623,$N623,$P623,$Q623-$C$3,$R623,0)</f>
        <v>#NAME?</v>
      </c>
      <c r="T623" s="250" t="e">
        <f aca="false">xSPRDOPT($L623,$J623,$I623,$M623,$O623,$N623,$P623,$Q623-$C$3,$R623,1)*H623</f>
        <v>#NAME?</v>
      </c>
      <c r="U623" s="43" t="e">
        <f aca="false">S623*H623</f>
        <v>#NAME?</v>
      </c>
      <c r="V623" s="250" t="e">
        <f aca="false">xSPRDOPT($L623,$J623,$I623,$M623,$O623,$N623,$P623,$Q623-$C$3,$R623,2)*H623</f>
        <v>#NAME?</v>
      </c>
      <c r="W623" s="250" t="e">
        <f aca="false">+V623+T623</f>
        <v>#NAME?</v>
      </c>
      <c r="X623" s="2" t="str">
        <f aca="false">CONCATENATE(G623,D623)</f>
        <v>36861IF-TRANSCO/Z6</v>
      </c>
      <c r="Y623" s="251" t="n">
        <f aca="false">H623/10000</f>
        <v>-50</v>
      </c>
      <c r="Z623" s="226" t="e">
        <f aca="false">T623/H623</f>
        <v>#NAME?</v>
      </c>
      <c r="AA623" s="226" t="e">
        <f aca="false">xSPRDOPT($L623,$J623,$I623,$M623,$O623,$N623,$P623,$Q623-$C$3,$R623,3)</f>
        <v>#NAME?</v>
      </c>
      <c r="AB623" s="226" t="e">
        <f aca="false">((xSPRDOPT($L623+AB$5,$J623,$I623,$M623,$O623,$N623,$P623,$Q623-$C$3,$R623,3)*$H623)/10000)/100</f>
        <v>#NAME?</v>
      </c>
      <c r="AC623" s="226" t="e">
        <f aca="false">((xSPRDOPT($L623+$AB$5,$J623,$I623,$M623,$O623,$N623,$P623,$Q623-$C$3,$R623,7)*$H623)/100)</f>
        <v>#NAME?</v>
      </c>
      <c r="AD623" s="226" t="e">
        <f aca="false">(xSPRDOPT($L623+$AB$5,$J623,$I623,$M623,$O623,$N623,$P623,$Q623-$C$3,$R623,9)/365)*$H623</f>
        <v>#NAME?</v>
      </c>
      <c r="AE623" s="0" t="e">
        <f aca="false">CD624</f>
        <v>#NAME?</v>
      </c>
      <c r="AF623" s="226" t="e">
        <f aca="false">((O623/N623)*AH623)+AG623</f>
        <v>#NAME?</v>
      </c>
      <c r="AG623" s="226" t="e">
        <f aca="false">((xSPRDOPT($L623,$J623,$I623,$M623,$O623,$N623,$P623,$Q623-$C$3,$R623,6)*$H623)/100)</f>
        <v>#NAME?</v>
      </c>
      <c r="AH623" s="226" t="e">
        <f aca="false">((xSPRDOPT($L623,$J623,$I623,$M623,$O623,$N623,$P623,$Q623-$C$3,$R623,5)*$H623)/100)</f>
        <v>#NAME?</v>
      </c>
      <c r="AI623" s="226" t="e">
        <f aca="false">(((xSPRDOPT($L623,$J623,$I623,$M623,$O623,$N623,$P623,$Q623-$C$3,$R623,4)*$H623)/10000)/100)-AB623</f>
        <v>#NAME?</v>
      </c>
      <c r="AJ623" s="226"/>
      <c r="AK623" s="226"/>
      <c r="CC623" s="182" t="n">
        <f aca="false">G622</f>
        <v>36951</v>
      </c>
      <c r="CD623" s="253" t="e">
        <f aca="false">xSPRDOPT((VLOOKUP(G622,NGPrices,2,FALSE())+HLOOKUP(D622,Prices,VLOOKUP(G622,move_down,2,FALSE()),FALSE())),VLOOKUP(G622,NGPrices,2,FALSE()),I622,VLOOKUP(G622,NGPREVPRICES,4,FALSE()),HLOOKUP(D622,PREVVOLS,VLOOKUP(G622,MOVE_DOWN2,2,FALSE()),FALSE()),VLOOKUP(G622,NGPREVPRICES,3,FALSE()),HLOOKUP(D622,Correllate,VLOOKUP(G622,CorMove,2,FALSE()),FALSE()),Q622-$CD$3,R622,$CD$5)*H622-CJ623</f>
        <v>#NAME?</v>
      </c>
      <c r="CE623" s="253" t="e">
        <f aca="false">xSPRDOPT((VLOOKUP(G622,NGPREVPRICES,2,FALSE())+HLOOKUP(D622,PREVCURVES,VLOOKUP(G622,MOVE_DOWN2,2,FALSE()),FALSE())),VLOOKUP(G622,NGPREVPRICES,2,FALSE()),CK623,VLOOKUP(G622,NGPrices,4,FALSE()),HLOOKUP(D622,PREVVOLS,VLOOKUP(G622,MOVE_DOWN2,2,FALSE()),FALSE()),VLOOKUP(G622,NGPREVPRICES,3,FALSE()),HLOOKUP(D622,Correllate,VLOOKUP(G622,CorMove,2,FALSE()),FALSE()),Q622-$CD$3,R622,$CJ$5)*H622-CJ623</f>
        <v>#NAME?</v>
      </c>
      <c r="CF623" s="132" t="e">
        <f aca="false">(CJ623/VLOOKUP(CC623,discount,3,FALSE()))-(CJ623/VLOOKUP(CC623,discount,2,FALSE()))</f>
        <v>#NAME?</v>
      </c>
      <c r="CG623" s="253" t="e">
        <f aca="false">xSPRDOPT((VLOOKUP(G622,NGPREVPRICES,2,FALSE())+HLOOKUP(D622,PREVCURVES,VLOOKUP(G622,MOVE_DOWN2,2,FALSE()),FALSE())),VLOOKUP(G622,NGPREVPRICES,2,FALSE()),CK623,VLOOKUP(G622,NGPREVPRICES,4,FALSE()),HLOOKUP(D622,VOLS,VLOOKUP(G622,move_down,2,FALSE()),FALSE()),VLOOKUP(G622,NGPrices,3,FALSE()),HLOOKUP(D622,Correllate,VLOOKUP(G622,CorMove,2,FALSE()),FALSE()),Q622-$CD$3,R622,$CJ$5)*H622-CJ623</f>
        <v>#NAME?</v>
      </c>
      <c r="CH623" s="253" t="e">
        <f aca="false">xSPRDOPT((VLOOKUP(G622,NGPREVPRICES,2,FALSE())+HLOOKUP(D622,PREVCURVES,VLOOKUP(G622,MOVE_DOWN2,2,FALSE()),FALSE())),VLOOKUP(G622,NGPREVPRICES,2,FALSE()),CK623,VLOOKUP(G622,NGPREVPRICES,4,FALSE()),HLOOKUP(D622,PREVVOLS,VLOOKUP(G622,MOVE_DOWN2,2,FALSE()),FALSE()),VLOOKUP(G622,NGPREVPRICES,3,FALSE()),HLOOKUP(D622,Correllate,VLOOKUP(G622,CorMove,2,FALSE()),FALSE()),Q622-$C$3,R622,$CJ$5)*H622-CJ623</f>
        <v>#NAME?</v>
      </c>
      <c r="CI623" s="253" t="e">
        <f aca="false">SUM(CD623:CH623)</f>
        <v>#NAME?</v>
      </c>
      <c r="CJ623" s="253" t="e">
        <f aca="false">xSPRDOPT((VLOOKUP(G622,NGPREVPRICES,2,FALSE())+HLOOKUP(D622,PREVCURVES,VLOOKUP(G622,MOVE_DOWN2,2,FALSE()),FALSE())),VLOOKUP(G622,NGPREVPRICES,2,FALSE()),CK623,VLOOKUP(G622,NGPREVPRICES,4,FALSE()),HLOOKUP(D622,PREVVOLS,VLOOKUP(G622,MOVE_DOWN2,2,FALSE()),FALSE()),VLOOKUP(G622,NGPREVPRICES,3,FALSE()),HLOOKUP(D622,Correllate,VLOOKUP(G622,CorMove,2,FALSE()),FALSE()),Q622-$CD$3,R622,$CJ$5)*H622</f>
        <v>#NAME?</v>
      </c>
      <c r="CK623" s="254" t="n">
        <f aca="false">I622</f>
        <v>3.5</v>
      </c>
      <c r="CM623" s="0" t="str">
        <f aca="false">CONCATENATE(CC623,$CD$6)</f>
        <v>36951Curve Shift/Gamma</v>
      </c>
      <c r="CN623" s="0" t="str">
        <f aca="false">CONCATENATE($CC623,$CE$6)</f>
        <v>36951Rho</v>
      </c>
      <c r="CO623" s="0" t="str">
        <f aca="false">CONCATENATE($CC623,$CF$6)</f>
        <v>36951Drift</v>
      </c>
      <c r="CP623" s="0" t="str">
        <f aca="false">CONCATENATE($CC623,$CG$6)</f>
        <v>36951Vega</v>
      </c>
      <c r="CQ623" s="0" t="str">
        <f aca="false">CONCATENATE($CC623,$CH$6)</f>
        <v>36951Theta</v>
      </c>
    </row>
    <row r="624" customFormat="false" ht="12.75" hidden="false" customHeight="false" outlineLevel="0" collapsed="false">
      <c r="A624" s="17" t="s">
        <v>198</v>
      </c>
      <c r="B624" s="0" t="s">
        <v>192</v>
      </c>
      <c r="C624" s="0" t="s">
        <v>403</v>
      </c>
      <c r="D624" s="7" t="s">
        <v>149</v>
      </c>
      <c r="E624" s="0" t="s">
        <v>131</v>
      </c>
      <c r="F624" s="0" t="s">
        <v>136</v>
      </c>
      <c r="G624" s="92" t="n">
        <v>36892</v>
      </c>
      <c r="H624" s="248" t="n">
        <v>-500000</v>
      </c>
      <c r="I624" s="254" t="n">
        <v>3</v>
      </c>
      <c r="J624" s="124" t="n">
        <f aca="false">VLOOKUP(G624,NGPrices,2,FALSE())</f>
        <v>4.744</v>
      </c>
      <c r="K624" s="125" t="n">
        <f aca="false">HLOOKUP(D624,Prices,VLOOKUP(G624,move_down,2,FALSE()),FALSE())+VLOOKUP(G624,CHANGE,HLOOKUP(D624,CHANGE,2,FALSE()),FALSE())</f>
        <v>2.17</v>
      </c>
      <c r="L624" s="124" t="n">
        <f aca="false">K624+J624</f>
        <v>6.914</v>
      </c>
      <c r="M624" s="126" t="n">
        <f aca="false">VLOOKUP(G624,NGPrices,4,FALSE())</f>
        <v>0.068374831148491</v>
      </c>
      <c r="N624" s="7" t="n">
        <f aca="false">VLOOKUP(G624,NGPrices,3,FALSE())</f>
        <v>0.605</v>
      </c>
      <c r="O624" s="7" t="n">
        <f aca="false">HLOOKUP(D624,VOLS,VLOOKUP(G624,move_down,2,FALSE()),FALSE())</f>
        <v>0.696</v>
      </c>
      <c r="P624" s="249" t="n">
        <f aca="false">HLOOKUP(D624,Correllate,VLOOKUP(G624,CorMove,2,FALSE()),FALSE())</f>
        <v>0.83</v>
      </c>
      <c r="Q624" s="92" t="n">
        <f aca="false">WORKDAY(G624,-2)</f>
        <v>36888</v>
      </c>
      <c r="R624" s="7" t="n">
        <f aca="false">IF(F624="P",0,1)</f>
        <v>1</v>
      </c>
      <c r="S624" s="130" t="e">
        <f aca="false">xSPRDOPT($L624,$J624,$I624,$M624,$O624,$N624,$P624,$Q624-$C$3,$R624,0)</f>
        <v>#NAME?</v>
      </c>
      <c r="T624" s="250" t="e">
        <f aca="false">xSPRDOPT($L624,$J624,$I624,$M624,$O624,$N624,$P624,$Q624-$C$3,$R624,1)*H624</f>
        <v>#NAME?</v>
      </c>
      <c r="U624" s="43" t="e">
        <f aca="false">S624*H624</f>
        <v>#NAME?</v>
      </c>
      <c r="V624" s="250" t="e">
        <f aca="false">xSPRDOPT($L624,$J624,$I624,$M624,$O624,$N624,$P624,$Q624-$C$3,$R624,2)*H624</f>
        <v>#NAME?</v>
      </c>
      <c r="W624" s="250" t="e">
        <f aca="false">+V624+T624</f>
        <v>#NAME?</v>
      </c>
      <c r="X624" s="2" t="str">
        <f aca="false">CONCATENATE(G624,D624)</f>
        <v>36892IF-TRANSCO/Z6</v>
      </c>
      <c r="Y624" s="251" t="n">
        <f aca="false">H624/10000</f>
        <v>-50</v>
      </c>
      <c r="Z624" s="226" t="e">
        <f aca="false">T624/H624</f>
        <v>#NAME?</v>
      </c>
      <c r="AA624" s="226" t="e">
        <f aca="false">xSPRDOPT($L624,$J624,$I624,$M624,$O624,$N624,$P624,$Q624-$C$3,$R624,3)</f>
        <v>#NAME?</v>
      </c>
      <c r="AB624" s="226" t="e">
        <f aca="false">((xSPRDOPT($L624+AB$5,$J624,$I624,$M624,$O624,$N624,$P624,$Q624-$C$3,$R624,3)*$H624)/10000)/100</f>
        <v>#NAME?</v>
      </c>
      <c r="AC624" s="226" t="e">
        <f aca="false">((xSPRDOPT($L624+$AB$5,$J624,$I624,$M624,$O624,$N624,$P624,$Q624-$C$3,$R624,7)*$H624)/100)</f>
        <v>#NAME?</v>
      </c>
      <c r="AD624" s="226" t="e">
        <f aca="false">(xSPRDOPT($L624+$AB$5,$J624,$I624,$M624,$O624,$N624,$P624,$Q624-$C$3,$R624,9)/365)*$H624</f>
        <v>#NAME?</v>
      </c>
      <c r="AE624" s="0" t="e">
        <f aca="false">CD625</f>
        <v>#NAME?</v>
      </c>
      <c r="AF624" s="226" t="e">
        <f aca="false">((O624/N624)*AH624)+AG624</f>
        <v>#NAME?</v>
      </c>
      <c r="AG624" s="226" t="e">
        <f aca="false">((xSPRDOPT($L624,$J624,$I624,$M624,$O624,$N624,$P624,$Q624-$C$3,$R624,6)*$H624)/100)</f>
        <v>#NAME?</v>
      </c>
      <c r="AH624" s="226" t="e">
        <f aca="false">((xSPRDOPT($L624,$J624,$I624,$M624,$O624,$N624,$P624,$Q624-$C$3,$R624,5)*$H624)/100)</f>
        <v>#NAME?</v>
      </c>
      <c r="AI624" s="226" t="e">
        <f aca="false">(((xSPRDOPT($L624,$J624,$I624,$M624,$O624,$N624,$P624,$Q624-$C$3,$R624,4)*$H624)/10000)/100)-AB624</f>
        <v>#NAME?</v>
      </c>
      <c r="AJ624" s="226"/>
      <c r="AK624" s="226"/>
      <c r="CC624" s="182" t="n">
        <f aca="false">G623</f>
        <v>36861</v>
      </c>
      <c r="CD624" s="253" t="e">
        <f aca="false">xSPRDOPT((VLOOKUP(G623,NGPrices,2,FALSE())+HLOOKUP(D623,Prices,VLOOKUP(G623,move_down,2,FALSE()),FALSE())),VLOOKUP(G623,NGPrices,2,FALSE()),I623,VLOOKUP(G623,NGPREVPRICES,4,FALSE()),HLOOKUP(D623,PREVVOLS,VLOOKUP(G623,MOVE_DOWN2,2,FALSE()),FALSE()),VLOOKUP(G623,NGPREVPRICES,3,FALSE()),HLOOKUP(D623,Correllate,VLOOKUP(G623,CorMove,2,FALSE()),FALSE()),Q623-$CD$3,R623,$CD$5)*H623-CJ624</f>
        <v>#NAME?</v>
      </c>
      <c r="CE624" s="253" t="e">
        <f aca="false">xSPRDOPT((VLOOKUP(G623,NGPREVPRICES,2,FALSE())+HLOOKUP(D623,PREVCURVES,VLOOKUP(G623,MOVE_DOWN2,2,FALSE()),FALSE())),VLOOKUP(G623,NGPREVPRICES,2,FALSE()),CK624,VLOOKUP(G623,NGPrices,4,FALSE()),HLOOKUP(D623,PREVVOLS,VLOOKUP(G623,MOVE_DOWN2,2,FALSE()),FALSE()),VLOOKUP(G623,NGPREVPRICES,3,FALSE()),HLOOKUP(D623,Correllate,VLOOKUP(G623,CorMove,2,FALSE()),FALSE()),Q623-$CD$3,R623,$CJ$5)*H623-CJ624</f>
        <v>#NAME?</v>
      </c>
      <c r="CF624" s="132" t="e">
        <f aca="false">(CJ624/VLOOKUP(CC624,discount,3,FALSE()))-(CJ624/VLOOKUP(CC624,discount,2,FALSE()))</f>
        <v>#NAME?</v>
      </c>
      <c r="CG624" s="253" t="e">
        <f aca="false">xSPRDOPT((VLOOKUP(G623,NGPREVPRICES,2,FALSE())+HLOOKUP(D623,PREVCURVES,VLOOKUP(G623,MOVE_DOWN2,2,FALSE()),FALSE())),VLOOKUP(G623,NGPREVPRICES,2,FALSE()),CK624,VLOOKUP(G623,NGPREVPRICES,4,FALSE()),HLOOKUP(D623,VOLS,VLOOKUP(G623,move_down,2,FALSE()),FALSE()),VLOOKUP(G623,NGPrices,3,FALSE()),HLOOKUP(D623,Correllate,VLOOKUP(G623,CorMove,2,FALSE()),FALSE()),Q623-$CD$3,R623,$CJ$5)*H623-CJ624</f>
        <v>#NAME?</v>
      </c>
      <c r="CH624" s="253" t="e">
        <f aca="false">xSPRDOPT((VLOOKUP(G623,NGPREVPRICES,2,FALSE())+HLOOKUP(D623,PREVCURVES,VLOOKUP(G623,MOVE_DOWN2,2,FALSE()),FALSE())),VLOOKUP(G623,NGPREVPRICES,2,FALSE()),CK624,VLOOKUP(G623,NGPREVPRICES,4,FALSE()),HLOOKUP(D623,PREVVOLS,VLOOKUP(G623,MOVE_DOWN2,2,FALSE()),FALSE()),VLOOKUP(G623,NGPREVPRICES,3,FALSE()),HLOOKUP(D623,Correllate,VLOOKUP(G623,CorMove,2,FALSE()),FALSE()),Q623-$C$3,R623,$CJ$5)*H623-CJ624</f>
        <v>#NAME?</v>
      </c>
      <c r="CI624" s="253" t="e">
        <f aca="false">SUM(CD624:CH624)</f>
        <v>#NAME?</v>
      </c>
      <c r="CJ624" s="253" t="e">
        <f aca="false">xSPRDOPT((VLOOKUP(G623,NGPREVPRICES,2,FALSE())+HLOOKUP(D623,PREVCURVES,VLOOKUP(G623,MOVE_DOWN2,2,FALSE()),FALSE())),VLOOKUP(G623,NGPREVPRICES,2,FALSE()),CK624,VLOOKUP(G623,NGPREVPRICES,4,FALSE()),HLOOKUP(D623,PREVVOLS,VLOOKUP(G623,MOVE_DOWN2,2,FALSE()),FALSE()),VLOOKUP(G623,NGPREVPRICES,3,FALSE()),HLOOKUP(D623,Correllate,VLOOKUP(G623,CorMove,2,FALSE()),FALSE()),Q623-$CD$3,R623,$CJ$5)*H623</f>
        <v>#NAME?</v>
      </c>
      <c r="CK624" s="254" t="n">
        <f aca="false">I623</f>
        <v>3</v>
      </c>
      <c r="CM624" s="0" t="str">
        <f aca="false">CONCATENATE(CC624,$CD$6)</f>
        <v>36861Curve Shift/Gamma</v>
      </c>
      <c r="CN624" s="0" t="str">
        <f aca="false">CONCATENATE($CC624,$CE$6)</f>
        <v>36861Rho</v>
      </c>
      <c r="CO624" s="0" t="str">
        <f aca="false">CONCATENATE($CC624,$CF$6)</f>
        <v>36861Drift</v>
      </c>
      <c r="CP624" s="0" t="str">
        <f aca="false">CONCATENATE($CC624,$CG$6)</f>
        <v>36861Vega</v>
      </c>
      <c r="CQ624" s="0" t="str">
        <f aca="false">CONCATENATE($CC624,$CH$6)</f>
        <v>36861Theta</v>
      </c>
    </row>
    <row r="625" customFormat="false" ht="12.75" hidden="false" customHeight="false" outlineLevel="0" collapsed="false">
      <c r="A625" s="17" t="s">
        <v>198</v>
      </c>
      <c r="B625" s="0" t="s">
        <v>192</v>
      </c>
      <c r="C625" s="0" t="s">
        <v>403</v>
      </c>
      <c r="D625" s="7" t="s">
        <v>149</v>
      </c>
      <c r="E625" s="0" t="s">
        <v>131</v>
      </c>
      <c r="F625" s="0" t="s">
        <v>136</v>
      </c>
      <c r="G625" s="92" t="n">
        <v>36923</v>
      </c>
      <c r="H625" s="248" t="n">
        <v>-500000</v>
      </c>
      <c r="I625" s="254" t="n">
        <v>3</v>
      </c>
      <c r="J625" s="124" t="n">
        <f aca="false">VLOOKUP(G625,NGPrices,2,FALSE())</f>
        <v>4.48</v>
      </c>
      <c r="K625" s="125" t="n">
        <f aca="false">HLOOKUP(D625,Prices,VLOOKUP(G625,move_down,2,FALSE()),FALSE())+VLOOKUP(G625,CHANGE,HLOOKUP(D625,CHANGE,2,FALSE()),FALSE())</f>
        <v>2.09</v>
      </c>
      <c r="L625" s="124" t="n">
        <f aca="false">K625+J625</f>
        <v>6.57</v>
      </c>
      <c r="M625" s="126" t="n">
        <f aca="false">VLOOKUP(G625,NGPrices,4,FALSE())</f>
        <v>0.068640161611372</v>
      </c>
      <c r="N625" s="7" t="n">
        <f aca="false">VLOOKUP(G625,NGPrices,3,FALSE())</f>
        <v>0.5925</v>
      </c>
      <c r="O625" s="7" t="n">
        <f aca="false">HLOOKUP(D625,VOLS,VLOOKUP(G625,move_down,2,FALSE()),FALSE())</f>
        <v>0.681</v>
      </c>
      <c r="P625" s="249" t="n">
        <f aca="false">HLOOKUP(D625,Correllate,VLOOKUP(G625,CorMove,2,FALSE()),FALSE())</f>
        <v>0.83</v>
      </c>
      <c r="Q625" s="92" t="n">
        <f aca="false">WORKDAY(G625,-2)</f>
        <v>36921</v>
      </c>
      <c r="R625" s="7" t="n">
        <f aca="false">IF(F625="P",0,1)</f>
        <v>1</v>
      </c>
      <c r="S625" s="130" t="e">
        <f aca="false">xSPRDOPT($L625,$J625,$I625,$M625,$O625,$N625,$P625,$Q625-$C$3,$R625,0)</f>
        <v>#NAME?</v>
      </c>
      <c r="T625" s="250" t="e">
        <f aca="false">xSPRDOPT($L625,$J625,$I625,$M625,$O625,$N625,$P625,$Q625-$C$3,$R625,1)*H625</f>
        <v>#NAME?</v>
      </c>
      <c r="U625" s="43" t="e">
        <f aca="false">S625*H625</f>
        <v>#NAME?</v>
      </c>
      <c r="V625" s="250" t="e">
        <f aca="false">xSPRDOPT($L625,$J625,$I625,$M625,$O625,$N625,$P625,$Q625-$C$3,$R625,2)*H625</f>
        <v>#NAME?</v>
      </c>
      <c r="W625" s="250" t="e">
        <f aca="false">+V625+T625</f>
        <v>#NAME?</v>
      </c>
      <c r="X625" s="2" t="str">
        <f aca="false">CONCATENATE(G625,D625)</f>
        <v>36923IF-TRANSCO/Z6</v>
      </c>
      <c r="Y625" s="251" t="n">
        <f aca="false">H625/10000</f>
        <v>-50</v>
      </c>
      <c r="Z625" s="226" t="e">
        <f aca="false">T625/H625</f>
        <v>#NAME?</v>
      </c>
      <c r="AA625" s="226" t="e">
        <f aca="false">xSPRDOPT($L625,$J625,$I625,$M625,$O625,$N625,$P625,$Q625-$C$3,$R625,3)</f>
        <v>#NAME?</v>
      </c>
      <c r="AB625" s="226" t="e">
        <f aca="false">((xSPRDOPT($L625+AB$5,$J625,$I625,$M625,$O625,$N625,$P625,$Q625-$C$3,$R625,3)*$H625)/10000)/100</f>
        <v>#NAME?</v>
      </c>
      <c r="AC625" s="226" t="e">
        <f aca="false">((xSPRDOPT($L625+$AB$5,$J625,$I625,$M625,$O625,$N625,$P625,$Q625-$C$3,$R625,7)*$H625)/100)</f>
        <v>#NAME?</v>
      </c>
      <c r="AD625" s="226" t="e">
        <f aca="false">(xSPRDOPT($L625+$AB$5,$J625,$I625,$M625,$O625,$N625,$P625,$Q625-$C$3,$R625,9)/365)*$H625</f>
        <v>#NAME?</v>
      </c>
      <c r="AE625" s="0" t="e">
        <f aca="false">CD626</f>
        <v>#NAME?</v>
      </c>
      <c r="AF625" s="226" t="e">
        <f aca="false">((O625/N625)*AH625)+AG625</f>
        <v>#NAME?</v>
      </c>
      <c r="AG625" s="226" t="e">
        <f aca="false">((xSPRDOPT($L625,$J625,$I625,$M625,$O625,$N625,$P625,$Q625-$C$3,$R625,6)*$H625)/100)</f>
        <v>#NAME?</v>
      </c>
      <c r="AH625" s="226" t="e">
        <f aca="false">((xSPRDOPT($L625,$J625,$I625,$M625,$O625,$N625,$P625,$Q625-$C$3,$R625,5)*$H625)/100)</f>
        <v>#NAME?</v>
      </c>
      <c r="AI625" s="226" t="e">
        <f aca="false">(((xSPRDOPT($L625,$J625,$I625,$M625,$O625,$N625,$P625,$Q625-$C$3,$R625,4)*$H625)/10000)/100)-AB625</f>
        <v>#NAME?</v>
      </c>
      <c r="AJ625" s="226"/>
      <c r="AK625" s="226"/>
      <c r="CC625" s="182" t="n">
        <f aca="false">G624</f>
        <v>36892</v>
      </c>
      <c r="CD625" s="253" t="e">
        <f aca="false">xSPRDOPT((VLOOKUP(G624,NGPrices,2,FALSE())+HLOOKUP(D624,Prices,VLOOKUP(G624,move_down,2,FALSE()),FALSE())),VLOOKUP(G624,NGPrices,2,FALSE()),I624,VLOOKUP(G624,NGPREVPRICES,4,FALSE()),HLOOKUP(D624,PREVVOLS,VLOOKUP(G624,MOVE_DOWN2,2,FALSE()),FALSE()),VLOOKUP(G624,NGPREVPRICES,3,FALSE()),HLOOKUP(D624,Correllate,VLOOKUP(G624,CorMove,2,FALSE()),FALSE()),Q624-$CD$3,R624,$CD$5)*H624-CJ625</f>
        <v>#NAME?</v>
      </c>
      <c r="CE625" s="253" t="e">
        <f aca="false">xSPRDOPT((VLOOKUP(G624,NGPREVPRICES,2,FALSE())+HLOOKUP(D624,PREVCURVES,VLOOKUP(G624,MOVE_DOWN2,2,FALSE()),FALSE())),VLOOKUP(G624,NGPREVPRICES,2,FALSE()),CK625,VLOOKUP(G624,NGPrices,4,FALSE()),HLOOKUP(D624,PREVVOLS,VLOOKUP(G624,MOVE_DOWN2,2,FALSE()),FALSE()),VLOOKUP(G624,NGPREVPRICES,3,FALSE()),HLOOKUP(D624,Correllate,VLOOKUP(G624,CorMove,2,FALSE()),FALSE()),Q624-$CD$3,R624,$CJ$5)*H624-CJ625</f>
        <v>#NAME?</v>
      </c>
      <c r="CF625" s="132" t="e">
        <f aca="false">(CJ625/VLOOKUP(CC625,discount,3,FALSE()))-(CJ625/VLOOKUP(CC625,discount,2,FALSE()))</f>
        <v>#NAME?</v>
      </c>
      <c r="CG625" s="253" t="e">
        <f aca="false">xSPRDOPT((VLOOKUP(G624,NGPREVPRICES,2,FALSE())+HLOOKUP(D624,PREVCURVES,VLOOKUP(G624,MOVE_DOWN2,2,FALSE()),FALSE())),VLOOKUP(G624,NGPREVPRICES,2,FALSE()),CK625,VLOOKUP(G624,NGPREVPRICES,4,FALSE()),HLOOKUP(D624,VOLS,VLOOKUP(G624,move_down,2,FALSE()),FALSE()),VLOOKUP(G624,NGPrices,3,FALSE()),HLOOKUP(D624,Correllate,VLOOKUP(G624,CorMove,2,FALSE()),FALSE()),Q624-$CD$3,R624,$CJ$5)*H624-CJ625</f>
        <v>#NAME?</v>
      </c>
      <c r="CH625" s="253" t="e">
        <f aca="false">xSPRDOPT((VLOOKUP(G624,NGPREVPRICES,2,FALSE())+HLOOKUP(D624,PREVCURVES,VLOOKUP(G624,MOVE_DOWN2,2,FALSE()),FALSE())),VLOOKUP(G624,NGPREVPRICES,2,FALSE()),CK625,VLOOKUP(G624,NGPREVPRICES,4,FALSE()),HLOOKUP(D624,PREVVOLS,VLOOKUP(G624,MOVE_DOWN2,2,FALSE()),FALSE()),VLOOKUP(G624,NGPREVPRICES,3,FALSE()),HLOOKUP(D624,Correllate,VLOOKUP(G624,CorMove,2,FALSE()),FALSE()),Q624-$C$3,R624,$CJ$5)*H624-CJ625</f>
        <v>#NAME?</v>
      </c>
      <c r="CI625" s="253" t="e">
        <f aca="false">SUM(CD625:CH625)</f>
        <v>#NAME?</v>
      </c>
      <c r="CJ625" s="253" t="e">
        <f aca="false">xSPRDOPT((VLOOKUP(G624,NGPREVPRICES,2,FALSE())+HLOOKUP(D624,PREVCURVES,VLOOKUP(G624,MOVE_DOWN2,2,FALSE()),FALSE())),VLOOKUP(G624,NGPREVPRICES,2,FALSE()),CK625,VLOOKUP(G624,NGPREVPRICES,4,FALSE()),HLOOKUP(D624,PREVVOLS,VLOOKUP(G624,MOVE_DOWN2,2,FALSE()),FALSE()),VLOOKUP(G624,NGPREVPRICES,3,FALSE()),HLOOKUP(D624,Correllate,VLOOKUP(G624,CorMove,2,FALSE()),FALSE()),Q624-$CD$3,R624,$CJ$5)*H624</f>
        <v>#NAME?</v>
      </c>
      <c r="CK625" s="254" t="n">
        <f aca="false">I624</f>
        <v>3</v>
      </c>
      <c r="CM625" s="0" t="str">
        <f aca="false">CONCATENATE(CC625,$CD$6)</f>
        <v>36892Curve Shift/Gamma</v>
      </c>
      <c r="CN625" s="0" t="str">
        <f aca="false">CONCATENATE($CC625,$CE$6)</f>
        <v>36892Rho</v>
      </c>
      <c r="CO625" s="0" t="str">
        <f aca="false">CONCATENATE($CC625,$CF$6)</f>
        <v>36892Drift</v>
      </c>
      <c r="CP625" s="0" t="str">
        <f aca="false">CONCATENATE($CC625,$CG$6)</f>
        <v>36892Vega</v>
      </c>
      <c r="CQ625" s="0" t="str">
        <f aca="false">CONCATENATE($CC625,$CH$6)</f>
        <v>36892Theta</v>
      </c>
    </row>
    <row r="626" customFormat="false" ht="12.75" hidden="false" customHeight="false" outlineLevel="0" collapsed="false">
      <c r="A626" s="17" t="s">
        <v>345</v>
      </c>
      <c r="B626" s="0" t="s">
        <v>192</v>
      </c>
      <c r="C626" s="0" t="s">
        <v>404</v>
      </c>
      <c r="D626" s="7" t="s">
        <v>149</v>
      </c>
      <c r="E626" s="0" t="s">
        <v>131</v>
      </c>
      <c r="F626" s="0" t="s">
        <v>132</v>
      </c>
      <c r="G626" s="92" t="n">
        <v>36800</v>
      </c>
      <c r="H626" s="248" t="n">
        <v>-1550000</v>
      </c>
      <c r="I626" s="254" t="n">
        <v>0.4</v>
      </c>
      <c r="J626" s="124" t="n">
        <f aca="false">VLOOKUP(G626,NGPrices,2,FALSE())</f>
        <v>4.692</v>
      </c>
      <c r="K626" s="125" t="n">
        <f aca="false">HLOOKUP(D626,Prices,VLOOKUP(G626,move_down,2,FALSE()),FALSE())+VLOOKUP(G626,CHANGE,HLOOKUP(D626,CHANGE,2,FALSE()),FALSE())</f>
        <v>0.415</v>
      </c>
      <c r="L626" s="124" t="n">
        <f aca="false">K626+J626</f>
        <v>5.107</v>
      </c>
      <c r="M626" s="126" t="n">
        <f aca="false">VLOOKUP(G626,NGPrices,4,FALSE())</f>
        <v>0.068050789414654</v>
      </c>
      <c r="N626" s="7" t="n">
        <f aca="false">VLOOKUP(G626,NGPrices,3,FALSE())</f>
        <v>0.575</v>
      </c>
      <c r="O626" s="7" t="n">
        <f aca="false">HLOOKUP(D626,VOLS,VLOOKUP(G626,move_down,2,FALSE()),FALSE())</f>
        <v>0.564</v>
      </c>
      <c r="P626" s="249" t="n">
        <f aca="false">HLOOKUP(D626,Correllate,VLOOKUP(G626,CorMove,2,FALSE()),FALSE())</f>
        <v>0.9925</v>
      </c>
      <c r="Q626" s="92" t="n">
        <f aca="false">WORKDAY(G626,-2)</f>
        <v>36797</v>
      </c>
      <c r="R626" s="7" t="n">
        <f aca="false">IF(F626="P",0,1)</f>
        <v>0</v>
      </c>
      <c r="S626" s="130" t="e">
        <f aca="false">xSPRDOPT($L626,$J626,$I626,$M626,$O626,$N626,$P626,$Q626-$C$3,$R626,0)</f>
        <v>#NAME?</v>
      </c>
      <c r="T626" s="250" t="e">
        <f aca="false">xSPRDOPT($L626,$J626,$I626,$M626,$O626,$N626,$P626,$Q626-$C$3,$R626,1)*H626</f>
        <v>#NAME?</v>
      </c>
      <c r="U626" s="43" t="e">
        <f aca="false">S626*H626</f>
        <v>#NAME?</v>
      </c>
      <c r="V626" s="250" t="e">
        <f aca="false">xSPRDOPT($L626,$J626,$I626,$M626,$O626,$N626,$P626,$Q626-$C$3,$R626,2)*H626</f>
        <v>#NAME?</v>
      </c>
      <c r="W626" s="250" t="e">
        <f aca="false">+V626+T626</f>
        <v>#NAME?</v>
      </c>
      <c r="X626" s="2" t="str">
        <f aca="false">CONCATENATE(G626,D626)</f>
        <v>36800IF-TRANSCO/Z6</v>
      </c>
      <c r="Y626" s="251" t="n">
        <f aca="false">H626/10000</f>
        <v>-155</v>
      </c>
      <c r="Z626" s="226" t="e">
        <f aca="false">T626/H626</f>
        <v>#NAME?</v>
      </c>
      <c r="AA626" s="226" t="e">
        <f aca="false">xSPRDOPT($L626,$J626,$I626,$M626,$O626,$N626,$P626,$Q626-$C$3,$R626,3)</f>
        <v>#NAME?</v>
      </c>
      <c r="AB626" s="226" t="e">
        <f aca="false">((xSPRDOPT($L626+AB$5,$J626,$I626,$M626,$O626,$N626,$P626,$Q626-$C$3,$R626,3)*$H626)/10000)/100</f>
        <v>#NAME?</v>
      </c>
      <c r="AC626" s="226" t="e">
        <f aca="false">((xSPRDOPT($L626+$AB$5,$J626,$I626,$M626,$O626,$N626,$P626,$Q626-$C$3,$R626,7)*$H626)/100)</f>
        <v>#NAME?</v>
      </c>
      <c r="AD626" s="226" t="e">
        <f aca="false">(xSPRDOPT($L626+$AB$5,$J626,$I626,$M626,$O626,$N626,$P626,$Q626-$C$3,$R626,9)/365)*$H626</f>
        <v>#NAME?</v>
      </c>
      <c r="AE626" s="0" t="e">
        <f aca="false">CD627</f>
        <v>#NAME?</v>
      </c>
      <c r="AF626" s="226" t="e">
        <f aca="false">((O626/N626)*AH626)+AG626</f>
        <v>#NAME?</v>
      </c>
      <c r="AG626" s="226" t="e">
        <f aca="false">((xSPRDOPT($L626,$J626,$I626,$M626,$O626,$N626,$P626,$Q626-$C$3,$R626,6)*$H626)/100)</f>
        <v>#NAME?</v>
      </c>
      <c r="AH626" s="226" t="e">
        <f aca="false">((xSPRDOPT($L626,$J626,$I626,$M626,$O626,$N626,$P626,$Q626-$C$3,$R626,5)*$H626)/100)</f>
        <v>#NAME?</v>
      </c>
      <c r="AI626" s="226" t="e">
        <f aca="false">(((xSPRDOPT($L626,$J626,$I626,$M626,$O626,$N626,$P626,$Q626-$C$3,$R626,4)*$H626)/10000)/100)-AB626</f>
        <v>#NAME?</v>
      </c>
      <c r="AJ626" s="226"/>
      <c r="AK626" s="226"/>
      <c r="CC626" s="182" t="n">
        <f aca="false">G625</f>
        <v>36923</v>
      </c>
      <c r="CD626" s="253" t="e">
        <f aca="false">xSPRDOPT((VLOOKUP(G625,NGPrices,2,FALSE())+HLOOKUP(D625,Prices,VLOOKUP(G625,move_down,2,FALSE()),FALSE())),VLOOKUP(G625,NGPrices,2,FALSE()),I625,VLOOKUP(G625,NGPREVPRICES,4,FALSE()),HLOOKUP(D625,PREVVOLS,VLOOKUP(G625,MOVE_DOWN2,2,FALSE()),FALSE()),VLOOKUP(G625,NGPREVPRICES,3,FALSE()),HLOOKUP(D625,Correllate,VLOOKUP(G625,CorMove,2,FALSE()),FALSE()),Q625-$CD$3,R625,$CD$5)*H625-CJ626</f>
        <v>#NAME?</v>
      </c>
      <c r="CE626" s="253" t="e">
        <f aca="false">xSPRDOPT((VLOOKUP(G625,NGPREVPRICES,2,FALSE())+HLOOKUP(D625,PREVCURVES,VLOOKUP(G625,MOVE_DOWN2,2,FALSE()),FALSE())),VLOOKUP(G625,NGPREVPRICES,2,FALSE()),CK626,VLOOKUP(G625,NGPrices,4,FALSE()),HLOOKUP(D625,PREVVOLS,VLOOKUP(G625,MOVE_DOWN2,2,FALSE()),FALSE()),VLOOKUP(G625,NGPREVPRICES,3,FALSE()),HLOOKUP(D625,Correllate,VLOOKUP(G625,CorMove,2,FALSE()),FALSE()),Q625-$CD$3,R625,$CJ$5)*H625-CJ626</f>
        <v>#NAME?</v>
      </c>
      <c r="CF626" s="132" t="e">
        <f aca="false">(CJ626/VLOOKUP(CC626,discount,3,FALSE()))-(CJ626/VLOOKUP(CC626,discount,2,FALSE()))</f>
        <v>#NAME?</v>
      </c>
      <c r="CG626" s="253" t="e">
        <f aca="false">xSPRDOPT((VLOOKUP(G625,NGPREVPRICES,2,FALSE())+HLOOKUP(D625,PREVCURVES,VLOOKUP(G625,MOVE_DOWN2,2,FALSE()),FALSE())),VLOOKUP(G625,NGPREVPRICES,2,FALSE()),CK626,VLOOKUP(G625,NGPREVPRICES,4,FALSE()),HLOOKUP(D625,VOLS,VLOOKUP(G625,move_down,2,FALSE()),FALSE()),VLOOKUP(G625,NGPrices,3,FALSE()),HLOOKUP(D625,Correllate,VLOOKUP(G625,CorMove,2,FALSE()),FALSE()),Q625-$CD$3,R625,$CJ$5)*H625-CJ626</f>
        <v>#NAME?</v>
      </c>
      <c r="CH626" s="253" t="e">
        <f aca="false">xSPRDOPT((VLOOKUP(G625,NGPREVPRICES,2,FALSE())+HLOOKUP(D625,PREVCURVES,VLOOKUP(G625,MOVE_DOWN2,2,FALSE()),FALSE())),VLOOKUP(G625,NGPREVPRICES,2,FALSE()),CK626,VLOOKUP(G625,NGPREVPRICES,4,FALSE()),HLOOKUP(D625,PREVVOLS,VLOOKUP(G625,MOVE_DOWN2,2,FALSE()),FALSE()),VLOOKUP(G625,NGPREVPRICES,3,FALSE()),HLOOKUP(D625,Correllate,VLOOKUP(G625,CorMove,2,FALSE()),FALSE()),Q625-$C$3,R625,$CJ$5)*H625-CJ626</f>
        <v>#NAME?</v>
      </c>
      <c r="CI626" s="253" t="e">
        <f aca="false">SUM(CD626:CH626)</f>
        <v>#NAME?</v>
      </c>
      <c r="CJ626" s="253" t="e">
        <f aca="false">xSPRDOPT((VLOOKUP(G625,NGPREVPRICES,2,FALSE())+HLOOKUP(D625,PREVCURVES,VLOOKUP(G625,MOVE_DOWN2,2,FALSE()),FALSE())),VLOOKUP(G625,NGPREVPRICES,2,FALSE()),CK626,VLOOKUP(G625,NGPREVPRICES,4,FALSE()),HLOOKUP(D625,PREVVOLS,VLOOKUP(G625,MOVE_DOWN2,2,FALSE()),FALSE()),VLOOKUP(G625,NGPREVPRICES,3,FALSE()),HLOOKUP(D625,Correllate,VLOOKUP(G625,CorMove,2,FALSE()),FALSE()),Q625-$CD$3,R625,$CJ$5)*H625</f>
        <v>#NAME?</v>
      </c>
      <c r="CK626" s="254" t="n">
        <f aca="false">I625</f>
        <v>3</v>
      </c>
      <c r="CM626" s="0" t="str">
        <f aca="false">CONCATENATE(CC626,$CD$6)</f>
        <v>36923Curve Shift/Gamma</v>
      </c>
      <c r="CN626" s="0" t="str">
        <f aca="false">CONCATENATE($CC626,$CE$6)</f>
        <v>36923Rho</v>
      </c>
      <c r="CO626" s="0" t="str">
        <f aca="false">CONCATENATE($CC626,$CF$6)</f>
        <v>36923Drift</v>
      </c>
      <c r="CP626" s="0" t="str">
        <f aca="false">CONCATENATE($CC626,$CG$6)</f>
        <v>36923Vega</v>
      </c>
      <c r="CQ626" s="0" t="str">
        <f aca="false">CONCATENATE($CC626,$CH$6)</f>
        <v>36923Theta</v>
      </c>
    </row>
    <row r="627" customFormat="false" ht="12.75" hidden="false" customHeight="false" outlineLevel="0" collapsed="false">
      <c r="A627" s="17" t="s">
        <v>244</v>
      </c>
      <c r="B627" s="0" t="s">
        <v>192</v>
      </c>
      <c r="C627" s="0" t="s">
        <v>405</v>
      </c>
      <c r="D627" s="7" t="s">
        <v>137</v>
      </c>
      <c r="E627" s="0" t="s">
        <v>131</v>
      </c>
      <c r="F627" s="0" t="s">
        <v>136</v>
      </c>
      <c r="G627" s="92" t="n">
        <v>36770</v>
      </c>
      <c r="H627" s="248" t="n">
        <v>300000</v>
      </c>
      <c r="I627" s="254" t="n">
        <v>0.5</v>
      </c>
      <c r="J627" s="124" t="n">
        <f aca="false">VLOOKUP(G627,NGPrices,2,FALSE())</f>
        <v>4.685</v>
      </c>
      <c r="K627" s="125" t="n">
        <f aca="false">HLOOKUP(D627,Prices,VLOOKUP(G627,move_down,2,FALSE()),FALSE())+VLOOKUP(G627,CHANGE,HLOOKUP(D627,CHANGE,2,FALSE()),FALSE())</f>
        <v>2.5</v>
      </c>
      <c r="L627" s="124" t="n">
        <f aca="false">K627+J627</f>
        <v>7.185</v>
      </c>
      <c r="M627" s="126" t="n">
        <f aca="false">VLOOKUP(G627,NGPrices,4,FALSE())</f>
        <v>0.067216196212185</v>
      </c>
      <c r="N627" s="7" t="n">
        <f aca="false">VLOOKUP(G627,NGPrices,3,FALSE())</f>
        <v>0.4</v>
      </c>
      <c r="O627" s="7" t="n">
        <f aca="false">HLOOKUP(D627,VOLS,VLOOKUP(G627,move_down,2,FALSE()),FALSE())</f>
        <v>0.376</v>
      </c>
      <c r="P627" s="249" t="n">
        <f aca="false">HLOOKUP(D627,Correllate,VLOOKUP(G627,CorMove,2,FALSE()),FALSE())</f>
        <v>0.83</v>
      </c>
      <c r="Q627" s="92" t="n">
        <f aca="false">WORKDAY(G627,-2)</f>
        <v>36768</v>
      </c>
      <c r="R627" s="7" t="n">
        <f aca="false">IF(F627="P",0,1)</f>
        <v>1</v>
      </c>
      <c r="S627" s="130" t="e">
        <f aca="false">xSPRDOPT($L627,$J627,$I627,$M627,$O627,$N627,$P627,$Q627-$C$3,$R627,0)</f>
        <v>#NAME?</v>
      </c>
      <c r="T627" s="250" t="e">
        <f aca="false">xSPRDOPT($L627,$J627,$I627,$M627,$O627,$N627,$P627,$Q627-$C$3,$R627,1)*H627</f>
        <v>#NAME?</v>
      </c>
      <c r="U627" s="43" t="e">
        <f aca="false">S627*H627</f>
        <v>#NAME?</v>
      </c>
      <c r="V627" s="250" t="e">
        <f aca="false">xSPRDOPT($L627,$J627,$I627,$M627,$O627,$N627,$P627,$Q627-$C$3,$R627,2)*H627</f>
        <v>#NAME?</v>
      </c>
      <c r="W627" s="250" t="e">
        <f aca="false">+V627+T627</f>
        <v>#NAME?</v>
      </c>
      <c r="X627" s="2" t="str">
        <f aca="false">CONCATENATE(G627,D627)</f>
        <v>36770NGI-SOCAL</v>
      </c>
      <c r="Y627" s="251" t="n">
        <f aca="false">H627/10000</f>
        <v>30</v>
      </c>
      <c r="Z627" s="226" t="e">
        <f aca="false">T627/H627</f>
        <v>#NAME?</v>
      </c>
      <c r="AA627" s="226" t="e">
        <f aca="false">xSPRDOPT($L627,$J627,$I627,$M627,$O627,$N627,$P627,$Q627-$C$3,$R627,3)</f>
        <v>#NAME?</v>
      </c>
      <c r="AB627" s="226" t="e">
        <f aca="false">((xSPRDOPT($L627+AB$5,$J627,$I627,$M627,$O627,$N627,$P627,$Q627-$C$3,$R627,3)*$H627)/10000)/100</f>
        <v>#NAME?</v>
      </c>
      <c r="AC627" s="226" t="e">
        <f aca="false">((xSPRDOPT($L627+$AB$5,$J627,$I627,$M627,$O627,$N627,$P627,$Q627-$C$3,$R627,7)*$H627)/100)</f>
        <v>#NAME?</v>
      </c>
      <c r="AD627" s="226" t="e">
        <f aca="false">(xSPRDOPT($L627+$AB$5,$J627,$I627,$M627,$O627,$N627,$P627,$Q627-$C$3,$R627,9)/365)*$H627</f>
        <v>#NAME?</v>
      </c>
      <c r="AE627" s="0" t="e">
        <f aca="false">CD628</f>
        <v>#NAME?</v>
      </c>
      <c r="AF627" s="226" t="e">
        <f aca="false">((O627/N627)*AH627)+AG627</f>
        <v>#NAME?</v>
      </c>
      <c r="AG627" s="226" t="e">
        <f aca="false">((xSPRDOPT($L627,$J627,$I627,$M627,$O627,$N627,$P627,$Q627-$C$3,$R627,6)*$H627)/100)</f>
        <v>#NAME?</v>
      </c>
      <c r="AH627" s="226" t="e">
        <f aca="false">((xSPRDOPT($L627,$J627,$I627,$M627,$O627,$N627,$P627,$Q627-$C$3,$R627,5)*$H627)/100)</f>
        <v>#NAME?</v>
      </c>
      <c r="AI627" s="226" t="e">
        <f aca="false">(((xSPRDOPT($L627,$J627,$I627,$M627,$O627,$N627,$P627,$Q627-$C$3,$R627,4)*$H627)/10000)/100)-AB627</f>
        <v>#NAME?</v>
      </c>
      <c r="AJ627" s="226"/>
      <c r="AK627" s="226"/>
      <c r="CC627" s="182" t="n">
        <f aca="false">G626</f>
        <v>36800</v>
      </c>
      <c r="CD627" s="253" t="e">
        <f aca="false">xSPRDOPT((VLOOKUP(G626,NGPrices,2,FALSE())+HLOOKUP(D626,Prices,VLOOKUP(G626,move_down,2,FALSE()),FALSE())),VLOOKUP(G626,NGPrices,2,FALSE()),I626,VLOOKUP(G626,NGPREVPRICES,4,FALSE()),HLOOKUP(D626,PREVVOLS,VLOOKUP(G626,MOVE_DOWN2,2,FALSE()),FALSE()),VLOOKUP(G626,NGPREVPRICES,3,FALSE()),HLOOKUP(D626,Correllate,VLOOKUP(G626,CorMove,2,FALSE()),FALSE()),Q626-$CD$3,R626,$CD$5)*H626-CJ627</f>
        <v>#NAME?</v>
      </c>
      <c r="CE627" s="253" t="e">
        <f aca="false">xSPRDOPT((VLOOKUP(G626,NGPREVPRICES,2,FALSE())+HLOOKUP(D626,PREVCURVES,VLOOKUP(G626,MOVE_DOWN2,2,FALSE()),FALSE())),VLOOKUP(G626,NGPREVPRICES,2,FALSE()),CK627,VLOOKUP(G626,NGPrices,4,FALSE()),HLOOKUP(D626,PREVVOLS,VLOOKUP(G626,MOVE_DOWN2,2,FALSE()),FALSE()),VLOOKUP(G626,NGPREVPRICES,3,FALSE()),HLOOKUP(D626,Correllate,VLOOKUP(G626,CorMove,2,FALSE()),FALSE()),Q626-$CD$3,R626,$CJ$5)*H626-CJ627</f>
        <v>#NAME?</v>
      </c>
      <c r="CF627" s="132" t="e">
        <f aca="false">(CJ627/VLOOKUP(CC627,discount,3,FALSE()))-(CJ627/VLOOKUP(CC627,discount,2,FALSE()))</f>
        <v>#NAME?</v>
      </c>
      <c r="CG627" s="253" t="e">
        <f aca="false">xSPRDOPT((VLOOKUP(G626,NGPREVPRICES,2,FALSE())+HLOOKUP(D626,PREVCURVES,VLOOKUP(G626,MOVE_DOWN2,2,FALSE()),FALSE())),VLOOKUP(G626,NGPREVPRICES,2,FALSE()),CK627,VLOOKUP(G626,NGPREVPRICES,4,FALSE()),HLOOKUP(D626,VOLS,VLOOKUP(G626,move_down,2,FALSE()),FALSE()),VLOOKUP(G626,NGPrices,3,FALSE()),HLOOKUP(D626,Correllate,VLOOKUP(G626,CorMove,2,FALSE()),FALSE()),Q626-$CD$3,R626,$CJ$5)*H626-CJ627</f>
        <v>#NAME?</v>
      </c>
      <c r="CH627" s="253" t="e">
        <f aca="false">xSPRDOPT((VLOOKUP(G626,NGPREVPRICES,2,FALSE())+HLOOKUP(D626,PREVCURVES,VLOOKUP(G626,MOVE_DOWN2,2,FALSE()),FALSE())),VLOOKUP(G626,NGPREVPRICES,2,FALSE()),CK627,VLOOKUP(G626,NGPREVPRICES,4,FALSE()),HLOOKUP(D626,PREVVOLS,VLOOKUP(G626,MOVE_DOWN2,2,FALSE()),FALSE()),VLOOKUP(G626,NGPREVPRICES,3,FALSE()),HLOOKUP(D626,Correllate,VLOOKUP(G626,CorMove,2,FALSE()),FALSE()),Q626-$C$3,R626,$CJ$5)*H626-CJ627</f>
        <v>#NAME?</v>
      </c>
      <c r="CI627" s="253" t="e">
        <f aca="false">SUM(CD627:CH627)</f>
        <v>#NAME?</v>
      </c>
      <c r="CJ627" s="253" t="e">
        <f aca="false">xSPRDOPT((VLOOKUP(G626,NGPREVPRICES,2,FALSE())+HLOOKUP(D626,PREVCURVES,VLOOKUP(G626,MOVE_DOWN2,2,FALSE()),FALSE())),VLOOKUP(G626,NGPREVPRICES,2,FALSE()),CK627,VLOOKUP(G626,NGPREVPRICES,4,FALSE()),HLOOKUP(D626,PREVVOLS,VLOOKUP(G626,MOVE_DOWN2,2,FALSE()),FALSE()),VLOOKUP(G626,NGPREVPRICES,3,FALSE()),HLOOKUP(D626,Correllate,VLOOKUP(G626,CorMove,2,FALSE()),FALSE()),Q626-$CD$3,R626,$CJ$5)*H626</f>
        <v>#NAME?</v>
      </c>
      <c r="CK627" s="254" t="n">
        <f aca="false">I626</f>
        <v>0.4</v>
      </c>
      <c r="CM627" s="0" t="str">
        <f aca="false">CONCATENATE(CC627,$CD$6)</f>
        <v>36800Curve Shift/Gamma</v>
      </c>
      <c r="CN627" s="0" t="str">
        <f aca="false">CONCATENATE($CC627,$CE$6)</f>
        <v>36800Rho</v>
      </c>
      <c r="CO627" s="0" t="str">
        <f aca="false">CONCATENATE($CC627,$CF$6)</f>
        <v>36800Drift</v>
      </c>
      <c r="CP627" s="0" t="str">
        <f aca="false">CONCATENATE($CC627,$CG$6)</f>
        <v>36800Vega</v>
      </c>
      <c r="CQ627" s="0" t="str">
        <f aca="false">CONCATENATE($CC627,$CH$6)</f>
        <v>36800Theta</v>
      </c>
    </row>
    <row r="628" customFormat="false" ht="12.75" hidden="false" customHeight="false" outlineLevel="0" collapsed="false">
      <c r="A628" s="17" t="s">
        <v>301</v>
      </c>
      <c r="B628" s="0" t="s">
        <v>192</v>
      </c>
      <c r="C628" s="0" t="s">
        <v>406</v>
      </c>
      <c r="D628" s="7" t="s">
        <v>149</v>
      </c>
      <c r="E628" s="0" t="s">
        <v>131</v>
      </c>
      <c r="F628" s="0" t="s">
        <v>136</v>
      </c>
      <c r="G628" s="92" t="n">
        <v>36982</v>
      </c>
      <c r="H628" s="248" t="n">
        <v>-1200000</v>
      </c>
      <c r="I628" s="254" t="n">
        <v>0.7</v>
      </c>
      <c r="J628" s="124" t="n">
        <f aca="false">VLOOKUP(G628,NGPrices,2,FALSE())</f>
        <v>3.938</v>
      </c>
      <c r="K628" s="125" t="n">
        <f aca="false">HLOOKUP(D628,Prices,VLOOKUP(G628,move_down,2,FALSE()),FALSE())+VLOOKUP(G628,CHANGE,HLOOKUP(D628,CHANGE,2,FALSE()),FALSE())</f>
        <v>0.52</v>
      </c>
      <c r="L628" s="124" t="n">
        <f aca="false">K628+J628</f>
        <v>4.458</v>
      </c>
      <c r="M628" s="126" t="n">
        <f aca="false">VLOOKUP(G628,NGPrices,4,FALSE())</f>
        <v>0.069061726541121</v>
      </c>
      <c r="N628" s="7" t="n">
        <f aca="false">VLOOKUP(G628,NGPrices,3,FALSE())</f>
        <v>0.4425</v>
      </c>
      <c r="O628" s="7" t="n">
        <f aca="false">HLOOKUP(D628,VOLS,VLOOKUP(G628,move_down,2,FALSE()),FALSE())</f>
        <v>0.434</v>
      </c>
      <c r="P628" s="249" t="n">
        <f aca="false">HLOOKUP(D628,Correllate,VLOOKUP(G628,CorMove,2,FALSE()),FALSE())</f>
        <v>0.9738</v>
      </c>
      <c r="Q628" s="92" t="n">
        <f aca="false">WORKDAY(G628,-2)</f>
        <v>36979</v>
      </c>
      <c r="R628" s="7" t="n">
        <f aca="false">IF(F628="P",0,1)</f>
        <v>1</v>
      </c>
      <c r="S628" s="130" t="e">
        <f aca="false">xSPRDOPT($L628,$J628,$I628,$M628,$O628,$N628,$P628,$Q628-$C$3,$R628,0)</f>
        <v>#NAME?</v>
      </c>
      <c r="T628" s="250" t="e">
        <f aca="false">xSPRDOPT($L628,$J628,$I628,$M628,$O628,$N628,$P628,$Q628-$C$3,$R628,1)*H628</f>
        <v>#NAME?</v>
      </c>
      <c r="U628" s="43" t="e">
        <f aca="false">S628*H628</f>
        <v>#NAME?</v>
      </c>
      <c r="V628" s="250" t="e">
        <f aca="false">xSPRDOPT($L628,$J628,$I628,$M628,$O628,$N628,$P628,$Q628-$C$3,$R628,2)*H628</f>
        <v>#NAME?</v>
      </c>
      <c r="W628" s="250" t="e">
        <f aca="false">+V628+T628</f>
        <v>#NAME?</v>
      </c>
      <c r="X628" s="2" t="str">
        <f aca="false">CONCATENATE(G628,D628)</f>
        <v>36982IF-TRANSCO/Z6</v>
      </c>
      <c r="Y628" s="251" t="n">
        <f aca="false">H628/10000</f>
        <v>-120</v>
      </c>
      <c r="Z628" s="226" t="e">
        <f aca="false">T628/H628</f>
        <v>#NAME?</v>
      </c>
      <c r="AA628" s="226" t="e">
        <f aca="false">xSPRDOPT($L628,$J628,$I628,$M628,$O628,$N628,$P628,$Q628-$C$3,$R628,3)</f>
        <v>#NAME?</v>
      </c>
      <c r="AB628" s="226" t="e">
        <f aca="false">((xSPRDOPT($L628+AB$5,$J628,$I628,$M628,$O628,$N628,$P628,$Q628-$C$3,$R628,3)*$H628)/10000)/100</f>
        <v>#NAME?</v>
      </c>
      <c r="AC628" s="226" t="e">
        <f aca="false">((xSPRDOPT($L628+$AB$5,$J628,$I628,$M628,$O628,$N628,$P628,$Q628-$C$3,$R628,7)*$H628)/100)</f>
        <v>#NAME?</v>
      </c>
      <c r="AD628" s="226" t="e">
        <f aca="false">(xSPRDOPT($L628+$AB$5,$J628,$I628,$M628,$O628,$N628,$P628,$Q628-$C$3,$R628,9)/365)*$H628</f>
        <v>#NAME?</v>
      </c>
      <c r="AE628" s="0" t="e">
        <f aca="false">CD629</f>
        <v>#NAME?</v>
      </c>
      <c r="AF628" s="226" t="e">
        <f aca="false">((O628/N628)*AH628)+AG628</f>
        <v>#NAME?</v>
      </c>
      <c r="AG628" s="226" t="e">
        <f aca="false">((xSPRDOPT($L628,$J628,$I628,$M628,$O628,$N628,$P628,$Q628-$C$3,$R628,6)*$H628)/100)</f>
        <v>#NAME?</v>
      </c>
      <c r="AH628" s="226" t="e">
        <f aca="false">((xSPRDOPT($L628,$J628,$I628,$M628,$O628,$N628,$P628,$Q628-$C$3,$R628,5)*$H628)/100)</f>
        <v>#NAME?</v>
      </c>
      <c r="AI628" s="226" t="e">
        <f aca="false">(((xSPRDOPT($L628,$J628,$I628,$M628,$O628,$N628,$P628,$Q628-$C$3,$R628,4)*$H628)/10000)/100)-AB628</f>
        <v>#NAME?</v>
      </c>
      <c r="AJ628" s="226"/>
      <c r="AK628" s="226"/>
      <c r="CC628" s="182" t="n">
        <f aca="false">G627</f>
        <v>36770</v>
      </c>
      <c r="CD628" s="253" t="e">
        <f aca="false">xSPRDOPT((VLOOKUP(G627,NGPrices,2,FALSE())+HLOOKUP(D627,Prices,VLOOKUP(G627,move_down,2,FALSE()),FALSE())),VLOOKUP(G627,NGPrices,2,FALSE()),I627,VLOOKUP(G627,NGPREVPRICES,4,FALSE()),HLOOKUP(D627,PREVVOLS,VLOOKUP(G627,MOVE_DOWN2,2,FALSE()),FALSE()),VLOOKUP(G627,NGPREVPRICES,3,FALSE()),HLOOKUP(D627,Correllate,VLOOKUP(G627,CorMove,2,FALSE()),FALSE()),Q627-$CD$3,R627,$CD$5)*H627-CJ628</f>
        <v>#NAME?</v>
      </c>
      <c r="CE628" s="253" t="e">
        <f aca="false">xSPRDOPT((VLOOKUP(G627,NGPREVPRICES,2,FALSE())+HLOOKUP(D627,PREVCURVES,VLOOKUP(G627,MOVE_DOWN2,2,FALSE()),FALSE())),VLOOKUP(G627,NGPREVPRICES,2,FALSE()),CK628,VLOOKUP(G627,NGPrices,4,FALSE()),HLOOKUP(D627,PREVVOLS,VLOOKUP(G627,MOVE_DOWN2,2,FALSE()),FALSE()),VLOOKUP(G627,NGPREVPRICES,3,FALSE()),HLOOKUP(D627,Correllate,VLOOKUP(G627,CorMove,2,FALSE()),FALSE()),Q627-$CD$3,R627,$CJ$5)*H627-CJ628</f>
        <v>#NAME?</v>
      </c>
      <c r="CF628" s="132" t="e">
        <f aca="false">(CJ628/VLOOKUP(CC628,discount,3,FALSE()))-(CJ628/VLOOKUP(CC628,discount,2,FALSE()))</f>
        <v>#NAME?</v>
      </c>
      <c r="CG628" s="253" t="e">
        <f aca="false">xSPRDOPT((VLOOKUP(G627,NGPREVPRICES,2,FALSE())+HLOOKUP(D627,PREVCURVES,VLOOKUP(G627,MOVE_DOWN2,2,FALSE()),FALSE())),VLOOKUP(G627,NGPREVPRICES,2,FALSE()),CK628,VLOOKUP(G627,NGPREVPRICES,4,FALSE()),HLOOKUP(D627,VOLS,VLOOKUP(G627,move_down,2,FALSE()),FALSE()),VLOOKUP(G627,NGPrices,3,FALSE()),HLOOKUP(D627,Correllate,VLOOKUP(G627,CorMove,2,FALSE()),FALSE()),Q627-$CD$3,R627,$CJ$5)*H627-CJ628</f>
        <v>#NAME?</v>
      </c>
      <c r="CH628" s="253" t="e">
        <f aca="false">xSPRDOPT((VLOOKUP(G627,NGPREVPRICES,2,FALSE())+HLOOKUP(D627,PREVCURVES,VLOOKUP(G627,MOVE_DOWN2,2,FALSE()),FALSE())),VLOOKUP(G627,NGPREVPRICES,2,FALSE()),CK628,VLOOKUP(G627,NGPREVPRICES,4,FALSE()),HLOOKUP(D627,PREVVOLS,VLOOKUP(G627,MOVE_DOWN2,2,FALSE()),FALSE()),VLOOKUP(G627,NGPREVPRICES,3,FALSE()),HLOOKUP(D627,Correllate,VLOOKUP(G627,CorMove,2,FALSE()),FALSE()),Q627-$C$3,R627,$CJ$5)*H627-CJ628</f>
        <v>#NAME?</v>
      </c>
      <c r="CI628" s="253" t="e">
        <f aca="false">SUM(CD628:CH628)</f>
        <v>#NAME?</v>
      </c>
      <c r="CJ628" s="253" t="e">
        <f aca="false">xSPRDOPT((VLOOKUP(G627,NGPREVPRICES,2,FALSE())+HLOOKUP(D627,PREVCURVES,VLOOKUP(G627,MOVE_DOWN2,2,FALSE()),FALSE())),VLOOKUP(G627,NGPREVPRICES,2,FALSE()),CK628,VLOOKUP(G627,NGPREVPRICES,4,FALSE()),HLOOKUP(D627,PREVVOLS,VLOOKUP(G627,MOVE_DOWN2,2,FALSE()),FALSE()),VLOOKUP(G627,NGPREVPRICES,3,FALSE()),HLOOKUP(D627,Correllate,VLOOKUP(G627,CorMove,2,FALSE()),FALSE()),Q627-$CD$3,R627,$CJ$5)*H627</f>
        <v>#NAME?</v>
      </c>
      <c r="CK628" s="254" t="n">
        <f aca="false">I627</f>
        <v>0.5</v>
      </c>
      <c r="CM628" s="0" t="str">
        <f aca="false">CONCATENATE(CC628,$CD$6)</f>
        <v>36770Curve Shift/Gamma</v>
      </c>
      <c r="CN628" s="0" t="str">
        <f aca="false">CONCATENATE($CC628,$CE$6)</f>
        <v>36770Rho</v>
      </c>
      <c r="CO628" s="0" t="str">
        <f aca="false">CONCATENATE($CC628,$CF$6)</f>
        <v>36770Drift</v>
      </c>
      <c r="CP628" s="0" t="str">
        <f aca="false">CONCATENATE($CC628,$CG$6)</f>
        <v>36770Vega</v>
      </c>
      <c r="CQ628" s="0" t="str">
        <f aca="false">CONCATENATE($CC628,$CH$6)</f>
        <v>36770Theta</v>
      </c>
    </row>
    <row r="629" customFormat="false" ht="12.75" hidden="false" customHeight="false" outlineLevel="0" collapsed="false">
      <c r="A629" s="17" t="s">
        <v>191</v>
      </c>
      <c r="B629" s="0" t="s">
        <v>192</v>
      </c>
      <c r="C629" s="0" t="s">
        <v>407</v>
      </c>
      <c r="D629" s="7" t="s">
        <v>149</v>
      </c>
      <c r="E629" s="0" t="s">
        <v>131</v>
      </c>
      <c r="F629" s="0" t="s">
        <v>132</v>
      </c>
      <c r="G629" s="92" t="n">
        <v>36831</v>
      </c>
      <c r="H629" s="248" t="n">
        <v>1000000</v>
      </c>
      <c r="I629" s="254" t="n">
        <v>0.95</v>
      </c>
      <c r="J629" s="124" t="n">
        <f aca="false">VLOOKUP(G629,NGPrices,2,FALSE())</f>
        <v>4.736</v>
      </c>
      <c r="K629" s="125" t="n">
        <f aca="false">HLOOKUP(D629,Prices,VLOOKUP(G629,move_down,2,FALSE()),FALSE())+VLOOKUP(G629,CHANGE,HLOOKUP(D629,CHANGE,2,FALSE()),FALSE())</f>
        <v>0.77</v>
      </c>
      <c r="L629" s="124" t="n">
        <f aca="false">K629+J629</f>
        <v>5.506</v>
      </c>
      <c r="M629" s="126" t="n">
        <f aca="false">VLOOKUP(G629,NGPrices,4,FALSE())</f>
        <v>0.06810675983792</v>
      </c>
      <c r="N629" s="7" t="n">
        <f aca="false">VLOOKUP(G629,NGPrices,3,FALSE())</f>
        <v>0.595</v>
      </c>
      <c r="O629" s="7" t="n">
        <f aca="false">HLOOKUP(D629,VOLS,VLOOKUP(G629,move_down,2,FALSE()),FALSE())</f>
        <v>0.625</v>
      </c>
      <c r="P629" s="249" t="n">
        <f aca="false">HLOOKUP(D629,Correllate,VLOOKUP(G629,CorMove,2,FALSE()),FALSE())</f>
        <v>0.89</v>
      </c>
      <c r="Q629" s="92" t="n">
        <f aca="false">WORKDAY(G629,-2)</f>
        <v>36829</v>
      </c>
      <c r="R629" s="7" t="n">
        <f aca="false">IF(F629="P",0,1)</f>
        <v>0</v>
      </c>
      <c r="S629" s="130" t="e">
        <f aca="false">xSPRDOPT($L629,$J629,$I629,$M629,$O629,$N629,$P629,$Q629-$C$3,$R629,0)</f>
        <v>#NAME?</v>
      </c>
      <c r="T629" s="250" t="e">
        <f aca="false">xSPRDOPT($L629,$J629,$I629,$M629,$O629,$N629,$P629,$Q629-$C$3,$R629,1)*H629</f>
        <v>#NAME?</v>
      </c>
      <c r="U629" s="43" t="e">
        <f aca="false">S629*H629</f>
        <v>#NAME?</v>
      </c>
      <c r="V629" s="250" t="e">
        <f aca="false">xSPRDOPT($L629,$J629,$I629,$M629,$O629,$N629,$P629,$Q629-$C$3,$R629,2)*H629</f>
        <v>#NAME?</v>
      </c>
      <c r="W629" s="250" t="e">
        <f aca="false">+V629+T629</f>
        <v>#NAME?</v>
      </c>
      <c r="X629" s="2" t="str">
        <f aca="false">CONCATENATE(G629,D629)</f>
        <v>36831IF-TRANSCO/Z6</v>
      </c>
      <c r="Y629" s="251" t="n">
        <f aca="false">H629/10000</f>
        <v>100</v>
      </c>
      <c r="Z629" s="226" t="e">
        <f aca="false">T629/H629</f>
        <v>#NAME?</v>
      </c>
      <c r="AA629" s="226" t="e">
        <f aca="false">xSPRDOPT($L629,$J629,$I629,$M629,$O629,$N629,$P629,$Q629-$C$3,$R629,3)</f>
        <v>#NAME?</v>
      </c>
      <c r="AB629" s="226" t="e">
        <f aca="false">((xSPRDOPT($L629+AB$5,$J629,$I629,$M629,$O629,$N629,$P629,$Q629-$C$3,$R629,3)*$H629)/10000)/100</f>
        <v>#NAME?</v>
      </c>
      <c r="AC629" s="226" t="e">
        <f aca="false">((xSPRDOPT($L629+$AB$5,$J629,$I629,$M629,$O629,$N629,$P629,$Q629-$C$3,$R629,7)*$H629)/100)</f>
        <v>#NAME?</v>
      </c>
      <c r="AD629" s="226" t="e">
        <f aca="false">(xSPRDOPT($L629+$AB$5,$J629,$I629,$M629,$O629,$N629,$P629,$Q629-$C$3,$R629,9)/365)*$H629</f>
        <v>#NAME?</v>
      </c>
      <c r="AE629" s="0" t="e">
        <f aca="false">CD630</f>
        <v>#NAME?</v>
      </c>
      <c r="AF629" s="226" t="e">
        <f aca="false">((O629/N629)*AH629)+AG629</f>
        <v>#NAME?</v>
      </c>
      <c r="AG629" s="226" t="e">
        <f aca="false">((xSPRDOPT($L629,$J629,$I629,$M629,$O629,$N629,$P629,$Q629-$C$3,$R629,6)*$H629)/100)</f>
        <v>#NAME?</v>
      </c>
      <c r="AH629" s="226" t="e">
        <f aca="false">((xSPRDOPT($L629,$J629,$I629,$M629,$O629,$N629,$P629,$Q629-$C$3,$R629,5)*$H629)/100)</f>
        <v>#NAME?</v>
      </c>
      <c r="AI629" s="226" t="e">
        <f aca="false">(((xSPRDOPT($L629,$J629,$I629,$M629,$O629,$N629,$P629,$Q629-$C$3,$R629,4)*$H629)/10000)/100)-AB629</f>
        <v>#NAME?</v>
      </c>
      <c r="AJ629" s="226"/>
      <c r="AK629" s="226"/>
      <c r="CC629" s="182" t="n">
        <f aca="false">G628</f>
        <v>36982</v>
      </c>
      <c r="CD629" s="253" t="e">
        <f aca="false">xSPRDOPT((VLOOKUP(G628,NGPrices,2,FALSE())+HLOOKUP(D628,Prices,VLOOKUP(G628,move_down,2,FALSE()),FALSE())),VLOOKUP(G628,NGPrices,2,FALSE()),I628,VLOOKUP(G628,NGPREVPRICES,4,FALSE()),HLOOKUP(D628,PREVVOLS,VLOOKUP(G628,MOVE_DOWN2,2,FALSE()),FALSE()),VLOOKUP(G628,NGPREVPRICES,3,FALSE()),HLOOKUP(D628,Correllate,VLOOKUP(G628,CorMove,2,FALSE()),FALSE()),Q628-$CD$3,R628,$CD$5)*H628-CJ629</f>
        <v>#NAME?</v>
      </c>
      <c r="CE629" s="253" t="e">
        <f aca="false">xSPRDOPT((VLOOKUP(G628,NGPREVPRICES,2,FALSE())+HLOOKUP(D628,PREVCURVES,VLOOKUP(G628,MOVE_DOWN2,2,FALSE()),FALSE())),VLOOKUP(G628,NGPREVPRICES,2,FALSE()),CK629,VLOOKUP(G628,NGPrices,4,FALSE()),HLOOKUP(D628,PREVVOLS,VLOOKUP(G628,MOVE_DOWN2,2,FALSE()),FALSE()),VLOOKUP(G628,NGPREVPRICES,3,FALSE()),HLOOKUP(D628,Correllate,VLOOKUP(G628,CorMove,2,FALSE()),FALSE()),Q628-$CD$3,R628,$CJ$5)*H628-CJ629</f>
        <v>#NAME?</v>
      </c>
      <c r="CF629" s="132" t="e">
        <f aca="false">(CJ629/VLOOKUP(CC629,discount,3,FALSE()))-(CJ629/VLOOKUP(CC629,discount,2,FALSE()))</f>
        <v>#NAME?</v>
      </c>
      <c r="CG629" s="253" t="e">
        <f aca="false">xSPRDOPT((VLOOKUP(G628,NGPREVPRICES,2,FALSE())+HLOOKUP(D628,PREVCURVES,VLOOKUP(G628,MOVE_DOWN2,2,FALSE()),FALSE())),VLOOKUP(G628,NGPREVPRICES,2,FALSE()),CK629,VLOOKUP(G628,NGPREVPRICES,4,FALSE()),HLOOKUP(D628,VOLS,VLOOKUP(G628,move_down,2,FALSE()),FALSE()),VLOOKUP(G628,NGPrices,3,FALSE()),HLOOKUP(D628,Correllate,VLOOKUP(G628,CorMove,2,FALSE()),FALSE()),Q628-$CD$3,R628,$CJ$5)*H628-CJ629</f>
        <v>#NAME?</v>
      </c>
      <c r="CH629" s="253" t="e">
        <f aca="false">xSPRDOPT((VLOOKUP(G628,NGPREVPRICES,2,FALSE())+HLOOKUP(D628,PREVCURVES,VLOOKUP(G628,MOVE_DOWN2,2,FALSE()),FALSE())),VLOOKUP(G628,NGPREVPRICES,2,FALSE()),CK629,VLOOKUP(G628,NGPREVPRICES,4,FALSE()),HLOOKUP(D628,PREVVOLS,VLOOKUP(G628,MOVE_DOWN2,2,FALSE()),FALSE()),VLOOKUP(G628,NGPREVPRICES,3,FALSE()),HLOOKUP(D628,Correllate,VLOOKUP(G628,CorMove,2,FALSE()),FALSE()),Q628-$C$3,R628,$CJ$5)*H628-CJ629</f>
        <v>#NAME?</v>
      </c>
      <c r="CI629" s="253" t="e">
        <f aca="false">SUM(CD629:CH629)</f>
        <v>#NAME?</v>
      </c>
      <c r="CJ629" s="253" t="e">
        <f aca="false">xSPRDOPT((VLOOKUP(G628,NGPREVPRICES,2,FALSE())+HLOOKUP(D628,PREVCURVES,VLOOKUP(G628,MOVE_DOWN2,2,FALSE()),FALSE())),VLOOKUP(G628,NGPREVPRICES,2,FALSE()),CK629,VLOOKUP(G628,NGPREVPRICES,4,FALSE()),HLOOKUP(D628,PREVVOLS,VLOOKUP(G628,MOVE_DOWN2,2,FALSE()),FALSE()),VLOOKUP(G628,NGPREVPRICES,3,FALSE()),HLOOKUP(D628,Correllate,VLOOKUP(G628,CorMove,2,FALSE()),FALSE()),Q628-$CD$3,R628,$CJ$5)*H628</f>
        <v>#NAME?</v>
      </c>
      <c r="CK629" s="254" t="n">
        <f aca="false">I628</f>
        <v>0.7</v>
      </c>
      <c r="CM629" s="0" t="str">
        <f aca="false">CONCATENATE(CC629,$CD$6)</f>
        <v>36982Curve Shift/Gamma</v>
      </c>
      <c r="CN629" s="0" t="str">
        <f aca="false">CONCATENATE($CC629,$CE$6)</f>
        <v>36982Rho</v>
      </c>
      <c r="CO629" s="0" t="str">
        <f aca="false">CONCATENATE($CC629,$CF$6)</f>
        <v>36982Drift</v>
      </c>
      <c r="CP629" s="0" t="str">
        <f aca="false">CONCATENATE($CC629,$CG$6)</f>
        <v>36982Vega</v>
      </c>
      <c r="CQ629" s="0" t="str">
        <f aca="false">CONCATENATE($CC629,$CH$6)</f>
        <v>36982Theta</v>
      </c>
    </row>
    <row r="630" customFormat="false" ht="12.75" hidden="false" customHeight="false" outlineLevel="0" collapsed="false">
      <c r="A630" s="17" t="s">
        <v>191</v>
      </c>
      <c r="B630" s="0" t="s">
        <v>192</v>
      </c>
      <c r="C630" s="0" t="s">
        <v>407</v>
      </c>
      <c r="D630" s="7" t="s">
        <v>149</v>
      </c>
      <c r="E630" s="0" t="s">
        <v>131</v>
      </c>
      <c r="F630" s="0" t="s">
        <v>132</v>
      </c>
      <c r="G630" s="92" t="n">
        <v>36861</v>
      </c>
      <c r="H630" s="248" t="n">
        <v>1000000</v>
      </c>
      <c r="I630" s="254" t="n">
        <v>0.95</v>
      </c>
      <c r="J630" s="124" t="n">
        <f aca="false">VLOOKUP(G630,NGPrices,2,FALSE())</f>
        <v>4.8</v>
      </c>
      <c r="K630" s="125" t="n">
        <f aca="false">HLOOKUP(D630,Prices,VLOOKUP(G630,move_down,2,FALSE()),FALSE())+VLOOKUP(G630,CHANGE,HLOOKUP(D630,CHANGE,2,FALSE()),FALSE())</f>
        <v>1.645</v>
      </c>
      <c r="L630" s="124" t="n">
        <f aca="false">K630+J630</f>
        <v>6.445</v>
      </c>
      <c r="M630" s="126" t="n">
        <f aca="false">VLOOKUP(G630,NGPrices,4,FALSE())</f>
        <v>0.068314027999354</v>
      </c>
      <c r="N630" s="7" t="n">
        <f aca="false">VLOOKUP(G630,NGPrices,3,FALSE())</f>
        <v>0.6</v>
      </c>
      <c r="O630" s="7" t="n">
        <f aca="false">HLOOKUP(D630,VOLS,VLOOKUP(G630,move_down,2,FALSE()),FALSE())</f>
        <v>0.69</v>
      </c>
      <c r="P630" s="249" t="n">
        <f aca="false">HLOOKUP(D630,Correllate,VLOOKUP(G630,CorMove,2,FALSE()),FALSE())</f>
        <v>0.83</v>
      </c>
      <c r="Q630" s="92" t="n">
        <f aca="false">WORKDAY(G630,-2)</f>
        <v>36859</v>
      </c>
      <c r="R630" s="7" t="n">
        <f aca="false">IF(F630="P",0,1)</f>
        <v>0</v>
      </c>
      <c r="S630" s="130" t="e">
        <f aca="false">xSPRDOPT($L630,$J630,$I630,$M630,$O630,$N630,$P630,$Q630-$C$3,$R630,0)</f>
        <v>#NAME?</v>
      </c>
      <c r="T630" s="250" t="e">
        <f aca="false">xSPRDOPT($L630,$J630,$I630,$M630,$O630,$N630,$P630,$Q630-$C$3,$R630,1)*H630</f>
        <v>#NAME?</v>
      </c>
      <c r="U630" s="43" t="e">
        <f aca="false">S630*H630</f>
        <v>#NAME?</v>
      </c>
      <c r="V630" s="250" t="e">
        <f aca="false">xSPRDOPT($L630,$J630,$I630,$M630,$O630,$N630,$P630,$Q630-$C$3,$R630,2)*H630</f>
        <v>#NAME?</v>
      </c>
      <c r="W630" s="250" t="e">
        <f aca="false">+V630+T630</f>
        <v>#NAME?</v>
      </c>
      <c r="X630" s="2" t="str">
        <f aca="false">CONCATENATE(G630,D630)</f>
        <v>36861IF-TRANSCO/Z6</v>
      </c>
      <c r="Y630" s="251" t="n">
        <f aca="false">H630/10000</f>
        <v>100</v>
      </c>
      <c r="Z630" s="226" t="e">
        <f aca="false">T630/H630</f>
        <v>#NAME?</v>
      </c>
      <c r="AA630" s="226" t="e">
        <f aca="false">xSPRDOPT($L630,$J630,$I630,$M630,$O630,$N630,$P630,$Q630-$C$3,$R630,3)</f>
        <v>#NAME?</v>
      </c>
      <c r="AB630" s="226" t="e">
        <f aca="false">((xSPRDOPT($L630+AB$5,$J630,$I630,$M630,$O630,$N630,$P630,$Q630-$C$3,$R630,3)*$H630)/10000)/100</f>
        <v>#NAME?</v>
      </c>
      <c r="AC630" s="226" t="e">
        <f aca="false">((xSPRDOPT($L630+$AB$5,$J630,$I630,$M630,$O630,$N630,$P630,$Q630-$C$3,$R630,7)*$H630)/100)</f>
        <v>#NAME?</v>
      </c>
      <c r="AD630" s="226" t="e">
        <f aca="false">(xSPRDOPT($L630+$AB$5,$J630,$I630,$M630,$O630,$N630,$P630,$Q630-$C$3,$R630,9)/365)*$H630</f>
        <v>#NAME?</v>
      </c>
      <c r="AE630" s="0" t="e">
        <f aca="false">CD631</f>
        <v>#NAME?</v>
      </c>
      <c r="AF630" s="226" t="e">
        <f aca="false">((O630/N630)*AH630)+AG630</f>
        <v>#NAME?</v>
      </c>
      <c r="AG630" s="226" t="e">
        <f aca="false">((xSPRDOPT($L630,$J630,$I630,$M630,$O630,$N630,$P630,$Q630-$C$3,$R630,6)*$H630)/100)</f>
        <v>#NAME?</v>
      </c>
      <c r="AH630" s="226" t="e">
        <f aca="false">((xSPRDOPT($L630,$J630,$I630,$M630,$O630,$N630,$P630,$Q630-$C$3,$R630,5)*$H630)/100)</f>
        <v>#NAME?</v>
      </c>
      <c r="AI630" s="226" t="e">
        <f aca="false">(((xSPRDOPT($L630,$J630,$I630,$M630,$O630,$N630,$P630,$Q630-$C$3,$R630,4)*$H630)/10000)/100)-AB630</f>
        <v>#NAME?</v>
      </c>
      <c r="AJ630" s="226"/>
      <c r="AK630" s="226"/>
      <c r="CC630" s="182" t="n">
        <f aca="false">G629</f>
        <v>36831</v>
      </c>
      <c r="CD630" s="253" t="e">
        <f aca="false">xSPRDOPT((VLOOKUP(G629,NGPrices,2,FALSE())+HLOOKUP(D629,Prices,VLOOKUP(G629,move_down,2,FALSE()),FALSE())),VLOOKUP(G629,NGPrices,2,FALSE()),I629,VLOOKUP(G629,NGPREVPRICES,4,FALSE()),HLOOKUP(D629,PREVVOLS,VLOOKUP(G629,MOVE_DOWN2,2,FALSE()),FALSE()),VLOOKUP(G629,NGPREVPRICES,3,FALSE()),HLOOKUP(D629,Correllate,VLOOKUP(G629,CorMove,2,FALSE()),FALSE()),Q629-$CD$3,R629,$CD$5)*H629-CJ630</f>
        <v>#NAME?</v>
      </c>
      <c r="CE630" s="253" t="e">
        <f aca="false">xSPRDOPT((VLOOKUP(G629,NGPREVPRICES,2,FALSE())+HLOOKUP(D629,PREVCURVES,VLOOKUP(G629,MOVE_DOWN2,2,FALSE()),FALSE())),VLOOKUP(G629,NGPREVPRICES,2,FALSE()),CK630,VLOOKUP(G629,NGPrices,4,FALSE()),HLOOKUP(D629,PREVVOLS,VLOOKUP(G629,MOVE_DOWN2,2,FALSE()),FALSE()),VLOOKUP(G629,NGPREVPRICES,3,FALSE()),HLOOKUP(D629,Correllate,VLOOKUP(G629,CorMove,2,FALSE()),FALSE()),Q629-$CD$3,R629,$CJ$5)*H629-CJ630</f>
        <v>#NAME?</v>
      </c>
      <c r="CF630" s="132" t="e">
        <f aca="false">(CJ630/VLOOKUP(CC630,discount,3,FALSE()))-(CJ630/VLOOKUP(CC630,discount,2,FALSE()))</f>
        <v>#NAME?</v>
      </c>
      <c r="CG630" s="253" t="e">
        <f aca="false">xSPRDOPT((VLOOKUP(G629,NGPREVPRICES,2,FALSE())+HLOOKUP(D629,PREVCURVES,VLOOKUP(G629,MOVE_DOWN2,2,FALSE()),FALSE())),VLOOKUP(G629,NGPREVPRICES,2,FALSE()),CK630,VLOOKUP(G629,NGPREVPRICES,4,FALSE()),HLOOKUP(D629,VOLS,VLOOKUP(G629,move_down,2,FALSE()),FALSE()),VLOOKUP(G629,NGPrices,3,FALSE()),HLOOKUP(D629,Correllate,VLOOKUP(G629,CorMove,2,FALSE()),FALSE()),Q629-$CD$3,R629,$CJ$5)*H629-CJ630</f>
        <v>#NAME?</v>
      </c>
      <c r="CH630" s="253" t="e">
        <f aca="false">xSPRDOPT((VLOOKUP(G629,NGPREVPRICES,2,FALSE())+HLOOKUP(D629,PREVCURVES,VLOOKUP(G629,MOVE_DOWN2,2,FALSE()),FALSE())),VLOOKUP(G629,NGPREVPRICES,2,FALSE()),CK630,VLOOKUP(G629,NGPREVPRICES,4,FALSE()),HLOOKUP(D629,PREVVOLS,VLOOKUP(G629,MOVE_DOWN2,2,FALSE()),FALSE()),VLOOKUP(G629,NGPREVPRICES,3,FALSE()),HLOOKUP(D629,Correllate,VLOOKUP(G629,CorMove,2,FALSE()),FALSE()),Q629-$C$3,R629,$CJ$5)*H629-CJ630</f>
        <v>#NAME?</v>
      </c>
      <c r="CI630" s="253" t="e">
        <f aca="false">SUM(CD630:CH630)</f>
        <v>#NAME?</v>
      </c>
      <c r="CJ630" s="253" t="e">
        <f aca="false">xSPRDOPT((VLOOKUP(G629,NGPREVPRICES,2,FALSE())+HLOOKUP(D629,PREVCURVES,VLOOKUP(G629,MOVE_DOWN2,2,FALSE()),FALSE())),VLOOKUP(G629,NGPREVPRICES,2,FALSE()),CK630,VLOOKUP(G629,NGPREVPRICES,4,FALSE()),HLOOKUP(D629,PREVVOLS,VLOOKUP(G629,MOVE_DOWN2,2,FALSE()),FALSE()),VLOOKUP(G629,NGPREVPRICES,3,FALSE()),HLOOKUP(D629,Correllate,VLOOKUP(G629,CorMove,2,FALSE()),FALSE()),Q629-$CD$3,R629,$CJ$5)*H629</f>
        <v>#NAME?</v>
      </c>
      <c r="CK630" s="254" t="n">
        <f aca="false">I629</f>
        <v>0.95</v>
      </c>
      <c r="CM630" s="0" t="str">
        <f aca="false">CONCATENATE(CC630,$CD$6)</f>
        <v>36831Curve Shift/Gamma</v>
      </c>
      <c r="CN630" s="0" t="str">
        <f aca="false">CONCATENATE($CC630,$CE$6)</f>
        <v>36831Rho</v>
      </c>
      <c r="CO630" s="0" t="str">
        <f aca="false">CONCATENATE($CC630,$CF$6)</f>
        <v>36831Drift</v>
      </c>
      <c r="CP630" s="0" t="str">
        <f aca="false">CONCATENATE($CC630,$CG$6)</f>
        <v>36831Vega</v>
      </c>
      <c r="CQ630" s="0" t="str">
        <f aca="false">CONCATENATE($CC630,$CH$6)</f>
        <v>36831Theta</v>
      </c>
    </row>
    <row r="631" customFormat="false" ht="12.75" hidden="false" customHeight="false" outlineLevel="0" collapsed="false">
      <c r="A631" s="17" t="s">
        <v>191</v>
      </c>
      <c r="B631" s="0" t="s">
        <v>192</v>
      </c>
      <c r="C631" s="0" t="s">
        <v>407</v>
      </c>
      <c r="D631" s="7" t="s">
        <v>149</v>
      </c>
      <c r="E631" s="0" t="s">
        <v>131</v>
      </c>
      <c r="F631" s="0" t="s">
        <v>132</v>
      </c>
      <c r="G631" s="92" t="n">
        <v>36892</v>
      </c>
      <c r="H631" s="248" t="n">
        <v>1000000</v>
      </c>
      <c r="I631" s="254" t="n">
        <v>0.95</v>
      </c>
      <c r="J631" s="124" t="n">
        <f aca="false">VLOOKUP(G631,NGPrices,2,FALSE())</f>
        <v>4.744</v>
      </c>
      <c r="K631" s="125" t="n">
        <f aca="false">HLOOKUP(D631,Prices,VLOOKUP(G631,move_down,2,FALSE()),FALSE())+VLOOKUP(G631,CHANGE,HLOOKUP(D631,CHANGE,2,FALSE()),FALSE())</f>
        <v>2.17</v>
      </c>
      <c r="L631" s="124" t="n">
        <f aca="false">K631+J631</f>
        <v>6.914</v>
      </c>
      <c r="M631" s="126" t="n">
        <f aca="false">VLOOKUP(G631,NGPrices,4,FALSE())</f>
        <v>0.068374831148491</v>
      </c>
      <c r="N631" s="7" t="n">
        <f aca="false">VLOOKUP(G631,NGPrices,3,FALSE())</f>
        <v>0.605</v>
      </c>
      <c r="O631" s="7" t="n">
        <f aca="false">HLOOKUP(D631,VOLS,VLOOKUP(G631,move_down,2,FALSE()),FALSE())</f>
        <v>0.696</v>
      </c>
      <c r="P631" s="249" t="n">
        <f aca="false">HLOOKUP(D631,Correllate,VLOOKUP(G631,CorMove,2,FALSE()),FALSE())</f>
        <v>0.83</v>
      </c>
      <c r="Q631" s="92" t="n">
        <f aca="false">WORKDAY(G631,-2)</f>
        <v>36888</v>
      </c>
      <c r="R631" s="7" t="n">
        <f aca="false">IF(F631="P",0,1)</f>
        <v>0</v>
      </c>
      <c r="S631" s="130" t="e">
        <f aca="false">xSPRDOPT($L631,$J631,$I631,$M631,$O631,$N631,$P631,$Q631-$C$3,$R631,0)</f>
        <v>#NAME?</v>
      </c>
      <c r="T631" s="250" t="e">
        <f aca="false">xSPRDOPT($L631,$J631,$I631,$M631,$O631,$N631,$P631,$Q631-$C$3,$R631,1)*H631</f>
        <v>#NAME?</v>
      </c>
      <c r="U631" s="43" t="e">
        <f aca="false">S631*H631</f>
        <v>#NAME?</v>
      </c>
      <c r="V631" s="250" t="e">
        <f aca="false">xSPRDOPT($L631,$J631,$I631,$M631,$O631,$N631,$P631,$Q631-$C$3,$R631,2)*H631</f>
        <v>#NAME?</v>
      </c>
      <c r="W631" s="250" t="e">
        <f aca="false">+V631+T631</f>
        <v>#NAME?</v>
      </c>
      <c r="X631" s="2" t="str">
        <f aca="false">CONCATENATE(G631,D631)</f>
        <v>36892IF-TRANSCO/Z6</v>
      </c>
      <c r="Y631" s="251" t="n">
        <f aca="false">H631/10000</f>
        <v>100</v>
      </c>
      <c r="Z631" s="226" t="e">
        <f aca="false">T631/H631</f>
        <v>#NAME?</v>
      </c>
      <c r="AA631" s="226" t="e">
        <f aca="false">xSPRDOPT($L631,$J631,$I631,$M631,$O631,$N631,$P631,$Q631-$C$3,$R631,3)</f>
        <v>#NAME?</v>
      </c>
      <c r="AB631" s="226" t="e">
        <f aca="false">((xSPRDOPT($L631+AB$5,$J631,$I631,$M631,$O631,$N631,$P631,$Q631-$C$3,$R631,3)*$H631)/10000)/100</f>
        <v>#NAME?</v>
      </c>
      <c r="AC631" s="226" t="e">
        <f aca="false">((xSPRDOPT($L631+$AB$5,$J631,$I631,$M631,$O631,$N631,$P631,$Q631-$C$3,$R631,7)*$H631)/100)</f>
        <v>#NAME?</v>
      </c>
      <c r="AD631" s="226" t="e">
        <f aca="false">(xSPRDOPT($L631+$AB$5,$J631,$I631,$M631,$O631,$N631,$P631,$Q631-$C$3,$R631,9)/365)*$H631</f>
        <v>#NAME?</v>
      </c>
      <c r="AE631" s="0" t="e">
        <f aca="false">CD632</f>
        <v>#NAME?</v>
      </c>
      <c r="AF631" s="226" t="e">
        <f aca="false">((O631/N631)*AH631)+AG631</f>
        <v>#NAME?</v>
      </c>
      <c r="AG631" s="226" t="e">
        <f aca="false">((xSPRDOPT($L631,$J631,$I631,$M631,$O631,$N631,$P631,$Q631-$C$3,$R631,6)*$H631)/100)</f>
        <v>#NAME?</v>
      </c>
      <c r="AH631" s="226" t="e">
        <f aca="false">((xSPRDOPT($L631,$J631,$I631,$M631,$O631,$N631,$P631,$Q631-$C$3,$R631,5)*$H631)/100)</f>
        <v>#NAME?</v>
      </c>
      <c r="AI631" s="226" t="e">
        <f aca="false">(((xSPRDOPT($L631,$J631,$I631,$M631,$O631,$N631,$P631,$Q631-$C$3,$R631,4)*$H631)/10000)/100)-AB631</f>
        <v>#NAME?</v>
      </c>
      <c r="AJ631" s="226"/>
      <c r="AK631" s="226"/>
      <c r="CC631" s="182" t="n">
        <f aca="false">G630</f>
        <v>36861</v>
      </c>
      <c r="CD631" s="253" t="e">
        <f aca="false">xSPRDOPT((VLOOKUP(G630,NGPrices,2,FALSE())+HLOOKUP(D630,Prices,VLOOKUP(G630,move_down,2,FALSE()),FALSE())),VLOOKUP(G630,NGPrices,2,FALSE()),I630,VLOOKUP(G630,NGPREVPRICES,4,FALSE()),HLOOKUP(D630,PREVVOLS,VLOOKUP(G630,MOVE_DOWN2,2,FALSE()),FALSE()),VLOOKUP(G630,NGPREVPRICES,3,FALSE()),HLOOKUP(D630,Correllate,VLOOKUP(G630,CorMove,2,FALSE()),FALSE()),Q630-$CD$3,R630,$CD$5)*H630-CJ631</f>
        <v>#NAME?</v>
      </c>
      <c r="CE631" s="253" t="e">
        <f aca="false">xSPRDOPT((VLOOKUP(G630,NGPREVPRICES,2,FALSE())+HLOOKUP(D630,PREVCURVES,VLOOKUP(G630,MOVE_DOWN2,2,FALSE()),FALSE())),VLOOKUP(G630,NGPREVPRICES,2,FALSE()),CK631,VLOOKUP(G630,NGPrices,4,FALSE()),HLOOKUP(D630,PREVVOLS,VLOOKUP(G630,MOVE_DOWN2,2,FALSE()),FALSE()),VLOOKUP(G630,NGPREVPRICES,3,FALSE()),HLOOKUP(D630,Correllate,VLOOKUP(G630,CorMove,2,FALSE()),FALSE()),Q630-$CD$3,R630,$CJ$5)*H630-CJ631</f>
        <v>#NAME?</v>
      </c>
      <c r="CF631" s="132" t="e">
        <f aca="false">(CJ631/VLOOKUP(CC631,discount,3,FALSE()))-(CJ631/VLOOKUP(CC631,discount,2,FALSE()))</f>
        <v>#NAME?</v>
      </c>
      <c r="CG631" s="253" t="e">
        <f aca="false">xSPRDOPT((VLOOKUP(G630,NGPREVPRICES,2,FALSE())+HLOOKUP(D630,PREVCURVES,VLOOKUP(G630,MOVE_DOWN2,2,FALSE()),FALSE())),VLOOKUP(G630,NGPREVPRICES,2,FALSE()),CK631,VLOOKUP(G630,NGPREVPRICES,4,FALSE()),HLOOKUP(D630,VOLS,VLOOKUP(G630,move_down,2,FALSE()),FALSE()),VLOOKUP(G630,NGPrices,3,FALSE()),HLOOKUP(D630,Correllate,VLOOKUP(G630,CorMove,2,FALSE()),FALSE()),Q630-$CD$3,R630,$CJ$5)*H630-CJ631</f>
        <v>#NAME?</v>
      </c>
      <c r="CH631" s="253" t="e">
        <f aca="false">xSPRDOPT((VLOOKUP(G630,NGPREVPRICES,2,FALSE())+HLOOKUP(D630,PREVCURVES,VLOOKUP(G630,MOVE_DOWN2,2,FALSE()),FALSE())),VLOOKUP(G630,NGPREVPRICES,2,FALSE()),CK631,VLOOKUP(G630,NGPREVPRICES,4,FALSE()),HLOOKUP(D630,PREVVOLS,VLOOKUP(G630,MOVE_DOWN2,2,FALSE()),FALSE()),VLOOKUP(G630,NGPREVPRICES,3,FALSE()),HLOOKUP(D630,Correllate,VLOOKUP(G630,CorMove,2,FALSE()),FALSE()),Q630-$C$3,R630,$CJ$5)*H630-CJ631</f>
        <v>#NAME?</v>
      </c>
      <c r="CI631" s="253" t="e">
        <f aca="false">SUM(CD631:CH631)</f>
        <v>#NAME?</v>
      </c>
      <c r="CJ631" s="253" t="e">
        <f aca="false">xSPRDOPT((VLOOKUP(G630,NGPREVPRICES,2,FALSE())+HLOOKUP(D630,PREVCURVES,VLOOKUP(G630,MOVE_DOWN2,2,FALSE()),FALSE())),VLOOKUP(G630,NGPREVPRICES,2,FALSE()),CK631,VLOOKUP(G630,NGPREVPRICES,4,FALSE()),HLOOKUP(D630,PREVVOLS,VLOOKUP(G630,MOVE_DOWN2,2,FALSE()),FALSE()),VLOOKUP(G630,NGPREVPRICES,3,FALSE()),HLOOKUP(D630,Correllate,VLOOKUP(G630,CorMove,2,FALSE()),FALSE()),Q630-$CD$3,R630,$CJ$5)*H630</f>
        <v>#NAME?</v>
      </c>
      <c r="CK631" s="254" t="n">
        <f aca="false">I630</f>
        <v>0.95</v>
      </c>
      <c r="CM631" s="0" t="str">
        <f aca="false">CONCATENATE(CC631,$CD$6)</f>
        <v>36861Curve Shift/Gamma</v>
      </c>
      <c r="CN631" s="0" t="str">
        <f aca="false">CONCATENATE($CC631,$CE$6)</f>
        <v>36861Rho</v>
      </c>
      <c r="CO631" s="0" t="str">
        <f aca="false">CONCATENATE($CC631,$CF$6)</f>
        <v>36861Drift</v>
      </c>
      <c r="CP631" s="0" t="str">
        <f aca="false">CONCATENATE($CC631,$CG$6)</f>
        <v>36861Vega</v>
      </c>
      <c r="CQ631" s="0" t="str">
        <f aca="false">CONCATENATE($CC631,$CH$6)</f>
        <v>36861Theta</v>
      </c>
    </row>
    <row r="632" customFormat="false" ht="12.75" hidden="false" customHeight="false" outlineLevel="0" collapsed="false">
      <c r="A632" s="17" t="s">
        <v>191</v>
      </c>
      <c r="B632" s="0" t="s">
        <v>192</v>
      </c>
      <c r="C632" s="0" t="s">
        <v>407</v>
      </c>
      <c r="D632" s="7" t="s">
        <v>149</v>
      </c>
      <c r="E632" s="0" t="s">
        <v>131</v>
      </c>
      <c r="F632" s="0" t="s">
        <v>132</v>
      </c>
      <c r="G632" s="92" t="n">
        <v>36923</v>
      </c>
      <c r="H632" s="248" t="n">
        <v>1000000</v>
      </c>
      <c r="I632" s="254" t="n">
        <v>0.95</v>
      </c>
      <c r="J632" s="124" t="n">
        <f aca="false">VLOOKUP(G632,NGPrices,2,FALSE())</f>
        <v>4.48</v>
      </c>
      <c r="K632" s="125" t="n">
        <f aca="false">HLOOKUP(D632,Prices,VLOOKUP(G632,move_down,2,FALSE()),FALSE())+VLOOKUP(G632,CHANGE,HLOOKUP(D632,CHANGE,2,FALSE()),FALSE())</f>
        <v>2.09</v>
      </c>
      <c r="L632" s="124" t="n">
        <f aca="false">K632+J632</f>
        <v>6.57</v>
      </c>
      <c r="M632" s="126" t="n">
        <f aca="false">VLOOKUP(G632,NGPrices,4,FALSE())</f>
        <v>0.068640161611372</v>
      </c>
      <c r="N632" s="7" t="n">
        <f aca="false">VLOOKUP(G632,NGPrices,3,FALSE())</f>
        <v>0.5925</v>
      </c>
      <c r="O632" s="7" t="n">
        <f aca="false">HLOOKUP(D632,VOLS,VLOOKUP(G632,move_down,2,FALSE()),FALSE())</f>
        <v>0.681</v>
      </c>
      <c r="P632" s="249" t="n">
        <f aca="false">HLOOKUP(D632,Correllate,VLOOKUP(G632,CorMove,2,FALSE()),FALSE())</f>
        <v>0.83</v>
      </c>
      <c r="Q632" s="92" t="n">
        <f aca="false">WORKDAY(G632,-2)</f>
        <v>36921</v>
      </c>
      <c r="R632" s="7" t="n">
        <f aca="false">IF(F632="P",0,1)</f>
        <v>0</v>
      </c>
      <c r="S632" s="130" t="e">
        <f aca="false">xSPRDOPT($L632,$J632,$I632,$M632,$O632,$N632,$P632,$Q632-$C$3,$R632,0)</f>
        <v>#NAME?</v>
      </c>
      <c r="T632" s="250" t="e">
        <f aca="false">xSPRDOPT($L632,$J632,$I632,$M632,$O632,$N632,$P632,$Q632-$C$3,$R632,1)*H632</f>
        <v>#NAME?</v>
      </c>
      <c r="U632" s="43" t="e">
        <f aca="false">S632*H632</f>
        <v>#NAME?</v>
      </c>
      <c r="V632" s="250" t="e">
        <f aca="false">xSPRDOPT($L632,$J632,$I632,$M632,$O632,$N632,$P632,$Q632-$C$3,$R632,2)*H632</f>
        <v>#NAME?</v>
      </c>
      <c r="W632" s="250" t="e">
        <f aca="false">+V632+T632</f>
        <v>#NAME?</v>
      </c>
      <c r="X632" s="2" t="str">
        <f aca="false">CONCATENATE(G632,D632)</f>
        <v>36923IF-TRANSCO/Z6</v>
      </c>
      <c r="Y632" s="251" t="n">
        <f aca="false">H632/10000</f>
        <v>100</v>
      </c>
      <c r="Z632" s="226" t="e">
        <f aca="false">T632/H632</f>
        <v>#NAME?</v>
      </c>
      <c r="AA632" s="226" t="e">
        <f aca="false">xSPRDOPT($L632,$J632,$I632,$M632,$O632,$N632,$P632,$Q632-$C$3,$R632,3)</f>
        <v>#NAME?</v>
      </c>
      <c r="AB632" s="226" t="e">
        <f aca="false">((xSPRDOPT($L632+AB$5,$J632,$I632,$M632,$O632,$N632,$P632,$Q632-$C$3,$R632,3)*$H632)/10000)/100</f>
        <v>#NAME?</v>
      </c>
      <c r="AC632" s="226" t="e">
        <f aca="false">((xSPRDOPT($L632+$AB$5,$J632,$I632,$M632,$O632,$N632,$P632,$Q632-$C$3,$R632,7)*$H632)/100)</f>
        <v>#NAME?</v>
      </c>
      <c r="AD632" s="226" t="e">
        <f aca="false">(xSPRDOPT($L632+$AB$5,$J632,$I632,$M632,$O632,$N632,$P632,$Q632-$C$3,$R632,9)/365)*$H632</f>
        <v>#NAME?</v>
      </c>
      <c r="AE632" s="0" t="e">
        <f aca="false">CD633</f>
        <v>#NAME?</v>
      </c>
      <c r="AF632" s="226" t="e">
        <f aca="false">((O632/N632)*AH632)+AG632</f>
        <v>#NAME?</v>
      </c>
      <c r="AG632" s="226" t="e">
        <f aca="false">((xSPRDOPT($L632,$J632,$I632,$M632,$O632,$N632,$P632,$Q632-$C$3,$R632,6)*$H632)/100)</f>
        <v>#NAME?</v>
      </c>
      <c r="AH632" s="226" t="e">
        <f aca="false">((xSPRDOPT($L632,$J632,$I632,$M632,$O632,$N632,$P632,$Q632-$C$3,$R632,5)*$H632)/100)</f>
        <v>#NAME?</v>
      </c>
      <c r="AI632" s="226" t="e">
        <f aca="false">(((xSPRDOPT($L632,$J632,$I632,$M632,$O632,$N632,$P632,$Q632-$C$3,$R632,4)*$H632)/10000)/100)-AB632</f>
        <v>#NAME?</v>
      </c>
      <c r="AJ632" s="226"/>
      <c r="AK632" s="226"/>
      <c r="CC632" s="182" t="n">
        <f aca="false">G631</f>
        <v>36892</v>
      </c>
      <c r="CD632" s="253" t="e">
        <f aca="false">xSPRDOPT((VLOOKUP(G631,NGPrices,2,FALSE())+HLOOKUP(D631,Prices,VLOOKUP(G631,move_down,2,FALSE()),FALSE())),VLOOKUP(G631,NGPrices,2,FALSE()),I631,VLOOKUP(G631,NGPREVPRICES,4,FALSE()),HLOOKUP(D631,PREVVOLS,VLOOKUP(G631,MOVE_DOWN2,2,FALSE()),FALSE()),VLOOKUP(G631,NGPREVPRICES,3,FALSE()),HLOOKUP(D631,Correllate,VLOOKUP(G631,CorMove,2,FALSE()),FALSE()),Q631-$CD$3,R631,$CD$5)*H631-CJ632</f>
        <v>#NAME?</v>
      </c>
      <c r="CE632" s="253" t="e">
        <f aca="false">xSPRDOPT((VLOOKUP(G631,NGPREVPRICES,2,FALSE())+HLOOKUP(D631,PREVCURVES,VLOOKUP(G631,MOVE_DOWN2,2,FALSE()),FALSE())),VLOOKUP(G631,NGPREVPRICES,2,FALSE()),CK632,VLOOKUP(G631,NGPrices,4,FALSE()),HLOOKUP(D631,PREVVOLS,VLOOKUP(G631,MOVE_DOWN2,2,FALSE()),FALSE()),VLOOKUP(G631,NGPREVPRICES,3,FALSE()),HLOOKUP(D631,Correllate,VLOOKUP(G631,CorMove,2,FALSE()),FALSE()),Q631-$CD$3,R631,$CJ$5)*H631-CJ632</f>
        <v>#NAME?</v>
      </c>
      <c r="CF632" s="132" t="e">
        <f aca="false">(CJ632/VLOOKUP(CC632,discount,3,FALSE()))-(CJ632/VLOOKUP(CC632,discount,2,FALSE()))</f>
        <v>#NAME?</v>
      </c>
      <c r="CG632" s="253" t="e">
        <f aca="false">xSPRDOPT((VLOOKUP(G631,NGPREVPRICES,2,FALSE())+HLOOKUP(D631,PREVCURVES,VLOOKUP(G631,MOVE_DOWN2,2,FALSE()),FALSE())),VLOOKUP(G631,NGPREVPRICES,2,FALSE()),CK632,VLOOKUP(G631,NGPREVPRICES,4,FALSE()),HLOOKUP(D631,VOLS,VLOOKUP(G631,move_down,2,FALSE()),FALSE()),VLOOKUP(G631,NGPrices,3,FALSE()),HLOOKUP(D631,Correllate,VLOOKUP(G631,CorMove,2,FALSE()),FALSE()),Q631-$CD$3,R631,$CJ$5)*H631-CJ632</f>
        <v>#NAME?</v>
      </c>
      <c r="CH632" s="253" t="e">
        <f aca="false">xSPRDOPT((VLOOKUP(G631,NGPREVPRICES,2,FALSE())+HLOOKUP(D631,PREVCURVES,VLOOKUP(G631,MOVE_DOWN2,2,FALSE()),FALSE())),VLOOKUP(G631,NGPREVPRICES,2,FALSE()),CK632,VLOOKUP(G631,NGPREVPRICES,4,FALSE()),HLOOKUP(D631,PREVVOLS,VLOOKUP(G631,MOVE_DOWN2,2,FALSE()),FALSE()),VLOOKUP(G631,NGPREVPRICES,3,FALSE()),HLOOKUP(D631,Correllate,VLOOKUP(G631,CorMove,2,FALSE()),FALSE()),Q631-$C$3,R631,$CJ$5)*H631-CJ632</f>
        <v>#NAME?</v>
      </c>
      <c r="CI632" s="253" t="e">
        <f aca="false">SUM(CD632:CH632)</f>
        <v>#NAME?</v>
      </c>
      <c r="CJ632" s="253" t="e">
        <f aca="false">xSPRDOPT((VLOOKUP(G631,NGPREVPRICES,2,FALSE())+HLOOKUP(D631,PREVCURVES,VLOOKUP(G631,MOVE_DOWN2,2,FALSE()),FALSE())),VLOOKUP(G631,NGPREVPRICES,2,FALSE()),CK632,VLOOKUP(G631,NGPREVPRICES,4,FALSE()),HLOOKUP(D631,PREVVOLS,VLOOKUP(G631,MOVE_DOWN2,2,FALSE()),FALSE()),VLOOKUP(G631,NGPREVPRICES,3,FALSE()),HLOOKUP(D631,Correllate,VLOOKUP(G631,CorMove,2,FALSE()),FALSE()),Q631-$CD$3,R631,$CJ$5)*H631</f>
        <v>#NAME?</v>
      </c>
      <c r="CK632" s="254" t="n">
        <f aca="false">I631</f>
        <v>0.95</v>
      </c>
      <c r="CM632" s="0" t="str">
        <f aca="false">CONCATENATE(CC632,$CD$6)</f>
        <v>36892Curve Shift/Gamma</v>
      </c>
      <c r="CN632" s="0" t="str">
        <f aca="false">CONCATENATE($CC632,$CE$6)</f>
        <v>36892Rho</v>
      </c>
      <c r="CO632" s="0" t="str">
        <f aca="false">CONCATENATE($CC632,$CF$6)</f>
        <v>36892Drift</v>
      </c>
      <c r="CP632" s="0" t="str">
        <f aca="false">CONCATENATE($CC632,$CG$6)</f>
        <v>36892Vega</v>
      </c>
      <c r="CQ632" s="0" t="str">
        <f aca="false">CONCATENATE($CC632,$CH$6)</f>
        <v>36892Theta</v>
      </c>
    </row>
    <row r="633" customFormat="false" ht="12.75" hidden="false" customHeight="false" outlineLevel="0" collapsed="false">
      <c r="A633" s="17" t="s">
        <v>191</v>
      </c>
      <c r="B633" s="0" t="s">
        <v>192</v>
      </c>
      <c r="C633" s="0" t="s">
        <v>407</v>
      </c>
      <c r="D633" s="7" t="s">
        <v>149</v>
      </c>
      <c r="E633" s="0" t="s">
        <v>131</v>
      </c>
      <c r="F633" s="0" t="s">
        <v>132</v>
      </c>
      <c r="G633" s="92" t="n">
        <v>36951</v>
      </c>
      <c r="H633" s="248" t="n">
        <v>1000000</v>
      </c>
      <c r="I633" s="254" t="n">
        <v>0.95</v>
      </c>
      <c r="J633" s="124" t="n">
        <f aca="false">VLOOKUP(G633,NGPrices,2,FALSE())</f>
        <v>4.213</v>
      </c>
      <c r="K633" s="125" t="n">
        <f aca="false">HLOOKUP(D633,Prices,VLOOKUP(G633,move_down,2,FALSE()),FALSE())+VLOOKUP(G633,CHANGE,HLOOKUP(D633,CHANGE,2,FALSE()),FALSE())</f>
        <v>1.075</v>
      </c>
      <c r="L633" s="124" t="n">
        <f aca="false">K633+J633</f>
        <v>5.288</v>
      </c>
      <c r="M633" s="126" t="n">
        <f aca="false">VLOOKUP(G633,NGPrices,4,FALSE())</f>
        <v>0.068879814952707</v>
      </c>
      <c r="N633" s="7" t="n">
        <f aca="false">VLOOKUP(G633,NGPrices,3,FALSE())</f>
        <v>0.5325</v>
      </c>
      <c r="O633" s="7" t="n">
        <f aca="false">HLOOKUP(D633,VOLS,VLOOKUP(G633,move_down,2,FALSE()),FALSE())</f>
        <v>0.612</v>
      </c>
      <c r="P633" s="249" t="n">
        <f aca="false">HLOOKUP(D633,Correllate,VLOOKUP(G633,CorMove,2,FALSE()),FALSE())</f>
        <v>0.83</v>
      </c>
      <c r="Q633" s="92" t="n">
        <f aca="false">WORKDAY(G633,-2)</f>
        <v>36949</v>
      </c>
      <c r="R633" s="7" t="n">
        <f aca="false">IF(F633="P",0,1)</f>
        <v>0</v>
      </c>
      <c r="S633" s="130" t="e">
        <f aca="false">xSPRDOPT($L633,$J633,$I633,$M633,$O633,$N633,$P633,$Q633-$C$3,$R633,0)</f>
        <v>#NAME?</v>
      </c>
      <c r="T633" s="250" t="e">
        <f aca="false">xSPRDOPT($L633,$J633,$I633,$M633,$O633,$N633,$P633,$Q633-$C$3,$R633,1)*H633</f>
        <v>#NAME?</v>
      </c>
      <c r="U633" s="43" t="e">
        <f aca="false">S633*H633</f>
        <v>#NAME?</v>
      </c>
      <c r="V633" s="250" t="e">
        <f aca="false">xSPRDOPT($L633,$J633,$I633,$M633,$O633,$N633,$P633,$Q633-$C$3,$R633,2)*H633</f>
        <v>#NAME?</v>
      </c>
      <c r="W633" s="250" t="e">
        <f aca="false">+V633+T633</f>
        <v>#NAME?</v>
      </c>
      <c r="X633" s="2" t="str">
        <f aca="false">CONCATENATE(G633,D633)</f>
        <v>36951IF-TRANSCO/Z6</v>
      </c>
      <c r="Y633" s="251" t="n">
        <f aca="false">H633/10000</f>
        <v>100</v>
      </c>
      <c r="Z633" s="226" t="e">
        <f aca="false">T633/H633</f>
        <v>#NAME?</v>
      </c>
      <c r="AA633" s="226" t="e">
        <f aca="false">xSPRDOPT($L633,$J633,$I633,$M633,$O633,$N633,$P633,$Q633-$C$3,$R633,3)</f>
        <v>#NAME?</v>
      </c>
      <c r="AB633" s="226" t="e">
        <f aca="false">((xSPRDOPT($L633+AB$5,$J633,$I633,$M633,$O633,$N633,$P633,$Q633-$C$3,$R633,3)*$H633)/10000)/100</f>
        <v>#NAME?</v>
      </c>
      <c r="AC633" s="226" t="e">
        <f aca="false">((xSPRDOPT($L633+$AB$5,$J633,$I633,$M633,$O633,$N633,$P633,$Q633-$C$3,$R633,7)*$H633)/100)</f>
        <v>#NAME?</v>
      </c>
      <c r="AD633" s="226" t="e">
        <f aca="false">(xSPRDOPT($L633+$AB$5,$J633,$I633,$M633,$O633,$N633,$P633,$Q633-$C$3,$R633,9)/365)*$H633</f>
        <v>#NAME?</v>
      </c>
      <c r="AE633" s="0" t="e">
        <f aca="false">CD634</f>
        <v>#NAME?</v>
      </c>
      <c r="AF633" s="226" t="e">
        <f aca="false">((O633/N633)*AH633)+AG633</f>
        <v>#NAME?</v>
      </c>
      <c r="AG633" s="226" t="e">
        <f aca="false">((xSPRDOPT($L633,$J633,$I633,$M633,$O633,$N633,$P633,$Q633-$C$3,$R633,6)*$H633)/100)</f>
        <v>#NAME?</v>
      </c>
      <c r="AH633" s="226" t="e">
        <f aca="false">((xSPRDOPT($L633,$J633,$I633,$M633,$O633,$N633,$P633,$Q633-$C$3,$R633,5)*$H633)/100)</f>
        <v>#NAME?</v>
      </c>
      <c r="AI633" s="226" t="e">
        <f aca="false">(((xSPRDOPT($L633,$J633,$I633,$M633,$O633,$N633,$P633,$Q633-$C$3,$R633,4)*$H633)/10000)/100)-AB633</f>
        <v>#NAME?</v>
      </c>
      <c r="AJ633" s="226"/>
      <c r="AK633" s="226"/>
      <c r="CC633" s="182" t="n">
        <f aca="false">G632</f>
        <v>36923</v>
      </c>
      <c r="CD633" s="253" t="e">
        <f aca="false">xSPRDOPT((VLOOKUP(G632,NGPrices,2,FALSE())+HLOOKUP(D632,Prices,VLOOKUP(G632,move_down,2,FALSE()),FALSE())),VLOOKUP(G632,NGPrices,2,FALSE()),I632,VLOOKUP(G632,NGPREVPRICES,4,FALSE()),HLOOKUP(D632,PREVVOLS,VLOOKUP(G632,MOVE_DOWN2,2,FALSE()),FALSE()),VLOOKUP(G632,NGPREVPRICES,3,FALSE()),HLOOKUP(D632,Correllate,VLOOKUP(G632,CorMove,2,FALSE()),FALSE()),Q632-$CD$3,R632,$CD$5)*H632-CJ633</f>
        <v>#NAME?</v>
      </c>
      <c r="CE633" s="253" t="e">
        <f aca="false">xSPRDOPT((VLOOKUP(G632,NGPREVPRICES,2,FALSE())+HLOOKUP(D632,PREVCURVES,VLOOKUP(G632,MOVE_DOWN2,2,FALSE()),FALSE())),VLOOKUP(G632,NGPREVPRICES,2,FALSE()),CK633,VLOOKUP(G632,NGPrices,4,FALSE()),HLOOKUP(D632,PREVVOLS,VLOOKUP(G632,MOVE_DOWN2,2,FALSE()),FALSE()),VLOOKUP(G632,NGPREVPRICES,3,FALSE()),HLOOKUP(D632,Correllate,VLOOKUP(G632,CorMove,2,FALSE()),FALSE()),Q632-$CD$3,R632,$CJ$5)*H632-CJ633</f>
        <v>#NAME?</v>
      </c>
      <c r="CF633" s="132" t="e">
        <f aca="false">(CJ633/VLOOKUP(CC633,discount,3,FALSE()))-(CJ633/VLOOKUP(CC633,discount,2,FALSE()))</f>
        <v>#NAME?</v>
      </c>
      <c r="CG633" s="253" t="e">
        <f aca="false">xSPRDOPT((VLOOKUP(G632,NGPREVPRICES,2,FALSE())+HLOOKUP(D632,PREVCURVES,VLOOKUP(G632,MOVE_DOWN2,2,FALSE()),FALSE())),VLOOKUP(G632,NGPREVPRICES,2,FALSE()),CK633,VLOOKUP(G632,NGPREVPRICES,4,FALSE()),HLOOKUP(D632,VOLS,VLOOKUP(G632,move_down,2,FALSE()),FALSE()),VLOOKUP(G632,NGPrices,3,FALSE()),HLOOKUP(D632,Correllate,VLOOKUP(G632,CorMove,2,FALSE()),FALSE()),Q632-$CD$3,R632,$CJ$5)*H632-CJ633</f>
        <v>#NAME?</v>
      </c>
      <c r="CH633" s="253" t="e">
        <f aca="false">xSPRDOPT((VLOOKUP(G632,NGPREVPRICES,2,FALSE())+HLOOKUP(D632,PREVCURVES,VLOOKUP(G632,MOVE_DOWN2,2,FALSE()),FALSE())),VLOOKUP(G632,NGPREVPRICES,2,FALSE()),CK633,VLOOKUP(G632,NGPREVPRICES,4,FALSE()),HLOOKUP(D632,PREVVOLS,VLOOKUP(G632,MOVE_DOWN2,2,FALSE()),FALSE()),VLOOKUP(G632,NGPREVPRICES,3,FALSE()),HLOOKUP(D632,Correllate,VLOOKUP(G632,CorMove,2,FALSE()),FALSE()),Q632-$C$3,R632,$CJ$5)*H632-CJ633</f>
        <v>#NAME?</v>
      </c>
      <c r="CI633" s="253" t="e">
        <f aca="false">SUM(CD633:CH633)</f>
        <v>#NAME?</v>
      </c>
      <c r="CJ633" s="253" t="e">
        <f aca="false">xSPRDOPT((VLOOKUP(G632,NGPREVPRICES,2,FALSE())+HLOOKUP(D632,PREVCURVES,VLOOKUP(G632,MOVE_DOWN2,2,FALSE()),FALSE())),VLOOKUP(G632,NGPREVPRICES,2,FALSE()),CK633,VLOOKUP(G632,NGPREVPRICES,4,FALSE()),HLOOKUP(D632,PREVVOLS,VLOOKUP(G632,MOVE_DOWN2,2,FALSE()),FALSE()),VLOOKUP(G632,NGPREVPRICES,3,FALSE()),HLOOKUP(D632,Correllate,VLOOKUP(G632,CorMove,2,FALSE()),FALSE()),Q632-$CD$3,R632,$CJ$5)*H632</f>
        <v>#NAME?</v>
      </c>
      <c r="CK633" s="254" t="n">
        <f aca="false">I632</f>
        <v>0.95</v>
      </c>
      <c r="CM633" s="0" t="str">
        <f aca="false">CONCATENATE(CC633,$CD$6)</f>
        <v>36923Curve Shift/Gamma</v>
      </c>
      <c r="CN633" s="0" t="str">
        <f aca="false">CONCATENATE($CC633,$CE$6)</f>
        <v>36923Rho</v>
      </c>
      <c r="CO633" s="0" t="str">
        <f aca="false">CONCATENATE($CC633,$CF$6)</f>
        <v>36923Drift</v>
      </c>
      <c r="CP633" s="0" t="str">
        <f aca="false">CONCATENATE($CC633,$CG$6)</f>
        <v>36923Vega</v>
      </c>
      <c r="CQ633" s="0" t="str">
        <f aca="false">CONCATENATE($CC633,$CH$6)</f>
        <v>36923Theta</v>
      </c>
    </row>
    <row r="634" customFormat="false" ht="12.75" hidden="false" customHeight="false" outlineLevel="0" collapsed="false">
      <c r="A634" s="17" t="s">
        <v>244</v>
      </c>
      <c r="B634" s="0" t="s">
        <v>192</v>
      </c>
      <c r="C634" s="0" t="s">
        <v>408</v>
      </c>
      <c r="D634" s="7" t="s">
        <v>149</v>
      </c>
      <c r="E634" s="0" t="s">
        <v>131</v>
      </c>
      <c r="F634" s="0" t="s">
        <v>136</v>
      </c>
      <c r="G634" s="92" t="n">
        <v>36831</v>
      </c>
      <c r="H634" s="248" t="n">
        <v>-300000</v>
      </c>
      <c r="I634" s="254" t="n">
        <v>4</v>
      </c>
      <c r="J634" s="124" t="n">
        <f aca="false">VLOOKUP(G634,NGPrices,2,FALSE())</f>
        <v>4.736</v>
      </c>
      <c r="K634" s="125" t="n">
        <f aca="false">HLOOKUP(D634,Prices,VLOOKUP(G634,move_down,2,FALSE()),FALSE())+VLOOKUP(G634,CHANGE,HLOOKUP(D634,CHANGE,2,FALSE()),FALSE())</f>
        <v>0.77</v>
      </c>
      <c r="L634" s="124" t="n">
        <f aca="false">K634+J634</f>
        <v>5.506</v>
      </c>
      <c r="M634" s="126" t="n">
        <f aca="false">VLOOKUP(G634,NGPrices,4,FALSE())</f>
        <v>0.06810675983792</v>
      </c>
      <c r="N634" s="7" t="n">
        <f aca="false">VLOOKUP(G634,NGPrices,3,FALSE())</f>
        <v>0.595</v>
      </c>
      <c r="O634" s="7" t="n">
        <f aca="false">HLOOKUP(D634,VOLS,VLOOKUP(G634,move_down,2,FALSE()),FALSE())</f>
        <v>0.625</v>
      </c>
      <c r="P634" s="249" t="n">
        <f aca="false">HLOOKUP(D634,Correllate,VLOOKUP(G634,CorMove,2,FALSE()),FALSE())</f>
        <v>0.89</v>
      </c>
      <c r="Q634" s="92" t="n">
        <f aca="false">WORKDAY(G634,-2)</f>
        <v>36829</v>
      </c>
      <c r="R634" s="7" t="n">
        <f aca="false">IF(F634="P",0,1)</f>
        <v>1</v>
      </c>
      <c r="S634" s="130" t="e">
        <f aca="false">xSPRDOPT($L634,$J634,$I634,$M634,$O634,$N634,$P634,$Q634-$C$3,$R634,0)</f>
        <v>#NAME?</v>
      </c>
      <c r="T634" s="250" t="e">
        <f aca="false">xSPRDOPT($L634,$J634,$I634,$M634,$O634,$N634,$P634,$Q634-$C$3,$R634,1)*H634</f>
        <v>#NAME?</v>
      </c>
      <c r="U634" s="43" t="e">
        <f aca="false">S634*H634</f>
        <v>#NAME?</v>
      </c>
      <c r="V634" s="250" t="e">
        <f aca="false">xSPRDOPT($L634,$J634,$I634,$M634,$O634,$N634,$P634,$Q634-$C$3,$R634,2)*H634</f>
        <v>#NAME?</v>
      </c>
      <c r="W634" s="250" t="e">
        <f aca="false">+V634+T634</f>
        <v>#NAME?</v>
      </c>
      <c r="X634" s="2" t="str">
        <f aca="false">CONCATENATE(G634,D634)</f>
        <v>36831IF-TRANSCO/Z6</v>
      </c>
      <c r="Y634" s="251" t="n">
        <f aca="false">H634/10000</f>
        <v>-30</v>
      </c>
      <c r="Z634" s="226" t="e">
        <f aca="false">T634/H634</f>
        <v>#NAME?</v>
      </c>
      <c r="AA634" s="226" t="e">
        <f aca="false">xSPRDOPT($L634,$J634,$I634,$M634,$O634,$N634,$P634,$Q634-$C$3,$R634,3)</f>
        <v>#NAME?</v>
      </c>
      <c r="AB634" s="226" t="e">
        <f aca="false">((xSPRDOPT($L634+AB$5,$J634,$I634,$M634,$O634,$N634,$P634,$Q634-$C$3,$R634,3)*$H634)/10000)/100</f>
        <v>#NAME?</v>
      </c>
      <c r="AC634" s="226" t="e">
        <f aca="false">((xSPRDOPT($L634+$AB$5,$J634,$I634,$M634,$O634,$N634,$P634,$Q634-$C$3,$R634,7)*$H634)/100)</f>
        <v>#NAME?</v>
      </c>
      <c r="AD634" s="226" t="e">
        <f aca="false">(xSPRDOPT($L634+$AB$5,$J634,$I634,$M634,$O634,$N634,$P634,$Q634-$C$3,$R634,9)/365)*$H634</f>
        <v>#NAME?</v>
      </c>
      <c r="AE634" s="0" t="e">
        <f aca="false">CD635</f>
        <v>#NAME?</v>
      </c>
      <c r="AF634" s="226" t="e">
        <f aca="false">((O634/N634)*AH634)+AG634</f>
        <v>#NAME?</v>
      </c>
      <c r="AG634" s="226" t="e">
        <f aca="false">((xSPRDOPT($L634,$J634,$I634,$M634,$O634,$N634,$P634,$Q634-$C$3,$R634,6)*$H634)/100)</f>
        <v>#NAME?</v>
      </c>
      <c r="AH634" s="226" t="e">
        <f aca="false">((xSPRDOPT($L634,$J634,$I634,$M634,$O634,$N634,$P634,$Q634-$C$3,$R634,5)*$H634)/100)</f>
        <v>#NAME?</v>
      </c>
      <c r="AI634" s="226" t="e">
        <f aca="false">(((xSPRDOPT($L634,$J634,$I634,$M634,$O634,$N634,$P634,$Q634-$C$3,$R634,4)*$H634)/10000)/100)-AB634</f>
        <v>#NAME?</v>
      </c>
      <c r="AJ634" s="226"/>
      <c r="AK634" s="226"/>
      <c r="CC634" s="182" t="n">
        <f aca="false">G633</f>
        <v>36951</v>
      </c>
      <c r="CD634" s="253" t="e">
        <f aca="false">xSPRDOPT((VLOOKUP(G633,NGPrices,2,FALSE())+HLOOKUP(D633,Prices,VLOOKUP(G633,move_down,2,FALSE()),FALSE())),VLOOKUP(G633,NGPrices,2,FALSE()),I633,VLOOKUP(G633,NGPREVPRICES,4,FALSE()),HLOOKUP(D633,PREVVOLS,VLOOKUP(G633,MOVE_DOWN2,2,FALSE()),FALSE()),VLOOKUP(G633,NGPREVPRICES,3,FALSE()),HLOOKUP(D633,Correllate,VLOOKUP(G633,CorMove,2,FALSE()),FALSE()),Q633-$CD$3,R633,$CD$5)*H633-CJ634</f>
        <v>#NAME?</v>
      </c>
      <c r="CE634" s="253" t="e">
        <f aca="false">xSPRDOPT((VLOOKUP(G633,NGPREVPRICES,2,FALSE())+HLOOKUP(D633,PREVCURVES,VLOOKUP(G633,MOVE_DOWN2,2,FALSE()),FALSE())),VLOOKUP(G633,NGPREVPRICES,2,FALSE()),CK634,VLOOKUP(G633,NGPrices,4,FALSE()),HLOOKUP(D633,PREVVOLS,VLOOKUP(G633,MOVE_DOWN2,2,FALSE()),FALSE()),VLOOKUP(G633,NGPREVPRICES,3,FALSE()),HLOOKUP(D633,Correllate,VLOOKUP(G633,CorMove,2,FALSE()),FALSE()),Q633-$CD$3,R633,$CJ$5)*H633-CJ634</f>
        <v>#NAME?</v>
      </c>
      <c r="CF634" s="132" t="e">
        <f aca="false">(CJ634/VLOOKUP(CC634,discount,3,FALSE()))-(CJ634/VLOOKUP(CC634,discount,2,FALSE()))</f>
        <v>#NAME?</v>
      </c>
      <c r="CG634" s="253" t="e">
        <f aca="false">xSPRDOPT((VLOOKUP(G633,NGPREVPRICES,2,FALSE())+HLOOKUP(D633,PREVCURVES,VLOOKUP(G633,MOVE_DOWN2,2,FALSE()),FALSE())),VLOOKUP(G633,NGPREVPRICES,2,FALSE()),CK634,VLOOKUP(G633,NGPREVPRICES,4,FALSE()),HLOOKUP(D633,VOLS,VLOOKUP(G633,move_down,2,FALSE()),FALSE()),VLOOKUP(G633,NGPrices,3,FALSE()),HLOOKUP(D633,Correllate,VLOOKUP(G633,CorMove,2,FALSE()),FALSE()),Q633-$CD$3,R633,$CJ$5)*H633-CJ634</f>
        <v>#NAME?</v>
      </c>
      <c r="CH634" s="253" t="e">
        <f aca="false">xSPRDOPT((VLOOKUP(G633,NGPREVPRICES,2,FALSE())+HLOOKUP(D633,PREVCURVES,VLOOKUP(G633,MOVE_DOWN2,2,FALSE()),FALSE())),VLOOKUP(G633,NGPREVPRICES,2,FALSE()),CK634,VLOOKUP(G633,NGPREVPRICES,4,FALSE()),HLOOKUP(D633,PREVVOLS,VLOOKUP(G633,MOVE_DOWN2,2,FALSE()),FALSE()),VLOOKUP(G633,NGPREVPRICES,3,FALSE()),HLOOKUP(D633,Correllate,VLOOKUP(G633,CorMove,2,FALSE()),FALSE()),Q633-$C$3,R633,$CJ$5)*H633-CJ634</f>
        <v>#NAME?</v>
      </c>
      <c r="CI634" s="253" t="e">
        <f aca="false">SUM(CD634:CH634)</f>
        <v>#NAME?</v>
      </c>
      <c r="CJ634" s="253" t="e">
        <f aca="false">xSPRDOPT((VLOOKUP(G633,NGPREVPRICES,2,FALSE())+HLOOKUP(D633,PREVCURVES,VLOOKUP(G633,MOVE_DOWN2,2,FALSE()),FALSE())),VLOOKUP(G633,NGPREVPRICES,2,FALSE()),CK634,VLOOKUP(G633,NGPREVPRICES,4,FALSE()),HLOOKUP(D633,PREVVOLS,VLOOKUP(G633,MOVE_DOWN2,2,FALSE()),FALSE()),VLOOKUP(G633,NGPREVPRICES,3,FALSE()),HLOOKUP(D633,Correllate,VLOOKUP(G633,CorMove,2,FALSE()),FALSE()),Q633-$CD$3,R633,$CJ$5)*H633</f>
        <v>#NAME?</v>
      </c>
      <c r="CK634" s="254" t="n">
        <f aca="false">I633</f>
        <v>0.95</v>
      </c>
      <c r="CM634" s="0" t="str">
        <f aca="false">CONCATENATE(CC634,$CD$6)</f>
        <v>36951Curve Shift/Gamma</v>
      </c>
      <c r="CN634" s="0" t="str">
        <f aca="false">CONCATENATE($CC634,$CE$6)</f>
        <v>36951Rho</v>
      </c>
      <c r="CO634" s="0" t="str">
        <f aca="false">CONCATENATE($CC634,$CF$6)</f>
        <v>36951Drift</v>
      </c>
      <c r="CP634" s="0" t="str">
        <f aca="false">CONCATENATE($CC634,$CG$6)</f>
        <v>36951Vega</v>
      </c>
      <c r="CQ634" s="0" t="str">
        <f aca="false">CONCATENATE($CC634,$CH$6)</f>
        <v>36951Theta</v>
      </c>
    </row>
    <row r="635" customFormat="false" ht="12.75" hidden="false" customHeight="false" outlineLevel="0" collapsed="false">
      <c r="A635" s="17" t="s">
        <v>244</v>
      </c>
      <c r="B635" s="0" t="s">
        <v>192</v>
      </c>
      <c r="C635" s="0" t="s">
        <v>408</v>
      </c>
      <c r="D635" s="7" t="s">
        <v>149</v>
      </c>
      <c r="E635" s="0" t="s">
        <v>131</v>
      </c>
      <c r="F635" s="0" t="s">
        <v>136</v>
      </c>
      <c r="G635" s="92" t="n">
        <v>36861</v>
      </c>
      <c r="H635" s="248" t="n">
        <v>-310000</v>
      </c>
      <c r="I635" s="254" t="n">
        <v>4</v>
      </c>
      <c r="J635" s="124" t="n">
        <f aca="false">VLOOKUP(G635,NGPrices,2,FALSE())</f>
        <v>4.8</v>
      </c>
      <c r="K635" s="125" t="n">
        <f aca="false">HLOOKUP(D635,Prices,VLOOKUP(G635,move_down,2,FALSE()),FALSE())+VLOOKUP(G635,CHANGE,HLOOKUP(D635,CHANGE,2,FALSE()),FALSE())</f>
        <v>1.645</v>
      </c>
      <c r="L635" s="124" t="n">
        <f aca="false">K635+J635</f>
        <v>6.445</v>
      </c>
      <c r="M635" s="126" t="n">
        <f aca="false">VLOOKUP(G635,NGPrices,4,FALSE())</f>
        <v>0.068314027999354</v>
      </c>
      <c r="N635" s="7" t="n">
        <f aca="false">VLOOKUP(G635,NGPrices,3,FALSE())</f>
        <v>0.6</v>
      </c>
      <c r="O635" s="7" t="n">
        <f aca="false">HLOOKUP(D635,VOLS,VLOOKUP(G635,move_down,2,FALSE()),FALSE())</f>
        <v>0.69</v>
      </c>
      <c r="P635" s="249" t="n">
        <f aca="false">HLOOKUP(D635,Correllate,VLOOKUP(G635,CorMove,2,FALSE()),FALSE())</f>
        <v>0.83</v>
      </c>
      <c r="Q635" s="92" t="n">
        <f aca="false">WORKDAY(G635,-2)</f>
        <v>36859</v>
      </c>
      <c r="R635" s="7" t="n">
        <f aca="false">IF(F635="P",0,1)</f>
        <v>1</v>
      </c>
      <c r="S635" s="130" t="e">
        <f aca="false">xSPRDOPT($L635,$J635,$I635,$M635,$O635,$N635,$P635,$Q635-$C$3,$R635,0)</f>
        <v>#NAME?</v>
      </c>
      <c r="T635" s="250" t="e">
        <f aca="false">xSPRDOPT($L635,$J635,$I635,$M635,$O635,$N635,$P635,$Q635-$C$3,$R635,1)*H635</f>
        <v>#NAME?</v>
      </c>
      <c r="U635" s="43" t="e">
        <f aca="false">S635*H635</f>
        <v>#NAME?</v>
      </c>
      <c r="V635" s="250" t="e">
        <f aca="false">xSPRDOPT($L635,$J635,$I635,$M635,$O635,$N635,$P635,$Q635-$C$3,$R635,2)*H635</f>
        <v>#NAME?</v>
      </c>
      <c r="W635" s="250" t="e">
        <f aca="false">+V635+T635</f>
        <v>#NAME?</v>
      </c>
      <c r="X635" s="2" t="str">
        <f aca="false">CONCATENATE(G635,D635)</f>
        <v>36861IF-TRANSCO/Z6</v>
      </c>
      <c r="Y635" s="251" t="n">
        <f aca="false">H635/10000</f>
        <v>-31</v>
      </c>
      <c r="Z635" s="226" t="e">
        <f aca="false">T635/H635</f>
        <v>#NAME?</v>
      </c>
      <c r="AA635" s="226" t="e">
        <f aca="false">xSPRDOPT($L635,$J635,$I635,$M635,$O635,$N635,$P635,$Q635-$C$3,$R635,3)</f>
        <v>#NAME?</v>
      </c>
      <c r="AB635" s="226" t="e">
        <f aca="false">((xSPRDOPT($L635+AB$5,$J635,$I635,$M635,$O635,$N635,$P635,$Q635-$C$3,$R635,3)*$H635)/10000)/100</f>
        <v>#NAME?</v>
      </c>
      <c r="AC635" s="226" t="e">
        <f aca="false">((xSPRDOPT($L635+$AB$5,$J635,$I635,$M635,$O635,$N635,$P635,$Q635-$C$3,$R635,7)*$H635)/100)</f>
        <v>#NAME?</v>
      </c>
      <c r="AD635" s="226" t="e">
        <f aca="false">(xSPRDOPT($L635+$AB$5,$J635,$I635,$M635,$O635,$N635,$P635,$Q635-$C$3,$R635,9)/365)*$H635</f>
        <v>#NAME?</v>
      </c>
      <c r="AE635" s="0" t="e">
        <f aca="false">CD636</f>
        <v>#NAME?</v>
      </c>
      <c r="AF635" s="226" t="e">
        <f aca="false">((O635/N635)*AH635)+AG635</f>
        <v>#NAME?</v>
      </c>
      <c r="AG635" s="226" t="e">
        <f aca="false">((xSPRDOPT($L635,$J635,$I635,$M635,$O635,$N635,$P635,$Q635-$C$3,$R635,6)*$H635)/100)</f>
        <v>#NAME?</v>
      </c>
      <c r="AH635" s="226" t="e">
        <f aca="false">((xSPRDOPT($L635,$J635,$I635,$M635,$O635,$N635,$P635,$Q635-$C$3,$R635,5)*$H635)/100)</f>
        <v>#NAME?</v>
      </c>
      <c r="AI635" s="226" t="e">
        <f aca="false">(((xSPRDOPT($L635,$J635,$I635,$M635,$O635,$N635,$P635,$Q635-$C$3,$R635,4)*$H635)/10000)/100)-AB635</f>
        <v>#NAME?</v>
      </c>
      <c r="AJ635" s="226"/>
      <c r="AK635" s="226"/>
      <c r="CC635" s="182" t="n">
        <f aca="false">G634</f>
        <v>36831</v>
      </c>
      <c r="CD635" s="253" t="e">
        <f aca="false">xSPRDOPT((VLOOKUP(G634,NGPrices,2,FALSE())+HLOOKUP(D634,Prices,VLOOKUP(G634,move_down,2,FALSE()),FALSE())),VLOOKUP(G634,NGPrices,2,FALSE()),I634,VLOOKUP(G634,NGPREVPRICES,4,FALSE()),HLOOKUP(D634,PREVVOLS,VLOOKUP(G634,MOVE_DOWN2,2,FALSE()),FALSE()),VLOOKUP(G634,NGPREVPRICES,3,FALSE()),HLOOKUP(D634,Correllate,VLOOKUP(G634,CorMove,2,FALSE()),FALSE()),Q634-$CD$3,R634,$CD$5)*H634-CJ635</f>
        <v>#NAME?</v>
      </c>
      <c r="CE635" s="253" t="e">
        <f aca="false">xSPRDOPT((VLOOKUP(G634,NGPREVPRICES,2,FALSE())+HLOOKUP(D634,PREVCURVES,VLOOKUP(G634,MOVE_DOWN2,2,FALSE()),FALSE())),VLOOKUP(G634,NGPREVPRICES,2,FALSE()),CK635,VLOOKUP(G634,NGPrices,4,FALSE()),HLOOKUP(D634,PREVVOLS,VLOOKUP(G634,MOVE_DOWN2,2,FALSE()),FALSE()),VLOOKUP(G634,NGPREVPRICES,3,FALSE()),HLOOKUP(D634,Correllate,VLOOKUP(G634,CorMove,2,FALSE()),FALSE()),Q634-$CD$3,R634,$CJ$5)*H634-CJ635</f>
        <v>#NAME?</v>
      </c>
      <c r="CF635" s="132" t="e">
        <f aca="false">(CJ635/VLOOKUP(CC635,discount,3,FALSE()))-(CJ635/VLOOKUP(CC635,discount,2,FALSE()))</f>
        <v>#NAME?</v>
      </c>
      <c r="CG635" s="253" t="e">
        <f aca="false">xSPRDOPT((VLOOKUP(G634,NGPREVPRICES,2,FALSE())+HLOOKUP(D634,PREVCURVES,VLOOKUP(G634,MOVE_DOWN2,2,FALSE()),FALSE())),VLOOKUP(G634,NGPREVPRICES,2,FALSE()),CK635,VLOOKUP(G634,NGPREVPRICES,4,FALSE()),HLOOKUP(D634,VOLS,VLOOKUP(G634,move_down,2,FALSE()),FALSE()),VLOOKUP(G634,NGPrices,3,FALSE()),HLOOKUP(D634,Correllate,VLOOKUP(G634,CorMove,2,FALSE()),FALSE()),Q634-$CD$3,R634,$CJ$5)*H634-CJ635</f>
        <v>#NAME?</v>
      </c>
      <c r="CH635" s="253" t="e">
        <f aca="false">xSPRDOPT((VLOOKUP(G634,NGPREVPRICES,2,FALSE())+HLOOKUP(D634,PREVCURVES,VLOOKUP(G634,MOVE_DOWN2,2,FALSE()),FALSE())),VLOOKUP(G634,NGPREVPRICES,2,FALSE()),CK635,VLOOKUP(G634,NGPREVPRICES,4,FALSE()),HLOOKUP(D634,PREVVOLS,VLOOKUP(G634,MOVE_DOWN2,2,FALSE()),FALSE()),VLOOKUP(G634,NGPREVPRICES,3,FALSE()),HLOOKUP(D634,Correllate,VLOOKUP(G634,CorMove,2,FALSE()),FALSE()),Q634-$C$3,R634,$CJ$5)*H634-CJ635</f>
        <v>#NAME?</v>
      </c>
      <c r="CI635" s="253" t="e">
        <f aca="false">SUM(CD635:CH635)</f>
        <v>#NAME?</v>
      </c>
      <c r="CJ635" s="253" t="e">
        <f aca="false">xSPRDOPT((VLOOKUP(G634,NGPREVPRICES,2,FALSE())+HLOOKUP(D634,PREVCURVES,VLOOKUP(G634,MOVE_DOWN2,2,FALSE()),FALSE())),VLOOKUP(G634,NGPREVPRICES,2,FALSE()),CK635,VLOOKUP(G634,NGPREVPRICES,4,FALSE()),HLOOKUP(D634,PREVVOLS,VLOOKUP(G634,MOVE_DOWN2,2,FALSE()),FALSE()),VLOOKUP(G634,NGPREVPRICES,3,FALSE()),HLOOKUP(D634,Correllate,VLOOKUP(G634,CorMove,2,FALSE()),FALSE()),Q634-$CD$3,R634,$CJ$5)*H634</f>
        <v>#NAME?</v>
      </c>
      <c r="CK635" s="254" t="n">
        <f aca="false">I634</f>
        <v>4</v>
      </c>
      <c r="CM635" s="0" t="str">
        <f aca="false">CONCATENATE(CC635,$CD$6)</f>
        <v>36831Curve Shift/Gamma</v>
      </c>
      <c r="CN635" s="0" t="str">
        <f aca="false">CONCATENATE($CC635,$CE$6)</f>
        <v>36831Rho</v>
      </c>
      <c r="CO635" s="0" t="str">
        <f aca="false">CONCATENATE($CC635,$CF$6)</f>
        <v>36831Drift</v>
      </c>
      <c r="CP635" s="0" t="str">
        <f aca="false">CONCATENATE($CC635,$CG$6)</f>
        <v>36831Vega</v>
      </c>
      <c r="CQ635" s="0" t="str">
        <f aca="false">CONCATENATE($CC635,$CH$6)</f>
        <v>36831Theta</v>
      </c>
    </row>
    <row r="636" customFormat="false" ht="12.75" hidden="false" customHeight="false" outlineLevel="0" collapsed="false">
      <c r="A636" s="17" t="s">
        <v>244</v>
      </c>
      <c r="B636" s="0" t="s">
        <v>192</v>
      </c>
      <c r="C636" s="0" t="s">
        <v>408</v>
      </c>
      <c r="D636" s="7" t="s">
        <v>149</v>
      </c>
      <c r="E636" s="0" t="s">
        <v>131</v>
      </c>
      <c r="F636" s="0" t="s">
        <v>136</v>
      </c>
      <c r="G636" s="92" t="n">
        <v>36892</v>
      </c>
      <c r="H636" s="248" t="n">
        <v>-310000</v>
      </c>
      <c r="I636" s="254" t="n">
        <v>4</v>
      </c>
      <c r="J636" s="124" t="n">
        <f aca="false">VLOOKUP(G636,NGPrices,2,FALSE())</f>
        <v>4.744</v>
      </c>
      <c r="K636" s="125" t="n">
        <f aca="false">HLOOKUP(D636,Prices,VLOOKUP(G636,move_down,2,FALSE()),FALSE())+VLOOKUP(G636,CHANGE,HLOOKUP(D636,CHANGE,2,FALSE()),FALSE())</f>
        <v>2.17</v>
      </c>
      <c r="L636" s="124" t="n">
        <f aca="false">K636+J636</f>
        <v>6.914</v>
      </c>
      <c r="M636" s="126" t="n">
        <f aca="false">VLOOKUP(G636,NGPrices,4,FALSE())</f>
        <v>0.068374831148491</v>
      </c>
      <c r="N636" s="7" t="n">
        <f aca="false">VLOOKUP(G636,NGPrices,3,FALSE())</f>
        <v>0.605</v>
      </c>
      <c r="O636" s="7" t="n">
        <f aca="false">HLOOKUP(D636,VOLS,VLOOKUP(G636,move_down,2,FALSE()),FALSE())</f>
        <v>0.696</v>
      </c>
      <c r="P636" s="249" t="n">
        <f aca="false">HLOOKUP(D636,Correllate,VLOOKUP(G636,CorMove,2,FALSE()),FALSE())</f>
        <v>0.83</v>
      </c>
      <c r="Q636" s="92" t="n">
        <f aca="false">WORKDAY(G636,-2)</f>
        <v>36888</v>
      </c>
      <c r="R636" s="7" t="n">
        <f aca="false">IF(F636="P",0,1)</f>
        <v>1</v>
      </c>
      <c r="S636" s="130" t="e">
        <f aca="false">xSPRDOPT($L636,$J636,$I636,$M636,$O636,$N636,$P636,$Q636-$C$3,$R636,0)</f>
        <v>#NAME?</v>
      </c>
      <c r="T636" s="250" t="e">
        <f aca="false">xSPRDOPT($L636,$J636,$I636,$M636,$O636,$N636,$P636,$Q636-$C$3,$R636,1)*H636</f>
        <v>#NAME?</v>
      </c>
      <c r="U636" s="43" t="e">
        <f aca="false">S636*H636</f>
        <v>#NAME?</v>
      </c>
      <c r="V636" s="250" t="e">
        <f aca="false">xSPRDOPT($L636,$J636,$I636,$M636,$O636,$N636,$P636,$Q636-$C$3,$R636,2)*H636</f>
        <v>#NAME?</v>
      </c>
      <c r="W636" s="250" t="e">
        <f aca="false">+V636+T636</f>
        <v>#NAME?</v>
      </c>
      <c r="X636" s="2" t="str">
        <f aca="false">CONCATENATE(G636,D636)</f>
        <v>36892IF-TRANSCO/Z6</v>
      </c>
      <c r="Y636" s="251" t="n">
        <f aca="false">H636/10000</f>
        <v>-31</v>
      </c>
      <c r="Z636" s="226" t="e">
        <f aca="false">T636/H636</f>
        <v>#NAME?</v>
      </c>
      <c r="AA636" s="226" t="e">
        <f aca="false">xSPRDOPT($L636,$J636,$I636,$M636,$O636,$N636,$P636,$Q636-$C$3,$R636,3)</f>
        <v>#NAME?</v>
      </c>
      <c r="AB636" s="226" t="e">
        <f aca="false">((xSPRDOPT($L636+AB$5,$J636,$I636,$M636,$O636,$N636,$P636,$Q636-$C$3,$R636,3)*$H636)/10000)/100</f>
        <v>#NAME?</v>
      </c>
      <c r="AC636" s="226" t="e">
        <f aca="false">((xSPRDOPT($L636+$AB$5,$J636,$I636,$M636,$O636,$N636,$P636,$Q636-$C$3,$R636,7)*$H636)/100)</f>
        <v>#NAME?</v>
      </c>
      <c r="AD636" s="226" t="e">
        <f aca="false">(xSPRDOPT($L636+$AB$5,$J636,$I636,$M636,$O636,$N636,$P636,$Q636-$C$3,$R636,9)/365)*$H636</f>
        <v>#NAME?</v>
      </c>
      <c r="AE636" s="0" t="e">
        <f aca="false">CD637</f>
        <v>#NAME?</v>
      </c>
      <c r="AF636" s="226" t="e">
        <f aca="false">((O636/N636)*AH636)+AG636</f>
        <v>#NAME?</v>
      </c>
      <c r="AG636" s="226" t="e">
        <f aca="false">((xSPRDOPT($L636,$J636,$I636,$M636,$O636,$N636,$P636,$Q636-$C$3,$R636,6)*$H636)/100)</f>
        <v>#NAME?</v>
      </c>
      <c r="AH636" s="226" t="e">
        <f aca="false">((xSPRDOPT($L636,$J636,$I636,$M636,$O636,$N636,$P636,$Q636-$C$3,$R636,5)*$H636)/100)</f>
        <v>#NAME?</v>
      </c>
      <c r="AI636" s="226" t="e">
        <f aca="false">(((xSPRDOPT($L636,$J636,$I636,$M636,$O636,$N636,$P636,$Q636-$C$3,$R636,4)*$H636)/10000)/100)-AB636</f>
        <v>#NAME?</v>
      </c>
      <c r="AJ636" s="226"/>
      <c r="CC636" s="182" t="n">
        <f aca="false">G635</f>
        <v>36861</v>
      </c>
      <c r="CD636" s="253" t="e">
        <f aca="false">xSPRDOPT((VLOOKUP(G635,NGPrices,2,FALSE())+HLOOKUP(D635,Prices,VLOOKUP(G635,move_down,2,FALSE()),FALSE())),VLOOKUP(G635,NGPrices,2,FALSE()),I635,VLOOKUP(G635,NGPREVPRICES,4,FALSE()),HLOOKUP(D635,PREVVOLS,VLOOKUP(G635,MOVE_DOWN2,2,FALSE()),FALSE()),VLOOKUP(G635,NGPREVPRICES,3,FALSE()),HLOOKUP(D635,Correllate,VLOOKUP(G635,CorMove,2,FALSE()),FALSE()),Q635-$CD$3,R635,$CD$5)*H635-CJ636</f>
        <v>#NAME?</v>
      </c>
      <c r="CE636" s="253" t="e">
        <f aca="false">xSPRDOPT((VLOOKUP(G635,NGPREVPRICES,2,FALSE())+HLOOKUP(D635,PREVCURVES,VLOOKUP(G635,MOVE_DOWN2,2,FALSE()),FALSE())),VLOOKUP(G635,NGPREVPRICES,2,FALSE()),CK636,VLOOKUP(G635,NGPrices,4,FALSE()),HLOOKUP(D635,PREVVOLS,VLOOKUP(G635,MOVE_DOWN2,2,FALSE()),FALSE()),VLOOKUP(G635,NGPREVPRICES,3,FALSE()),HLOOKUP(D635,Correllate,VLOOKUP(G635,CorMove,2,FALSE()),FALSE()),Q635-$CD$3,R635,$CJ$5)*H635-CJ636</f>
        <v>#NAME?</v>
      </c>
      <c r="CF636" s="132" t="e">
        <f aca="false">(CJ636/VLOOKUP(CC636,discount,3,FALSE()))-(CJ636/VLOOKUP(CC636,discount,2,FALSE()))</f>
        <v>#NAME?</v>
      </c>
      <c r="CG636" s="253" t="e">
        <f aca="false">xSPRDOPT((VLOOKUP(G635,NGPREVPRICES,2,FALSE())+HLOOKUP(D635,PREVCURVES,VLOOKUP(G635,MOVE_DOWN2,2,FALSE()),FALSE())),VLOOKUP(G635,NGPREVPRICES,2,FALSE()),CK636,VLOOKUP(G635,NGPREVPRICES,4,FALSE()),HLOOKUP(D635,VOLS,VLOOKUP(G635,move_down,2,FALSE()),FALSE()),VLOOKUP(G635,NGPrices,3,FALSE()),HLOOKUP(D635,Correllate,VLOOKUP(G635,CorMove,2,FALSE()),FALSE()),Q635-$CD$3,R635,$CJ$5)*H635-CJ636</f>
        <v>#NAME?</v>
      </c>
      <c r="CH636" s="253" t="e">
        <f aca="false">xSPRDOPT((VLOOKUP(G635,NGPREVPRICES,2,FALSE())+HLOOKUP(D635,PREVCURVES,VLOOKUP(G635,MOVE_DOWN2,2,FALSE()),FALSE())),VLOOKUP(G635,NGPREVPRICES,2,FALSE()),CK636,VLOOKUP(G635,NGPREVPRICES,4,FALSE()),HLOOKUP(D635,PREVVOLS,VLOOKUP(G635,MOVE_DOWN2,2,FALSE()),FALSE()),VLOOKUP(G635,NGPREVPRICES,3,FALSE()),HLOOKUP(D635,Correllate,VLOOKUP(G635,CorMove,2,FALSE()),FALSE()),Q635-$C$3,R635,$CJ$5)*H635-CJ636</f>
        <v>#NAME?</v>
      </c>
      <c r="CI636" s="253" t="e">
        <f aca="false">SUM(CD636:CH636)</f>
        <v>#NAME?</v>
      </c>
      <c r="CJ636" s="253" t="e">
        <f aca="false">xSPRDOPT((VLOOKUP(G635,NGPREVPRICES,2,FALSE())+HLOOKUP(D635,PREVCURVES,VLOOKUP(G635,MOVE_DOWN2,2,FALSE()),FALSE())),VLOOKUP(G635,NGPREVPRICES,2,FALSE()),CK636,VLOOKUP(G635,NGPREVPRICES,4,FALSE()),HLOOKUP(D635,PREVVOLS,VLOOKUP(G635,MOVE_DOWN2,2,FALSE()),FALSE()),VLOOKUP(G635,NGPREVPRICES,3,FALSE()),HLOOKUP(D635,Correllate,VLOOKUP(G635,CorMove,2,FALSE()),FALSE()),Q635-$CD$3,R635,$CJ$5)*H635</f>
        <v>#NAME?</v>
      </c>
      <c r="CK636" s="254" t="n">
        <f aca="false">I635</f>
        <v>4</v>
      </c>
      <c r="CM636" s="0" t="str">
        <f aca="false">CONCATENATE(CC636,$CD$6)</f>
        <v>36861Curve Shift/Gamma</v>
      </c>
      <c r="CN636" s="0" t="str">
        <f aca="false">CONCATENATE($CC636,$CE$6)</f>
        <v>36861Rho</v>
      </c>
      <c r="CO636" s="0" t="str">
        <f aca="false">CONCATENATE($CC636,$CF$6)</f>
        <v>36861Drift</v>
      </c>
      <c r="CP636" s="0" t="str">
        <f aca="false">CONCATENATE($CC636,$CG$6)</f>
        <v>36861Vega</v>
      </c>
      <c r="CQ636" s="0" t="str">
        <f aca="false">CONCATENATE($CC636,$CH$6)</f>
        <v>36861Theta</v>
      </c>
    </row>
    <row r="637" customFormat="false" ht="12.75" hidden="false" customHeight="false" outlineLevel="0" collapsed="false">
      <c r="A637" s="17" t="s">
        <v>244</v>
      </c>
      <c r="B637" s="0" t="s">
        <v>192</v>
      </c>
      <c r="C637" s="0" t="s">
        <v>408</v>
      </c>
      <c r="D637" s="7" t="s">
        <v>149</v>
      </c>
      <c r="E637" s="0" t="s">
        <v>131</v>
      </c>
      <c r="F637" s="0" t="s">
        <v>136</v>
      </c>
      <c r="G637" s="92" t="n">
        <v>36923</v>
      </c>
      <c r="H637" s="248" t="n">
        <v>-280000</v>
      </c>
      <c r="I637" s="254" t="n">
        <v>4</v>
      </c>
      <c r="J637" s="124" t="n">
        <f aca="false">VLOOKUP(G637,NGPrices,2,FALSE())</f>
        <v>4.48</v>
      </c>
      <c r="K637" s="125" t="n">
        <f aca="false">HLOOKUP(D637,Prices,VLOOKUP(G637,move_down,2,FALSE()),FALSE())+VLOOKUP(G637,CHANGE,HLOOKUP(D637,CHANGE,2,FALSE()),FALSE())</f>
        <v>2.09</v>
      </c>
      <c r="L637" s="124" t="n">
        <f aca="false">K637+J637</f>
        <v>6.57</v>
      </c>
      <c r="M637" s="126" t="n">
        <f aca="false">VLOOKUP(G637,NGPrices,4,FALSE())</f>
        <v>0.068640161611372</v>
      </c>
      <c r="N637" s="7" t="n">
        <f aca="false">VLOOKUP(G637,NGPrices,3,FALSE())</f>
        <v>0.5925</v>
      </c>
      <c r="O637" s="7" t="n">
        <f aca="false">HLOOKUP(D637,VOLS,VLOOKUP(G637,move_down,2,FALSE()),FALSE())</f>
        <v>0.681</v>
      </c>
      <c r="P637" s="249" t="n">
        <f aca="false">HLOOKUP(D637,Correllate,VLOOKUP(G637,CorMove,2,FALSE()),FALSE())</f>
        <v>0.83</v>
      </c>
      <c r="Q637" s="92" t="n">
        <f aca="false">WORKDAY(G637,-2)</f>
        <v>36921</v>
      </c>
      <c r="R637" s="7" t="n">
        <f aca="false">IF(F637="P",0,1)</f>
        <v>1</v>
      </c>
      <c r="S637" s="130" t="e">
        <f aca="false">xSPRDOPT($L637,$J637,$I637,$M637,$O637,$N637,$P637,$Q637-$C$3,$R637,0)</f>
        <v>#NAME?</v>
      </c>
      <c r="T637" s="250" t="e">
        <f aca="false">xSPRDOPT($L637,$J637,$I637,$M637,$O637,$N637,$P637,$Q637-$C$3,$R637,1)*H637</f>
        <v>#NAME?</v>
      </c>
      <c r="U637" s="43" t="e">
        <f aca="false">S637*H637</f>
        <v>#NAME?</v>
      </c>
      <c r="V637" s="250" t="e">
        <f aca="false">xSPRDOPT($L637,$J637,$I637,$M637,$O637,$N637,$P637,$Q637-$C$3,$R637,2)*H637</f>
        <v>#NAME?</v>
      </c>
      <c r="W637" s="250" t="e">
        <f aca="false">+V637+T637</f>
        <v>#NAME?</v>
      </c>
      <c r="X637" s="2" t="str">
        <f aca="false">CONCATENATE(G637,D637)</f>
        <v>36923IF-TRANSCO/Z6</v>
      </c>
      <c r="Y637" s="251" t="n">
        <f aca="false">H637/10000</f>
        <v>-28</v>
      </c>
      <c r="Z637" s="226" t="e">
        <f aca="false">T637/H637</f>
        <v>#NAME?</v>
      </c>
      <c r="AA637" s="226" t="e">
        <f aca="false">xSPRDOPT($L637,$J637,$I637,$M637,$O637,$N637,$P637,$Q637-$C$3,$R637,3)</f>
        <v>#NAME?</v>
      </c>
      <c r="AB637" s="226" t="e">
        <f aca="false">((xSPRDOPT($L637+AB$5,$J637,$I637,$M637,$O637,$N637,$P637,$Q637-$C$3,$R637,3)*$H637)/10000)/100</f>
        <v>#NAME?</v>
      </c>
      <c r="AC637" s="226" t="e">
        <f aca="false">((xSPRDOPT($L637+$AB$5,$J637,$I637,$M637,$O637,$N637,$P637,$Q637-$C$3,$R637,7)*$H637)/100)</f>
        <v>#NAME?</v>
      </c>
      <c r="AD637" s="226" t="e">
        <f aca="false">(xSPRDOPT($L637+$AB$5,$J637,$I637,$M637,$O637,$N637,$P637,$Q637-$C$3,$R637,9)/365)*$H637</f>
        <v>#NAME?</v>
      </c>
      <c r="AE637" s="0" t="e">
        <f aca="false">CD638</f>
        <v>#NAME?</v>
      </c>
      <c r="AF637" s="226" t="e">
        <f aca="false">((O637/N637)*AH637)+AG637</f>
        <v>#NAME?</v>
      </c>
      <c r="AG637" s="226" t="e">
        <f aca="false">((xSPRDOPT($L637,$J637,$I637,$M637,$O637,$N637,$P637,$Q637-$C$3,$R637,6)*$H637)/100)</f>
        <v>#NAME?</v>
      </c>
      <c r="AH637" s="226" t="e">
        <f aca="false">((xSPRDOPT($L637,$J637,$I637,$M637,$O637,$N637,$P637,$Q637-$C$3,$R637,5)*$H637)/100)</f>
        <v>#NAME?</v>
      </c>
      <c r="AI637" s="226" t="e">
        <f aca="false">(((xSPRDOPT($L637,$J637,$I637,$M637,$O637,$N637,$P637,$Q637-$C$3,$R637,4)*$H637)/10000)/100)-AB637</f>
        <v>#NAME?</v>
      </c>
      <c r="AJ637" s="226"/>
      <c r="CC637" s="182" t="n">
        <f aca="false">G636</f>
        <v>36892</v>
      </c>
      <c r="CD637" s="253" t="e">
        <f aca="false">xSPRDOPT((VLOOKUP(G636,NGPrices,2,FALSE())+HLOOKUP(D636,Prices,VLOOKUP(G636,move_down,2,FALSE()),FALSE())),VLOOKUP(G636,NGPrices,2,FALSE()),I636,VLOOKUP(G636,NGPREVPRICES,4,FALSE()),HLOOKUP(D636,PREVVOLS,VLOOKUP(G636,MOVE_DOWN2,2,FALSE()),FALSE()),VLOOKUP(G636,NGPREVPRICES,3,FALSE()),HLOOKUP(D636,Correllate,VLOOKUP(G636,CorMove,2,FALSE()),FALSE()),Q636-$CD$3,R636,$CD$5)*H636-CJ637</f>
        <v>#NAME?</v>
      </c>
      <c r="CE637" s="253" t="e">
        <f aca="false">xSPRDOPT((VLOOKUP(G636,NGPREVPRICES,2,FALSE())+HLOOKUP(D636,PREVCURVES,VLOOKUP(G636,MOVE_DOWN2,2,FALSE()),FALSE())),VLOOKUP(G636,NGPREVPRICES,2,FALSE()),CK637,VLOOKUP(G636,NGPrices,4,FALSE()),HLOOKUP(D636,PREVVOLS,VLOOKUP(G636,MOVE_DOWN2,2,FALSE()),FALSE()),VLOOKUP(G636,NGPREVPRICES,3,FALSE()),HLOOKUP(D636,Correllate,VLOOKUP(G636,CorMove,2,FALSE()),FALSE()),Q636-$CD$3,R636,$CJ$5)*H636-CJ637</f>
        <v>#NAME?</v>
      </c>
      <c r="CF637" s="132" t="e">
        <f aca="false">(CJ637/VLOOKUP(CC637,discount,3,FALSE()))-(CJ637/VLOOKUP(CC637,discount,2,FALSE()))</f>
        <v>#NAME?</v>
      </c>
      <c r="CG637" s="253" t="e">
        <f aca="false">xSPRDOPT((VLOOKUP(G636,NGPREVPRICES,2,FALSE())+HLOOKUP(D636,PREVCURVES,VLOOKUP(G636,MOVE_DOWN2,2,FALSE()),FALSE())),VLOOKUP(G636,NGPREVPRICES,2,FALSE()),CK637,VLOOKUP(G636,NGPREVPRICES,4,FALSE()),HLOOKUP(D636,VOLS,VLOOKUP(G636,move_down,2,FALSE()),FALSE()),VLOOKUP(G636,NGPrices,3,FALSE()),HLOOKUP(D636,Correllate,VLOOKUP(G636,CorMove,2,FALSE()),FALSE()),Q636-$CD$3,R636,$CJ$5)*H636-CJ637</f>
        <v>#NAME?</v>
      </c>
      <c r="CH637" s="253" t="e">
        <f aca="false">xSPRDOPT((VLOOKUP(G636,NGPREVPRICES,2,FALSE())+HLOOKUP(D636,PREVCURVES,VLOOKUP(G636,MOVE_DOWN2,2,FALSE()),FALSE())),VLOOKUP(G636,NGPREVPRICES,2,FALSE()),CK637,VLOOKUP(G636,NGPREVPRICES,4,FALSE()),HLOOKUP(D636,PREVVOLS,VLOOKUP(G636,MOVE_DOWN2,2,FALSE()),FALSE()),VLOOKUP(G636,NGPREVPRICES,3,FALSE()),HLOOKUP(D636,Correllate,VLOOKUP(G636,CorMove,2,FALSE()),FALSE()),Q636-$C$3,R636,$CJ$5)*H636-CJ637</f>
        <v>#NAME?</v>
      </c>
      <c r="CI637" s="253" t="e">
        <f aca="false">SUM(CD637:CH637)</f>
        <v>#NAME?</v>
      </c>
      <c r="CJ637" s="253" t="e">
        <f aca="false">xSPRDOPT((VLOOKUP(G636,NGPREVPRICES,2,FALSE())+HLOOKUP(D636,PREVCURVES,VLOOKUP(G636,MOVE_DOWN2,2,FALSE()),FALSE())),VLOOKUP(G636,NGPREVPRICES,2,FALSE()),CK637,VLOOKUP(G636,NGPREVPRICES,4,FALSE()),HLOOKUP(D636,PREVVOLS,VLOOKUP(G636,MOVE_DOWN2,2,FALSE()),FALSE()),VLOOKUP(G636,NGPREVPRICES,3,FALSE()),HLOOKUP(D636,Correllate,VLOOKUP(G636,CorMove,2,FALSE()),FALSE()),Q636-$CD$3,R636,$CJ$5)*H636</f>
        <v>#NAME?</v>
      </c>
      <c r="CK637" s="254" t="n">
        <f aca="false">I636</f>
        <v>4</v>
      </c>
      <c r="CM637" s="0" t="str">
        <f aca="false">CONCATENATE(CC637,$CD$6)</f>
        <v>36892Curve Shift/Gamma</v>
      </c>
      <c r="CN637" s="0" t="str">
        <f aca="false">CONCATENATE($CC637,$CE$6)</f>
        <v>36892Rho</v>
      </c>
      <c r="CO637" s="0" t="str">
        <f aca="false">CONCATENATE($CC637,$CF$6)</f>
        <v>36892Drift</v>
      </c>
      <c r="CP637" s="0" t="str">
        <f aca="false">CONCATENATE($CC637,$CG$6)</f>
        <v>36892Vega</v>
      </c>
      <c r="CQ637" s="0" t="str">
        <f aca="false">CONCATENATE($CC637,$CH$6)</f>
        <v>36892Theta</v>
      </c>
    </row>
    <row r="638" customFormat="false" ht="12.75" hidden="false" customHeight="false" outlineLevel="0" collapsed="false">
      <c r="A638" s="17" t="s">
        <v>244</v>
      </c>
      <c r="B638" s="0" t="s">
        <v>192</v>
      </c>
      <c r="C638" s="0" t="s">
        <v>408</v>
      </c>
      <c r="D638" s="7" t="s">
        <v>149</v>
      </c>
      <c r="E638" s="0" t="s">
        <v>131</v>
      </c>
      <c r="F638" s="0" t="s">
        <v>136</v>
      </c>
      <c r="G638" s="92" t="n">
        <v>36951</v>
      </c>
      <c r="H638" s="248" t="n">
        <v>-310000</v>
      </c>
      <c r="I638" s="254" t="n">
        <v>4</v>
      </c>
      <c r="J638" s="124" t="n">
        <f aca="false">VLOOKUP(G638,NGPrices,2,FALSE())</f>
        <v>4.213</v>
      </c>
      <c r="K638" s="125" t="n">
        <f aca="false">HLOOKUP(D638,Prices,VLOOKUP(G638,move_down,2,FALSE()),FALSE())+VLOOKUP(G638,CHANGE,HLOOKUP(D638,CHANGE,2,FALSE()),FALSE())</f>
        <v>1.075</v>
      </c>
      <c r="L638" s="124" t="n">
        <f aca="false">K638+J638</f>
        <v>5.288</v>
      </c>
      <c r="M638" s="126" t="n">
        <f aca="false">VLOOKUP(G638,NGPrices,4,FALSE())</f>
        <v>0.068879814952707</v>
      </c>
      <c r="N638" s="7" t="n">
        <f aca="false">VLOOKUP(G638,NGPrices,3,FALSE())</f>
        <v>0.5325</v>
      </c>
      <c r="O638" s="7" t="n">
        <f aca="false">HLOOKUP(D638,VOLS,VLOOKUP(G638,move_down,2,FALSE()),FALSE())</f>
        <v>0.612</v>
      </c>
      <c r="P638" s="249" t="n">
        <f aca="false">HLOOKUP(D638,Correllate,VLOOKUP(G638,CorMove,2,FALSE()),FALSE())</f>
        <v>0.83</v>
      </c>
      <c r="Q638" s="92" t="n">
        <f aca="false">WORKDAY(G638,-2)</f>
        <v>36949</v>
      </c>
      <c r="R638" s="7" t="n">
        <f aca="false">IF(F638="P",0,1)</f>
        <v>1</v>
      </c>
      <c r="S638" s="130" t="e">
        <f aca="false">xSPRDOPT($L638,$J638,$I638,$M638,$O638,$N638,$P638,$Q638-$C$3,$R638,0)</f>
        <v>#NAME?</v>
      </c>
      <c r="T638" s="250" t="e">
        <f aca="false">xSPRDOPT($L638,$J638,$I638,$M638,$O638,$N638,$P638,$Q638-$C$3,$R638,1)*H638</f>
        <v>#NAME?</v>
      </c>
      <c r="U638" s="43" t="e">
        <f aca="false">S638*H638</f>
        <v>#NAME?</v>
      </c>
      <c r="V638" s="250" t="e">
        <f aca="false">xSPRDOPT($L638,$J638,$I638,$M638,$O638,$N638,$P638,$Q638-$C$3,$R638,2)*H638</f>
        <v>#NAME?</v>
      </c>
      <c r="W638" s="250" t="e">
        <f aca="false">+V638+T638</f>
        <v>#NAME?</v>
      </c>
      <c r="X638" s="2" t="str">
        <f aca="false">CONCATENATE(G638,D638)</f>
        <v>36951IF-TRANSCO/Z6</v>
      </c>
      <c r="Y638" s="251" t="n">
        <f aca="false">H638/10000</f>
        <v>-31</v>
      </c>
      <c r="Z638" s="226" t="e">
        <f aca="false">T638/H638</f>
        <v>#NAME?</v>
      </c>
      <c r="AA638" s="226" t="e">
        <f aca="false">xSPRDOPT($L638,$J638,$I638,$M638,$O638,$N638,$P638,$Q638-$C$3,$R638,3)</f>
        <v>#NAME?</v>
      </c>
      <c r="AB638" s="226" t="e">
        <f aca="false">((xSPRDOPT($L638+AB$5,$J638,$I638,$M638,$O638,$N638,$P638,$Q638-$C$3,$R638,3)*$H638)/10000)/100</f>
        <v>#NAME?</v>
      </c>
      <c r="AC638" s="226" t="e">
        <f aca="false">((xSPRDOPT($L638+$AB$5,$J638,$I638,$M638,$O638,$N638,$P638,$Q638-$C$3,$R638,7)*$H638)/100)</f>
        <v>#NAME?</v>
      </c>
      <c r="AD638" s="226" t="e">
        <f aca="false">(xSPRDOPT($L638+$AB$5,$J638,$I638,$M638,$O638,$N638,$P638,$Q638-$C$3,$R638,9)/365)*$H638</f>
        <v>#NAME?</v>
      </c>
      <c r="AE638" s="0" t="e">
        <f aca="false">CD639</f>
        <v>#NAME?</v>
      </c>
      <c r="AF638" s="226" t="e">
        <f aca="false">((O638/N638)*AH638)+AG638</f>
        <v>#NAME?</v>
      </c>
      <c r="AG638" s="226" t="e">
        <f aca="false">((xSPRDOPT($L638,$J638,$I638,$M638,$O638,$N638,$P638,$Q638-$C$3,$R638,6)*$H638)/100)</f>
        <v>#NAME?</v>
      </c>
      <c r="AH638" s="226" t="e">
        <f aca="false">((xSPRDOPT($L638,$J638,$I638,$M638,$O638,$N638,$P638,$Q638-$C$3,$R638,5)*$H638)/100)</f>
        <v>#NAME?</v>
      </c>
      <c r="AI638" s="226" t="e">
        <f aca="false">(((xSPRDOPT($L638,$J638,$I638,$M638,$O638,$N638,$P638,$Q638-$C$3,$R638,4)*$H638)/10000)/100)-AB638</f>
        <v>#NAME?</v>
      </c>
      <c r="AJ638" s="226"/>
      <c r="CC638" s="182" t="n">
        <f aca="false">G637</f>
        <v>36923</v>
      </c>
      <c r="CD638" s="253" t="e">
        <f aca="false">xSPRDOPT((VLOOKUP(G637,NGPrices,2,FALSE())+HLOOKUP(D637,Prices,VLOOKUP(G637,move_down,2,FALSE()),FALSE())),VLOOKUP(G637,NGPrices,2,FALSE()),I637,VLOOKUP(G637,NGPREVPRICES,4,FALSE()),HLOOKUP(D637,PREVVOLS,VLOOKUP(G637,MOVE_DOWN2,2,FALSE()),FALSE()),VLOOKUP(G637,NGPREVPRICES,3,FALSE()),HLOOKUP(D637,Correllate,VLOOKUP(G637,CorMove,2,FALSE()),FALSE()),Q637-$CD$3,R637,$CD$5)*H637-CJ638</f>
        <v>#NAME?</v>
      </c>
      <c r="CE638" s="253" t="e">
        <f aca="false">xSPRDOPT((VLOOKUP(G637,NGPREVPRICES,2,FALSE())+HLOOKUP(D637,PREVCURVES,VLOOKUP(G637,MOVE_DOWN2,2,FALSE()),FALSE())),VLOOKUP(G637,NGPREVPRICES,2,FALSE()),CK638,VLOOKUP(G637,NGPrices,4,FALSE()),HLOOKUP(D637,PREVVOLS,VLOOKUP(G637,MOVE_DOWN2,2,FALSE()),FALSE()),VLOOKUP(G637,NGPREVPRICES,3,FALSE()),HLOOKUP(D637,Correllate,VLOOKUP(G637,CorMove,2,FALSE()),FALSE()),Q637-$CD$3,R637,$CJ$5)*H637-CJ638</f>
        <v>#NAME?</v>
      </c>
      <c r="CF638" s="132" t="e">
        <f aca="false">(CJ638/VLOOKUP(CC638,discount,3,FALSE()))-(CJ638/VLOOKUP(CC638,discount,2,FALSE()))</f>
        <v>#NAME?</v>
      </c>
      <c r="CG638" s="253" t="e">
        <f aca="false">xSPRDOPT((VLOOKUP(G637,NGPREVPRICES,2,FALSE())+HLOOKUP(D637,PREVCURVES,VLOOKUP(G637,MOVE_DOWN2,2,FALSE()),FALSE())),VLOOKUP(G637,NGPREVPRICES,2,FALSE()),CK638,VLOOKUP(G637,NGPREVPRICES,4,FALSE()),HLOOKUP(D637,VOLS,VLOOKUP(G637,move_down,2,FALSE()),FALSE()),VLOOKUP(G637,NGPrices,3,FALSE()),HLOOKUP(D637,Correllate,VLOOKUP(G637,CorMove,2,FALSE()),FALSE()),Q637-$CD$3,R637,$CJ$5)*H637-CJ638</f>
        <v>#NAME?</v>
      </c>
      <c r="CH638" s="253" t="e">
        <f aca="false">xSPRDOPT((VLOOKUP(G637,NGPREVPRICES,2,FALSE())+HLOOKUP(D637,PREVCURVES,VLOOKUP(G637,MOVE_DOWN2,2,FALSE()),FALSE())),VLOOKUP(G637,NGPREVPRICES,2,FALSE()),CK638,VLOOKUP(G637,NGPREVPRICES,4,FALSE()),HLOOKUP(D637,PREVVOLS,VLOOKUP(G637,MOVE_DOWN2,2,FALSE()),FALSE()),VLOOKUP(G637,NGPREVPRICES,3,FALSE()),HLOOKUP(D637,Correllate,VLOOKUP(G637,CorMove,2,FALSE()),FALSE()),Q637-$C$3,R637,$CJ$5)*H637-CJ638</f>
        <v>#NAME?</v>
      </c>
      <c r="CI638" s="253" t="e">
        <f aca="false">SUM(CD638:CH638)</f>
        <v>#NAME?</v>
      </c>
      <c r="CJ638" s="253" t="e">
        <f aca="false">xSPRDOPT((VLOOKUP(G637,NGPREVPRICES,2,FALSE())+HLOOKUP(D637,PREVCURVES,VLOOKUP(G637,MOVE_DOWN2,2,FALSE()),FALSE())),VLOOKUP(G637,NGPREVPRICES,2,FALSE()),CK638,VLOOKUP(G637,NGPREVPRICES,4,FALSE()),HLOOKUP(D637,PREVVOLS,VLOOKUP(G637,MOVE_DOWN2,2,FALSE()),FALSE()),VLOOKUP(G637,NGPREVPRICES,3,FALSE()),HLOOKUP(D637,Correllate,VLOOKUP(G637,CorMove,2,FALSE()),FALSE()),Q637-$CD$3,R637,$CJ$5)*H637</f>
        <v>#NAME?</v>
      </c>
      <c r="CK638" s="254" t="n">
        <f aca="false">I637</f>
        <v>4</v>
      </c>
      <c r="CM638" s="0" t="str">
        <f aca="false">CONCATENATE(CC638,$CD$6)</f>
        <v>36923Curve Shift/Gamma</v>
      </c>
      <c r="CN638" s="0" t="str">
        <f aca="false">CONCATENATE($CC638,$CE$6)</f>
        <v>36923Rho</v>
      </c>
      <c r="CO638" s="0" t="str">
        <f aca="false">CONCATENATE($CC638,$CF$6)</f>
        <v>36923Drift</v>
      </c>
      <c r="CP638" s="0" t="str">
        <f aca="false">CONCATENATE($CC638,$CG$6)</f>
        <v>36923Vega</v>
      </c>
      <c r="CQ638" s="0" t="str">
        <f aca="false">CONCATENATE($CC638,$CH$6)</f>
        <v>36923Theta</v>
      </c>
    </row>
    <row r="639" customFormat="false" ht="12.75" hidden="false" customHeight="false" outlineLevel="0" collapsed="false">
      <c r="A639" s="17" t="s">
        <v>198</v>
      </c>
      <c r="B639" s="0" t="s">
        <v>192</v>
      </c>
      <c r="C639" s="0" t="s">
        <v>409</v>
      </c>
      <c r="D639" s="7" t="s">
        <v>151</v>
      </c>
      <c r="E639" s="0" t="s">
        <v>131</v>
      </c>
      <c r="F639" s="0" t="s">
        <v>136</v>
      </c>
      <c r="G639" s="92" t="n">
        <v>36770</v>
      </c>
      <c r="H639" s="248" t="n">
        <v>300000</v>
      </c>
      <c r="I639" s="254" t="n">
        <v>-0.6</v>
      </c>
      <c r="J639" s="124" t="n">
        <f aca="false">VLOOKUP(G639,NGPrices,2,FALSE())</f>
        <v>4.685</v>
      </c>
      <c r="K639" s="125" t="n">
        <f aca="false">HLOOKUP(D639,Prices,VLOOKUP(G639,move_down,2,FALSE()),FALSE())+VLOOKUP(G639,CHANGE,HLOOKUP(D639,CHANGE,2,FALSE()),FALSE())</f>
        <v>-1.24</v>
      </c>
      <c r="L639" s="124" t="n">
        <f aca="false">K639+J639</f>
        <v>3.445</v>
      </c>
      <c r="M639" s="126" t="n">
        <f aca="false">VLOOKUP(G639,NGPrices,4,FALSE())</f>
        <v>0.067216196212185</v>
      </c>
      <c r="N639" s="7" t="n">
        <f aca="false">VLOOKUP(G639,NGPrices,3,FALSE())</f>
        <v>0.4</v>
      </c>
      <c r="O639" s="7" t="n">
        <f aca="false">HLOOKUP(D639,VOLS,VLOOKUP(G639,move_down,2,FALSE()),FALSE())</f>
        <v>0.384</v>
      </c>
      <c r="P639" s="249" t="n">
        <f aca="false">HLOOKUP(D639,Correllate,VLOOKUP(G639,CorMove,2,FALSE()),FALSE())</f>
        <v>0.84</v>
      </c>
      <c r="Q639" s="92" t="n">
        <f aca="false">WORKDAY(G639,-2)</f>
        <v>36768</v>
      </c>
      <c r="R639" s="7" t="n">
        <f aca="false">IF(F639="P",0,1)</f>
        <v>1</v>
      </c>
      <c r="S639" s="130" t="e">
        <f aca="false">xSPRDOPT($L639,$J639,$I639,$M639,$O639,$N639,$P639,$Q639-$C$3,$R639,0)</f>
        <v>#NAME?</v>
      </c>
      <c r="T639" s="250" t="e">
        <f aca="false">xSPRDOPT($L639,$J639,$I639,$M639,$O639,$N639,$P639,$Q639-$C$3,$R639,1)*H639</f>
        <v>#NAME?</v>
      </c>
      <c r="U639" s="43" t="e">
        <f aca="false">S639*H639</f>
        <v>#NAME?</v>
      </c>
      <c r="V639" s="250" t="e">
        <f aca="false">xSPRDOPT($L639,$J639,$I639,$M639,$O639,$N639,$P639,$Q639-$C$3,$R639,2)*H639</f>
        <v>#NAME?</v>
      </c>
      <c r="W639" s="250" t="e">
        <f aca="false">+V639+T639</f>
        <v>#NAME?</v>
      </c>
      <c r="X639" s="2" t="str">
        <f aca="false">CONCATENATE(G639,D639)</f>
        <v>36770IF-NWPL_ROCKY_M</v>
      </c>
      <c r="Y639" s="251" t="n">
        <f aca="false">H639/10000</f>
        <v>30</v>
      </c>
      <c r="Z639" s="226" t="e">
        <f aca="false">T639/H639</f>
        <v>#NAME?</v>
      </c>
      <c r="AA639" s="226" t="e">
        <f aca="false">xSPRDOPT($L639,$J639,$I639,$M639,$O639,$N639,$P639,$Q639-$C$3,$R639,3)</f>
        <v>#NAME?</v>
      </c>
      <c r="AB639" s="226" t="e">
        <f aca="false">((xSPRDOPT($L639+AB$5,$J639,$I639,$M639,$O639,$N639,$P639,$Q639-$C$3,$R639,3)*$H639)/10000)/100</f>
        <v>#NAME?</v>
      </c>
      <c r="AC639" s="226" t="e">
        <f aca="false">((xSPRDOPT($L639+$AB$5,$J639,$I639,$M639,$O639,$N639,$P639,$Q639-$C$3,$R639,7)*$H639)/100)</f>
        <v>#NAME?</v>
      </c>
      <c r="AD639" s="226" t="e">
        <f aca="false">(xSPRDOPT($L639+$AB$5,$J639,$I639,$M639,$O639,$N639,$P639,$Q639-$C$3,$R639,9)/365)*$H639</f>
        <v>#NAME?</v>
      </c>
      <c r="AE639" s="0" t="e">
        <f aca="false">CD640</f>
        <v>#NAME?</v>
      </c>
      <c r="AF639" s="226" t="e">
        <f aca="false">((O639/N639)*AH639)+AG639</f>
        <v>#NAME?</v>
      </c>
      <c r="AG639" s="226" t="e">
        <f aca="false">((xSPRDOPT($L639,$J639,$I639,$M639,$O639,$N639,$P639,$Q639-$C$3,$R639,6)*$H639)/100)</f>
        <v>#NAME?</v>
      </c>
      <c r="AH639" s="226" t="e">
        <f aca="false">((xSPRDOPT($L639,$J639,$I639,$M639,$O639,$N639,$P639,$Q639-$C$3,$R639,5)*$H639)/100)</f>
        <v>#NAME?</v>
      </c>
      <c r="AI639" s="226" t="e">
        <f aca="false">(((xSPRDOPT($L639,$J639,$I639,$M639,$O639,$N639,$P639,$Q639-$C$3,$R639,4)*$H639)/10000)/100)-AB639</f>
        <v>#NAME?</v>
      </c>
      <c r="AJ639" s="226"/>
      <c r="CC639" s="182" t="n">
        <f aca="false">G638</f>
        <v>36951</v>
      </c>
      <c r="CD639" s="253" t="e">
        <f aca="false">xSPRDOPT((VLOOKUP(G638,NGPrices,2,FALSE())+HLOOKUP(D638,Prices,VLOOKUP(G638,move_down,2,FALSE()),FALSE())),VLOOKUP(G638,NGPrices,2,FALSE()),I638,VLOOKUP(G638,NGPREVPRICES,4,FALSE()),HLOOKUP(D638,PREVVOLS,VLOOKUP(G638,MOVE_DOWN2,2,FALSE()),FALSE()),VLOOKUP(G638,NGPREVPRICES,3,FALSE()),HLOOKUP(D638,Correllate,VLOOKUP(G638,CorMove,2,FALSE()),FALSE()),Q638-$CD$3,R638,$CD$5)*H638-CJ639</f>
        <v>#NAME?</v>
      </c>
      <c r="CE639" s="253" t="e">
        <f aca="false">xSPRDOPT((VLOOKUP(G638,NGPREVPRICES,2,FALSE())+HLOOKUP(D638,PREVCURVES,VLOOKUP(G638,MOVE_DOWN2,2,FALSE()),FALSE())),VLOOKUP(G638,NGPREVPRICES,2,FALSE()),CK639,VLOOKUP(G638,NGPrices,4,FALSE()),HLOOKUP(D638,PREVVOLS,VLOOKUP(G638,MOVE_DOWN2,2,FALSE()),FALSE()),VLOOKUP(G638,NGPREVPRICES,3,FALSE()),HLOOKUP(D638,Correllate,VLOOKUP(G638,CorMove,2,FALSE()),FALSE()),Q638-$CD$3,R638,$CJ$5)*H638-CJ639</f>
        <v>#NAME?</v>
      </c>
      <c r="CF639" s="132" t="e">
        <f aca="false">(CJ639/VLOOKUP(CC639,discount,3,FALSE()))-(CJ639/VLOOKUP(CC639,discount,2,FALSE()))</f>
        <v>#NAME?</v>
      </c>
      <c r="CG639" s="253" t="e">
        <f aca="false">xSPRDOPT((VLOOKUP(G638,NGPREVPRICES,2,FALSE())+HLOOKUP(D638,PREVCURVES,VLOOKUP(G638,MOVE_DOWN2,2,FALSE()),FALSE())),VLOOKUP(G638,NGPREVPRICES,2,FALSE()),CK639,VLOOKUP(G638,NGPREVPRICES,4,FALSE()),HLOOKUP(D638,VOLS,VLOOKUP(G638,move_down,2,FALSE()),FALSE()),VLOOKUP(G638,NGPrices,3,FALSE()),HLOOKUP(D638,Correllate,VLOOKUP(G638,CorMove,2,FALSE()),FALSE()),Q638-$CD$3,R638,$CJ$5)*H638-CJ639</f>
        <v>#NAME?</v>
      </c>
      <c r="CH639" s="253" t="e">
        <f aca="false">xSPRDOPT((VLOOKUP(G638,NGPREVPRICES,2,FALSE())+HLOOKUP(D638,PREVCURVES,VLOOKUP(G638,MOVE_DOWN2,2,FALSE()),FALSE())),VLOOKUP(G638,NGPREVPRICES,2,FALSE()),CK639,VLOOKUP(G638,NGPREVPRICES,4,FALSE()),HLOOKUP(D638,PREVVOLS,VLOOKUP(G638,MOVE_DOWN2,2,FALSE()),FALSE()),VLOOKUP(G638,NGPREVPRICES,3,FALSE()),HLOOKUP(D638,Correllate,VLOOKUP(G638,CorMove,2,FALSE()),FALSE()),Q638-$C$3,R638,$CJ$5)*H638-CJ639</f>
        <v>#NAME?</v>
      </c>
      <c r="CI639" s="253" t="e">
        <f aca="false">SUM(CD639:CH639)</f>
        <v>#NAME?</v>
      </c>
      <c r="CJ639" s="253" t="e">
        <f aca="false">xSPRDOPT((VLOOKUP(G638,NGPREVPRICES,2,FALSE())+HLOOKUP(D638,PREVCURVES,VLOOKUP(G638,MOVE_DOWN2,2,FALSE()),FALSE())),VLOOKUP(G638,NGPREVPRICES,2,FALSE()),CK639,VLOOKUP(G638,NGPREVPRICES,4,FALSE()),HLOOKUP(D638,PREVVOLS,VLOOKUP(G638,MOVE_DOWN2,2,FALSE()),FALSE()),VLOOKUP(G638,NGPREVPRICES,3,FALSE()),HLOOKUP(D638,Correllate,VLOOKUP(G638,CorMove,2,FALSE()),FALSE()),Q638-$CD$3,R638,$CJ$5)*H638</f>
        <v>#NAME?</v>
      </c>
      <c r="CK639" s="254" t="n">
        <f aca="false">I638</f>
        <v>4</v>
      </c>
      <c r="CM639" s="0" t="str">
        <f aca="false">CONCATENATE(CC639,$CD$6)</f>
        <v>36951Curve Shift/Gamma</v>
      </c>
      <c r="CN639" s="0" t="str">
        <f aca="false">CONCATENATE($CC639,$CE$6)</f>
        <v>36951Rho</v>
      </c>
      <c r="CO639" s="0" t="str">
        <f aca="false">CONCATENATE($CC639,$CF$6)</f>
        <v>36951Drift</v>
      </c>
      <c r="CP639" s="0" t="str">
        <f aca="false">CONCATENATE($CC639,$CG$6)</f>
        <v>36951Vega</v>
      </c>
      <c r="CQ639" s="0" t="str">
        <f aca="false">CONCATENATE($CC639,$CH$6)</f>
        <v>36951Theta</v>
      </c>
    </row>
    <row r="640" customFormat="false" ht="12.75" hidden="false" customHeight="false" outlineLevel="0" collapsed="false">
      <c r="A640" s="17" t="s">
        <v>198</v>
      </c>
      <c r="B640" s="0" t="s">
        <v>192</v>
      </c>
      <c r="C640" s="0" t="s">
        <v>409</v>
      </c>
      <c r="D640" s="7" t="s">
        <v>151</v>
      </c>
      <c r="E640" s="0" t="s">
        <v>131</v>
      </c>
      <c r="F640" s="0" t="s">
        <v>136</v>
      </c>
      <c r="G640" s="92" t="n">
        <v>36800</v>
      </c>
      <c r="H640" s="248" t="n">
        <v>310000</v>
      </c>
      <c r="I640" s="254" t="n">
        <v>-0.6</v>
      </c>
      <c r="J640" s="124" t="n">
        <f aca="false">VLOOKUP(G640,NGPrices,2,FALSE())</f>
        <v>4.692</v>
      </c>
      <c r="K640" s="125" t="n">
        <f aca="false">HLOOKUP(D640,Prices,VLOOKUP(G640,move_down,2,FALSE()),FALSE())+VLOOKUP(G640,CHANGE,HLOOKUP(D640,CHANGE,2,FALSE()),FALSE())</f>
        <v>-0.805</v>
      </c>
      <c r="L640" s="124" t="n">
        <f aca="false">K640+J640</f>
        <v>3.887</v>
      </c>
      <c r="M640" s="126" t="n">
        <f aca="false">VLOOKUP(G640,NGPrices,4,FALSE())</f>
        <v>0.068050789414654</v>
      </c>
      <c r="N640" s="7" t="n">
        <f aca="false">VLOOKUP(G640,NGPrices,3,FALSE())</f>
        <v>0.575</v>
      </c>
      <c r="O640" s="7" t="n">
        <f aca="false">HLOOKUP(D640,VOLS,VLOOKUP(G640,move_down,2,FALSE()),FALSE())</f>
        <v>0.552</v>
      </c>
      <c r="P640" s="249" t="n">
        <f aca="false">HLOOKUP(D640,Correllate,VLOOKUP(G640,CorMove,2,FALSE()),FALSE())</f>
        <v>0.84</v>
      </c>
      <c r="Q640" s="92" t="n">
        <f aca="false">WORKDAY(G640,-2)</f>
        <v>36797</v>
      </c>
      <c r="R640" s="7" t="n">
        <f aca="false">IF(F640="P",0,1)</f>
        <v>1</v>
      </c>
      <c r="S640" s="130" t="e">
        <f aca="false">xSPRDOPT($L640,$J640,$I640,$M640,$O640,$N640,$P640,$Q640-$C$3,$R640,0)</f>
        <v>#NAME?</v>
      </c>
      <c r="T640" s="250" t="e">
        <f aca="false">xSPRDOPT($L640,$J640,$I640,$M640,$O640,$N640,$P640,$Q640-$C$3,$R640,1)*H640</f>
        <v>#NAME?</v>
      </c>
      <c r="U640" s="43" t="e">
        <f aca="false">S640*H640</f>
        <v>#NAME?</v>
      </c>
      <c r="V640" s="250" t="e">
        <f aca="false">xSPRDOPT($L640,$J640,$I640,$M640,$O640,$N640,$P640,$Q640-$C$3,$R640,2)*H640</f>
        <v>#NAME?</v>
      </c>
      <c r="W640" s="250" t="e">
        <f aca="false">+V640+T640</f>
        <v>#NAME?</v>
      </c>
      <c r="X640" s="2" t="str">
        <f aca="false">CONCATENATE(G640,D640)</f>
        <v>36800IF-NWPL_ROCKY_M</v>
      </c>
      <c r="Y640" s="251" t="n">
        <f aca="false">H640/10000</f>
        <v>31</v>
      </c>
      <c r="Z640" s="226" t="e">
        <f aca="false">T640/H640</f>
        <v>#NAME?</v>
      </c>
      <c r="AA640" s="226" t="e">
        <f aca="false">xSPRDOPT($L640,$J640,$I640,$M640,$O640,$N640,$P640,$Q640-$C$3,$R640,3)</f>
        <v>#NAME?</v>
      </c>
      <c r="AB640" s="226" t="e">
        <f aca="false">((xSPRDOPT($L640+AB$5,$J640,$I640,$M640,$O640,$N640,$P640,$Q640-$C$3,$R640,3)*$H640)/10000)/100</f>
        <v>#NAME?</v>
      </c>
      <c r="AC640" s="226" t="e">
        <f aca="false">((xSPRDOPT($L640+$AB$5,$J640,$I640,$M640,$O640,$N640,$P640,$Q640-$C$3,$R640,7)*$H640)/100)</f>
        <v>#NAME?</v>
      </c>
      <c r="AD640" s="226" t="e">
        <f aca="false">(xSPRDOPT($L640+$AB$5,$J640,$I640,$M640,$O640,$N640,$P640,$Q640-$C$3,$R640,9)/365)*$H640</f>
        <v>#NAME?</v>
      </c>
      <c r="AE640" s="0" t="e">
        <f aca="false">CD641</f>
        <v>#NAME?</v>
      </c>
      <c r="AF640" s="226" t="e">
        <f aca="false">((O640/N640)*AH640)+AG640</f>
        <v>#NAME?</v>
      </c>
      <c r="AG640" s="226" t="e">
        <f aca="false">((xSPRDOPT($L640,$J640,$I640,$M640,$O640,$N640,$P640,$Q640-$C$3,$R640,6)*$H640)/100)</f>
        <v>#NAME?</v>
      </c>
      <c r="AH640" s="226" t="e">
        <f aca="false">((xSPRDOPT($L640,$J640,$I640,$M640,$O640,$N640,$P640,$Q640-$C$3,$R640,5)*$H640)/100)</f>
        <v>#NAME?</v>
      </c>
      <c r="AI640" s="226" t="e">
        <f aca="false">(((xSPRDOPT($L640,$J640,$I640,$M640,$O640,$N640,$P640,$Q640-$C$3,$R640,4)*$H640)/10000)/100)-AB640</f>
        <v>#NAME?</v>
      </c>
      <c r="AJ640" s="226"/>
      <c r="CC640" s="182" t="n">
        <f aca="false">G639</f>
        <v>36770</v>
      </c>
      <c r="CD640" s="253" t="e">
        <f aca="false">xSPRDOPT((VLOOKUP(G639,NGPrices,2,FALSE())+HLOOKUP(D639,Prices,VLOOKUP(G639,move_down,2,FALSE()),FALSE())),VLOOKUP(G639,NGPrices,2,FALSE()),I639,VLOOKUP(G639,NGPREVPRICES,4,FALSE()),HLOOKUP(D639,PREVVOLS,VLOOKUP(G639,MOVE_DOWN2,2,FALSE()),FALSE()),VLOOKUP(G639,NGPREVPRICES,3,FALSE()),HLOOKUP(D639,Correllate,VLOOKUP(G639,CorMove,2,FALSE()),FALSE()),Q639-$CD$3,R639,$CD$5)*H639-CJ640</f>
        <v>#NAME?</v>
      </c>
      <c r="CE640" s="253" t="e">
        <f aca="false">xSPRDOPT((VLOOKUP(G639,NGPREVPRICES,2,FALSE())+HLOOKUP(D639,PREVCURVES,VLOOKUP(G639,MOVE_DOWN2,2,FALSE()),FALSE())),VLOOKUP(G639,NGPREVPRICES,2,FALSE()),CK640,VLOOKUP(G639,NGPrices,4,FALSE()),HLOOKUP(D639,PREVVOLS,VLOOKUP(G639,MOVE_DOWN2,2,FALSE()),FALSE()),VLOOKUP(G639,NGPREVPRICES,3,FALSE()),HLOOKUP(D639,Correllate,VLOOKUP(G639,CorMove,2,FALSE()),FALSE()),Q639-$CD$3,R639,$CJ$5)*H639-CJ640</f>
        <v>#NAME?</v>
      </c>
      <c r="CF640" s="132" t="e">
        <f aca="false">(CJ640/VLOOKUP(CC640,discount,3,FALSE()))-(CJ640/VLOOKUP(CC640,discount,2,FALSE()))</f>
        <v>#NAME?</v>
      </c>
      <c r="CG640" s="253" t="e">
        <f aca="false">xSPRDOPT((VLOOKUP(G639,NGPREVPRICES,2,FALSE())+HLOOKUP(D639,PREVCURVES,VLOOKUP(G639,MOVE_DOWN2,2,FALSE()),FALSE())),VLOOKUP(G639,NGPREVPRICES,2,FALSE()),CK640,VLOOKUP(G639,NGPREVPRICES,4,FALSE()),HLOOKUP(D639,VOLS,VLOOKUP(G639,move_down,2,FALSE()),FALSE()),VLOOKUP(G639,NGPrices,3,FALSE()),HLOOKUP(D639,Correllate,VLOOKUP(G639,CorMove,2,FALSE()),FALSE()),Q639-$CD$3,R639,$CJ$5)*H639-CJ640</f>
        <v>#NAME?</v>
      </c>
      <c r="CH640" s="253" t="e">
        <f aca="false">xSPRDOPT((VLOOKUP(G639,NGPREVPRICES,2,FALSE())+HLOOKUP(D639,PREVCURVES,VLOOKUP(G639,MOVE_DOWN2,2,FALSE()),FALSE())),VLOOKUP(G639,NGPREVPRICES,2,FALSE()),CK640,VLOOKUP(G639,NGPREVPRICES,4,FALSE()),HLOOKUP(D639,PREVVOLS,VLOOKUP(G639,MOVE_DOWN2,2,FALSE()),FALSE()),VLOOKUP(G639,NGPREVPRICES,3,FALSE()),HLOOKUP(D639,Correllate,VLOOKUP(G639,CorMove,2,FALSE()),FALSE()),Q639-$C$3,R639,$CJ$5)*H639-CJ640</f>
        <v>#NAME?</v>
      </c>
      <c r="CI640" s="253" t="e">
        <f aca="false">SUM(CD640:CH640)</f>
        <v>#NAME?</v>
      </c>
      <c r="CJ640" s="253" t="e">
        <f aca="false">xSPRDOPT((VLOOKUP(G639,NGPREVPRICES,2,FALSE())+HLOOKUP(D639,PREVCURVES,VLOOKUP(G639,MOVE_DOWN2,2,FALSE()),FALSE())),VLOOKUP(G639,NGPREVPRICES,2,FALSE()),CK640,VLOOKUP(G639,NGPREVPRICES,4,FALSE()),HLOOKUP(D639,PREVVOLS,VLOOKUP(G639,MOVE_DOWN2,2,FALSE()),FALSE()),VLOOKUP(G639,NGPREVPRICES,3,FALSE()),HLOOKUP(D639,Correllate,VLOOKUP(G639,CorMove,2,FALSE()),FALSE()),Q639-$CD$3,R639,$CJ$5)*H639</f>
        <v>#NAME?</v>
      </c>
      <c r="CK640" s="254" t="n">
        <f aca="false">I639</f>
        <v>-0.6</v>
      </c>
      <c r="CM640" s="0" t="str">
        <f aca="false">CONCATENATE(CC640,$CD$6)</f>
        <v>36770Curve Shift/Gamma</v>
      </c>
      <c r="CN640" s="0" t="str">
        <f aca="false">CONCATENATE($CC640,$CE$6)</f>
        <v>36770Rho</v>
      </c>
      <c r="CO640" s="0" t="str">
        <f aca="false">CONCATENATE($CC640,$CF$6)</f>
        <v>36770Drift</v>
      </c>
      <c r="CP640" s="0" t="str">
        <f aca="false">CONCATENATE($CC640,$CG$6)</f>
        <v>36770Vega</v>
      </c>
      <c r="CQ640" s="0" t="str">
        <f aca="false">CONCATENATE($CC640,$CH$6)</f>
        <v>36770Theta</v>
      </c>
    </row>
    <row r="641" customFormat="false" ht="12.75" hidden="false" customHeight="false" outlineLevel="0" collapsed="false">
      <c r="A641" s="17" t="s">
        <v>198</v>
      </c>
      <c r="B641" s="0" t="s">
        <v>192</v>
      </c>
      <c r="C641" s="0" t="s">
        <v>410</v>
      </c>
      <c r="D641" s="7" t="s">
        <v>151</v>
      </c>
      <c r="E641" s="0" t="s">
        <v>131</v>
      </c>
      <c r="F641" s="0" t="s">
        <v>136</v>
      </c>
      <c r="G641" s="92" t="n">
        <v>36770</v>
      </c>
      <c r="H641" s="248" t="n">
        <v>-300000</v>
      </c>
      <c r="I641" s="254" t="n">
        <v>-0.7</v>
      </c>
      <c r="J641" s="124" t="n">
        <f aca="false">VLOOKUP(G641,NGPrices,2,FALSE())</f>
        <v>4.685</v>
      </c>
      <c r="K641" s="125" t="n">
        <f aca="false">HLOOKUP(D641,Prices,VLOOKUP(G641,move_down,2,FALSE()),FALSE())+VLOOKUP(G641,CHANGE,HLOOKUP(D641,CHANGE,2,FALSE()),FALSE())</f>
        <v>-1.24</v>
      </c>
      <c r="L641" s="124" t="n">
        <f aca="false">K641+J641</f>
        <v>3.445</v>
      </c>
      <c r="M641" s="126" t="n">
        <f aca="false">VLOOKUP(G641,NGPrices,4,FALSE())</f>
        <v>0.067216196212185</v>
      </c>
      <c r="N641" s="7" t="n">
        <f aca="false">VLOOKUP(G641,NGPrices,3,FALSE())</f>
        <v>0.4</v>
      </c>
      <c r="O641" s="7" t="n">
        <f aca="false">HLOOKUP(D641,VOLS,VLOOKUP(G641,move_down,2,FALSE()),FALSE())</f>
        <v>0.384</v>
      </c>
      <c r="P641" s="249" t="n">
        <f aca="false">HLOOKUP(D641,Correllate,VLOOKUP(G641,CorMove,2,FALSE()),FALSE())</f>
        <v>0.84</v>
      </c>
      <c r="Q641" s="92" t="n">
        <f aca="false">WORKDAY(G641,-2)</f>
        <v>36768</v>
      </c>
      <c r="R641" s="7" t="n">
        <f aca="false">IF(F641="P",0,1)</f>
        <v>1</v>
      </c>
      <c r="S641" s="130" t="e">
        <f aca="false">xSPRDOPT($L641,$J641,$I641,$M641,$O641,$N641,$P641,$Q641-$C$3,$R641,0)</f>
        <v>#NAME?</v>
      </c>
      <c r="T641" s="250" t="e">
        <f aca="false">xSPRDOPT($L641,$J641,$I641,$M641,$O641,$N641,$P641,$Q641-$C$3,$R641,1)*H641</f>
        <v>#NAME?</v>
      </c>
      <c r="U641" s="43" t="e">
        <f aca="false">S641*H641</f>
        <v>#NAME?</v>
      </c>
      <c r="V641" s="250" t="e">
        <f aca="false">xSPRDOPT($L641,$J641,$I641,$M641,$O641,$N641,$P641,$Q641-$C$3,$R641,2)*H641</f>
        <v>#NAME?</v>
      </c>
      <c r="W641" s="250" t="e">
        <f aca="false">+V641+T641</f>
        <v>#NAME?</v>
      </c>
      <c r="X641" s="2" t="str">
        <f aca="false">CONCATENATE(G641,D641)</f>
        <v>36770IF-NWPL_ROCKY_M</v>
      </c>
      <c r="Y641" s="251" t="n">
        <f aca="false">H641/10000</f>
        <v>-30</v>
      </c>
      <c r="Z641" s="226" t="e">
        <f aca="false">T641/H641</f>
        <v>#NAME?</v>
      </c>
      <c r="AA641" s="226" t="e">
        <f aca="false">xSPRDOPT($L641,$J641,$I641,$M641,$O641,$N641,$P641,$Q641-$C$3,$R641,3)</f>
        <v>#NAME?</v>
      </c>
      <c r="AB641" s="226" t="e">
        <f aca="false">((xSPRDOPT($L641+AB$5,$J641,$I641,$M641,$O641,$N641,$P641,$Q641-$C$3,$R641,3)*$H641)/10000)/100</f>
        <v>#NAME?</v>
      </c>
      <c r="AC641" s="226" t="e">
        <f aca="false">((xSPRDOPT($L641+$AB$5,$J641,$I641,$M641,$O641,$N641,$P641,$Q641-$C$3,$R641,7)*$H641)/100)</f>
        <v>#NAME?</v>
      </c>
      <c r="AD641" s="226" t="e">
        <f aca="false">(xSPRDOPT($L641+$AB$5,$J641,$I641,$M641,$O641,$N641,$P641,$Q641-$C$3,$R641,9)/365)*$H641</f>
        <v>#NAME?</v>
      </c>
      <c r="AE641" s="0" t="e">
        <f aca="false">CD642</f>
        <v>#NAME?</v>
      </c>
      <c r="AF641" s="226" t="e">
        <f aca="false">((O641/N641)*AH641)+AG641</f>
        <v>#NAME?</v>
      </c>
      <c r="AG641" s="226" t="e">
        <f aca="false">((xSPRDOPT($L641,$J641,$I641,$M641,$O641,$N641,$P641,$Q641-$C$3,$R641,6)*$H641)/100)</f>
        <v>#NAME?</v>
      </c>
      <c r="AH641" s="226" t="e">
        <f aca="false">((xSPRDOPT($L641,$J641,$I641,$M641,$O641,$N641,$P641,$Q641-$C$3,$R641,5)*$H641)/100)</f>
        <v>#NAME?</v>
      </c>
      <c r="AI641" s="226" t="e">
        <f aca="false">(((xSPRDOPT($L641,$J641,$I641,$M641,$O641,$N641,$P641,$Q641-$C$3,$R641,4)*$H641)/10000)/100)-AB641</f>
        <v>#NAME?</v>
      </c>
      <c r="AJ641" s="226"/>
      <c r="CC641" s="182" t="n">
        <f aca="false">G640</f>
        <v>36800</v>
      </c>
      <c r="CD641" s="253" t="e">
        <f aca="false">xSPRDOPT((VLOOKUP(G640,NGPrices,2,FALSE())+HLOOKUP(D640,Prices,VLOOKUP(G640,move_down,2,FALSE()),FALSE())),VLOOKUP(G640,NGPrices,2,FALSE()),I640,VLOOKUP(G640,NGPREVPRICES,4,FALSE()),HLOOKUP(D640,PREVVOLS,VLOOKUP(G640,MOVE_DOWN2,2,FALSE()),FALSE()),VLOOKUP(G640,NGPREVPRICES,3,FALSE()),HLOOKUP(D640,Correllate,VLOOKUP(G640,CorMove,2,FALSE()),FALSE()),Q640-$CD$3,R640,$CD$5)*H640-CJ641</f>
        <v>#NAME?</v>
      </c>
      <c r="CE641" s="253" t="e">
        <f aca="false">xSPRDOPT((VLOOKUP(G640,NGPREVPRICES,2,FALSE())+HLOOKUP(D640,PREVCURVES,VLOOKUP(G640,MOVE_DOWN2,2,FALSE()),FALSE())),VLOOKUP(G640,NGPREVPRICES,2,FALSE()),CK641,VLOOKUP(G640,NGPrices,4,FALSE()),HLOOKUP(D640,PREVVOLS,VLOOKUP(G640,MOVE_DOWN2,2,FALSE()),FALSE()),VLOOKUP(G640,NGPREVPRICES,3,FALSE()),HLOOKUP(D640,Correllate,VLOOKUP(G640,CorMove,2,FALSE()),FALSE()),Q640-$CD$3,R640,$CJ$5)*H640-CJ641</f>
        <v>#NAME?</v>
      </c>
      <c r="CF641" s="132" t="e">
        <f aca="false">(CJ641/VLOOKUP(CC641,discount,3,FALSE()))-(CJ641/VLOOKUP(CC641,discount,2,FALSE()))</f>
        <v>#NAME?</v>
      </c>
      <c r="CG641" s="253" t="e">
        <f aca="false">xSPRDOPT((VLOOKUP(G640,NGPREVPRICES,2,FALSE())+HLOOKUP(D640,PREVCURVES,VLOOKUP(G640,MOVE_DOWN2,2,FALSE()),FALSE())),VLOOKUP(G640,NGPREVPRICES,2,FALSE()),CK641,VLOOKUP(G640,NGPREVPRICES,4,FALSE()),HLOOKUP(D640,VOLS,VLOOKUP(G640,move_down,2,FALSE()),FALSE()),VLOOKUP(G640,NGPrices,3,FALSE()),HLOOKUP(D640,Correllate,VLOOKUP(G640,CorMove,2,FALSE()),FALSE()),Q640-$CD$3,R640,$CJ$5)*H640-CJ641</f>
        <v>#NAME?</v>
      </c>
      <c r="CH641" s="253" t="e">
        <f aca="false">xSPRDOPT((VLOOKUP(G640,NGPREVPRICES,2,FALSE())+HLOOKUP(D640,PREVCURVES,VLOOKUP(G640,MOVE_DOWN2,2,FALSE()),FALSE())),VLOOKUP(G640,NGPREVPRICES,2,FALSE()),CK641,VLOOKUP(G640,NGPREVPRICES,4,FALSE()),HLOOKUP(D640,PREVVOLS,VLOOKUP(G640,MOVE_DOWN2,2,FALSE()),FALSE()),VLOOKUP(G640,NGPREVPRICES,3,FALSE()),HLOOKUP(D640,Correllate,VLOOKUP(G640,CorMove,2,FALSE()),FALSE()),Q640-$C$3,R640,$CJ$5)*H640-CJ641</f>
        <v>#NAME?</v>
      </c>
      <c r="CI641" s="253" t="e">
        <f aca="false">SUM(CD641:CH641)</f>
        <v>#NAME?</v>
      </c>
      <c r="CJ641" s="253" t="e">
        <f aca="false">xSPRDOPT((VLOOKUP(G640,NGPREVPRICES,2,FALSE())+HLOOKUP(D640,PREVCURVES,VLOOKUP(G640,MOVE_DOWN2,2,FALSE()),FALSE())),VLOOKUP(G640,NGPREVPRICES,2,FALSE()),CK641,VLOOKUP(G640,NGPREVPRICES,4,FALSE()),HLOOKUP(D640,PREVVOLS,VLOOKUP(G640,MOVE_DOWN2,2,FALSE()),FALSE()),VLOOKUP(G640,NGPREVPRICES,3,FALSE()),HLOOKUP(D640,Correllate,VLOOKUP(G640,CorMove,2,FALSE()),FALSE()),Q640-$CD$3,R640,$CJ$5)*H640</f>
        <v>#NAME?</v>
      </c>
      <c r="CK641" s="254" t="n">
        <f aca="false">I640</f>
        <v>-0.6</v>
      </c>
      <c r="CM641" s="0" t="str">
        <f aca="false">CONCATENATE(CC641,$CD$6)</f>
        <v>36800Curve Shift/Gamma</v>
      </c>
      <c r="CN641" s="0" t="str">
        <f aca="false">CONCATENATE($CC641,$CE$6)</f>
        <v>36800Rho</v>
      </c>
      <c r="CO641" s="0" t="str">
        <f aca="false">CONCATENATE($CC641,$CF$6)</f>
        <v>36800Drift</v>
      </c>
      <c r="CP641" s="0" t="str">
        <f aca="false">CONCATENATE($CC641,$CG$6)</f>
        <v>36800Vega</v>
      </c>
      <c r="CQ641" s="0" t="str">
        <f aca="false">CONCATENATE($CC641,$CH$6)</f>
        <v>36800Theta</v>
      </c>
    </row>
    <row r="642" customFormat="false" ht="12.75" hidden="false" customHeight="false" outlineLevel="0" collapsed="false">
      <c r="A642" s="17" t="s">
        <v>198</v>
      </c>
      <c r="B642" s="0" t="s">
        <v>192</v>
      </c>
      <c r="C642" s="0" t="s">
        <v>410</v>
      </c>
      <c r="D642" s="7" t="s">
        <v>151</v>
      </c>
      <c r="E642" s="0" t="s">
        <v>131</v>
      </c>
      <c r="F642" s="0" t="s">
        <v>136</v>
      </c>
      <c r="G642" s="92" t="n">
        <v>36800</v>
      </c>
      <c r="H642" s="248" t="n">
        <v>-310000</v>
      </c>
      <c r="I642" s="254" t="n">
        <v>-0.7</v>
      </c>
      <c r="J642" s="124" t="n">
        <f aca="false">VLOOKUP(G642,NGPrices,2,FALSE())</f>
        <v>4.692</v>
      </c>
      <c r="K642" s="125" t="n">
        <f aca="false">HLOOKUP(D642,Prices,VLOOKUP(G642,move_down,2,FALSE()),FALSE())+VLOOKUP(G642,CHANGE,HLOOKUP(D642,CHANGE,2,FALSE()),FALSE())</f>
        <v>-0.805</v>
      </c>
      <c r="L642" s="124" t="n">
        <f aca="false">K642+J642</f>
        <v>3.887</v>
      </c>
      <c r="M642" s="126" t="n">
        <f aca="false">VLOOKUP(G642,NGPrices,4,FALSE())</f>
        <v>0.068050789414654</v>
      </c>
      <c r="N642" s="7" t="n">
        <f aca="false">VLOOKUP(G642,NGPrices,3,FALSE())</f>
        <v>0.575</v>
      </c>
      <c r="O642" s="7" t="n">
        <f aca="false">HLOOKUP(D642,VOLS,VLOOKUP(G642,move_down,2,FALSE()),FALSE())</f>
        <v>0.552</v>
      </c>
      <c r="P642" s="249" t="n">
        <f aca="false">HLOOKUP(D642,Correllate,VLOOKUP(G642,CorMove,2,FALSE()),FALSE())</f>
        <v>0.84</v>
      </c>
      <c r="Q642" s="92" t="n">
        <f aca="false">WORKDAY(G642,-2)</f>
        <v>36797</v>
      </c>
      <c r="R642" s="7" t="n">
        <f aca="false">IF(F642="P",0,1)</f>
        <v>1</v>
      </c>
      <c r="S642" s="130" t="e">
        <f aca="false">xSPRDOPT($L642,$J642,$I642,$M642,$O642,$N642,$P642,$Q642-$C$3,$R642,0)</f>
        <v>#NAME?</v>
      </c>
      <c r="T642" s="250" t="e">
        <f aca="false">xSPRDOPT($L642,$J642,$I642,$M642,$O642,$N642,$P642,$Q642-$C$3,$R642,1)*H642</f>
        <v>#NAME?</v>
      </c>
      <c r="U642" s="43" t="e">
        <f aca="false">S642*H642</f>
        <v>#NAME?</v>
      </c>
      <c r="V642" s="250" t="e">
        <f aca="false">xSPRDOPT($L642,$J642,$I642,$M642,$O642,$N642,$P642,$Q642-$C$3,$R642,2)*H642</f>
        <v>#NAME?</v>
      </c>
      <c r="W642" s="250" t="e">
        <f aca="false">+V642+T642</f>
        <v>#NAME?</v>
      </c>
      <c r="X642" s="2" t="str">
        <f aca="false">CONCATENATE(G642,D642)</f>
        <v>36800IF-NWPL_ROCKY_M</v>
      </c>
      <c r="Y642" s="251" t="n">
        <f aca="false">H642/10000</f>
        <v>-31</v>
      </c>
      <c r="Z642" s="226" t="e">
        <f aca="false">T642/H642</f>
        <v>#NAME?</v>
      </c>
      <c r="AA642" s="226" t="e">
        <f aca="false">xSPRDOPT($L642,$J642,$I642,$M642,$O642,$N642,$P642,$Q642-$C$3,$R642,3)</f>
        <v>#NAME?</v>
      </c>
      <c r="AB642" s="226" t="e">
        <f aca="false">((xSPRDOPT($L642+AB$5,$J642,$I642,$M642,$O642,$N642,$P642,$Q642-$C$3,$R642,3)*$H642)/10000)/100</f>
        <v>#NAME?</v>
      </c>
      <c r="AC642" s="226" t="e">
        <f aca="false">((xSPRDOPT($L642+$AB$5,$J642,$I642,$M642,$O642,$N642,$P642,$Q642-$C$3,$R642,7)*$H642)/100)</f>
        <v>#NAME?</v>
      </c>
      <c r="AD642" s="226" t="e">
        <f aca="false">(xSPRDOPT($L642+$AB$5,$J642,$I642,$M642,$O642,$N642,$P642,$Q642-$C$3,$R642,9)/365)*$H642</f>
        <v>#NAME?</v>
      </c>
      <c r="AE642" s="0" t="e">
        <f aca="false">CD643</f>
        <v>#NAME?</v>
      </c>
      <c r="AF642" s="226" t="e">
        <f aca="false">((O642/N642)*AH642)+AG642</f>
        <v>#NAME?</v>
      </c>
      <c r="AG642" s="226" t="e">
        <f aca="false">((xSPRDOPT($L642,$J642,$I642,$M642,$O642,$N642,$P642,$Q642-$C$3,$R642,6)*$H642)/100)</f>
        <v>#NAME?</v>
      </c>
      <c r="AH642" s="226" t="e">
        <f aca="false">((xSPRDOPT($L642,$J642,$I642,$M642,$O642,$N642,$P642,$Q642-$C$3,$R642,5)*$H642)/100)</f>
        <v>#NAME?</v>
      </c>
      <c r="AI642" s="226" t="e">
        <f aca="false">(((xSPRDOPT($L642,$J642,$I642,$M642,$O642,$N642,$P642,$Q642-$C$3,$R642,4)*$H642)/10000)/100)-AB642</f>
        <v>#NAME?</v>
      </c>
      <c r="AJ642" s="226"/>
      <c r="CC642" s="182" t="n">
        <f aca="false">G641</f>
        <v>36770</v>
      </c>
      <c r="CD642" s="253" t="e">
        <f aca="false">xSPRDOPT((VLOOKUP(G641,NGPrices,2,FALSE())+HLOOKUP(D641,Prices,VLOOKUP(G641,move_down,2,FALSE()),FALSE())),VLOOKUP(G641,NGPrices,2,FALSE()),I641,VLOOKUP(G641,NGPREVPRICES,4,FALSE()),HLOOKUP(D641,PREVVOLS,VLOOKUP(G641,MOVE_DOWN2,2,FALSE()),FALSE()),VLOOKUP(G641,NGPREVPRICES,3,FALSE()),HLOOKUP(D641,Correllate,VLOOKUP(G641,CorMove,2,FALSE()),FALSE()),Q641-$CD$3,R641,$CD$5)*H641-CJ642</f>
        <v>#NAME?</v>
      </c>
      <c r="CE642" s="253" t="e">
        <f aca="false">xSPRDOPT((VLOOKUP(G641,NGPREVPRICES,2,FALSE())+HLOOKUP(D641,PREVCURVES,VLOOKUP(G641,MOVE_DOWN2,2,FALSE()),FALSE())),VLOOKUP(G641,NGPREVPRICES,2,FALSE()),CK642,VLOOKUP(G641,NGPrices,4,FALSE()),HLOOKUP(D641,PREVVOLS,VLOOKUP(G641,MOVE_DOWN2,2,FALSE()),FALSE()),VLOOKUP(G641,NGPREVPRICES,3,FALSE()),HLOOKUP(D641,Correllate,VLOOKUP(G641,CorMove,2,FALSE()),FALSE()),Q641-$CD$3,R641,$CJ$5)*H641-CJ642</f>
        <v>#NAME?</v>
      </c>
      <c r="CF642" s="132" t="e">
        <f aca="false">(CJ642/VLOOKUP(CC642,discount,3,FALSE()))-(CJ642/VLOOKUP(CC642,discount,2,FALSE()))</f>
        <v>#NAME?</v>
      </c>
      <c r="CG642" s="253" t="e">
        <f aca="false">xSPRDOPT((VLOOKUP(G641,NGPREVPRICES,2,FALSE())+HLOOKUP(D641,PREVCURVES,VLOOKUP(G641,MOVE_DOWN2,2,FALSE()),FALSE())),VLOOKUP(G641,NGPREVPRICES,2,FALSE()),CK642,VLOOKUP(G641,NGPREVPRICES,4,FALSE()),HLOOKUP(D641,VOLS,VLOOKUP(G641,move_down,2,FALSE()),FALSE()),VLOOKUP(G641,NGPrices,3,FALSE()),HLOOKUP(D641,Correllate,VLOOKUP(G641,CorMove,2,FALSE()),FALSE()),Q641-$CD$3,R641,$CJ$5)*H641-CJ642</f>
        <v>#NAME?</v>
      </c>
      <c r="CH642" s="253" t="e">
        <f aca="false">xSPRDOPT((VLOOKUP(G641,NGPREVPRICES,2,FALSE())+HLOOKUP(D641,PREVCURVES,VLOOKUP(G641,MOVE_DOWN2,2,FALSE()),FALSE())),VLOOKUP(G641,NGPREVPRICES,2,FALSE()),CK642,VLOOKUP(G641,NGPREVPRICES,4,FALSE()),HLOOKUP(D641,PREVVOLS,VLOOKUP(G641,MOVE_DOWN2,2,FALSE()),FALSE()),VLOOKUP(G641,NGPREVPRICES,3,FALSE()),HLOOKUP(D641,Correllate,VLOOKUP(G641,CorMove,2,FALSE()),FALSE()),Q641-$C$3,R641,$CJ$5)*H641-CJ642</f>
        <v>#NAME?</v>
      </c>
      <c r="CI642" s="253" t="e">
        <f aca="false">SUM(CD642:CH642)</f>
        <v>#NAME?</v>
      </c>
      <c r="CJ642" s="253" t="e">
        <f aca="false">xSPRDOPT((VLOOKUP(G641,NGPREVPRICES,2,FALSE())+HLOOKUP(D641,PREVCURVES,VLOOKUP(G641,MOVE_DOWN2,2,FALSE()),FALSE())),VLOOKUP(G641,NGPREVPRICES,2,FALSE()),CK642,VLOOKUP(G641,NGPREVPRICES,4,FALSE()),HLOOKUP(D641,PREVVOLS,VLOOKUP(G641,MOVE_DOWN2,2,FALSE()),FALSE()),VLOOKUP(G641,NGPREVPRICES,3,FALSE()),HLOOKUP(D641,Correllate,VLOOKUP(G641,CorMove,2,FALSE()),FALSE()),Q641-$CD$3,R641,$CJ$5)*H641</f>
        <v>#NAME?</v>
      </c>
      <c r="CK642" s="254" t="n">
        <f aca="false">I641</f>
        <v>-0.7</v>
      </c>
      <c r="CM642" s="0" t="str">
        <f aca="false">CONCATENATE(CC642,$CD$6)</f>
        <v>36770Curve Shift/Gamma</v>
      </c>
      <c r="CN642" s="0" t="str">
        <f aca="false">CONCATENATE($CC642,$CE$6)</f>
        <v>36770Rho</v>
      </c>
      <c r="CO642" s="0" t="str">
        <f aca="false">CONCATENATE($CC642,$CF$6)</f>
        <v>36770Drift</v>
      </c>
      <c r="CP642" s="0" t="str">
        <f aca="false">CONCATENATE($CC642,$CG$6)</f>
        <v>36770Vega</v>
      </c>
      <c r="CQ642" s="0" t="str">
        <f aca="false">CONCATENATE($CC642,$CH$6)</f>
        <v>36770Theta</v>
      </c>
    </row>
    <row r="643" customFormat="false" ht="12.75" hidden="false" customHeight="false" outlineLevel="0" collapsed="false">
      <c r="A643" s="17" t="s">
        <v>198</v>
      </c>
      <c r="B643" s="0" t="s">
        <v>192</v>
      </c>
      <c r="C643" s="0" t="s">
        <v>411</v>
      </c>
      <c r="D643" s="7" t="s">
        <v>149</v>
      </c>
      <c r="E643" s="0" t="s">
        <v>131</v>
      </c>
      <c r="F643" s="0" t="s">
        <v>136</v>
      </c>
      <c r="G643" s="92" t="n">
        <v>36951</v>
      </c>
      <c r="H643" s="248" t="n">
        <v>2000000</v>
      </c>
      <c r="I643" s="254" t="n">
        <v>2</v>
      </c>
      <c r="J643" s="124" t="n">
        <f aca="false">VLOOKUP(G643,NGPrices,2,FALSE())</f>
        <v>4.213</v>
      </c>
      <c r="K643" s="125" t="n">
        <f aca="false">HLOOKUP(D643,Prices,VLOOKUP(G643,move_down,2,FALSE()),FALSE())+VLOOKUP(G643,CHANGE,HLOOKUP(D643,CHANGE,2,FALSE()),FALSE())</f>
        <v>1.075</v>
      </c>
      <c r="L643" s="124" t="n">
        <f aca="false">K643+J643</f>
        <v>5.288</v>
      </c>
      <c r="M643" s="126" t="n">
        <f aca="false">VLOOKUP(G643,NGPrices,4,FALSE())</f>
        <v>0.068879814952707</v>
      </c>
      <c r="N643" s="7" t="n">
        <f aca="false">VLOOKUP(G643,NGPrices,3,FALSE())</f>
        <v>0.5325</v>
      </c>
      <c r="O643" s="7" t="n">
        <f aca="false">HLOOKUP(D643,VOLS,VLOOKUP(G643,move_down,2,FALSE()),FALSE())</f>
        <v>0.612</v>
      </c>
      <c r="P643" s="249" t="n">
        <f aca="false">HLOOKUP(D643,Correllate,VLOOKUP(G643,CorMove,2,FALSE()),FALSE())</f>
        <v>0.83</v>
      </c>
      <c r="Q643" s="92" t="n">
        <f aca="false">WORKDAY(G643,-2)</f>
        <v>36949</v>
      </c>
      <c r="R643" s="7" t="n">
        <f aca="false">IF(F643="P",0,1)</f>
        <v>1</v>
      </c>
      <c r="S643" s="130" t="e">
        <f aca="false">xSPRDOPT($L643,$J643,$I643,$M643,$O643,$N643,$P643,$Q643-$C$3,$R643,0)</f>
        <v>#NAME?</v>
      </c>
      <c r="T643" s="250" t="e">
        <f aca="false">xSPRDOPT($L643,$J643,$I643,$M643,$O643,$N643,$P643,$Q643-$C$3,$R643,1)*H643</f>
        <v>#NAME?</v>
      </c>
      <c r="U643" s="43" t="e">
        <f aca="false">S643*H643</f>
        <v>#NAME?</v>
      </c>
      <c r="V643" s="250" t="e">
        <f aca="false">xSPRDOPT($L643,$J643,$I643,$M643,$O643,$N643,$P643,$Q643-$C$3,$R643,2)*H643</f>
        <v>#NAME?</v>
      </c>
      <c r="W643" s="250" t="e">
        <f aca="false">+V643+T643</f>
        <v>#NAME?</v>
      </c>
      <c r="X643" s="2" t="str">
        <f aca="false">CONCATENATE(G643,D643)</f>
        <v>36951IF-TRANSCO/Z6</v>
      </c>
      <c r="Y643" s="251" t="n">
        <f aca="false">H643/10000</f>
        <v>200</v>
      </c>
      <c r="Z643" s="226" t="e">
        <f aca="false">T643/H643</f>
        <v>#NAME?</v>
      </c>
      <c r="AA643" s="226" t="e">
        <f aca="false">xSPRDOPT($L643,$J643,$I643,$M643,$O643,$N643,$P643,$Q643-$C$3,$R643,3)</f>
        <v>#NAME?</v>
      </c>
      <c r="AB643" s="226" t="e">
        <f aca="false">((xSPRDOPT($L643+AB$5,$J643,$I643,$M643,$O643,$N643,$P643,$Q643-$C$3,$R643,3)*$H643)/10000)/100</f>
        <v>#NAME?</v>
      </c>
      <c r="AC643" s="226" t="e">
        <f aca="false">((xSPRDOPT($L643+$AB$5,$J643,$I643,$M643,$O643,$N643,$P643,$Q643-$C$3,$R643,7)*$H643)/100)</f>
        <v>#NAME?</v>
      </c>
      <c r="AD643" s="226" t="e">
        <f aca="false">(xSPRDOPT($L643+$AB$5,$J643,$I643,$M643,$O643,$N643,$P643,$Q643-$C$3,$R643,9)/365)*$H643</f>
        <v>#NAME?</v>
      </c>
      <c r="AE643" s="0" t="e">
        <f aca="false">CD644</f>
        <v>#NAME?</v>
      </c>
      <c r="AF643" s="226" t="e">
        <f aca="false">((O643/N643)*AH643)+AG643</f>
        <v>#NAME?</v>
      </c>
      <c r="AG643" s="226" t="e">
        <f aca="false">((xSPRDOPT($L643,$J643,$I643,$M643,$O643,$N643,$P643,$Q643-$C$3,$R643,6)*$H643)/100)</f>
        <v>#NAME?</v>
      </c>
      <c r="AH643" s="226" t="e">
        <f aca="false">((xSPRDOPT($L643,$J643,$I643,$M643,$O643,$N643,$P643,$Q643-$C$3,$R643,5)*$H643)/100)</f>
        <v>#NAME?</v>
      </c>
      <c r="AI643" s="226" t="e">
        <f aca="false">(((xSPRDOPT($L643,$J643,$I643,$M643,$O643,$N643,$P643,$Q643-$C$3,$R643,4)*$H643)/10000)/100)-AB643</f>
        <v>#NAME?</v>
      </c>
      <c r="AJ643" s="226"/>
      <c r="CC643" s="182" t="n">
        <f aca="false">G642</f>
        <v>36800</v>
      </c>
      <c r="CD643" s="253" t="e">
        <f aca="false">xSPRDOPT((VLOOKUP(G642,NGPrices,2,FALSE())+HLOOKUP(D642,Prices,VLOOKUP(G642,move_down,2,FALSE()),FALSE())),VLOOKUP(G642,NGPrices,2,FALSE()),I642,VLOOKUP(G642,NGPREVPRICES,4,FALSE()),HLOOKUP(D642,PREVVOLS,VLOOKUP(G642,MOVE_DOWN2,2,FALSE()),FALSE()),VLOOKUP(G642,NGPREVPRICES,3,FALSE()),HLOOKUP(D642,Correllate,VLOOKUP(G642,CorMove,2,FALSE()),FALSE()),Q642-$CD$3,R642,$CD$5)*H642-CJ643</f>
        <v>#NAME?</v>
      </c>
      <c r="CE643" s="253" t="e">
        <f aca="false">xSPRDOPT((VLOOKUP(G642,NGPREVPRICES,2,FALSE())+HLOOKUP(D642,PREVCURVES,VLOOKUP(G642,MOVE_DOWN2,2,FALSE()),FALSE())),VLOOKUP(G642,NGPREVPRICES,2,FALSE()),CK643,VLOOKUP(G642,NGPrices,4,FALSE()),HLOOKUP(D642,PREVVOLS,VLOOKUP(G642,MOVE_DOWN2,2,FALSE()),FALSE()),VLOOKUP(G642,NGPREVPRICES,3,FALSE()),HLOOKUP(D642,Correllate,VLOOKUP(G642,CorMove,2,FALSE()),FALSE()),Q642-$CD$3,R642,$CJ$5)*H642-CJ643</f>
        <v>#NAME?</v>
      </c>
      <c r="CF643" s="132" t="e">
        <f aca="false">(CJ643/VLOOKUP(CC643,discount,3,FALSE()))-(CJ643/VLOOKUP(CC643,discount,2,FALSE()))</f>
        <v>#NAME?</v>
      </c>
      <c r="CG643" s="253" t="e">
        <f aca="false">xSPRDOPT((VLOOKUP(G642,NGPREVPRICES,2,FALSE())+HLOOKUP(D642,PREVCURVES,VLOOKUP(G642,MOVE_DOWN2,2,FALSE()),FALSE())),VLOOKUP(G642,NGPREVPRICES,2,FALSE()),CK643,VLOOKUP(G642,NGPREVPRICES,4,FALSE()),HLOOKUP(D642,VOLS,VLOOKUP(G642,move_down,2,FALSE()),FALSE()),VLOOKUP(G642,NGPrices,3,FALSE()),HLOOKUP(D642,Correllate,VLOOKUP(G642,CorMove,2,FALSE()),FALSE()),Q642-$CD$3,R642,$CJ$5)*H642-CJ643</f>
        <v>#NAME?</v>
      </c>
      <c r="CH643" s="253" t="e">
        <f aca="false">xSPRDOPT((VLOOKUP(G642,NGPREVPRICES,2,FALSE())+HLOOKUP(D642,PREVCURVES,VLOOKUP(G642,MOVE_DOWN2,2,FALSE()),FALSE())),VLOOKUP(G642,NGPREVPRICES,2,FALSE()),CK643,VLOOKUP(G642,NGPREVPRICES,4,FALSE()),HLOOKUP(D642,PREVVOLS,VLOOKUP(G642,MOVE_DOWN2,2,FALSE()),FALSE()),VLOOKUP(G642,NGPREVPRICES,3,FALSE()),HLOOKUP(D642,Correllate,VLOOKUP(G642,CorMove,2,FALSE()),FALSE()),Q642-$C$3,R642,$CJ$5)*H642-CJ643</f>
        <v>#NAME?</v>
      </c>
      <c r="CI643" s="253" t="e">
        <f aca="false">SUM(CD643:CH643)</f>
        <v>#NAME?</v>
      </c>
      <c r="CJ643" s="253" t="e">
        <f aca="false">xSPRDOPT((VLOOKUP(G642,NGPREVPRICES,2,FALSE())+HLOOKUP(D642,PREVCURVES,VLOOKUP(G642,MOVE_DOWN2,2,FALSE()),FALSE())),VLOOKUP(G642,NGPREVPRICES,2,FALSE()),CK643,VLOOKUP(G642,NGPREVPRICES,4,FALSE()),HLOOKUP(D642,PREVVOLS,VLOOKUP(G642,MOVE_DOWN2,2,FALSE()),FALSE()),VLOOKUP(G642,NGPREVPRICES,3,FALSE()),HLOOKUP(D642,Correllate,VLOOKUP(G642,CorMove,2,FALSE()),FALSE()),Q642-$CD$3,R642,$CJ$5)*H642</f>
        <v>#NAME?</v>
      </c>
      <c r="CK643" s="254" t="n">
        <f aca="false">I642</f>
        <v>-0.7</v>
      </c>
      <c r="CM643" s="0" t="str">
        <f aca="false">CONCATENATE(CC643,$CD$6)</f>
        <v>36800Curve Shift/Gamma</v>
      </c>
      <c r="CN643" s="0" t="str">
        <f aca="false">CONCATENATE($CC643,$CE$6)</f>
        <v>36800Rho</v>
      </c>
      <c r="CO643" s="0" t="str">
        <f aca="false">CONCATENATE($CC643,$CF$6)</f>
        <v>36800Drift</v>
      </c>
      <c r="CP643" s="0" t="str">
        <f aca="false">CONCATENATE($CC643,$CG$6)</f>
        <v>36800Vega</v>
      </c>
      <c r="CQ643" s="0" t="str">
        <f aca="false">CONCATENATE($CC643,$CH$6)</f>
        <v>36800Theta</v>
      </c>
    </row>
    <row r="644" customFormat="false" ht="12.75" hidden="false" customHeight="false" outlineLevel="0" collapsed="false">
      <c r="A644" s="17" t="s">
        <v>275</v>
      </c>
      <c r="B644" s="0" t="s">
        <v>192</v>
      </c>
      <c r="C644" s="0" t="s">
        <v>412</v>
      </c>
      <c r="D644" s="7" t="s">
        <v>137</v>
      </c>
      <c r="E644" s="0" t="s">
        <v>131</v>
      </c>
      <c r="F644" s="0" t="s">
        <v>136</v>
      </c>
      <c r="G644" s="92" t="n">
        <v>36770</v>
      </c>
      <c r="H644" s="248" t="n">
        <v>450000</v>
      </c>
      <c r="I644" s="254" t="n">
        <v>0.5</v>
      </c>
      <c r="J644" s="124" t="n">
        <f aca="false">VLOOKUP(G644,NGPrices,2,FALSE())</f>
        <v>4.685</v>
      </c>
      <c r="K644" s="125" t="n">
        <f aca="false">HLOOKUP(D644,Prices,VLOOKUP(G644,move_down,2,FALSE()),FALSE())+VLOOKUP(G644,CHANGE,HLOOKUP(D644,CHANGE,2,FALSE()),FALSE())</f>
        <v>2.5</v>
      </c>
      <c r="L644" s="124" t="n">
        <f aca="false">K644+J644</f>
        <v>7.185</v>
      </c>
      <c r="M644" s="126" t="n">
        <f aca="false">VLOOKUP(G644,NGPrices,4,FALSE())</f>
        <v>0.067216196212185</v>
      </c>
      <c r="N644" s="7" t="n">
        <f aca="false">VLOOKUP(G644,NGPrices,3,FALSE())</f>
        <v>0.4</v>
      </c>
      <c r="O644" s="7" t="n">
        <f aca="false">HLOOKUP(D644,VOLS,VLOOKUP(G644,move_down,2,FALSE()),FALSE())</f>
        <v>0.376</v>
      </c>
      <c r="P644" s="249" t="n">
        <f aca="false">HLOOKUP(D644,Correllate,VLOOKUP(G644,CorMove,2,FALSE()),FALSE())</f>
        <v>0.83</v>
      </c>
      <c r="Q644" s="92" t="n">
        <f aca="false">WORKDAY(G644,-2)</f>
        <v>36768</v>
      </c>
      <c r="R644" s="7" t="n">
        <f aca="false">IF(F644="P",0,1)</f>
        <v>1</v>
      </c>
      <c r="S644" s="130" t="e">
        <f aca="false">xSPRDOPT($L644,$J644,$I644,$M644,$O644,$N644,$P644,$Q644-$C$3,$R644,0)</f>
        <v>#NAME?</v>
      </c>
      <c r="T644" s="250" t="e">
        <f aca="false">xSPRDOPT($L644,$J644,$I644,$M644,$O644,$N644,$P644,$Q644-$C$3,$R644,1)*H644</f>
        <v>#NAME?</v>
      </c>
      <c r="U644" s="43" t="e">
        <f aca="false">S644*H644</f>
        <v>#NAME?</v>
      </c>
      <c r="V644" s="250" t="e">
        <f aca="false">xSPRDOPT($L644,$J644,$I644,$M644,$O644,$N644,$P644,$Q644-$C$3,$R644,2)*H644</f>
        <v>#NAME?</v>
      </c>
      <c r="W644" s="250" t="e">
        <f aca="false">+V644+T644</f>
        <v>#NAME?</v>
      </c>
      <c r="X644" s="2" t="str">
        <f aca="false">CONCATENATE(G644,D644)</f>
        <v>36770NGI-SOCAL</v>
      </c>
      <c r="Y644" s="251" t="n">
        <f aca="false">H644/10000</f>
        <v>45</v>
      </c>
      <c r="Z644" s="226" t="e">
        <f aca="false">T644/H644</f>
        <v>#NAME?</v>
      </c>
      <c r="AA644" s="226" t="e">
        <f aca="false">xSPRDOPT($L644,$J644,$I644,$M644,$O644,$N644,$P644,$Q644-$C$3,$R644,3)</f>
        <v>#NAME?</v>
      </c>
      <c r="AB644" s="226" t="e">
        <f aca="false">((xSPRDOPT($L644+AB$5,$J644,$I644,$M644,$O644,$N644,$P644,$Q644-$C$3,$R644,3)*$H644)/10000)/100</f>
        <v>#NAME?</v>
      </c>
      <c r="AC644" s="226" t="e">
        <f aca="false">((xSPRDOPT($L644+$AB$5,$J644,$I644,$M644,$O644,$N644,$P644,$Q644-$C$3,$R644,7)*$H644)/100)</f>
        <v>#NAME?</v>
      </c>
      <c r="AD644" s="226" t="e">
        <f aca="false">(xSPRDOPT($L644+$AB$5,$J644,$I644,$M644,$O644,$N644,$P644,$Q644-$C$3,$R644,9)/365)*$H644</f>
        <v>#NAME?</v>
      </c>
      <c r="AE644" s="0" t="e">
        <f aca="false">CD645</f>
        <v>#NAME?</v>
      </c>
      <c r="AF644" s="226" t="e">
        <f aca="false">((O644/N644)*AH644)+AG644</f>
        <v>#NAME?</v>
      </c>
      <c r="AG644" s="226" t="e">
        <f aca="false">((xSPRDOPT($L644,$J644,$I644,$M644,$O644,$N644,$P644,$Q644-$C$3,$R644,6)*$H644)/100)</f>
        <v>#NAME?</v>
      </c>
      <c r="AH644" s="226" t="e">
        <f aca="false">((xSPRDOPT($L644,$J644,$I644,$M644,$O644,$N644,$P644,$Q644-$C$3,$R644,5)*$H644)/100)</f>
        <v>#NAME?</v>
      </c>
      <c r="AI644" s="226" t="e">
        <f aca="false">(((xSPRDOPT($L644,$J644,$I644,$M644,$O644,$N644,$P644,$Q644-$C$3,$R644,4)*$H644)/10000)/100)-AB644</f>
        <v>#NAME?</v>
      </c>
      <c r="AJ644" s="226"/>
      <c r="CC644" s="182" t="n">
        <f aca="false">G643</f>
        <v>36951</v>
      </c>
      <c r="CD644" s="253" t="e">
        <f aca="false">xSPRDOPT((VLOOKUP(G643,NGPrices,2,FALSE())+HLOOKUP(D643,Prices,VLOOKUP(G643,move_down,2,FALSE()),FALSE())),VLOOKUP(G643,NGPrices,2,FALSE()),I643,VLOOKUP(G643,NGPREVPRICES,4,FALSE()),HLOOKUP(D643,PREVVOLS,VLOOKUP(G643,MOVE_DOWN2,2,FALSE()),FALSE()),VLOOKUP(G643,NGPREVPRICES,3,FALSE()),HLOOKUP(D643,Correllate,VLOOKUP(G643,CorMove,2,FALSE()),FALSE()),Q643-$CD$3,R643,$CD$5)*H643-CJ644</f>
        <v>#NAME?</v>
      </c>
      <c r="CE644" s="253" t="e">
        <f aca="false">xSPRDOPT((VLOOKUP(G643,NGPREVPRICES,2,FALSE())+HLOOKUP(D643,PREVCURVES,VLOOKUP(G643,MOVE_DOWN2,2,FALSE()),FALSE())),VLOOKUP(G643,NGPREVPRICES,2,FALSE()),CK644,VLOOKUP(G643,NGPrices,4,FALSE()),HLOOKUP(D643,PREVVOLS,VLOOKUP(G643,MOVE_DOWN2,2,FALSE()),FALSE()),VLOOKUP(G643,NGPREVPRICES,3,FALSE()),HLOOKUP(D643,Correllate,VLOOKUP(G643,CorMove,2,FALSE()),FALSE()),Q643-$CD$3,R643,$CJ$5)*H643-CJ644</f>
        <v>#NAME?</v>
      </c>
      <c r="CF644" s="132" t="e">
        <f aca="false">(CJ644/VLOOKUP(CC644,discount,3,FALSE()))-(CJ644/VLOOKUP(CC644,discount,2,FALSE()))</f>
        <v>#NAME?</v>
      </c>
      <c r="CG644" s="253" t="e">
        <f aca="false">xSPRDOPT((VLOOKUP(G643,NGPREVPRICES,2,FALSE())+HLOOKUP(D643,PREVCURVES,VLOOKUP(G643,MOVE_DOWN2,2,FALSE()),FALSE())),VLOOKUP(G643,NGPREVPRICES,2,FALSE()),CK644,VLOOKUP(G643,NGPREVPRICES,4,FALSE()),HLOOKUP(D643,VOLS,VLOOKUP(G643,move_down,2,FALSE()),FALSE()),VLOOKUP(G643,NGPrices,3,FALSE()),HLOOKUP(D643,Correllate,VLOOKUP(G643,CorMove,2,FALSE()),FALSE()),Q643-$CD$3,R643,$CJ$5)*H643-CJ644</f>
        <v>#NAME?</v>
      </c>
      <c r="CH644" s="253" t="e">
        <f aca="false">xSPRDOPT((VLOOKUP(G643,NGPREVPRICES,2,FALSE())+HLOOKUP(D643,PREVCURVES,VLOOKUP(G643,MOVE_DOWN2,2,FALSE()),FALSE())),VLOOKUP(G643,NGPREVPRICES,2,FALSE()),CK644,VLOOKUP(G643,NGPREVPRICES,4,FALSE()),HLOOKUP(D643,PREVVOLS,VLOOKUP(G643,MOVE_DOWN2,2,FALSE()),FALSE()),VLOOKUP(G643,NGPREVPRICES,3,FALSE()),HLOOKUP(D643,Correllate,VLOOKUP(G643,CorMove,2,FALSE()),FALSE()),Q643-$C$3,R643,$CJ$5)*H643-CJ644</f>
        <v>#NAME?</v>
      </c>
      <c r="CI644" s="253" t="e">
        <f aca="false">SUM(CD644:CH644)</f>
        <v>#NAME?</v>
      </c>
      <c r="CJ644" s="253" t="e">
        <f aca="false">xSPRDOPT((VLOOKUP(G643,NGPREVPRICES,2,FALSE())+HLOOKUP(D643,PREVCURVES,VLOOKUP(G643,MOVE_DOWN2,2,FALSE()),FALSE())),VLOOKUP(G643,NGPREVPRICES,2,FALSE()),CK644,VLOOKUP(G643,NGPREVPRICES,4,FALSE()),HLOOKUP(D643,PREVVOLS,VLOOKUP(G643,MOVE_DOWN2,2,FALSE()),FALSE()),VLOOKUP(G643,NGPREVPRICES,3,FALSE()),HLOOKUP(D643,Correllate,VLOOKUP(G643,CorMove,2,FALSE()),FALSE()),Q643-$CD$3,R643,$CJ$5)*H643</f>
        <v>#NAME?</v>
      </c>
      <c r="CK644" s="254" t="n">
        <f aca="false">I643</f>
        <v>2</v>
      </c>
      <c r="CM644" s="0" t="str">
        <f aca="false">CONCATENATE(CC644,$CD$6)</f>
        <v>36951Curve Shift/Gamma</v>
      </c>
      <c r="CN644" s="0" t="str">
        <f aca="false">CONCATENATE($CC644,$CE$6)</f>
        <v>36951Rho</v>
      </c>
      <c r="CO644" s="0" t="str">
        <f aca="false">CONCATENATE($CC644,$CF$6)</f>
        <v>36951Drift</v>
      </c>
      <c r="CP644" s="0" t="str">
        <f aca="false">CONCATENATE($CC644,$CG$6)</f>
        <v>36951Vega</v>
      </c>
      <c r="CQ644" s="0" t="str">
        <f aca="false">CONCATENATE($CC644,$CH$6)</f>
        <v>36951Theta</v>
      </c>
    </row>
    <row r="645" customFormat="false" ht="12.75" hidden="false" customHeight="false" outlineLevel="0" collapsed="false">
      <c r="A645" s="17" t="s">
        <v>275</v>
      </c>
      <c r="B645" s="0" t="s">
        <v>192</v>
      </c>
      <c r="C645" s="0" t="s">
        <v>412</v>
      </c>
      <c r="D645" s="7" t="s">
        <v>137</v>
      </c>
      <c r="E645" s="0" t="s">
        <v>131</v>
      </c>
      <c r="F645" s="0" t="s">
        <v>136</v>
      </c>
      <c r="G645" s="92" t="n">
        <v>36800</v>
      </c>
      <c r="H645" s="248" t="n">
        <v>465000</v>
      </c>
      <c r="I645" s="254" t="n">
        <v>0.5</v>
      </c>
      <c r="J645" s="124" t="n">
        <f aca="false">VLOOKUP(G645,NGPrices,2,FALSE())</f>
        <v>4.692</v>
      </c>
      <c r="K645" s="125" t="n">
        <f aca="false">HLOOKUP(D645,Prices,VLOOKUP(G645,move_down,2,FALSE()),FALSE())+VLOOKUP(G645,CHANGE,HLOOKUP(D645,CHANGE,2,FALSE()),FALSE())</f>
        <v>1.99</v>
      </c>
      <c r="L645" s="124" t="n">
        <f aca="false">K645+J645</f>
        <v>6.682</v>
      </c>
      <c r="M645" s="126" t="n">
        <f aca="false">VLOOKUP(G645,NGPrices,4,FALSE())</f>
        <v>0.068050789414654</v>
      </c>
      <c r="N645" s="7" t="n">
        <f aca="false">VLOOKUP(G645,NGPrices,3,FALSE())</f>
        <v>0.575</v>
      </c>
      <c r="O645" s="7" t="n">
        <f aca="false">HLOOKUP(D645,VOLS,VLOOKUP(G645,move_down,2,FALSE()),FALSE())</f>
        <v>0.541</v>
      </c>
      <c r="P645" s="249" t="n">
        <f aca="false">HLOOKUP(D645,Correllate,VLOOKUP(G645,CorMove,2,FALSE()),FALSE())</f>
        <v>0.83</v>
      </c>
      <c r="Q645" s="92" t="n">
        <f aca="false">WORKDAY(G645,-2)</f>
        <v>36797</v>
      </c>
      <c r="R645" s="7" t="n">
        <f aca="false">IF(F645="P",0,1)</f>
        <v>1</v>
      </c>
      <c r="S645" s="130" t="e">
        <f aca="false">xSPRDOPT($L645,$J645,$I645,$M645,$O645,$N645,$P645,$Q645-$C$3,$R645,0)</f>
        <v>#NAME?</v>
      </c>
      <c r="T645" s="250" t="e">
        <f aca="false">xSPRDOPT($L645,$J645,$I645,$M645,$O645,$N645,$P645,$Q645-$C$3,$R645,1)*H645</f>
        <v>#NAME?</v>
      </c>
      <c r="U645" s="43" t="e">
        <f aca="false">S645*H645</f>
        <v>#NAME?</v>
      </c>
      <c r="V645" s="250" t="e">
        <f aca="false">xSPRDOPT($L645,$J645,$I645,$M645,$O645,$N645,$P645,$Q645-$C$3,$R645,2)*H645</f>
        <v>#NAME?</v>
      </c>
      <c r="W645" s="250" t="e">
        <f aca="false">+V645+T645</f>
        <v>#NAME?</v>
      </c>
      <c r="X645" s="2" t="str">
        <f aca="false">CONCATENATE(G645,D645)</f>
        <v>36800NGI-SOCAL</v>
      </c>
      <c r="Y645" s="251" t="n">
        <f aca="false">H645/10000</f>
        <v>46.5</v>
      </c>
      <c r="Z645" s="226" t="e">
        <f aca="false">T645/H645</f>
        <v>#NAME?</v>
      </c>
      <c r="AA645" s="226" t="e">
        <f aca="false">xSPRDOPT($L645,$J645,$I645,$M645,$O645,$N645,$P645,$Q645-$C$3,$R645,3)</f>
        <v>#NAME?</v>
      </c>
      <c r="AB645" s="226" t="e">
        <f aca="false">((xSPRDOPT($L645+AB$5,$J645,$I645,$M645,$O645,$N645,$P645,$Q645-$C$3,$R645,3)*$H645)/10000)/100</f>
        <v>#NAME?</v>
      </c>
      <c r="AC645" s="226" t="e">
        <f aca="false">((xSPRDOPT($L645+$AB$5,$J645,$I645,$M645,$O645,$N645,$P645,$Q645-$C$3,$R645,7)*$H645)/100)</f>
        <v>#NAME?</v>
      </c>
      <c r="AD645" s="226" t="e">
        <f aca="false">(xSPRDOPT($L645+$AB$5,$J645,$I645,$M645,$O645,$N645,$P645,$Q645-$C$3,$R645,9)/365)*$H645</f>
        <v>#NAME?</v>
      </c>
      <c r="AE645" s="0" t="e">
        <f aca="false">CD646</f>
        <v>#NAME?</v>
      </c>
      <c r="AF645" s="226" t="e">
        <f aca="false">((O645/N645)*AH645)+AG645</f>
        <v>#NAME?</v>
      </c>
      <c r="AG645" s="226" t="e">
        <f aca="false">((xSPRDOPT($L645,$J645,$I645,$M645,$O645,$N645,$P645,$Q645-$C$3,$R645,6)*$H645)/100)</f>
        <v>#NAME?</v>
      </c>
      <c r="AH645" s="226" t="e">
        <f aca="false">((xSPRDOPT($L645,$J645,$I645,$M645,$O645,$N645,$P645,$Q645-$C$3,$R645,5)*$H645)/100)</f>
        <v>#NAME?</v>
      </c>
      <c r="AI645" s="226" t="e">
        <f aca="false">(((xSPRDOPT($L645,$J645,$I645,$M645,$O645,$N645,$P645,$Q645-$C$3,$R645,4)*$H645)/10000)/100)-AB645</f>
        <v>#NAME?</v>
      </c>
      <c r="AJ645" s="226"/>
      <c r="CC645" s="182" t="n">
        <f aca="false">G644</f>
        <v>36770</v>
      </c>
      <c r="CD645" s="253" t="e">
        <f aca="false">xSPRDOPT((VLOOKUP(G644,NGPrices,2,FALSE())+HLOOKUP(D644,Prices,VLOOKUP(G644,move_down,2,FALSE()),FALSE())),VLOOKUP(G644,NGPrices,2,FALSE()),I644,VLOOKUP(G644,NGPREVPRICES,4,FALSE()),HLOOKUP(D644,PREVVOLS,VLOOKUP(G644,MOVE_DOWN2,2,FALSE()),FALSE()),VLOOKUP(G644,NGPREVPRICES,3,FALSE()),HLOOKUP(D644,Correllate,VLOOKUP(G644,CorMove,2,FALSE()),FALSE()),Q644-$CD$3,R644,$CD$5)*H644-CJ645</f>
        <v>#NAME?</v>
      </c>
      <c r="CE645" s="253" t="e">
        <f aca="false">xSPRDOPT((VLOOKUP(G644,NGPREVPRICES,2,FALSE())+HLOOKUP(D644,PREVCURVES,VLOOKUP(G644,MOVE_DOWN2,2,FALSE()),FALSE())),VLOOKUP(G644,NGPREVPRICES,2,FALSE()),CK645,VLOOKUP(G644,NGPrices,4,FALSE()),HLOOKUP(D644,PREVVOLS,VLOOKUP(G644,MOVE_DOWN2,2,FALSE()),FALSE()),VLOOKUP(G644,NGPREVPRICES,3,FALSE()),HLOOKUP(D644,Correllate,VLOOKUP(G644,CorMove,2,FALSE()),FALSE()),Q644-$CD$3,R644,$CJ$5)*H644-CJ645</f>
        <v>#NAME?</v>
      </c>
      <c r="CF645" s="132" t="e">
        <f aca="false">(CJ645/VLOOKUP(CC645,discount,3,FALSE()))-(CJ645/VLOOKUP(CC645,discount,2,FALSE()))</f>
        <v>#NAME?</v>
      </c>
      <c r="CG645" s="253" t="e">
        <f aca="false">xSPRDOPT((VLOOKUP(G644,NGPREVPRICES,2,FALSE())+HLOOKUP(D644,PREVCURVES,VLOOKUP(G644,MOVE_DOWN2,2,FALSE()),FALSE())),VLOOKUP(G644,NGPREVPRICES,2,FALSE()),CK645,VLOOKUP(G644,NGPREVPRICES,4,FALSE()),HLOOKUP(D644,VOLS,VLOOKUP(G644,move_down,2,FALSE()),FALSE()),VLOOKUP(G644,NGPrices,3,FALSE()),HLOOKUP(D644,Correllate,VLOOKUP(G644,CorMove,2,FALSE()),FALSE()),Q644-$CD$3,R644,$CJ$5)*H644-CJ645</f>
        <v>#NAME?</v>
      </c>
      <c r="CH645" s="253" t="e">
        <f aca="false">xSPRDOPT((VLOOKUP(G644,NGPREVPRICES,2,FALSE())+HLOOKUP(D644,PREVCURVES,VLOOKUP(G644,MOVE_DOWN2,2,FALSE()),FALSE())),VLOOKUP(G644,NGPREVPRICES,2,FALSE()),CK645,VLOOKUP(G644,NGPREVPRICES,4,FALSE()),HLOOKUP(D644,PREVVOLS,VLOOKUP(G644,MOVE_DOWN2,2,FALSE()),FALSE()),VLOOKUP(G644,NGPREVPRICES,3,FALSE()),HLOOKUP(D644,Correllate,VLOOKUP(G644,CorMove,2,FALSE()),FALSE()),Q644-$C$3,R644,$CJ$5)*H644-CJ645</f>
        <v>#NAME?</v>
      </c>
      <c r="CI645" s="253" t="e">
        <f aca="false">SUM(CD645:CH645)</f>
        <v>#NAME?</v>
      </c>
      <c r="CJ645" s="253" t="e">
        <f aca="false">xSPRDOPT((VLOOKUP(G644,NGPREVPRICES,2,FALSE())+HLOOKUP(D644,PREVCURVES,VLOOKUP(G644,MOVE_DOWN2,2,FALSE()),FALSE())),VLOOKUP(G644,NGPREVPRICES,2,FALSE()),CK645,VLOOKUP(G644,NGPREVPRICES,4,FALSE()),HLOOKUP(D644,PREVVOLS,VLOOKUP(G644,MOVE_DOWN2,2,FALSE()),FALSE()),VLOOKUP(G644,NGPREVPRICES,3,FALSE()),HLOOKUP(D644,Correllate,VLOOKUP(G644,CorMove,2,FALSE()),FALSE()),Q644-$CD$3,R644,$CJ$5)*H644</f>
        <v>#NAME?</v>
      </c>
      <c r="CK645" s="254" t="n">
        <f aca="false">I644</f>
        <v>0.5</v>
      </c>
      <c r="CM645" s="0" t="str">
        <f aca="false">CONCATENATE(CC645,$CD$6)</f>
        <v>36770Curve Shift/Gamma</v>
      </c>
      <c r="CN645" s="0" t="str">
        <f aca="false">CONCATENATE($CC645,$CE$6)</f>
        <v>36770Rho</v>
      </c>
      <c r="CO645" s="0" t="str">
        <f aca="false">CONCATENATE($CC645,$CF$6)</f>
        <v>36770Drift</v>
      </c>
      <c r="CP645" s="0" t="str">
        <f aca="false">CONCATENATE($CC645,$CG$6)</f>
        <v>36770Vega</v>
      </c>
      <c r="CQ645" s="0" t="str">
        <f aca="false">CONCATENATE($CC645,$CH$6)</f>
        <v>36770Theta</v>
      </c>
    </row>
    <row r="646" customFormat="false" ht="12.75" hidden="false" customHeight="false" outlineLevel="0" collapsed="false">
      <c r="A646" s="17" t="s">
        <v>210</v>
      </c>
      <c r="B646" s="0" t="s">
        <v>192</v>
      </c>
      <c r="C646" s="0" t="s">
        <v>413</v>
      </c>
      <c r="D646" s="7" t="s">
        <v>149</v>
      </c>
      <c r="E646" s="0" t="s">
        <v>131</v>
      </c>
      <c r="F646" s="0" t="s">
        <v>132</v>
      </c>
      <c r="G646" s="92" t="n">
        <v>36982</v>
      </c>
      <c r="H646" s="248" t="n">
        <v>300000</v>
      </c>
      <c r="I646" s="254" t="n">
        <v>0.3</v>
      </c>
      <c r="J646" s="124" t="n">
        <f aca="false">VLOOKUP(G646,NGPrices,2,FALSE())</f>
        <v>3.938</v>
      </c>
      <c r="K646" s="125" t="n">
        <f aca="false">HLOOKUP(D646,Prices,VLOOKUP(G646,move_down,2,FALSE()),FALSE())+VLOOKUP(G646,CHANGE,HLOOKUP(D646,CHANGE,2,FALSE()),FALSE())</f>
        <v>0.52</v>
      </c>
      <c r="L646" s="124" t="n">
        <f aca="false">K646+J646</f>
        <v>4.458</v>
      </c>
      <c r="M646" s="126" t="n">
        <f aca="false">VLOOKUP(G646,NGPrices,4,FALSE())</f>
        <v>0.069061726541121</v>
      </c>
      <c r="N646" s="7" t="n">
        <f aca="false">VLOOKUP(G646,NGPrices,3,FALSE())</f>
        <v>0.4425</v>
      </c>
      <c r="O646" s="7" t="n">
        <f aca="false">HLOOKUP(D646,VOLS,VLOOKUP(G646,move_down,2,FALSE()),FALSE())</f>
        <v>0.434</v>
      </c>
      <c r="P646" s="249" t="n">
        <f aca="false">HLOOKUP(D646,Correllate,VLOOKUP(G646,CorMove,2,FALSE()),FALSE())</f>
        <v>0.9738</v>
      </c>
      <c r="Q646" s="92" t="n">
        <f aca="false">WORKDAY(G646,-2)</f>
        <v>36979</v>
      </c>
      <c r="R646" s="7" t="n">
        <f aca="false">IF(F646="P",0,1)</f>
        <v>0</v>
      </c>
      <c r="S646" s="130" t="e">
        <f aca="false">xSPRDOPT($L646,$J646,$I646,$M646,$O646,$N646,$P646,$Q646-$C$3,$R646,0)</f>
        <v>#NAME?</v>
      </c>
      <c r="T646" s="250" t="e">
        <f aca="false">xSPRDOPT($L646,$J646,$I646,$M646,$O646,$N646,$P646,$Q646-$C$3,$R646,1)*H646</f>
        <v>#NAME?</v>
      </c>
      <c r="U646" s="43" t="e">
        <f aca="false">S646*H646</f>
        <v>#NAME?</v>
      </c>
      <c r="V646" s="250" t="e">
        <f aca="false">xSPRDOPT($L646,$J646,$I646,$M646,$O646,$N646,$P646,$Q646-$C$3,$R646,2)*H646</f>
        <v>#NAME?</v>
      </c>
      <c r="W646" s="250" t="e">
        <f aca="false">+V646+T646</f>
        <v>#NAME?</v>
      </c>
      <c r="X646" s="2" t="str">
        <f aca="false">CONCATENATE(G646,D646)</f>
        <v>36982IF-TRANSCO/Z6</v>
      </c>
      <c r="Y646" s="251" t="n">
        <f aca="false">H646/10000</f>
        <v>30</v>
      </c>
      <c r="Z646" s="226" t="e">
        <f aca="false">T646/H646</f>
        <v>#NAME?</v>
      </c>
      <c r="AA646" s="226" t="e">
        <f aca="false">xSPRDOPT($L646,$J646,$I646,$M646,$O646,$N646,$P646,$Q646-$C$3,$R646,3)</f>
        <v>#NAME?</v>
      </c>
      <c r="AB646" s="226" t="e">
        <f aca="false">((xSPRDOPT($L646+AB$5,$J646,$I646,$M646,$O646,$N646,$P646,$Q646-$C$3,$R646,3)*$H646)/10000)/100</f>
        <v>#NAME?</v>
      </c>
      <c r="AC646" s="226" t="e">
        <f aca="false">((xSPRDOPT($L646+$AB$5,$J646,$I646,$M646,$O646,$N646,$P646,$Q646-$C$3,$R646,7)*$H646)/100)</f>
        <v>#NAME?</v>
      </c>
      <c r="AD646" s="226" t="e">
        <f aca="false">(xSPRDOPT($L646+$AB$5,$J646,$I646,$M646,$O646,$N646,$P646,$Q646-$C$3,$R646,9)/365)*$H646</f>
        <v>#NAME?</v>
      </c>
      <c r="AE646" s="0" t="e">
        <f aca="false">CD647</f>
        <v>#NAME?</v>
      </c>
      <c r="AF646" s="226" t="e">
        <f aca="false">((O646/N646)*AH646)+AG646</f>
        <v>#NAME?</v>
      </c>
      <c r="AG646" s="226" t="e">
        <f aca="false">((xSPRDOPT($L646,$J646,$I646,$M646,$O646,$N646,$P646,$Q646-$C$3,$R646,6)*$H646)/100)</f>
        <v>#NAME?</v>
      </c>
      <c r="AH646" s="226" t="e">
        <f aca="false">((xSPRDOPT($L646,$J646,$I646,$M646,$O646,$N646,$P646,$Q646-$C$3,$R646,5)*$H646)/100)</f>
        <v>#NAME?</v>
      </c>
      <c r="AI646" s="226" t="e">
        <f aca="false">(((xSPRDOPT($L646,$J646,$I646,$M646,$O646,$N646,$P646,$Q646-$C$3,$R646,4)*$H646)/10000)/100)-AB646</f>
        <v>#NAME?</v>
      </c>
      <c r="AJ646" s="226"/>
      <c r="CC646" s="182" t="n">
        <f aca="false">G645</f>
        <v>36800</v>
      </c>
      <c r="CD646" s="253" t="e">
        <f aca="false">xSPRDOPT((VLOOKUP(G645,NGPrices,2,FALSE())+HLOOKUP(D645,Prices,VLOOKUP(G645,move_down,2,FALSE()),FALSE())),VLOOKUP(G645,NGPrices,2,FALSE()),I645,VLOOKUP(G645,NGPREVPRICES,4,FALSE()),HLOOKUP(D645,PREVVOLS,VLOOKUP(G645,MOVE_DOWN2,2,FALSE()),FALSE()),VLOOKUP(G645,NGPREVPRICES,3,FALSE()),HLOOKUP(D645,Correllate,VLOOKUP(G645,CorMove,2,FALSE()),FALSE()),Q645-$CD$3,R645,$CD$5)*H645-CJ646</f>
        <v>#NAME?</v>
      </c>
      <c r="CE646" s="253" t="e">
        <f aca="false">xSPRDOPT((VLOOKUP(G645,NGPREVPRICES,2,FALSE())+HLOOKUP(D645,PREVCURVES,VLOOKUP(G645,MOVE_DOWN2,2,FALSE()),FALSE())),VLOOKUP(G645,NGPREVPRICES,2,FALSE()),CK646,VLOOKUP(G645,NGPrices,4,FALSE()),HLOOKUP(D645,PREVVOLS,VLOOKUP(G645,MOVE_DOWN2,2,FALSE()),FALSE()),VLOOKUP(G645,NGPREVPRICES,3,FALSE()),HLOOKUP(D645,Correllate,VLOOKUP(G645,CorMove,2,FALSE()),FALSE()),Q645-$CD$3,R645,$CJ$5)*H645-CJ646</f>
        <v>#NAME?</v>
      </c>
      <c r="CF646" s="132" t="e">
        <f aca="false">(CJ646/VLOOKUP(CC646,discount,3,FALSE()))-(CJ646/VLOOKUP(CC646,discount,2,FALSE()))</f>
        <v>#NAME?</v>
      </c>
      <c r="CG646" s="253" t="e">
        <f aca="false">xSPRDOPT((VLOOKUP(G645,NGPREVPRICES,2,FALSE())+HLOOKUP(D645,PREVCURVES,VLOOKUP(G645,MOVE_DOWN2,2,FALSE()),FALSE())),VLOOKUP(G645,NGPREVPRICES,2,FALSE()),CK646,VLOOKUP(G645,NGPREVPRICES,4,FALSE()),HLOOKUP(D645,VOLS,VLOOKUP(G645,move_down,2,FALSE()),FALSE()),VLOOKUP(G645,NGPrices,3,FALSE()),HLOOKUP(D645,Correllate,VLOOKUP(G645,CorMove,2,FALSE()),FALSE()),Q645-$CD$3,R645,$CJ$5)*H645-CJ646</f>
        <v>#NAME?</v>
      </c>
      <c r="CH646" s="253" t="e">
        <f aca="false">xSPRDOPT((VLOOKUP(G645,NGPREVPRICES,2,FALSE())+HLOOKUP(D645,PREVCURVES,VLOOKUP(G645,MOVE_DOWN2,2,FALSE()),FALSE())),VLOOKUP(G645,NGPREVPRICES,2,FALSE()),CK646,VLOOKUP(G645,NGPREVPRICES,4,FALSE()),HLOOKUP(D645,PREVVOLS,VLOOKUP(G645,MOVE_DOWN2,2,FALSE()),FALSE()),VLOOKUP(G645,NGPREVPRICES,3,FALSE()),HLOOKUP(D645,Correllate,VLOOKUP(G645,CorMove,2,FALSE()),FALSE()),Q645-$C$3,R645,$CJ$5)*H645-CJ646</f>
        <v>#NAME?</v>
      </c>
      <c r="CI646" s="253" t="e">
        <f aca="false">SUM(CD646:CH646)</f>
        <v>#NAME?</v>
      </c>
      <c r="CJ646" s="253" t="e">
        <f aca="false">xSPRDOPT((VLOOKUP(G645,NGPREVPRICES,2,FALSE())+HLOOKUP(D645,PREVCURVES,VLOOKUP(G645,MOVE_DOWN2,2,FALSE()),FALSE())),VLOOKUP(G645,NGPREVPRICES,2,FALSE()),CK646,VLOOKUP(G645,NGPREVPRICES,4,FALSE()),HLOOKUP(D645,PREVVOLS,VLOOKUP(G645,MOVE_DOWN2,2,FALSE()),FALSE()),VLOOKUP(G645,NGPREVPRICES,3,FALSE()),HLOOKUP(D645,Correllate,VLOOKUP(G645,CorMove,2,FALSE()),FALSE()),Q645-$CD$3,R645,$CJ$5)*H645</f>
        <v>#NAME?</v>
      </c>
      <c r="CK646" s="254" t="n">
        <f aca="false">I645</f>
        <v>0.5</v>
      </c>
      <c r="CM646" s="0" t="str">
        <f aca="false">CONCATENATE(CC646,$CD$6)</f>
        <v>36800Curve Shift/Gamma</v>
      </c>
      <c r="CN646" s="0" t="str">
        <f aca="false">CONCATENATE($CC646,$CE$6)</f>
        <v>36800Rho</v>
      </c>
      <c r="CO646" s="0" t="str">
        <f aca="false">CONCATENATE($CC646,$CF$6)</f>
        <v>36800Drift</v>
      </c>
      <c r="CP646" s="0" t="str">
        <f aca="false">CONCATENATE($CC646,$CG$6)</f>
        <v>36800Vega</v>
      </c>
      <c r="CQ646" s="0" t="str">
        <f aca="false">CONCATENATE($CC646,$CH$6)</f>
        <v>36800Theta</v>
      </c>
    </row>
    <row r="647" customFormat="false" ht="12.75" hidden="false" customHeight="false" outlineLevel="0" collapsed="false">
      <c r="A647" s="17" t="s">
        <v>210</v>
      </c>
      <c r="B647" s="0" t="s">
        <v>192</v>
      </c>
      <c r="C647" s="0" t="s">
        <v>413</v>
      </c>
      <c r="D647" s="7" t="s">
        <v>149</v>
      </c>
      <c r="E647" s="0" t="s">
        <v>131</v>
      </c>
      <c r="F647" s="0" t="s">
        <v>132</v>
      </c>
      <c r="G647" s="92" t="n">
        <v>37012</v>
      </c>
      <c r="H647" s="248" t="n">
        <v>310000</v>
      </c>
      <c r="I647" s="254" t="n">
        <v>0.3</v>
      </c>
      <c r="J647" s="124" t="n">
        <f aca="false">VLOOKUP(G647,NGPrices,2,FALSE())</f>
        <v>3.838</v>
      </c>
      <c r="K647" s="125" t="n">
        <f aca="false">HLOOKUP(D647,Prices,VLOOKUP(G647,move_down,2,FALSE()),FALSE())+VLOOKUP(G647,CHANGE,HLOOKUP(D647,CHANGE,2,FALSE()),FALSE())</f>
        <v>0.405</v>
      </c>
      <c r="L647" s="124" t="n">
        <f aca="false">K647+J647</f>
        <v>4.243</v>
      </c>
      <c r="M647" s="126" t="n">
        <f aca="false">VLOOKUP(G647,NGPrices,4,FALSE())</f>
        <v>0.069101151219</v>
      </c>
      <c r="N647" s="7" t="n">
        <f aca="false">VLOOKUP(G647,NGPrices,3,FALSE())</f>
        <v>0.405</v>
      </c>
      <c r="O647" s="7" t="n">
        <f aca="false">HLOOKUP(D647,VOLS,VLOOKUP(G647,move_down,2,FALSE()),FALSE())</f>
        <v>0.397</v>
      </c>
      <c r="P647" s="249" t="n">
        <f aca="false">HLOOKUP(D647,Correllate,VLOOKUP(G647,CorMove,2,FALSE()),FALSE())</f>
        <v>0.9738</v>
      </c>
      <c r="Q647" s="92" t="n">
        <f aca="false">WORKDAY(G647,-2)</f>
        <v>37008</v>
      </c>
      <c r="R647" s="7" t="n">
        <f aca="false">IF(F647="P",0,1)</f>
        <v>0</v>
      </c>
      <c r="S647" s="130" t="e">
        <f aca="false">xSPRDOPT($L647,$J647,$I647,$M647,$O647,$N647,$P647,$Q647-$C$3,$R647,0)</f>
        <v>#NAME?</v>
      </c>
      <c r="T647" s="250" t="e">
        <f aca="false">xSPRDOPT($L647,$J647,$I647,$M647,$O647,$N647,$P647,$Q647-$C$3,$R647,1)*H647</f>
        <v>#NAME?</v>
      </c>
      <c r="U647" s="43" t="e">
        <f aca="false">S647*H647</f>
        <v>#NAME?</v>
      </c>
      <c r="V647" s="250" t="e">
        <f aca="false">xSPRDOPT($L647,$J647,$I647,$M647,$O647,$N647,$P647,$Q647-$C$3,$R647,2)*H647</f>
        <v>#NAME?</v>
      </c>
      <c r="W647" s="250" t="e">
        <f aca="false">+V647+T647</f>
        <v>#NAME?</v>
      </c>
      <c r="X647" s="2" t="str">
        <f aca="false">CONCATENATE(G647,D647)</f>
        <v>37012IF-TRANSCO/Z6</v>
      </c>
      <c r="Y647" s="251" t="n">
        <f aca="false">H647/10000</f>
        <v>31</v>
      </c>
      <c r="Z647" s="226" t="e">
        <f aca="false">T647/H647</f>
        <v>#NAME?</v>
      </c>
      <c r="AA647" s="226" t="e">
        <f aca="false">xSPRDOPT($L647,$J647,$I647,$M647,$O647,$N647,$P647,$Q647-$C$3,$R647,3)</f>
        <v>#NAME?</v>
      </c>
      <c r="AB647" s="226" t="e">
        <f aca="false">((xSPRDOPT($L647+AB$5,$J647,$I647,$M647,$O647,$N647,$P647,$Q647-$C$3,$R647,3)*$H647)/10000)/100</f>
        <v>#NAME?</v>
      </c>
      <c r="AC647" s="226" t="e">
        <f aca="false">((xSPRDOPT($L647+$AB$5,$J647,$I647,$M647,$O647,$N647,$P647,$Q647-$C$3,$R647,7)*$H647)/100)</f>
        <v>#NAME?</v>
      </c>
      <c r="AD647" s="226" t="e">
        <f aca="false">(xSPRDOPT($L647+$AB$5,$J647,$I647,$M647,$O647,$N647,$P647,$Q647-$C$3,$R647,9)/365)*$H647</f>
        <v>#NAME?</v>
      </c>
      <c r="AE647" s="0" t="e">
        <f aca="false">CD648</f>
        <v>#NAME?</v>
      </c>
      <c r="AF647" s="226" t="e">
        <f aca="false">((O647/N647)*AH647)+AG647</f>
        <v>#NAME?</v>
      </c>
      <c r="AG647" s="226" t="e">
        <f aca="false">((xSPRDOPT($L647,$J647,$I647,$M647,$O647,$N647,$P647,$Q647-$C$3,$R647,6)*$H647)/100)</f>
        <v>#NAME?</v>
      </c>
      <c r="AH647" s="226" t="e">
        <f aca="false">((xSPRDOPT($L647,$J647,$I647,$M647,$O647,$N647,$P647,$Q647-$C$3,$R647,5)*$H647)/100)</f>
        <v>#NAME?</v>
      </c>
      <c r="AI647" s="226" t="e">
        <f aca="false">(((xSPRDOPT($L647,$J647,$I647,$M647,$O647,$N647,$P647,$Q647-$C$3,$R647,4)*$H647)/10000)/100)-AB647</f>
        <v>#NAME?</v>
      </c>
      <c r="AJ647" s="226"/>
      <c r="CC647" s="182" t="n">
        <f aca="false">G646</f>
        <v>36982</v>
      </c>
      <c r="CD647" s="253" t="e">
        <f aca="false">xSPRDOPT((VLOOKUP(G646,NGPrices,2,FALSE())+HLOOKUP(D646,Prices,VLOOKUP(G646,move_down,2,FALSE()),FALSE())),VLOOKUP(G646,NGPrices,2,FALSE()),I646,VLOOKUP(G646,NGPREVPRICES,4,FALSE()),HLOOKUP(D646,PREVVOLS,VLOOKUP(G646,MOVE_DOWN2,2,FALSE()),FALSE()),VLOOKUP(G646,NGPREVPRICES,3,FALSE()),HLOOKUP(D646,Correllate,VLOOKUP(G646,CorMove,2,FALSE()),FALSE()),Q646-$CD$3,R646,$CD$5)*H646-CJ647</f>
        <v>#NAME?</v>
      </c>
      <c r="CE647" s="253" t="e">
        <f aca="false">xSPRDOPT((VLOOKUP(G646,NGPREVPRICES,2,FALSE())+HLOOKUP(D646,PREVCURVES,VLOOKUP(G646,MOVE_DOWN2,2,FALSE()),FALSE())),VLOOKUP(G646,NGPREVPRICES,2,FALSE()),CK647,VLOOKUP(G646,NGPrices,4,FALSE()),HLOOKUP(D646,PREVVOLS,VLOOKUP(G646,MOVE_DOWN2,2,FALSE()),FALSE()),VLOOKUP(G646,NGPREVPRICES,3,FALSE()),HLOOKUP(D646,Correllate,VLOOKUP(G646,CorMove,2,FALSE()),FALSE()),Q646-$CD$3,R646,$CJ$5)*H646-CJ647</f>
        <v>#NAME?</v>
      </c>
      <c r="CF647" s="132" t="e">
        <f aca="false">(CJ647/VLOOKUP(CC647,discount,3,FALSE()))-(CJ647/VLOOKUP(CC647,discount,2,FALSE()))</f>
        <v>#NAME?</v>
      </c>
      <c r="CG647" s="253" t="e">
        <f aca="false">xSPRDOPT((VLOOKUP(G646,NGPREVPRICES,2,FALSE())+HLOOKUP(D646,PREVCURVES,VLOOKUP(G646,MOVE_DOWN2,2,FALSE()),FALSE())),VLOOKUP(G646,NGPREVPRICES,2,FALSE()),CK647,VLOOKUP(G646,NGPREVPRICES,4,FALSE()),HLOOKUP(D646,VOLS,VLOOKUP(G646,move_down,2,FALSE()),FALSE()),VLOOKUP(G646,NGPrices,3,FALSE()),HLOOKUP(D646,Correllate,VLOOKUP(G646,CorMove,2,FALSE()),FALSE()),Q646-$CD$3,R646,$CJ$5)*H646-CJ647</f>
        <v>#NAME?</v>
      </c>
      <c r="CH647" s="253" t="e">
        <f aca="false">xSPRDOPT((VLOOKUP(G646,NGPREVPRICES,2,FALSE())+HLOOKUP(D646,PREVCURVES,VLOOKUP(G646,MOVE_DOWN2,2,FALSE()),FALSE())),VLOOKUP(G646,NGPREVPRICES,2,FALSE()),CK647,VLOOKUP(G646,NGPREVPRICES,4,FALSE()),HLOOKUP(D646,PREVVOLS,VLOOKUP(G646,MOVE_DOWN2,2,FALSE()),FALSE()),VLOOKUP(G646,NGPREVPRICES,3,FALSE()),HLOOKUP(D646,Correllate,VLOOKUP(G646,CorMove,2,FALSE()),FALSE()),Q646-$C$3,R646,$CJ$5)*H646-CJ647</f>
        <v>#NAME?</v>
      </c>
      <c r="CI647" s="253" t="e">
        <f aca="false">SUM(CD647:CH647)</f>
        <v>#NAME?</v>
      </c>
      <c r="CJ647" s="253" t="e">
        <f aca="false">xSPRDOPT((VLOOKUP(G646,NGPREVPRICES,2,FALSE())+HLOOKUP(D646,PREVCURVES,VLOOKUP(G646,MOVE_DOWN2,2,FALSE()),FALSE())),VLOOKUP(G646,NGPREVPRICES,2,FALSE()),CK647,VLOOKUP(G646,NGPREVPRICES,4,FALSE()),HLOOKUP(D646,PREVVOLS,VLOOKUP(G646,MOVE_DOWN2,2,FALSE()),FALSE()),VLOOKUP(G646,NGPREVPRICES,3,FALSE()),HLOOKUP(D646,Correllate,VLOOKUP(G646,CorMove,2,FALSE()),FALSE()),Q646-$CD$3,R646,$CJ$5)*H646</f>
        <v>#NAME?</v>
      </c>
      <c r="CK647" s="254" t="n">
        <f aca="false">I646</f>
        <v>0.3</v>
      </c>
      <c r="CM647" s="0" t="str">
        <f aca="false">CONCATENATE(CC647,$CD$6)</f>
        <v>36982Curve Shift/Gamma</v>
      </c>
      <c r="CN647" s="0" t="str">
        <f aca="false">CONCATENATE($CC647,$CE$6)</f>
        <v>36982Rho</v>
      </c>
      <c r="CO647" s="0" t="str">
        <f aca="false">CONCATENATE($CC647,$CF$6)</f>
        <v>36982Drift</v>
      </c>
      <c r="CP647" s="0" t="str">
        <f aca="false">CONCATENATE($CC647,$CG$6)</f>
        <v>36982Vega</v>
      </c>
      <c r="CQ647" s="0" t="str">
        <f aca="false">CONCATENATE($CC647,$CH$6)</f>
        <v>36982Theta</v>
      </c>
    </row>
    <row r="648" customFormat="false" ht="12.75" hidden="false" customHeight="false" outlineLevel="0" collapsed="false">
      <c r="A648" s="17" t="s">
        <v>210</v>
      </c>
      <c r="B648" s="0" t="s">
        <v>192</v>
      </c>
      <c r="C648" s="0" t="s">
        <v>413</v>
      </c>
      <c r="D648" s="7" t="s">
        <v>149</v>
      </c>
      <c r="E648" s="0" t="s">
        <v>131</v>
      </c>
      <c r="F648" s="0" t="s">
        <v>132</v>
      </c>
      <c r="G648" s="92" t="n">
        <v>37043</v>
      </c>
      <c r="H648" s="248" t="n">
        <v>300000</v>
      </c>
      <c r="I648" s="254" t="n">
        <v>0.3</v>
      </c>
      <c r="J648" s="124" t="n">
        <f aca="false">VLOOKUP(G648,NGPrices,2,FALSE())</f>
        <v>3.818</v>
      </c>
      <c r="K648" s="125" t="n">
        <f aca="false">HLOOKUP(D648,Prices,VLOOKUP(G648,move_down,2,FALSE()),FALSE())+VLOOKUP(G648,CHANGE,HLOOKUP(D648,CHANGE,2,FALSE()),FALSE())</f>
        <v>0.395</v>
      </c>
      <c r="L648" s="124" t="n">
        <f aca="false">K648+J648</f>
        <v>4.213</v>
      </c>
      <c r="M648" s="126" t="n">
        <f aca="false">VLOOKUP(G648,NGPrices,4,FALSE())</f>
        <v>0.069141890053328</v>
      </c>
      <c r="N648" s="7" t="n">
        <f aca="false">VLOOKUP(G648,NGPrices,3,FALSE())</f>
        <v>0.4</v>
      </c>
      <c r="O648" s="7" t="n">
        <f aca="false">HLOOKUP(D648,VOLS,VLOOKUP(G648,move_down,2,FALSE()),FALSE())</f>
        <v>0.392</v>
      </c>
      <c r="P648" s="249" t="n">
        <f aca="false">HLOOKUP(D648,Correllate,VLOOKUP(G648,CorMove,2,FALSE()),FALSE())</f>
        <v>0.9738</v>
      </c>
      <c r="Q648" s="92" t="n">
        <f aca="false">WORKDAY(G648,-2)</f>
        <v>37041</v>
      </c>
      <c r="R648" s="7" t="n">
        <f aca="false">IF(F648="P",0,1)</f>
        <v>0</v>
      </c>
      <c r="S648" s="130" t="e">
        <f aca="false">xSPRDOPT($L648,$J648,$I648,$M648,$O648,$N648,$P648,$Q648-$C$3,$R648,0)</f>
        <v>#NAME?</v>
      </c>
      <c r="T648" s="250" t="e">
        <f aca="false">xSPRDOPT($L648,$J648,$I648,$M648,$O648,$N648,$P648,$Q648-$C$3,$R648,1)*H648</f>
        <v>#NAME?</v>
      </c>
      <c r="U648" s="43" t="e">
        <f aca="false">S648*H648</f>
        <v>#NAME?</v>
      </c>
      <c r="V648" s="250" t="e">
        <f aca="false">xSPRDOPT($L648,$J648,$I648,$M648,$O648,$N648,$P648,$Q648-$C$3,$R648,2)*H648</f>
        <v>#NAME?</v>
      </c>
      <c r="W648" s="250" t="e">
        <f aca="false">+V648+T648</f>
        <v>#NAME?</v>
      </c>
      <c r="X648" s="2" t="str">
        <f aca="false">CONCATENATE(G648,D648)</f>
        <v>37043IF-TRANSCO/Z6</v>
      </c>
      <c r="Y648" s="251" t="n">
        <f aca="false">H648/10000</f>
        <v>30</v>
      </c>
      <c r="Z648" s="226" t="e">
        <f aca="false">T648/H648</f>
        <v>#NAME?</v>
      </c>
      <c r="AA648" s="226" t="e">
        <f aca="false">xSPRDOPT($L648,$J648,$I648,$M648,$O648,$N648,$P648,$Q648-$C$3,$R648,3)</f>
        <v>#NAME?</v>
      </c>
      <c r="AB648" s="226" t="e">
        <f aca="false">((xSPRDOPT($L648+AB$5,$J648,$I648,$M648,$O648,$N648,$P648,$Q648-$C$3,$R648,3)*$H648)/10000)/100</f>
        <v>#NAME?</v>
      </c>
      <c r="AC648" s="226" t="e">
        <f aca="false">((xSPRDOPT($L648+$AB$5,$J648,$I648,$M648,$O648,$N648,$P648,$Q648-$C$3,$R648,7)*$H648)/100)</f>
        <v>#NAME?</v>
      </c>
      <c r="AD648" s="226" t="e">
        <f aca="false">(xSPRDOPT($L648+$AB$5,$J648,$I648,$M648,$O648,$N648,$P648,$Q648-$C$3,$R648,9)/365)*$H648</f>
        <v>#NAME?</v>
      </c>
      <c r="AE648" s="0" t="e">
        <f aca="false">CD649</f>
        <v>#NAME?</v>
      </c>
      <c r="AF648" s="226" t="e">
        <f aca="false">((O648/N648)*AH648)+AG648</f>
        <v>#NAME?</v>
      </c>
      <c r="AG648" s="226" t="e">
        <f aca="false">((xSPRDOPT($L648,$J648,$I648,$M648,$O648,$N648,$P648,$Q648-$C$3,$R648,6)*$H648)/100)</f>
        <v>#NAME?</v>
      </c>
      <c r="AH648" s="226" t="e">
        <f aca="false">((xSPRDOPT($L648,$J648,$I648,$M648,$O648,$N648,$P648,$Q648-$C$3,$R648,5)*$H648)/100)</f>
        <v>#NAME?</v>
      </c>
      <c r="AI648" s="226" t="e">
        <f aca="false">(((xSPRDOPT($L648,$J648,$I648,$M648,$O648,$N648,$P648,$Q648-$C$3,$R648,4)*$H648)/10000)/100)-AB648</f>
        <v>#NAME?</v>
      </c>
      <c r="AJ648" s="226"/>
      <c r="CC648" s="182" t="n">
        <f aca="false">G647</f>
        <v>37012</v>
      </c>
      <c r="CD648" s="253" t="e">
        <f aca="false">xSPRDOPT((VLOOKUP(G647,NGPrices,2,FALSE())+HLOOKUP(D647,Prices,VLOOKUP(G647,move_down,2,FALSE()),FALSE())),VLOOKUP(G647,NGPrices,2,FALSE()),I647,VLOOKUP(G647,NGPREVPRICES,4,FALSE()),HLOOKUP(D647,PREVVOLS,VLOOKUP(G647,MOVE_DOWN2,2,FALSE()),FALSE()),VLOOKUP(G647,NGPREVPRICES,3,FALSE()),HLOOKUP(D647,Correllate,VLOOKUP(G647,CorMove,2,FALSE()),FALSE()),Q647-$CD$3,R647,$CD$5)*H647-CJ648</f>
        <v>#NAME?</v>
      </c>
      <c r="CE648" s="253" t="e">
        <f aca="false">xSPRDOPT((VLOOKUP(G647,NGPREVPRICES,2,FALSE())+HLOOKUP(D647,PREVCURVES,VLOOKUP(G647,MOVE_DOWN2,2,FALSE()),FALSE())),VLOOKUP(G647,NGPREVPRICES,2,FALSE()),CK648,VLOOKUP(G647,NGPrices,4,FALSE()),HLOOKUP(D647,PREVVOLS,VLOOKUP(G647,MOVE_DOWN2,2,FALSE()),FALSE()),VLOOKUP(G647,NGPREVPRICES,3,FALSE()),HLOOKUP(D647,Correllate,VLOOKUP(G647,CorMove,2,FALSE()),FALSE()),Q647-$CD$3,R647,$CJ$5)*H647-CJ648</f>
        <v>#NAME?</v>
      </c>
      <c r="CF648" s="132" t="e">
        <f aca="false">(CJ648/VLOOKUP(CC648,discount,3,FALSE()))-(CJ648/VLOOKUP(CC648,discount,2,FALSE()))</f>
        <v>#NAME?</v>
      </c>
      <c r="CG648" s="253" t="e">
        <f aca="false">xSPRDOPT((VLOOKUP(G647,NGPREVPRICES,2,FALSE())+HLOOKUP(D647,PREVCURVES,VLOOKUP(G647,MOVE_DOWN2,2,FALSE()),FALSE())),VLOOKUP(G647,NGPREVPRICES,2,FALSE()),CK648,VLOOKUP(G647,NGPREVPRICES,4,FALSE()),HLOOKUP(D647,VOLS,VLOOKUP(G647,move_down,2,FALSE()),FALSE()),VLOOKUP(G647,NGPrices,3,FALSE()),HLOOKUP(D647,Correllate,VLOOKUP(G647,CorMove,2,FALSE()),FALSE()),Q647-$CD$3,R647,$CJ$5)*H647-CJ648</f>
        <v>#NAME?</v>
      </c>
      <c r="CH648" s="253" t="e">
        <f aca="false">xSPRDOPT((VLOOKUP(G647,NGPREVPRICES,2,FALSE())+HLOOKUP(D647,PREVCURVES,VLOOKUP(G647,MOVE_DOWN2,2,FALSE()),FALSE())),VLOOKUP(G647,NGPREVPRICES,2,FALSE()),CK648,VLOOKUP(G647,NGPREVPRICES,4,FALSE()),HLOOKUP(D647,PREVVOLS,VLOOKUP(G647,MOVE_DOWN2,2,FALSE()),FALSE()),VLOOKUP(G647,NGPREVPRICES,3,FALSE()),HLOOKUP(D647,Correllate,VLOOKUP(G647,CorMove,2,FALSE()),FALSE()),Q647-$C$3,R647,$CJ$5)*H647-CJ648</f>
        <v>#NAME?</v>
      </c>
      <c r="CI648" s="253" t="e">
        <f aca="false">SUM(CD648:CH648)</f>
        <v>#NAME?</v>
      </c>
      <c r="CJ648" s="253" t="e">
        <f aca="false">xSPRDOPT((VLOOKUP(G647,NGPREVPRICES,2,FALSE())+HLOOKUP(D647,PREVCURVES,VLOOKUP(G647,MOVE_DOWN2,2,FALSE()),FALSE())),VLOOKUP(G647,NGPREVPRICES,2,FALSE()),CK648,VLOOKUP(G647,NGPREVPRICES,4,FALSE()),HLOOKUP(D647,PREVVOLS,VLOOKUP(G647,MOVE_DOWN2,2,FALSE()),FALSE()),VLOOKUP(G647,NGPREVPRICES,3,FALSE()),HLOOKUP(D647,Correllate,VLOOKUP(G647,CorMove,2,FALSE()),FALSE()),Q647-$CD$3,R647,$CJ$5)*H647</f>
        <v>#NAME?</v>
      </c>
      <c r="CK648" s="254" t="n">
        <f aca="false">I647</f>
        <v>0.3</v>
      </c>
      <c r="CM648" s="0" t="str">
        <f aca="false">CONCATENATE(CC648,$CD$6)</f>
        <v>37012Curve Shift/Gamma</v>
      </c>
      <c r="CN648" s="0" t="str">
        <f aca="false">CONCATENATE($CC648,$CE$6)</f>
        <v>37012Rho</v>
      </c>
      <c r="CO648" s="0" t="str">
        <f aca="false">CONCATENATE($CC648,$CF$6)</f>
        <v>37012Drift</v>
      </c>
      <c r="CP648" s="0" t="str">
        <f aca="false">CONCATENATE($CC648,$CG$6)</f>
        <v>37012Vega</v>
      </c>
      <c r="CQ648" s="0" t="str">
        <f aca="false">CONCATENATE($CC648,$CH$6)</f>
        <v>37012Theta</v>
      </c>
    </row>
    <row r="649" customFormat="false" ht="12.75" hidden="false" customHeight="false" outlineLevel="0" collapsed="false">
      <c r="A649" s="17" t="s">
        <v>210</v>
      </c>
      <c r="B649" s="0" t="s">
        <v>192</v>
      </c>
      <c r="C649" s="0" t="s">
        <v>413</v>
      </c>
      <c r="D649" s="7" t="s">
        <v>149</v>
      </c>
      <c r="E649" s="0" t="s">
        <v>131</v>
      </c>
      <c r="F649" s="0" t="s">
        <v>132</v>
      </c>
      <c r="G649" s="92" t="n">
        <v>37073</v>
      </c>
      <c r="H649" s="248" t="n">
        <v>310000</v>
      </c>
      <c r="I649" s="254" t="n">
        <v>0.3</v>
      </c>
      <c r="J649" s="124" t="n">
        <f aca="false">VLOOKUP(G649,NGPrices,2,FALSE())</f>
        <v>3.803</v>
      </c>
      <c r="K649" s="125" t="n">
        <f aca="false">HLOOKUP(D649,Prices,VLOOKUP(G649,move_down,2,FALSE()),FALSE())+VLOOKUP(G649,CHANGE,HLOOKUP(D649,CHANGE,2,FALSE()),FALSE())</f>
        <v>0.46</v>
      </c>
      <c r="L649" s="124" t="n">
        <f aca="false">K649+J649</f>
        <v>4.263</v>
      </c>
      <c r="M649" s="126" t="n">
        <f aca="false">VLOOKUP(G649,NGPrices,4,FALSE())</f>
        <v>0.069181571268568</v>
      </c>
      <c r="N649" s="7" t="n">
        <f aca="false">VLOOKUP(G649,NGPrices,3,FALSE())</f>
        <v>0.4</v>
      </c>
      <c r="O649" s="7" t="n">
        <f aca="false">HLOOKUP(D649,VOLS,VLOOKUP(G649,move_down,2,FALSE()),FALSE())</f>
        <v>0.392</v>
      </c>
      <c r="P649" s="249" t="n">
        <f aca="false">HLOOKUP(D649,Correllate,VLOOKUP(G649,CorMove,2,FALSE()),FALSE())</f>
        <v>0.9738</v>
      </c>
      <c r="Q649" s="92" t="n">
        <f aca="false">WORKDAY(G649,-2)</f>
        <v>37070</v>
      </c>
      <c r="R649" s="7" t="n">
        <f aca="false">IF(F649="P",0,1)</f>
        <v>0</v>
      </c>
      <c r="S649" s="130" t="e">
        <f aca="false">xSPRDOPT($L649,$J649,$I649,$M649,$O649,$N649,$P649,$Q649-$C$3,$R649,0)</f>
        <v>#NAME?</v>
      </c>
      <c r="T649" s="250" t="e">
        <f aca="false">xSPRDOPT($L649,$J649,$I649,$M649,$O649,$N649,$P649,$Q649-$C$3,$R649,1)*H649</f>
        <v>#NAME?</v>
      </c>
      <c r="U649" s="43" t="e">
        <f aca="false">S649*H649</f>
        <v>#NAME?</v>
      </c>
      <c r="V649" s="250" t="e">
        <f aca="false">xSPRDOPT($L649,$J649,$I649,$M649,$O649,$N649,$P649,$Q649-$C$3,$R649,2)*H649</f>
        <v>#NAME?</v>
      </c>
      <c r="W649" s="250" t="e">
        <f aca="false">+V649+T649</f>
        <v>#NAME?</v>
      </c>
      <c r="X649" s="2" t="str">
        <f aca="false">CONCATENATE(G649,D649)</f>
        <v>37073IF-TRANSCO/Z6</v>
      </c>
      <c r="Y649" s="251" t="n">
        <f aca="false">H649/10000</f>
        <v>31</v>
      </c>
      <c r="Z649" s="226" t="e">
        <f aca="false">T649/H649</f>
        <v>#NAME?</v>
      </c>
      <c r="AA649" s="226" t="e">
        <f aca="false">xSPRDOPT($L649,$J649,$I649,$M649,$O649,$N649,$P649,$Q649-$C$3,$R649,3)</f>
        <v>#NAME?</v>
      </c>
      <c r="AB649" s="226" t="e">
        <f aca="false">((xSPRDOPT($L649+AB$5,$J649,$I649,$M649,$O649,$N649,$P649,$Q649-$C$3,$R649,3)*$H649)/10000)/100</f>
        <v>#NAME?</v>
      </c>
      <c r="AC649" s="226" t="e">
        <f aca="false">((xSPRDOPT($L649+$AB$5,$J649,$I649,$M649,$O649,$N649,$P649,$Q649-$C$3,$R649,7)*$H649)/100)</f>
        <v>#NAME?</v>
      </c>
      <c r="AD649" s="226" t="e">
        <f aca="false">(xSPRDOPT($L649+$AB$5,$J649,$I649,$M649,$O649,$N649,$P649,$Q649-$C$3,$R649,9)/365)*$H649</f>
        <v>#NAME?</v>
      </c>
      <c r="AE649" s="0" t="e">
        <f aca="false">CD650</f>
        <v>#NAME?</v>
      </c>
      <c r="AF649" s="226" t="e">
        <f aca="false">((O649/N649)*AH649)+AG649</f>
        <v>#NAME?</v>
      </c>
      <c r="AG649" s="226" t="e">
        <f aca="false">((xSPRDOPT($L649,$J649,$I649,$M649,$O649,$N649,$P649,$Q649-$C$3,$R649,6)*$H649)/100)</f>
        <v>#NAME?</v>
      </c>
      <c r="AH649" s="226" t="e">
        <f aca="false">((xSPRDOPT($L649,$J649,$I649,$M649,$O649,$N649,$P649,$Q649-$C$3,$R649,5)*$H649)/100)</f>
        <v>#NAME?</v>
      </c>
      <c r="AI649" s="226" t="e">
        <f aca="false">(((xSPRDOPT($L649,$J649,$I649,$M649,$O649,$N649,$P649,$Q649-$C$3,$R649,4)*$H649)/10000)/100)-AB649</f>
        <v>#NAME?</v>
      </c>
      <c r="AJ649" s="226"/>
      <c r="CC649" s="182" t="n">
        <f aca="false">G648</f>
        <v>37043</v>
      </c>
      <c r="CD649" s="253" t="e">
        <f aca="false">xSPRDOPT((VLOOKUP(G648,NGPrices,2,FALSE())+HLOOKUP(D648,Prices,VLOOKUP(G648,move_down,2,FALSE()),FALSE())),VLOOKUP(G648,NGPrices,2,FALSE()),I648,VLOOKUP(G648,NGPREVPRICES,4,FALSE()),HLOOKUP(D648,PREVVOLS,VLOOKUP(G648,MOVE_DOWN2,2,FALSE()),FALSE()),VLOOKUP(G648,NGPREVPRICES,3,FALSE()),HLOOKUP(D648,Correllate,VLOOKUP(G648,CorMove,2,FALSE()),FALSE()),Q648-$CD$3,R648,$CD$5)*H648-CJ649</f>
        <v>#NAME?</v>
      </c>
      <c r="CE649" s="253" t="e">
        <f aca="false">xSPRDOPT((VLOOKUP(G648,NGPREVPRICES,2,FALSE())+HLOOKUP(D648,PREVCURVES,VLOOKUP(G648,MOVE_DOWN2,2,FALSE()),FALSE())),VLOOKUP(G648,NGPREVPRICES,2,FALSE()),CK649,VLOOKUP(G648,NGPrices,4,FALSE()),HLOOKUP(D648,PREVVOLS,VLOOKUP(G648,MOVE_DOWN2,2,FALSE()),FALSE()),VLOOKUP(G648,NGPREVPRICES,3,FALSE()),HLOOKUP(D648,Correllate,VLOOKUP(G648,CorMove,2,FALSE()),FALSE()),Q648-$CD$3,R648,$CJ$5)*H648-CJ649</f>
        <v>#NAME?</v>
      </c>
      <c r="CF649" s="132" t="e">
        <f aca="false">(CJ649/VLOOKUP(CC649,discount,3,FALSE()))-(CJ649/VLOOKUP(CC649,discount,2,FALSE()))</f>
        <v>#NAME?</v>
      </c>
      <c r="CG649" s="253" t="e">
        <f aca="false">xSPRDOPT((VLOOKUP(G648,NGPREVPRICES,2,FALSE())+HLOOKUP(D648,PREVCURVES,VLOOKUP(G648,MOVE_DOWN2,2,FALSE()),FALSE())),VLOOKUP(G648,NGPREVPRICES,2,FALSE()),CK649,VLOOKUP(G648,NGPREVPRICES,4,FALSE()),HLOOKUP(D648,VOLS,VLOOKUP(G648,move_down,2,FALSE()),FALSE()),VLOOKUP(G648,NGPrices,3,FALSE()),HLOOKUP(D648,Correllate,VLOOKUP(G648,CorMove,2,FALSE()),FALSE()),Q648-$CD$3,R648,$CJ$5)*H648-CJ649</f>
        <v>#NAME?</v>
      </c>
      <c r="CH649" s="253" t="e">
        <f aca="false">xSPRDOPT((VLOOKUP(G648,NGPREVPRICES,2,FALSE())+HLOOKUP(D648,PREVCURVES,VLOOKUP(G648,MOVE_DOWN2,2,FALSE()),FALSE())),VLOOKUP(G648,NGPREVPRICES,2,FALSE()),CK649,VLOOKUP(G648,NGPREVPRICES,4,FALSE()),HLOOKUP(D648,PREVVOLS,VLOOKUP(G648,MOVE_DOWN2,2,FALSE()),FALSE()),VLOOKUP(G648,NGPREVPRICES,3,FALSE()),HLOOKUP(D648,Correllate,VLOOKUP(G648,CorMove,2,FALSE()),FALSE()),Q648-$C$3,R648,$CJ$5)*H648-CJ649</f>
        <v>#NAME?</v>
      </c>
      <c r="CI649" s="253" t="e">
        <f aca="false">SUM(CD649:CH649)</f>
        <v>#NAME?</v>
      </c>
      <c r="CJ649" s="253" t="e">
        <f aca="false">xSPRDOPT((VLOOKUP(G648,NGPREVPRICES,2,FALSE())+HLOOKUP(D648,PREVCURVES,VLOOKUP(G648,MOVE_DOWN2,2,FALSE()),FALSE())),VLOOKUP(G648,NGPREVPRICES,2,FALSE()),CK649,VLOOKUP(G648,NGPREVPRICES,4,FALSE()),HLOOKUP(D648,PREVVOLS,VLOOKUP(G648,MOVE_DOWN2,2,FALSE()),FALSE()),VLOOKUP(G648,NGPREVPRICES,3,FALSE()),HLOOKUP(D648,Correllate,VLOOKUP(G648,CorMove,2,FALSE()),FALSE()),Q648-$CD$3,R648,$CJ$5)*H648</f>
        <v>#NAME?</v>
      </c>
      <c r="CK649" s="254" t="n">
        <f aca="false">I648</f>
        <v>0.3</v>
      </c>
      <c r="CM649" s="0" t="str">
        <f aca="false">CONCATENATE(CC649,$CD$6)</f>
        <v>37043Curve Shift/Gamma</v>
      </c>
      <c r="CN649" s="0" t="str">
        <f aca="false">CONCATENATE($CC649,$CE$6)</f>
        <v>37043Rho</v>
      </c>
      <c r="CO649" s="0" t="str">
        <f aca="false">CONCATENATE($CC649,$CF$6)</f>
        <v>37043Drift</v>
      </c>
      <c r="CP649" s="0" t="str">
        <f aca="false">CONCATENATE($CC649,$CG$6)</f>
        <v>37043Vega</v>
      </c>
      <c r="CQ649" s="0" t="str">
        <f aca="false">CONCATENATE($CC649,$CH$6)</f>
        <v>37043Theta</v>
      </c>
    </row>
    <row r="650" customFormat="false" ht="12.75" hidden="false" customHeight="false" outlineLevel="0" collapsed="false">
      <c r="A650" s="17" t="s">
        <v>210</v>
      </c>
      <c r="B650" s="0" t="s">
        <v>192</v>
      </c>
      <c r="C650" s="0" t="s">
        <v>413</v>
      </c>
      <c r="D650" s="7" t="s">
        <v>149</v>
      </c>
      <c r="E650" s="0" t="s">
        <v>131</v>
      </c>
      <c r="F650" s="0" t="s">
        <v>132</v>
      </c>
      <c r="G650" s="92" t="n">
        <v>37104</v>
      </c>
      <c r="H650" s="248" t="n">
        <v>310000</v>
      </c>
      <c r="I650" s="254" t="n">
        <v>0.3</v>
      </c>
      <c r="J650" s="124" t="n">
        <f aca="false">VLOOKUP(G650,NGPrices,2,FALSE())</f>
        <v>3.808</v>
      </c>
      <c r="K650" s="125" t="n">
        <f aca="false">HLOOKUP(D650,Prices,VLOOKUP(G650,move_down,2,FALSE()),FALSE())+VLOOKUP(G650,CHANGE,HLOOKUP(D650,CHANGE,2,FALSE()),FALSE())</f>
        <v>0.46</v>
      </c>
      <c r="L650" s="124" t="n">
        <f aca="false">K650+J650</f>
        <v>4.268</v>
      </c>
      <c r="M650" s="126" t="n">
        <f aca="false">VLOOKUP(G650,NGPrices,4,FALSE())</f>
        <v>0.069223060737755</v>
      </c>
      <c r="N650" s="7" t="n">
        <f aca="false">VLOOKUP(G650,NGPrices,3,FALSE())</f>
        <v>0.4</v>
      </c>
      <c r="O650" s="7" t="n">
        <f aca="false">HLOOKUP(D650,VOLS,VLOOKUP(G650,move_down,2,FALSE()),FALSE())</f>
        <v>0.392</v>
      </c>
      <c r="P650" s="249" t="n">
        <f aca="false">HLOOKUP(D650,Correllate,VLOOKUP(G650,CorMove,2,FALSE()),FALSE())</f>
        <v>0.9738</v>
      </c>
      <c r="Q650" s="92" t="n">
        <f aca="false">WORKDAY(G650,-2)</f>
        <v>37102</v>
      </c>
      <c r="R650" s="7" t="n">
        <f aca="false">IF(F650="P",0,1)</f>
        <v>0</v>
      </c>
      <c r="S650" s="130" t="e">
        <f aca="false">xSPRDOPT($L650,$J650,$I650,$M650,$O650,$N650,$P650,$Q650-$C$3,$R650,0)</f>
        <v>#NAME?</v>
      </c>
      <c r="T650" s="250" t="e">
        <f aca="false">xSPRDOPT($L650,$J650,$I650,$M650,$O650,$N650,$P650,$Q650-$C$3,$R650,1)*H650</f>
        <v>#NAME?</v>
      </c>
      <c r="U650" s="43" t="e">
        <f aca="false">S650*H650</f>
        <v>#NAME?</v>
      </c>
      <c r="V650" s="250" t="e">
        <f aca="false">xSPRDOPT($L650,$J650,$I650,$M650,$O650,$N650,$P650,$Q650-$C$3,$R650,2)*H650</f>
        <v>#NAME?</v>
      </c>
      <c r="W650" s="250" t="e">
        <f aca="false">+V650+T650</f>
        <v>#NAME?</v>
      </c>
      <c r="X650" s="2" t="str">
        <f aca="false">CONCATENATE(G650,D650)</f>
        <v>37104IF-TRANSCO/Z6</v>
      </c>
      <c r="Y650" s="251" t="n">
        <f aca="false">H650/10000</f>
        <v>31</v>
      </c>
      <c r="Z650" s="226" t="e">
        <f aca="false">T650/H650</f>
        <v>#NAME?</v>
      </c>
      <c r="AA650" s="226" t="e">
        <f aca="false">xSPRDOPT($L650,$J650,$I650,$M650,$O650,$N650,$P650,$Q650-$C$3,$R650,3)</f>
        <v>#NAME?</v>
      </c>
      <c r="AB650" s="226" t="e">
        <f aca="false">((xSPRDOPT($L650+AB$5,$J650,$I650,$M650,$O650,$N650,$P650,$Q650-$C$3,$R650,3)*$H650)/10000)/100</f>
        <v>#NAME?</v>
      </c>
      <c r="AC650" s="226" t="e">
        <f aca="false">((xSPRDOPT($L650+$AB$5,$J650,$I650,$M650,$O650,$N650,$P650,$Q650-$C$3,$R650,7)*$H650)/100)</f>
        <v>#NAME?</v>
      </c>
      <c r="AD650" s="226" t="e">
        <f aca="false">(xSPRDOPT($L650+$AB$5,$J650,$I650,$M650,$O650,$N650,$P650,$Q650-$C$3,$R650,9)/365)*$H650</f>
        <v>#NAME?</v>
      </c>
      <c r="AE650" s="0" t="e">
        <f aca="false">CD651</f>
        <v>#NAME?</v>
      </c>
      <c r="AF650" s="226" t="e">
        <f aca="false">((O650/N650)*AH650)+AG650</f>
        <v>#NAME?</v>
      </c>
      <c r="AG650" s="226" t="e">
        <f aca="false">((xSPRDOPT($L650,$J650,$I650,$M650,$O650,$N650,$P650,$Q650-$C$3,$R650,6)*$H650)/100)</f>
        <v>#NAME?</v>
      </c>
      <c r="AH650" s="226" t="e">
        <f aca="false">((xSPRDOPT($L650,$J650,$I650,$M650,$O650,$N650,$P650,$Q650-$C$3,$R650,5)*$H650)/100)</f>
        <v>#NAME?</v>
      </c>
      <c r="AI650" s="226" t="e">
        <f aca="false">(((xSPRDOPT($L650,$J650,$I650,$M650,$O650,$N650,$P650,$Q650-$C$3,$R650,4)*$H650)/10000)/100)-AB650</f>
        <v>#NAME?</v>
      </c>
      <c r="AJ650" s="226"/>
      <c r="CC650" s="182" t="n">
        <f aca="false">G649</f>
        <v>37073</v>
      </c>
      <c r="CD650" s="253" t="e">
        <f aca="false">xSPRDOPT((VLOOKUP(G649,NGPrices,2,FALSE())+HLOOKUP(D649,Prices,VLOOKUP(G649,move_down,2,FALSE()),FALSE())),VLOOKUP(G649,NGPrices,2,FALSE()),I649,VLOOKUP(G649,NGPREVPRICES,4,FALSE()),HLOOKUP(D649,PREVVOLS,VLOOKUP(G649,MOVE_DOWN2,2,FALSE()),FALSE()),VLOOKUP(G649,NGPREVPRICES,3,FALSE()),HLOOKUP(D649,Correllate,VLOOKUP(G649,CorMove,2,FALSE()),FALSE()),Q649-$CD$3,R649,$CD$5)*H649-CJ650</f>
        <v>#NAME?</v>
      </c>
      <c r="CE650" s="253" t="e">
        <f aca="false">xSPRDOPT((VLOOKUP(G649,NGPREVPRICES,2,FALSE())+HLOOKUP(D649,PREVCURVES,VLOOKUP(G649,MOVE_DOWN2,2,FALSE()),FALSE())),VLOOKUP(G649,NGPREVPRICES,2,FALSE()),CK650,VLOOKUP(G649,NGPrices,4,FALSE()),HLOOKUP(D649,PREVVOLS,VLOOKUP(G649,MOVE_DOWN2,2,FALSE()),FALSE()),VLOOKUP(G649,NGPREVPRICES,3,FALSE()),HLOOKUP(D649,Correllate,VLOOKUP(G649,CorMove,2,FALSE()),FALSE()),Q649-$CD$3,R649,$CJ$5)*H649-CJ650</f>
        <v>#NAME?</v>
      </c>
      <c r="CF650" s="132" t="e">
        <f aca="false">(CJ650/VLOOKUP(CC650,discount,3,FALSE()))-(CJ650/VLOOKUP(CC650,discount,2,FALSE()))</f>
        <v>#NAME?</v>
      </c>
      <c r="CG650" s="253" t="e">
        <f aca="false">xSPRDOPT((VLOOKUP(G649,NGPREVPRICES,2,FALSE())+HLOOKUP(D649,PREVCURVES,VLOOKUP(G649,MOVE_DOWN2,2,FALSE()),FALSE())),VLOOKUP(G649,NGPREVPRICES,2,FALSE()),CK650,VLOOKUP(G649,NGPREVPRICES,4,FALSE()),HLOOKUP(D649,VOLS,VLOOKUP(G649,move_down,2,FALSE()),FALSE()),VLOOKUP(G649,NGPrices,3,FALSE()),HLOOKUP(D649,Correllate,VLOOKUP(G649,CorMove,2,FALSE()),FALSE()),Q649-$CD$3,R649,$CJ$5)*H649-CJ650</f>
        <v>#NAME?</v>
      </c>
      <c r="CH650" s="253" t="e">
        <f aca="false">xSPRDOPT((VLOOKUP(G649,NGPREVPRICES,2,FALSE())+HLOOKUP(D649,PREVCURVES,VLOOKUP(G649,MOVE_DOWN2,2,FALSE()),FALSE())),VLOOKUP(G649,NGPREVPRICES,2,FALSE()),CK650,VLOOKUP(G649,NGPREVPRICES,4,FALSE()),HLOOKUP(D649,PREVVOLS,VLOOKUP(G649,MOVE_DOWN2,2,FALSE()),FALSE()),VLOOKUP(G649,NGPREVPRICES,3,FALSE()),HLOOKUP(D649,Correllate,VLOOKUP(G649,CorMove,2,FALSE()),FALSE()),Q649-$C$3,R649,$CJ$5)*H649-CJ650</f>
        <v>#NAME?</v>
      </c>
      <c r="CI650" s="253" t="e">
        <f aca="false">SUM(CD650:CH650)</f>
        <v>#NAME?</v>
      </c>
      <c r="CJ650" s="253" t="e">
        <f aca="false">xSPRDOPT((VLOOKUP(G649,NGPREVPRICES,2,FALSE())+HLOOKUP(D649,PREVCURVES,VLOOKUP(G649,MOVE_DOWN2,2,FALSE()),FALSE())),VLOOKUP(G649,NGPREVPRICES,2,FALSE()),CK650,VLOOKUP(G649,NGPREVPRICES,4,FALSE()),HLOOKUP(D649,PREVVOLS,VLOOKUP(G649,MOVE_DOWN2,2,FALSE()),FALSE()),VLOOKUP(G649,NGPREVPRICES,3,FALSE()),HLOOKUP(D649,Correllate,VLOOKUP(G649,CorMove,2,FALSE()),FALSE()),Q649-$CD$3,R649,$CJ$5)*H649</f>
        <v>#NAME?</v>
      </c>
      <c r="CK650" s="254" t="n">
        <f aca="false">I649</f>
        <v>0.3</v>
      </c>
      <c r="CM650" s="0" t="str">
        <f aca="false">CONCATENATE(CC650,$CD$6)</f>
        <v>37073Curve Shift/Gamma</v>
      </c>
      <c r="CN650" s="0" t="str">
        <f aca="false">CONCATENATE($CC650,$CE$6)</f>
        <v>37073Rho</v>
      </c>
      <c r="CO650" s="0" t="str">
        <f aca="false">CONCATENATE($CC650,$CF$6)</f>
        <v>37073Drift</v>
      </c>
      <c r="CP650" s="0" t="str">
        <f aca="false">CONCATENATE($CC650,$CG$6)</f>
        <v>37073Vega</v>
      </c>
      <c r="CQ650" s="0" t="str">
        <f aca="false">CONCATENATE($CC650,$CH$6)</f>
        <v>37073Theta</v>
      </c>
    </row>
    <row r="651" customFormat="false" ht="12.75" hidden="false" customHeight="false" outlineLevel="0" collapsed="false">
      <c r="A651" s="17" t="s">
        <v>210</v>
      </c>
      <c r="B651" s="0" t="s">
        <v>192</v>
      </c>
      <c r="C651" s="0" t="s">
        <v>413</v>
      </c>
      <c r="D651" s="7" t="s">
        <v>149</v>
      </c>
      <c r="E651" s="0" t="s">
        <v>131</v>
      </c>
      <c r="F651" s="0" t="s">
        <v>132</v>
      </c>
      <c r="G651" s="92" t="n">
        <v>37135</v>
      </c>
      <c r="H651" s="248" t="n">
        <v>300000</v>
      </c>
      <c r="I651" s="254" t="n">
        <v>0.3</v>
      </c>
      <c r="J651" s="124" t="n">
        <f aca="false">VLOOKUP(G651,NGPrices,2,FALSE())</f>
        <v>3.788</v>
      </c>
      <c r="K651" s="125" t="n">
        <f aca="false">HLOOKUP(D651,Prices,VLOOKUP(G651,move_down,2,FALSE()),FALSE())+VLOOKUP(G651,CHANGE,HLOOKUP(D651,CHANGE,2,FALSE()),FALSE())</f>
        <v>0.395</v>
      </c>
      <c r="L651" s="124" t="n">
        <f aca="false">K651+J651</f>
        <v>4.183</v>
      </c>
      <c r="M651" s="126" t="n">
        <f aca="false">VLOOKUP(G651,NGPrices,4,FALSE())</f>
        <v>0.069264550207512</v>
      </c>
      <c r="N651" s="7" t="n">
        <f aca="false">VLOOKUP(G651,NGPrices,3,FALSE())</f>
        <v>0.4</v>
      </c>
      <c r="O651" s="7" t="n">
        <f aca="false">HLOOKUP(D651,VOLS,VLOOKUP(G651,move_down,2,FALSE()),FALSE())</f>
        <v>0.392</v>
      </c>
      <c r="P651" s="249" t="n">
        <f aca="false">HLOOKUP(D651,Correllate,VLOOKUP(G651,CorMove,2,FALSE()),FALSE())</f>
        <v>0.9738</v>
      </c>
      <c r="Q651" s="92" t="n">
        <f aca="false">WORKDAY(G651,-2)</f>
        <v>37133</v>
      </c>
      <c r="R651" s="7" t="n">
        <f aca="false">IF(F651="P",0,1)</f>
        <v>0</v>
      </c>
      <c r="S651" s="130" t="e">
        <f aca="false">xSPRDOPT($L651,$J651,$I651,$M651,$O651,$N651,$P651,$Q651-$C$3,$R651,0)</f>
        <v>#NAME?</v>
      </c>
      <c r="T651" s="250" t="e">
        <f aca="false">xSPRDOPT($L651,$J651,$I651,$M651,$O651,$N651,$P651,$Q651-$C$3,$R651,1)*H651</f>
        <v>#NAME?</v>
      </c>
      <c r="U651" s="43" t="e">
        <f aca="false">S651*H651</f>
        <v>#NAME?</v>
      </c>
      <c r="V651" s="250" t="e">
        <f aca="false">xSPRDOPT($L651,$J651,$I651,$M651,$O651,$N651,$P651,$Q651-$C$3,$R651,2)*H651</f>
        <v>#NAME?</v>
      </c>
      <c r="W651" s="250" t="e">
        <f aca="false">+V651+T651</f>
        <v>#NAME?</v>
      </c>
      <c r="X651" s="2" t="str">
        <f aca="false">CONCATENATE(G651,D651)</f>
        <v>37135IF-TRANSCO/Z6</v>
      </c>
      <c r="Y651" s="251" t="n">
        <f aca="false">H651/10000</f>
        <v>30</v>
      </c>
      <c r="Z651" s="226" t="e">
        <f aca="false">T651/H651</f>
        <v>#NAME?</v>
      </c>
      <c r="AA651" s="226" t="e">
        <f aca="false">xSPRDOPT($L651,$J651,$I651,$M651,$O651,$N651,$P651,$Q651-$C$3,$R651,3)</f>
        <v>#NAME?</v>
      </c>
      <c r="AB651" s="226" t="e">
        <f aca="false">((xSPRDOPT($L651+AB$5,$J651,$I651,$M651,$O651,$N651,$P651,$Q651-$C$3,$R651,3)*$H651)/10000)/100</f>
        <v>#NAME?</v>
      </c>
      <c r="AC651" s="226" t="e">
        <f aca="false">((xSPRDOPT($L651+$AB$5,$J651,$I651,$M651,$O651,$N651,$P651,$Q651-$C$3,$R651,7)*$H651)/100)</f>
        <v>#NAME?</v>
      </c>
      <c r="AD651" s="226" t="e">
        <f aca="false">(xSPRDOPT($L651+$AB$5,$J651,$I651,$M651,$O651,$N651,$P651,$Q651-$C$3,$R651,9)/365)*$H651</f>
        <v>#NAME?</v>
      </c>
      <c r="AE651" s="0" t="e">
        <f aca="false">CD652</f>
        <v>#NAME?</v>
      </c>
      <c r="AF651" s="226" t="e">
        <f aca="false">((O651/N651)*AH651)+AG651</f>
        <v>#NAME?</v>
      </c>
      <c r="AG651" s="226" t="e">
        <f aca="false">((xSPRDOPT($L651,$J651,$I651,$M651,$O651,$N651,$P651,$Q651-$C$3,$R651,6)*$H651)/100)</f>
        <v>#NAME?</v>
      </c>
      <c r="AH651" s="226" t="e">
        <f aca="false">((xSPRDOPT($L651,$J651,$I651,$M651,$O651,$N651,$P651,$Q651-$C$3,$R651,5)*$H651)/100)</f>
        <v>#NAME?</v>
      </c>
      <c r="AI651" s="226" t="e">
        <f aca="false">(((xSPRDOPT($L651,$J651,$I651,$M651,$O651,$N651,$P651,$Q651-$C$3,$R651,4)*$H651)/10000)/100)-AB651</f>
        <v>#NAME?</v>
      </c>
      <c r="AJ651" s="226"/>
      <c r="CC651" s="182" t="n">
        <f aca="false">G650</f>
        <v>37104</v>
      </c>
      <c r="CD651" s="253" t="e">
        <f aca="false">xSPRDOPT((VLOOKUP(G650,NGPrices,2,FALSE())+HLOOKUP(D650,Prices,VLOOKUP(G650,move_down,2,FALSE()),FALSE())),VLOOKUP(G650,NGPrices,2,FALSE()),I650,VLOOKUP(G650,NGPREVPRICES,4,FALSE()),HLOOKUP(D650,PREVVOLS,VLOOKUP(G650,MOVE_DOWN2,2,FALSE()),FALSE()),VLOOKUP(G650,NGPREVPRICES,3,FALSE()),HLOOKUP(D650,Correllate,VLOOKUP(G650,CorMove,2,FALSE()),FALSE()),Q650-$CD$3,R650,$CD$5)*H650-CJ651</f>
        <v>#NAME?</v>
      </c>
      <c r="CE651" s="253" t="e">
        <f aca="false">xSPRDOPT((VLOOKUP(G650,NGPREVPRICES,2,FALSE())+HLOOKUP(D650,PREVCURVES,VLOOKUP(G650,MOVE_DOWN2,2,FALSE()),FALSE())),VLOOKUP(G650,NGPREVPRICES,2,FALSE()),CK651,VLOOKUP(G650,NGPrices,4,FALSE()),HLOOKUP(D650,PREVVOLS,VLOOKUP(G650,MOVE_DOWN2,2,FALSE()),FALSE()),VLOOKUP(G650,NGPREVPRICES,3,FALSE()),HLOOKUP(D650,Correllate,VLOOKUP(G650,CorMove,2,FALSE()),FALSE()),Q650-$CD$3,R650,$CJ$5)*H650-CJ651</f>
        <v>#NAME?</v>
      </c>
      <c r="CF651" s="132" t="e">
        <f aca="false">(CJ651/VLOOKUP(CC651,discount,3,FALSE()))-(CJ651/VLOOKUP(CC651,discount,2,FALSE()))</f>
        <v>#NAME?</v>
      </c>
      <c r="CG651" s="253" t="e">
        <f aca="false">xSPRDOPT((VLOOKUP(G650,NGPREVPRICES,2,FALSE())+HLOOKUP(D650,PREVCURVES,VLOOKUP(G650,MOVE_DOWN2,2,FALSE()),FALSE())),VLOOKUP(G650,NGPREVPRICES,2,FALSE()),CK651,VLOOKUP(G650,NGPREVPRICES,4,FALSE()),HLOOKUP(D650,VOLS,VLOOKUP(G650,move_down,2,FALSE()),FALSE()),VLOOKUP(G650,NGPrices,3,FALSE()),HLOOKUP(D650,Correllate,VLOOKUP(G650,CorMove,2,FALSE()),FALSE()),Q650-$CD$3,R650,$CJ$5)*H650-CJ651</f>
        <v>#NAME?</v>
      </c>
      <c r="CH651" s="253" t="e">
        <f aca="false">xSPRDOPT((VLOOKUP(G650,NGPREVPRICES,2,FALSE())+HLOOKUP(D650,PREVCURVES,VLOOKUP(G650,MOVE_DOWN2,2,FALSE()),FALSE())),VLOOKUP(G650,NGPREVPRICES,2,FALSE()),CK651,VLOOKUP(G650,NGPREVPRICES,4,FALSE()),HLOOKUP(D650,PREVVOLS,VLOOKUP(G650,MOVE_DOWN2,2,FALSE()),FALSE()),VLOOKUP(G650,NGPREVPRICES,3,FALSE()),HLOOKUP(D650,Correllate,VLOOKUP(G650,CorMove,2,FALSE()),FALSE()),Q650-$C$3,R650,$CJ$5)*H650-CJ651</f>
        <v>#NAME?</v>
      </c>
      <c r="CI651" s="253" t="e">
        <f aca="false">SUM(CD651:CH651)</f>
        <v>#NAME?</v>
      </c>
      <c r="CJ651" s="253" t="e">
        <f aca="false">xSPRDOPT((VLOOKUP(G650,NGPREVPRICES,2,FALSE())+HLOOKUP(D650,PREVCURVES,VLOOKUP(G650,MOVE_DOWN2,2,FALSE()),FALSE())),VLOOKUP(G650,NGPREVPRICES,2,FALSE()),CK651,VLOOKUP(G650,NGPREVPRICES,4,FALSE()),HLOOKUP(D650,PREVVOLS,VLOOKUP(G650,MOVE_DOWN2,2,FALSE()),FALSE()),VLOOKUP(G650,NGPREVPRICES,3,FALSE()),HLOOKUP(D650,Correllate,VLOOKUP(G650,CorMove,2,FALSE()),FALSE()),Q650-$CD$3,R650,$CJ$5)*H650</f>
        <v>#NAME?</v>
      </c>
      <c r="CK651" s="254" t="n">
        <f aca="false">I650</f>
        <v>0.3</v>
      </c>
      <c r="CM651" s="0" t="str">
        <f aca="false">CONCATENATE(CC651,$CD$6)</f>
        <v>37104Curve Shift/Gamma</v>
      </c>
      <c r="CN651" s="0" t="str">
        <f aca="false">CONCATENATE($CC651,$CE$6)</f>
        <v>37104Rho</v>
      </c>
      <c r="CO651" s="0" t="str">
        <f aca="false">CONCATENATE($CC651,$CF$6)</f>
        <v>37104Drift</v>
      </c>
      <c r="CP651" s="0" t="str">
        <f aca="false">CONCATENATE($CC651,$CG$6)</f>
        <v>37104Vega</v>
      </c>
      <c r="CQ651" s="0" t="str">
        <f aca="false">CONCATENATE($CC651,$CH$6)</f>
        <v>37104Theta</v>
      </c>
    </row>
    <row r="652" customFormat="false" ht="12.75" hidden="false" customHeight="false" outlineLevel="0" collapsed="false">
      <c r="A652" s="17" t="s">
        <v>210</v>
      </c>
      <c r="B652" s="0" t="s">
        <v>192</v>
      </c>
      <c r="C652" s="0" t="s">
        <v>413</v>
      </c>
      <c r="D652" s="7" t="s">
        <v>149</v>
      </c>
      <c r="E652" s="0" t="s">
        <v>131</v>
      </c>
      <c r="F652" s="0" t="s">
        <v>132</v>
      </c>
      <c r="G652" s="92" t="n">
        <v>37165</v>
      </c>
      <c r="H652" s="248" t="n">
        <v>310000</v>
      </c>
      <c r="I652" s="254" t="n">
        <v>0.3</v>
      </c>
      <c r="J652" s="124" t="n">
        <f aca="false">VLOOKUP(G652,NGPrices,2,FALSE())</f>
        <v>3.773</v>
      </c>
      <c r="K652" s="125" t="n">
        <f aca="false">HLOOKUP(D652,Prices,VLOOKUP(G652,move_down,2,FALSE()),FALSE())+VLOOKUP(G652,CHANGE,HLOOKUP(D652,CHANGE,2,FALSE()),FALSE())</f>
        <v>0.461</v>
      </c>
      <c r="L652" s="124" t="n">
        <f aca="false">K652+J652</f>
        <v>4.234</v>
      </c>
      <c r="M652" s="126" t="n">
        <f aca="false">VLOOKUP(G652,NGPrices,4,FALSE())</f>
        <v>0.069300944538364</v>
      </c>
      <c r="N652" s="7" t="n">
        <f aca="false">VLOOKUP(G652,NGPrices,3,FALSE())</f>
        <v>0.4025</v>
      </c>
      <c r="O652" s="7" t="n">
        <f aca="false">HLOOKUP(D652,VOLS,VLOOKUP(G652,move_down,2,FALSE()),FALSE())</f>
        <v>0.394</v>
      </c>
      <c r="P652" s="249" t="n">
        <f aca="false">HLOOKUP(D652,Correllate,VLOOKUP(G652,CorMove,2,FALSE()),FALSE())</f>
        <v>0.9738</v>
      </c>
      <c r="Q652" s="92" t="n">
        <f aca="false">WORKDAY(G652,-2)</f>
        <v>37161</v>
      </c>
      <c r="R652" s="7" t="n">
        <f aca="false">IF(F652="P",0,1)</f>
        <v>0</v>
      </c>
      <c r="S652" s="130" t="e">
        <f aca="false">xSPRDOPT($L652,$J652,$I652,$M652,$O652,$N652,$P652,$Q652-$C$3,$R652,0)</f>
        <v>#NAME?</v>
      </c>
      <c r="T652" s="250" t="e">
        <f aca="false">xSPRDOPT($L652,$J652,$I652,$M652,$O652,$N652,$P652,$Q652-$C$3,$R652,1)*H652</f>
        <v>#NAME?</v>
      </c>
      <c r="U652" s="43" t="e">
        <f aca="false">S652*H652</f>
        <v>#NAME?</v>
      </c>
      <c r="V652" s="250" t="e">
        <f aca="false">xSPRDOPT($L652,$J652,$I652,$M652,$O652,$N652,$P652,$Q652-$C$3,$R652,2)*H652</f>
        <v>#NAME?</v>
      </c>
      <c r="W652" s="250" t="e">
        <f aca="false">+V652+T652</f>
        <v>#NAME?</v>
      </c>
      <c r="X652" s="2" t="str">
        <f aca="false">CONCATENATE(G652,D652)</f>
        <v>37165IF-TRANSCO/Z6</v>
      </c>
      <c r="Y652" s="251" t="n">
        <f aca="false">H652/10000</f>
        <v>31</v>
      </c>
      <c r="Z652" s="226" t="e">
        <f aca="false">T652/H652</f>
        <v>#NAME?</v>
      </c>
      <c r="AA652" s="226" t="e">
        <f aca="false">xSPRDOPT($L652,$J652,$I652,$M652,$O652,$N652,$P652,$Q652-$C$3,$R652,3)</f>
        <v>#NAME?</v>
      </c>
      <c r="AB652" s="226" t="e">
        <f aca="false">((xSPRDOPT($L652+AB$5,$J652,$I652,$M652,$O652,$N652,$P652,$Q652-$C$3,$R652,3)*$H652)/10000)/100</f>
        <v>#NAME?</v>
      </c>
      <c r="AC652" s="226" t="e">
        <f aca="false">((xSPRDOPT($L652+$AB$5,$J652,$I652,$M652,$O652,$N652,$P652,$Q652-$C$3,$R652,7)*$H652)/100)</f>
        <v>#NAME?</v>
      </c>
      <c r="AD652" s="226" t="e">
        <f aca="false">(xSPRDOPT($L652+$AB$5,$J652,$I652,$M652,$O652,$N652,$P652,$Q652-$C$3,$R652,9)/365)*$H652</f>
        <v>#NAME?</v>
      </c>
      <c r="AE652" s="0" t="e">
        <f aca="false">CD653</f>
        <v>#NAME?</v>
      </c>
      <c r="AF652" s="226" t="e">
        <f aca="false">((O652/N652)*AH652)+AG652</f>
        <v>#NAME?</v>
      </c>
      <c r="AG652" s="226" t="e">
        <f aca="false">((xSPRDOPT($L652,$J652,$I652,$M652,$O652,$N652,$P652,$Q652-$C$3,$R652,6)*$H652)/100)</f>
        <v>#NAME?</v>
      </c>
      <c r="AH652" s="226" t="e">
        <f aca="false">((xSPRDOPT($L652,$J652,$I652,$M652,$O652,$N652,$P652,$Q652-$C$3,$R652,5)*$H652)/100)</f>
        <v>#NAME?</v>
      </c>
      <c r="AI652" s="226" t="e">
        <f aca="false">(((xSPRDOPT($L652,$J652,$I652,$M652,$O652,$N652,$P652,$Q652-$C$3,$R652,4)*$H652)/10000)/100)-AB652</f>
        <v>#NAME?</v>
      </c>
      <c r="AJ652" s="226"/>
      <c r="CC652" s="182" t="n">
        <f aca="false">G651</f>
        <v>37135</v>
      </c>
      <c r="CD652" s="253" t="e">
        <f aca="false">xSPRDOPT((VLOOKUP(G651,NGPrices,2,FALSE())+HLOOKUP(D651,Prices,VLOOKUP(G651,move_down,2,FALSE()),FALSE())),VLOOKUP(G651,NGPrices,2,FALSE()),I651,VLOOKUP(G651,NGPREVPRICES,4,FALSE()),HLOOKUP(D651,PREVVOLS,VLOOKUP(G651,MOVE_DOWN2,2,FALSE()),FALSE()),VLOOKUP(G651,NGPREVPRICES,3,FALSE()),HLOOKUP(D651,Correllate,VLOOKUP(G651,CorMove,2,FALSE()),FALSE()),Q651-$CD$3,R651,$CD$5)*H651-CJ652</f>
        <v>#NAME?</v>
      </c>
      <c r="CE652" s="253" t="e">
        <f aca="false">xSPRDOPT((VLOOKUP(G651,NGPREVPRICES,2,FALSE())+HLOOKUP(D651,PREVCURVES,VLOOKUP(G651,MOVE_DOWN2,2,FALSE()),FALSE())),VLOOKUP(G651,NGPREVPRICES,2,FALSE()),CK652,VLOOKUP(G651,NGPrices,4,FALSE()),HLOOKUP(D651,PREVVOLS,VLOOKUP(G651,MOVE_DOWN2,2,FALSE()),FALSE()),VLOOKUP(G651,NGPREVPRICES,3,FALSE()),HLOOKUP(D651,Correllate,VLOOKUP(G651,CorMove,2,FALSE()),FALSE()),Q651-$CD$3,R651,$CJ$5)*H651-CJ652</f>
        <v>#NAME?</v>
      </c>
      <c r="CF652" s="132" t="e">
        <f aca="false">(CJ652/VLOOKUP(CC652,discount,3,FALSE()))-(CJ652/VLOOKUP(CC652,discount,2,FALSE()))</f>
        <v>#NAME?</v>
      </c>
      <c r="CG652" s="253" t="e">
        <f aca="false">xSPRDOPT((VLOOKUP(G651,NGPREVPRICES,2,FALSE())+HLOOKUP(D651,PREVCURVES,VLOOKUP(G651,MOVE_DOWN2,2,FALSE()),FALSE())),VLOOKUP(G651,NGPREVPRICES,2,FALSE()),CK652,VLOOKUP(G651,NGPREVPRICES,4,FALSE()),HLOOKUP(D651,VOLS,VLOOKUP(G651,move_down,2,FALSE()),FALSE()),VLOOKUP(G651,NGPrices,3,FALSE()),HLOOKUP(D651,Correllate,VLOOKUP(G651,CorMove,2,FALSE()),FALSE()),Q651-$CD$3,R651,$CJ$5)*H651-CJ652</f>
        <v>#NAME?</v>
      </c>
      <c r="CH652" s="253" t="e">
        <f aca="false">xSPRDOPT((VLOOKUP(G651,NGPREVPRICES,2,FALSE())+HLOOKUP(D651,PREVCURVES,VLOOKUP(G651,MOVE_DOWN2,2,FALSE()),FALSE())),VLOOKUP(G651,NGPREVPRICES,2,FALSE()),CK652,VLOOKUP(G651,NGPREVPRICES,4,FALSE()),HLOOKUP(D651,PREVVOLS,VLOOKUP(G651,MOVE_DOWN2,2,FALSE()),FALSE()),VLOOKUP(G651,NGPREVPRICES,3,FALSE()),HLOOKUP(D651,Correllate,VLOOKUP(G651,CorMove,2,FALSE()),FALSE()),Q651-$C$3,R651,$CJ$5)*H651-CJ652</f>
        <v>#NAME?</v>
      </c>
      <c r="CI652" s="253" t="e">
        <f aca="false">SUM(CD652:CH652)</f>
        <v>#NAME?</v>
      </c>
      <c r="CJ652" s="253" t="e">
        <f aca="false">xSPRDOPT((VLOOKUP(G651,NGPREVPRICES,2,FALSE())+HLOOKUP(D651,PREVCURVES,VLOOKUP(G651,MOVE_DOWN2,2,FALSE()),FALSE())),VLOOKUP(G651,NGPREVPRICES,2,FALSE()),CK652,VLOOKUP(G651,NGPREVPRICES,4,FALSE()),HLOOKUP(D651,PREVVOLS,VLOOKUP(G651,MOVE_DOWN2,2,FALSE()),FALSE()),VLOOKUP(G651,NGPREVPRICES,3,FALSE()),HLOOKUP(D651,Correllate,VLOOKUP(G651,CorMove,2,FALSE()),FALSE()),Q651-$CD$3,R651,$CJ$5)*H651</f>
        <v>#NAME?</v>
      </c>
      <c r="CK652" s="254" t="n">
        <f aca="false">I651</f>
        <v>0.3</v>
      </c>
      <c r="CM652" s="0" t="str">
        <f aca="false">CONCATENATE(CC652,$CD$6)</f>
        <v>37135Curve Shift/Gamma</v>
      </c>
      <c r="CN652" s="0" t="str">
        <f aca="false">CONCATENATE($CC652,$CE$6)</f>
        <v>37135Rho</v>
      </c>
      <c r="CO652" s="0" t="str">
        <f aca="false">CONCATENATE($CC652,$CF$6)</f>
        <v>37135Drift</v>
      </c>
      <c r="CP652" s="0" t="str">
        <f aca="false">CONCATENATE($CC652,$CG$6)</f>
        <v>37135Vega</v>
      </c>
      <c r="CQ652" s="0" t="str">
        <f aca="false">CONCATENATE($CC652,$CH$6)</f>
        <v>37135Theta</v>
      </c>
    </row>
    <row r="653" customFormat="false" ht="12.75" hidden="false" customHeight="false" outlineLevel="0" collapsed="false">
      <c r="A653" s="17" t="s">
        <v>206</v>
      </c>
      <c r="B653" s="0" t="s">
        <v>192</v>
      </c>
      <c r="C653" s="0" t="s">
        <v>414</v>
      </c>
      <c r="D653" s="7" t="s">
        <v>149</v>
      </c>
      <c r="E653" s="0" t="s">
        <v>131</v>
      </c>
      <c r="F653" s="0" t="s">
        <v>136</v>
      </c>
      <c r="G653" s="92" t="n">
        <v>36982</v>
      </c>
      <c r="H653" s="248" t="n">
        <v>500000</v>
      </c>
      <c r="I653" s="254" t="n">
        <v>0.7</v>
      </c>
      <c r="J653" s="124" t="n">
        <f aca="false">VLOOKUP(G653,NGPrices,2,FALSE())</f>
        <v>3.938</v>
      </c>
      <c r="K653" s="125" t="n">
        <f aca="false">HLOOKUP(D653,Prices,VLOOKUP(G653,move_down,2,FALSE()),FALSE())+VLOOKUP(G653,CHANGE,HLOOKUP(D653,CHANGE,2,FALSE()),FALSE())</f>
        <v>0.52</v>
      </c>
      <c r="L653" s="124" t="n">
        <f aca="false">K653+J653</f>
        <v>4.458</v>
      </c>
      <c r="M653" s="126" t="n">
        <f aca="false">VLOOKUP(G653,NGPrices,4,FALSE())</f>
        <v>0.069061726541121</v>
      </c>
      <c r="N653" s="7" t="n">
        <f aca="false">VLOOKUP(G653,NGPrices,3,FALSE())</f>
        <v>0.4425</v>
      </c>
      <c r="O653" s="7" t="n">
        <f aca="false">HLOOKUP(D653,VOLS,VLOOKUP(G653,move_down,2,FALSE()),FALSE())</f>
        <v>0.434</v>
      </c>
      <c r="P653" s="249" t="n">
        <f aca="false">HLOOKUP(D653,Correllate,VLOOKUP(G653,CorMove,2,FALSE()),FALSE())</f>
        <v>0.9738</v>
      </c>
      <c r="Q653" s="92" t="n">
        <f aca="false">WORKDAY(G653,-2)</f>
        <v>36979</v>
      </c>
      <c r="R653" s="7" t="n">
        <f aca="false">IF(F653="P",0,1)</f>
        <v>1</v>
      </c>
      <c r="S653" s="130" t="e">
        <f aca="false">xSPRDOPT($L653,$J653,$I653,$M653,$O653,$N653,$P653,$Q653-$C$3,$R653,0)</f>
        <v>#NAME?</v>
      </c>
      <c r="T653" s="250" t="e">
        <f aca="false">xSPRDOPT($L653,$J653,$I653,$M653,$O653,$N653,$P653,$Q653-$C$3,$R653,1)*H653</f>
        <v>#NAME?</v>
      </c>
      <c r="U653" s="43" t="e">
        <f aca="false">S653*H653</f>
        <v>#NAME?</v>
      </c>
      <c r="V653" s="250" t="e">
        <f aca="false">xSPRDOPT($L653,$J653,$I653,$M653,$O653,$N653,$P653,$Q653-$C$3,$R653,2)*H653</f>
        <v>#NAME?</v>
      </c>
      <c r="W653" s="250" t="e">
        <f aca="false">+V653+T653</f>
        <v>#NAME?</v>
      </c>
      <c r="X653" s="2" t="str">
        <f aca="false">CONCATENATE(G653,D653)</f>
        <v>36982IF-TRANSCO/Z6</v>
      </c>
      <c r="Y653" s="251" t="n">
        <f aca="false">H653/10000</f>
        <v>50</v>
      </c>
      <c r="Z653" s="226" t="e">
        <f aca="false">T653/H653</f>
        <v>#NAME?</v>
      </c>
      <c r="AA653" s="226" t="e">
        <f aca="false">xSPRDOPT($L653,$J653,$I653,$M653,$O653,$N653,$P653,$Q653-$C$3,$R653,3)</f>
        <v>#NAME?</v>
      </c>
      <c r="AB653" s="226" t="e">
        <f aca="false">((xSPRDOPT($L653+AB$5,$J653,$I653,$M653,$O653,$N653,$P653,$Q653-$C$3,$R653,3)*$H653)/10000)/100</f>
        <v>#NAME?</v>
      </c>
      <c r="AC653" s="226" t="e">
        <f aca="false">((xSPRDOPT($L653+$AB$5,$J653,$I653,$M653,$O653,$N653,$P653,$Q653-$C$3,$R653,7)*$H653)/100)</f>
        <v>#NAME?</v>
      </c>
      <c r="AD653" s="226" t="e">
        <f aca="false">(xSPRDOPT($L653+$AB$5,$J653,$I653,$M653,$O653,$N653,$P653,$Q653-$C$3,$R653,9)/365)*$H653</f>
        <v>#NAME?</v>
      </c>
      <c r="AE653" s="0" t="e">
        <f aca="false">CD654</f>
        <v>#NAME?</v>
      </c>
      <c r="AF653" s="226" t="e">
        <f aca="false">((O653/N653)*AH653)+AG653</f>
        <v>#NAME?</v>
      </c>
      <c r="AG653" s="226" t="e">
        <f aca="false">((xSPRDOPT($L653,$J653,$I653,$M653,$O653,$N653,$P653,$Q653-$C$3,$R653,6)*$H653)/100)</f>
        <v>#NAME?</v>
      </c>
      <c r="AH653" s="226" t="e">
        <f aca="false">((xSPRDOPT($L653,$J653,$I653,$M653,$O653,$N653,$P653,$Q653-$C$3,$R653,5)*$H653)/100)</f>
        <v>#NAME?</v>
      </c>
      <c r="AI653" s="226" t="e">
        <f aca="false">(((xSPRDOPT($L653,$J653,$I653,$M653,$O653,$N653,$P653,$Q653-$C$3,$R653,4)*$H653)/10000)/100)-AB653</f>
        <v>#NAME?</v>
      </c>
      <c r="AJ653" s="226"/>
      <c r="CC653" s="182" t="n">
        <f aca="false">G652</f>
        <v>37165</v>
      </c>
      <c r="CD653" s="253" t="e">
        <f aca="false">xSPRDOPT((VLOOKUP(G652,NGPrices,2,FALSE())+HLOOKUP(D652,Prices,VLOOKUP(G652,move_down,2,FALSE()),FALSE())),VLOOKUP(G652,NGPrices,2,FALSE()),I652,VLOOKUP(G652,NGPREVPRICES,4,FALSE()),HLOOKUP(D652,PREVVOLS,VLOOKUP(G652,MOVE_DOWN2,2,FALSE()),FALSE()),VLOOKUP(G652,NGPREVPRICES,3,FALSE()),HLOOKUP(D652,Correllate,VLOOKUP(G652,CorMove,2,FALSE()),FALSE()),Q652-$CD$3,R652,$CD$5)*H652-CJ653</f>
        <v>#NAME?</v>
      </c>
      <c r="CE653" s="253" t="e">
        <f aca="false">xSPRDOPT((VLOOKUP(G652,NGPREVPRICES,2,FALSE())+HLOOKUP(D652,PREVCURVES,VLOOKUP(G652,MOVE_DOWN2,2,FALSE()),FALSE())),VLOOKUP(G652,NGPREVPRICES,2,FALSE()),CK653,VLOOKUP(G652,NGPrices,4,FALSE()),HLOOKUP(D652,PREVVOLS,VLOOKUP(G652,MOVE_DOWN2,2,FALSE()),FALSE()),VLOOKUP(G652,NGPREVPRICES,3,FALSE()),HLOOKUP(D652,Correllate,VLOOKUP(G652,CorMove,2,FALSE()),FALSE()),Q652-$CD$3,R652,$CJ$5)*H652-CJ653</f>
        <v>#NAME?</v>
      </c>
      <c r="CF653" s="132" t="e">
        <f aca="false">(CJ653/VLOOKUP(CC653,discount,3,FALSE()))-(CJ653/VLOOKUP(CC653,discount,2,FALSE()))</f>
        <v>#NAME?</v>
      </c>
      <c r="CG653" s="253" t="e">
        <f aca="false">xSPRDOPT((VLOOKUP(G652,NGPREVPRICES,2,FALSE())+HLOOKUP(D652,PREVCURVES,VLOOKUP(G652,MOVE_DOWN2,2,FALSE()),FALSE())),VLOOKUP(G652,NGPREVPRICES,2,FALSE()),CK653,VLOOKUP(G652,NGPREVPRICES,4,FALSE()),HLOOKUP(D652,VOLS,VLOOKUP(G652,move_down,2,FALSE()),FALSE()),VLOOKUP(G652,NGPrices,3,FALSE()),HLOOKUP(D652,Correllate,VLOOKUP(G652,CorMove,2,FALSE()),FALSE()),Q652-$CD$3,R652,$CJ$5)*H652-CJ653</f>
        <v>#NAME?</v>
      </c>
      <c r="CH653" s="253" t="e">
        <f aca="false">xSPRDOPT((VLOOKUP(G652,NGPREVPRICES,2,FALSE())+HLOOKUP(D652,PREVCURVES,VLOOKUP(G652,MOVE_DOWN2,2,FALSE()),FALSE())),VLOOKUP(G652,NGPREVPRICES,2,FALSE()),CK653,VLOOKUP(G652,NGPREVPRICES,4,FALSE()),HLOOKUP(D652,PREVVOLS,VLOOKUP(G652,MOVE_DOWN2,2,FALSE()),FALSE()),VLOOKUP(G652,NGPREVPRICES,3,FALSE()),HLOOKUP(D652,Correllate,VLOOKUP(G652,CorMove,2,FALSE()),FALSE()),Q652-$C$3,R652,$CJ$5)*H652-CJ653</f>
        <v>#NAME?</v>
      </c>
      <c r="CI653" s="253" t="e">
        <f aca="false">SUM(CD653:CH653)</f>
        <v>#NAME?</v>
      </c>
      <c r="CJ653" s="253" t="e">
        <f aca="false">xSPRDOPT((VLOOKUP(G652,NGPREVPRICES,2,FALSE())+HLOOKUP(D652,PREVCURVES,VLOOKUP(G652,MOVE_DOWN2,2,FALSE()),FALSE())),VLOOKUP(G652,NGPREVPRICES,2,FALSE()),CK653,VLOOKUP(G652,NGPREVPRICES,4,FALSE()),HLOOKUP(D652,PREVVOLS,VLOOKUP(G652,MOVE_DOWN2,2,FALSE()),FALSE()),VLOOKUP(G652,NGPREVPRICES,3,FALSE()),HLOOKUP(D652,Correllate,VLOOKUP(G652,CorMove,2,FALSE()),FALSE()),Q652-$CD$3,R652,$CJ$5)*H652</f>
        <v>#NAME?</v>
      </c>
      <c r="CK653" s="254" t="n">
        <f aca="false">I652</f>
        <v>0.3</v>
      </c>
      <c r="CM653" s="0" t="str">
        <f aca="false">CONCATENATE(CC653,$CD$6)</f>
        <v>37165Curve Shift/Gamma</v>
      </c>
      <c r="CN653" s="0" t="str">
        <f aca="false">CONCATENATE($CC653,$CE$6)</f>
        <v>37165Rho</v>
      </c>
      <c r="CO653" s="0" t="str">
        <f aca="false">CONCATENATE($CC653,$CF$6)</f>
        <v>37165Drift</v>
      </c>
      <c r="CP653" s="0" t="str">
        <f aca="false">CONCATENATE($CC653,$CG$6)</f>
        <v>37165Vega</v>
      </c>
      <c r="CQ653" s="0" t="str">
        <f aca="false">CONCATENATE($CC653,$CH$6)</f>
        <v>37165Theta</v>
      </c>
    </row>
    <row r="654" customFormat="false" ht="12.75" hidden="false" customHeight="false" outlineLevel="0" collapsed="false">
      <c r="A654" s="17" t="s">
        <v>415</v>
      </c>
      <c r="B654" s="0" t="s">
        <v>192</v>
      </c>
      <c r="C654" s="0" t="s">
        <v>416</v>
      </c>
      <c r="D654" s="7" t="s">
        <v>152</v>
      </c>
      <c r="E654" s="0" t="s">
        <v>131</v>
      </c>
      <c r="F654" s="0" t="s">
        <v>136</v>
      </c>
      <c r="G654" s="92" t="n">
        <v>36831</v>
      </c>
      <c r="H654" s="248" t="n">
        <v>-1500000</v>
      </c>
      <c r="I654" s="254" t="n">
        <v>0.12</v>
      </c>
      <c r="J654" s="124" t="n">
        <f aca="false">VLOOKUP(G654,NGPrices,2,FALSE())</f>
        <v>4.736</v>
      </c>
      <c r="K654" s="125" t="n">
        <f aca="false">HLOOKUP(D654,Prices,VLOOKUP(G654,move_down,2,FALSE()),FALSE())+VLOOKUP(G654,CHANGE,HLOOKUP(D654,CHANGE,2,FALSE()),FALSE())</f>
        <v>0.0875</v>
      </c>
      <c r="L654" s="124" t="n">
        <f aca="false">K654+J654</f>
        <v>4.8235</v>
      </c>
      <c r="M654" s="126" t="n">
        <f aca="false">VLOOKUP(G654,NGPrices,4,FALSE())</f>
        <v>0.06810675983792</v>
      </c>
      <c r="N654" s="7" t="n">
        <f aca="false">VLOOKUP(G654,NGPrices,3,FALSE())</f>
        <v>0.595</v>
      </c>
      <c r="O654" s="7" t="n">
        <f aca="false">HLOOKUP(D654,VOLS,VLOOKUP(G654,move_down,2,FALSE()),FALSE())</f>
        <v>0.595</v>
      </c>
      <c r="P654" s="249" t="n">
        <f aca="false">HLOOKUP(D654,Correllate,VLOOKUP(G654,CorMove,2,FALSE()),FALSE())</f>
        <v>0.997</v>
      </c>
      <c r="Q654" s="92" t="n">
        <f aca="false">WORKDAY(G654,-2)</f>
        <v>36829</v>
      </c>
      <c r="R654" s="7" t="n">
        <f aca="false">IF(F654="P",0,1)</f>
        <v>1</v>
      </c>
      <c r="S654" s="130" t="e">
        <f aca="false">xSPRDOPT($L654,$J654,$I654,$M654,$O654,$N654,$P654,$Q654-$C$3,$R654,0)</f>
        <v>#NAME?</v>
      </c>
      <c r="T654" s="250" t="e">
        <f aca="false">xSPRDOPT($L654,$J654,$I654,$M654,$O654,$N654,$P654,$Q654-$C$3,$R654,1)*H654</f>
        <v>#NAME?</v>
      </c>
      <c r="U654" s="43" t="e">
        <f aca="false">S654*H654</f>
        <v>#NAME?</v>
      </c>
      <c r="V654" s="250" t="e">
        <f aca="false">xSPRDOPT($L654,$J654,$I654,$M654,$O654,$N654,$P654,$Q654-$C$3,$R654,2)*H654</f>
        <v>#NAME?</v>
      </c>
      <c r="W654" s="250" t="e">
        <f aca="false">+V654+T654</f>
        <v>#NAME?</v>
      </c>
      <c r="X654" s="2" t="str">
        <f aca="false">CONCATENATE(G654,D654)</f>
        <v>36831NGI/CHI. GATE</v>
      </c>
      <c r="Y654" s="251" t="n">
        <f aca="false">H654/10000</f>
        <v>-150</v>
      </c>
      <c r="Z654" s="226" t="e">
        <f aca="false">T654/H654</f>
        <v>#NAME?</v>
      </c>
      <c r="AA654" s="226" t="e">
        <f aca="false">xSPRDOPT($L654,$J654,$I654,$M654,$O654,$N654,$P654,$Q654-$C$3,$R654,3)</f>
        <v>#NAME?</v>
      </c>
      <c r="AB654" s="226" t="e">
        <f aca="false">((xSPRDOPT($L654+AB$5,$J654,$I654,$M654,$O654,$N654,$P654,$Q654-$C$3,$R654,3)*$H654)/10000)/100</f>
        <v>#NAME?</v>
      </c>
      <c r="AC654" s="226" t="e">
        <f aca="false">((xSPRDOPT($L654+$AB$5,$J654,$I654,$M654,$O654,$N654,$P654,$Q654-$C$3,$R654,7)*$H654)/100)</f>
        <v>#NAME?</v>
      </c>
      <c r="AD654" s="226" t="e">
        <f aca="false">(xSPRDOPT($L654+$AB$5,$J654,$I654,$M654,$O654,$N654,$P654,$Q654-$C$3,$R654,9)/365)*$H654</f>
        <v>#NAME?</v>
      </c>
      <c r="AE654" s="0" t="e">
        <f aca="false">CD655</f>
        <v>#NAME?</v>
      </c>
      <c r="AF654" s="226" t="e">
        <f aca="false">((O654/N654)*AH654)+AG654</f>
        <v>#NAME?</v>
      </c>
      <c r="AG654" s="226" t="e">
        <f aca="false">((xSPRDOPT($L654,$J654,$I654,$M654,$O654,$N654,$P654,$Q654-$C$3,$R654,6)*$H654)/100)</f>
        <v>#NAME?</v>
      </c>
      <c r="AH654" s="226" t="e">
        <f aca="false">((xSPRDOPT($L654,$J654,$I654,$M654,$O654,$N654,$P654,$Q654-$C$3,$R654,5)*$H654)/100)</f>
        <v>#NAME?</v>
      </c>
      <c r="AI654" s="226" t="e">
        <f aca="false">(((xSPRDOPT($L654,$J654,$I654,$M654,$O654,$N654,$P654,$Q654-$C$3,$R654,4)*$H654)/10000)/100)-AB654</f>
        <v>#NAME?</v>
      </c>
      <c r="AJ654" s="226"/>
      <c r="CC654" s="182" t="n">
        <f aca="false">G653</f>
        <v>36982</v>
      </c>
      <c r="CD654" s="253" t="e">
        <f aca="false">xSPRDOPT((VLOOKUP(G653,NGPrices,2,FALSE())+HLOOKUP(D653,Prices,VLOOKUP(G653,move_down,2,FALSE()),FALSE())),VLOOKUP(G653,NGPrices,2,FALSE()),I653,VLOOKUP(G653,NGPREVPRICES,4,FALSE()),HLOOKUP(D653,PREVVOLS,VLOOKUP(G653,MOVE_DOWN2,2,FALSE()),FALSE()),VLOOKUP(G653,NGPREVPRICES,3,FALSE()),HLOOKUP(D653,Correllate,VLOOKUP(G653,CorMove,2,FALSE()),FALSE()),Q653-$CD$3,R653,$CD$5)*H653-CJ654</f>
        <v>#NAME?</v>
      </c>
      <c r="CE654" s="253" t="e">
        <f aca="false">xSPRDOPT((VLOOKUP(G653,NGPREVPRICES,2,FALSE())+HLOOKUP(D653,PREVCURVES,VLOOKUP(G653,MOVE_DOWN2,2,FALSE()),FALSE())),VLOOKUP(G653,NGPREVPRICES,2,FALSE()),CK654,VLOOKUP(G653,NGPrices,4,FALSE()),HLOOKUP(D653,PREVVOLS,VLOOKUP(G653,MOVE_DOWN2,2,FALSE()),FALSE()),VLOOKUP(G653,NGPREVPRICES,3,FALSE()),HLOOKUP(D653,Correllate,VLOOKUP(G653,CorMove,2,FALSE()),FALSE()),Q653-$CD$3,R653,$CJ$5)*H653-CJ654</f>
        <v>#NAME?</v>
      </c>
      <c r="CF654" s="132" t="e">
        <f aca="false">(CJ654/VLOOKUP(CC654,discount,3,FALSE()))-(CJ654/VLOOKUP(CC654,discount,2,FALSE()))</f>
        <v>#NAME?</v>
      </c>
      <c r="CG654" s="253" t="e">
        <f aca="false">xSPRDOPT((VLOOKUP(G653,NGPREVPRICES,2,FALSE())+HLOOKUP(D653,PREVCURVES,VLOOKUP(G653,MOVE_DOWN2,2,FALSE()),FALSE())),VLOOKUP(G653,NGPREVPRICES,2,FALSE()),CK654,VLOOKUP(G653,NGPREVPRICES,4,FALSE()),HLOOKUP(D653,VOLS,VLOOKUP(G653,move_down,2,FALSE()),FALSE()),VLOOKUP(G653,NGPrices,3,FALSE()),HLOOKUP(D653,Correllate,VLOOKUP(G653,CorMove,2,FALSE()),FALSE()),Q653-$CD$3,R653,$CJ$5)*H653-CJ654</f>
        <v>#NAME?</v>
      </c>
      <c r="CH654" s="253" t="e">
        <f aca="false">xSPRDOPT((VLOOKUP(G653,NGPREVPRICES,2,FALSE())+HLOOKUP(D653,PREVCURVES,VLOOKUP(G653,MOVE_DOWN2,2,FALSE()),FALSE())),VLOOKUP(G653,NGPREVPRICES,2,FALSE()),CK654,VLOOKUP(G653,NGPREVPRICES,4,FALSE()),HLOOKUP(D653,PREVVOLS,VLOOKUP(G653,MOVE_DOWN2,2,FALSE()),FALSE()),VLOOKUP(G653,NGPREVPRICES,3,FALSE()),HLOOKUP(D653,Correllate,VLOOKUP(G653,CorMove,2,FALSE()),FALSE()),Q653-$C$3,R653,$CJ$5)*H653-CJ654</f>
        <v>#NAME?</v>
      </c>
      <c r="CI654" s="253" t="e">
        <f aca="false">SUM(CD654:CH654)</f>
        <v>#NAME?</v>
      </c>
      <c r="CJ654" s="253" t="e">
        <f aca="false">xSPRDOPT((VLOOKUP(G653,NGPREVPRICES,2,FALSE())+HLOOKUP(D653,PREVCURVES,VLOOKUP(G653,MOVE_DOWN2,2,FALSE()),FALSE())),VLOOKUP(G653,NGPREVPRICES,2,FALSE()),CK654,VLOOKUP(G653,NGPREVPRICES,4,FALSE()),HLOOKUP(D653,PREVVOLS,VLOOKUP(G653,MOVE_DOWN2,2,FALSE()),FALSE()),VLOOKUP(G653,NGPREVPRICES,3,FALSE()),HLOOKUP(D653,Correllate,VLOOKUP(G653,CorMove,2,FALSE()),FALSE()),Q653-$CD$3,R653,$CJ$5)*H653</f>
        <v>#NAME?</v>
      </c>
      <c r="CK654" s="254" t="n">
        <f aca="false">I653</f>
        <v>0.7</v>
      </c>
      <c r="CM654" s="0" t="str">
        <f aca="false">CONCATENATE(CC654,$CD$6)</f>
        <v>36982Curve Shift/Gamma</v>
      </c>
      <c r="CN654" s="0" t="str">
        <f aca="false">CONCATENATE($CC654,$CE$6)</f>
        <v>36982Rho</v>
      </c>
      <c r="CO654" s="0" t="str">
        <f aca="false">CONCATENATE($CC654,$CF$6)</f>
        <v>36982Drift</v>
      </c>
      <c r="CP654" s="0" t="str">
        <f aca="false">CONCATENATE($CC654,$CG$6)</f>
        <v>36982Vega</v>
      </c>
      <c r="CQ654" s="0" t="str">
        <f aca="false">CONCATENATE($CC654,$CH$6)</f>
        <v>36982Theta</v>
      </c>
    </row>
    <row r="655" customFormat="false" ht="12.75" hidden="false" customHeight="false" outlineLevel="0" collapsed="false">
      <c r="A655" s="17" t="s">
        <v>415</v>
      </c>
      <c r="B655" s="0" t="s">
        <v>192</v>
      </c>
      <c r="C655" s="0" t="s">
        <v>416</v>
      </c>
      <c r="D655" s="7" t="s">
        <v>152</v>
      </c>
      <c r="E655" s="0" t="s">
        <v>131</v>
      </c>
      <c r="F655" s="0" t="s">
        <v>136</v>
      </c>
      <c r="G655" s="92" t="n">
        <v>36861</v>
      </c>
      <c r="H655" s="248" t="n">
        <v>-1550000</v>
      </c>
      <c r="I655" s="254" t="n">
        <v>0.12</v>
      </c>
      <c r="J655" s="124" t="n">
        <f aca="false">VLOOKUP(G655,NGPrices,2,FALSE())</f>
        <v>4.8</v>
      </c>
      <c r="K655" s="125" t="n">
        <f aca="false">HLOOKUP(D655,Prices,VLOOKUP(G655,move_down,2,FALSE()),FALSE())+VLOOKUP(G655,CHANGE,HLOOKUP(D655,CHANGE,2,FALSE()),FALSE())</f>
        <v>0.1</v>
      </c>
      <c r="L655" s="124" t="n">
        <f aca="false">K655+J655</f>
        <v>4.9</v>
      </c>
      <c r="M655" s="126" t="n">
        <f aca="false">VLOOKUP(G655,NGPrices,4,FALSE())</f>
        <v>0.068314027999354</v>
      </c>
      <c r="N655" s="7" t="n">
        <f aca="false">VLOOKUP(G655,NGPrices,3,FALSE())</f>
        <v>0.6</v>
      </c>
      <c r="O655" s="7" t="n">
        <f aca="false">HLOOKUP(D655,VOLS,VLOOKUP(G655,move_down,2,FALSE()),FALSE())</f>
        <v>0.6</v>
      </c>
      <c r="P655" s="249" t="n">
        <f aca="false">HLOOKUP(D655,Correllate,VLOOKUP(G655,CorMove,2,FALSE()),FALSE())</f>
        <v>0.997</v>
      </c>
      <c r="Q655" s="92" t="n">
        <f aca="false">WORKDAY(G655,-2)</f>
        <v>36859</v>
      </c>
      <c r="R655" s="7" t="n">
        <f aca="false">IF(F655="P",0,1)</f>
        <v>1</v>
      </c>
      <c r="S655" s="130" t="e">
        <f aca="false">xSPRDOPT($L655,$J655,$I655,$M655,$O655,$N655,$P655,$Q655-$C$3,$R655,0)</f>
        <v>#NAME?</v>
      </c>
      <c r="T655" s="250" t="e">
        <f aca="false">xSPRDOPT($L655,$J655,$I655,$M655,$O655,$N655,$P655,$Q655-$C$3,$R655,1)*H655</f>
        <v>#NAME?</v>
      </c>
      <c r="U655" s="43" t="e">
        <f aca="false">S655*H655</f>
        <v>#NAME?</v>
      </c>
      <c r="V655" s="250" t="e">
        <f aca="false">xSPRDOPT($L655,$J655,$I655,$M655,$O655,$N655,$P655,$Q655-$C$3,$R655,2)*H655</f>
        <v>#NAME?</v>
      </c>
      <c r="W655" s="250" t="e">
        <f aca="false">+V655+T655</f>
        <v>#NAME?</v>
      </c>
      <c r="X655" s="2" t="str">
        <f aca="false">CONCATENATE(G655,D655)</f>
        <v>36861NGI/CHI. GATE</v>
      </c>
      <c r="Y655" s="251" t="n">
        <f aca="false">H655/10000</f>
        <v>-155</v>
      </c>
      <c r="Z655" s="226" t="e">
        <f aca="false">T655/H655</f>
        <v>#NAME?</v>
      </c>
      <c r="AA655" s="226" t="e">
        <f aca="false">xSPRDOPT($L655,$J655,$I655,$M655,$O655,$N655,$P655,$Q655-$C$3,$R655,3)</f>
        <v>#NAME?</v>
      </c>
      <c r="AB655" s="226" t="e">
        <f aca="false">((xSPRDOPT($L655+AB$5,$J655,$I655,$M655,$O655,$N655,$P655,$Q655-$C$3,$R655,3)*$H655)/10000)/100</f>
        <v>#NAME?</v>
      </c>
      <c r="AC655" s="226" t="e">
        <f aca="false">((xSPRDOPT($L655+$AB$5,$J655,$I655,$M655,$O655,$N655,$P655,$Q655-$C$3,$R655,7)*$H655)/100)</f>
        <v>#NAME?</v>
      </c>
      <c r="AD655" s="226" t="e">
        <f aca="false">(xSPRDOPT($L655+$AB$5,$J655,$I655,$M655,$O655,$N655,$P655,$Q655-$C$3,$R655,9)/365)*$H655</f>
        <v>#NAME?</v>
      </c>
      <c r="AE655" s="0" t="e">
        <f aca="false">CD656</f>
        <v>#NAME?</v>
      </c>
      <c r="AF655" s="226" t="e">
        <f aca="false">((O655/N655)*AH655)+AG655</f>
        <v>#NAME?</v>
      </c>
      <c r="AG655" s="226" t="e">
        <f aca="false">((xSPRDOPT($L655,$J655,$I655,$M655,$O655,$N655,$P655,$Q655-$C$3,$R655,6)*$H655)/100)</f>
        <v>#NAME?</v>
      </c>
      <c r="AH655" s="226" t="e">
        <f aca="false">((xSPRDOPT($L655,$J655,$I655,$M655,$O655,$N655,$P655,$Q655-$C$3,$R655,5)*$H655)/100)</f>
        <v>#NAME?</v>
      </c>
      <c r="AI655" s="226" t="e">
        <f aca="false">(((xSPRDOPT($L655,$J655,$I655,$M655,$O655,$N655,$P655,$Q655-$C$3,$R655,4)*$H655)/10000)/100)-AB655</f>
        <v>#NAME?</v>
      </c>
      <c r="AJ655" s="226"/>
      <c r="CC655" s="182" t="n">
        <f aca="false">G654</f>
        <v>36831</v>
      </c>
      <c r="CD655" s="253" t="e">
        <f aca="false">xSPRDOPT((VLOOKUP(G654,NGPrices,2,FALSE())+HLOOKUP(D654,Prices,VLOOKUP(G654,move_down,2,FALSE()),FALSE())),VLOOKUP(G654,NGPrices,2,FALSE()),I654,VLOOKUP(G654,NGPREVPRICES,4,FALSE()),HLOOKUP(D654,PREVVOLS,VLOOKUP(G654,MOVE_DOWN2,2,FALSE()),FALSE()),VLOOKUP(G654,NGPREVPRICES,3,FALSE()),HLOOKUP(D654,Correllate,VLOOKUP(G654,CorMove,2,FALSE()),FALSE()),Q654-$CD$3,R654,$CD$5)*H654-CJ655</f>
        <v>#NAME?</v>
      </c>
      <c r="CE655" s="253" t="e">
        <f aca="false">xSPRDOPT((VLOOKUP(G654,NGPREVPRICES,2,FALSE())+HLOOKUP(D654,PREVCURVES,VLOOKUP(G654,MOVE_DOWN2,2,FALSE()),FALSE())),VLOOKUP(G654,NGPREVPRICES,2,FALSE()),CK655,VLOOKUP(G654,NGPrices,4,FALSE()),HLOOKUP(D654,PREVVOLS,VLOOKUP(G654,MOVE_DOWN2,2,FALSE()),FALSE()),VLOOKUP(G654,NGPREVPRICES,3,FALSE()),HLOOKUP(D654,Correllate,VLOOKUP(G654,CorMove,2,FALSE()),FALSE()),Q654-$CD$3,R654,$CJ$5)*H654-CJ655</f>
        <v>#NAME?</v>
      </c>
      <c r="CF655" s="132" t="e">
        <f aca="false">(CJ655/VLOOKUP(CC655,discount,3,FALSE()))-(CJ655/VLOOKUP(CC655,discount,2,FALSE()))</f>
        <v>#NAME?</v>
      </c>
      <c r="CG655" s="253" t="e">
        <f aca="false">xSPRDOPT((VLOOKUP(G654,NGPREVPRICES,2,FALSE())+HLOOKUP(D654,PREVCURVES,VLOOKUP(G654,MOVE_DOWN2,2,FALSE()),FALSE())),VLOOKUP(G654,NGPREVPRICES,2,FALSE()),CK655,VLOOKUP(G654,NGPREVPRICES,4,FALSE()),HLOOKUP(D654,VOLS,VLOOKUP(G654,move_down,2,FALSE()),FALSE()),VLOOKUP(G654,NGPrices,3,FALSE()),HLOOKUP(D654,Correllate,VLOOKUP(G654,CorMove,2,FALSE()),FALSE()),Q654-$CD$3,R654,$CJ$5)*H654-CJ655</f>
        <v>#NAME?</v>
      </c>
      <c r="CH655" s="253" t="e">
        <f aca="false">xSPRDOPT((VLOOKUP(G654,NGPREVPRICES,2,FALSE())+HLOOKUP(D654,PREVCURVES,VLOOKUP(G654,MOVE_DOWN2,2,FALSE()),FALSE())),VLOOKUP(G654,NGPREVPRICES,2,FALSE()),CK655,VLOOKUP(G654,NGPREVPRICES,4,FALSE()),HLOOKUP(D654,PREVVOLS,VLOOKUP(G654,MOVE_DOWN2,2,FALSE()),FALSE()),VLOOKUP(G654,NGPREVPRICES,3,FALSE()),HLOOKUP(D654,Correllate,VLOOKUP(G654,CorMove,2,FALSE()),FALSE()),Q654-$C$3,R654,$CJ$5)*H654-CJ655</f>
        <v>#NAME?</v>
      </c>
      <c r="CI655" s="253" t="e">
        <f aca="false">SUM(CD655:CH655)</f>
        <v>#NAME?</v>
      </c>
      <c r="CJ655" s="253" t="e">
        <f aca="false">xSPRDOPT((VLOOKUP(G654,NGPREVPRICES,2,FALSE())+HLOOKUP(D654,PREVCURVES,VLOOKUP(G654,MOVE_DOWN2,2,FALSE()),FALSE())),VLOOKUP(G654,NGPREVPRICES,2,FALSE()),CK655,VLOOKUP(G654,NGPREVPRICES,4,FALSE()),HLOOKUP(D654,PREVVOLS,VLOOKUP(G654,MOVE_DOWN2,2,FALSE()),FALSE()),VLOOKUP(G654,NGPREVPRICES,3,FALSE()),HLOOKUP(D654,Correllate,VLOOKUP(G654,CorMove,2,FALSE()),FALSE()),Q654-$CD$3,R654,$CJ$5)*H654</f>
        <v>#NAME?</v>
      </c>
      <c r="CK655" s="254" t="n">
        <f aca="false">I654</f>
        <v>0.12</v>
      </c>
      <c r="CM655" s="0" t="str">
        <f aca="false">CONCATENATE(CC655,$CD$6)</f>
        <v>36831Curve Shift/Gamma</v>
      </c>
      <c r="CN655" s="0" t="str">
        <f aca="false">CONCATENATE($CC655,$CE$6)</f>
        <v>36831Rho</v>
      </c>
      <c r="CO655" s="0" t="str">
        <f aca="false">CONCATENATE($CC655,$CF$6)</f>
        <v>36831Drift</v>
      </c>
      <c r="CP655" s="0" t="str">
        <f aca="false">CONCATENATE($CC655,$CG$6)</f>
        <v>36831Vega</v>
      </c>
      <c r="CQ655" s="0" t="str">
        <f aca="false">CONCATENATE($CC655,$CH$6)</f>
        <v>36831Theta</v>
      </c>
    </row>
    <row r="656" customFormat="false" ht="12.75" hidden="false" customHeight="false" outlineLevel="0" collapsed="false">
      <c r="A656" s="17" t="s">
        <v>415</v>
      </c>
      <c r="B656" s="0" t="s">
        <v>192</v>
      </c>
      <c r="C656" s="0" t="s">
        <v>416</v>
      </c>
      <c r="D656" s="7" t="s">
        <v>152</v>
      </c>
      <c r="E656" s="0" t="s">
        <v>131</v>
      </c>
      <c r="F656" s="0" t="s">
        <v>136</v>
      </c>
      <c r="G656" s="92" t="n">
        <v>36892</v>
      </c>
      <c r="H656" s="248" t="n">
        <v>-1550000</v>
      </c>
      <c r="I656" s="254" t="n">
        <v>0.12</v>
      </c>
      <c r="J656" s="124" t="n">
        <f aca="false">VLOOKUP(G656,NGPrices,2,FALSE())</f>
        <v>4.744</v>
      </c>
      <c r="K656" s="125" t="n">
        <f aca="false">HLOOKUP(D656,Prices,VLOOKUP(G656,move_down,2,FALSE()),FALSE())+VLOOKUP(G656,CHANGE,HLOOKUP(D656,CHANGE,2,FALSE()),FALSE())</f>
        <v>0.1275</v>
      </c>
      <c r="L656" s="124" t="n">
        <f aca="false">K656+J656</f>
        <v>4.8715</v>
      </c>
      <c r="M656" s="126" t="n">
        <f aca="false">VLOOKUP(G656,NGPrices,4,FALSE())</f>
        <v>0.068374831148491</v>
      </c>
      <c r="N656" s="7" t="n">
        <f aca="false">VLOOKUP(G656,NGPrices,3,FALSE())</f>
        <v>0.605</v>
      </c>
      <c r="O656" s="7" t="n">
        <f aca="false">HLOOKUP(D656,VOLS,VLOOKUP(G656,move_down,2,FALSE()),FALSE())</f>
        <v>0.605</v>
      </c>
      <c r="P656" s="249" t="n">
        <f aca="false">HLOOKUP(D656,Correllate,VLOOKUP(G656,CorMove,2,FALSE()),FALSE())</f>
        <v>0.997</v>
      </c>
      <c r="Q656" s="92" t="n">
        <f aca="false">WORKDAY(G656,-2)</f>
        <v>36888</v>
      </c>
      <c r="R656" s="7" t="n">
        <f aca="false">IF(F656="P",0,1)</f>
        <v>1</v>
      </c>
      <c r="S656" s="130" t="e">
        <f aca="false">xSPRDOPT($L656,$J656,$I656,$M656,$O656,$N656,$P656,$Q656-$C$3,$R656,0)</f>
        <v>#NAME?</v>
      </c>
      <c r="T656" s="250" t="e">
        <f aca="false">xSPRDOPT($L656,$J656,$I656,$M656,$O656,$N656,$P656,$Q656-$C$3,$R656,1)*H656</f>
        <v>#NAME?</v>
      </c>
      <c r="U656" s="43" t="e">
        <f aca="false">S656*H656</f>
        <v>#NAME?</v>
      </c>
      <c r="V656" s="250" t="e">
        <f aca="false">xSPRDOPT($L656,$J656,$I656,$M656,$O656,$N656,$P656,$Q656-$C$3,$R656,2)*H656</f>
        <v>#NAME?</v>
      </c>
      <c r="W656" s="250" t="e">
        <f aca="false">+V656+T656</f>
        <v>#NAME?</v>
      </c>
      <c r="X656" s="2" t="str">
        <f aca="false">CONCATENATE(G656,D656)</f>
        <v>36892NGI/CHI. GATE</v>
      </c>
      <c r="Y656" s="251" t="n">
        <f aca="false">H656/10000</f>
        <v>-155</v>
      </c>
      <c r="Z656" s="226" t="e">
        <f aca="false">T656/H656</f>
        <v>#NAME?</v>
      </c>
      <c r="AA656" s="226" t="e">
        <f aca="false">xSPRDOPT($L656,$J656,$I656,$M656,$O656,$N656,$P656,$Q656-$C$3,$R656,3)</f>
        <v>#NAME?</v>
      </c>
      <c r="AB656" s="226" t="e">
        <f aca="false">((xSPRDOPT($L656+AB$5,$J656,$I656,$M656,$O656,$N656,$P656,$Q656-$C$3,$R656,3)*$H656)/10000)/100</f>
        <v>#NAME?</v>
      </c>
      <c r="AC656" s="226" t="e">
        <f aca="false">((xSPRDOPT($L656+$AB$5,$J656,$I656,$M656,$O656,$N656,$P656,$Q656-$C$3,$R656,7)*$H656)/100)</f>
        <v>#NAME?</v>
      </c>
      <c r="AD656" s="226" t="e">
        <f aca="false">(xSPRDOPT($L656+$AB$5,$J656,$I656,$M656,$O656,$N656,$P656,$Q656-$C$3,$R656,9)/365)*$H656</f>
        <v>#NAME?</v>
      </c>
      <c r="AE656" s="0" t="e">
        <f aca="false">CD657</f>
        <v>#NAME?</v>
      </c>
      <c r="AF656" s="226" t="e">
        <f aca="false">((O656/N656)*AH656)+AG656</f>
        <v>#NAME?</v>
      </c>
      <c r="AG656" s="226" t="e">
        <f aca="false">((xSPRDOPT($L656,$J656,$I656,$M656,$O656,$N656,$P656,$Q656-$C$3,$R656,6)*$H656)/100)</f>
        <v>#NAME?</v>
      </c>
      <c r="AH656" s="226" t="e">
        <f aca="false">((xSPRDOPT($L656,$J656,$I656,$M656,$O656,$N656,$P656,$Q656-$C$3,$R656,5)*$H656)/100)</f>
        <v>#NAME?</v>
      </c>
      <c r="AI656" s="226" t="e">
        <f aca="false">(((xSPRDOPT($L656,$J656,$I656,$M656,$O656,$N656,$P656,$Q656-$C$3,$R656,4)*$H656)/10000)/100)-AB656</f>
        <v>#NAME?</v>
      </c>
      <c r="AJ656" s="226"/>
      <c r="CC656" s="182" t="n">
        <f aca="false">G655</f>
        <v>36861</v>
      </c>
      <c r="CD656" s="253" t="e">
        <f aca="false">xSPRDOPT((VLOOKUP(G655,NGPrices,2,FALSE())+HLOOKUP(D655,Prices,VLOOKUP(G655,move_down,2,FALSE()),FALSE())),VLOOKUP(G655,NGPrices,2,FALSE()),I655,VLOOKUP(G655,NGPREVPRICES,4,FALSE()),HLOOKUP(D655,PREVVOLS,VLOOKUP(G655,MOVE_DOWN2,2,FALSE()),FALSE()),VLOOKUP(G655,NGPREVPRICES,3,FALSE()),HLOOKUP(D655,Correllate,VLOOKUP(G655,CorMove,2,FALSE()),FALSE()),Q655-$CD$3,R655,$CD$5)*H655-CJ656</f>
        <v>#NAME?</v>
      </c>
      <c r="CE656" s="253" t="e">
        <f aca="false">xSPRDOPT((VLOOKUP(G655,NGPREVPRICES,2,FALSE())+HLOOKUP(D655,PREVCURVES,VLOOKUP(G655,MOVE_DOWN2,2,FALSE()),FALSE())),VLOOKUP(G655,NGPREVPRICES,2,FALSE()),CK656,VLOOKUP(G655,NGPrices,4,FALSE()),HLOOKUP(D655,PREVVOLS,VLOOKUP(G655,MOVE_DOWN2,2,FALSE()),FALSE()),VLOOKUP(G655,NGPREVPRICES,3,FALSE()),HLOOKUP(D655,Correllate,VLOOKUP(G655,CorMove,2,FALSE()),FALSE()),Q655-$CD$3,R655,$CJ$5)*H655-CJ656</f>
        <v>#NAME?</v>
      </c>
      <c r="CF656" s="132" t="e">
        <f aca="false">(CJ656/VLOOKUP(CC656,discount,3,FALSE()))-(CJ656/VLOOKUP(CC656,discount,2,FALSE()))</f>
        <v>#NAME?</v>
      </c>
      <c r="CG656" s="253" t="e">
        <f aca="false">xSPRDOPT((VLOOKUP(G655,NGPREVPRICES,2,FALSE())+HLOOKUP(D655,PREVCURVES,VLOOKUP(G655,MOVE_DOWN2,2,FALSE()),FALSE())),VLOOKUP(G655,NGPREVPRICES,2,FALSE()),CK656,VLOOKUP(G655,NGPREVPRICES,4,FALSE()),HLOOKUP(D655,VOLS,VLOOKUP(G655,move_down,2,FALSE()),FALSE()),VLOOKUP(G655,NGPrices,3,FALSE()),HLOOKUP(D655,Correllate,VLOOKUP(G655,CorMove,2,FALSE()),FALSE()),Q655-$CD$3,R655,$CJ$5)*H655-CJ656</f>
        <v>#NAME?</v>
      </c>
      <c r="CH656" s="253" t="e">
        <f aca="false">xSPRDOPT((VLOOKUP(G655,NGPREVPRICES,2,FALSE())+HLOOKUP(D655,PREVCURVES,VLOOKUP(G655,MOVE_DOWN2,2,FALSE()),FALSE())),VLOOKUP(G655,NGPREVPRICES,2,FALSE()),CK656,VLOOKUP(G655,NGPREVPRICES,4,FALSE()),HLOOKUP(D655,PREVVOLS,VLOOKUP(G655,MOVE_DOWN2,2,FALSE()),FALSE()),VLOOKUP(G655,NGPREVPRICES,3,FALSE()),HLOOKUP(D655,Correllate,VLOOKUP(G655,CorMove,2,FALSE()),FALSE()),Q655-$C$3,R655,$CJ$5)*H655-CJ656</f>
        <v>#NAME?</v>
      </c>
      <c r="CI656" s="253" t="e">
        <f aca="false">SUM(CD656:CH656)</f>
        <v>#NAME?</v>
      </c>
      <c r="CJ656" s="253" t="e">
        <f aca="false">xSPRDOPT((VLOOKUP(G655,NGPREVPRICES,2,FALSE())+HLOOKUP(D655,PREVCURVES,VLOOKUP(G655,MOVE_DOWN2,2,FALSE()),FALSE())),VLOOKUP(G655,NGPREVPRICES,2,FALSE()),CK656,VLOOKUP(G655,NGPREVPRICES,4,FALSE()),HLOOKUP(D655,PREVVOLS,VLOOKUP(G655,MOVE_DOWN2,2,FALSE()),FALSE()),VLOOKUP(G655,NGPREVPRICES,3,FALSE()),HLOOKUP(D655,Correllate,VLOOKUP(G655,CorMove,2,FALSE()),FALSE()),Q655-$CD$3,R655,$CJ$5)*H655</f>
        <v>#NAME?</v>
      </c>
      <c r="CK656" s="254" t="n">
        <f aca="false">I655</f>
        <v>0.12</v>
      </c>
      <c r="CM656" s="0" t="str">
        <f aca="false">CONCATENATE(CC656,$CD$6)</f>
        <v>36861Curve Shift/Gamma</v>
      </c>
      <c r="CN656" s="0" t="str">
        <f aca="false">CONCATENATE($CC656,$CE$6)</f>
        <v>36861Rho</v>
      </c>
      <c r="CO656" s="0" t="str">
        <f aca="false">CONCATENATE($CC656,$CF$6)</f>
        <v>36861Drift</v>
      </c>
      <c r="CP656" s="0" t="str">
        <f aca="false">CONCATENATE($CC656,$CG$6)</f>
        <v>36861Vega</v>
      </c>
      <c r="CQ656" s="0" t="str">
        <f aca="false">CONCATENATE($CC656,$CH$6)</f>
        <v>36861Theta</v>
      </c>
    </row>
    <row r="657" customFormat="false" ht="12.75" hidden="false" customHeight="false" outlineLevel="0" collapsed="false">
      <c r="A657" s="17" t="s">
        <v>415</v>
      </c>
      <c r="B657" s="0" t="s">
        <v>192</v>
      </c>
      <c r="C657" s="0" t="s">
        <v>416</v>
      </c>
      <c r="D657" s="7" t="s">
        <v>152</v>
      </c>
      <c r="E657" s="0" t="s">
        <v>131</v>
      </c>
      <c r="F657" s="0" t="s">
        <v>136</v>
      </c>
      <c r="G657" s="92" t="n">
        <v>36923</v>
      </c>
      <c r="H657" s="248" t="n">
        <v>-1400000</v>
      </c>
      <c r="I657" s="254" t="n">
        <v>0.12</v>
      </c>
      <c r="J657" s="124" t="n">
        <f aca="false">VLOOKUP(G657,NGPrices,2,FALSE())</f>
        <v>4.48</v>
      </c>
      <c r="K657" s="125" t="n">
        <f aca="false">HLOOKUP(D657,Prices,VLOOKUP(G657,move_down,2,FALSE()),FALSE())+VLOOKUP(G657,CHANGE,HLOOKUP(D657,CHANGE,2,FALSE()),FALSE())</f>
        <v>0.1375</v>
      </c>
      <c r="L657" s="124" t="n">
        <f aca="false">K657+J657</f>
        <v>4.6175</v>
      </c>
      <c r="M657" s="126" t="n">
        <f aca="false">VLOOKUP(G657,NGPrices,4,FALSE())</f>
        <v>0.068640161611372</v>
      </c>
      <c r="N657" s="7" t="n">
        <f aca="false">VLOOKUP(G657,NGPrices,3,FALSE())</f>
        <v>0.5925</v>
      </c>
      <c r="O657" s="7" t="n">
        <f aca="false">HLOOKUP(D657,VOLS,VLOOKUP(G657,move_down,2,FALSE()),FALSE())</f>
        <v>0.593</v>
      </c>
      <c r="P657" s="249" t="n">
        <f aca="false">HLOOKUP(D657,Correllate,VLOOKUP(G657,CorMove,2,FALSE()),FALSE())</f>
        <v>0.997</v>
      </c>
      <c r="Q657" s="92" t="n">
        <f aca="false">WORKDAY(G657,-2)</f>
        <v>36921</v>
      </c>
      <c r="R657" s="7" t="n">
        <f aca="false">IF(F657="P",0,1)</f>
        <v>1</v>
      </c>
      <c r="S657" s="130" t="e">
        <f aca="false">xSPRDOPT($L657,$J657,$I657,$M657,$O657,$N657,$P657,$Q657-$C$3,$R657,0)</f>
        <v>#NAME?</v>
      </c>
      <c r="T657" s="250" t="e">
        <f aca="false">xSPRDOPT($L657,$J657,$I657,$M657,$O657,$N657,$P657,$Q657-$C$3,$R657,1)*H657</f>
        <v>#NAME?</v>
      </c>
      <c r="U657" s="43" t="e">
        <f aca="false">S657*H657</f>
        <v>#NAME?</v>
      </c>
      <c r="V657" s="250" t="e">
        <f aca="false">xSPRDOPT($L657,$J657,$I657,$M657,$O657,$N657,$P657,$Q657-$C$3,$R657,2)*H657</f>
        <v>#NAME?</v>
      </c>
      <c r="W657" s="250" t="e">
        <f aca="false">+V657+T657</f>
        <v>#NAME?</v>
      </c>
      <c r="X657" s="2" t="str">
        <f aca="false">CONCATENATE(G657,D657)</f>
        <v>36923NGI/CHI. GATE</v>
      </c>
      <c r="Y657" s="251" t="n">
        <f aca="false">H657/10000</f>
        <v>-140</v>
      </c>
      <c r="Z657" s="226" t="e">
        <f aca="false">T657/H657</f>
        <v>#NAME?</v>
      </c>
      <c r="AA657" s="226" t="e">
        <f aca="false">xSPRDOPT($L657,$J657,$I657,$M657,$O657,$N657,$P657,$Q657-$C$3,$R657,3)</f>
        <v>#NAME?</v>
      </c>
      <c r="AB657" s="226" t="e">
        <f aca="false">((xSPRDOPT($L657+AB$5,$J657,$I657,$M657,$O657,$N657,$P657,$Q657-$C$3,$R657,3)*$H657)/10000)/100</f>
        <v>#NAME?</v>
      </c>
      <c r="AC657" s="226" t="e">
        <f aca="false">((xSPRDOPT($L657+$AB$5,$J657,$I657,$M657,$O657,$N657,$P657,$Q657-$C$3,$R657,7)*$H657)/100)</f>
        <v>#NAME?</v>
      </c>
      <c r="AD657" s="226" t="e">
        <f aca="false">(xSPRDOPT($L657+$AB$5,$J657,$I657,$M657,$O657,$N657,$P657,$Q657-$C$3,$R657,9)/365)*$H657</f>
        <v>#NAME?</v>
      </c>
      <c r="AE657" s="0" t="e">
        <f aca="false">CD658</f>
        <v>#NAME?</v>
      </c>
      <c r="AF657" s="226" t="e">
        <f aca="false">((O657/N657)*AH657)+AG657</f>
        <v>#NAME?</v>
      </c>
      <c r="AG657" s="226" t="e">
        <f aca="false">((xSPRDOPT($L657,$J657,$I657,$M657,$O657,$N657,$P657,$Q657-$C$3,$R657,6)*$H657)/100)</f>
        <v>#NAME?</v>
      </c>
      <c r="AH657" s="226" t="e">
        <f aca="false">((xSPRDOPT($L657,$J657,$I657,$M657,$O657,$N657,$P657,$Q657-$C$3,$R657,5)*$H657)/100)</f>
        <v>#NAME?</v>
      </c>
      <c r="AI657" s="226" t="e">
        <f aca="false">(((xSPRDOPT($L657,$J657,$I657,$M657,$O657,$N657,$P657,$Q657-$C$3,$R657,4)*$H657)/10000)/100)-AB657</f>
        <v>#NAME?</v>
      </c>
      <c r="AJ657" s="226"/>
      <c r="CC657" s="182" t="n">
        <f aca="false">G656</f>
        <v>36892</v>
      </c>
      <c r="CD657" s="253" t="e">
        <f aca="false">xSPRDOPT((VLOOKUP(G656,NGPrices,2,FALSE())+HLOOKUP(D656,Prices,VLOOKUP(G656,move_down,2,FALSE()),FALSE())),VLOOKUP(G656,NGPrices,2,FALSE()),I656,VLOOKUP(G656,NGPREVPRICES,4,FALSE()),HLOOKUP(D656,PREVVOLS,VLOOKUP(G656,MOVE_DOWN2,2,FALSE()),FALSE()),VLOOKUP(G656,NGPREVPRICES,3,FALSE()),HLOOKUP(D656,Correllate,VLOOKUP(G656,CorMove,2,FALSE()),FALSE()),Q656-$CD$3,R656,$CD$5)*H656-CJ657</f>
        <v>#NAME?</v>
      </c>
      <c r="CE657" s="253" t="e">
        <f aca="false">xSPRDOPT((VLOOKUP(G656,NGPREVPRICES,2,FALSE())+HLOOKUP(D656,PREVCURVES,VLOOKUP(G656,MOVE_DOWN2,2,FALSE()),FALSE())),VLOOKUP(G656,NGPREVPRICES,2,FALSE()),CK657,VLOOKUP(G656,NGPrices,4,FALSE()),HLOOKUP(D656,PREVVOLS,VLOOKUP(G656,MOVE_DOWN2,2,FALSE()),FALSE()),VLOOKUP(G656,NGPREVPRICES,3,FALSE()),HLOOKUP(D656,Correllate,VLOOKUP(G656,CorMove,2,FALSE()),FALSE()),Q656-$CD$3,R656,$CJ$5)*H656-CJ657</f>
        <v>#NAME?</v>
      </c>
      <c r="CF657" s="132" t="e">
        <f aca="false">(CJ657/VLOOKUP(CC657,discount,3,FALSE()))-(CJ657/VLOOKUP(CC657,discount,2,FALSE()))</f>
        <v>#NAME?</v>
      </c>
      <c r="CG657" s="253" t="e">
        <f aca="false">xSPRDOPT((VLOOKUP(G656,NGPREVPRICES,2,FALSE())+HLOOKUP(D656,PREVCURVES,VLOOKUP(G656,MOVE_DOWN2,2,FALSE()),FALSE())),VLOOKUP(G656,NGPREVPRICES,2,FALSE()),CK657,VLOOKUP(G656,NGPREVPRICES,4,FALSE()),HLOOKUP(D656,VOLS,VLOOKUP(G656,move_down,2,FALSE()),FALSE()),VLOOKUP(G656,NGPrices,3,FALSE()),HLOOKUP(D656,Correllate,VLOOKUP(G656,CorMove,2,FALSE()),FALSE()),Q656-$CD$3,R656,$CJ$5)*H656-CJ657</f>
        <v>#NAME?</v>
      </c>
      <c r="CH657" s="253" t="e">
        <f aca="false">xSPRDOPT((VLOOKUP(G656,NGPREVPRICES,2,FALSE())+HLOOKUP(D656,PREVCURVES,VLOOKUP(G656,MOVE_DOWN2,2,FALSE()),FALSE())),VLOOKUP(G656,NGPREVPRICES,2,FALSE()),CK657,VLOOKUP(G656,NGPREVPRICES,4,FALSE()),HLOOKUP(D656,PREVVOLS,VLOOKUP(G656,MOVE_DOWN2,2,FALSE()),FALSE()),VLOOKUP(G656,NGPREVPRICES,3,FALSE()),HLOOKUP(D656,Correllate,VLOOKUP(G656,CorMove,2,FALSE()),FALSE()),Q656-$C$3,R656,$CJ$5)*H656-CJ657</f>
        <v>#NAME?</v>
      </c>
      <c r="CI657" s="253" t="e">
        <f aca="false">SUM(CD657:CH657)</f>
        <v>#NAME?</v>
      </c>
      <c r="CJ657" s="253" t="e">
        <f aca="false">xSPRDOPT((VLOOKUP(G656,NGPREVPRICES,2,FALSE())+HLOOKUP(D656,PREVCURVES,VLOOKUP(G656,MOVE_DOWN2,2,FALSE()),FALSE())),VLOOKUP(G656,NGPREVPRICES,2,FALSE()),CK657,VLOOKUP(G656,NGPREVPRICES,4,FALSE()),HLOOKUP(D656,PREVVOLS,VLOOKUP(G656,MOVE_DOWN2,2,FALSE()),FALSE()),VLOOKUP(G656,NGPREVPRICES,3,FALSE()),HLOOKUP(D656,Correllate,VLOOKUP(G656,CorMove,2,FALSE()),FALSE()),Q656-$CD$3,R656,$CJ$5)*H656</f>
        <v>#NAME?</v>
      </c>
      <c r="CK657" s="254" t="n">
        <f aca="false">I656</f>
        <v>0.12</v>
      </c>
      <c r="CM657" s="0" t="str">
        <f aca="false">CONCATENATE(CC657,$CD$6)</f>
        <v>36892Curve Shift/Gamma</v>
      </c>
      <c r="CN657" s="0" t="str">
        <f aca="false">CONCATENATE($CC657,$CE$6)</f>
        <v>36892Rho</v>
      </c>
      <c r="CO657" s="0" t="str">
        <f aca="false">CONCATENATE($CC657,$CF$6)</f>
        <v>36892Drift</v>
      </c>
      <c r="CP657" s="0" t="str">
        <f aca="false">CONCATENATE($CC657,$CG$6)</f>
        <v>36892Vega</v>
      </c>
      <c r="CQ657" s="0" t="str">
        <f aca="false">CONCATENATE($CC657,$CH$6)</f>
        <v>36892Theta</v>
      </c>
    </row>
    <row r="658" customFormat="false" ht="12.75" hidden="false" customHeight="false" outlineLevel="0" collapsed="false">
      <c r="A658" s="17" t="s">
        <v>415</v>
      </c>
      <c r="B658" s="0" t="s">
        <v>192</v>
      </c>
      <c r="C658" s="0" t="s">
        <v>416</v>
      </c>
      <c r="D658" s="7" t="s">
        <v>152</v>
      </c>
      <c r="E658" s="0" t="s">
        <v>131</v>
      </c>
      <c r="F658" s="0" t="s">
        <v>136</v>
      </c>
      <c r="G658" s="92" t="n">
        <v>36951</v>
      </c>
      <c r="H658" s="248" t="n">
        <v>-1550000</v>
      </c>
      <c r="I658" s="254" t="n">
        <v>0.12</v>
      </c>
      <c r="J658" s="124" t="n">
        <f aca="false">VLOOKUP(G658,NGPrices,2,FALSE())</f>
        <v>4.213</v>
      </c>
      <c r="K658" s="125" t="n">
        <f aca="false">HLOOKUP(D658,Prices,VLOOKUP(G658,move_down,2,FALSE()),FALSE())+VLOOKUP(G658,CHANGE,HLOOKUP(D658,CHANGE,2,FALSE()),FALSE())</f>
        <v>0.1225</v>
      </c>
      <c r="L658" s="124" t="n">
        <f aca="false">K658+J658</f>
        <v>4.3355</v>
      </c>
      <c r="M658" s="126" t="n">
        <f aca="false">VLOOKUP(G658,NGPrices,4,FALSE())</f>
        <v>0.068879814952707</v>
      </c>
      <c r="N658" s="7" t="n">
        <f aca="false">VLOOKUP(G658,NGPrices,3,FALSE())</f>
        <v>0.5325</v>
      </c>
      <c r="O658" s="7" t="n">
        <f aca="false">HLOOKUP(D658,VOLS,VLOOKUP(G658,move_down,2,FALSE()),FALSE())</f>
        <v>0.533</v>
      </c>
      <c r="P658" s="249" t="n">
        <f aca="false">HLOOKUP(D658,Correllate,VLOOKUP(G658,CorMove,2,FALSE()),FALSE())</f>
        <v>0.997</v>
      </c>
      <c r="Q658" s="92" t="n">
        <f aca="false">WORKDAY(G658,-2)</f>
        <v>36949</v>
      </c>
      <c r="R658" s="7" t="n">
        <f aca="false">IF(F658="P",0,1)</f>
        <v>1</v>
      </c>
      <c r="S658" s="130" t="e">
        <f aca="false">xSPRDOPT($L658,$J658,$I658,$M658,$O658,$N658,$P658,$Q658-$C$3,$R658,0)</f>
        <v>#NAME?</v>
      </c>
      <c r="T658" s="250" t="e">
        <f aca="false">xSPRDOPT($L658,$J658,$I658,$M658,$O658,$N658,$P658,$Q658-$C$3,$R658,1)*H658</f>
        <v>#NAME?</v>
      </c>
      <c r="U658" s="43" t="e">
        <f aca="false">S658*H658</f>
        <v>#NAME?</v>
      </c>
      <c r="V658" s="250" t="e">
        <f aca="false">xSPRDOPT($L658,$J658,$I658,$M658,$O658,$N658,$P658,$Q658-$C$3,$R658,2)*H658</f>
        <v>#NAME?</v>
      </c>
      <c r="W658" s="250" t="e">
        <f aca="false">+V658+T658</f>
        <v>#NAME?</v>
      </c>
      <c r="X658" s="2" t="str">
        <f aca="false">CONCATENATE(G658,D658)</f>
        <v>36951NGI/CHI. GATE</v>
      </c>
      <c r="Y658" s="251" t="n">
        <f aca="false">H658/10000</f>
        <v>-155</v>
      </c>
      <c r="Z658" s="226" t="e">
        <f aca="false">T658/H658</f>
        <v>#NAME?</v>
      </c>
      <c r="AA658" s="226" t="e">
        <f aca="false">xSPRDOPT($L658,$J658,$I658,$M658,$O658,$N658,$P658,$Q658-$C$3,$R658,3)</f>
        <v>#NAME?</v>
      </c>
      <c r="AB658" s="226" t="e">
        <f aca="false">((xSPRDOPT($L658+AB$5,$J658,$I658,$M658,$O658,$N658,$P658,$Q658-$C$3,$R658,3)*$H658)/10000)/100</f>
        <v>#NAME?</v>
      </c>
      <c r="AC658" s="226" t="e">
        <f aca="false">((xSPRDOPT($L658+$AB$5,$J658,$I658,$M658,$O658,$N658,$P658,$Q658-$C$3,$R658,7)*$H658)/100)</f>
        <v>#NAME?</v>
      </c>
      <c r="AD658" s="226" t="e">
        <f aca="false">(xSPRDOPT($L658+$AB$5,$J658,$I658,$M658,$O658,$N658,$P658,$Q658-$C$3,$R658,9)/365)*$H658</f>
        <v>#NAME?</v>
      </c>
      <c r="AE658" s="0" t="e">
        <f aca="false">CD659</f>
        <v>#NAME?</v>
      </c>
      <c r="AF658" s="226" t="e">
        <f aca="false">((O658/N658)*AH658)+AG658</f>
        <v>#NAME?</v>
      </c>
      <c r="AG658" s="226" t="e">
        <f aca="false">((xSPRDOPT($L658,$J658,$I658,$M658,$O658,$N658,$P658,$Q658-$C$3,$R658,6)*$H658)/100)</f>
        <v>#NAME?</v>
      </c>
      <c r="AH658" s="226" t="e">
        <f aca="false">((xSPRDOPT($L658,$J658,$I658,$M658,$O658,$N658,$P658,$Q658-$C$3,$R658,5)*$H658)/100)</f>
        <v>#NAME?</v>
      </c>
      <c r="AI658" s="226" t="e">
        <f aca="false">(((xSPRDOPT($L658,$J658,$I658,$M658,$O658,$N658,$P658,$Q658-$C$3,$R658,4)*$H658)/10000)/100)-AB658</f>
        <v>#NAME?</v>
      </c>
      <c r="AJ658" s="226"/>
      <c r="CC658" s="182" t="n">
        <f aca="false">G657</f>
        <v>36923</v>
      </c>
      <c r="CD658" s="253" t="e">
        <f aca="false">xSPRDOPT((VLOOKUP(G657,NGPrices,2,FALSE())+HLOOKUP(D657,Prices,VLOOKUP(G657,move_down,2,FALSE()),FALSE())),VLOOKUP(G657,NGPrices,2,FALSE()),I657,VLOOKUP(G657,NGPREVPRICES,4,FALSE()),HLOOKUP(D657,PREVVOLS,VLOOKUP(G657,MOVE_DOWN2,2,FALSE()),FALSE()),VLOOKUP(G657,NGPREVPRICES,3,FALSE()),HLOOKUP(D657,Correllate,VLOOKUP(G657,CorMove,2,FALSE()),FALSE()),Q657-$CD$3,R657,$CD$5)*H657-CJ658</f>
        <v>#NAME?</v>
      </c>
      <c r="CE658" s="253" t="e">
        <f aca="false">xSPRDOPT((VLOOKUP(G657,NGPREVPRICES,2,FALSE())+HLOOKUP(D657,PREVCURVES,VLOOKUP(G657,MOVE_DOWN2,2,FALSE()),FALSE())),VLOOKUP(G657,NGPREVPRICES,2,FALSE()),CK658,VLOOKUP(G657,NGPrices,4,FALSE()),HLOOKUP(D657,PREVVOLS,VLOOKUP(G657,MOVE_DOWN2,2,FALSE()),FALSE()),VLOOKUP(G657,NGPREVPRICES,3,FALSE()),HLOOKUP(D657,Correllate,VLOOKUP(G657,CorMove,2,FALSE()),FALSE()),Q657-$CD$3,R657,$CJ$5)*H657-CJ658</f>
        <v>#NAME?</v>
      </c>
      <c r="CF658" s="132" t="e">
        <f aca="false">(CJ658/VLOOKUP(CC658,discount,3,FALSE()))-(CJ658/VLOOKUP(CC658,discount,2,FALSE()))</f>
        <v>#NAME?</v>
      </c>
      <c r="CG658" s="253" t="e">
        <f aca="false">xSPRDOPT((VLOOKUP(G657,NGPREVPRICES,2,FALSE())+HLOOKUP(D657,PREVCURVES,VLOOKUP(G657,MOVE_DOWN2,2,FALSE()),FALSE())),VLOOKUP(G657,NGPREVPRICES,2,FALSE()),CK658,VLOOKUP(G657,NGPREVPRICES,4,FALSE()),HLOOKUP(D657,VOLS,VLOOKUP(G657,move_down,2,FALSE()),FALSE()),VLOOKUP(G657,NGPrices,3,FALSE()),HLOOKUP(D657,Correllate,VLOOKUP(G657,CorMove,2,FALSE()),FALSE()),Q657-$CD$3,R657,$CJ$5)*H657-CJ658</f>
        <v>#NAME?</v>
      </c>
      <c r="CH658" s="253" t="e">
        <f aca="false">xSPRDOPT((VLOOKUP(G657,NGPREVPRICES,2,FALSE())+HLOOKUP(D657,PREVCURVES,VLOOKUP(G657,MOVE_DOWN2,2,FALSE()),FALSE())),VLOOKUP(G657,NGPREVPRICES,2,FALSE()),CK658,VLOOKUP(G657,NGPREVPRICES,4,FALSE()),HLOOKUP(D657,PREVVOLS,VLOOKUP(G657,MOVE_DOWN2,2,FALSE()),FALSE()),VLOOKUP(G657,NGPREVPRICES,3,FALSE()),HLOOKUP(D657,Correllate,VLOOKUP(G657,CorMove,2,FALSE()),FALSE()),Q657-$C$3,R657,$CJ$5)*H657-CJ658</f>
        <v>#NAME?</v>
      </c>
      <c r="CI658" s="253" t="e">
        <f aca="false">SUM(CD658:CH658)</f>
        <v>#NAME?</v>
      </c>
      <c r="CJ658" s="253" t="e">
        <f aca="false">xSPRDOPT((VLOOKUP(G657,NGPREVPRICES,2,FALSE())+HLOOKUP(D657,PREVCURVES,VLOOKUP(G657,MOVE_DOWN2,2,FALSE()),FALSE())),VLOOKUP(G657,NGPREVPRICES,2,FALSE()),CK658,VLOOKUP(G657,NGPREVPRICES,4,FALSE()),HLOOKUP(D657,PREVVOLS,VLOOKUP(G657,MOVE_DOWN2,2,FALSE()),FALSE()),VLOOKUP(G657,NGPREVPRICES,3,FALSE()),HLOOKUP(D657,Correllate,VLOOKUP(G657,CorMove,2,FALSE()),FALSE()),Q657-$CD$3,R657,$CJ$5)*H657</f>
        <v>#NAME?</v>
      </c>
      <c r="CK658" s="254" t="n">
        <f aca="false">I657</f>
        <v>0.12</v>
      </c>
      <c r="CM658" s="0" t="str">
        <f aca="false">CONCATENATE(CC658,$CD$6)</f>
        <v>36923Curve Shift/Gamma</v>
      </c>
      <c r="CN658" s="0" t="str">
        <f aca="false">CONCATENATE($CC658,$CE$6)</f>
        <v>36923Rho</v>
      </c>
      <c r="CO658" s="0" t="str">
        <f aca="false">CONCATENATE($CC658,$CF$6)</f>
        <v>36923Drift</v>
      </c>
      <c r="CP658" s="0" t="str">
        <f aca="false">CONCATENATE($CC658,$CG$6)</f>
        <v>36923Vega</v>
      </c>
      <c r="CQ658" s="0" t="str">
        <f aca="false">CONCATENATE($CC658,$CH$6)</f>
        <v>36923Theta</v>
      </c>
    </row>
    <row r="659" customFormat="false" ht="12.75" hidden="false" customHeight="false" outlineLevel="0" collapsed="false">
      <c r="A659" s="17" t="s">
        <v>281</v>
      </c>
      <c r="B659" s="0" t="s">
        <v>192</v>
      </c>
      <c r="C659" s="0" t="s">
        <v>417</v>
      </c>
      <c r="D659" s="7" t="s">
        <v>152</v>
      </c>
      <c r="E659" s="0" t="s">
        <v>131</v>
      </c>
      <c r="F659" s="0" t="s">
        <v>136</v>
      </c>
      <c r="G659" s="92" t="n">
        <v>36831</v>
      </c>
      <c r="H659" s="248" t="n">
        <v>-300000</v>
      </c>
      <c r="I659" s="254" t="n">
        <v>0.12</v>
      </c>
      <c r="J659" s="124" t="n">
        <f aca="false">VLOOKUP(G659,NGPrices,2,FALSE())</f>
        <v>4.736</v>
      </c>
      <c r="K659" s="125" t="n">
        <f aca="false">HLOOKUP(D659,Prices,VLOOKUP(G659,move_down,2,FALSE()),FALSE())+VLOOKUP(G659,CHANGE,HLOOKUP(D659,CHANGE,2,FALSE()),FALSE())</f>
        <v>0.0875</v>
      </c>
      <c r="L659" s="124" t="n">
        <f aca="false">K659+J659</f>
        <v>4.8235</v>
      </c>
      <c r="M659" s="126" t="n">
        <f aca="false">VLOOKUP(G659,NGPrices,4,FALSE())</f>
        <v>0.06810675983792</v>
      </c>
      <c r="N659" s="7" t="n">
        <f aca="false">VLOOKUP(G659,NGPrices,3,FALSE())</f>
        <v>0.595</v>
      </c>
      <c r="O659" s="7" t="n">
        <f aca="false">HLOOKUP(D659,VOLS,VLOOKUP(G659,move_down,2,FALSE()),FALSE())</f>
        <v>0.595</v>
      </c>
      <c r="P659" s="249" t="n">
        <f aca="false">HLOOKUP(D659,Correllate,VLOOKUP(G659,CorMove,2,FALSE()),FALSE())</f>
        <v>0.997</v>
      </c>
      <c r="Q659" s="92" t="n">
        <f aca="false">WORKDAY(G659,-2)</f>
        <v>36829</v>
      </c>
      <c r="R659" s="7" t="n">
        <f aca="false">IF(F659="P",0,1)</f>
        <v>1</v>
      </c>
      <c r="S659" s="130" t="e">
        <f aca="false">xSPRDOPT($L659,$J659,$I659,$M659,$O659,$N659,$P659,$Q659-$C$3,$R659,0)</f>
        <v>#NAME?</v>
      </c>
      <c r="T659" s="250" t="e">
        <f aca="false">xSPRDOPT($L659,$J659,$I659,$M659,$O659,$N659,$P659,$Q659-$C$3,$R659,1)*H659</f>
        <v>#NAME?</v>
      </c>
      <c r="U659" s="43" t="e">
        <f aca="false">S659*H659</f>
        <v>#NAME?</v>
      </c>
      <c r="V659" s="250" t="e">
        <f aca="false">xSPRDOPT($L659,$J659,$I659,$M659,$O659,$N659,$P659,$Q659-$C$3,$R659,2)*H659</f>
        <v>#NAME?</v>
      </c>
      <c r="W659" s="250" t="e">
        <f aca="false">+V659+T659</f>
        <v>#NAME?</v>
      </c>
      <c r="X659" s="2" t="str">
        <f aca="false">CONCATENATE(G659,D659)</f>
        <v>36831NGI/CHI. GATE</v>
      </c>
      <c r="Y659" s="251" t="n">
        <f aca="false">H659/10000</f>
        <v>-30</v>
      </c>
      <c r="Z659" s="226" t="e">
        <f aca="false">T659/H659</f>
        <v>#NAME?</v>
      </c>
      <c r="AA659" s="226" t="e">
        <f aca="false">xSPRDOPT($L659,$J659,$I659,$M659,$O659,$N659,$P659,$Q659-$C$3,$R659,3)</f>
        <v>#NAME?</v>
      </c>
      <c r="AB659" s="226" t="e">
        <f aca="false">((xSPRDOPT($L659+AB$5,$J659,$I659,$M659,$O659,$N659,$P659,$Q659-$C$3,$R659,3)*$H659)/10000)/100</f>
        <v>#NAME?</v>
      </c>
      <c r="AC659" s="226" t="e">
        <f aca="false">((xSPRDOPT($L659+$AB$5,$J659,$I659,$M659,$O659,$N659,$P659,$Q659-$C$3,$R659,7)*$H659)/100)</f>
        <v>#NAME?</v>
      </c>
      <c r="AD659" s="226" t="e">
        <f aca="false">(xSPRDOPT($L659+$AB$5,$J659,$I659,$M659,$O659,$N659,$P659,$Q659-$C$3,$R659,9)/365)*$H659</f>
        <v>#NAME?</v>
      </c>
      <c r="AE659" s="0" t="e">
        <f aca="false">CD660</f>
        <v>#NAME?</v>
      </c>
      <c r="AF659" s="226" t="e">
        <f aca="false">((O659/N659)*AH659)+AG659</f>
        <v>#NAME?</v>
      </c>
      <c r="AG659" s="226" t="e">
        <f aca="false">((xSPRDOPT($L659,$J659,$I659,$M659,$O659,$N659,$P659,$Q659-$C$3,$R659,6)*$H659)/100)</f>
        <v>#NAME?</v>
      </c>
      <c r="AH659" s="226" t="e">
        <f aca="false">((xSPRDOPT($L659,$J659,$I659,$M659,$O659,$N659,$P659,$Q659-$C$3,$R659,5)*$H659)/100)</f>
        <v>#NAME?</v>
      </c>
      <c r="AI659" s="226" t="e">
        <f aca="false">(((xSPRDOPT($L659,$J659,$I659,$M659,$O659,$N659,$P659,$Q659-$C$3,$R659,4)*$H659)/10000)/100)-AB659</f>
        <v>#NAME?</v>
      </c>
      <c r="AJ659" s="226"/>
      <c r="CC659" s="182" t="n">
        <f aca="false">G658</f>
        <v>36951</v>
      </c>
      <c r="CD659" s="253" t="e">
        <f aca="false">xSPRDOPT((VLOOKUP(G658,NGPrices,2,FALSE())+HLOOKUP(D658,Prices,VLOOKUP(G658,move_down,2,FALSE()),FALSE())),VLOOKUP(G658,NGPrices,2,FALSE()),I658,VLOOKUP(G658,NGPREVPRICES,4,FALSE()),HLOOKUP(D658,PREVVOLS,VLOOKUP(G658,MOVE_DOWN2,2,FALSE()),FALSE()),VLOOKUP(G658,NGPREVPRICES,3,FALSE()),HLOOKUP(D658,Correllate,VLOOKUP(G658,CorMove,2,FALSE()),FALSE()),Q658-$CD$3,R658,$CD$5)*H658-CJ659</f>
        <v>#NAME?</v>
      </c>
      <c r="CE659" s="253" t="e">
        <f aca="false">xSPRDOPT((VLOOKUP(G658,NGPREVPRICES,2,FALSE())+HLOOKUP(D658,PREVCURVES,VLOOKUP(G658,MOVE_DOWN2,2,FALSE()),FALSE())),VLOOKUP(G658,NGPREVPRICES,2,FALSE()),CK659,VLOOKUP(G658,NGPrices,4,FALSE()),HLOOKUP(D658,PREVVOLS,VLOOKUP(G658,MOVE_DOWN2,2,FALSE()),FALSE()),VLOOKUP(G658,NGPREVPRICES,3,FALSE()),HLOOKUP(D658,Correllate,VLOOKUP(G658,CorMove,2,FALSE()),FALSE()),Q658-$CD$3,R658,$CJ$5)*H658-CJ659</f>
        <v>#NAME?</v>
      </c>
      <c r="CF659" s="132" t="e">
        <f aca="false">(CJ659/VLOOKUP(CC659,discount,3,FALSE()))-(CJ659/VLOOKUP(CC659,discount,2,FALSE()))</f>
        <v>#NAME?</v>
      </c>
      <c r="CG659" s="253" t="e">
        <f aca="false">xSPRDOPT((VLOOKUP(G658,NGPREVPRICES,2,FALSE())+HLOOKUP(D658,PREVCURVES,VLOOKUP(G658,MOVE_DOWN2,2,FALSE()),FALSE())),VLOOKUP(G658,NGPREVPRICES,2,FALSE()),CK659,VLOOKUP(G658,NGPREVPRICES,4,FALSE()),HLOOKUP(D658,VOLS,VLOOKUP(G658,move_down,2,FALSE()),FALSE()),VLOOKUP(G658,NGPrices,3,FALSE()),HLOOKUP(D658,Correllate,VLOOKUP(G658,CorMove,2,FALSE()),FALSE()),Q658-$CD$3,R658,$CJ$5)*H658-CJ659</f>
        <v>#NAME?</v>
      </c>
      <c r="CH659" s="253" t="e">
        <f aca="false">xSPRDOPT((VLOOKUP(G658,NGPREVPRICES,2,FALSE())+HLOOKUP(D658,PREVCURVES,VLOOKUP(G658,MOVE_DOWN2,2,FALSE()),FALSE())),VLOOKUP(G658,NGPREVPRICES,2,FALSE()),CK659,VLOOKUP(G658,NGPREVPRICES,4,FALSE()),HLOOKUP(D658,PREVVOLS,VLOOKUP(G658,MOVE_DOWN2,2,FALSE()),FALSE()),VLOOKUP(G658,NGPREVPRICES,3,FALSE()),HLOOKUP(D658,Correllate,VLOOKUP(G658,CorMove,2,FALSE()),FALSE()),Q658-$C$3,R658,$CJ$5)*H658-CJ659</f>
        <v>#NAME?</v>
      </c>
      <c r="CI659" s="253" t="e">
        <f aca="false">SUM(CD659:CH659)</f>
        <v>#NAME?</v>
      </c>
      <c r="CJ659" s="253" t="e">
        <f aca="false">xSPRDOPT((VLOOKUP(G658,NGPREVPRICES,2,FALSE())+HLOOKUP(D658,PREVCURVES,VLOOKUP(G658,MOVE_DOWN2,2,FALSE()),FALSE())),VLOOKUP(G658,NGPREVPRICES,2,FALSE()),CK659,VLOOKUP(G658,NGPREVPRICES,4,FALSE()),HLOOKUP(D658,PREVVOLS,VLOOKUP(G658,MOVE_DOWN2,2,FALSE()),FALSE()),VLOOKUP(G658,NGPREVPRICES,3,FALSE()),HLOOKUP(D658,Correllate,VLOOKUP(G658,CorMove,2,FALSE()),FALSE()),Q658-$CD$3,R658,$CJ$5)*H658</f>
        <v>#NAME?</v>
      </c>
      <c r="CK659" s="254" t="n">
        <f aca="false">I658</f>
        <v>0.12</v>
      </c>
      <c r="CM659" s="0" t="str">
        <f aca="false">CONCATENATE(CC659,$CD$6)</f>
        <v>36951Curve Shift/Gamma</v>
      </c>
      <c r="CN659" s="0" t="str">
        <f aca="false">CONCATENATE($CC659,$CE$6)</f>
        <v>36951Rho</v>
      </c>
      <c r="CO659" s="0" t="str">
        <f aca="false">CONCATENATE($CC659,$CF$6)</f>
        <v>36951Drift</v>
      </c>
      <c r="CP659" s="0" t="str">
        <f aca="false">CONCATENATE($CC659,$CG$6)</f>
        <v>36951Vega</v>
      </c>
      <c r="CQ659" s="0" t="str">
        <f aca="false">CONCATENATE($CC659,$CH$6)</f>
        <v>36951Theta</v>
      </c>
    </row>
    <row r="660" customFormat="false" ht="12.75" hidden="false" customHeight="false" outlineLevel="0" collapsed="false">
      <c r="A660" s="17" t="s">
        <v>281</v>
      </c>
      <c r="B660" s="0" t="s">
        <v>192</v>
      </c>
      <c r="C660" s="0" t="s">
        <v>417</v>
      </c>
      <c r="D660" s="7" t="s">
        <v>152</v>
      </c>
      <c r="E660" s="0" t="s">
        <v>131</v>
      </c>
      <c r="F660" s="0" t="s">
        <v>136</v>
      </c>
      <c r="G660" s="92" t="n">
        <v>36861</v>
      </c>
      <c r="H660" s="248" t="n">
        <v>-310000</v>
      </c>
      <c r="I660" s="254" t="n">
        <v>0.12</v>
      </c>
      <c r="J660" s="124" t="n">
        <f aca="false">VLOOKUP(G660,NGPrices,2,FALSE())</f>
        <v>4.8</v>
      </c>
      <c r="K660" s="125" t="n">
        <f aca="false">HLOOKUP(D660,Prices,VLOOKUP(G660,move_down,2,FALSE()),FALSE())+VLOOKUP(G660,CHANGE,HLOOKUP(D660,CHANGE,2,FALSE()),FALSE())</f>
        <v>0.1</v>
      </c>
      <c r="L660" s="124" t="n">
        <f aca="false">K660+J660</f>
        <v>4.9</v>
      </c>
      <c r="M660" s="126" t="n">
        <f aca="false">VLOOKUP(G660,NGPrices,4,FALSE())</f>
        <v>0.068314027999354</v>
      </c>
      <c r="N660" s="7" t="n">
        <f aca="false">VLOOKUP(G660,NGPrices,3,FALSE())</f>
        <v>0.6</v>
      </c>
      <c r="O660" s="7" t="n">
        <f aca="false">HLOOKUP(D660,VOLS,VLOOKUP(G660,move_down,2,FALSE()),FALSE())</f>
        <v>0.6</v>
      </c>
      <c r="P660" s="249" t="n">
        <f aca="false">HLOOKUP(D660,Correllate,VLOOKUP(G660,CorMove,2,FALSE()),FALSE())</f>
        <v>0.997</v>
      </c>
      <c r="Q660" s="92" t="n">
        <f aca="false">WORKDAY(G660,-2)</f>
        <v>36859</v>
      </c>
      <c r="R660" s="7" t="n">
        <f aca="false">IF(F660="P",0,1)</f>
        <v>1</v>
      </c>
      <c r="S660" s="130" t="e">
        <f aca="false">xSPRDOPT($L660,$J660,$I660,$M660,$O660,$N660,$P660,$Q660-$C$3,$R660,0)</f>
        <v>#NAME?</v>
      </c>
      <c r="T660" s="250" t="e">
        <f aca="false">xSPRDOPT($L660,$J660,$I660,$M660,$O660,$N660,$P660,$Q660-$C$3,$R660,1)*H660</f>
        <v>#NAME?</v>
      </c>
      <c r="U660" s="43" t="e">
        <f aca="false">S660*H660</f>
        <v>#NAME?</v>
      </c>
      <c r="V660" s="250" t="e">
        <f aca="false">xSPRDOPT($L660,$J660,$I660,$M660,$O660,$N660,$P660,$Q660-$C$3,$R660,2)*H660</f>
        <v>#NAME?</v>
      </c>
      <c r="W660" s="250" t="e">
        <f aca="false">+V660+T660</f>
        <v>#NAME?</v>
      </c>
      <c r="X660" s="2" t="str">
        <f aca="false">CONCATENATE(G660,D660)</f>
        <v>36861NGI/CHI. GATE</v>
      </c>
      <c r="Y660" s="251" t="n">
        <f aca="false">H660/10000</f>
        <v>-31</v>
      </c>
      <c r="Z660" s="226" t="e">
        <f aca="false">T660/H660</f>
        <v>#NAME?</v>
      </c>
      <c r="AA660" s="226" t="e">
        <f aca="false">xSPRDOPT($L660,$J660,$I660,$M660,$O660,$N660,$P660,$Q660-$C$3,$R660,3)</f>
        <v>#NAME?</v>
      </c>
      <c r="AB660" s="226" t="e">
        <f aca="false">((xSPRDOPT($L660+AB$5,$J660,$I660,$M660,$O660,$N660,$P660,$Q660-$C$3,$R660,3)*$H660)/10000)/100</f>
        <v>#NAME?</v>
      </c>
      <c r="AC660" s="226" t="e">
        <f aca="false">((xSPRDOPT($L660+$AB$5,$J660,$I660,$M660,$O660,$N660,$P660,$Q660-$C$3,$R660,7)*$H660)/100)</f>
        <v>#NAME?</v>
      </c>
      <c r="AD660" s="226" t="e">
        <f aca="false">(xSPRDOPT($L660+$AB$5,$J660,$I660,$M660,$O660,$N660,$P660,$Q660-$C$3,$R660,9)/365)*$H660</f>
        <v>#NAME?</v>
      </c>
      <c r="AE660" s="0" t="e">
        <f aca="false">CD661</f>
        <v>#NAME?</v>
      </c>
      <c r="AF660" s="226" t="e">
        <f aca="false">((O660/N660)*AH660)+AG660</f>
        <v>#NAME?</v>
      </c>
      <c r="AG660" s="226" t="e">
        <f aca="false">((xSPRDOPT($L660,$J660,$I660,$M660,$O660,$N660,$P660,$Q660-$C$3,$R660,6)*$H660)/100)</f>
        <v>#NAME?</v>
      </c>
      <c r="AH660" s="226" t="e">
        <f aca="false">((xSPRDOPT($L660,$J660,$I660,$M660,$O660,$N660,$P660,$Q660-$C$3,$R660,5)*$H660)/100)</f>
        <v>#NAME?</v>
      </c>
      <c r="AI660" s="226" t="e">
        <f aca="false">(((xSPRDOPT($L660,$J660,$I660,$M660,$O660,$N660,$P660,$Q660-$C$3,$R660,4)*$H660)/10000)/100)-AB660</f>
        <v>#NAME?</v>
      </c>
      <c r="AJ660" s="226"/>
      <c r="CC660" s="182" t="n">
        <f aca="false">G659</f>
        <v>36831</v>
      </c>
      <c r="CD660" s="253" t="e">
        <f aca="false">xSPRDOPT((VLOOKUP(G659,NGPrices,2,FALSE())+HLOOKUP(D659,Prices,VLOOKUP(G659,move_down,2,FALSE()),FALSE())),VLOOKUP(G659,NGPrices,2,FALSE()),I659,VLOOKUP(G659,NGPREVPRICES,4,FALSE()),HLOOKUP(D659,PREVVOLS,VLOOKUP(G659,MOVE_DOWN2,2,FALSE()),FALSE()),VLOOKUP(G659,NGPREVPRICES,3,FALSE()),HLOOKUP(D659,Correllate,VLOOKUP(G659,CorMove,2,FALSE()),FALSE()),Q659-$CD$3,R659,$CD$5)*H659-CJ660</f>
        <v>#NAME?</v>
      </c>
      <c r="CE660" s="253" t="e">
        <f aca="false">xSPRDOPT((VLOOKUP(G659,NGPREVPRICES,2,FALSE())+HLOOKUP(D659,PREVCURVES,VLOOKUP(G659,MOVE_DOWN2,2,FALSE()),FALSE())),VLOOKUP(G659,NGPREVPRICES,2,FALSE()),CK660,VLOOKUP(G659,NGPrices,4,FALSE()),HLOOKUP(D659,PREVVOLS,VLOOKUP(G659,MOVE_DOWN2,2,FALSE()),FALSE()),VLOOKUP(G659,NGPREVPRICES,3,FALSE()),HLOOKUP(D659,Correllate,VLOOKUP(G659,CorMove,2,FALSE()),FALSE()),Q659-$CD$3,R659,$CJ$5)*H659-CJ660</f>
        <v>#NAME?</v>
      </c>
      <c r="CF660" s="132" t="e">
        <f aca="false">(CJ660/VLOOKUP(CC660,discount,3,FALSE()))-(CJ660/VLOOKUP(CC660,discount,2,FALSE()))</f>
        <v>#NAME?</v>
      </c>
      <c r="CG660" s="253" t="e">
        <f aca="false">xSPRDOPT((VLOOKUP(G659,NGPREVPRICES,2,FALSE())+HLOOKUP(D659,PREVCURVES,VLOOKUP(G659,MOVE_DOWN2,2,FALSE()),FALSE())),VLOOKUP(G659,NGPREVPRICES,2,FALSE()),CK660,VLOOKUP(G659,NGPREVPRICES,4,FALSE()),HLOOKUP(D659,VOLS,VLOOKUP(G659,move_down,2,FALSE()),FALSE()),VLOOKUP(G659,NGPrices,3,FALSE()),HLOOKUP(D659,Correllate,VLOOKUP(G659,CorMove,2,FALSE()),FALSE()),Q659-$CD$3,R659,$CJ$5)*H659-CJ660</f>
        <v>#NAME?</v>
      </c>
      <c r="CH660" s="253" t="e">
        <f aca="false">xSPRDOPT((VLOOKUP(G659,NGPREVPRICES,2,FALSE())+HLOOKUP(D659,PREVCURVES,VLOOKUP(G659,MOVE_DOWN2,2,FALSE()),FALSE())),VLOOKUP(G659,NGPREVPRICES,2,FALSE()),CK660,VLOOKUP(G659,NGPREVPRICES,4,FALSE()),HLOOKUP(D659,PREVVOLS,VLOOKUP(G659,MOVE_DOWN2,2,FALSE()),FALSE()),VLOOKUP(G659,NGPREVPRICES,3,FALSE()),HLOOKUP(D659,Correllate,VLOOKUP(G659,CorMove,2,FALSE()),FALSE()),Q659-$C$3,R659,$CJ$5)*H659-CJ660</f>
        <v>#NAME?</v>
      </c>
      <c r="CI660" s="253" t="e">
        <f aca="false">SUM(CD660:CH660)</f>
        <v>#NAME?</v>
      </c>
      <c r="CJ660" s="253" t="e">
        <f aca="false">xSPRDOPT((VLOOKUP(G659,NGPREVPRICES,2,FALSE())+HLOOKUP(D659,PREVCURVES,VLOOKUP(G659,MOVE_DOWN2,2,FALSE()),FALSE())),VLOOKUP(G659,NGPREVPRICES,2,FALSE()),CK660,VLOOKUP(G659,NGPREVPRICES,4,FALSE()),HLOOKUP(D659,PREVVOLS,VLOOKUP(G659,MOVE_DOWN2,2,FALSE()),FALSE()),VLOOKUP(G659,NGPREVPRICES,3,FALSE()),HLOOKUP(D659,Correllate,VLOOKUP(G659,CorMove,2,FALSE()),FALSE()),Q659-$CD$3,R659,$CJ$5)*H659</f>
        <v>#NAME?</v>
      </c>
      <c r="CK660" s="254" t="n">
        <f aca="false">I659</f>
        <v>0.12</v>
      </c>
      <c r="CM660" s="0" t="str">
        <f aca="false">CONCATENATE(CC660,$CD$6)</f>
        <v>36831Curve Shift/Gamma</v>
      </c>
      <c r="CN660" s="0" t="str">
        <f aca="false">CONCATENATE($CC660,$CE$6)</f>
        <v>36831Rho</v>
      </c>
      <c r="CO660" s="0" t="str">
        <f aca="false">CONCATENATE($CC660,$CF$6)</f>
        <v>36831Drift</v>
      </c>
      <c r="CP660" s="0" t="str">
        <f aca="false">CONCATENATE($CC660,$CG$6)</f>
        <v>36831Vega</v>
      </c>
      <c r="CQ660" s="0" t="str">
        <f aca="false">CONCATENATE($CC660,$CH$6)</f>
        <v>36831Theta</v>
      </c>
    </row>
    <row r="661" customFormat="false" ht="12.75" hidden="false" customHeight="false" outlineLevel="0" collapsed="false">
      <c r="A661" s="17" t="s">
        <v>281</v>
      </c>
      <c r="B661" s="0" t="s">
        <v>192</v>
      </c>
      <c r="C661" s="0" t="s">
        <v>417</v>
      </c>
      <c r="D661" s="7" t="s">
        <v>152</v>
      </c>
      <c r="E661" s="0" t="s">
        <v>131</v>
      </c>
      <c r="F661" s="0" t="s">
        <v>136</v>
      </c>
      <c r="G661" s="92" t="n">
        <v>36892</v>
      </c>
      <c r="H661" s="248" t="n">
        <v>-310000</v>
      </c>
      <c r="I661" s="254" t="n">
        <v>0.12</v>
      </c>
      <c r="J661" s="124" t="n">
        <f aca="false">VLOOKUP(G661,NGPrices,2,FALSE())</f>
        <v>4.744</v>
      </c>
      <c r="K661" s="125" t="n">
        <f aca="false">HLOOKUP(D661,Prices,VLOOKUP(G661,move_down,2,FALSE()),FALSE())+VLOOKUP(G661,CHANGE,HLOOKUP(D661,CHANGE,2,FALSE()),FALSE())</f>
        <v>0.1275</v>
      </c>
      <c r="L661" s="124" t="n">
        <f aca="false">K661+J661</f>
        <v>4.8715</v>
      </c>
      <c r="M661" s="126" t="n">
        <f aca="false">VLOOKUP(G661,NGPrices,4,FALSE())</f>
        <v>0.068374831148491</v>
      </c>
      <c r="N661" s="7" t="n">
        <f aca="false">VLOOKUP(G661,NGPrices,3,FALSE())</f>
        <v>0.605</v>
      </c>
      <c r="O661" s="7" t="n">
        <f aca="false">HLOOKUP(D661,VOLS,VLOOKUP(G661,move_down,2,FALSE()),FALSE())</f>
        <v>0.605</v>
      </c>
      <c r="P661" s="249" t="n">
        <f aca="false">HLOOKUP(D661,Correllate,VLOOKUP(G661,CorMove,2,FALSE()),FALSE())</f>
        <v>0.997</v>
      </c>
      <c r="Q661" s="92" t="n">
        <f aca="false">WORKDAY(G661,-2)</f>
        <v>36888</v>
      </c>
      <c r="R661" s="7" t="n">
        <f aca="false">IF(F661="P",0,1)</f>
        <v>1</v>
      </c>
      <c r="S661" s="130" t="e">
        <f aca="false">xSPRDOPT($L661,$J661,$I661,$M661,$O661,$N661,$P661,$Q661-$C$3,$R661,0)</f>
        <v>#NAME?</v>
      </c>
      <c r="T661" s="250" t="e">
        <f aca="false">xSPRDOPT($L661,$J661,$I661,$M661,$O661,$N661,$P661,$Q661-$C$3,$R661,1)*H661</f>
        <v>#NAME?</v>
      </c>
      <c r="U661" s="43" t="e">
        <f aca="false">S661*H661</f>
        <v>#NAME?</v>
      </c>
      <c r="V661" s="250" t="e">
        <f aca="false">xSPRDOPT($L661,$J661,$I661,$M661,$O661,$N661,$P661,$Q661-$C$3,$R661,2)*H661</f>
        <v>#NAME?</v>
      </c>
      <c r="W661" s="250" t="e">
        <f aca="false">+V661+T661</f>
        <v>#NAME?</v>
      </c>
      <c r="X661" s="2" t="str">
        <f aca="false">CONCATENATE(G661,D661)</f>
        <v>36892NGI/CHI. GATE</v>
      </c>
      <c r="Y661" s="251" t="n">
        <f aca="false">H661/10000</f>
        <v>-31</v>
      </c>
      <c r="Z661" s="226" t="e">
        <f aca="false">T661/H661</f>
        <v>#NAME?</v>
      </c>
      <c r="AA661" s="226" t="e">
        <f aca="false">xSPRDOPT($L661,$J661,$I661,$M661,$O661,$N661,$P661,$Q661-$C$3,$R661,3)</f>
        <v>#NAME?</v>
      </c>
      <c r="AB661" s="226" t="e">
        <f aca="false">((xSPRDOPT($L661+AB$5,$J661,$I661,$M661,$O661,$N661,$P661,$Q661-$C$3,$R661,3)*$H661)/10000)/100</f>
        <v>#NAME?</v>
      </c>
      <c r="AC661" s="226" t="e">
        <f aca="false">((xSPRDOPT($L661+$AB$5,$J661,$I661,$M661,$O661,$N661,$P661,$Q661-$C$3,$R661,7)*$H661)/100)</f>
        <v>#NAME?</v>
      </c>
      <c r="AD661" s="226" t="e">
        <f aca="false">(xSPRDOPT($L661+$AB$5,$J661,$I661,$M661,$O661,$N661,$P661,$Q661-$C$3,$R661,9)/365)*$H661</f>
        <v>#NAME?</v>
      </c>
      <c r="AE661" s="0" t="e">
        <f aca="false">CD662</f>
        <v>#NAME?</v>
      </c>
      <c r="AF661" s="226" t="e">
        <f aca="false">((O661/N661)*AH661)+AG661</f>
        <v>#NAME?</v>
      </c>
      <c r="AG661" s="226" t="e">
        <f aca="false">((xSPRDOPT($L661,$J661,$I661,$M661,$O661,$N661,$P661,$Q661-$C$3,$R661,6)*$H661)/100)</f>
        <v>#NAME?</v>
      </c>
      <c r="AH661" s="226" t="e">
        <f aca="false">((xSPRDOPT($L661,$J661,$I661,$M661,$O661,$N661,$P661,$Q661-$C$3,$R661,5)*$H661)/100)</f>
        <v>#NAME?</v>
      </c>
      <c r="AI661" s="226" t="e">
        <f aca="false">(((xSPRDOPT($L661,$J661,$I661,$M661,$O661,$N661,$P661,$Q661-$C$3,$R661,4)*$H661)/10000)/100)-AB661</f>
        <v>#NAME?</v>
      </c>
      <c r="AJ661" s="226"/>
      <c r="CC661" s="182" t="n">
        <f aca="false">G660</f>
        <v>36861</v>
      </c>
      <c r="CD661" s="253" t="e">
        <f aca="false">xSPRDOPT((VLOOKUP(G660,NGPrices,2,FALSE())+HLOOKUP(D660,Prices,VLOOKUP(G660,move_down,2,FALSE()),FALSE())),VLOOKUP(G660,NGPrices,2,FALSE()),I660,VLOOKUP(G660,NGPREVPRICES,4,FALSE()),HLOOKUP(D660,PREVVOLS,VLOOKUP(G660,MOVE_DOWN2,2,FALSE()),FALSE()),VLOOKUP(G660,NGPREVPRICES,3,FALSE()),HLOOKUP(D660,Correllate,VLOOKUP(G660,CorMove,2,FALSE()),FALSE()),Q660-$CD$3,R660,$CD$5)*H660-CJ661</f>
        <v>#NAME?</v>
      </c>
      <c r="CE661" s="253" t="e">
        <f aca="false">xSPRDOPT((VLOOKUP(G660,NGPREVPRICES,2,FALSE())+HLOOKUP(D660,PREVCURVES,VLOOKUP(G660,MOVE_DOWN2,2,FALSE()),FALSE())),VLOOKUP(G660,NGPREVPRICES,2,FALSE()),CK661,VLOOKUP(G660,NGPrices,4,FALSE()),HLOOKUP(D660,PREVVOLS,VLOOKUP(G660,MOVE_DOWN2,2,FALSE()),FALSE()),VLOOKUP(G660,NGPREVPRICES,3,FALSE()),HLOOKUP(D660,Correllate,VLOOKUP(G660,CorMove,2,FALSE()),FALSE()),Q660-$CD$3,R660,$CJ$5)*H660-CJ661</f>
        <v>#NAME?</v>
      </c>
      <c r="CF661" s="132" t="e">
        <f aca="false">(CJ661/VLOOKUP(CC661,discount,3,FALSE()))-(CJ661/VLOOKUP(CC661,discount,2,FALSE()))</f>
        <v>#NAME?</v>
      </c>
      <c r="CG661" s="253" t="e">
        <f aca="false">xSPRDOPT((VLOOKUP(G660,NGPREVPRICES,2,FALSE())+HLOOKUP(D660,PREVCURVES,VLOOKUP(G660,MOVE_DOWN2,2,FALSE()),FALSE())),VLOOKUP(G660,NGPREVPRICES,2,FALSE()),CK661,VLOOKUP(G660,NGPREVPRICES,4,FALSE()),HLOOKUP(D660,VOLS,VLOOKUP(G660,move_down,2,FALSE()),FALSE()),VLOOKUP(G660,NGPrices,3,FALSE()),HLOOKUP(D660,Correllate,VLOOKUP(G660,CorMove,2,FALSE()),FALSE()),Q660-$CD$3,R660,$CJ$5)*H660-CJ661</f>
        <v>#NAME?</v>
      </c>
      <c r="CH661" s="253" t="e">
        <f aca="false">xSPRDOPT((VLOOKUP(G660,NGPREVPRICES,2,FALSE())+HLOOKUP(D660,PREVCURVES,VLOOKUP(G660,MOVE_DOWN2,2,FALSE()),FALSE())),VLOOKUP(G660,NGPREVPRICES,2,FALSE()),CK661,VLOOKUP(G660,NGPREVPRICES,4,FALSE()),HLOOKUP(D660,PREVVOLS,VLOOKUP(G660,MOVE_DOWN2,2,FALSE()),FALSE()),VLOOKUP(G660,NGPREVPRICES,3,FALSE()),HLOOKUP(D660,Correllate,VLOOKUP(G660,CorMove,2,FALSE()),FALSE()),Q660-$C$3,R660,$CJ$5)*H660-CJ661</f>
        <v>#NAME?</v>
      </c>
      <c r="CI661" s="253" t="e">
        <f aca="false">SUM(CD661:CH661)</f>
        <v>#NAME?</v>
      </c>
      <c r="CJ661" s="253" t="e">
        <f aca="false">xSPRDOPT((VLOOKUP(G660,NGPREVPRICES,2,FALSE())+HLOOKUP(D660,PREVCURVES,VLOOKUP(G660,MOVE_DOWN2,2,FALSE()),FALSE())),VLOOKUP(G660,NGPREVPRICES,2,FALSE()),CK661,VLOOKUP(G660,NGPREVPRICES,4,FALSE()),HLOOKUP(D660,PREVVOLS,VLOOKUP(G660,MOVE_DOWN2,2,FALSE()),FALSE()),VLOOKUP(G660,NGPREVPRICES,3,FALSE()),HLOOKUP(D660,Correllate,VLOOKUP(G660,CorMove,2,FALSE()),FALSE()),Q660-$CD$3,R660,$CJ$5)*H660</f>
        <v>#NAME?</v>
      </c>
      <c r="CK661" s="254" t="n">
        <f aca="false">I660</f>
        <v>0.12</v>
      </c>
      <c r="CM661" s="0" t="str">
        <f aca="false">CONCATENATE(CC661,$CD$6)</f>
        <v>36861Curve Shift/Gamma</v>
      </c>
      <c r="CN661" s="0" t="str">
        <f aca="false">CONCATENATE($CC661,$CE$6)</f>
        <v>36861Rho</v>
      </c>
      <c r="CO661" s="0" t="str">
        <f aca="false">CONCATENATE($CC661,$CF$6)</f>
        <v>36861Drift</v>
      </c>
      <c r="CP661" s="0" t="str">
        <f aca="false">CONCATENATE($CC661,$CG$6)</f>
        <v>36861Vega</v>
      </c>
      <c r="CQ661" s="0" t="str">
        <f aca="false">CONCATENATE($CC661,$CH$6)</f>
        <v>36861Theta</v>
      </c>
    </row>
    <row r="662" customFormat="false" ht="12.75" hidden="false" customHeight="false" outlineLevel="0" collapsed="false">
      <c r="A662" s="17" t="s">
        <v>281</v>
      </c>
      <c r="B662" s="0" t="s">
        <v>192</v>
      </c>
      <c r="C662" s="0" t="s">
        <v>417</v>
      </c>
      <c r="D662" s="7" t="s">
        <v>152</v>
      </c>
      <c r="E662" s="0" t="s">
        <v>131</v>
      </c>
      <c r="F662" s="0" t="s">
        <v>136</v>
      </c>
      <c r="G662" s="92" t="n">
        <v>36923</v>
      </c>
      <c r="H662" s="248" t="n">
        <v>-280000</v>
      </c>
      <c r="I662" s="254" t="n">
        <v>0.12</v>
      </c>
      <c r="J662" s="124" t="n">
        <f aca="false">VLOOKUP(G662,NGPrices,2,FALSE())</f>
        <v>4.48</v>
      </c>
      <c r="K662" s="125" t="n">
        <f aca="false">HLOOKUP(D662,Prices,VLOOKUP(G662,move_down,2,FALSE()),FALSE())+VLOOKUP(G662,CHANGE,HLOOKUP(D662,CHANGE,2,FALSE()),FALSE())</f>
        <v>0.1375</v>
      </c>
      <c r="L662" s="124" t="n">
        <f aca="false">K662+J662</f>
        <v>4.6175</v>
      </c>
      <c r="M662" s="126" t="n">
        <f aca="false">VLOOKUP(G662,NGPrices,4,FALSE())</f>
        <v>0.068640161611372</v>
      </c>
      <c r="N662" s="7" t="n">
        <f aca="false">VLOOKUP(G662,NGPrices,3,FALSE())</f>
        <v>0.5925</v>
      </c>
      <c r="O662" s="7" t="n">
        <f aca="false">HLOOKUP(D662,VOLS,VLOOKUP(G662,move_down,2,FALSE()),FALSE())</f>
        <v>0.593</v>
      </c>
      <c r="P662" s="249" t="n">
        <f aca="false">HLOOKUP(D662,Correllate,VLOOKUP(G662,CorMove,2,FALSE()),FALSE())</f>
        <v>0.997</v>
      </c>
      <c r="Q662" s="92" t="n">
        <f aca="false">WORKDAY(G662,-2)</f>
        <v>36921</v>
      </c>
      <c r="R662" s="7" t="n">
        <f aca="false">IF(F662="P",0,1)</f>
        <v>1</v>
      </c>
      <c r="S662" s="130" t="e">
        <f aca="false">xSPRDOPT($L662,$J662,$I662,$M662,$O662,$N662,$P662,$Q662-$C$3,$R662,0)</f>
        <v>#NAME?</v>
      </c>
      <c r="T662" s="250" t="e">
        <f aca="false">xSPRDOPT($L662,$J662,$I662,$M662,$O662,$N662,$P662,$Q662-$C$3,$R662,1)*H662</f>
        <v>#NAME?</v>
      </c>
      <c r="U662" s="43" t="e">
        <f aca="false">S662*H662</f>
        <v>#NAME?</v>
      </c>
      <c r="V662" s="250" t="e">
        <f aca="false">xSPRDOPT($L662,$J662,$I662,$M662,$O662,$N662,$P662,$Q662-$C$3,$R662,2)*H662</f>
        <v>#NAME?</v>
      </c>
      <c r="W662" s="250" t="e">
        <f aca="false">+V662+T662</f>
        <v>#NAME?</v>
      </c>
      <c r="X662" s="2" t="str">
        <f aca="false">CONCATENATE(G662,D662)</f>
        <v>36923NGI/CHI. GATE</v>
      </c>
      <c r="Y662" s="251" t="n">
        <f aca="false">H662/10000</f>
        <v>-28</v>
      </c>
      <c r="Z662" s="226" t="e">
        <f aca="false">T662/H662</f>
        <v>#NAME?</v>
      </c>
      <c r="AA662" s="226" t="e">
        <f aca="false">xSPRDOPT($L662,$J662,$I662,$M662,$O662,$N662,$P662,$Q662-$C$3,$R662,3)</f>
        <v>#NAME?</v>
      </c>
      <c r="AB662" s="226" t="e">
        <f aca="false">((xSPRDOPT($L662+AB$5,$J662,$I662,$M662,$O662,$N662,$P662,$Q662-$C$3,$R662,3)*$H662)/10000)/100</f>
        <v>#NAME?</v>
      </c>
      <c r="AC662" s="226" t="e">
        <f aca="false">((xSPRDOPT($L662+$AB$5,$J662,$I662,$M662,$O662,$N662,$P662,$Q662-$C$3,$R662,7)*$H662)/100)</f>
        <v>#NAME?</v>
      </c>
      <c r="AD662" s="226" t="e">
        <f aca="false">(xSPRDOPT($L662+$AB$5,$J662,$I662,$M662,$O662,$N662,$P662,$Q662-$C$3,$R662,9)/365)*$H662</f>
        <v>#NAME?</v>
      </c>
      <c r="AE662" s="0" t="e">
        <f aca="false">CD663</f>
        <v>#NAME?</v>
      </c>
      <c r="AF662" s="226" t="e">
        <f aca="false">((O662/N662)*AH662)+AG662</f>
        <v>#NAME?</v>
      </c>
      <c r="AG662" s="226" t="e">
        <f aca="false">((xSPRDOPT($L662,$J662,$I662,$M662,$O662,$N662,$P662,$Q662-$C$3,$R662,6)*$H662)/100)</f>
        <v>#NAME?</v>
      </c>
      <c r="AH662" s="226" t="e">
        <f aca="false">((xSPRDOPT($L662,$J662,$I662,$M662,$O662,$N662,$P662,$Q662-$C$3,$R662,5)*$H662)/100)</f>
        <v>#NAME?</v>
      </c>
      <c r="AI662" s="226" t="e">
        <f aca="false">(((xSPRDOPT($L662,$J662,$I662,$M662,$O662,$N662,$P662,$Q662-$C$3,$R662,4)*$H662)/10000)/100)-AB662</f>
        <v>#NAME?</v>
      </c>
      <c r="AJ662" s="226"/>
      <c r="CC662" s="182" t="n">
        <f aca="false">G661</f>
        <v>36892</v>
      </c>
      <c r="CD662" s="253" t="e">
        <f aca="false">xSPRDOPT((VLOOKUP(G661,NGPrices,2,FALSE())+HLOOKUP(D661,Prices,VLOOKUP(G661,move_down,2,FALSE()),FALSE())),VLOOKUP(G661,NGPrices,2,FALSE()),I661,VLOOKUP(G661,NGPREVPRICES,4,FALSE()),HLOOKUP(D661,PREVVOLS,VLOOKUP(G661,MOVE_DOWN2,2,FALSE()),FALSE()),VLOOKUP(G661,NGPREVPRICES,3,FALSE()),HLOOKUP(D661,Correllate,VLOOKUP(G661,CorMove,2,FALSE()),FALSE()),Q661-$CD$3,R661,$CD$5)*H661-CJ662</f>
        <v>#NAME?</v>
      </c>
      <c r="CE662" s="253" t="e">
        <f aca="false">xSPRDOPT((VLOOKUP(G661,NGPREVPRICES,2,FALSE())+HLOOKUP(D661,PREVCURVES,VLOOKUP(G661,MOVE_DOWN2,2,FALSE()),FALSE())),VLOOKUP(G661,NGPREVPRICES,2,FALSE()),CK662,VLOOKUP(G661,NGPrices,4,FALSE()),HLOOKUP(D661,PREVVOLS,VLOOKUP(G661,MOVE_DOWN2,2,FALSE()),FALSE()),VLOOKUP(G661,NGPREVPRICES,3,FALSE()),HLOOKUP(D661,Correllate,VLOOKUP(G661,CorMove,2,FALSE()),FALSE()),Q661-$CD$3,R661,$CJ$5)*H661-CJ662</f>
        <v>#NAME?</v>
      </c>
      <c r="CF662" s="132" t="e">
        <f aca="false">(CJ662/VLOOKUP(CC662,discount,3,FALSE()))-(CJ662/VLOOKUP(CC662,discount,2,FALSE()))</f>
        <v>#NAME?</v>
      </c>
      <c r="CG662" s="253" t="e">
        <f aca="false">xSPRDOPT((VLOOKUP(G661,NGPREVPRICES,2,FALSE())+HLOOKUP(D661,PREVCURVES,VLOOKUP(G661,MOVE_DOWN2,2,FALSE()),FALSE())),VLOOKUP(G661,NGPREVPRICES,2,FALSE()),CK662,VLOOKUP(G661,NGPREVPRICES,4,FALSE()),HLOOKUP(D661,VOLS,VLOOKUP(G661,move_down,2,FALSE()),FALSE()),VLOOKUP(G661,NGPrices,3,FALSE()),HLOOKUP(D661,Correllate,VLOOKUP(G661,CorMove,2,FALSE()),FALSE()),Q661-$CD$3,R661,$CJ$5)*H661-CJ662</f>
        <v>#NAME?</v>
      </c>
      <c r="CH662" s="253" t="e">
        <f aca="false">xSPRDOPT((VLOOKUP(G661,NGPREVPRICES,2,FALSE())+HLOOKUP(D661,PREVCURVES,VLOOKUP(G661,MOVE_DOWN2,2,FALSE()),FALSE())),VLOOKUP(G661,NGPREVPRICES,2,FALSE()),CK662,VLOOKUP(G661,NGPREVPRICES,4,FALSE()),HLOOKUP(D661,PREVVOLS,VLOOKUP(G661,MOVE_DOWN2,2,FALSE()),FALSE()),VLOOKUP(G661,NGPREVPRICES,3,FALSE()),HLOOKUP(D661,Correllate,VLOOKUP(G661,CorMove,2,FALSE()),FALSE()),Q661-$C$3,R661,$CJ$5)*H661-CJ662</f>
        <v>#NAME?</v>
      </c>
      <c r="CI662" s="253" t="e">
        <f aca="false">SUM(CD662:CH662)</f>
        <v>#NAME?</v>
      </c>
      <c r="CJ662" s="253" t="e">
        <f aca="false">xSPRDOPT((VLOOKUP(G661,NGPREVPRICES,2,FALSE())+HLOOKUP(D661,PREVCURVES,VLOOKUP(G661,MOVE_DOWN2,2,FALSE()),FALSE())),VLOOKUP(G661,NGPREVPRICES,2,FALSE()),CK662,VLOOKUP(G661,NGPREVPRICES,4,FALSE()),HLOOKUP(D661,PREVVOLS,VLOOKUP(G661,MOVE_DOWN2,2,FALSE()),FALSE()),VLOOKUP(G661,NGPREVPRICES,3,FALSE()),HLOOKUP(D661,Correllate,VLOOKUP(G661,CorMove,2,FALSE()),FALSE()),Q661-$CD$3,R661,$CJ$5)*H661</f>
        <v>#NAME?</v>
      </c>
      <c r="CK662" s="254" t="n">
        <f aca="false">I661</f>
        <v>0.12</v>
      </c>
      <c r="CM662" s="0" t="str">
        <f aca="false">CONCATENATE(CC662,$CD$6)</f>
        <v>36892Curve Shift/Gamma</v>
      </c>
      <c r="CN662" s="0" t="str">
        <f aca="false">CONCATENATE($CC662,$CE$6)</f>
        <v>36892Rho</v>
      </c>
      <c r="CO662" s="0" t="str">
        <f aca="false">CONCATENATE($CC662,$CF$6)</f>
        <v>36892Drift</v>
      </c>
      <c r="CP662" s="0" t="str">
        <f aca="false">CONCATENATE($CC662,$CG$6)</f>
        <v>36892Vega</v>
      </c>
      <c r="CQ662" s="0" t="str">
        <f aca="false">CONCATENATE($CC662,$CH$6)</f>
        <v>36892Theta</v>
      </c>
    </row>
    <row r="663" customFormat="false" ht="12.75" hidden="false" customHeight="false" outlineLevel="0" collapsed="false">
      <c r="A663" s="17" t="s">
        <v>281</v>
      </c>
      <c r="B663" s="0" t="s">
        <v>192</v>
      </c>
      <c r="C663" s="0" t="s">
        <v>417</v>
      </c>
      <c r="D663" s="7" t="s">
        <v>152</v>
      </c>
      <c r="E663" s="0" t="s">
        <v>131</v>
      </c>
      <c r="F663" s="0" t="s">
        <v>136</v>
      </c>
      <c r="G663" s="92" t="n">
        <v>36951</v>
      </c>
      <c r="H663" s="248" t="n">
        <v>-310000</v>
      </c>
      <c r="I663" s="254" t="n">
        <v>0.12</v>
      </c>
      <c r="J663" s="124" t="n">
        <f aca="false">VLOOKUP(G663,NGPrices,2,FALSE())</f>
        <v>4.213</v>
      </c>
      <c r="K663" s="125" t="n">
        <f aca="false">HLOOKUP(D663,Prices,VLOOKUP(G663,move_down,2,FALSE()),FALSE())+VLOOKUP(G663,CHANGE,HLOOKUP(D663,CHANGE,2,FALSE()),FALSE())</f>
        <v>0.1225</v>
      </c>
      <c r="L663" s="124" t="n">
        <f aca="false">K663+J663</f>
        <v>4.3355</v>
      </c>
      <c r="M663" s="126" t="n">
        <f aca="false">VLOOKUP(G663,NGPrices,4,FALSE())</f>
        <v>0.068879814952707</v>
      </c>
      <c r="N663" s="7" t="n">
        <f aca="false">VLOOKUP(G663,NGPrices,3,FALSE())</f>
        <v>0.5325</v>
      </c>
      <c r="O663" s="7" t="n">
        <f aca="false">HLOOKUP(D663,VOLS,VLOOKUP(G663,move_down,2,FALSE()),FALSE())</f>
        <v>0.533</v>
      </c>
      <c r="P663" s="249" t="n">
        <f aca="false">HLOOKUP(D663,Correllate,VLOOKUP(G663,CorMove,2,FALSE()),FALSE())</f>
        <v>0.997</v>
      </c>
      <c r="Q663" s="92" t="n">
        <f aca="false">WORKDAY(G663,-2)</f>
        <v>36949</v>
      </c>
      <c r="R663" s="7" t="n">
        <f aca="false">IF(F663="P",0,1)</f>
        <v>1</v>
      </c>
      <c r="S663" s="130" t="e">
        <f aca="false">xSPRDOPT($L663,$J663,$I663,$M663,$O663,$N663,$P663,$Q663-$C$3,$R663,0)</f>
        <v>#NAME?</v>
      </c>
      <c r="T663" s="250" t="e">
        <f aca="false">xSPRDOPT($L663,$J663,$I663,$M663,$O663,$N663,$P663,$Q663-$C$3,$R663,1)*H663</f>
        <v>#NAME?</v>
      </c>
      <c r="U663" s="43" t="e">
        <f aca="false">S663*H663</f>
        <v>#NAME?</v>
      </c>
      <c r="V663" s="250" t="e">
        <f aca="false">xSPRDOPT($L663,$J663,$I663,$M663,$O663,$N663,$P663,$Q663-$C$3,$R663,2)*H663</f>
        <v>#NAME?</v>
      </c>
      <c r="W663" s="250" t="e">
        <f aca="false">+V663+T663</f>
        <v>#NAME?</v>
      </c>
      <c r="X663" s="2" t="str">
        <f aca="false">CONCATENATE(G663,D663)</f>
        <v>36951NGI/CHI. GATE</v>
      </c>
      <c r="Y663" s="251" t="n">
        <f aca="false">H663/10000</f>
        <v>-31</v>
      </c>
      <c r="Z663" s="226" t="e">
        <f aca="false">T663/H663</f>
        <v>#NAME?</v>
      </c>
      <c r="AA663" s="226" t="e">
        <f aca="false">xSPRDOPT($L663,$J663,$I663,$M663,$O663,$N663,$P663,$Q663-$C$3,$R663,3)</f>
        <v>#NAME?</v>
      </c>
      <c r="AB663" s="226" t="e">
        <f aca="false">((xSPRDOPT($L663+AB$5,$J663,$I663,$M663,$O663,$N663,$P663,$Q663-$C$3,$R663,3)*$H663)/10000)/100</f>
        <v>#NAME?</v>
      </c>
      <c r="AC663" s="226" t="e">
        <f aca="false">((xSPRDOPT($L663+$AB$5,$J663,$I663,$M663,$O663,$N663,$P663,$Q663-$C$3,$R663,7)*$H663)/100)</f>
        <v>#NAME?</v>
      </c>
      <c r="AD663" s="226" t="e">
        <f aca="false">(xSPRDOPT($L663+$AB$5,$J663,$I663,$M663,$O663,$N663,$P663,$Q663-$C$3,$R663,9)/365)*$H663</f>
        <v>#NAME?</v>
      </c>
      <c r="AE663" s="0" t="e">
        <f aca="false">CD664</f>
        <v>#NAME?</v>
      </c>
      <c r="AF663" s="226" t="e">
        <f aca="false">((O663/N663)*AH663)+AG663</f>
        <v>#NAME?</v>
      </c>
      <c r="AG663" s="226" t="e">
        <f aca="false">((xSPRDOPT($L663,$J663,$I663,$M663,$O663,$N663,$P663,$Q663-$C$3,$R663,6)*$H663)/100)</f>
        <v>#NAME?</v>
      </c>
      <c r="AH663" s="226" t="e">
        <f aca="false">((xSPRDOPT($L663,$J663,$I663,$M663,$O663,$N663,$P663,$Q663-$C$3,$R663,5)*$H663)/100)</f>
        <v>#NAME?</v>
      </c>
      <c r="AI663" s="226" t="e">
        <f aca="false">(((xSPRDOPT($L663,$J663,$I663,$M663,$O663,$N663,$P663,$Q663-$C$3,$R663,4)*$H663)/10000)/100)-AB663</f>
        <v>#NAME?</v>
      </c>
      <c r="AJ663" s="226"/>
      <c r="CC663" s="182" t="n">
        <f aca="false">G662</f>
        <v>36923</v>
      </c>
      <c r="CD663" s="253" t="e">
        <f aca="false">xSPRDOPT((VLOOKUP(G662,NGPrices,2,FALSE())+HLOOKUP(D662,Prices,VLOOKUP(G662,move_down,2,FALSE()),FALSE())),VLOOKUP(G662,NGPrices,2,FALSE()),I662,VLOOKUP(G662,NGPREVPRICES,4,FALSE()),HLOOKUP(D662,PREVVOLS,VLOOKUP(G662,MOVE_DOWN2,2,FALSE()),FALSE()),VLOOKUP(G662,NGPREVPRICES,3,FALSE()),HLOOKUP(D662,Correllate,VLOOKUP(G662,CorMove,2,FALSE()),FALSE()),Q662-$CD$3,R662,$CD$5)*H662-CJ663</f>
        <v>#NAME?</v>
      </c>
      <c r="CE663" s="253" t="e">
        <f aca="false">xSPRDOPT((VLOOKUP(G662,NGPREVPRICES,2,FALSE())+HLOOKUP(D662,PREVCURVES,VLOOKUP(G662,MOVE_DOWN2,2,FALSE()),FALSE())),VLOOKUP(G662,NGPREVPRICES,2,FALSE()),CK663,VLOOKUP(G662,NGPrices,4,FALSE()),HLOOKUP(D662,PREVVOLS,VLOOKUP(G662,MOVE_DOWN2,2,FALSE()),FALSE()),VLOOKUP(G662,NGPREVPRICES,3,FALSE()),HLOOKUP(D662,Correllate,VLOOKUP(G662,CorMove,2,FALSE()),FALSE()),Q662-$CD$3,R662,$CJ$5)*H662-CJ663</f>
        <v>#NAME?</v>
      </c>
      <c r="CF663" s="132" t="e">
        <f aca="false">(CJ663/VLOOKUP(CC663,discount,3,FALSE()))-(CJ663/VLOOKUP(CC663,discount,2,FALSE()))</f>
        <v>#NAME?</v>
      </c>
      <c r="CG663" s="253" t="e">
        <f aca="false">xSPRDOPT((VLOOKUP(G662,NGPREVPRICES,2,FALSE())+HLOOKUP(D662,PREVCURVES,VLOOKUP(G662,MOVE_DOWN2,2,FALSE()),FALSE())),VLOOKUP(G662,NGPREVPRICES,2,FALSE()),CK663,VLOOKUP(G662,NGPREVPRICES,4,FALSE()),HLOOKUP(D662,VOLS,VLOOKUP(G662,move_down,2,FALSE()),FALSE()),VLOOKUP(G662,NGPrices,3,FALSE()),HLOOKUP(D662,Correllate,VLOOKUP(G662,CorMove,2,FALSE()),FALSE()),Q662-$CD$3,R662,$CJ$5)*H662-CJ663</f>
        <v>#NAME?</v>
      </c>
      <c r="CH663" s="253" t="e">
        <f aca="false">xSPRDOPT((VLOOKUP(G662,NGPREVPRICES,2,FALSE())+HLOOKUP(D662,PREVCURVES,VLOOKUP(G662,MOVE_DOWN2,2,FALSE()),FALSE())),VLOOKUP(G662,NGPREVPRICES,2,FALSE()),CK663,VLOOKUP(G662,NGPREVPRICES,4,FALSE()),HLOOKUP(D662,PREVVOLS,VLOOKUP(G662,MOVE_DOWN2,2,FALSE()),FALSE()),VLOOKUP(G662,NGPREVPRICES,3,FALSE()),HLOOKUP(D662,Correllate,VLOOKUP(G662,CorMove,2,FALSE()),FALSE()),Q662-$C$3,R662,$CJ$5)*H662-CJ663</f>
        <v>#NAME?</v>
      </c>
      <c r="CI663" s="253" t="e">
        <f aca="false">SUM(CD663:CH663)</f>
        <v>#NAME?</v>
      </c>
      <c r="CJ663" s="253" t="e">
        <f aca="false">xSPRDOPT((VLOOKUP(G662,NGPREVPRICES,2,FALSE())+HLOOKUP(D662,PREVCURVES,VLOOKUP(G662,MOVE_DOWN2,2,FALSE()),FALSE())),VLOOKUP(G662,NGPREVPRICES,2,FALSE()),CK663,VLOOKUP(G662,NGPREVPRICES,4,FALSE()),HLOOKUP(D662,PREVVOLS,VLOOKUP(G662,MOVE_DOWN2,2,FALSE()),FALSE()),VLOOKUP(G662,NGPREVPRICES,3,FALSE()),HLOOKUP(D662,Correllate,VLOOKUP(G662,CorMove,2,FALSE()),FALSE()),Q662-$CD$3,R662,$CJ$5)*H662</f>
        <v>#NAME?</v>
      </c>
      <c r="CK663" s="254" t="n">
        <f aca="false">I662</f>
        <v>0.12</v>
      </c>
      <c r="CM663" s="0" t="str">
        <f aca="false">CONCATENATE(CC663,$CD$6)</f>
        <v>36923Curve Shift/Gamma</v>
      </c>
      <c r="CN663" s="0" t="str">
        <f aca="false">CONCATENATE($CC663,$CE$6)</f>
        <v>36923Rho</v>
      </c>
      <c r="CO663" s="0" t="str">
        <f aca="false">CONCATENATE($CC663,$CF$6)</f>
        <v>36923Drift</v>
      </c>
      <c r="CP663" s="0" t="str">
        <f aca="false">CONCATENATE($CC663,$CG$6)</f>
        <v>36923Vega</v>
      </c>
      <c r="CQ663" s="0" t="str">
        <f aca="false">CONCATENATE($CC663,$CH$6)</f>
        <v>36923Theta</v>
      </c>
    </row>
    <row r="664" customFormat="false" ht="12.75" hidden="false" customHeight="false" outlineLevel="0" collapsed="false">
      <c r="A664" s="17" t="s">
        <v>363</v>
      </c>
      <c r="B664" s="0" t="s">
        <v>192</v>
      </c>
      <c r="C664" s="0" t="s">
        <v>418</v>
      </c>
      <c r="D664" s="7" t="s">
        <v>149</v>
      </c>
      <c r="E664" s="0" t="s">
        <v>131</v>
      </c>
      <c r="F664" s="0" t="s">
        <v>136</v>
      </c>
      <c r="G664" s="92" t="n">
        <v>36800</v>
      </c>
      <c r="H664" s="248" t="n">
        <v>1550000</v>
      </c>
      <c r="I664" s="254" t="n">
        <v>0.5</v>
      </c>
      <c r="J664" s="124" t="n">
        <f aca="false">VLOOKUP(G664,NGPrices,2,FALSE())</f>
        <v>4.692</v>
      </c>
      <c r="K664" s="125" t="n">
        <f aca="false">HLOOKUP(D664,Prices,VLOOKUP(G664,move_down,2,FALSE()),FALSE())+VLOOKUP(G664,CHANGE,HLOOKUP(D664,CHANGE,2,FALSE()),FALSE())</f>
        <v>0.415</v>
      </c>
      <c r="L664" s="124" t="n">
        <f aca="false">K664+J664</f>
        <v>5.107</v>
      </c>
      <c r="M664" s="126" t="n">
        <f aca="false">VLOOKUP(G664,NGPrices,4,FALSE())</f>
        <v>0.068050789414654</v>
      </c>
      <c r="N664" s="7" t="n">
        <f aca="false">VLOOKUP(G664,NGPrices,3,FALSE())</f>
        <v>0.575</v>
      </c>
      <c r="O664" s="7" t="n">
        <f aca="false">HLOOKUP(D664,VOLS,VLOOKUP(G664,move_down,2,FALSE()),FALSE())</f>
        <v>0.564</v>
      </c>
      <c r="P664" s="249" t="n">
        <f aca="false">HLOOKUP(D664,Correllate,VLOOKUP(G664,CorMove,2,FALSE()),FALSE())</f>
        <v>0.9925</v>
      </c>
      <c r="Q664" s="92" t="n">
        <f aca="false">WORKDAY(G664,-2)</f>
        <v>36797</v>
      </c>
      <c r="R664" s="7" t="n">
        <f aca="false">IF(F664="P",0,1)</f>
        <v>1</v>
      </c>
      <c r="S664" s="130" t="e">
        <f aca="false">xSPRDOPT($L664,$J664,$I664,$M664,$O664,$N664,$P664,$Q664-$C$3,$R664,0)</f>
        <v>#NAME?</v>
      </c>
      <c r="T664" s="250" t="e">
        <f aca="false">xSPRDOPT($L664,$J664,$I664,$M664,$O664,$N664,$P664,$Q664-$C$3,$R664,1)*H664</f>
        <v>#NAME?</v>
      </c>
      <c r="U664" s="43" t="e">
        <f aca="false">S664*H664</f>
        <v>#NAME?</v>
      </c>
      <c r="V664" s="250" t="e">
        <f aca="false">xSPRDOPT($L664,$J664,$I664,$M664,$O664,$N664,$P664,$Q664-$C$3,$R664,2)*H664</f>
        <v>#NAME?</v>
      </c>
      <c r="W664" s="250" t="e">
        <f aca="false">+V664+T664</f>
        <v>#NAME?</v>
      </c>
      <c r="X664" s="2" t="str">
        <f aca="false">CONCATENATE(G664,D664)</f>
        <v>36800IF-TRANSCO/Z6</v>
      </c>
      <c r="Y664" s="251" t="n">
        <f aca="false">H664/10000</f>
        <v>155</v>
      </c>
      <c r="Z664" s="226" t="e">
        <f aca="false">T664/H664</f>
        <v>#NAME?</v>
      </c>
      <c r="AA664" s="226" t="e">
        <f aca="false">xSPRDOPT($L664,$J664,$I664,$M664,$O664,$N664,$P664,$Q664-$C$3,$R664,3)</f>
        <v>#NAME?</v>
      </c>
      <c r="AB664" s="226" t="e">
        <f aca="false">((xSPRDOPT($L664+AB$5,$J664,$I664,$M664,$O664,$N664,$P664,$Q664-$C$3,$R664,3)*$H664)/10000)/100</f>
        <v>#NAME?</v>
      </c>
      <c r="AC664" s="226" t="e">
        <f aca="false">((xSPRDOPT($L664+$AB$5,$J664,$I664,$M664,$O664,$N664,$P664,$Q664-$C$3,$R664,7)*$H664)/100)</f>
        <v>#NAME?</v>
      </c>
      <c r="AD664" s="226" t="e">
        <f aca="false">(xSPRDOPT($L664+$AB$5,$J664,$I664,$M664,$O664,$N664,$P664,$Q664-$C$3,$R664,9)/365)*$H664</f>
        <v>#NAME?</v>
      </c>
      <c r="AE664" s="0" t="e">
        <f aca="false">CD665</f>
        <v>#NAME?</v>
      </c>
      <c r="AF664" s="226" t="e">
        <f aca="false">((O664/N664)*AH664)+AG664</f>
        <v>#NAME?</v>
      </c>
      <c r="AG664" s="226" t="e">
        <f aca="false">((xSPRDOPT($L664,$J664,$I664,$M664,$O664,$N664,$P664,$Q664-$C$3,$R664,6)*$H664)/100)</f>
        <v>#NAME?</v>
      </c>
      <c r="AH664" s="226" t="e">
        <f aca="false">((xSPRDOPT($L664,$J664,$I664,$M664,$O664,$N664,$P664,$Q664-$C$3,$R664,5)*$H664)/100)</f>
        <v>#NAME?</v>
      </c>
      <c r="AI664" s="226" t="e">
        <f aca="false">(((xSPRDOPT($L664,$J664,$I664,$M664,$O664,$N664,$P664,$Q664-$C$3,$R664,4)*$H664)/10000)/100)-AB664</f>
        <v>#NAME?</v>
      </c>
      <c r="AJ664" s="226"/>
      <c r="CC664" s="182" t="n">
        <f aca="false">G663</f>
        <v>36951</v>
      </c>
      <c r="CD664" s="253" t="e">
        <f aca="false">xSPRDOPT((VLOOKUP(G663,NGPrices,2,FALSE())+HLOOKUP(D663,Prices,VLOOKUP(G663,move_down,2,FALSE()),FALSE())),VLOOKUP(G663,NGPrices,2,FALSE()),I663,VLOOKUP(G663,NGPREVPRICES,4,FALSE()),HLOOKUP(D663,PREVVOLS,VLOOKUP(G663,MOVE_DOWN2,2,FALSE()),FALSE()),VLOOKUP(G663,NGPREVPRICES,3,FALSE()),HLOOKUP(D663,Correllate,VLOOKUP(G663,CorMove,2,FALSE()),FALSE()),Q663-$CD$3,R663,$CD$5)*H663-CJ664</f>
        <v>#NAME?</v>
      </c>
      <c r="CE664" s="253" t="e">
        <f aca="false">xSPRDOPT((VLOOKUP(G663,NGPREVPRICES,2,FALSE())+HLOOKUP(D663,PREVCURVES,VLOOKUP(G663,MOVE_DOWN2,2,FALSE()),FALSE())),VLOOKUP(G663,NGPREVPRICES,2,FALSE()),CK664,VLOOKUP(G663,NGPrices,4,FALSE()),HLOOKUP(D663,PREVVOLS,VLOOKUP(G663,MOVE_DOWN2,2,FALSE()),FALSE()),VLOOKUP(G663,NGPREVPRICES,3,FALSE()),HLOOKUP(D663,Correllate,VLOOKUP(G663,CorMove,2,FALSE()),FALSE()),Q663-$CD$3,R663,$CJ$5)*H663-CJ664</f>
        <v>#NAME?</v>
      </c>
      <c r="CF664" s="132" t="e">
        <f aca="false">(CJ664/VLOOKUP(CC664,discount,3,FALSE()))-(CJ664/VLOOKUP(CC664,discount,2,FALSE()))</f>
        <v>#NAME?</v>
      </c>
      <c r="CG664" s="253" t="e">
        <f aca="false">xSPRDOPT((VLOOKUP(G663,NGPREVPRICES,2,FALSE())+HLOOKUP(D663,PREVCURVES,VLOOKUP(G663,MOVE_DOWN2,2,FALSE()),FALSE())),VLOOKUP(G663,NGPREVPRICES,2,FALSE()),CK664,VLOOKUP(G663,NGPREVPRICES,4,FALSE()),HLOOKUP(D663,VOLS,VLOOKUP(G663,move_down,2,FALSE()),FALSE()),VLOOKUP(G663,NGPrices,3,FALSE()),HLOOKUP(D663,Correllate,VLOOKUP(G663,CorMove,2,FALSE()),FALSE()),Q663-$CD$3,R663,$CJ$5)*H663-CJ664</f>
        <v>#NAME?</v>
      </c>
      <c r="CH664" s="253" t="e">
        <f aca="false">xSPRDOPT((VLOOKUP(G663,NGPREVPRICES,2,FALSE())+HLOOKUP(D663,PREVCURVES,VLOOKUP(G663,MOVE_DOWN2,2,FALSE()),FALSE())),VLOOKUP(G663,NGPREVPRICES,2,FALSE()),CK664,VLOOKUP(G663,NGPREVPRICES,4,FALSE()),HLOOKUP(D663,PREVVOLS,VLOOKUP(G663,MOVE_DOWN2,2,FALSE()),FALSE()),VLOOKUP(G663,NGPREVPRICES,3,FALSE()),HLOOKUP(D663,Correllate,VLOOKUP(G663,CorMove,2,FALSE()),FALSE()),Q663-$C$3,R663,$CJ$5)*H663-CJ664</f>
        <v>#NAME?</v>
      </c>
      <c r="CI664" s="253" t="e">
        <f aca="false">SUM(CD664:CH664)</f>
        <v>#NAME?</v>
      </c>
      <c r="CJ664" s="253" t="e">
        <f aca="false">xSPRDOPT((VLOOKUP(G663,NGPREVPRICES,2,FALSE())+HLOOKUP(D663,PREVCURVES,VLOOKUP(G663,MOVE_DOWN2,2,FALSE()),FALSE())),VLOOKUP(G663,NGPREVPRICES,2,FALSE()),CK664,VLOOKUP(G663,NGPREVPRICES,4,FALSE()),HLOOKUP(D663,PREVVOLS,VLOOKUP(G663,MOVE_DOWN2,2,FALSE()),FALSE()),VLOOKUP(G663,NGPREVPRICES,3,FALSE()),HLOOKUP(D663,Correllate,VLOOKUP(G663,CorMove,2,FALSE()),FALSE()),Q663-$CD$3,R663,$CJ$5)*H663</f>
        <v>#NAME?</v>
      </c>
      <c r="CK664" s="254" t="n">
        <f aca="false">I663</f>
        <v>0.12</v>
      </c>
      <c r="CM664" s="0" t="str">
        <f aca="false">CONCATENATE(CC664,$CD$6)</f>
        <v>36951Curve Shift/Gamma</v>
      </c>
      <c r="CN664" s="0" t="str">
        <f aca="false">CONCATENATE($CC664,$CE$6)</f>
        <v>36951Rho</v>
      </c>
      <c r="CO664" s="0" t="str">
        <f aca="false">CONCATENATE($CC664,$CF$6)</f>
        <v>36951Drift</v>
      </c>
      <c r="CP664" s="0" t="str">
        <f aca="false">CONCATENATE($CC664,$CG$6)</f>
        <v>36951Vega</v>
      </c>
      <c r="CQ664" s="0" t="str">
        <f aca="false">CONCATENATE($CC664,$CH$6)</f>
        <v>36951Theta</v>
      </c>
    </row>
    <row r="665" customFormat="false" ht="12.75" hidden="false" customHeight="false" outlineLevel="0" collapsed="false">
      <c r="A665" s="17" t="s">
        <v>196</v>
      </c>
      <c r="B665" s="0" t="s">
        <v>192</v>
      </c>
      <c r="C665" s="0" t="s">
        <v>419</v>
      </c>
      <c r="D665" s="7" t="s">
        <v>149</v>
      </c>
      <c r="E665" s="0" t="s">
        <v>131</v>
      </c>
      <c r="F665" s="0" t="s">
        <v>136</v>
      </c>
      <c r="G665" s="92" t="n">
        <v>36831</v>
      </c>
      <c r="H665" s="248" t="n">
        <v>300000</v>
      </c>
      <c r="I665" s="254" t="n">
        <v>2.5</v>
      </c>
      <c r="J665" s="124" t="n">
        <f aca="false">VLOOKUP(G665,NGPrices,2,FALSE())</f>
        <v>4.736</v>
      </c>
      <c r="K665" s="125" t="n">
        <f aca="false">HLOOKUP(D665,Prices,VLOOKUP(G665,move_down,2,FALSE()),FALSE())+VLOOKUP(G665,CHANGE,HLOOKUP(D665,CHANGE,2,FALSE()),FALSE())</f>
        <v>0.77</v>
      </c>
      <c r="L665" s="124" t="n">
        <f aca="false">K665+J665</f>
        <v>5.506</v>
      </c>
      <c r="M665" s="126" t="n">
        <f aca="false">VLOOKUP(G665,NGPrices,4,FALSE())</f>
        <v>0.06810675983792</v>
      </c>
      <c r="N665" s="7" t="n">
        <f aca="false">VLOOKUP(G665,NGPrices,3,FALSE())</f>
        <v>0.595</v>
      </c>
      <c r="O665" s="7" t="n">
        <f aca="false">HLOOKUP(D665,VOLS,VLOOKUP(G665,move_down,2,FALSE()),FALSE())</f>
        <v>0.625</v>
      </c>
      <c r="P665" s="249" t="n">
        <f aca="false">HLOOKUP(D665,Correllate,VLOOKUP(G665,CorMove,2,FALSE()),FALSE())</f>
        <v>0.89</v>
      </c>
      <c r="Q665" s="92" t="n">
        <f aca="false">WORKDAY(G665,-2)</f>
        <v>36829</v>
      </c>
      <c r="R665" s="7" t="n">
        <f aca="false">IF(F665="P",0,1)</f>
        <v>1</v>
      </c>
      <c r="S665" s="130" t="e">
        <f aca="false">xSPRDOPT($L665,$J665,$I665,$M665,$O665,$N665,$P665,$Q665-$C$3,$R665,0)</f>
        <v>#NAME?</v>
      </c>
      <c r="T665" s="250" t="e">
        <f aca="false">xSPRDOPT($L665,$J665,$I665,$M665,$O665,$N665,$P665,$Q665-$C$3,$R665,1)*H665</f>
        <v>#NAME?</v>
      </c>
      <c r="U665" s="43" t="e">
        <f aca="false">S665*H665</f>
        <v>#NAME?</v>
      </c>
      <c r="V665" s="250" t="e">
        <f aca="false">xSPRDOPT($L665,$J665,$I665,$M665,$O665,$N665,$P665,$Q665-$C$3,$R665,2)*H665</f>
        <v>#NAME?</v>
      </c>
      <c r="W665" s="250" t="e">
        <f aca="false">+V665+T665</f>
        <v>#NAME?</v>
      </c>
      <c r="X665" s="2" t="str">
        <f aca="false">CONCATENATE(G665,D665)</f>
        <v>36831IF-TRANSCO/Z6</v>
      </c>
      <c r="Y665" s="251" t="n">
        <f aca="false">H665/10000</f>
        <v>30</v>
      </c>
      <c r="Z665" s="226" t="e">
        <f aca="false">T665/H665</f>
        <v>#NAME?</v>
      </c>
      <c r="AA665" s="226" t="e">
        <f aca="false">xSPRDOPT($L665,$J665,$I665,$M665,$O665,$N665,$P665,$Q665-$C$3,$R665,3)</f>
        <v>#NAME?</v>
      </c>
      <c r="AB665" s="226" t="e">
        <f aca="false">((xSPRDOPT($L665+AB$5,$J665,$I665,$M665,$O665,$N665,$P665,$Q665-$C$3,$R665,3)*$H665)/10000)/100</f>
        <v>#NAME?</v>
      </c>
      <c r="AC665" s="226" t="e">
        <f aca="false">((xSPRDOPT($L665+$AB$5,$J665,$I665,$M665,$O665,$N665,$P665,$Q665-$C$3,$R665,7)*$H665)/100)</f>
        <v>#NAME?</v>
      </c>
      <c r="AD665" s="226" t="e">
        <f aca="false">(xSPRDOPT($L665+$AB$5,$J665,$I665,$M665,$O665,$N665,$P665,$Q665-$C$3,$R665,9)/365)*$H665</f>
        <v>#NAME?</v>
      </c>
      <c r="AE665" s="0" t="e">
        <f aca="false">CD666</f>
        <v>#NAME?</v>
      </c>
      <c r="AF665" s="226" t="e">
        <f aca="false">((O665/N665)*AH665)+AG665</f>
        <v>#NAME?</v>
      </c>
      <c r="AG665" s="226" t="e">
        <f aca="false">((xSPRDOPT($L665,$J665,$I665,$M665,$O665,$N665,$P665,$Q665-$C$3,$R665,6)*$H665)/100)</f>
        <v>#NAME?</v>
      </c>
      <c r="AH665" s="226" t="e">
        <f aca="false">((xSPRDOPT($L665,$J665,$I665,$M665,$O665,$N665,$P665,$Q665-$C$3,$R665,5)*$H665)/100)</f>
        <v>#NAME?</v>
      </c>
      <c r="AI665" s="226" t="e">
        <f aca="false">(((xSPRDOPT($L665,$J665,$I665,$M665,$O665,$N665,$P665,$Q665-$C$3,$R665,4)*$H665)/10000)/100)-AB665</f>
        <v>#NAME?</v>
      </c>
      <c r="AJ665" s="226"/>
      <c r="CC665" s="182" t="n">
        <f aca="false">G664</f>
        <v>36800</v>
      </c>
      <c r="CD665" s="253" t="e">
        <f aca="false">xSPRDOPT((VLOOKUP(G664,NGPrices,2,FALSE())+HLOOKUP(D664,Prices,VLOOKUP(G664,move_down,2,FALSE()),FALSE())),VLOOKUP(G664,NGPrices,2,FALSE()),I664,VLOOKUP(G664,NGPREVPRICES,4,FALSE()),HLOOKUP(D664,PREVVOLS,VLOOKUP(G664,MOVE_DOWN2,2,FALSE()),FALSE()),VLOOKUP(G664,NGPREVPRICES,3,FALSE()),HLOOKUP(D664,Correllate,VLOOKUP(G664,CorMove,2,FALSE()),FALSE()),Q664-$CD$3,R664,$CD$5)*H664-CJ665</f>
        <v>#NAME?</v>
      </c>
      <c r="CE665" s="253" t="e">
        <f aca="false">xSPRDOPT((VLOOKUP(G664,NGPREVPRICES,2,FALSE())+HLOOKUP(D664,PREVCURVES,VLOOKUP(G664,MOVE_DOWN2,2,FALSE()),FALSE())),VLOOKUP(G664,NGPREVPRICES,2,FALSE()),CK665,VLOOKUP(G664,NGPrices,4,FALSE()),HLOOKUP(D664,PREVVOLS,VLOOKUP(G664,MOVE_DOWN2,2,FALSE()),FALSE()),VLOOKUP(G664,NGPREVPRICES,3,FALSE()),HLOOKUP(D664,Correllate,VLOOKUP(G664,CorMove,2,FALSE()),FALSE()),Q664-$CD$3,R664,$CJ$5)*H664-CJ665</f>
        <v>#NAME?</v>
      </c>
      <c r="CF665" s="132" t="e">
        <f aca="false">(CJ665/VLOOKUP(CC665,discount,3,FALSE()))-(CJ665/VLOOKUP(CC665,discount,2,FALSE()))</f>
        <v>#NAME?</v>
      </c>
      <c r="CG665" s="253" t="e">
        <f aca="false">xSPRDOPT((VLOOKUP(G664,NGPREVPRICES,2,FALSE())+HLOOKUP(D664,PREVCURVES,VLOOKUP(G664,MOVE_DOWN2,2,FALSE()),FALSE())),VLOOKUP(G664,NGPREVPRICES,2,FALSE()),CK665,VLOOKUP(G664,NGPREVPRICES,4,FALSE()),HLOOKUP(D664,VOLS,VLOOKUP(G664,move_down,2,FALSE()),FALSE()),VLOOKUP(G664,NGPrices,3,FALSE()),HLOOKUP(D664,Correllate,VLOOKUP(G664,CorMove,2,FALSE()),FALSE()),Q664-$CD$3,R664,$CJ$5)*H664-CJ665</f>
        <v>#NAME?</v>
      </c>
      <c r="CH665" s="253" t="e">
        <f aca="false">xSPRDOPT((VLOOKUP(G664,NGPREVPRICES,2,FALSE())+HLOOKUP(D664,PREVCURVES,VLOOKUP(G664,MOVE_DOWN2,2,FALSE()),FALSE())),VLOOKUP(G664,NGPREVPRICES,2,FALSE()),CK665,VLOOKUP(G664,NGPREVPRICES,4,FALSE()),HLOOKUP(D664,PREVVOLS,VLOOKUP(G664,MOVE_DOWN2,2,FALSE()),FALSE()),VLOOKUP(G664,NGPREVPRICES,3,FALSE()),HLOOKUP(D664,Correllate,VLOOKUP(G664,CorMove,2,FALSE()),FALSE()),Q664-$C$3,R664,$CJ$5)*H664-CJ665</f>
        <v>#NAME?</v>
      </c>
      <c r="CI665" s="253" t="e">
        <f aca="false">SUM(CD665:CH665)</f>
        <v>#NAME?</v>
      </c>
      <c r="CJ665" s="253" t="e">
        <f aca="false">xSPRDOPT((VLOOKUP(G664,NGPREVPRICES,2,FALSE())+HLOOKUP(D664,PREVCURVES,VLOOKUP(G664,MOVE_DOWN2,2,FALSE()),FALSE())),VLOOKUP(G664,NGPREVPRICES,2,FALSE()),CK665,VLOOKUP(G664,NGPREVPRICES,4,FALSE()),HLOOKUP(D664,PREVVOLS,VLOOKUP(G664,MOVE_DOWN2,2,FALSE()),FALSE()),VLOOKUP(G664,NGPREVPRICES,3,FALSE()),HLOOKUP(D664,Correllate,VLOOKUP(G664,CorMove,2,FALSE()),FALSE()),Q664-$CD$3,R664,$CJ$5)*H664</f>
        <v>#NAME?</v>
      </c>
      <c r="CK665" s="254" t="n">
        <f aca="false">I664</f>
        <v>0.5</v>
      </c>
      <c r="CM665" s="0" t="str">
        <f aca="false">CONCATENATE(CC665,$CD$6)</f>
        <v>36800Curve Shift/Gamma</v>
      </c>
      <c r="CN665" s="0" t="str">
        <f aca="false">CONCATENATE($CC665,$CE$6)</f>
        <v>36800Rho</v>
      </c>
      <c r="CO665" s="0" t="str">
        <f aca="false">CONCATENATE($CC665,$CF$6)</f>
        <v>36800Drift</v>
      </c>
      <c r="CP665" s="0" t="str">
        <f aca="false">CONCATENATE($CC665,$CG$6)</f>
        <v>36800Vega</v>
      </c>
      <c r="CQ665" s="0" t="str">
        <f aca="false">CONCATENATE($CC665,$CH$6)</f>
        <v>36800Theta</v>
      </c>
    </row>
    <row r="666" customFormat="false" ht="12.75" hidden="false" customHeight="false" outlineLevel="0" collapsed="false">
      <c r="A666" s="17" t="s">
        <v>196</v>
      </c>
      <c r="B666" s="0" t="s">
        <v>192</v>
      </c>
      <c r="C666" s="0" t="s">
        <v>419</v>
      </c>
      <c r="D666" s="7" t="s">
        <v>149</v>
      </c>
      <c r="E666" s="0" t="s">
        <v>131</v>
      </c>
      <c r="F666" s="0" t="s">
        <v>136</v>
      </c>
      <c r="G666" s="92" t="n">
        <v>36861</v>
      </c>
      <c r="H666" s="248" t="n">
        <v>310000</v>
      </c>
      <c r="I666" s="254" t="n">
        <v>2.5</v>
      </c>
      <c r="J666" s="124" t="n">
        <f aca="false">VLOOKUP(G666,NGPrices,2,FALSE())</f>
        <v>4.8</v>
      </c>
      <c r="K666" s="125" t="n">
        <f aca="false">HLOOKUP(D666,Prices,VLOOKUP(G666,move_down,2,FALSE()),FALSE())+VLOOKUP(G666,CHANGE,HLOOKUP(D666,CHANGE,2,FALSE()),FALSE())</f>
        <v>1.645</v>
      </c>
      <c r="L666" s="124" t="n">
        <f aca="false">K666+J666</f>
        <v>6.445</v>
      </c>
      <c r="M666" s="126" t="n">
        <f aca="false">VLOOKUP(G666,NGPrices,4,FALSE())</f>
        <v>0.068314027999354</v>
      </c>
      <c r="N666" s="7" t="n">
        <f aca="false">VLOOKUP(G666,NGPrices,3,FALSE())</f>
        <v>0.6</v>
      </c>
      <c r="O666" s="7" t="n">
        <f aca="false">HLOOKUP(D666,VOLS,VLOOKUP(G666,move_down,2,FALSE()),FALSE())</f>
        <v>0.69</v>
      </c>
      <c r="P666" s="249" t="n">
        <f aca="false">HLOOKUP(D666,Correllate,VLOOKUP(G666,CorMove,2,FALSE()),FALSE())</f>
        <v>0.83</v>
      </c>
      <c r="Q666" s="92" t="n">
        <f aca="false">WORKDAY(G666,-2)</f>
        <v>36859</v>
      </c>
      <c r="R666" s="7" t="n">
        <f aca="false">IF(F666="P",0,1)</f>
        <v>1</v>
      </c>
      <c r="S666" s="130" t="e">
        <f aca="false">xSPRDOPT($L666,$J666,$I666,$M666,$O666,$N666,$P666,$Q666-$C$3,$R666,0)</f>
        <v>#NAME?</v>
      </c>
      <c r="T666" s="250" t="e">
        <f aca="false">xSPRDOPT($L666,$J666,$I666,$M666,$O666,$N666,$P666,$Q666-$C$3,$R666,1)*H666</f>
        <v>#NAME?</v>
      </c>
      <c r="U666" s="43" t="e">
        <f aca="false">S666*H666</f>
        <v>#NAME?</v>
      </c>
      <c r="V666" s="250" t="e">
        <f aca="false">xSPRDOPT($L666,$J666,$I666,$M666,$O666,$N666,$P666,$Q666-$C$3,$R666,2)*H666</f>
        <v>#NAME?</v>
      </c>
      <c r="W666" s="250" t="e">
        <f aca="false">+V666+T666</f>
        <v>#NAME?</v>
      </c>
      <c r="X666" s="2" t="str">
        <f aca="false">CONCATENATE(G666,D666)</f>
        <v>36861IF-TRANSCO/Z6</v>
      </c>
      <c r="Y666" s="251" t="n">
        <f aca="false">H666/10000</f>
        <v>31</v>
      </c>
      <c r="Z666" s="226" t="e">
        <f aca="false">T666/H666</f>
        <v>#NAME?</v>
      </c>
      <c r="AA666" s="226" t="e">
        <f aca="false">xSPRDOPT($L666,$J666,$I666,$M666,$O666,$N666,$P666,$Q666-$C$3,$R666,3)</f>
        <v>#NAME?</v>
      </c>
      <c r="AB666" s="226" t="e">
        <f aca="false">((xSPRDOPT($L666+AB$5,$J666,$I666,$M666,$O666,$N666,$P666,$Q666-$C$3,$R666,3)*$H666)/10000)/100</f>
        <v>#NAME?</v>
      </c>
      <c r="AC666" s="226" t="e">
        <f aca="false">((xSPRDOPT($L666+$AB$5,$J666,$I666,$M666,$O666,$N666,$P666,$Q666-$C$3,$R666,7)*$H666)/100)</f>
        <v>#NAME?</v>
      </c>
      <c r="AD666" s="226" t="e">
        <f aca="false">(xSPRDOPT($L666+$AB$5,$J666,$I666,$M666,$O666,$N666,$P666,$Q666-$C$3,$R666,9)/365)*$H666</f>
        <v>#NAME?</v>
      </c>
      <c r="AE666" s="0" t="e">
        <f aca="false">CD667</f>
        <v>#NAME?</v>
      </c>
      <c r="AF666" s="226" t="e">
        <f aca="false">((O666/N666)*AH666)+AG666</f>
        <v>#NAME?</v>
      </c>
      <c r="AG666" s="226" t="e">
        <f aca="false">((xSPRDOPT($L666,$J666,$I666,$M666,$O666,$N666,$P666,$Q666-$C$3,$R666,6)*$H666)/100)</f>
        <v>#NAME?</v>
      </c>
      <c r="AH666" s="226" t="e">
        <f aca="false">((xSPRDOPT($L666,$J666,$I666,$M666,$O666,$N666,$P666,$Q666-$C$3,$R666,5)*$H666)/100)</f>
        <v>#NAME?</v>
      </c>
      <c r="AI666" s="226" t="e">
        <f aca="false">(((xSPRDOPT($L666,$J666,$I666,$M666,$O666,$N666,$P666,$Q666-$C$3,$R666,4)*$H666)/10000)/100)-AB666</f>
        <v>#NAME?</v>
      </c>
      <c r="AJ666" s="226"/>
      <c r="CC666" s="182" t="n">
        <f aca="false">G665</f>
        <v>36831</v>
      </c>
      <c r="CD666" s="253" t="e">
        <f aca="false">xSPRDOPT((VLOOKUP(G665,NGPrices,2,FALSE())+HLOOKUP(D665,Prices,VLOOKUP(G665,move_down,2,FALSE()),FALSE())),VLOOKUP(G665,NGPrices,2,FALSE()),I665,VLOOKUP(G665,NGPREVPRICES,4,FALSE()),HLOOKUP(D665,PREVVOLS,VLOOKUP(G665,MOVE_DOWN2,2,FALSE()),FALSE()),VLOOKUP(G665,NGPREVPRICES,3,FALSE()),HLOOKUP(D665,Correllate,VLOOKUP(G665,CorMove,2,FALSE()),FALSE()),Q665-$CD$3,R665,$CD$5)*H665-CJ666</f>
        <v>#NAME?</v>
      </c>
      <c r="CE666" s="253" t="e">
        <f aca="false">xSPRDOPT((VLOOKUP(G665,NGPREVPRICES,2,FALSE())+HLOOKUP(D665,PREVCURVES,VLOOKUP(G665,MOVE_DOWN2,2,FALSE()),FALSE())),VLOOKUP(G665,NGPREVPRICES,2,FALSE()),CK666,VLOOKUP(G665,NGPrices,4,FALSE()),HLOOKUP(D665,PREVVOLS,VLOOKUP(G665,MOVE_DOWN2,2,FALSE()),FALSE()),VLOOKUP(G665,NGPREVPRICES,3,FALSE()),HLOOKUP(D665,Correllate,VLOOKUP(G665,CorMove,2,FALSE()),FALSE()),Q665-$CD$3,R665,$CJ$5)*H665-CJ666</f>
        <v>#NAME?</v>
      </c>
      <c r="CF666" s="132" t="e">
        <f aca="false">(CJ666/VLOOKUP(CC666,discount,3,FALSE()))-(CJ666/VLOOKUP(CC666,discount,2,FALSE()))</f>
        <v>#NAME?</v>
      </c>
      <c r="CG666" s="253" t="e">
        <f aca="false">xSPRDOPT((VLOOKUP(G665,NGPREVPRICES,2,FALSE())+HLOOKUP(D665,PREVCURVES,VLOOKUP(G665,MOVE_DOWN2,2,FALSE()),FALSE())),VLOOKUP(G665,NGPREVPRICES,2,FALSE()),CK666,VLOOKUP(G665,NGPREVPRICES,4,FALSE()),HLOOKUP(D665,VOLS,VLOOKUP(G665,move_down,2,FALSE()),FALSE()),VLOOKUP(G665,NGPrices,3,FALSE()),HLOOKUP(D665,Correllate,VLOOKUP(G665,CorMove,2,FALSE()),FALSE()),Q665-$CD$3,R665,$CJ$5)*H665-CJ666</f>
        <v>#NAME?</v>
      </c>
      <c r="CH666" s="253" t="e">
        <f aca="false">xSPRDOPT((VLOOKUP(G665,NGPREVPRICES,2,FALSE())+HLOOKUP(D665,PREVCURVES,VLOOKUP(G665,MOVE_DOWN2,2,FALSE()),FALSE())),VLOOKUP(G665,NGPREVPRICES,2,FALSE()),CK666,VLOOKUP(G665,NGPREVPRICES,4,FALSE()),HLOOKUP(D665,PREVVOLS,VLOOKUP(G665,MOVE_DOWN2,2,FALSE()),FALSE()),VLOOKUP(G665,NGPREVPRICES,3,FALSE()),HLOOKUP(D665,Correllate,VLOOKUP(G665,CorMove,2,FALSE()),FALSE()),Q665-$C$3,R665,$CJ$5)*H665-CJ666</f>
        <v>#NAME?</v>
      </c>
      <c r="CI666" s="253" t="e">
        <f aca="false">SUM(CD666:CH666)</f>
        <v>#NAME?</v>
      </c>
      <c r="CJ666" s="253" t="e">
        <f aca="false">xSPRDOPT((VLOOKUP(G665,NGPREVPRICES,2,FALSE())+HLOOKUP(D665,PREVCURVES,VLOOKUP(G665,MOVE_DOWN2,2,FALSE()),FALSE())),VLOOKUP(G665,NGPREVPRICES,2,FALSE()),CK666,VLOOKUP(G665,NGPREVPRICES,4,FALSE()),HLOOKUP(D665,PREVVOLS,VLOOKUP(G665,MOVE_DOWN2,2,FALSE()),FALSE()),VLOOKUP(G665,NGPREVPRICES,3,FALSE()),HLOOKUP(D665,Correllate,VLOOKUP(G665,CorMove,2,FALSE()),FALSE()),Q665-$CD$3,R665,$CJ$5)*H665</f>
        <v>#NAME?</v>
      </c>
      <c r="CK666" s="254" t="n">
        <f aca="false">I665</f>
        <v>2.5</v>
      </c>
      <c r="CM666" s="0" t="str">
        <f aca="false">CONCATENATE(CC666,$CD$6)</f>
        <v>36831Curve Shift/Gamma</v>
      </c>
      <c r="CN666" s="0" t="str">
        <f aca="false">CONCATENATE($CC666,$CE$6)</f>
        <v>36831Rho</v>
      </c>
      <c r="CO666" s="0" t="str">
        <f aca="false">CONCATENATE($CC666,$CF$6)</f>
        <v>36831Drift</v>
      </c>
      <c r="CP666" s="0" t="str">
        <f aca="false">CONCATENATE($CC666,$CG$6)</f>
        <v>36831Vega</v>
      </c>
      <c r="CQ666" s="0" t="str">
        <f aca="false">CONCATENATE($CC666,$CH$6)</f>
        <v>36831Theta</v>
      </c>
    </row>
    <row r="667" customFormat="false" ht="12.75" hidden="false" customHeight="false" outlineLevel="0" collapsed="false">
      <c r="A667" s="17" t="s">
        <v>196</v>
      </c>
      <c r="B667" s="0" t="s">
        <v>192</v>
      </c>
      <c r="C667" s="0" t="s">
        <v>419</v>
      </c>
      <c r="D667" s="7" t="s">
        <v>149</v>
      </c>
      <c r="E667" s="0" t="s">
        <v>131</v>
      </c>
      <c r="F667" s="0" t="s">
        <v>136</v>
      </c>
      <c r="G667" s="92" t="n">
        <v>36892</v>
      </c>
      <c r="H667" s="248" t="n">
        <v>310000</v>
      </c>
      <c r="I667" s="254" t="n">
        <v>2.5</v>
      </c>
      <c r="J667" s="124" t="n">
        <f aca="false">VLOOKUP(G667,NGPrices,2,FALSE())</f>
        <v>4.744</v>
      </c>
      <c r="K667" s="125" t="n">
        <f aca="false">HLOOKUP(D667,Prices,VLOOKUP(G667,move_down,2,FALSE()),FALSE())+VLOOKUP(G667,CHANGE,HLOOKUP(D667,CHANGE,2,FALSE()),FALSE())</f>
        <v>2.17</v>
      </c>
      <c r="L667" s="124" t="n">
        <f aca="false">K667+J667</f>
        <v>6.914</v>
      </c>
      <c r="M667" s="126" t="n">
        <f aca="false">VLOOKUP(G667,NGPrices,4,FALSE())</f>
        <v>0.068374831148491</v>
      </c>
      <c r="N667" s="7" t="n">
        <f aca="false">VLOOKUP(G667,NGPrices,3,FALSE())</f>
        <v>0.605</v>
      </c>
      <c r="O667" s="7" t="n">
        <f aca="false">HLOOKUP(D667,VOLS,VLOOKUP(G667,move_down,2,FALSE()),FALSE())</f>
        <v>0.696</v>
      </c>
      <c r="P667" s="249" t="n">
        <f aca="false">HLOOKUP(D667,Correllate,VLOOKUP(G667,CorMove,2,FALSE()),FALSE())</f>
        <v>0.83</v>
      </c>
      <c r="Q667" s="92" t="n">
        <f aca="false">WORKDAY(G667,-2)</f>
        <v>36888</v>
      </c>
      <c r="R667" s="7" t="n">
        <f aca="false">IF(F667="P",0,1)</f>
        <v>1</v>
      </c>
      <c r="S667" s="130" t="e">
        <f aca="false">xSPRDOPT($L667,$J667,$I667,$M667,$O667,$N667,$P667,$Q667-$C$3,$R667,0)</f>
        <v>#NAME?</v>
      </c>
      <c r="T667" s="250" t="e">
        <f aca="false">xSPRDOPT($L667,$J667,$I667,$M667,$O667,$N667,$P667,$Q667-$C$3,$R667,1)*H667</f>
        <v>#NAME?</v>
      </c>
      <c r="U667" s="43" t="e">
        <f aca="false">S667*H667</f>
        <v>#NAME?</v>
      </c>
      <c r="V667" s="250" t="e">
        <f aca="false">xSPRDOPT($L667,$J667,$I667,$M667,$O667,$N667,$P667,$Q667-$C$3,$R667,2)*H667</f>
        <v>#NAME?</v>
      </c>
      <c r="W667" s="250" t="e">
        <f aca="false">+V667+T667</f>
        <v>#NAME?</v>
      </c>
      <c r="X667" s="2" t="str">
        <f aca="false">CONCATENATE(G667,D667)</f>
        <v>36892IF-TRANSCO/Z6</v>
      </c>
      <c r="Y667" s="251" t="n">
        <f aca="false">H667/10000</f>
        <v>31</v>
      </c>
      <c r="Z667" s="226" t="e">
        <f aca="false">T667/H667</f>
        <v>#NAME?</v>
      </c>
      <c r="AA667" s="226" t="e">
        <f aca="false">xSPRDOPT($L667,$J667,$I667,$M667,$O667,$N667,$P667,$Q667-$C$3,$R667,3)</f>
        <v>#NAME?</v>
      </c>
      <c r="AB667" s="226" t="e">
        <f aca="false">((xSPRDOPT($L667+AB$5,$J667,$I667,$M667,$O667,$N667,$P667,$Q667-$C$3,$R667,3)*$H667)/10000)/100</f>
        <v>#NAME?</v>
      </c>
      <c r="AC667" s="226" t="e">
        <f aca="false">((xSPRDOPT($L667+$AB$5,$J667,$I667,$M667,$O667,$N667,$P667,$Q667-$C$3,$R667,7)*$H667)/100)</f>
        <v>#NAME?</v>
      </c>
      <c r="AD667" s="226" t="e">
        <f aca="false">(xSPRDOPT($L667+$AB$5,$J667,$I667,$M667,$O667,$N667,$P667,$Q667-$C$3,$R667,9)/365)*$H667</f>
        <v>#NAME?</v>
      </c>
      <c r="AE667" s="0" t="e">
        <f aca="false">CD668</f>
        <v>#NAME?</v>
      </c>
      <c r="AF667" s="226" t="e">
        <f aca="false">((O667/N667)*AH667)+AG667</f>
        <v>#NAME?</v>
      </c>
      <c r="AG667" s="226" t="e">
        <f aca="false">((xSPRDOPT($L667,$J667,$I667,$M667,$O667,$N667,$P667,$Q667-$C$3,$R667,6)*$H667)/100)</f>
        <v>#NAME?</v>
      </c>
      <c r="AH667" s="226" t="e">
        <f aca="false">((xSPRDOPT($L667,$J667,$I667,$M667,$O667,$N667,$P667,$Q667-$C$3,$R667,5)*$H667)/100)</f>
        <v>#NAME?</v>
      </c>
      <c r="AI667" s="226" t="e">
        <f aca="false">(((xSPRDOPT($L667,$J667,$I667,$M667,$O667,$N667,$P667,$Q667-$C$3,$R667,4)*$H667)/10000)/100)-AB667</f>
        <v>#NAME?</v>
      </c>
      <c r="AJ667" s="226"/>
      <c r="CC667" s="182" t="n">
        <f aca="false">G666</f>
        <v>36861</v>
      </c>
      <c r="CD667" s="253" t="e">
        <f aca="false">xSPRDOPT((VLOOKUP(G666,NGPrices,2,FALSE())+HLOOKUP(D666,Prices,VLOOKUP(G666,move_down,2,FALSE()),FALSE())),VLOOKUP(G666,NGPrices,2,FALSE()),I666,VLOOKUP(G666,NGPREVPRICES,4,FALSE()),HLOOKUP(D666,PREVVOLS,VLOOKUP(G666,MOVE_DOWN2,2,FALSE()),FALSE()),VLOOKUP(G666,NGPREVPRICES,3,FALSE()),HLOOKUP(D666,Correllate,VLOOKUP(G666,CorMove,2,FALSE()),FALSE()),Q666-$CD$3,R666,$CD$5)*H666-CJ667</f>
        <v>#NAME?</v>
      </c>
      <c r="CE667" s="253" t="e">
        <f aca="false">xSPRDOPT((VLOOKUP(G666,NGPREVPRICES,2,FALSE())+HLOOKUP(D666,PREVCURVES,VLOOKUP(G666,MOVE_DOWN2,2,FALSE()),FALSE())),VLOOKUP(G666,NGPREVPRICES,2,FALSE()),CK667,VLOOKUP(G666,NGPrices,4,FALSE()),HLOOKUP(D666,PREVVOLS,VLOOKUP(G666,MOVE_DOWN2,2,FALSE()),FALSE()),VLOOKUP(G666,NGPREVPRICES,3,FALSE()),HLOOKUP(D666,Correllate,VLOOKUP(G666,CorMove,2,FALSE()),FALSE()),Q666-$CD$3,R666,$CJ$5)*H666-CJ667</f>
        <v>#NAME?</v>
      </c>
      <c r="CF667" s="132" t="e">
        <f aca="false">(CJ667/VLOOKUP(CC667,discount,3,FALSE()))-(CJ667/VLOOKUP(CC667,discount,2,FALSE()))</f>
        <v>#NAME?</v>
      </c>
      <c r="CG667" s="253" t="e">
        <f aca="false">xSPRDOPT((VLOOKUP(G666,NGPREVPRICES,2,FALSE())+HLOOKUP(D666,PREVCURVES,VLOOKUP(G666,MOVE_DOWN2,2,FALSE()),FALSE())),VLOOKUP(G666,NGPREVPRICES,2,FALSE()),CK667,VLOOKUP(G666,NGPREVPRICES,4,FALSE()),HLOOKUP(D666,VOLS,VLOOKUP(G666,move_down,2,FALSE()),FALSE()),VLOOKUP(G666,NGPrices,3,FALSE()),HLOOKUP(D666,Correllate,VLOOKUP(G666,CorMove,2,FALSE()),FALSE()),Q666-$CD$3,R666,$CJ$5)*H666-CJ667</f>
        <v>#NAME?</v>
      </c>
      <c r="CH667" s="253" t="e">
        <f aca="false">xSPRDOPT((VLOOKUP(G666,NGPREVPRICES,2,FALSE())+HLOOKUP(D666,PREVCURVES,VLOOKUP(G666,MOVE_DOWN2,2,FALSE()),FALSE())),VLOOKUP(G666,NGPREVPRICES,2,FALSE()),CK667,VLOOKUP(G666,NGPREVPRICES,4,FALSE()),HLOOKUP(D666,PREVVOLS,VLOOKUP(G666,MOVE_DOWN2,2,FALSE()),FALSE()),VLOOKUP(G666,NGPREVPRICES,3,FALSE()),HLOOKUP(D666,Correllate,VLOOKUP(G666,CorMove,2,FALSE()),FALSE()),Q666-$C$3,R666,$CJ$5)*H666-CJ667</f>
        <v>#NAME?</v>
      </c>
      <c r="CI667" s="253" t="e">
        <f aca="false">SUM(CD667:CH667)</f>
        <v>#NAME?</v>
      </c>
      <c r="CJ667" s="253" t="e">
        <f aca="false">xSPRDOPT((VLOOKUP(G666,NGPREVPRICES,2,FALSE())+HLOOKUP(D666,PREVCURVES,VLOOKUP(G666,MOVE_DOWN2,2,FALSE()),FALSE())),VLOOKUP(G666,NGPREVPRICES,2,FALSE()),CK667,VLOOKUP(G666,NGPREVPRICES,4,FALSE()),HLOOKUP(D666,PREVVOLS,VLOOKUP(G666,MOVE_DOWN2,2,FALSE()),FALSE()),VLOOKUP(G666,NGPREVPRICES,3,FALSE()),HLOOKUP(D666,Correllate,VLOOKUP(G666,CorMove,2,FALSE()),FALSE()),Q666-$CD$3,R666,$CJ$5)*H666</f>
        <v>#NAME?</v>
      </c>
      <c r="CK667" s="254" t="n">
        <f aca="false">I666</f>
        <v>2.5</v>
      </c>
      <c r="CM667" s="0" t="str">
        <f aca="false">CONCATENATE(CC667,$CD$6)</f>
        <v>36861Curve Shift/Gamma</v>
      </c>
      <c r="CN667" s="0" t="str">
        <f aca="false">CONCATENATE($CC667,$CE$6)</f>
        <v>36861Rho</v>
      </c>
      <c r="CO667" s="0" t="str">
        <f aca="false">CONCATENATE($CC667,$CF$6)</f>
        <v>36861Drift</v>
      </c>
      <c r="CP667" s="0" t="str">
        <f aca="false">CONCATENATE($CC667,$CG$6)</f>
        <v>36861Vega</v>
      </c>
      <c r="CQ667" s="0" t="str">
        <f aca="false">CONCATENATE($CC667,$CH$6)</f>
        <v>36861Theta</v>
      </c>
    </row>
    <row r="668" customFormat="false" ht="12.75" hidden="false" customHeight="false" outlineLevel="0" collapsed="false">
      <c r="A668" s="17" t="s">
        <v>196</v>
      </c>
      <c r="B668" s="0" t="s">
        <v>192</v>
      </c>
      <c r="C668" s="0" t="s">
        <v>419</v>
      </c>
      <c r="D668" s="7" t="s">
        <v>149</v>
      </c>
      <c r="E668" s="0" t="s">
        <v>131</v>
      </c>
      <c r="F668" s="0" t="s">
        <v>136</v>
      </c>
      <c r="G668" s="92" t="n">
        <v>36923</v>
      </c>
      <c r="H668" s="248" t="n">
        <v>280000</v>
      </c>
      <c r="I668" s="254" t="n">
        <v>2.5</v>
      </c>
      <c r="J668" s="124" t="n">
        <f aca="false">VLOOKUP(G668,NGPrices,2,FALSE())</f>
        <v>4.48</v>
      </c>
      <c r="K668" s="125" t="n">
        <f aca="false">HLOOKUP(D668,Prices,VLOOKUP(G668,move_down,2,FALSE()),FALSE())+VLOOKUP(G668,CHANGE,HLOOKUP(D668,CHANGE,2,FALSE()),FALSE())</f>
        <v>2.09</v>
      </c>
      <c r="L668" s="124" t="n">
        <f aca="false">K668+J668</f>
        <v>6.57</v>
      </c>
      <c r="M668" s="126" t="n">
        <f aca="false">VLOOKUP(G668,NGPrices,4,FALSE())</f>
        <v>0.068640161611372</v>
      </c>
      <c r="N668" s="7" t="n">
        <f aca="false">VLOOKUP(G668,NGPrices,3,FALSE())</f>
        <v>0.5925</v>
      </c>
      <c r="O668" s="7" t="n">
        <f aca="false">HLOOKUP(D668,VOLS,VLOOKUP(G668,move_down,2,FALSE()),FALSE())</f>
        <v>0.681</v>
      </c>
      <c r="P668" s="249" t="n">
        <f aca="false">HLOOKUP(D668,Correllate,VLOOKUP(G668,CorMove,2,FALSE()),FALSE())</f>
        <v>0.83</v>
      </c>
      <c r="Q668" s="92" t="n">
        <f aca="false">WORKDAY(G668,-2)</f>
        <v>36921</v>
      </c>
      <c r="R668" s="7" t="n">
        <f aca="false">IF(F668="P",0,1)</f>
        <v>1</v>
      </c>
      <c r="S668" s="130" t="e">
        <f aca="false">xSPRDOPT($L668,$J668,$I668,$M668,$O668,$N668,$P668,$Q668-$C$3,$R668,0)</f>
        <v>#NAME?</v>
      </c>
      <c r="T668" s="250" t="e">
        <f aca="false">xSPRDOPT($L668,$J668,$I668,$M668,$O668,$N668,$P668,$Q668-$C$3,$R668,1)*H668</f>
        <v>#NAME?</v>
      </c>
      <c r="U668" s="43" t="e">
        <f aca="false">S668*H668</f>
        <v>#NAME?</v>
      </c>
      <c r="V668" s="250" t="e">
        <f aca="false">xSPRDOPT($L668,$J668,$I668,$M668,$O668,$N668,$P668,$Q668-$C$3,$R668,2)*H668</f>
        <v>#NAME?</v>
      </c>
      <c r="W668" s="250" t="e">
        <f aca="false">+V668+T668</f>
        <v>#NAME?</v>
      </c>
      <c r="X668" s="2" t="str">
        <f aca="false">CONCATENATE(G668,D668)</f>
        <v>36923IF-TRANSCO/Z6</v>
      </c>
      <c r="Y668" s="251" t="n">
        <f aca="false">H668/10000</f>
        <v>28</v>
      </c>
      <c r="Z668" s="226" t="e">
        <f aca="false">T668/H668</f>
        <v>#NAME?</v>
      </c>
      <c r="AA668" s="226" t="e">
        <f aca="false">xSPRDOPT($L668,$J668,$I668,$M668,$O668,$N668,$P668,$Q668-$C$3,$R668,3)</f>
        <v>#NAME?</v>
      </c>
      <c r="AB668" s="226" t="e">
        <f aca="false">((xSPRDOPT($L668+AB$5,$J668,$I668,$M668,$O668,$N668,$P668,$Q668-$C$3,$R668,3)*$H668)/10000)/100</f>
        <v>#NAME?</v>
      </c>
      <c r="AC668" s="226" t="e">
        <f aca="false">((xSPRDOPT($L668+$AB$5,$J668,$I668,$M668,$O668,$N668,$P668,$Q668-$C$3,$R668,7)*$H668)/100)</f>
        <v>#NAME?</v>
      </c>
      <c r="AD668" s="226" t="e">
        <f aca="false">(xSPRDOPT($L668+$AB$5,$J668,$I668,$M668,$O668,$N668,$P668,$Q668-$C$3,$R668,9)/365)*$H668</f>
        <v>#NAME?</v>
      </c>
      <c r="AE668" s="0" t="e">
        <f aca="false">CD669</f>
        <v>#NAME?</v>
      </c>
      <c r="AF668" s="226" t="e">
        <f aca="false">((O668/N668)*AH668)+AG668</f>
        <v>#NAME?</v>
      </c>
      <c r="AG668" s="226" t="e">
        <f aca="false">((xSPRDOPT($L668,$J668,$I668,$M668,$O668,$N668,$P668,$Q668-$C$3,$R668,6)*$H668)/100)</f>
        <v>#NAME?</v>
      </c>
      <c r="AH668" s="226" t="e">
        <f aca="false">((xSPRDOPT($L668,$J668,$I668,$M668,$O668,$N668,$P668,$Q668-$C$3,$R668,5)*$H668)/100)</f>
        <v>#NAME?</v>
      </c>
      <c r="AI668" s="226" t="e">
        <f aca="false">(((xSPRDOPT($L668,$J668,$I668,$M668,$O668,$N668,$P668,$Q668-$C$3,$R668,4)*$H668)/10000)/100)-AB668</f>
        <v>#NAME?</v>
      </c>
      <c r="AJ668" s="226"/>
      <c r="CC668" s="182" t="n">
        <f aca="false">G667</f>
        <v>36892</v>
      </c>
      <c r="CD668" s="253" t="e">
        <f aca="false">xSPRDOPT((VLOOKUP(G667,NGPrices,2,FALSE())+HLOOKUP(D667,Prices,VLOOKUP(G667,move_down,2,FALSE()),FALSE())),VLOOKUP(G667,NGPrices,2,FALSE()),I667,VLOOKUP(G667,NGPREVPRICES,4,FALSE()),HLOOKUP(D667,PREVVOLS,VLOOKUP(G667,MOVE_DOWN2,2,FALSE()),FALSE()),VLOOKUP(G667,NGPREVPRICES,3,FALSE()),HLOOKUP(D667,Correllate,VLOOKUP(G667,CorMove,2,FALSE()),FALSE()),Q667-$CD$3,R667,$CD$5)*H667-CJ668</f>
        <v>#NAME?</v>
      </c>
      <c r="CE668" s="253" t="e">
        <f aca="false">xSPRDOPT((VLOOKUP(G667,NGPREVPRICES,2,FALSE())+HLOOKUP(D667,PREVCURVES,VLOOKUP(G667,MOVE_DOWN2,2,FALSE()),FALSE())),VLOOKUP(G667,NGPREVPRICES,2,FALSE()),CK668,VLOOKUP(G667,NGPrices,4,FALSE()),HLOOKUP(D667,PREVVOLS,VLOOKUP(G667,MOVE_DOWN2,2,FALSE()),FALSE()),VLOOKUP(G667,NGPREVPRICES,3,FALSE()),HLOOKUP(D667,Correllate,VLOOKUP(G667,CorMove,2,FALSE()),FALSE()),Q667-$CD$3,R667,$CJ$5)*H667-CJ668</f>
        <v>#NAME?</v>
      </c>
      <c r="CF668" s="132" t="e">
        <f aca="false">(CJ668/VLOOKUP(CC668,discount,3,FALSE()))-(CJ668/VLOOKUP(CC668,discount,2,FALSE()))</f>
        <v>#NAME?</v>
      </c>
      <c r="CG668" s="253" t="e">
        <f aca="false">xSPRDOPT((VLOOKUP(G667,NGPREVPRICES,2,FALSE())+HLOOKUP(D667,PREVCURVES,VLOOKUP(G667,MOVE_DOWN2,2,FALSE()),FALSE())),VLOOKUP(G667,NGPREVPRICES,2,FALSE()),CK668,VLOOKUP(G667,NGPREVPRICES,4,FALSE()),HLOOKUP(D667,VOLS,VLOOKUP(G667,move_down,2,FALSE()),FALSE()),VLOOKUP(G667,NGPrices,3,FALSE()),HLOOKUP(D667,Correllate,VLOOKUP(G667,CorMove,2,FALSE()),FALSE()),Q667-$CD$3,R667,$CJ$5)*H667-CJ668</f>
        <v>#NAME?</v>
      </c>
      <c r="CH668" s="253" t="e">
        <f aca="false">xSPRDOPT((VLOOKUP(G667,NGPREVPRICES,2,FALSE())+HLOOKUP(D667,PREVCURVES,VLOOKUP(G667,MOVE_DOWN2,2,FALSE()),FALSE())),VLOOKUP(G667,NGPREVPRICES,2,FALSE()),CK668,VLOOKUP(G667,NGPREVPRICES,4,FALSE()),HLOOKUP(D667,PREVVOLS,VLOOKUP(G667,MOVE_DOWN2,2,FALSE()),FALSE()),VLOOKUP(G667,NGPREVPRICES,3,FALSE()),HLOOKUP(D667,Correllate,VLOOKUP(G667,CorMove,2,FALSE()),FALSE()),Q667-$C$3,R667,$CJ$5)*H667-CJ668</f>
        <v>#NAME?</v>
      </c>
      <c r="CI668" s="253" t="e">
        <f aca="false">SUM(CD668:CH668)</f>
        <v>#NAME?</v>
      </c>
      <c r="CJ668" s="253" t="e">
        <f aca="false">xSPRDOPT((VLOOKUP(G667,NGPREVPRICES,2,FALSE())+HLOOKUP(D667,PREVCURVES,VLOOKUP(G667,MOVE_DOWN2,2,FALSE()),FALSE())),VLOOKUP(G667,NGPREVPRICES,2,FALSE()),CK668,VLOOKUP(G667,NGPREVPRICES,4,FALSE()),HLOOKUP(D667,PREVVOLS,VLOOKUP(G667,MOVE_DOWN2,2,FALSE()),FALSE()),VLOOKUP(G667,NGPREVPRICES,3,FALSE()),HLOOKUP(D667,Correllate,VLOOKUP(G667,CorMove,2,FALSE()),FALSE()),Q667-$CD$3,R667,$CJ$5)*H667</f>
        <v>#NAME?</v>
      </c>
      <c r="CK668" s="254" t="n">
        <f aca="false">I667</f>
        <v>2.5</v>
      </c>
      <c r="CM668" s="0" t="str">
        <f aca="false">CONCATENATE(CC668,$CD$6)</f>
        <v>36892Curve Shift/Gamma</v>
      </c>
      <c r="CN668" s="0" t="str">
        <f aca="false">CONCATENATE($CC668,$CE$6)</f>
        <v>36892Rho</v>
      </c>
      <c r="CO668" s="0" t="str">
        <f aca="false">CONCATENATE($CC668,$CF$6)</f>
        <v>36892Drift</v>
      </c>
      <c r="CP668" s="0" t="str">
        <f aca="false">CONCATENATE($CC668,$CG$6)</f>
        <v>36892Vega</v>
      </c>
      <c r="CQ668" s="0" t="str">
        <f aca="false">CONCATENATE($CC668,$CH$6)</f>
        <v>36892Theta</v>
      </c>
    </row>
    <row r="669" customFormat="false" ht="12.75" hidden="false" customHeight="false" outlineLevel="0" collapsed="false">
      <c r="A669" s="17" t="s">
        <v>196</v>
      </c>
      <c r="B669" s="0" t="s">
        <v>192</v>
      </c>
      <c r="C669" s="0" t="s">
        <v>419</v>
      </c>
      <c r="D669" s="7" t="s">
        <v>149</v>
      </c>
      <c r="E669" s="0" t="s">
        <v>131</v>
      </c>
      <c r="F669" s="0" t="s">
        <v>136</v>
      </c>
      <c r="G669" s="92" t="n">
        <v>36951</v>
      </c>
      <c r="H669" s="248" t="n">
        <v>310000</v>
      </c>
      <c r="I669" s="254" t="n">
        <v>2.5</v>
      </c>
      <c r="J669" s="124" t="n">
        <f aca="false">VLOOKUP(G669,NGPrices,2,FALSE())</f>
        <v>4.213</v>
      </c>
      <c r="K669" s="125" t="n">
        <f aca="false">HLOOKUP(D669,Prices,VLOOKUP(G669,move_down,2,FALSE()),FALSE())+VLOOKUP(G669,CHANGE,HLOOKUP(D669,CHANGE,2,FALSE()),FALSE())</f>
        <v>1.075</v>
      </c>
      <c r="L669" s="124" t="n">
        <f aca="false">K669+J669</f>
        <v>5.288</v>
      </c>
      <c r="M669" s="126" t="n">
        <f aca="false">VLOOKUP(G669,NGPrices,4,FALSE())</f>
        <v>0.068879814952707</v>
      </c>
      <c r="N669" s="7" t="n">
        <f aca="false">VLOOKUP(G669,NGPrices,3,FALSE())</f>
        <v>0.5325</v>
      </c>
      <c r="O669" s="7" t="n">
        <f aca="false">HLOOKUP(D669,VOLS,VLOOKUP(G669,move_down,2,FALSE()),FALSE())</f>
        <v>0.612</v>
      </c>
      <c r="P669" s="249" t="n">
        <f aca="false">HLOOKUP(D669,Correllate,VLOOKUP(G669,CorMove,2,FALSE()),FALSE())</f>
        <v>0.83</v>
      </c>
      <c r="Q669" s="92" t="n">
        <f aca="false">WORKDAY(G669,-2)</f>
        <v>36949</v>
      </c>
      <c r="R669" s="7" t="n">
        <f aca="false">IF(F669="P",0,1)</f>
        <v>1</v>
      </c>
      <c r="S669" s="130" t="e">
        <f aca="false">xSPRDOPT($L669,$J669,$I669,$M669,$O669,$N669,$P669,$Q669-$C$3,$R669,0)</f>
        <v>#NAME?</v>
      </c>
      <c r="T669" s="250" t="e">
        <f aca="false">xSPRDOPT($L669,$J669,$I669,$M669,$O669,$N669,$P669,$Q669-$C$3,$R669,1)*H669</f>
        <v>#NAME?</v>
      </c>
      <c r="U669" s="43" t="e">
        <f aca="false">S669*H669</f>
        <v>#NAME?</v>
      </c>
      <c r="V669" s="250" t="e">
        <f aca="false">xSPRDOPT($L669,$J669,$I669,$M669,$O669,$N669,$P669,$Q669-$C$3,$R669,2)*H669</f>
        <v>#NAME?</v>
      </c>
      <c r="W669" s="250" t="e">
        <f aca="false">+V669+T669</f>
        <v>#NAME?</v>
      </c>
      <c r="X669" s="2" t="str">
        <f aca="false">CONCATENATE(G669,D669)</f>
        <v>36951IF-TRANSCO/Z6</v>
      </c>
      <c r="Y669" s="251" t="n">
        <f aca="false">H669/10000</f>
        <v>31</v>
      </c>
      <c r="Z669" s="226" t="e">
        <f aca="false">T669/H669</f>
        <v>#NAME?</v>
      </c>
      <c r="AA669" s="226" t="e">
        <f aca="false">xSPRDOPT($L669,$J669,$I669,$M669,$O669,$N669,$P669,$Q669-$C$3,$R669,3)</f>
        <v>#NAME?</v>
      </c>
      <c r="AB669" s="226" t="e">
        <f aca="false">((xSPRDOPT($L669+AB$5,$J669,$I669,$M669,$O669,$N669,$P669,$Q669-$C$3,$R669,3)*$H669)/10000)/100</f>
        <v>#NAME?</v>
      </c>
      <c r="AC669" s="226" t="e">
        <f aca="false">((xSPRDOPT($L669+$AB$5,$J669,$I669,$M669,$O669,$N669,$P669,$Q669-$C$3,$R669,7)*$H669)/100)</f>
        <v>#NAME?</v>
      </c>
      <c r="AD669" s="226" t="e">
        <f aca="false">(xSPRDOPT($L669+$AB$5,$J669,$I669,$M669,$O669,$N669,$P669,$Q669-$C$3,$R669,9)/365)*$H669</f>
        <v>#NAME?</v>
      </c>
      <c r="AE669" s="0" t="e">
        <f aca="false">CD670</f>
        <v>#NAME?</v>
      </c>
      <c r="AF669" s="226" t="e">
        <f aca="false">((O669/N669)*AH669)+AG669</f>
        <v>#NAME?</v>
      </c>
      <c r="AG669" s="226" t="e">
        <f aca="false">((xSPRDOPT($L669,$J669,$I669,$M669,$O669,$N669,$P669,$Q669-$C$3,$R669,6)*$H669)/100)</f>
        <v>#NAME?</v>
      </c>
      <c r="AH669" s="226" t="e">
        <f aca="false">((xSPRDOPT($L669,$J669,$I669,$M669,$O669,$N669,$P669,$Q669-$C$3,$R669,5)*$H669)/100)</f>
        <v>#NAME?</v>
      </c>
      <c r="AI669" s="226" t="e">
        <f aca="false">(((xSPRDOPT($L669,$J669,$I669,$M669,$O669,$N669,$P669,$Q669-$C$3,$R669,4)*$H669)/10000)/100)-AB669</f>
        <v>#NAME?</v>
      </c>
      <c r="AJ669" s="226"/>
      <c r="CC669" s="182" t="n">
        <f aca="false">G668</f>
        <v>36923</v>
      </c>
      <c r="CD669" s="253" t="e">
        <f aca="false">xSPRDOPT((VLOOKUP(G668,NGPrices,2,FALSE())+HLOOKUP(D668,Prices,VLOOKUP(G668,move_down,2,FALSE()),FALSE())),VLOOKUP(G668,NGPrices,2,FALSE()),I668,VLOOKUP(G668,NGPREVPRICES,4,FALSE()),HLOOKUP(D668,PREVVOLS,VLOOKUP(G668,MOVE_DOWN2,2,FALSE()),FALSE()),VLOOKUP(G668,NGPREVPRICES,3,FALSE()),HLOOKUP(D668,Correllate,VLOOKUP(G668,CorMove,2,FALSE()),FALSE()),Q668-$CD$3,R668,$CD$5)*H668-CJ669</f>
        <v>#NAME?</v>
      </c>
      <c r="CE669" s="253" t="e">
        <f aca="false">xSPRDOPT((VLOOKUP(G668,NGPREVPRICES,2,FALSE())+HLOOKUP(D668,PREVCURVES,VLOOKUP(G668,MOVE_DOWN2,2,FALSE()),FALSE())),VLOOKUP(G668,NGPREVPRICES,2,FALSE()),CK669,VLOOKUP(G668,NGPrices,4,FALSE()),HLOOKUP(D668,PREVVOLS,VLOOKUP(G668,MOVE_DOWN2,2,FALSE()),FALSE()),VLOOKUP(G668,NGPREVPRICES,3,FALSE()),HLOOKUP(D668,Correllate,VLOOKUP(G668,CorMove,2,FALSE()),FALSE()),Q668-$CD$3,R668,$CJ$5)*H668-CJ669</f>
        <v>#NAME?</v>
      </c>
      <c r="CF669" s="132" t="e">
        <f aca="false">(CJ669/VLOOKUP(CC669,discount,3,FALSE()))-(CJ669/VLOOKUP(CC669,discount,2,FALSE()))</f>
        <v>#NAME?</v>
      </c>
      <c r="CG669" s="253" t="e">
        <f aca="false">xSPRDOPT((VLOOKUP(G668,NGPREVPRICES,2,FALSE())+HLOOKUP(D668,PREVCURVES,VLOOKUP(G668,MOVE_DOWN2,2,FALSE()),FALSE())),VLOOKUP(G668,NGPREVPRICES,2,FALSE()),CK669,VLOOKUP(G668,NGPREVPRICES,4,FALSE()),HLOOKUP(D668,VOLS,VLOOKUP(G668,move_down,2,FALSE()),FALSE()),VLOOKUP(G668,NGPrices,3,FALSE()),HLOOKUP(D668,Correllate,VLOOKUP(G668,CorMove,2,FALSE()),FALSE()),Q668-$CD$3,R668,$CJ$5)*H668-CJ669</f>
        <v>#NAME?</v>
      </c>
      <c r="CH669" s="253" t="e">
        <f aca="false">xSPRDOPT((VLOOKUP(G668,NGPREVPRICES,2,FALSE())+HLOOKUP(D668,PREVCURVES,VLOOKUP(G668,MOVE_DOWN2,2,FALSE()),FALSE())),VLOOKUP(G668,NGPREVPRICES,2,FALSE()),CK669,VLOOKUP(G668,NGPREVPRICES,4,FALSE()),HLOOKUP(D668,PREVVOLS,VLOOKUP(G668,MOVE_DOWN2,2,FALSE()),FALSE()),VLOOKUP(G668,NGPREVPRICES,3,FALSE()),HLOOKUP(D668,Correllate,VLOOKUP(G668,CorMove,2,FALSE()),FALSE()),Q668-$C$3,R668,$CJ$5)*H668-CJ669</f>
        <v>#NAME?</v>
      </c>
      <c r="CI669" s="253" t="e">
        <f aca="false">SUM(CD669:CH669)</f>
        <v>#NAME?</v>
      </c>
      <c r="CJ669" s="253" t="e">
        <f aca="false">xSPRDOPT((VLOOKUP(G668,NGPREVPRICES,2,FALSE())+HLOOKUP(D668,PREVCURVES,VLOOKUP(G668,MOVE_DOWN2,2,FALSE()),FALSE())),VLOOKUP(G668,NGPREVPRICES,2,FALSE()),CK669,VLOOKUP(G668,NGPREVPRICES,4,FALSE()),HLOOKUP(D668,PREVVOLS,VLOOKUP(G668,MOVE_DOWN2,2,FALSE()),FALSE()),VLOOKUP(G668,NGPREVPRICES,3,FALSE()),HLOOKUP(D668,Correllate,VLOOKUP(G668,CorMove,2,FALSE()),FALSE()),Q668-$CD$3,R668,$CJ$5)*H668</f>
        <v>#NAME?</v>
      </c>
      <c r="CK669" s="254" t="n">
        <f aca="false">I668</f>
        <v>2.5</v>
      </c>
      <c r="CM669" s="0" t="str">
        <f aca="false">CONCATENATE(CC669,$CD$6)</f>
        <v>36923Curve Shift/Gamma</v>
      </c>
      <c r="CN669" s="0" t="str">
        <f aca="false">CONCATENATE($CC669,$CE$6)</f>
        <v>36923Rho</v>
      </c>
      <c r="CO669" s="0" t="str">
        <f aca="false">CONCATENATE($CC669,$CF$6)</f>
        <v>36923Drift</v>
      </c>
      <c r="CP669" s="0" t="str">
        <f aca="false">CONCATENATE($CC669,$CG$6)</f>
        <v>36923Vega</v>
      </c>
      <c r="CQ669" s="0" t="str">
        <f aca="false">CONCATENATE($CC669,$CH$6)</f>
        <v>36923Theta</v>
      </c>
    </row>
    <row r="670" customFormat="false" ht="12.75" hidden="false" customHeight="false" outlineLevel="0" collapsed="false">
      <c r="A670" s="17" t="s">
        <v>212</v>
      </c>
      <c r="B670" s="0" t="s">
        <v>192</v>
      </c>
      <c r="C670" s="0" t="s">
        <v>420</v>
      </c>
      <c r="D670" s="7" t="s">
        <v>149</v>
      </c>
      <c r="E670" s="0" t="s">
        <v>131</v>
      </c>
      <c r="F670" s="0" t="s">
        <v>136</v>
      </c>
      <c r="G670" s="92" t="n">
        <v>36982</v>
      </c>
      <c r="H670" s="248" t="n">
        <v>500000</v>
      </c>
      <c r="I670" s="254" t="n">
        <v>0.5</v>
      </c>
      <c r="J670" s="124" t="n">
        <f aca="false">VLOOKUP(G670,NGPrices,2,FALSE())</f>
        <v>3.938</v>
      </c>
      <c r="K670" s="125" t="n">
        <f aca="false">HLOOKUP(D670,Prices,VLOOKUP(G670,move_down,2,FALSE()),FALSE())+VLOOKUP(G670,CHANGE,HLOOKUP(D670,CHANGE,2,FALSE()),FALSE())</f>
        <v>0.52</v>
      </c>
      <c r="L670" s="124" t="n">
        <f aca="false">K670+J670</f>
        <v>4.458</v>
      </c>
      <c r="M670" s="126" t="n">
        <f aca="false">VLOOKUP(G670,NGPrices,4,FALSE())</f>
        <v>0.069061726541121</v>
      </c>
      <c r="N670" s="7" t="n">
        <f aca="false">VLOOKUP(G670,NGPrices,3,FALSE())</f>
        <v>0.4425</v>
      </c>
      <c r="O670" s="7" t="n">
        <f aca="false">HLOOKUP(D670,VOLS,VLOOKUP(G670,move_down,2,FALSE()),FALSE())</f>
        <v>0.434</v>
      </c>
      <c r="P670" s="249" t="n">
        <f aca="false">HLOOKUP(D670,Correllate,VLOOKUP(G670,CorMove,2,FALSE()),FALSE())</f>
        <v>0.9738</v>
      </c>
      <c r="Q670" s="92" t="n">
        <f aca="false">WORKDAY(G670,-2)</f>
        <v>36979</v>
      </c>
      <c r="R670" s="7" t="n">
        <f aca="false">IF(F670="P",0,1)</f>
        <v>1</v>
      </c>
      <c r="S670" s="130" t="e">
        <f aca="false">xSPRDOPT($L670,$J670,$I670,$M670,$O670,$N670,$P670,$Q670-$C$3,$R670,0)</f>
        <v>#NAME?</v>
      </c>
      <c r="T670" s="250" t="e">
        <f aca="false">xSPRDOPT($L670,$J670,$I670,$M670,$O670,$N670,$P670,$Q670-$C$3,$R670,1)*H670</f>
        <v>#NAME?</v>
      </c>
      <c r="U670" s="43" t="e">
        <f aca="false">S670*H670</f>
        <v>#NAME?</v>
      </c>
      <c r="V670" s="250" t="e">
        <f aca="false">xSPRDOPT($L670,$J670,$I670,$M670,$O670,$N670,$P670,$Q670-$C$3,$R670,2)*H670</f>
        <v>#NAME?</v>
      </c>
      <c r="W670" s="250" t="e">
        <f aca="false">+V670+T670</f>
        <v>#NAME?</v>
      </c>
      <c r="X670" s="2" t="str">
        <f aca="false">CONCATENATE(G670,D670)</f>
        <v>36982IF-TRANSCO/Z6</v>
      </c>
      <c r="Y670" s="251" t="n">
        <f aca="false">H670/10000</f>
        <v>50</v>
      </c>
      <c r="Z670" s="226" t="e">
        <f aca="false">T670/H670</f>
        <v>#NAME?</v>
      </c>
      <c r="AA670" s="226" t="e">
        <f aca="false">xSPRDOPT($L670,$J670,$I670,$M670,$O670,$N670,$P670,$Q670-$C$3,$R670,3)</f>
        <v>#NAME?</v>
      </c>
      <c r="AB670" s="226" t="e">
        <f aca="false">((xSPRDOPT($L670+AB$5,$J670,$I670,$M670,$O670,$N670,$P670,$Q670-$C$3,$R670,3)*$H670)/10000)/100</f>
        <v>#NAME?</v>
      </c>
      <c r="AC670" s="226" t="e">
        <f aca="false">((xSPRDOPT($L670+$AB$5,$J670,$I670,$M670,$O670,$N670,$P670,$Q670-$C$3,$R670,7)*$H670)/100)</f>
        <v>#NAME?</v>
      </c>
      <c r="AD670" s="226" t="e">
        <f aca="false">(xSPRDOPT($L670+$AB$5,$J670,$I670,$M670,$O670,$N670,$P670,$Q670-$C$3,$R670,9)/365)*$H670</f>
        <v>#NAME?</v>
      </c>
      <c r="AE670" s="0" t="e">
        <f aca="false">CD671</f>
        <v>#NAME?</v>
      </c>
      <c r="AF670" s="226" t="e">
        <f aca="false">((O670/N670)*AH670)+AG670</f>
        <v>#NAME?</v>
      </c>
      <c r="AG670" s="226" t="e">
        <f aca="false">((xSPRDOPT($L670,$J670,$I670,$M670,$O670,$N670,$P670,$Q670-$C$3,$R670,6)*$H670)/100)</f>
        <v>#NAME?</v>
      </c>
      <c r="AH670" s="226" t="e">
        <f aca="false">((xSPRDOPT($L670,$J670,$I670,$M670,$O670,$N670,$P670,$Q670-$C$3,$R670,5)*$H670)/100)</f>
        <v>#NAME?</v>
      </c>
      <c r="AI670" s="226" t="e">
        <f aca="false">(((xSPRDOPT($L670,$J670,$I670,$M670,$O670,$N670,$P670,$Q670-$C$3,$R670,4)*$H670)/10000)/100)-AB670</f>
        <v>#NAME?</v>
      </c>
      <c r="AJ670" s="226"/>
      <c r="CC670" s="182" t="n">
        <f aca="false">G669</f>
        <v>36951</v>
      </c>
      <c r="CD670" s="253" t="e">
        <f aca="false">xSPRDOPT((VLOOKUP(G669,NGPrices,2,FALSE())+HLOOKUP(D669,Prices,VLOOKUP(G669,move_down,2,FALSE()),FALSE())),VLOOKUP(G669,NGPrices,2,FALSE()),I669,VLOOKUP(G669,NGPREVPRICES,4,FALSE()),HLOOKUP(D669,PREVVOLS,VLOOKUP(G669,MOVE_DOWN2,2,FALSE()),FALSE()),VLOOKUP(G669,NGPREVPRICES,3,FALSE()),HLOOKUP(D669,Correllate,VLOOKUP(G669,CorMove,2,FALSE()),FALSE()),Q669-$CD$3,R669,$CD$5)*H669-CJ670</f>
        <v>#NAME?</v>
      </c>
      <c r="CE670" s="253" t="e">
        <f aca="false">xSPRDOPT((VLOOKUP(G669,NGPREVPRICES,2,FALSE())+HLOOKUP(D669,PREVCURVES,VLOOKUP(G669,MOVE_DOWN2,2,FALSE()),FALSE())),VLOOKUP(G669,NGPREVPRICES,2,FALSE()),CK670,VLOOKUP(G669,NGPrices,4,FALSE()),HLOOKUP(D669,PREVVOLS,VLOOKUP(G669,MOVE_DOWN2,2,FALSE()),FALSE()),VLOOKUP(G669,NGPREVPRICES,3,FALSE()),HLOOKUP(D669,Correllate,VLOOKUP(G669,CorMove,2,FALSE()),FALSE()),Q669-$CD$3,R669,$CJ$5)*H669-CJ670</f>
        <v>#NAME?</v>
      </c>
      <c r="CF670" s="132" t="e">
        <f aca="false">(CJ670/VLOOKUP(CC670,discount,3,FALSE()))-(CJ670/VLOOKUP(CC670,discount,2,FALSE()))</f>
        <v>#NAME?</v>
      </c>
      <c r="CG670" s="253" t="e">
        <f aca="false">xSPRDOPT((VLOOKUP(G669,NGPREVPRICES,2,FALSE())+HLOOKUP(D669,PREVCURVES,VLOOKUP(G669,MOVE_DOWN2,2,FALSE()),FALSE())),VLOOKUP(G669,NGPREVPRICES,2,FALSE()),CK670,VLOOKUP(G669,NGPREVPRICES,4,FALSE()),HLOOKUP(D669,VOLS,VLOOKUP(G669,move_down,2,FALSE()),FALSE()),VLOOKUP(G669,NGPrices,3,FALSE()),HLOOKUP(D669,Correllate,VLOOKUP(G669,CorMove,2,FALSE()),FALSE()),Q669-$CD$3,R669,$CJ$5)*H669-CJ670</f>
        <v>#NAME?</v>
      </c>
      <c r="CH670" s="253" t="e">
        <f aca="false">xSPRDOPT((VLOOKUP(G669,NGPREVPRICES,2,FALSE())+HLOOKUP(D669,PREVCURVES,VLOOKUP(G669,MOVE_DOWN2,2,FALSE()),FALSE())),VLOOKUP(G669,NGPREVPRICES,2,FALSE()),CK670,VLOOKUP(G669,NGPREVPRICES,4,FALSE()),HLOOKUP(D669,PREVVOLS,VLOOKUP(G669,MOVE_DOWN2,2,FALSE()),FALSE()),VLOOKUP(G669,NGPREVPRICES,3,FALSE()),HLOOKUP(D669,Correllate,VLOOKUP(G669,CorMove,2,FALSE()),FALSE()),Q669-$C$3,R669,$CJ$5)*H669-CJ670</f>
        <v>#NAME?</v>
      </c>
      <c r="CI670" s="253" t="e">
        <f aca="false">SUM(CD670:CH670)</f>
        <v>#NAME?</v>
      </c>
      <c r="CJ670" s="253" t="e">
        <f aca="false">xSPRDOPT((VLOOKUP(G669,NGPREVPRICES,2,FALSE())+HLOOKUP(D669,PREVCURVES,VLOOKUP(G669,MOVE_DOWN2,2,FALSE()),FALSE())),VLOOKUP(G669,NGPREVPRICES,2,FALSE()),CK670,VLOOKUP(G669,NGPREVPRICES,4,FALSE()),HLOOKUP(D669,PREVVOLS,VLOOKUP(G669,MOVE_DOWN2,2,FALSE()),FALSE()),VLOOKUP(G669,NGPREVPRICES,3,FALSE()),HLOOKUP(D669,Correllate,VLOOKUP(G669,CorMove,2,FALSE()),FALSE()),Q669-$CD$3,R669,$CJ$5)*H669</f>
        <v>#NAME?</v>
      </c>
      <c r="CK670" s="254" t="n">
        <f aca="false">I669</f>
        <v>2.5</v>
      </c>
      <c r="CM670" s="0" t="str">
        <f aca="false">CONCATENATE(CC670,$CD$6)</f>
        <v>36951Curve Shift/Gamma</v>
      </c>
      <c r="CN670" s="0" t="str">
        <f aca="false">CONCATENATE($CC670,$CE$6)</f>
        <v>36951Rho</v>
      </c>
      <c r="CO670" s="0" t="str">
        <f aca="false">CONCATENATE($CC670,$CF$6)</f>
        <v>36951Drift</v>
      </c>
      <c r="CP670" s="0" t="str">
        <f aca="false">CONCATENATE($CC670,$CG$6)</f>
        <v>36951Vega</v>
      </c>
      <c r="CQ670" s="0" t="str">
        <f aca="false">CONCATENATE($CC670,$CH$6)</f>
        <v>36951Theta</v>
      </c>
    </row>
    <row r="671" customFormat="false" ht="12.75" hidden="false" customHeight="false" outlineLevel="0" collapsed="false">
      <c r="A671" s="17" t="s">
        <v>212</v>
      </c>
      <c r="B671" s="0" t="s">
        <v>192</v>
      </c>
      <c r="C671" s="0" t="s">
        <v>420</v>
      </c>
      <c r="D671" s="7" t="s">
        <v>149</v>
      </c>
      <c r="E671" s="0" t="s">
        <v>131</v>
      </c>
      <c r="F671" s="0" t="s">
        <v>136</v>
      </c>
      <c r="G671" s="92" t="n">
        <v>37012</v>
      </c>
      <c r="H671" s="248" t="n">
        <v>500000</v>
      </c>
      <c r="I671" s="254" t="n">
        <v>0.5</v>
      </c>
      <c r="J671" s="124" t="n">
        <f aca="false">VLOOKUP(G671,NGPrices,2,FALSE())</f>
        <v>3.838</v>
      </c>
      <c r="K671" s="125" t="n">
        <f aca="false">HLOOKUP(D671,Prices,VLOOKUP(G671,move_down,2,FALSE()),FALSE())+VLOOKUP(G671,CHANGE,HLOOKUP(D671,CHANGE,2,FALSE()),FALSE())</f>
        <v>0.405</v>
      </c>
      <c r="L671" s="124" t="n">
        <f aca="false">K671+J671</f>
        <v>4.243</v>
      </c>
      <c r="M671" s="126" t="n">
        <f aca="false">VLOOKUP(G671,NGPrices,4,FALSE())</f>
        <v>0.069101151219</v>
      </c>
      <c r="N671" s="7" t="n">
        <f aca="false">VLOOKUP(G671,NGPrices,3,FALSE())</f>
        <v>0.405</v>
      </c>
      <c r="O671" s="7" t="n">
        <f aca="false">HLOOKUP(D671,VOLS,VLOOKUP(G671,move_down,2,FALSE()),FALSE())</f>
        <v>0.397</v>
      </c>
      <c r="P671" s="249" t="n">
        <f aca="false">HLOOKUP(D671,Correllate,VLOOKUP(G671,CorMove,2,FALSE()),FALSE())</f>
        <v>0.9738</v>
      </c>
      <c r="Q671" s="92" t="n">
        <f aca="false">WORKDAY(G671,-2)</f>
        <v>37008</v>
      </c>
      <c r="R671" s="7" t="n">
        <f aca="false">IF(F671="P",0,1)</f>
        <v>1</v>
      </c>
      <c r="S671" s="130" t="e">
        <f aca="false">xSPRDOPT($L671,$J671,$I671,$M671,$O671,$N671,$P671,$Q671-$C$3,$R671,0)</f>
        <v>#NAME?</v>
      </c>
      <c r="T671" s="250" t="e">
        <f aca="false">xSPRDOPT($L671,$J671,$I671,$M671,$O671,$N671,$P671,$Q671-$C$3,$R671,1)*H671</f>
        <v>#NAME?</v>
      </c>
      <c r="U671" s="43" t="e">
        <f aca="false">S671*H671</f>
        <v>#NAME?</v>
      </c>
      <c r="V671" s="250" t="e">
        <f aca="false">xSPRDOPT($L671,$J671,$I671,$M671,$O671,$N671,$P671,$Q671-$C$3,$R671,2)*H671</f>
        <v>#NAME?</v>
      </c>
      <c r="W671" s="250" t="e">
        <f aca="false">+V671+T671</f>
        <v>#NAME?</v>
      </c>
      <c r="X671" s="2" t="str">
        <f aca="false">CONCATENATE(G671,D671)</f>
        <v>37012IF-TRANSCO/Z6</v>
      </c>
      <c r="Y671" s="251" t="n">
        <f aca="false">H671/10000</f>
        <v>50</v>
      </c>
      <c r="Z671" s="226" t="e">
        <f aca="false">T671/H671</f>
        <v>#NAME?</v>
      </c>
      <c r="AA671" s="226" t="e">
        <f aca="false">xSPRDOPT($L671,$J671,$I671,$M671,$O671,$N671,$P671,$Q671-$C$3,$R671,3)</f>
        <v>#NAME?</v>
      </c>
      <c r="AB671" s="226" t="e">
        <f aca="false">((xSPRDOPT($L671+AB$5,$J671,$I671,$M671,$O671,$N671,$P671,$Q671-$C$3,$R671,3)*$H671)/10000)/100</f>
        <v>#NAME?</v>
      </c>
      <c r="AC671" s="226" t="e">
        <f aca="false">((xSPRDOPT($L671+$AB$5,$J671,$I671,$M671,$O671,$N671,$P671,$Q671-$C$3,$R671,7)*$H671)/100)</f>
        <v>#NAME?</v>
      </c>
      <c r="AD671" s="226" t="e">
        <f aca="false">(xSPRDOPT($L671+$AB$5,$J671,$I671,$M671,$O671,$N671,$P671,$Q671-$C$3,$R671,9)/365)*$H671</f>
        <v>#NAME?</v>
      </c>
      <c r="AE671" s="0" t="e">
        <f aca="false">CD672</f>
        <v>#NAME?</v>
      </c>
      <c r="AF671" s="226" t="e">
        <f aca="false">((O671/N671)*AH671)+AG671</f>
        <v>#NAME?</v>
      </c>
      <c r="AG671" s="226" t="e">
        <f aca="false">((xSPRDOPT($L671,$J671,$I671,$M671,$O671,$N671,$P671,$Q671-$C$3,$R671,6)*$H671)/100)</f>
        <v>#NAME?</v>
      </c>
      <c r="AH671" s="226" t="e">
        <f aca="false">((xSPRDOPT($L671,$J671,$I671,$M671,$O671,$N671,$P671,$Q671-$C$3,$R671,5)*$H671)/100)</f>
        <v>#NAME?</v>
      </c>
      <c r="AI671" s="226" t="e">
        <f aca="false">(((xSPRDOPT($L671,$J671,$I671,$M671,$O671,$N671,$P671,$Q671-$C$3,$R671,4)*$H671)/10000)/100)-AB671</f>
        <v>#NAME?</v>
      </c>
      <c r="AJ671" s="226"/>
      <c r="CC671" s="182" t="n">
        <f aca="false">G670</f>
        <v>36982</v>
      </c>
      <c r="CD671" s="253" t="e">
        <f aca="false">xSPRDOPT((VLOOKUP(G670,NGPrices,2,FALSE())+HLOOKUP(D670,Prices,VLOOKUP(G670,move_down,2,FALSE()),FALSE())),VLOOKUP(G670,NGPrices,2,FALSE()),I670,VLOOKUP(G670,NGPREVPRICES,4,FALSE()),HLOOKUP(D670,PREVVOLS,VLOOKUP(G670,MOVE_DOWN2,2,FALSE()),FALSE()),VLOOKUP(G670,NGPREVPRICES,3,FALSE()),HLOOKUP(D670,Correllate,VLOOKUP(G670,CorMove,2,FALSE()),FALSE()),Q670-$CD$3,R670,$CD$5)*H670-CJ671</f>
        <v>#NAME?</v>
      </c>
      <c r="CE671" s="253" t="e">
        <f aca="false">xSPRDOPT((VLOOKUP(G670,NGPREVPRICES,2,FALSE())+HLOOKUP(D670,PREVCURVES,VLOOKUP(G670,MOVE_DOWN2,2,FALSE()),FALSE())),VLOOKUP(G670,NGPREVPRICES,2,FALSE()),CK671,VLOOKUP(G670,NGPrices,4,FALSE()),HLOOKUP(D670,PREVVOLS,VLOOKUP(G670,MOVE_DOWN2,2,FALSE()),FALSE()),VLOOKUP(G670,NGPREVPRICES,3,FALSE()),HLOOKUP(D670,Correllate,VLOOKUP(G670,CorMove,2,FALSE()),FALSE()),Q670-$CD$3,R670,$CJ$5)*H670-CJ671</f>
        <v>#NAME?</v>
      </c>
      <c r="CF671" s="132" t="e">
        <f aca="false">(CJ671/VLOOKUP(CC671,discount,3,FALSE()))-(CJ671/VLOOKUP(CC671,discount,2,FALSE()))</f>
        <v>#NAME?</v>
      </c>
      <c r="CG671" s="253" t="e">
        <f aca="false">xSPRDOPT((VLOOKUP(G670,NGPREVPRICES,2,FALSE())+HLOOKUP(D670,PREVCURVES,VLOOKUP(G670,MOVE_DOWN2,2,FALSE()),FALSE())),VLOOKUP(G670,NGPREVPRICES,2,FALSE()),CK671,VLOOKUP(G670,NGPREVPRICES,4,FALSE()),HLOOKUP(D670,VOLS,VLOOKUP(G670,move_down,2,FALSE()),FALSE()),VLOOKUP(G670,NGPrices,3,FALSE()),HLOOKUP(D670,Correllate,VLOOKUP(G670,CorMove,2,FALSE()),FALSE()),Q670-$CD$3,R670,$CJ$5)*H670-CJ671</f>
        <v>#NAME?</v>
      </c>
      <c r="CH671" s="253" t="e">
        <f aca="false">xSPRDOPT((VLOOKUP(G670,NGPREVPRICES,2,FALSE())+HLOOKUP(D670,PREVCURVES,VLOOKUP(G670,MOVE_DOWN2,2,FALSE()),FALSE())),VLOOKUP(G670,NGPREVPRICES,2,FALSE()),CK671,VLOOKUP(G670,NGPREVPRICES,4,FALSE()),HLOOKUP(D670,PREVVOLS,VLOOKUP(G670,MOVE_DOWN2,2,FALSE()),FALSE()),VLOOKUP(G670,NGPREVPRICES,3,FALSE()),HLOOKUP(D670,Correllate,VLOOKUP(G670,CorMove,2,FALSE()),FALSE()),Q670-$C$3,R670,$CJ$5)*H670-CJ671</f>
        <v>#NAME?</v>
      </c>
      <c r="CI671" s="253" t="e">
        <f aca="false">SUM(CD671:CH671)</f>
        <v>#NAME?</v>
      </c>
      <c r="CJ671" s="253" t="e">
        <f aca="false">xSPRDOPT((VLOOKUP(G670,NGPREVPRICES,2,FALSE())+HLOOKUP(D670,PREVCURVES,VLOOKUP(G670,MOVE_DOWN2,2,FALSE()),FALSE())),VLOOKUP(G670,NGPREVPRICES,2,FALSE()),CK671,VLOOKUP(G670,NGPREVPRICES,4,FALSE()),HLOOKUP(D670,PREVVOLS,VLOOKUP(G670,MOVE_DOWN2,2,FALSE()),FALSE()),VLOOKUP(G670,NGPREVPRICES,3,FALSE()),HLOOKUP(D670,Correllate,VLOOKUP(G670,CorMove,2,FALSE()),FALSE()),Q670-$CD$3,R670,$CJ$5)*H670</f>
        <v>#NAME?</v>
      </c>
      <c r="CK671" s="254" t="n">
        <f aca="false">I670</f>
        <v>0.5</v>
      </c>
      <c r="CM671" s="0" t="str">
        <f aca="false">CONCATENATE(CC671,$CD$6)</f>
        <v>36982Curve Shift/Gamma</v>
      </c>
      <c r="CN671" s="0" t="str">
        <f aca="false">CONCATENATE($CC671,$CE$6)</f>
        <v>36982Rho</v>
      </c>
      <c r="CO671" s="0" t="str">
        <f aca="false">CONCATENATE($CC671,$CF$6)</f>
        <v>36982Drift</v>
      </c>
      <c r="CP671" s="0" t="str">
        <f aca="false">CONCATENATE($CC671,$CG$6)</f>
        <v>36982Vega</v>
      </c>
      <c r="CQ671" s="0" t="str">
        <f aca="false">CONCATENATE($CC671,$CH$6)</f>
        <v>36982Theta</v>
      </c>
    </row>
    <row r="672" customFormat="false" ht="12.75" hidden="false" customHeight="false" outlineLevel="0" collapsed="false">
      <c r="A672" s="17" t="s">
        <v>212</v>
      </c>
      <c r="B672" s="0" t="s">
        <v>192</v>
      </c>
      <c r="C672" s="0" t="s">
        <v>420</v>
      </c>
      <c r="D672" s="7" t="s">
        <v>149</v>
      </c>
      <c r="E672" s="0" t="s">
        <v>131</v>
      </c>
      <c r="F672" s="0" t="s">
        <v>136</v>
      </c>
      <c r="G672" s="92" t="n">
        <v>37043</v>
      </c>
      <c r="H672" s="248" t="n">
        <v>500000</v>
      </c>
      <c r="I672" s="254" t="n">
        <v>0.5</v>
      </c>
      <c r="J672" s="124" t="n">
        <f aca="false">VLOOKUP(G672,NGPrices,2,FALSE())</f>
        <v>3.818</v>
      </c>
      <c r="K672" s="125" t="n">
        <f aca="false">HLOOKUP(D672,Prices,VLOOKUP(G672,move_down,2,FALSE()),FALSE())+VLOOKUP(G672,CHANGE,HLOOKUP(D672,CHANGE,2,FALSE()),FALSE())</f>
        <v>0.395</v>
      </c>
      <c r="L672" s="124" t="n">
        <f aca="false">K672+J672</f>
        <v>4.213</v>
      </c>
      <c r="M672" s="126" t="n">
        <f aca="false">VLOOKUP(G672,NGPrices,4,FALSE())</f>
        <v>0.069141890053328</v>
      </c>
      <c r="N672" s="7" t="n">
        <f aca="false">VLOOKUP(G672,NGPrices,3,FALSE())</f>
        <v>0.4</v>
      </c>
      <c r="O672" s="7" t="n">
        <f aca="false">HLOOKUP(D672,VOLS,VLOOKUP(G672,move_down,2,FALSE()),FALSE())</f>
        <v>0.392</v>
      </c>
      <c r="P672" s="249" t="n">
        <f aca="false">HLOOKUP(D672,Correllate,VLOOKUP(G672,CorMove,2,FALSE()),FALSE())</f>
        <v>0.9738</v>
      </c>
      <c r="Q672" s="92" t="n">
        <f aca="false">WORKDAY(G672,-2)</f>
        <v>37041</v>
      </c>
      <c r="R672" s="7" t="n">
        <f aca="false">IF(F672="P",0,1)</f>
        <v>1</v>
      </c>
      <c r="S672" s="130" t="e">
        <f aca="false">xSPRDOPT($L672,$J672,$I672,$M672,$O672,$N672,$P672,$Q672-$C$3,$R672,0)</f>
        <v>#NAME?</v>
      </c>
      <c r="T672" s="250" t="e">
        <f aca="false">xSPRDOPT($L672,$J672,$I672,$M672,$O672,$N672,$P672,$Q672-$C$3,$R672,1)*H672</f>
        <v>#NAME?</v>
      </c>
      <c r="U672" s="43" t="e">
        <f aca="false">S672*H672</f>
        <v>#NAME?</v>
      </c>
      <c r="V672" s="250" t="e">
        <f aca="false">xSPRDOPT($L672,$J672,$I672,$M672,$O672,$N672,$P672,$Q672-$C$3,$R672,2)*H672</f>
        <v>#NAME?</v>
      </c>
      <c r="W672" s="250" t="e">
        <f aca="false">+V672+T672</f>
        <v>#NAME?</v>
      </c>
      <c r="X672" s="2" t="str">
        <f aca="false">CONCATENATE(G672,D672)</f>
        <v>37043IF-TRANSCO/Z6</v>
      </c>
      <c r="Y672" s="251" t="n">
        <f aca="false">H672/10000</f>
        <v>50</v>
      </c>
      <c r="Z672" s="226" t="e">
        <f aca="false">T672/H672</f>
        <v>#NAME?</v>
      </c>
      <c r="AA672" s="226" t="e">
        <f aca="false">xSPRDOPT($L672,$J672,$I672,$M672,$O672,$N672,$P672,$Q672-$C$3,$R672,3)</f>
        <v>#NAME?</v>
      </c>
      <c r="AB672" s="226" t="e">
        <f aca="false">((xSPRDOPT($L672+AB$5,$J672,$I672,$M672,$O672,$N672,$P672,$Q672-$C$3,$R672,3)*$H672)/10000)/100</f>
        <v>#NAME?</v>
      </c>
      <c r="AC672" s="226" t="e">
        <f aca="false">((xSPRDOPT($L672+$AB$5,$J672,$I672,$M672,$O672,$N672,$P672,$Q672-$C$3,$R672,7)*$H672)/100)</f>
        <v>#NAME?</v>
      </c>
      <c r="AD672" s="226" t="e">
        <f aca="false">(xSPRDOPT($L672+$AB$5,$J672,$I672,$M672,$O672,$N672,$P672,$Q672-$C$3,$R672,9)/365)*$H672</f>
        <v>#NAME?</v>
      </c>
      <c r="AE672" s="0" t="e">
        <f aca="false">CD673</f>
        <v>#NAME?</v>
      </c>
      <c r="AF672" s="226" t="e">
        <f aca="false">((O672/N672)*AH672)+AG672</f>
        <v>#NAME?</v>
      </c>
      <c r="AG672" s="226" t="e">
        <f aca="false">((xSPRDOPT($L672,$J672,$I672,$M672,$O672,$N672,$P672,$Q672-$C$3,$R672,6)*$H672)/100)</f>
        <v>#NAME?</v>
      </c>
      <c r="AH672" s="226" t="e">
        <f aca="false">((xSPRDOPT($L672,$J672,$I672,$M672,$O672,$N672,$P672,$Q672-$C$3,$R672,5)*$H672)/100)</f>
        <v>#NAME?</v>
      </c>
      <c r="AI672" s="226" t="e">
        <f aca="false">(((xSPRDOPT($L672,$J672,$I672,$M672,$O672,$N672,$P672,$Q672-$C$3,$R672,4)*$H672)/10000)/100)-AB672</f>
        <v>#NAME?</v>
      </c>
      <c r="AJ672" s="226"/>
      <c r="CC672" s="182" t="n">
        <f aca="false">G671</f>
        <v>37012</v>
      </c>
      <c r="CD672" s="253" t="e">
        <f aca="false">xSPRDOPT((VLOOKUP(G671,NGPrices,2,FALSE())+HLOOKUP(D671,Prices,VLOOKUP(G671,move_down,2,FALSE()),FALSE())),VLOOKUP(G671,NGPrices,2,FALSE()),I671,VLOOKUP(G671,NGPREVPRICES,4,FALSE()),HLOOKUP(D671,PREVVOLS,VLOOKUP(G671,MOVE_DOWN2,2,FALSE()),FALSE()),VLOOKUP(G671,NGPREVPRICES,3,FALSE()),HLOOKUP(D671,Correllate,VLOOKUP(G671,CorMove,2,FALSE()),FALSE()),Q671-$CD$3,R671,$CD$5)*H671-CJ672</f>
        <v>#NAME?</v>
      </c>
      <c r="CE672" s="253" t="e">
        <f aca="false">xSPRDOPT((VLOOKUP(G671,NGPREVPRICES,2,FALSE())+HLOOKUP(D671,PREVCURVES,VLOOKUP(G671,MOVE_DOWN2,2,FALSE()),FALSE())),VLOOKUP(G671,NGPREVPRICES,2,FALSE()),CK672,VLOOKUP(G671,NGPrices,4,FALSE()),HLOOKUP(D671,PREVVOLS,VLOOKUP(G671,MOVE_DOWN2,2,FALSE()),FALSE()),VLOOKUP(G671,NGPREVPRICES,3,FALSE()),HLOOKUP(D671,Correllate,VLOOKUP(G671,CorMove,2,FALSE()),FALSE()),Q671-$CD$3,R671,$CJ$5)*H671-CJ672</f>
        <v>#NAME?</v>
      </c>
      <c r="CF672" s="132" t="e">
        <f aca="false">(CJ672/VLOOKUP(CC672,discount,3,FALSE()))-(CJ672/VLOOKUP(CC672,discount,2,FALSE()))</f>
        <v>#NAME?</v>
      </c>
      <c r="CG672" s="253" t="e">
        <f aca="false">xSPRDOPT((VLOOKUP(G671,NGPREVPRICES,2,FALSE())+HLOOKUP(D671,PREVCURVES,VLOOKUP(G671,MOVE_DOWN2,2,FALSE()),FALSE())),VLOOKUP(G671,NGPREVPRICES,2,FALSE()),CK672,VLOOKUP(G671,NGPREVPRICES,4,FALSE()),HLOOKUP(D671,VOLS,VLOOKUP(G671,move_down,2,FALSE()),FALSE()),VLOOKUP(G671,NGPrices,3,FALSE()),HLOOKUP(D671,Correllate,VLOOKUP(G671,CorMove,2,FALSE()),FALSE()),Q671-$CD$3,R671,$CJ$5)*H671-CJ672</f>
        <v>#NAME?</v>
      </c>
      <c r="CH672" s="253" t="e">
        <f aca="false">xSPRDOPT((VLOOKUP(G671,NGPREVPRICES,2,FALSE())+HLOOKUP(D671,PREVCURVES,VLOOKUP(G671,MOVE_DOWN2,2,FALSE()),FALSE())),VLOOKUP(G671,NGPREVPRICES,2,FALSE()),CK672,VLOOKUP(G671,NGPREVPRICES,4,FALSE()),HLOOKUP(D671,PREVVOLS,VLOOKUP(G671,MOVE_DOWN2,2,FALSE()),FALSE()),VLOOKUP(G671,NGPREVPRICES,3,FALSE()),HLOOKUP(D671,Correllate,VLOOKUP(G671,CorMove,2,FALSE()),FALSE()),Q671-$C$3,R671,$CJ$5)*H671-CJ672</f>
        <v>#NAME?</v>
      </c>
      <c r="CI672" s="253" t="e">
        <f aca="false">SUM(CD672:CH672)</f>
        <v>#NAME?</v>
      </c>
      <c r="CJ672" s="253" t="e">
        <f aca="false">xSPRDOPT((VLOOKUP(G671,NGPREVPRICES,2,FALSE())+HLOOKUP(D671,PREVCURVES,VLOOKUP(G671,MOVE_DOWN2,2,FALSE()),FALSE())),VLOOKUP(G671,NGPREVPRICES,2,FALSE()),CK672,VLOOKUP(G671,NGPREVPRICES,4,FALSE()),HLOOKUP(D671,PREVVOLS,VLOOKUP(G671,MOVE_DOWN2,2,FALSE()),FALSE()),VLOOKUP(G671,NGPREVPRICES,3,FALSE()),HLOOKUP(D671,Correllate,VLOOKUP(G671,CorMove,2,FALSE()),FALSE()),Q671-$CD$3,R671,$CJ$5)*H671</f>
        <v>#NAME?</v>
      </c>
      <c r="CK672" s="254" t="n">
        <f aca="false">I671</f>
        <v>0.5</v>
      </c>
      <c r="CM672" s="0" t="str">
        <f aca="false">CONCATENATE(CC672,$CD$6)</f>
        <v>37012Curve Shift/Gamma</v>
      </c>
      <c r="CN672" s="0" t="str">
        <f aca="false">CONCATENATE($CC672,$CE$6)</f>
        <v>37012Rho</v>
      </c>
      <c r="CO672" s="0" t="str">
        <f aca="false">CONCATENATE($CC672,$CF$6)</f>
        <v>37012Drift</v>
      </c>
      <c r="CP672" s="0" t="str">
        <f aca="false">CONCATENATE($CC672,$CG$6)</f>
        <v>37012Vega</v>
      </c>
      <c r="CQ672" s="0" t="str">
        <f aca="false">CONCATENATE($CC672,$CH$6)</f>
        <v>37012Theta</v>
      </c>
    </row>
    <row r="673" customFormat="false" ht="12.75" hidden="false" customHeight="false" outlineLevel="0" collapsed="false">
      <c r="A673" s="17" t="s">
        <v>212</v>
      </c>
      <c r="B673" s="0" t="s">
        <v>192</v>
      </c>
      <c r="C673" s="0" t="s">
        <v>420</v>
      </c>
      <c r="D673" s="7" t="s">
        <v>149</v>
      </c>
      <c r="E673" s="0" t="s">
        <v>131</v>
      </c>
      <c r="F673" s="0" t="s">
        <v>136</v>
      </c>
      <c r="G673" s="92" t="n">
        <v>37073</v>
      </c>
      <c r="H673" s="248" t="n">
        <v>500000</v>
      </c>
      <c r="I673" s="254" t="n">
        <v>0.5</v>
      </c>
      <c r="J673" s="124" t="n">
        <f aca="false">VLOOKUP(G673,NGPrices,2,FALSE())</f>
        <v>3.803</v>
      </c>
      <c r="K673" s="125" t="n">
        <f aca="false">HLOOKUP(D673,Prices,VLOOKUP(G673,move_down,2,FALSE()),FALSE())+VLOOKUP(G673,CHANGE,HLOOKUP(D673,CHANGE,2,FALSE()),FALSE())</f>
        <v>0.46</v>
      </c>
      <c r="L673" s="124" t="n">
        <f aca="false">K673+J673</f>
        <v>4.263</v>
      </c>
      <c r="M673" s="126" t="n">
        <f aca="false">VLOOKUP(G673,NGPrices,4,FALSE())</f>
        <v>0.069181571268568</v>
      </c>
      <c r="N673" s="7" t="n">
        <f aca="false">VLOOKUP(G673,NGPrices,3,FALSE())</f>
        <v>0.4</v>
      </c>
      <c r="O673" s="7" t="n">
        <f aca="false">HLOOKUP(D673,VOLS,VLOOKUP(G673,move_down,2,FALSE()),FALSE())</f>
        <v>0.392</v>
      </c>
      <c r="P673" s="249" t="n">
        <f aca="false">HLOOKUP(D673,Correllate,VLOOKUP(G673,CorMove,2,FALSE()),FALSE())</f>
        <v>0.9738</v>
      </c>
      <c r="Q673" s="92" t="n">
        <f aca="false">WORKDAY(G673,-2)</f>
        <v>37070</v>
      </c>
      <c r="R673" s="7" t="n">
        <f aca="false">IF(F673="P",0,1)</f>
        <v>1</v>
      </c>
      <c r="S673" s="130" t="e">
        <f aca="false">xSPRDOPT($L673,$J673,$I673,$M673,$O673,$N673,$P673,$Q673-$C$3,$R673,0)</f>
        <v>#NAME?</v>
      </c>
      <c r="T673" s="250" t="e">
        <f aca="false">xSPRDOPT($L673,$J673,$I673,$M673,$O673,$N673,$P673,$Q673-$C$3,$R673,1)*H673</f>
        <v>#NAME?</v>
      </c>
      <c r="U673" s="43" t="e">
        <f aca="false">S673*H673</f>
        <v>#NAME?</v>
      </c>
      <c r="V673" s="250" t="e">
        <f aca="false">xSPRDOPT($L673,$J673,$I673,$M673,$O673,$N673,$P673,$Q673-$C$3,$R673,2)*H673</f>
        <v>#NAME?</v>
      </c>
      <c r="W673" s="250" t="e">
        <f aca="false">+V673+T673</f>
        <v>#NAME?</v>
      </c>
      <c r="X673" s="2" t="str">
        <f aca="false">CONCATENATE(G673,D673)</f>
        <v>37073IF-TRANSCO/Z6</v>
      </c>
      <c r="Y673" s="251" t="n">
        <f aca="false">H673/10000</f>
        <v>50</v>
      </c>
      <c r="Z673" s="226" t="e">
        <f aca="false">T673/H673</f>
        <v>#NAME?</v>
      </c>
      <c r="AA673" s="226" t="e">
        <f aca="false">xSPRDOPT($L673,$J673,$I673,$M673,$O673,$N673,$P673,$Q673-$C$3,$R673,3)</f>
        <v>#NAME?</v>
      </c>
      <c r="AB673" s="226" t="e">
        <f aca="false">((xSPRDOPT($L673+AB$5,$J673,$I673,$M673,$O673,$N673,$P673,$Q673-$C$3,$R673,3)*$H673)/10000)/100</f>
        <v>#NAME?</v>
      </c>
      <c r="AC673" s="226" t="e">
        <f aca="false">((xSPRDOPT($L673+$AB$5,$J673,$I673,$M673,$O673,$N673,$P673,$Q673-$C$3,$R673,7)*$H673)/100)</f>
        <v>#NAME?</v>
      </c>
      <c r="AD673" s="226" t="e">
        <f aca="false">(xSPRDOPT($L673+$AB$5,$J673,$I673,$M673,$O673,$N673,$P673,$Q673-$C$3,$R673,9)/365)*$H673</f>
        <v>#NAME?</v>
      </c>
      <c r="AE673" s="0" t="e">
        <f aca="false">CD674</f>
        <v>#NAME?</v>
      </c>
      <c r="AF673" s="226" t="e">
        <f aca="false">((O673/N673)*AH673)+AG673</f>
        <v>#NAME?</v>
      </c>
      <c r="AG673" s="226" t="e">
        <f aca="false">((xSPRDOPT($L673,$J673,$I673,$M673,$O673,$N673,$P673,$Q673-$C$3,$R673,6)*$H673)/100)</f>
        <v>#NAME?</v>
      </c>
      <c r="AH673" s="226" t="e">
        <f aca="false">((xSPRDOPT($L673,$J673,$I673,$M673,$O673,$N673,$P673,$Q673-$C$3,$R673,5)*$H673)/100)</f>
        <v>#NAME?</v>
      </c>
      <c r="AI673" s="226" t="e">
        <f aca="false">(((xSPRDOPT($L673,$J673,$I673,$M673,$O673,$N673,$P673,$Q673-$C$3,$R673,4)*$H673)/10000)/100)-AB673</f>
        <v>#NAME?</v>
      </c>
      <c r="AJ673" s="226"/>
      <c r="CC673" s="182" t="n">
        <f aca="false">G672</f>
        <v>37043</v>
      </c>
      <c r="CD673" s="253" t="e">
        <f aca="false">xSPRDOPT((VLOOKUP(G672,NGPrices,2,FALSE())+HLOOKUP(D672,Prices,VLOOKUP(G672,move_down,2,FALSE()),FALSE())),VLOOKUP(G672,NGPrices,2,FALSE()),I672,VLOOKUP(G672,NGPREVPRICES,4,FALSE()),HLOOKUP(D672,PREVVOLS,VLOOKUP(G672,MOVE_DOWN2,2,FALSE()),FALSE()),VLOOKUP(G672,NGPREVPRICES,3,FALSE()),HLOOKUP(D672,Correllate,VLOOKUP(G672,CorMove,2,FALSE()),FALSE()),Q672-$CD$3,R672,$CD$5)*H672-CJ673</f>
        <v>#NAME?</v>
      </c>
      <c r="CE673" s="253" t="e">
        <f aca="false">xSPRDOPT((VLOOKUP(G672,NGPREVPRICES,2,FALSE())+HLOOKUP(D672,PREVCURVES,VLOOKUP(G672,MOVE_DOWN2,2,FALSE()),FALSE())),VLOOKUP(G672,NGPREVPRICES,2,FALSE()),CK673,VLOOKUP(G672,NGPrices,4,FALSE()),HLOOKUP(D672,PREVVOLS,VLOOKUP(G672,MOVE_DOWN2,2,FALSE()),FALSE()),VLOOKUP(G672,NGPREVPRICES,3,FALSE()),HLOOKUP(D672,Correllate,VLOOKUP(G672,CorMove,2,FALSE()),FALSE()),Q672-$CD$3,R672,$CJ$5)*H672-CJ673</f>
        <v>#NAME?</v>
      </c>
      <c r="CF673" s="132" t="e">
        <f aca="false">(CJ673/VLOOKUP(CC673,discount,3,FALSE()))-(CJ673/VLOOKUP(CC673,discount,2,FALSE()))</f>
        <v>#NAME?</v>
      </c>
      <c r="CG673" s="253" t="e">
        <f aca="false">xSPRDOPT((VLOOKUP(G672,NGPREVPRICES,2,FALSE())+HLOOKUP(D672,PREVCURVES,VLOOKUP(G672,MOVE_DOWN2,2,FALSE()),FALSE())),VLOOKUP(G672,NGPREVPRICES,2,FALSE()),CK673,VLOOKUP(G672,NGPREVPRICES,4,FALSE()),HLOOKUP(D672,VOLS,VLOOKUP(G672,move_down,2,FALSE()),FALSE()),VLOOKUP(G672,NGPrices,3,FALSE()),HLOOKUP(D672,Correllate,VLOOKUP(G672,CorMove,2,FALSE()),FALSE()),Q672-$CD$3,R672,$CJ$5)*H672-CJ673</f>
        <v>#NAME?</v>
      </c>
      <c r="CH673" s="253" t="e">
        <f aca="false">xSPRDOPT((VLOOKUP(G672,NGPREVPRICES,2,FALSE())+HLOOKUP(D672,PREVCURVES,VLOOKUP(G672,MOVE_DOWN2,2,FALSE()),FALSE())),VLOOKUP(G672,NGPREVPRICES,2,FALSE()),CK673,VLOOKUP(G672,NGPREVPRICES,4,FALSE()),HLOOKUP(D672,PREVVOLS,VLOOKUP(G672,MOVE_DOWN2,2,FALSE()),FALSE()),VLOOKUP(G672,NGPREVPRICES,3,FALSE()),HLOOKUP(D672,Correllate,VLOOKUP(G672,CorMove,2,FALSE()),FALSE()),Q672-$C$3,R672,$CJ$5)*H672-CJ673</f>
        <v>#NAME?</v>
      </c>
      <c r="CI673" s="253" t="e">
        <f aca="false">SUM(CD673:CH673)</f>
        <v>#NAME?</v>
      </c>
      <c r="CJ673" s="253" t="e">
        <f aca="false">xSPRDOPT((VLOOKUP(G672,NGPREVPRICES,2,FALSE())+HLOOKUP(D672,PREVCURVES,VLOOKUP(G672,MOVE_DOWN2,2,FALSE()),FALSE())),VLOOKUP(G672,NGPREVPRICES,2,FALSE()),CK673,VLOOKUP(G672,NGPREVPRICES,4,FALSE()),HLOOKUP(D672,PREVVOLS,VLOOKUP(G672,MOVE_DOWN2,2,FALSE()),FALSE()),VLOOKUP(G672,NGPREVPRICES,3,FALSE()),HLOOKUP(D672,Correllate,VLOOKUP(G672,CorMove,2,FALSE()),FALSE()),Q672-$CD$3,R672,$CJ$5)*H672</f>
        <v>#NAME?</v>
      </c>
      <c r="CK673" s="254" t="n">
        <f aca="false">I672</f>
        <v>0.5</v>
      </c>
      <c r="CM673" s="0" t="str">
        <f aca="false">CONCATENATE(CC673,$CD$6)</f>
        <v>37043Curve Shift/Gamma</v>
      </c>
      <c r="CN673" s="0" t="str">
        <f aca="false">CONCATENATE($CC673,$CE$6)</f>
        <v>37043Rho</v>
      </c>
      <c r="CO673" s="0" t="str">
        <f aca="false">CONCATENATE($CC673,$CF$6)</f>
        <v>37043Drift</v>
      </c>
      <c r="CP673" s="0" t="str">
        <f aca="false">CONCATENATE($CC673,$CG$6)</f>
        <v>37043Vega</v>
      </c>
      <c r="CQ673" s="0" t="str">
        <f aca="false">CONCATENATE($CC673,$CH$6)</f>
        <v>37043Theta</v>
      </c>
    </row>
    <row r="674" customFormat="false" ht="12.75" hidden="false" customHeight="false" outlineLevel="0" collapsed="false">
      <c r="A674" s="17" t="s">
        <v>212</v>
      </c>
      <c r="B674" s="0" t="s">
        <v>192</v>
      </c>
      <c r="C674" s="0" t="s">
        <v>420</v>
      </c>
      <c r="D674" s="7" t="s">
        <v>149</v>
      </c>
      <c r="E674" s="0" t="s">
        <v>131</v>
      </c>
      <c r="F674" s="0" t="s">
        <v>136</v>
      </c>
      <c r="G674" s="92" t="n">
        <v>37104</v>
      </c>
      <c r="H674" s="248" t="n">
        <v>500000</v>
      </c>
      <c r="I674" s="254" t="n">
        <v>0.5</v>
      </c>
      <c r="J674" s="124" t="n">
        <f aca="false">VLOOKUP(G674,NGPrices,2,FALSE())</f>
        <v>3.808</v>
      </c>
      <c r="K674" s="125" t="n">
        <f aca="false">HLOOKUP(D674,Prices,VLOOKUP(G674,move_down,2,FALSE()),FALSE())+VLOOKUP(G674,CHANGE,HLOOKUP(D674,CHANGE,2,FALSE()),FALSE())</f>
        <v>0.46</v>
      </c>
      <c r="L674" s="124" t="n">
        <f aca="false">K674+J674</f>
        <v>4.268</v>
      </c>
      <c r="M674" s="126" t="n">
        <f aca="false">VLOOKUP(G674,NGPrices,4,FALSE())</f>
        <v>0.069223060737755</v>
      </c>
      <c r="N674" s="7" t="n">
        <f aca="false">VLOOKUP(G674,NGPrices,3,FALSE())</f>
        <v>0.4</v>
      </c>
      <c r="O674" s="7" t="n">
        <f aca="false">HLOOKUP(D674,VOLS,VLOOKUP(G674,move_down,2,FALSE()),FALSE())</f>
        <v>0.392</v>
      </c>
      <c r="P674" s="249" t="n">
        <f aca="false">HLOOKUP(D674,Correllate,VLOOKUP(G674,CorMove,2,FALSE()),FALSE())</f>
        <v>0.9738</v>
      </c>
      <c r="Q674" s="92" t="n">
        <f aca="false">WORKDAY(G674,-2)</f>
        <v>37102</v>
      </c>
      <c r="R674" s="7" t="n">
        <f aca="false">IF(F674="P",0,1)</f>
        <v>1</v>
      </c>
      <c r="S674" s="130" t="e">
        <f aca="false">xSPRDOPT($L674,$J674,$I674,$M674,$O674,$N674,$P674,$Q674-$C$3,$R674,0)</f>
        <v>#NAME?</v>
      </c>
      <c r="T674" s="250" t="e">
        <f aca="false">xSPRDOPT($L674,$J674,$I674,$M674,$O674,$N674,$P674,$Q674-$C$3,$R674,1)*H674</f>
        <v>#NAME?</v>
      </c>
      <c r="U674" s="43" t="e">
        <f aca="false">S674*H674</f>
        <v>#NAME?</v>
      </c>
      <c r="V674" s="250" t="e">
        <f aca="false">xSPRDOPT($L674,$J674,$I674,$M674,$O674,$N674,$P674,$Q674-$C$3,$R674,2)*H674</f>
        <v>#NAME?</v>
      </c>
      <c r="W674" s="250" t="e">
        <f aca="false">+V674+T674</f>
        <v>#NAME?</v>
      </c>
      <c r="X674" s="2" t="str">
        <f aca="false">CONCATENATE(G674,D674)</f>
        <v>37104IF-TRANSCO/Z6</v>
      </c>
      <c r="Y674" s="251" t="n">
        <f aca="false">H674/10000</f>
        <v>50</v>
      </c>
      <c r="Z674" s="226" t="e">
        <f aca="false">T674/H674</f>
        <v>#NAME?</v>
      </c>
      <c r="AA674" s="226" t="e">
        <f aca="false">xSPRDOPT($L674,$J674,$I674,$M674,$O674,$N674,$P674,$Q674-$C$3,$R674,3)</f>
        <v>#NAME?</v>
      </c>
      <c r="AB674" s="226" t="e">
        <f aca="false">((xSPRDOPT($L674+AB$5,$J674,$I674,$M674,$O674,$N674,$P674,$Q674-$C$3,$R674,3)*$H674)/10000)/100</f>
        <v>#NAME?</v>
      </c>
      <c r="AC674" s="226" t="e">
        <f aca="false">((xSPRDOPT($L674+$AB$5,$J674,$I674,$M674,$O674,$N674,$P674,$Q674-$C$3,$R674,7)*$H674)/100)</f>
        <v>#NAME?</v>
      </c>
      <c r="AD674" s="226" t="e">
        <f aca="false">(xSPRDOPT($L674+$AB$5,$J674,$I674,$M674,$O674,$N674,$P674,$Q674-$C$3,$R674,9)/365)*$H674</f>
        <v>#NAME?</v>
      </c>
      <c r="AE674" s="0" t="e">
        <f aca="false">CD675</f>
        <v>#NAME?</v>
      </c>
      <c r="AF674" s="226" t="e">
        <f aca="false">((O674/N674)*AH674)+AG674</f>
        <v>#NAME?</v>
      </c>
      <c r="AG674" s="226" t="e">
        <f aca="false">((xSPRDOPT($L674,$J674,$I674,$M674,$O674,$N674,$P674,$Q674-$C$3,$R674,6)*$H674)/100)</f>
        <v>#NAME?</v>
      </c>
      <c r="AH674" s="226" t="e">
        <f aca="false">((xSPRDOPT($L674,$J674,$I674,$M674,$O674,$N674,$P674,$Q674-$C$3,$R674,5)*$H674)/100)</f>
        <v>#NAME?</v>
      </c>
      <c r="AI674" s="226" t="e">
        <f aca="false">(((xSPRDOPT($L674,$J674,$I674,$M674,$O674,$N674,$P674,$Q674-$C$3,$R674,4)*$H674)/10000)/100)-AB674</f>
        <v>#NAME?</v>
      </c>
      <c r="AJ674" s="226"/>
      <c r="CC674" s="182" t="n">
        <f aca="false">G673</f>
        <v>37073</v>
      </c>
      <c r="CD674" s="253" t="e">
        <f aca="false">xSPRDOPT((VLOOKUP(G673,NGPrices,2,FALSE())+HLOOKUP(D673,Prices,VLOOKUP(G673,move_down,2,FALSE()),FALSE())),VLOOKUP(G673,NGPrices,2,FALSE()),I673,VLOOKUP(G673,NGPREVPRICES,4,FALSE()),HLOOKUP(D673,PREVVOLS,VLOOKUP(G673,MOVE_DOWN2,2,FALSE()),FALSE()),VLOOKUP(G673,NGPREVPRICES,3,FALSE()),HLOOKUP(D673,Correllate,VLOOKUP(G673,CorMove,2,FALSE()),FALSE()),Q673-$CD$3,R673,$CD$5)*H673-CJ674</f>
        <v>#NAME?</v>
      </c>
      <c r="CE674" s="253" t="e">
        <f aca="false">xSPRDOPT((VLOOKUP(G673,NGPREVPRICES,2,FALSE())+HLOOKUP(D673,PREVCURVES,VLOOKUP(G673,MOVE_DOWN2,2,FALSE()),FALSE())),VLOOKUP(G673,NGPREVPRICES,2,FALSE()),CK674,VLOOKUP(G673,NGPrices,4,FALSE()),HLOOKUP(D673,PREVVOLS,VLOOKUP(G673,MOVE_DOWN2,2,FALSE()),FALSE()),VLOOKUP(G673,NGPREVPRICES,3,FALSE()),HLOOKUP(D673,Correllate,VLOOKUP(G673,CorMove,2,FALSE()),FALSE()),Q673-$CD$3,R673,$CJ$5)*H673-CJ674</f>
        <v>#NAME?</v>
      </c>
      <c r="CF674" s="132" t="e">
        <f aca="false">(CJ674/VLOOKUP(CC674,discount,3,FALSE()))-(CJ674/VLOOKUP(CC674,discount,2,FALSE()))</f>
        <v>#NAME?</v>
      </c>
      <c r="CG674" s="253" t="e">
        <f aca="false">xSPRDOPT((VLOOKUP(G673,NGPREVPRICES,2,FALSE())+HLOOKUP(D673,PREVCURVES,VLOOKUP(G673,MOVE_DOWN2,2,FALSE()),FALSE())),VLOOKUP(G673,NGPREVPRICES,2,FALSE()),CK674,VLOOKUP(G673,NGPREVPRICES,4,FALSE()),HLOOKUP(D673,VOLS,VLOOKUP(G673,move_down,2,FALSE()),FALSE()),VLOOKUP(G673,NGPrices,3,FALSE()),HLOOKUP(D673,Correllate,VLOOKUP(G673,CorMove,2,FALSE()),FALSE()),Q673-$CD$3,R673,$CJ$5)*H673-CJ674</f>
        <v>#NAME?</v>
      </c>
      <c r="CH674" s="253" t="e">
        <f aca="false">xSPRDOPT((VLOOKUP(G673,NGPREVPRICES,2,FALSE())+HLOOKUP(D673,PREVCURVES,VLOOKUP(G673,MOVE_DOWN2,2,FALSE()),FALSE())),VLOOKUP(G673,NGPREVPRICES,2,FALSE()),CK674,VLOOKUP(G673,NGPREVPRICES,4,FALSE()),HLOOKUP(D673,PREVVOLS,VLOOKUP(G673,MOVE_DOWN2,2,FALSE()),FALSE()),VLOOKUP(G673,NGPREVPRICES,3,FALSE()),HLOOKUP(D673,Correllate,VLOOKUP(G673,CorMove,2,FALSE()),FALSE()),Q673-$C$3,R673,$CJ$5)*H673-CJ674</f>
        <v>#NAME?</v>
      </c>
      <c r="CI674" s="253" t="e">
        <f aca="false">SUM(CD674:CH674)</f>
        <v>#NAME?</v>
      </c>
      <c r="CJ674" s="253" t="e">
        <f aca="false">xSPRDOPT((VLOOKUP(G673,NGPREVPRICES,2,FALSE())+HLOOKUP(D673,PREVCURVES,VLOOKUP(G673,MOVE_DOWN2,2,FALSE()),FALSE())),VLOOKUP(G673,NGPREVPRICES,2,FALSE()),CK674,VLOOKUP(G673,NGPREVPRICES,4,FALSE()),HLOOKUP(D673,PREVVOLS,VLOOKUP(G673,MOVE_DOWN2,2,FALSE()),FALSE()),VLOOKUP(G673,NGPREVPRICES,3,FALSE()),HLOOKUP(D673,Correllate,VLOOKUP(G673,CorMove,2,FALSE()),FALSE()),Q673-$CD$3,R673,$CJ$5)*H673</f>
        <v>#NAME?</v>
      </c>
      <c r="CK674" s="254" t="n">
        <f aca="false">I673</f>
        <v>0.5</v>
      </c>
      <c r="CM674" s="0" t="str">
        <f aca="false">CONCATENATE(CC674,$CD$6)</f>
        <v>37073Curve Shift/Gamma</v>
      </c>
      <c r="CN674" s="0" t="str">
        <f aca="false">CONCATENATE($CC674,$CE$6)</f>
        <v>37073Rho</v>
      </c>
      <c r="CO674" s="0" t="str">
        <f aca="false">CONCATENATE($CC674,$CF$6)</f>
        <v>37073Drift</v>
      </c>
      <c r="CP674" s="0" t="str">
        <f aca="false">CONCATENATE($CC674,$CG$6)</f>
        <v>37073Vega</v>
      </c>
      <c r="CQ674" s="0" t="str">
        <f aca="false">CONCATENATE($CC674,$CH$6)</f>
        <v>37073Theta</v>
      </c>
    </row>
    <row r="675" customFormat="false" ht="12.75" hidden="false" customHeight="false" outlineLevel="0" collapsed="false">
      <c r="A675" s="17" t="s">
        <v>212</v>
      </c>
      <c r="B675" s="0" t="s">
        <v>192</v>
      </c>
      <c r="C675" s="0" t="s">
        <v>420</v>
      </c>
      <c r="D675" s="7" t="s">
        <v>149</v>
      </c>
      <c r="E675" s="0" t="s">
        <v>131</v>
      </c>
      <c r="F675" s="0" t="s">
        <v>136</v>
      </c>
      <c r="G675" s="92" t="n">
        <v>37135</v>
      </c>
      <c r="H675" s="248" t="n">
        <v>500000</v>
      </c>
      <c r="I675" s="254" t="n">
        <v>0.5</v>
      </c>
      <c r="J675" s="124" t="n">
        <f aca="false">VLOOKUP(G675,NGPrices,2,FALSE())</f>
        <v>3.788</v>
      </c>
      <c r="K675" s="125" t="n">
        <f aca="false">HLOOKUP(D675,Prices,VLOOKUP(G675,move_down,2,FALSE()),FALSE())+VLOOKUP(G675,CHANGE,HLOOKUP(D675,CHANGE,2,FALSE()),FALSE())</f>
        <v>0.395</v>
      </c>
      <c r="L675" s="124" t="n">
        <f aca="false">K675+J675</f>
        <v>4.183</v>
      </c>
      <c r="M675" s="126" t="n">
        <f aca="false">VLOOKUP(G675,NGPrices,4,FALSE())</f>
        <v>0.069264550207512</v>
      </c>
      <c r="N675" s="7" t="n">
        <f aca="false">VLOOKUP(G675,NGPrices,3,FALSE())</f>
        <v>0.4</v>
      </c>
      <c r="O675" s="7" t="n">
        <f aca="false">HLOOKUP(D675,VOLS,VLOOKUP(G675,move_down,2,FALSE()),FALSE())</f>
        <v>0.392</v>
      </c>
      <c r="P675" s="249" t="n">
        <f aca="false">HLOOKUP(D675,Correllate,VLOOKUP(G675,CorMove,2,FALSE()),FALSE())</f>
        <v>0.9738</v>
      </c>
      <c r="Q675" s="92" t="n">
        <f aca="false">WORKDAY(G675,-2)</f>
        <v>37133</v>
      </c>
      <c r="R675" s="7" t="n">
        <f aca="false">IF(F675="P",0,1)</f>
        <v>1</v>
      </c>
      <c r="S675" s="130" t="e">
        <f aca="false">xSPRDOPT($L675,$J675,$I675,$M675,$O675,$N675,$P675,$Q675-$C$3,$R675,0)</f>
        <v>#NAME?</v>
      </c>
      <c r="T675" s="250" t="e">
        <f aca="false">xSPRDOPT($L675,$J675,$I675,$M675,$O675,$N675,$P675,$Q675-$C$3,$R675,1)*H675</f>
        <v>#NAME?</v>
      </c>
      <c r="U675" s="43" t="e">
        <f aca="false">S675*H675</f>
        <v>#NAME?</v>
      </c>
      <c r="V675" s="250" t="e">
        <f aca="false">xSPRDOPT($L675,$J675,$I675,$M675,$O675,$N675,$P675,$Q675-$C$3,$R675,2)*H675</f>
        <v>#NAME?</v>
      </c>
      <c r="W675" s="250" t="e">
        <f aca="false">+V675+T675</f>
        <v>#NAME?</v>
      </c>
      <c r="X675" s="2" t="str">
        <f aca="false">CONCATENATE(G675,D675)</f>
        <v>37135IF-TRANSCO/Z6</v>
      </c>
      <c r="Y675" s="251" t="n">
        <f aca="false">H675/10000</f>
        <v>50</v>
      </c>
      <c r="Z675" s="226" t="e">
        <f aca="false">T675/H675</f>
        <v>#NAME?</v>
      </c>
      <c r="AA675" s="226" t="e">
        <f aca="false">xSPRDOPT($L675,$J675,$I675,$M675,$O675,$N675,$P675,$Q675-$C$3,$R675,3)</f>
        <v>#NAME?</v>
      </c>
      <c r="AB675" s="226" t="e">
        <f aca="false">((xSPRDOPT($L675+AB$5,$J675,$I675,$M675,$O675,$N675,$P675,$Q675-$C$3,$R675,3)*$H675)/10000)/100</f>
        <v>#NAME?</v>
      </c>
      <c r="AC675" s="226" t="e">
        <f aca="false">((xSPRDOPT($L675+$AB$5,$J675,$I675,$M675,$O675,$N675,$P675,$Q675-$C$3,$R675,7)*$H675)/100)</f>
        <v>#NAME?</v>
      </c>
      <c r="AD675" s="226" t="e">
        <f aca="false">(xSPRDOPT($L675+$AB$5,$J675,$I675,$M675,$O675,$N675,$P675,$Q675-$C$3,$R675,9)/365)*$H675</f>
        <v>#NAME?</v>
      </c>
      <c r="AE675" s="0" t="e">
        <f aca="false">CD676</f>
        <v>#NAME?</v>
      </c>
      <c r="AF675" s="226" t="e">
        <f aca="false">((O675/N675)*AH675)+AG675</f>
        <v>#NAME?</v>
      </c>
      <c r="AG675" s="226" t="e">
        <f aca="false">((xSPRDOPT($L675,$J675,$I675,$M675,$O675,$N675,$P675,$Q675-$C$3,$R675,6)*$H675)/100)</f>
        <v>#NAME?</v>
      </c>
      <c r="AH675" s="226" t="e">
        <f aca="false">((xSPRDOPT($L675,$J675,$I675,$M675,$O675,$N675,$P675,$Q675-$C$3,$R675,5)*$H675)/100)</f>
        <v>#NAME?</v>
      </c>
      <c r="AI675" s="226" t="e">
        <f aca="false">(((xSPRDOPT($L675,$J675,$I675,$M675,$O675,$N675,$P675,$Q675-$C$3,$R675,4)*$H675)/10000)/100)-AB675</f>
        <v>#NAME?</v>
      </c>
      <c r="AJ675" s="226"/>
      <c r="CC675" s="182" t="n">
        <f aca="false">G674</f>
        <v>37104</v>
      </c>
      <c r="CD675" s="253" t="e">
        <f aca="false">xSPRDOPT((VLOOKUP(G674,NGPrices,2,FALSE())+HLOOKUP(D674,Prices,VLOOKUP(G674,move_down,2,FALSE()),FALSE())),VLOOKUP(G674,NGPrices,2,FALSE()),I674,VLOOKUP(G674,NGPREVPRICES,4,FALSE()),HLOOKUP(D674,PREVVOLS,VLOOKUP(G674,MOVE_DOWN2,2,FALSE()),FALSE()),VLOOKUP(G674,NGPREVPRICES,3,FALSE()),HLOOKUP(D674,Correllate,VLOOKUP(G674,CorMove,2,FALSE()),FALSE()),Q674-$CD$3,R674,$CD$5)*H674-CJ675</f>
        <v>#NAME?</v>
      </c>
      <c r="CE675" s="253" t="e">
        <f aca="false">xSPRDOPT((VLOOKUP(G674,NGPREVPRICES,2,FALSE())+HLOOKUP(D674,PREVCURVES,VLOOKUP(G674,MOVE_DOWN2,2,FALSE()),FALSE())),VLOOKUP(G674,NGPREVPRICES,2,FALSE()),CK675,VLOOKUP(G674,NGPrices,4,FALSE()),HLOOKUP(D674,PREVVOLS,VLOOKUP(G674,MOVE_DOWN2,2,FALSE()),FALSE()),VLOOKUP(G674,NGPREVPRICES,3,FALSE()),HLOOKUP(D674,Correllate,VLOOKUP(G674,CorMove,2,FALSE()),FALSE()),Q674-$CD$3,R674,$CJ$5)*H674-CJ675</f>
        <v>#NAME?</v>
      </c>
      <c r="CF675" s="132" t="e">
        <f aca="false">(CJ675/VLOOKUP(CC675,discount,3,FALSE()))-(CJ675/VLOOKUP(CC675,discount,2,FALSE()))</f>
        <v>#NAME?</v>
      </c>
      <c r="CG675" s="253" t="e">
        <f aca="false">xSPRDOPT((VLOOKUP(G674,NGPREVPRICES,2,FALSE())+HLOOKUP(D674,PREVCURVES,VLOOKUP(G674,MOVE_DOWN2,2,FALSE()),FALSE())),VLOOKUP(G674,NGPREVPRICES,2,FALSE()),CK675,VLOOKUP(G674,NGPREVPRICES,4,FALSE()),HLOOKUP(D674,VOLS,VLOOKUP(G674,move_down,2,FALSE()),FALSE()),VLOOKUP(G674,NGPrices,3,FALSE()),HLOOKUP(D674,Correllate,VLOOKUP(G674,CorMove,2,FALSE()),FALSE()),Q674-$CD$3,R674,$CJ$5)*H674-CJ675</f>
        <v>#NAME?</v>
      </c>
      <c r="CH675" s="253" t="e">
        <f aca="false">xSPRDOPT((VLOOKUP(G674,NGPREVPRICES,2,FALSE())+HLOOKUP(D674,PREVCURVES,VLOOKUP(G674,MOVE_DOWN2,2,FALSE()),FALSE())),VLOOKUP(G674,NGPREVPRICES,2,FALSE()),CK675,VLOOKUP(G674,NGPREVPRICES,4,FALSE()),HLOOKUP(D674,PREVVOLS,VLOOKUP(G674,MOVE_DOWN2,2,FALSE()),FALSE()),VLOOKUP(G674,NGPREVPRICES,3,FALSE()),HLOOKUP(D674,Correllate,VLOOKUP(G674,CorMove,2,FALSE()),FALSE()),Q674-$C$3,R674,$CJ$5)*H674-CJ675</f>
        <v>#NAME?</v>
      </c>
      <c r="CI675" s="253" t="e">
        <f aca="false">SUM(CD675:CH675)</f>
        <v>#NAME?</v>
      </c>
      <c r="CJ675" s="253" t="e">
        <f aca="false">xSPRDOPT((VLOOKUP(G674,NGPREVPRICES,2,FALSE())+HLOOKUP(D674,PREVCURVES,VLOOKUP(G674,MOVE_DOWN2,2,FALSE()),FALSE())),VLOOKUP(G674,NGPREVPRICES,2,FALSE()),CK675,VLOOKUP(G674,NGPREVPRICES,4,FALSE()),HLOOKUP(D674,PREVVOLS,VLOOKUP(G674,MOVE_DOWN2,2,FALSE()),FALSE()),VLOOKUP(G674,NGPREVPRICES,3,FALSE()),HLOOKUP(D674,Correllate,VLOOKUP(G674,CorMove,2,FALSE()),FALSE()),Q674-$CD$3,R674,$CJ$5)*H674</f>
        <v>#NAME?</v>
      </c>
      <c r="CK675" s="254" t="n">
        <f aca="false">I674</f>
        <v>0.5</v>
      </c>
      <c r="CM675" s="0" t="str">
        <f aca="false">CONCATENATE(CC675,$CD$6)</f>
        <v>37104Curve Shift/Gamma</v>
      </c>
      <c r="CN675" s="0" t="str">
        <f aca="false">CONCATENATE($CC675,$CE$6)</f>
        <v>37104Rho</v>
      </c>
      <c r="CO675" s="0" t="str">
        <f aca="false">CONCATENATE($CC675,$CF$6)</f>
        <v>37104Drift</v>
      </c>
      <c r="CP675" s="0" t="str">
        <f aca="false">CONCATENATE($CC675,$CG$6)</f>
        <v>37104Vega</v>
      </c>
      <c r="CQ675" s="0" t="str">
        <f aca="false">CONCATENATE($CC675,$CH$6)</f>
        <v>37104Theta</v>
      </c>
    </row>
    <row r="676" customFormat="false" ht="12.75" hidden="false" customHeight="false" outlineLevel="0" collapsed="false">
      <c r="A676" s="17" t="s">
        <v>212</v>
      </c>
      <c r="B676" s="0" t="s">
        <v>192</v>
      </c>
      <c r="C676" s="0" t="s">
        <v>420</v>
      </c>
      <c r="D676" s="7" t="s">
        <v>149</v>
      </c>
      <c r="E676" s="0" t="s">
        <v>131</v>
      </c>
      <c r="F676" s="0" t="s">
        <v>136</v>
      </c>
      <c r="G676" s="92" t="n">
        <v>37165</v>
      </c>
      <c r="H676" s="248" t="n">
        <v>500000</v>
      </c>
      <c r="I676" s="254" t="n">
        <v>0.5</v>
      </c>
      <c r="J676" s="124" t="n">
        <f aca="false">VLOOKUP(G676,NGPrices,2,FALSE())</f>
        <v>3.773</v>
      </c>
      <c r="K676" s="125" t="n">
        <f aca="false">HLOOKUP(D676,Prices,VLOOKUP(G676,move_down,2,FALSE()),FALSE())+VLOOKUP(G676,CHANGE,HLOOKUP(D676,CHANGE,2,FALSE()),FALSE())</f>
        <v>0.461</v>
      </c>
      <c r="L676" s="124" t="n">
        <f aca="false">K676+J676</f>
        <v>4.234</v>
      </c>
      <c r="M676" s="126" t="n">
        <f aca="false">VLOOKUP(G676,NGPrices,4,FALSE())</f>
        <v>0.069300944538364</v>
      </c>
      <c r="N676" s="7" t="n">
        <f aca="false">VLOOKUP(G676,NGPrices,3,FALSE())</f>
        <v>0.4025</v>
      </c>
      <c r="O676" s="7" t="n">
        <f aca="false">HLOOKUP(D676,VOLS,VLOOKUP(G676,move_down,2,FALSE()),FALSE())</f>
        <v>0.394</v>
      </c>
      <c r="P676" s="249" t="n">
        <f aca="false">HLOOKUP(D676,Correllate,VLOOKUP(G676,CorMove,2,FALSE()),FALSE())</f>
        <v>0.9738</v>
      </c>
      <c r="Q676" s="92" t="n">
        <f aca="false">WORKDAY(G676,-2)</f>
        <v>37161</v>
      </c>
      <c r="R676" s="7" t="n">
        <f aca="false">IF(F676="P",0,1)</f>
        <v>1</v>
      </c>
      <c r="S676" s="130" t="e">
        <f aca="false">xSPRDOPT($L676,$J676,$I676,$M676,$O676,$N676,$P676,$Q676-$C$3,$R676,0)</f>
        <v>#NAME?</v>
      </c>
      <c r="T676" s="250" t="e">
        <f aca="false">xSPRDOPT($L676,$J676,$I676,$M676,$O676,$N676,$P676,$Q676-$C$3,$R676,1)*H676</f>
        <v>#NAME?</v>
      </c>
      <c r="U676" s="43" t="e">
        <f aca="false">S676*H676</f>
        <v>#NAME?</v>
      </c>
      <c r="V676" s="250" t="e">
        <f aca="false">xSPRDOPT($L676,$J676,$I676,$M676,$O676,$N676,$P676,$Q676-$C$3,$R676,2)*H676</f>
        <v>#NAME?</v>
      </c>
      <c r="W676" s="250" t="e">
        <f aca="false">+V676+T676</f>
        <v>#NAME?</v>
      </c>
      <c r="X676" s="2" t="str">
        <f aca="false">CONCATENATE(G676,D676)</f>
        <v>37165IF-TRANSCO/Z6</v>
      </c>
      <c r="Y676" s="251" t="n">
        <f aca="false">H676/10000</f>
        <v>50</v>
      </c>
      <c r="Z676" s="226" t="e">
        <f aca="false">T676/H676</f>
        <v>#NAME?</v>
      </c>
      <c r="AA676" s="226" t="e">
        <f aca="false">xSPRDOPT($L676,$J676,$I676,$M676,$O676,$N676,$P676,$Q676-$C$3,$R676,3)</f>
        <v>#NAME?</v>
      </c>
      <c r="AB676" s="226" t="e">
        <f aca="false">((xSPRDOPT($L676+AB$5,$J676,$I676,$M676,$O676,$N676,$P676,$Q676-$C$3,$R676,3)*$H676)/10000)/100</f>
        <v>#NAME?</v>
      </c>
      <c r="AC676" s="226" t="e">
        <f aca="false">((xSPRDOPT($L676+$AB$5,$J676,$I676,$M676,$O676,$N676,$P676,$Q676-$C$3,$R676,7)*$H676)/100)</f>
        <v>#NAME?</v>
      </c>
      <c r="AD676" s="226" t="e">
        <f aca="false">(xSPRDOPT($L676+$AB$5,$J676,$I676,$M676,$O676,$N676,$P676,$Q676-$C$3,$R676,9)/365)*$H676</f>
        <v>#NAME?</v>
      </c>
      <c r="AE676" s="0" t="e">
        <f aca="false">CD677</f>
        <v>#NAME?</v>
      </c>
      <c r="AF676" s="226" t="e">
        <f aca="false">((O676/N676)*AH676)+AG676</f>
        <v>#NAME?</v>
      </c>
      <c r="AG676" s="226" t="e">
        <f aca="false">((xSPRDOPT($L676,$J676,$I676,$M676,$O676,$N676,$P676,$Q676-$C$3,$R676,6)*$H676)/100)</f>
        <v>#NAME?</v>
      </c>
      <c r="AH676" s="226" t="e">
        <f aca="false">((xSPRDOPT($L676,$J676,$I676,$M676,$O676,$N676,$P676,$Q676-$C$3,$R676,5)*$H676)/100)</f>
        <v>#NAME?</v>
      </c>
      <c r="AI676" s="226" t="e">
        <f aca="false">(((xSPRDOPT($L676,$J676,$I676,$M676,$O676,$N676,$P676,$Q676-$C$3,$R676,4)*$H676)/10000)/100)-AB676</f>
        <v>#NAME?</v>
      </c>
      <c r="AJ676" s="226"/>
      <c r="CC676" s="182" t="n">
        <f aca="false">G675</f>
        <v>37135</v>
      </c>
      <c r="CD676" s="253" t="e">
        <f aca="false">xSPRDOPT((VLOOKUP(G675,NGPrices,2,FALSE())+HLOOKUP(D675,Prices,VLOOKUP(G675,move_down,2,FALSE()),FALSE())),VLOOKUP(G675,NGPrices,2,FALSE()),I675,VLOOKUP(G675,NGPREVPRICES,4,FALSE()),HLOOKUP(D675,PREVVOLS,VLOOKUP(G675,MOVE_DOWN2,2,FALSE()),FALSE()),VLOOKUP(G675,NGPREVPRICES,3,FALSE()),HLOOKUP(D675,Correllate,VLOOKUP(G675,CorMove,2,FALSE()),FALSE()),Q675-$CD$3,R675,$CD$5)*H675-CJ676</f>
        <v>#NAME?</v>
      </c>
      <c r="CE676" s="253" t="e">
        <f aca="false">xSPRDOPT((VLOOKUP(G675,NGPREVPRICES,2,FALSE())+HLOOKUP(D675,PREVCURVES,VLOOKUP(G675,MOVE_DOWN2,2,FALSE()),FALSE())),VLOOKUP(G675,NGPREVPRICES,2,FALSE()),CK676,VLOOKUP(G675,NGPrices,4,FALSE()),HLOOKUP(D675,PREVVOLS,VLOOKUP(G675,MOVE_DOWN2,2,FALSE()),FALSE()),VLOOKUP(G675,NGPREVPRICES,3,FALSE()),HLOOKUP(D675,Correllate,VLOOKUP(G675,CorMove,2,FALSE()),FALSE()),Q675-$CD$3,R675,$CJ$5)*H675-CJ676</f>
        <v>#NAME?</v>
      </c>
      <c r="CF676" s="132" t="e">
        <f aca="false">(CJ676/VLOOKUP(CC676,discount,3,FALSE()))-(CJ676/VLOOKUP(CC676,discount,2,FALSE()))</f>
        <v>#NAME?</v>
      </c>
      <c r="CG676" s="253" t="e">
        <f aca="false">xSPRDOPT((VLOOKUP(G675,NGPREVPRICES,2,FALSE())+HLOOKUP(D675,PREVCURVES,VLOOKUP(G675,MOVE_DOWN2,2,FALSE()),FALSE())),VLOOKUP(G675,NGPREVPRICES,2,FALSE()),CK676,VLOOKUP(G675,NGPREVPRICES,4,FALSE()),HLOOKUP(D675,VOLS,VLOOKUP(G675,move_down,2,FALSE()),FALSE()),VLOOKUP(G675,NGPrices,3,FALSE()),HLOOKUP(D675,Correllate,VLOOKUP(G675,CorMove,2,FALSE()),FALSE()),Q675-$CD$3,R675,$CJ$5)*H675-CJ676</f>
        <v>#NAME?</v>
      </c>
      <c r="CH676" s="253" t="e">
        <f aca="false">xSPRDOPT((VLOOKUP(G675,NGPREVPRICES,2,FALSE())+HLOOKUP(D675,PREVCURVES,VLOOKUP(G675,MOVE_DOWN2,2,FALSE()),FALSE())),VLOOKUP(G675,NGPREVPRICES,2,FALSE()),CK676,VLOOKUP(G675,NGPREVPRICES,4,FALSE()),HLOOKUP(D675,PREVVOLS,VLOOKUP(G675,MOVE_DOWN2,2,FALSE()),FALSE()),VLOOKUP(G675,NGPREVPRICES,3,FALSE()),HLOOKUP(D675,Correllate,VLOOKUP(G675,CorMove,2,FALSE()),FALSE()),Q675-$C$3,R675,$CJ$5)*H675-CJ676</f>
        <v>#NAME?</v>
      </c>
      <c r="CI676" s="253" t="e">
        <f aca="false">SUM(CD676:CH676)</f>
        <v>#NAME?</v>
      </c>
      <c r="CJ676" s="253" t="e">
        <f aca="false">xSPRDOPT((VLOOKUP(G675,NGPREVPRICES,2,FALSE())+HLOOKUP(D675,PREVCURVES,VLOOKUP(G675,MOVE_DOWN2,2,FALSE()),FALSE())),VLOOKUP(G675,NGPREVPRICES,2,FALSE()),CK676,VLOOKUP(G675,NGPREVPRICES,4,FALSE()),HLOOKUP(D675,PREVVOLS,VLOOKUP(G675,MOVE_DOWN2,2,FALSE()),FALSE()),VLOOKUP(G675,NGPREVPRICES,3,FALSE()),HLOOKUP(D675,Correllate,VLOOKUP(G675,CorMove,2,FALSE()),FALSE()),Q675-$CD$3,R675,$CJ$5)*H675</f>
        <v>#NAME?</v>
      </c>
      <c r="CK676" s="254" t="n">
        <f aca="false">I675</f>
        <v>0.5</v>
      </c>
      <c r="CM676" s="0" t="str">
        <f aca="false">CONCATENATE(CC676,$CD$6)</f>
        <v>37135Curve Shift/Gamma</v>
      </c>
      <c r="CN676" s="0" t="str">
        <f aca="false">CONCATENATE($CC676,$CE$6)</f>
        <v>37135Rho</v>
      </c>
      <c r="CO676" s="0" t="str">
        <f aca="false">CONCATENATE($CC676,$CF$6)</f>
        <v>37135Drift</v>
      </c>
      <c r="CP676" s="0" t="str">
        <f aca="false">CONCATENATE($CC676,$CG$6)</f>
        <v>37135Vega</v>
      </c>
      <c r="CQ676" s="0" t="str">
        <f aca="false">CONCATENATE($CC676,$CH$6)</f>
        <v>37135Theta</v>
      </c>
    </row>
    <row r="677" customFormat="false" ht="12.75" hidden="false" customHeight="false" outlineLevel="0" collapsed="false">
      <c r="A677" s="17" t="s">
        <v>212</v>
      </c>
      <c r="B677" s="0" t="s">
        <v>192</v>
      </c>
      <c r="C677" s="0" t="s">
        <v>421</v>
      </c>
      <c r="D677" s="7" t="s">
        <v>149</v>
      </c>
      <c r="E677" s="0" t="s">
        <v>131</v>
      </c>
      <c r="F677" s="0" t="s">
        <v>132</v>
      </c>
      <c r="G677" s="92" t="n">
        <v>36982</v>
      </c>
      <c r="H677" s="248" t="n">
        <v>1000000</v>
      </c>
      <c r="I677" s="254" t="n">
        <v>0.3</v>
      </c>
      <c r="J677" s="124" t="n">
        <f aca="false">VLOOKUP(G677,NGPrices,2,FALSE())</f>
        <v>3.938</v>
      </c>
      <c r="K677" s="125" t="n">
        <f aca="false">HLOOKUP(D677,Prices,VLOOKUP(G677,move_down,2,FALSE()),FALSE())+VLOOKUP(G677,CHANGE,HLOOKUP(D677,CHANGE,2,FALSE()),FALSE())</f>
        <v>0.52</v>
      </c>
      <c r="L677" s="124" t="n">
        <f aca="false">K677+J677</f>
        <v>4.458</v>
      </c>
      <c r="M677" s="126" t="n">
        <f aca="false">VLOOKUP(G677,NGPrices,4,FALSE())</f>
        <v>0.069061726541121</v>
      </c>
      <c r="N677" s="7" t="n">
        <f aca="false">VLOOKUP(G677,NGPrices,3,FALSE())</f>
        <v>0.4425</v>
      </c>
      <c r="O677" s="7" t="n">
        <f aca="false">HLOOKUP(D677,VOLS,VLOOKUP(G677,move_down,2,FALSE()),FALSE())</f>
        <v>0.434</v>
      </c>
      <c r="P677" s="249" t="n">
        <f aca="false">HLOOKUP(D677,Correllate,VLOOKUP(G677,CorMove,2,FALSE()),FALSE())</f>
        <v>0.9738</v>
      </c>
      <c r="Q677" s="92" t="n">
        <f aca="false">WORKDAY(G677,-2)</f>
        <v>36979</v>
      </c>
      <c r="R677" s="7" t="n">
        <f aca="false">IF(F677="P",0,1)</f>
        <v>0</v>
      </c>
      <c r="S677" s="130" t="e">
        <f aca="false">xSPRDOPT($L677,$J677,$I677,$M677,$O677,$N677,$P677,$Q677-$C$3,$R677,0)</f>
        <v>#NAME?</v>
      </c>
      <c r="T677" s="250" t="e">
        <f aca="false">xSPRDOPT($L677,$J677,$I677,$M677,$O677,$N677,$P677,$Q677-$C$3,$R677,1)*H677</f>
        <v>#NAME?</v>
      </c>
      <c r="U677" s="43" t="e">
        <f aca="false">S677*H677</f>
        <v>#NAME?</v>
      </c>
      <c r="V677" s="250" t="e">
        <f aca="false">xSPRDOPT($L677,$J677,$I677,$M677,$O677,$N677,$P677,$Q677-$C$3,$R677,2)*H677</f>
        <v>#NAME?</v>
      </c>
      <c r="W677" s="250" t="e">
        <f aca="false">+V677+T677</f>
        <v>#NAME?</v>
      </c>
      <c r="X677" s="2" t="str">
        <f aca="false">CONCATENATE(G677,D677)</f>
        <v>36982IF-TRANSCO/Z6</v>
      </c>
      <c r="Y677" s="251" t="n">
        <f aca="false">H677/10000</f>
        <v>100</v>
      </c>
      <c r="Z677" s="226" t="e">
        <f aca="false">T677/H677</f>
        <v>#NAME?</v>
      </c>
      <c r="AA677" s="226" t="e">
        <f aca="false">xSPRDOPT($L677,$J677,$I677,$M677,$O677,$N677,$P677,$Q677-$C$3,$R677,3)</f>
        <v>#NAME?</v>
      </c>
      <c r="AB677" s="226" t="e">
        <f aca="false">((xSPRDOPT($L677+AB$5,$J677,$I677,$M677,$O677,$N677,$P677,$Q677-$C$3,$R677,3)*$H677)/10000)/100</f>
        <v>#NAME?</v>
      </c>
      <c r="AC677" s="226" t="e">
        <f aca="false">((xSPRDOPT($L677+$AB$5,$J677,$I677,$M677,$O677,$N677,$P677,$Q677-$C$3,$R677,7)*$H677)/100)</f>
        <v>#NAME?</v>
      </c>
      <c r="AD677" s="226" t="e">
        <f aca="false">(xSPRDOPT($L677+$AB$5,$J677,$I677,$M677,$O677,$N677,$P677,$Q677-$C$3,$R677,9)/365)*$H677</f>
        <v>#NAME?</v>
      </c>
      <c r="AE677" s="0" t="e">
        <f aca="false">CD678</f>
        <v>#NAME?</v>
      </c>
      <c r="AF677" s="226" t="e">
        <f aca="false">((O677/N677)*AH677)+AG677</f>
        <v>#NAME?</v>
      </c>
      <c r="AG677" s="226" t="e">
        <f aca="false">((xSPRDOPT($L677,$J677,$I677,$M677,$O677,$N677,$P677,$Q677-$C$3,$R677,6)*$H677)/100)</f>
        <v>#NAME?</v>
      </c>
      <c r="AH677" s="226" t="e">
        <f aca="false">((xSPRDOPT($L677,$J677,$I677,$M677,$O677,$N677,$P677,$Q677-$C$3,$R677,5)*$H677)/100)</f>
        <v>#NAME?</v>
      </c>
      <c r="AI677" s="226" t="e">
        <f aca="false">(((xSPRDOPT($L677,$J677,$I677,$M677,$O677,$N677,$P677,$Q677-$C$3,$R677,4)*$H677)/10000)/100)-AB677</f>
        <v>#NAME?</v>
      </c>
      <c r="AJ677" s="226"/>
      <c r="CC677" s="182" t="n">
        <f aca="false">G676</f>
        <v>37165</v>
      </c>
      <c r="CD677" s="253" t="e">
        <f aca="false">xSPRDOPT((VLOOKUP(G676,NGPrices,2,FALSE())+HLOOKUP(D676,Prices,VLOOKUP(G676,move_down,2,FALSE()),FALSE())),VLOOKUP(G676,NGPrices,2,FALSE()),I676,VLOOKUP(G676,NGPREVPRICES,4,FALSE()),HLOOKUP(D676,PREVVOLS,VLOOKUP(G676,MOVE_DOWN2,2,FALSE()),FALSE()),VLOOKUP(G676,NGPREVPRICES,3,FALSE()),HLOOKUP(D676,Correllate,VLOOKUP(G676,CorMove,2,FALSE()),FALSE()),Q676-$CD$3,R676,$CD$5)*H676-CJ677</f>
        <v>#NAME?</v>
      </c>
      <c r="CE677" s="253" t="e">
        <f aca="false">xSPRDOPT((VLOOKUP(G676,NGPREVPRICES,2,FALSE())+HLOOKUP(D676,PREVCURVES,VLOOKUP(G676,MOVE_DOWN2,2,FALSE()),FALSE())),VLOOKUP(G676,NGPREVPRICES,2,FALSE()),CK677,VLOOKUP(G676,NGPrices,4,FALSE()),HLOOKUP(D676,PREVVOLS,VLOOKUP(G676,MOVE_DOWN2,2,FALSE()),FALSE()),VLOOKUP(G676,NGPREVPRICES,3,FALSE()),HLOOKUP(D676,Correllate,VLOOKUP(G676,CorMove,2,FALSE()),FALSE()),Q676-$CD$3,R676,$CJ$5)*H676-CJ677</f>
        <v>#NAME?</v>
      </c>
      <c r="CF677" s="132" t="e">
        <f aca="false">(CJ677/VLOOKUP(CC677,discount,3,FALSE()))-(CJ677/VLOOKUP(CC677,discount,2,FALSE()))</f>
        <v>#NAME?</v>
      </c>
      <c r="CG677" s="253" t="e">
        <f aca="false">xSPRDOPT((VLOOKUP(G676,NGPREVPRICES,2,FALSE())+HLOOKUP(D676,PREVCURVES,VLOOKUP(G676,MOVE_DOWN2,2,FALSE()),FALSE())),VLOOKUP(G676,NGPREVPRICES,2,FALSE()),CK677,VLOOKUP(G676,NGPREVPRICES,4,FALSE()),HLOOKUP(D676,VOLS,VLOOKUP(G676,move_down,2,FALSE()),FALSE()),VLOOKUP(G676,NGPrices,3,FALSE()),HLOOKUP(D676,Correllate,VLOOKUP(G676,CorMove,2,FALSE()),FALSE()),Q676-$CD$3,R676,$CJ$5)*H676-CJ677</f>
        <v>#NAME?</v>
      </c>
      <c r="CH677" s="253" t="e">
        <f aca="false">xSPRDOPT((VLOOKUP(G676,NGPREVPRICES,2,FALSE())+HLOOKUP(D676,PREVCURVES,VLOOKUP(G676,MOVE_DOWN2,2,FALSE()),FALSE())),VLOOKUP(G676,NGPREVPRICES,2,FALSE()),CK677,VLOOKUP(G676,NGPREVPRICES,4,FALSE()),HLOOKUP(D676,PREVVOLS,VLOOKUP(G676,MOVE_DOWN2,2,FALSE()),FALSE()),VLOOKUP(G676,NGPREVPRICES,3,FALSE()),HLOOKUP(D676,Correllate,VLOOKUP(G676,CorMove,2,FALSE()),FALSE()),Q676-$C$3,R676,$CJ$5)*H676-CJ677</f>
        <v>#NAME?</v>
      </c>
      <c r="CI677" s="253" t="e">
        <f aca="false">SUM(CD677:CH677)</f>
        <v>#NAME?</v>
      </c>
      <c r="CJ677" s="253" t="e">
        <f aca="false">xSPRDOPT((VLOOKUP(G676,NGPREVPRICES,2,FALSE())+HLOOKUP(D676,PREVCURVES,VLOOKUP(G676,MOVE_DOWN2,2,FALSE()),FALSE())),VLOOKUP(G676,NGPREVPRICES,2,FALSE()),CK677,VLOOKUP(G676,NGPREVPRICES,4,FALSE()),HLOOKUP(D676,PREVVOLS,VLOOKUP(G676,MOVE_DOWN2,2,FALSE()),FALSE()),VLOOKUP(G676,NGPREVPRICES,3,FALSE()),HLOOKUP(D676,Correllate,VLOOKUP(G676,CorMove,2,FALSE()),FALSE()),Q676-$CD$3,R676,$CJ$5)*H676</f>
        <v>#NAME?</v>
      </c>
      <c r="CK677" s="254" t="n">
        <f aca="false">I676</f>
        <v>0.5</v>
      </c>
      <c r="CM677" s="0" t="str">
        <f aca="false">CONCATENATE(CC677,$CD$6)</f>
        <v>37165Curve Shift/Gamma</v>
      </c>
      <c r="CN677" s="0" t="str">
        <f aca="false">CONCATENATE($CC677,$CE$6)</f>
        <v>37165Rho</v>
      </c>
      <c r="CO677" s="0" t="str">
        <f aca="false">CONCATENATE($CC677,$CF$6)</f>
        <v>37165Drift</v>
      </c>
      <c r="CP677" s="0" t="str">
        <f aca="false">CONCATENATE($CC677,$CG$6)</f>
        <v>37165Vega</v>
      </c>
      <c r="CQ677" s="0" t="str">
        <f aca="false">CONCATENATE($CC677,$CH$6)</f>
        <v>37165Theta</v>
      </c>
    </row>
    <row r="678" customFormat="false" ht="12.75" hidden="false" customHeight="false" outlineLevel="0" collapsed="false">
      <c r="A678" s="17" t="s">
        <v>212</v>
      </c>
      <c r="B678" s="0" t="s">
        <v>192</v>
      </c>
      <c r="C678" s="0" t="s">
        <v>421</v>
      </c>
      <c r="D678" s="7" t="s">
        <v>149</v>
      </c>
      <c r="E678" s="0" t="s">
        <v>131</v>
      </c>
      <c r="F678" s="0" t="s">
        <v>132</v>
      </c>
      <c r="G678" s="92" t="n">
        <v>37012</v>
      </c>
      <c r="H678" s="248" t="n">
        <v>1000000</v>
      </c>
      <c r="I678" s="254" t="n">
        <v>0.3</v>
      </c>
      <c r="J678" s="124" t="n">
        <f aca="false">VLOOKUP(G678,NGPrices,2,FALSE())</f>
        <v>3.838</v>
      </c>
      <c r="K678" s="125" t="n">
        <f aca="false">HLOOKUP(D678,Prices,VLOOKUP(G678,move_down,2,FALSE()),FALSE())+VLOOKUP(G678,CHANGE,HLOOKUP(D678,CHANGE,2,FALSE()),FALSE())</f>
        <v>0.405</v>
      </c>
      <c r="L678" s="124" t="n">
        <f aca="false">K678+J678</f>
        <v>4.243</v>
      </c>
      <c r="M678" s="126" t="n">
        <f aca="false">VLOOKUP(G678,NGPrices,4,FALSE())</f>
        <v>0.069101151219</v>
      </c>
      <c r="N678" s="7" t="n">
        <f aca="false">VLOOKUP(G678,NGPrices,3,FALSE())</f>
        <v>0.405</v>
      </c>
      <c r="O678" s="7" t="n">
        <f aca="false">HLOOKUP(D678,VOLS,VLOOKUP(G678,move_down,2,FALSE()),FALSE())</f>
        <v>0.397</v>
      </c>
      <c r="P678" s="249" t="n">
        <f aca="false">HLOOKUP(D678,Correllate,VLOOKUP(G678,CorMove,2,FALSE()),FALSE())</f>
        <v>0.9738</v>
      </c>
      <c r="Q678" s="92" t="n">
        <f aca="false">WORKDAY(G678,-2)</f>
        <v>37008</v>
      </c>
      <c r="R678" s="7" t="n">
        <f aca="false">IF(F678="P",0,1)</f>
        <v>0</v>
      </c>
      <c r="S678" s="130" t="e">
        <f aca="false">xSPRDOPT($L678,$J678,$I678,$M678,$O678,$N678,$P678,$Q678-$C$3,$R678,0)</f>
        <v>#NAME?</v>
      </c>
      <c r="T678" s="250" t="e">
        <f aca="false">xSPRDOPT($L678,$J678,$I678,$M678,$O678,$N678,$P678,$Q678-$C$3,$R678,1)*H678</f>
        <v>#NAME?</v>
      </c>
      <c r="U678" s="43" t="e">
        <f aca="false">S678*H678</f>
        <v>#NAME?</v>
      </c>
      <c r="V678" s="250" t="e">
        <f aca="false">xSPRDOPT($L678,$J678,$I678,$M678,$O678,$N678,$P678,$Q678-$C$3,$R678,2)*H678</f>
        <v>#NAME?</v>
      </c>
      <c r="W678" s="250" t="e">
        <f aca="false">+V678+T678</f>
        <v>#NAME?</v>
      </c>
      <c r="X678" s="2" t="str">
        <f aca="false">CONCATENATE(G678,D678)</f>
        <v>37012IF-TRANSCO/Z6</v>
      </c>
      <c r="Y678" s="251" t="n">
        <f aca="false">H678/10000</f>
        <v>100</v>
      </c>
      <c r="Z678" s="226" t="e">
        <f aca="false">T678/H678</f>
        <v>#NAME?</v>
      </c>
      <c r="AA678" s="226" t="e">
        <f aca="false">xSPRDOPT($L678,$J678,$I678,$M678,$O678,$N678,$P678,$Q678-$C$3,$R678,3)</f>
        <v>#NAME?</v>
      </c>
      <c r="AB678" s="226" t="e">
        <f aca="false">((xSPRDOPT($L678+AB$5,$J678,$I678,$M678,$O678,$N678,$P678,$Q678-$C$3,$R678,3)*$H678)/10000)/100</f>
        <v>#NAME?</v>
      </c>
      <c r="AC678" s="226" t="e">
        <f aca="false">((xSPRDOPT($L678+$AB$5,$J678,$I678,$M678,$O678,$N678,$P678,$Q678-$C$3,$R678,7)*$H678)/100)</f>
        <v>#NAME?</v>
      </c>
      <c r="AD678" s="226" t="e">
        <f aca="false">(xSPRDOPT($L678+$AB$5,$J678,$I678,$M678,$O678,$N678,$P678,$Q678-$C$3,$R678,9)/365)*$H678</f>
        <v>#NAME?</v>
      </c>
      <c r="AE678" s="0" t="e">
        <f aca="false">CD679</f>
        <v>#NAME?</v>
      </c>
      <c r="AF678" s="226" t="e">
        <f aca="false">((O678/N678)*AH678)+AG678</f>
        <v>#NAME?</v>
      </c>
      <c r="AG678" s="226" t="e">
        <f aca="false">((xSPRDOPT($L678,$J678,$I678,$M678,$O678,$N678,$P678,$Q678-$C$3,$R678,6)*$H678)/100)</f>
        <v>#NAME?</v>
      </c>
      <c r="AH678" s="226" t="e">
        <f aca="false">((xSPRDOPT($L678,$J678,$I678,$M678,$O678,$N678,$P678,$Q678-$C$3,$R678,5)*$H678)/100)</f>
        <v>#NAME?</v>
      </c>
      <c r="AI678" s="226" t="e">
        <f aca="false">(((xSPRDOPT($L678,$J678,$I678,$M678,$O678,$N678,$P678,$Q678-$C$3,$R678,4)*$H678)/10000)/100)-AB678</f>
        <v>#NAME?</v>
      </c>
      <c r="AJ678" s="226"/>
      <c r="CC678" s="182" t="n">
        <f aca="false">G677</f>
        <v>36982</v>
      </c>
      <c r="CD678" s="253" t="e">
        <f aca="false">xSPRDOPT((VLOOKUP(G677,NGPrices,2,FALSE())+HLOOKUP(D677,Prices,VLOOKUP(G677,move_down,2,FALSE()),FALSE())),VLOOKUP(G677,NGPrices,2,FALSE()),I677,VLOOKUP(G677,NGPREVPRICES,4,FALSE()),HLOOKUP(D677,PREVVOLS,VLOOKUP(G677,MOVE_DOWN2,2,FALSE()),FALSE()),VLOOKUP(G677,NGPREVPRICES,3,FALSE()),HLOOKUP(D677,Correllate,VLOOKUP(G677,CorMove,2,FALSE()),FALSE()),Q677-$CD$3,R677,$CD$5)*H677-CJ678</f>
        <v>#NAME?</v>
      </c>
      <c r="CE678" s="253" t="e">
        <f aca="false">xSPRDOPT((VLOOKUP(G677,NGPREVPRICES,2,FALSE())+HLOOKUP(D677,PREVCURVES,VLOOKUP(G677,MOVE_DOWN2,2,FALSE()),FALSE())),VLOOKUP(G677,NGPREVPRICES,2,FALSE()),CK678,VLOOKUP(G677,NGPrices,4,FALSE()),HLOOKUP(D677,PREVVOLS,VLOOKUP(G677,MOVE_DOWN2,2,FALSE()),FALSE()),VLOOKUP(G677,NGPREVPRICES,3,FALSE()),HLOOKUP(D677,Correllate,VLOOKUP(G677,CorMove,2,FALSE()),FALSE()),Q677-$CD$3,R677,$CJ$5)*H677-CJ678</f>
        <v>#NAME?</v>
      </c>
      <c r="CF678" s="132" t="e">
        <f aca="false">(CJ678/VLOOKUP(CC678,discount,3,FALSE()))-(CJ678/VLOOKUP(CC678,discount,2,FALSE()))</f>
        <v>#NAME?</v>
      </c>
      <c r="CG678" s="253" t="e">
        <f aca="false">xSPRDOPT((VLOOKUP(G677,NGPREVPRICES,2,FALSE())+HLOOKUP(D677,PREVCURVES,VLOOKUP(G677,MOVE_DOWN2,2,FALSE()),FALSE())),VLOOKUP(G677,NGPREVPRICES,2,FALSE()),CK678,VLOOKUP(G677,NGPREVPRICES,4,FALSE()),HLOOKUP(D677,VOLS,VLOOKUP(G677,move_down,2,FALSE()),FALSE()),VLOOKUP(G677,NGPrices,3,FALSE()),HLOOKUP(D677,Correllate,VLOOKUP(G677,CorMove,2,FALSE()),FALSE()),Q677-$CD$3,R677,$CJ$5)*H677-CJ678</f>
        <v>#NAME?</v>
      </c>
      <c r="CH678" s="253" t="e">
        <f aca="false">xSPRDOPT((VLOOKUP(G677,NGPREVPRICES,2,FALSE())+HLOOKUP(D677,PREVCURVES,VLOOKUP(G677,MOVE_DOWN2,2,FALSE()),FALSE())),VLOOKUP(G677,NGPREVPRICES,2,FALSE()),CK678,VLOOKUP(G677,NGPREVPRICES,4,FALSE()),HLOOKUP(D677,PREVVOLS,VLOOKUP(G677,MOVE_DOWN2,2,FALSE()),FALSE()),VLOOKUP(G677,NGPREVPRICES,3,FALSE()),HLOOKUP(D677,Correllate,VLOOKUP(G677,CorMove,2,FALSE()),FALSE()),Q677-$C$3,R677,$CJ$5)*H677-CJ678</f>
        <v>#NAME?</v>
      </c>
      <c r="CI678" s="253" t="e">
        <f aca="false">SUM(CD678:CH678)</f>
        <v>#NAME?</v>
      </c>
      <c r="CJ678" s="253" t="e">
        <f aca="false">xSPRDOPT((VLOOKUP(G677,NGPREVPRICES,2,FALSE())+HLOOKUP(D677,PREVCURVES,VLOOKUP(G677,MOVE_DOWN2,2,FALSE()),FALSE())),VLOOKUP(G677,NGPREVPRICES,2,FALSE()),CK678,VLOOKUP(G677,NGPREVPRICES,4,FALSE()),HLOOKUP(D677,PREVVOLS,VLOOKUP(G677,MOVE_DOWN2,2,FALSE()),FALSE()),VLOOKUP(G677,NGPREVPRICES,3,FALSE()),HLOOKUP(D677,Correllate,VLOOKUP(G677,CorMove,2,FALSE()),FALSE()),Q677-$CD$3,R677,$CJ$5)*H677</f>
        <v>#NAME?</v>
      </c>
      <c r="CK678" s="254" t="n">
        <f aca="false">I677</f>
        <v>0.3</v>
      </c>
      <c r="CM678" s="0" t="str">
        <f aca="false">CONCATENATE(CC678,$CD$6)</f>
        <v>36982Curve Shift/Gamma</v>
      </c>
      <c r="CN678" s="0" t="str">
        <f aca="false">CONCATENATE($CC678,$CE$6)</f>
        <v>36982Rho</v>
      </c>
      <c r="CO678" s="0" t="str">
        <f aca="false">CONCATENATE($CC678,$CF$6)</f>
        <v>36982Drift</v>
      </c>
      <c r="CP678" s="0" t="str">
        <f aca="false">CONCATENATE($CC678,$CG$6)</f>
        <v>36982Vega</v>
      </c>
      <c r="CQ678" s="0" t="str">
        <f aca="false">CONCATENATE($CC678,$CH$6)</f>
        <v>36982Theta</v>
      </c>
    </row>
    <row r="679" customFormat="false" ht="12.75" hidden="false" customHeight="false" outlineLevel="0" collapsed="false">
      <c r="A679" s="17" t="s">
        <v>212</v>
      </c>
      <c r="B679" s="0" t="s">
        <v>192</v>
      </c>
      <c r="C679" s="0" t="s">
        <v>421</v>
      </c>
      <c r="D679" s="7" t="s">
        <v>149</v>
      </c>
      <c r="E679" s="0" t="s">
        <v>131</v>
      </c>
      <c r="F679" s="0" t="s">
        <v>132</v>
      </c>
      <c r="G679" s="92" t="n">
        <v>37043</v>
      </c>
      <c r="H679" s="248" t="n">
        <v>1000000</v>
      </c>
      <c r="I679" s="254" t="n">
        <v>0.3</v>
      </c>
      <c r="J679" s="124" t="n">
        <f aca="false">VLOOKUP(G679,NGPrices,2,FALSE())</f>
        <v>3.818</v>
      </c>
      <c r="K679" s="125" t="n">
        <f aca="false">HLOOKUP(D679,Prices,VLOOKUP(G679,move_down,2,FALSE()),FALSE())+VLOOKUP(G679,CHANGE,HLOOKUP(D679,CHANGE,2,FALSE()),FALSE())</f>
        <v>0.395</v>
      </c>
      <c r="L679" s="124" t="n">
        <f aca="false">K679+J679</f>
        <v>4.213</v>
      </c>
      <c r="M679" s="126" t="n">
        <f aca="false">VLOOKUP(G679,NGPrices,4,FALSE())</f>
        <v>0.069141890053328</v>
      </c>
      <c r="N679" s="7" t="n">
        <f aca="false">VLOOKUP(G679,NGPrices,3,FALSE())</f>
        <v>0.4</v>
      </c>
      <c r="O679" s="7" t="n">
        <f aca="false">HLOOKUP(D679,VOLS,VLOOKUP(G679,move_down,2,FALSE()),FALSE())</f>
        <v>0.392</v>
      </c>
      <c r="P679" s="249" t="n">
        <f aca="false">HLOOKUP(D679,Correllate,VLOOKUP(G679,CorMove,2,FALSE()),FALSE())</f>
        <v>0.9738</v>
      </c>
      <c r="Q679" s="92" t="n">
        <f aca="false">WORKDAY(G679,-2)</f>
        <v>37041</v>
      </c>
      <c r="R679" s="7" t="n">
        <f aca="false">IF(F679="P",0,1)</f>
        <v>0</v>
      </c>
      <c r="S679" s="130" t="e">
        <f aca="false">xSPRDOPT($L679,$J679,$I679,$M679,$O679,$N679,$P679,$Q679-$C$3,$R679,0)</f>
        <v>#NAME?</v>
      </c>
      <c r="T679" s="250" t="e">
        <f aca="false">xSPRDOPT($L679,$J679,$I679,$M679,$O679,$N679,$P679,$Q679-$C$3,$R679,1)*H679</f>
        <v>#NAME?</v>
      </c>
      <c r="U679" s="43" t="e">
        <f aca="false">S679*H679</f>
        <v>#NAME?</v>
      </c>
      <c r="V679" s="250" t="e">
        <f aca="false">xSPRDOPT($L679,$J679,$I679,$M679,$O679,$N679,$P679,$Q679-$C$3,$R679,2)*H679</f>
        <v>#NAME?</v>
      </c>
      <c r="W679" s="250" t="e">
        <f aca="false">+V679+T679</f>
        <v>#NAME?</v>
      </c>
      <c r="X679" s="2" t="str">
        <f aca="false">CONCATENATE(G679,D679)</f>
        <v>37043IF-TRANSCO/Z6</v>
      </c>
      <c r="Y679" s="251" t="n">
        <f aca="false">H679/10000</f>
        <v>100</v>
      </c>
      <c r="Z679" s="226" t="e">
        <f aca="false">T679/H679</f>
        <v>#NAME?</v>
      </c>
      <c r="AA679" s="226" t="e">
        <f aca="false">xSPRDOPT($L679,$J679,$I679,$M679,$O679,$N679,$P679,$Q679-$C$3,$R679,3)</f>
        <v>#NAME?</v>
      </c>
      <c r="AB679" s="226" t="e">
        <f aca="false">((xSPRDOPT($L679+AB$5,$J679,$I679,$M679,$O679,$N679,$P679,$Q679-$C$3,$R679,3)*$H679)/10000)/100</f>
        <v>#NAME?</v>
      </c>
      <c r="AC679" s="226" t="e">
        <f aca="false">((xSPRDOPT($L679+$AB$5,$J679,$I679,$M679,$O679,$N679,$P679,$Q679-$C$3,$R679,7)*$H679)/100)</f>
        <v>#NAME?</v>
      </c>
      <c r="AD679" s="226" t="e">
        <f aca="false">(xSPRDOPT($L679+$AB$5,$J679,$I679,$M679,$O679,$N679,$P679,$Q679-$C$3,$R679,9)/365)*$H679</f>
        <v>#NAME?</v>
      </c>
      <c r="AE679" s="0" t="e">
        <f aca="false">CD680</f>
        <v>#NAME?</v>
      </c>
      <c r="AF679" s="226" t="e">
        <f aca="false">((O679/N679)*AH679)+AG679</f>
        <v>#NAME?</v>
      </c>
      <c r="AG679" s="226" t="e">
        <f aca="false">((xSPRDOPT($L679,$J679,$I679,$M679,$O679,$N679,$P679,$Q679-$C$3,$R679,6)*$H679)/100)</f>
        <v>#NAME?</v>
      </c>
      <c r="AH679" s="226" t="e">
        <f aca="false">((xSPRDOPT($L679,$J679,$I679,$M679,$O679,$N679,$P679,$Q679-$C$3,$R679,5)*$H679)/100)</f>
        <v>#NAME?</v>
      </c>
      <c r="AI679" s="226" t="e">
        <f aca="false">(((xSPRDOPT($L679,$J679,$I679,$M679,$O679,$N679,$P679,$Q679-$C$3,$R679,4)*$H679)/10000)/100)-AB679</f>
        <v>#NAME?</v>
      </c>
      <c r="AJ679" s="226"/>
      <c r="CC679" s="182" t="n">
        <f aca="false">G678</f>
        <v>37012</v>
      </c>
      <c r="CD679" s="253" t="e">
        <f aca="false">xSPRDOPT((VLOOKUP(G678,NGPrices,2,FALSE())+HLOOKUP(D678,Prices,VLOOKUP(G678,move_down,2,FALSE()),FALSE())),VLOOKUP(G678,NGPrices,2,FALSE()),I678,VLOOKUP(G678,NGPREVPRICES,4,FALSE()),HLOOKUP(D678,PREVVOLS,VLOOKUP(G678,MOVE_DOWN2,2,FALSE()),FALSE()),VLOOKUP(G678,NGPREVPRICES,3,FALSE()),HLOOKUP(D678,Correllate,VLOOKUP(G678,CorMove,2,FALSE()),FALSE()),Q678-$CD$3,R678,$CD$5)*H678-CJ679</f>
        <v>#NAME?</v>
      </c>
      <c r="CE679" s="253" t="e">
        <f aca="false">xSPRDOPT((VLOOKUP(G678,NGPREVPRICES,2,FALSE())+HLOOKUP(D678,PREVCURVES,VLOOKUP(G678,MOVE_DOWN2,2,FALSE()),FALSE())),VLOOKUP(G678,NGPREVPRICES,2,FALSE()),CK679,VLOOKUP(G678,NGPrices,4,FALSE()),HLOOKUP(D678,PREVVOLS,VLOOKUP(G678,MOVE_DOWN2,2,FALSE()),FALSE()),VLOOKUP(G678,NGPREVPRICES,3,FALSE()),HLOOKUP(D678,Correllate,VLOOKUP(G678,CorMove,2,FALSE()),FALSE()),Q678-$CD$3,R678,$CJ$5)*H678-CJ679</f>
        <v>#NAME?</v>
      </c>
      <c r="CF679" s="132" t="e">
        <f aca="false">(CJ679/VLOOKUP(CC679,discount,3,FALSE()))-(CJ679/VLOOKUP(CC679,discount,2,FALSE()))</f>
        <v>#NAME?</v>
      </c>
      <c r="CG679" s="253" t="e">
        <f aca="false">xSPRDOPT((VLOOKUP(G678,NGPREVPRICES,2,FALSE())+HLOOKUP(D678,PREVCURVES,VLOOKUP(G678,MOVE_DOWN2,2,FALSE()),FALSE())),VLOOKUP(G678,NGPREVPRICES,2,FALSE()),CK679,VLOOKUP(G678,NGPREVPRICES,4,FALSE()),HLOOKUP(D678,VOLS,VLOOKUP(G678,move_down,2,FALSE()),FALSE()),VLOOKUP(G678,NGPrices,3,FALSE()),HLOOKUP(D678,Correllate,VLOOKUP(G678,CorMove,2,FALSE()),FALSE()),Q678-$CD$3,R678,$CJ$5)*H678-CJ679</f>
        <v>#NAME?</v>
      </c>
      <c r="CH679" s="253" t="e">
        <f aca="false">xSPRDOPT((VLOOKUP(G678,NGPREVPRICES,2,FALSE())+HLOOKUP(D678,PREVCURVES,VLOOKUP(G678,MOVE_DOWN2,2,FALSE()),FALSE())),VLOOKUP(G678,NGPREVPRICES,2,FALSE()),CK679,VLOOKUP(G678,NGPREVPRICES,4,FALSE()),HLOOKUP(D678,PREVVOLS,VLOOKUP(G678,MOVE_DOWN2,2,FALSE()),FALSE()),VLOOKUP(G678,NGPREVPRICES,3,FALSE()),HLOOKUP(D678,Correllate,VLOOKUP(G678,CorMove,2,FALSE()),FALSE()),Q678-$C$3,R678,$CJ$5)*H678-CJ679</f>
        <v>#NAME?</v>
      </c>
      <c r="CI679" s="253" t="e">
        <f aca="false">SUM(CD679:CH679)</f>
        <v>#NAME?</v>
      </c>
      <c r="CJ679" s="253" t="e">
        <f aca="false">xSPRDOPT((VLOOKUP(G678,NGPREVPRICES,2,FALSE())+HLOOKUP(D678,PREVCURVES,VLOOKUP(G678,MOVE_DOWN2,2,FALSE()),FALSE())),VLOOKUP(G678,NGPREVPRICES,2,FALSE()),CK679,VLOOKUP(G678,NGPREVPRICES,4,FALSE()),HLOOKUP(D678,PREVVOLS,VLOOKUP(G678,MOVE_DOWN2,2,FALSE()),FALSE()),VLOOKUP(G678,NGPREVPRICES,3,FALSE()),HLOOKUP(D678,Correllate,VLOOKUP(G678,CorMove,2,FALSE()),FALSE()),Q678-$CD$3,R678,$CJ$5)*H678</f>
        <v>#NAME?</v>
      </c>
      <c r="CK679" s="254" t="n">
        <f aca="false">I678</f>
        <v>0.3</v>
      </c>
      <c r="CM679" s="0" t="str">
        <f aca="false">CONCATENATE(CC679,$CD$6)</f>
        <v>37012Curve Shift/Gamma</v>
      </c>
      <c r="CN679" s="0" t="str">
        <f aca="false">CONCATENATE($CC679,$CE$6)</f>
        <v>37012Rho</v>
      </c>
      <c r="CO679" s="0" t="str">
        <f aca="false">CONCATENATE($CC679,$CF$6)</f>
        <v>37012Drift</v>
      </c>
      <c r="CP679" s="0" t="str">
        <f aca="false">CONCATENATE($CC679,$CG$6)</f>
        <v>37012Vega</v>
      </c>
      <c r="CQ679" s="0" t="str">
        <f aca="false">CONCATENATE($CC679,$CH$6)</f>
        <v>37012Theta</v>
      </c>
    </row>
    <row r="680" customFormat="false" ht="12.75" hidden="false" customHeight="false" outlineLevel="0" collapsed="false">
      <c r="A680" s="17" t="s">
        <v>212</v>
      </c>
      <c r="B680" s="0" t="s">
        <v>192</v>
      </c>
      <c r="C680" s="0" t="s">
        <v>421</v>
      </c>
      <c r="D680" s="7" t="s">
        <v>149</v>
      </c>
      <c r="E680" s="0" t="s">
        <v>131</v>
      </c>
      <c r="F680" s="0" t="s">
        <v>132</v>
      </c>
      <c r="G680" s="92" t="n">
        <v>37073</v>
      </c>
      <c r="H680" s="248" t="n">
        <v>1000000</v>
      </c>
      <c r="I680" s="254" t="n">
        <v>0.3</v>
      </c>
      <c r="J680" s="124" t="n">
        <f aca="false">VLOOKUP(G680,NGPrices,2,FALSE())</f>
        <v>3.803</v>
      </c>
      <c r="K680" s="125" t="n">
        <f aca="false">HLOOKUP(D680,Prices,VLOOKUP(G680,move_down,2,FALSE()),FALSE())+VLOOKUP(G680,CHANGE,HLOOKUP(D680,CHANGE,2,FALSE()),FALSE())</f>
        <v>0.46</v>
      </c>
      <c r="L680" s="124" t="n">
        <f aca="false">K680+J680</f>
        <v>4.263</v>
      </c>
      <c r="M680" s="126" t="n">
        <f aca="false">VLOOKUP(G680,NGPrices,4,FALSE())</f>
        <v>0.069181571268568</v>
      </c>
      <c r="N680" s="7" t="n">
        <f aca="false">VLOOKUP(G680,NGPrices,3,FALSE())</f>
        <v>0.4</v>
      </c>
      <c r="O680" s="7" t="n">
        <f aca="false">HLOOKUP(D680,VOLS,VLOOKUP(G680,move_down,2,FALSE()),FALSE())</f>
        <v>0.392</v>
      </c>
      <c r="P680" s="249" t="n">
        <f aca="false">HLOOKUP(D680,Correllate,VLOOKUP(G680,CorMove,2,FALSE()),FALSE())</f>
        <v>0.9738</v>
      </c>
      <c r="Q680" s="92" t="n">
        <f aca="false">WORKDAY(G680,-2)</f>
        <v>37070</v>
      </c>
      <c r="R680" s="7" t="n">
        <f aca="false">IF(F680="P",0,1)</f>
        <v>0</v>
      </c>
      <c r="S680" s="130" t="e">
        <f aca="false">xSPRDOPT($L680,$J680,$I680,$M680,$O680,$N680,$P680,$Q680-$C$3,$R680,0)</f>
        <v>#NAME?</v>
      </c>
      <c r="T680" s="250" t="e">
        <f aca="false">xSPRDOPT($L680,$J680,$I680,$M680,$O680,$N680,$P680,$Q680-$C$3,$R680,1)*H680</f>
        <v>#NAME?</v>
      </c>
      <c r="U680" s="43" t="e">
        <f aca="false">S680*H680</f>
        <v>#NAME?</v>
      </c>
      <c r="V680" s="250" t="e">
        <f aca="false">xSPRDOPT($L680,$J680,$I680,$M680,$O680,$N680,$P680,$Q680-$C$3,$R680,2)*H680</f>
        <v>#NAME?</v>
      </c>
      <c r="W680" s="250" t="e">
        <f aca="false">+V680+T680</f>
        <v>#NAME?</v>
      </c>
      <c r="X680" s="2" t="str">
        <f aca="false">CONCATENATE(G680,D680)</f>
        <v>37073IF-TRANSCO/Z6</v>
      </c>
      <c r="Y680" s="251" t="n">
        <f aca="false">H680/10000</f>
        <v>100</v>
      </c>
      <c r="Z680" s="226" t="e">
        <f aca="false">T680/H680</f>
        <v>#NAME?</v>
      </c>
      <c r="AA680" s="226" t="e">
        <f aca="false">xSPRDOPT($L680,$J680,$I680,$M680,$O680,$N680,$P680,$Q680-$C$3,$R680,3)</f>
        <v>#NAME?</v>
      </c>
      <c r="AB680" s="226" t="e">
        <f aca="false">((xSPRDOPT($L680+AB$5,$J680,$I680,$M680,$O680,$N680,$P680,$Q680-$C$3,$R680,3)*$H680)/10000)/100</f>
        <v>#NAME?</v>
      </c>
      <c r="AC680" s="226" t="e">
        <f aca="false">((xSPRDOPT($L680+$AB$5,$J680,$I680,$M680,$O680,$N680,$P680,$Q680-$C$3,$R680,7)*$H680)/100)</f>
        <v>#NAME?</v>
      </c>
      <c r="AD680" s="226" t="e">
        <f aca="false">(xSPRDOPT($L680+$AB$5,$J680,$I680,$M680,$O680,$N680,$P680,$Q680-$C$3,$R680,9)/365)*$H680</f>
        <v>#NAME?</v>
      </c>
      <c r="AE680" s="0" t="e">
        <f aca="false">CD681</f>
        <v>#NAME?</v>
      </c>
      <c r="AF680" s="226" t="e">
        <f aca="false">((O680/N680)*AH680)+AG680</f>
        <v>#NAME?</v>
      </c>
      <c r="AG680" s="226" t="e">
        <f aca="false">((xSPRDOPT($L680,$J680,$I680,$M680,$O680,$N680,$P680,$Q680-$C$3,$R680,6)*$H680)/100)</f>
        <v>#NAME?</v>
      </c>
      <c r="AH680" s="226" t="e">
        <f aca="false">((xSPRDOPT($L680,$J680,$I680,$M680,$O680,$N680,$P680,$Q680-$C$3,$R680,5)*$H680)/100)</f>
        <v>#NAME?</v>
      </c>
      <c r="AI680" s="226" t="e">
        <f aca="false">(((xSPRDOPT($L680,$J680,$I680,$M680,$O680,$N680,$P680,$Q680-$C$3,$R680,4)*$H680)/10000)/100)-AB680</f>
        <v>#NAME?</v>
      </c>
      <c r="AJ680" s="226"/>
      <c r="CC680" s="182" t="n">
        <f aca="false">G679</f>
        <v>37043</v>
      </c>
      <c r="CD680" s="253" t="e">
        <f aca="false">xSPRDOPT((VLOOKUP(G679,NGPrices,2,FALSE())+HLOOKUP(D679,Prices,VLOOKUP(G679,move_down,2,FALSE()),FALSE())),VLOOKUP(G679,NGPrices,2,FALSE()),I679,VLOOKUP(G679,NGPREVPRICES,4,FALSE()),HLOOKUP(D679,PREVVOLS,VLOOKUP(G679,MOVE_DOWN2,2,FALSE()),FALSE()),VLOOKUP(G679,NGPREVPRICES,3,FALSE()),HLOOKUP(D679,Correllate,VLOOKUP(G679,CorMove,2,FALSE()),FALSE()),Q679-$CD$3,R679,$CD$5)*H679-CJ680</f>
        <v>#NAME?</v>
      </c>
      <c r="CE680" s="253" t="e">
        <f aca="false">xSPRDOPT((VLOOKUP(G679,NGPREVPRICES,2,FALSE())+HLOOKUP(D679,PREVCURVES,VLOOKUP(G679,MOVE_DOWN2,2,FALSE()),FALSE())),VLOOKUP(G679,NGPREVPRICES,2,FALSE()),CK680,VLOOKUP(G679,NGPrices,4,FALSE()),HLOOKUP(D679,PREVVOLS,VLOOKUP(G679,MOVE_DOWN2,2,FALSE()),FALSE()),VLOOKUP(G679,NGPREVPRICES,3,FALSE()),HLOOKUP(D679,Correllate,VLOOKUP(G679,CorMove,2,FALSE()),FALSE()),Q679-$CD$3,R679,$CJ$5)*H679-CJ680</f>
        <v>#NAME?</v>
      </c>
      <c r="CF680" s="132" t="e">
        <f aca="false">(CJ680/VLOOKUP(CC680,discount,3,FALSE()))-(CJ680/VLOOKUP(CC680,discount,2,FALSE()))</f>
        <v>#NAME?</v>
      </c>
      <c r="CG680" s="253" t="e">
        <f aca="false">xSPRDOPT((VLOOKUP(G679,NGPREVPRICES,2,FALSE())+HLOOKUP(D679,PREVCURVES,VLOOKUP(G679,MOVE_DOWN2,2,FALSE()),FALSE())),VLOOKUP(G679,NGPREVPRICES,2,FALSE()),CK680,VLOOKUP(G679,NGPREVPRICES,4,FALSE()),HLOOKUP(D679,VOLS,VLOOKUP(G679,move_down,2,FALSE()),FALSE()),VLOOKUP(G679,NGPrices,3,FALSE()),HLOOKUP(D679,Correllate,VLOOKUP(G679,CorMove,2,FALSE()),FALSE()),Q679-$CD$3,R679,$CJ$5)*H679-CJ680</f>
        <v>#NAME?</v>
      </c>
      <c r="CH680" s="253" t="e">
        <f aca="false">xSPRDOPT((VLOOKUP(G679,NGPREVPRICES,2,FALSE())+HLOOKUP(D679,PREVCURVES,VLOOKUP(G679,MOVE_DOWN2,2,FALSE()),FALSE())),VLOOKUP(G679,NGPREVPRICES,2,FALSE()),CK680,VLOOKUP(G679,NGPREVPRICES,4,FALSE()),HLOOKUP(D679,PREVVOLS,VLOOKUP(G679,MOVE_DOWN2,2,FALSE()),FALSE()),VLOOKUP(G679,NGPREVPRICES,3,FALSE()),HLOOKUP(D679,Correllate,VLOOKUP(G679,CorMove,2,FALSE()),FALSE()),Q679-$C$3,R679,$CJ$5)*H679-CJ680</f>
        <v>#NAME?</v>
      </c>
      <c r="CI680" s="253" t="e">
        <f aca="false">SUM(CD680:CH680)</f>
        <v>#NAME?</v>
      </c>
      <c r="CJ680" s="253" t="e">
        <f aca="false">xSPRDOPT((VLOOKUP(G679,NGPREVPRICES,2,FALSE())+HLOOKUP(D679,PREVCURVES,VLOOKUP(G679,MOVE_DOWN2,2,FALSE()),FALSE())),VLOOKUP(G679,NGPREVPRICES,2,FALSE()),CK680,VLOOKUP(G679,NGPREVPRICES,4,FALSE()),HLOOKUP(D679,PREVVOLS,VLOOKUP(G679,MOVE_DOWN2,2,FALSE()),FALSE()),VLOOKUP(G679,NGPREVPRICES,3,FALSE()),HLOOKUP(D679,Correllate,VLOOKUP(G679,CorMove,2,FALSE()),FALSE()),Q679-$CD$3,R679,$CJ$5)*H679</f>
        <v>#NAME?</v>
      </c>
      <c r="CK680" s="254" t="n">
        <f aca="false">I679</f>
        <v>0.3</v>
      </c>
      <c r="CM680" s="0" t="str">
        <f aca="false">CONCATENATE(CC680,$CD$6)</f>
        <v>37043Curve Shift/Gamma</v>
      </c>
      <c r="CN680" s="0" t="str">
        <f aca="false">CONCATENATE($CC680,$CE$6)</f>
        <v>37043Rho</v>
      </c>
      <c r="CO680" s="0" t="str">
        <f aca="false">CONCATENATE($CC680,$CF$6)</f>
        <v>37043Drift</v>
      </c>
      <c r="CP680" s="0" t="str">
        <f aca="false">CONCATENATE($CC680,$CG$6)</f>
        <v>37043Vega</v>
      </c>
      <c r="CQ680" s="0" t="str">
        <f aca="false">CONCATENATE($CC680,$CH$6)</f>
        <v>37043Theta</v>
      </c>
    </row>
    <row r="681" customFormat="false" ht="12.75" hidden="false" customHeight="false" outlineLevel="0" collapsed="false">
      <c r="A681" s="17" t="s">
        <v>212</v>
      </c>
      <c r="B681" s="0" t="s">
        <v>192</v>
      </c>
      <c r="C681" s="0" t="s">
        <v>421</v>
      </c>
      <c r="D681" s="7" t="s">
        <v>149</v>
      </c>
      <c r="E681" s="0" t="s">
        <v>131</v>
      </c>
      <c r="F681" s="0" t="s">
        <v>132</v>
      </c>
      <c r="G681" s="92" t="n">
        <v>37104</v>
      </c>
      <c r="H681" s="248" t="n">
        <v>1000000</v>
      </c>
      <c r="I681" s="254" t="n">
        <v>0.3</v>
      </c>
      <c r="J681" s="124" t="n">
        <f aca="false">VLOOKUP(G681,NGPrices,2,FALSE())</f>
        <v>3.808</v>
      </c>
      <c r="K681" s="125" t="n">
        <f aca="false">HLOOKUP(D681,Prices,VLOOKUP(G681,move_down,2,FALSE()),FALSE())+VLOOKUP(G681,CHANGE,HLOOKUP(D681,CHANGE,2,FALSE()),FALSE())</f>
        <v>0.46</v>
      </c>
      <c r="L681" s="124" t="n">
        <f aca="false">K681+J681</f>
        <v>4.268</v>
      </c>
      <c r="M681" s="126" t="n">
        <f aca="false">VLOOKUP(G681,NGPrices,4,FALSE())</f>
        <v>0.069223060737755</v>
      </c>
      <c r="N681" s="7" t="n">
        <f aca="false">VLOOKUP(G681,NGPrices,3,FALSE())</f>
        <v>0.4</v>
      </c>
      <c r="O681" s="7" t="n">
        <f aca="false">HLOOKUP(D681,VOLS,VLOOKUP(G681,move_down,2,FALSE()),FALSE())</f>
        <v>0.392</v>
      </c>
      <c r="P681" s="249" t="n">
        <f aca="false">HLOOKUP(D681,Correllate,VLOOKUP(G681,CorMove,2,FALSE()),FALSE())</f>
        <v>0.9738</v>
      </c>
      <c r="Q681" s="92" t="n">
        <f aca="false">WORKDAY(G681,-2)</f>
        <v>37102</v>
      </c>
      <c r="R681" s="7" t="n">
        <f aca="false">IF(F681="P",0,1)</f>
        <v>0</v>
      </c>
      <c r="S681" s="130" t="e">
        <f aca="false">xSPRDOPT($L681,$J681,$I681,$M681,$O681,$N681,$P681,$Q681-$C$3,$R681,0)</f>
        <v>#NAME?</v>
      </c>
      <c r="T681" s="250" t="e">
        <f aca="false">xSPRDOPT($L681,$J681,$I681,$M681,$O681,$N681,$P681,$Q681-$C$3,$R681,1)*H681</f>
        <v>#NAME?</v>
      </c>
      <c r="U681" s="43" t="e">
        <f aca="false">S681*H681</f>
        <v>#NAME?</v>
      </c>
      <c r="V681" s="250" t="e">
        <f aca="false">xSPRDOPT($L681,$J681,$I681,$M681,$O681,$N681,$P681,$Q681-$C$3,$R681,2)*H681</f>
        <v>#NAME?</v>
      </c>
      <c r="W681" s="250" t="e">
        <f aca="false">+V681+T681</f>
        <v>#NAME?</v>
      </c>
      <c r="X681" s="2" t="str">
        <f aca="false">CONCATENATE(G681,D681)</f>
        <v>37104IF-TRANSCO/Z6</v>
      </c>
      <c r="Y681" s="251" t="n">
        <f aca="false">H681/10000</f>
        <v>100</v>
      </c>
      <c r="Z681" s="226" t="e">
        <f aca="false">T681/H681</f>
        <v>#NAME?</v>
      </c>
      <c r="AA681" s="226" t="e">
        <f aca="false">xSPRDOPT($L681,$J681,$I681,$M681,$O681,$N681,$P681,$Q681-$C$3,$R681,3)</f>
        <v>#NAME?</v>
      </c>
      <c r="AB681" s="226" t="e">
        <f aca="false">((xSPRDOPT($L681+AB$5,$J681,$I681,$M681,$O681,$N681,$P681,$Q681-$C$3,$R681,3)*$H681)/10000)/100</f>
        <v>#NAME?</v>
      </c>
      <c r="AC681" s="226" t="e">
        <f aca="false">((xSPRDOPT($L681+$AB$5,$J681,$I681,$M681,$O681,$N681,$P681,$Q681-$C$3,$R681,7)*$H681)/100)</f>
        <v>#NAME?</v>
      </c>
      <c r="AD681" s="226" t="e">
        <f aca="false">(xSPRDOPT($L681+$AB$5,$J681,$I681,$M681,$O681,$N681,$P681,$Q681-$C$3,$R681,9)/365)*$H681</f>
        <v>#NAME?</v>
      </c>
      <c r="AE681" s="0" t="e">
        <f aca="false">CD682</f>
        <v>#NAME?</v>
      </c>
      <c r="AF681" s="226" t="e">
        <f aca="false">((O681/N681)*AH681)+AG681</f>
        <v>#NAME?</v>
      </c>
      <c r="AG681" s="226" t="e">
        <f aca="false">((xSPRDOPT($L681,$J681,$I681,$M681,$O681,$N681,$P681,$Q681-$C$3,$R681,6)*$H681)/100)</f>
        <v>#NAME?</v>
      </c>
      <c r="AH681" s="226" t="e">
        <f aca="false">((xSPRDOPT($L681,$J681,$I681,$M681,$O681,$N681,$P681,$Q681-$C$3,$R681,5)*$H681)/100)</f>
        <v>#NAME?</v>
      </c>
      <c r="AI681" s="226" t="e">
        <f aca="false">(((xSPRDOPT($L681,$J681,$I681,$M681,$O681,$N681,$P681,$Q681-$C$3,$R681,4)*$H681)/10000)/100)-AB681</f>
        <v>#NAME?</v>
      </c>
      <c r="AJ681" s="226"/>
      <c r="CC681" s="182" t="n">
        <f aca="false">G680</f>
        <v>37073</v>
      </c>
      <c r="CD681" s="253" t="e">
        <f aca="false">xSPRDOPT((VLOOKUP(G680,NGPrices,2,FALSE())+HLOOKUP(D680,Prices,VLOOKUP(G680,move_down,2,FALSE()),FALSE())),VLOOKUP(G680,NGPrices,2,FALSE()),I680,VLOOKUP(G680,NGPREVPRICES,4,FALSE()),HLOOKUP(D680,PREVVOLS,VLOOKUP(G680,MOVE_DOWN2,2,FALSE()),FALSE()),VLOOKUP(G680,NGPREVPRICES,3,FALSE()),HLOOKUP(D680,Correllate,VLOOKUP(G680,CorMove,2,FALSE()),FALSE()),Q680-$CD$3,R680,$CD$5)*H680-CJ681</f>
        <v>#NAME?</v>
      </c>
      <c r="CE681" s="253" t="e">
        <f aca="false">xSPRDOPT((VLOOKUP(G680,NGPREVPRICES,2,FALSE())+HLOOKUP(D680,PREVCURVES,VLOOKUP(G680,MOVE_DOWN2,2,FALSE()),FALSE())),VLOOKUP(G680,NGPREVPRICES,2,FALSE()),CK681,VLOOKUP(G680,NGPrices,4,FALSE()),HLOOKUP(D680,PREVVOLS,VLOOKUP(G680,MOVE_DOWN2,2,FALSE()),FALSE()),VLOOKUP(G680,NGPREVPRICES,3,FALSE()),HLOOKUP(D680,Correllate,VLOOKUP(G680,CorMove,2,FALSE()),FALSE()),Q680-$CD$3,R680,$CJ$5)*H680-CJ681</f>
        <v>#NAME?</v>
      </c>
      <c r="CF681" s="132" t="e">
        <f aca="false">(CJ681/VLOOKUP(CC681,discount,3,FALSE()))-(CJ681/VLOOKUP(CC681,discount,2,FALSE()))</f>
        <v>#NAME?</v>
      </c>
      <c r="CG681" s="253" t="e">
        <f aca="false">xSPRDOPT((VLOOKUP(G680,NGPREVPRICES,2,FALSE())+HLOOKUP(D680,PREVCURVES,VLOOKUP(G680,MOVE_DOWN2,2,FALSE()),FALSE())),VLOOKUP(G680,NGPREVPRICES,2,FALSE()),CK681,VLOOKUP(G680,NGPREVPRICES,4,FALSE()),HLOOKUP(D680,VOLS,VLOOKUP(G680,move_down,2,FALSE()),FALSE()),VLOOKUP(G680,NGPrices,3,FALSE()),HLOOKUP(D680,Correllate,VLOOKUP(G680,CorMove,2,FALSE()),FALSE()),Q680-$CD$3,R680,$CJ$5)*H680-CJ681</f>
        <v>#NAME?</v>
      </c>
      <c r="CH681" s="253" t="e">
        <f aca="false">xSPRDOPT((VLOOKUP(G680,NGPREVPRICES,2,FALSE())+HLOOKUP(D680,PREVCURVES,VLOOKUP(G680,MOVE_DOWN2,2,FALSE()),FALSE())),VLOOKUP(G680,NGPREVPRICES,2,FALSE()),CK681,VLOOKUP(G680,NGPREVPRICES,4,FALSE()),HLOOKUP(D680,PREVVOLS,VLOOKUP(G680,MOVE_DOWN2,2,FALSE()),FALSE()),VLOOKUP(G680,NGPREVPRICES,3,FALSE()),HLOOKUP(D680,Correllate,VLOOKUP(G680,CorMove,2,FALSE()),FALSE()),Q680-$C$3,R680,$CJ$5)*H680-CJ681</f>
        <v>#NAME?</v>
      </c>
      <c r="CI681" s="253" t="e">
        <f aca="false">SUM(CD681:CH681)</f>
        <v>#NAME?</v>
      </c>
      <c r="CJ681" s="253" t="e">
        <f aca="false">xSPRDOPT((VLOOKUP(G680,NGPREVPRICES,2,FALSE())+HLOOKUP(D680,PREVCURVES,VLOOKUP(G680,MOVE_DOWN2,2,FALSE()),FALSE())),VLOOKUP(G680,NGPREVPRICES,2,FALSE()),CK681,VLOOKUP(G680,NGPREVPRICES,4,FALSE()),HLOOKUP(D680,PREVVOLS,VLOOKUP(G680,MOVE_DOWN2,2,FALSE()),FALSE()),VLOOKUP(G680,NGPREVPRICES,3,FALSE()),HLOOKUP(D680,Correllate,VLOOKUP(G680,CorMove,2,FALSE()),FALSE()),Q680-$CD$3,R680,$CJ$5)*H680</f>
        <v>#NAME?</v>
      </c>
      <c r="CK681" s="254" t="n">
        <f aca="false">I680</f>
        <v>0.3</v>
      </c>
      <c r="CM681" s="0" t="str">
        <f aca="false">CONCATENATE(CC681,$CD$6)</f>
        <v>37073Curve Shift/Gamma</v>
      </c>
      <c r="CN681" s="0" t="str">
        <f aca="false">CONCATENATE($CC681,$CE$6)</f>
        <v>37073Rho</v>
      </c>
      <c r="CO681" s="0" t="str">
        <f aca="false">CONCATENATE($CC681,$CF$6)</f>
        <v>37073Drift</v>
      </c>
      <c r="CP681" s="0" t="str">
        <f aca="false">CONCATENATE($CC681,$CG$6)</f>
        <v>37073Vega</v>
      </c>
      <c r="CQ681" s="0" t="str">
        <f aca="false">CONCATENATE($CC681,$CH$6)</f>
        <v>37073Theta</v>
      </c>
    </row>
    <row r="682" customFormat="false" ht="12.75" hidden="false" customHeight="false" outlineLevel="0" collapsed="false">
      <c r="A682" s="17" t="s">
        <v>212</v>
      </c>
      <c r="B682" s="0" t="s">
        <v>192</v>
      </c>
      <c r="C682" s="0" t="s">
        <v>421</v>
      </c>
      <c r="D682" s="7" t="s">
        <v>149</v>
      </c>
      <c r="E682" s="0" t="s">
        <v>131</v>
      </c>
      <c r="F682" s="0" t="s">
        <v>132</v>
      </c>
      <c r="G682" s="92" t="n">
        <v>37135</v>
      </c>
      <c r="H682" s="248" t="n">
        <v>1000000</v>
      </c>
      <c r="I682" s="254" t="n">
        <v>0.3</v>
      </c>
      <c r="J682" s="124" t="n">
        <f aca="false">VLOOKUP(G682,NGPrices,2,FALSE())</f>
        <v>3.788</v>
      </c>
      <c r="K682" s="125" t="n">
        <f aca="false">HLOOKUP(D682,Prices,VLOOKUP(G682,move_down,2,FALSE()),FALSE())+VLOOKUP(G682,CHANGE,HLOOKUP(D682,CHANGE,2,FALSE()),FALSE())</f>
        <v>0.395</v>
      </c>
      <c r="L682" s="124" t="n">
        <f aca="false">K682+J682</f>
        <v>4.183</v>
      </c>
      <c r="M682" s="126" t="n">
        <f aca="false">VLOOKUP(G682,NGPrices,4,FALSE())</f>
        <v>0.069264550207512</v>
      </c>
      <c r="N682" s="7" t="n">
        <f aca="false">VLOOKUP(G682,NGPrices,3,FALSE())</f>
        <v>0.4</v>
      </c>
      <c r="O682" s="7" t="n">
        <f aca="false">HLOOKUP(D682,VOLS,VLOOKUP(G682,move_down,2,FALSE()),FALSE())</f>
        <v>0.392</v>
      </c>
      <c r="P682" s="249" t="n">
        <f aca="false">HLOOKUP(D682,Correllate,VLOOKUP(G682,CorMove,2,FALSE()),FALSE())</f>
        <v>0.9738</v>
      </c>
      <c r="Q682" s="92" t="n">
        <f aca="false">WORKDAY(G682,-2)</f>
        <v>37133</v>
      </c>
      <c r="R682" s="7" t="n">
        <f aca="false">IF(F682="P",0,1)</f>
        <v>0</v>
      </c>
      <c r="S682" s="130" t="e">
        <f aca="false">xSPRDOPT($L682,$J682,$I682,$M682,$O682,$N682,$P682,$Q682-$C$3,$R682,0)</f>
        <v>#NAME?</v>
      </c>
      <c r="T682" s="250" t="e">
        <f aca="false">xSPRDOPT($L682,$J682,$I682,$M682,$O682,$N682,$P682,$Q682-$C$3,$R682,1)*H682</f>
        <v>#NAME?</v>
      </c>
      <c r="U682" s="43" t="e">
        <f aca="false">S682*H682</f>
        <v>#NAME?</v>
      </c>
      <c r="V682" s="250" t="e">
        <f aca="false">xSPRDOPT($L682,$J682,$I682,$M682,$O682,$N682,$P682,$Q682-$C$3,$R682,2)*H682</f>
        <v>#NAME?</v>
      </c>
      <c r="W682" s="250" t="e">
        <f aca="false">+V682+T682</f>
        <v>#NAME?</v>
      </c>
      <c r="X682" s="2" t="str">
        <f aca="false">CONCATENATE(G682,D682)</f>
        <v>37135IF-TRANSCO/Z6</v>
      </c>
      <c r="Y682" s="251" t="n">
        <f aca="false">H682/10000</f>
        <v>100</v>
      </c>
      <c r="Z682" s="226" t="e">
        <f aca="false">T682/H682</f>
        <v>#NAME?</v>
      </c>
      <c r="AA682" s="226" t="e">
        <f aca="false">xSPRDOPT($L682,$J682,$I682,$M682,$O682,$N682,$P682,$Q682-$C$3,$R682,3)</f>
        <v>#NAME?</v>
      </c>
      <c r="AB682" s="226" t="e">
        <f aca="false">((xSPRDOPT($L682+AB$5,$J682,$I682,$M682,$O682,$N682,$P682,$Q682-$C$3,$R682,3)*$H682)/10000)/100</f>
        <v>#NAME?</v>
      </c>
      <c r="AC682" s="226" t="e">
        <f aca="false">((xSPRDOPT($L682+$AB$5,$J682,$I682,$M682,$O682,$N682,$P682,$Q682-$C$3,$R682,7)*$H682)/100)</f>
        <v>#NAME?</v>
      </c>
      <c r="AD682" s="226" t="e">
        <f aca="false">(xSPRDOPT($L682+$AB$5,$J682,$I682,$M682,$O682,$N682,$P682,$Q682-$C$3,$R682,9)/365)*$H682</f>
        <v>#NAME?</v>
      </c>
      <c r="AE682" s="0" t="e">
        <f aca="false">CD683</f>
        <v>#NAME?</v>
      </c>
      <c r="AF682" s="226" t="e">
        <f aca="false">((O682/N682)*AH682)+AG682</f>
        <v>#NAME?</v>
      </c>
      <c r="AG682" s="226" t="e">
        <f aca="false">((xSPRDOPT($L682,$J682,$I682,$M682,$O682,$N682,$P682,$Q682-$C$3,$R682,6)*$H682)/100)</f>
        <v>#NAME?</v>
      </c>
      <c r="AH682" s="226" t="e">
        <f aca="false">((xSPRDOPT($L682,$J682,$I682,$M682,$O682,$N682,$P682,$Q682-$C$3,$R682,5)*$H682)/100)</f>
        <v>#NAME?</v>
      </c>
      <c r="AI682" s="226" t="e">
        <f aca="false">(((xSPRDOPT($L682,$J682,$I682,$M682,$O682,$N682,$P682,$Q682-$C$3,$R682,4)*$H682)/10000)/100)-AB682</f>
        <v>#NAME?</v>
      </c>
      <c r="AJ682" s="226"/>
      <c r="CC682" s="182" t="n">
        <f aca="false">G681</f>
        <v>37104</v>
      </c>
      <c r="CD682" s="253" t="e">
        <f aca="false">xSPRDOPT((VLOOKUP(G681,NGPrices,2,FALSE())+HLOOKUP(D681,Prices,VLOOKUP(G681,move_down,2,FALSE()),FALSE())),VLOOKUP(G681,NGPrices,2,FALSE()),I681,VLOOKUP(G681,NGPREVPRICES,4,FALSE()),HLOOKUP(D681,PREVVOLS,VLOOKUP(G681,MOVE_DOWN2,2,FALSE()),FALSE()),VLOOKUP(G681,NGPREVPRICES,3,FALSE()),HLOOKUP(D681,Correllate,VLOOKUP(G681,CorMove,2,FALSE()),FALSE()),Q681-$CD$3,R681,$CD$5)*H681-CJ682</f>
        <v>#NAME?</v>
      </c>
      <c r="CE682" s="253" t="e">
        <f aca="false">xSPRDOPT((VLOOKUP(G681,NGPREVPRICES,2,FALSE())+HLOOKUP(D681,PREVCURVES,VLOOKUP(G681,MOVE_DOWN2,2,FALSE()),FALSE())),VLOOKUP(G681,NGPREVPRICES,2,FALSE()),CK682,VLOOKUP(G681,NGPrices,4,FALSE()),HLOOKUP(D681,PREVVOLS,VLOOKUP(G681,MOVE_DOWN2,2,FALSE()),FALSE()),VLOOKUP(G681,NGPREVPRICES,3,FALSE()),HLOOKUP(D681,Correllate,VLOOKUP(G681,CorMove,2,FALSE()),FALSE()),Q681-$CD$3,R681,$CJ$5)*H681-CJ682</f>
        <v>#NAME?</v>
      </c>
      <c r="CF682" s="132" t="e">
        <f aca="false">(CJ682/VLOOKUP(CC682,discount,3,FALSE()))-(CJ682/VLOOKUP(CC682,discount,2,FALSE()))</f>
        <v>#NAME?</v>
      </c>
      <c r="CG682" s="253" t="e">
        <f aca="false">xSPRDOPT((VLOOKUP(G681,NGPREVPRICES,2,FALSE())+HLOOKUP(D681,PREVCURVES,VLOOKUP(G681,MOVE_DOWN2,2,FALSE()),FALSE())),VLOOKUP(G681,NGPREVPRICES,2,FALSE()),CK682,VLOOKUP(G681,NGPREVPRICES,4,FALSE()),HLOOKUP(D681,VOLS,VLOOKUP(G681,move_down,2,FALSE()),FALSE()),VLOOKUP(G681,NGPrices,3,FALSE()),HLOOKUP(D681,Correllate,VLOOKUP(G681,CorMove,2,FALSE()),FALSE()),Q681-$CD$3,R681,$CJ$5)*H681-CJ682</f>
        <v>#NAME?</v>
      </c>
      <c r="CH682" s="253" t="e">
        <f aca="false">xSPRDOPT((VLOOKUP(G681,NGPREVPRICES,2,FALSE())+HLOOKUP(D681,PREVCURVES,VLOOKUP(G681,MOVE_DOWN2,2,FALSE()),FALSE())),VLOOKUP(G681,NGPREVPRICES,2,FALSE()),CK682,VLOOKUP(G681,NGPREVPRICES,4,FALSE()),HLOOKUP(D681,PREVVOLS,VLOOKUP(G681,MOVE_DOWN2,2,FALSE()),FALSE()),VLOOKUP(G681,NGPREVPRICES,3,FALSE()),HLOOKUP(D681,Correllate,VLOOKUP(G681,CorMove,2,FALSE()),FALSE()),Q681-$C$3,R681,$CJ$5)*H681-CJ682</f>
        <v>#NAME?</v>
      </c>
      <c r="CI682" s="253" t="e">
        <f aca="false">SUM(CD682:CH682)</f>
        <v>#NAME?</v>
      </c>
      <c r="CJ682" s="253" t="e">
        <f aca="false">xSPRDOPT((VLOOKUP(G681,NGPREVPRICES,2,FALSE())+HLOOKUP(D681,PREVCURVES,VLOOKUP(G681,MOVE_DOWN2,2,FALSE()),FALSE())),VLOOKUP(G681,NGPREVPRICES,2,FALSE()),CK682,VLOOKUP(G681,NGPREVPRICES,4,FALSE()),HLOOKUP(D681,PREVVOLS,VLOOKUP(G681,MOVE_DOWN2,2,FALSE()),FALSE()),VLOOKUP(G681,NGPREVPRICES,3,FALSE()),HLOOKUP(D681,Correllate,VLOOKUP(G681,CorMove,2,FALSE()),FALSE()),Q681-$CD$3,R681,$CJ$5)*H681</f>
        <v>#NAME?</v>
      </c>
      <c r="CK682" s="254" t="n">
        <f aca="false">I681</f>
        <v>0.3</v>
      </c>
      <c r="CM682" s="0" t="str">
        <f aca="false">CONCATENATE(CC682,$CD$6)</f>
        <v>37104Curve Shift/Gamma</v>
      </c>
      <c r="CN682" s="0" t="str">
        <f aca="false">CONCATENATE($CC682,$CE$6)</f>
        <v>37104Rho</v>
      </c>
      <c r="CO682" s="0" t="str">
        <f aca="false">CONCATENATE($CC682,$CF$6)</f>
        <v>37104Drift</v>
      </c>
      <c r="CP682" s="0" t="str">
        <f aca="false">CONCATENATE($CC682,$CG$6)</f>
        <v>37104Vega</v>
      </c>
      <c r="CQ682" s="0" t="str">
        <f aca="false">CONCATENATE($CC682,$CH$6)</f>
        <v>37104Theta</v>
      </c>
    </row>
    <row r="683" customFormat="false" ht="12.75" hidden="false" customHeight="false" outlineLevel="0" collapsed="false">
      <c r="A683" s="17" t="s">
        <v>212</v>
      </c>
      <c r="B683" s="0" t="s">
        <v>192</v>
      </c>
      <c r="C683" s="0" t="s">
        <v>421</v>
      </c>
      <c r="D683" s="7" t="s">
        <v>149</v>
      </c>
      <c r="E683" s="0" t="s">
        <v>131</v>
      </c>
      <c r="F683" s="0" t="s">
        <v>132</v>
      </c>
      <c r="G683" s="92" t="n">
        <v>37165</v>
      </c>
      <c r="H683" s="248" t="n">
        <v>1000000</v>
      </c>
      <c r="I683" s="254" t="n">
        <v>0.3</v>
      </c>
      <c r="J683" s="124" t="n">
        <f aca="false">VLOOKUP(G683,NGPrices,2,FALSE())</f>
        <v>3.773</v>
      </c>
      <c r="K683" s="125" t="n">
        <f aca="false">HLOOKUP(D683,Prices,VLOOKUP(G683,move_down,2,FALSE()),FALSE())+VLOOKUP(G683,CHANGE,HLOOKUP(D683,CHANGE,2,FALSE()),FALSE())</f>
        <v>0.461</v>
      </c>
      <c r="L683" s="124" t="n">
        <f aca="false">K683+J683</f>
        <v>4.234</v>
      </c>
      <c r="M683" s="126" t="n">
        <f aca="false">VLOOKUP(G683,NGPrices,4,FALSE())</f>
        <v>0.069300944538364</v>
      </c>
      <c r="N683" s="7" t="n">
        <f aca="false">VLOOKUP(G683,NGPrices,3,FALSE())</f>
        <v>0.4025</v>
      </c>
      <c r="O683" s="7" t="n">
        <f aca="false">HLOOKUP(D683,VOLS,VLOOKUP(G683,move_down,2,FALSE()),FALSE())</f>
        <v>0.394</v>
      </c>
      <c r="P683" s="249" t="n">
        <f aca="false">HLOOKUP(D683,Correllate,VLOOKUP(G683,CorMove,2,FALSE()),FALSE())</f>
        <v>0.9738</v>
      </c>
      <c r="Q683" s="92" t="n">
        <f aca="false">WORKDAY(G683,-2)</f>
        <v>37161</v>
      </c>
      <c r="R683" s="7" t="n">
        <f aca="false">IF(F683="P",0,1)</f>
        <v>0</v>
      </c>
      <c r="S683" s="130" t="e">
        <f aca="false">xSPRDOPT($L683,$J683,$I683,$M683,$O683,$N683,$P683,$Q683-$C$3,$R683,0)</f>
        <v>#NAME?</v>
      </c>
      <c r="T683" s="250" t="e">
        <f aca="false">xSPRDOPT($L683,$J683,$I683,$M683,$O683,$N683,$P683,$Q683-$C$3,$R683,1)*H683</f>
        <v>#NAME?</v>
      </c>
      <c r="U683" s="43" t="e">
        <f aca="false">S683*H683</f>
        <v>#NAME?</v>
      </c>
      <c r="V683" s="250" t="e">
        <f aca="false">xSPRDOPT($L683,$J683,$I683,$M683,$O683,$N683,$P683,$Q683-$C$3,$R683,2)*H683</f>
        <v>#NAME?</v>
      </c>
      <c r="W683" s="250" t="e">
        <f aca="false">+V683+T683</f>
        <v>#NAME?</v>
      </c>
      <c r="X683" s="2" t="str">
        <f aca="false">CONCATENATE(G683,D683)</f>
        <v>37165IF-TRANSCO/Z6</v>
      </c>
      <c r="Y683" s="251" t="n">
        <f aca="false">H683/10000</f>
        <v>100</v>
      </c>
      <c r="Z683" s="226" t="e">
        <f aca="false">T683/H683</f>
        <v>#NAME?</v>
      </c>
      <c r="AA683" s="226" t="e">
        <f aca="false">xSPRDOPT($L683,$J683,$I683,$M683,$O683,$N683,$P683,$Q683-$C$3,$R683,3)</f>
        <v>#NAME?</v>
      </c>
      <c r="AB683" s="226" t="e">
        <f aca="false">((xSPRDOPT($L683+AB$5,$J683,$I683,$M683,$O683,$N683,$P683,$Q683-$C$3,$R683,3)*$H683)/10000)/100</f>
        <v>#NAME?</v>
      </c>
      <c r="AC683" s="226" t="e">
        <f aca="false">((xSPRDOPT($L683+$AB$5,$J683,$I683,$M683,$O683,$N683,$P683,$Q683-$C$3,$R683,7)*$H683)/100)</f>
        <v>#NAME?</v>
      </c>
      <c r="AD683" s="226" t="e">
        <f aca="false">(xSPRDOPT($L683+$AB$5,$J683,$I683,$M683,$O683,$N683,$P683,$Q683-$C$3,$R683,9)/365)*$H683</f>
        <v>#NAME?</v>
      </c>
      <c r="AE683" s="0" t="e">
        <f aca="false">CD684</f>
        <v>#NAME?</v>
      </c>
      <c r="AF683" s="226" t="e">
        <f aca="false">((O683/N683)*AH683)+AG683</f>
        <v>#NAME?</v>
      </c>
      <c r="AG683" s="226" t="e">
        <f aca="false">((xSPRDOPT($L683,$J683,$I683,$M683,$O683,$N683,$P683,$Q683-$C$3,$R683,6)*$H683)/100)</f>
        <v>#NAME?</v>
      </c>
      <c r="AH683" s="226" t="e">
        <f aca="false">((xSPRDOPT($L683,$J683,$I683,$M683,$O683,$N683,$P683,$Q683-$C$3,$R683,5)*$H683)/100)</f>
        <v>#NAME?</v>
      </c>
      <c r="AI683" s="226" t="e">
        <f aca="false">(((xSPRDOPT($L683,$J683,$I683,$M683,$O683,$N683,$P683,$Q683-$C$3,$R683,4)*$H683)/10000)/100)-AB683</f>
        <v>#NAME?</v>
      </c>
      <c r="AJ683" s="226"/>
      <c r="CC683" s="182" t="n">
        <f aca="false">G682</f>
        <v>37135</v>
      </c>
      <c r="CD683" s="253" t="e">
        <f aca="false">xSPRDOPT((VLOOKUP(G682,NGPrices,2,FALSE())+HLOOKUP(D682,Prices,VLOOKUP(G682,move_down,2,FALSE()),FALSE())),VLOOKUP(G682,NGPrices,2,FALSE()),I682,VLOOKUP(G682,NGPREVPRICES,4,FALSE()),HLOOKUP(D682,PREVVOLS,VLOOKUP(G682,MOVE_DOWN2,2,FALSE()),FALSE()),VLOOKUP(G682,NGPREVPRICES,3,FALSE()),HLOOKUP(D682,Correllate,VLOOKUP(G682,CorMove,2,FALSE()),FALSE()),Q682-$CD$3,R682,$CD$5)*H682-CJ683</f>
        <v>#NAME?</v>
      </c>
      <c r="CE683" s="253" t="e">
        <f aca="false">xSPRDOPT((VLOOKUP(G682,NGPREVPRICES,2,FALSE())+HLOOKUP(D682,PREVCURVES,VLOOKUP(G682,MOVE_DOWN2,2,FALSE()),FALSE())),VLOOKUP(G682,NGPREVPRICES,2,FALSE()),CK683,VLOOKUP(G682,NGPrices,4,FALSE()),HLOOKUP(D682,PREVVOLS,VLOOKUP(G682,MOVE_DOWN2,2,FALSE()),FALSE()),VLOOKUP(G682,NGPREVPRICES,3,FALSE()),HLOOKUP(D682,Correllate,VLOOKUP(G682,CorMove,2,FALSE()),FALSE()),Q682-$CD$3,R682,$CJ$5)*H682-CJ683</f>
        <v>#NAME?</v>
      </c>
      <c r="CF683" s="132" t="e">
        <f aca="false">(CJ683/VLOOKUP(CC683,discount,3,FALSE()))-(CJ683/VLOOKUP(CC683,discount,2,FALSE()))</f>
        <v>#NAME?</v>
      </c>
      <c r="CG683" s="253" t="e">
        <f aca="false">xSPRDOPT((VLOOKUP(G682,NGPREVPRICES,2,FALSE())+HLOOKUP(D682,PREVCURVES,VLOOKUP(G682,MOVE_DOWN2,2,FALSE()),FALSE())),VLOOKUP(G682,NGPREVPRICES,2,FALSE()),CK683,VLOOKUP(G682,NGPREVPRICES,4,FALSE()),HLOOKUP(D682,VOLS,VLOOKUP(G682,move_down,2,FALSE()),FALSE()),VLOOKUP(G682,NGPrices,3,FALSE()),HLOOKUP(D682,Correllate,VLOOKUP(G682,CorMove,2,FALSE()),FALSE()),Q682-$CD$3,R682,$CJ$5)*H682-CJ683</f>
        <v>#NAME?</v>
      </c>
      <c r="CH683" s="253" t="e">
        <f aca="false">xSPRDOPT((VLOOKUP(G682,NGPREVPRICES,2,FALSE())+HLOOKUP(D682,PREVCURVES,VLOOKUP(G682,MOVE_DOWN2,2,FALSE()),FALSE())),VLOOKUP(G682,NGPREVPRICES,2,FALSE()),CK683,VLOOKUP(G682,NGPREVPRICES,4,FALSE()),HLOOKUP(D682,PREVVOLS,VLOOKUP(G682,MOVE_DOWN2,2,FALSE()),FALSE()),VLOOKUP(G682,NGPREVPRICES,3,FALSE()),HLOOKUP(D682,Correllate,VLOOKUP(G682,CorMove,2,FALSE()),FALSE()),Q682-$C$3,R682,$CJ$5)*H682-CJ683</f>
        <v>#NAME?</v>
      </c>
      <c r="CI683" s="253" t="e">
        <f aca="false">SUM(CD683:CH683)</f>
        <v>#NAME?</v>
      </c>
      <c r="CJ683" s="253" t="e">
        <f aca="false">xSPRDOPT((VLOOKUP(G682,NGPREVPRICES,2,FALSE())+HLOOKUP(D682,PREVCURVES,VLOOKUP(G682,MOVE_DOWN2,2,FALSE()),FALSE())),VLOOKUP(G682,NGPREVPRICES,2,FALSE()),CK683,VLOOKUP(G682,NGPREVPRICES,4,FALSE()),HLOOKUP(D682,PREVVOLS,VLOOKUP(G682,MOVE_DOWN2,2,FALSE()),FALSE()),VLOOKUP(G682,NGPREVPRICES,3,FALSE()),HLOOKUP(D682,Correllate,VLOOKUP(G682,CorMove,2,FALSE()),FALSE()),Q682-$CD$3,R682,$CJ$5)*H682</f>
        <v>#NAME?</v>
      </c>
      <c r="CK683" s="254" t="n">
        <f aca="false">I682</f>
        <v>0.3</v>
      </c>
      <c r="CM683" s="0" t="str">
        <f aca="false">CONCATENATE(CC683,$CD$6)</f>
        <v>37135Curve Shift/Gamma</v>
      </c>
      <c r="CN683" s="0" t="str">
        <f aca="false">CONCATENATE($CC683,$CE$6)</f>
        <v>37135Rho</v>
      </c>
      <c r="CO683" s="0" t="str">
        <f aca="false">CONCATENATE($CC683,$CF$6)</f>
        <v>37135Drift</v>
      </c>
      <c r="CP683" s="0" t="str">
        <f aca="false">CONCATENATE($CC683,$CG$6)</f>
        <v>37135Vega</v>
      </c>
      <c r="CQ683" s="0" t="str">
        <f aca="false">CONCATENATE($CC683,$CH$6)</f>
        <v>37135Theta</v>
      </c>
    </row>
    <row r="684" customFormat="false" ht="12.75" hidden="false" customHeight="false" outlineLevel="0" collapsed="false">
      <c r="A684" s="17" t="s">
        <v>198</v>
      </c>
      <c r="B684" s="0" t="s">
        <v>192</v>
      </c>
      <c r="C684" s="0" t="s">
        <v>422</v>
      </c>
      <c r="D684" s="7" t="s">
        <v>151</v>
      </c>
      <c r="E684" s="0" t="s">
        <v>131</v>
      </c>
      <c r="F684" s="0" t="s">
        <v>136</v>
      </c>
      <c r="G684" s="92" t="n">
        <v>36770</v>
      </c>
      <c r="H684" s="248" t="n">
        <v>-1000000</v>
      </c>
      <c r="I684" s="254" t="n">
        <v>-1.17</v>
      </c>
      <c r="J684" s="124" t="n">
        <f aca="false">VLOOKUP(G684,NGPrices,2,FALSE())</f>
        <v>4.685</v>
      </c>
      <c r="K684" s="125" t="n">
        <f aca="false">HLOOKUP(D684,Prices,VLOOKUP(G684,move_down,2,FALSE()),FALSE())+VLOOKUP(G684,CHANGE,HLOOKUP(D684,CHANGE,2,FALSE()),FALSE())</f>
        <v>-1.24</v>
      </c>
      <c r="L684" s="124" t="n">
        <f aca="false">K684+J684</f>
        <v>3.445</v>
      </c>
      <c r="M684" s="126" t="n">
        <f aca="false">VLOOKUP(G684,NGPrices,4,FALSE())</f>
        <v>0.067216196212185</v>
      </c>
      <c r="N684" s="7" t="n">
        <f aca="false">VLOOKUP(G684,NGPrices,3,FALSE())</f>
        <v>0.4</v>
      </c>
      <c r="O684" s="7" t="n">
        <f aca="false">HLOOKUP(D684,VOLS,VLOOKUP(G684,move_down,2,FALSE()),FALSE())</f>
        <v>0.384</v>
      </c>
      <c r="P684" s="249" t="n">
        <f aca="false">HLOOKUP(D684,Correllate,VLOOKUP(G684,CorMove,2,FALSE()),FALSE())</f>
        <v>0.84</v>
      </c>
      <c r="Q684" s="92" t="n">
        <f aca="false">WORKDAY(G684,-2)</f>
        <v>36768</v>
      </c>
      <c r="R684" s="7" t="n">
        <f aca="false">IF(F684="P",0,1)</f>
        <v>1</v>
      </c>
      <c r="S684" s="130" t="e">
        <f aca="false">xSPRDOPT($L684,$J684,$I684,$M684,$O684,$N684,$P684,$Q684-$C$3,$R684,0)</f>
        <v>#NAME?</v>
      </c>
      <c r="T684" s="250" t="e">
        <f aca="false">xSPRDOPT($L684,$J684,$I684,$M684,$O684,$N684,$P684,$Q684-$C$3,$R684,1)*H684</f>
        <v>#NAME?</v>
      </c>
      <c r="U684" s="43" t="e">
        <f aca="false">S684*H684</f>
        <v>#NAME?</v>
      </c>
      <c r="V684" s="250" t="e">
        <f aca="false">xSPRDOPT($L684,$J684,$I684,$M684,$O684,$N684,$P684,$Q684-$C$3,$R684,2)*H684</f>
        <v>#NAME?</v>
      </c>
      <c r="W684" s="250" t="e">
        <f aca="false">+V684+T684</f>
        <v>#NAME?</v>
      </c>
      <c r="X684" s="2" t="str">
        <f aca="false">CONCATENATE(G684,D684)</f>
        <v>36770IF-NWPL_ROCKY_M</v>
      </c>
      <c r="Y684" s="251" t="n">
        <f aca="false">H684/10000</f>
        <v>-100</v>
      </c>
      <c r="Z684" s="226" t="e">
        <f aca="false">T684/H684</f>
        <v>#NAME?</v>
      </c>
      <c r="AA684" s="226" t="e">
        <f aca="false">xSPRDOPT($L684,$J684,$I684,$M684,$O684,$N684,$P684,$Q684-$C$3,$R684,3)</f>
        <v>#NAME?</v>
      </c>
      <c r="AB684" s="226" t="e">
        <f aca="false">((xSPRDOPT($L684+AB$5,$J684,$I684,$M684,$O684,$N684,$P684,$Q684-$C$3,$R684,3)*$H684)/10000)/100</f>
        <v>#NAME?</v>
      </c>
      <c r="AC684" s="226" t="e">
        <f aca="false">((xSPRDOPT($L684+$AB$5,$J684,$I684,$M684,$O684,$N684,$P684,$Q684-$C$3,$R684,7)*$H684)/100)</f>
        <v>#NAME?</v>
      </c>
      <c r="AD684" s="226" t="e">
        <f aca="false">(xSPRDOPT($L684+$AB$5,$J684,$I684,$M684,$O684,$N684,$P684,$Q684-$C$3,$R684,9)/365)*$H684</f>
        <v>#NAME?</v>
      </c>
      <c r="AE684" s="0" t="e">
        <f aca="false">CD685</f>
        <v>#NAME?</v>
      </c>
      <c r="AF684" s="226" t="e">
        <f aca="false">((O684/N684)*AH684)+AG684</f>
        <v>#NAME?</v>
      </c>
      <c r="AG684" s="226" t="e">
        <f aca="false">((xSPRDOPT($L684,$J684,$I684,$M684,$O684,$N684,$P684,$Q684-$C$3,$R684,6)*$H684)/100)</f>
        <v>#NAME?</v>
      </c>
      <c r="AH684" s="226" t="e">
        <f aca="false">((xSPRDOPT($L684,$J684,$I684,$M684,$O684,$N684,$P684,$Q684-$C$3,$R684,5)*$H684)/100)</f>
        <v>#NAME?</v>
      </c>
      <c r="AI684" s="226" t="e">
        <f aca="false">(((xSPRDOPT($L684,$J684,$I684,$M684,$O684,$N684,$P684,$Q684-$C$3,$R684,4)*$H684)/10000)/100)-AB684</f>
        <v>#NAME?</v>
      </c>
      <c r="AJ684" s="226"/>
      <c r="CC684" s="182" t="n">
        <f aca="false">G683</f>
        <v>37165</v>
      </c>
      <c r="CD684" s="253" t="e">
        <f aca="false">xSPRDOPT((VLOOKUP(G683,NGPrices,2,FALSE())+HLOOKUP(D683,Prices,VLOOKUP(G683,move_down,2,FALSE()),FALSE())),VLOOKUP(G683,NGPrices,2,FALSE()),I683,VLOOKUP(G683,NGPREVPRICES,4,FALSE()),HLOOKUP(D683,PREVVOLS,VLOOKUP(G683,MOVE_DOWN2,2,FALSE()),FALSE()),VLOOKUP(G683,NGPREVPRICES,3,FALSE()),HLOOKUP(D683,Correllate,VLOOKUP(G683,CorMove,2,FALSE()),FALSE()),Q683-$CD$3,R683,$CD$5)*H683-CJ684</f>
        <v>#NAME?</v>
      </c>
      <c r="CE684" s="253" t="e">
        <f aca="false">xSPRDOPT((VLOOKUP(G683,NGPREVPRICES,2,FALSE())+HLOOKUP(D683,PREVCURVES,VLOOKUP(G683,MOVE_DOWN2,2,FALSE()),FALSE())),VLOOKUP(G683,NGPREVPRICES,2,FALSE()),CK684,VLOOKUP(G683,NGPrices,4,FALSE()),HLOOKUP(D683,PREVVOLS,VLOOKUP(G683,MOVE_DOWN2,2,FALSE()),FALSE()),VLOOKUP(G683,NGPREVPRICES,3,FALSE()),HLOOKUP(D683,Correllate,VLOOKUP(G683,CorMove,2,FALSE()),FALSE()),Q683-$CD$3,R683,$CJ$5)*H683-CJ684</f>
        <v>#NAME?</v>
      </c>
      <c r="CF684" s="132" t="e">
        <f aca="false">(CJ684/VLOOKUP(CC684,discount,3,FALSE()))-(CJ684/VLOOKUP(CC684,discount,2,FALSE()))</f>
        <v>#NAME?</v>
      </c>
      <c r="CG684" s="253" t="e">
        <f aca="false">xSPRDOPT((VLOOKUP(G683,NGPREVPRICES,2,FALSE())+HLOOKUP(D683,PREVCURVES,VLOOKUP(G683,MOVE_DOWN2,2,FALSE()),FALSE())),VLOOKUP(G683,NGPREVPRICES,2,FALSE()),CK684,VLOOKUP(G683,NGPREVPRICES,4,FALSE()),HLOOKUP(D683,VOLS,VLOOKUP(G683,move_down,2,FALSE()),FALSE()),VLOOKUP(G683,NGPrices,3,FALSE()),HLOOKUP(D683,Correllate,VLOOKUP(G683,CorMove,2,FALSE()),FALSE()),Q683-$CD$3,R683,$CJ$5)*H683-CJ684</f>
        <v>#NAME?</v>
      </c>
      <c r="CH684" s="253" t="e">
        <f aca="false">xSPRDOPT((VLOOKUP(G683,NGPREVPRICES,2,FALSE())+HLOOKUP(D683,PREVCURVES,VLOOKUP(G683,MOVE_DOWN2,2,FALSE()),FALSE())),VLOOKUP(G683,NGPREVPRICES,2,FALSE()),CK684,VLOOKUP(G683,NGPREVPRICES,4,FALSE()),HLOOKUP(D683,PREVVOLS,VLOOKUP(G683,MOVE_DOWN2,2,FALSE()),FALSE()),VLOOKUP(G683,NGPREVPRICES,3,FALSE()),HLOOKUP(D683,Correllate,VLOOKUP(G683,CorMove,2,FALSE()),FALSE()),Q683-$C$3,R683,$CJ$5)*H683-CJ684</f>
        <v>#NAME?</v>
      </c>
      <c r="CI684" s="253" t="e">
        <f aca="false">SUM(CD684:CH684)</f>
        <v>#NAME?</v>
      </c>
      <c r="CJ684" s="253" t="e">
        <f aca="false">xSPRDOPT((VLOOKUP(G683,NGPREVPRICES,2,FALSE())+HLOOKUP(D683,PREVCURVES,VLOOKUP(G683,MOVE_DOWN2,2,FALSE()),FALSE())),VLOOKUP(G683,NGPREVPRICES,2,FALSE()),CK684,VLOOKUP(G683,NGPREVPRICES,4,FALSE()),HLOOKUP(D683,PREVVOLS,VLOOKUP(G683,MOVE_DOWN2,2,FALSE()),FALSE()),VLOOKUP(G683,NGPREVPRICES,3,FALSE()),HLOOKUP(D683,Correllate,VLOOKUP(G683,CorMove,2,FALSE()),FALSE()),Q683-$CD$3,R683,$CJ$5)*H683</f>
        <v>#NAME?</v>
      </c>
      <c r="CK684" s="254" t="n">
        <f aca="false">I683</f>
        <v>0.3</v>
      </c>
      <c r="CM684" s="0" t="str">
        <f aca="false">CONCATENATE(CC684,$CD$6)</f>
        <v>37165Curve Shift/Gamma</v>
      </c>
      <c r="CN684" s="0" t="str">
        <f aca="false">CONCATENATE($CC684,$CE$6)</f>
        <v>37165Rho</v>
      </c>
      <c r="CO684" s="0" t="str">
        <f aca="false">CONCATENATE($CC684,$CF$6)</f>
        <v>37165Drift</v>
      </c>
      <c r="CP684" s="0" t="str">
        <f aca="false">CONCATENATE($CC684,$CG$6)</f>
        <v>37165Vega</v>
      </c>
      <c r="CQ684" s="0" t="str">
        <f aca="false">CONCATENATE($CC684,$CH$6)</f>
        <v>37165Theta</v>
      </c>
    </row>
    <row r="685" customFormat="false" ht="12.75" hidden="false" customHeight="false" outlineLevel="0" collapsed="false">
      <c r="A685" s="17" t="s">
        <v>198</v>
      </c>
      <c r="B685" s="0" t="s">
        <v>192</v>
      </c>
      <c r="C685" s="0" t="s">
        <v>423</v>
      </c>
      <c r="D685" s="7" t="s">
        <v>151</v>
      </c>
      <c r="E685" s="0" t="s">
        <v>131</v>
      </c>
      <c r="F685" s="0" t="s">
        <v>132</v>
      </c>
      <c r="G685" s="92" t="n">
        <v>36770</v>
      </c>
      <c r="H685" s="248" t="n">
        <v>-1000000</v>
      </c>
      <c r="I685" s="254" t="n">
        <v>-1.17</v>
      </c>
      <c r="J685" s="124" t="n">
        <f aca="false">VLOOKUP(G685,NGPrices,2,FALSE())</f>
        <v>4.685</v>
      </c>
      <c r="K685" s="125" t="n">
        <f aca="false">HLOOKUP(D685,Prices,VLOOKUP(G685,move_down,2,FALSE()),FALSE())+VLOOKUP(G685,CHANGE,HLOOKUP(D685,CHANGE,2,FALSE()),FALSE())</f>
        <v>-1.24</v>
      </c>
      <c r="L685" s="124" t="n">
        <f aca="false">K685+J685</f>
        <v>3.445</v>
      </c>
      <c r="M685" s="126" t="n">
        <f aca="false">VLOOKUP(G685,NGPrices,4,FALSE())</f>
        <v>0.067216196212185</v>
      </c>
      <c r="N685" s="7" t="n">
        <f aca="false">VLOOKUP(G685,NGPrices,3,FALSE())</f>
        <v>0.4</v>
      </c>
      <c r="O685" s="7" t="n">
        <f aca="false">HLOOKUP(D685,VOLS,VLOOKUP(G685,move_down,2,FALSE()),FALSE())</f>
        <v>0.384</v>
      </c>
      <c r="P685" s="249" t="n">
        <f aca="false">HLOOKUP(D685,Correllate,VLOOKUP(G685,CorMove,2,FALSE()),FALSE())</f>
        <v>0.84</v>
      </c>
      <c r="Q685" s="92" t="n">
        <f aca="false">WORKDAY(G685,-2)</f>
        <v>36768</v>
      </c>
      <c r="R685" s="7" t="n">
        <f aca="false">IF(F685="P",0,1)</f>
        <v>0</v>
      </c>
      <c r="S685" s="130" t="e">
        <f aca="false">xSPRDOPT($L685,$J685,$I685,$M685,$O685,$N685,$P685,$Q685-$C$3,$R685,0)</f>
        <v>#NAME?</v>
      </c>
      <c r="T685" s="250" t="e">
        <f aca="false">xSPRDOPT($L685,$J685,$I685,$M685,$O685,$N685,$P685,$Q685-$C$3,$R685,1)*H685</f>
        <v>#NAME?</v>
      </c>
      <c r="U685" s="43" t="e">
        <f aca="false">S685*H685</f>
        <v>#NAME?</v>
      </c>
      <c r="V685" s="250" t="e">
        <f aca="false">xSPRDOPT($L685,$J685,$I685,$M685,$O685,$N685,$P685,$Q685-$C$3,$R685,2)*H685</f>
        <v>#NAME?</v>
      </c>
      <c r="W685" s="250" t="e">
        <f aca="false">+V685+T685</f>
        <v>#NAME?</v>
      </c>
      <c r="X685" s="2" t="str">
        <f aca="false">CONCATENATE(G685,D685)</f>
        <v>36770IF-NWPL_ROCKY_M</v>
      </c>
      <c r="Y685" s="251" t="n">
        <f aca="false">H685/10000</f>
        <v>-100</v>
      </c>
      <c r="Z685" s="226" t="e">
        <f aca="false">T685/H685</f>
        <v>#NAME?</v>
      </c>
      <c r="AA685" s="226" t="e">
        <f aca="false">xSPRDOPT($L685,$J685,$I685,$M685,$O685,$N685,$P685,$Q685-$C$3,$R685,3)</f>
        <v>#NAME?</v>
      </c>
      <c r="AB685" s="226" t="e">
        <f aca="false">((xSPRDOPT($L685+AB$5,$J685,$I685,$M685,$O685,$N685,$P685,$Q685-$C$3,$R685,3)*$H685)/10000)/100</f>
        <v>#NAME?</v>
      </c>
      <c r="AC685" s="226" t="e">
        <f aca="false">((xSPRDOPT($L685+$AB$5,$J685,$I685,$M685,$O685,$N685,$P685,$Q685-$C$3,$R685,7)*$H685)/100)</f>
        <v>#NAME?</v>
      </c>
      <c r="AD685" s="226" t="e">
        <f aca="false">(xSPRDOPT($L685+$AB$5,$J685,$I685,$M685,$O685,$N685,$P685,$Q685-$C$3,$R685,9)/365)*$H685</f>
        <v>#NAME?</v>
      </c>
      <c r="AE685" s="0" t="e">
        <f aca="false">CD686</f>
        <v>#NAME?</v>
      </c>
      <c r="AF685" s="226" t="e">
        <f aca="false">((O685/N685)*AH685)+AG685</f>
        <v>#NAME?</v>
      </c>
      <c r="AG685" s="226" t="e">
        <f aca="false">((xSPRDOPT($L685,$J685,$I685,$M685,$O685,$N685,$P685,$Q685-$C$3,$R685,6)*$H685)/100)</f>
        <v>#NAME?</v>
      </c>
      <c r="AH685" s="226" t="e">
        <f aca="false">((xSPRDOPT($L685,$J685,$I685,$M685,$O685,$N685,$P685,$Q685-$C$3,$R685,5)*$H685)/100)</f>
        <v>#NAME?</v>
      </c>
      <c r="AI685" s="226" t="e">
        <f aca="false">(((xSPRDOPT($L685,$J685,$I685,$M685,$O685,$N685,$P685,$Q685-$C$3,$R685,4)*$H685)/10000)/100)-AB685</f>
        <v>#NAME?</v>
      </c>
      <c r="AJ685" s="226"/>
      <c r="CC685" s="182" t="n">
        <f aca="false">G684</f>
        <v>36770</v>
      </c>
      <c r="CD685" s="253" t="e">
        <f aca="false">xSPRDOPT((VLOOKUP(G684,NGPrices,2,FALSE())+HLOOKUP(D684,Prices,VLOOKUP(G684,move_down,2,FALSE()),FALSE())),VLOOKUP(G684,NGPrices,2,FALSE()),I684,VLOOKUP(G684,NGPREVPRICES,4,FALSE()),HLOOKUP(D684,PREVVOLS,VLOOKUP(G684,MOVE_DOWN2,2,FALSE()),FALSE()),VLOOKUP(G684,NGPREVPRICES,3,FALSE()),HLOOKUP(D684,Correllate,VLOOKUP(G684,CorMove,2,FALSE()),FALSE()),Q684-$CD$3,R684,$CD$5)*H684-CJ685</f>
        <v>#NAME?</v>
      </c>
      <c r="CE685" s="253" t="e">
        <f aca="false">xSPRDOPT((VLOOKUP(G684,NGPREVPRICES,2,FALSE())+HLOOKUP(D684,PREVCURVES,VLOOKUP(G684,MOVE_DOWN2,2,FALSE()),FALSE())),VLOOKUP(G684,NGPREVPRICES,2,FALSE()),CK685,VLOOKUP(G684,NGPrices,4,FALSE()),HLOOKUP(D684,PREVVOLS,VLOOKUP(G684,MOVE_DOWN2,2,FALSE()),FALSE()),VLOOKUP(G684,NGPREVPRICES,3,FALSE()),HLOOKUP(D684,Correllate,VLOOKUP(G684,CorMove,2,FALSE()),FALSE()),Q684-$CD$3,R684,$CJ$5)*H684-CJ685</f>
        <v>#NAME?</v>
      </c>
      <c r="CF685" s="132" t="e">
        <f aca="false">(CJ685/VLOOKUP(CC685,discount,3,FALSE()))-(CJ685/VLOOKUP(CC685,discount,2,FALSE()))</f>
        <v>#NAME?</v>
      </c>
      <c r="CG685" s="253" t="e">
        <f aca="false">xSPRDOPT((VLOOKUP(G684,NGPREVPRICES,2,FALSE())+HLOOKUP(D684,PREVCURVES,VLOOKUP(G684,MOVE_DOWN2,2,FALSE()),FALSE())),VLOOKUP(G684,NGPREVPRICES,2,FALSE()),CK685,VLOOKUP(G684,NGPREVPRICES,4,FALSE()),HLOOKUP(D684,VOLS,VLOOKUP(G684,move_down,2,FALSE()),FALSE()),VLOOKUP(G684,NGPrices,3,FALSE()),HLOOKUP(D684,Correllate,VLOOKUP(G684,CorMove,2,FALSE()),FALSE()),Q684-$CD$3,R684,$CJ$5)*H684-CJ685</f>
        <v>#NAME?</v>
      </c>
      <c r="CH685" s="253" t="e">
        <f aca="false">xSPRDOPT((VLOOKUP(G684,NGPREVPRICES,2,FALSE())+HLOOKUP(D684,PREVCURVES,VLOOKUP(G684,MOVE_DOWN2,2,FALSE()),FALSE())),VLOOKUP(G684,NGPREVPRICES,2,FALSE()),CK685,VLOOKUP(G684,NGPREVPRICES,4,FALSE()),HLOOKUP(D684,PREVVOLS,VLOOKUP(G684,MOVE_DOWN2,2,FALSE()),FALSE()),VLOOKUP(G684,NGPREVPRICES,3,FALSE()),HLOOKUP(D684,Correllate,VLOOKUP(G684,CorMove,2,FALSE()),FALSE()),Q684-$C$3,R684,$CJ$5)*H684-CJ685</f>
        <v>#NAME?</v>
      </c>
      <c r="CI685" s="253" t="e">
        <f aca="false">SUM(CD685:CH685)</f>
        <v>#NAME?</v>
      </c>
      <c r="CJ685" s="253" t="e">
        <f aca="false">xSPRDOPT((VLOOKUP(G684,NGPREVPRICES,2,FALSE())+HLOOKUP(D684,PREVCURVES,VLOOKUP(G684,MOVE_DOWN2,2,FALSE()),FALSE())),VLOOKUP(G684,NGPREVPRICES,2,FALSE()),CK685,VLOOKUP(G684,NGPREVPRICES,4,FALSE()),HLOOKUP(D684,PREVVOLS,VLOOKUP(G684,MOVE_DOWN2,2,FALSE()),FALSE()),VLOOKUP(G684,NGPREVPRICES,3,FALSE()),HLOOKUP(D684,Correllate,VLOOKUP(G684,CorMove,2,FALSE()),FALSE()),Q684-$CD$3,R684,$CJ$5)*H684</f>
        <v>#NAME?</v>
      </c>
      <c r="CK685" s="254" t="n">
        <f aca="false">I684</f>
        <v>-1.17</v>
      </c>
      <c r="CM685" s="0" t="str">
        <f aca="false">CONCATENATE(CC685,$CD$6)</f>
        <v>36770Curve Shift/Gamma</v>
      </c>
      <c r="CN685" s="0" t="str">
        <f aca="false">CONCATENATE($CC685,$CE$6)</f>
        <v>36770Rho</v>
      </c>
      <c r="CO685" s="0" t="str">
        <f aca="false">CONCATENATE($CC685,$CF$6)</f>
        <v>36770Drift</v>
      </c>
      <c r="CP685" s="0" t="str">
        <f aca="false">CONCATENATE($CC685,$CG$6)</f>
        <v>36770Vega</v>
      </c>
      <c r="CQ685" s="0" t="str">
        <f aca="false">CONCATENATE($CC685,$CH$6)</f>
        <v>36770Theta</v>
      </c>
    </row>
    <row r="686" customFormat="false" ht="12.75" hidden="false" customHeight="false" outlineLevel="0" collapsed="false">
      <c r="A686" s="17" t="s">
        <v>198</v>
      </c>
      <c r="B686" s="0" t="s">
        <v>192</v>
      </c>
      <c r="C686" s="0" t="s">
        <v>424</v>
      </c>
      <c r="D686" s="7" t="s">
        <v>151</v>
      </c>
      <c r="E686" s="0" t="s">
        <v>131</v>
      </c>
      <c r="F686" s="0" t="s">
        <v>136</v>
      </c>
      <c r="G686" s="92" t="n">
        <v>36770</v>
      </c>
      <c r="H686" s="248" t="n">
        <v>-500000</v>
      </c>
      <c r="I686" s="254" t="n">
        <v>-1.17</v>
      </c>
      <c r="J686" s="124" t="n">
        <f aca="false">VLOOKUP(G686,NGPrices,2,FALSE())</f>
        <v>4.685</v>
      </c>
      <c r="K686" s="125" t="n">
        <f aca="false">HLOOKUP(D686,Prices,VLOOKUP(G686,move_down,2,FALSE()),FALSE())+VLOOKUP(G686,CHANGE,HLOOKUP(D686,CHANGE,2,FALSE()),FALSE())</f>
        <v>-1.24</v>
      </c>
      <c r="L686" s="124" t="n">
        <f aca="false">K686+J686</f>
        <v>3.445</v>
      </c>
      <c r="M686" s="126" t="n">
        <f aca="false">VLOOKUP(G686,NGPrices,4,FALSE())</f>
        <v>0.067216196212185</v>
      </c>
      <c r="N686" s="7" t="n">
        <f aca="false">VLOOKUP(G686,NGPrices,3,FALSE())</f>
        <v>0.4</v>
      </c>
      <c r="O686" s="7" t="n">
        <f aca="false">HLOOKUP(D686,VOLS,VLOOKUP(G686,move_down,2,FALSE()),FALSE())</f>
        <v>0.384</v>
      </c>
      <c r="P686" s="249" t="n">
        <f aca="false">HLOOKUP(D686,Correllate,VLOOKUP(G686,CorMove,2,FALSE()),FALSE())</f>
        <v>0.84</v>
      </c>
      <c r="Q686" s="92" t="n">
        <f aca="false">WORKDAY(G686,-2)</f>
        <v>36768</v>
      </c>
      <c r="R686" s="7" t="n">
        <f aca="false">IF(F686="P",0,1)</f>
        <v>1</v>
      </c>
      <c r="S686" s="130" t="e">
        <f aca="false">xSPRDOPT($L686,$J686,$I686,$M686,$O686,$N686,$P686,$Q686-$C$3,$R686,0)</f>
        <v>#NAME?</v>
      </c>
      <c r="T686" s="250" t="e">
        <f aca="false">xSPRDOPT($L686,$J686,$I686,$M686,$O686,$N686,$P686,$Q686-$C$3,$R686,1)*H686</f>
        <v>#NAME?</v>
      </c>
      <c r="U686" s="43" t="e">
        <f aca="false">S686*H686</f>
        <v>#NAME?</v>
      </c>
      <c r="V686" s="250" t="e">
        <f aca="false">xSPRDOPT($L686,$J686,$I686,$M686,$O686,$N686,$P686,$Q686-$C$3,$R686,2)*H686</f>
        <v>#NAME?</v>
      </c>
      <c r="W686" s="250" t="e">
        <f aca="false">+V686+T686</f>
        <v>#NAME?</v>
      </c>
      <c r="X686" s="2" t="str">
        <f aca="false">CONCATENATE(G686,D686)</f>
        <v>36770IF-NWPL_ROCKY_M</v>
      </c>
      <c r="Y686" s="251" t="n">
        <f aca="false">H686/10000</f>
        <v>-50</v>
      </c>
      <c r="Z686" s="226" t="e">
        <f aca="false">T686/H686</f>
        <v>#NAME?</v>
      </c>
      <c r="AA686" s="226" t="e">
        <f aca="false">xSPRDOPT($L686,$J686,$I686,$M686,$O686,$N686,$P686,$Q686-$C$3,$R686,3)</f>
        <v>#NAME?</v>
      </c>
      <c r="AB686" s="226" t="e">
        <f aca="false">((xSPRDOPT($L686+AB$5,$J686,$I686,$M686,$O686,$N686,$P686,$Q686-$C$3,$R686,3)*$H686)/10000)/100</f>
        <v>#NAME?</v>
      </c>
      <c r="AC686" s="226" t="e">
        <f aca="false">((xSPRDOPT($L686+$AB$5,$J686,$I686,$M686,$O686,$N686,$P686,$Q686-$C$3,$R686,7)*$H686)/100)</f>
        <v>#NAME?</v>
      </c>
      <c r="AD686" s="226" t="e">
        <f aca="false">(xSPRDOPT($L686+$AB$5,$J686,$I686,$M686,$O686,$N686,$P686,$Q686-$C$3,$R686,9)/365)*$H686</f>
        <v>#NAME?</v>
      </c>
      <c r="AE686" s="0" t="e">
        <f aca="false">CD687</f>
        <v>#NAME?</v>
      </c>
      <c r="AF686" s="226" t="e">
        <f aca="false">((O686/N686)*AH686)+AG686</f>
        <v>#NAME?</v>
      </c>
      <c r="AG686" s="226" t="e">
        <f aca="false">((xSPRDOPT($L686,$J686,$I686,$M686,$O686,$N686,$P686,$Q686-$C$3,$R686,6)*$H686)/100)</f>
        <v>#NAME?</v>
      </c>
      <c r="AH686" s="226" t="e">
        <f aca="false">((xSPRDOPT($L686,$J686,$I686,$M686,$O686,$N686,$P686,$Q686-$C$3,$R686,5)*$H686)/100)</f>
        <v>#NAME?</v>
      </c>
      <c r="AI686" s="226" t="e">
        <f aca="false">(((xSPRDOPT($L686,$J686,$I686,$M686,$O686,$N686,$P686,$Q686-$C$3,$R686,4)*$H686)/10000)/100)-AB686</f>
        <v>#NAME?</v>
      </c>
      <c r="AJ686" s="226"/>
      <c r="CC686" s="182" t="n">
        <f aca="false">G685</f>
        <v>36770</v>
      </c>
      <c r="CD686" s="253" t="e">
        <f aca="false">xSPRDOPT((VLOOKUP(G685,NGPrices,2,FALSE())+HLOOKUP(D685,Prices,VLOOKUP(G685,move_down,2,FALSE()),FALSE())),VLOOKUP(G685,NGPrices,2,FALSE()),I685,VLOOKUP(G685,NGPREVPRICES,4,FALSE()),HLOOKUP(D685,PREVVOLS,VLOOKUP(G685,MOVE_DOWN2,2,FALSE()),FALSE()),VLOOKUP(G685,NGPREVPRICES,3,FALSE()),HLOOKUP(D685,Correllate,VLOOKUP(G685,CorMove,2,FALSE()),FALSE()),Q685-$CD$3,R685,$CD$5)*H685-CJ686</f>
        <v>#NAME?</v>
      </c>
      <c r="CE686" s="253" t="e">
        <f aca="false">xSPRDOPT((VLOOKUP(G685,NGPREVPRICES,2,FALSE())+HLOOKUP(D685,PREVCURVES,VLOOKUP(G685,MOVE_DOWN2,2,FALSE()),FALSE())),VLOOKUP(G685,NGPREVPRICES,2,FALSE()),CK686,VLOOKUP(G685,NGPrices,4,FALSE()),HLOOKUP(D685,PREVVOLS,VLOOKUP(G685,MOVE_DOWN2,2,FALSE()),FALSE()),VLOOKUP(G685,NGPREVPRICES,3,FALSE()),HLOOKUP(D685,Correllate,VLOOKUP(G685,CorMove,2,FALSE()),FALSE()),Q685-$CD$3,R685,$CJ$5)*H685-CJ686</f>
        <v>#NAME?</v>
      </c>
      <c r="CF686" s="132" t="e">
        <f aca="false">(CJ686/VLOOKUP(CC686,discount,3,FALSE()))-(CJ686/VLOOKUP(CC686,discount,2,FALSE()))</f>
        <v>#NAME?</v>
      </c>
      <c r="CG686" s="253" t="e">
        <f aca="false">xSPRDOPT((VLOOKUP(G685,NGPREVPRICES,2,FALSE())+HLOOKUP(D685,PREVCURVES,VLOOKUP(G685,MOVE_DOWN2,2,FALSE()),FALSE())),VLOOKUP(G685,NGPREVPRICES,2,FALSE()),CK686,VLOOKUP(G685,NGPREVPRICES,4,FALSE()),HLOOKUP(D685,VOLS,VLOOKUP(G685,move_down,2,FALSE()),FALSE()),VLOOKUP(G685,NGPrices,3,FALSE()),HLOOKUP(D685,Correllate,VLOOKUP(G685,CorMove,2,FALSE()),FALSE()),Q685-$CD$3,R685,$CJ$5)*H685-CJ686</f>
        <v>#NAME?</v>
      </c>
      <c r="CH686" s="253" t="e">
        <f aca="false">xSPRDOPT((VLOOKUP(G685,NGPREVPRICES,2,FALSE())+HLOOKUP(D685,PREVCURVES,VLOOKUP(G685,MOVE_DOWN2,2,FALSE()),FALSE())),VLOOKUP(G685,NGPREVPRICES,2,FALSE()),CK686,VLOOKUP(G685,NGPREVPRICES,4,FALSE()),HLOOKUP(D685,PREVVOLS,VLOOKUP(G685,MOVE_DOWN2,2,FALSE()),FALSE()),VLOOKUP(G685,NGPREVPRICES,3,FALSE()),HLOOKUP(D685,Correllate,VLOOKUP(G685,CorMove,2,FALSE()),FALSE()),Q685-$C$3,R685,$CJ$5)*H685-CJ686</f>
        <v>#NAME?</v>
      </c>
      <c r="CI686" s="253" t="e">
        <f aca="false">SUM(CD686:CH686)</f>
        <v>#NAME?</v>
      </c>
      <c r="CJ686" s="253" t="e">
        <f aca="false">xSPRDOPT((VLOOKUP(G685,NGPREVPRICES,2,FALSE())+HLOOKUP(D685,PREVCURVES,VLOOKUP(G685,MOVE_DOWN2,2,FALSE()),FALSE())),VLOOKUP(G685,NGPREVPRICES,2,FALSE()),CK686,VLOOKUP(G685,NGPREVPRICES,4,FALSE()),HLOOKUP(D685,PREVVOLS,VLOOKUP(G685,MOVE_DOWN2,2,FALSE()),FALSE()),VLOOKUP(G685,NGPREVPRICES,3,FALSE()),HLOOKUP(D685,Correllate,VLOOKUP(G685,CorMove,2,FALSE()),FALSE()),Q685-$CD$3,R685,$CJ$5)*H685</f>
        <v>#NAME?</v>
      </c>
      <c r="CK686" s="254" t="n">
        <f aca="false">I685</f>
        <v>-1.17</v>
      </c>
      <c r="CM686" s="0" t="str">
        <f aca="false">CONCATENATE(CC686,$CD$6)</f>
        <v>36770Curve Shift/Gamma</v>
      </c>
      <c r="CN686" s="0" t="str">
        <f aca="false">CONCATENATE($CC686,$CE$6)</f>
        <v>36770Rho</v>
      </c>
      <c r="CO686" s="0" t="str">
        <f aca="false">CONCATENATE($CC686,$CF$6)</f>
        <v>36770Drift</v>
      </c>
      <c r="CP686" s="0" t="str">
        <f aca="false">CONCATENATE($CC686,$CG$6)</f>
        <v>36770Vega</v>
      </c>
      <c r="CQ686" s="0" t="str">
        <f aca="false">CONCATENATE($CC686,$CH$6)</f>
        <v>36770Theta</v>
      </c>
    </row>
    <row r="687" customFormat="false" ht="12.75" hidden="false" customHeight="false" outlineLevel="0" collapsed="false">
      <c r="A687" s="17" t="s">
        <v>198</v>
      </c>
      <c r="B687" s="0" t="s">
        <v>192</v>
      </c>
      <c r="C687" s="0" t="s">
        <v>425</v>
      </c>
      <c r="D687" s="7" t="s">
        <v>151</v>
      </c>
      <c r="E687" s="0" t="s">
        <v>131</v>
      </c>
      <c r="F687" s="0" t="s">
        <v>132</v>
      </c>
      <c r="G687" s="92" t="n">
        <v>36770</v>
      </c>
      <c r="H687" s="248" t="n">
        <v>-500000</v>
      </c>
      <c r="I687" s="254" t="n">
        <v>-1.17</v>
      </c>
      <c r="J687" s="124" t="n">
        <f aca="false">VLOOKUP(G687,NGPrices,2,FALSE())</f>
        <v>4.685</v>
      </c>
      <c r="K687" s="125" t="n">
        <f aca="false">HLOOKUP(D687,Prices,VLOOKUP(G687,move_down,2,FALSE()),FALSE())+VLOOKUP(G687,CHANGE,HLOOKUP(D687,CHANGE,2,FALSE()),FALSE())</f>
        <v>-1.24</v>
      </c>
      <c r="L687" s="124" t="n">
        <f aca="false">K687+J687</f>
        <v>3.445</v>
      </c>
      <c r="M687" s="126" t="n">
        <f aca="false">VLOOKUP(G687,NGPrices,4,FALSE())</f>
        <v>0.067216196212185</v>
      </c>
      <c r="N687" s="7" t="n">
        <f aca="false">VLOOKUP(G687,NGPrices,3,FALSE())</f>
        <v>0.4</v>
      </c>
      <c r="O687" s="7" t="n">
        <f aca="false">HLOOKUP(D687,VOLS,VLOOKUP(G687,move_down,2,FALSE()),FALSE())</f>
        <v>0.384</v>
      </c>
      <c r="P687" s="249" t="n">
        <f aca="false">HLOOKUP(D687,Correllate,VLOOKUP(G687,CorMove,2,FALSE()),FALSE())</f>
        <v>0.84</v>
      </c>
      <c r="Q687" s="92" t="n">
        <f aca="false">WORKDAY(G687,-2)</f>
        <v>36768</v>
      </c>
      <c r="R687" s="7" t="n">
        <f aca="false">IF(F687="P",0,1)</f>
        <v>0</v>
      </c>
      <c r="S687" s="130" t="e">
        <f aca="false">xSPRDOPT($L687,$J687,$I687,$M687,$O687,$N687,$P687,$Q687-$C$3,$R687,0)</f>
        <v>#NAME?</v>
      </c>
      <c r="T687" s="250" t="e">
        <f aca="false">xSPRDOPT($L687,$J687,$I687,$M687,$O687,$N687,$P687,$Q687-$C$3,$R687,1)*H687</f>
        <v>#NAME?</v>
      </c>
      <c r="U687" s="43" t="e">
        <f aca="false">S687*H687</f>
        <v>#NAME?</v>
      </c>
      <c r="V687" s="250" t="e">
        <f aca="false">xSPRDOPT($L687,$J687,$I687,$M687,$O687,$N687,$P687,$Q687-$C$3,$R687,2)*H687</f>
        <v>#NAME?</v>
      </c>
      <c r="W687" s="250" t="e">
        <f aca="false">+V687+T687</f>
        <v>#NAME?</v>
      </c>
      <c r="X687" s="2" t="str">
        <f aca="false">CONCATENATE(G687,D687)</f>
        <v>36770IF-NWPL_ROCKY_M</v>
      </c>
      <c r="Y687" s="251" t="n">
        <f aca="false">H687/10000</f>
        <v>-50</v>
      </c>
      <c r="Z687" s="226" t="e">
        <f aca="false">T687/H687</f>
        <v>#NAME?</v>
      </c>
      <c r="AA687" s="226" t="e">
        <f aca="false">xSPRDOPT($L687,$J687,$I687,$M687,$O687,$N687,$P687,$Q687-$C$3,$R687,3)</f>
        <v>#NAME?</v>
      </c>
      <c r="AB687" s="226" t="e">
        <f aca="false">((xSPRDOPT($L687+AB$5,$J687,$I687,$M687,$O687,$N687,$P687,$Q687-$C$3,$R687,3)*$H687)/10000)/100</f>
        <v>#NAME?</v>
      </c>
      <c r="AC687" s="226" t="e">
        <f aca="false">((xSPRDOPT($L687+$AB$5,$J687,$I687,$M687,$O687,$N687,$P687,$Q687-$C$3,$R687,7)*$H687)/100)</f>
        <v>#NAME?</v>
      </c>
      <c r="AD687" s="226" t="e">
        <f aca="false">(xSPRDOPT($L687+$AB$5,$J687,$I687,$M687,$O687,$N687,$P687,$Q687-$C$3,$R687,9)/365)*$H687</f>
        <v>#NAME?</v>
      </c>
      <c r="AE687" s="0" t="e">
        <f aca="false">CD688</f>
        <v>#NAME?</v>
      </c>
      <c r="AF687" s="226" t="e">
        <f aca="false">((O687/N687)*AH687)+AG687</f>
        <v>#NAME?</v>
      </c>
      <c r="AG687" s="226" t="e">
        <f aca="false">((xSPRDOPT($L687,$J687,$I687,$M687,$O687,$N687,$P687,$Q687-$C$3,$R687,6)*$H687)/100)</f>
        <v>#NAME?</v>
      </c>
      <c r="AH687" s="226" t="e">
        <f aca="false">((xSPRDOPT($L687,$J687,$I687,$M687,$O687,$N687,$P687,$Q687-$C$3,$R687,5)*$H687)/100)</f>
        <v>#NAME?</v>
      </c>
      <c r="AI687" s="226" t="e">
        <f aca="false">(((xSPRDOPT($L687,$J687,$I687,$M687,$O687,$N687,$P687,$Q687-$C$3,$R687,4)*$H687)/10000)/100)-AB687</f>
        <v>#NAME?</v>
      </c>
      <c r="AJ687" s="226"/>
      <c r="CC687" s="182" t="n">
        <f aca="false">G686</f>
        <v>36770</v>
      </c>
      <c r="CD687" s="253" t="e">
        <f aca="false">xSPRDOPT((VLOOKUP(G686,NGPrices,2,FALSE())+HLOOKUP(D686,Prices,VLOOKUP(G686,move_down,2,FALSE()),FALSE())),VLOOKUP(G686,NGPrices,2,FALSE()),I686,VLOOKUP(G686,NGPREVPRICES,4,FALSE()),HLOOKUP(D686,PREVVOLS,VLOOKUP(G686,MOVE_DOWN2,2,FALSE()),FALSE()),VLOOKUP(G686,NGPREVPRICES,3,FALSE()),HLOOKUP(D686,Correllate,VLOOKUP(G686,CorMove,2,FALSE()),FALSE()),Q686-$CD$3,R686,$CD$5)*H686-CJ687</f>
        <v>#NAME?</v>
      </c>
      <c r="CE687" s="253" t="e">
        <f aca="false">xSPRDOPT((VLOOKUP(G686,NGPREVPRICES,2,FALSE())+HLOOKUP(D686,PREVCURVES,VLOOKUP(G686,MOVE_DOWN2,2,FALSE()),FALSE())),VLOOKUP(G686,NGPREVPRICES,2,FALSE()),CK687,VLOOKUP(G686,NGPrices,4,FALSE()),HLOOKUP(D686,PREVVOLS,VLOOKUP(G686,MOVE_DOWN2,2,FALSE()),FALSE()),VLOOKUP(G686,NGPREVPRICES,3,FALSE()),HLOOKUP(D686,Correllate,VLOOKUP(G686,CorMove,2,FALSE()),FALSE()),Q686-$CD$3,R686,$CJ$5)*H686-CJ687</f>
        <v>#NAME?</v>
      </c>
      <c r="CF687" s="132" t="e">
        <f aca="false">(CJ687/VLOOKUP(CC687,discount,3,FALSE()))-(CJ687/VLOOKUP(CC687,discount,2,FALSE()))</f>
        <v>#NAME?</v>
      </c>
      <c r="CG687" s="253" t="e">
        <f aca="false">xSPRDOPT((VLOOKUP(G686,NGPREVPRICES,2,FALSE())+HLOOKUP(D686,PREVCURVES,VLOOKUP(G686,MOVE_DOWN2,2,FALSE()),FALSE())),VLOOKUP(G686,NGPREVPRICES,2,FALSE()),CK687,VLOOKUP(G686,NGPREVPRICES,4,FALSE()),HLOOKUP(D686,VOLS,VLOOKUP(G686,move_down,2,FALSE()),FALSE()),VLOOKUP(G686,NGPrices,3,FALSE()),HLOOKUP(D686,Correllate,VLOOKUP(G686,CorMove,2,FALSE()),FALSE()),Q686-$CD$3,R686,$CJ$5)*H686-CJ687</f>
        <v>#NAME?</v>
      </c>
      <c r="CH687" s="253" t="e">
        <f aca="false">xSPRDOPT((VLOOKUP(G686,NGPREVPRICES,2,FALSE())+HLOOKUP(D686,PREVCURVES,VLOOKUP(G686,MOVE_DOWN2,2,FALSE()),FALSE())),VLOOKUP(G686,NGPREVPRICES,2,FALSE()),CK687,VLOOKUP(G686,NGPREVPRICES,4,FALSE()),HLOOKUP(D686,PREVVOLS,VLOOKUP(G686,MOVE_DOWN2,2,FALSE()),FALSE()),VLOOKUP(G686,NGPREVPRICES,3,FALSE()),HLOOKUP(D686,Correllate,VLOOKUP(G686,CorMove,2,FALSE()),FALSE()),Q686-$C$3,R686,$CJ$5)*H686-CJ687</f>
        <v>#NAME?</v>
      </c>
      <c r="CI687" s="253" t="e">
        <f aca="false">SUM(CD687:CH687)</f>
        <v>#NAME?</v>
      </c>
      <c r="CJ687" s="253" t="e">
        <f aca="false">xSPRDOPT((VLOOKUP(G686,NGPREVPRICES,2,FALSE())+HLOOKUP(D686,PREVCURVES,VLOOKUP(G686,MOVE_DOWN2,2,FALSE()),FALSE())),VLOOKUP(G686,NGPREVPRICES,2,FALSE()),CK687,VLOOKUP(G686,NGPREVPRICES,4,FALSE()),HLOOKUP(D686,PREVVOLS,VLOOKUP(G686,MOVE_DOWN2,2,FALSE()),FALSE()),VLOOKUP(G686,NGPREVPRICES,3,FALSE()),HLOOKUP(D686,Correllate,VLOOKUP(G686,CorMove,2,FALSE()),FALSE()),Q686-$CD$3,R686,$CJ$5)*H686</f>
        <v>#NAME?</v>
      </c>
      <c r="CK687" s="254" t="n">
        <f aca="false">I686</f>
        <v>-1.17</v>
      </c>
      <c r="CM687" s="0" t="str">
        <f aca="false">CONCATENATE(CC687,$CD$6)</f>
        <v>36770Curve Shift/Gamma</v>
      </c>
      <c r="CN687" s="0" t="str">
        <f aca="false">CONCATENATE($CC687,$CE$6)</f>
        <v>36770Rho</v>
      </c>
      <c r="CO687" s="0" t="str">
        <f aca="false">CONCATENATE($CC687,$CF$6)</f>
        <v>36770Drift</v>
      </c>
      <c r="CP687" s="0" t="str">
        <f aca="false">CONCATENATE($CC687,$CG$6)</f>
        <v>36770Vega</v>
      </c>
      <c r="CQ687" s="0" t="str">
        <f aca="false">CONCATENATE($CC687,$CH$6)</f>
        <v>36770Theta</v>
      </c>
    </row>
    <row r="688" customFormat="false" ht="12.75" hidden="false" customHeight="false" outlineLevel="0" collapsed="false">
      <c r="A688" s="17" t="s">
        <v>210</v>
      </c>
      <c r="B688" s="0" t="s">
        <v>192</v>
      </c>
      <c r="C688" s="0" t="s">
        <v>426</v>
      </c>
      <c r="D688" s="7" t="s">
        <v>68</v>
      </c>
      <c r="E688" s="0" t="s">
        <v>131</v>
      </c>
      <c r="F688" s="0" t="s">
        <v>136</v>
      </c>
      <c r="G688" s="92" t="n">
        <v>36831</v>
      </c>
      <c r="H688" s="248" t="n">
        <v>300000</v>
      </c>
      <c r="I688" s="254" t="n">
        <v>-0.15</v>
      </c>
      <c r="J688" s="124" t="n">
        <f aca="false">VLOOKUP(G688,NGPrices,2,FALSE())</f>
        <v>4.736</v>
      </c>
      <c r="K688" s="125" t="n">
        <f aca="false">HLOOKUP(D688,Prices,VLOOKUP(G688,move_down,2,FALSE()),FALSE())+VLOOKUP(G688,CHANGE,HLOOKUP(D688,CHANGE,2,FALSE()),FALSE())</f>
        <v>-0.1425</v>
      </c>
      <c r="L688" s="124" t="n">
        <f aca="false">K688+J688</f>
        <v>4.5935</v>
      </c>
      <c r="M688" s="126" t="n">
        <f aca="false">VLOOKUP(G688,NGPrices,4,FALSE())</f>
        <v>0.06810675983792</v>
      </c>
      <c r="N688" s="7" t="n">
        <f aca="false">VLOOKUP(G688,NGPrices,3,FALSE())</f>
        <v>0.595</v>
      </c>
      <c r="O688" s="7" t="n">
        <f aca="false">HLOOKUP(D688,VOLS,VLOOKUP(G688,move_down,2,FALSE()),FALSE())</f>
        <v>0.595</v>
      </c>
      <c r="P688" s="249" t="n">
        <f aca="false">HLOOKUP(D688,Correllate,VLOOKUP(G688,CorMove,2,FALSE()),FALSE())</f>
        <v>0.995</v>
      </c>
      <c r="Q688" s="92" t="n">
        <f aca="false">WORKDAY(G688,-2)</f>
        <v>36829</v>
      </c>
      <c r="R688" s="7" t="n">
        <f aca="false">IF(F688="P",0,1)</f>
        <v>1</v>
      </c>
      <c r="S688" s="130" t="e">
        <f aca="false">xSPRDOPT($L688,$J688,$I688,$M688,$O688,$N688,$P688,$Q688-$C$3,$R688,0)</f>
        <v>#NAME?</v>
      </c>
      <c r="T688" s="250" t="e">
        <f aca="false">xSPRDOPT($L688,$J688,$I688,$M688,$O688,$N688,$P688,$Q688-$C$3,$R688,1)*H688</f>
        <v>#NAME?</v>
      </c>
      <c r="U688" s="43" t="e">
        <f aca="false">S688*H688</f>
        <v>#NAME?</v>
      </c>
      <c r="V688" s="250" t="e">
        <f aca="false">xSPRDOPT($L688,$J688,$I688,$M688,$O688,$N688,$P688,$Q688-$C$3,$R688,2)*H688</f>
        <v>#NAME?</v>
      </c>
      <c r="W688" s="250" t="e">
        <f aca="false">+V688+T688</f>
        <v>#NAME?</v>
      </c>
      <c r="X688" s="2" t="str">
        <f aca="false">CONCATENATE(G688,D688)</f>
        <v>36831IF-PAN/TX/OK</v>
      </c>
      <c r="Y688" s="251" t="n">
        <f aca="false">H688/10000</f>
        <v>30</v>
      </c>
      <c r="Z688" s="226" t="e">
        <f aca="false">T688/H688</f>
        <v>#NAME?</v>
      </c>
      <c r="AA688" s="226" t="e">
        <f aca="false">xSPRDOPT($L688,$J688,$I688,$M688,$O688,$N688,$P688,$Q688-$C$3,$R688,3)</f>
        <v>#NAME?</v>
      </c>
      <c r="AB688" s="226" t="e">
        <f aca="false">((xSPRDOPT($L688+AB$5,$J688,$I688,$M688,$O688,$N688,$P688,$Q688-$C$3,$R688,3)*$H688)/10000)/100</f>
        <v>#NAME?</v>
      </c>
      <c r="AC688" s="226" t="e">
        <f aca="false">((xSPRDOPT($L688+$AB$5,$J688,$I688,$M688,$O688,$N688,$P688,$Q688-$C$3,$R688,7)*$H688)/100)</f>
        <v>#NAME?</v>
      </c>
      <c r="AD688" s="226" t="e">
        <f aca="false">(xSPRDOPT($L688+$AB$5,$J688,$I688,$M688,$O688,$N688,$P688,$Q688-$C$3,$R688,9)/365)*$H688</f>
        <v>#NAME?</v>
      </c>
      <c r="AE688" s="0" t="e">
        <f aca="false">CD690</f>
        <v>#NAME?</v>
      </c>
      <c r="AF688" s="226" t="e">
        <f aca="false">((O688/N688)*AH688)+AG688</f>
        <v>#NAME?</v>
      </c>
      <c r="AG688" s="226" t="e">
        <f aca="false">((xSPRDOPT($L688,$J688,$I688,$M688,$O688,$N688,$P688,$Q688-$C$3,$R688,6)*$H688)/100)</f>
        <v>#NAME?</v>
      </c>
      <c r="AH688" s="226" t="e">
        <f aca="false">((xSPRDOPT($L688,$J688,$I688,$M688,$O688,$N688,$P688,$Q688-$C$3,$R688,5)*$H688)/100)</f>
        <v>#NAME?</v>
      </c>
      <c r="AI688" s="226" t="e">
        <f aca="false">(((xSPRDOPT($L688,$J688,$I688,$M688,$O688,$N688,$P688,$Q688-$C$3,$R688,4)*$H688)/10000)/100)-AB688</f>
        <v>#NAME?</v>
      </c>
      <c r="AJ688" s="226"/>
      <c r="CC688" s="182" t="n">
        <f aca="false">G687</f>
        <v>36770</v>
      </c>
      <c r="CD688" s="253" t="e">
        <f aca="false">xSPRDOPT((VLOOKUP(G687,NGPrices,2,FALSE())+HLOOKUP(D687,Prices,VLOOKUP(G687,move_down,2,FALSE()),FALSE())),VLOOKUP(G687,NGPrices,2,FALSE()),I687,VLOOKUP(G687,NGPREVPRICES,4,FALSE()),HLOOKUP(D687,PREVVOLS,VLOOKUP(G687,MOVE_DOWN2,2,FALSE()),FALSE()),VLOOKUP(G687,NGPREVPRICES,3,FALSE()),HLOOKUP(D687,Correllate,VLOOKUP(G687,CorMove,2,FALSE()),FALSE()),Q687-$CD$3,R687,$CD$5)*H687-CJ688</f>
        <v>#NAME?</v>
      </c>
      <c r="CE688" s="253" t="e">
        <f aca="false">xSPRDOPT((VLOOKUP(G687,NGPREVPRICES,2,FALSE())+HLOOKUP(D687,PREVCURVES,VLOOKUP(G687,MOVE_DOWN2,2,FALSE()),FALSE())),VLOOKUP(G687,NGPREVPRICES,2,FALSE()),CK688,VLOOKUP(G687,NGPrices,4,FALSE()),HLOOKUP(D687,PREVVOLS,VLOOKUP(G687,MOVE_DOWN2,2,FALSE()),FALSE()),VLOOKUP(G687,NGPREVPRICES,3,FALSE()),HLOOKUP(D687,Correllate,VLOOKUP(G687,CorMove,2,FALSE()),FALSE()),Q687-$CD$3,R687,$CJ$5)*H687-CJ688</f>
        <v>#NAME?</v>
      </c>
      <c r="CF688" s="132" t="e">
        <f aca="false">(CJ688/VLOOKUP(CC688,discount,3,FALSE()))-(CJ688/VLOOKUP(CC688,discount,2,FALSE()))</f>
        <v>#NAME?</v>
      </c>
      <c r="CG688" s="253" t="e">
        <f aca="false">xSPRDOPT((VLOOKUP(G687,NGPREVPRICES,2,FALSE())+HLOOKUP(D687,PREVCURVES,VLOOKUP(G687,MOVE_DOWN2,2,FALSE()),FALSE())),VLOOKUP(G687,NGPREVPRICES,2,FALSE()),CK688,VLOOKUP(G687,NGPREVPRICES,4,FALSE()),HLOOKUP(D687,VOLS,VLOOKUP(G687,move_down,2,FALSE()),FALSE()),VLOOKUP(G687,NGPrices,3,FALSE()),HLOOKUP(D687,Correllate,VLOOKUP(G687,CorMove,2,FALSE()),FALSE()),Q687-$CD$3,R687,$CJ$5)*H687-CJ688</f>
        <v>#NAME?</v>
      </c>
      <c r="CH688" s="253" t="e">
        <f aca="false">xSPRDOPT((VLOOKUP(G687,NGPREVPRICES,2,FALSE())+HLOOKUP(D687,PREVCURVES,VLOOKUP(G687,MOVE_DOWN2,2,FALSE()),FALSE())),VLOOKUP(G687,NGPREVPRICES,2,FALSE()),CK688,VLOOKUP(G687,NGPREVPRICES,4,FALSE()),HLOOKUP(D687,PREVVOLS,VLOOKUP(G687,MOVE_DOWN2,2,FALSE()),FALSE()),VLOOKUP(G687,NGPREVPRICES,3,FALSE()),HLOOKUP(D687,Correllate,VLOOKUP(G687,CorMove,2,FALSE()),FALSE()),Q687-$C$3,R687,$CJ$5)*H687-CJ688</f>
        <v>#NAME?</v>
      </c>
      <c r="CI688" s="253" t="e">
        <f aca="false">SUM(CD688:CH688)</f>
        <v>#NAME?</v>
      </c>
      <c r="CJ688" s="253" t="e">
        <f aca="false">xSPRDOPT((VLOOKUP(G687,NGPREVPRICES,2,FALSE())+HLOOKUP(D687,PREVCURVES,VLOOKUP(G687,MOVE_DOWN2,2,FALSE()),FALSE())),VLOOKUP(G687,NGPREVPRICES,2,FALSE()),CK688,VLOOKUP(G687,NGPREVPRICES,4,FALSE()),HLOOKUP(D687,PREVVOLS,VLOOKUP(G687,MOVE_DOWN2,2,FALSE()),FALSE()),VLOOKUP(G687,NGPREVPRICES,3,FALSE()),HLOOKUP(D687,Correllate,VLOOKUP(G687,CorMove,2,FALSE()),FALSE()),Q687-$CD$3,R687,$CJ$5)*H687</f>
        <v>#NAME?</v>
      </c>
      <c r="CK688" s="254" t="n">
        <f aca="false">I687</f>
        <v>-1.17</v>
      </c>
      <c r="CM688" s="0" t="str">
        <f aca="false">CONCATENATE(CC688,$CD$6)</f>
        <v>36770Curve Shift/Gamma</v>
      </c>
      <c r="CN688" s="0" t="str">
        <f aca="false">CONCATENATE($CC688,$CE$6)</f>
        <v>36770Rho</v>
      </c>
      <c r="CO688" s="0" t="str">
        <f aca="false">CONCATENATE($CC688,$CF$6)</f>
        <v>36770Drift</v>
      </c>
      <c r="CP688" s="0" t="str">
        <f aca="false">CONCATENATE($CC688,$CG$6)</f>
        <v>36770Vega</v>
      </c>
      <c r="CQ688" s="0" t="str">
        <f aca="false">CONCATENATE($CC688,$CH$6)</f>
        <v>36770Theta</v>
      </c>
    </row>
    <row r="689" customFormat="false" ht="12.75" hidden="false" customHeight="false" outlineLevel="0" collapsed="false">
      <c r="A689" s="17" t="s">
        <v>210</v>
      </c>
      <c r="B689" s="0" t="s">
        <v>192</v>
      </c>
      <c r="C689" s="0" t="s">
        <v>426</v>
      </c>
      <c r="D689" s="7" t="s">
        <v>68</v>
      </c>
      <c r="E689" s="0" t="s">
        <v>131</v>
      </c>
      <c r="F689" s="0" t="s">
        <v>136</v>
      </c>
      <c r="G689" s="92" t="n">
        <v>36861</v>
      </c>
      <c r="H689" s="248" t="n">
        <v>310000</v>
      </c>
      <c r="I689" s="254" t="n">
        <v>-0.15</v>
      </c>
      <c r="J689" s="124" t="n">
        <f aca="false">VLOOKUP(G689,NGPrices,2,FALSE())</f>
        <v>4.8</v>
      </c>
      <c r="K689" s="125" t="n">
        <f aca="false">HLOOKUP(D689,Prices,VLOOKUP(G689,move_down,2,FALSE()),FALSE())+VLOOKUP(G689,CHANGE,HLOOKUP(D689,CHANGE,2,FALSE()),FALSE())</f>
        <v>-0.1525</v>
      </c>
      <c r="L689" s="124" t="n">
        <f aca="false">K689+J689</f>
        <v>4.6475</v>
      </c>
      <c r="M689" s="126" t="n">
        <f aca="false">VLOOKUP(G689,NGPrices,4,FALSE())</f>
        <v>0.068314027999354</v>
      </c>
      <c r="N689" s="7" t="n">
        <f aca="false">VLOOKUP(G689,NGPrices,3,FALSE())</f>
        <v>0.6</v>
      </c>
      <c r="O689" s="7" t="n">
        <f aca="false">HLOOKUP(D689,VOLS,VLOOKUP(G689,move_down,2,FALSE()),FALSE())</f>
        <v>0.6</v>
      </c>
      <c r="P689" s="249" t="n">
        <f aca="false">HLOOKUP(D689,Correllate,VLOOKUP(G689,CorMove,2,FALSE()),FALSE())</f>
        <v>0.995</v>
      </c>
      <c r="Q689" s="92" t="n">
        <f aca="false">WORKDAY(G689,-2)</f>
        <v>36859</v>
      </c>
      <c r="R689" s="7" t="n">
        <f aca="false">IF(F689="P",0,1)</f>
        <v>1</v>
      </c>
      <c r="S689" s="130" t="e">
        <f aca="false">xSPRDOPT($L689,$J689,$I689,$M689,$O689,$N689,$P689,$Q689-$C$3,$R689,0)</f>
        <v>#NAME?</v>
      </c>
      <c r="T689" s="250" t="e">
        <f aca="false">xSPRDOPT($L689,$J689,$I689,$M689,$O689,$N689,$P689,$Q689-$C$3,$R689,1)*H689</f>
        <v>#NAME?</v>
      </c>
      <c r="U689" s="43" t="e">
        <f aca="false">S689*H689</f>
        <v>#NAME?</v>
      </c>
      <c r="V689" s="250" t="e">
        <f aca="false">xSPRDOPT($L689,$J689,$I689,$M689,$O689,$N689,$P689,$Q689-$C$3,$R689,2)*H689</f>
        <v>#NAME?</v>
      </c>
      <c r="W689" s="250" t="e">
        <f aca="false">+V689+T689</f>
        <v>#NAME?</v>
      </c>
      <c r="X689" s="2" t="str">
        <f aca="false">CONCATENATE(G689,D689)</f>
        <v>36861IF-PAN/TX/OK</v>
      </c>
      <c r="Y689" s="251" t="n">
        <f aca="false">H689/10000</f>
        <v>31</v>
      </c>
      <c r="Z689" s="226" t="e">
        <f aca="false">T689/H689</f>
        <v>#NAME?</v>
      </c>
      <c r="AA689" s="226" t="e">
        <f aca="false">xSPRDOPT($L689,$J689,$I689,$M689,$O689,$N689,$P689,$Q689-$C$3,$R689,3)</f>
        <v>#NAME?</v>
      </c>
      <c r="AB689" s="226" t="e">
        <f aca="false">((xSPRDOPT($L689+AB$5,$J689,$I689,$M689,$O689,$N689,$P689,$Q689-$C$3,$R689,3)*$H689)/10000)/100</f>
        <v>#NAME?</v>
      </c>
      <c r="AC689" s="226" t="e">
        <f aca="false">((xSPRDOPT($L689+$AB$5,$J689,$I689,$M689,$O689,$N689,$P689,$Q689-$C$3,$R689,7)*$H689)/100)</f>
        <v>#NAME?</v>
      </c>
      <c r="AD689" s="226" t="e">
        <f aca="false">(xSPRDOPT($L689+$AB$5,$J689,$I689,$M689,$O689,$N689,$P689,$Q689-$C$3,$R689,9)/365)*$H689</f>
        <v>#NAME?</v>
      </c>
      <c r="AE689" s="0" t="e">
        <f aca="false">CD691</f>
        <v>#NAME?</v>
      </c>
      <c r="AF689" s="226" t="e">
        <f aca="false">((O689/N689)*AH689)+AG689</f>
        <v>#NAME?</v>
      </c>
      <c r="AG689" s="226" t="e">
        <f aca="false">((xSPRDOPT($L689,$J689,$I689,$M689,$O689,$N689,$P689,$Q689-$C$3,$R689,6)*$H689)/100)</f>
        <v>#NAME?</v>
      </c>
      <c r="AH689" s="226" t="e">
        <f aca="false">((xSPRDOPT($L689,$J689,$I689,$M689,$O689,$N689,$P689,$Q689-$C$3,$R689,5)*$H689)/100)</f>
        <v>#NAME?</v>
      </c>
      <c r="AI689" s="226" t="e">
        <f aca="false">(((xSPRDOPT($L689,$J689,$I689,$M689,$O689,$N689,$P689,$Q689-$C$3,$R689,4)*$H689)/10000)/100)-AB689</f>
        <v>#NAME?</v>
      </c>
      <c r="AJ689" s="226"/>
      <c r="CC689" s="182" t="e">
        <f aca="false">#REF!</f>
        <v>#REF!</v>
      </c>
      <c r="CD689" s="253" t="e">
        <f aca="false">xSPRDOPT((VLOOKUP(#REF!,NGPrices,2,FALSE())+HLOOKUP(#REF!,Prices,VLOOKUP(#REF!,move_down,2,FALSE()),FALSE())),VLOOKUP(#REF!,NGPrices,2,FALSE()),#REF!,VLOOKUP(#REF!,NGPREVPRICES,4,FALSE()),HLOOKUP(#REF!,PREVVOLS,VLOOKUP(#REF!,MOVE_DOWN2,2,FALSE()),FALSE()),VLOOKUP(#REF!,NGPREVPRICES,3,FALSE()),HLOOKUP(#REF!,Correllate,VLOOKUP(#REF!,CorMove,2,FALSE()),FALSE()),#REF!-$CD$3,#REF!,$CD$5)*#REF!-CJ689</f>
        <v>#REF!</v>
      </c>
      <c r="CE689" s="253" t="e">
        <f aca="false">xSPRDOPT((VLOOKUP(#REF!,NGPREVPRICES,2,FALSE())+HLOOKUP(#REF!,PREVCURVES,VLOOKUP(#REF!,MOVE_DOWN2,2,FALSE()),FALSE())),VLOOKUP(#REF!,NGPREVPRICES,2,FALSE()),CK689,VLOOKUP(#REF!,NGPrices,4,FALSE()),HLOOKUP(#REF!,PREVVOLS,VLOOKUP(#REF!,MOVE_DOWN2,2,FALSE()),FALSE()),VLOOKUP(#REF!,NGPREVPRICES,3,FALSE()),HLOOKUP(#REF!,Correllate,VLOOKUP(#REF!,CorMove,2,FALSE()),FALSE()),#REF!-$CD$3,#REF!,$CJ$5)*#REF!-CJ689</f>
        <v>#REF!</v>
      </c>
      <c r="CF689" s="132" t="e">
        <f aca="false">(CJ689/VLOOKUP(CC689,discount,3,FALSE()))-(CJ689/VLOOKUP(CC689,discount,2,FALSE()))</f>
        <v>#REF!</v>
      </c>
      <c r="CG689" s="253" t="e">
        <f aca="false">xSPRDOPT((VLOOKUP(#REF!,NGPREVPRICES,2,FALSE())+HLOOKUP(#REF!,PREVCURVES,VLOOKUP(#REF!,MOVE_DOWN2,2,FALSE()),FALSE())),VLOOKUP(#REF!,NGPREVPRICES,2,FALSE()),CK689,VLOOKUP(#REF!,NGPREVPRICES,4,FALSE()),HLOOKUP(#REF!,VOLS,VLOOKUP(#REF!,move_down,2,FALSE()),FALSE()),VLOOKUP(#REF!,NGPrices,3,FALSE()),HLOOKUP(#REF!,Correllate,VLOOKUP(#REF!,CorMove,2,FALSE()),FALSE()),#REF!-$CD$3,#REF!,$CJ$5)*#REF!-CJ689</f>
        <v>#REF!</v>
      </c>
      <c r="CH689" s="253" t="e">
        <f aca="false">xSPRDOPT((VLOOKUP(#REF!,NGPREVPRICES,2,FALSE())+HLOOKUP(#REF!,PREVCURVES,VLOOKUP(#REF!,MOVE_DOWN2,2,FALSE()),FALSE())),VLOOKUP(#REF!,NGPREVPRICES,2,FALSE()),CK689,VLOOKUP(#REF!,NGPREVPRICES,4,FALSE()),HLOOKUP(#REF!,PREVVOLS,VLOOKUP(#REF!,MOVE_DOWN2,2,FALSE()),FALSE()),VLOOKUP(#REF!,NGPREVPRICES,3,FALSE()),HLOOKUP(#REF!,Correllate,VLOOKUP(#REF!,CorMove,2,FALSE()),FALSE()),#REF!-$C$3,#REF!,$CJ$5)*#REF!-CJ689</f>
        <v>#REF!</v>
      </c>
      <c r="CI689" s="253" t="e">
        <f aca="false">SUM(CD689:CH689)</f>
        <v>#REF!</v>
      </c>
      <c r="CJ689" s="253" t="e">
        <f aca="false">xSPRDOPT((VLOOKUP(#REF!,NGPREVPRICES,2,FALSE())+HLOOKUP(#REF!,PREVCURVES,VLOOKUP(#REF!,MOVE_DOWN2,2,FALSE()),FALSE())),VLOOKUP(#REF!,NGPREVPRICES,2,FALSE()),CK689,VLOOKUP(#REF!,NGPREVPRICES,4,FALSE()),HLOOKUP(#REF!,PREVVOLS,VLOOKUP(#REF!,MOVE_DOWN2,2,FALSE()),FALSE()),VLOOKUP(#REF!,NGPREVPRICES,3,FALSE()),HLOOKUP(#REF!,Correllate,VLOOKUP(#REF!,CorMove,2,FALSE()),FALSE()),#REF!-$CD$3,#REF!,$CJ$5)*#REF!</f>
        <v>#REF!</v>
      </c>
      <c r="CK689" s="254" t="e">
        <f aca="false">#REF!</f>
        <v>#REF!</v>
      </c>
      <c r="CM689" s="0" t="e">
        <f aca="false">CONCATENATE(CC689,$CD$6)</f>
        <v>#REF!</v>
      </c>
      <c r="CN689" s="0" t="e">
        <f aca="false">CONCATENATE($CC689,$CE$6)</f>
        <v>#REF!</v>
      </c>
      <c r="CO689" s="0" t="e">
        <f aca="false">CONCATENATE($CC689,$CF$6)</f>
        <v>#REF!</v>
      </c>
      <c r="CP689" s="0" t="e">
        <f aca="false">CONCATENATE($CC689,$CG$6)</f>
        <v>#REF!</v>
      </c>
      <c r="CQ689" s="0" t="e">
        <f aca="false">CONCATENATE($CC689,$CH$6)</f>
        <v>#REF!</v>
      </c>
    </row>
    <row r="690" customFormat="false" ht="12.75" hidden="false" customHeight="false" outlineLevel="0" collapsed="false">
      <c r="A690" s="17" t="s">
        <v>210</v>
      </c>
      <c r="B690" s="0" t="s">
        <v>192</v>
      </c>
      <c r="C690" s="0" t="s">
        <v>426</v>
      </c>
      <c r="D690" s="7" t="s">
        <v>68</v>
      </c>
      <c r="E690" s="0" t="s">
        <v>131</v>
      </c>
      <c r="F690" s="0" t="s">
        <v>136</v>
      </c>
      <c r="G690" s="92" t="n">
        <v>36892</v>
      </c>
      <c r="H690" s="248" t="n">
        <v>310000</v>
      </c>
      <c r="I690" s="254" t="n">
        <v>-0.15</v>
      </c>
      <c r="J690" s="124" t="n">
        <f aca="false">VLOOKUP(G690,NGPrices,2,FALSE())</f>
        <v>4.744</v>
      </c>
      <c r="K690" s="125" t="n">
        <f aca="false">HLOOKUP(D690,Prices,VLOOKUP(G690,move_down,2,FALSE()),FALSE())+VLOOKUP(G690,CHANGE,HLOOKUP(D690,CHANGE,2,FALSE()),FALSE())</f>
        <v>-0.16</v>
      </c>
      <c r="L690" s="124" t="n">
        <f aca="false">K690+J690</f>
        <v>4.584</v>
      </c>
      <c r="M690" s="126" t="n">
        <f aca="false">VLOOKUP(G690,NGPrices,4,FALSE())</f>
        <v>0.068374831148491</v>
      </c>
      <c r="N690" s="7" t="n">
        <f aca="false">VLOOKUP(G690,NGPrices,3,FALSE())</f>
        <v>0.605</v>
      </c>
      <c r="O690" s="7" t="n">
        <f aca="false">HLOOKUP(D690,VOLS,VLOOKUP(G690,move_down,2,FALSE()),FALSE())</f>
        <v>0.605</v>
      </c>
      <c r="P690" s="249" t="n">
        <f aca="false">HLOOKUP(D690,Correllate,VLOOKUP(G690,CorMove,2,FALSE()),FALSE())</f>
        <v>0.995</v>
      </c>
      <c r="Q690" s="92" t="n">
        <f aca="false">WORKDAY(G690,-2)</f>
        <v>36888</v>
      </c>
      <c r="R690" s="7" t="n">
        <f aca="false">IF(F690="P",0,1)</f>
        <v>1</v>
      </c>
      <c r="S690" s="130" t="e">
        <f aca="false">xSPRDOPT($L690,$J690,$I690,$M690,$O690,$N690,$P690,$Q690-$C$3,$R690,0)</f>
        <v>#NAME?</v>
      </c>
      <c r="T690" s="250" t="e">
        <f aca="false">xSPRDOPT($L690,$J690,$I690,$M690,$O690,$N690,$P690,$Q690-$C$3,$R690,1)*H690</f>
        <v>#NAME?</v>
      </c>
      <c r="U690" s="43" t="e">
        <f aca="false">S690*H690</f>
        <v>#NAME?</v>
      </c>
      <c r="V690" s="250" t="e">
        <f aca="false">xSPRDOPT($L690,$J690,$I690,$M690,$O690,$N690,$P690,$Q690-$C$3,$R690,2)*H690</f>
        <v>#NAME?</v>
      </c>
      <c r="W690" s="250" t="e">
        <f aca="false">+V690+T690</f>
        <v>#NAME?</v>
      </c>
      <c r="X690" s="2" t="str">
        <f aca="false">CONCATENATE(G690,D690)</f>
        <v>36892IF-PAN/TX/OK</v>
      </c>
      <c r="Y690" s="251" t="n">
        <f aca="false">H690/10000</f>
        <v>31</v>
      </c>
      <c r="Z690" s="226" t="e">
        <f aca="false">T690/H690</f>
        <v>#NAME?</v>
      </c>
      <c r="AA690" s="226" t="e">
        <f aca="false">xSPRDOPT($L690,$J690,$I690,$M690,$O690,$N690,$P690,$Q690-$C$3,$R690,3)</f>
        <v>#NAME?</v>
      </c>
      <c r="AB690" s="226" t="e">
        <f aca="false">((xSPRDOPT($L690+AB$5,$J690,$I690,$M690,$O690,$N690,$P690,$Q690-$C$3,$R690,3)*$H690)/10000)/100</f>
        <v>#NAME?</v>
      </c>
      <c r="AC690" s="226" t="e">
        <f aca="false">((xSPRDOPT($L690+$AB$5,$J690,$I690,$M690,$O690,$N690,$P690,$Q690-$C$3,$R690,7)*$H690)/100)</f>
        <v>#NAME?</v>
      </c>
      <c r="AD690" s="226" t="e">
        <f aca="false">(xSPRDOPT($L690+$AB$5,$J690,$I690,$M690,$O690,$N690,$P690,$Q690-$C$3,$R690,9)/365)*$H690</f>
        <v>#NAME?</v>
      </c>
      <c r="AE690" s="0" t="e">
        <f aca="false">CD692</f>
        <v>#NAME?</v>
      </c>
      <c r="AF690" s="226" t="e">
        <f aca="false">((O690/N690)*AH690)+AG690</f>
        <v>#NAME?</v>
      </c>
      <c r="AG690" s="226" t="e">
        <f aca="false">((xSPRDOPT($L690,$J690,$I690,$M690,$O690,$N690,$P690,$Q690-$C$3,$R690,6)*$H690)/100)</f>
        <v>#NAME?</v>
      </c>
      <c r="AH690" s="226" t="e">
        <f aca="false">((xSPRDOPT($L690,$J690,$I690,$M690,$O690,$N690,$P690,$Q690-$C$3,$R690,5)*$H690)/100)</f>
        <v>#NAME?</v>
      </c>
      <c r="AI690" s="226" t="e">
        <f aca="false">(((xSPRDOPT($L690,$J690,$I690,$M690,$O690,$N690,$P690,$Q690-$C$3,$R690,4)*$H690)/10000)/100)-AB690</f>
        <v>#NAME?</v>
      </c>
      <c r="AJ690" s="226"/>
      <c r="CC690" s="182" t="n">
        <f aca="false">G688</f>
        <v>36831</v>
      </c>
      <c r="CD690" s="253" t="e">
        <f aca="false">xSPRDOPT((VLOOKUP(G688,NGPrices,2,FALSE())+HLOOKUP(D688,Prices,VLOOKUP(G688,move_down,2,FALSE()),FALSE())),VLOOKUP(G688,NGPrices,2,FALSE()),I688,VLOOKUP(G688,NGPREVPRICES,4,FALSE()),HLOOKUP(D688,PREVVOLS,VLOOKUP(G688,MOVE_DOWN2,2,FALSE()),FALSE()),VLOOKUP(G688,NGPREVPRICES,3,FALSE()),HLOOKUP(D688,Correllate,VLOOKUP(G688,CorMove,2,FALSE()),FALSE()),Q688-$CD$3,R688,$CD$5)*H688-CJ690</f>
        <v>#NAME?</v>
      </c>
      <c r="CE690" s="253" t="e">
        <f aca="false">xSPRDOPT((VLOOKUP(G688,NGPREVPRICES,2,FALSE())+HLOOKUP(D688,PREVCURVES,VLOOKUP(G688,MOVE_DOWN2,2,FALSE()),FALSE())),VLOOKUP(G688,NGPREVPRICES,2,FALSE()),CK690,VLOOKUP(G688,NGPrices,4,FALSE()),HLOOKUP(D688,PREVVOLS,VLOOKUP(G688,MOVE_DOWN2,2,FALSE()),FALSE()),VLOOKUP(G688,NGPREVPRICES,3,FALSE()),HLOOKUP(D688,Correllate,VLOOKUP(G688,CorMove,2,FALSE()),FALSE()),Q688-$CD$3,R688,$CJ$5)*H688-CJ690</f>
        <v>#NAME?</v>
      </c>
      <c r="CF690" s="132" t="e">
        <f aca="false">(CJ690/VLOOKUP(CC690,discount,3,FALSE()))-(CJ690/VLOOKUP(CC690,discount,2,FALSE()))</f>
        <v>#NAME?</v>
      </c>
      <c r="CG690" s="253" t="e">
        <f aca="false">xSPRDOPT((VLOOKUP(G688,NGPREVPRICES,2,FALSE())+HLOOKUP(D688,PREVCURVES,VLOOKUP(G688,MOVE_DOWN2,2,FALSE()),FALSE())),VLOOKUP(G688,NGPREVPRICES,2,FALSE()),CK690,VLOOKUP(G688,NGPREVPRICES,4,FALSE()),HLOOKUP(D688,VOLS,VLOOKUP(G688,move_down,2,FALSE()),FALSE()),VLOOKUP(G688,NGPrices,3,FALSE()),HLOOKUP(D688,Correllate,VLOOKUP(G688,CorMove,2,FALSE()),FALSE()),Q688-$CD$3,R688,$CJ$5)*H688-CJ690</f>
        <v>#NAME?</v>
      </c>
      <c r="CH690" s="253" t="e">
        <f aca="false">xSPRDOPT((VLOOKUP(G688,NGPREVPRICES,2,FALSE())+HLOOKUP(D688,PREVCURVES,VLOOKUP(G688,MOVE_DOWN2,2,FALSE()),FALSE())),VLOOKUP(G688,NGPREVPRICES,2,FALSE()),CK690,VLOOKUP(G688,NGPREVPRICES,4,FALSE()),HLOOKUP(D688,PREVVOLS,VLOOKUP(G688,MOVE_DOWN2,2,FALSE()),FALSE()),VLOOKUP(G688,NGPREVPRICES,3,FALSE()),HLOOKUP(D688,Correllate,VLOOKUP(G688,CorMove,2,FALSE()),FALSE()),Q688-$C$3,R688,$CJ$5)*H688-CJ690</f>
        <v>#NAME?</v>
      </c>
      <c r="CI690" s="253" t="e">
        <f aca="false">SUM(CD690:CH690)</f>
        <v>#NAME?</v>
      </c>
      <c r="CJ690" s="253" t="e">
        <f aca="false">xSPRDOPT((VLOOKUP(G688,NGPREVPRICES,2,FALSE())+HLOOKUP(D688,PREVCURVES,VLOOKUP(G688,MOVE_DOWN2,2,FALSE()),FALSE())),VLOOKUP(G688,NGPREVPRICES,2,FALSE()),CK690,VLOOKUP(G688,NGPREVPRICES,4,FALSE()),HLOOKUP(D688,PREVVOLS,VLOOKUP(G688,MOVE_DOWN2,2,FALSE()),FALSE()),VLOOKUP(G688,NGPREVPRICES,3,FALSE()),HLOOKUP(D688,Correllate,VLOOKUP(G688,CorMove,2,FALSE()),FALSE()),Q688-$CD$3,R688,$CJ$5)*H688</f>
        <v>#NAME?</v>
      </c>
      <c r="CK690" s="254" t="n">
        <f aca="false">I688</f>
        <v>-0.15</v>
      </c>
      <c r="CM690" s="0" t="str">
        <f aca="false">CONCATENATE(CC690,$CD$6)</f>
        <v>36831Curve Shift/Gamma</v>
      </c>
      <c r="CN690" s="0" t="str">
        <f aca="false">CONCATENATE($CC690,$CE$6)</f>
        <v>36831Rho</v>
      </c>
      <c r="CO690" s="0" t="str">
        <f aca="false">CONCATENATE($CC690,$CF$6)</f>
        <v>36831Drift</v>
      </c>
      <c r="CP690" s="0" t="str">
        <f aca="false">CONCATENATE($CC690,$CG$6)</f>
        <v>36831Vega</v>
      </c>
      <c r="CQ690" s="0" t="str">
        <f aca="false">CONCATENATE($CC690,$CH$6)</f>
        <v>36831Theta</v>
      </c>
    </row>
    <row r="691" customFormat="false" ht="12.75" hidden="false" customHeight="false" outlineLevel="0" collapsed="false">
      <c r="A691" s="17" t="s">
        <v>210</v>
      </c>
      <c r="B691" s="0" t="s">
        <v>192</v>
      </c>
      <c r="C691" s="0" t="s">
        <v>426</v>
      </c>
      <c r="D691" s="7" t="s">
        <v>68</v>
      </c>
      <c r="E691" s="0" t="s">
        <v>131</v>
      </c>
      <c r="F691" s="0" t="s">
        <v>136</v>
      </c>
      <c r="G691" s="92" t="n">
        <v>36923</v>
      </c>
      <c r="H691" s="248" t="n">
        <v>280000</v>
      </c>
      <c r="I691" s="254" t="n">
        <v>-0.15</v>
      </c>
      <c r="J691" s="124" t="n">
        <f aca="false">VLOOKUP(G691,NGPrices,2,FALSE())</f>
        <v>4.48</v>
      </c>
      <c r="K691" s="125" t="n">
        <f aca="false">HLOOKUP(D691,Prices,VLOOKUP(G691,move_down,2,FALSE()),FALSE())+VLOOKUP(G691,CHANGE,HLOOKUP(D691,CHANGE,2,FALSE()),FALSE())</f>
        <v>-0.145</v>
      </c>
      <c r="L691" s="124" t="n">
        <f aca="false">K691+J691</f>
        <v>4.335</v>
      </c>
      <c r="M691" s="126" t="n">
        <f aca="false">VLOOKUP(G691,NGPrices,4,FALSE())</f>
        <v>0.068640161611372</v>
      </c>
      <c r="N691" s="7" t="n">
        <f aca="false">VLOOKUP(G691,NGPrices,3,FALSE())</f>
        <v>0.5925</v>
      </c>
      <c r="O691" s="7" t="n">
        <f aca="false">HLOOKUP(D691,VOLS,VLOOKUP(G691,move_down,2,FALSE()),FALSE())</f>
        <v>0.593</v>
      </c>
      <c r="P691" s="249" t="n">
        <f aca="false">HLOOKUP(D691,Correllate,VLOOKUP(G691,CorMove,2,FALSE()),FALSE())</f>
        <v>0.995</v>
      </c>
      <c r="Q691" s="92" t="n">
        <f aca="false">WORKDAY(G691,-2)</f>
        <v>36921</v>
      </c>
      <c r="R691" s="7" t="n">
        <f aca="false">IF(F691="P",0,1)</f>
        <v>1</v>
      </c>
      <c r="S691" s="130" t="e">
        <f aca="false">xSPRDOPT($L691,$J691,$I691,$M691,$O691,$N691,$P691,$Q691-$C$3,$R691,0)</f>
        <v>#NAME?</v>
      </c>
      <c r="T691" s="250" t="e">
        <f aca="false">xSPRDOPT($L691,$J691,$I691,$M691,$O691,$N691,$P691,$Q691-$C$3,$R691,1)*H691</f>
        <v>#NAME?</v>
      </c>
      <c r="U691" s="43" t="e">
        <f aca="false">S691*H691</f>
        <v>#NAME?</v>
      </c>
      <c r="V691" s="250" t="e">
        <f aca="false">xSPRDOPT($L691,$J691,$I691,$M691,$O691,$N691,$P691,$Q691-$C$3,$R691,2)*H691</f>
        <v>#NAME?</v>
      </c>
      <c r="W691" s="250" t="e">
        <f aca="false">+V691+T691</f>
        <v>#NAME?</v>
      </c>
      <c r="X691" s="2" t="str">
        <f aca="false">CONCATENATE(G691,D691)</f>
        <v>36923IF-PAN/TX/OK</v>
      </c>
      <c r="Y691" s="251" t="n">
        <f aca="false">H691/10000</f>
        <v>28</v>
      </c>
      <c r="Z691" s="226" t="e">
        <f aca="false">T691/H691</f>
        <v>#NAME?</v>
      </c>
      <c r="AA691" s="226" t="e">
        <f aca="false">xSPRDOPT($L691,$J691,$I691,$M691,$O691,$N691,$P691,$Q691-$C$3,$R691,3)</f>
        <v>#NAME?</v>
      </c>
      <c r="AB691" s="226" t="e">
        <f aca="false">((xSPRDOPT($L691+AB$5,$J691,$I691,$M691,$O691,$N691,$P691,$Q691-$C$3,$R691,3)*$H691)/10000)/100</f>
        <v>#NAME?</v>
      </c>
      <c r="AC691" s="226" t="e">
        <f aca="false">((xSPRDOPT($L691+$AB$5,$J691,$I691,$M691,$O691,$N691,$P691,$Q691-$C$3,$R691,7)*$H691)/100)</f>
        <v>#NAME?</v>
      </c>
      <c r="AD691" s="226" t="e">
        <f aca="false">(xSPRDOPT($L691+$AB$5,$J691,$I691,$M691,$O691,$N691,$P691,$Q691-$C$3,$R691,9)/365)*$H691</f>
        <v>#NAME?</v>
      </c>
      <c r="AE691" s="0" t="e">
        <f aca="false">CD693</f>
        <v>#NAME?</v>
      </c>
      <c r="AF691" s="226" t="e">
        <f aca="false">((O691/N691)*AH691)+AG691</f>
        <v>#NAME?</v>
      </c>
      <c r="AG691" s="226" t="e">
        <f aca="false">((xSPRDOPT($L691,$J691,$I691,$M691,$O691,$N691,$P691,$Q691-$C$3,$R691,6)*$H691)/100)</f>
        <v>#NAME?</v>
      </c>
      <c r="AH691" s="226" t="e">
        <f aca="false">((xSPRDOPT($L691,$J691,$I691,$M691,$O691,$N691,$P691,$Q691-$C$3,$R691,5)*$H691)/100)</f>
        <v>#NAME?</v>
      </c>
      <c r="AI691" s="226" t="e">
        <f aca="false">(((xSPRDOPT($L691,$J691,$I691,$M691,$O691,$N691,$P691,$Q691-$C$3,$R691,4)*$H691)/10000)/100)-AB691</f>
        <v>#NAME?</v>
      </c>
      <c r="AJ691" s="226"/>
      <c r="CC691" s="182" t="n">
        <f aca="false">G689</f>
        <v>36861</v>
      </c>
      <c r="CD691" s="253" t="e">
        <f aca="false">xSPRDOPT((VLOOKUP(G689,NGPrices,2,FALSE())+HLOOKUP(D689,Prices,VLOOKUP(G689,move_down,2,FALSE()),FALSE())),VLOOKUP(G689,NGPrices,2,FALSE()),I689,VLOOKUP(G689,NGPREVPRICES,4,FALSE()),HLOOKUP(D689,PREVVOLS,VLOOKUP(G689,MOVE_DOWN2,2,FALSE()),FALSE()),VLOOKUP(G689,NGPREVPRICES,3,FALSE()),HLOOKUP(D689,Correllate,VLOOKUP(G689,CorMove,2,FALSE()),FALSE()),Q689-$CD$3,R689,$CD$5)*H689-CJ691</f>
        <v>#NAME?</v>
      </c>
      <c r="CE691" s="253" t="e">
        <f aca="false">xSPRDOPT((VLOOKUP(G689,NGPREVPRICES,2,FALSE())+HLOOKUP(D689,PREVCURVES,VLOOKUP(G689,MOVE_DOWN2,2,FALSE()),FALSE())),VLOOKUP(G689,NGPREVPRICES,2,FALSE()),CK691,VLOOKUP(G689,NGPrices,4,FALSE()),HLOOKUP(D689,PREVVOLS,VLOOKUP(G689,MOVE_DOWN2,2,FALSE()),FALSE()),VLOOKUP(G689,NGPREVPRICES,3,FALSE()),HLOOKUP(D689,Correllate,VLOOKUP(G689,CorMove,2,FALSE()),FALSE()),Q689-$CD$3,R689,$CJ$5)*H689-CJ691</f>
        <v>#NAME?</v>
      </c>
      <c r="CF691" s="132" t="e">
        <f aca="false">(CJ691/VLOOKUP(CC691,discount,3,FALSE()))-(CJ691/VLOOKUP(CC691,discount,2,FALSE()))</f>
        <v>#NAME?</v>
      </c>
      <c r="CG691" s="253" t="e">
        <f aca="false">xSPRDOPT((VLOOKUP(G689,NGPREVPRICES,2,FALSE())+HLOOKUP(D689,PREVCURVES,VLOOKUP(G689,MOVE_DOWN2,2,FALSE()),FALSE())),VLOOKUP(G689,NGPREVPRICES,2,FALSE()),CK691,VLOOKUP(G689,NGPREVPRICES,4,FALSE()),HLOOKUP(D689,VOLS,VLOOKUP(G689,move_down,2,FALSE()),FALSE()),VLOOKUP(G689,NGPrices,3,FALSE()),HLOOKUP(D689,Correllate,VLOOKUP(G689,CorMove,2,FALSE()),FALSE()),Q689-$CD$3,R689,$CJ$5)*H689-CJ691</f>
        <v>#NAME?</v>
      </c>
      <c r="CH691" s="253" t="e">
        <f aca="false">xSPRDOPT((VLOOKUP(G689,NGPREVPRICES,2,FALSE())+HLOOKUP(D689,PREVCURVES,VLOOKUP(G689,MOVE_DOWN2,2,FALSE()),FALSE())),VLOOKUP(G689,NGPREVPRICES,2,FALSE()),CK691,VLOOKUP(G689,NGPREVPRICES,4,FALSE()),HLOOKUP(D689,PREVVOLS,VLOOKUP(G689,MOVE_DOWN2,2,FALSE()),FALSE()),VLOOKUP(G689,NGPREVPRICES,3,FALSE()),HLOOKUP(D689,Correllate,VLOOKUP(G689,CorMove,2,FALSE()),FALSE()),Q689-$C$3,R689,$CJ$5)*H689-CJ691</f>
        <v>#NAME?</v>
      </c>
      <c r="CI691" s="253" t="e">
        <f aca="false">SUM(CD691:CH691)</f>
        <v>#NAME?</v>
      </c>
      <c r="CJ691" s="253" t="e">
        <f aca="false">xSPRDOPT((VLOOKUP(G689,NGPREVPRICES,2,FALSE())+HLOOKUP(D689,PREVCURVES,VLOOKUP(G689,MOVE_DOWN2,2,FALSE()),FALSE())),VLOOKUP(G689,NGPREVPRICES,2,FALSE()),CK691,VLOOKUP(G689,NGPREVPRICES,4,FALSE()),HLOOKUP(D689,PREVVOLS,VLOOKUP(G689,MOVE_DOWN2,2,FALSE()),FALSE()),VLOOKUP(G689,NGPREVPRICES,3,FALSE()),HLOOKUP(D689,Correllate,VLOOKUP(G689,CorMove,2,FALSE()),FALSE()),Q689-$CD$3,R689,$CJ$5)*H689</f>
        <v>#NAME?</v>
      </c>
      <c r="CK691" s="254" t="n">
        <f aca="false">I689</f>
        <v>-0.15</v>
      </c>
      <c r="CM691" s="0" t="str">
        <f aca="false">CONCATENATE(CC691,$CD$6)</f>
        <v>36861Curve Shift/Gamma</v>
      </c>
      <c r="CN691" s="0" t="str">
        <f aca="false">CONCATENATE($CC691,$CE$6)</f>
        <v>36861Rho</v>
      </c>
      <c r="CO691" s="0" t="str">
        <f aca="false">CONCATENATE($CC691,$CF$6)</f>
        <v>36861Drift</v>
      </c>
      <c r="CP691" s="0" t="str">
        <f aca="false">CONCATENATE($CC691,$CG$6)</f>
        <v>36861Vega</v>
      </c>
      <c r="CQ691" s="0" t="str">
        <f aca="false">CONCATENATE($CC691,$CH$6)</f>
        <v>36861Theta</v>
      </c>
    </row>
    <row r="692" customFormat="false" ht="12.75" hidden="false" customHeight="false" outlineLevel="0" collapsed="false">
      <c r="A692" s="17" t="s">
        <v>210</v>
      </c>
      <c r="B692" s="0" t="s">
        <v>192</v>
      </c>
      <c r="C692" s="0" t="s">
        <v>426</v>
      </c>
      <c r="D692" s="7" t="s">
        <v>68</v>
      </c>
      <c r="E692" s="0" t="s">
        <v>131</v>
      </c>
      <c r="F692" s="0" t="s">
        <v>136</v>
      </c>
      <c r="G692" s="92" t="n">
        <v>36951</v>
      </c>
      <c r="H692" s="248" t="n">
        <v>310000</v>
      </c>
      <c r="I692" s="254" t="n">
        <v>-0.15</v>
      </c>
      <c r="J692" s="124" t="n">
        <f aca="false">VLOOKUP(G692,NGPrices,2,FALSE())</f>
        <v>4.213</v>
      </c>
      <c r="K692" s="125" t="n">
        <f aca="false">HLOOKUP(D692,Prices,VLOOKUP(G692,move_down,2,FALSE()),FALSE())+VLOOKUP(G692,CHANGE,HLOOKUP(D692,CHANGE,2,FALSE()),FALSE())</f>
        <v>-0.1375</v>
      </c>
      <c r="L692" s="124" t="n">
        <f aca="false">K692+J692</f>
        <v>4.0755</v>
      </c>
      <c r="M692" s="126" t="n">
        <f aca="false">VLOOKUP(G692,NGPrices,4,FALSE())</f>
        <v>0.068879814952707</v>
      </c>
      <c r="N692" s="7" t="n">
        <f aca="false">VLOOKUP(G692,NGPrices,3,FALSE())</f>
        <v>0.5325</v>
      </c>
      <c r="O692" s="7" t="n">
        <f aca="false">HLOOKUP(D692,VOLS,VLOOKUP(G692,move_down,2,FALSE()),FALSE())</f>
        <v>0.533</v>
      </c>
      <c r="P692" s="249" t="n">
        <f aca="false">HLOOKUP(D692,Correllate,VLOOKUP(G692,CorMove,2,FALSE()),FALSE())</f>
        <v>0.995</v>
      </c>
      <c r="Q692" s="92" t="n">
        <f aca="false">WORKDAY(G692,-2)</f>
        <v>36949</v>
      </c>
      <c r="R692" s="7" t="n">
        <f aca="false">IF(F692="P",0,1)</f>
        <v>1</v>
      </c>
      <c r="S692" s="130" t="e">
        <f aca="false">xSPRDOPT($L692,$J692,$I692,$M692,$O692,$N692,$P692,$Q692-$C$3,$R692,0)</f>
        <v>#NAME?</v>
      </c>
      <c r="T692" s="250" t="e">
        <f aca="false">xSPRDOPT($L692,$J692,$I692,$M692,$O692,$N692,$P692,$Q692-$C$3,$R692,1)*H692</f>
        <v>#NAME?</v>
      </c>
      <c r="U692" s="43" t="e">
        <f aca="false">S692*H692</f>
        <v>#NAME?</v>
      </c>
      <c r="V692" s="250" t="e">
        <f aca="false">xSPRDOPT($L692,$J692,$I692,$M692,$O692,$N692,$P692,$Q692-$C$3,$R692,2)*H692</f>
        <v>#NAME?</v>
      </c>
      <c r="W692" s="250" t="e">
        <f aca="false">+V692+T692</f>
        <v>#NAME?</v>
      </c>
      <c r="X692" s="2" t="str">
        <f aca="false">CONCATENATE(G692,D692)</f>
        <v>36951IF-PAN/TX/OK</v>
      </c>
      <c r="Y692" s="251" t="n">
        <f aca="false">H692/10000</f>
        <v>31</v>
      </c>
      <c r="Z692" s="226" t="e">
        <f aca="false">T692/H692</f>
        <v>#NAME?</v>
      </c>
      <c r="AA692" s="226" t="e">
        <f aca="false">xSPRDOPT($L692,$J692,$I692,$M692,$O692,$N692,$P692,$Q692-$C$3,$R692,3)</f>
        <v>#NAME?</v>
      </c>
      <c r="AB692" s="226" t="e">
        <f aca="false">((xSPRDOPT($L692+AB$5,$J692,$I692,$M692,$O692,$N692,$P692,$Q692-$C$3,$R692,3)*$H692)/10000)/100</f>
        <v>#NAME?</v>
      </c>
      <c r="AC692" s="226" t="e">
        <f aca="false">((xSPRDOPT($L692+$AB$5,$J692,$I692,$M692,$O692,$N692,$P692,$Q692-$C$3,$R692,7)*$H692)/100)</f>
        <v>#NAME?</v>
      </c>
      <c r="AD692" s="226" t="e">
        <f aca="false">(xSPRDOPT($L692+$AB$5,$J692,$I692,$M692,$O692,$N692,$P692,$Q692-$C$3,$R692,9)/365)*$H692</f>
        <v>#NAME?</v>
      </c>
      <c r="AE692" s="0" t="e">
        <f aca="false">CD694</f>
        <v>#NAME?</v>
      </c>
      <c r="AF692" s="226" t="e">
        <f aca="false">((O692/N692)*AH692)+AG692</f>
        <v>#NAME?</v>
      </c>
      <c r="AG692" s="226" t="e">
        <f aca="false">((xSPRDOPT($L692,$J692,$I692,$M692,$O692,$N692,$P692,$Q692-$C$3,$R692,6)*$H692)/100)</f>
        <v>#NAME?</v>
      </c>
      <c r="AH692" s="226" t="e">
        <f aca="false">((xSPRDOPT($L692,$J692,$I692,$M692,$O692,$N692,$P692,$Q692-$C$3,$R692,5)*$H692)/100)</f>
        <v>#NAME?</v>
      </c>
      <c r="AI692" s="226" t="e">
        <f aca="false">(((xSPRDOPT($L692,$J692,$I692,$M692,$O692,$N692,$P692,$Q692-$C$3,$R692,4)*$H692)/10000)/100)-AB692</f>
        <v>#NAME?</v>
      </c>
      <c r="AJ692" s="226"/>
      <c r="CC692" s="182" t="n">
        <f aca="false">G690</f>
        <v>36892</v>
      </c>
      <c r="CD692" s="253" t="e">
        <f aca="false">xSPRDOPT((VLOOKUP(G690,NGPrices,2,FALSE())+HLOOKUP(D690,Prices,VLOOKUP(G690,move_down,2,FALSE()),FALSE())),VLOOKUP(G690,NGPrices,2,FALSE()),I690,VLOOKUP(G690,NGPREVPRICES,4,FALSE()),HLOOKUP(D690,PREVVOLS,VLOOKUP(G690,MOVE_DOWN2,2,FALSE()),FALSE()),VLOOKUP(G690,NGPREVPRICES,3,FALSE()),HLOOKUP(D690,Correllate,VLOOKUP(G690,CorMove,2,FALSE()),FALSE()),Q690-$CD$3,R690,$CD$5)*H690-CJ692</f>
        <v>#NAME?</v>
      </c>
      <c r="CE692" s="253" t="e">
        <f aca="false">xSPRDOPT((VLOOKUP(G690,NGPREVPRICES,2,FALSE())+HLOOKUP(D690,PREVCURVES,VLOOKUP(G690,MOVE_DOWN2,2,FALSE()),FALSE())),VLOOKUP(G690,NGPREVPRICES,2,FALSE()),CK692,VLOOKUP(G690,NGPrices,4,FALSE()),HLOOKUP(D690,PREVVOLS,VLOOKUP(G690,MOVE_DOWN2,2,FALSE()),FALSE()),VLOOKUP(G690,NGPREVPRICES,3,FALSE()),HLOOKUP(D690,Correllate,VLOOKUP(G690,CorMove,2,FALSE()),FALSE()),Q690-$CD$3,R690,$CJ$5)*H690-CJ692</f>
        <v>#NAME?</v>
      </c>
      <c r="CF692" s="132" t="e">
        <f aca="false">(CJ692/VLOOKUP(CC692,discount,3,FALSE()))-(CJ692/VLOOKUP(CC692,discount,2,FALSE()))</f>
        <v>#NAME?</v>
      </c>
      <c r="CG692" s="253" t="e">
        <f aca="false">xSPRDOPT((VLOOKUP(G690,NGPREVPRICES,2,FALSE())+HLOOKUP(D690,PREVCURVES,VLOOKUP(G690,MOVE_DOWN2,2,FALSE()),FALSE())),VLOOKUP(G690,NGPREVPRICES,2,FALSE()),CK692,VLOOKUP(G690,NGPREVPRICES,4,FALSE()),HLOOKUP(D690,VOLS,VLOOKUP(G690,move_down,2,FALSE()),FALSE()),VLOOKUP(G690,NGPrices,3,FALSE()),HLOOKUP(D690,Correllate,VLOOKUP(G690,CorMove,2,FALSE()),FALSE()),Q690-$CD$3,R690,$CJ$5)*H690-CJ692</f>
        <v>#NAME?</v>
      </c>
      <c r="CH692" s="253" t="e">
        <f aca="false">xSPRDOPT((VLOOKUP(G690,NGPREVPRICES,2,FALSE())+HLOOKUP(D690,PREVCURVES,VLOOKUP(G690,MOVE_DOWN2,2,FALSE()),FALSE())),VLOOKUP(G690,NGPREVPRICES,2,FALSE()),CK692,VLOOKUP(G690,NGPREVPRICES,4,FALSE()),HLOOKUP(D690,PREVVOLS,VLOOKUP(G690,MOVE_DOWN2,2,FALSE()),FALSE()),VLOOKUP(G690,NGPREVPRICES,3,FALSE()),HLOOKUP(D690,Correllate,VLOOKUP(G690,CorMove,2,FALSE()),FALSE()),Q690-$C$3,R690,$CJ$5)*H690-CJ692</f>
        <v>#NAME?</v>
      </c>
      <c r="CI692" s="253" t="e">
        <f aca="false">SUM(CD692:CH692)</f>
        <v>#NAME?</v>
      </c>
      <c r="CJ692" s="253" t="e">
        <f aca="false">xSPRDOPT((VLOOKUP(G690,NGPREVPRICES,2,FALSE())+HLOOKUP(D690,PREVCURVES,VLOOKUP(G690,MOVE_DOWN2,2,FALSE()),FALSE())),VLOOKUP(G690,NGPREVPRICES,2,FALSE()),CK692,VLOOKUP(G690,NGPREVPRICES,4,FALSE()),HLOOKUP(D690,PREVVOLS,VLOOKUP(G690,MOVE_DOWN2,2,FALSE()),FALSE()),VLOOKUP(G690,NGPREVPRICES,3,FALSE()),HLOOKUP(D690,Correllate,VLOOKUP(G690,CorMove,2,FALSE()),FALSE()),Q690-$CD$3,R690,$CJ$5)*H690</f>
        <v>#NAME?</v>
      </c>
      <c r="CK692" s="254" t="n">
        <f aca="false">I690</f>
        <v>-0.15</v>
      </c>
      <c r="CM692" s="0" t="str">
        <f aca="false">CONCATENATE(CC692,$CD$6)</f>
        <v>36892Curve Shift/Gamma</v>
      </c>
      <c r="CN692" s="0" t="str">
        <f aca="false">CONCATENATE($CC692,$CE$6)</f>
        <v>36892Rho</v>
      </c>
      <c r="CO692" s="0" t="str">
        <f aca="false">CONCATENATE($CC692,$CF$6)</f>
        <v>36892Drift</v>
      </c>
      <c r="CP692" s="0" t="str">
        <f aca="false">CONCATENATE($CC692,$CG$6)</f>
        <v>36892Vega</v>
      </c>
      <c r="CQ692" s="0" t="str">
        <f aca="false">CONCATENATE($CC692,$CH$6)</f>
        <v>36892Theta</v>
      </c>
    </row>
    <row r="693" customFormat="false" ht="12.75" hidden="false" customHeight="false" outlineLevel="0" collapsed="false">
      <c r="A693" s="17" t="s">
        <v>244</v>
      </c>
      <c r="B693" s="0" t="s">
        <v>192</v>
      </c>
      <c r="C693" s="0" t="s">
        <v>427</v>
      </c>
      <c r="D693" s="7" t="s">
        <v>149</v>
      </c>
      <c r="E693" s="0" t="s">
        <v>131</v>
      </c>
      <c r="F693" s="0" t="s">
        <v>136</v>
      </c>
      <c r="G693" s="92" t="n">
        <v>36831</v>
      </c>
      <c r="H693" s="248" t="n">
        <v>-500000</v>
      </c>
      <c r="I693" s="254" t="n">
        <v>1.45</v>
      </c>
      <c r="J693" s="124" t="n">
        <f aca="false">VLOOKUP(G693,NGPrices,2,FALSE())</f>
        <v>4.736</v>
      </c>
      <c r="K693" s="125" t="n">
        <f aca="false">HLOOKUP(D693,Prices,VLOOKUP(G693,move_down,2,FALSE()),FALSE())+VLOOKUP(G693,CHANGE,HLOOKUP(D693,CHANGE,2,FALSE()),FALSE())</f>
        <v>0.77</v>
      </c>
      <c r="L693" s="124" t="n">
        <f aca="false">K693+J693</f>
        <v>5.506</v>
      </c>
      <c r="M693" s="126" t="n">
        <f aca="false">VLOOKUP(G693,NGPrices,4,FALSE())</f>
        <v>0.06810675983792</v>
      </c>
      <c r="N693" s="7" t="n">
        <f aca="false">VLOOKUP(G693,NGPrices,3,FALSE())</f>
        <v>0.595</v>
      </c>
      <c r="O693" s="7" t="n">
        <f aca="false">HLOOKUP(D693,VOLS,VLOOKUP(G693,move_down,2,FALSE()),FALSE())</f>
        <v>0.625</v>
      </c>
      <c r="P693" s="249" t="n">
        <f aca="false">HLOOKUP(D693,Correllate,VLOOKUP(G693,CorMove,2,FALSE()),FALSE())</f>
        <v>0.89</v>
      </c>
      <c r="Q693" s="92" t="n">
        <f aca="false">WORKDAY(G693,-2)</f>
        <v>36829</v>
      </c>
      <c r="R693" s="7" t="n">
        <f aca="false">IF(F693="P",0,1)</f>
        <v>1</v>
      </c>
      <c r="S693" s="130" t="e">
        <f aca="false">xSPRDOPT($L693,$J693,$I693,$M693,$O693,$N693,$P693,$Q693-$C$3,$R693,0)</f>
        <v>#NAME?</v>
      </c>
      <c r="T693" s="250" t="e">
        <f aca="false">xSPRDOPT($L693,$J693,$I693,$M693,$O693,$N693,$P693,$Q693-$C$3,$R693,1)*H693</f>
        <v>#NAME?</v>
      </c>
      <c r="U693" s="43" t="e">
        <f aca="false">S693*H693</f>
        <v>#NAME?</v>
      </c>
      <c r="V693" s="250" t="e">
        <f aca="false">xSPRDOPT($L693,$J693,$I693,$M693,$O693,$N693,$P693,$Q693-$C$3,$R693,2)*H693</f>
        <v>#NAME?</v>
      </c>
      <c r="W693" s="250" t="e">
        <f aca="false">+V693+T693</f>
        <v>#NAME?</v>
      </c>
      <c r="X693" s="2" t="str">
        <f aca="false">CONCATENATE(G693,D693)</f>
        <v>36831IF-TRANSCO/Z6</v>
      </c>
      <c r="Y693" s="251" t="n">
        <f aca="false">H693/10000</f>
        <v>-50</v>
      </c>
      <c r="Z693" s="226" t="e">
        <f aca="false">T693/H693</f>
        <v>#NAME?</v>
      </c>
      <c r="AA693" s="226" t="e">
        <f aca="false">xSPRDOPT($L693,$J693,$I693,$M693,$O693,$N693,$P693,$Q693-$C$3,$R693,3)</f>
        <v>#NAME?</v>
      </c>
      <c r="AB693" s="226" t="e">
        <f aca="false">((xSPRDOPT($L693+AB$5,$J693,$I693,$M693,$O693,$N693,$P693,$Q693-$C$3,$R693,3)*$H693)/10000)/100</f>
        <v>#NAME?</v>
      </c>
      <c r="AC693" s="226" t="e">
        <f aca="false">((xSPRDOPT($L693+$AB$5,$J693,$I693,$M693,$O693,$N693,$P693,$Q693-$C$3,$R693,7)*$H693)/100)</f>
        <v>#NAME?</v>
      </c>
      <c r="AD693" s="226" t="e">
        <f aca="false">(xSPRDOPT($L693+$AB$5,$J693,$I693,$M693,$O693,$N693,$P693,$Q693-$C$3,$R693,9)/365)*$H693</f>
        <v>#NAME?</v>
      </c>
      <c r="AE693" s="0" t="e">
        <f aca="false">CD695</f>
        <v>#NAME?</v>
      </c>
      <c r="AF693" s="226" t="e">
        <f aca="false">((O693/N693)*AH693)+AG693</f>
        <v>#NAME?</v>
      </c>
      <c r="AG693" s="226" t="e">
        <f aca="false">((xSPRDOPT($L693,$J693,$I693,$M693,$O693,$N693,$P693,$Q693-$C$3,$R693,6)*$H693)/100)</f>
        <v>#NAME?</v>
      </c>
      <c r="AH693" s="226" t="e">
        <f aca="false">((xSPRDOPT($L693,$J693,$I693,$M693,$O693,$N693,$P693,$Q693-$C$3,$R693,5)*$H693)/100)</f>
        <v>#NAME?</v>
      </c>
      <c r="AI693" s="226" t="e">
        <f aca="false">(((xSPRDOPT($L693,$J693,$I693,$M693,$O693,$N693,$P693,$Q693-$C$3,$R693,4)*$H693)/10000)/100)-AB693</f>
        <v>#NAME?</v>
      </c>
      <c r="AJ693" s="226"/>
      <c r="CC693" s="182" t="n">
        <f aca="false">G691</f>
        <v>36923</v>
      </c>
      <c r="CD693" s="253" t="e">
        <f aca="false">xSPRDOPT((VLOOKUP(G691,NGPrices,2,FALSE())+HLOOKUP(D691,Prices,VLOOKUP(G691,move_down,2,FALSE()),FALSE())),VLOOKUP(G691,NGPrices,2,FALSE()),I691,VLOOKUP(G691,NGPREVPRICES,4,FALSE()),HLOOKUP(D691,PREVVOLS,VLOOKUP(G691,MOVE_DOWN2,2,FALSE()),FALSE()),VLOOKUP(G691,NGPREVPRICES,3,FALSE()),HLOOKUP(D691,Correllate,VLOOKUP(G691,CorMove,2,FALSE()),FALSE()),Q691-$CD$3,R691,$CD$5)*H691-CJ693</f>
        <v>#NAME?</v>
      </c>
      <c r="CE693" s="253" t="e">
        <f aca="false">xSPRDOPT((VLOOKUP(G691,NGPREVPRICES,2,FALSE())+HLOOKUP(D691,PREVCURVES,VLOOKUP(G691,MOVE_DOWN2,2,FALSE()),FALSE())),VLOOKUP(G691,NGPREVPRICES,2,FALSE()),CK693,VLOOKUP(G691,NGPrices,4,FALSE()),HLOOKUP(D691,PREVVOLS,VLOOKUP(G691,MOVE_DOWN2,2,FALSE()),FALSE()),VLOOKUP(G691,NGPREVPRICES,3,FALSE()),HLOOKUP(D691,Correllate,VLOOKUP(G691,CorMove,2,FALSE()),FALSE()),Q691-$CD$3,R691,$CJ$5)*H691-CJ693</f>
        <v>#NAME?</v>
      </c>
      <c r="CF693" s="132" t="e">
        <f aca="false">(CJ693/VLOOKUP(CC693,discount,3,FALSE()))-(CJ693/VLOOKUP(CC693,discount,2,FALSE()))</f>
        <v>#NAME?</v>
      </c>
      <c r="CG693" s="253" t="e">
        <f aca="false">xSPRDOPT((VLOOKUP(G691,NGPREVPRICES,2,FALSE())+HLOOKUP(D691,PREVCURVES,VLOOKUP(G691,MOVE_DOWN2,2,FALSE()),FALSE())),VLOOKUP(G691,NGPREVPRICES,2,FALSE()),CK693,VLOOKUP(G691,NGPREVPRICES,4,FALSE()),HLOOKUP(D691,VOLS,VLOOKUP(G691,move_down,2,FALSE()),FALSE()),VLOOKUP(G691,NGPrices,3,FALSE()),HLOOKUP(D691,Correllate,VLOOKUP(G691,CorMove,2,FALSE()),FALSE()),Q691-$CD$3,R691,$CJ$5)*H691-CJ693</f>
        <v>#NAME?</v>
      </c>
      <c r="CH693" s="253" t="e">
        <f aca="false">xSPRDOPT((VLOOKUP(G691,NGPREVPRICES,2,FALSE())+HLOOKUP(D691,PREVCURVES,VLOOKUP(G691,MOVE_DOWN2,2,FALSE()),FALSE())),VLOOKUP(G691,NGPREVPRICES,2,FALSE()),CK693,VLOOKUP(G691,NGPREVPRICES,4,FALSE()),HLOOKUP(D691,PREVVOLS,VLOOKUP(G691,MOVE_DOWN2,2,FALSE()),FALSE()),VLOOKUP(G691,NGPREVPRICES,3,FALSE()),HLOOKUP(D691,Correllate,VLOOKUP(G691,CorMove,2,FALSE()),FALSE()),Q691-$C$3,R691,$CJ$5)*H691-CJ693</f>
        <v>#NAME?</v>
      </c>
      <c r="CI693" s="253" t="e">
        <f aca="false">SUM(CD693:CH693)</f>
        <v>#NAME?</v>
      </c>
      <c r="CJ693" s="253" t="e">
        <f aca="false">xSPRDOPT((VLOOKUP(G691,NGPREVPRICES,2,FALSE())+HLOOKUP(D691,PREVCURVES,VLOOKUP(G691,MOVE_DOWN2,2,FALSE()),FALSE())),VLOOKUP(G691,NGPREVPRICES,2,FALSE()),CK693,VLOOKUP(G691,NGPREVPRICES,4,FALSE()),HLOOKUP(D691,PREVVOLS,VLOOKUP(G691,MOVE_DOWN2,2,FALSE()),FALSE()),VLOOKUP(G691,NGPREVPRICES,3,FALSE()),HLOOKUP(D691,Correllate,VLOOKUP(G691,CorMove,2,FALSE()),FALSE()),Q691-$CD$3,R691,$CJ$5)*H691</f>
        <v>#NAME?</v>
      </c>
      <c r="CK693" s="254" t="n">
        <f aca="false">I691</f>
        <v>-0.15</v>
      </c>
      <c r="CM693" s="0" t="str">
        <f aca="false">CONCATENATE(CC693,$CD$6)</f>
        <v>36923Curve Shift/Gamma</v>
      </c>
      <c r="CN693" s="0" t="str">
        <f aca="false">CONCATENATE($CC693,$CE$6)</f>
        <v>36923Rho</v>
      </c>
      <c r="CO693" s="0" t="str">
        <f aca="false">CONCATENATE($CC693,$CF$6)</f>
        <v>36923Drift</v>
      </c>
      <c r="CP693" s="0" t="str">
        <f aca="false">CONCATENATE($CC693,$CG$6)</f>
        <v>36923Vega</v>
      </c>
      <c r="CQ693" s="0" t="str">
        <f aca="false">CONCATENATE($CC693,$CH$6)</f>
        <v>36923Theta</v>
      </c>
    </row>
    <row r="694" customFormat="false" ht="12.75" hidden="false" customHeight="false" outlineLevel="0" collapsed="false">
      <c r="A694" s="17" t="s">
        <v>244</v>
      </c>
      <c r="B694" s="0" t="s">
        <v>192</v>
      </c>
      <c r="C694" s="0" t="s">
        <v>427</v>
      </c>
      <c r="D694" s="7" t="s">
        <v>149</v>
      </c>
      <c r="E694" s="0" t="s">
        <v>131</v>
      </c>
      <c r="F694" s="0" t="s">
        <v>136</v>
      </c>
      <c r="G694" s="92" t="n">
        <v>36861</v>
      </c>
      <c r="H694" s="248" t="n">
        <v>-500000</v>
      </c>
      <c r="I694" s="254" t="n">
        <v>1.45</v>
      </c>
      <c r="J694" s="124" t="n">
        <f aca="false">VLOOKUP(G694,NGPrices,2,FALSE())</f>
        <v>4.8</v>
      </c>
      <c r="K694" s="125" t="n">
        <f aca="false">HLOOKUP(D694,Prices,VLOOKUP(G694,move_down,2,FALSE()),FALSE())+VLOOKUP(G694,CHANGE,HLOOKUP(D694,CHANGE,2,FALSE()),FALSE())</f>
        <v>1.645</v>
      </c>
      <c r="L694" s="124" t="n">
        <f aca="false">K694+J694</f>
        <v>6.445</v>
      </c>
      <c r="M694" s="126" t="n">
        <f aca="false">VLOOKUP(G694,NGPrices,4,FALSE())</f>
        <v>0.068314027999354</v>
      </c>
      <c r="N694" s="7" t="n">
        <f aca="false">VLOOKUP(G694,NGPrices,3,FALSE())</f>
        <v>0.6</v>
      </c>
      <c r="O694" s="7" t="n">
        <f aca="false">HLOOKUP(D694,VOLS,VLOOKUP(G694,move_down,2,FALSE()),FALSE())</f>
        <v>0.69</v>
      </c>
      <c r="P694" s="249" t="n">
        <f aca="false">HLOOKUP(D694,Correllate,VLOOKUP(G694,CorMove,2,FALSE()),FALSE())</f>
        <v>0.83</v>
      </c>
      <c r="Q694" s="92" t="n">
        <f aca="false">WORKDAY(G694,-2)</f>
        <v>36859</v>
      </c>
      <c r="R694" s="7" t="n">
        <f aca="false">IF(F694="P",0,1)</f>
        <v>1</v>
      </c>
      <c r="S694" s="130" t="e">
        <f aca="false">xSPRDOPT($L694,$J694,$I694,$M694,$O694,$N694,$P694,$Q694-$C$3,$R694,0)</f>
        <v>#NAME?</v>
      </c>
      <c r="T694" s="250" t="e">
        <f aca="false">xSPRDOPT($L694,$J694,$I694,$M694,$O694,$N694,$P694,$Q694-$C$3,$R694,1)*H694</f>
        <v>#NAME?</v>
      </c>
      <c r="U694" s="43" t="e">
        <f aca="false">S694*H694</f>
        <v>#NAME?</v>
      </c>
      <c r="V694" s="250" t="e">
        <f aca="false">xSPRDOPT($L694,$J694,$I694,$M694,$O694,$N694,$P694,$Q694-$C$3,$R694,2)*H694</f>
        <v>#NAME?</v>
      </c>
      <c r="W694" s="250" t="e">
        <f aca="false">+V694+T694</f>
        <v>#NAME?</v>
      </c>
      <c r="X694" s="2" t="str">
        <f aca="false">CONCATENATE(G694,D694)</f>
        <v>36861IF-TRANSCO/Z6</v>
      </c>
      <c r="Y694" s="251" t="n">
        <f aca="false">H694/10000</f>
        <v>-50</v>
      </c>
      <c r="Z694" s="226" t="e">
        <f aca="false">T694/H694</f>
        <v>#NAME?</v>
      </c>
      <c r="AA694" s="226" t="e">
        <f aca="false">xSPRDOPT($L694,$J694,$I694,$M694,$O694,$N694,$P694,$Q694-$C$3,$R694,3)</f>
        <v>#NAME?</v>
      </c>
      <c r="AB694" s="226" t="e">
        <f aca="false">((xSPRDOPT($L694+AB$5,$J694,$I694,$M694,$O694,$N694,$P694,$Q694-$C$3,$R694,3)*$H694)/10000)/100</f>
        <v>#NAME?</v>
      </c>
      <c r="AC694" s="226" t="e">
        <f aca="false">((xSPRDOPT($L694+$AB$5,$J694,$I694,$M694,$O694,$N694,$P694,$Q694-$C$3,$R694,7)*$H694)/100)</f>
        <v>#NAME?</v>
      </c>
      <c r="AD694" s="226" t="e">
        <f aca="false">(xSPRDOPT($L694+$AB$5,$J694,$I694,$M694,$O694,$N694,$P694,$Q694-$C$3,$R694,9)/365)*$H694</f>
        <v>#NAME?</v>
      </c>
      <c r="AE694" s="0" t="e">
        <f aca="false">CD696</f>
        <v>#NAME?</v>
      </c>
      <c r="AF694" s="226" t="e">
        <f aca="false">((O694/N694)*AH694)+AG694</f>
        <v>#NAME?</v>
      </c>
      <c r="AG694" s="226" t="e">
        <f aca="false">((xSPRDOPT($L694,$J694,$I694,$M694,$O694,$N694,$P694,$Q694-$C$3,$R694,6)*$H694)/100)</f>
        <v>#NAME?</v>
      </c>
      <c r="AH694" s="226" t="e">
        <f aca="false">((xSPRDOPT($L694,$J694,$I694,$M694,$O694,$N694,$P694,$Q694-$C$3,$R694,5)*$H694)/100)</f>
        <v>#NAME?</v>
      </c>
      <c r="AI694" s="226" t="e">
        <f aca="false">(((xSPRDOPT($L694,$J694,$I694,$M694,$O694,$N694,$P694,$Q694-$C$3,$R694,4)*$H694)/10000)/100)-AB694</f>
        <v>#NAME?</v>
      </c>
      <c r="AJ694" s="226"/>
      <c r="CC694" s="182" t="n">
        <f aca="false">G692</f>
        <v>36951</v>
      </c>
      <c r="CD694" s="253" t="e">
        <f aca="false">xSPRDOPT((VLOOKUP(G692,NGPrices,2,FALSE())+HLOOKUP(D692,Prices,VLOOKUP(G692,move_down,2,FALSE()),FALSE())),VLOOKUP(G692,NGPrices,2,FALSE()),I692,VLOOKUP(G692,NGPREVPRICES,4,FALSE()),HLOOKUP(D692,PREVVOLS,VLOOKUP(G692,MOVE_DOWN2,2,FALSE()),FALSE()),VLOOKUP(G692,NGPREVPRICES,3,FALSE()),HLOOKUP(D692,Correllate,VLOOKUP(G692,CorMove,2,FALSE()),FALSE()),Q692-$CD$3,R692,$CD$5)*H692-CJ694</f>
        <v>#NAME?</v>
      </c>
      <c r="CE694" s="253" t="e">
        <f aca="false">xSPRDOPT((VLOOKUP(G692,NGPREVPRICES,2,FALSE())+HLOOKUP(D692,PREVCURVES,VLOOKUP(G692,MOVE_DOWN2,2,FALSE()),FALSE())),VLOOKUP(G692,NGPREVPRICES,2,FALSE()),CK694,VLOOKUP(G692,NGPrices,4,FALSE()),HLOOKUP(D692,PREVVOLS,VLOOKUP(G692,MOVE_DOWN2,2,FALSE()),FALSE()),VLOOKUP(G692,NGPREVPRICES,3,FALSE()),HLOOKUP(D692,Correllate,VLOOKUP(G692,CorMove,2,FALSE()),FALSE()),Q692-$CD$3,R692,$CJ$5)*H692-CJ694</f>
        <v>#NAME?</v>
      </c>
      <c r="CF694" s="132" t="e">
        <f aca="false">(CJ694/VLOOKUP(CC694,discount,3,FALSE()))-(CJ694/VLOOKUP(CC694,discount,2,FALSE()))</f>
        <v>#NAME?</v>
      </c>
      <c r="CG694" s="253" t="e">
        <f aca="false">xSPRDOPT((VLOOKUP(G692,NGPREVPRICES,2,FALSE())+HLOOKUP(D692,PREVCURVES,VLOOKUP(G692,MOVE_DOWN2,2,FALSE()),FALSE())),VLOOKUP(G692,NGPREVPRICES,2,FALSE()),CK694,VLOOKUP(G692,NGPREVPRICES,4,FALSE()),HLOOKUP(D692,VOLS,VLOOKUP(G692,move_down,2,FALSE()),FALSE()),VLOOKUP(G692,NGPrices,3,FALSE()),HLOOKUP(D692,Correllate,VLOOKUP(G692,CorMove,2,FALSE()),FALSE()),Q692-$CD$3,R692,$CJ$5)*H692-CJ694</f>
        <v>#NAME?</v>
      </c>
      <c r="CH694" s="253" t="e">
        <f aca="false">xSPRDOPT((VLOOKUP(G692,NGPREVPRICES,2,FALSE())+HLOOKUP(D692,PREVCURVES,VLOOKUP(G692,MOVE_DOWN2,2,FALSE()),FALSE())),VLOOKUP(G692,NGPREVPRICES,2,FALSE()),CK694,VLOOKUP(G692,NGPREVPRICES,4,FALSE()),HLOOKUP(D692,PREVVOLS,VLOOKUP(G692,MOVE_DOWN2,2,FALSE()),FALSE()),VLOOKUP(G692,NGPREVPRICES,3,FALSE()),HLOOKUP(D692,Correllate,VLOOKUP(G692,CorMove,2,FALSE()),FALSE()),Q692-$C$3,R692,$CJ$5)*H692-CJ694</f>
        <v>#NAME?</v>
      </c>
      <c r="CI694" s="253" t="e">
        <f aca="false">SUM(CD694:CH694)</f>
        <v>#NAME?</v>
      </c>
      <c r="CJ694" s="253" t="e">
        <f aca="false">xSPRDOPT((VLOOKUP(G692,NGPREVPRICES,2,FALSE())+HLOOKUP(D692,PREVCURVES,VLOOKUP(G692,MOVE_DOWN2,2,FALSE()),FALSE())),VLOOKUP(G692,NGPREVPRICES,2,FALSE()),CK694,VLOOKUP(G692,NGPREVPRICES,4,FALSE()),HLOOKUP(D692,PREVVOLS,VLOOKUP(G692,MOVE_DOWN2,2,FALSE()),FALSE()),VLOOKUP(G692,NGPREVPRICES,3,FALSE()),HLOOKUP(D692,Correllate,VLOOKUP(G692,CorMove,2,FALSE()),FALSE()),Q692-$CD$3,R692,$CJ$5)*H692</f>
        <v>#NAME?</v>
      </c>
      <c r="CK694" s="254" t="n">
        <f aca="false">I692</f>
        <v>-0.15</v>
      </c>
      <c r="CM694" s="0" t="str">
        <f aca="false">CONCATENATE(CC694,$CD$6)</f>
        <v>36951Curve Shift/Gamma</v>
      </c>
      <c r="CN694" s="0" t="str">
        <f aca="false">CONCATENATE($CC694,$CE$6)</f>
        <v>36951Rho</v>
      </c>
      <c r="CO694" s="0" t="str">
        <f aca="false">CONCATENATE($CC694,$CF$6)</f>
        <v>36951Drift</v>
      </c>
      <c r="CP694" s="0" t="str">
        <f aca="false">CONCATENATE($CC694,$CG$6)</f>
        <v>36951Vega</v>
      </c>
      <c r="CQ694" s="0" t="str">
        <f aca="false">CONCATENATE($CC694,$CH$6)</f>
        <v>36951Theta</v>
      </c>
    </row>
    <row r="695" customFormat="false" ht="12.75" hidden="false" customHeight="false" outlineLevel="0" collapsed="false">
      <c r="A695" s="17" t="s">
        <v>244</v>
      </c>
      <c r="B695" s="0" t="s">
        <v>192</v>
      </c>
      <c r="C695" s="0" t="s">
        <v>427</v>
      </c>
      <c r="D695" s="7" t="s">
        <v>149</v>
      </c>
      <c r="E695" s="0" t="s">
        <v>131</v>
      </c>
      <c r="F695" s="0" t="s">
        <v>136</v>
      </c>
      <c r="G695" s="92" t="n">
        <v>36892</v>
      </c>
      <c r="H695" s="248" t="n">
        <v>-500000</v>
      </c>
      <c r="I695" s="254" t="n">
        <v>1.45</v>
      </c>
      <c r="J695" s="124" t="n">
        <f aca="false">VLOOKUP(G695,NGPrices,2,FALSE())</f>
        <v>4.744</v>
      </c>
      <c r="K695" s="125" t="n">
        <f aca="false">HLOOKUP(D695,Prices,VLOOKUP(G695,move_down,2,FALSE()),FALSE())+VLOOKUP(G695,CHANGE,HLOOKUP(D695,CHANGE,2,FALSE()),FALSE())</f>
        <v>2.17</v>
      </c>
      <c r="L695" s="124" t="n">
        <f aca="false">K695+J695</f>
        <v>6.914</v>
      </c>
      <c r="M695" s="126" t="n">
        <f aca="false">VLOOKUP(G695,NGPrices,4,FALSE())</f>
        <v>0.068374831148491</v>
      </c>
      <c r="N695" s="7" t="n">
        <f aca="false">VLOOKUP(G695,NGPrices,3,FALSE())</f>
        <v>0.605</v>
      </c>
      <c r="O695" s="7" t="n">
        <f aca="false">HLOOKUP(D695,VOLS,VLOOKUP(G695,move_down,2,FALSE()),FALSE())</f>
        <v>0.696</v>
      </c>
      <c r="P695" s="249" t="n">
        <f aca="false">HLOOKUP(D695,Correllate,VLOOKUP(G695,CorMove,2,FALSE()),FALSE())</f>
        <v>0.83</v>
      </c>
      <c r="Q695" s="92" t="n">
        <f aca="false">WORKDAY(G695,-2)</f>
        <v>36888</v>
      </c>
      <c r="R695" s="7" t="n">
        <f aca="false">IF(F695="P",0,1)</f>
        <v>1</v>
      </c>
      <c r="S695" s="130" t="e">
        <f aca="false">xSPRDOPT($L695,$J695,$I695,$M695,$O695,$N695,$P695,$Q695-$C$3,$R695,0)</f>
        <v>#NAME?</v>
      </c>
      <c r="T695" s="250" t="e">
        <f aca="false">xSPRDOPT($L695,$J695,$I695,$M695,$O695,$N695,$P695,$Q695-$C$3,$R695,1)*H695</f>
        <v>#NAME?</v>
      </c>
      <c r="U695" s="43" t="e">
        <f aca="false">S695*H695</f>
        <v>#NAME?</v>
      </c>
      <c r="V695" s="250" t="e">
        <f aca="false">xSPRDOPT($L695,$J695,$I695,$M695,$O695,$N695,$P695,$Q695-$C$3,$R695,2)*H695</f>
        <v>#NAME?</v>
      </c>
      <c r="W695" s="250" t="e">
        <f aca="false">+V695+T695</f>
        <v>#NAME?</v>
      </c>
      <c r="X695" s="2" t="str">
        <f aca="false">CONCATENATE(G695,D695)</f>
        <v>36892IF-TRANSCO/Z6</v>
      </c>
      <c r="Y695" s="251" t="n">
        <f aca="false">H695/10000</f>
        <v>-50</v>
      </c>
      <c r="Z695" s="226" t="e">
        <f aca="false">T695/H695</f>
        <v>#NAME?</v>
      </c>
      <c r="AA695" s="226" t="e">
        <f aca="false">xSPRDOPT($L695,$J695,$I695,$M695,$O695,$N695,$P695,$Q695-$C$3,$R695,3)</f>
        <v>#NAME?</v>
      </c>
      <c r="AB695" s="226" t="e">
        <f aca="false">((xSPRDOPT($L695+AB$5,$J695,$I695,$M695,$O695,$N695,$P695,$Q695-$C$3,$R695,3)*$H695)/10000)/100</f>
        <v>#NAME?</v>
      </c>
      <c r="AC695" s="226" t="e">
        <f aca="false">((xSPRDOPT($L695+$AB$5,$J695,$I695,$M695,$O695,$N695,$P695,$Q695-$C$3,$R695,7)*$H695)/100)</f>
        <v>#NAME?</v>
      </c>
      <c r="AD695" s="226" t="e">
        <f aca="false">(xSPRDOPT($L695+$AB$5,$J695,$I695,$M695,$O695,$N695,$P695,$Q695-$C$3,$R695,9)/365)*$H695</f>
        <v>#NAME?</v>
      </c>
      <c r="AE695" s="0" t="e">
        <f aca="false">CD697</f>
        <v>#NAME?</v>
      </c>
      <c r="AF695" s="226" t="e">
        <f aca="false">((O695/N695)*AH695)+AG695</f>
        <v>#NAME?</v>
      </c>
      <c r="AG695" s="226" t="e">
        <f aca="false">((xSPRDOPT($L695,$J695,$I695,$M695,$O695,$N695,$P695,$Q695-$C$3,$R695,6)*$H695)/100)</f>
        <v>#NAME?</v>
      </c>
      <c r="AH695" s="226" t="e">
        <f aca="false">((xSPRDOPT($L695,$J695,$I695,$M695,$O695,$N695,$P695,$Q695-$C$3,$R695,5)*$H695)/100)</f>
        <v>#NAME?</v>
      </c>
      <c r="AI695" s="226" t="e">
        <f aca="false">(((xSPRDOPT($L695,$J695,$I695,$M695,$O695,$N695,$P695,$Q695-$C$3,$R695,4)*$H695)/10000)/100)-AB695</f>
        <v>#NAME?</v>
      </c>
      <c r="AJ695" s="226"/>
      <c r="CC695" s="182" t="n">
        <f aca="false">G693</f>
        <v>36831</v>
      </c>
      <c r="CD695" s="253" t="e">
        <f aca="false">xSPRDOPT((VLOOKUP(G693,NGPrices,2,FALSE())+HLOOKUP(D693,Prices,VLOOKUP(G693,move_down,2,FALSE()),FALSE())),VLOOKUP(G693,NGPrices,2,FALSE()),I693,VLOOKUP(G693,NGPREVPRICES,4,FALSE()),HLOOKUP(D693,PREVVOLS,VLOOKUP(G693,MOVE_DOWN2,2,FALSE()),FALSE()),VLOOKUP(G693,NGPREVPRICES,3,FALSE()),HLOOKUP(D693,Correllate,VLOOKUP(G693,CorMove,2,FALSE()),FALSE()),Q693-$CD$3,R693,$CD$5)*H693-CJ695</f>
        <v>#NAME?</v>
      </c>
      <c r="CE695" s="253" t="e">
        <f aca="false">xSPRDOPT((VLOOKUP(G693,NGPREVPRICES,2,FALSE())+HLOOKUP(D693,PREVCURVES,VLOOKUP(G693,MOVE_DOWN2,2,FALSE()),FALSE())),VLOOKUP(G693,NGPREVPRICES,2,FALSE()),CK695,VLOOKUP(G693,NGPrices,4,FALSE()),HLOOKUP(D693,PREVVOLS,VLOOKUP(G693,MOVE_DOWN2,2,FALSE()),FALSE()),VLOOKUP(G693,NGPREVPRICES,3,FALSE()),HLOOKUP(D693,Correllate,VLOOKUP(G693,CorMove,2,FALSE()),FALSE()),Q693-$CD$3,R693,$CJ$5)*H693-CJ695</f>
        <v>#NAME?</v>
      </c>
      <c r="CF695" s="132" t="e">
        <f aca="false">(CJ695/VLOOKUP(CC695,discount,3,FALSE()))-(CJ695/VLOOKUP(CC695,discount,2,FALSE()))</f>
        <v>#NAME?</v>
      </c>
      <c r="CG695" s="253" t="e">
        <f aca="false">xSPRDOPT((VLOOKUP(G693,NGPREVPRICES,2,FALSE())+HLOOKUP(D693,PREVCURVES,VLOOKUP(G693,MOVE_DOWN2,2,FALSE()),FALSE())),VLOOKUP(G693,NGPREVPRICES,2,FALSE()),CK695,VLOOKUP(G693,NGPREVPRICES,4,FALSE()),HLOOKUP(D693,VOLS,VLOOKUP(G693,move_down,2,FALSE()),FALSE()),VLOOKUP(G693,NGPrices,3,FALSE()),HLOOKUP(D693,Correllate,VLOOKUP(G693,CorMove,2,FALSE()),FALSE()),Q693-$CD$3,R693,$CJ$5)*H693-CJ695</f>
        <v>#NAME?</v>
      </c>
      <c r="CH695" s="253" t="e">
        <f aca="false">xSPRDOPT((VLOOKUP(G693,NGPREVPRICES,2,FALSE())+HLOOKUP(D693,PREVCURVES,VLOOKUP(G693,MOVE_DOWN2,2,FALSE()),FALSE())),VLOOKUP(G693,NGPREVPRICES,2,FALSE()),CK695,VLOOKUP(G693,NGPREVPRICES,4,FALSE()),HLOOKUP(D693,PREVVOLS,VLOOKUP(G693,MOVE_DOWN2,2,FALSE()),FALSE()),VLOOKUP(G693,NGPREVPRICES,3,FALSE()),HLOOKUP(D693,Correllate,VLOOKUP(G693,CorMove,2,FALSE()),FALSE()),Q693-$C$3,R693,$CJ$5)*H693-CJ695</f>
        <v>#NAME?</v>
      </c>
      <c r="CI695" s="253" t="e">
        <f aca="false">SUM(CD695:CH695)</f>
        <v>#NAME?</v>
      </c>
      <c r="CJ695" s="253" t="e">
        <f aca="false">xSPRDOPT((VLOOKUP(G693,NGPREVPRICES,2,FALSE())+HLOOKUP(D693,PREVCURVES,VLOOKUP(G693,MOVE_DOWN2,2,FALSE()),FALSE())),VLOOKUP(G693,NGPREVPRICES,2,FALSE()),CK695,VLOOKUP(G693,NGPREVPRICES,4,FALSE()),HLOOKUP(D693,PREVVOLS,VLOOKUP(G693,MOVE_DOWN2,2,FALSE()),FALSE()),VLOOKUP(G693,NGPREVPRICES,3,FALSE()),HLOOKUP(D693,Correllate,VLOOKUP(G693,CorMove,2,FALSE()),FALSE()),Q693-$CD$3,R693,$CJ$5)*H693</f>
        <v>#NAME?</v>
      </c>
      <c r="CK695" s="254" t="n">
        <f aca="false">I693</f>
        <v>1.45</v>
      </c>
      <c r="CM695" s="0" t="str">
        <f aca="false">CONCATENATE(CC695,$CD$6)</f>
        <v>36831Curve Shift/Gamma</v>
      </c>
      <c r="CN695" s="0" t="str">
        <f aca="false">CONCATENATE($CC695,$CE$6)</f>
        <v>36831Rho</v>
      </c>
      <c r="CO695" s="0" t="str">
        <f aca="false">CONCATENATE($CC695,$CF$6)</f>
        <v>36831Drift</v>
      </c>
      <c r="CP695" s="0" t="str">
        <f aca="false">CONCATENATE($CC695,$CG$6)</f>
        <v>36831Vega</v>
      </c>
      <c r="CQ695" s="0" t="str">
        <f aca="false">CONCATENATE($CC695,$CH$6)</f>
        <v>36831Theta</v>
      </c>
    </row>
    <row r="696" customFormat="false" ht="12.75" hidden="false" customHeight="false" outlineLevel="0" collapsed="false">
      <c r="A696" s="17" t="s">
        <v>244</v>
      </c>
      <c r="B696" s="0" t="s">
        <v>192</v>
      </c>
      <c r="C696" s="0" t="s">
        <v>427</v>
      </c>
      <c r="D696" s="7" t="s">
        <v>149</v>
      </c>
      <c r="E696" s="0" t="s">
        <v>131</v>
      </c>
      <c r="F696" s="0" t="s">
        <v>136</v>
      </c>
      <c r="G696" s="92" t="n">
        <v>36923</v>
      </c>
      <c r="H696" s="248" t="n">
        <v>-500000</v>
      </c>
      <c r="I696" s="254" t="n">
        <v>1.45</v>
      </c>
      <c r="J696" s="124" t="n">
        <f aca="false">VLOOKUP(G696,NGPrices,2,FALSE())</f>
        <v>4.48</v>
      </c>
      <c r="K696" s="125" t="n">
        <f aca="false">HLOOKUP(D696,Prices,VLOOKUP(G696,move_down,2,FALSE()),FALSE())+VLOOKUP(G696,CHANGE,HLOOKUP(D696,CHANGE,2,FALSE()),FALSE())</f>
        <v>2.09</v>
      </c>
      <c r="L696" s="124" t="n">
        <f aca="false">K696+J696</f>
        <v>6.57</v>
      </c>
      <c r="M696" s="126" t="n">
        <f aca="false">VLOOKUP(G696,NGPrices,4,FALSE())</f>
        <v>0.068640161611372</v>
      </c>
      <c r="N696" s="7" t="n">
        <f aca="false">VLOOKUP(G696,NGPrices,3,FALSE())</f>
        <v>0.5925</v>
      </c>
      <c r="O696" s="7" t="n">
        <f aca="false">HLOOKUP(D696,VOLS,VLOOKUP(G696,move_down,2,FALSE()),FALSE())</f>
        <v>0.681</v>
      </c>
      <c r="P696" s="249" t="n">
        <f aca="false">HLOOKUP(D696,Correllate,VLOOKUP(G696,CorMove,2,FALSE()),FALSE())</f>
        <v>0.83</v>
      </c>
      <c r="Q696" s="92" t="n">
        <f aca="false">WORKDAY(G696,-2)</f>
        <v>36921</v>
      </c>
      <c r="R696" s="7" t="n">
        <f aca="false">IF(F696="P",0,1)</f>
        <v>1</v>
      </c>
      <c r="S696" s="130" t="e">
        <f aca="false">xSPRDOPT($L696,$J696,$I696,$M696,$O696,$N696,$P696,$Q696-$C$3,$R696,0)</f>
        <v>#NAME?</v>
      </c>
      <c r="T696" s="250" t="e">
        <f aca="false">xSPRDOPT($L696,$J696,$I696,$M696,$O696,$N696,$P696,$Q696-$C$3,$R696,1)*H696</f>
        <v>#NAME?</v>
      </c>
      <c r="U696" s="43" t="e">
        <f aca="false">S696*H696</f>
        <v>#NAME?</v>
      </c>
      <c r="V696" s="250" t="e">
        <f aca="false">xSPRDOPT($L696,$J696,$I696,$M696,$O696,$N696,$P696,$Q696-$C$3,$R696,2)*H696</f>
        <v>#NAME?</v>
      </c>
      <c r="W696" s="250" t="e">
        <f aca="false">+V696+T696</f>
        <v>#NAME?</v>
      </c>
      <c r="X696" s="2" t="str">
        <f aca="false">CONCATENATE(G696,D696)</f>
        <v>36923IF-TRANSCO/Z6</v>
      </c>
      <c r="Y696" s="251" t="n">
        <f aca="false">H696/10000</f>
        <v>-50</v>
      </c>
      <c r="Z696" s="226" t="e">
        <f aca="false">T696/H696</f>
        <v>#NAME?</v>
      </c>
      <c r="AA696" s="226" t="e">
        <f aca="false">xSPRDOPT($L696,$J696,$I696,$M696,$O696,$N696,$P696,$Q696-$C$3,$R696,3)</f>
        <v>#NAME?</v>
      </c>
      <c r="AB696" s="226" t="e">
        <f aca="false">((xSPRDOPT($L696+AB$5,$J696,$I696,$M696,$O696,$N696,$P696,$Q696-$C$3,$R696,3)*$H696)/10000)/100</f>
        <v>#NAME?</v>
      </c>
      <c r="AC696" s="226" t="e">
        <f aca="false">((xSPRDOPT($L696+$AB$5,$J696,$I696,$M696,$O696,$N696,$P696,$Q696-$C$3,$R696,7)*$H696)/100)</f>
        <v>#NAME?</v>
      </c>
      <c r="AD696" s="226" t="e">
        <f aca="false">(xSPRDOPT($L696+$AB$5,$J696,$I696,$M696,$O696,$N696,$P696,$Q696-$C$3,$R696,9)/365)*$H696</f>
        <v>#NAME?</v>
      </c>
      <c r="AE696" s="0" t="e">
        <f aca="false">CD698</f>
        <v>#NAME?</v>
      </c>
      <c r="AF696" s="226" t="e">
        <f aca="false">((O696/N696)*AH696)+AG696</f>
        <v>#NAME?</v>
      </c>
      <c r="AG696" s="226" t="e">
        <f aca="false">((xSPRDOPT($L696,$J696,$I696,$M696,$O696,$N696,$P696,$Q696-$C$3,$R696,6)*$H696)/100)</f>
        <v>#NAME?</v>
      </c>
      <c r="AH696" s="226" t="e">
        <f aca="false">((xSPRDOPT($L696,$J696,$I696,$M696,$O696,$N696,$P696,$Q696-$C$3,$R696,5)*$H696)/100)</f>
        <v>#NAME?</v>
      </c>
      <c r="AI696" s="226" t="e">
        <f aca="false">(((xSPRDOPT($L696,$J696,$I696,$M696,$O696,$N696,$P696,$Q696-$C$3,$R696,4)*$H696)/10000)/100)-AB696</f>
        <v>#NAME?</v>
      </c>
      <c r="AJ696" s="226"/>
      <c r="CC696" s="182" t="n">
        <f aca="false">G694</f>
        <v>36861</v>
      </c>
      <c r="CD696" s="253" t="e">
        <f aca="false">xSPRDOPT((VLOOKUP(G694,NGPrices,2,FALSE())+HLOOKUP(D694,Prices,VLOOKUP(G694,move_down,2,FALSE()),FALSE())),VLOOKUP(G694,NGPrices,2,FALSE()),I694,VLOOKUP(G694,NGPREVPRICES,4,FALSE()),HLOOKUP(D694,PREVVOLS,VLOOKUP(G694,MOVE_DOWN2,2,FALSE()),FALSE()),VLOOKUP(G694,NGPREVPRICES,3,FALSE()),HLOOKUP(D694,Correllate,VLOOKUP(G694,CorMove,2,FALSE()),FALSE()),Q694-$CD$3,R694,$CD$5)*H694-CJ696</f>
        <v>#NAME?</v>
      </c>
      <c r="CE696" s="253" t="e">
        <f aca="false">xSPRDOPT((VLOOKUP(G694,NGPREVPRICES,2,FALSE())+HLOOKUP(D694,PREVCURVES,VLOOKUP(G694,MOVE_DOWN2,2,FALSE()),FALSE())),VLOOKUP(G694,NGPREVPRICES,2,FALSE()),CK696,VLOOKUP(G694,NGPrices,4,FALSE()),HLOOKUP(D694,PREVVOLS,VLOOKUP(G694,MOVE_DOWN2,2,FALSE()),FALSE()),VLOOKUP(G694,NGPREVPRICES,3,FALSE()),HLOOKUP(D694,Correllate,VLOOKUP(G694,CorMove,2,FALSE()),FALSE()),Q694-$CD$3,R694,$CJ$5)*H694-CJ696</f>
        <v>#NAME?</v>
      </c>
      <c r="CF696" s="132" t="e">
        <f aca="false">(CJ696/VLOOKUP(CC696,discount,3,FALSE()))-(CJ696/VLOOKUP(CC696,discount,2,FALSE()))</f>
        <v>#NAME?</v>
      </c>
      <c r="CG696" s="253" t="e">
        <f aca="false">xSPRDOPT((VLOOKUP(G694,NGPREVPRICES,2,FALSE())+HLOOKUP(D694,PREVCURVES,VLOOKUP(G694,MOVE_DOWN2,2,FALSE()),FALSE())),VLOOKUP(G694,NGPREVPRICES,2,FALSE()),CK696,VLOOKUP(G694,NGPREVPRICES,4,FALSE()),HLOOKUP(D694,VOLS,VLOOKUP(G694,move_down,2,FALSE()),FALSE()),VLOOKUP(G694,NGPrices,3,FALSE()),HLOOKUP(D694,Correllate,VLOOKUP(G694,CorMove,2,FALSE()),FALSE()),Q694-$CD$3,R694,$CJ$5)*H694-CJ696</f>
        <v>#NAME?</v>
      </c>
      <c r="CH696" s="253" t="e">
        <f aca="false">xSPRDOPT((VLOOKUP(G694,NGPREVPRICES,2,FALSE())+HLOOKUP(D694,PREVCURVES,VLOOKUP(G694,MOVE_DOWN2,2,FALSE()),FALSE())),VLOOKUP(G694,NGPREVPRICES,2,FALSE()),CK696,VLOOKUP(G694,NGPREVPRICES,4,FALSE()),HLOOKUP(D694,PREVVOLS,VLOOKUP(G694,MOVE_DOWN2,2,FALSE()),FALSE()),VLOOKUP(G694,NGPREVPRICES,3,FALSE()),HLOOKUP(D694,Correllate,VLOOKUP(G694,CorMove,2,FALSE()),FALSE()),Q694-$C$3,R694,$CJ$5)*H694-CJ696</f>
        <v>#NAME?</v>
      </c>
      <c r="CI696" s="253" t="e">
        <f aca="false">SUM(CD696:CH696)</f>
        <v>#NAME?</v>
      </c>
      <c r="CJ696" s="253" t="e">
        <f aca="false">xSPRDOPT((VLOOKUP(G694,NGPREVPRICES,2,FALSE())+HLOOKUP(D694,PREVCURVES,VLOOKUP(G694,MOVE_DOWN2,2,FALSE()),FALSE())),VLOOKUP(G694,NGPREVPRICES,2,FALSE()),CK696,VLOOKUP(G694,NGPREVPRICES,4,FALSE()),HLOOKUP(D694,PREVVOLS,VLOOKUP(G694,MOVE_DOWN2,2,FALSE()),FALSE()),VLOOKUP(G694,NGPREVPRICES,3,FALSE()),HLOOKUP(D694,Correllate,VLOOKUP(G694,CorMove,2,FALSE()),FALSE()),Q694-$CD$3,R694,$CJ$5)*H694</f>
        <v>#NAME?</v>
      </c>
      <c r="CK696" s="254" t="n">
        <f aca="false">I694</f>
        <v>1.45</v>
      </c>
      <c r="CM696" s="0" t="str">
        <f aca="false">CONCATENATE(CC696,$CD$6)</f>
        <v>36861Curve Shift/Gamma</v>
      </c>
      <c r="CN696" s="0" t="str">
        <f aca="false">CONCATENATE($CC696,$CE$6)</f>
        <v>36861Rho</v>
      </c>
      <c r="CO696" s="0" t="str">
        <f aca="false">CONCATENATE($CC696,$CF$6)</f>
        <v>36861Drift</v>
      </c>
      <c r="CP696" s="0" t="str">
        <f aca="false">CONCATENATE($CC696,$CG$6)</f>
        <v>36861Vega</v>
      </c>
      <c r="CQ696" s="0" t="str">
        <f aca="false">CONCATENATE($CC696,$CH$6)</f>
        <v>36861Theta</v>
      </c>
    </row>
    <row r="697" customFormat="false" ht="12.75" hidden="false" customHeight="false" outlineLevel="0" collapsed="false">
      <c r="A697" s="17" t="s">
        <v>244</v>
      </c>
      <c r="B697" s="0" t="s">
        <v>192</v>
      </c>
      <c r="C697" s="0" t="s">
        <v>427</v>
      </c>
      <c r="D697" s="7" t="s">
        <v>149</v>
      </c>
      <c r="E697" s="0" t="s">
        <v>131</v>
      </c>
      <c r="F697" s="0" t="s">
        <v>136</v>
      </c>
      <c r="G697" s="92" t="n">
        <v>36951</v>
      </c>
      <c r="H697" s="248" t="n">
        <v>-500000</v>
      </c>
      <c r="I697" s="254" t="n">
        <v>1.45</v>
      </c>
      <c r="J697" s="124" t="n">
        <f aca="false">VLOOKUP(G697,NGPrices,2,FALSE())</f>
        <v>4.213</v>
      </c>
      <c r="K697" s="125" t="n">
        <f aca="false">HLOOKUP(D697,Prices,VLOOKUP(G697,move_down,2,FALSE()),FALSE())+VLOOKUP(G697,CHANGE,HLOOKUP(D697,CHANGE,2,FALSE()),FALSE())</f>
        <v>1.075</v>
      </c>
      <c r="L697" s="124" t="n">
        <f aca="false">K697+J697</f>
        <v>5.288</v>
      </c>
      <c r="M697" s="126" t="n">
        <f aca="false">VLOOKUP(G697,NGPrices,4,FALSE())</f>
        <v>0.068879814952707</v>
      </c>
      <c r="N697" s="7" t="n">
        <f aca="false">VLOOKUP(G697,NGPrices,3,FALSE())</f>
        <v>0.5325</v>
      </c>
      <c r="O697" s="7" t="n">
        <f aca="false">HLOOKUP(D697,VOLS,VLOOKUP(G697,move_down,2,FALSE()),FALSE())</f>
        <v>0.612</v>
      </c>
      <c r="P697" s="249" t="n">
        <f aca="false">HLOOKUP(D697,Correllate,VLOOKUP(G697,CorMove,2,FALSE()),FALSE())</f>
        <v>0.83</v>
      </c>
      <c r="Q697" s="92" t="n">
        <f aca="false">WORKDAY(G697,-2)</f>
        <v>36949</v>
      </c>
      <c r="R697" s="7" t="n">
        <f aca="false">IF(F697="P",0,1)</f>
        <v>1</v>
      </c>
      <c r="S697" s="130" t="e">
        <f aca="false">xSPRDOPT($L697,$J697,$I697,$M697,$O697,$N697,$P697,$Q697-$C$3,$R697,0)</f>
        <v>#NAME?</v>
      </c>
      <c r="T697" s="250" t="e">
        <f aca="false">xSPRDOPT($L697,$J697,$I697,$M697,$O697,$N697,$P697,$Q697-$C$3,$R697,1)*H697</f>
        <v>#NAME?</v>
      </c>
      <c r="U697" s="43" t="e">
        <f aca="false">S697*H697</f>
        <v>#NAME?</v>
      </c>
      <c r="V697" s="250" t="e">
        <f aca="false">xSPRDOPT($L697,$J697,$I697,$M697,$O697,$N697,$P697,$Q697-$C$3,$R697,2)*H697</f>
        <v>#NAME?</v>
      </c>
      <c r="W697" s="250" t="e">
        <f aca="false">+V697+T697</f>
        <v>#NAME?</v>
      </c>
      <c r="X697" s="2" t="str">
        <f aca="false">CONCATENATE(G697,D697)</f>
        <v>36951IF-TRANSCO/Z6</v>
      </c>
      <c r="Y697" s="251" t="n">
        <f aca="false">H697/10000</f>
        <v>-50</v>
      </c>
      <c r="Z697" s="226" t="e">
        <f aca="false">T697/H697</f>
        <v>#NAME?</v>
      </c>
      <c r="AA697" s="226" t="e">
        <f aca="false">xSPRDOPT($L697,$J697,$I697,$M697,$O697,$N697,$P697,$Q697-$C$3,$R697,3)</f>
        <v>#NAME?</v>
      </c>
      <c r="AB697" s="226" t="e">
        <f aca="false">((xSPRDOPT($L697+AB$5,$J697,$I697,$M697,$O697,$N697,$P697,$Q697-$C$3,$R697,3)*$H697)/10000)/100</f>
        <v>#NAME?</v>
      </c>
      <c r="AC697" s="226" t="e">
        <f aca="false">((xSPRDOPT($L697+$AB$5,$J697,$I697,$M697,$O697,$N697,$P697,$Q697-$C$3,$R697,7)*$H697)/100)</f>
        <v>#NAME?</v>
      </c>
      <c r="AD697" s="226" t="e">
        <f aca="false">(xSPRDOPT($L697+$AB$5,$J697,$I697,$M697,$O697,$N697,$P697,$Q697-$C$3,$R697,9)/365)*$H697</f>
        <v>#NAME?</v>
      </c>
      <c r="AE697" s="0" t="e">
        <f aca="false">CD699</f>
        <v>#NAME?</v>
      </c>
      <c r="AF697" s="226" t="e">
        <f aca="false">((O697/N697)*AH697)+AG697</f>
        <v>#NAME?</v>
      </c>
      <c r="AG697" s="226" t="e">
        <f aca="false">((xSPRDOPT($L697,$J697,$I697,$M697,$O697,$N697,$P697,$Q697-$C$3,$R697,6)*$H697)/100)</f>
        <v>#NAME?</v>
      </c>
      <c r="AH697" s="226" t="e">
        <f aca="false">((xSPRDOPT($L697,$J697,$I697,$M697,$O697,$N697,$P697,$Q697-$C$3,$R697,5)*$H697)/100)</f>
        <v>#NAME?</v>
      </c>
      <c r="AI697" s="226" t="e">
        <f aca="false">(((xSPRDOPT($L697,$J697,$I697,$M697,$O697,$N697,$P697,$Q697-$C$3,$R697,4)*$H697)/10000)/100)-AB697</f>
        <v>#NAME?</v>
      </c>
      <c r="AJ697" s="226"/>
      <c r="CC697" s="182" t="n">
        <f aca="false">G695</f>
        <v>36892</v>
      </c>
      <c r="CD697" s="253" t="e">
        <f aca="false">xSPRDOPT((VLOOKUP(G695,NGPrices,2,FALSE())+HLOOKUP(D695,Prices,VLOOKUP(G695,move_down,2,FALSE()),FALSE())),VLOOKUP(G695,NGPrices,2,FALSE()),I695,VLOOKUP(G695,NGPREVPRICES,4,FALSE()),HLOOKUP(D695,PREVVOLS,VLOOKUP(G695,MOVE_DOWN2,2,FALSE()),FALSE()),VLOOKUP(G695,NGPREVPRICES,3,FALSE()),HLOOKUP(D695,Correllate,VLOOKUP(G695,CorMove,2,FALSE()),FALSE()),Q695-$CD$3,R695,$CD$5)*H695-CJ697</f>
        <v>#NAME?</v>
      </c>
      <c r="CE697" s="253" t="e">
        <f aca="false">xSPRDOPT((VLOOKUP(G695,NGPREVPRICES,2,FALSE())+HLOOKUP(D695,PREVCURVES,VLOOKUP(G695,MOVE_DOWN2,2,FALSE()),FALSE())),VLOOKUP(G695,NGPREVPRICES,2,FALSE()),CK697,VLOOKUP(G695,NGPrices,4,FALSE()),HLOOKUP(D695,PREVVOLS,VLOOKUP(G695,MOVE_DOWN2,2,FALSE()),FALSE()),VLOOKUP(G695,NGPREVPRICES,3,FALSE()),HLOOKUP(D695,Correllate,VLOOKUP(G695,CorMove,2,FALSE()),FALSE()),Q695-$CD$3,R695,$CJ$5)*H695-CJ697</f>
        <v>#NAME?</v>
      </c>
      <c r="CF697" s="132" t="e">
        <f aca="false">(CJ697/VLOOKUP(CC697,discount,3,FALSE()))-(CJ697/VLOOKUP(CC697,discount,2,FALSE()))</f>
        <v>#NAME?</v>
      </c>
      <c r="CG697" s="253" t="e">
        <f aca="false">xSPRDOPT((VLOOKUP(G695,NGPREVPRICES,2,FALSE())+HLOOKUP(D695,PREVCURVES,VLOOKUP(G695,MOVE_DOWN2,2,FALSE()),FALSE())),VLOOKUP(G695,NGPREVPRICES,2,FALSE()),CK697,VLOOKUP(G695,NGPREVPRICES,4,FALSE()),HLOOKUP(D695,VOLS,VLOOKUP(G695,move_down,2,FALSE()),FALSE()),VLOOKUP(G695,NGPrices,3,FALSE()),HLOOKUP(D695,Correllate,VLOOKUP(G695,CorMove,2,FALSE()),FALSE()),Q695-$CD$3,R695,$CJ$5)*H695-CJ697</f>
        <v>#NAME?</v>
      </c>
      <c r="CH697" s="253" t="e">
        <f aca="false">xSPRDOPT((VLOOKUP(G695,NGPREVPRICES,2,FALSE())+HLOOKUP(D695,PREVCURVES,VLOOKUP(G695,MOVE_DOWN2,2,FALSE()),FALSE())),VLOOKUP(G695,NGPREVPRICES,2,FALSE()),CK697,VLOOKUP(G695,NGPREVPRICES,4,FALSE()),HLOOKUP(D695,PREVVOLS,VLOOKUP(G695,MOVE_DOWN2,2,FALSE()),FALSE()),VLOOKUP(G695,NGPREVPRICES,3,FALSE()),HLOOKUP(D695,Correllate,VLOOKUP(G695,CorMove,2,FALSE()),FALSE()),Q695-$C$3,R695,$CJ$5)*H695-CJ697</f>
        <v>#NAME?</v>
      </c>
      <c r="CI697" s="253" t="e">
        <f aca="false">SUM(CD697:CH697)</f>
        <v>#NAME?</v>
      </c>
      <c r="CJ697" s="253" t="e">
        <f aca="false">xSPRDOPT((VLOOKUP(G695,NGPREVPRICES,2,FALSE())+HLOOKUP(D695,PREVCURVES,VLOOKUP(G695,MOVE_DOWN2,2,FALSE()),FALSE())),VLOOKUP(G695,NGPREVPRICES,2,FALSE()),CK697,VLOOKUP(G695,NGPREVPRICES,4,FALSE()),HLOOKUP(D695,PREVVOLS,VLOOKUP(G695,MOVE_DOWN2,2,FALSE()),FALSE()),VLOOKUP(G695,NGPREVPRICES,3,FALSE()),HLOOKUP(D695,Correllate,VLOOKUP(G695,CorMove,2,FALSE()),FALSE()),Q695-$CD$3,R695,$CJ$5)*H695</f>
        <v>#NAME?</v>
      </c>
      <c r="CK697" s="254" t="n">
        <f aca="false">I695</f>
        <v>1.45</v>
      </c>
      <c r="CM697" s="0" t="str">
        <f aca="false">CONCATENATE(CC697,$CD$6)</f>
        <v>36892Curve Shift/Gamma</v>
      </c>
      <c r="CN697" s="0" t="str">
        <f aca="false">CONCATENATE($CC697,$CE$6)</f>
        <v>36892Rho</v>
      </c>
      <c r="CO697" s="0" t="str">
        <f aca="false">CONCATENATE($CC697,$CF$6)</f>
        <v>36892Drift</v>
      </c>
      <c r="CP697" s="0" t="str">
        <f aca="false">CONCATENATE($CC697,$CG$6)</f>
        <v>36892Vega</v>
      </c>
      <c r="CQ697" s="0" t="str">
        <f aca="false">CONCATENATE($CC697,$CH$6)</f>
        <v>36892Theta</v>
      </c>
    </row>
    <row r="698" customFormat="false" ht="12.75" hidden="false" customHeight="false" outlineLevel="0" collapsed="false">
      <c r="A698" s="17" t="s">
        <v>244</v>
      </c>
      <c r="B698" s="0" t="s">
        <v>192</v>
      </c>
      <c r="C698" s="0" t="s">
        <v>428</v>
      </c>
      <c r="D698" s="7" t="s">
        <v>149</v>
      </c>
      <c r="E698" s="0" t="s">
        <v>131</v>
      </c>
      <c r="F698" s="0" t="s">
        <v>132</v>
      </c>
      <c r="G698" s="92" t="n">
        <v>36831</v>
      </c>
      <c r="H698" s="248" t="n">
        <v>-500000</v>
      </c>
      <c r="I698" s="254" t="n">
        <v>1.45</v>
      </c>
      <c r="J698" s="124" t="n">
        <f aca="false">VLOOKUP(G698,NGPrices,2,FALSE())</f>
        <v>4.736</v>
      </c>
      <c r="K698" s="125" t="n">
        <f aca="false">HLOOKUP(D698,Prices,VLOOKUP(G698,move_down,2,FALSE()),FALSE())+VLOOKUP(G698,CHANGE,HLOOKUP(D698,CHANGE,2,FALSE()),FALSE())</f>
        <v>0.77</v>
      </c>
      <c r="L698" s="124" t="n">
        <f aca="false">K698+J698</f>
        <v>5.506</v>
      </c>
      <c r="M698" s="126" t="n">
        <f aca="false">VLOOKUP(G698,NGPrices,4,FALSE())</f>
        <v>0.06810675983792</v>
      </c>
      <c r="N698" s="7" t="n">
        <f aca="false">VLOOKUP(G698,NGPrices,3,FALSE())</f>
        <v>0.595</v>
      </c>
      <c r="O698" s="7" t="n">
        <f aca="false">HLOOKUP(D698,VOLS,VLOOKUP(G698,move_down,2,FALSE()),FALSE())</f>
        <v>0.625</v>
      </c>
      <c r="P698" s="249" t="n">
        <f aca="false">HLOOKUP(D698,Correllate,VLOOKUP(G698,CorMove,2,FALSE()),FALSE())</f>
        <v>0.89</v>
      </c>
      <c r="Q698" s="92" t="n">
        <f aca="false">WORKDAY(G698,-2)</f>
        <v>36829</v>
      </c>
      <c r="R698" s="7" t="n">
        <f aca="false">IF(F698="P",0,1)</f>
        <v>0</v>
      </c>
      <c r="S698" s="130" t="e">
        <f aca="false">xSPRDOPT($L698,$J698,$I698,$M698,$O698,$N698,$P698,$Q698-$C$3,$R698,0)</f>
        <v>#NAME?</v>
      </c>
      <c r="T698" s="250" t="e">
        <f aca="false">xSPRDOPT($L698,$J698,$I698,$M698,$O698,$N698,$P698,$Q698-$C$3,$R698,1)*H698</f>
        <v>#NAME?</v>
      </c>
      <c r="U698" s="43" t="e">
        <f aca="false">S698*H698</f>
        <v>#NAME?</v>
      </c>
      <c r="V698" s="250" t="e">
        <f aca="false">xSPRDOPT($L698,$J698,$I698,$M698,$O698,$N698,$P698,$Q698-$C$3,$R698,2)*H698</f>
        <v>#NAME?</v>
      </c>
      <c r="W698" s="250" t="e">
        <f aca="false">+V698+T698</f>
        <v>#NAME?</v>
      </c>
      <c r="X698" s="2" t="str">
        <f aca="false">CONCATENATE(G698,D698)</f>
        <v>36831IF-TRANSCO/Z6</v>
      </c>
      <c r="Y698" s="251" t="n">
        <f aca="false">H698/10000</f>
        <v>-50</v>
      </c>
      <c r="Z698" s="226" t="e">
        <f aca="false">T698/H698</f>
        <v>#NAME?</v>
      </c>
      <c r="AA698" s="226" t="e">
        <f aca="false">xSPRDOPT($L698,$J698,$I698,$M698,$O698,$N698,$P698,$Q698-$C$3,$R698,3)</f>
        <v>#NAME?</v>
      </c>
      <c r="AB698" s="226" t="e">
        <f aca="false">((xSPRDOPT($L698+AB$5,$J698,$I698,$M698,$O698,$N698,$P698,$Q698-$C$3,$R698,3)*$H698)/10000)/100</f>
        <v>#NAME?</v>
      </c>
      <c r="AC698" s="226" t="e">
        <f aca="false">((xSPRDOPT($L698+$AB$5,$J698,$I698,$M698,$O698,$N698,$P698,$Q698-$C$3,$R698,7)*$H698)/100)</f>
        <v>#NAME?</v>
      </c>
      <c r="AD698" s="226" t="e">
        <f aca="false">(xSPRDOPT($L698+$AB$5,$J698,$I698,$M698,$O698,$N698,$P698,$Q698-$C$3,$R698,9)/365)*$H698</f>
        <v>#NAME?</v>
      </c>
      <c r="AE698" s="0" t="e">
        <f aca="false">CD700</f>
        <v>#NAME?</v>
      </c>
      <c r="AF698" s="226" t="e">
        <f aca="false">((O698/N698)*AH698)+AG698</f>
        <v>#NAME?</v>
      </c>
      <c r="AG698" s="226" t="e">
        <f aca="false">((xSPRDOPT($L698,$J698,$I698,$M698,$O698,$N698,$P698,$Q698-$C$3,$R698,6)*$H698)/100)</f>
        <v>#NAME?</v>
      </c>
      <c r="AH698" s="226" t="e">
        <f aca="false">((xSPRDOPT($L698,$J698,$I698,$M698,$O698,$N698,$P698,$Q698-$C$3,$R698,5)*$H698)/100)</f>
        <v>#NAME?</v>
      </c>
      <c r="AI698" s="226" t="e">
        <f aca="false">(((xSPRDOPT($L698,$J698,$I698,$M698,$O698,$N698,$P698,$Q698-$C$3,$R698,4)*$H698)/10000)/100)-AB698</f>
        <v>#NAME?</v>
      </c>
      <c r="AJ698" s="226"/>
      <c r="CC698" s="182" t="n">
        <f aca="false">G696</f>
        <v>36923</v>
      </c>
      <c r="CD698" s="253" t="e">
        <f aca="false">xSPRDOPT((VLOOKUP(G696,NGPrices,2,FALSE())+HLOOKUP(D696,Prices,VLOOKUP(G696,move_down,2,FALSE()),FALSE())),VLOOKUP(G696,NGPrices,2,FALSE()),I696,VLOOKUP(G696,NGPREVPRICES,4,FALSE()),HLOOKUP(D696,PREVVOLS,VLOOKUP(G696,MOVE_DOWN2,2,FALSE()),FALSE()),VLOOKUP(G696,NGPREVPRICES,3,FALSE()),HLOOKUP(D696,Correllate,VLOOKUP(G696,CorMove,2,FALSE()),FALSE()),Q696-$CD$3,R696,$CD$5)*H696-CJ698</f>
        <v>#NAME?</v>
      </c>
      <c r="CE698" s="253" t="e">
        <f aca="false">xSPRDOPT((VLOOKUP(G696,NGPREVPRICES,2,FALSE())+HLOOKUP(D696,PREVCURVES,VLOOKUP(G696,MOVE_DOWN2,2,FALSE()),FALSE())),VLOOKUP(G696,NGPREVPRICES,2,FALSE()),CK698,VLOOKUP(G696,NGPrices,4,FALSE()),HLOOKUP(D696,PREVVOLS,VLOOKUP(G696,MOVE_DOWN2,2,FALSE()),FALSE()),VLOOKUP(G696,NGPREVPRICES,3,FALSE()),HLOOKUP(D696,Correllate,VLOOKUP(G696,CorMove,2,FALSE()),FALSE()),Q696-$CD$3,R696,$CJ$5)*H696-CJ698</f>
        <v>#NAME?</v>
      </c>
      <c r="CF698" s="132" t="e">
        <f aca="false">(CJ698/VLOOKUP(CC698,discount,3,FALSE()))-(CJ698/VLOOKUP(CC698,discount,2,FALSE()))</f>
        <v>#NAME?</v>
      </c>
      <c r="CG698" s="253" t="e">
        <f aca="false">xSPRDOPT((VLOOKUP(G696,NGPREVPRICES,2,FALSE())+HLOOKUP(D696,PREVCURVES,VLOOKUP(G696,MOVE_DOWN2,2,FALSE()),FALSE())),VLOOKUP(G696,NGPREVPRICES,2,FALSE()),CK698,VLOOKUP(G696,NGPREVPRICES,4,FALSE()),HLOOKUP(D696,VOLS,VLOOKUP(G696,move_down,2,FALSE()),FALSE()),VLOOKUP(G696,NGPrices,3,FALSE()),HLOOKUP(D696,Correllate,VLOOKUP(G696,CorMove,2,FALSE()),FALSE()),Q696-$CD$3,R696,$CJ$5)*H696-CJ698</f>
        <v>#NAME?</v>
      </c>
      <c r="CH698" s="253" t="e">
        <f aca="false">xSPRDOPT((VLOOKUP(G696,NGPREVPRICES,2,FALSE())+HLOOKUP(D696,PREVCURVES,VLOOKUP(G696,MOVE_DOWN2,2,FALSE()),FALSE())),VLOOKUP(G696,NGPREVPRICES,2,FALSE()),CK698,VLOOKUP(G696,NGPREVPRICES,4,FALSE()),HLOOKUP(D696,PREVVOLS,VLOOKUP(G696,MOVE_DOWN2,2,FALSE()),FALSE()),VLOOKUP(G696,NGPREVPRICES,3,FALSE()),HLOOKUP(D696,Correllate,VLOOKUP(G696,CorMove,2,FALSE()),FALSE()),Q696-$C$3,R696,$CJ$5)*H696-CJ698</f>
        <v>#NAME?</v>
      </c>
      <c r="CI698" s="253" t="e">
        <f aca="false">SUM(CD698:CH698)</f>
        <v>#NAME?</v>
      </c>
      <c r="CJ698" s="253" t="e">
        <f aca="false">xSPRDOPT((VLOOKUP(G696,NGPREVPRICES,2,FALSE())+HLOOKUP(D696,PREVCURVES,VLOOKUP(G696,MOVE_DOWN2,2,FALSE()),FALSE())),VLOOKUP(G696,NGPREVPRICES,2,FALSE()),CK698,VLOOKUP(G696,NGPREVPRICES,4,FALSE()),HLOOKUP(D696,PREVVOLS,VLOOKUP(G696,MOVE_DOWN2,2,FALSE()),FALSE()),VLOOKUP(G696,NGPREVPRICES,3,FALSE()),HLOOKUP(D696,Correllate,VLOOKUP(G696,CorMove,2,FALSE()),FALSE()),Q696-$CD$3,R696,$CJ$5)*H696</f>
        <v>#NAME?</v>
      </c>
      <c r="CK698" s="254" t="n">
        <f aca="false">I696</f>
        <v>1.45</v>
      </c>
      <c r="CM698" s="0" t="str">
        <f aca="false">CONCATENATE(CC698,$CD$6)</f>
        <v>36923Curve Shift/Gamma</v>
      </c>
      <c r="CN698" s="0" t="str">
        <f aca="false">CONCATENATE($CC698,$CE$6)</f>
        <v>36923Rho</v>
      </c>
      <c r="CO698" s="0" t="str">
        <f aca="false">CONCATENATE($CC698,$CF$6)</f>
        <v>36923Drift</v>
      </c>
      <c r="CP698" s="0" t="str">
        <f aca="false">CONCATENATE($CC698,$CG$6)</f>
        <v>36923Vega</v>
      </c>
      <c r="CQ698" s="0" t="str">
        <f aca="false">CONCATENATE($CC698,$CH$6)</f>
        <v>36923Theta</v>
      </c>
    </row>
    <row r="699" customFormat="false" ht="12.75" hidden="false" customHeight="false" outlineLevel="0" collapsed="false">
      <c r="A699" s="17" t="s">
        <v>244</v>
      </c>
      <c r="B699" s="0" t="s">
        <v>192</v>
      </c>
      <c r="C699" s="0" t="s">
        <v>428</v>
      </c>
      <c r="D699" s="7" t="s">
        <v>149</v>
      </c>
      <c r="E699" s="0" t="s">
        <v>131</v>
      </c>
      <c r="F699" s="0" t="s">
        <v>132</v>
      </c>
      <c r="G699" s="92" t="n">
        <v>36861</v>
      </c>
      <c r="H699" s="248" t="n">
        <v>-500000</v>
      </c>
      <c r="I699" s="254" t="n">
        <v>1.45</v>
      </c>
      <c r="J699" s="124" t="n">
        <f aca="false">VLOOKUP(G699,NGPrices,2,FALSE())</f>
        <v>4.8</v>
      </c>
      <c r="K699" s="125" t="n">
        <f aca="false">HLOOKUP(D699,Prices,VLOOKUP(G699,move_down,2,FALSE()),FALSE())+VLOOKUP(G699,CHANGE,HLOOKUP(D699,CHANGE,2,FALSE()),FALSE())</f>
        <v>1.645</v>
      </c>
      <c r="L699" s="124" t="n">
        <f aca="false">K699+J699</f>
        <v>6.445</v>
      </c>
      <c r="M699" s="126" t="n">
        <f aca="false">VLOOKUP(G699,NGPrices,4,FALSE())</f>
        <v>0.068314027999354</v>
      </c>
      <c r="N699" s="7" t="n">
        <f aca="false">VLOOKUP(G699,NGPrices,3,FALSE())</f>
        <v>0.6</v>
      </c>
      <c r="O699" s="7" t="n">
        <f aca="false">HLOOKUP(D699,VOLS,VLOOKUP(G699,move_down,2,FALSE()),FALSE())</f>
        <v>0.69</v>
      </c>
      <c r="P699" s="249" t="n">
        <f aca="false">HLOOKUP(D699,Correllate,VLOOKUP(G699,CorMove,2,FALSE()),FALSE())</f>
        <v>0.83</v>
      </c>
      <c r="Q699" s="92" t="n">
        <f aca="false">WORKDAY(G699,-2)</f>
        <v>36859</v>
      </c>
      <c r="R699" s="7" t="n">
        <f aca="false">IF(F699="P",0,1)</f>
        <v>0</v>
      </c>
      <c r="S699" s="130" t="e">
        <f aca="false">xSPRDOPT($L699,$J699,$I699,$M699,$O699,$N699,$P699,$Q699-$C$3,$R699,0)</f>
        <v>#NAME?</v>
      </c>
      <c r="T699" s="250" t="e">
        <f aca="false">xSPRDOPT($L699,$J699,$I699,$M699,$O699,$N699,$P699,$Q699-$C$3,$R699,1)*H699</f>
        <v>#NAME?</v>
      </c>
      <c r="U699" s="43" t="e">
        <f aca="false">S699*H699</f>
        <v>#NAME?</v>
      </c>
      <c r="V699" s="250" t="e">
        <f aca="false">xSPRDOPT($L699,$J699,$I699,$M699,$O699,$N699,$P699,$Q699-$C$3,$R699,2)*H699</f>
        <v>#NAME?</v>
      </c>
      <c r="W699" s="250" t="e">
        <f aca="false">+V699+T699</f>
        <v>#NAME?</v>
      </c>
      <c r="X699" s="2" t="str">
        <f aca="false">CONCATENATE(G699,D699)</f>
        <v>36861IF-TRANSCO/Z6</v>
      </c>
      <c r="Y699" s="251" t="n">
        <f aca="false">H699/10000</f>
        <v>-50</v>
      </c>
      <c r="Z699" s="226" t="e">
        <f aca="false">T699/H699</f>
        <v>#NAME?</v>
      </c>
      <c r="AA699" s="226" t="e">
        <f aca="false">xSPRDOPT($L699,$J699,$I699,$M699,$O699,$N699,$P699,$Q699-$C$3,$R699,3)</f>
        <v>#NAME?</v>
      </c>
      <c r="AB699" s="226" t="e">
        <f aca="false">((xSPRDOPT($L699+AB$5,$J699,$I699,$M699,$O699,$N699,$P699,$Q699-$C$3,$R699,3)*$H699)/10000)/100</f>
        <v>#NAME?</v>
      </c>
      <c r="AC699" s="226" t="e">
        <f aca="false">((xSPRDOPT($L699+$AB$5,$J699,$I699,$M699,$O699,$N699,$P699,$Q699-$C$3,$R699,7)*$H699)/100)</f>
        <v>#NAME?</v>
      </c>
      <c r="AD699" s="226" t="e">
        <f aca="false">(xSPRDOPT($L699+$AB$5,$J699,$I699,$M699,$O699,$N699,$P699,$Q699-$C$3,$R699,9)/365)*$H699</f>
        <v>#NAME?</v>
      </c>
      <c r="AE699" s="0" t="e">
        <f aca="false">CD701</f>
        <v>#NAME?</v>
      </c>
      <c r="AF699" s="226" t="e">
        <f aca="false">((O699/N699)*AH699)+AG699</f>
        <v>#NAME?</v>
      </c>
      <c r="AG699" s="226" t="e">
        <f aca="false">((xSPRDOPT($L699,$J699,$I699,$M699,$O699,$N699,$P699,$Q699-$C$3,$R699,6)*$H699)/100)</f>
        <v>#NAME?</v>
      </c>
      <c r="AH699" s="226" t="e">
        <f aca="false">((xSPRDOPT($L699,$J699,$I699,$M699,$O699,$N699,$P699,$Q699-$C$3,$R699,5)*$H699)/100)</f>
        <v>#NAME?</v>
      </c>
      <c r="AI699" s="226" t="e">
        <f aca="false">(((xSPRDOPT($L699,$J699,$I699,$M699,$O699,$N699,$P699,$Q699-$C$3,$R699,4)*$H699)/10000)/100)-AB699</f>
        <v>#NAME?</v>
      </c>
      <c r="AJ699" s="226"/>
      <c r="CC699" s="182" t="n">
        <f aca="false">G697</f>
        <v>36951</v>
      </c>
      <c r="CD699" s="253" t="e">
        <f aca="false">xSPRDOPT((VLOOKUP(G697,NGPrices,2,FALSE())+HLOOKUP(D697,Prices,VLOOKUP(G697,move_down,2,FALSE()),FALSE())),VLOOKUP(G697,NGPrices,2,FALSE()),I697,VLOOKUP(G697,NGPREVPRICES,4,FALSE()),HLOOKUP(D697,PREVVOLS,VLOOKUP(G697,MOVE_DOWN2,2,FALSE()),FALSE()),VLOOKUP(G697,NGPREVPRICES,3,FALSE()),HLOOKUP(D697,Correllate,VLOOKUP(G697,CorMove,2,FALSE()),FALSE()),Q697-$CD$3,R697,$CD$5)*H697-CJ699</f>
        <v>#NAME?</v>
      </c>
      <c r="CE699" s="253" t="e">
        <f aca="false">xSPRDOPT((VLOOKUP(G697,NGPREVPRICES,2,FALSE())+HLOOKUP(D697,PREVCURVES,VLOOKUP(G697,MOVE_DOWN2,2,FALSE()),FALSE())),VLOOKUP(G697,NGPREVPRICES,2,FALSE()),CK699,VLOOKUP(G697,NGPrices,4,FALSE()),HLOOKUP(D697,PREVVOLS,VLOOKUP(G697,MOVE_DOWN2,2,FALSE()),FALSE()),VLOOKUP(G697,NGPREVPRICES,3,FALSE()),HLOOKUP(D697,Correllate,VLOOKUP(G697,CorMove,2,FALSE()),FALSE()),Q697-$CD$3,R697,$CJ$5)*H697-CJ699</f>
        <v>#NAME?</v>
      </c>
      <c r="CF699" s="132" t="e">
        <f aca="false">(CJ699/VLOOKUP(CC699,discount,3,FALSE()))-(CJ699/VLOOKUP(CC699,discount,2,FALSE()))</f>
        <v>#NAME?</v>
      </c>
      <c r="CG699" s="253" t="e">
        <f aca="false">xSPRDOPT((VLOOKUP(G697,NGPREVPRICES,2,FALSE())+HLOOKUP(D697,PREVCURVES,VLOOKUP(G697,MOVE_DOWN2,2,FALSE()),FALSE())),VLOOKUP(G697,NGPREVPRICES,2,FALSE()),CK699,VLOOKUP(G697,NGPREVPRICES,4,FALSE()),HLOOKUP(D697,VOLS,VLOOKUP(G697,move_down,2,FALSE()),FALSE()),VLOOKUP(G697,NGPrices,3,FALSE()),HLOOKUP(D697,Correllate,VLOOKUP(G697,CorMove,2,FALSE()),FALSE()),Q697-$CD$3,R697,$CJ$5)*H697-CJ699</f>
        <v>#NAME?</v>
      </c>
      <c r="CH699" s="253" t="e">
        <f aca="false">xSPRDOPT((VLOOKUP(G697,NGPREVPRICES,2,FALSE())+HLOOKUP(D697,PREVCURVES,VLOOKUP(G697,MOVE_DOWN2,2,FALSE()),FALSE())),VLOOKUP(G697,NGPREVPRICES,2,FALSE()),CK699,VLOOKUP(G697,NGPREVPRICES,4,FALSE()),HLOOKUP(D697,PREVVOLS,VLOOKUP(G697,MOVE_DOWN2,2,FALSE()),FALSE()),VLOOKUP(G697,NGPREVPRICES,3,FALSE()),HLOOKUP(D697,Correllate,VLOOKUP(G697,CorMove,2,FALSE()),FALSE()),Q697-$C$3,R697,$CJ$5)*H697-CJ699</f>
        <v>#NAME?</v>
      </c>
      <c r="CI699" s="253" t="e">
        <f aca="false">SUM(CD699:CH699)</f>
        <v>#NAME?</v>
      </c>
      <c r="CJ699" s="253" t="e">
        <f aca="false">xSPRDOPT((VLOOKUP(G697,NGPREVPRICES,2,FALSE())+HLOOKUP(D697,PREVCURVES,VLOOKUP(G697,MOVE_DOWN2,2,FALSE()),FALSE())),VLOOKUP(G697,NGPREVPRICES,2,FALSE()),CK699,VLOOKUP(G697,NGPREVPRICES,4,FALSE()),HLOOKUP(D697,PREVVOLS,VLOOKUP(G697,MOVE_DOWN2,2,FALSE()),FALSE()),VLOOKUP(G697,NGPREVPRICES,3,FALSE()),HLOOKUP(D697,Correllate,VLOOKUP(G697,CorMove,2,FALSE()),FALSE()),Q697-$CD$3,R697,$CJ$5)*H697</f>
        <v>#NAME?</v>
      </c>
      <c r="CK699" s="254" t="n">
        <f aca="false">I697</f>
        <v>1.45</v>
      </c>
      <c r="CM699" s="0" t="str">
        <f aca="false">CONCATENATE(CC699,$CD$6)</f>
        <v>36951Curve Shift/Gamma</v>
      </c>
      <c r="CN699" s="0" t="str">
        <f aca="false">CONCATENATE($CC699,$CE$6)</f>
        <v>36951Rho</v>
      </c>
      <c r="CO699" s="0" t="str">
        <f aca="false">CONCATENATE($CC699,$CF$6)</f>
        <v>36951Drift</v>
      </c>
      <c r="CP699" s="0" t="str">
        <f aca="false">CONCATENATE($CC699,$CG$6)</f>
        <v>36951Vega</v>
      </c>
      <c r="CQ699" s="0" t="str">
        <f aca="false">CONCATENATE($CC699,$CH$6)</f>
        <v>36951Theta</v>
      </c>
    </row>
    <row r="700" customFormat="false" ht="12.75" hidden="false" customHeight="false" outlineLevel="0" collapsed="false">
      <c r="A700" s="17" t="s">
        <v>244</v>
      </c>
      <c r="B700" s="0" t="s">
        <v>192</v>
      </c>
      <c r="C700" s="0" t="s">
        <v>428</v>
      </c>
      <c r="D700" s="7" t="s">
        <v>149</v>
      </c>
      <c r="E700" s="0" t="s">
        <v>131</v>
      </c>
      <c r="F700" s="0" t="s">
        <v>132</v>
      </c>
      <c r="G700" s="92" t="n">
        <v>36892</v>
      </c>
      <c r="H700" s="248" t="n">
        <v>-500000</v>
      </c>
      <c r="I700" s="254" t="n">
        <v>1.45</v>
      </c>
      <c r="J700" s="124" t="n">
        <f aca="false">VLOOKUP(G700,NGPrices,2,FALSE())</f>
        <v>4.744</v>
      </c>
      <c r="K700" s="125" t="n">
        <f aca="false">HLOOKUP(D700,Prices,VLOOKUP(G700,move_down,2,FALSE()),FALSE())+VLOOKUP(G700,CHANGE,HLOOKUP(D700,CHANGE,2,FALSE()),FALSE())</f>
        <v>2.17</v>
      </c>
      <c r="L700" s="124" t="n">
        <f aca="false">K700+J700</f>
        <v>6.914</v>
      </c>
      <c r="M700" s="126" t="n">
        <f aca="false">VLOOKUP(G700,NGPrices,4,FALSE())</f>
        <v>0.068374831148491</v>
      </c>
      <c r="N700" s="7" t="n">
        <f aca="false">VLOOKUP(G700,NGPrices,3,FALSE())</f>
        <v>0.605</v>
      </c>
      <c r="O700" s="7" t="n">
        <f aca="false">HLOOKUP(D700,VOLS,VLOOKUP(G700,move_down,2,FALSE()),FALSE())</f>
        <v>0.696</v>
      </c>
      <c r="P700" s="249" t="n">
        <f aca="false">HLOOKUP(D700,Correllate,VLOOKUP(G700,CorMove,2,FALSE()),FALSE())</f>
        <v>0.83</v>
      </c>
      <c r="Q700" s="92" t="n">
        <f aca="false">WORKDAY(G700,-2)</f>
        <v>36888</v>
      </c>
      <c r="R700" s="7" t="n">
        <f aca="false">IF(F700="P",0,1)</f>
        <v>0</v>
      </c>
      <c r="S700" s="130" t="e">
        <f aca="false">xSPRDOPT($L700,$J700,$I700,$M700,$O700,$N700,$P700,$Q700-$C$3,$R700,0)</f>
        <v>#NAME?</v>
      </c>
      <c r="T700" s="250" t="e">
        <f aca="false">xSPRDOPT($L700,$J700,$I700,$M700,$O700,$N700,$P700,$Q700-$C$3,$R700,1)*H700</f>
        <v>#NAME?</v>
      </c>
      <c r="U700" s="43" t="e">
        <f aca="false">S700*H700</f>
        <v>#NAME?</v>
      </c>
      <c r="V700" s="250" t="e">
        <f aca="false">xSPRDOPT($L700,$J700,$I700,$M700,$O700,$N700,$P700,$Q700-$C$3,$R700,2)*H700</f>
        <v>#NAME?</v>
      </c>
      <c r="W700" s="250" t="e">
        <f aca="false">+V700+T700</f>
        <v>#NAME?</v>
      </c>
      <c r="X700" s="2" t="str">
        <f aca="false">CONCATENATE(G700,D700)</f>
        <v>36892IF-TRANSCO/Z6</v>
      </c>
      <c r="Y700" s="251" t="n">
        <f aca="false">H700/10000</f>
        <v>-50</v>
      </c>
      <c r="Z700" s="226" t="e">
        <f aca="false">T700/H700</f>
        <v>#NAME?</v>
      </c>
      <c r="AA700" s="226" t="e">
        <f aca="false">xSPRDOPT($L700,$J700,$I700,$M700,$O700,$N700,$P700,$Q700-$C$3,$R700,3)</f>
        <v>#NAME?</v>
      </c>
      <c r="AB700" s="226" t="e">
        <f aca="false">((xSPRDOPT($L700+AB$5,$J700,$I700,$M700,$O700,$N700,$P700,$Q700-$C$3,$R700,3)*$H700)/10000)/100</f>
        <v>#NAME?</v>
      </c>
      <c r="AC700" s="226" t="e">
        <f aca="false">((xSPRDOPT($L700+$AB$5,$J700,$I700,$M700,$O700,$N700,$P700,$Q700-$C$3,$R700,7)*$H700)/100)</f>
        <v>#NAME?</v>
      </c>
      <c r="AD700" s="226" t="e">
        <f aca="false">(xSPRDOPT($L700+$AB$5,$J700,$I700,$M700,$O700,$N700,$P700,$Q700-$C$3,$R700,9)/365)*$H700</f>
        <v>#NAME?</v>
      </c>
      <c r="AE700" s="0" t="e">
        <f aca="false">CD702</f>
        <v>#NAME?</v>
      </c>
      <c r="AF700" s="226" t="e">
        <f aca="false">((O700/N700)*AH700)+AG700</f>
        <v>#NAME?</v>
      </c>
      <c r="AG700" s="226" t="e">
        <f aca="false">((xSPRDOPT($L700,$J700,$I700,$M700,$O700,$N700,$P700,$Q700-$C$3,$R700,6)*$H700)/100)</f>
        <v>#NAME?</v>
      </c>
      <c r="AH700" s="226" t="e">
        <f aca="false">((xSPRDOPT($L700,$J700,$I700,$M700,$O700,$N700,$P700,$Q700-$C$3,$R700,5)*$H700)/100)</f>
        <v>#NAME?</v>
      </c>
      <c r="AI700" s="226" t="e">
        <f aca="false">(((xSPRDOPT($L700,$J700,$I700,$M700,$O700,$N700,$P700,$Q700-$C$3,$R700,4)*$H700)/10000)/100)-AB700</f>
        <v>#NAME?</v>
      </c>
      <c r="AJ700" s="226"/>
      <c r="CC700" s="182" t="n">
        <f aca="false">G698</f>
        <v>36831</v>
      </c>
      <c r="CD700" s="253" t="e">
        <f aca="false">xSPRDOPT((VLOOKUP(G698,NGPrices,2,FALSE())+HLOOKUP(D698,Prices,VLOOKUP(G698,move_down,2,FALSE()),FALSE())),VLOOKUP(G698,NGPrices,2,FALSE()),I698,VLOOKUP(G698,NGPREVPRICES,4,FALSE()),HLOOKUP(D698,PREVVOLS,VLOOKUP(G698,MOVE_DOWN2,2,FALSE()),FALSE()),VLOOKUP(G698,NGPREVPRICES,3,FALSE()),HLOOKUP(D698,Correllate,VLOOKUP(G698,CorMove,2,FALSE()),FALSE()),Q698-$CD$3,R698,$CD$5)*H698-CJ700</f>
        <v>#NAME?</v>
      </c>
      <c r="CE700" s="253" t="e">
        <f aca="false">xSPRDOPT((VLOOKUP(G698,NGPREVPRICES,2,FALSE())+HLOOKUP(D698,PREVCURVES,VLOOKUP(G698,MOVE_DOWN2,2,FALSE()),FALSE())),VLOOKUP(G698,NGPREVPRICES,2,FALSE()),CK700,VLOOKUP(G698,NGPrices,4,FALSE()),HLOOKUP(D698,PREVVOLS,VLOOKUP(G698,MOVE_DOWN2,2,FALSE()),FALSE()),VLOOKUP(G698,NGPREVPRICES,3,FALSE()),HLOOKUP(D698,Correllate,VLOOKUP(G698,CorMove,2,FALSE()),FALSE()),Q698-$CD$3,R698,$CJ$5)*H698-CJ700</f>
        <v>#NAME?</v>
      </c>
      <c r="CF700" s="132" t="e">
        <f aca="false">(CJ700/VLOOKUP(CC700,discount,3,FALSE()))-(CJ700/VLOOKUP(CC700,discount,2,FALSE()))</f>
        <v>#NAME?</v>
      </c>
      <c r="CG700" s="253" t="e">
        <f aca="false">xSPRDOPT((VLOOKUP(G698,NGPREVPRICES,2,FALSE())+HLOOKUP(D698,PREVCURVES,VLOOKUP(G698,MOVE_DOWN2,2,FALSE()),FALSE())),VLOOKUP(G698,NGPREVPRICES,2,FALSE()),CK700,VLOOKUP(G698,NGPREVPRICES,4,FALSE()),HLOOKUP(D698,VOLS,VLOOKUP(G698,move_down,2,FALSE()),FALSE()),VLOOKUP(G698,NGPrices,3,FALSE()),HLOOKUP(D698,Correllate,VLOOKUP(G698,CorMove,2,FALSE()),FALSE()),Q698-$CD$3,R698,$CJ$5)*H698-CJ700</f>
        <v>#NAME?</v>
      </c>
      <c r="CH700" s="253" t="e">
        <f aca="false">xSPRDOPT((VLOOKUP(G698,NGPREVPRICES,2,FALSE())+HLOOKUP(D698,PREVCURVES,VLOOKUP(G698,MOVE_DOWN2,2,FALSE()),FALSE())),VLOOKUP(G698,NGPREVPRICES,2,FALSE()),CK700,VLOOKUP(G698,NGPREVPRICES,4,FALSE()),HLOOKUP(D698,PREVVOLS,VLOOKUP(G698,MOVE_DOWN2,2,FALSE()),FALSE()),VLOOKUP(G698,NGPREVPRICES,3,FALSE()),HLOOKUP(D698,Correllate,VLOOKUP(G698,CorMove,2,FALSE()),FALSE()),Q698-$C$3,R698,$CJ$5)*H698-CJ700</f>
        <v>#NAME?</v>
      </c>
      <c r="CI700" s="253" t="e">
        <f aca="false">SUM(CD700:CH700)</f>
        <v>#NAME?</v>
      </c>
      <c r="CJ700" s="253" t="e">
        <f aca="false">xSPRDOPT((VLOOKUP(G698,NGPREVPRICES,2,FALSE())+HLOOKUP(D698,PREVCURVES,VLOOKUP(G698,MOVE_DOWN2,2,FALSE()),FALSE())),VLOOKUP(G698,NGPREVPRICES,2,FALSE()),CK700,VLOOKUP(G698,NGPREVPRICES,4,FALSE()),HLOOKUP(D698,PREVVOLS,VLOOKUP(G698,MOVE_DOWN2,2,FALSE()),FALSE()),VLOOKUP(G698,NGPREVPRICES,3,FALSE()),HLOOKUP(D698,Correllate,VLOOKUP(G698,CorMove,2,FALSE()),FALSE()),Q698-$CD$3,R698,$CJ$5)*H698</f>
        <v>#NAME?</v>
      </c>
      <c r="CK700" s="254" t="n">
        <f aca="false">I698</f>
        <v>1.45</v>
      </c>
      <c r="CM700" s="0" t="str">
        <f aca="false">CONCATENATE(CC700,$CD$6)</f>
        <v>36831Curve Shift/Gamma</v>
      </c>
      <c r="CN700" s="0" t="str">
        <f aca="false">CONCATENATE($CC700,$CE$6)</f>
        <v>36831Rho</v>
      </c>
      <c r="CO700" s="0" t="str">
        <f aca="false">CONCATENATE($CC700,$CF$6)</f>
        <v>36831Drift</v>
      </c>
      <c r="CP700" s="0" t="str">
        <f aca="false">CONCATENATE($CC700,$CG$6)</f>
        <v>36831Vega</v>
      </c>
      <c r="CQ700" s="0" t="str">
        <f aca="false">CONCATENATE($CC700,$CH$6)</f>
        <v>36831Theta</v>
      </c>
    </row>
    <row r="701" customFormat="false" ht="12.75" hidden="false" customHeight="false" outlineLevel="0" collapsed="false">
      <c r="A701" s="17" t="s">
        <v>244</v>
      </c>
      <c r="B701" s="0" t="s">
        <v>192</v>
      </c>
      <c r="C701" s="0" t="s">
        <v>428</v>
      </c>
      <c r="D701" s="7" t="s">
        <v>149</v>
      </c>
      <c r="E701" s="0" t="s">
        <v>131</v>
      </c>
      <c r="F701" s="0" t="s">
        <v>132</v>
      </c>
      <c r="G701" s="92" t="n">
        <v>36923</v>
      </c>
      <c r="H701" s="248" t="n">
        <v>-500000</v>
      </c>
      <c r="I701" s="254" t="n">
        <v>1.45</v>
      </c>
      <c r="J701" s="124" t="n">
        <f aca="false">VLOOKUP(G701,NGPrices,2,FALSE())</f>
        <v>4.48</v>
      </c>
      <c r="K701" s="125" t="n">
        <f aca="false">HLOOKUP(D701,Prices,VLOOKUP(G701,move_down,2,FALSE()),FALSE())+VLOOKUP(G701,CHANGE,HLOOKUP(D701,CHANGE,2,FALSE()),FALSE())</f>
        <v>2.09</v>
      </c>
      <c r="L701" s="124" t="n">
        <f aca="false">K701+J701</f>
        <v>6.57</v>
      </c>
      <c r="M701" s="126" t="n">
        <f aca="false">VLOOKUP(G701,NGPrices,4,FALSE())</f>
        <v>0.068640161611372</v>
      </c>
      <c r="N701" s="7" t="n">
        <f aca="false">VLOOKUP(G701,NGPrices,3,FALSE())</f>
        <v>0.5925</v>
      </c>
      <c r="O701" s="7" t="n">
        <f aca="false">HLOOKUP(D701,VOLS,VLOOKUP(G701,move_down,2,FALSE()),FALSE())</f>
        <v>0.681</v>
      </c>
      <c r="P701" s="249" t="n">
        <f aca="false">HLOOKUP(D701,Correllate,VLOOKUP(G701,CorMove,2,FALSE()),FALSE())</f>
        <v>0.83</v>
      </c>
      <c r="Q701" s="92" t="n">
        <f aca="false">WORKDAY(G701,-2)</f>
        <v>36921</v>
      </c>
      <c r="R701" s="7" t="n">
        <f aca="false">IF(F701="P",0,1)</f>
        <v>0</v>
      </c>
      <c r="S701" s="130" t="e">
        <f aca="false">xSPRDOPT($L701,$J701,$I701,$M701,$O701,$N701,$P701,$Q701-$C$3,$R701,0)</f>
        <v>#NAME?</v>
      </c>
      <c r="T701" s="250" t="e">
        <f aca="false">xSPRDOPT($L701,$J701,$I701,$M701,$O701,$N701,$P701,$Q701-$C$3,$R701,1)*H701</f>
        <v>#NAME?</v>
      </c>
      <c r="U701" s="43" t="e">
        <f aca="false">S701*H701</f>
        <v>#NAME?</v>
      </c>
      <c r="V701" s="250" t="e">
        <f aca="false">xSPRDOPT($L701,$J701,$I701,$M701,$O701,$N701,$P701,$Q701-$C$3,$R701,2)*H701</f>
        <v>#NAME?</v>
      </c>
      <c r="W701" s="250" t="e">
        <f aca="false">+V701+T701</f>
        <v>#NAME?</v>
      </c>
      <c r="X701" s="2" t="str">
        <f aca="false">CONCATENATE(G701,D701)</f>
        <v>36923IF-TRANSCO/Z6</v>
      </c>
      <c r="Y701" s="251" t="n">
        <f aca="false">H701/10000</f>
        <v>-50</v>
      </c>
      <c r="Z701" s="226" t="e">
        <f aca="false">T701/H701</f>
        <v>#NAME?</v>
      </c>
      <c r="AA701" s="226" t="e">
        <f aca="false">xSPRDOPT($L701,$J701,$I701,$M701,$O701,$N701,$P701,$Q701-$C$3,$R701,3)</f>
        <v>#NAME?</v>
      </c>
      <c r="AB701" s="226" t="e">
        <f aca="false">((xSPRDOPT($L701+AB$5,$J701,$I701,$M701,$O701,$N701,$P701,$Q701-$C$3,$R701,3)*$H701)/10000)/100</f>
        <v>#NAME?</v>
      </c>
      <c r="AC701" s="226" t="e">
        <f aca="false">((xSPRDOPT($L701+$AB$5,$J701,$I701,$M701,$O701,$N701,$P701,$Q701-$C$3,$R701,7)*$H701)/100)</f>
        <v>#NAME?</v>
      </c>
      <c r="AD701" s="226" t="e">
        <f aca="false">(xSPRDOPT($L701+$AB$5,$J701,$I701,$M701,$O701,$N701,$P701,$Q701-$C$3,$R701,9)/365)*$H701</f>
        <v>#NAME?</v>
      </c>
      <c r="AE701" s="0" t="e">
        <f aca="false">CD703</f>
        <v>#NAME?</v>
      </c>
      <c r="AF701" s="226" t="e">
        <f aca="false">((O701/N701)*AH701)+AG701</f>
        <v>#NAME?</v>
      </c>
      <c r="AG701" s="226" t="e">
        <f aca="false">((xSPRDOPT($L701,$J701,$I701,$M701,$O701,$N701,$P701,$Q701-$C$3,$R701,6)*$H701)/100)</f>
        <v>#NAME?</v>
      </c>
      <c r="AH701" s="226" t="e">
        <f aca="false">((xSPRDOPT($L701,$J701,$I701,$M701,$O701,$N701,$P701,$Q701-$C$3,$R701,5)*$H701)/100)</f>
        <v>#NAME?</v>
      </c>
      <c r="AI701" s="226" t="e">
        <f aca="false">(((xSPRDOPT($L701,$J701,$I701,$M701,$O701,$N701,$P701,$Q701-$C$3,$R701,4)*$H701)/10000)/100)-AB701</f>
        <v>#NAME?</v>
      </c>
      <c r="AJ701" s="226"/>
      <c r="CC701" s="182" t="n">
        <f aca="false">G699</f>
        <v>36861</v>
      </c>
      <c r="CD701" s="253" t="e">
        <f aca="false">xSPRDOPT((VLOOKUP(G699,NGPrices,2,FALSE())+HLOOKUP(D699,Prices,VLOOKUP(G699,move_down,2,FALSE()),FALSE())),VLOOKUP(G699,NGPrices,2,FALSE()),I699,VLOOKUP(G699,NGPREVPRICES,4,FALSE()),HLOOKUP(D699,PREVVOLS,VLOOKUP(G699,MOVE_DOWN2,2,FALSE()),FALSE()),VLOOKUP(G699,NGPREVPRICES,3,FALSE()),HLOOKUP(D699,Correllate,VLOOKUP(G699,CorMove,2,FALSE()),FALSE()),Q699-$CD$3,R699,$CD$5)*H699-CJ701</f>
        <v>#NAME?</v>
      </c>
      <c r="CE701" s="253" t="e">
        <f aca="false">xSPRDOPT((VLOOKUP(G699,NGPREVPRICES,2,FALSE())+HLOOKUP(D699,PREVCURVES,VLOOKUP(G699,MOVE_DOWN2,2,FALSE()),FALSE())),VLOOKUP(G699,NGPREVPRICES,2,FALSE()),CK701,VLOOKUP(G699,NGPrices,4,FALSE()),HLOOKUP(D699,PREVVOLS,VLOOKUP(G699,MOVE_DOWN2,2,FALSE()),FALSE()),VLOOKUP(G699,NGPREVPRICES,3,FALSE()),HLOOKUP(D699,Correllate,VLOOKUP(G699,CorMove,2,FALSE()),FALSE()),Q699-$CD$3,R699,$CJ$5)*H699-CJ701</f>
        <v>#NAME?</v>
      </c>
      <c r="CF701" s="132" t="e">
        <f aca="false">(CJ701/VLOOKUP(CC701,discount,3,FALSE()))-(CJ701/VLOOKUP(CC701,discount,2,FALSE()))</f>
        <v>#NAME?</v>
      </c>
      <c r="CG701" s="253" t="e">
        <f aca="false">xSPRDOPT((VLOOKUP(G699,NGPREVPRICES,2,FALSE())+HLOOKUP(D699,PREVCURVES,VLOOKUP(G699,MOVE_DOWN2,2,FALSE()),FALSE())),VLOOKUP(G699,NGPREVPRICES,2,FALSE()),CK701,VLOOKUP(G699,NGPREVPRICES,4,FALSE()),HLOOKUP(D699,VOLS,VLOOKUP(G699,move_down,2,FALSE()),FALSE()),VLOOKUP(G699,NGPrices,3,FALSE()),HLOOKUP(D699,Correllate,VLOOKUP(G699,CorMove,2,FALSE()),FALSE()),Q699-$CD$3,R699,$CJ$5)*H699-CJ701</f>
        <v>#NAME?</v>
      </c>
      <c r="CH701" s="253" t="e">
        <f aca="false">xSPRDOPT((VLOOKUP(G699,NGPREVPRICES,2,FALSE())+HLOOKUP(D699,PREVCURVES,VLOOKUP(G699,MOVE_DOWN2,2,FALSE()),FALSE())),VLOOKUP(G699,NGPREVPRICES,2,FALSE()),CK701,VLOOKUP(G699,NGPREVPRICES,4,FALSE()),HLOOKUP(D699,PREVVOLS,VLOOKUP(G699,MOVE_DOWN2,2,FALSE()),FALSE()),VLOOKUP(G699,NGPREVPRICES,3,FALSE()),HLOOKUP(D699,Correllate,VLOOKUP(G699,CorMove,2,FALSE()),FALSE()),Q699-$C$3,R699,$CJ$5)*H699-CJ701</f>
        <v>#NAME?</v>
      </c>
      <c r="CI701" s="253" t="e">
        <f aca="false">SUM(CD701:CH701)</f>
        <v>#NAME?</v>
      </c>
      <c r="CJ701" s="253" t="e">
        <f aca="false">xSPRDOPT((VLOOKUP(G699,NGPREVPRICES,2,FALSE())+HLOOKUP(D699,PREVCURVES,VLOOKUP(G699,MOVE_DOWN2,2,FALSE()),FALSE())),VLOOKUP(G699,NGPREVPRICES,2,FALSE()),CK701,VLOOKUP(G699,NGPREVPRICES,4,FALSE()),HLOOKUP(D699,PREVVOLS,VLOOKUP(G699,MOVE_DOWN2,2,FALSE()),FALSE()),VLOOKUP(G699,NGPREVPRICES,3,FALSE()),HLOOKUP(D699,Correllate,VLOOKUP(G699,CorMove,2,FALSE()),FALSE()),Q699-$CD$3,R699,$CJ$5)*H699</f>
        <v>#NAME?</v>
      </c>
      <c r="CK701" s="254" t="n">
        <f aca="false">I699</f>
        <v>1.45</v>
      </c>
      <c r="CM701" s="0" t="str">
        <f aca="false">CONCATENATE(CC701,$CD$6)</f>
        <v>36861Curve Shift/Gamma</v>
      </c>
      <c r="CN701" s="0" t="str">
        <f aca="false">CONCATENATE($CC701,$CE$6)</f>
        <v>36861Rho</v>
      </c>
      <c r="CO701" s="0" t="str">
        <f aca="false">CONCATENATE($CC701,$CF$6)</f>
        <v>36861Drift</v>
      </c>
      <c r="CP701" s="0" t="str">
        <f aca="false">CONCATENATE($CC701,$CG$6)</f>
        <v>36861Vega</v>
      </c>
      <c r="CQ701" s="0" t="str">
        <f aca="false">CONCATENATE($CC701,$CH$6)</f>
        <v>36861Theta</v>
      </c>
    </row>
    <row r="702" customFormat="false" ht="12.75" hidden="false" customHeight="false" outlineLevel="0" collapsed="false">
      <c r="A702" s="17" t="s">
        <v>244</v>
      </c>
      <c r="B702" s="0" t="s">
        <v>192</v>
      </c>
      <c r="C702" s="0" t="s">
        <v>428</v>
      </c>
      <c r="D702" s="7" t="s">
        <v>149</v>
      </c>
      <c r="E702" s="0" t="s">
        <v>131</v>
      </c>
      <c r="F702" s="0" t="s">
        <v>132</v>
      </c>
      <c r="G702" s="92" t="n">
        <v>36951</v>
      </c>
      <c r="H702" s="248" t="n">
        <v>-500000</v>
      </c>
      <c r="I702" s="254" t="n">
        <v>1.45</v>
      </c>
      <c r="J702" s="124" t="n">
        <f aca="false">VLOOKUP(G702,NGPrices,2,FALSE())</f>
        <v>4.213</v>
      </c>
      <c r="K702" s="125" t="n">
        <f aca="false">HLOOKUP(D702,Prices,VLOOKUP(G702,move_down,2,FALSE()),FALSE())+VLOOKUP(G702,CHANGE,HLOOKUP(D702,CHANGE,2,FALSE()),FALSE())</f>
        <v>1.075</v>
      </c>
      <c r="L702" s="124" t="n">
        <f aca="false">K702+J702</f>
        <v>5.288</v>
      </c>
      <c r="M702" s="126" t="n">
        <f aca="false">VLOOKUP(G702,NGPrices,4,FALSE())</f>
        <v>0.068879814952707</v>
      </c>
      <c r="N702" s="7" t="n">
        <f aca="false">VLOOKUP(G702,NGPrices,3,FALSE())</f>
        <v>0.5325</v>
      </c>
      <c r="O702" s="7" t="n">
        <f aca="false">HLOOKUP(D702,VOLS,VLOOKUP(G702,move_down,2,FALSE()),FALSE())</f>
        <v>0.612</v>
      </c>
      <c r="P702" s="249" t="n">
        <f aca="false">HLOOKUP(D702,Correllate,VLOOKUP(G702,CorMove,2,FALSE()),FALSE())</f>
        <v>0.83</v>
      </c>
      <c r="Q702" s="92" t="n">
        <f aca="false">WORKDAY(G702,-2)</f>
        <v>36949</v>
      </c>
      <c r="R702" s="7" t="n">
        <f aca="false">IF(F702="P",0,1)</f>
        <v>0</v>
      </c>
      <c r="S702" s="130" t="e">
        <f aca="false">xSPRDOPT($L702,$J702,$I702,$M702,$O702,$N702,$P702,$Q702-$C$3,$R702,0)</f>
        <v>#NAME?</v>
      </c>
      <c r="T702" s="250" t="e">
        <f aca="false">xSPRDOPT($L702,$J702,$I702,$M702,$O702,$N702,$P702,$Q702-$C$3,$R702,1)*H702</f>
        <v>#NAME?</v>
      </c>
      <c r="U702" s="43" t="e">
        <f aca="false">S702*H702</f>
        <v>#NAME?</v>
      </c>
      <c r="V702" s="250" t="e">
        <f aca="false">xSPRDOPT($L702,$J702,$I702,$M702,$O702,$N702,$P702,$Q702-$C$3,$R702,2)*H702</f>
        <v>#NAME?</v>
      </c>
      <c r="W702" s="250" t="e">
        <f aca="false">+V702+T702</f>
        <v>#NAME?</v>
      </c>
      <c r="X702" s="2" t="str">
        <f aca="false">CONCATENATE(G702,D702)</f>
        <v>36951IF-TRANSCO/Z6</v>
      </c>
      <c r="Y702" s="251" t="n">
        <f aca="false">H702/10000</f>
        <v>-50</v>
      </c>
      <c r="Z702" s="226" t="e">
        <f aca="false">T702/H702</f>
        <v>#NAME?</v>
      </c>
      <c r="AA702" s="226" t="e">
        <f aca="false">xSPRDOPT($L702,$J702,$I702,$M702,$O702,$N702,$P702,$Q702-$C$3,$R702,3)</f>
        <v>#NAME?</v>
      </c>
      <c r="AB702" s="226" t="e">
        <f aca="false">((xSPRDOPT($L702+AB$5,$J702,$I702,$M702,$O702,$N702,$P702,$Q702-$C$3,$R702,3)*$H702)/10000)/100</f>
        <v>#NAME?</v>
      </c>
      <c r="AC702" s="226" t="e">
        <f aca="false">((xSPRDOPT($L702+$AB$5,$J702,$I702,$M702,$O702,$N702,$P702,$Q702-$C$3,$R702,7)*$H702)/100)</f>
        <v>#NAME?</v>
      </c>
      <c r="AD702" s="226" t="e">
        <f aca="false">(xSPRDOPT($L702+$AB$5,$J702,$I702,$M702,$O702,$N702,$P702,$Q702-$C$3,$R702,9)/365)*$H702</f>
        <v>#NAME?</v>
      </c>
      <c r="AE702" s="0" t="e">
        <f aca="false">CD704</f>
        <v>#NAME?</v>
      </c>
      <c r="AF702" s="226" t="e">
        <f aca="false">((O702/N702)*AH702)+AG702</f>
        <v>#NAME?</v>
      </c>
      <c r="AG702" s="226" t="e">
        <f aca="false">((xSPRDOPT($L702,$J702,$I702,$M702,$O702,$N702,$P702,$Q702-$C$3,$R702,6)*$H702)/100)</f>
        <v>#NAME?</v>
      </c>
      <c r="AH702" s="226" t="e">
        <f aca="false">((xSPRDOPT($L702,$J702,$I702,$M702,$O702,$N702,$P702,$Q702-$C$3,$R702,5)*$H702)/100)</f>
        <v>#NAME?</v>
      </c>
      <c r="AI702" s="226" t="e">
        <f aca="false">(((xSPRDOPT($L702,$J702,$I702,$M702,$O702,$N702,$P702,$Q702-$C$3,$R702,4)*$H702)/10000)/100)-AB702</f>
        <v>#NAME?</v>
      </c>
      <c r="AJ702" s="226"/>
      <c r="CC702" s="182" t="n">
        <f aca="false">G700</f>
        <v>36892</v>
      </c>
      <c r="CD702" s="253" t="e">
        <f aca="false">xSPRDOPT((VLOOKUP(G700,NGPrices,2,FALSE())+HLOOKUP(D700,Prices,VLOOKUP(G700,move_down,2,FALSE()),FALSE())),VLOOKUP(G700,NGPrices,2,FALSE()),I700,VLOOKUP(G700,NGPREVPRICES,4,FALSE()),HLOOKUP(D700,PREVVOLS,VLOOKUP(G700,MOVE_DOWN2,2,FALSE()),FALSE()),VLOOKUP(G700,NGPREVPRICES,3,FALSE()),HLOOKUP(D700,Correllate,VLOOKUP(G700,CorMove,2,FALSE()),FALSE()),Q700-$CD$3,R700,$CD$5)*H700-CJ702</f>
        <v>#NAME?</v>
      </c>
      <c r="CE702" s="253" t="e">
        <f aca="false">xSPRDOPT((VLOOKUP(G700,NGPREVPRICES,2,FALSE())+HLOOKUP(D700,PREVCURVES,VLOOKUP(G700,MOVE_DOWN2,2,FALSE()),FALSE())),VLOOKUP(G700,NGPREVPRICES,2,FALSE()),CK702,VLOOKUP(G700,NGPrices,4,FALSE()),HLOOKUP(D700,PREVVOLS,VLOOKUP(G700,MOVE_DOWN2,2,FALSE()),FALSE()),VLOOKUP(G700,NGPREVPRICES,3,FALSE()),HLOOKUP(D700,Correllate,VLOOKUP(G700,CorMove,2,FALSE()),FALSE()),Q700-$CD$3,R700,$CJ$5)*H700-CJ702</f>
        <v>#NAME?</v>
      </c>
      <c r="CF702" s="132" t="e">
        <f aca="false">(CJ702/VLOOKUP(CC702,discount,3,FALSE()))-(CJ702/VLOOKUP(CC702,discount,2,FALSE()))</f>
        <v>#NAME?</v>
      </c>
      <c r="CG702" s="253" t="e">
        <f aca="false">xSPRDOPT((VLOOKUP(G700,NGPREVPRICES,2,FALSE())+HLOOKUP(D700,PREVCURVES,VLOOKUP(G700,MOVE_DOWN2,2,FALSE()),FALSE())),VLOOKUP(G700,NGPREVPRICES,2,FALSE()),CK702,VLOOKUP(G700,NGPREVPRICES,4,FALSE()),HLOOKUP(D700,VOLS,VLOOKUP(G700,move_down,2,FALSE()),FALSE()),VLOOKUP(G700,NGPrices,3,FALSE()),HLOOKUP(D700,Correllate,VLOOKUP(G700,CorMove,2,FALSE()),FALSE()),Q700-$CD$3,R700,$CJ$5)*H700-CJ702</f>
        <v>#NAME?</v>
      </c>
      <c r="CH702" s="253" t="e">
        <f aca="false">xSPRDOPT((VLOOKUP(G700,NGPREVPRICES,2,FALSE())+HLOOKUP(D700,PREVCURVES,VLOOKUP(G700,MOVE_DOWN2,2,FALSE()),FALSE())),VLOOKUP(G700,NGPREVPRICES,2,FALSE()),CK702,VLOOKUP(G700,NGPREVPRICES,4,FALSE()),HLOOKUP(D700,PREVVOLS,VLOOKUP(G700,MOVE_DOWN2,2,FALSE()),FALSE()),VLOOKUP(G700,NGPREVPRICES,3,FALSE()),HLOOKUP(D700,Correllate,VLOOKUP(G700,CorMove,2,FALSE()),FALSE()),Q700-$C$3,R700,$CJ$5)*H700-CJ702</f>
        <v>#NAME?</v>
      </c>
      <c r="CI702" s="253" t="e">
        <f aca="false">SUM(CD702:CH702)</f>
        <v>#NAME?</v>
      </c>
      <c r="CJ702" s="253" t="e">
        <f aca="false">xSPRDOPT((VLOOKUP(G700,NGPREVPRICES,2,FALSE())+HLOOKUP(D700,PREVCURVES,VLOOKUP(G700,MOVE_DOWN2,2,FALSE()),FALSE())),VLOOKUP(G700,NGPREVPRICES,2,FALSE()),CK702,VLOOKUP(G700,NGPREVPRICES,4,FALSE()),HLOOKUP(D700,PREVVOLS,VLOOKUP(G700,MOVE_DOWN2,2,FALSE()),FALSE()),VLOOKUP(G700,NGPREVPRICES,3,FALSE()),HLOOKUP(D700,Correllate,VLOOKUP(G700,CorMove,2,FALSE()),FALSE()),Q700-$CD$3,R700,$CJ$5)*H700</f>
        <v>#NAME?</v>
      </c>
      <c r="CK702" s="254" t="n">
        <f aca="false">I700</f>
        <v>1.45</v>
      </c>
      <c r="CM702" s="0" t="str">
        <f aca="false">CONCATENATE(CC702,$CD$6)</f>
        <v>36892Curve Shift/Gamma</v>
      </c>
      <c r="CN702" s="0" t="str">
        <f aca="false">CONCATENATE($CC702,$CE$6)</f>
        <v>36892Rho</v>
      </c>
      <c r="CO702" s="0" t="str">
        <f aca="false">CONCATENATE($CC702,$CF$6)</f>
        <v>36892Drift</v>
      </c>
      <c r="CP702" s="0" t="str">
        <f aca="false">CONCATENATE($CC702,$CG$6)</f>
        <v>36892Vega</v>
      </c>
      <c r="CQ702" s="0" t="str">
        <f aca="false">CONCATENATE($CC702,$CH$6)</f>
        <v>36892Theta</v>
      </c>
    </row>
    <row r="703" customFormat="false" ht="12.75" hidden="false" customHeight="false" outlineLevel="0" collapsed="false">
      <c r="A703" s="17" t="s">
        <v>244</v>
      </c>
      <c r="B703" s="0" t="s">
        <v>192</v>
      </c>
      <c r="C703" s="0" t="s">
        <v>429</v>
      </c>
      <c r="D703" s="7" t="s">
        <v>149</v>
      </c>
      <c r="E703" s="0" t="s">
        <v>131</v>
      </c>
      <c r="F703" s="0" t="s">
        <v>132</v>
      </c>
      <c r="G703" s="92" t="n">
        <v>36831</v>
      </c>
      <c r="H703" s="248" t="n">
        <v>1000000</v>
      </c>
      <c r="I703" s="254" t="n">
        <v>0.95</v>
      </c>
      <c r="J703" s="124" t="n">
        <f aca="false">VLOOKUP(G703,NGPrices,2,FALSE())</f>
        <v>4.736</v>
      </c>
      <c r="K703" s="125" t="n">
        <f aca="false">HLOOKUP(D703,Prices,VLOOKUP(G703,move_down,2,FALSE()),FALSE())+VLOOKUP(G703,CHANGE,HLOOKUP(D703,CHANGE,2,FALSE()),FALSE())</f>
        <v>0.77</v>
      </c>
      <c r="L703" s="124" t="n">
        <f aca="false">K703+J703</f>
        <v>5.506</v>
      </c>
      <c r="M703" s="126" t="n">
        <f aca="false">VLOOKUP(G703,NGPrices,4,FALSE())</f>
        <v>0.06810675983792</v>
      </c>
      <c r="N703" s="7" t="n">
        <f aca="false">VLOOKUP(G703,NGPrices,3,FALSE())</f>
        <v>0.595</v>
      </c>
      <c r="O703" s="7" t="n">
        <f aca="false">HLOOKUP(D703,VOLS,VLOOKUP(G703,move_down,2,FALSE()),FALSE())</f>
        <v>0.625</v>
      </c>
      <c r="P703" s="249" t="n">
        <f aca="false">HLOOKUP(D703,Correllate,VLOOKUP(G703,CorMove,2,FALSE()),FALSE())</f>
        <v>0.89</v>
      </c>
      <c r="Q703" s="92" t="n">
        <f aca="false">WORKDAY(G703,-2)</f>
        <v>36829</v>
      </c>
      <c r="R703" s="7" t="n">
        <f aca="false">IF(F703="P",0,1)</f>
        <v>0</v>
      </c>
      <c r="S703" s="130" t="e">
        <f aca="false">xSPRDOPT($L703,$J703,$I703,$M703,$O703,$N703,$P703,$Q703-$C$3,$R703,0)</f>
        <v>#NAME?</v>
      </c>
      <c r="T703" s="250" t="e">
        <f aca="false">xSPRDOPT($L703,$J703,$I703,$M703,$O703,$N703,$P703,$Q703-$C$3,$R703,1)*H703</f>
        <v>#NAME?</v>
      </c>
      <c r="U703" s="43" t="e">
        <f aca="false">S703*H703</f>
        <v>#NAME?</v>
      </c>
      <c r="V703" s="250" t="e">
        <f aca="false">xSPRDOPT($L703,$J703,$I703,$M703,$O703,$N703,$P703,$Q703-$C$3,$R703,2)*H703</f>
        <v>#NAME?</v>
      </c>
      <c r="W703" s="250" t="e">
        <f aca="false">+V703+T703</f>
        <v>#NAME?</v>
      </c>
      <c r="X703" s="2" t="str">
        <f aca="false">CONCATENATE(G703,D703)</f>
        <v>36831IF-TRANSCO/Z6</v>
      </c>
      <c r="Y703" s="251" t="n">
        <f aca="false">H703/10000</f>
        <v>100</v>
      </c>
      <c r="Z703" s="226" t="e">
        <f aca="false">T703/H703</f>
        <v>#NAME?</v>
      </c>
      <c r="AA703" s="226" t="e">
        <f aca="false">xSPRDOPT($L703,$J703,$I703,$M703,$O703,$N703,$P703,$Q703-$C$3,$R703,3)</f>
        <v>#NAME?</v>
      </c>
      <c r="AB703" s="226" t="e">
        <f aca="false">((xSPRDOPT($L703+AB$5,$J703,$I703,$M703,$O703,$N703,$P703,$Q703-$C$3,$R703,3)*$H703)/10000)/100</f>
        <v>#NAME?</v>
      </c>
      <c r="AC703" s="226" t="e">
        <f aca="false">((xSPRDOPT($L703+$AB$5,$J703,$I703,$M703,$O703,$N703,$P703,$Q703-$C$3,$R703,7)*$H703)/100)</f>
        <v>#NAME?</v>
      </c>
      <c r="AD703" s="226" t="e">
        <f aca="false">(xSPRDOPT($L703+$AB$5,$J703,$I703,$M703,$O703,$N703,$P703,$Q703-$C$3,$R703,9)/365)*$H703</f>
        <v>#NAME?</v>
      </c>
      <c r="AE703" s="0" t="e">
        <f aca="false">CD705</f>
        <v>#NAME?</v>
      </c>
      <c r="AF703" s="226" t="e">
        <f aca="false">((O703/N703)*AH703)+AG703</f>
        <v>#NAME?</v>
      </c>
      <c r="AG703" s="226" t="e">
        <f aca="false">((xSPRDOPT($L703,$J703,$I703,$M703,$O703,$N703,$P703,$Q703-$C$3,$R703,6)*$H703)/100)</f>
        <v>#NAME?</v>
      </c>
      <c r="AH703" s="226" t="e">
        <f aca="false">((xSPRDOPT($L703,$J703,$I703,$M703,$O703,$N703,$P703,$Q703-$C$3,$R703,5)*$H703)/100)</f>
        <v>#NAME?</v>
      </c>
      <c r="AI703" s="226" t="e">
        <f aca="false">(((xSPRDOPT($L703,$J703,$I703,$M703,$O703,$N703,$P703,$Q703-$C$3,$R703,4)*$H703)/10000)/100)-AB703</f>
        <v>#NAME?</v>
      </c>
      <c r="AJ703" s="226"/>
      <c r="CC703" s="182" t="n">
        <f aca="false">G701</f>
        <v>36923</v>
      </c>
      <c r="CD703" s="253" t="e">
        <f aca="false">xSPRDOPT((VLOOKUP(G701,NGPrices,2,FALSE())+HLOOKUP(D701,Prices,VLOOKUP(G701,move_down,2,FALSE()),FALSE())),VLOOKUP(G701,NGPrices,2,FALSE()),I701,VLOOKUP(G701,NGPREVPRICES,4,FALSE()),HLOOKUP(D701,PREVVOLS,VLOOKUP(G701,MOVE_DOWN2,2,FALSE()),FALSE()),VLOOKUP(G701,NGPREVPRICES,3,FALSE()),HLOOKUP(D701,Correllate,VLOOKUP(G701,CorMove,2,FALSE()),FALSE()),Q701-$CD$3,R701,$CD$5)*H701-CJ703</f>
        <v>#NAME?</v>
      </c>
      <c r="CE703" s="253" t="e">
        <f aca="false">xSPRDOPT((VLOOKUP(G701,NGPREVPRICES,2,FALSE())+HLOOKUP(D701,PREVCURVES,VLOOKUP(G701,MOVE_DOWN2,2,FALSE()),FALSE())),VLOOKUP(G701,NGPREVPRICES,2,FALSE()),CK703,VLOOKUP(G701,NGPrices,4,FALSE()),HLOOKUP(D701,PREVVOLS,VLOOKUP(G701,MOVE_DOWN2,2,FALSE()),FALSE()),VLOOKUP(G701,NGPREVPRICES,3,FALSE()),HLOOKUP(D701,Correllate,VLOOKUP(G701,CorMove,2,FALSE()),FALSE()),Q701-$CD$3,R701,$CJ$5)*H701-CJ703</f>
        <v>#NAME?</v>
      </c>
      <c r="CF703" s="132" t="e">
        <f aca="false">(CJ703/VLOOKUP(CC703,discount,3,FALSE()))-(CJ703/VLOOKUP(CC703,discount,2,FALSE()))</f>
        <v>#NAME?</v>
      </c>
      <c r="CG703" s="253" t="e">
        <f aca="false">xSPRDOPT((VLOOKUP(G701,NGPREVPRICES,2,FALSE())+HLOOKUP(D701,PREVCURVES,VLOOKUP(G701,MOVE_DOWN2,2,FALSE()),FALSE())),VLOOKUP(G701,NGPREVPRICES,2,FALSE()),CK703,VLOOKUP(G701,NGPREVPRICES,4,FALSE()),HLOOKUP(D701,VOLS,VLOOKUP(G701,move_down,2,FALSE()),FALSE()),VLOOKUP(G701,NGPrices,3,FALSE()),HLOOKUP(D701,Correllate,VLOOKUP(G701,CorMove,2,FALSE()),FALSE()),Q701-$CD$3,R701,$CJ$5)*H701-CJ703</f>
        <v>#NAME?</v>
      </c>
      <c r="CH703" s="253" t="e">
        <f aca="false">xSPRDOPT((VLOOKUP(G701,NGPREVPRICES,2,FALSE())+HLOOKUP(D701,PREVCURVES,VLOOKUP(G701,MOVE_DOWN2,2,FALSE()),FALSE())),VLOOKUP(G701,NGPREVPRICES,2,FALSE()),CK703,VLOOKUP(G701,NGPREVPRICES,4,FALSE()),HLOOKUP(D701,PREVVOLS,VLOOKUP(G701,MOVE_DOWN2,2,FALSE()),FALSE()),VLOOKUP(G701,NGPREVPRICES,3,FALSE()),HLOOKUP(D701,Correllate,VLOOKUP(G701,CorMove,2,FALSE()),FALSE()),Q701-$C$3,R701,$CJ$5)*H701-CJ703</f>
        <v>#NAME?</v>
      </c>
      <c r="CI703" s="253" t="e">
        <f aca="false">SUM(CD703:CH703)</f>
        <v>#NAME?</v>
      </c>
      <c r="CJ703" s="253" t="e">
        <f aca="false">xSPRDOPT((VLOOKUP(G701,NGPREVPRICES,2,FALSE())+HLOOKUP(D701,PREVCURVES,VLOOKUP(G701,MOVE_DOWN2,2,FALSE()),FALSE())),VLOOKUP(G701,NGPREVPRICES,2,FALSE()),CK703,VLOOKUP(G701,NGPREVPRICES,4,FALSE()),HLOOKUP(D701,PREVVOLS,VLOOKUP(G701,MOVE_DOWN2,2,FALSE()),FALSE()),VLOOKUP(G701,NGPREVPRICES,3,FALSE()),HLOOKUP(D701,Correllate,VLOOKUP(G701,CorMove,2,FALSE()),FALSE()),Q701-$CD$3,R701,$CJ$5)*H701</f>
        <v>#NAME?</v>
      </c>
      <c r="CK703" s="254" t="n">
        <f aca="false">I701</f>
        <v>1.45</v>
      </c>
      <c r="CM703" s="0" t="str">
        <f aca="false">CONCATENATE(CC703,$CD$6)</f>
        <v>36923Curve Shift/Gamma</v>
      </c>
      <c r="CN703" s="0" t="str">
        <f aca="false">CONCATENATE($CC703,$CE$6)</f>
        <v>36923Rho</v>
      </c>
      <c r="CO703" s="0" t="str">
        <f aca="false">CONCATENATE($CC703,$CF$6)</f>
        <v>36923Drift</v>
      </c>
      <c r="CP703" s="0" t="str">
        <f aca="false">CONCATENATE($CC703,$CG$6)</f>
        <v>36923Vega</v>
      </c>
      <c r="CQ703" s="0" t="str">
        <f aca="false">CONCATENATE($CC703,$CH$6)</f>
        <v>36923Theta</v>
      </c>
    </row>
    <row r="704" customFormat="false" ht="12.75" hidden="false" customHeight="false" outlineLevel="0" collapsed="false">
      <c r="A704" s="17" t="s">
        <v>244</v>
      </c>
      <c r="B704" s="0" t="s">
        <v>192</v>
      </c>
      <c r="C704" s="0" t="s">
        <v>429</v>
      </c>
      <c r="D704" s="7" t="s">
        <v>149</v>
      </c>
      <c r="E704" s="0" t="s">
        <v>131</v>
      </c>
      <c r="F704" s="0" t="s">
        <v>132</v>
      </c>
      <c r="G704" s="92" t="n">
        <v>36861</v>
      </c>
      <c r="H704" s="248" t="n">
        <v>1000000</v>
      </c>
      <c r="I704" s="254" t="n">
        <v>0.95</v>
      </c>
      <c r="J704" s="124" t="n">
        <f aca="false">VLOOKUP(G704,NGPrices,2,FALSE())</f>
        <v>4.8</v>
      </c>
      <c r="K704" s="125" t="n">
        <f aca="false">HLOOKUP(D704,Prices,VLOOKUP(G704,move_down,2,FALSE()),FALSE())+VLOOKUP(G704,CHANGE,HLOOKUP(D704,CHANGE,2,FALSE()),FALSE())</f>
        <v>1.645</v>
      </c>
      <c r="L704" s="124" t="n">
        <f aca="false">K704+J704</f>
        <v>6.445</v>
      </c>
      <c r="M704" s="126" t="n">
        <f aca="false">VLOOKUP(G704,NGPrices,4,FALSE())</f>
        <v>0.068314027999354</v>
      </c>
      <c r="N704" s="7" t="n">
        <f aca="false">VLOOKUP(G704,NGPrices,3,FALSE())</f>
        <v>0.6</v>
      </c>
      <c r="O704" s="7" t="n">
        <f aca="false">HLOOKUP(D704,VOLS,VLOOKUP(G704,move_down,2,FALSE()),FALSE())</f>
        <v>0.69</v>
      </c>
      <c r="P704" s="249" t="n">
        <f aca="false">HLOOKUP(D704,Correllate,VLOOKUP(G704,CorMove,2,FALSE()),FALSE())</f>
        <v>0.83</v>
      </c>
      <c r="Q704" s="92" t="n">
        <f aca="false">WORKDAY(G704,-2)</f>
        <v>36859</v>
      </c>
      <c r="R704" s="7" t="n">
        <f aca="false">IF(F704="P",0,1)</f>
        <v>0</v>
      </c>
      <c r="S704" s="130" t="e">
        <f aca="false">xSPRDOPT($L704,$J704,$I704,$M704,$O704,$N704,$P704,$Q704-$C$3,$R704,0)</f>
        <v>#NAME?</v>
      </c>
      <c r="T704" s="250" t="e">
        <f aca="false">xSPRDOPT($L704,$J704,$I704,$M704,$O704,$N704,$P704,$Q704-$C$3,$R704,1)*H704</f>
        <v>#NAME?</v>
      </c>
      <c r="U704" s="43" t="e">
        <f aca="false">S704*H704</f>
        <v>#NAME?</v>
      </c>
      <c r="V704" s="250" t="e">
        <f aca="false">xSPRDOPT($L704,$J704,$I704,$M704,$O704,$N704,$P704,$Q704-$C$3,$R704,2)*H704</f>
        <v>#NAME?</v>
      </c>
      <c r="W704" s="250" t="e">
        <f aca="false">+V704+T704</f>
        <v>#NAME?</v>
      </c>
      <c r="X704" s="2" t="str">
        <f aca="false">CONCATENATE(G704,D704)</f>
        <v>36861IF-TRANSCO/Z6</v>
      </c>
      <c r="Y704" s="251" t="n">
        <f aca="false">H704/10000</f>
        <v>100</v>
      </c>
      <c r="Z704" s="226" t="e">
        <f aca="false">T704/H704</f>
        <v>#NAME?</v>
      </c>
      <c r="AA704" s="226" t="e">
        <f aca="false">xSPRDOPT($L704,$J704,$I704,$M704,$O704,$N704,$P704,$Q704-$C$3,$R704,3)</f>
        <v>#NAME?</v>
      </c>
      <c r="AB704" s="226" t="e">
        <f aca="false">((xSPRDOPT($L704+AB$5,$J704,$I704,$M704,$O704,$N704,$P704,$Q704-$C$3,$R704,3)*$H704)/10000)/100</f>
        <v>#NAME?</v>
      </c>
      <c r="AC704" s="226" t="e">
        <f aca="false">((xSPRDOPT($L704+$AB$5,$J704,$I704,$M704,$O704,$N704,$P704,$Q704-$C$3,$R704,7)*$H704)/100)</f>
        <v>#NAME?</v>
      </c>
      <c r="AD704" s="226" t="e">
        <f aca="false">(xSPRDOPT($L704+$AB$5,$J704,$I704,$M704,$O704,$N704,$P704,$Q704-$C$3,$R704,9)/365)*$H704</f>
        <v>#NAME?</v>
      </c>
      <c r="AE704" s="0" t="e">
        <f aca="false">CD706</f>
        <v>#NAME?</v>
      </c>
      <c r="AF704" s="226" t="e">
        <f aca="false">((O704/N704)*AH704)+AG704</f>
        <v>#NAME?</v>
      </c>
      <c r="AG704" s="226" t="e">
        <f aca="false">((xSPRDOPT($L704,$J704,$I704,$M704,$O704,$N704,$P704,$Q704-$C$3,$R704,6)*$H704)/100)</f>
        <v>#NAME?</v>
      </c>
      <c r="AH704" s="226" t="e">
        <f aca="false">((xSPRDOPT($L704,$J704,$I704,$M704,$O704,$N704,$P704,$Q704-$C$3,$R704,5)*$H704)/100)</f>
        <v>#NAME?</v>
      </c>
      <c r="AI704" s="226" t="e">
        <f aca="false">(((xSPRDOPT($L704,$J704,$I704,$M704,$O704,$N704,$P704,$Q704-$C$3,$R704,4)*$H704)/10000)/100)-AB704</f>
        <v>#NAME?</v>
      </c>
      <c r="AJ704" s="226"/>
      <c r="CC704" s="182" t="n">
        <f aca="false">G702</f>
        <v>36951</v>
      </c>
      <c r="CD704" s="253" t="e">
        <f aca="false">xSPRDOPT((VLOOKUP(G702,NGPrices,2,FALSE())+HLOOKUP(D702,Prices,VLOOKUP(G702,move_down,2,FALSE()),FALSE())),VLOOKUP(G702,NGPrices,2,FALSE()),I702,VLOOKUP(G702,NGPREVPRICES,4,FALSE()),HLOOKUP(D702,PREVVOLS,VLOOKUP(G702,MOVE_DOWN2,2,FALSE()),FALSE()),VLOOKUP(G702,NGPREVPRICES,3,FALSE()),HLOOKUP(D702,Correllate,VLOOKUP(G702,CorMove,2,FALSE()),FALSE()),Q702-$CD$3,R702,$CD$5)*H702-CJ704</f>
        <v>#NAME?</v>
      </c>
      <c r="CE704" s="253" t="e">
        <f aca="false">xSPRDOPT((VLOOKUP(G702,NGPREVPRICES,2,FALSE())+HLOOKUP(D702,PREVCURVES,VLOOKUP(G702,MOVE_DOWN2,2,FALSE()),FALSE())),VLOOKUP(G702,NGPREVPRICES,2,FALSE()),CK704,VLOOKUP(G702,NGPrices,4,FALSE()),HLOOKUP(D702,PREVVOLS,VLOOKUP(G702,MOVE_DOWN2,2,FALSE()),FALSE()),VLOOKUP(G702,NGPREVPRICES,3,FALSE()),HLOOKUP(D702,Correllate,VLOOKUP(G702,CorMove,2,FALSE()),FALSE()),Q702-$CD$3,R702,$CJ$5)*H702-CJ704</f>
        <v>#NAME?</v>
      </c>
      <c r="CF704" s="132" t="e">
        <f aca="false">(CJ704/VLOOKUP(CC704,discount,3,FALSE()))-(CJ704/VLOOKUP(CC704,discount,2,FALSE()))</f>
        <v>#NAME?</v>
      </c>
      <c r="CG704" s="253" t="e">
        <f aca="false">xSPRDOPT((VLOOKUP(G702,NGPREVPRICES,2,FALSE())+HLOOKUP(D702,PREVCURVES,VLOOKUP(G702,MOVE_DOWN2,2,FALSE()),FALSE())),VLOOKUP(G702,NGPREVPRICES,2,FALSE()),CK704,VLOOKUP(G702,NGPREVPRICES,4,FALSE()),HLOOKUP(D702,VOLS,VLOOKUP(G702,move_down,2,FALSE()),FALSE()),VLOOKUP(G702,NGPrices,3,FALSE()),HLOOKUP(D702,Correllate,VLOOKUP(G702,CorMove,2,FALSE()),FALSE()),Q702-$CD$3,R702,$CJ$5)*H702-CJ704</f>
        <v>#NAME?</v>
      </c>
      <c r="CH704" s="253" t="e">
        <f aca="false">xSPRDOPT((VLOOKUP(G702,NGPREVPRICES,2,FALSE())+HLOOKUP(D702,PREVCURVES,VLOOKUP(G702,MOVE_DOWN2,2,FALSE()),FALSE())),VLOOKUP(G702,NGPREVPRICES,2,FALSE()),CK704,VLOOKUP(G702,NGPREVPRICES,4,FALSE()),HLOOKUP(D702,PREVVOLS,VLOOKUP(G702,MOVE_DOWN2,2,FALSE()),FALSE()),VLOOKUP(G702,NGPREVPRICES,3,FALSE()),HLOOKUP(D702,Correllate,VLOOKUP(G702,CorMove,2,FALSE()),FALSE()),Q702-$C$3,R702,$CJ$5)*H702-CJ704</f>
        <v>#NAME?</v>
      </c>
      <c r="CI704" s="253" t="e">
        <f aca="false">SUM(CD704:CH704)</f>
        <v>#NAME?</v>
      </c>
      <c r="CJ704" s="253" t="e">
        <f aca="false">xSPRDOPT((VLOOKUP(G702,NGPREVPRICES,2,FALSE())+HLOOKUP(D702,PREVCURVES,VLOOKUP(G702,MOVE_DOWN2,2,FALSE()),FALSE())),VLOOKUP(G702,NGPREVPRICES,2,FALSE()),CK704,VLOOKUP(G702,NGPREVPRICES,4,FALSE()),HLOOKUP(D702,PREVVOLS,VLOOKUP(G702,MOVE_DOWN2,2,FALSE()),FALSE()),VLOOKUP(G702,NGPREVPRICES,3,FALSE()),HLOOKUP(D702,Correllate,VLOOKUP(G702,CorMove,2,FALSE()),FALSE()),Q702-$CD$3,R702,$CJ$5)*H702</f>
        <v>#NAME?</v>
      </c>
      <c r="CK704" s="254" t="n">
        <f aca="false">I702</f>
        <v>1.45</v>
      </c>
      <c r="CM704" s="0" t="str">
        <f aca="false">CONCATENATE(CC704,$CD$6)</f>
        <v>36951Curve Shift/Gamma</v>
      </c>
      <c r="CN704" s="0" t="str">
        <f aca="false">CONCATENATE($CC704,$CE$6)</f>
        <v>36951Rho</v>
      </c>
      <c r="CO704" s="0" t="str">
        <f aca="false">CONCATENATE($CC704,$CF$6)</f>
        <v>36951Drift</v>
      </c>
      <c r="CP704" s="0" t="str">
        <f aca="false">CONCATENATE($CC704,$CG$6)</f>
        <v>36951Vega</v>
      </c>
      <c r="CQ704" s="0" t="str">
        <f aca="false">CONCATENATE($CC704,$CH$6)</f>
        <v>36951Theta</v>
      </c>
    </row>
    <row r="705" customFormat="false" ht="12.75" hidden="false" customHeight="false" outlineLevel="0" collapsed="false">
      <c r="A705" s="17" t="s">
        <v>244</v>
      </c>
      <c r="B705" s="0" t="s">
        <v>192</v>
      </c>
      <c r="C705" s="0" t="s">
        <v>429</v>
      </c>
      <c r="D705" s="7" t="s">
        <v>149</v>
      </c>
      <c r="E705" s="0" t="s">
        <v>131</v>
      </c>
      <c r="F705" s="0" t="s">
        <v>132</v>
      </c>
      <c r="G705" s="92" t="n">
        <v>36892</v>
      </c>
      <c r="H705" s="248" t="n">
        <v>1000000</v>
      </c>
      <c r="I705" s="254" t="n">
        <v>0.95</v>
      </c>
      <c r="J705" s="124" t="n">
        <f aca="false">VLOOKUP(G705,NGPrices,2,FALSE())</f>
        <v>4.744</v>
      </c>
      <c r="K705" s="125" t="n">
        <f aca="false">HLOOKUP(D705,Prices,VLOOKUP(G705,move_down,2,FALSE()),FALSE())+VLOOKUP(G705,CHANGE,HLOOKUP(D705,CHANGE,2,FALSE()),FALSE())</f>
        <v>2.17</v>
      </c>
      <c r="L705" s="124" t="n">
        <f aca="false">K705+J705</f>
        <v>6.914</v>
      </c>
      <c r="M705" s="126" t="n">
        <f aca="false">VLOOKUP(G705,NGPrices,4,FALSE())</f>
        <v>0.068374831148491</v>
      </c>
      <c r="N705" s="7" t="n">
        <f aca="false">VLOOKUP(G705,NGPrices,3,FALSE())</f>
        <v>0.605</v>
      </c>
      <c r="O705" s="7" t="n">
        <f aca="false">HLOOKUP(D705,VOLS,VLOOKUP(G705,move_down,2,FALSE()),FALSE())</f>
        <v>0.696</v>
      </c>
      <c r="P705" s="249" t="n">
        <f aca="false">HLOOKUP(D705,Correllate,VLOOKUP(G705,CorMove,2,FALSE()),FALSE())</f>
        <v>0.83</v>
      </c>
      <c r="Q705" s="92" t="n">
        <f aca="false">WORKDAY(G705,-2)</f>
        <v>36888</v>
      </c>
      <c r="R705" s="7" t="n">
        <f aca="false">IF(F705="P",0,1)</f>
        <v>0</v>
      </c>
      <c r="S705" s="130" t="e">
        <f aca="false">xSPRDOPT($L705,$J705,$I705,$M705,$O705,$N705,$P705,$Q705-$C$3,$R705,0)</f>
        <v>#NAME?</v>
      </c>
      <c r="T705" s="250" t="e">
        <f aca="false">xSPRDOPT($L705,$J705,$I705,$M705,$O705,$N705,$P705,$Q705-$C$3,$R705,1)*H705</f>
        <v>#NAME?</v>
      </c>
      <c r="U705" s="43" t="e">
        <f aca="false">S705*H705</f>
        <v>#NAME?</v>
      </c>
      <c r="V705" s="250" t="e">
        <f aca="false">xSPRDOPT($L705,$J705,$I705,$M705,$O705,$N705,$P705,$Q705-$C$3,$R705,2)*H705</f>
        <v>#NAME?</v>
      </c>
      <c r="W705" s="250" t="e">
        <f aca="false">+V705+T705</f>
        <v>#NAME?</v>
      </c>
      <c r="X705" s="2" t="str">
        <f aca="false">CONCATENATE(G705,D705)</f>
        <v>36892IF-TRANSCO/Z6</v>
      </c>
      <c r="Y705" s="251" t="n">
        <f aca="false">H705/10000</f>
        <v>100</v>
      </c>
      <c r="Z705" s="226" t="e">
        <f aca="false">T705/H705</f>
        <v>#NAME?</v>
      </c>
      <c r="AA705" s="226" t="e">
        <f aca="false">xSPRDOPT($L705,$J705,$I705,$M705,$O705,$N705,$P705,$Q705-$C$3,$R705,3)</f>
        <v>#NAME?</v>
      </c>
      <c r="AB705" s="226" t="e">
        <f aca="false">((xSPRDOPT($L705+AB$5,$J705,$I705,$M705,$O705,$N705,$P705,$Q705-$C$3,$R705,3)*$H705)/10000)/100</f>
        <v>#NAME?</v>
      </c>
      <c r="AC705" s="226" t="e">
        <f aca="false">((xSPRDOPT($L705+$AB$5,$J705,$I705,$M705,$O705,$N705,$P705,$Q705-$C$3,$R705,7)*$H705)/100)</f>
        <v>#NAME?</v>
      </c>
      <c r="AD705" s="226" t="e">
        <f aca="false">(xSPRDOPT($L705+$AB$5,$J705,$I705,$M705,$O705,$N705,$P705,$Q705-$C$3,$R705,9)/365)*$H705</f>
        <v>#NAME?</v>
      </c>
      <c r="AE705" s="0" t="e">
        <f aca="false">CD707</f>
        <v>#NAME?</v>
      </c>
      <c r="AF705" s="226" t="e">
        <f aca="false">((O705/N705)*AH705)+AG705</f>
        <v>#NAME?</v>
      </c>
      <c r="AG705" s="226" t="e">
        <f aca="false">((xSPRDOPT($L705,$J705,$I705,$M705,$O705,$N705,$P705,$Q705-$C$3,$R705,6)*$H705)/100)</f>
        <v>#NAME?</v>
      </c>
      <c r="AH705" s="226" t="e">
        <f aca="false">((xSPRDOPT($L705,$J705,$I705,$M705,$O705,$N705,$P705,$Q705-$C$3,$R705,5)*$H705)/100)</f>
        <v>#NAME?</v>
      </c>
      <c r="AI705" s="226" t="e">
        <f aca="false">(((xSPRDOPT($L705,$J705,$I705,$M705,$O705,$N705,$P705,$Q705-$C$3,$R705,4)*$H705)/10000)/100)-AB705</f>
        <v>#NAME?</v>
      </c>
      <c r="AJ705" s="226"/>
      <c r="CC705" s="182" t="n">
        <f aca="false">G703</f>
        <v>36831</v>
      </c>
      <c r="CD705" s="253" t="e">
        <f aca="false">xSPRDOPT((VLOOKUP(G703,NGPrices,2,FALSE())+HLOOKUP(D703,Prices,VLOOKUP(G703,move_down,2,FALSE()),FALSE())),VLOOKUP(G703,NGPrices,2,FALSE()),I703,VLOOKUP(G703,NGPREVPRICES,4,FALSE()),HLOOKUP(D703,PREVVOLS,VLOOKUP(G703,MOVE_DOWN2,2,FALSE()),FALSE()),VLOOKUP(G703,NGPREVPRICES,3,FALSE()),HLOOKUP(D703,Correllate,VLOOKUP(G703,CorMove,2,FALSE()),FALSE()),Q703-$CD$3,R703,$CD$5)*H703-CJ705</f>
        <v>#NAME?</v>
      </c>
      <c r="CE705" s="253" t="e">
        <f aca="false">xSPRDOPT((VLOOKUP(G703,NGPREVPRICES,2,FALSE())+HLOOKUP(D703,PREVCURVES,VLOOKUP(G703,MOVE_DOWN2,2,FALSE()),FALSE())),VLOOKUP(G703,NGPREVPRICES,2,FALSE()),CK705,VLOOKUP(G703,NGPrices,4,FALSE()),HLOOKUP(D703,PREVVOLS,VLOOKUP(G703,MOVE_DOWN2,2,FALSE()),FALSE()),VLOOKUP(G703,NGPREVPRICES,3,FALSE()),HLOOKUP(D703,Correllate,VLOOKUP(G703,CorMove,2,FALSE()),FALSE()),Q703-$CD$3,R703,$CJ$5)*H703-CJ705</f>
        <v>#NAME?</v>
      </c>
      <c r="CF705" s="132" t="e">
        <f aca="false">(CJ705/VLOOKUP(CC705,discount,3,FALSE()))-(CJ705/VLOOKUP(CC705,discount,2,FALSE()))</f>
        <v>#NAME?</v>
      </c>
      <c r="CG705" s="253" t="e">
        <f aca="false">xSPRDOPT((VLOOKUP(G703,NGPREVPRICES,2,FALSE())+HLOOKUP(D703,PREVCURVES,VLOOKUP(G703,MOVE_DOWN2,2,FALSE()),FALSE())),VLOOKUP(G703,NGPREVPRICES,2,FALSE()),CK705,VLOOKUP(G703,NGPREVPRICES,4,FALSE()),HLOOKUP(D703,VOLS,VLOOKUP(G703,move_down,2,FALSE()),FALSE()),VLOOKUP(G703,NGPrices,3,FALSE()),HLOOKUP(D703,Correllate,VLOOKUP(G703,CorMove,2,FALSE()),FALSE()),Q703-$CD$3,R703,$CJ$5)*H703-CJ705</f>
        <v>#NAME?</v>
      </c>
      <c r="CH705" s="253" t="e">
        <f aca="false">xSPRDOPT((VLOOKUP(G703,NGPREVPRICES,2,FALSE())+HLOOKUP(D703,PREVCURVES,VLOOKUP(G703,MOVE_DOWN2,2,FALSE()),FALSE())),VLOOKUP(G703,NGPREVPRICES,2,FALSE()),CK705,VLOOKUP(G703,NGPREVPRICES,4,FALSE()),HLOOKUP(D703,PREVVOLS,VLOOKUP(G703,MOVE_DOWN2,2,FALSE()),FALSE()),VLOOKUP(G703,NGPREVPRICES,3,FALSE()),HLOOKUP(D703,Correllate,VLOOKUP(G703,CorMove,2,FALSE()),FALSE()),Q703-$C$3,R703,$CJ$5)*H703-CJ705</f>
        <v>#NAME?</v>
      </c>
      <c r="CI705" s="253" t="e">
        <f aca="false">SUM(CD705:CH705)</f>
        <v>#NAME?</v>
      </c>
      <c r="CJ705" s="253" t="e">
        <f aca="false">xSPRDOPT((VLOOKUP(G703,NGPREVPRICES,2,FALSE())+HLOOKUP(D703,PREVCURVES,VLOOKUP(G703,MOVE_DOWN2,2,FALSE()),FALSE())),VLOOKUP(G703,NGPREVPRICES,2,FALSE()),CK705,VLOOKUP(G703,NGPREVPRICES,4,FALSE()),HLOOKUP(D703,PREVVOLS,VLOOKUP(G703,MOVE_DOWN2,2,FALSE()),FALSE()),VLOOKUP(G703,NGPREVPRICES,3,FALSE()),HLOOKUP(D703,Correllate,VLOOKUP(G703,CorMove,2,FALSE()),FALSE()),Q703-$CD$3,R703,$CJ$5)*H703</f>
        <v>#NAME?</v>
      </c>
      <c r="CK705" s="254" t="n">
        <f aca="false">I703</f>
        <v>0.95</v>
      </c>
      <c r="CM705" s="0" t="str">
        <f aca="false">CONCATENATE(CC705,$CD$6)</f>
        <v>36831Curve Shift/Gamma</v>
      </c>
      <c r="CN705" s="0" t="str">
        <f aca="false">CONCATENATE($CC705,$CE$6)</f>
        <v>36831Rho</v>
      </c>
      <c r="CO705" s="0" t="str">
        <f aca="false">CONCATENATE($CC705,$CF$6)</f>
        <v>36831Drift</v>
      </c>
      <c r="CP705" s="0" t="str">
        <f aca="false">CONCATENATE($CC705,$CG$6)</f>
        <v>36831Vega</v>
      </c>
      <c r="CQ705" s="0" t="str">
        <f aca="false">CONCATENATE($CC705,$CH$6)</f>
        <v>36831Theta</v>
      </c>
    </row>
    <row r="706" customFormat="false" ht="12.75" hidden="false" customHeight="false" outlineLevel="0" collapsed="false">
      <c r="A706" s="17" t="s">
        <v>244</v>
      </c>
      <c r="B706" s="0" t="s">
        <v>192</v>
      </c>
      <c r="C706" s="0" t="s">
        <v>429</v>
      </c>
      <c r="D706" s="7" t="s">
        <v>149</v>
      </c>
      <c r="E706" s="0" t="s">
        <v>131</v>
      </c>
      <c r="F706" s="0" t="s">
        <v>132</v>
      </c>
      <c r="G706" s="92" t="n">
        <v>36923</v>
      </c>
      <c r="H706" s="248" t="n">
        <v>1000000</v>
      </c>
      <c r="I706" s="254" t="n">
        <v>0.95</v>
      </c>
      <c r="J706" s="124" t="n">
        <f aca="false">VLOOKUP(G706,NGPrices,2,FALSE())</f>
        <v>4.48</v>
      </c>
      <c r="K706" s="125" t="n">
        <f aca="false">HLOOKUP(D706,Prices,VLOOKUP(G706,move_down,2,FALSE()),FALSE())+VLOOKUP(G706,CHANGE,HLOOKUP(D706,CHANGE,2,FALSE()),FALSE())</f>
        <v>2.09</v>
      </c>
      <c r="L706" s="124" t="n">
        <f aca="false">K706+J706</f>
        <v>6.57</v>
      </c>
      <c r="M706" s="126" t="n">
        <f aca="false">VLOOKUP(G706,NGPrices,4,FALSE())</f>
        <v>0.068640161611372</v>
      </c>
      <c r="N706" s="7" t="n">
        <f aca="false">VLOOKUP(G706,NGPrices,3,FALSE())</f>
        <v>0.5925</v>
      </c>
      <c r="O706" s="7" t="n">
        <f aca="false">HLOOKUP(D706,VOLS,VLOOKUP(G706,move_down,2,FALSE()),FALSE())</f>
        <v>0.681</v>
      </c>
      <c r="P706" s="249" t="n">
        <f aca="false">HLOOKUP(D706,Correllate,VLOOKUP(G706,CorMove,2,FALSE()),FALSE())</f>
        <v>0.83</v>
      </c>
      <c r="Q706" s="92" t="n">
        <f aca="false">WORKDAY(G706,-2)</f>
        <v>36921</v>
      </c>
      <c r="R706" s="7" t="n">
        <f aca="false">IF(F706="P",0,1)</f>
        <v>0</v>
      </c>
      <c r="S706" s="130" t="e">
        <f aca="false">xSPRDOPT($L706,$J706,$I706,$M706,$O706,$N706,$P706,$Q706-$C$3,$R706,0)</f>
        <v>#NAME?</v>
      </c>
      <c r="T706" s="250" t="e">
        <f aca="false">xSPRDOPT($L706,$J706,$I706,$M706,$O706,$N706,$P706,$Q706-$C$3,$R706,1)*H706</f>
        <v>#NAME?</v>
      </c>
      <c r="U706" s="43" t="e">
        <f aca="false">S706*H706</f>
        <v>#NAME?</v>
      </c>
      <c r="V706" s="250" t="e">
        <f aca="false">xSPRDOPT($L706,$J706,$I706,$M706,$O706,$N706,$P706,$Q706-$C$3,$R706,2)*H706</f>
        <v>#NAME?</v>
      </c>
      <c r="W706" s="250" t="e">
        <f aca="false">+V706+T706</f>
        <v>#NAME?</v>
      </c>
      <c r="X706" s="2" t="str">
        <f aca="false">CONCATENATE(G706,D706)</f>
        <v>36923IF-TRANSCO/Z6</v>
      </c>
      <c r="Y706" s="251" t="n">
        <f aca="false">H706/10000</f>
        <v>100</v>
      </c>
      <c r="Z706" s="226" t="e">
        <f aca="false">T706/H706</f>
        <v>#NAME?</v>
      </c>
      <c r="AA706" s="226" t="e">
        <f aca="false">xSPRDOPT($L706,$J706,$I706,$M706,$O706,$N706,$P706,$Q706-$C$3,$R706,3)</f>
        <v>#NAME?</v>
      </c>
      <c r="AB706" s="226" t="e">
        <f aca="false">((xSPRDOPT($L706+AB$5,$J706,$I706,$M706,$O706,$N706,$P706,$Q706-$C$3,$R706,3)*$H706)/10000)/100</f>
        <v>#NAME?</v>
      </c>
      <c r="AC706" s="226" t="e">
        <f aca="false">((xSPRDOPT($L706+$AB$5,$J706,$I706,$M706,$O706,$N706,$P706,$Q706-$C$3,$R706,7)*$H706)/100)</f>
        <v>#NAME?</v>
      </c>
      <c r="AD706" s="226" t="e">
        <f aca="false">(xSPRDOPT($L706+$AB$5,$J706,$I706,$M706,$O706,$N706,$P706,$Q706-$C$3,$R706,9)/365)*$H706</f>
        <v>#NAME?</v>
      </c>
      <c r="AE706" s="0" t="e">
        <f aca="false">CD708</f>
        <v>#NAME?</v>
      </c>
      <c r="AF706" s="226" t="e">
        <f aca="false">((O706/N706)*AH706)+AG706</f>
        <v>#NAME?</v>
      </c>
      <c r="AG706" s="226" t="e">
        <f aca="false">((xSPRDOPT($L706,$J706,$I706,$M706,$O706,$N706,$P706,$Q706-$C$3,$R706,6)*$H706)/100)</f>
        <v>#NAME?</v>
      </c>
      <c r="AH706" s="226" t="e">
        <f aca="false">((xSPRDOPT($L706,$J706,$I706,$M706,$O706,$N706,$P706,$Q706-$C$3,$R706,5)*$H706)/100)</f>
        <v>#NAME?</v>
      </c>
      <c r="AI706" s="226" t="e">
        <f aca="false">(((xSPRDOPT($L706,$J706,$I706,$M706,$O706,$N706,$P706,$Q706-$C$3,$R706,4)*$H706)/10000)/100)-AB706</f>
        <v>#NAME?</v>
      </c>
      <c r="AJ706" s="226"/>
      <c r="CC706" s="182" t="n">
        <f aca="false">G704</f>
        <v>36861</v>
      </c>
      <c r="CD706" s="253" t="e">
        <f aca="false">xSPRDOPT((VLOOKUP(G704,NGPrices,2,FALSE())+HLOOKUP(D704,Prices,VLOOKUP(G704,move_down,2,FALSE()),FALSE())),VLOOKUP(G704,NGPrices,2,FALSE()),I704,VLOOKUP(G704,NGPREVPRICES,4,FALSE()),HLOOKUP(D704,PREVVOLS,VLOOKUP(G704,MOVE_DOWN2,2,FALSE()),FALSE()),VLOOKUP(G704,NGPREVPRICES,3,FALSE()),HLOOKUP(D704,Correllate,VLOOKUP(G704,CorMove,2,FALSE()),FALSE()),Q704-$CD$3,R704,$CD$5)*H704-CJ706</f>
        <v>#NAME?</v>
      </c>
      <c r="CE706" s="253" t="e">
        <f aca="false">xSPRDOPT((VLOOKUP(G704,NGPREVPRICES,2,FALSE())+HLOOKUP(D704,PREVCURVES,VLOOKUP(G704,MOVE_DOWN2,2,FALSE()),FALSE())),VLOOKUP(G704,NGPREVPRICES,2,FALSE()),CK706,VLOOKUP(G704,NGPrices,4,FALSE()),HLOOKUP(D704,PREVVOLS,VLOOKUP(G704,MOVE_DOWN2,2,FALSE()),FALSE()),VLOOKUP(G704,NGPREVPRICES,3,FALSE()),HLOOKUP(D704,Correllate,VLOOKUP(G704,CorMove,2,FALSE()),FALSE()),Q704-$CD$3,R704,$CJ$5)*H704-CJ706</f>
        <v>#NAME?</v>
      </c>
      <c r="CF706" s="132" t="e">
        <f aca="false">(CJ706/VLOOKUP(CC706,discount,3,FALSE()))-(CJ706/VLOOKUP(CC706,discount,2,FALSE()))</f>
        <v>#NAME?</v>
      </c>
      <c r="CG706" s="253" t="e">
        <f aca="false">xSPRDOPT((VLOOKUP(G704,NGPREVPRICES,2,FALSE())+HLOOKUP(D704,PREVCURVES,VLOOKUP(G704,MOVE_DOWN2,2,FALSE()),FALSE())),VLOOKUP(G704,NGPREVPRICES,2,FALSE()),CK706,VLOOKUP(G704,NGPREVPRICES,4,FALSE()),HLOOKUP(D704,VOLS,VLOOKUP(G704,move_down,2,FALSE()),FALSE()),VLOOKUP(G704,NGPrices,3,FALSE()),HLOOKUP(D704,Correllate,VLOOKUP(G704,CorMove,2,FALSE()),FALSE()),Q704-$CD$3,R704,$CJ$5)*H704-CJ706</f>
        <v>#NAME?</v>
      </c>
      <c r="CH706" s="253" t="e">
        <f aca="false">xSPRDOPT((VLOOKUP(G704,NGPREVPRICES,2,FALSE())+HLOOKUP(D704,PREVCURVES,VLOOKUP(G704,MOVE_DOWN2,2,FALSE()),FALSE())),VLOOKUP(G704,NGPREVPRICES,2,FALSE()),CK706,VLOOKUP(G704,NGPREVPRICES,4,FALSE()),HLOOKUP(D704,PREVVOLS,VLOOKUP(G704,MOVE_DOWN2,2,FALSE()),FALSE()),VLOOKUP(G704,NGPREVPRICES,3,FALSE()),HLOOKUP(D704,Correllate,VLOOKUP(G704,CorMove,2,FALSE()),FALSE()),Q704-$C$3,R704,$CJ$5)*H704-CJ706</f>
        <v>#NAME?</v>
      </c>
      <c r="CI706" s="253" t="e">
        <f aca="false">SUM(CD706:CH706)</f>
        <v>#NAME?</v>
      </c>
      <c r="CJ706" s="253" t="e">
        <f aca="false">xSPRDOPT((VLOOKUP(G704,NGPREVPRICES,2,FALSE())+HLOOKUP(D704,PREVCURVES,VLOOKUP(G704,MOVE_DOWN2,2,FALSE()),FALSE())),VLOOKUP(G704,NGPREVPRICES,2,FALSE()),CK706,VLOOKUP(G704,NGPREVPRICES,4,FALSE()),HLOOKUP(D704,PREVVOLS,VLOOKUP(G704,MOVE_DOWN2,2,FALSE()),FALSE()),VLOOKUP(G704,NGPREVPRICES,3,FALSE()),HLOOKUP(D704,Correllate,VLOOKUP(G704,CorMove,2,FALSE()),FALSE()),Q704-$CD$3,R704,$CJ$5)*H704</f>
        <v>#NAME?</v>
      </c>
      <c r="CK706" s="254" t="n">
        <f aca="false">I704</f>
        <v>0.95</v>
      </c>
      <c r="CM706" s="0" t="str">
        <f aca="false">CONCATENATE(CC706,$CD$6)</f>
        <v>36861Curve Shift/Gamma</v>
      </c>
      <c r="CN706" s="0" t="str">
        <f aca="false">CONCATENATE($CC706,$CE$6)</f>
        <v>36861Rho</v>
      </c>
      <c r="CO706" s="0" t="str">
        <f aca="false">CONCATENATE($CC706,$CF$6)</f>
        <v>36861Drift</v>
      </c>
      <c r="CP706" s="0" t="str">
        <f aca="false">CONCATENATE($CC706,$CG$6)</f>
        <v>36861Vega</v>
      </c>
      <c r="CQ706" s="0" t="str">
        <f aca="false">CONCATENATE($CC706,$CH$6)</f>
        <v>36861Theta</v>
      </c>
    </row>
    <row r="707" customFormat="false" ht="12.75" hidden="false" customHeight="false" outlineLevel="0" collapsed="false">
      <c r="A707" s="17" t="s">
        <v>244</v>
      </c>
      <c r="B707" s="0" t="s">
        <v>192</v>
      </c>
      <c r="C707" s="0" t="s">
        <v>429</v>
      </c>
      <c r="D707" s="7" t="s">
        <v>149</v>
      </c>
      <c r="E707" s="0" t="s">
        <v>131</v>
      </c>
      <c r="F707" s="0" t="s">
        <v>132</v>
      </c>
      <c r="G707" s="92" t="n">
        <v>36951</v>
      </c>
      <c r="H707" s="248" t="n">
        <v>1000000</v>
      </c>
      <c r="I707" s="254" t="n">
        <v>0.95</v>
      </c>
      <c r="J707" s="124" t="n">
        <f aca="false">VLOOKUP(G707,NGPrices,2,FALSE())</f>
        <v>4.213</v>
      </c>
      <c r="K707" s="125" t="n">
        <f aca="false">HLOOKUP(D707,Prices,VLOOKUP(G707,move_down,2,FALSE()),FALSE())+VLOOKUP(G707,CHANGE,HLOOKUP(D707,CHANGE,2,FALSE()),FALSE())</f>
        <v>1.075</v>
      </c>
      <c r="L707" s="124" t="n">
        <f aca="false">K707+J707</f>
        <v>5.288</v>
      </c>
      <c r="M707" s="126" t="n">
        <f aca="false">VLOOKUP(G707,NGPrices,4,FALSE())</f>
        <v>0.068879814952707</v>
      </c>
      <c r="N707" s="7" t="n">
        <f aca="false">VLOOKUP(G707,NGPrices,3,FALSE())</f>
        <v>0.5325</v>
      </c>
      <c r="O707" s="7" t="n">
        <f aca="false">HLOOKUP(D707,VOLS,VLOOKUP(G707,move_down,2,FALSE()),FALSE())</f>
        <v>0.612</v>
      </c>
      <c r="P707" s="249" t="n">
        <f aca="false">HLOOKUP(D707,Correllate,VLOOKUP(G707,CorMove,2,FALSE()),FALSE())</f>
        <v>0.83</v>
      </c>
      <c r="Q707" s="92" t="n">
        <f aca="false">WORKDAY(G707,-2)</f>
        <v>36949</v>
      </c>
      <c r="R707" s="7" t="n">
        <f aca="false">IF(F707="P",0,1)</f>
        <v>0</v>
      </c>
      <c r="S707" s="130" t="e">
        <f aca="false">xSPRDOPT($L707,$J707,$I707,$M707,$O707,$N707,$P707,$Q707-$C$3,$R707,0)</f>
        <v>#NAME?</v>
      </c>
      <c r="T707" s="250" t="e">
        <f aca="false">xSPRDOPT($L707,$J707,$I707,$M707,$O707,$N707,$P707,$Q707-$C$3,$R707,1)*H707</f>
        <v>#NAME?</v>
      </c>
      <c r="U707" s="43" t="e">
        <f aca="false">S707*H707</f>
        <v>#NAME?</v>
      </c>
      <c r="V707" s="250" t="e">
        <f aca="false">xSPRDOPT($L707,$J707,$I707,$M707,$O707,$N707,$P707,$Q707-$C$3,$R707,2)*H707</f>
        <v>#NAME?</v>
      </c>
      <c r="W707" s="250" t="e">
        <f aca="false">+V707+T707</f>
        <v>#NAME?</v>
      </c>
      <c r="X707" s="2" t="str">
        <f aca="false">CONCATENATE(G707,D707)</f>
        <v>36951IF-TRANSCO/Z6</v>
      </c>
      <c r="Y707" s="251" t="n">
        <f aca="false">H707/10000</f>
        <v>100</v>
      </c>
      <c r="Z707" s="226" t="e">
        <f aca="false">T707/H707</f>
        <v>#NAME?</v>
      </c>
      <c r="AA707" s="226" t="e">
        <f aca="false">xSPRDOPT($L707,$J707,$I707,$M707,$O707,$N707,$P707,$Q707-$C$3,$R707,3)</f>
        <v>#NAME?</v>
      </c>
      <c r="AB707" s="226" t="e">
        <f aca="false">((xSPRDOPT($L707+AB$5,$J707,$I707,$M707,$O707,$N707,$P707,$Q707-$C$3,$R707,3)*$H707)/10000)/100</f>
        <v>#NAME?</v>
      </c>
      <c r="AC707" s="226" t="e">
        <f aca="false">((xSPRDOPT($L707+$AB$5,$J707,$I707,$M707,$O707,$N707,$P707,$Q707-$C$3,$R707,7)*$H707)/100)</f>
        <v>#NAME?</v>
      </c>
      <c r="AD707" s="226" t="e">
        <f aca="false">(xSPRDOPT($L707+$AB$5,$J707,$I707,$M707,$O707,$N707,$P707,$Q707-$C$3,$R707,9)/365)*$H707</f>
        <v>#NAME?</v>
      </c>
      <c r="AE707" s="0" t="e">
        <f aca="false">CD709</f>
        <v>#NAME?</v>
      </c>
      <c r="AF707" s="226" t="e">
        <f aca="false">((O707/N707)*AH707)+AG707</f>
        <v>#NAME?</v>
      </c>
      <c r="AG707" s="226" t="e">
        <f aca="false">((xSPRDOPT($L707,$J707,$I707,$M707,$O707,$N707,$P707,$Q707-$C$3,$R707,6)*$H707)/100)</f>
        <v>#NAME?</v>
      </c>
      <c r="AH707" s="226" t="e">
        <f aca="false">((xSPRDOPT($L707,$J707,$I707,$M707,$O707,$N707,$P707,$Q707-$C$3,$R707,5)*$H707)/100)</f>
        <v>#NAME?</v>
      </c>
      <c r="AI707" s="226" t="e">
        <f aca="false">(((xSPRDOPT($L707,$J707,$I707,$M707,$O707,$N707,$P707,$Q707-$C$3,$R707,4)*$H707)/10000)/100)-AB707</f>
        <v>#NAME?</v>
      </c>
      <c r="AJ707" s="226"/>
      <c r="CC707" s="182" t="n">
        <f aca="false">G705</f>
        <v>36892</v>
      </c>
      <c r="CD707" s="253" t="e">
        <f aca="false">xSPRDOPT((VLOOKUP(G705,NGPrices,2,FALSE())+HLOOKUP(D705,Prices,VLOOKUP(G705,move_down,2,FALSE()),FALSE())),VLOOKUP(G705,NGPrices,2,FALSE()),I705,VLOOKUP(G705,NGPREVPRICES,4,FALSE()),HLOOKUP(D705,PREVVOLS,VLOOKUP(G705,MOVE_DOWN2,2,FALSE()),FALSE()),VLOOKUP(G705,NGPREVPRICES,3,FALSE()),HLOOKUP(D705,Correllate,VLOOKUP(G705,CorMove,2,FALSE()),FALSE()),Q705-$CD$3,R705,$CD$5)*H705-CJ707</f>
        <v>#NAME?</v>
      </c>
      <c r="CE707" s="253" t="e">
        <f aca="false">xSPRDOPT((VLOOKUP(G705,NGPREVPRICES,2,FALSE())+HLOOKUP(D705,PREVCURVES,VLOOKUP(G705,MOVE_DOWN2,2,FALSE()),FALSE())),VLOOKUP(G705,NGPREVPRICES,2,FALSE()),CK707,VLOOKUP(G705,NGPrices,4,FALSE()),HLOOKUP(D705,PREVVOLS,VLOOKUP(G705,MOVE_DOWN2,2,FALSE()),FALSE()),VLOOKUP(G705,NGPREVPRICES,3,FALSE()),HLOOKUP(D705,Correllate,VLOOKUP(G705,CorMove,2,FALSE()),FALSE()),Q705-$CD$3,R705,$CJ$5)*H705-CJ707</f>
        <v>#NAME?</v>
      </c>
      <c r="CF707" s="132" t="e">
        <f aca="false">(CJ707/VLOOKUP(CC707,discount,3,FALSE()))-(CJ707/VLOOKUP(CC707,discount,2,FALSE()))</f>
        <v>#NAME?</v>
      </c>
      <c r="CG707" s="253" t="e">
        <f aca="false">xSPRDOPT((VLOOKUP(G705,NGPREVPRICES,2,FALSE())+HLOOKUP(D705,PREVCURVES,VLOOKUP(G705,MOVE_DOWN2,2,FALSE()),FALSE())),VLOOKUP(G705,NGPREVPRICES,2,FALSE()),CK707,VLOOKUP(G705,NGPREVPRICES,4,FALSE()),HLOOKUP(D705,VOLS,VLOOKUP(G705,move_down,2,FALSE()),FALSE()),VLOOKUP(G705,NGPrices,3,FALSE()),HLOOKUP(D705,Correllate,VLOOKUP(G705,CorMove,2,FALSE()),FALSE()),Q705-$CD$3,R705,$CJ$5)*H705-CJ707</f>
        <v>#NAME?</v>
      </c>
      <c r="CH707" s="253" t="e">
        <f aca="false">xSPRDOPT((VLOOKUP(G705,NGPREVPRICES,2,FALSE())+HLOOKUP(D705,PREVCURVES,VLOOKUP(G705,MOVE_DOWN2,2,FALSE()),FALSE())),VLOOKUP(G705,NGPREVPRICES,2,FALSE()),CK707,VLOOKUP(G705,NGPREVPRICES,4,FALSE()),HLOOKUP(D705,PREVVOLS,VLOOKUP(G705,MOVE_DOWN2,2,FALSE()),FALSE()),VLOOKUP(G705,NGPREVPRICES,3,FALSE()),HLOOKUP(D705,Correllate,VLOOKUP(G705,CorMove,2,FALSE()),FALSE()),Q705-$C$3,R705,$CJ$5)*H705-CJ707</f>
        <v>#NAME?</v>
      </c>
      <c r="CI707" s="253" t="e">
        <f aca="false">SUM(CD707:CH707)</f>
        <v>#NAME?</v>
      </c>
      <c r="CJ707" s="253" t="e">
        <f aca="false">xSPRDOPT((VLOOKUP(G705,NGPREVPRICES,2,FALSE())+HLOOKUP(D705,PREVCURVES,VLOOKUP(G705,MOVE_DOWN2,2,FALSE()),FALSE())),VLOOKUP(G705,NGPREVPRICES,2,FALSE()),CK707,VLOOKUP(G705,NGPREVPRICES,4,FALSE()),HLOOKUP(D705,PREVVOLS,VLOOKUP(G705,MOVE_DOWN2,2,FALSE()),FALSE()),VLOOKUP(G705,NGPREVPRICES,3,FALSE()),HLOOKUP(D705,Correllate,VLOOKUP(G705,CorMove,2,FALSE()),FALSE()),Q705-$CD$3,R705,$CJ$5)*H705</f>
        <v>#NAME?</v>
      </c>
      <c r="CK707" s="254" t="n">
        <f aca="false">I705</f>
        <v>0.95</v>
      </c>
      <c r="CM707" s="0" t="str">
        <f aca="false">CONCATENATE(CC707,$CD$6)</f>
        <v>36892Curve Shift/Gamma</v>
      </c>
      <c r="CN707" s="0" t="str">
        <f aca="false">CONCATENATE($CC707,$CE$6)</f>
        <v>36892Rho</v>
      </c>
      <c r="CO707" s="0" t="str">
        <f aca="false">CONCATENATE($CC707,$CF$6)</f>
        <v>36892Drift</v>
      </c>
      <c r="CP707" s="0" t="str">
        <f aca="false">CONCATENATE($CC707,$CG$6)</f>
        <v>36892Vega</v>
      </c>
      <c r="CQ707" s="0" t="str">
        <f aca="false">CONCATENATE($CC707,$CH$6)</f>
        <v>36892Theta</v>
      </c>
    </row>
    <row r="708" customFormat="false" ht="12.75" hidden="false" customHeight="false" outlineLevel="0" collapsed="false">
      <c r="A708" s="17" t="s">
        <v>198</v>
      </c>
      <c r="B708" s="0" t="s">
        <v>192</v>
      </c>
      <c r="C708" s="0" t="s">
        <v>430</v>
      </c>
      <c r="D708" s="7" t="s">
        <v>151</v>
      </c>
      <c r="E708" s="0" t="s">
        <v>131</v>
      </c>
      <c r="F708" s="0" t="s">
        <v>132</v>
      </c>
      <c r="G708" s="92" t="n">
        <v>36800</v>
      </c>
      <c r="H708" s="248" t="n">
        <v>2000000</v>
      </c>
      <c r="I708" s="254" t="n">
        <v>-0.65</v>
      </c>
      <c r="J708" s="124" t="n">
        <f aca="false">VLOOKUP(G708,NGPrices,2,FALSE())</f>
        <v>4.692</v>
      </c>
      <c r="K708" s="125" t="n">
        <f aca="false">HLOOKUP(D708,Prices,VLOOKUP(G708,move_down,2,FALSE()),FALSE())+VLOOKUP(G708,CHANGE,HLOOKUP(D708,CHANGE,2,FALSE()),FALSE())</f>
        <v>-0.805</v>
      </c>
      <c r="L708" s="124" t="n">
        <f aca="false">K708+J708</f>
        <v>3.887</v>
      </c>
      <c r="M708" s="126" t="n">
        <f aca="false">VLOOKUP(G708,NGPrices,4,FALSE())</f>
        <v>0.068050789414654</v>
      </c>
      <c r="N708" s="7" t="n">
        <f aca="false">VLOOKUP(G708,NGPrices,3,FALSE())</f>
        <v>0.575</v>
      </c>
      <c r="O708" s="7" t="n">
        <f aca="false">HLOOKUP(D708,VOLS,VLOOKUP(G708,move_down,2,FALSE()),FALSE())</f>
        <v>0.552</v>
      </c>
      <c r="P708" s="249" t="n">
        <f aca="false">HLOOKUP(D708,Correllate,VLOOKUP(G708,CorMove,2,FALSE()),FALSE())</f>
        <v>0.84</v>
      </c>
      <c r="Q708" s="92" t="n">
        <f aca="false">WORKDAY(G708,-2)</f>
        <v>36797</v>
      </c>
      <c r="R708" s="7" t="n">
        <f aca="false">IF(F708="P",0,1)</f>
        <v>0</v>
      </c>
      <c r="S708" s="130" t="e">
        <f aca="false">xSPRDOPT($L708,$J708,$I708,$M708,$O708,$N708,$P708,$Q708-$C$3,$R708,0)</f>
        <v>#NAME?</v>
      </c>
      <c r="T708" s="250" t="e">
        <f aca="false">xSPRDOPT($L708,$J708,$I708,$M708,$O708,$N708,$P708,$Q708-$C$3,$R708,1)*H708</f>
        <v>#NAME?</v>
      </c>
      <c r="U708" s="43" t="e">
        <f aca="false">S708*H708</f>
        <v>#NAME?</v>
      </c>
      <c r="V708" s="250" t="e">
        <f aca="false">xSPRDOPT($L708,$J708,$I708,$M708,$O708,$N708,$P708,$Q708-$C$3,$R708,2)*H708</f>
        <v>#NAME?</v>
      </c>
      <c r="W708" s="250" t="e">
        <f aca="false">+V708+T708</f>
        <v>#NAME?</v>
      </c>
      <c r="X708" s="2" t="str">
        <f aca="false">CONCATENATE(G708,D708)</f>
        <v>36800IF-NWPL_ROCKY_M</v>
      </c>
      <c r="Y708" s="251" t="n">
        <f aca="false">H708/10000</f>
        <v>200</v>
      </c>
      <c r="Z708" s="226" t="e">
        <f aca="false">T708/H708</f>
        <v>#NAME?</v>
      </c>
      <c r="AA708" s="226" t="e">
        <f aca="false">xSPRDOPT($L708,$J708,$I708,$M708,$O708,$N708,$P708,$Q708-$C$3,$R708,3)</f>
        <v>#NAME?</v>
      </c>
      <c r="AB708" s="226" t="e">
        <f aca="false">((xSPRDOPT($L708+AB$5,$J708,$I708,$M708,$O708,$N708,$P708,$Q708-$C$3,$R708,3)*$H708)/10000)/100</f>
        <v>#NAME?</v>
      </c>
      <c r="AC708" s="226" t="e">
        <f aca="false">((xSPRDOPT($L708+$AB$5,$J708,$I708,$M708,$O708,$N708,$P708,$Q708-$C$3,$R708,7)*$H708)/100)</f>
        <v>#NAME?</v>
      </c>
      <c r="AD708" s="226" t="e">
        <f aca="false">(xSPRDOPT($L708+$AB$5,$J708,$I708,$M708,$O708,$N708,$P708,$Q708-$C$3,$R708,9)/365)*$H708</f>
        <v>#NAME?</v>
      </c>
      <c r="AE708" s="0" t="e">
        <f aca="false">CD710</f>
        <v>#NAME?</v>
      </c>
      <c r="AF708" s="226" t="e">
        <f aca="false">((O708/N708)*AH708)+AG708</f>
        <v>#NAME?</v>
      </c>
      <c r="AG708" s="226" t="e">
        <f aca="false">((xSPRDOPT($L708,$J708,$I708,$M708,$O708,$N708,$P708,$Q708-$C$3,$R708,6)*$H708)/100)</f>
        <v>#NAME?</v>
      </c>
      <c r="AH708" s="226" t="e">
        <f aca="false">((xSPRDOPT($L708,$J708,$I708,$M708,$O708,$N708,$P708,$Q708-$C$3,$R708,5)*$H708)/100)</f>
        <v>#NAME?</v>
      </c>
      <c r="AI708" s="226" t="e">
        <f aca="false">(((xSPRDOPT($L708,$J708,$I708,$M708,$O708,$N708,$P708,$Q708-$C$3,$R708,4)*$H708)/10000)/100)-AB708</f>
        <v>#NAME?</v>
      </c>
      <c r="AJ708" s="226"/>
      <c r="CC708" s="182" t="n">
        <f aca="false">G706</f>
        <v>36923</v>
      </c>
      <c r="CD708" s="253" t="e">
        <f aca="false">xSPRDOPT((VLOOKUP(G706,NGPrices,2,FALSE())+HLOOKUP(D706,Prices,VLOOKUP(G706,move_down,2,FALSE()),FALSE())),VLOOKUP(G706,NGPrices,2,FALSE()),I706,VLOOKUP(G706,NGPREVPRICES,4,FALSE()),HLOOKUP(D706,PREVVOLS,VLOOKUP(G706,MOVE_DOWN2,2,FALSE()),FALSE()),VLOOKUP(G706,NGPREVPRICES,3,FALSE()),HLOOKUP(D706,Correllate,VLOOKUP(G706,CorMove,2,FALSE()),FALSE()),Q706-$CD$3,R706,$CD$5)*H706-CJ708</f>
        <v>#NAME?</v>
      </c>
      <c r="CE708" s="253" t="e">
        <f aca="false">xSPRDOPT((VLOOKUP(G706,NGPREVPRICES,2,FALSE())+HLOOKUP(D706,PREVCURVES,VLOOKUP(G706,MOVE_DOWN2,2,FALSE()),FALSE())),VLOOKUP(G706,NGPREVPRICES,2,FALSE()),CK708,VLOOKUP(G706,NGPrices,4,FALSE()),HLOOKUP(D706,PREVVOLS,VLOOKUP(G706,MOVE_DOWN2,2,FALSE()),FALSE()),VLOOKUP(G706,NGPREVPRICES,3,FALSE()),HLOOKUP(D706,Correllate,VLOOKUP(G706,CorMove,2,FALSE()),FALSE()),Q706-$CD$3,R706,$CJ$5)*H706-CJ708</f>
        <v>#NAME?</v>
      </c>
      <c r="CF708" s="132" t="e">
        <f aca="false">(CJ708/VLOOKUP(CC708,discount,3,FALSE()))-(CJ708/VLOOKUP(CC708,discount,2,FALSE()))</f>
        <v>#NAME?</v>
      </c>
      <c r="CG708" s="253" t="e">
        <f aca="false">xSPRDOPT((VLOOKUP(G706,NGPREVPRICES,2,FALSE())+HLOOKUP(D706,PREVCURVES,VLOOKUP(G706,MOVE_DOWN2,2,FALSE()),FALSE())),VLOOKUP(G706,NGPREVPRICES,2,FALSE()),CK708,VLOOKUP(G706,NGPREVPRICES,4,FALSE()),HLOOKUP(D706,VOLS,VLOOKUP(G706,move_down,2,FALSE()),FALSE()),VLOOKUP(G706,NGPrices,3,FALSE()),HLOOKUP(D706,Correllate,VLOOKUP(G706,CorMove,2,FALSE()),FALSE()),Q706-$CD$3,R706,$CJ$5)*H706-CJ708</f>
        <v>#NAME?</v>
      </c>
      <c r="CH708" s="253" t="e">
        <f aca="false">xSPRDOPT((VLOOKUP(G706,NGPREVPRICES,2,FALSE())+HLOOKUP(D706,PREVCURVES,VLOOKUP(G706,MOVE_DOWN2,2,FALSE()),FALSE())),VLOOKUP(G706,NGPREVPRICES,2,FALSE()),CK708,VLOOKUP(G706,NGPREVPRICES,4,FALSE()),HLOOKUP(D706,PREVVOLS,VLOOKUP(G706,MOVE_DOWN2,2,FALSE()),FALSE()),VLOOKUP(G706,NGPREVPRICES,3,FALSE()),HLOOKUP(D706,Correllate,VLOOKUP(G706,CorMove,2,FALSE()),FALSE()),Q706-$C$3,R706,$CJ$5)*H706-CJ708</f>
        <v>#NAME?</v>
      </c>
      <c r="CI708" s="253" t="e">
        <f aca="false">SUM(CD708:CH708)</f>
        <v>#NAME?</v>
      </c>
      <c r="CJ708" s="253" t="e">
        <f aca="false">xSPRDOPT((VLOOKUP(G706,NGPREVPRICES,2,FALSE())+HLOOKUP(D706,PREVCURVES,VLOOKUP(G706,MOVE_DOWN2,2,FALSE()),FALSE())),VLOOKUP(G706,NGPREVPRICES,2,FALSE()),CK708,VLOOKUP(G706,NGPREVPRICES,4,FALSE()),HLOOKUP(D706,PREVVOLS,VLOOKUP(G706,MOVE_DOWN2,2,FALSE()),FALSE()),VLOOKUP(G706,NGPREVPRICES,3,FALSE()),HLOOKUP(D706,Correllate,VLOOKUP(G706,CorMove,2,FALSE()),FALSE()),Q706-$CD$3,R706,$CJ$5)*H706</f>
        <v>#NAME?</v>
      </c>
      <c r="CK708" s="254" t="n">
        <f aca="false">I706</f>
        <v>0.95</v>
      </c>
      <c r="CM708" s="0" t="str">
        <f aca="false">CONCATENATE(CC708,$CD$6)</f>
        <v>36923Curve Shift/Gamma</v>
      </c>
      <c r="CN708" s="0" t="str">
        <f aca="false">CONCATENATE($CC708,$CE$6)</f>
        <v>36923Rho</v>
      </c>
      <c r="CO708" s="0" t="str">
        <f aca="false">CONCATENATE($CC708,$CF$6)</f>
        <v>36923Drift</v>
      </c>
      <c r="CP708" s="0" t="str">
        <f aca="false">CONCATENATE($CC708,$CG$6)</f>
        <v>36923Vega</v>
      </c>
      <c r="CQ708" s="0" t="str">
        <f aca="false">CONCATENATE($CC708,$CH$6)</f>
        <v>36923Theta</v>
      </c>
    </row>
    <row r="709" customFormat="false" ht="12.75" hidden="false" customHeight="false" outlineLevel="0" collapsed="false">
      <c r="A709" s="17" t="s">
        <v>198</v>
      </c>
      <c r="B709" s="0" t="s">
        <v>192</v>
      </c>
      <c r="C709" s="0" t="s">
        <v>431</v>
      </c>
      <c r="D709" s="7" t="s">
        <v>151</v>
      </c>
      <c r="E709" s="0" t="s">
        <v>131</v>
      </c>
      <c r="F709" s="0" t="s">
        <v>132</v>
      </c>
      <c r="G709" s="92" t="n">
        <v>36800</v>
      </c>
      <c r="H709" s="248" t="n">
        <v>2000000</v>
      </c>
      <c r="I709" s="254" t="n">
        <v>-0.65</v>
      </c>
      <c r="J709" s="124" t="n">
        <f aca="false">VLOOKUP(G709,NGPrices,2,FALSE())</f>
        <v>4.692</v>
      </c>
      <c r="K709" s="125" t="n">
        <f aca="false">HLOOKUP(D709,Prices,VLOOKUP(G709,move_down,2,FALSE()),FALSE())+VLOOKUP(G709,CHANGE,HLOOKUP(D709,CHANGE,2,FALSE()),FALSE())</f>
        <v>-0.805</v>
      </c>
      <c r="L709" s="124" t="n">
        <f aca="false">K709+J709</f>
        <v>3.887</v>
      </c>
      <c r="M709" s="126" t="n">
        <f aca="false">VLOOKUP(G709,NGPrices,4,FALSE())</f>
        <v>0.068050789414654</v>
      </c>
      <c r="N709" s="7" t="n">
        <f aca="false">VLOOKUP(G709,NGPrices,3,FALSE())</f>
        <v>0.575</v>
      </c>
      <c r="O709" s="7" t="n">
        <f aca="false">HLOOKUP(D709,VOLS,VLOOKUP(G709,move_down,2,FALSE()),FALSE())</f>
        <v>0.552</v>
      </c>
      <c r="P709" s="249" t="n">
        <f aca="false">HLOOKUP(D709,Correllate,VLOOKUP(G709,CorMove,2,FALSE()),FALSE())</f>
        <v>0.84</v>
      </c>
      <c r="Q709" s="92" t="n">
        <f aca="false">WORKDAY(G709,-2)</f>
        <v>36797</v>
      </c>
      <c r="R709" s="7" t="n">
        <f aca="false">IF(F709="P",0,1)</f>
        <v>0</v>
      </c>
      <c r="S709" s="130" t="e">
        <f aca="false">xSPRDOPT($L709,$J709,$I709,$M709,$O709,$N709,$P709,$Q709-$C$3,$R709,0)</f>
        <v>#NAME?</v>
      </c>
      <c r="T709" s="250" t="e">
        <f aca="false">xSPRDOPT($L709,$J709,$I709,$M709,$O709,$N709,$P709,$Q709-$C$3,$R709,1)*H709</f>
        <v>#NAME?</v>
      </c>
      <c r="U709" s="43" t="e">
        <f aca="false">S709*H709</f>
        <v>#NAME?</v>
      </c>
      <c r="V709" s="250" t="e">
        <f aca="false">xSPRDOPT($L709,$J709,$I709,$M709,$O709,$N709,$P709,$Q709-$C$3,$R709,2)*H709</f>
        <v>#NAME?</v>
      </c>
      <c r="W709" s="250" t="e">
        <f aca="false">+V709+T709</f>
        <v>#NAME?</v>
      </c>
      <c r="X709" s="2" t="str">
        <f aca="false">CONCATENATE(G709,D709)</f>
        <v>36800IF-NWPL_ROCKY_M</v>
      </c>
      <c r="Y709" s="251" t="n">
        <f aca="false">H709/10000</f>
        <v>200</v>
      </c>
      <c r="Z709" s="226" t="e">
        <f aca="false">T709/H709</f>
        <v>#NAME?</v>
      </c>
      <c r="AA709" s="226" t="e">
        <f aca="false">xSPRDOPT($L709,$J709,$I709,$M709,$O709,$N709,$P709,$Q709-$C$3,$R709,3)</f>
        <v>#NAME?</v>
      </c>
      <c r="AB709" s="226" t="e">
        <f aca="false">((xSPRDOPT($L709+AB$5,$J709,$I709,$M709,$O709,$N709,$P709,$Q709-$C$3,$R709,3)*$H709)/10000)/100</f>
        <v>#NAME?</v>
      </c>
      <c r="AC709" s="226" t="e">
        <f aca="false">((xSPRDOPT($L709+$AB$5,$J709,$I709,$M709,$O709,$N709,$P709,$Q709-$C$3,$R709,7)*$H709)/100)</f>
        <v>#NAME?</v>
      </c>
      <c r="AD709" s="226" t="e">
        <f aca="false">(xSPRDOPT($L709+$AB$5,$J709,$I709,$M709,$O709,$N709,$P709,$Q709-$C$3,$R709,9)/365)*$H709</f>
        <v>#NAME?</v>
      </c>
      <c r="AE709" s="0" t="e">
        <f aca="false">CD711</f>
        <v>#NAME?</v>
      </c>
      <c r="AF709" s="226" t="e">
        <f aca="false">((O709/N709)*AH709)+AG709</f>
        <v>#NAME?</v>
      </c>
      <c r="AG709" s="226" t="e">
        <f aca="false">((xSPRDOPT($L709,$J709,$I709,$M709,$O709,$N709,$P709,$Q709-$C$3,$R709,6)*$H709)/100)</f>
        <v>#NAME?</v>
      </c>
      <c r="AH709" s="226" t="e">
        <f aca="false">((xSPRDOPT($L709,$J709,$I709,$M709,$O709,$N709,$P709,$Q709-$C$3,$R709,5)*$H709)/100)</f>
        <v>#NAME?</v>
      </c>
      <c r="AI709" s="226" t="e">
        <f aca="false">(((xSPRDOPT($L709,$J709,$I709,$M709,$O709,$N709,$P709,$Q709-$C$3,$R709,4)*$H709)/10000)/100)-AB709</f>
        <v>#NAME?</v>
      </c>
      <c r="AJ709" s="226"/>
      <c r="CC709" s="182" t="n">
        <f aca="false">G707</f>
        <v>36951</v>
      </c>
      <c r="CD709" s="253" t="e">
        <f aca="false">xSPRDOPT((VLOOKUP(G707,NGPrices,2,FALSE())+HLOOKUP(D707,Prices,VLOOKUP(G707,move_down,2,FALSE()),FALSE())),VLOOKUP(G707,NGPrices,2,FALSE()),I707,VLOOKUP(G707,NGPREVPRICES,4,FALSE()),HLOOKUP(D707,PREVVOLS,VLOOKUP(G707,MOVE_DOWN2,2,FALSE()),FALSE()),VLOOKUP(G707,NGPREVPRICES,3,FALSE()),HLOOKUP(D707,Correllate,VLOOKUP(G707,CorMove,2,FALSE()),FALSE()),Q707-$CD$3,R707,$CD$5)*H707-CJ709</f>
        <v>#NAME?</v>
      </c>
      <c r="CE709" s="253" t="e">
        <f aca="false">xSPRDOPT((VLOOKUP(G707,NGPREVPRICES,2,FALSE())+HLOOKUP(D707,PREVCURVES,VLOOKUP(G707,MOVE_DOWN2,2,FALSE()),FALSE())),VLOOKUP(G707,NGPREVPRICES,2,FALSE()),CK709,VLOOKUP(G707,NGPrices,4,FALSE()),HLOOKUP(D707,PREVVOLS,VLOOKUP(G707,MOVE_DOWN2,2,FALSE()),FALSE()),VLOOKUP(G707,NGPREVPRICES,3,FALSE()),HLOOKUP(D707,Correllate,VLOOKUP(G707,CorMove,2,FALSE()),FALSE()),Q707-$CD$3,R707,$CJ$5)*H707-CJ709</f>
        <v>#NAME?</v>
      </c>
      <c r="CF709" s="132" t="e">
        <f aca="false">(CJ709/VLOOKUP(CC709,discount,3,FALSE()))-(CJ709/VLOOKUP(CC709,discount,2,FALSE()))</f>
        <v>#NAME?</v>
      </c>
      <c r="CG709" s="253" t="e">
        <f aca="false">xSPRDOPT((VLOOKUP(G707,NGPREVPRICES,2,FALSE())+HLOOKUP(D707,PREVCURVES,VLOOKUP(G707,MOVE_DOWN2,2,FALSE()),FALSE())),VLOOKUP(G707,NGPREVPRICES,2,FALSE()),CK709,VLOOKUP(G707,NGPREVPRICES,4,FALSE()),HLOOKUP(D707,VOLS,VLOOKUP(G707,move_down,2,FALSE()),FALSE()),VLOOKUP(G707,NGPrices,3,FALSE()),HLOOKUP(D707,Correllate,VLOOKUP(G707,CorMove,2,FALSE()),FALSE()),Q707-$CD$3,R707,$CJ$5)*H707-CJ709</f>
        <v>#NAME?</v>
      </c>
      <c r="CH709" s="253" t="e">
        <f aca="false">xSPRDOPT((VLOOKUP(G707,NGPREVPRICES,2,FALSE())+HLOOKUP(D707,PREVCURVES,VLOOKUP(G707,MOVE_DOWN2,2,FALSE()),FALSE())),VLOOKUP(G707,NGPREVPRICES,2,FALSE()),CK709,VLOOKUP(G707,NGPREVPRICES,4,FALSE()),HLOOKUP(D707,PREVVOLS,VLOOKUP(G707,MOVE_DOWN2,2,FALSE()),FALSE()),VLOOKUP(G707,NGPREVPRICES,3,FALSE()),HLOOKUP(D707,Correllate,VLOOKUP(G707,CorMove,2,FALSE()),FALSE()),Q707-$C$3,R707,$CJ$5)*H707-CJ709</f>
        <v>#NAME?</v>
      </c>
      <c r="CI709" s="253" t="e">
        <f aca="false">SUM(CD709:CH709)</f>
        <v>#NAME?</v>
      </c>
      <c r="CJ709" s="253" t="e">
        <f aca="false">xSPRDOPT((VLOOKUP(G707,NGPREVPRICES,2,FALSE())+HLOOKUP(D707,PREVCURVES,VLOOKUP(G707,MOVE_DOWN2,2,FALSE()),FALSE())),VLOOKUP(G707,NGPREVPRICES,2,FALSE()),CK709,VLOOKUP(G707,NGPREVPRICES,4,FALSE()),HLOOKUP(D707,PREVVOLS,VLOOKUP(G707,MOVE_DOWN2,2,FALSE()),FALSE()),VLOOKUP(G707,NGPREVPRICES,3,FALSE()),HLOOKUP(D707,Correllate,VLOOKUP(G707,CorMove,2,FALSE()),FALSE()),Q707-$CD$3,R707,$CJ$5)*H707</f>
        <v>#NAME?</v>
      </c>
      <c r="CK709" s="254" t="n">
        <f aca="false">I707</f>
        <v>0.95</v>
      </c>
      <c r="CM709" s="0" t="str">
        <f aca="false">CONCATENATE(CC709,$CD$6)</f>
        <v>36951Curve Shift/Gamma</v>
      </c>
      <c r="CN709" s="0" t="str">
        <f aca="false">CONCATENATE($CC709,$CE$6)</f>
        <v>36951Rho</v>
      </c>
      <c r="CO709" s="0" t="str">
        <f aca="false">CONCATENATE($CC709,$CF$6)</f>
        <v>36951Drift</v>
      </c>
      <c r="CP709" s="0" t="str">
        <f aca="false">CONCATENATE($CC709,$CG$6)</f>
        <v>36951Vega</v>
      </c>
      <c r="CQ709" s="0" t="str">
        <f aca="false">CONCATENATE($CC709,$CH$6)</f>
        <v>36951Theta</v>
      </c>
    </row>
    <row r="710" customFormat="false" ht="12.75" hidden="false" customHeight="false" outlineLevel="0" collapsed="false">
      <c r="A710" s="17" t="s">
        <v>206</v>
      </c>
      <c r="B710" s="0" t="s">
        <v>192</v>
      </c>
      <c r="C710" s="0" t="s">
        <v>432</v>
      </c>
      <c r="D710" s="7" t="s">
        <v>149</v>
      </c>
      <c r="E710" s="0" t="s">
        <v>131</v>
      </c>
      <c r="F710" s="0" t="s">
        <v>136</v>
      </c>
      <c r="G710" s="92" t="n">
        <v>36982</v>
      </c>
      <c r="H710" s="248" t="n">
        <v>500000</v>
      </c>
      <c r="I710" s="254" t="n">
        <v>0.42</v>
      </c>
      <c r="J710" s="124" t="n">
        <f aca="false">VLOOKUP(G710,NGPrices,2,FALSE())</f>
        <v>3.938</v>
      </c>
      <c r="K710" s="125" t="n">
        <f aca="false">HLOOKUP(D710,Prices,VLOOKUP(G710,move_down,2,FALSE()),FALSE())+VLOOKUP(G710,CHANGE,HLOOKUP(D710,CHANGE,2,FALSE()),FALSE())</f>
        <v>0.52</v>
      </c>
      <c r="L710" s="124" t="n">
        <f aca="false">K710+J710</f>
        <v>4.458</v>
      </c>
      <c r="M710" s="126" t="n">
        <f aca="false">VLOOKUP(G710,NGPrices,4,FALSE())</f>
        <v>0.069061726541121</v>
      </c>
      <c r="N710" s="7" t="n">
        <f aca="false">VLOOKUP(G710,NGPrices,3,FALSE())</f>
        <v>0.4425</v>
      </c>
      <c r="O710" s="7" t="n">
        <f aca="false">HLOOKUP(D710,VOLS,VLOOKUP(G710,move_down,2,FALSE()),FALSE())</f>
        <v>0.434</v>
      </c>
      <c r="P710" s="249" t="n">
        <f aca="false">HLOOKUP(D710,Correllate,VLOOKUP(G710,CorMove,2,FALSE()),FALSE())</f>
        <v>0.9738</v>
      </c>
      <c r="Q710" s="92" t="n">
        <f aca="false">WORKDAY(G710,-2)</f>
        <v>36979</v>
      </c>
      <c r="R710" s="7" t="n">
        <f aca="false">IF(F710="P",0,1)</f>
        <v>1</v>
      </c>
      <c r="S710" s="130" t="e">
        <f aca="false">xSPRDOPT($L710,$J710,$I710,$M710,$O710,$N710,$P710,$Q710-$C$3,$R710,0)</f>
        <v>#NAME?</v>
      </c>
      <c r="T710" s="250" t="e">
        <f aca="false">xSPRDOPT($L710,$J710,$I710,$M710,$O710,$N710,$P710,$Q710-$C$3,$R710,1)*H710</f>
        <v>#NAME?</v>
      </c>
      <c r="U710" s="43" t="e">
        <f aca="false">S710*H710</f>
        <v>#NAME?</v>
      </c>
      <c r="V710" s="250" t="e">
        <f aca="false">xSPRDOPT($L710,$J710,$I710,$M710,$O710,$N710,$P710,$Q710-$C$3,$R710,2)*H710</f>
        <v>#NAME?</v>
      </c>
      <c r="W710" s="250" t="e">
        <f aca="false">+V710+T710</f>
        <v>#NAME?</v>
      </c>
      <c r="X710" s="2" t="str">
        <f aca="false">CONCATENATE(G710,D710)</f>
        <v>36982IF-TRANSCO/Z6</v>
      </c>
      <c r="Y710" s="251" t="n">
        <f aca="false">H710/10000</f>
        <v>50</v>
      </c>
      <c r="Z710" s="226" t="e">
        <f aca="false">T710/H710</f>
        <v>#NAME?</v>
      </c>
      <c r="AA710" s="226" t="e">
        <f aca="false">xSPRDOPT($L710,$J710,$I710,$M710,$O710,$N710,$P710,$Q710-$C$3,$R710,3)</f>
        <v>#NAME?</v>
      </c>
      <c r="AB710" s="226" t="e">
        <f aca="false">((xSPRDOPT($L710+AB$5,$J710,$I710,$M710,$O710,$N710,$P710,$Q710-$C$3,$R710,3)*$H710)/10000)/100</f>
        <v>#NAME?</v>
      </c>
      <c r="AC710" s="226" t="e">
        <f aca="false">((xSPRDOPT($L710+$AB$5,$J710,$I710,$M710,$O710,$N710,$P710,$Q710-$C$3,$R710,7)*$H710)/100)</f>
        <v>#NAME?</v>
      </c>
      <c r="AD710" s="226" t="e">
        <f aca="false">(xSPRDOPT($L710+$AB$5,$J710,$I710,$M710,$O710,$N710,$P710,$Q710-$C$3,$R710,9)/365)*$H710</f>
        <v>#NAME?</v>
      </c>
      <c r="AE710" s="0" t="e">
        <f aca="false">CD712</f>
        <v>#NAME?</v>
      </c>
      <c r="AF710" s="226" t="e">
        <f aca="false">((O710/N710)*AH710)+AG710</f>
        <v>#NAME?</v>
      </c>
      <c r="AG710" s="226" t="e">
        <f aca="false">((xSPRDOPT($L710,$J710,$I710,$M710,$O710,$N710,$P710,$Q710-$C$3,$R710,6)*$H710)/100)</f>
        <v>#NAME?</v>
      </c>
      <c r="AH710" s="226" t="e">
        <f aca="false">((xSPRDOPT($L710,$J710,$I710,$M710,$O710,$N710,$P710,$Q710-$C$3,$R710,5)*$H710)/100)</f>
        <v>#NAME?</v>
      </c>
      <c r="AI710" s="226" t="e">
        <f aca="false">(((xSPRDOPT($L710,$J710,$I710,$M710,$O710,$N710,$P710,$Q710-$C$3,$R710,4)*$H710)/10000)/100)-AB710</f>
        <v>#NAME?</v>
      </c>
      <c r="AJ710" s="226"/>
      <c r="CC710" s="182" t="n">
        <f aca="false">G708</f>
        <v>36800</v>
      </c>
      <c r="CD710" s="253" t="e">
        <f aca="false">xSPRDOPT((VLOOKUP(G708,NGPrices,2,FALSE())+HLOOKUP(D708,Prices,VLOOKUP(G708,move_down,2,FALSE()),FALSE())),VLOOKUP(G708,NGPrices,2,FALSE()),I708,VLOOKUP(G708,NGPREVPRICES,4,FALSE()),HLOOKUP(D708,PREVVOLS,VLOOKUP(G708,MOVE_DOWN2,2,FALSE()),FALSE()),VLOOKUP(G708,NGPREVPRICES,3,FALSE()),HLOOKUP(D708,Correllate,VLOOKUP(G708,CorMove,2,FALSE()),FALSE()),Q708-$CD$3,R708,$CD$5)*H708-CJ710</f>
        <v>#NAME?</v>
      </c>
      <c r="CE710" s="253" t="e">
        <f aca="false">xSPRDOPT((VLOOKUP(G708,NGPREVPRICES,2,FALSE())+HLOOKUP(D708,PREVCURVES,VLOOKUP(G708,MOVE_DOWN2,2,FALSE()),FALSE())),VLOOKUP(G708,NGPREVPRICES,2,FALSE()),CK710,VLOOKUP(G708,NGPrices,4,FALSE()),HLOOKUP(D708,PREVVOLS,VLOOKUP(G708,MOVE_DOWN2,2,FALSE()),FALSE()),VLOOKUP(G708,NGPREVPRICES,3,FALSE()),HLOOKUP(D708,Correllate,VLOOKUP(G708,CorMove,2,FALSE()),FALSE()),Q708-$CD$3,R708,$CJ$5)*H708-CJ710</f>
        <v>#NAME?</v>
      </c>
      <c r="CF710" s="132" t="e">
        <f aca="false">(CJ710/VLOOKUP(CC710,discount,3,FALSE()))-(CJ710/VLOOKUP(CC710,discount,2,FALSE()))</f>
        <v>#NAME?</v>
      </c>
      <c r="CG710" s="253" t="e">
        <f aca="false">xSPRDOPT((VLOOKUP(G708,NGPREVPRICES,2,FALSE())+HLOOKUP(D708,PREVCURVES,VLOOKUP(G708,MOVE_DOWN2,2,FALSE()),FALSE())),VLOOKUP(G708,NGPREVPRICES,2,FALSE()),CK710,VLOOKUP(G708,NGPREVPRICES,4,FALSE()),HLOOKUP(D708,VOLS,VLOOKUP(G708,move_down,2,FALSE()),FALSE()),VLOOKUP(G708,NGPrices,3,FALSE()),HLOOKUP(D708,Correllate,VLOOKUP(G708,CorMove,2,FALSE()),FALSE()),Q708-$CD$3,R708,$CJ$5)*H708-CJ710</f>
        <v>#NAME?</v>
      </c>
      <c r="CH710" s="253" t="e">
        <f aca="false">xSPRDOPT((VLOOKUP(G708,NGPREVPRICES,2,FALSE())+HLOOKUP(D708,PREVCURVES,VLOOKUP(G708,MOVE_DOWN2,2,FALSE()),FALSE())),VLOOKUP(G708,NGPREVPRICES,2,FALSE()),CK710,VLOOKUP(G708,NGPREVPRICES,4,FALSE()),HLOOKUP(D708,PREVVOLS,VLOOKUP(G708,MOVE_DOWN2,2,FALSE()),FALSE()),VLOOKUP(G708,NGPREVPRICES,3,FALSE()),HLOOKUP(D708,Correllate,VLOOKUP(G708,CorMove,2,FALSE()),FALSE()),Q708-$C$3,R708,$CJ$5)*H708-CJ710</f>
        <v>#NAME?</v>
      </c>
      <c r="CI710" s="253" t="e">
        <f aca="false">SUM(CD710:CH710)</f>
        <v>#NAME?</v>
      </c>
      <c r="CJ710" s="253" t="e">
        <f aca="false">xSPRDOPT((VLOOKUP(G708,NGPREVPRICES,2,FALSE())+HLOOKUP(D708,PREVCURVES,VLOOKUP(G708,MOVE_DOWN2,2,FALSE()),FALSE())),VLOOKUP(G708,NGPREVPRICES,2,FALSE()),CK710,VLOOKUP(G708,NGPREVPRICES,4,FALSE()),HLOOKUP(D708,PREVVOLS,VLOOKUP(G708,MOVE_DOWN2,2,FALSE()),FALSE()),VLOOKUP(G708,NGPREVPRICES,3,FALSE()),HLOOKUP(D708,Correllate,VLOOKUP(G708,CorMove,2,FALSE()),FALSE()),Q708-$CD$3,R708,$CJ$5)*H708</f>
        <v>#NAME?</v>
      </c>
      <c r="CK710" s="254" t="n">
        <f aca="false">I708</f>
        <v>-0.65</v>
      </c>
      <c r="CM710" s="0" t="str">
        <f aca="false">CONCATENATE(CC710,$CD$6)</f>
        <v>36800Curve Shift/Gamma</v>
      </c>
      <c r="CN710" s="0" t="str">
        <f aca="false">CONCATENATE($CC710,$CE$6)</f>
        <v>36800Rho</v>
      </c>
      <c r="CO710" s="0" t="str">
        <f aca="false">CONCATENATE($CC710,$CF$6)</f>
        <v>36800Drift</v>
      </c>
      <c r="CP710" s="0" t="str">
        <f aca="false">CONCATENATE($CC710,$CG$6)</f>
        <v>36800Vega</v>
      </c>
      <c r="CQ710" s="0" t="str">
        <f aca="false">CONCATENATE($CC710,$CH$6)</f>
        <v>36800Theta</v>
      </c>
    </row>
    <row r="711" customFormat="false" ht="12.75" hidden="false" customHeight="false" outlineLevel="0" collapsed="false">
      <c r="A711" s="17" t="s">
        <v>206</v>
      </c>
      <c r="B711" s="0" t="s">
        <v>192</v>
      </c>
      <c r="C711" s="0" t="s">
        <v>432</v>
      </c>
      <c r="D711" s="7" t="s">
        <v>149</v>
      </c>
      <c r="E711" s="0" t="s">
        <v>131</v>
      </c>
      <c r="F711" s="0" t="s">
        <v>136</v>
      </c>
      <c r="G711" s="92" t="n">
        <v>37012</v>
      </c>
      <c r="H711" s="248" t="n">
        <v>500000</v>
      </c>
      <c r="I711" s="254" t="n">
        <v>0.42</v>
      </c>
      <c r="J711" s="124" t="n">
        <f aca="false">VLOOKUP(G711,NGPrices,2,FALSE())</f>
        <v>3.838</v>
      </c>
      <c r="K711" s="125" t="n">
        <f aca="false">HLOOKUP(D711,Prices,VLOOKUP(G711,move_down,2,FALSE()),FALSE())+VLOOKUP(G711,CHANGE,HLOOKUP(D711,CHANGE,2,FALSE()),FALSE())</f>
        <v>0.405</v>
      </c>
      <c r="L711" s="124" t="n">
        <f aca="false">K711+J711</f>
        <v>4.243</v>
      </c>
      <c r="M711" s="126" t="n">
        <f aca="false">VLOOKUP(G711,NGPrices,4,FALSE())</f>
        <v>0.069101151219</v>
      </c>
      <c r="N711" s="7" t="n">
        <f aca="false">VLOOKUP(G711,NGPrices,3,FALSE())</f>
        <v>0.405</v>
      </c>
      <c r="O711" s="7" t="n">
        <f aca="false">HLOOKUP(D711,VOLS,VLOOKUP(G711,move_down,2,FALSE()),FALSE())</f>
        <v>0.397</v>
      </c>
      <c r="P711" s="249" t="n">
        <f aca="false">HLOOKUP(D711,Correllate,VLOOKUP(G711,CorMove,2,FALSE()),FALSE())</f>
        <v>0.9738</v>
      </c>
      <c r="Q711" s="92" t="n">
        <f aca="false">WORKDAY(G711,-2)</f>
        <v>37008</v>
      </c>
      <c r="R711" s="7" t="n">
        <f aca="false">IF(F711="P",0,1)</f>
        <v>1</v>
      </c>
      <c r="S711" s="130" t="e">
        <f aca="false">xSPRDOPT($L711,$J711,$I711,$M711,$O711,$N711,$P711,$Q711-$C$3,$R711,0)</f>
        <v>#NAME?</v>
      </c>
      <c r="T711" s="250" t="e">
        <f aca="false">xSPRDOPT($L711,$J711,$I711,$M711,$O711,$N711,$P711,$Q711-$C$3,$R711,1)*H711</f>
        <v>#NAME?</v>
      </c>
      <c r="U711" s="43" t="e">
        <f aca="false">S711*H711</f>
        <v>#NAME?</v>
      </c>
      <c r="V711" s="250" t="e">
        <f aca="false">xSPRDOPT($L711,$J711,$I711,$M711,$O711,$N711,$P711,$Q711-$C$3,$R711,2)*H711</f>
        <v>#NAME?</v>
      </c>
      <c r="W711" s="250" t="e">
        <f aca="false">+V711+T711</f>
        <v>#NAME?</v>
      </c>
      <c r="X711" s="2" t="str">
        <f aca="false">CONCATENATE(G711,D711)</f>
        <v>37012IF-TRANSCO/Z6</v>
      </c>
      <c r="Y711" s="251" t="n">
        <f aca="false">H711/10000</f>
        <v>50</v>
      </c>
      <c r="Z711" s="226" t="e">
        <f aca="false">T711/H711</f>
        <v>#NAME?</v>
      </c>
      <c r="AA711" s="226" t="e">
        <f aca="false">xSPRDOPT($L711,$J711,$I711,$M711,$O711,$N711,$P711,$Q711-$C$3,$R711,3)</f>
        <v>#NAME?</v>
      </c>
      <c r="AB711" s="226" t="e">
        <f aca="false">((xSPRDOPT($L711+AB$5,$J711,$I711,$M711,$O711,$N711,$P711,$Q711-$C$3,$R711,3)*$H711)/10000)/100</f>
        <v>#NAME?</v>
      </c>
      <c r="AC711" s="226" t="e">
        <f aca="false">((xSPRDOPT($L711+$AB$5,$J711,$I711,$M711,$O711,$N711,$P711,$Q711-$C$3,$R711,7)*$H711)/100)</f>
        <v>#NAME?</v>
      </c>
      <c r="AD711" s="226" t="e">
        <f aca="false">(xSPRDOPT($L711+$AB$5,$J711,$I711,$M711,$O711,$N711,$P711,$Q711-$C$3,$R711,9)/365)*$H711</f>
        <v>#NAME?</v>
      </c>
      <c r="AE711" s="0" t="e">
        <f aca="false">CD713</f>
        <v>#NAME?</v>
      </c>
      <c r="AF711" s="226" t="e">
        <f aca="false">((O711/N711)*AH711)+AG711</f>
        <v>#NAME?</v>
      </c>
      <c r="AG711" s="226" t="e">
        <f aca="false">((xSPRDOPT($L711,$J711,$I711,$M711,$O711,$N711,$P711,$Q711-$C$3,$R711,6)*$H711)/100)</f>
        <v>#NAME?</v>
      </c>
      <c r="AH711" s="226" t="e">
        <f aca="false">((xSPRDOPT($L711,$J711,$I711,$M711,$O711,$N711,$P711,$Q711-$C$3,$R711,5)*$H711)/100)</f>
        <v>#NAME?</v>
      </c>
      <c r="AI711" s="226" t="e">
        <f aca="false">(((xSPRDOPT($L711,$J711,$I711,$M711,$O711,$N711,$P711,$Q711-$C$3,$R711,4)*$H711)/10000)/100)-AB711</f>
        <v>#NAME?</v>
      </c>
      <c r="AJ711" s="226"/>
      <c r="CC711" s="182" t="n">
        <f aca="false">G709</f>
        <v>36800</v>
      </c>
      <c r="CD711" s="253" t="e">
        <f aca="false">xSPRDOPT((VLOOKUP(G709,NGPrices,2,FALSE())+HLOOKUP(D709,Prices,VLOOKUP(G709,move_down,2,FALSE()),FALSE())),VLOOKUP(G709,NGPrices,2,FALSE()),I709,VLOOKUP(G709,NGPREVPRICES,4,FALSE()),HLOOKUP(D709,PREVVOLS,VLOOKUP(G709,MOVE_DOWN2,2,FALSE()),FALSE()),VLOOKUP(G709,NGPREVPRICES,3,FALSE()),HLOOKUP(D709,Correllate,VLOOKUP(G709,CorMove,2,FALSE()),FALSE()),Q709-$CD$3,R709,$CD$5)*H709-CJ711</f>
        <v>#NAME?</v>
      </c>
      <c r="CE711" s="253" t="e">
        <f aca="false">xSPRDOPT((VLOOKUP(G709,NGPREVPRICES,2,FALSE())+HLOOKUP(D709,PREVCURVES,VLOOKUP(G709,MOVE_DOWN2,2,FALSE()),FALSE())),VLOOKUP(G709,NGPREVPRICES,2,FALSE()),CK711,VLOOKUP(G709,NGPrices,4,FALSE()),HLOOKUP(D709,PREVVOLS,VLOOKUP(G709,MOVE_DOWN2,2,FALSE()),FALSE()),VLOOKUP(G709,NGPREVPRICES,3,FALSE()),HLOOKUP(D709,Correllate,VLOOKUP(G709,CorMove,2,FALSE()),FALSE()),Q709-$CD$3,R709,$CJ$5)*H709-CJ711</f>
        <v>#NAME?</v>
      </c>
      <c r="CF711" s="132" t="e">
        <f aca="false">(CJ711/VLOOKUP(CC711,discount,3,FALSE()))-(CJ711/VLOOKUP(CC711,discount,2,FALSE()))</f>
        <v>#NAME?</v>
      </c>
      <c r="CG711" s="253" t="e">
        <f aca="false">xSPRDOPT((VLOOKUP(G709,NGPREVPRICES,2,FALSE())+HLOOKUP(D709,PREVCURVES,VLOOKUP(G709,MOVE_DOWN2,2,FALSE()),FALSE())),VLOOKUP(G709,NGPREVPRICES,2,FALSE()),CK711,VLOOKUP(G709,NGPREVPRICES,4,FALSE()),HLOOKUP(D709,VOLS,VLOOKUP(G709,move_down,2,FALSE()),FALSE()),VLOOKUP(G709,NGPrices,3,FALSE()),HLOOKUP(D709,Correllate,VLOOKUP(G709,CorMove,2,FALSE()),FALSE()),Q709-$CD$3,R709,$CJ$5)*H709-CJ711</f>
        <v>#NAME?</v>
      </c>
      <c r="CH711" s="253" t="e">
        <f aca="false">xSPRDOPT((VLOOKUP(G709,NGPREVPRICES,2,FALSE())+HLOOKUP(D709,PREVCURVES,VLOOKUP(G709,MOVE_DOWN2,2,FALSE()),FALSE())),VLOOKUP(G709,NGPREVPRICES,2,FALSE()),CK711,VLOOKUP(G709,NGPREVPRICES,4,FALSE()),HLOOKUP(D709,PREVVOLS,VLOOKUP(G709,MOVE_DOWN2,2,FALSE()),FALSE()),VLOOKUP(G709,NGPREVPRICES,3,FALSE()),HLOOKUP(D709,Correllate,VLOOKUP(G709,CorMove,2,FALSE()),FALSE()),Q709-$C$3,R709,$CJ$5)*H709-CJ711</f>
        <v>#NAME?</v>
      </c>
      <c r="CI711" s="253" t="e">
        <f aca="false">SUM(CD711:CH711)</f>
        <v>#NAME?</v>
      </c>
      <c r="CJ711" s="253" t="e">
        <f aca="false">xSPRDOPT((VLOOKUP(G709,NGPREVPRICES,2,FALSE())+HLOOKUP(D709,PREVCURVES,VLOOKUP(G709,MOVE_DOWN2,2,FALSE()),FALSE())),VLOOKUP(G709,NGPREVPRICES,2,FALSE()),CK711,VLOOKUP(G709,NGPREVPRICES,4,FALSE()),HLOOKUP(D709,PREVVOLS,VLOOKUP(G709,MOVE_DOWN2,2,FALSE()),FALSE()),VLOOKUP(G709,NGPREVPRICES,3,FALSE()),HLOOKUP(D709,Correllate,VLOOKUP(G709,CorMove,2,FALSE()),FALSE()),Q709-$CD$3,R709,$CJ$5)*H709</f>
        <v>#NAME?</v>
      </c>
      <c r="CK711" s="254" t="n">
        <f aca="false">I709</f>
        <v>-0.65</v>
      </c>
      <c r="CM711" s="0" t="str">
        <f aca="false">CONCATENATE(CC711,$CD$6)</f>
        <v>36800Curve Shift/Gamma</v>
      </c>
      <c r="CN711" s="0" t="str">
        <f aca="false">CONCATENATE($CC711,$CE$6)</f>
        <v>36800Rho</v>
      </c>
      <c r="CO711" s="0" t="str">
        <f aca="false">CONCATENATE($CC711,$CF$6)</f>
        <v>36800Drift</v>
      </c>
      <c r="CP711" s="0" t="str">
        <f aca="false">CONCATENATE($CC711,$CG$6)</f>
        <v>36800Vega</v>
      </c>
      <c r="CQ711" s="0" t="str">
        <f aca="false">CONCATENATE($CC711,$CH$6)</f>
        <v>36800Theta</v>
      </c>
    </row>
    <row r="712" customFormat="false" ht="12.75" hidden="false" customHeight="false" outlineLevel="0" collapsed="false">
      <c r="A712" s="17" t="s">
        <v>206</v>
      </c>
      <c r="B712" s="0" t="s">
        <v>192</v>
      </c>
      <c r="C712" s="0" t="s">
        <v>432</v>
      </c>
      <c r="D712" s="7" t="s">
        <v>149</v>
      </c>
      <c r="E712" s="0" t="s">
        <v>131</v>
      </c>
      <c r="F712" s="0" t="s">
        <v>136</v>
      </c>
      <c r="G712" s="92" t="n">
        <v>37043</v>
      </c>
      <c r="H712" s="248" t="n">
        <v>500000</v>
      </c>
      <c r="I712" s="254" t="n">
        <v>0.42</v>
      </c>
      <c r="J712" s="124" t="n">
        <f aca="false">VLOOKUP(G712,NGPrices,2,FALSE())</f>
        <v>3.818</v>
      </c>
      <c r="K712" s="125" t="n">
        <f aca="false">HLOOKUP(D712,Prices,VLOOKUP(G712,move_down,2,FALSE()),FALSE())+VLOOKUP(G712,CHANGE,HLOOKUP(D712,CHANGE,2,FALSE()),FALSE())</f>
        <v>0.395</v>
      </c>
      <c r="L712" s="124" t="n">
        <f aca="false">K712+J712</f>
        <v>4.213</v>
      </c>
      <c r="M712" s="126" t="n">
        <f aca="false">VLOOKUP(G712,NGPrices,4,FALSE())</f>
        <v>0.069141890053328</v>
      </c>
      <c r="N712" s="7" t="n">
        <f aca="false">VLOOKUP(G712,NGPrices,3,FALSE())</f>
        <v>0.4</v>
      </c>
      <c r="O712" s="7" t="n">
        <f aca="false">HLOOKUP(D712,VOLS,VLOOKUP(G712,move_down,2,FALSE()),FALSE())</f>
        <v>0.392</v>
      </c>
      <c r="P712" s="249" t="n">
        <f aca="false">HLOOKUP(D712,Correllate,VLOOKUP(G712,CorMove,2,FALSE()),FALSE())</f>
        <v>0.9738</v>
      </c>
      <c r="Q712" s="92" t="n">
        <f aca="false">WORKDAY(G712,-2)</f>
        <v>37041</v>
      </c>
      <c r="R712" s="7" t="n">
        <f aca="false">IF(F712="P",0,1)</f>
        <v>1</v>
      </c>
      <c r="S712" s="130" t="e">
        <f aca="false">xSPRDOPT($L712,$J712,$I712,$M712,$O712,$N712,$P712,$Q712-$C$3,$R712,0)</f>
        <v>#NAME?</v>
      </c>
      <c r="T712" s="250" t="e">
        <f aca="false">xSPRDOPT($L712,$J712,$I712,$M712,$O712,$N712,$P712,$Q712-$C$3,$R712,1)*H712</f>
        <v>#NAME?</v>
      </c>
      <c r="U712" s="43" t="e">
        <f aca="false">S712*H712</f>
        <v>#NAME?</v>
      </c>
      <c r="V712" s="250" t="e">
        <f aca="false">xSPRDOPT($L712,$J712,$I712,$M712,$O712,$N712,$P712,$Q712-$C$3,$R712,2)*H712</f>
        <v>#NAME?</v>
      </c>
      <c r="W712" s="250" t="e">
        <f aca="false">+V712+T712</f>
        <v>#NAME?</v>
      </c>
      <c r="X712" s="2" t="str">
        <f aca="false">CONCATENATE(G712,D712)</f>
        <v>37043IF-TRANSCO/Z6</v>
      </c>
      <c r="Y712" s="251" t="n">
        <f aca="false">H712/10000</f>
        <v>50</v>
      </c>
      <c r="Z712" s="226" t="e">
        <f aca="false">T712/H712</f>
        <v>#NAME?</v>
      </c>
      <c r="AA712" s="226" t="e">
        <f aca="false">xSPRDOPT($L712,$J712,$I712,$M712,$O712,$N712,$P712,$Q712-$C$3,$R712,3)</f>
        <v>#NAME?</v>
      </c>
      <c r="AB712" s="226" t="e">
        <f aca="false">((xSPRDOPT($L712+AB$5,$J712,$I712,$M712,$O712,$N712,$P712,$Q712-$C$3,$R712,3)*$H712)/10000)/100</f>
        <v>#NAME?</v>
      </c>
      <c r="AC712" s="226" t="e">
        <f aca="false">((xSPRDOPT($L712+$AB$5,$J712,$I712,$M712,$O712,$N712,$P712,$Q712-$C$3,$R712,7)*$H712)/100)</f>
        <v>#NAME?</v>
      </c>
      <c r="AD712" s="226" t="e">
        <f aca="false">(xSPRDOPT($L712+$AB$5,$J712,$I712,$M712,$O712,$N712,$P712,$Q712-$C$3,$R712,9)/365)*$H712</f>
        <v>#NAME?</v>
      </c>
      <c r="AE712" s="0" t="e">
        <f aca="false">CD714</f>
        <v>#NAME?</v>
      </c>
      <c r="AF712" s="226" t="e">
        <f aca="false">((O712/N712)*AH712)+AG712</f>
        <v>#NAME?</v>
      </c>
      <c r="AG712" s="226" t="e">
        <f aca="false">((xSPRDOPT($L712,$J712,$I712,$M712,$O712,$N712,$P712,$Q712-$C$3,$R712,6)*$H712)/100)</f>
        <v>#NAME?</v>
      </c>
      <c r="AH712" s="226" t="e">
        <f aca="false">((xSPRDOPT($L712,$J712,$I712,$M712,$O712,$N712,$P712,$Q712-$C$3,$R712,5)*$H712)/100)</f>
        <v>#NAME?</v>
      </c>
      <c r="AI712" s="226" t="e">
        <f aca="false">(((xSPRDOPT($L712,$J712,$I712,$M712,$O712,$N712,$P712,$Q712-$C$3,$R712,4)*$H712)/10000)/100)-AB712</f>
        <v>#NAME?</v>
      </c>
      <c r="AJ712" s="226"/>
      <c r="CC712" s="182" t="n">
        <f aca="false">G710</f>
        <v>36982</v>
      </c>
      <c r="CD712" s="253" t="e">
        <f aca="false">xSPRDOPT((VLOOKUP(G710,NGPrices,2,FALSE())+HLOOKUP(D710,Prices,VLOOKUP(G710,move_down,2,FALSE()),FALSE())),VLOOKUP(G710,NGPrices,2,FALSE()),I710,VLOOKUP(G710,NGPREVPRICES,4,FALSE()),HLOOKUP(D710,PREVVOLS,VLOOKUP(G710,MOVE_DOWN2,2,FALSE()),FALSE()),VLOOKUP(G710,NGPREVPRICES,3,FALSE()),HLOOKUP(D710,Correllate,VLOOKUP(G710,CorMove,2,FALSE()),FALSE()),Q710-$CD$3,R710,$CD$5)*H710-CJ712</f>
        <v>#NAME?</v>
      </c>
      <c r="CE712" s="253" t="e">
        <f aca="false">xSPRDOPT((VLOOKUP(G710,NGPREVPRICES,2,FALSE())+HLOOKUP(D710,PREVCURVES,VLOOKUP(G710,MOVE_DOWN2,2,FALSE()),FALSE())),VLOOKUP(G710,NGPREVPRICES,2,FALSE()),CK712,VLOOKUP(G710,NGPrices,4,FALSE()),HLOOKUP(D710,PREVVOLS,VLOOKUP(G710,MOVE_DOWN2,2,FALSE()),FALSE()),VLOOKUP(G710,NGPREVPRICES,3,FALSE()),HLOOKUP(D710,Correllate,VLOOKUP(G710,CorMove,2,FALSE()),FALSE()),Q710-$CD$3,R710,$CJ$5)*H710-CJ712</f>
        <v>#NAME?</v>
      </c>
      <c r="CF712" s="132" t="e">
        <f aca="false">(CJ712/VLOOKUP(CC712,discount,3,FALSE()))-(CJ712/VLOOKUP(CC712,discount,2,FALSE()))</f>
        <v>#NAME?</v>
      </c>
      <c r="CG712" s="253" t="e">
        <f aca="false">xSPRDOPT((VLOOKUP(G710,NGPREVPRICES,2,FALSE())+HLOOKUP(D710,PREVCURVES,VLOOKUP(G710,MOVE_DOWN2,2,FALSE()),FALSE())),VLOOKUP(G710,NGPREVPRICES,2,FALSE()),CK712,VLOOKUP(G710,NGPREVPRICES,4,FALSE()),HLOOKUP(D710,VOLS,VLOOKUP(G710,move_down,2,FALSE()),FALSE()),VLOOKUP(G710,NGPrices,3,FALSE()),HLOOKUP(D710,Correllate,VLOOKUP(G710,CorMove,2,FALSE()),FALSE()),Q710-$CD$3,R710,$CJ$5)*H710-CJ712</f>
        <v>#NAME?</v>
      </c>
      <c r="CH712" s="253" t="e">
        <f aca="false">xSPRDOPT((VLOOKUP(G710,NGPREVPRICES,2,FALSE())+HLOOKUP(D710,PREVCURVES,VLOOKUP(G710,MOVE_DOWN2,2,FALSE()),FALSE())),VLOOKUP(G710,NGPREVPRICES,2,FALSE()),CK712,VLOOKUP(G710,NGPREVPRICES,4,FALSE()),HLOOKUP(D710,PREVVOLS,VLOOKUP(G710,MOVE_DOWN2,2,FALSE()),FALSE()),VLOOKUP(G710,NGPREVPRICES,3,FALSE()),HLOOKUP(D710,Correllate,VLOOKUP(G710,CorMove,2,FALSE()),FALSE()),Q710-$C$3,R710,$CJ$5)*H710-CJ712</f>
        <v>#NAME?</v>
      </c>
      <c r="CI712" s="253" t="e">
        <f aca="false">SUM(CD712:CH712)</f>
        <v>#NAME?</v>
      </c>
      <c r="CJ712" s="253" t="e">
        <f aca="false">xSPRDOPT((VLOOKUP(G710,NGPREVPRICES,2,FALSE())+HLOOKUP(D710,PREVCURVES,VLOOKUP(G710,MOVE_DOWN2,2,FALSE()),FALSE())),VLOOKUP(G710,NGPREVPRICES,2,FALSE()),CK712,VLOOKUP(G710,NGPREVPRICES,4,FALSE()),HLOOKUP(D710,PREVVOLS,VLOOKUP(G710,MOVE_DOWN2,2,FALSE()),FALSE()),VLOOKUP(G710,NGPREVPRICES,3,FALSE()),HLOOKUP(D710,Correllate,VLOOKUP(G710,CorMove,2,FALSE()),FALSE()),Q710-$CD$3,R710,$CJ$5)*H710</f>
        <v>#NAME?</v>
      </c>
      <c r="CK712" s="254" t="n">
        <f aca="false">I710</f>
        <v>0.42</v>
      </c>
      <c r="CM712" s="0" t="str">
        <f aca="false">CONCATENATE(CC712,$CD$6)</f>
        <v>36982Curve Shift/Gamma</v>
      </c>
      <c r="CN712" s="0" t="str">
        <f aca="false">CONCATENATE($CC712,$CE$6)</f>
        <v>36982Rho</v>
      </c>
      <c r="CO712" s="0" t="str">
        <f aca="false">CONCATENATE($CC712,$CF$6)</f>
        <v>36982Drift</v>
      </c>
      <c r="CP712" s="0" t="str">
        <f aca="false">CONCATENATE($CC712,$CG$6)</f>
        <v>36982Vega</v>
      </c>
      <c r="CQ712" s="0" t="str">
        <f aca="false">CONCATENATE($CC712,$CH$6)</f>
        <v>36982Theta</v>
      </c>
    </row>
    <row r="713" customFormat="false" ht="12.75" hidden="false" customHeight="false" outlineLevel="0" collapsed="false">
      <c r="A713" s="17" t="s">
        <v>206</v>
      </c>
      <c r="B713" s="0" t="s">
        <v>192</v>
      </c>
      <c r="C713" s="0" t="s">
        <v>432</v>
      </c>
      <c r="D713" s="7" t="s">
        <v>149</v>
      </c>
      <c r="E713" s="0" t="s">
        <v>131</v>
      </c>
      <c r="F713" s="0" t="s">
        <v>136</v>
      </c>
      <c r="G713" s="92" t="n">
        <v>37073</v>
      </c>
      <c r="H713" s="248" t="n">
        <v>500000</v>
      </c>
      <c r="I713" s="254" t="n">
        <v>0.42</v>
      </c>
      <c r="J713" s="124" t="n">
        <f aca="false">VLOOKUP(G713,NGPrices,2,FALSE())</f>
        <v>3.803</v>
      </c>
      <c r="K713" s="125" t="n">
        <f aca="false">HLOOKUP(D713,Prices,VLOOKUP(G713,move_down,2,FALSE()),FALSE())+VLOOKUP(G713,CHANGE,HLOOKUP(D713,CHANGE,2,FALSE()),FALSE())</f>
        <v>0.46</v>
      </c>
      <c r="L713" s="124" t="n">
        <f aca="false">K713+J713</f>
        <v>4.263</v>
      </c>
      <c r="M713" s="126" t="n">
        <f aca="false">VLOOKUP(G713,NGPrices,4,FALSE())</f>
        <v>0.069181571268568</v>
      </c>
      <c r="N713" s="7" t="n">
        <f aca="false">VLOOKUP(G713,NGPrices,3,FALSE())</f>
        <v>0.4</v>
      </c>
      <c r="O713" s="7" t="n">
        <f aca="false">HLOOKUP(D713,VOLS,VLOOKUP(G713,move_down,2,FALSE()),FALSE())</f>
        <v>0.392</v>
      </c>
      <c r="P713" s="249" t="n">
        <f aca="false">HLOOKUP(D713,Correllate,VLOOKUP(G713,CorMove,2,FALSE()),FALSE())</f>
        <v>0.9738</v>
      </c>
      <c r="Q713" s="92" t="n">
        <f aca="false">WORKDAY(G713,-2)</f>
        <v>37070</v>
      </c>
      <c r="R713" s="7" t="n">
        <f aca="false">IF(F713="P",0,1)</f>
        <v>1</v>
      </c>
      <c r="S713" s="130" t="e">
        <f aca="false">xSPRDOPT($L713,$J713,$I713,$M713,$O713,$N713,$P713,$Q713-$C$3,$R713,0)</f>
        <v>#NAME?</v>
      </c>
      <c r="T713" s="250" t="e">
        <f aca="false">xSPRDOPT($L713,$J713,$I713,$M713,$O713,$N713,$P713,$Q713-$C$3,$R713,1)*H713</f>
        <v>#NAME?</v>
      </c>
      <c r="U713" s="43" t="e">
        <f aca="false">S713*H713</f>
        <v>#NAME?</v>
      </c>
      <c r="V713" s="250" t="e">
        <f aca="false">xSPRDOPT($L713,$J713,$I713,$M713,$O713,$N713,$P713,$Q713-$C$3,$R713,2)*H713</f>
        <v>#NAME?</v>
      </c>
      <c r="W713" s="250" t="e">
        <f aca="false">+V713+T713</f>
        <v>#NAME?</v>
      </c>
      <c r="X713" s="2" t="str">
        <f aca="false">CONCATENATE(G713,D713)</f>
        <v>37073IF-TRANSCO/Z6</v>
      </c>
      <c r="Y713" s="251" t="n">
        <f aca="false">H713/10000</f>
        <v>50</v>
      </c>
      <c r="Z713" s="226" t="e">
        <f aca="false">T713/H713</f>
        <v>#NAME?</v>
      </c>
      <c r="AA713" s="226" t="e">
        <f aca="false">xSPRDOPT($L713,$J713,$I713,$M713,$O713,$N713,$P713,$Q713-$C$3,$R713,3)</f>
        <v>#NAME?</v>
      </c>
      <c r="AB713" s="226" t="e">
        <f aca="false">((xSPRDOPT($L713+AB$5,$J713,$I713,$M713,$O713,$N713,$P713,$Q713-$C$3,$R713,3)*$H713)/10000)/100</f>
        <v>#NAME?</v>
      </c>
      <c r="AC713" s="226" t="e">
        <f aca="false">((xSPRDOPT($L713+$AB$5,$J713,$I713,$M713,$O713,$N713,$P713,$Q713-$C$3,$R713,7)*$H713)/100)</f>
        <v>#NAME?</v>
      </c>
      <c r="AD713" s="226" t="e">
        <f aca="false">(xSPRDOPT($L713+$AB$5,$J713,$I713,$M713,$O713,$N713,$P713,$Q713-$C$3,$R713,9)/365)*$H713</f>
        <v>#NAME?</v>
      </c>
      <c r="AE713" s="0" t="e">
        <f aca="false">CD715</f>
        <v>#NAME?</v>
      </c>
      <c r="AF713" s="226" t="e">
        <f aca="false">((O713/N713)*AH713)+AG713</f>
        <v>#NAME?</v>
      </c>
      <c r="AG713" s="226" t="e">
        <f aca="false">((xSPRDOPT($L713,$J713,$I713,$M713,$O713,$N713,$P713,$Q713-$C$3,$R713,6)*$H713)/100)</f>
        <v>#NAME?</v>
      </c>
      <c r="AH713" s="226" t="e">
        <f aca="false">((xSPRDOPT($L713,$J713,$I713,$M713,$O713,$N713,$P713,$Q713-$C$3,$R713,5)*$H713)/100)</f>
        <v>#NAME?</v>
      </c>
      <c r="AI713" s="226" t="e">
        <f aca="false">(((xSPRDOPT($L713,$J713,$I713,$M713,$O713,$N713,$P713,$Q713-$C$3,$R713,4)*$H713)/10000)/100)-AB713</f>
        <v>#NAME?</v>
      </c>
      <c r="AJ713" s="226"/>
      <c r="CC713" s="182" t="n">
        <f aca="false">G711</f>
        <v>37012</v>
      </c>
      <c r="CD713" s="253" t="e">
        <f aca="false">xSPRDOPT((VLOOKUP(G711,NGPrices,2,FALSE())+HLOOKUP(D711,Prices,VLOOKUP(G711,move_down,2,FALSE()),FALSE())),VLOOKUP(G711,NGPrices,2,FALSE()),I711,VLOOKUP(G711,NGPREVPRICES,4,FALSE()),HLOOKUP(D711,PREVVOLS,VLOOKUP(G711,MOVE_DOWN2,2,FALSE()),FALSE()),VLOOKUP(G711,NGPREVPRICES,3,FALSE()),HLOOKUP(D711,Correllate,VLOOKUP(G711,CorMove,2,FALSE()),FALSE()),Q711-$CD$3,R711,$CD$5)*H711-CJ713</f>
        <v>#NAME?</v>
      </c>
      <c r="CE713" s="253" t="e">
        <f aca="false">xSPRDOPT((VLOOKUP(G711,NGPREVPRICES,2,FALSE())+HLOOKUP(D711,PREVCURVES,VLOOKUP(G711,MOVE_DOWN2,2,FALSE()),FALSE())),VLOOKUP(G711,NGPREVPRICES,2,FALSE()),CK713,VLOOKUP(G711,NGPrices,4,FALSE()),HLOOKUP(D711,PREVVOLS,VLOOKUP(G711,MOVE_DOWN2,2,FALSE()),FALSE()),VLOOKUP(G711,NGPREVPRICES,3,FALSE()),HLOOKUP(D711,Correllate,VLOOKUP(G711,CorMove,2,FALSE()),FALSE()),Q711-$CD$3,R711,$CJ$5)*H711-CJ713</f>
        <v>#NAME?</v>
      </c>
      <c r="CF713" s="132" t="e">
        <f aca="false">(CJ713/VLOOKUP(CC713,discount,3,FALSE()))-(CJ713/VLOOKUP(CC713,discount,2,FALSE()))</f>
        <v>#NAME?</v>
      </c>
      <c r="CG713" s="253" t="e">
        <f aca="false">xSPRDOPT((VLOOKUP(G711,NGPREVPRICES,2,FALSE())+HLOOKUP(D711,PREVCURVES,VLOOKUP(G711,MOVE_DOWN2,2,FALSE()),FALSE())),VLOOKUP(G711,NGPREVPRICES,2,FALSE()),CK713,VLOOKUP(G711,NGPREVPRICES,4,FALSE()),HLOOKUP(D711,VOLS,VLOOKUP(G711,move_down,2,FALSE()),FALSE()),VLOOKUP(G711,NGPrices,3,FALSE()),HLOOKUP(D711,Correllate,VLOOKUP(G711,CorMove,2,FALSE()),FALSE()),Q711-$CD$3,R711,$CJ$5)*H711-CJ713</f>
        <v>#NAME?</v>
      </c>
      <c r="CH713" s="253" t="e">
        <f aca="false">xSPRDOPT((VLOOKUP(G711,NGPREVPRICES,2,FALSE())+HLOOKUP(D711,PREVCURVES,VLOOKUP(G711,MOVE_DOWN2,2,FALSE()),FALSE())),VLOOKUP(G711,NGPREVPRICES,2,FALSE()),CK713,VLOOKUP(G711,NGPREVPRICES,4,FALSE()),HLOOKUP(D711,PREVVOLS,VLOOKUP(G711,MOVE_DOWN2,2,FALSE()),FALSE()),VLOOKUP(G711,NGPREVPRICES,3,FALSE()),HLOOKUP(D711,Correllate,VLOOKUP(G711,CorMove,2,FALSE()),FALSE()),Q711-$C$3,R711,$CJ$5)*H711-CJ713</f>
        <v>#NAME?</v>
      </c>
      <c r="CI713" s="253" t="e">
        <f aca="false">SUM(CD713:CH713)</f>
        <v>#NAME?</v>
      </c>
      <c r="CJ713" s="253" t="e">
        <f aca="false">xSPRDOPT((VLOOKUP(G711,NGPREVPRICES,2,FALSE())+HLOOKUP(D711,PREVCURVES,VLOOKUP(G711,MOVE_DOWN2,2,FALSE()),FALSE())),VLOOKUP(G711,NGPREVPRICES,2,FALSE()),CK713,VLOOKUP(G711,NGPREVPRICES,4,FALSE()),HLOOKUP(D711,PREVVOLS,VLOOKUP(G711,MOVE_DOWN2,2,FALSE()),FALSE()),VLOOKUP(G711,NGPREVPRICES,3,FALSE()),HLOOKUP(D711,Correllate,VLOOKUP(G711,CorMove,2,FALSE()),FALSE()),Q711-$CD$3,R711,$CJ$5)*H711</f>
        <v>#NAME?</v>
      </c>
      <c r="CK713" s="254" t="n">
        <f aca="false">I711</f>
        <v>0.42</v>
      </c>
      <c r="CM713" s="0" t="str">
        <f aca="false">CONCATENATE(CC713,$CD$6)</f>
        <v>37012Curve Shift/Gamma</v>
      </c>
      <c r="CN713" s="0" t="str">
        <f aca="false">CONCATENATE($CC713,$CE$6)</f>
        <v>37012Rho</v>
      </c>
      <c r="CO713" s="0" t="str">
        <f aca="false">CONCATENATE($CC713,$CF$6)</f>
        <v>37012Drift</v>
      </c>
      <c r="CP713" s="0" t="str">
        <f aca="false">CONCATENATE($CC713,$CG$6)</f>
        <v>37012Vega</v>
      </c>
      <c r="CQ713" s="0" t="str">
        <f aca="false">CONCATENATE($CC713,$CH$6)</f>
        <v>37012Theta</v>
      </c>
    </row>
    <row r="714" customFormat="false" ht="12.75" hidden="false" customHeight="false" outlineLevel="0" collapsed="false">
      <c r="A714" s="17" t="s">
        <v>206</v>
      </c>
      <c r="B714" s="0" t="s">
        <v>192</v>
      </c>
      <c r="C714" s="0" t="s">
        <v>432</v>
      </c>
      <c r="D714" s="7" t="s">
        <v>149</v>
      </c>
      <c r="E714" s="0" t="s">
        <v>131</v>
      </c>
      <c r="F714" s="0" t="s">
        <v>136</v>
      </c>
      <c r="G714" s="92" t="n">
        <v>37104</v>
      </c>
      <c r="H714" s="248" t="n">
        <v>500000</v>
      </c>
      <c r="I714" s="254" t="n">
        <v>0.42</v>
      </c>
      <c r="J714" s="124" t="n">
        <f aca="false">VLOOKUP(G714,NGPrices,2,FALSE())</f>
        <v>3.808</v>
      </c>
      <c r="K714" s="125" t="n">
        <f aca="false">HLOOKUP(D714,Prices,VLOOKUP(G714,move_down,2,FALSE()),FALSE())+VLOOKUP(G714,CHANGE,HLOOKUP(D714,CHANGE,2,FALSE()),FALSE())</f>
        <v>0.46</v>
      </c>
      <c r="L714" s="124" t="n">
        <f aca="false">K714+J714</f>
        <v>4.268</v>
      </c>
      <c r="M714" s="126" t="n">
        <f aca="false">VLOOKUP(G714,NGPrices,4,FALSE())</f>
        <v>0.069223060737755</v>
      </c>
      <c r="N714" s="7" t="n">
        <f aca="false">VLOOKUP(G714,NGPrices,3,FALSE())</f>
        <v>0.4</v>
      </c>
      <c r="O714" s="7" t="n">
        <f aca="false">HLOOKUP(D714,VOLS,VLOOKUP(G714,move_down,2,FALSE()),FALSE())</f>
        <v>0.392</v>
      </c>
      <c r="P714" s="249" t="n">
        <f aca="false">HLOOKUP(D714,Correllate,VLOOKUP(G714,CorMove,2,FALSE()),FALSE())</f>
        <v>0.9738</v>
      </c>
      <c r="Q714" s="92" t="n">
        <f aca="false">WORKDAY(G714,-2)</f>
        <v>37102</v>
      </c>
      <c r="R714" s="7" t="n">
        <f aca="false">IF(F714="P",0,1)</f>
        <v>1</v>
      </c>
      <c r="S714" s="130" t="e">
        <f aca="false">xSPRDOPT($L714,$J714,$I714,$M714,$O714,$N714,$P714,$Q714-$C$3,$R714,0)</f>
        <v>#NAME?</v>
      </c>
      <c r="T714" s="250" t="e">
        <f aca="false">xSPRDOPT($L714,$J714,$I714,$M714,$O714,$N714,$P714,$Q714-$C$3,$R714,1)*H714</f>
        <v>#NAME?</v>
      </c>
      <c r="U714" s="43" t="e">
        <f aca="false">S714*H714</f>
        <v>#NAME?</v>
      </c>
      <c r="V714" s="250" t="e">
        <f aca="false">xSPRDOPT($L714,$J714,$I714,$M714,$O714,$N714,$P714,$Q714-$C$3,$R714,2)*H714</f>
        <v>#NAME?</v>
      </c>
      <c r="W714" s="250" t="e">
        <f aca="false">+V714+T714</f>
        <v>#NAME?</v>
      </c>
      <c r="X714" s="2" t="str">
        <f aca="false">CONCATENATE(G714,D714)</f>
        <v>37104IF-TRANSCO/Z6</v>
      </c>
      <c r="Y714" s="251" t="n">
        <f aca="false">H714/10000</f>
        <v>50</v>
      </c>
      <c r="Z714" s="226" t="e">
        <f aca="false">T714/H714</f>
        <v>#NAME?</v>
      </c>
      <c r="AA714" s="226" t="e">
        <f aca="false">xSPRDOPT($L714,$J714,$I714,$M714,$O714,$N714,$P714,$Q714-$C$3,$R714,3)</f>
        <v>#NAME?</v>
      </c>
      <c r="AB714" s="226" t="e">
        <f aca="false">((xSPRDOPT($L714+AB$5,$J714,$I714,$M714,$O714,$N714,$P714,$Q714-$C$3,$R714,3)*$H714)/10000)/100</f>
        <v>#NAME?</v>
      </c>
      <c r="AC714" s="226" t="e">
        <f aca="false">((xSPRDOPT($L714+$AB$5,$J714,$I714,$M714,$O714,$N714,$P714,$Q714-$C$3,$R714,7)*$H714)/100)</f>
        <v>#NAME?</v>
      </c>
      <c r="AD714" s="226" t="e">
        <f aca="false">(xSPRDOPT($L714+$AB$5,$J714,$I714,$M714,$O714,$N714,$P714,$Q714-$C$3,$R714,9)/365)*$H714</f>
        <v>#NAME?</v>
      </c>
      <c r="AE714" s="0" t="e">
        <f aca="false">CD716</f>
        <v>#NAME?</v>
      </c>
      <c r="AF714" s="226" t="e">
        <f aca="false">((O714/N714)*AH714)+AG714</f>
        <v>#NAME?</v>
      </c>
      <c r="AG714" s="226" t="e">
        <f aca="false">((xSPRDOPT($L714,$J714,$I714,$M714,$O714,$N714,$P714,$Q714-$C$3,$R714,6)*$H714)/100)</f>
        <v>#NAME?</v>
      </c>
      <c r="AH714" s="226" t="e">
        <f aca="false">((xSPRDOPT($L714,$J714,$I714,$M714,$O714,$N714,$P714,$Q714-$C$3,$R714,5)*$H714)/100)</f>
        <v>#NAME?</v>
      </c>
      <c r="AI714" s="226" t="e">
        <f aca="false">(((xSPRDOPT($L714,$J714,$I714,$M714,$O714,$N714,$P714,$Q714-$C$3,$R714,4)*$H714)/10000)/100)-AB714</f>
        <v>#NAME?</v>
      </c>
      <c r="AJ714" s="226"/>
      <c r="CC714" s="182" t="n">
        <f aca="false">G712</f>
        <v>37043</v>
      </c>
      <c r="CD714" s="253" t="e">
        <f aca="false">xSPRDOPT((VLOOKUP(G712,NGPrices,2,FALSE())+HLOOKUP(D712,Prices,VLOOKUP(G712,move_down,2,FALSE()),FALSE())),VLOOKUP(G712,NGPrices,2,FALSE()),I712,VLOOKUP(G712,NGPREVPRICES,4,FALSE()),HLOOKUP(D712,PREVVOLS,VLOOKUP(G712,MOVE_DOWN2,2,FALSE()),FALSE()),VLOOKUP(G712,NGPREVPRICES,3,FALSE()),HLOOKUP(D712,Correllate,VLOOKUP(G712,CorMove,2,FALSE()),FALSE()),Q712-$CD$3,R712,$CD$5)*H712-CJ714</f>
        <v>#NAME?</v>
      </c>
      <c r="CE714" s="253" t="e">
        <f aca="false">xSPRDOPT((VLOOKUP(G712,NGPREVPRICES,2,FALSE())+HLOOKUP(D712,PREVCURVES,VLOOKUP(G712,MOVE_DOWN2,2,FALSE()),FALSE())),VLOOKUP(G712,NGPREVPRICES,2,FALSE()),CK714,VLOOKUP(G712,NGPrices,4,FALSE()),HLOOKUP(D712,PREVVOLS,VLOOKUP(G712,MOVE_DOWN2,2,FALSE()),FALSE()),VLOOKUP(G712,NGPREVPRICES,3,FALSE()),HLOOKUP(D712,Correllate,VLOOKUP(G712,CorMove,2,FALSE()),FALSE()),Q712-$CD$3,R712,$CJ$5)*H712-CJ714</f>
        <v>#NAME?</v>
      </c>
      <c r="CF714" s="132" t="e">
        <f aca="false">(CJ714/VLOOKUP(CC714,discount,3,FALSE()))-(CJ714/VLOOKUP(CC714,discount,2,FALSE()))</f>
        <v>#NAME?</v>
      </c>
      <c r="CG714" s="253" t="e">
        <f aca="false">xSPRDOPT((VLOOKUP(G712,NGPREVPRICES,2,FALSE())+HLOOKUP(D712,PREVCURVES,VLOOKUP(G712,MOVE_DOWN2,2,FALSE()),FALSE())),VLOOKUP(G712,NGPREVPRICES,2,FALSE()),CK714,VLOOKUP(G712,NGPREVPRICES,4,FALSE()),HLOOKUP(D712,VOLS,VLOOKUP(G712,move_down,2,FALSE()),FALSE()),VLOOKUP(G712,NGPrices,3,FALSE()),HLOOKUP(D712,Correllate,VLOOKUP(G712,CorMove,2,FALSE()),FALSE()),Q712-$CD$3,R712,$CJ$5)*H712-CJ714</f>
        <v>#NAME?</v>
      </c>
      <c r="CH714" s="253" t="e">
        <f aca="false">xSPRDOPT((VLOOKUP(G712,NGPREVPRICES,2,FALSE())+HLOOKUP(D712,PREVCURVES,VLOOKUP(G712,MOVE_DOWN2,2,FALSE()),FALSE())),VLOOKUP(G712,NGPREVPRICES,2,FALSE()),CK714,VLOOKUP(G712,NGPREVPRICES,4,FALSE()),HLOOKUP(D712,PREVVOLS,VLOOKUP(G712,MOVE_DOWN2,2,FALSE()),FALSE()),VLOOKUP(G712,NGPREVPRICES,3,FALSE()),HLOOKUP(D712,Correllate,VLOOKUP(G712,CorMove,2,FALSE()),FALSE()),Q712-$C$3,R712,$CJ$5)*H712-CJ714</f>
        <v>#NAME?</v>
      </c>
      <c r="CI714" s="253" t="e">
        <f aca="false">SUM(CD714:CH714)</f>
        <v>#NAME?</v>
      </c>
      <c r="CJ714" s="253" t="e">
        <f aca="false">xSPRDOPT((VLOOKUP(G712,NGPREVPRICES,2,FALSE())+HLOOKUP(D712,PREVCURVES,VLOOKUP(G712,MOVE_DOWN2,2,FALSE()),FALSE())),VLOOKUP(G712,NGPREVPRICES,2,FALSE()),CK714,VLOOKUP(G712,NGPREVPRICES,4,FALSE()),HLOOKUP(D712,PREVVOLS,VLOOKUP(G712,MOVE_DOWN2,2,FALSE()),FALSE()),VLOOKUP(G712,NGPREVPRICES,3,FALSE()),HLOOKUP(D712,Correllate,VLOOKUP(G712,CorMove,2,FALSE()),FALSE()),Q712-$CD$3,R712,$CJ$5)*H712</f>
        <v>#NAME?</v>
      </c>
      <c r="CK714" s="254" t="n">
        <f aca="false">I712</f>
        <v>0.42</v>
      </c>
      <c r="CM714" s="0" t="str">
        <f aca="false">CONCATENATE(CC714,$CD$6)</f>
        <v>37043Curve Shift/Gamma</v>
      </c>
      <c r="CN714" s="0" t="str">
        <f aca="false">CONCATENATE($CC714,$CE$6)</f>
        <v>37043Rho</v>
      </c>
      <c r="CO714" s="0" t="str">
        <f aca="false">CONCATENATE($CC714,$CF$6)</f>
        <v>37043Drift</v>
      </c>
      <c r="CP714" s="0" t="str">
        <f aca="false">CONCATENATE($CC714,$CG$6)</f>
        <v>37043Vega</v>
      </c>
      <c r="CQ714" s="0" t="str">
        <f aca="false">CONCATENATE($CC714,$CH$6)</f>
        <v>37043Theta</v>
      </c>
    </row>
    <row r="715" customFormat="false" ht="12.75" hidden="false" customHeight="false" outlineLevel="0" collapsed="false">
      <c r="A715" s="17" t="s">
        <v>206</v>
      </c>
      <c r="B715" s="0" t="s">
        <v>192</v>
      </c>
      <c r="C715" s="0" t="s">
        <v>432</v>
      </c>
      <c r="D715" s="7" t="s">
        <v>149</v>
      </c>
      <c r="E715" s="0" t="s">
        <v>131</v>
      </c>
      <c r="F715" s="0" t="s">
        <v>136</v>
      </c>
      <c r="G715" s="92" t="n">
        <v>37135</v>
      </c>
      <c r="H715" s="248" t="n">
        <v>500000</v>
      </c>
      <c r="I715" s="254" t="n">
        <v>0.42</v>
      </c>
      <c r="J715" s="124" t="n">
        <f aca="false">VLOOKUP(G715,NGPrices,2,FALSE())</f>
        <v>3.788</v>
      </c>
      <c r="K715" s="125" t="n">
        <f aca="false">HLOOKUP(D715,Prices,VLOOKUP(G715,move_down,2,FALSE()),FALSE())+VLOOKUP(G715,CHANGE,HLOOKUP(D715,CHANGE,2,FALSE()),FALSE())</f>
        <v>0.395</v>
      </c>
      <c r="L715" s="124" t="n">
        <f aca="false">K715+J715</f>
        <v>4.183</v>
      </c>
      <c r="M715" s="126" t="n">
        <f aca="false">VLOOKUP(G715,NGPrices,4,FALSE())</f>
        <v>0.069264550207512</v>
      </c>
      <c r="N715" s="7" t="n">
        <f aca="false">VLOOKUP(G715,NGPrices,3,FALSE())</f>
        <v>0.4</v>
      </c>
      <c r="O715" s="7" t="n">
        <f aca="false">HLOOKUP(D715,VOLS,VLOOKUP(G715,move_down,2,FALSE()),FALSE())</f>
        <v>0.392</v>
      </c>
      <c r="P715" s="249" t="n">
        <f aca="false">HLOOKUP(D715,Correllate,VLOOKUP(G715,CorMove,2,FALSE()),FALSE())</f>
        <v>0.9738</v>
      </c>
      <c r="Q715" s="92" t="n">
        <f aca="false">WORKDAY(G715,-2)</f>
        <v>37133</v>
      </c>
      <c r="R715" s="7" t="n">
        <f aca="false">IF(F715="P",0,1)</f>
        <v>1</v>
      </c>
      <c r="S715" s="130" t="e">
        <f aca="false">xSPRDOPT($L715,$J715,$I715,$M715,$O715,$N715,$P715,$Q715-$C$3,$R715,0)</f>
        <v>#NAME?</v>
      </c>
      <c r="T715" s="250" t="e">
        <f aca="false">xSPRDOPT($L715,$J715,$I715,$M715,$O715,$N715,$P715,$Q715-$C$3,$R715,1)*H715</f>
        <v>#NAME?</v>
      </c>
      <c r="U715" s="43" t="e">
        <f aca="false">S715*H715</f>
        <v>#NAME?</v>
      </c>
      <c r="V715" s="250" t="e">
        <f aca="false">xSPRDOPT($L715,$J715,$I715,$M715,$O715,$N715,$P715,$Q715-$C$3,$R715,2)*H715</f>
        <v>#NAME?</v>
      </c>
      <c r="W715" s="250" t="e">
        <f aca="false">+V715+T715</f>
        <v>#NAME?</v>
      </c>
      <c r="X715" s="2" t="str">
        <f aca="false">CONCATENATE(G715,D715)</f>
        <v>37135IF-TRANSCO/Z6</v>
      </c>
      <c r="Y715" s="251" t="n">
        <f aca="false">H715/10000</f>
        <v>50</v>
      </c>
      <c r="Z715" s="226" t="e">
        <f aca="false">T715/H715</f>
        <v>#NAME?</v>
      </c>
      <c r="AA715" s="226" t="e">
        <f aca="false">xSPRDOPT($L715,$J715,$I715,$M715,$O715,$N715,$P715,$Q715-$C$3,$R715,3)</f>
        <v>#NAME?</v>
      </c>
      <c r="AB715" s="226" t="e">
        <f aca="false">((xSPRDOPT($L715+AB$5,$J715,$I715,$M715,$O715,$N715,$P715,$Q715-$C$3,$R715,3)*$H715)/10000)/100</f>
        <v>#NAME?</v>
      </c>
      <c r="AC715" s="226" t="e">
        <f aca="false">((xSPRDOPT($L715+$AB$5,$J715,$I715,$M715,$O715,$N715,$P715,$Q715-$C$3,$R715,7)*$H715)/100)</f>
        <v>#NAME?</v>
      </c>
      <c r="AD715" s="226" t="e">
        <f aca="false">(xSPRDOPT($L715+$AB$5,$J715,$I715,$M715,$O715,$N715,$P715,$Q715-$C$3,$R715,9)/365)*$H715</f>
        <v>#NAME?</v>
      </c>
      <c r="AE715" s="0" t="e">
        <f aca="false">CD717</f>
        <v>#NAME?</v>
      </c>
      <c r="AF715" s="226" t="e">
        <f aca="false">((O715/N715)*AH715)+AG715</f>
        <v>#NAME?</v>
      </c>
      <c r="AG715" s="226" t="e">
        <f aca="false">((xSPRDOPT($L715,$J715,$I715,$M715,$O715,$N715,$P715,$Q715-$C$3,$R715,6)*$H715)/100)</f>
        <v>#NAME?</v>
      </c>
      <c r="AH715" s="226" t="e">
        <f aca="false">((xSPRDOPT($L715,$J715,$I715,$M715,$O715,$N715,$P715,$Q715-$C$3,$R715,5)*$H715)/100)</f>
        <v>#NAME?</v>
      </c>
      <c r="AI715" s="226" t="e">
        <f aca="false">(((xSPRDOPT($L715,$J715,$I715,$M715,$O715,$N715,$P715,$Q715-$C$3,$R715,4)*$H715)/10000)/100)-AB715</f>
        <v>#NAME?</v>
      </c>
      <c r="AJ715" s="226"/>
      <c r="CC715" s="182" t="n">
        <f aca="false">G713</f>
        <v>37073</v>
      </c>
      <c r="CD715" s="253" t="e">
        <f aca="false">xSPRDOPT((VLOOKUP(G713,NGPrices,2,FALSE())+HLOOKUP(D713,Prices,VLOOKUP(G713,move_down,2,FALSE()),FALSE())),VLOOKUP(G713,NGPrices,2,FALSE()),I713,VLOOKUP(G713,NGPREVPRICES,4,FALSE()),HLOOKUP(D713,PREVVOLS,VLOOKUP(G713,MOVE_DOWN2,2,FALSE()),FALSE()),VLOOKUP(G713,NGPREVPRICES,3,FALSE()),HLOOKUP(D713,Correllate,VLOOKUP(G713,CorMove,2,FALSE()),FALSE()),Q713-$CD$3,R713,$CD$5)*H713-CJ715</f>
        <v>#NAME?</v>
      </c>
      <c r="CE715" s="253" t="e">
        <f aca="false">xSPRDOPT((VLOOKUP(G713,NGPREVPRICES,2,FALSE())+HLOOKUP(D713,PREVCURVES,VLOOKUP(G713,MOVE_DOWN2,2,FALSE()),FALSE())),VLOOKUP(G713,NGPREVPRICES,2,FALSE()),CK715,VLOOKUP(G713,NGPrices,4,FALSE()),HLOOKUP(D713,PREVVOLS,VLOOKUP(G713,MOVE_DOWN2,2,FALSE()),FALSE()),VLOOKUP(G713,NGPREVPRICES,3,FALSE()),HLOOKUP(D713,Correllate,VLOOKUP(G713,CorMove,2,FALSE()),FALSE()),Q713-$CD$3,R713,$CJ$5)*H713-CJ715</f>
        <v>#NAME?</v>
      </c>
      <c r="CF715" s="132" t="e">
        <f aca="false">(CJ715/VLOOKUP(CC715,discount,3,FALSE()))-(CJ715/VLOOKUP(CC715,discount,2,FALSE()))</f>
        <v>#NAME?</v>
      </c>
      <c r="CG715" s="253" t="e">
        <f aca="false">xSPRDOPT((VLOOKUP(G713,NGPREVPRICES,2,FALSE())+HLOOKUP(D713,PREVCURVES,VLOOKUP(G713,MOVE_DOWN2,2,FALSE()),FALSE())),VLOOKUP(G713,NGPREVPRICES,2,FALSE()),CK715,VLOOKUP(G713,NGPREVPRICES,4,FALSE()),HLOOKUP(D713,VOLS,VLOOKUP(G713,move_down,2,FALSE()),FALSE()),VLOOKUP(G713,NGPrices,3,FALSE()),HLOOKUP(D713,Correllate,VLOOKUP(G713,CorMove,2,FALSE()),FALSE()),Q713-$CD$3,R713,$CJ$5)*H713-CJ715</f>
        <v>#NAME?</v>
      </c>
      <c r="CH715" s="253" t="e">
        <f aca="false">xSPRDOPT((VLOOKUP(G713,NGPREVPRICES,2,FALSE())+HLOOKUP(D713,PREVCURVES,VLOOKUP(G713,MOVE_DOWN2,2,FALSE()),FALSE())),VLOOKUP(G713,NGPREVPRICES,2,FALSE()),CK715,VLOOKUP(G713,NGPREVPRICES,4,FALSE()),HLOOKUP(D713,PREVVOLS,VLOOKUP(G713,MOVE_DOWN2,2,FALSE()),FALSE()),VLOOKUP(G713,NGPREVPRICES,3,FALSE()),HLOOKUP(D713,Correllate,VLOOKUP(G713,CorMove,2,FALSE()),FALSE()),Q713-$C$3,R713,$CJ$5)*H713-CJ715</f>
        <v>#NAME?</v>
      </c>
      <c r="CI715" s="253" t="e">
        <f aca="false">SUM(CD715:CH715)</f>
        <v>#NAME?</v>
      </c>
      <c r="CJ715" s="253" t="e">
        <f aca="false">xSPRDOPT((VLOOKUP(G713,NGPREVPRICES,2,FALSE())+HLOOKUP(D713,PREVCURVES,VLOOKUP(G713,MOVE_DOWN2,2,FALSE()),FALSE())),VLOOKUP(G713,NGPREVPRICES,2,FALSE()),CK715,VLOOKUP(G713,NGPREVPRICES,4,FALSE()),HLOOKUP(D713,PREVVOLS,VLOOKUP(G713,MOVE_DOWN2,2,FALSE()),FALSE()),VLOOKUP(G713,NGPREVPRICES,3,FALSE()),HLOOKUP(D713,Correllate,VLOOKUP(G713,CorMove,2,FALSE()),FALSE()),Q713-$CD$3,R713,$CJ$5)*H713</f>
        <v>#NAME?</v>
      </c>
      <c r="CK715" s="254" t="n">
        <f aca="false">I713</f>
        <v>0.42</v>
      </c>
      <c r="CM715" s="0" t="str">
        <f aca="false">CONCATENATE(CC715,$CD$6)</f>
        <v>37073Curve Shift/Gamma</v>
      </c>
      <c r="CN715" s="0" t="str">
        <f aca="false">CONCATENATE($CC715,$CE$6)</f>
        <v>37073Rho</v>
      </c>
      <c r="CO715" s="0" t="str">
        <f aca="false">CONCATENATE($CC715,$CF$6)</f>
        <v>37073Drift</v>
      </c>
      <c r="CP715" s="0" t="str">
        <f aca="false">CONCATENATE($CC715,$CG$6)</f>
        <v>37073Vega</v>
      </c>
      <c r="CQ715" s="0" t="str">
        <f aca="false">CONCATENATE($CC715,$CH$6)</f>
        <v>37073Theta</v>
      </c>
    </row>
    <row r="716" customFormat="false" ht="12.75" hidden="false" customHeight="false" outlineLevel="0" collapsed="false">
      <c r="A716" s="17" t="s">
        <v>206</v>
      </c>
      <c r="B716" s="0" t="s">
        <v>192</v>
      </c>
      <c r="C716" s="0" t="s">
        <v>432</v>
      </c>
      <c r="D716" s="7" t="s">
        <v>149</v>
      </c>
      <c r="E716" s="0" t="s">
        <v>131</v>
      </c>
      <c r="F716" s="0" t="s">
        <v>136</v>
      </c>
      <c r="G716" s="92" t="n">
        <v>37165</v>
      </c>
      <c r="H716" s="248" t="n">
        <v>500000</v>
      </c>
      <c r="I716" s="254" t="n">
        <v>0.42</v>
      </c>
      <c r="J716" s="124" t="n">
        <f aca="false">VLOOKUP(G716,NGPrices,2,FALSE())</f>
        <v>3.773</v>
      </c>
      <c r="K716" s="125" t="n">
        <f aca="false">HLOOKUP(D716,Prices,VLOOKUP(G716,move_down,2,FALSE()),FALSE())+VLOOKUP(G716,CHANGE,HLOOKUP(D716,CHANGE,2,FALSE()),FALSE())</f>
        <v>0.461</v>
      </c>
      <c r="L716" s="124" t="n">
        <f aca="false">K716+J716</f>
        <v>4.234</v>
      </c>
      <c r="M716" s="126" t="n">
        <f aca="false">VLOOKUP(G716,NGPrices,4,FALSE())</f>
        <v>0.069300944538364</v>
      </c>
      <c r="N716" s="7" t="n">
        <f aca="false">VLOOKUP(G716,NGPrices,3,FALSE())</f>
        <v>0.4025</v>
      </c>
      <c r="O716" s="7" t="n">
        <f aca="false">HLOOKUP(D716,VOLS,VLOOKUP(G716,move_down,2,FALSE()),FALSE())</f>
        <v>0.394</v>
      </c>
      <c r="P716" s="249" t="n">
        <f aca="false">HLOOKUP(D716,Correllate,VLOOKUP(G716,CorMove,2,FALSE()),FALSE())</f>
        <v>0.9738</v>
      </c>
      <c r="Q716" s="92" t="n">
        <f aca="false">WORKDAY(G716,-2)</f>
        <v>37161</v>
      </c>
      <c r="R716" s="7" t="n">
        <f aca="false">IF(F716="P",0,1)</f>
        <v>1</v>
      </c>
      <c r="S716" s="130" t="e">
        <f aca="false">xSPRDOPT($L716,$J716,$I716,$M716,$O716,$N716,$P716,$Q716-$C$3,$R716,0)</f>
        <v>#NAME?</v>
      </c>
      <c r="T716" s="250" t="e">
        <f aca="false">xSPRDOPT($L716,$J716,$I716,$M716,$O716,$N716,$P716,$Q716-$C$3,$R716,1)*H716</f>
        <v>#NAME?</v>
      </c>
      <c r="U716" s="43" t="e">
        <f aca="false">S716*H716</f>
        <v>#NAME?</v>
      </c>
      <c r="V716" s="250" t="e">
        <f aca="false">xSPRDOPT($L716,$J716,$I716,$M716,$O716,$N716,$P716,$Q716-$C$3,$R716,2)*H716</f>
        <v>#NAME?</v>
      </c>
      <c r="W716" s="250" t="e">
        <f aca="false">+V716+T716</f>
        <v>#NAME?</v>
      </c>
      <c r="X716" s="2" t="str">
        <f aca="false">CONCATENATE(G716,D716)</f>
        <v>37165IF-TRANSCO/Z6</v>
      </c>
      <c r="Y716" s="251" t="n">
        <f aca="false">H716/10000</f>
        <v>50</v>
      </c>
      <c r="Z716" s="226" t="e">
        <f aca="false">T716/H716</f>
        <v>#NAME?</v>
      </c>
      <c r="AA716" s="226" t="e">
        <f aca="false">xSPRDOPT($L716,$J716,$I716,$M716,$O716,$N716,$P716,$Q716-$C$3,$R716,3)</f>
        <v>#NAME?</v>
      </c>
      <c r="AB716" s="226" t="e">
        <f aca="false">((xSPRDOPT($L716+AB$5,$J716,$I716,$M716,$O716,$N716,$P716,$Q716-$C$3,$R716,3)*$H716)/10000)/100</f>
        <v>#NAME?</v>
      </c>
      <c r="AC716" s="226" t="e">
        <f aca="false">((xSPRDOPT($L716+$AB$5,$J716,$I716,$M716,$O716,$N716,$P716,$Q716-$C$3,$R716,7)*$H716)/100)</f>
        <v>#NAME?</v>
      </c>
      <c r="AD716" s="226" t="e">
        <f aca="false">(xSPRDOPT($L716+$AB$5,$J716,$I716,$M716,$O716,$N716,$P716,$Q716-$C$3,$R716,9)/365)*$H716</f>
        <v>#NAME?</v>
      </c>
      <c r="AE716" s="0" t="e">
        <f aca="false">CD718</f>
        <v>#NAME?</v>
      </c>
      <c r="AF716" s="226" t="e">
        <f aca="false">((O716/N716)*AH716)+AG716</f>
        <v>#NAME?</v>
      </c>
      <c r="AG716" s="226" t="e">
        <f aca="false">((xSPRDOPT($L716,$J716,$I716,$M716,$O716,$N716,$P716,$Q716-$C$3,$R716,6)*$H716)/100)</f>
        <v>#NAME?</v>
      </c>
      <c r="AH716" s="226" t="e">
        <f aca="false">((xSPRDOPT($L716,$J716,$I716,$M716,$O716,$N716,$P716,$Q716-$C$3,$R716,5)*$H716)/100)</f>
        <v>#NAME?</v>
      </c>
      <c r="AI716" s="226" t="e">
        <f aca="false">(((xSPRDOPT($L716,$J716,$I716,$M716,$O716,$N716,$P716,$Q716-$C$3,$R716,4)*$H716)/10000)/100)-AB716</f>
        <v>#NAME?</v>
      </c>
      <c r="AJ716" s="226"/>
      <c r="CC716" s="182" t="n">
        <f aca="false">G714</f>
        <v>37104</v>
      </c>
      <c r="CD716" s="253" t="e">
        <f aca="false">xSPRDOPT((VLOOKUP(G714,NGPrices,2,FALSE())+HLOOKUP(D714,Prices,VLOOKUP(G714,move_down,2,FALSE()),FALSE())),VLOOKUP(G714,NGPrices,2,FALSE()),I714,VLOOKUP(G714,NGPREVPRICES,4,FALSE()),HLOOKUP(D714,PREVVOLS,VLOOKUP(G714,MOVE_DOWN2,2,FALSE()),FALSE()),VLOOKUP(G714,NGPREVPRICES,3,FALSE()),HLOOKUP(D714,Correllate,VLOOKUP(G714,CorMove,2,FALSE()),FALSE()),Q714-$CD$3,R714,$CD$5)*H714-CJ716</f>
        <v>#NAME?</v>
      </c>
      <c r="CE716" s="253" t="e">
        <f aca="false">xSPRDOPT((VLOOKUP(G714,NGPREVPRICES,2,FALSE())+HLOOKUP(D714,PREVCURVES,VLOOKUP(G714,MOVE_DOWN2,2,FALSE()),FALSE())),VLOOKUP(G714,NGPREVPRICES,2,FALSE()),CK716,VLOOKUP(G714,NGPrices,4,FALSE()),HLOOKUP(D714,PREVVOLS,VLOOKUP(G714,MOVE_DOWN2,2,FALSE()),FALSE()),VLOOKUP(G714,NGPREVPRICES,3,FALSE()),HLOOKUP(D714,Correllate,VLOOKUP(G714,CorMove,2,FALSE()),FALSE()),Q714-$CD$3,R714,$CJ$5)*H714-CJ716</f>
        <v>#NAME?</v>
      </c>
      <c r="CF716" s="132" t="e">
        <f aca="false">(CJ716/VLOOKUP(CC716,discount,3,FALSE()))-(CJ716/VLOOKUP(CC716,discount,2,FALSE()))</f>
        <v>#NAME?</v>
      </c>
      <c r="CG716" s="253" t="e">
        <f aca="false">xSPRDOPT((VLOOKUP(G714,NGPREVPRICES,2,FALSE())+HLOOKUP(D714,PREVCURVES,VLOOKUP(G714,MOVE_DOWN2,2,FALSE()),FALSE())),VLOOKUP(G714,NGPREVPRICES,2,FALSE()),CK716,VLOOKUP(G714,NGPREVPRICES,4,FALSE()),HLOOKUP(D714,VOLS,VLOOKUP(G714,move_down,2,FALSE()),FALSE()),VLOOKUP(G714,NGPrices,3,FALSE()),HLOOKUP(D714,Correllate,VLOOKUP(G714,CorMove,2,FALSE()),FALSE()),Q714-$CD$3,R714,$CJ$5)*H714-CJ716</f>
        <v>#NAME?</v>
      </c>
      <c r="CH716" s="253" t="e">
        <f aca="false">xSPRDOPT((VLOOKUP(G714,NGPREVPRICES,2,FALSE())+HLOOKUP(D714,PREVCURVES,VLOOKUP(G714,MOVE_DOWN2,2,FALSE()),FALSE())),VLOOKUP(G714,NGPREVPRICES,2,FALSE()),CK716,VLOOKUP(G714,NGPREVPRICES,4,FALSE()),HLOOKUP(D714,PREVVOLS,VLOOKUP(G714,MOVE_DOWN2,2,FALSE()),FALSE()),VLOOKUP(G714,NGPREVPRICES,3,FALSE()),HLOOKUP(D714,Correllate,VLOOKUP(G714,CorMove,2,FALSE()),FALSE()),Q714-$C$3,R714,$CJ$5)*H714-CJ716</f>
        <v>#NAME?</v>
      </c>
      <c r="CI716" s="253" t="e">
        <f aca="false">SUM(CD716:CH716)</f>
        <v>#NAME?</v>
      </c>
      <c r="CJ716" s="253" t="e">
        <f aca="false">xSPRDOPT((VLOOKUP(G714,NGPREVPRICES,2,FALSE())+HLOOKUP(D714,PREVCURVES,VLOOKUP(G714,MOVE_DOWN2,2,FALSE()),FALSE())),VLOOKUP(G714,NGPREVPRICES,2,FALSE()),CK716,VLOOKUP(G714,NGPREVPRICES,4,FALSE()),HLOOKUP(D714,PREVVOLS,VLOOKUP(G714,MOVE_DOWN2,2,FALSE()),FALSE()),VLOOKUP(G714,NGPREVPRICES,3,FALSE()),HLOOKUP(D714,Correllate,VLOOKUP(G714,CorMove,2,FALSE()),FALSE()),Q714-$CD$3,R714,$CJ$5)*H714</f>
        <v>#NAME?</v>
      </c>
      <c r="CK716" s="254" t="n">
        <f aca="false">I714</f>
        <v>0.42</v>
      </c>
      <c r="CM716" s="0" t="str">
        <f aca="false">CONCATENATE(CC716,$CD$6)</f>
        <v>37104Curve Shift/Gamma</v>
      </c>
      <c r="CN716" s="0" t="str">
        <f aca="false">CONCATENATE($CC716,$CE$6)</f>
        <v>37104Rho</v>
      </c>
      <c r="CO716" s="0" t="str">
        <f aca="false">CONCATENATE($CC716,$CF$6)</f>
        <v>37104Drift</v>
      </c>
      <c r="CP716" s="0" t="str">
        <f aca="false">CONCATENATE($CC716,$CG$6)</f>
        <v>37104Vega</v>
      </c>
      <c r="CQ716" s="0" t="str">
        <f aca="false">CONCATENATE($CC716,$CH$6)</f>
        <v>37104Theta</v>
      </c>
    </row>
    <row r="717" customFormat="false" ht="12.75" hidden="false" customHeight="false" outlineLevel="0" collapsed="false">
      <c r="A717" s="17" t="s">
        <v>206</v>
      </c>
      <c r="B717" s="0" t="s">
        <v>192</v>
      </c>
      <c r="C717" s="0" t="s">
        <v>433</v>
      </c>
      <c r="D717" s="7" t="s">
        <v>149</v>
      </c>
      <c r="E717" s="0" t="s">
        <v>131</v>
      </c>
      <c r="F717" s="0" t="s">
        <v>132</v>
      </c>
      <c r="G717" s="92" t="n">
        <v>36982</v>
      </c>
      <c r="H717" s="248" t="n">
        <v>500000</v>
      </c>
      <c r="I717" s="254" t="n">
        <v>0.42</v>
      </c>
      <c r="J717" s="124" t="n">
        <f aca="false">VLOOKUP(G717,NGPrices,2,FALSE())</f>
        <v>3.938</v>
      </c>
      <c r="K717" s="125" t="n">
        <f aca="false">HLOOKUP(D717,Prices,VLOOKUP(G717,move_down,2,FALSE()),FALSE())+VLOOKUP(G717,CHANGE,HLOOKUP(D717,CHANGE,2,FALSE()),FALSE())</f>
        <v>0.52</v>
      </c>
      <c r="L717" s="124" t="n">
        <f aca="false">K717+J717</f>
        <v>4.458</v>
      </c>
      <c r="M717" s="126" t="n">
        <f aca="false">VLOOKUP(G717,NGPrices,4,FALSE())</f>
        <v>0.069061726541121</v>
      </c>
      <c r="N717" s="7" t="n">
        <f aca="false">VLOOKUP(G717,NGPrices,3,FALSE())</f>
        <v>0.4425</v>
      </c>
      <c r="O717" s="7" t="n">
        <f aca="false">HLOOKUP(D717,VOLS,VLOOKUP(G717,move_down,2,FALSE()),FALSE())</f>
        <v>0.434</v>
      </c>
      <c r="P717" s="249" t="n">
        <f aca="false">HLOOKUP(D717,Correllate,VLOOKUP(G717,CorMove,2,FALSE()),FALSE())</f>
        <v>0.9738</v>
      </c>
      <c r="Q717" s="92" t="n">
        <f aca="false">WORKDAY(G717,-2)</f>
        <v>36979</v>
      </c>
      <c r="R717" s="7" t="n">
        <f aca="false">IF(F717="P",0,1)</f>
        <v>0</v>
      </c>
      <c r="S717" s="130" t="e">
        <f aca="false">xSPRDOPT($L717,$J717,$I717,$M717,$O717,$N717,$P717,$Q717-$C$3,$R717,0)</f>
        <v>#NAME?</v>
      </c>
      <c r="T717" s="250" t="e">
        <f aca="false">xSPRDOPT($L717,$J717,$I717,$M717,$O717,$N717,$P717,$Q717-$C$3,$R717,1)*H717</f>
        <v>#NAME?</v>
      </c>
      <c r="U717" s="43" t="e">
        <f aca="false">S717*H717</f>
        <v>#NAME?</v>
      </c>
      <c r="V717" s="250" t="e">
        <f aca="false">xSPRDOPT($L717,$J717,$I717,$M717,$O717,$N717,$P717,$Q717-$C$3,$R717,2)*H717</f>
        <v>#NAME?</v>
      </c>
      <c r="W717" s="250" t="e">
        <f aca="false">+V717+T717</f>
        <v>#NAME?</v>
      </c>
      <c r="X717" s="2" t="str">
        <f aca="false">CONCATENATE(G717,D717)</f>
        <v>36982IF-TRANSCO/Z6</v>
      </c>
      <c r="Y717" s="251" t="n">
        <f aca="false">H717/10000</f>
        <v>50</v>
      </c>
      <c r="Z717" s="226" t="e">
        <f aca="false">T717/H717</f>
        <v>#NAME?</v>
      </c>
      <c r="AA717" s="226" t="e">
        <f aca="false">xSPRDOPT($L717,$J717,$I717,$M717,$O717,$N717,$P717,$Q717-$C$3,$R717,3)</f>
        <v>#NAME?</v>
      </c>
      <c r="AB717" s="226" t="e">
        <f aca="false">((xSPRDOPT($L717+AB$5,$J717,$I717,$M717,$O717,$N717,$P717,$Q717-$C$3,$R717,3)*$H717)/10000)/100</f>
        <v>#NAME?</v>
      </c>
      <c r="AC717" s="226" t="e">
        <f aca="false">((xSPRDOPT($L717+$AB$5,$J717,$I717,$M717,$O717,$N717,$P717,$Q717-$C$3,$R717,7)*$H717)/100)</f>
        <v>#NAME?</v>
      </c>
      <c r="AD717" s="226" t="e">
        <f aca="false">(xSPRDOPT($L717+$AB$5,$J717,$I717,$M717,$O717,$N717,$P717,$Q717-$C$3,$R717,9)/365)*$H717</f>
        <v>#NAME?</v>
      </c>
      <c r="AE717" s="0" t="e">
        <f aca="false">CD719</f>
        <v>#NAME?</v>
      </c>
      <c r="AF717" s="226" t="e">
        <f aca="false">((O717/N717)*AH717)+AG717</f>
        <v>#NAME?</v>
      </c>
      <c r="AG717" s="226" t="e">
        <f aca="false">((xSPRDOPT($L717,$J717,$I717,$M717,$O717,$N717,$P717,$Q717-$C$3,$R717,6)*$H717)/100)</f>
        <v>#NAME?</v>
      </c>
      <c r="AH717" s="226" t="e">
        <f aca="false">((xSPRDOPT($L717,$J717,$I717,$M717,$O717,$N717,$P717,$Q717-$C$3,$R717,5)*$H717)/100)</f>
        <v>#NAME?</v>
      </c>
      <c r="AI717" s="226" t="e">
        <f aca="false">(((xSPRDOPT($L717,$J717,$I717,$M717,$O717,$N717,$P717,$Q717-$C$3,$R717,4)*$H717)/10000)/100)-AB717</f>
        <v>#NAME?</v>
      </c>
      <c r="AJ717" s="226"/>
      <c r="CC717" s="182" t="n">
        <f aca="false">G715</f>
        <v>37135</v>
      </c>
      <c r="CD717" s="253" t="e">
        <f aca="false">xSPRDOPT((VLOOKUP(G715,NGPrices,2,FALSE())+HLOOKUP(D715,Prices,VLOOKUP(G715,move_down,2,FALSE()),FALSE())),VLOOKUP(G715,NGPrices,2,FALSE()),I715,VLOOKUP(G715,NGPREVPRICES,4,FALSE()),HLOOKUP(D715,PREVVOLS,VLOOKUP(G715,MOVE_DOWN2,2,FALSE()),FALSE()),VLOOKUP(G715,NGPREVPRICES,3,FALSE()),HLOOKUP(D715,Correllate,VLOOKUP(G715,CorMove,2,FALSE()),FALSE()),Q715-$CD$3,R715,$CD$5)*H715-CJ717</f>
        <v>#NAME?</v>
      </c>
      <c r="CE717" s="253" t="e">
        <f aca="false">xSPRDOPT((VLOOKUP(G715,NGPREVPRICES,2,FALSE())+HLOOKUP(D715,PREVCURVES,VLOOKUP(G715,MOVE_DOWN2,2,FALSE()),FALSE())),VLOOKUP(G715,NGPREVPRICES,2,FALSE()),CK717,VLOOKUP(G715,NGPrices,4,FALSE()),HLOOKUP(D715,PREVVOLS,VLOOKUP(G715,MOVE_DOWN2,2,FALSE()),FALSE()),VLOOKUP(G715,NGPREVPRICES,3,FALSE()),HLOOKUP(D715,Correllate,VLOOKUP(G715,CorMove,2,FALSE()),FALSE()),Q715-$CD$3,R715,$CJ$5)*H715-CJ717</f>
        <v>#NAME?</v>
      </c>
      <c r="CF717" s="132" t="e">
        <f aca="false">(CJ717/VLOOKUP(CC717,discount,3,FALSE()))-(CJ717/VLOOKUP(CC717,discount,2,FALSE()))</f>
        <v>#NAME?</v>
      </c>
      <c r="CG717" s="253" t="e">
        <f aca="false">xSPRDOPT((VLOOKUP(G715,NGPREVPRICES,2,FALSE())+HLOOKUP(D715,PREVCURVES,VLOOKUP(G715,MOVE_DOWN2,2,FALSE()),FALSE())),VLOOKUP(G715,NGPREVPRICES,2,FALSE()),CK717,VLOOKUP(G715,NGPREVPRICES,4,FALSE()),HLOOKUP(D715,VOLS,VLOOKUP(G715,move_down,2,FALSE()),FALSE()),VLOOKUP(G715,NGPrices,3,FALSE()),HLOOKUP(D715,Correllate,VLOOKUP(G715,CorMove,2,FALSE()),FALSE()),Q715-$CD$3,R715,$CJ$5)*H715-CJ717</f>
        <v>#NAME?</v>
      </c>
      <c r="CH717" s="253" t="e">
        <f aca="false">xSPRDOPT((VLOOKUP(G715,NGPREVPRICES,2,FALSE())+HLOOKUP(D715,PREVCURVES,VLOOKUP(G715,MOVE_DOWN2,2,FALSE()),FALSE())),VLOOKUP(G715,NGPREVPRICES,2,FALSE()),CK717,VLOOKUP(G715,NGPREVPRICES,4,FALSE()),HLOOKUP(D715,PREVVOLS,VLOOKUP(G715,MOVE_DOWN2,2,FALSE()),FALSE()),VLOOKUP(G715,NGPREVPRICES,3,FALSE()),HLOOKUP(D715,Correllate,VLOOKUP(G715,CorMove,2,FALSE()),FALSE()),Q715-$C$3,R715,$CJ$5)*H715-CJ717</f>
        <v>#NAME?</v>
      </c>
      <c r="CI717" s="253" t="e">
        <f aca="false">SUM(CD717:CH717)</f>
        <v>#NAME?</v>
      </c>
      <c r="CJ717" s="253" t="e">
        <f aca="false">xSPRDOPT((VLOOKUP(G715,NGPREVPRICES,2,FALSE())+HLOOKUP(D715,PREVCURVES,VLOOKUP(G715,MOVE_DOWN2,2,FALSE()),FALSE())),VLOOKUP(G715,NGPREVPRICES,2,FALSE()),CK717,VLOOKUP(G715,NGPREVPRICES,4,FALSE()),HLOOKUP(D715,PREVVOLS,VLOOKUP(G715,MOVE_DOWN2,2,FALSE()),FALSE()),VLOOKUP(G715,NGPREVPRICES,3,FALSE()),HLOOKUP(D715,Correllate,VLOOKUP(G715,CorMove,2,FALSE()),FALSE()),Q715-$CD$3,R715,$CJ$5)*H715</f>
        <v>#NAME?</v>
      </c>
      <c r="CK717" s="254" t="n">
        <f aca="false">I715</f>
        <v>0.42</v>
      </c>
      <c r="CM717" s="0" t="str">
        <f aca="false">CONCATENATE(CC717,$CD$6)</f>
        <v>37135Curve Shift/Gamma</v>
      </c>
      <c r="CN717" s="0" t="str">
        <f aca="false">CONCATENATE($CC717,$CE$6)</f>
        <v>37135Rho</v>
      </c>
      <c r="CO717" s="0" t="str">
        <f aca="false">CONCATENATE($CC717,$CF$6)</f>
        <v>37135Drift</v>
      </c>
      <c r="CP717" s="0" t="str">
        <f aca="false">CONCATENATE($CC717,$CG$6)</f>
        <v>37135Vega</v>
      </c>
      <c r="CQ717" s="0" t="str">
        <f aca="false">CONCATENATE($CC717,$CH$6)</f>
        <v>37135Theta</v>
      </c>
    </row>
    <row r="718" customFormat="false" ht="12.75" hidden="false" customHeight="false" outlineLevel="0" collapsed="false">
      <c r="A718" s="17" t="s">
        <v>206</v>
      </c>
      <c r="B718" s="0" t="s">
        <v>192</v>
      </c>
      <c r="C718" s="0" t="s">
        <v>433</v>
      </c>
      <c r="D718" s="7" t="s">
        <v>149</v>
      </c>
      <c r="E718" s="0" t="s">
        <v>131</v>
      </c>
      <c r="F718" s="0" t="s">
        <v>132</v>
      </c>
      <c r="G718" s="92" t="n">
        <v>37012</v>
      </c>
      <c r="H718" s="248" t="n">
        <v>500000</v>
      </c>
      <c r="I718" s="254" t="n">
        <v>0.42</v>
      </c>
      <c r="J718" s="124" t="n">
        <f aca="false">VLOOKUP(G718,NGPrices,2,FALSE())</f>
        <v>3.838</v>
      </c>
      <c r="K718" s="125" t="n">
        <f aca="false">HLOOKUP(D718,Prices,VLOOKUP(G718,move_down,2,FALSE()),FALSE())+VLOOKUP(G718,CHANGE,HLOOKUP(D718,CHANGE,2,FALSE()),FALSE())</f>
        <v>0.405</v>
      </c>
      <c r="L718" s="124" t="n">
        <f aca="false">K718+J718</f>
        <v>4.243</v>
      </c>
      <c r="M718" s="126" t="n">
        <f aca="false">VLOOKUP(G718,NGPrices,4,FALSE())</f>
        <v>0.069101151219</v>
      </c>
      <c r="N718" s="7" t="n">
        <f aca="false">VLOOKUP(G718,NGPrices,3,FALSE())</f>
        <v>0.405</v>
      </c>
      <c r="O718" s="7" t="n">
        <f aca="false">HLOOKUP(D718,VOLS,VLOOKUP(G718,move_down,2,FALSE()),FALSE())</f>
        <v>0.397</v>
      </c>
      <c r="P718" s="249" t="n">
        <f aca="false">HLOOKUP(D718,Correllate,VLOOKUP(G718,CorMove,2,FALSE()),FALSE())</f>
        <v>0.9738</v>
      </c>
      <c r="Q718" s="92" t="n">
        <f aca="false">WORKDAY(G718,-2)</f>
        <v>37008</v>
      </c>
      <c r="R718" s="7" t="n">
        <f aca="false">IF(F718="P",0,1)</f>
        <v>0</v>
      </c>
      <c r="S718" s="130" t="e">
        <f aca="false">xSPRDOPT($L718,$J718,$I718,$M718,$O718,$N718,$P718,$Q718-$C$3,$R718,0)</f>
        <v>#NAME?</v>
      </c>
      <c r="T718" s="250" t="e">
        <f aca="false">xSPRDOPT($L718,$J718,$I718,$M718,$O718,$N718,$P718,$Q718-$C$3,$R718,1)*H718</f>
        <v>#NAME?</v>
      </c>
      <c r="U718" s="43" t="e">
        <f aca="false">S718*H718</f>
        <v>#NAME?</v>
      </c>
      <c r="V718" s="250" t="e">
        <f aca="false">xSPRDOPT($L718,$J718,$I718,$M718,$O718,$N718,$P718,$Q718-$C$3,$R718,2)*H718</f>
        <v>#NAME?</v>
      </c>
      <c r="W718" s="250" t="e">
        <f aca="false">+V718+T718</f>
        <v>#NAME?</v>
      </c>
      <c r="X718" s="2" t="str">
        <f aca="false">CONCATENATE(G718,D718)</f>
        <v>37012IF-TRANSCO/Z6</v>
      </c>
      <c r="Y718" s="251" t="n">
        <f aca="false">H718/10000</f>
        <v>50</v>
      </c>
      <c r="Z718" s="226" t="e">
        <f aca="false">T718/H718</f>
        <v>#NAME?</v>
      </c>
      <c r="AA718" s="226" t="e">
        <f aca="false">xSPRDOPT($L718,$J718,$I718,$M718,$O718,$N718,$P718,$Q718-$C$3,$R718,3)</f>
        <v>#NAME?</v>
      </c>
      <c r="AB718" s="226" t="e">
        <f aca="false">((xSPRDOPT($L718+AB$5,$J718,$I718,$M718,$O718,$N718,$P718,$Q718-$C$3,$R718,3)*$H718)/10000)/100</f>
        <v>#NAME?</v>
      </c>
      <c r="AC718" s="226" t="e">
        <f aca="false">((xSPRDOPT($L718+$AB$5,$J718,$I718,$M718,$O718,$N718,$P718,$Q718-$C$3,$R718,7)*$H718)/100)</f>
        <v>#NAME?</v>
      </c>
      <c r="AD718" s="226" t="e">
        <f aca="false">(xSPRDOPT($L718+$AB$5,$J718,$I718,$M718,$O718,$N718,$P718,$Q718-$C$3,$R718,9)/365)*$H718</f>
        <v>#NAME?</v>
      </c>
      <c r="AE718" s="0" t="e">
        <f aca="false">CD720</f>
        <v>#NAME?</v>
      </c>
      <c r="AF718" s="226" t="e">
        <f aca="false">((O718/N718)*AH718)+AG718</f>
        <v>#NAME?</v>
      </c>
      <c r="AG718" s="226" t="e">
        <f aca="false">((xSPRDOPT($L718,$J718,$I718,$M718,$O718,$N718,$P718,$Q718-$C$3,$R718,6)*$H718)/100)</f>
        <v>#NAME?</v>
      </c>
      <c r="AH718" s="226" t="e">
        <f aca="false">((xSPRDOPT($L718,$J718,$I718,$M718,$O718,$N718,$P718,$Q718-$C$3,$R718,5)*$H718)/100)</f>
        <v>#NAME?</v>
      </c>
      <c r="AI718" s="226" t="e">
        <f aca="false">(((xSPRDOPT($L718,$J718,$I718,$M718,$O718,$N718,$P718,$Q718-$C$3,$R718,4)*$H718)/10000)/100)-AB718</f>
        <v>#NAME?</v>
      </c>
      <c r="AJ718" s="226"/>
      <c r="CC718" s="182" t="n">
        <f aca="false">G716</f>
        <v>37165</v>
      </c>
      <c r="CD718" s="253" t="e">
        <f aca="false">xSPRDOPT((VLOOKUP(G716,NGPrices,2,FALSE())+HLOOKUP(D716,Prices,VLOOKUP(G716,move_down,2,FALSE()),FALSE())),VLOOKUP(G716,NGPrices,2,FALSE()),I716,VLOOKUP(G716,NGPREVPRICES,4,FALSE()),HLOOKUP(D716,PREVVOLS,VLOOKUP(G716,MOVE_DOWN2,2,FALSE()),FALSE()),VLOOKUP(G716,NGPREVPRICES,3,FALSE()),HLOOKUP(D716,Correllate,VLOOKUP(G716,CorMove,2,FALSE()),FALSE()),Q716-$CD$3,R716,$CD$5)*H716-CJ718</f>
        <v>#NAME?</v>
      </c>
      <c r="CE718" s="253" t="e">
        <f aca="false">xSPRDOPT((VLOOKUP(G716,NGPREVPRICES,2,FALSE())+HLOOKUP(D716,PREVCURVES,VLOOKUP(G716,MOVE_DOWN2,2,FALSE()),FALSE())),VLOOKUP(G716,NGPREVPRICES,2,FALSE()),CK718,VLOOKUP(G716,NGPrices,4,FALSE()),HLOOKUP(D716,PREVVOLS,VLOOKUP(G716,MOVE_DOWN2,2,FALSE()),FALSE()),VLOOKUP(G716,NGPREVPRICES,3,FALSE()),HLOOKUP(D716,Correllate,VLOOKUP(G716,CorMove,2,FALSE()),FALSE()),Q716-$CD$3,R716,$CJ$5)*H716-CJ718</f>
        <v>#NAME?</v>
      </c>
      <c r="CF718" s="132" t="e">
        <f aca="false">(CJ718/VLOOKUP(CC718,discount,3,FALSE()))-(CJ718/VLOOKUP(CC718,discount,2,FALSE()))</f>
        <v>#NAME?</v>
      </c>
      <c r="CG718" s="253" t="e">
        <f aca="false">xSPRDOPT((VLOOKUP(G716,NGPREVPRICES,2,FALSE())+HLOOKUP(D716,PREVCURVES,VLOOKUP(G716,MOVE_DOWN2,2,FALSE()),FALSE())),VLOOKUP(G716,NGPREVPRICES,2,FALSE()),CK718,VLOOKUP(G716,NGPREVPRICES,4,FALSE()),HLOOKUP(D716,VOLS,VLOOKUP(G716,move_down,2,FALSE()),FALSE()),VLOOKUP(G716,NGPrices,3,FALSE()),HLOOKUP(D716,Correllate,VLOOKUP(G716,CorMove,2,FALSE()),FALSE()),Q716-$CD$3,R716,$CJ$5)*H716-CJ718</f>
        <v>#NAME?</v>
      </c>
      <c r="CH718" s="253" t="e">
        <f aca="false">xSPRDOPT((VLOOKUP(G716,NGPREVPRICES,2,FALSE())+HLOOKUP(D716,PREVCURVES,VLOOKUP(G716,MOVE_DOWN2,2,FALSE()),FALSE())),VLOOKUP(G716,NGPREVPRICES,2,FALSE()),CK718,VLOOKUP(G716,NGPREVPRICES,4,FALSE()),HLOOKUP(D716,PREVVOLS,VLOOKUP(G716,MOVE_DOWN2,2,FALSE()),FALSE()),VLOOKUP(G716,NGPREVPRICES,3,FALSE()),HLOOKUP(D716,Correllate,VLOOKUP(G716,CorMove,2,FALSE()),FALSE()),Q716-$C$3,R716,$CJ$5)*H716-CJ718</f>
        <v>#NAME?</v>
      </c>
      <c r="CI718" s="253" t="e">
        <f aca="false">SUM(CD718:CH718)</f>
        <v>#NAME?</v>
      </c>
      <c r="CJ718" s="253" t="e">
        <f aca="false">xSPRDOPT((VLOOKUP(G716,NGPREVPRICES,2,FALSE())+HLOOKUP(D716,PREVCURVES,VLOOKUP(G716,MOVE_DOWN2,2,FALSE()),FALSE())),VLOOKUP(G716,NGPREVPRICES,2,FALSE()),CK718,VLOOKUP(G716,NGPREVPRICES,4,FALSE()),HLOOKUP(D716,PREVVOLS,VLOOKUP(G716,MOVE_DOWN2,2,FALSE()),FALSE()),VLOOKUP(G716,NGPREVPRICES,3,FALSE()),HLOOKUP(D716,Correllate,VLOOKUP(G716,CorMove,2,FALSE()),FALSE()),Q716-$CD$3,R716,$CJ$5)*H716</f>
        <v>#NAME?</v>
      </c>
      <c r="CK718" s="254" t="n">
        <f aca="false">I716</f>
        <v>0.42</v>
      </c>
      <c r="CM718" s="0" t="str">
        <f aca="false">CONCATENATE(CC718,$CD$6)</f>
        <v>37165Curve Shift/Gamma</v>
      </c>
      <c r="CN718" s="0" t="str">
        <f aca="false">CONCATENATE($CC718,$CE$6)</f>
        <v>37165Rho</v>
      </c>
      <c r="CO718" s="0" t="str">
        <f aca="false">CONCATENATE($CC718,$CF$6)</f>
        <v>37165Drift</v>
      </c>
      <c r="CP718" s="0" t="str">
        <f aca="false">CONCATENATE($CC718,$CG$6)</f>
        <v>37165Vega</v>
      </c>
      <c r="CQ718" s="0" t="str">
        <f aca="false">CONCATENATE($CC718,$CH$6)</f>
        <v>37165Theta</v>
      </c>
    </row>
    <row r="719" customFormat="false" ht="12.75" hidden="false" customHeight="false" outlineLevel="0" collapsed="false">
      <c r="A719" s="17" t="s">
        <v>206</v>
      </c>
      <c r="B719" s="0" t="s">
        <v>192</v>
      </c>
      <c r="C719" s="0" t="s">
        <v>433</v>
      </c>
      <c r="D719" s="7" t="s">
        <v>149</v>
      </c>
      <c r="E719" s="0" t="s">
        <v>131</v>
      </c>
      <c r="F719" s="0" t="s">
        <v>132</v>
      </c>
      <c r="G719" s="92" t="n">
        <v>37043</v>
      </c>
      <c r="H719" s="248" t="n">
        <v>500000</v>
      </c>
      <c r="I719" s="254" t="n">
        <v>0.42</v>
      </c>
      <c r="J719" s="124" t="n">
        <f aca="false">VLOOKUP(G719,NGPrices,2,FALSE())</f>
        <v>3.818</v>
      </c>
      <c r="K719" s="125" t="n">
        <f aca="false">HLOOKUP(D719,Prices,VLOOKUP(G719,move_down,2,FALSE()),FALSE())+VLOOKUP(G719,CHANGE,HLOOKUP(D719,CHANGE,2,FALSE()),FALSE())</f>
        <v>0.395</v>
      </c>
      <c r="L719" s="124" t="n">
        <f aca="false">K719+J719</f>
        <v>4.213</v>
      </c>
      <c r="M719" s="126" t="n">
        <f aca="false">VLOOKUP(G719,NGPrices,4,FALSE())</f>
        <v>0.069141890053328</v>
      </c>
      <c r="N719" s="7" t="n">
        <f aca="false">VLOOKUP(G719,NGPrices,3,FALSE())</f>
        <v>0.4</v>
      </c>
      <c r="O719" s="7" t="n">
        <f aca="false">HLOOKUP(D719,VOLS,VLOOKUP(G719,move_down,2,FALSE()),FALSE())</f>
        <v>0.392</v>
      </c>
      <c r="P719" s="249" t="n">
        <f aca="false">HLOOKUP(D719,Correllate,VLOOKUP(G719,CorMove,2,FALSE()),FALSE())</f>
        <v>0.9738</v>
      </c>
      <c r="Q719" s="92" t="n">
        <f aca="false">WORKDAY(G719,-2)</f>
        <v>37041</v>
      </c>
      <c r="R719" s="7" t="n">
        <f aca="false">IF(F719="P",0,1)</f>
        <v>0</v>
      </c>
      <c r="S719" s="130" t="e">
        <f aca="false">xSPRDOPT($L719,$J719,$I719,$M719,$O719,$N719,$P719,$Q719-$C$3,$R719,0)</f>
        <v>#NAME?</v>
      </c>
      <c r="T719" s="250" t="e">
        <f aca="false">xSPRDOPT($L719,$J719,$I719,$M719,$O719,$N719,$P719,$Q719-$C$3,$R719,1)*H719</f>
        <v>#NAME?</v>
      </c>
      <c r="U719" s="43" t="e">
        <f aca="false">S719*H719</f>
        <v>#NAME?</v>
      </c>
      <c r="V719" s="250" t="e">
        <f aca="false">xSPRDOPT($L719,$J719,$I719,$M719,$O719,$N719,$P719,$Q719-$C$3,$R719,2)*H719</f>
        <v>#NAME?</v>
      </c>
      <c r="W719" s="250" t="e">
        <f aca="false">+V719+T719</f>
        <v>#NAME?</v>
      </c>
      <c r="X719" s="2" t="str">
        <f aca="false">CONCATENATE(G719,D719)</f>
        <v>37043IF-TRANSCO/Z6</v>
      </c>
      <c r="Y719" s="251" t="n">
        <f aca="false">H719/10000</f>
        <v>50</v>
      </c>
      <c r="Z719" s="226" t="e">
        <f aca="false">T719/H719</f>
        <v>#NAME?</v>
      </c>
      <c r="AA719" s="226" t="e">
        <f aca="false">xSPRDOPT($L719,$J719,$I719,$M719,$O719,$N719,$P719,$Q719-$C$3,$R719,3)</f>
        <v>#NAME?</v>
      </c>
      <c r="AB719" s="226" t="e">
        <f aca="false">((xSPRDOPT($L719+AB$5,$J719,$I719,$M719,$O719,$N719,$P719,$Q719-$C$3,$R719,3)*$H719)/10000)/100</f>
        <v>#NAME?</v>
      </c>
      <c r="AC719" s="226" t="e">
        <f aca="false">((xSPRDOPT($L719+$AB$5,$J719,$I719,$M719,$O719,$N719,$P719,$Q719-$C$3,$R719,7)*$H719)/100)</f>
        <v>#NAME?</v>
      </c>
      <c r="AD719" s="226" t="e">
        <f aca="false">(xSPRDOPT($L719+$AB$5,$J719,$I719,$M719,$O719,$N719,$P719,$Q719-$C$3,$R719,9)/365)*$H719</f>
        <v>#NAME?</v>
      </c>
      <c r="AE719" s="0" t="e">
        <f aca="false">CD721</f>
        <v>#NAME?</v>
      </c>
      <c r="AF719" s="226" t="e">
        <f aca="false">((O719/N719)*AH719)+AG719</f>
        <v>#NAME?</v>
      </c>
      <c r="AG719" s="226" t="e">
        <f aca="false">((xSPRDOPT($L719,$J719,$I719,$M719,$O719,$N719,$P719,$Q719-$C$3,$R719,6)*$H719)/100)</f>
        <v>#NAME?</v>
      </c>
      <c r="AH719" s="226" t="e">
        <f aca="false">((xSPRDOPT($L719,$J719,$I719,$M719,$O719,$N719,$P719,$Q719-$C$3,$R719,5)*$H719)/100)</f>
        <v>#NAME?</v>
      </c>
      <c r="AI719" s="226" t="e">
        <f aca="false">(((xSPRDOPT($L719,$J719,$I719,$M719,$O719,$N719,$P719,$Q719-$C$3,$R719,4)*$H719)/10000)/100)-AB719</f>
        <v>#NAME?</v>
      </c>
      <c r="AJ719" s="226"/>
      <c r="CC719" s="182" t="n">
        <f aca="false">G717</f>
        <v>36982</v>
      </c>
      <c r="CD719" s="253" t="e">
        <f aca="false">xSPRDOPT((VLOOKUP(G717,NGPrices,2,FALSE())+HLOOKUP(D717,Prices,VLOOKUP(G717,move_down,2,FALSE()),FALSE())),VLOOKUP(G717,NGPrices,2,FALSE()),I717,VLOOKUP(G717,NGPREVPRICES,4,FALSE()),HLOOKUP(D717,PREVVOLS,VLOOKUP(G717,MOVE_DOWN2,2,FALSE()),FALSE()),VLOOKUP(G717,NGPREVPRICES,3,FALSE()),HLOOKUP(D717,Correllate,VLOOKUP(G717,CorMove,2,FALSE()),FALSE()),Q717-$CD$3,R717,$CD$5)*H717-CJ719</f>
        <v>#NAME?</v>
      </c>
      <c r="CE719" s="253" t="e">
        <f aca="false">xSPRDOPT((VLOOKUP(G717,NGPREVPRICES,2,FALSE())+HLOOKUP(D717,PREVCURVES,VLOOKUP(G717,MOVE_DOWN2,2,FALSE()),FALSE())),VLOOKUP(G717,NGPREVPRICES,2,FALSE()),CK719,VLOOKUP(G717,NGPrices,4,FALSE()),HLOOKUP(D717,PREVVOLS,VLOOKUP(G717,MOVE_DOWN2,2,FALSE()),FALSE()),VLOOKUP(G717,NGPREVPRICES,3,FALSE()),HLOOKUP(D717,Correllate,VLOOKUP(G717,CorMove,2,FALSE()),FALSE()),Q717-$CD$3,R717,$CJ$5)*H717-CJ719</f>
        <v>#NAME?</v>
      </c>
      <c r="CF719" s="132" t="e">
        <f aca="false">(CJ719/VLOOKUP(CC719,discount,3,FALSE()))-(CJ719/VLOOKUP(CC719,discount,2,FALSE()))</f>
        <v>#NAME?</v>
      </c>
      <c r="CG719" s="253" t="e">
        <f aca="false">xSPRDOPT((VLOOKUP(G717,NGPREVPRICES,2,FALSE())+HLOOKUP(D717,PREVCURVES,VLOOKUP(G717,MOVE_DOWN2,2,FALSE()),FALSE())),VLOOKUP(G717,NGPREVPRICES,2,FALSE()),CK719,VLOOKUP(G717,NGPREVPRICES,4,FALSE()),HLOOKUP(D717,VOLS,VLOOKUP(G717,move_down,2,FALSE()),FALSE()),VLOOKUP(G717,NGPrices,3,FALSE()),HLOOKUP(D717,Correllate,VLOOKUP(G717,CorMove,2,FALSE()),FALSE()),Q717-$CD$3,R717,$CJ$5)*H717-CJ719</f>
        <v>#NAME?</v>
      </c>
      <c r="CH719" s="253" t="e">
        <f aca="false">xSPRDOPT((VLOOKUP(G717,NGPREVPRICES,2,FALSE())+HLOOKUP(D717,PREVCURVES,VLOOKUP(G717,MOVE_DOWN2,2,FALSE()),FALSE())),VLOOKUP(G717,NGPREVPRICES,2,FALSE()),CK719,VLOOKUP(G717,NGPREVPRICES,4,FALSE()),HLOOKUP(D717,PREVVOLS,VLOOKUP(G717,MOVE_DOWN2,2,FALSE()),FALSE()),VLOOKUP(G717,NGPREVPRICES,3,FALSE()),HLOOKUP(D717,Correllate,VLOOKUP(G717,CorMove,2,FALSE()),FALSE()),Q717-$C$3,R717,$CJ$5)*H717-CJ719</f>
        <v>#NAME?</v>
      </c>
      <c r="CI719" s="253" t="e">
        <f aca="false">SUM(CD719:CH719)</f>
        <v>#NAME?</v>
      </c>
      <c r="CJ719" s="253" t="e">
        <f aca="false">xSPRDOPT((VLOOKUP(G717,NGPREVPRICES,2,FALSE())+HLOOKUP(D717,PREVCURVES,VLOOKUP(G717,MOVE_DOWN2,2,FALSE()),FALSE())),VLOOKUP(G717,NGPREVPRICES,2,FALSE()),CK719,VLOOKUP(G717,NGPREVPRICES,4,FALSE()),HLOOKUP(D717,PREVVOLS,VLOOKUP(G717,MOVE_DOWN2,2,FALSE()),FALSE()),VLOOKUP(G717,NGPREVPRICES,3,FALSE()),HLOOKUP(D717,Correllate,VLOOKUP(G717,CorMove,2,FALSE()),FALSE()),Q717-$CD$3,R717,$CJ$5)*H717</f>
        <v>#NAME?</v>
      </c>
      <c r="CK719" s="254" t="n">
        <f aca="false">I717</f>
        <v>0.42</v>
      </c>
      <c r="CM719" s="0" t="str">
        <f aca="false">CONCATENATE(CC719,$CD$6)</f>
        <v>36982Curve Shift/Gamma</v>
      </c>
      <c r="CN719" s="0" t="str">
        <f aca="false">CONCATENATE($CC719,$CE$6)</f>
        <v>36982Rho</v>
      </c>
      <c r="CO719" s="0" t="str">
        <f aca="false">CONCATENATE($CC719,$CF$6)</f>
        <v>36982Drift</v>
      </c>
      <c r="CP719" s="0" t="str">
        <f aca="false">CONCATENATE($CC719,$CG$6)</f>
        <v>36982Vega</v>
      </c>
      <c r="CQ719" s="0" t="str">
        <f aca="false">CONCATENATE($CC719,$CH$6)</f>
        <v>36982Theta</v>
      </c>
    </row>
    <row r="720" customFormat="false" ht="12.75" hidden="false" customHeight="false" outlineLevel="0" collapsed="false">
      <c r="A720" s="17" t="s">
        <v>206</v>
      </c>
      <c r="B720" s="0" t="s">
        <v>192</v>
      </c>
      <c r="C720" s="0" t="s">
        <v>433</v>
      </c>
      <c r="D720" s="7" t="s">
        <v>149</v>
      </c>
      <c r="E720" s="0" t="s">
        <v>131</v>
      </c>
      <c r="F720" s="0" t="s">
        <v>132</v>
      </c>
      <c r="G720" s="92" t="n">
        <v>37073</v>
      </c>
      <c r="H720" s="248" t="n">
        <v>500000</v>
      </c>
      <c r="I720" s="254" t="n">
        <v>0.42</v>
      </c>
      <c r="J720" s="124" t="n">
        <f aca="false">VLOOKUP(G720,NGPrices,2,FALSE())</f>
        <v>3.803</v>
      </c>
      <c r="K720" s="125" t="n">
        <f aca="false">HLOOKUP(D720,Prices,VLOOKUP(G720,move_down,2,FALSE()),FALSE())+VLOOKUP(G720,CHANGE,HLOOKUP(D720,CHANGE,2,FALSE()),FALSE())</f>
        <v>0.46</v>
      </c>
      <c r="L720" s="124" t="n">
        <f aca="false">K720+J720</f>
        <v>4.263</v>
      </c>
      <c r="M720" s="126" t="n">
        <f aca="false">VLOOKUP(G720,NGPrices,4,FALSE())</f>
        <v>0.069181571268568</v>
      </c>
      <c r="N720" s="7" t="n">
        <f aca="false">VLOOKUP(G720,NGPrices,3,FALSE())</f>
        <v>0.4</v>
      </c>
      <c r="O720" s="7" t="n">
        <f aca="false">HLOOKUP(D720,VOLS,VLOOKUP(G720,move_down,2,FALSE()),FALSE())</f>
        <v>0.392</v>
      </c>
      <c r="P720" s="249" t="n">
        <f aca="false">HLOOKUP(D720,Correllate,VLOOKUP(G720,CorMove,2,FALSE()),FALSE())</f>
        <v>0.9738</v>
      </c>
      <c r="Q720" s="92" t="n">
        <f aca="false">WORKDAY(G720,-2)</f>
        <v>37070</v>
      </c>
      <c r="R720" s="7" t="n">
        <f aca="false">IF(F720="P",0,1)</f>
        <v>0</v>
      </c>
      <c r="S720" s="130" t="e">
        <f aca="false">xSPRDOPT($L720,$J720,$I720,$M720,$O720,$N720,$P720,$Q720-$C$3,$R720,0)</f>
        <v>#NAME?</v>
      </c>
      <c r="T720" s="250" t="e">
        <f aca="false">xSPRDOPT($L720,$J720,$I720,$M720,$O720,$N720,$P720,$Q720-$C$3,$R720,1)*H720</f>
        <v>#NAME?</v>
      </c>
      <c r="U720" s="43" t="e">
        <f aca="false">S720*H720</f>
        <v>#NAME?</v>
      </c>
      <c r="V720" s="250" t="e">
        <f aca="false">xSPRDOPT($L720,$J720,$I720,$M720,$O720,$N720,$P720,$Q720-$C$3,$R720,2)*H720</f>
        <v>#NAME?</v>
      </c>
      <c r="W720" s="250" t="e">
        <f aca="false">+V720+T720</f>
        <v>#NAME?</v>
      </c>
      <c r="X720" s="2" t="str">
        <f aca="false">CONCATENATE(G720,D720)</f>
        <v>37073IF-TRANSCO/Z6</v>
      </c>
      <c r="Y720" s="251" t="n">
        <f aca="false">H720/10000</f>
        <v>50</v>
      </c>
      <c r="Z720" s="226" t="e">
        <f aca="false">T720/H720</f>
        <v>#NAME?</v>
      </c>
      <c r="AA720" s="226" t="e">
        <f aca="false">xSPRDOPT($L720,$J720,$I720,$M720,$O720,$N720,$P720,$Q720-$C$3,$R720,3)</f>
        <v>#NAME?</v>
      </c>
      <c r="AB720" s="226" t="e">
        <f aca="false">((xSPRDOPT($L720+AB$5,$J720,$I720,$M720,$O720,$N720,$P720,$Q720-$C$3,$R720,3)*$H720)/10000)/100</f>
        <v>#NAME?</v>
      </c>
      <c r="AC720" s="226" t="e">
        <f aca="false">((xSPRDOPT($L720+$AB$5,$J720,$I720,$M720,$O720,$N720,$P720,$Q720-$C$3,$R720,7)*$H720)/100)</f>
        <v>#NAME?</v>
      </c>
      <c r="AD720" s="226" t="e">
        <f aca="false">(xSPRDOPT($L720+$AB$5,$J720,$I720,$M720,$O720,$N720,$P720,$Q720-$C$3,$R720,9)/365)*$H720</f>
        <v>#NAME?</v>
      </c>
      <c r="AE720" s="0" t="e">
        <f aca="false">CD722</f>
        <v>#NAME?</v>
      </c>
      <c r="AF720" s="226" t="e">
        <f aca="false">((O720/N720)*AH720)+AG720</f>
        <v>#NAME?</v>
      </c>
      <c r="AG720" s="226" t="e">
        <f aca="false">((xSPRDOPT($L720,$J720,$I720,$M720,$O720,$N720,$P720,$Q720-$C$3,$R720,6)*$H720)/100)</f>
        <v>#NAME?</v>
      </c>
      <c r="AH720" s="226" t="e">
        <f aca="false">((xSPRDOPT($L720,$J720,$I720,$M720,$O720,$N720,$P720,$Q720-$C$3,$R720,5)*$H720)/100)</f>
        <v>#NAME?</v>
      </c>
      <c r="AI720" s="226" t="e">
        <f aca="false">(((xSPRDOPT($L720,$J720,$I720,$M720,$O720,$N720,$P720,$Q720-$C$3,$R720,4)*$H720)/10000)/100)-AB720</f>
        <v>#NAME?</v>
      </c>
      <c r="AJ720" s="226"/>
      <c r="CC720" s="182" t="n">
        <f aca="false">G718</f>
        <v>37012</v>
      </c>
      <c r="CD720" s="253" t="e">
        <f aca="false">xSPRDOPT((VLOOKUP(G718,NGPrices,2,FALSE())+HLOOKUP(D718,Prices,VLOOKUP(G718,move_down,2,FALSE()),FALSE())),VLOOKUP(G718,NGPrices,2,FALSE()),I718,VLOOKUP(G718,NGPREVPRICES,4,FALSE()),HLOOKUP(D718,PREVVOLS,VLOOKUP(G718,MOVE_DOWN2,2,FALSE()),FALSE()),VLOOKUP(G718,NGPREVPRICES,3,FALSE()),HLOOKUP(D718,Correllate,VLOOKUP(G718,CorMove,2,FALSE()),FALSE()),Q718-$CD$3,R718,$CD$5)*H718-CJ720</f>
        <v>#NAME?</v>
      </c>
      <c r="CE720" s="253" t="e">
        <f aca="false">xSPRDOPT((VLOOKUP(G718,NGPREVPRICES,2,FALSE())+HLOOKUP(D718,PREVCURVES,VLOOKUP(G718,MOVE_DOWN2,2,FALSE()),FALSE())),VLOOKUP(G718,NGPREVPRICES,2,FALSE()),CK720,VLOOKUP(G718,NGPrices,4,FALSE()),HLOOKUP(D718,PREVVOLS,VLOOKUP(G718,MOVE_DOWN2,2,FALSE()),FALSE()),VLOOKUP(G718,NGPREVPRICES,3,FALSE()),HLOOKUP(D718,Correllate,VLOOKUP(G718,CorMove,2,FALSE()),FALSE()),Q718-$CD$3,R718,$CJ$5)*H718-CJ720</f>
        <v>#NAME?</v>
      </c>
      <c r="CF720" s="132" t="e">
        <f aca="false">(CJ720/VLOOKUP(CC720,discount,3,FALSE()))-(CJ720/VLOOKUP(CC720,discount,2,FALSE()))</f>
        <v>#NAME?</v>
      </c>
      <c r="CG720" s="253" t="e">
        <f aca="false">xSPRDOPT((VLOOKUP(G718,NGPREVPRICES,2,FALSE())+HLOOKUP(D718,PREVCURVES,VLOOKUP(G718,MOVE_DOWN2,2,FALSE()),FALSE())),VLOOKUP(G718,NGPREVPRICES,2,FALSE()),CK720,VLOOKUP(G718,NGPREVPRICES,4,FALSE()),HLOOKUP(D718,VOLS,VLOOKUP(G718,move_down,2,FALSE()),FALSE()),VLOOKUP(G718,NGPrices,3,FALSE()),HLOOKUP(D718,Correllate,VLOOKUP(G718,CorMove,2,FALSE()),FALSE()),Q718-$CD$3,R718,$CJ$5)*H718-CJ720</f>
        <v>#NAME?</v>
      </c>
      <c r="CH720" s="253" t="e">
        <f aca="false">xSPRDOPT((VLOOKUP(G718,NGPREVPRICES,2,FALSE())+HLOOKUP(D718,PREVCURVES,VLOOKUP(G718,MOVE_DOWN2,2,FALSE()),FALSE())),VLOOKUP(G718,NGPREVPRICES,2,FALSE()),CK720,VLOOKUP(G718,NGPREVPRICES,4,FALSE()),HLOOKUP(D718,PREVVOLS,VLOOKUP(G718,MOVE_DOWN2,2,FALSE()),FALSE()),VLOOKUP(G718,NGPREVPRICES,3,FALSE()),HLOOKUP(D718,Correllate,VLOOKUP(G718,CorMove,2,FALSE()),FALSE()),Q718-$C$3,R718,$CJ$5)*H718-CJ720</f>
        <v>#NAME?</v>
      </c>
      <c r="CI720" s="253" t="e">
        <f aca="false">SUM(CD720:CH720)</f>
        <v>#NAME?</v>
      </c>
      <c r="CJ720" s="253" t="e">
        <f aca="false">xSPRDOPT((VLOOKUP(G718,NGPREVPRICES,2,FALSE())+HLOOKUP(D718,PREVCURVES,VLOOKUP(G718,MOVE_DOWN2,2,FALSE()),FALSE())),VLOOKUP(G718,NGPREVPRICES,2,FALSE()),CK720,VLOOKUP(G718,NGPREVPRICES,4,FALSE()),HLOOKUP(D718,PREVVOLS,VLOOKUP(G718,MOVE_DOWN2,2,FALSE()),FALSE()),VLOOKUP(G718,NGPREVPRICES,3,FALSE()),HLOOKUP(D718,Correllate,VLOOKUP(G718,CorMove,2,FALSE()),FALSE()),Q718-$CD$3,R718,$CJ$5)*H718</f>
        <v>#NAME?</v>
      </c>
      <c r="CK720" s="254" t="n">
        <f aca="false">I718</f>
        <v>0.42</v>
      </c>
      <c r="CM720" s="0" t="str">
        <f aca="false">CONCATENATE(CC720,$CD$6)</f>
        <v>37012Curve Shift/Gamma</v>
      </c>
      <c r="CN720" s="0" t="str">
        <f aca="false">CONCATENATE($CC720,$CE$6)</f>
        <v>37012Rho</v>
      </c>
      <c r="CO720" s="0" t="str">
        <f aca="false">CONCATENATE($CC720,$CF$6)</f>
        <v>37012Drift</v>
      </c>
      <c r="CP720" s="0" t="str">
        <f aca="false">CONCATENATE($CC720,$CG$6)</f>
        <v>37012Vega</v>
      </c>
      <c r="CQ720" s="0" t="str">
        <f aca="false">CONCATENATE($CC720,$CH$6)</f>
        <v>37012Theta</v>
      </c>
    </row>
    <row r="721" customFormat="false" ht="12.75" hidden="false" customHeight="false" outlineLevel="0" collapsed="false">
      <c r="A721" s="17" t="s">
        <v>206</v>
      </c>
      <c r="B721" s="0" t="s">
        <v>192</v>
      </c>
      <c r="C721" s="0" t="s">
        <v>433</v>
      </c>
      <c r="D721" s="7" t="s">
        <v>149</v>
      </c>
      <c r="E721" s="0" t="s">
        <v>131</v>
      </c>
      <c r="F721" s="0" t="s">
        <v>132</v>
      </c>
      <c r="G721" s="92" t="n">
        <v>37104</v>
      </c>
      <c r="H721" s="248" t="n">
        <v>500000</v>
      </c>
      <c r="I721" s="254" t="n">
        <v>0.42</v>
      </c>
      <c r="J721" s="124" t="n">
        <f aca="false">VLOOKUP(G721,NGPrices,2,FALSE())</f>
        <v>3.808</v>
      </c>
      <c r="K721" s="125" t="n">
        <f aca="false">HLOOKUP(D721,Prices,VLOOKUP(G721,move_down,2,FALSE()),FALSE())+VLOOKUP(G721,CHANGE,HLOOKUP(D721,CHANGE,2,FALSE()),FALSE())</f>
        <v>0.46</v>
      </c>
      <c r="L721" s="124" t="n">
        <f aca="false">K721+J721</f>
        <v>4.268</v>
      </c>
      <c r="M721" s="126" t="n">
        <f aca="false">VLOOKUP(G721,NGPrices,4,FALSE())</f>
        <v>0.069223060737755</v>
      </c>
      <c r="N721" s="7" t="n">
        <f aca="false">VLOOKUP(G721,NGPrices,3,FALSE())</f>
        <v>0.4</v>
      </c>
      <c r="O721" s="7" t="n">
        <f aca="false">HLOOKUP(D721,VOLS,VLOOKUP(G721,move_down,2,FALSE()),FALSE())</f>
        <v>0.392</v>
      </c>
      <c r="P721" s="249" t="n">
        <f aca="false">HLOOKUP(D721,Correllate,VLOOKUP(G721,CorMove,2,FALSE()),FALSE())</f>
        <v>0.9738</v>
      </c>
      <c r="Q721" s="92" t="n">
        <f aca="false">WORKDAY(G721,-2)</f>
        <v>37102</v>
      </c>
      <c r="R721" s="7" t="n">
        <f aca="false">IF(F721="P",0,1)</f>
        <v>0</v>
      </c>
      <c r="S721" s="130" t="e">
        <f aca="false">xSPRDOPT($L721,$J721,$I721,$M721,$O721,$N721,$P721,$Q721-$C$3,$R721,0)</f>
        <v>#NAME?</v>
      </c>
      <c r="T721" s="250" t="e">
        <f aca="false">xSPRDOPT($L721,$J721,$I721,$M721,$O721,$N721,$P721,$Q721-$C$3,$R721,1)*H721</f>
        <v>#NAME?</v>
      </c>
      <c r="U721" s="43" t="e">
        <f aca="false">S721*H721</f>
        <v>#NAME?</v>
      </c>
      <c r="V721" s="250" t="e">
        <f aca="false">xSPRDOPT($L721,$J721,$I721,$M721,$O721,$N721,$P721,$Q721-$C$3,$R721,2)*H721</f>
        <v>#NAME?</v>
      </c>
      <c r="W721" s="250" t="e">
        <f aca="false">+V721+T721</f>
        <v>#NAME?</v>
      </c>
      <c r="X721" s="2" t="str">
        <f aca="false">CONCATENATE(G721,D721)</f>
        <v>37104IF-TRANSCO/Z6</v>
      </c>
      <c r="Y721" s="251" t="n">
        <f aca="false">H721/10000</f>
        <v>50</v>
      </c>
      <c r="Z721" s="226" t="e">
        <f aca="false">T721/H721</f>
        <v>#NAME?</v>
      </c>
      <c r="AA721" s="226" t="e">
        <f aca="false">xSPRDOPT($L721,$J721,$I721,$M721,$O721,$N721,$P721,$Q721-$C$3,$R721,3)</f>
        <v>#NAME?</v>
      </c>
      <c r="AB721" s="226" t="e">
        <f aca="false">((xSPRDOPT($L721+AB$5,$J721,$I721,$M721,$O721,$N721,$P721,$Q721-$C$3,$R721,3)*$H721)/10000)/100</f>
        <v>#NAME?</v>
      </c>
      <c r="AC721" s="226" t="e">
        <f aca="false">((xSPRDOPT($L721+$AB$5,$J721,$I721,$M721,$O721,$N721,$P721,$Q721-$C$3,$R721,7)*$H721)/100)</f>
        <v>#NAME?</v>
      </c>
      <c r="AD721" s="226" t="e">
        <f aca="false">(xSPRDOPT($L721+$AB$5,$J721,$I721,$M721,$O721,$N721,$P721,$Q721-$C$3,$R721,9)/365)*$H721</f>
        <v>#NAME?</v>
      </c>
      <c r="AE721" s="0" t="e">
        <f aca="false">CD723</f>
        <v>#NAME?</v>
      </c>
      <c r="AF721" s="226" t="e">
        <f aca="false">((O721/N721)*AH721)+AG721</f>
        <v>#NAME?</v>
      </c>
      <c r="AG721" s="226" t="e">
        <f aca="false">((xSPRDOPT($L721,$J721,$I721,$M721,$O721,$N721,$P721,$Q721-$C$3,$R721,6)*$H721)/100)</f>
        <v>#NAME?</v>
      </c>
      <c r="AH721" s="226" t="e">
        <f aca="false">((xSPRDOPT($L721,$J721,$I721,$M721,$O721,$N721,$P721,$Q721-$C$3,$R721,5)*$H721)/100)</f>
        <v>#NAME?</v>
      </c>
      <c r="AI721" s="226" t="e">
        <f aca="false">(((xSPRDOPT($L721,$J721,$I721,$M721,$O721,$N721,$P721,$Q721-$C$3,$R721,4)*$H721)/10000)/100)-AB721</f>
        <v>#NAME?</v>
      </c>
      <c r="AJ721" s="226"/>
      <c r="CC721" s="182" t="n">
        <f aca="false">G719</f>
        <v>37043</v>
      </c>
      <c r="CD721" s="253" t="e">
        <f aca="false">xSPRDOPT((VLOOKUP(G719,NGPrices,2,FALSE())+HLOOKUP(D719,Prices,VLOOKUP(G719,move_down,2,FALSE()),FALSE())),VLOOKUP(G719,NGPrices,2,FALSE()),I719,VLOOKUP(G719,NGPREVPRICES,4,FALSE()),HLOOKUP(D719,PREVVOLS,VLOOKUP(G719,MOVE_DOWN2,2,FALSE()),FALSE()),VLOOKUP(G719,NGPREVPRICES,3,FALSE()),HLOOKUP(D719,Correllate,VLOOKUP(G719,CorMove,2,FALSE()),FALSE()),Q719-$CD$3,R719,$CD$5)*H719-CJ721</f>
        <v>#NAME?</v>
      </c>
      <c r="CE721" s="253" t="e">
        <f aca="false">xSPRDOPT((VLOOKUP(G719,NGPREVPRICES,2,FALSE())+HLOOKUP(D719,PREVCURVES,VLOOKUP(G719,MOVE_DOWN2,2,FALSE()),FALSE())),VLOOKUP(G719,NGPREVPRICES,2,FALSE()),CK721,VLOOKUP(G719,NGPrices,4,FALSE()),HLOOKUP(D719,PREVVOLS,VLOOKUP(G719,MOVE_DOWN2,2,FALSE()),FALSE()),VLOOKUP(G719,NGPREVPRICES,3,FALSE()),HLOOKUP(D719,Correllate,VLOOKUP(G719,CorMove,2,FALSE()),FALSE()),Q719-$CD$3,R719,$CJ$5)*H719-CJ721</f>
        <v>#NAME?</v>
      </c>
      <c r="CF721" s="132" t="e">
        <f aca="false">(CJ721/VLOOKUP(CC721,discount,3,FALSE()))-(CJ721/VLOOKUP(CC721,discount,2,FALSE()))</f>
        <v>#NAME?</v>
      </c>
      <c r="CG721" s="253" t="e">
        <f aca="false">xSPRDOPT((VLOOKUP(G719,NGPREVPRICES,2,FALSE())+HLOOKUP(D719,PREVCURVES,VLOOKUP(G719,MOVE_DOWN2,2,FALSE()),FALSE())),VLOOKUP(G719,NGPREVPRICES,2,FALSE()),CK721,VLOOKUP(G719,NGPREVPRICES,4,FALSE()),HLOOKUP(D719,VOLS,VLOOKUP(G719,move_down,2,FALSE()),FALSE()),VLOOKUP(G719,NGPrices,3,FALSE()),HLOOKUP(D719,Correllate,VLOOKUP(G719,CorMove,2,FALSE()),FALSE()),Q719-$CD$3,R719,$CJ$5)*H719-CJ721</f>
        <v>#NAME?</v>
      </c>
      <c r="CH721" s="253" t="e">
        <f aca="false">xSPRDOPT((VLOOKUP(G719,NGPREVPRICES,2,FALSE())+HLOOKUP(D719,PREVCURVES,VLOOKUP(G719,MOVE_DOWN2,2,FALSE()),FALSE())),VLOOKUP(G719,NGPREVPRICES,2,FALSE()),CK721,VLOOKUP(G719,NGPREVPRICES,4,FALSE()),HLOOKUP(D719,PREVVOLS,VLOOKUP(G719,MOVE_DOWN2,2,FALSE()),FALSE()),VLOOKUP(G719,NGPREVPRICES,3,FALSE()),HLOOKUP(D719,Correllate,VLOOKUP(G719,CorMove,2,FALSE()),FALSE()),Q719-$C$3,R719,$CJ$5)*H719-CJ721</f>
        <v>#NAME?</v>
      </c>
      <c r="CI721" s="253" t="e">
        <f aca="false">SUM(CD721:CH721)</f>
        <v>#NAME?</v>
      </c>
      <c r="CJ721" s="253" t="e">
        <f aca="false">xSPRDOPT((VLOOKUP(G719,NGPREVPRICES,2,FALSE())+HLOOKUP(D719,PREVCURVES,VLOOKUP(G719,MOVE_DOWN2,2,FALSE()),FALSE())),VLOOKUP(G719,NGPREVPRICES,2,FALSE()),CK721,VLOOKUP(G719,NGPREVPRICES,4,FALSE()),HLOOKUP(D719,PREVVOLS,VLOOKUP(G719,MOVE_DOWN2,2,FALSE()),FALSE()),VLOOKUP(G719,NGPREVPRICES,3,FALSE()),HLOOKUP(D719,Correllate,VLOOKUP(G719,CorMove,2,FALSE()),FALSE()),Q719-$CD$3,R719,$CJ$5)*H719</f>
        <v>#NAME?</v>
      </c>
      <c r="CK721" s="254" t="n">
        <f aca="false">I719</f>
        <v>0.42</v>
      </c>
      <c r="CM721" s="0" t="str">
        <f aca="false">CONCATENATE(CC721,$CD$6)</f>
        <v>37043Curve Shift/Gamma</v>
      </c>
      <c r="CN721" s="0" t="str">
        <f aca="false">CONCATENATE($CC721,$CE$6)</f>
        <v>37043Rho</v>
      </c>
      <c r="CO721" s="0" t="str">
        <f aca="false">CONCATENATE($CC721,$CF$6)</f>
        <v>37043Drift</v>
      </c>
      <c r="CP721" s="0" t="str">
        <f aca="false">CONCATENATE($CC721,$CG$6)</f>
        <v>37043Vega</v>
      </c>
      <c r="CQ721" s="0" t="str">
        <f aca="false">CONCATENATE($CC721,$CH$6)</f>
        <v>37043Theta</v>
      </c>
    </row>
    <row r="722" customFormat="false" ht="12.75" hidden="false" customHeight="false" outlineLevel="0" collapsed="false">
      <c r="A722" s="17" t="s">
        <v>206</v>
      </c>
      <c r="B722" s="0" t="s">
        <v>192</v>
      </c>
      <c r="C722" s="0" t="s">
        <v>433</v>
      </c>
      <c r="D722" s="7" t="s">
        <v>149</v>
      </c>
      <c r="E722" s="0" t="s">
        <v>131</v>
      </c>
      <c r="F722" s="0" t="s">
        <v>132</v>
      </c>
      <c r="G722" s="92" t="n">
        <v>37135</v>
      </c>
      <c r="H722" s="248" t="n">
        <v>500000</v>
      </c>
      <c r="I722" s="254" t="n">
        <v>0.42</v>
      </c>
      <c r="J722" s="124" t="n">
        <f aca="false">VLOOKUP(G722,NGPrices,2,FALSE())</f>
        <v>3.788</v>
      </c>
      <c r="K722" s="125" t="n">
        <f aca="false">HLOOKUP(D722,Prices,VLOOKUP(G722,move_down,2,FALSE()),FALSE())+VLOOKUP(G722,CHANGE,HLOOKUP(D722,CHANGE,2,FALSE()),FALSE())</f>
        <v>0.395</v>
      </c>
      <c r="L722" s="124" t="n">
        <f aca="false">K722+J722</f>
        <v>4.183</v>
      </c>
      <c r="M722" s="126" t="n">
        <f aca="false">VLOOKUP(G722,NGPrices,4,FALSE())</f>
        <v>0.069264550207512</v>
      </c>
      <c r="N722" s="7" t="n">
        <f aca="false">VLOOKUP(G722,NGPrices,3,FALSE())</f>
        <v>0.4</v>
      </c>
      <c r="O722" s="7" t="n">
        <f aca="false">HLOOKUP(D722,VOLS,VLOOKUP(G722,move_down,2,FALSE()),FALSE())</f>
        <v>0.392</v>
      </c>
      <c r="P722" s="249" t="n">
        <f aca="false">HLOOKUP(D722,Correllate,VLOOKUP(G722,CorMove,2,FALSE()),FALSE())</f>
        <v>0.9738</v>
      </c>
      <c r="Q722" s="92" t="n">
        <f aca="false">WORKDAY(G722,-2)</f>
        <v>37133</v>
      </c>
      <c r="R722" s="7" t="n">
        <f aca="false">IF(F722="P",0,1)</f>
        <v>0</v>
      </c>
      <c r="S722" s="130" t="e">
        <f aca="false">xSPRDOPT($L722,$J722,$I722,$M722,$O722,$N722,$P722,$Q722-$C$3,$R722,0)</f>
        <v>#NAME?</v>
      </c>
      <c r="T722" s="250" t="e">
        <f aca="false">xSPRDOPT($L722,$J722,$I722,$M722,$O722,$N722,$P722,$Q722-$C$3,$R722,1)*H722</f>
        <v>#NAME?</v>
      </c>
      <c r="U722" s="43" t="e">
        <f aca="false">S722*H722</f>
        <v>#NAME?</v>
      </c>
      <c r="V722" s="250" t="e">
        <f aca="false">xSPRDOPT($L722,$J722,$I722,$M722,$O722,$N722,$P722,$Q722-$C$3,$R722,2)*H722</f>
        <v>#NAME?</v>
      </c>
      <c r="W722" s="250" t="e">
        <f aca="false">+V722+T722</f>
        <v>#NAME?</v>
      </c>
      <c r="X722" s="2" t="str">
        <f aca="false">CONCATENATE(G722,D722)</f>
        <v>37135IF-TRANSCO/Z6</v>
      </c>
      <c r="Y722" s="251" t="n">
        <f aca="false">H722/10000</f>
        <v>50</v>
      </c>
      <c r="Z722" s="226" t="e">
        <f aca="false">T722/H722</f>
        <v>#NAME?</v>
      </c>
      <c r="AA722" s="226" t="e">
        <f aca="false">xSPRDOPT($L722,$J722,$I722,$M722,$O722,$N722,$P722,$Q722-$C$3,$R722,3)</f>
        <v>#NAME?</v>
      </c>
      <c r="AB722" s="226" t="e">
        <f aca="false">((xSPRDOPT($L722+AB$5,$J722,$I722,$M722,$O722,$N722,$P722,$Q722-$C$3,$R722,3)*$H722)/10000)/100</f>
        <v>#NAME?</v>
      </c>
      <c r="AC722" s="226" t="e">
        <f aca="false">((xSPRDOPT($L722+$AB$5,$J722,$I722,$M722,$O722,$N722,$P722,$Q722-$C$3,$R722,7)*$H722)/100)</f>
        <v>#NAME?</v>
      </c>
      <c r="AD722" s="226" t="e">
        <f aca="false">(xSPRDOPT($L722+$AB$5,$J722,$I722,$M722,$O722,$N722,$P722,$Q722-$C$3,$R722,9)/365)*$H722</f>
        <v>#NAME?</v>
      </c>
      <c r="AE722" s="0" t="e">
        <f aca="false">CD724</f>
        <v>#NAME?</v>
      </c>
      <c r="AF722" s="226" t="e">
        <f aca="false">((O722/N722)*AH722)+AG722</f>
        <v>#NAME?</v>
      </c>
      <c r="AG722" s="226" t="e">
        <f aca="false">((xSPRDOPT($L722,$J722,$I722,$M722,$O722,$N722,$P722,$Q722-$C$3,$R722,6)*$H722)/100)</f>
        <v>#NAME?</v>
      </c>
      <c r="AH722" s="226" t="e">
        <f aca="false">((xSPRDOPT($L722,$J722,$I722,$M722,$O722,$N722,$P722,$Q722-$C$3,$R722,5)*$H722)/100)</f>
        <v>#NAME?</v>
      </c>
      <c r="AI722" s="226" t="e">
        <f aca="false">(((xSPRDOPT($L722,$J722,$I722,$M722,$O722,$N722,$P722,$Q722-$C$3,$R722,4)*$H722)/10000)/100)-AB722</f>
        <v>#NAME?</v>
      </c>
      <c r="AJ722" s="226"/>
      <c r="CC722" s="182" t="n">
        <f aca="false">G720</f>
        <v>37073</v>
      </c>
      <c r="CD722" s="253" t="e">
        <f aca="false">xSPRDOPT((VLOOKUP(G720,NGPrices,2,FALSE())+HLOOKUP(D720,Prices,VLOOKUP(G720,move_down,2,FALSE()),FALSE())),VLOOKUP(G720,NGPrices,2,FALSE()),I720,VLOOKUP(G720,NGPREVPRICES,4,FALSE()),HLOOKUP(D720,PREVVOLS,VLOOKUP(G720,MOVE_DOWN2,2,FALSE()),FALSE()),VLOOKUP(G720,NGPREVPRICES,3,FALSE()),HLOOKUP(D720,Correllate,VLOOKUP(G720,CorMove,2,FALSE()),FALSE()),Q720-$CD$3,R720,$CD$5)*H720-CJ722</f>
        <v>#NAME?</v>
      </c>
      <c r="CE722" s="253" t="e">
        <f aca="false">xSPRDOPT((VLOOKUP(G720,NGPREVPRICES,2,FALSE())+HLOOKUP(D720,PREVCURVES,VLOOKUP(G720,MOVE_DOWN2,2,FALSE()),FALSE())),VLOOKUP(G720,NGPREVPRICES,2,FALSE()),CK722,VLOOKUP(G720,NGPrices,4,FALSE()),HLOOKUP(D720,PREVVOLS,VLOOKUP(G720,MOVE_DOWN2,2,FALSE()),FALSE()),VLOOKUP(G720,NGPREVPRICES,3,FALSE()),HLOOKUP(D720,Correllate,VLOOKUP(G720,CorMove,2,FALSE()),FALSE()),Q720-$CD$3,R720,$CJ$5)*H720-CJ722</f>
        <v>#NAME?</v>
      </c>
      <c r="CF722" s="132" t="e">
        <f aca="false">(CJ722/VLOOKUP(CC722,discount,3,FALSE()))-(CJ722/VLOOKUP(CC722,discount,2,FALSE()))</f>
        <v>#NAME?</v>
      </c>
      <c r="CG722" s="253" t="e">
        <f aca="false">xSPRDOPT((VLOOKUP(G720,NGPREVPRICES,2,FALSE())+HLOOKUP(D720,PREVCURVES,VLOOKUP(G720,MOVE_DOWN2,2,FALSE()),FALSE())),VLOOKUP(G720,NGPREVPRICES,2,FALSE()),CK722,VLOOKUP(G720,NGPREVPRICES,4,FALSE()),HLOOKUP(D720,VOLS,VLOOKUP(G720,move_down,2,FALSE()),FALSE()),VLOOKUP(G720,NGPrices,3,FALSE()),HLOOKUP(D720,Correllate,VLOOKUP(G720,CorMove,2,FALSE()),FALSE()),Q720-$CD$3,R720,$CJ$5)*H720-CJ722</f>
        <v>#NAME?</v>
      </c>
      <c r="CH722" s="253" t="e">
        <f aca="false">xSPRDOPT((VLOOKUP(G720,NGPREVPRICES,2,FALSE())+HLOOKUP(D720,PREVCURVES,VLOOKUP(G720,MOVE_DOWN2,2,FALSE()),FALSE())),VLOOKUP(G720,NGPREVPRICES,2,FALSE()),CK722,VLOOKUP(G720,NGPREVPRICES,4,FALSE()),HLOOKUP(D720,PREVVOLS,VLOOKUP(G720,MOVE_DOWN2,2,FALSE()),FALSE()),VLOOKUP(G720,NGPREVPRICES,3,FALSE()),HLOOKUP(D720,Correllate,VLOOKUP(G720,CorMove,2,FALSE()),FALSE()),Q720-$C$3,R720,$CJ$5)*H720-CJ722</f>
        <v>#NAME?</v>
      </c>
      <c r="CI722" s="253" t="e">
        <f aca="false">SUM(CD722:CH722)</f>
        <v>#NAME?</v>
      </c>
      <c r="CJ722" s="253" t="e">
        <f aca="false">xSPRDOPT((VLOOKUP(G720,NGPREVPRICES,2,FALSE())+HLOOKUP(D720,PREVCURVES,VLOOKUP(G720,MOVE_DOWN2,2,FALSE()),FALSE())),VLOOKUP(G720,NGPREVPRICES,2,FALSE()),CK722,VLOOKUP(G720,NGPREVPRICES,4,FALSE()),HLOOKUP(D720,PREVVOLS,VLOOKUP(G720,MOVE_DOWN2,2,FALSE()),FALSE()),VLOOKUP(G720,NGPREVPRICES,3,FALSE()),HLOOKUP(D720,Correllate,VLOOKUP(G720,CorMove,2,FALSE()),FALSE()),Q720-$CD$3,R720,$CJ$5)*H720</f>
        <v>#NAME?</v>
      </c>
      <c r="CK722" s="254" t="n">
        <f aca="false">I720</f>
        <v>0.42</v>
      </c>
      <c r="CM722" s="0" t="str">
        <f aca="false">CONCATENATE(CC722,$CD$6)</f>
        <v>37073Curve Shift/Gamma</v>
      </c>
      <c r="CN722" s="0" t="str">
        <f aca="false">CONCATENATE($CC722,$CE$6)</f>
        <v>37073Rho</v>
      </c>
      <c r="CO722" s="0" t="str">
        <f aca="false">CONCATENATE($CC722,$CF$6)</f>
        <v>37073Drift</v>
      </c>
      <c r="CP722" s="0" t="str">
        <f aca="false">CONCATENATE($CC722,$CG$6)</f>
        <v>37073Vega</v>
      </c>
      <c r="CQ722" s="0" t="str">
        <f aca="false">CONCATENATE($CC722,$CH$6)</f>
        <v>37073Theta</v>
      </c>
    </row>
    <row r="723" customFormat="false" ht="12.75" hidden="false" customHeight="false" outlineLevel="0" collapsed="false">
      <c r="A723" s="17" t="s">
        <v>206</v>
      </c>
      <c r="B723" s="0" t="s">
        <v>192</v>
      </c>
      <c r="C723" s="0" t="s">
        <v>433</v>
      </c>
      <c r="D723" s="7" t="s">
        <v>149</v>
      </c>
      <c r="E723" s="0" t="s">
        <v>131</v>
      </c>
      <c r="F723" s="0" t="s">
        <v>132</v>
      </c>
      <c r="G723" s="92" t="n">
        <v>37165</v>
      </c>
      <c r="H723" s="248" t="n">
        <v>500000</v>
      </c>
      <c r="I723" s="254" t="n">
        <v>0.42</v>
      </c>
      <c r="J723" s="124" t="n">
        <f aca="false">VLOOKUP(G723,NGPrices,2,FALSE())</f>
        <v>3.773</v>
      </c>
      <c r="K723" s="125" t="n">
        <f aca="false">HLOOKUP(D723,Prices,VLOOKUP(G723,move_down,2,FALSE()),FALSE())+VLOOKUP(G723,CHANGE,HLOOKUP(D723,CHANGE,2,FALSE()),FALSE())</f>
        <v>0.461</v>
      </c>
      <c r="L723" s="124" t="n">
        <f aca="false">K723+J723</f>
        <v>4.234</v>
      </c>
      <c r="M723" s="126" t="n">
        <f aca="false">VLOOKUP(G723,NGPrices,4,FALSE())</f>
        <v>0.069300944538364</v>
      </c>
      <c r="N723" s="7" t="n">
        <f aca="false">VLOOKUP(G723,NGPrices,3,FALSE())</f>
        <v>0.4025</v>
      </c>
      <c r="O723" s="7" t="n">
        <f aca="false">HLOOKUP(D723,VOLS,VLOOKUP(G723,move_down,2,FALSE()),FALSE())</f>
        <v>0.394</v>
      </c>
      <c r="P723" s="249" t="n">
        <f aca="false">HLOOKUP(D723,Correllate,VLOOKUP(G723,CorMove,2,FALSE()),FALSE())</f>
        <v>0.9738</v>
      </c>
      <c r="Q723" s="92" t="n">
        <f aca="false">WORKDAY(G723,-2)</f>
        <v>37161</v>
      </c>
      <c r="R723" s="7" t="n">
        <f aca="false">IF(F723="P",0,1)</f>
        <v>0</v>
      </c>
      <c r="S723" s="130" t="e">
        <f aca="false">xSPRDOPT($L723,$J723,$I723,$M723,$O723,$N723,$P723,$Q723-$C$3,$R723,0)</f>
        <v>#NAME?</v>
      </c>
      <c r="T723" s="250" t="e">
        <f aca="false">xSPRDOPT($L723,$J723,$I723,$M723,$O723,$N723,$P723,$Q723-$C$3,$R723,1)*H723</f>
        <v>#NAME?</v>
      </c>
      <c r="U723" s="43" t="e">
        <f aca="false">S723*H723</f>
        <v>#NAME?</v>
      </c>
      <c r="V723" s="250" t="e">
        <f aca="false">xSPRDOPT($L723,$J723,$I723,$M723,$O723,$N723,$P723,$Q723-$C$3,$R723,2)*H723</f>
        <v>#NAME?</v>
      </c>
      <c r="W723" s="250" t="e">
        <f aca="false">+V723+T723</f>
        <v>#NAME?</v>
      </c>
      <c r="X723" s="2" t="str">
        <f aca="false">CONCATENATE(G723,D723)</f>
        <v>37165IF-TRANSCO/Z6</v>
      </c>
      <c r="Y723" s="251" t="n">
        <f aca="false">H723/10000</f>
        <v>50</v>
      </c>
      <c r="Z723" s="226" t="e">
        <f aca="false">T723/H723</f>
        <v>#NAME?</v>
      </c>
      <c r="AA723" s="226" t="e">
        <f aca="false">xSPRDOPT($L723,$J723,$I723,$M723,$O723,$N723,$P723,$Q723-$C$3,$R723,3)</f>
        <v>#NAME?</v>
      </c>
      <c r="AB723" s="226" t="e">
        <f aca="false">((xSPRDOPT($L723+AB$5,$J723,$I723,$M723,$O723,$N723,$P723,$Q723-$C$3,$R723,3)*$H723)/10000)/100</f>
        <v>#NAME?</v>
      </c>
      <c r="AC723" s="226" t="e">
        <f aca="false">((xSPRDOPT($L723+$AB$5,$J723,$I723,$M723,$O723,$N723,$P723,$Q723-$C$3,$R723,7)*$H723)/100)</f>
        <v>#NAME?</v>
      </c>
      <c r="AD723" s="226" t="e">
        <f aca="false">(xSPRDOPT($L723+$AB$5,$J723,$I723,$M723,$O723,$N723,$P723,$Q723-$C$3,$R723,9)/365)*$H723</f>
        <v>#NAME?</v>
      </c>
      <c r="AE723" s="0" t="e">
        <f aca="false">CD725</f>
        <v>#NAME?</v>
      </c>
      <c r="AF723" s="226" t="e">
        <f aca="false">((O723/N723)*AH723)+AG723</f>
        <v>#NAME?</v>
      </c>
      <c r="AG723" s="226" t="e">
        <f aca="false">((xSPRDOPT($L723,$J723,$I723,$M723,$O723,$N723,$P723,$Q723-$C$3,$R723,6)*$H723)/100)</f>
        <v>#NAME?</v>
      </c>
      <c r="AH723" s="226" t="e">
        <f aca="false">((xSPRDOPT($L723,$J723,$I723,$M723,$O723,$N723,$P723,$Q723-$C$3,$R723,5)*$H723)/100)</f>
        <v>#NAME?</v>
      </c>
      <c r="AI723" s="226" t="e">
        <f aca="false">(((xSPRDOPT($L723,$J723,$I723,$M723,$O723,$N723,$P723,$Q723-$C$3,$R723,4)*$H723)/10000)/100)-AB723</f>
        <v>#NAME?</v>
      </c>
      <c r="AJ723" s="226"/>
      <c r="CC723" s="182" t="n">
        <f aca="false">G721</f>
        <v>37104</v>
      </c>
      <c r="CD723" s="253" t="e">
        <f aca="false">xSPRDOPT((VLOOKUP(G721,NGPrices,2,FALSE())+HLOOKUP(D721,Prices,VLOOKUP(G721,move_down,2,FALSE()),FALSE())),VLOOKUP(G721,NGPrices,2,FALSE()),I721,VLOOKUP(G721,NGPREVPRICES,4,FALSE()),HLOOKUP(D721,PREVVOLS,VLOOKUP(G721,MOVE_DOWN2,2,FALSE()),FALSE()),VLOOKUP(G721,NGPREVPRICES,3,FALSE()),HLOOKUP(D721,Correllate,VLOOKUP(G721,CorMove,2,FALSE()),FALSE()),Q721-$CD$3,R721,$CD$5)*H721-CJ723</f>
        <v>#NAME?</v>
      </c>
      <c r="CE723" s="253" t="e">
        <f aca="false">xSPRDOPT((VLOOKUP(G721,NGPREVPRICES,2,FALSE())+HLOOKUP(D721,PREVCURVES,VLOOKUP(G721,MOVE_DOWN2,2,FALSE()),FALSE())),VLOOKUP(G721,NGPREVPRICES,2,FALSE()),CK723,VLOOKUP(G721,NGPrices,4,FALSE()),HLOOKUP(D721,PREVVOLS,VLOOKUP(G721,MOVE_DOWN2,2,FALSE()),FALSE()),VLOOKUP(G721,NGPREVPRICES,3,FALSE()),HLOOKUP(D721,Correllate,VLOOKUP(G721,CorMove,2,FALSE()),FALSE()),Q721-$CD$3,R721,$CJ$5)*H721-CJ723</f>
        <v>#NAME?</v>
      </c>
      <c r="CF723" s="132" t="e">
        <f aca="false">(CJ723/VLOOKUP(CC723,discount,3,FALSE()))-(CJ723/VLOOKUP(CC723,discount,2,FALSE()))</f>
        <v>#NAME?</v>
      </c>
      <c r="CG723" s="253" t="e">
        <f aca="false">xSPRDOPT((VLOOKUP(G721,NGPREVPRICES,2,FALSE())+HLOOKUP(D721,PREVCURVES,VLOOKUP(G721,MOVE_DOWN2,2,FALSE()),FALSE())),VLOOKUP(G721,NGPREVPRICES,2,FALSE()),CK723,VLOOKUP(G721,NGPREVPRICES,4,FALSE()),HLOOKUP(D721,VOLS,VLOOKUP(G721,move_down,2,FALSE()),FALSE()),VLOOKUP(G721,NGPrices,3,FALSE()),HLOOKUP(D721,Correllate,VLOOKUP(G721,CorMove,2,FALSE()),FALSE()),Q721-$CD$3,R721,$CJ$5)*H721-CJ723</f>
        <v>#NAME?</v>
      </c>
      <c r="CH723" s="253" t="e">
        <f aca="false">xSPRDOPT((VLOOKUP(G721,NGPREVPRICES,2,FALSE())+HLOOKUP(D721,PREVCURVES,VLOOKUP(G721,MOVE_DOWN2,2,FALSE()),FALSE())),VLOOKUP(G721,NGPREVPRICES,2,FALSE()),CK723,VLOOKUP(G721,NGPREVPRICES,4,FALSE()),HLOOKUP(D721,PREVVOLS,VLOOKUP(G721,MOVE_DOWN2,2,FALSE()),FALSE()),VLOOKUP(G721,NGPREVPRICES,3,FALSE()),HLOOKUP(D721,Correllate,VLOOKUP(G721,CorMove,2,FALSE()),FALSE()),Q721-$C$3,R721,$CJ$5)*H721-CJ723</f>
        <v>#NAME?</v>
      </c>
      <c r="CI723" s="253" t="e">
        <f aca="false">SUM(CD723:CH723)</f>
        <v>#NAME?</v>
      </c>
      <c r="CJ723" s="253" t="e">
        <f aca="false">xSPRDOPT((VLOOKUP(G721,NGPREVPRICES,2,FALSE())+HLOOKUP(D721,PREVCURVES,VLOOKUP(G721,MOVE_DOWN2,2,FALSE()),FALSE())),VLOOKUP(G721,NGPREVPRICES,2,FALSE()),CK723,VLOOKUP(G721,NGPREVPRICES,4,FALSE()),HLOOKUP(D721,PREVVOLS,VLOOKUP(G721,MOVE_DOWN2,2,FALSE()),FALSE()),VLOOKUP(G721,NGPREVPRICES,3,FALSE()),HLOOKUP(D721,Correllate,VLOOKUP(G721,CorMove,2,FALSE()),FALSE()),Q721-$CD$3,R721,$CJ$5)*H721</f>
        <v>#NAME?</v>
      </c>
      <c r="CK723" s="254" t="n">
        <f aca="false">I721</f>
        <v>0.42</v>
      </c>
      <c r="CM723" s="0" t="str">
        <f aca="false">CONCATENATE(CC723,$CD$6)</f>
        <v>37104Curve Shift/Gamma</v>
      </c>
      <c r="CN723" s="0" t="str">
        <f aca="false">CONCATENATE($CC723,$CE$6)</f>
        <v>37104Rho</v>
      </c>
      <c r="CO723" s="0" t="str">
        <f aca="false">CONCATENATE($CC723,$CF$6)</f>
        <v>37104Drift</v>
      </c>
      <c r="CP723" s="0" t="str">
        <f aca="false">CONCATENATE($CC723,$CG$6)</f>
        <v>37104Vega</v>
      </c>
      <c r="CQ723" s="0" t="str">
        <f aca="false">CONCATENATE($CC723,$CH$6)</f>
        <v>37104Theta</v>
      </c>
    </row>
    <row r="724" customFormat="false" ht="12.75" hidden="false" customHeight="false" outlineLevel="0" collapsed="false">
      <c r="A724" s="17" t="s">
        <v>244</v>
      </c>
      <c r="B724" s="0" t="s">
        <v>192</v>
      </c>
      <c r="C724" s="0" t="s">
        <v>434</v>
      </c>
      <c r="D724" s="7" t="s">
        <v>137</v>
      </c>
      <c r="E724" s="0" t="s">
        <v>131</v>
      </c>
      <c r="F724" s="0" t="s">
        <v>136</v>
      </c>
      <c r="G724" s="92" t="n">
        <v>36800</v>
      </c>
      <c r="H724" s="248" t="n">
        <v>620000</v>
      </c>
      <c r="I724" s="254" t="n">
        <v>0.75</v>
      </c>
      <c r="J724" s="124" t="n">
        <f aca="false">VLOOKUP(G724,NGPrices,2,FALSE())</f>
        <v>4.692</v>
      </c>
      <c r="K724" s="125" t="n">
        <f aca="false">HLOOKUP(D724,Prices,VLOOKUP(G724,move_down,2,FALSE()),FALSE())+VLOOKUP(G724,CHANGE,HLOOKUP(D724,CHANGE,2,FALSE()),FALSE())</f>
        <v>1.99</v>
      </c>
      <c r="L724" s="124" t="n">
        <f aca="false">K724+J724</f>
        <v>6.682</v>
      </c>
      <c r="M724" s="126" t="n">
        <f aca="false">VLOOKUP(G724,NGPrices,4,FALSE())</f>
        <v>0.068050789414654</v>
      </c>
      <c r="N724" s="7" t="n">
        <f aca="false">VLOOKUP(G724,NGPrices,3,FALSE())</f>
        <v>0.575</v>
      </c>
      <c r="O724" s="7" t="n">
        <f aca="false">HLOOKUP(D724,VOLS,VLOOKUP(G724,move_down,2,FALSE()),FALSE())</f>
        <v>0.541</v>
      </c>
      <c r="P724" s="249" t="n">
        <f aca="false">HLOOKUP(D724,Correllate,VLOOKUP(G724,CorMove,2,FALSE()),FALSE())</f>
        <v>0.83</v>
      </c>
      <c r="Q724" s="92" t="n">
        <f aca="false">WORKDAY(G724,-2)</f>
        <v>36797</v>
      </c>
      <c r="R724" s="7" t="n">
        <f aca="false">IF(F724="P",0,1)</f>
        <v>1</v>
      </c>
      <c r="S724" s="130" t="e">
        <f aca="false">xSPRDOPT($L724,$J724,$I724,$M724,$O724,$N724,$P724,$Q724-$C$3,$R724,0)</f>
        <v>#NAME?</v>
      </c>
      <c r="T724" s="250" t="e">
        <f aca="false">xSPRDOPT($L724,$J724,$I724,$M724,$O724,$N724,$P724,$Q724-$C$3,$R724,1)*H724</f>
        <v>#NAME?</v>
      </c>
      <c r="U724" s="43" t="e">
        <f aca="false">S724*H724</f>
        <v>#NAME?</v>
      </c>
      <c r="V724" s="250" t="e">
        <f aca="false">xSPRDOPT($L724,$J724,$I724,$M724,$O724,$N724,$P724,$Q724-$C$3,$R724,2)*H724</f>
        <v>#NAME?</v>
      </c>
      <c r="W724" s="250" t="e">
        <f aca="false">+V724+T724</f>
        <v>#NAME?</v>
      </c>
      <c r="X724" s="2" t="str">
        <f aca="false">CONCATENATE(G724,D724)</f>
        <v>36800NGI-SOCAL</v>
      </c>
      <c r="Y724" s="251" t="n">
        <f aca="false">H724/10000</f>
        <v>62</v>
      </c>
      <c r="Z724" s="226" t="e">
        <f aca="false">T724/H724</f>
        <v>#NAME?</v>
      </c>
      <c r="AA724" s="226" t="e">
        <f aca="false">xSPRDOPT($L724,$J724,$I724,$M724,$O724,$N724,$P724,$Q724-$C$3,$R724,3)</f>
        <v>#NAME?</v>
      </c>
      <c r="AB724" s="226" t="e">
        <f aca="false">((xSPRDOPT($L724+AB$5,$J724,$I724,$M724,$O724,$N724,$P724,$Q724-$C$3,$R724,3)*$H724)/10000)/100</f>
        <v>#NAME?</v>
      </c>
      <c r="AC724" s="226" t="e">
        <f aca="false">((xSPRDOPT($L724+$AB$5,$J724,$I724,$M724,$O724,$N724,$P724,$Q724-$C$3,$R724,7)*$H724)/100)</f>
        <v>#NAME?</v>
      </c>
      <c r="AD724" s="226" t="e">
        <f aca="false">(xSPRDOPT($L724+$AB$5,$J724,$I724,$M724,$O724,$N724,$P724,$Q724-$C$3,$R724,9)/365)*$H724</f>
        <v>#NAME?</v>
      </c>
      <c r="AE724" s="0" t="e">
        <f aca="false">CD726</f>
        <v>#NAME?</v>
      </c>
      <c r="AF724" s="226" t="e">
        <f aca="false">((O724/N724)*AH724)+AG724</f>
        <v>#NAME?</v>
      </c>
      <c r="AG724" s="226" t="e">
        <f aca="false">((xSPRDOPT($L724,$J724,$I724,$M724,$O724,$N724,$P724,$Q724-$C$3,$R724,6)*$H724)/100)</f>
        <v>#NAME?</v>
      </c>
      <c r="AH724" s="226" t="e">
        <f aca="false">((xSPRDOPT($L724,$J724,$I724,$M724,$O724,$N724,$P724,$Q724-$C$3,$R724,5)*$H724)/100)</f>
        <v>#NAME?</v>
      </c>
      <c r="AI724" s="226" t="e">
        <f aca="false">(((xSPRDOPT($L724,$J724,$I724,$M724,$O724,$N724,$P724,$Q724-$C$3,$R724,4)*$H724)/10000)/100)-AB724</f>
        <v>#NAME?</v>
      </c>
      <c r="AJ724" s="226"/>
      <c r="CC724" s="182" t="n">
        <f aca="false">G722</f>
        <v>37135</v>
      </c>
      <c r="CD724" s="253" t="e">
        <f aca="false">xSPRDOPT((VLOOKUP(G722,NGPrices,2,FALSE())+HLOOKUP(D722,Prices,VLOOKUP(G722,move_down,2,FALSE()),FALSE())),VLOOKUP(G722,NGPrices,2,FALSE()),I722,VLOOKUP(G722,NGPREVPRICES,4,FALSE()),HLOOKUP(D722,PREVVOLS,VLOOKUP(G722,MOVE_DOWN2,2,FALSE()),FALSE()),VLOOKUP(G722,NGPREVPRICES,3,FALSE()),HLOOKUP(D722,Correllate,VLOOKUP(G722,CorMove,2,FALSE()),FALSE()),Q722-$CD$3,R722,$CD$5)*H722-CJ724</f>
        <v>#NAME?</v>
      </c>
      <c r="CE724" s="253" t="e">
        <f aca="false">xSPRDOPT((VLOOKUP(G722,NGPREVPRICES,2,FALSE())+HLOOKUP(D722,PREVCURVES,VLOOKUP(G722,MOVE_DOWN2,2,FALSE()),FALSE())),VLOOKUP(G722,NGPREVPRICES,2,FALSE()),CK724,VLOOKUP(G722,NGPrices,4,FALSE()),HLOOKUP(D722,PREVVOLS,VLOOKUP(G722,MOVE_DOWN2,2,FALSE()),FALSE()),VLOOKUP(G722,NGPREVPRICES,3,FALSE()),HLOOKUP(D722,Correllate,VLOOKUP(G722,CorMove,2,FALSE()),FALSE()),Q722-$CD$3,R722,$CJ$5)*H722-CJ724</f>
        <v>#NAME?</v>
      </c>
      <c r="CF724" s="132" t="e">
        <f aca="false">(CJ724/VLOOKUP(CC724,discount,3,FALSE()))-(CJ724/VLOOKUP(CC724,discount,2,FALSE()))</f>
        <v>#NAME?</v>
      </c>
      <c r="CG724" s="253" t="e">
        <f aca="false">xSPRDOPT((VLOOKUP(G722,NGPREVPRICES,2,FALSE())+HLOOKUP(D722,PREVCURVES,VLOOKUP(G722,MOVE_DOWN2,2,FALSE()),FALSE())),VLOOKUP(G722,NGPREVPRICES,2,FALSE()),CK724,VLOOKUP(G722,NGPREVPRICES,4,FALSE()),HLOOKUP(D722,VOLS,VLOOKUP(G722,move_down,2,FALSE()),FALSE()),VLOOKUP(G722,NGPrices,3,FALSE()),HLOOKUP(D722,Correllate,VLOOKUP(G722,CorMove,2,FALSE()),FALSE()),Q722-$CD$3,R722,$CJ$5)*H722-CJ724</f>
        <v>#NAME?</v>
      </c>
      <c r="CH724" s="253" t="e">
        <f aca="false">xSPRDOPT((VLOOKUP(G722,NGPREVPRICES,2,FALSE())+HLOOKUP(D722,PREVCURVES,VLOOKUP(G722,MOVE_DOWN2,2,FALSE()),FALSE())),VLOOKUP(G722,NGPREVPRICES,2,FALSE()),CK724,VLOOKUP(G722,NGPREVPRICES,4,FALSE()),HLOOKUP(D722,PREVVOLS,VLOOKUP(G722,MOVE_DOWN2,2,FALSE()),FALSE()),VLOOKUP(G722,NGPREVPRICES,3,FALSE()),HLOOKUP(D722,Correllate,VLOOKUP(G722,CorMove,2,FALSE()),FALSE()),Q722-$C$3,R722,$CJ$5)*H722-CJ724</f>
        <v>#NAME?</v>
      </c>
      <c r="CI724" s="253" t="e">
        <f aca="false">SUM(CD724:CH724)</f>
        <v>#NAME?</v>
      </c>
      <c r="CJ724" s="253" t="e">
        <f aca="false">xSPRDOPT((VLOOKUP(G722,NGPREVPRICES,2,FALSE())+HLOOKUP(D722,PREVCURVES,VLOOKUP(G722,MOVE_DOWN2,2,FALSE()),FALSE())),VLOOKUP(G722,NGPREVPRICES,2,FALSE()),CK724,VLOOKUP(G722,NGPREVPRICES,4,FALSE()),HLOOKUP(D722,PREVVOLS,VLOOKUP(G722,MOVE_DOWN2,2,FALSE()),FALSE()),VLOOKUP(G722,NGPREVPRICES,3,FALSE()),HLOOKUP(D722,Correllate,VLOOKUP(G722,CorMove,2,FALSE()),FALSE()),Q722-$CD$3,R722,$CJ$5)*H722</f>
        <v>#NAME?</v>
      </c>
      <c r="CK724" s="254" t="n">
        <f aca="false">I722</f>
        <v>0.42</v>
      </c>
      <c r="CM724" s="0" t="str">
        <f aca="false">CONCATENATE(CC724,$CD$6)</f>
        <v>37135Curve Shift/Gamma</v>
      </c>
      <c r="CN724" s="0" t="str">
        <f aca="false">CONCATENATE($CC724,$CE$6)</f>
        <v>37135Rho</v>
      </c>
      <c r="CO724" s="0" t="str">
        <f aca="false">CONCATENATE($CC724,$CF$6)</f>
        <v>37135Drift</v>
      </c>
      <c r="CP724" s="0" t="str">
        <f aca="false">CONCATENATE($CC724,$CG$6)</f>
        <v>37135Vega</v>
      </c>
      <c r="CQ724" s="0" t="str">
        <f aca="false">CONCATENATE($CC724,$CH$6)</f>
        <v>37135Theta</v>
      </c>
    </row>
    <row r="725" customFormat="false" ht="12.75" hidden="false" customHeight="false" outlineLevel="0" collapsed="false">
      <c r="A725" s="17" t="s">
        <v>244</v>
      </c>
      <c r="B725" s="0" t="s">
        <v>192</v>
      </c>
      <c r="C725" s="0" t="s">
        <v>435</v>
      </c>
      <c r="D725" s="7" t="s">
        <v>137</v>
      </c>
      <c r="E725" s="0" t="s">
        <v>131</v>
      </c>
      <c r="F725" s="0" t="s">
        <v>132</v>
      </c>
      <c r="G725" s="92" t="n">
        <v>36800</v>
      </c>
      <c r="H725" s="248" t="n">
        <v>-620000</v>
      </c>
      <c r="I725" s="254" t="n">
        <v>0.4</v>
      </c>
      <c r="J725" s="124" t="n">
        <f aca="false">VLOOKUP(G725,NGPrices,2,FALSE())</f>
        <v>4.692</v>
      </c>
      <c r="K725" s="125" t="n">
        <f aca="false">HLOOKUP(D725,Prices,VLOOKUP(G725,move_down,2,FALSE()),FALSE())+VLOOKUP(G725,CHANGE,HLOOKUP(D725,CHANGE,2,FALSE()),FALSE())</f>
        <v>1.99</v>
      </c>
      <c r="L725" s="124" t="n">
        <f aca="false">K725+J725</f>
        <v>6.682</v>
      </c>
      <c r="M725" s="126" t="n">
        <f aca="false">VLOOKUP(G725,NGPrices,4,FALSE())</f>
        <v>0.068050789414654</v>
      </c>
      <c r="N725" s="7" t="n">
        <f aca="false">VLOOKUP(G725,NGPrices,3,FALSE())</f>
        <v>0.575</v>
      </c>
      <c r="O725" s="7" t="n">
        <f aca="false">HLOOKUP(D725,VOLS,VLOOKUP(G725,move_down,2,FALSE()),FALSE())</f>
        <v>0.541</v>
      </c>
      <c r="P725" s="249" t="n">
        <f aca="false">HLOOKUP(D725,Correllate,VLOOKUP(G725,CorMove,2,FALSE()),FALSE())</f>
        <v>0.83</v>
      </c>
      <c r="Q725" s="92" t="n">
        <f aca="false">WORKDAY(G725,-2)</f>
        <v>36797</v>
      </c>
      <c r="R725" s="7" t="n">
        <f aca="false">IF(F725="P",0,1)</f>
        <v>0</v>
      </c>
      <c r="S725" s="130" t="e">
        <f aca="false">xSPRDOPT($L725,$J725,$I725,$M725,$O725,$N725,$P725,$Q725-$C$3,$R725,0)</f>
        <v>#NAME?</v>
      </c>
      <c r="T725" s="250" t="e">
        <f aca="false">xSPRDOPT($L725,$J725,$I725,$M725,$O725,$N725,$P725,$Q725-$C$3,$R725,1)*H725</f>
        <v>#NAME?</v>
      </c>
      <c r="U725" s="43" t="e">
        <f aca="false">S725*H725</f>
        <v>#NAME?</v>
      </c>
      <c r="V725" s="250" t="e">
        <f aca="false">xSPRDOPT($L725,$J725,$I725,$M725,$O725,$N725,$P725,$Q725-$C$3,$R725,2)*H725</f>
        <v>#NAME?</v>
      </c>
      <c r="W725" s="250" t="e">
        <f aca="false">+V725+T725</f>
        <v>#NAME?</v>
      </c>
      <c r="X725" s="2" t="str">
        <f aca="false">CONCATENATE(G725,D725)</f>
        <v>36800NGI-SOCAL</v>
      </c>
      <c r="Y725" s="251" t="n">
        <f aca="false">H725/10000</f>
        <v>-62</v>
      </c>
      <c r="Z725" s="226" t="e">
        <f aca="false">T725/H725</f>
        <v>#NAME?</v>
      </c>
      <c r="AA725" s="226" t="e">
        <f aca="false">xSPRDOPT($L725,$J725,$I725,$M725,$O725,$N725,$P725,$Q725-$C$3,$R725,3)</f>
        <v>#NAME?</v>
      </c>
      <c r="AB725" s="226" t="e">
        <f aca="false">((xSPRDOPT($L725+AB$5,$J725,$I725,$M725,$O725,$N725,$P725,$Q725-$C$3,$R725,3)*$H725)/10000)/100</f>
        <v>#NAME?</v>
      </c>
      <c r="AC725" s="226" t="e">
        <f aca="false">((xSPRDOPT($L725+$AB$5,$J725,$I725,$M725,$O725,$N725,$P725,$Q725-$C$3,$R725,7)*$H725)/100)</f>
        <v>#NAME?</v>
      </c>
      <c r="AD725" s="226" t="e">
        <f aca="false">(xSPRDOPT($L725+$AB$5,$J725,$I725,$M725,$O725,$N725,$P725,$Q725-$C$3,$R725,9)/365)*$H725</f>
        <v>#NAME?</v>
      </c>
      <c r="AE725" s="0" t="e">
        <f aca="false">CD727</f>
        <v>#NAME?</v>
      </c>
      <c r="AF725" s="226" t="e">
        <f aca="false">((O725/N725)*AH725)+AG725</f>
        <v>#NAME?</v>
      </c>
      <c r="AG725" s="226" t="e">
        <f aca="false">((xSPRDOPT($L725,$J725,$I725,$M725,$O725,$N725,$P725,$Q725-$C$3,$R725,6)*$H725)/100)</f>
        <v>#NAME?</v>
      </c>
      <c r="AH725" s="226" t="e">
        <f aca="false">((xSPRDOPT($L725,$J725,$I725,$M725,$O725,$N725,$P725,$Q725-$C$3,$R725,5)*$H725)/100)</f>
        <v>#NAME?</v>
      </c>
      <c r="AI725" s="226" t="e">
        <f aca="false">(((xSPRDOPT($L725,$J725,$I725,$M725,$O725,$N725,$P725,$Q725-$C$3,$R725,4)*$H725)/10000)/100)-AB725</f>
        <v>#NAME?</v>
      </c>
      <c r="AJ725" s="226"/>
      <c r="CC725" s="182" t="n">
        <f aca="false">G723</f>
        <v>37165</v>
      </c>
      <c r="CD725" s="253" t="e">
        <f aca="false">xSPRDOPT((VLOOKUP(G723,NGPrices,2,FALSE())+HLOOKUP(D723,Prices,VLOOKUP(G723,move_down,2,FALSE()),FALSE())),VLOOKUP(G723,NGPrices,2,FALSE()),I723,VLOOKUP(G723,NGPREVPRICES,4,FALSE()),HLOOKUP(D723,PREVVOLS,VLOOKUP(G723,MOVE_DOWN2,2,FALSE()),FALSE()),VLOOKUP(G723,NGPREVPRICES,3,FALSE()),HLOOKUP(D723,Correllate,VLOOKUP(G723,CorMove,2,FALSE()),FALSE()),Q723-$CD$3,R723,$CD$5)*H723-CJ725</f>
        <v>#NAME?</v>
      </c>
      <c r="CE725" s="253" t="e">
        <f aca="false">xSPRDOPT((VLOOKUP(G723,NGPREVPRICES,2,FALSE())+HLOOKUP(D723,PREVCURVES,VLOOKUP(G723,MOVE_DOWN2,2,FALSE()),FALSE())),VLOOKUP(G723,NGPREVPRICES,2,FALSE()),CK725,VLOOKUP(G723,NGPrices,4,FALSE()),HLOOKUP(D723,PREVVOLS,VLOOKUP(G723,MOVE_DOWN2,2,FALSE()),FALSE()),VLOOKUP(G723,NGPREVPRICES,3,FALSE()),HLOOKUP(D723,Correllate,VLOOKUP(G723,CorMove,2,FALSE()),FALSE()),Q723-$CD$3,R723,$CJ$5)*H723-CJ725</f>
        <v>#NAME?</v>
      </c>
      <c r="CF725" s="132" t="e">
        <f aca="false">(CJ725/VLOOKUP(CC725,discount,3,FALSE()))-(CJ725/VLOOKUP(CC725,discount,2,FALSE()))</f>
        <v>#NAME?</v>
      </c>
      <c r="CG725" s="253" t="e">
        <f aca="false">xSPRDOPT((VLOOKUP(G723,NGPREVPRICES,2,FALSE())+HLOOKUP(D723,PREVCURVES,VLOOKUP(G723,MOVE_DOWN2,2,FALSE()),FALSE())),VLOOKUP(G723,NGPREVPRICES,2,FALSE()),CK725,VLOOKUP(G723,NGPREVPRICES,4,FALSE()),HLOOKUP(D723,VOLS,VLOOKUP(G723,move_down,2,FALSE()),FALSE()),VLOOKUP(G723,NGPrices,3,FALSE()),HLOOKUP(D723,Correllate,VLOOKUP(G723,CorMove,2,FALSE()),FALSE()),Q723-$CD$3,R723,$CJ$5)*H723-CJ725</f>
        <v>#NAME?</v>
      </c>
      <c r="CH725" s="253" t="e">
        <f aca="false">xSPRDOPT((VLOOKUP(G723,NGPREVPRICES,2,FALSE())+HLOOKUP(D723,PREVCURVES,VLOOKUP(G723,MOVE_DOWN2,2,FALSE()),FALSE())),VLOOKUP(G723,NGPREVPRICES,2,FALSE()),CK725,VLOOKUP(G723,NGPREVPRICES,4,FALSE()),HLOOKUP(D723,PREVVOLS,VLOOKUP(G723,MOVE_DOWN2,2,FALSE()),FALSE()),VLOOKUP(G723,NGPREVPRICES,3,FALSE()),HLOOKUP(D723,Correllate,VLOOKUP(G723,CorMove,2,FALSE()),FALSE()),Q723-$C$3,R723,$CJ$5)*H723-CJ725</f>
        <v>#NAME?</v>
      </c>
      <c r="CI725" s="253" t="e">
        <f aca="false">SUM(CD725:CH725)</f>
        <v>#NAME?</v>
      </c>
      <c r="CJ725" s="253" t="e">
        <f aca="false">xSPRDOPT((VLOOKUP(G723,NGPREVPRICES,2,FALSE())+HLOOKUP(D723,PREVCURVES,VLOOKUP(G723,MOVE_DOWN2,2,FALSE()),FALSE())),VLOOKUP(G723,NGPREVPRICES,2,FALSE()),CK725,VLOOKUP(G723,NGPREVPRICES,4,FALSE()),HLOOKUP(D723,PREVVOLS,VLOOKUP(G723,MOVE_DOWN2,2,FALSE()),FALSE()),VLOOKUP(G723,NGPREVPRICES,3,FALSE()),HLOOKUP(D723,Correllate,VLOOKUP(G723,CorMove,2,FALSE()),FALSE()),Q723-$CD$3,R723,$CJ$5)*H723</f>
        <v>#NAME?</v>
      </c>
      <c r="CK725" s="254" t="n">
        <f aca="false">I723</f>
        <v>0.42</v>
      </c>
      <c r="CM725" s="0" t="str">
        <f aca="false">CONCATENATE(CC725,$CD$6)</f>
        <v>37165Curve Shift/Gamma</v>
      </c>
      <c r="CN725" s="0" t="str">
        <f aca="false">CONCATENATE($CC725,$CE$6)</f>
        <v>37165Rho</v>
      </c>
      <c r="CO725" s="0" t="str">
        <f aca="false">CONCATENATE($CC725,$CF$6)</f>
        <v>37165Drift</v>
      </c>
      <c r="CP725" s="0" t="str">
        <f aca="false">CONCATENATE($CC725,$CG$6)</f>
        <v>37165Vega</v>
      </c>
      <c r="CQ725" s="0" t="str">
        <f aca="false">CONCATENATE($CC725,$CH$6)</f>
        <v>37165Theta</v>
      </c>
    </row>
    <row r="726" customFormat="false" ht="12.75" hidden="false" customHeight="false" outlineLevel="0" collapsed="false">
      <c r="A726" s="17" t="s">
        <v>275</v>
      </c>
      <c r="B726" s="0" t="s">
        <v>192</v>
      </c>
      <c r="C726" s="0" t="s">
        <v>436</v>
      </c>
      <c r="D726" s="7" t="s">
        <v>137</v>
      </c>
      <c r="E726" s="0" t="s">
        <v>131</v>
      </c>
      <c r="F726" s="0" t="s">
        <v>136</v>
      </c>
      <c r="G726" s="92" t="n">
        <v>36800</v>
      </c>
      <c r="H726" s="248" t="n">
        <v>620000</v>
      </c>
      <c r="I726" s="254" t="n">
        <v>0.75</v>
      </c>
      <c r="J726" s="124" t="n">
        <f aca="false">VLOOKUP(G726,NGPrices,2,FALSE())</f>
        <v>4.692</v>
      </c>
      <c r="K726" s="125" t="n">
        <f aca="false">HLOOKUP(D726,Prices,VLOOKUP(G726,move_down,2,FALSE()),FALSE())+VLOOKUP(G726,CHANGE,HLOOKUP(D726,CHANGE,2,FALSE()),FALSE())</f>
        <v>1.99</v>
      </c>
      <c r="L726" s="124" t="n">
        <f aca="false">K726+J726</f>
        <v>6.682</v>
      </c>
      <c r="M726" s="126" t="n">
        <f aca="false">VLOOKUP(G726,NGPrices,4,FALSE())</f>
        <v>0.068050789414654</v>
      </c>
      <c r="N726" s="7" t="n">
        <f aca="false">VLOOKUP(G726,NGPrices,3,FALSE())</f>
        <v>0.575</v>
      </c>
      <c r="O726" s="7" t="n">
        <f aca="false">HLOOKUP(D726,VOLS,VLOOKUP(G726,move_down,2,FALSE()),FALSE())</f>
        <v>0.541</v>
      </c>
      <c r="P726" s="249" t="n">
        <f aca="false">HLOOKUP(D726,Correllate,VLOOKUP(G726,CorMove,2,FALSE()),FALSE())</f>
        <v>0.83</v>
      </c>
      <c r="Q726" s="92" t="n">
        <f aca="false">WORKDAY(G726,-2)</f>
        <v>36797</v>
      </c>
      <c r="R726" s="7" t="n">
        <f aca="false">IF(F726="P",0,1)</f>
        <v>1</v>
      </c>
      <c r="S726" s="130" t="e">
        <f aca="false">xSPRDOPT($L726,$J726,$I726,$M726,$O726,$N726,$P726,$Q726-$C$3,$R726,0)</f>
        <v>#NAME?</v>
      </c>
      <c r="T726" s="250" t="e">
        <f aca="false">xSPRDOPT($L726,$J726,$I726,$M726,$O726,$N726,$P726,$Q726-$C$3,$R726,1)*H726</f>
        <v>#NAME?</v>
      </c>
      <c r="U726" s="43" t="e">
        <f aca="false">S726*H726</f>
        <v>#NAME?</v>
      </c>
      <c r="V726" s="250" t="e">
        <f aca="false">xSPRDOPT($L726,$J726,$I726,$M726,$O726,$N726,$P726,$Q726-$C$3,$R726,2)*H726</f>
        <v>#NAME?</v>
      </c>
      <c r="W726" s="250" t="e">
        <f aca="false">+V726+T726</f>
        <v>#NAME?</v>
      </c>
      <c r="X726" s="2" t="str">
        <f aca="false">CONCATENATE(G726,D726)</f>
        <v>36800NGI-SOCAL</v>
      </c>
      <c r="Y726" s="251" t="n">
        <f aca="false">H726/10000</f>
        <v>62</v>
      </c>
      <c r="Z726" s="226" t="e">
        <f aca="false">T726/H726</f>
        <v>#NAME?</v>
      </c>
      <c r="AA726" s="226" t="e">
        <f aca="false">xSPRDOPT($L726,$J726,$I726,$M726,$O726,$N726,$P726,$Q726-$C$3,$R726,3)</f>
        <v>#NAME?</v>
      </c>
      <c r="AB726" s="226" t="e">
        <f aca="false">((xSPRDOPT($L726+AB$5,$J726,$I726,$M726,$O726,$N726,$P726,$Q726-$C$3,$R726,3)*$H726)/10000)/100</f>
        <v>#NAME?</v>
      </c>
      <c r="AC726" s="226" t="e">
        <f aca="false">((xSPRDOPT($L726+$AB$5,$J726,$I726,$M726,$O726,$N726,$P726,$Q726-$C$3,$R726,7)*$H726)/100)</f>
        <v>#NAME?</v>
      </c>
      <c r="AD726" s="226" t="e">
        <f aca="false">(xSPRDOPT($L726+$AB$5,$J726,$I726,$M726,$O726,$N726,$P726,$Q726-$C$3,$R726,9)/365)*$H726</f>
        <v>#NAME?</v>
      </c>
      <c r="AE726" s="0" t="e">
        <f aca="false">CD728</f>
        <v>#NAME?</v>
      </c>
      <c r="AF726" s="226" t="e">
        <f aca="false">((O726/N726)*AH726)+AG726</f>
        <v>#NAME?</v>
      </c>
      <c r="AG726" s="226" t="e">
        <f aca="false">((xSPRDOPT($L726,$J726,$I726,$M726,$O726,$N726,$P726,$Q726-$C$3,$R726,6)*$H726)/100)</f>
        <v>#NAME?</v>
      </c>
      <c r="AH726" s="226" t="e">
        <f aca="false">((xSPRDOPT($L726,$J726,$I726,$M726,$O726,$N726,$P726,$Q726-$C$3,$R726,5)*$H726)/100)</f>
        <v>#NAME?</v>
      </c>
      <c r="AI726" s="226" t="e">
        <f aca="false">(((xSPRDOPT($L726,$J726,$I726,$M726,$O726,$N726,$P726,$Q726-$C$3,$R726,4)*$H726)/10000)/100)-AB726</f>
        <v>#NAME?</v>
      </c>
      <c r="AJ726" s="226"/>
      <c r="CC726" s="182" t="n">
        <f aca="false">G724</f>
        <v>36800</v>
      </c>
      <c r="CD726" s="253" t="e">
        <f aca="false">xSPRDOPT((VLOOKUP(G724,NGPrices,2,FALSE())+HLOOKUP(D724,Prices,VLOOKUP(G724,move_down,2,FALSE()),FALSE())),VLOOKUP(G724,NGPrices,2,FALSE()),I724,VLOOKUP(G724,NGPREVPRICES,4,FALSE()),HLOOKUP(D724,PREVVOLS,VLOOKUP(G724,MOVE_DOWN2,2,FALSE()),FALSE()),VLOOKUP(G724,NGPREVPRICES,3,FALSE()),HLOOKUP(D724,Correllate,VLOOKUP(G724,CorMove,2,FALSE()),FALSE()),Q724-$CD$3,R724,$CD$5)*H724-CJ726</f>
        <v>#NAME?</v>
      </c>
      <c r="CE726" s="253" t="e">
        <f aca="false">xSPRDOPT((VLOOKUP(G724,NGPREVPRICES,2,FALSE())+HLOOKUP(D724,PREVCURVES,VLOOKUP(G724,MOVE_DOWN2,2,FALSE()),FALSE())),VLOOKUP(G724,NGPREVPRICES,2,FALSE()),CK726,VLOOKUP(G724,NGPrices,4,FALSE()),HLOOKUP(D724,PREVVOLS,VLOOKUP(G724,MOVE_DOWN2,2,FALSE()),FALSE()),VLOOKUP(G724,NGPREVPRICES,3,FALSE()),HLOOKUP(D724,Correllate,VLOOKUP(G724,CorMove,2,FALSE()),FALSE()),Q724-$CD$3,R724,$CJ$5)*H724-CJ726</f>
        <v>#NAME?</v>
      </c>
      <c r="CF726" s="132" t="e">
        <f aca="false">(CJ726/VLOOKUP(CC726,discount,3,FALSE()))-(CJ726/VLOOKUP(CC726,discount,2,FALSE()))</f>
        <v>#NAME?</v>
      </c>
      <c r="CG726" s="253" t="e">
        <f aca="false">xSPRDOPT((VLOOKUP(G724,NGPREVPRICES,2,FALSE())+HLOOKUP(D724,PREVCURVES,VLOOKUP(G724,MOVE_DOWN2,2,FALSE()),FALSE())),VLOOKUP(G724,NGPREVPRICES,2,FALSE()),CK726,VLOOKUP(G724,NGPREVPRICES,4,FALSE()),HLOOKUP(D724,VOLS,VLOOKUP(G724,move_down,2,FALSE()),FALSE()),VLOOKUP(G724,NGPrices,3,FALSE()),HLOOKUP(D724,Correllate,VLOOKUP(G724,CorMove,2,FALSE()),FALSE()),Q724-$CD$3,R724,$CJ$5)*H724-CJ726</f>
        <v>#NAME?</v>
      </c>
      <c r="CH726" s="253" t="e">
        <f aca="false">xSPRDOPT((VLOOKUP(G724,NGPREVPRICES,2,FALSE())+HLOOKUP(D724,PREVCURVES,VLOOKUP(G724,MOVE_DOWN2,2,FALSE()),FALSE())),VLOOKUP(G724,NGPREVPRICES,2,FALSE()),CK726,VLOOKUP(G724,NGPREVPRICES,4,FALSE()),HLOOKUP(D724,PREVVOLS,VLOOKUP(G724,MOVE_DOWN2,2,FALSE()),FALSE()),VLOOKUP(G724,NGPREVPRICES,3,FALSE()),HLOOKUP(D724,Correllate,VLOOKUP(G724,CorMove,2,FALSE()),FALSE()),Q724-$C$3,R724,$CJ$5)*H724-CJ726</f>
        <v>#NAME?</v>
      </c>
      <c r="CI726" s="253" t="e">
        <f aca="false">SUM(CD726:CH726)</f>
        <v>#NAME?</v>
      </c>
      <c r="CJ726" s="253" t="e">
        <f aca="false">xSPRDOPT((VLOOKUP(G724,NGPREVPRICES,2,FALSE())+HLOOKUP(D724,PREVCURVES,VLOOKUP(G724,MOVE_DOWN2,2,FALSE()),FALSE())),VLOOKUP(G724,NGPREVPRICES,2,FALSE()),CK726,VLOOKUP(G724,NGPREVPRICES,4,FALSE()),HLOOKUP(D724,PREVVOLS,VLOOKUP(G724,MOVE_DOWN2,2,FALSE()),FALSE()),VLOOKUP(G724,NGPREVPRICES,3,FALSE()),HLOOKUP(D724,Correllate,VLOOKUP(G724,CorMove,2,FALSE()),FALSE()),Q724-$CD$3,R724,$CJ$5)*H724</f>
        <v>#NAME?</v>
      </c>
      <c r="CK726" s="254" t="n">
        <f aca="false">I724</f>
        <v>0.75</v>
      </c>
      <c r="CM726" s="0" t="str">
        <f aca="false">CONCATENATE(CC726,$CD$6)</f>
        <v>36800Curve Shift/Gamma</v>
      </c>
      <c r="CN726" s="0" t="str">
        <f aca="false">CONCATENATE($CC726,$CE$6)</f>
        <v>36800Rho</v>
      </c>
      <c r="CO726" s="0" t="str">
        <f aca="false">CONCATENATE($CC726,$CF$6)</f>
        <v>36800Drift</v>
      </c>
      <c r="CP726" s="0" t="str">
        <f aca="false">CONCATENATE($CC726,$CG$6)</f>
        <v>36800Vega</v>
      </c>
      <c r="CQ726" s="0" t="str">
        <f aca="false">CONCATENATE($CC726,$CH$6)</f>
        <v>36800Theta</v>
      </c>
    </row>
    <row r="727" customFormat="false" ht="12.75" hidden="false" customHeight="false" outlineLevel="0" collapsed="false">
      <c r="A727" s="17" t="s">
        <v>275</v>
      </c>
      <c r="B727" s="0" t="s">
        <v>192</v>
      </c>
      <c r="C727" s="0" t="s">
        <v>437</v>
      </c>
      <c r="D727" s="7" t="s">
        <v>137</v>
      </c>
      <c r="E727" s="0" t="s">
        <v>131</v>
      </c>
      <c r="F727" s="0" t="s">
        <v>132</v>
      </c>
      <c r="G727" s="92" t="n">
        <v>36800</v>
      </c>
      <c r="H727" s="248" t="n">
        <v>-620000</v>
      </c>
      <c r="I727" s="254" t="n">
        <v>0.4</v>
      </c>
      <c r="J727" s="124" t="n">
        <f aca="false">VLOOKUP(G727,NGPrices,2,FALSE())</f>
        <v>4.692</v>
      </c>
      <c r="K727" s="125" t="n">
        <f aca="false">HLOOKUP(D727,Prices,VLOOKUP(G727,move_down,2,FALSE()),FALSE())+VLOOKUP(G727,CHANGE,HLOOKUP(D727,CHANGE,2,FALSE()),FALSE())</f>
        <v>1.99</v>
      </c>
      <c r="L727" s="124" t="n">
        <f aca="false">K727+J727</f>
        <v>6.682</v>
      </c>
      <c r="M727" s="126" t="n">
        <f aca="false">VLOOKUP(G727,NGPrices,4,FALSE())</f>
        <v>0.068050789414654</v>
      </c>
      <c r="N727" s="7" t="n">
        <f aca="false">VLOOKUP(G727,NGPrices,3,FALSE())</f>
        <v>0.575</v>
      </c>
      <c r="O727" s="7" t="n">
        <f aca="false">HLOOKUP(D727,VOLS,VLOOKUP(G727,move_down,2,FALSE()),FALSE())</f>
        <v>0.541</v>
      </c>
      <c r="P727" s="249" t="n">
        <f aca="false">HLOOKUP(D727,Correllate,VLOOKUP(G727,CorMove,2,FALSE()),FALSE())</f>
        <v>0.83</v>
      </c>
      <c r="Q727" s="92" t="n">
        <f aca="false">WORKDAY(G727,-2)</f>
        <v>36797</v>
      </c>
      <c r="R727" s="7" t="n">
        <f aca="false">IF(F727="P",0,1)</f>
        <v>0</v>
      </c>
      <c r="S727" s="130" t="e">
        <f aca="false">xSPRDOPT($L727,$J727,$I727,$M727,$O727,$N727,$P727,$Q727-$C$3,$R727,0)</f>
        <v>#NAME?</v>
      </c>
      <c r="T727" s="250" t="e">
        <f aca="false">xSPRDOPT($L727,$J727,$I727,$M727,$O727,$N727,$P727,$Q727-$C$3,$R727,1)*H727</f>
        <v>#NAME?</v>
      </c>
      <c r="U727" s="43" t="e">
        <f aca="false">S727*H727</f>
        <v>#NAME?</v>
      </c>
      <c r="V727" s="250" t="e">
        <f aca="false">xSPRDOPT($L727,$J727,$I727,$M727,$O727,$N727,$P727,$Q727-$C$3,$R727,2)*H727</f>
        <v>#NAME?</v>
      </c>
      <c r="W727" s="250" t="e">
        <f aca="false">+V727+T727</f>
        <v>#NAME?</v>
      </c>
      <c r="X727" s="2" t="str">
        <f aca="false">CONCATENATE(G727,D727)</f>
        <v>36800NGI-SOCAL</v>
      </c>
      <c r="Y727" s="251" t="n">
        <f aca="false">H727/10000</f>
        <v>-62</v>
      </c>
      <c r="Z727" s="226" t="e">
        <f aca="false">T727/H727</f>
        <v>#NAME?</v>
      </c>
      <c r="AA727" s="226" t="e">
        <f aca="false">xSPRDOPT($L727,$J727,$I727,$M727,$O727,$N727,$P727,$Q727-$C$3,$R727,3)</f>
        <v>#NAME?</v>
      </c>
      <c r="AB727" s="226" t="e">
        <f aca="false">((xSPRDOPT($L727+AB$5,$J727,$I727,$M727,$O727,$N727,$P727,$Q727-$C$3,$R727,3)*$H727)/10000)/100</f>
        <v>#NAME?</v>
      </c>
      <c r="AC727" s="226" t="e">
        <f aca="false">((xSPRDOPT($L727+$AB$5,$J727,$I727,$M727,$O727,$N727,$P727,$Q727-$C$3,$R727,7)*$H727)/100)</f>
        <v>#NAME?</v>
      </c>
      <c r="AD727" s="226" t="e">
        <f aca="false">(xSPRDOPT($L727+$AB$5,$J727,$I727,$M727,$O727,$N727,$P727,$Q727-$C$3,$R727,9)/365)*$H727</f>
        <v>#NAME?</v>
      </c>
      <c r="AE727" s="0" t="e">
        <f aca="false">CD729</f>
        <v>#NAME?</v>
      </c>
      <c r="AF727" s="226" t="e">
        <f aca="false">((O727/N727)*AH727)+AG727</f>
        <v>#NAME?</v>
      </c>
      <c r="AG727" s="226" t="e">
        <f aca="false">((xSPRDOPT($L727,$J727,$I727,$M727,$O727,$N727,$P727,$Q727-$C$3,$R727,6)*$H727)/100)</f>
        <v>#NAME?</v>
      </c>
      <c r="AH727" s="226" t="e">
        <f aca="false">((xSPRDOPT($L727,$J727,$I727,$M727,$O727,$N727,$P727,$Q727-$C$3,$R727,5)*$H727)/100)</f>
        <v>#NAME?</v>
      </c>
      <c r="AI727" s="226" t="e">
        <f aca="false">(((xSPRDOPT($L727,$J727,$I727,$M727,$O727,$N727,$P727,$Q727-$C$3,$R727,4)*$H727)/10000)/100)-AB727</f>
        <v>#NAME?</v>
      </c>
      <c r="AJ727" s="226"/>
      <c r="CC727" s="182" t="n">
        <f aca="false">G725</f>
        <v>36800</v>
      </c>
      <c r="CD727" s="253" t="e">
        <f aca="false">xSPRDOPT((VLOOKUP(G725,NGPrices,2,FALSE())+HLOOKUP(D725,Prices,VLOOKUP(G725,move_down,2,FALSE()),FALSE())),VLOOKUP(G725,NGPrices,2,FALSE()),I725,VLOOKUP(G725,NGPREVPRICES,4,FALSE()),HLOOKUP(D725,PREVVOLS,VLOOKUP(G725,MOVE_DOWN2,2,FALSE()),FALSE()),VLOOKUP(G725,NGPREVPRICES,3,FALSE()),HLOOKUP(D725,Correllate,VLOOKUP(G725,CorMove,2,FALSE()),FALSE()),Q725-$CD$3,R725,$CD$5)*H725-CJ727</f>
        <v>#NAME?</v>
      </c>
      <c r="CE727" s="253" t="e">
        <f aca="false">xSPRDOPT((VLOOKUP(G725,NGPREVPRICES,2,FALSE())+HLOOKUP(D725,PREVCURVES,VLOOKUP(G725,MOVE_DOWN2,2,FALSE()),FALSE())),VLOOKUP(G725,NGPREVPRICES,2,FALSE()),CK727,VLOOKUP(G725,NGPrices,4,FALSE()),HLOOKUP(D725,PREVVOLS,VLOOKUP(G725,MOVE_DOWN2,2,FALSE()),FALSE()),VLOOKUP(G725,NGPREVPRICES,3,FALSE()),HLOOKUP(D725,Correllate,VLOOKUP(G725,CorMove,2,FALSE()),FALSE()),Q725-$CD$3,R725,$CJ$5)*H725-CJ727</f>
        <v>#NAME?</v>
      </c>
      <c r="CF727" s="132" t="e">
        <f aca="false">(CJ727/VLOOKUP(CC727,discount,3,FALSE()))-(CJ727/VLOOKUP(CC727,discount,2,FALSE()))</f>
        <v>#NAME?</v>
      </c>
      <c r="CG727" s="253" t="e">
        <f aca="false">xSPRDOPT((VLOOKUP(G725,NGPREVPRICES,2,FALSE())+HLOOKUP(D725,PREVCURVES,VLOOKUP(G725,MOVE_DOWN2,2,FALSE()),FALSE())),VLOOKUP(G725,NGPREVPRICES,2,FALSE()),CK727,VLOOKUP(G725,NGPREVPRICES,4,FALSE()),HLOOKUP(D725,VOLS,VLOOKUP(G725,move_down,2,FALSE()),FALSE()),VLOOKUP(G725,NGPrices,3,FALSE()),HLOOKUP(D725,Correllate,VLOOKUP(G725,CorMove,2,FALSE()),FALSE()),Q725-$CD$3,R725,$CJ$5)*H725-CJ727</f>
        <v>#NAME?</v>
      </c>
      <c r="CH727" s="253" t="e">
        <f aca="false">xSPRDOPT((VLOOKUP(G725,NGPREVPRICES,2,FALSE())+HLOOKUP(D725,PREVCURVES,VLOOKUP(G725,MOVE_DOWN2,2,FALSE()),FALSE())),VLOOKUP(G725,NGPREVPRICES,2,FALSE()),CK727,VLOOKUP(G725,NGPREVPRICES,4,FALSE()),HLOOKUP(D725,PREVVOLS,VLOOKUP(G725,MOVE_DOWN2,2,FALSE()),FALSE()),VLOOKUP(G725,NGPREVPRICES,3,FALSE()),HLOOKUP(D725,Correllate,VLOOKUP(G725,CorMove,2,FALSE()),FALSE()),Q725-$C$3,R725,$CJ$5)*H725-CJ727</f>
        <v>#NAME?</v>
      </c>
      <c r="CI727" s="253" t="e">
        <f aca="false">SUM(CD727:CH727)</f>
        <v>#NAME?</v>
      </c>
      <c r="CJ727" s="253" t="e">
        <f aca="false">xSPRDOPT((VLOOKUP(G725,NGPREVPRICES,2,FALSE())+HLOOKUP(D725,PREVCURVES,VLOOKUP(G725,MOVE_DOWN2,2,FALSE()),FALSE())),VLOOKUP(G725,NGPREVPRICES,2,FALSE()),CK727,VLOOKUP(G725,NGPREVPRICES,4,FALSE()),HLOOKUP(D725,PREVVOLS,VLOOKUP(G725,MOVE_DOWN2,2,FALSE()),FALSE()),VLOOKUP(G725,NGPREVPRICES,3,FALSE()),HLOOKUP(D725,Correllate,VLOOKUP(G725,CorMove,2,FALSE()),FALSE()),Q725-$CD$3,R725,$CJ$5)*H725</f>
        <v>#NAME?</v>
      </c>
      <c r="CK727" s="254" t="n">
        <f aca="false">I725</f>
        <v>0.4</v>
      </c>
      <c r="CM727" s="0" t="str">
        <f aca="false">CONCATENATE(CC727,$CD$6)</f>
        <v>36800Curve Shift/Gamma</v>
      </c>
      <c r="CN727" s="0" t="str">
        <f aca="false">CONCATENATE($CC727,$CE$6)</f>
        <v>36800Rho</v>
      </c>
      <c r="CO727" s="0" t="str">
        <f aca="false">CONCATENATE($CC727,$CF$6)</f>
        <v>36800Drift</v>
      </c>
      <c r="CP727" s="0" t="str">
        <f aca="false">CONCATENATE($CC727,$CG$6)</f>
        <v>36800Vega</v>
      </c>
      <c r="CQ727" s="0" t="str">
        <f aca="false">CONCATENATE($CC727,$CH$6)</f>
        <v>36800Theta</v>
      </c>
    </row>
    <row r="728" customFormat="false" ht="12.75" hidden="false" customHeight="false" outlineLevel="0" collapsed="false">
      <c r="A728" s="17" t="s">
        <v>275</v>
      </c>
      <c r="B728" s="0" t="s">
        <v>192</v>
      </c>
      <c r="C728" s="0" t="s">
        <v>438</v>
      </c>
      <c r="D728" s="7" t="s">
        <v>151</v>
      </c>
      <c r="E728" s="0" t="s">
        <v>131</v>
      </c>
      <c r="F728" s="0" t="s">
        <v>136</v>
      </c>
      <c r="G728" s="92" t="n">
        <v>36831</v>
      </c>
      <c r="H728" s="248" t="n">
        <v>600000</v>
      </c>
      <c r="I728" s="254" t="n">
        <v>-0.375</v>
      </c>
      <c r="J728" s="124" t="n">
        <f aca="false">VLOOKUP(G728,NGPrices,2,FALSE())</f>
        <v>4.736</v>
      </c>
      <c r="K728" s="125" t="n">
        <f aca="false">HLOOKUP(D728,Prices,VLOOKUP(G728,move_down,2,FALSE()),FALSE())+VLOOKUP(G728,CHANGE,HLOOKUP(D728,CHANGE,2,FALSE()),FALSE())</f>
        <v>-0.4675</v>
      </c>
      <c r="L728" s="124" t="n">
        <f aca="false">K728+J728</f>
        <v>4.2685</v>
      </c>
      <c r="M728" s="126" t="n">
        <f aca="false">VLOOKUP(G728,NGPrices,4,FALSE())</f>
        <v>0.06810675983792</v>
      </c>
      <c r="N728" s="7" t="n">
        <f aca="false">VLOOKUP(G728,NGPrices,3,FALSE())</f>
        <v>0.595</v>
      </c>
      <c r="O728" s="7" t="n">
        <f aca="false">HLOOKUP(D728,VOLS,VLOOKUP(G728,move_down,2,FALSE()),FALSE())</f>
        <v>0.571</v>
      </c>
      <c r="P728" s="249" t="n">
        <f aca="false">HLOOKUP(D728,Correllate,VLOOKUP(G728,CorMove,2,FALSE()),FALSE())</f>
        <v>0.93</v>
      </c>
      <c r="Q728" s="92" t="n">
        <f aca="false">WORKDAY(G728,-2)</f>
        <v>36829</v>
      </c>
      <c r="R728" s="7" t="n">
        <f aca="false">IF(F728="P",0,1)</f>
        <v>1</v>
      </c>
      <c r="S728" s="130" t="e">
        <f aca="false">xSPRDOPT($L728,$J728,$I728,$M728,$O728,$N728,$P728,$Q728-$C$3,$R728,0)</f>
        <v>#NAME?</v>
      </c>
      <c r="T728" s="250" t="e">
        <f aca="false">xSPRDOPT($L728,$J728,$I728,$M728,$O728,$N728,$P728,$Q728-$C$3,$R728,1)*H728</f>
        <v>#NAME?</v>
      </c>
      <c r="U728" s="43" t="e">
        <f aca="false">S728*H728</f>
        <v>#NAME?</v>
      </c>
      <c r="V728" s="250" t="e">
        <f aca="false">xSPRDOPT($L728,$J728,$I728,$M728,$O728,$N728,$P728,$Q728-$C$3,$R728,2)*H728</f>
        <v>#NAME?</v>
      </c>
      <c r="W728" s="250" t="e">
        <f aca="false">+V728+T728</f>
        <v>#NAME?</v>
      </c>
      <c r="X728" s="2" t="str">
        <f aca="false">CONCATENATE(G728,D728)</f>
        <v>36831IF-NWPL_ROCKY_M</v>
      </c>
      <c r="Y728" s="251" t="n">
        <f aca="false">H728/10000</f>
        <v>60</v>
      </c>
      <c r="Z728" s="226" t="e">
        <f aca="false">T728/H728</f>
        <v>#NAME?</v>
      </c>
      <c r="AA728" s="226" t="e">
        <f aca="false">xSPRDOPT($L728,$J728,$I728,$M728,$O728,$N728,$P728,$Q728-$C$3,$R728,3)</f>
        <v>#NAME?</v>
      </c>
      <c r="AB728" s="226" t="e">
        <f aca="false">((xSPRDOPT($L728+AB$5,$J728,$I728,$M728,$O728,$N728,$P728,$Q728-$C$3,$R728,3)*$H728)/10000)/100</f>
        <v>#NAME?</v>
      </c>
      <c r="AC728" s="226" t="e">
        <f aca="false">((xSPRDOPT($L728+$AB$5,$J728,$I728,$M728,$O728,$N728,$P728,$Q728-$C$3,$R728,7)*$H728)/100)</f>
        <v>#NAME?</v>
      </c>
      <c r="AD728" s="226" t="e">
        <f aca="false">(xSPRDOPT($L728+$AB$5,$J728,$I728,$M728,$O728,$N728,$P728,$Q728-$C$3,$R728,9)/365)*$H728</f>
        <v>#NAME?</v>
      </c>
      <c r="AE728" s="0" t="e">
        <f aca="false">CD730</f>
        <v>#NAME?</v>
      </c>
      <c r="AF728" s="226" t="e">
        <f aca="false">((O728/N728)*AH728)+AG728</f>
        <v>#NAME?</v>
      </c>
      <c r="AG728" s="226" t="e">
        <f aca="false">((xSPRDOPT($L728,$J728,$I728,$M728,$O728,$N728,$P728,$Q728-$C$3,$R728,6)*$H728)/100)</f>
        <v>#NAME?</v>
      </c>
      <c r="AH728" s="226" t="e">
        <f aca="false">((xSPRDOPT($L728,$J728,$I728,$M728,$O728,$N728,$P728,$Q728-$C$3,$R728,5)*$H728)/100)</f>
        <v>#NAME?</v>
      </c>
      <c r="AI728" s="226" t="e">
        <f aca="false">(((xSPRDOPT($L728,$J728,$I728,$M728,$O728,$N728,$P728,$Q728-$C$3,$R728,4)*$H728)/10000)/100)-AB728</f>
        <v>#NAME?</v>
      </c>
      <c r="AJ728" s="226"/>
      <c r="CC728" s="182" t="n">
        <f aca="false">G726</f>
        <v>36800</v>
      </c>
      <c r="CD728" s="253" t="e">
        <f aca="false">xSPRDOPT((VLOOKUP(G726,NGPrices,2,FALSE())+HLOOKUP(D726,Prices,VLOOKUP(G726,move_down,2,FALSE()),FALSE())),VLOOKUP(G726,NGPrices,2,FALSE()),I726,VLOOKUP(G726,NGPREVPRICES,4,FALSE()),HLOOKUP(D726,PREVVOLS,VLOOKUP(G726,MOVE_DOWN2,2,FALSE()),FALSE()),VLOOKUP(G726,NGPREVPRICES,3,FALSE()),HLOOKUP(D726,Correllate,VLOOKUP(G726,CorMove,2,FALSE()),FALSE()),Q726-$CD$3,R726,$CD$5)*H726-CJ728</f>
        <v>#NAME?</v>
      </c>
      <c r="CE728" s="253" t="e">
        <f aca="false">xSPRDOPT((VLOOKUP(G726,NGPREVPRICES,2,FALSE())+HLOOKUP(D726,PREVCURVES,VLOOKUP(G726,MOVE_DOWN2,2,FALSE()),FALSE())),VLOOKUP(G726,NGPREVPRICES,2,FALSE()),CK728,VLOOKUP(G726,NGPrices,4,FALSE()),HLOOKUP(D726,PREVVOLS,VLOOKUP(G726,MOVE_DOWN2,2,FALSE()),FALSE()),VLOOKUP(G726,NGPREVPRICES,3,FALSE()),HLOOKUP(D726,Correllate,VLOOKUP(G726,CorMove,2,FALSE()),FALSE()),Q726-$CD$3,R726,$CJ$5)*H726-CJ728</f>
        <v>#NAME?</v>
      </c>
      <c r="CF728" s="132" t="e">
        <f aca="false">(CJ728/VLOOKUP(CC728,discount,3,FALSE()))-(CJ728/VLOOKUP(CC728,discount,2,FALSE()))</f>
        <v>#NAME?</v>
      </c>
      <c r="CG728" s="253" t="e">
        <f aca="false">xSPRDOPT((VLOOKUP(G726,NGPREVPRICES,2,FALSE())+HLOOKUP(D726,PREVCURVES,VLOOKUP(G726,MOVE_DOWN2,2,FALSE()),FALSE())),VLOOKUP(G726,NGPREVPRICES,2,FALSE()),CK728,VLOOKUP(G726,NGPREVPRICES,4,FALSE()),HLOOKUP(D726,VOLS,VLOOKUP(G726,move_down,2,FALSE()),FALSE()),VLOOKUP(G726,NGPrices,3,FALSE()),HLOOKUP(D726,Correllate,VLOOKUP(G726,CorMove,2,FALSE()),FALSE()),Q726-$CD$3,R726,$CJ$5)*H726-CJ728</f>
        <v>#NAME?</v>
      </c>
      <c r="CH728" s="253" t="e">
        <f aca="false">xSPRDOPT((VLOOKUP(G726,NGPREVPRICES,2,FALSE())+HLOOKUP(D726,PREVCURVES,VLOOKUP(G726,MOVE_DOWN2,2,FALSE()),FALSE())),VLOOKUP(G726,NGPREVPRICES,2,FALSE()),CK728,VLOOKUP(G726,NGPREVPRICES,4,FALSE()),HLOOKUP(D726,PREVVOLS,VLOOKUP(G726,MOVE_DOWN2,2,FALSE()),FALSE()),VLOOKUP(G726,NGPREVPRICES,3,FALSE()),HLOOKUP(D726,Correllate,VLOOKUP(G726,CorMove,2,FALSE()),FALSE()),Q726-$C$3,R726,$CJ$5)*H726-CJ728</f>
        <v>#NAME?</v>
      </c>
      <c r="CI728" s="253" t="e">
        <f aca="false">SUM(CD728:CH728)</f>
        <v>#NAME?</v>
      </c>
      <c r="CJ728" s="253" t="e">
        <f aca="false">xSPRDOPT((VLOOKUP(G726,NGPREVPRICES,2,FALSE())+HLOOKUP(D726,PREVCURVES,VLOOKUP(G726,MOVE_DOWN2,2,FALSE()),FALSE())),VLOOKUP(G726,NGPREVPRICES,2,FALSE()),CK728,VLOOKUP(G726,NGPREVPRICES,4,FALSE()),HLOOKUP(D726,PREVVOLS,VLOOKUP(G726,MOVE_DOWN2,2,FALSE()),FALSE()),VLOOKUP(G726,NGPREVPRICES,3,FALSE()),HLOOKUP(D726,Correllate,VLOOKUP(G726,CorMove,2,FALSE()),FALSE()),Q726-$CD$3,R726,$CJ$5)*H726</f>
        <v>#NAME?</v>
      </c>
      <c r="CK728" s="254" t="n">
        <f aca="false">I726</f>
        <v>0.75</v>
      </c>
      <c r="CM728" s="0" t="str">
        <f aca="false">CONCATENATE(CC728,$CD$6)</f>
        <v>36800Curve Shift/Gamma</v>
      </c>
      <c r="CN728" s="0" t="str">
        <f aca="false">CONCATENATE($CC728,$CE$6)</f>
        <v>36800Rho</v>
      </c>
      <c r="CO728" s="0" t="str">
        <f aca="false">CONCATENATE($CC728,$CF$6)</f>
        <v>36800Drift</v>
      </c>
      <c r="CP728" s="0" t="str">
        <f aca="false">CONCATENATE($CC728,$CG$6)</f>
        <v>36800Vega</v>
      </c>
      <c r="CQ728" s="0" t="str">
        <f aca="false">CONCATENATE($CC728,$CH$6)</f>
        <v>36800Theta</v>
      </c>
    </row>
    <row r="729" customFormat="false" ht="12.75" hidden="false" customHeight="false" outlineLevel="0" collapsed="false">
      <c r="A729" s="17" t="s">
        <v>275</v>
      </c>
      <c r="B729" s="0" t="s">
        <v>192</v>
      </c>
      <c r="C729" s="0" t="s">
        <v>438</v>
      </c>
      <c r="D729" s="7" t="s">
        <v>151</v>
      </c>
      <c r="E729" s="0" t="s">
        <v>131</v>
      </c>
      <c r="F729" s="0" t="s">
        <v>136</v>
      </c>
      <c r="G729" s="92" t="n">
        <v>36861</v>
      </c>
      <c r="H729" s="248" t="n">
        <v>620000</v>
      </c>
      <c r="I729" s="254" t="n">
        <v>-0.375</v>
      </c>
      <c r="J729" s="124" t="n">
        <f aca="false">VLOOKUP(G729,NGPrices,2,FALSE())</f>
        <v>4.8</v>
      </c>
      <c r="K729" s="125" t="n">
        <f aca="false">HLOOKUP(D729,Prices,VLOOKUP(G729,move_down,2,FALSE()),FALSE())+VLOOKUP(G729,CHANGE,HLOOKUP(D729,CHANGE,2,FALSE()),FALSE())</f>
        <v>-0.3575</v>
      </c>
      <c r="L729" s="124" t="n">
        <f aca="false">K729+J729</f>
        <v>4.4425</v>
      </c>
      <c r="M729" s="126" t="n">
        <f aca="false">VLOOKUP(G729,NGPrices,4,FALSE())</f>
        <v>0.068314027999354</v>
      </c>
      <c r="N729" s="7" t="n">
        <f aca="false">VLOOKUP(G729,NGPrices,3,FALSE())</f>
        <v>0.6</v>
      </c>
      <c r="O729" s="7" t="n">
        <f aca="false">HLOOKUP(D729,VOLS,VLOOKUP(G729,move_down,2,FALSE()),FALSE())</f>
        <v>0.576</v>
      </c>
      <c r="P729" s="249" t="n">
        <f aca="false">HLOOKUP(D729,Correllate,VLOOKUP(G729,CorMove,2,FALSE()),FALSE())</f>
        <v>0.93</v>
      </c>
      <c r="Q729" s="92" t="n">
        <f aca="false">WORKDAY(G729,-2)</f>
        <v>36859</v>
      </c>
      <c r="R729" s="7" t="n">
        <f aca="false">IF(F729="P",0,1)</f>
        <v>1</v>
      </c>
      <c r="S729" s="130" t="e">
        <f aca="false">xSPRDOPT($L729,$J729,$I729,$M729,$O729,$N729,$P729,$Q729-$C$3,$R729,0)</f>
        <v>#NAME?</v>
      </c>
      <c r="T729" s="250" t="e">
        <f aca="false">xSPRDOPT($L729,$J729,$I729,$M729,$O729,$N729,$P729,$Q729-$C$3,$R729,1)*H729</f>
        <v>#NAME?</v>
      </c>
      <c r="U729" s="43" t="e">
        <f aca="false">S729*H729</f>
        <v>#NAME?</v>
      </c>
      <c r="V729" s="250" t="e">
        <f aca="false">xSPRDOPT($L729,$J729,$I729,$M729,$O729,$N729,$P729,$Q729-$C$3,$R729,2)*H729</f>
        <v>#NAME?</v>
      </c>
      <c r="W729" s="250" t="e">
        <f aca="false">+V729+T729</f>
        <v>#NAME?</v>
      </c>
      <c r="X729" s="2" t="str">
        <f aca="false">CONCATENATE(G729,D729)</f>
        <v>36861IF-NWPL_ROCKY_M</v>
      </c>
      <c r="Y729" s="251" t="n">
        <f aca="false">H729/10000</f>
        <v>62</v>
      </c>
      <c r="Z729" s="226" t="e">
        <f aca="false">T729/H729</f>
        <v>#NAME?</v>
      </c>
      <c r="AA729" s="226" t="e">
        <f aca="false">xSPRDOPT($L729,$J729,$I729,$M729,$O729,$N729,$P729,$Q729-$C$3,$R729,3)</f>
        <v>#NAME?</v>
      </c>
      <c r="AB729" s="226" t="e">
        <f aca="false">((xSPRDOPT($L729+AB$5,$J729,$I729,$M729,$O729,$N729,$P729,$Q729-$C$3,$R729,3)*$H729)/10000)/100</f>
        <v>#NAME?</v>
      </c>
      <c r="AC729" s="226" t="e">
        <f aca="false">((xSPRDOPT($L729+$AB$5,$J729,$I729,$M729,$O729,$N729,$P729,$Q729-$C$3,$R729,7)*$H729)/100)</f>
        <v>#NAME?</v>
      </c>
      <c r="AD729" s="226" t="e">
        <f aca="false">(xSPRDOPT($L729+$AB$5,$J729,$I729,$M729,$O729,$N729,$P729,$Q729-$C$3,$R729,9)/365)*$H729</f>
        <v>#NAME?</v>
      </c>
      <c r="AE729" s="0" t="e">
        <f aca="false">CD731</f>
        <v>#NAME?</v>
      </c>
      <c r="AF729" s="226" t="e">
        <f aca="false">((O729/N729)*AH729)+AG729</f>
        <v>#NAME?</v>
      </c>
      <c r="AG729" s="226" t="e">
        <f aca="false">((xSPRDOPT($L729,$J729,$I729,$M729,$O729,$N729,$P729,$Q729-$C$3,$R729,6)*$H729)/100)</f>
        <v>#NAME?</v>
      </c>
      <c r="AH729" s="226" t="e">
        <f aca="false">((xSPRDOPT($L729,$J729,$I729,$M729,$O729,$N729,$P729,$Q729-$C$3,$R729,5)*$H729)/100)</f>
        <v>#NAME?</v>
      </c>
      <c r="AI729" s="226" t="e">
        <f aca="false">(((xSPRDOPT($L729,$J729,$I729,$M729,$O729,$N729,$P729,$Q729-$C$3,$R729,4)*$H729)/10000)/100)-AB729</f>
        <v>#NAME?</v>
      </c>
      <c r="AJ729" s="226"/>
      <c r="CC729" s="182" t="n">
        <f aca="false">G727</f>
        <v>36800</v>
      </c>
      <c r="CD729" s="253" t="e">
        <f aca="false">xSPRDOPT((VLOOKUP(G727,NGPrices,2,FALSE())+HLOOKUP(D727,Prices,VLOOKUP(G727,move_down,2,FALSE()),FALSE())),VLOOKUP(G727,NGPrices,2,FALSE()),I727,VLOOKUP(G727,NGPREVPRICES,4,FALSE()),HLOOKUP(D727,PREVVOLS,VLOOKUP(G727,MOVE_DOWN2,2,FALSE()),FALSE()),VLOOKUP(G727,NGPREVPRICES,3,FALSE()),HLOOKUP(D727,Correllate,VLOOKUP(G727,CorMove,2,FALSE()),FALSE()),Q727-$CD$3,R727,$CD$5)*H727-CJ729</f>
        <v>#NAME?</v>
      </c>
      <c r="CE729" s="253" t="e">
        <f aca="false">xSPRDOPT((VLOOKUP(G727,NGPREVPRICES,2,FALSE())+HLOOKUP(D727,PREVCURVES,VLOOKUP(G727,MOVE_DOWN2,2,FALSE()),FALSE())),VLOOKUP(G727,NGPREVPRICES,2,FALSE()),CK729,VLOOKUP(G727,NGPrices,4,FALSE()),HLOOKUP(D727,PREVVOLS,VLOOKUP(G727,MOVE_DOWN2,2,FALSE()),FALSE()),VLOOKUP(G727,NGPREVPRICES,3,FALSE()),HLOOKUP(D727,Correllate,VLOOKUP(G727,CorMove,2,FALSE()),FALSE()),Q727-$CD$3,R727,$CJ$5)*H727-CJ729</f>
        <v>#NAME?</v>
      </c>
      <c r="CF729" s="132" t="e">
        <f aca="false">(CJ729/VLOOKUP(CC729,discount,3,FALSE()))-(CJ729/VLOOKUP(CC729,discount,2,FALSE()))</f>
        <v>#NAME?</v>
      </c>
      <c r="CG729" s="253" t="e">
        <f aca="false">xSPRDOPT((VLOOKUP(G727,NGPREVPRICES,2,FALSE())+HLOOKUP(D727,PREVCURVES,VLOOKUP(G727,MOVE_DOWN2,2,FALSE()),FALSE())),VLOOKUP(G727,NGPREVPRICES,2,FALSE()),CK729,VLOOKUP(G727,NGPREVPRICES,4,FALSE()),HLOOKUP(D727,VOLS,VLOOKUP(G727,move_down,2,FALSE()),FALSE()),VLOOKUP(G727,NGPrices,3,FALSE()),HLOOKUP(D727,Correllate,VLOOKUP(G727,CorMove,2,FALSE()),FALSE()),Q727-$CD$3,R727,$CJ$5)*H727-CJ729</f>
        <v>#NAME?</v>
      </c>
      <c r="CH729" s="253" t="e">
        <f aca="false">xSPRDOPT((VLOOKUP(G727,NGPREVPRICES,2,FALSE())+HLOOKUP(D727,PREVCURVES,VLOOKUP(G727,MOVE_DOWN2,2,FALSE()),FALSE())),VLOOKUP(G727,NGPREVPRICES,2,FALSE()),CK729,VLOOKUP(G727,NGPREVPRICES,4,FALSE()),HLOOKUP(D727,PREVVOLS,VLOOKUP(G727,MOVE_DOWN2,2,FALSE()),FALSE()),VLOOKUP(G727,NGPREVPRICES,3,FALSE()),HLOOKUP(D727,Correllate,VLOOKUP(G727,CorMove,2,FALSE()),FALSE()),Q727-$C$3,R727,$CJ$5)*H727-CJ729</f>
        <v>#NAME?</v>
      </c>
      <c r="CI729" s="253" t="e">
        <f aca="false">SUM(CD729:CH729)</f>
        <v>#NAME?</v>
      </c>
      <c r="CJ729" s="253" t="e">
        <f aca="false">xSPRDOPT((VLOOKUP(G727,NGPREVPRICES,2,FALSE())+HLOOKUP(D727,PREVCURVES,VLOOKUP(G727,MOVE_DOWN2,2,FALSE()),FALSE())),VLOOKUP(G727,NGPREVPRICES,2,FALSE()),CK729,VLOOKUP(G727,NGPREVPRICES,4,FALSE()),HLOOKUP(D727,PREVVOLS,VLOOKUP(G727,MOVE_DOWN2,2,FALSE()),FALSE()),VLOOKUP(G727,NGPREVPRICES,3,FALSE()),HLOOKUP(D727,Correllate,VLOOKUP(G727,CorMove,2,FALSE()),FALSE()),Q727-$CD$3,R727,$CJ$5)*H727</f>
        <v>#NAME?</v>
      </c>
      <c r="CK729" s="254" t="n">
        <f aca="false">I727</f>
        <v>0.4</v>
      </c>
      <c r="CM729" s="0" t="str">
        <f aca="false">CONCATENATE(CC729,$CD$6)</f>
        <v>36800Curve Shift/Gamma</v>
      </c>
      <c r="CN729" s="0" t="str">
        <f aca="false">CONCATENATE($CC729,$CE$6)</f>
        <v>36800Rho</v>
      </c>
      <c r="CO729" s="0" t="str">
        <f aca="false">CONCATENATE($CC729,$CF$6)</f>
        <v>36800Drift</v>
      </c>
      <c r="CP729" s="0" t="str">
        <f aca="false">CONCATENATE($CC729,$CG$6)</f>
        <v>36800Vega</v>
      </c>
      <c r="CQ729" s="0" t="str">
        <f aca="false">CONCATENATE($CC729,$CH$6)</f>
        <v>36800Theta</v>
      </c>
    </row>
    <row r="730" customFormat="false" ht="12.75" hidden="false" customHeight="false" outlineLevel="0" collapsed="false">
      <c r="A730" s="17" t="s">
        <v>275</v>
      </c>
      <c r="B730" s="0" t="s">
        <v>192</v>
      </c>
      <c r="C730" s="0" t="s">
        <v>438</v>
      </c>
      <c r="D730" s="7" t="s">
        <v>151</v>
      </c>
      <c r="E730" s="0" t="s">
        <v>131</v>
      </c>
      <c r="F730" s="0" t="s">
        <v>136</v>
      </c>
      <c r="G730" s="92" t="n">
        <v>36892</v>
      </c>
      <c r="H730" s="248" t="n">
        <v>620000</v>
      </c>
      <c r="I730" s="254" t="n">
        <v>-0.375</v>
      </c>
      <c r="J730" s="124" t="n">
        <f aca="false">VLOOKUP(G730,NGPrices,2,FALSE())</f>
        <v>4.744</v>
      </c>
      <c r="K730" s="125" t="n">
        <f aca="false">HLOOKUP(D730,Prices,VLOOKUP(G730,move_down,2,FALSE()),FALSE())+VLOOKUP(G730,CHANGE,HLOOKUP(D730,CHANGE,2,FALSE()),FALSE())</f>
        <v>-0.3675</v>
      </c>
      <c r="L730" s="124" t="n">
        <f aca="false">K730+J730</f>
        <v>4.3765</v>
      </c>
      <c r="M730" s="126" t="n">
        <f aca="false">VLOOKUP(G730,NGPrices,4,FALSE())</f>
        <v>0.068374831148491</v>
      </c>
      <c r="N730" s="7" t="n">
        <f aca="false">VLOOKUP(G730,NGPrices,3,FALSE())</f>
        <v>0.605</v>
      </c>
      <c r="O730" s="7" t="n">
        <f aca="false">HLOOKUP(D730,VOLS,VLOOKUP(G730,move_down,2,FALSE()),FALSE())</f>
        <v>0.581</v>
      </c>
      <c r="P730" s="249" t="n">
        <f aca="false">HLOOKUP(D730,Correllate,VLOOKUP(G730,CorMove,2,FALSE()),FALSE())</f>
        <v>0.93</v>
      </c>
      <c r="Q730" s="92" t="n">
        <f aca="false">WORKDAY(G730,-2)</f>
        <v>36888</v>
      </c>
      <c r="R730" s="7" t="n">
        <f aca="false">IF(F730="P",0,1)</f>
        <v>1</v>
      </c>
      <c r="S730" s="130" t="e">
        <f aca="false">xSPRDOPT($L730,$J730,$I730,$M730,$O730,$N730,$P730,$Q730-$C$3,$R730,0)</f>
        <v>#NAME?</v>
      </c>
      <c r="T730" s="250" t="e">
        <f aca="false">xSPRDOPT($L730,$J730,$I730,$M730,$O730,$N730,$P730,$Q730-$C$3,$R730,1)*H730</f>
        <v>#NAME?</v>
      </c>
      <c r="U730" s="43" t="e">
        <f aca="false">S730*H730</f>
        <v>#NAME?</v>
      </c>
      <c r="V730" s="250" t="e">
        <f aca="false">xSPRDOPT($L730,$J730,$I730,$M730,$O730,$N730,$P730,$Q730-$C$3,$R730,2)*H730</f>
        <v>#NAME?</v>
      </c>
      <c r="W730" s="250" t="e">
        <f aca="false">+V730+T730</f>
        <v>#NAME?</v>
      </c>
      <c r="X730" s="2" t="str">
        <f aca="false">CONCATENATE(G730,D730)</f>
        <v>36892IF-NWPL_ROCKY_M</v>
      </c>
      <c r="Y730" s="251" t="n">
        <f aca="false">H730/10000</f>
        <v>62</v>
      </c>
      <c r="Z730" s="226" t="e">
        <f aca="false">T730/H730</f>
        <v>#NAME?</v>
      </c>
      <c r="AA730" s="226" t="e">
        <f aca="false">xSPRDOPT($L730,$J730,$I730,$M730,$O730,$N730,$P730,$Q730-$C$3,$R730,3)</f>
        <v>#NAME?</v>
      </c>
      <c r="AB730" s="226" t="e">
        <f aca="false">((xSPRDOPT($L730+AB$5,$J730,$I730,$M730,$O730,$N730,$P730,$Q730-$C$3,$R730,3)*$H730)/10000)/100</f>
        <v>#NAME?</v>
      </c>
      <c r="AC730" s="226" t="e">
        <f aca="false">((xSPRDOPT($L730+$AB$5,$J730,$I730,$M730,$O730,$N730,$P730,$Q730-$C$3,$R730,7)*$H730)/100)</f>
        <v>#NAME?</v>
      </c>
      <c r="AD730" s="226" t="e">
        <f aca="false">(xSPRDOPT($L730+$AB$5,$J730,$I730,$M730,$O730,$N730,$P730,$Q730-$C$3,$R730,9)/365)*$H730</f>
        <v>#NAME?</v>
      </c>
      <c r="AE730" s="0" t="e">
        <f aca="false">CD732</f>
        <v>#NAME?</v>
      </c>
      <c r="AF730" s="226" t="e">
        <f aca="false">((O730/N730)*AH730)+AG730</f>
        <v>#NAME?</v>
      </c>
      <c r="AG730" s="226" t="e">
        <f aca="false">((xSPRDOPT($L730,$J730,$I730,$M730,$O730,$N730,$P730,$Q730-$C$3,$R730,6)*$H730)/100)</f>
        <v>#NAME?</v>
      </c>
      <c r="AH730" s="226" t="e">
        <f aca="false">((xSPRDOPT($L730,$J730,$I730,$M730,$O730,$N730,$P730,$Q730-$C$3,$R730,5)*$H730)/100)</f>
        <v>#NAME?</v>
      </c>
      <c r="AI730" s="226" t="e">
        <f aca="false">(((xSPRDOPT($L730,$J730,$I730,$M730,$O730,$N730,$P730,$Q730-$C$3,$R730,4)*$H730)/10000)/100)-AB730</f>
        <v>#NAME?</v>
      </c>
      <c r="AJ730" s="226"/>
      <c r="CC730" s="182" t="n">
        <f aca="false">G728</f>
        <v>36831</v>
      </c>
      <c r="CD730" s="253" t="e">
        <f aca="false">xSPRDOPT((VLOOKUP(G728,NGPrices,2,FALSE())+HLOOKUP(D728,Prices,VLOOKUP(G728,move_down,2,FALSE()),FALSE())),VLOOKUP(G728,NGPrices,2,FALSE()),I728,VLOOKUP(G728,NGPREVPRICES,4,FALSE()),HLOOKUP(D728,PREVVOLS,VLOOKUP(G728,MOVE_DOWN2,2,FALSE()),FALSE()),VLOOKUP(G728,NGPREVPRICES,3,FALSE()),HLOOKUP(D728,Correllate,VLOOKUP(G728,CorMove,2,FALSE()),FALSE()),Q728-$CD$3,R728,$CD$5)*H728-CJ730</f>
        <v>#NAME?</v>
      </c>
      <c r="CE730" s="253" t="e">
        <f aca="false">xSPRDOPT((VLOOKUP(G728,NGPREVPRICES,2,FALSE())+HLOOKUP(D728,PREVCURVES,VLOOKUP(G728,MOVE_DOWN2,2,FALSE()),FALSE())),VLOOKUP(G728,NGPREVPRICES,2,FALSE()),CK730,VLOOKUP(G728,NGPrices,4,FALSE()),HLOOKUP(D728,PREVVOLS,VLOOKUP(G728,MOVE_DOWN2,2,FALSE()),FALSE()),VLOOKUP(G728,NGPREVPRICES,3,FALSE()),HLOOKUP(D728,Correllate,VLOOKUP(G728,CorMove,2,FALSE()),FALSE()),Q728-$CD$3,R728,$CJ$5)*H728-CJ730</f>
        <v>#NAME?</v>
      </c>
      <c r="CF730" s="132" t="e">
        <f aca="false">(CJ730/VLOOKUP(CC730,discount,3,FALSE()))-(CJ730/VLOOKUP(CC730,discount,2,FALSE()))</f>
        <v>#NAME?</v>
      </c>
      <c r="CG730" s="253" t="e">
        <f aca="false">xSPRDOPT((VLOOKUP(G728,NGPREVPRICES,2,FALSE())+HLOOKUP(D728,PREVCURVES,VLOOKUP(G728,MOVE_DOWN2,2,FALSE()),FALSE())),VLOOKUP(G728,NGPREVPRICES,2,FALSE()),CK730,VLOOKUP(G728,NGPREVPRICES,4,FALSE()),HLOOKUP(D728,VOLS,VLOOKUP(G728,move_down,2,FALSE()),FALSE()),VLOOKUP(G728,NGPrices,3,FALSE()),HLOOKUP(D728,Correllate,VLOOKUP(G728,CorMove,2,FALSE()),FALSE()),Q728-$CD$3,R728,$CJ$5)*H728-CJ730</f>
        <v>#NAME?</v>
      </c>
      <c r="CH730" s="253" t="e">
        <f aca="false">xSPRDOPT((VLOOKUP(G728,NGPREVPRICES,2,FALSE())+HLOOKUP(D728,PREVCURVES,VLOOKUP(G728,MOVE_DOWN2,2,FALSE()),FALSE())),VLOOKUP(G728,NGPREVPRICES,2,FALSE()),CK730,VLOOKUP(G728,NGPREVPRICES,4,FALSE()),HLOOKUP(D728,PREVVOLS,VLOOKUP(G728,MOVE_DOWN2,2,FALSE()),FALSE()),VLOOKUP(G728,NGPREVPRICES,3,FALSE()),HLOOKUP(D728,Correllate,VLOOKUP(G728,CorMove,2,FALSE()),FALSE()),Q728-$C$3,R728,$CJ$5)*H728-CJ730</f>
        <v>#NAME?</v>
      </c>
      <c r="CI730" s="253" t="e">
        <f aca="false">SUM(CD730:CH730)</f>
        <v>#NAME?</v>
      </c>
      <c r="CJ730" s="253" t="e">
        <f aca="false">xSPRDOPT((VLOOKUP(G728,NGPREVPRICES,2,FALSE())+HLOOKUP(D728,PREVCURVES,VLOOKUP(G728,MOVE_DOWN2,2,FALSE()),FALSE())),VLOOKUP(G728,NGPREVPRICES,2,FALSE()),CK730,VLOOKUP(G728,NGPREVPRICES,4,FALSE()),HLOOKUP(D728,PREVVOLS,VLOOKUP(G728,MOVE_DOWN2,2,FALSE()),FALSE()),VLOOKUP(G728,NGPREVPRICES,3,FALSE()),HLOOKUP(D728,Correllate,VLOOKUP(G728,CorMove,2,FALSE()),FALSE()),Q728-$CD$3,R728,$CJ$5)*H728</f>
        <v>#NAME?</v>
      </c>
      <c r="CK730" s="254" t="n">
        <f aca="false">I728</f>
        <v>-0.375</v>
      </c>
      <c r="CM730" s="0" t="str">
        <f aca="false">CONCATENATE(CC730,$CD$6)</f>
        <v>36831Curve Shift/Gamma</v>
      </c>
      <c r="CN730" s="0" t="str">
        <f aca="false">CONCATENATE($CC730,$CE$6)</f>
        <v>36831Rho</v>
      </c>
      <c r="CO730" s="0" t="str">
        <f aca="false">CONCATENATE($CC730,$CF$6)</f>
        <v>36831Drift</v>
      </c>
      <c r="CP730" s="0" t="str">
        <f aca="false">CONCATENATE($CC730,$CG$6)</f>
        <v>36831Vega</v>
      </c>
      <c r="CQ730" s="0" t="str">
        <f aca="false">CONCATENATE($CC730,$CH$6)</f>
        <v>36831Theta</v>
      </c>
    </row>
    <row r="731" customFormat="false" ht="12.75" hidden="false" customHeight="false" outlineLevel="0" collapsed="false">
      <c r="A731" s="17" t="s">
        <v>275</v>
      </c>
      <c r="B731" s="0" t="s">
        <v>192</v>
      </c>
      <c r="C731" s="0" t="s">
        <v>438</v>
      </c>
      <c r="D731" s="7" t="s">
        <v>151</v>
      </c>
      <c r="E731" s="0" t="s">
        <v>131</v>
      </c>
      <c r="F731" s="0" t="s">
        <v>136</v>
      </c>
      <c r="G731" s="92" t="n">
        <v>36923</v>
      </c>
      <c r="H731" s="248" t="n">
        <v>560000</v>
      </c>
      <c r="I731" s="254" t="n">
        <v>-0.375</v>
      </c>
      <c r="J731" s="124" t="n">
        <f aca="false">VLOOKUP(G731,NGPrices,2,FALSE())</f>
        <v>4.48</v>
      </c>
      <c r="K731" s="125" t="n">
        <f aca="false">HLOOKUP(D731,Prices,VLOOKUP(G731,move_down,2,FALSE()),FALSE())+VLOOKUP(G731,CHANGE,HLOOKUP(D731,CHANGE,2,FALSE()),FALSE())</f>
        <v>-0.3875</v>
      </c>
      <c r="L731" s="124" t="n">
        <f aca="false">K731+J731</f>
        <v>4.0925</v>
      </c>
      <c r="M731" s="126" t="n">
        <f aca="false">VLOOKUP(G731,NGPrices,4,FALSE())</f>
        <v>0.068640161611372</v>
      </c>
      <c r="N731" s="7" t="n">
        <f aca="false">VLOOKUP(G731,NGPrices,3,FALSE())</f>
        <v>0.5925</v>
      </c>
      <c r="O731" s="7" t="n">
        <f aca="false">HLOOKUP(D731,VOLS,VLOOKUP(G731,move_down,2,FALSE()),FALSE())</f>
        <v>0.569</v>
      </c>
      <c r="P731" s="249" t="n">
        <f aca="false">HLOOKUP(D731,Correllate,VLOOKUP(G731,CorMove,2,FALSE()),FALSE())</f>
        <v>0.93</v>
      </c>
      <c r="Q731" s="92" t="n">
        <f aca="false">WORKDAY(G731,-2)</f>
        <v>36921</v>
      </c>
      <c r="R731" s="7" t="n">
        <f aca="false">IF(F731="P",0,1)</f>
        <v>1</v>
      </c>
      <c r="S731" s="130" t="e">
        <f aca="false">xSPRDOPT($L731,$J731,$I731,$M731,$O731,$N731,$P731,$Q731-$C$3,$R731,0)</f>
        <v>#NAME?</v>
      </c>
      <c r="T731" s="250" t="e">
        <f aca="false">xSPRDOPT($L731,$J731,$I731,$M731,$O731,$N731,$P731,$Q731-$C$3,$R731,1)*H731</f>
        <v>#NAME?</v>
      </c>
      <c r="U731" s="43" t="e">
        <f aca="false">S731*H731</f>
        <v>#NAME?</v>
      </c>
      <c r="V731" s="250" t="e">
        <f aca="false">xSPRDOPT($L731,$J731,$I731,$M731,$O731,$N731,$P731,$Q731-$C$3,$R731,2)*H731</f>
        <v>#NAME?</v>
      </c>
      <c r="W731" s="250" t="e">
        <f aca="false">+V731+T731</f>
        <v>#NAME?</v>
      </c>
      <c r="X731" s="2" t="str">
        <f aca="false">CONCATENATE(G731,D731)</f>
        <v>36923IF-NWPL_ROCKY_M</v>
      </c>
      <c r="Y731" s="251" t="n">
        <f aca="false">H731/10000</f>
        <v>56</v>
      </c>
      <c r="Z731" s="226" t="e">
        <f aca="false">T731/H731</f>
        <v>#NAME?</v>
      </c>
      <c r="AA731" s="226" t="e">
        <f aca="false">xSPRDOPT($L731,$J731,$I731,$M731,$O731,$N731,$P731,$Q731-$C$3,$R731,3)</f>
        <v>#NAME?</v>
      </c>
      <c r="AB731" s="226" t="e">
        <f aca="false">((xSPRDOPT($L731+AB$5,$J731,$I731,$M731,$O731,$N731,$P731,$Q731-$C$3,$R731,3)*$H731)/10000)/100</f>
        <v>#NAME?</v>
      </c>
      <c r="AC731" s="226" t="e">
        <f aca="false">((xSPRDOPT($L731+$AB$5,$J731,$I731,$M731,$O731,$N731,$P731,$Q731-$C$3,$R731,7)*$H731)/100)</f>
        <v>#NAME?</v>
      </c>
      <c r="AD731" s="226" t="e">
        <f aca="false">(xSPRDOPT($L731+$AB$5,$J731,$I731,$M731,$O731,$N731,$P731,$Q731-$C$3,$R731,9)/365)*$H731</f>
        <v>#NAME?</v>
      </c>
      <c r="AE731" s="0" t="e">
        <f aca="false">CD733</f>
        <v>#NAME?</v>
      </c>
      <c r="AF731" s="226" t="e">
        <f aca="false">((O731/N731)*AH731)+AG731</f>
        <v>#NAME?</v>
      </c>
      <c r="AG731" s="226" t="e">
        <f aca="false">((xSPRDOPT($L731,$J731,$I731,$M731,$O731,$N731,$P731,$Q731-$C$3,$R731,6)*$H731)/100)</f>
        <v>#NAME?</v>
      </c>
      <c r="AH731" s="226" t="e">
        <f aca="false">((xSPRDOPT($L731,$J731,$I731,$M731,$O731,$N731,$P731,$Q731-$C$3,$R731,5)*$H731)/100)</f>
        <v>#NAME?</v>
      </c>
      <c r="AI731" s="226" t="e">
        <f aca="false">(((xSPRDOPT($L731,$J731,$I731,$M731,$O731,$N731,$P731,$Q731-$C$3,$R731,4)*$H731)/10000)/100)-AB731</f>
        <v>#NAME?</v>
      </c>
      <c r="AJ731" s="226"/>
      <c r="CC731" s="182" t="n">
        <f aca="false">G729</f>
        <v>36861</v>
      </c>
      <c r="CD731" s="253" t="e">
        <f aca="false">xSPRDOPT((VLOOKUP(G729,NGPrices,2,FALSE())+HLOOKUP(D729,Prices,VLOOKUP(G729,move_down,2,FALSE()),FALSE())),VLOOKUP(G729,NGPrices,2,FALSE()),I729,VLOOKUP(G729,NGPREVPRICES,4,FALSE()),HLOOKUP(D729,PREVVOLS,VLOOKUP(G729,MOVE_DOWN2,2,FALSE()),FALSE()),VLOOKUP(G729,NGPREVPRICES,3,FALSE()),HLOOKUP(D729,Correllate,VLOOKUP(G729,CorMove,2,FALSE()),FALSE()),Q729-$CD$3,R729,$CD$5)*H729-CJ731</f>
        <v>#NAME?</v>
      </c>
      <c r="CE731" s="253" t="e">
        <f aca="false">xSPRDOPT((VLOOKUP(G729,NGPREVPRICES,2,FALSE())+HLOOKUP(D729,PREVCURVES,VLOOKUP(G729,MOVE_DOWN2,2,FALSE()),FALSE())),VLOOKUP(G729,NGPREVPRICES,2,FALSE()),CK731,VLOOKUP(G729,NGPrices,4,FALSE()),HLOOKUP(D729,PREVVOLS,VLOOKUP(G729,MOVE_DOWN2,2,FALSE()),FALSE()),VLOOKUP(G729,NGPREVPRICES,3,FALSE()),HLOOKUP(D729,Correllate,VLOOKUP(G729,CorMove,2,FALSE()),FALSE()),Q729-$CD$3,R729,$CJ$5)*H729-CJ731</f>
        <v>#NAME?</v>
      </c>
      <c r="CF731" s="132" t="e">
        <f aca="false">(CJ731/VLOOKUP(CC731,discount,3,FALSE()))-(CJ731/VLOOKUP(CC731,discount,2,FALSE()))</f>
        <v>#NAME?</v>
      </c>
      <c r="CG731" s="253" t="e">
        <f aca="false">xSPRDOPT((VLOOKUP(G729,NGPREVPRICES,2,FALSE())+HLOOKUP(D729,PREVCURVES,VLOOKUP(G729,MOVE_DOWN2,2,FALSE()),FALSE())),VLOOKUP(G729,NGPREVPRICES,2,FALSE()),CK731,VLOOKUP(G729,NGPREVPRICES,4,FALSE()),HLOOKUP(D729,VOLS,VLOOKUP(G729,move_down,2,FALSE()),FALSE()),VLOOKUP(G729,NGPrices,3,FALSE()),HLOOKUP(D729,Correllate,VLOOKUP(G729,CorMove,2,FALSE()),FALSE()),Q729-$CD$3,R729,$CJ$5)*H729-CJ731</f>
        <v>#NAME?</v>
      </c>
      <c r="CH731" s="253" t="e">
        <f aca="false">xSPRDOPT((VLOOKUP(G729,NGPREVPRICES,2,FALSE())+HLOOKUP(D729,PREVCURVES,VLOOKUP(G729,MOVE_DOWN2,2,FALSE()),FALSE())),VLOOKUP(G729,NGPREVPRICES,2,FALSE()),CK731,VLOOKUP(G729,NGPREVPRICES,4,FALSE()),HLOOKUP(D729,PREVVOLS,VLOOKUP(G729,MOVE_DOWN2,2,FALSE()),FALSE()),VLOOKUP(G729,NGPREVPRICES,3,FALSE()),HLOOKUP(D729,Correllate,VLOOKUP(G729,CorMove,2,FALSE()),FALSE()),Q729-$C$3,R729,$CJ$5)*H729-CJ731</f>
        <v>#NAME?</v>
      </c>
      <c r="CI731" s="253" t="e">
        <f aca="false">SUM(CD731:CH731)</f>
        <v>#NAME?</v>
      </c>
      <c r="CJ731" s="253" t="e">
        <f aca="false">xSPRDOPT((VLOOKUP(G729,NGPREVPRICES,2,FALSE())+HLOOKUP(D729,PREVCURVES,VLOOKUP(G729,MOVE_DOWN2,2,FALSE()),FALSE())),VLOOKUP(G729,NGPREVPRICES,2,FALSE()),CK731,VLOOKUP(G729,NGPREVPRICES,4,FALSE()),HLOOKUP(D729,PREVVOLS,VLOOKUP(G729,MOVE_DOWN2,2,FALSE()),FALSE()),VLOOKUP(G729,NGPREVPRICES,3,FALSE()),HLOOKUP(D729,Correllate,VLOOKUP(G729,CorMove,2,FALSE()),FALSE()),Q729-$CD$3,R729,$CJ$5)*H729</f>
        <v>#NAME?</v>
      </c>
      <c r="CK731" s="254" t="n">
        <f aca="false">I729</f>
        <v>-0.375</v>
      </c>
      <c r="CM731" s="0" t="str">
        <f aca="false">CONCATENATE(CC731,$CD$6)</f>
        <v>36861Curve Shift/Gamma</v>
      </c>
      <c r="CN731" s="0" t="str">
        <f aca="false">CONCATENATE($CC731,$CE$6)</f>
        <v>36861Rho</v>
      </c>
      <c r="CO731" s="0" t="str">
        <f aca="false">CONCATENATE($CC731,$CF$6)</f>
        <v>36861Drift</v>
      </c>
      <c r="CP731" s="0" t="str">
        <f aca="false">CONCATENATE($CC731,$CG$6)</f>
        <v>36861Vega</v>
      </c>
      <c r="CQ731" s="0" t="str">
        <f aca="false">CONCATENATE($CC731,$CH$6)</f>
        <v>36861Theta</v>
      </c>
    </row>
    <row r="732" customFormat="false" ht="12.75" hidden="false" customHeight="false" outlineLevel="0" collapsed="false">
      <c r="A732" s="17" t="s">
        <v>275</v>
      </c>
      <c r="B732" s="0" t="s">
        <v>192</v>
      </c>
      <c r="C732" s="0" t="s">
        <v>438</v>
      </c>
      <c r="D732" s="7" t="s">
        <v>151</v>
      </c>
      <c r="E732" s="0" t="s">
        <v>131</v>
      </c>
      <c r="F732" s="0" t="s">
        <v>136</v>
      </c>
      <c r="G732" s="92" t="n">
        <v>36951</v>
      </c>
      <c r="H732" s="248" t="n">
        <v>620000</v>
      </c>
      <c r="I732" s="254" t="n">
        <v>-0.375</v>
      </c>
      <c r="J732" s="124" t="n">
        <f aca="false">VLOOKUP(G732,NGPrices,2,FALSE())</f>
        <v>4.213</v>
      </c>
      <c r="K732" s="125" t="n">
        <f aca="false">HLOOKUP(D732,Prices,VLOOKUP(G732,move_down,2,FALSE()),FALSE())+VLOOKUP(G732,CHANGE,HLOOKUP(D732,CHANGE,2,FALSE()),FALSE())</f>
        <v>-0.3975</v>
      </c>
      <c r="L732" s="124" t="n">
        <f aca="false">K732+J732</f>
        <v>3.8155</v>
      </c>
      <c r="M732" s="126" t="n">
        <f aca="false">VLOOKUP(G732,NGPrices,4,FALSE())</f>
        <v>0.068879814952707</v>
      </c>
      <c r="N732" s="7" t="n">
        <f aca="false">VLOOKUP(G732,NGPrices,3,FALSE())</f>
        <v>0.5325</v>
      </c>
      <c r="O732" s="7" t="n">
        <f aca="false">HLOOKUP(D732,VOLS,VLOOKUP(G732,move_down,2,FALSE()),FALSE())</f>
        <v>0.511</v>
      </c>
      <c r="P732" s="249" t="n">
        <f aca="false">HLOOKUP(D732,Correllate,VLOOKUP(G732,CorMove,2,FALSE()),FALSE())</f>
        <v>0.93</v>
      </c>
      <c r="Q732" s="92" t="n">
        <f aca="false">WORKDAY(G732,-2)</f>
        <v>36949</v>
      </c>
      <c r="R732" s="7" t="n">
        <f aca="false">IF(F732="P",0,1)</f>
        <v>1</v>
      </c>
      <c r="S732" s="130" t="e">
        <f aca="false">xSPRDOPT($L732,$J732,$I732,$M732,$O732,$N732,$P732,$Q732-$C$3,$R732,0)</f>
        <v>#NAME?</v>
      </c>
      <c r="T732" s="250" t="e">
        <f aca="false">xSPRDOPT($L732,$J732,$I732,$M732,$O732,$N732,$P732,$Q732-$C$3,$R732,1)*H732</f>
        <v>#NAME?</v>
      </c>
      <c r="U732" s="43" t="e">
        <f aca="false">S732*H732</f>
        <v>#NAME?</v>
      </c>
      <c r="V732" s="250" t="e">
        <f aca="false">xSPRDOPT($L732,$J732,$I732,$M732,$O732,$N732,$P732,$Q732-$C$3,$R732,2)*H732</f>
        <v>#NAME?</v>
      </c>
      <c r="W732" s="250" t="e">
        <f aca="false">+V732+T732</f>
        <v>#NAME?</v>
      </c>
      <c r="X732" s="2" t="str">
        <f aca="false">CONCATENATE(G732,D732)</f>
        <v>36951IF-NWPL_ROCKY_M</v>
      </c>
      <c r="Y732" s="251" t="n">
        <f aca="false">H732/10000</f>
        <v>62</v>
      </c>
      <c r="Z732" s="226" t="e">
        <f aca="false">T732/H732</f>
        <v>#NAME?</v>
      </c>
      <c r="AA732" s="226" t="e">
        <f aca="false">xSPRDOPT($L732,$J732,$I732,$M732,$O732,$N732,$P732,$Q732-$C$3,$R732,3)</f>
        <v>#NAME?</v>
      </c>
      <c r="AB732" s="226" t="e">
        <f aca="false">((xSPRDOPT($L732+AB$5,$J732,$I732,$M732,$O732,$N732,$P732,$Q732-$C$3,$R732,3)*$H732)/10000)/100</f>
        <v>#NAME?</v>
      </c>
      <c r="AC732" s="226" t="e">
        <f aca="false">((xSPRDOPT($L732+$AB$5,$J732,$I732,$M732,$O732,$N732,$P732,$Q732-$C$3,$R732,7)*$H732)/100)</f>
        <v>#NAME?</v>
      </c>
      <c r="AD732" s="226" t="e">
        <f aca="false">(xSPRDOPT($L732+$AB$5,$J732,$I732,$M732,$O732,$N732,$P732,$Q732-$C$3,$R732,9)/365)*$H732</f>
        <v>#NAME?</v>
      </c>
      <c r="AE732" s="0" t="e">
        <f aca="false">CD734</f>
        <v>#NAME?</v>
      </c>
      <c r="AF732" s="226" t="e">
        <f aca="false">((O732/N732)*AH732)+AG732</f>
        <v>#NAME?</v>
      </c>
      <c r="AG732" s="226" t="e">
        <f aca="false">((xSPRDOPT($L732,$J732,$I732,$M732,$O732,$N732,$P732,$Q732-$C$3,$R732,6)*$H732)/100)</f>
        <v>#NAME?</v>
      </c>
      <c r="AH732" s="226" t="e">
        <f aca="false">((xSPRDOPT($L732,$J732,$I732,$M732,$O732,$N732,$P732,$Q732-$C$3,$R732,5)*$H732)/100)</f>
        <v>#NAME?</v>
      </c>
      <c r="AI732" s="226" t="e">
        <f aca="false">(((xSPRDOPT($L732,$J732,$I732,$M732,$O732,$N732,$P732,$Q732-$C$3,$R732,4)*$H732)/10000)/100)-AB732</f>
        <v>#NAME?</v>
      </c>
      <c r="AJ732" s="226"/>
      <c r="CC732" s="182" t="n">
        <f aca="false">G730</f>
        <v>36892</v>
      </c>
      <c r="CD732" s="253" t="e">
        <f aca="false">xSPRDOPT((VLOOKUP(G730,NGPrices,2,FALSE())+HLOOKUP(D730,Prices,VLOOKUP(G730,move_down,2,FALSE()),FALSE())),VLOOKUP(G730,NGPrices,2,FALSE()),I730,VLOOKUP(G730,NGPREVPRICES,4,FALSE()),HLOOKUP(D730,PREVVOLS,VLOOKUP(G730,MOVE_DOWN2,2,FALSE()),FALSE()),VLOOKUP(G730,NGPREVPRICES,3,FALSE()),HLOOKUP(D730,Correllate,VLOOKUP(G730,CorMove,2,FALSE()),FALSE()),Q730-$CD$3,R730,$CD$5)*H730-CJ732</f>
        <v>#NAME?</v>
      </c>
      <c r="CE732" s="253" t="e">
        <f aca="false">xSPRDOPT((VLOOKUP(G730,NGPREVPRICES,2,FALSE())+HLOOKUP(D730,PREVCURVES,VLOOKUP(G730,MOVE_DOWN2,2,FALSE()),FALSE())),VLOOKUP(G730,NGPREVPRICES,2,FALSE()),CK732,VLOOKUP(G730,NGPrices,4,FALSE()),HLOOKUP(D730,PREVVOLS,VLOOKUP(G730,MOVE_DOWN2,2,FALSE()),FALSE()),VLOOKUP(G730,NGPREVPRICES,3,FALSE()),HLOOKUP(D730,Correllate,VLOOKUP(G730,CorMove,2,FALSE()),FALSE()),Q730-$CD$3,R730,$CJ$5)*H730-CJ732</f>
        <v>#NAME?</v>
      </c>
      <c r="CF732" s="132" t="e">
        <f aca="false">(CJ732/VLOOKUP(CC732,discount,3,FALSE()))-(CJ732/VLOOKUP(CC732,discount,2,FALSE()))</f>
        <v>#NAME?</v>
      </c>
      <c r="CG732" s="253" t="e">
        <f aca="false">xSPRDOPT((VLOOKUP(G730,NGPREVPRICES,2,FALSE())+HLOOKUP(D730,PREVCURVES,VLOOKUP(G730,MOVE_DOWN2,2,FALSE()),FALSE())),VLOOKUP(G730,NGPREVPRICES,2,FALSE()),CK732,VLOOKUP(G730,NGPREVPRICES,4,FALSE()),HLOOKUP(D730,VOLS,VLOOKUP(G730,move_down,2,FALSE()),FALSE()),VLOOKUP(G730,NGPrices,3,FALSE()),HLOOKUP(D730,Correllate,VLOOKUP(G730,CorMove,2,FALSE()),FALSE()),Q730-$CD$3,R730,$CJ$5)*H730-CJ732</f>
        <v>#NAME?</v>
      </c>
      <c r="CH732" s="253" t="e">
        <f aca="false">xSPRDOPT((VLOOKUP(G730,NGPREVPRICES,2,FALSE())+HLOOKUP(D730,PREVCURVES,VLOOKUP(G730,MOVE_DOWN2,2,FALSE()),FALSE())),VLOOKUP(G730,NGPREVPRICES,2,FALSE()),CK732,VLOOKUP(G730,NGPREVPRICES,4,FALSE()),HLOOKUP(D730,PREVVOLS,VLOOKUP(G730,MOVE_DOWN2,2,FALSE()),FALSE()),VLOOKUP(G730,NGPREVPRICES,3,FALSE()),HLOOKUP(D730,Correllate,VLOOKUP(G730,CorMove,2,FALSE()),FALSE()),Q730-$C$3,R730,$CJ$5)*H730-CJ732</f>
        <v>#NAME?</v>
      </c>
      <c r="CI732" s="253" t="e">
        <f aca="false">SUM(CD732:CH732)</f>
        <v>#NAME?</v>
      </c>
      <c r="CJ732" s="253" t="e">
        <f aca="false">xSPRDOPT((VLOOKUP(G730,NGPREVPRICES,2,FALSE())+HLOOKUP(D730,PREVCURVES,VLOOKUP(G730,MOVE_DOWN2,2,FALSE()),FALSE())),VLOOKUP(G730,NGPREVPRICES,2,FALSE()),CK732,VLOOKUP(G730,NGPREVPRICES,4,FALSE()),HLOOKUP(D730,PREVVOLS,VLOOKUP(G730,MOVE_DOWN2,2,FALSE()),FALSE()),VLOOKUP(G730,NGPREVPRICES,3,FALSE()),HLOOKUP(D730,Correllate,VLOOKUP(G730,CorMove,2,FALSE()),FALSE()),Q730-$CD$3,R730,$CJ$5)*H730</f>
        <v>#NAME?</v>
      </c>
      <c r="CK732" s="254" t="n">
        <f aca="false">I730</f>
        <v>-0.375</v>
      </c>
      <c r="CM732" s="0" t="str">
        <f aca="false">CONCATENATE(CC732,$CD$6)</f>
        <v>36892Curve Shift/Gamma</v>
      </c>
      <c r="CN732" s="0" t="str">
        <f aca="false">CONCATENATE($CC732,$CE$6)</f>
        <v>36892Rho</v>
      </c>
      <c r="CO732" s="0" t="str">
        <f aca="false">CONCATENATE($CC732,$CF$6)</f>
        <v>36892Drift</v>
      </c>
      <c r="CP732" s="0" t="str">
        <f aca="false">CONCATENATE($CC732,$CG$6)</f>
        <v>36892Vega</v>
      </c>
      <c r="CQ732" s="0" t="str">
        <f aca="false">CONCATENATE($CC732,$CH$6)</f>
        <v>36892Theta</v>
      </c>
    </row>
    <row r="733" customFormat="false" ht="12.75" hidden="false" customHeight="false" outlineLevel="0" collapsed="false">
      <c r="A733" s="17" t="s">
        <v>275</v>
      </c>
      <c r="B733" s="0" t="s">
        <v>192</v>
      </c>
      <c r="C733" s="0" t="s">
        <v>439</v>
      </c>
      <c r="D733" s="7" t="s">
        <v>151</v>
      </c>
      <c r="E733" s="0" t="s">
        <v>131</v>
      </c>
      <c r="F733" s="0" t="s">
        <v>132</v>
      </c>
      <c r="G733" s="92" t="n">
        <v>36831</v>
      </c>
      <c r="H733" s="248" t="n">
        <v>600000</v>
      </c>
      <c r="I733" s="254" t="n">
        <v>-0.375</v>
      </c>
      <c r="J733" s="124" t="n">
        <f aca="false">VLOOKUP(G733,NGPrices,2,FALSE())</f>
        <v>4.736</v>
      </c>
      <c r="K733" s="125" t="n">
        <f aca="false">HLOOKUP(D733,Prices,VLOOKUP(G733,move_down,2,FALSE()),FALSE())+VLOOKUP(G733,CHANGE,HLOOKUP(D733,CHANGE,2,FALSE()),FALSE())</f>
        <v>-0.4675</v>
      </c>
      <c r="L733" s="124" t="n">
        <f aca="false">K733+J733</f>
        <v>4.2685</v>
      </c>
      <c r="M733" s="126" t="n">
        <f aca="false">VLOOKUP(G733,NGPrices,4,FALSE())</f>
        <v>0.06810675983792</v>
      </c>
      <c r="N733" s="7" t="n">
        <f aca="false">VLOOKUP(G733,NGPrices,3,FALSE())</f>
        <v>0.595</v>
      </c>
      <c r="O733" s="7" t="n">
        <f aca="false">HLOOKUP(D733,VOLS,VLOOKUP(G733,move_down,2,FALSE()),FALSE())</f>
        <v>0.571</v>
      </c>
      <c r="P733" s="249" t="n">
        <f aca="false">HLOOKUP(D733,Correllate,VLOOKUP(G733,CorMove,2,FALSE()),FALSE())</f>
        <v>0.93</v>
      </c>
      <c r="Q733" s="92" t="n">
        <f aca="false">WORKDAY(G733,-2)</f>
        <v>36829</v>
      </c>
      <c r="R733" s="7" t="n">
        <f aca="false">IF(F733="P",0,1)</f>
        <v>0</v>
      </c>
      <c r="S733" s="130" t="e">
        <f aca="false">xSPRDOPT($L733,$J733,$I733,$M733,$O733,$N733,$P733,$Q733-$C$3,$R733,0)</f>
        <v>#NAME?</v>
      </c>
      <c r="T733" s="250" t="e">
        <f aca="false">xSPRDOPT($L733,$J733,$I733,$M733,$O733,$N733,$P733,$Q733-$C$3,$R733,1)*H733</f>
        <v>#NAME?</v>
      </c>
      <c r="U733" s="43" t="e">
        <f aca="false">S733*H733</f>
        <v>#NAME?</v>
      </c>
      <c r="V733" s="250" t="e">
        <f aca="false">xSPRDOPT($L733,$J733,$I733,$M733,$O733,$N733,$P733,$Q733-$C$3,$R733,2)*H733</f>
        <v>#NAME?</v>
      </c>
      <c r="W733" s="250" t="e">
        <f aca="false">+V733+T733</f>
        <v>#NAME?</v>
      </c>
      <c r="X733" s="2" t="str">
        <f aca="false">CONCATENATE(G733,D733)</f>
        <v>36831IF-NWPL_ROCKY_M</v>
      </c>
      <c r="Y733" s="251" t="n">
        <f aca="false">H733/10000</f>
        <v>60</v>
      </c>
      <c r="Z733" s="226" t="e">
        <f aca="false">T733/H733</f>
        <v>#NAME?</v>
      </c>
      <c r="AA733" s="226" t="e">
        <f aca="false">xSPRDOPT($L733,$J733,$I733,$M733,$O733,$N733,$P733,$Q733-$C$3,$R733,3)</f>
        <v>#NAME?</v>
      </c>
      <c r="AB733" s="226" t="e">
        <f aca="false">((xSPRDOPT($L733+AB$5,$J733,$I733,$M733,$O733,$N733,$P733,$Q733-$C$3,$R733,3)*$H733)/10000)/100</f>
        <v>#NAME?</v>
      </c>
      <c r="AC733" s="226" t="e">
        <f aca="false">((xSPRDOPT($L733+$AB$5,$J733,$I733,$M733,$O733,$N733,$P733,$Q733-$C$3,$R733,7)*$H733)/100)</f>
        <v>#NAME?</v>
      </c>
      <c r="AD733" s="226" t="e">
        <f aca="false">(xSPRDOPT($L733+$AB$5,$J733,$I733,$M733,$O733,$N733,$P733,$Q733-$C$3,$R733,9)/365)*$H733</f>
        <v>#NAME?</v>
      </c>
      <c r="AE733" s="0" t="e">
        <f aca="false">CD735</f>
        <v>#NAME?</v>
      </c>
      <c r="AF733" s="226" t="e">
        <f aca="false">((O733/N733)*AH733)+AG733</f>
        <v>#NAME?</v>
      </c>
      <c r="AG733" s="226" t="e">
        <f aca="false">((xSPRDOPT($L733,$J733,$I733,$M733,$O733,$N733,$P733,$Q733-$C$3,$R733,6)*$H733)/100)</f>
        <v>#NAME?</v>
      </c>
      <c r="AH733" s="226" t="e">
        <f aca="false">((xSPRDOPT($L733,$J733,$I733,$M733,$O733,$N733,$P733,$Q733-$C$3,$R733,5)*$H733)/100)</f>
        <v>#NAME?</v>
      </c>
      <c r="AI733" s="226" t="e">
        <f aca="false">(((xSPRDOPT($L733,$J733,$I733,$M733,$O733,$N733,$P733,$Q733-$C$3,$R733,4)*$H733)/10000)/100)-AB733</f>
        <v>#NAME?</v>
      </c>
      <c r="AJ733" s="226"/>
      <c r="CC733" s="182" t="n">
        <f aca="false">G731</f>
        <v>36923</v>
      </c>
      <c r="CD733" s="253" t="e">
        <f aca="false">xSPRDOPT((VLOOKUP(G731,NGPrices,2,FALSE())+HLOOKUP(D731,Prices,VLOOKUP(G731,move_down,2,FALSE()),FALSE())),VLOOKUP(G731,NGPrices,2,FALSE()),I731,VLOOKUP(G731,NGPREVPRICES,4,FALSE()),HLOOKUP(D731,PREVVOLS,VLOOKUP(G731,MOVE_DOWN2,2,FALSE()),FALSE()),VLOOKUP(G731,NGPREVPRICES,3,FALSE()),HLOOKUP(D731,Correllate,VLOOKUP(G731,CorMove,2,FALSE()),FALSE()),Q731-$CD$3,R731,$CD$5)*H731-CJ733</f>
        <v>#NAME?</v>
      </c>
      <c r="CE733" s="253" t="e">
        <f aca="false">xSPRDOPT((VLOOKUP(G731,NGPREVPRICES,2,FALSE())+HLOOKUP(D731,PREVCURVES,VLOOKUP(G731,MOVE_DOWN2,2,FALSE()),FALSE())),VLOOKUP(G731,NGPREVPRICES,2,FALSE()),CK733,VLOOKUP(G731,NGPrices,4,FALSE()),HLOOKUP(D731,PREVVOLS,VLOOKUP(G731,MOVE_DOWN2,2,FALSE()),FALSE()),VLOOKUP(G731,NGPREVPRICES,3,FALSE()),HLOOKUP(D731,Correllate,VLOOKUP(G731,CorMove,2,FALSE()),FALSE()),Q731-$CD$3,R731,$CJ$5)*H731-CJ733</f>
        <v>#NAME?</v>
      </c>
      <c r="CF733" s="132" t="e">
        <f aca="false">(CJ733/VLOOKUP(CC733,discount,3,FALSE()))-(CJ733/VLOOKUP(CC733,discount,2,FALSE()))</f>
        <v>#NAME?</v>
      </c>
      <c r="CG733" s="253" t="e">
        <f aca="false">xSPRDOPT((VLOOKUP(G731,NGPREVPRICES,2,FALSE())+HLOOKUP(D731,PREVCURVES,VLOOKUP(G731,MOVE_DOWN2,2,FALSE()),FALSE())),VLOOKUP(G731,NGPREVPRICES,2,FALSE()),CK733,VLOOKUP(G731,NGPREVPRICES,4,FALSE()),HLOOKUP(D731,VOLS,VLOOKUP(G731,move_down,2,FALSE()),FALSE()),VLOOKUP(G731,NGPrices,3,FALSE()),HLOOKUP(D731,Correllate,VLOOKUP(G731,CorMove,2,FALSE()),FALSE()),Q731-$CD$3,R731,$CJ$5)*H731-CJ733</f>
        <v>#NAME?</v>
      </c>
      <c r="CH733" s="253" t="e">
        <f aca="false">xSPRDOPT((VLOOKUP(G731,NGPREVPRICES,2,FALSE())+HLOOKUP(D731,PREVCURVES,VLOOKUP(G731,MOVE_DOWN2,2,FALSE()),FALSE())),VLOOKUP(G731,NGPREVPRICES,2,FALSE()),CK733,VLOOKUP(G731,NGPREVPRICES,4,FALSE()),HLOOKUP(D731,PREVVOLS,VLOOKUP(G731,MOVE_DOWN2,2,FALSE()),FALSE()),VLOOKUP(G731,NGPREVPRICES,3,FALSE()),HLOOKUP(D731,Correllate,VLOOKUP(G731,CorMove,2,FALSE()),FALSE()),Q731-$C$3,R731,$CJ$5)*H731-CJ733</f>
        <v>#NAME?</v>
      </c>
      <c r="CI733" s="253" t="e">
        <f aca="false">SUM(CD733:CH733)</f>
        <v>#NAME?</v>
      </c>
      <c r="CJ733" s="253" t="e">
        <f aca="false">xSPRDOPT((VLOOKUP(G731,NGPREVPRICES,2,FALSE())+HLOOKUP(D731,PREVCURVES,VLOOKUP(G731,MOVE_DOWN2,2,FALSE()),FALSE())),VLOOKUP(G731,NGPREVPRICES,2,FALSE()),CK733,VLOOKUP(G731,NGPREVPRICES,4,FALSE()),HLOOKUP(D731,PREVVOLS,VLOOKUP(G731,MOVE_DOWN2,2,FALSE()),FALSE()),VLOOKUP(G731,NGPREVPRICES,3,FALSE()),HLOOKUP(D731,Correllate,VLOOKUP(G731,CorMove,2,FALSE()),FALSE()),Q731-$CD$3,R731,$CJ$5)*H731</f>
        <v>#NAME?</v>
      </c>
      <c r="CK733" s="254" t="n">
        <f aca="false">I731</f>
        <v>-0.375</v>
      </c>
      <c r="CM733" s="0" t="str">
        <f aca="false">CONCATENATE(CC733,$CD$6)</f>
        <v>36923Curve Shift/Gamma</v>
      </c>
      <c r="CN733" s="0" t="str">
        <f aca="false">CONCATENATE($CC733,$CE$6)</f>
        <v>36923Rho</v>
      </c>
      <c r="CO733" s="0" t="str">
        <f aca="false">CONCATENATE($CC733,$CF$6)</f>
        <v>36923Drift</v>
      </c>
      <c r="CP733" s="0" t="str">
        <f aca="false">CONCATENATE($CC733,$CG$6)</f>
        <v>36923Vega</v>
      </c>
      <c r="CQ733" s="0" t="str">
        <f aca="false">CONCATENATE($CC733,$CH$6)</f>
        <v>36923Theta</v>
      </c>
    </row>
    <row r="734" customFormat="false" ht="12.75" hidden="false" customHeight="false" outlineLevel="0" collapsed="false">
      <c r="A734" s="17" t="s">
        <v>275</v>
      </c>
      <c r="B734" s="0" t="s">
        <v>192</v>
      </c>
      <c r="C734" s="0" t="s">
        <v>439</v>
      </c>
      <c r="D734" s="7" t="s">
        <v>151</v>
      </c>
      <c r="E734" s="0" t="s">
        <v>131</v>
      </c>
      <c r="F734" s="0" t="s">
        <v>132</v>
      </c>
      <c r="G734" s="92" t="n">
        <v>36861</v>
      </c>
      <c r="H734" s="248" t="n">
        <v>620000</v>
      </c>
      <c r="I734" s="254" t="n">
        <v>-0.375</v>
      </c>
      <c r="J734" s="124" t="n">
        <f aca="false">VLOOKUP(G734,NGPrices,2,FALSE())</f>
        <v>4.8</v>
      </c>
      <c r="K734" s="125" t="n">
        <f aca="false">HLOOKUP(D734,Prices,VLOOKUP(G734,move_down,2,FALSE()),FALSE())+VLOOKUP(G734,CHANGE,HLOOKUP(D734,CHANGE,2,FALSE()),FALSE())</f>
        <v>-0.3575</v>
      </c>
      <c r="L734" s="124" t="n">
        <f aca="false">K734+J734</f>
        <v>4.4425</v>
      </c>
      <c r="M734" s="126" t="n">
        <f aca="false">VLOOKUP(G734,NGPrices,4,FALSE())</f>
        <v>0.068314027999354</v>
      </c>
      <c r="N734" s="7" t="n">
        <f aca="false">VLOOKUP(G734,NGPrices,3,FALSE())</f>
        <v>0.6</v>
      </c>
      <c r="O734" s="7" t="n">
        <f aca="false">HLOOKUP(D734,VOLS,VLOOKUP(G734,move_down,2,FALSE()),FALSE())</f>
        <v>0.576</v>
      </c>
      <c r="P734" s="249" t="n">
        <f aca="false">HLOOKUP(D734,Correllate,VLOOKUP(G734,CorMove,2,FALSE()),FALSE())</f>
        <v>0.93</v>
      </c>
      <c r="Q734" s="92" t="n">
        <f aca="false">WORKDAY(G734,-2)</f>
        <v>36859</v>
      </c>
      <c r="R734" s="7" t="n">
        <f aca="false">IF(F734="P",0,1)</f>
        <v>0</v>
      </c>
      <c r="S734" s="130" t="e">
        <f aca="false">xSPRDOPT($L734,$J734,$I734,$M734,$O734,$N734,$P734,$Q734-$C$3,$R734,0)</f>
        <v>#NAME?</v>
      </c>
      <c r="T734" s="250" t="e">
        <f aca="false">xSPRDOPT($L734,$J734,$I734,$M734,$O734,$N734,$P734,$Q734-$C$3,$R734,1)*H734</f>
        <v>#NAME?</v>
      </c>
      <c r="U734" s="43" t="e">
        <f aca="false">S734*H734</f>
        <v>#NAME?</v>
      </c>
      <c r="V734" s="250" t="e">
        <f aca="false">xSPRDOPT($L734,$J734,$I734,$M734,$O734,$N734,$P734,$Q734-$C$3,$R734,2)*H734</f>
        <v>#NAME?</v>
      </c>
      <c r="W734" s="250" t="e">
        <f aca="false">+V734+T734</f>
        <v>#NAME?</v>
      </c>
      <c r="X734" s="2" t="str">
        <f aca="false">CONCATENATE(G734,D734)</f>
        <v>36861IF-NWPL_ROCKY_M</v>
      </c>
      <c r="Y734" s="251" t="n">
        <f aca="false">H734/10000</f>
        <v>62</v>
      </c>
      <c r="Z734" s="226" t="e">
        <f aca="false">T734/H734</f>
        <v>#NAME?</v>
      </c>
      <c r="AA734" s="226" t="e">
        <f aca="false">xSPRDOPT($L734,$J734,$I734,$M734,$O734,$N734,$P734,$Q734-$C$3,$R734,3)</f>
        <v>#NAME?</v>
      </c>
      <c r="AB734" s="226" t="e">
        <f aca="false">((xSPRDOPT($L734+AB$5,$J734,$I734,$M734,$O734,$N734,$P734,$Q734-$C$3,$R734,3)*$H734)/10000)/100</f>
        <v>#NAME?</v>
      </c>
      <c r="AC734" s="226" t="e">
        <f aca="false">((xSPRDOPT($L734+$AB$5,$J734,$I734,$M734,$O734,$N734,$P734,$Q734-$C$3,$R734,7)*$H734)/100)</f>
        <v>#NAME?</v>
      </c>
      <c r="AD734" s="226" t="e">
        <f aca="false">(xSPRDOPT($L734+$AB$5,$J734,$I734,$M734,$O734,$N734,$P734,$Q734-$C$3,$R734,9)/365)*$H734</f>
        <v>#NAME?</v>
      </c>
      <c r="AE734" s="0" t="e">
        <f aca="false">CD736</f>
        <v>#NAME?</v>
      </c>
      <c r="AF734" s="226" t="e">
        <f aca="false">((O734/N734)*AH734)+AG734</f>
        <v>#NAME?</v>
      </c>
      <c r="AG734" s="226" t="e">
        <f aca="false">((xSPRDOPT($L734,$J734,$I734,$M734,$O734,$N734,$P734,$Q734-$C$3,$R734,6)*$H734)/100)</f>
        <v>#NAME?</v>
      </c>
      <c r="AH734" s="226" t="e">
        <f aca="false">((xSPRDOPT($L734,$J734,$I734,$M734,$O734,$N734,$P734,$Q734-$C$3,$R734,5)*$H734)/100)</f>
        <v>#NAME?</v>
      </c>
      <c r="AI734" s="226" t="e">
        <f aca="false">(((xSPRDOPT($L734,$J734,$I734,$M734,$O734,$N734,$P734,$Q734-$C$3,$R734,4)*$H734)/10000)/100)-AB734</f>
        <v>#NAME?</v>
      </c>
      <c r="AJ734" s="226"/>
      <c r="CC734" s="182" t="n">
        <f aca="false">G732</f>
        <v>36951</v>
      </c>
      <c r="CD734" s="253" t="e">
        <f aca="false">xSPRDOPT((VLOOKUP(G732,NGPrices,2,FALSE())+HLOOKUP(D732,Prices,VLOOKUP(G732,move_down,2,FALSE()),FALSE())),VLOOKUP(G732,NGPrices,2,FALSE()),I732,VLOOKUP(G732,NGPREVPRICES,4,FALSE()),HLOOKUP(D732,PREVVOLS,VLOOKUP(G732,MOVE_DOWN2,2,FALSE()),FALSE()),VLOOKUP(G732,NGPREVPRICES,3,FALSE()),HLOOKUP(D732,Correllate,VLOOKUP(G732,CorMove,2,FALSE()),FALSE()),Q732-$CD$3,R732,$CD$5)*H732-CJ734</f>
        <v>#NAME?</v>
      </c>
      <c r="CE734" s="253" t="e">
        <f aca="false">xSPRDOPT((VLOOKUP(G732,NGPREVPRICES,2,FALSE())+HLOOKUP(D732,PREVCURVES,VLOOKUP(G732,MOVE_DOWN2,2,FALSE()),FALSE())),VLOOKUP(G732,NGPREVPRICES,2,FALSE()),CK734,VLOOKUP(G732,NGPrices,4,FALSE()),HLOOKUP(D732,PREVVOLS,VLOOKUP(G732,MOVE_DOWN2,2,FALSE()),FALSE()),VLOOKUP(G732,NGPREVPRICES,3,FALSE()),HLOOKUP(D732,Correllate,VLOOKUP(G732,CorMove,2,FALSE()),FALSE()),Q732-$CD$3,R732,$CJ$5)*H732-CJ734</f>
        <v>#NAME?</v>
      </c>
      <c r="CF734" s="132" t="e">
        <f aca="false">(CJ734/VLOOKUP(CC734,discount,3,FALSE()))-(CJ734/VLOOKUP(CC734,discount,2,FALSE()))</f>
        <v>#NAME?</v>
      </c>
      <c r="CG734" s="253" t="e">
        <f aca="false">xSPRDOPT((VLOOKUP(G732,NGPREVPRICES,2,FALSE())+HLOOKUP(D732,PREVCURVES,VLOOKUP(G732,MOVE_DOWN2,2,FALSE()),FALSE())),VLOOKUP(G732,NGPREVPRICES,2,FALSE()),CK734,VLOOKUP(G732,NGPREVPRICES,4,FALSE()),HLOOKUP(D732,VOLS,VLOOKUP(G732,move_down,2,FALSE()),FALSE()),VLOOKUP(G732,NGPrices,3,FALSE()),HLOOKUP(D732,Correllate,VLOOKUP(G732,CorMove,2,FALSE()),FALSE()),Q732-$CD$3,R732,$CJ$5)*H732-CJ734</f>
        <v>#NAME?</v>
      </c>
      <c r="CH734" s="253" t="e">
        <f aca="false">xSPRDOPT((VLOOKUP(G732,NGPREVPRICES,2,FALSE())+HLOOKUP(D732,PREVCURVES,VLOOKUP(G732,MOVE_DOWN2,2,FALSE()),FALSE())),VLOOKUP(G732,NGPREVPRICES,2,FALSE()),CK734,VLOOKUP(G732,NGPREVPRICES,4,FALSE()),HLOOKUP(D732,PREVVOLS,VLOOKUP(G732,MOVE_DOWN2,2,FALSE()),FALSE()),VLOOKUP(G732,NGPREVPRICES,3,FALSE()),HLOOKUP(D732,Correllate,VLOOKUP(G732,CorMove,2,FALSE()),FALSE()),Q732-$C$3,R732,$CJ$5)*H732-CJ734</f>
        <v>#NAME?</v>
      </c>
      <c r="CI734" s="253" t="e">
        <f aca="false">SUM(CD734:CH734)</f>
        <v>#NAME?</v>
      </c>
      <c r="CJ734" s="253" t="e">
        <f aca="false">xSPRDOPT((VLOOKUP(G732,NGPREVPRICES,2,FALSE())+HLOOKUP(D732,PREVCURVES,VLOOKUP(G732,MOVE_DOWN2,2,FALSE()),FALSE())),VLOOKUP(G732,NGPREVPRICES,2,FALSE()),CK734,VLOOKUP(G732,NGPREVPRICES,4,FALSE()),HLOOKUP(D732,PREVVOLS,VLOOKUP(G732,MOVE_DOWN2,2,FALSE()),FALSE()),VLOOKUP(G732,NGPREVPRICES,3,FALSE()),HLOOKUP(D732,Correllate,VLOOKUP(G732,CorMove,2,FALSE()),FALSE()),Q732-$CD$3,R732,$CJ$5)*H732</f>
        <v>#NAME?</v>
      </c>
      <c r="CK734" s="254" t="n">
        <f aca="false">I732</f>
        <v>-0.375</v>
      </c>
      <c r="CM734" s="0" t="str">
        <f aca="false">CONCATENATE(CC734,$CD$6)</f>
        <v>36951Curve Shift/Gamma</v>
      </c>
      <c r="CN734" s="0" t="str">
        <f aca="false">CONCATENATE($CC734,$CE$6)</f>
        <v>36951Rho</v>
      </c>
      <c r="CO734" s="0" t="str">
        <f aca="false">CONCATENATE($CC734,$CF$6)</f>
        <v>36951Drift</v>
      </c>
      <c r="CP734" s="0" t="str">
        <f aca="false">CONCATENATE($CC734,$CG$6)</f>
        <v>36951Vega</v>
      </c>
      <c r="CQ734" s="0" t="str">
        <f aca="false">CONCATENATE($CC734,$CH$6)</f>
        <v>36951Theta</v>
      </c>
    </row>
    <row r="735" customFormat="false" ht="12.75" hidden="false" customHeight="false" outlineLevel="0" collapsed="false">
      <c r="A735" s="17" t="s">
        <v>275</v>
      </c>
      <c r="B735" s="0" t="s">
        <v>192</v>
      </c>
      <c r="C735" s="0" t="s">
        <v>439</v>
      </c>
      <c r="D735" s="7" t="s">
        <v>151</v>
      </c>
      <c r="E735" s="0" t="s">
        <v>131</v>
      </c>
      <c r="F735" s="0" t="s">
        <v>132</v>
      </c>
      <c r="G735" s="92" t="n">
        <v>36892</v>
      </c>
      <c r="H735" s="248" t="n">
        <v>620000</v>
      </c>
      <c r="I735" s="254" t="n">
        <v>-0.375</v>
      </c>
      <c r="J735" s="124" t="n">
        <f aca="false">VLOOKUP(G735,NGPrices,2,FALSE())</f>
        <v>4.744</v>
      </c>
      <c r="K735" s="125" t="n">
        <f aca="false">HLOOKUP(D735,Prices,VLOOKUP(G735,move_down,2,FALSE()),FALSE())+VLOOKUP(G735,CHANGE,HLOOKUP(D735,CHANGE,2,FALSE()),FALSE())</f>
        <v>-0.3675</v>
      </c>
      <c r="L735" s="124" t="n">
        <f aca="false">K735+J735</f>
        <v>4.3765</v>
      </c>
      <c r="M735" s="126" t="n">
        <f aca="false">VLOOKUP(G735,NGPrices,4,FALSE())</f>
        <v>0.068374831148491</v>
      </c>
      <c r="N735" s="7" t="n">
        <f aca="false">VLOOKUP(G735,NGPrices,3,FALSE())</f>
        <v>0.605</v>
      </c>
      <c r="O735" s="7" t="n">
        <f aca="false">HLOOKUP(D735,VOLS,VLOOKUP(G735,move_down,2,FALSE()),FALSE())</f>
        <v>0.581</v>
      </c>
      <c r="P735" s="249" t="n">
        <f aca="false">HLOOKUP(D735,Correllate,VLOOKUP(G735,CorMove,2,FALSE()),FALSE())</f>
        <v>0.93</v>
      </c>
      <c r="Q735" s="92" t="n">
        <f aca="false">WORKDAY(G735,-2)</f>
        <v>36888</v>
      </c>
      <c r="R735" s="7" t="n">
        <f aca="false">IF(F735="P",0,1)</f>
        <v>0</v>
      </c>
      <c r="S735" s="130" t="e">
        <f aca="false">xSPRDOPT($L735,$J735,$I735,$M735,$O735,$N735,$P735,$Q735-$C$3,$R735,0)</f>
        <v>#NAME?</v>
      </c>
      <c r="T735" s="250" t="e">
        <f aca="false">xSPRDOPT($L735,$J735,$I735,$M735,$O735,$N735,$P735,$Q735-$C$3,$R735,1)*H735</f>
        <v>#NAME?</v>
      </c>
      <c r="U735" s="43" t="e">
        <f aca="false">S735*H735</f>
        <v>#NAME?</v>
      </c>
      <c r="V735" s="250" t="e">
        <f aca="false">xSPRDOPT($L735,$J735,$I735,$M735,$O735,$N735,$P735,$Q735-$C$3,$R735,2)*H735</f>
        <v>#NAME?</v>
      </c>
      <c r="W735" s="250" t="e">
        <f aca="false">+V735+T735</f>
        <v>#NAME?</v>
      </c>
      <c r="X735" s="2" t="str">
        <f aca="false">CONCATENATE(G735,D735)</f>
        <v>36892IF-NWPL_ROCKY_M</v>
      </c>
      <c r="Y735" s="251" t="n">
        <f aca="false">H735/10000</f>
        <v>62</v>
      </c>
      <c r="Z735" s="226" t="e">
        <f aca="false">T735/H735</f>
        <v>#NAME?</v>
      </c>
      <c r="AA735" s="226" t="e">
        <f aca="false">xSPRDOPT($L735,$J735,$I735,$M735,$O735,$N735,$P735,$Q735-$C$3,$R735,3)</f>
        <v>#NAME?</v>
      </c>
      <c r="AB735" s="226" t="e">
        <f aca="false">((xSPRDOPT($L735+AB$5,$J735,$I735,$M735,$O735,$N735,$P735,$Q735-$C$3,$R735,3)*$H735)/10000)/100</f>
        <v>#NAME?</v>
      </c>
      <c r="AC735" s="226" t="e">
        <f aca="false">((xSPRDOPT($L735+$AB$5,$J735,$I735,$M735,$O735,$N735,$P735,$Q735-$C$3,$R735,7)*$H735)/100)</f>
        <v>#NAME?</v>
      </c>
      <c r="AD735" s="226" t="e">
        <f aca="false">(xSPRDOPT($L735+$AB$5,$J735,$I735,$M735,$O735,$N735,$P735,$Q735-$C$3,$R735,9)/365)*$H735</f>
        <v>#NAME?</v>
      </c>
      <c r="AE735" s="0" t="e">
        <f aca="false">CD737</f>
        <v>#NAME?</v>
      </c>
      <c r="AF735" s="226" t="e">
        <f aca="false">((O735/N735)*AH735)+AG735</f>
        <v>#NAME?</v>
      </c>
      <c r="AG735" s="226" t="e">
        <f aca="false">((xSPRDOPT($L735,$J735,$I735,$M735,$O735,$N735,$P735,$Q735-$C$3,$R735,6)*$H735)/100)</f>
        <v>#NAME?</v>
      </c>
      <c r="AH735" s="226" t="e">
        <f aca="false">((xSPRDOPT($L735,$J735,$I735,$M735,$O735,$N735,$P735,$Q735-$C$3,$R735,5)*$H735)/100)</f>
        <v>#NAME?</v>
      </c>
      <c r="AI735" s="226" t="e">
        <f aca="false">(((xSPRDOPT($L735,$J735,$I735,$M735,$O735,$N735,$P735,$Q735-$C$3,$R735,4)*$H735)/10000)/100)-AB735</f>
        <v>#NAME?</v>
      </c>
      <c r="AJ735" s="226"/>
      <c r="CC735" s="182" t="n">
        <f aca="false">G733</f>
        <v>36831</v>
      </c>
      <c r="CD735" s="253" t="e">
        <f aca="false">xSPRDOPT((VLOOKUP(G733,NGPrices,2,FALSE())+HLOOKUP(D733,Prices,VLOOKUP(G733,move_down,2,FALSE()),FALSE())),VLOOKUP(G733,NGPrices,2,FALSE()),I733,VLOOKUP(G733,NGPREVPRICES,4,FALSE()),HLOOKUP(D733,PREVVOLS,VLOOKUP(G733,MOVE_DOWN2,2,FALSE()),FALSE()),VLOOKUP(G733,NGPREVPRICES,3,FALSE()),HLOOKUP(D733,Correllate,VLOOKUP(G733,CorMove,2,FALSE()),FALSE()),Q733-$CD$3,R733,$CD$5)*H733-CJ735</f>
        <v>#NAME?</v>
      </c>
      <c r="CE735" s="253" t="e">
        <f aca="false">xSPRDOPT((VLOOKUP(G733,NGPREVPRICES,2,FALSE())+HLOOKUP(D733,PREVCURVES,VLOOKUP(G733,MOVE_DOWN2,2,FALSE()),FALSE())),VLOOKUP(G733,NGPREVPRICES,2,FALSE()),CK735,VLOOKUP(G733,NGPrices,4,FALSE()),HLOOKUP(D733,PREVVOLS,VLOOKUP(G733,MOVE_DOWN2,2,FALSE()),FALSE()),VLOOKUP(G733,NGPREVPRICES,3,FALSE()),HLOOKUP(D733,Correllate,VLOOKUP(G733,CorMove,2,FALSE()),FALSE()),Q733-$CD$3,R733,$CJ$5)*H733-CJ735</f>
        <v>#NAME?</v>
      </c>
      <c r="CF735" s="132" t="e">
        <f aca="false">(CJ735/VLOOKUP(CC735,discount,3,FALSE()))-(CJ735/VLOOKUP(CC735,discount,2,FALSE()))</f>
        <v>#NAME?</v>
      </c>
      <c r="CG735" s="253" t="e">
        <f aca="false">xSPRDOPT((VLOOKUP(G733,NGPREVPRICES,2,FALSE())+HLOOKUP(D733,PREVCURVES,VLOOKUP(G733,MOVE_DOWN2,2,FALSE()),FALSE())),VLOOKUP(G733,NGPREVPRICES,2,FALSE()),CK735,VLOOKUP(G733,NGPREVPRICES,4,FALSE()),HLOOKUP(D733,VOLS,VLOOKUP(G733,move_down,2,FALSE()),FALSE()),VLOOKUP(G733,NGPrices,3,FALSE()),HLOOKUP(D733,Correllate,VLOOKUP(G733,CorMove,2,FALSE()),FALSE()),Q733-$CD$3,R733,$CJ$5)*H733-CJ735</f>
        <v>#NAME?</v>
      </c>
      <c r="CH735" s="253" t="e">
        <f aca="false">xSPRDOPT((VLOOKUP(G733,NGPREVPRICES,2,FALSE())+HLOOKUP(D733,PREVCURVES,VLOOKUP(G733,MOVE_DOWN2,2,FALSE()),FALSE())),VLOOKUP(G733,NGPREVPRICES,2,FALSE()),CK735,VLOOKUP(G733,NGPREVPRICES,4,FALSE()),HLOOKUP(D733,PREVVOLS,VLOOKUP(G733,MOVE_DOWN2,2,FALSE()),FALSE()),VLOOKUP(G733,NGPREVPRICES,3,FALSE()),HLOOKUP(D733,Correllate,VLOOKUP(G733,CorMove,2,FALSE()),FALSE()),Q733-$C$3,R733,$CJ$5)*H733-CJ735</f>
        <v>#NAME?</v>
      </c>
      <c r="CI735" s="253" t="e">
        <f aca="false">SUM(CD735:CH735)</f>
        <v>#NAME?</v>
      </c>
      <c r="CJ735" s="253" t="e">
        <f aca="false">xSPRDOPT((VLOOKUP(G733,NGPREVPRICES,2,FALSE())+HLOOKUP(D733,PREVCURVES,VLOOKUP(G733,MOVE_DOWN2,2,FALSE()),FALSE())),VLOOKUP(G733,NGPREVPRICES,2,FALSE()),CK735,VLOOKUP(G733,NGPREVPRICES,4,FALSE()),HLOOKUP(D733,PREVVOLS,VLOOKUP(G733,MOVE_DOWN2,2,FALSE()),FALSE()),VLOOKUP(G733,NGPREVPRICES,3,FALSE()),HLOOKUP(D733,Correllate,VLOOKUP(G733,CorMove,2,FALSE()),FALSE()),Q733-$CD$3,R733,$CJ$5)*H733</f>
        <v>#NAME?</v>
      </c>
      <c r="CK735" s="254" t="n">
        <f aca="false">I733</f>
        <v>-0.375</v>
      </c>
      <c r="CM735" s="0" t="str">
        <f aca="false">CONCATENATE(CC735,$CD$6)</f>
        <v>36831Curve Shift/Gamma</v>
      </c>
      <c r="CN735" s="0" t="str">
        <f aca="false">CONCATENATE($CC735,$CE$6)</f>
        <v>36831Rho</v>
      </c>
      <c r="CO735" s="0" t="str">
        <f aca="false">CONCATENATE($CC735,$CF$6)</f>
        <v>36831Drift</v>
      </c>
      <c r="CP735" s="0" t="str">
        <f aca="false">CONCATENATE($CC735,$CG$6)</f>
        <v>36831Vega</v>
      </c>
      <c r="CQ735" s="0" t="str">
        <f aca="false">CONCATENATE($CC735,$CH$6)</f>
        <v>36831Theta</v>
      </c>
    </row>
    <row r="736" customFormat="false" ht="12.75" hidden="false" customHeight="false" outlineLevel="0" collapsed="false">
      <c r="A736" s="17" t="s">
        <v>275</v>
      </c>
      <c r="B736" s="0" t="s">
        <v>192</v>
      </c>
      <c r="C736" s="0" t="s">
        <v>439</v>
      </c>
      <c r="D736" s="7" t="s">
        <v>151</v>
      </c>
      <c r="E736" s="0" t="s">
        <v>131</v>
      </c>
      <c r="F736" s="0" t="s">
        <v>132</v>
      </c>
      <c r="G736" s="92" t="n">
        <v>36923</v>
      </c>
      <c r="H736" s="248" t="n">
        <v>560000</v>
      </c>
      <c r="I736" s="254" t="n">
        <v>-0.375</v>
      </c>
      <c r="J736" s="124" t="n">
        <f aca="false">VLOOKUP(G736,NGPrices,2,FALSE())</f>
        <v>4.48</v>
      </c>
      <c r="K736" s="125" t="n">
        <f aca="false">HLOOKUP(D736,Prices,VLOOKUP(G736,move_down,2,FALSE()),FALSE())+VLOOKUP(G736,CHANGE,HLOOKUP(D736,CHANGE,2,FALSE()),FALSE())</f>
        <v>-0.3875</v>
      </c>
      <c r="L736" s="124" t="n">
        <f aca="false">K736+J736</f>
        <v>4.0925</v>
      </c>
      <c r="M736" s="126" t="n">
        <f aca="false">VLOOKUP(G736,NGPrices,4,FALSE())</f>
        <v>0.068640161611372</v>
      </c>
      <c r="N736" s="7" t="n">
        <f aca="false">VLOOKUP(G736,NGPrices,3,FALSE())</f>
        <v>0.5925</v>
      </c>
      <c r="O736" s="7" t="n">
        <f aca="false">HLOOKUP(D736,VOLS,VLOOKUP(G736,move_down,2,FALSE()),FALSE())</f>
        <v>0.569</v>
      </c>
      <c r="P736" s="249" t="n">
        <f aca="false">HLOOKUP(D736,Correllate,VLOOKUP(G736,CorMove,2,FALSE()),FALSE())</f>
        <v>0.93</v>
      </c>
      <c r="Q736" s="92" t="n">
        <f aca="false">WORKDAY(G736,-2)</f>
        <v>36921</v>
      </c>
      <c r="R736" s="7" t="n">
        <f aca="false">IF(F736="P",0,1)</f>
        <v>0</v>
      </c>
      <c r="S736" s="130" t="e">
        <f aca="false">xSPRDOPT($L736,$J736,$I736,$M736,$O736,$N736,$P736,$Q736-$C$3,$R736,0)</f>
        <v>#NAME?</v>
      </c>
      <c r="T736" s="250" t="e">
        <f aca="false">xSPRDOPT($L736,$J736,$I736,$M736,$O736,$N736,$P736,$Q736-$C$3,$R736,1)*H736</f>
        <v>#NAME?</v>
      </c>
      <c r="U736" s="43" t="e">
        <f aca="false">S736*H736</f>
        <v>#NAME?</v>
      </c>
      <c r="V736" s="250" t="e">
        <f aca="false">xSPRDOPT($L736,$J736,$I736,$M736,$O736,$N736,$P736,$Q736-$C$3,$R736,2)*H736</f>
        <v>#NAME?</v>
      </c>
      <c r="W736" s="250" t="e">
        <f aca="false">+V736+T736</f>
        <v>#NAME?</v>
      </c>
      <c r="X736" s="2" t="str">
        <f aca="false">CONCATENATE(G736,D736)</f>
        <v>36923IF-NWPL_ROCKY_M</v>
      </c>
      <c r="Y736" s="251" t="n">
        <f aca="false">H736/10000</f>
        <v>56</v>
      </c>
      <c r="Z736" s="226" t="e">
        <f aca="false">T736/H736</f>
        <v>#NAME?</v>
      </c>
      <c r="AA736" s="226" t="e">
        <f aca="false">xSPRDOPT($L736,$J736,$I736,$M736,$O736,$N736,$P736,$Q736-$C$3,$R736,3)</f>
        <v>#NAME?</v>
      </c>
      <c r="AB736" s="226" t="e">
        <f aca="false">((xSPRDOPT($L736+AB$5,$J736,$I736,$M736,$O736,$N736,$P736,$Q736-$C$3,$R736,3)*$H736)/10000)/100</f>
        <v>#NAME?</v>
      </c>
      <c r="AC736" s="226" t="e">
        <f aca="false">((xSPRDOPT($L736+$AB$5,$J736,$I736,$M736,$O736,$N736,$P736,$Q736-$C$3,$R736,7)*$H736)/100)</f>
        <v>#NAME?</v>
      </c>
      <c r="AD736" s="226" t="e">
        <f aca="false">(xSPRDOPT($L736+$AB$5,$J736,$I736,$M736,$O736,$N736,$P736,$Q736-$C$3,$R736,9)/365)*$H736</f>
        <v>#NAME?</v>
      </c>
      <c r="AE736" s="0" t="e">
        <f aca="false">CD738</f>
        <v>#NAME?</v>
      </c>
      <c r="AF736" s="226" t="e">
        <f aca="false">((O736/N736)*AH736)+AG736</f>
        <v>#NAME?</v>
      </c>
      <c r="AG736" s="226" t="e">
        <f aca="false">((xSPRDOPT($L736,$J736,$I736,$M736,$O736,$N736,$P736,$Q736-$C$3,$R736,6)*$H736)/100)</f>
        <v>#NAME?</v>
      </c>
      <c r="AH736" s="226" t="e">
        <f aca="false">((xSPRDOPT($L736,$J736,$I736,$M736,$O736,$N736,$P736,$Q736-$C$3,$R736,5)*$H736)/100)</f>
        <v>#NAME?</v>
      </c>
      <c r="AI736" s="226" t="e">
        <f aca="false">(((xSPRDOPT($L736,$J736,$I736,$M736,$O736,$N736,$P736,$Q736-$C$3,$R736,4)*$H736)/10000)/100)-AB736</f>
        <v>#NAME?</v>
      </c>
      <c r="AJ736" s="226"/>
      <c r="CC736" s="182" t="n">
        <f aca="false">G734</f>
        <v>36861</v>
      </c>
      <c r="CD736" s="253" t="e">
        <f aca="false">xSPRDOPT((VLOOKUP(G734,NGPrices,2,FALSE())+HLOOKUP(D734,Prices,VLOOKUP(G734,move_down,2,FALSE()),FALSE())),VLOOKUP(G734,NGPrices,2,FALSE()),I734,VLOOKUP(G734,NGPREVPRICES,4,FALSE()),HLOOKUP(D734,PREVVOLS,VLOOKUP(G734,MOVE_DOWN2,2,FALSE()),FALSE()),VLOOKUP(G734,NGPREVPRICES,3,FALSE()),HLOOKUP(D734,Correllate,VLOOKUP(G734,CorMove,2,FALSE()),FALSE()),Q734-$CD$3,R734,$CD$5)*H734-CJ736</f>
        <v>#NAME?</v>
      </c>
      <c r="CE736" s="253" t="e">
        <f aca="false">xSPRDOPT((VLOOKUP(G734,NGPREVPRICES,2,FALSE())+HLOOKUP(D734,PREVCURVES,VLOOKUP(G734,MOVE_DOWN2,2,FALSE()),FALSE())),VLOOKUP(G734,NGPREVPRICES,2,FALSE()),CK736,VLOOKUP(G734,NGPrices,4,FALSE()),HLOOKUP(D734,PREVVOLS,VLOOKUP(G734,MOVE_DOWN2,2,FALSE()),FALSE()),VLOOKUP(G734,NGPREVPRICES,3,FALSE()),HLOOKUP(D734,Correllate,VLOOKUP(G734,CorMove,2,FALSE()),FALSE()),Q734-$CD$3,R734,$CJ$5)*H734-CJ736</f>
        <v>#NAME?</v>
      </c>
      <c r="CF736" s="132" t="e">
        <f aca="false">(CJ736/VLOOKUP(CC736,discount,3,FALSE()))-(CJ736/VLOOKUP(CC736,discount,2,FALSE()))</f>
        <v>#NAME?</v>
      </c>
      <c r="CG736" s="253" t="e">
        <f aca="false">xSPRDOPT((VLOOKUP(G734,NGPREVPRICES,2,FALSE())+HLOOKUP(D734,PREVCURVES,VLOOKUP(G734,MOVE_DOWN2,2,FALSE()),FALSE())),VLOOKUP(G734,NGPREVPRICES,2,FALSE()),CK736,VLOOKUP(G734,NGPREVPRICES,4,FALSE()),HLOOKUP(D734,VOLS,VLOOKUP(G734,move_down,2,FALSE()),FALSE()),VLOOKUP(G734,NGPrices,3,FALSE()),HLOOKUP(D734,Correllate,VLOOKUP(G734,CorMove,2,FALSE()),FALSE()),Q734-$CD$3,R734,$CJ$5)*H734-CJ736</f>
        <v>#NAME?</v>
      </c>
      <c r="CH736" s="253" t="e">
        <f aca="false">xSPRDOPT((VLOOKUP(G734,NGPREVPRICES,2,FALSE())+HLOOKUP(D734,PREVCURVES,VLOOKUP(G734,MOVE_DOWN2,2,FALSE()),FALSE())),VLOOKUP(G734,NGPREVPRICES,2,FALSE()),CK736,VLOOKUP(G734,NGPREVPRICES,4,FALSE()),HLOOKUP(D734,PREVVOLS,VLOOKUP(G734,MOVE_DOWN2,2,FALSE()),FALSE()),VLOOKUP(G734,NGPREVPRICES,3,FALSE()),HLOOKUP(D734,Correllate,VLOOKUP(G734,CorMove,2,FALSE()),FALSE()),Q734-$C$3,R734,$CJ$5)*H734-CJ736</f>
        <v>#NAME?</v>
      </c>
      <c r="CI736" s="253" t="e">
        <f aca="false">SUM(CD736:CH736)</f>
        <v>#NAME?</v>
      </c>
      <c r="CJ736" s="253" t="e">
        <f aca="false">xSPRDOPT((VLOOKUP(G734,NGPREVPRICES,2,FALSE())+HLOOKUP(D734,PREVCURVES,VLOOKUP(G734,MOVE_DOWN2,2,FALSE()),FALSE())),VLOOKUP(G734,NGPREVPRICES,2,FALSE()),CK736,VLOOKUP(G734,NGPREVPRICES,4,FALSE()),HLOOKUP(D734,PREVVOLS,VLOOKUP(G734,MOVE_DOWN2,2,FALSE()),FALSE()),VLOOKUP(G734,NGPREVPRICES,3,FALSE()),HLOOKUP(D734,Correllate,VLOOKUP(G734,CorMove,2,FALSE()),FALSE()),Q734-$CD$3,R734,$CJ$5)*H734</f>
        <v>#NAME?</v>
      </c>
      <c r="CK736" s="254" t="n">
        <f aca="false">I734</f>
        <v>-0.375</v>
      </c>
      <c r="CM736" s="0" t="str">
        <f aca="false">CONCATENATE(CC736,$CD$6)</f>
        <v>36861Curve Shift/Gamma</v>
      </c>
      <c r="CN736" s="0" t="str">
        <f aca="false">CONCATENATE($CC736,$CE$6)</f>
        <v>36861Rho</v>
      </c>
      <c r="CO736" s="0" t="str">
        <f aca="false">CONCATENATE($CC736,$CF$6)</f>
        <v>36861Drift</v>
      </c>
      <c r="CP736" s="0" t="str">
        <f aca="false">CONCATENATE($CC736,$CG$6)</f>
        <v>36861Vega</v>
      </c>
      <c r="CQ736" s="0" t="str">
        <f aca="false">CONCATENATE($CC736,$CH$6)</f>
        <v>36861Theta</v>
      </c>
    </row>
    <row r="737" customFormat="false" ht="12.75" hidden="false" customHeight="false" outlineLevel="0" collapsed="false">
      <c r="A737" s="17" t="s">
        <v>275</v>
      </c>
      <c r="B737" s="0" t="s">
        <v>192</v>
      </c>
      <c r="C737" s="0" t="s">
        <v>439</v>
      </c>
      <c r="D737" s="7" t="s">
        <v>151</v>
      </c>
      <c r="E737" s="0" t="s">
        <v>131</v>
      </c>
      <c r="F737" s="0" t="s">
        <v>132</v>
      </c>
      <c r="G737" s="92" t="n">
        <v>36951</v>
      </c>
      <c r="H737" s="248" t="n">
        <v>620000</v>
      </c>
      <c r="I737" s="254" t="n">
        <v>-0.375</v>
      </c>
      <c r="J737" s="124" t="n">
        <f aca="false">VLOOKUP(G737,NGPrices,2,FALSE())</f>
        <v>4.213</v>
      </c>
      <c r="K737" s="125" t="n">
        <f aca="false">HLOOKUP(D737,Prices,VLOOKUP(G737,move_down,2,FALSE()),FALSE())+VLOOKUP(G737,CHANGE,HLOOKUP(D737,CHANGE,2,FALSE()),FALSE())</f>
        <v>-0.3975</v>
      </c>
      <c r="L737" s="124" t="n">
        <f aca="false">K737+J737</f>
        <v>3.8155</v>
      </c>
      <c r="M737" s="126" t="n">
        <f aca="false">VLOOKUP(G737,NGPrices,4,FALSE())</f>
        <v>0.068879814952707</v>
      </c>
      <c r="N737" s="7" t="n">
        <f aca="false">VLOOKUP(G737,NGPrices,3,FALSE())</f>
        <v>0.5325</v>
      </c>
      <c r="O737" s="7" t="n">
        <f aca="false">HLOOKUP(D737,VOLS,VLOOKUP(G737,move_down,2,FALSE()),FALSE())</f>
        <v>0.511</v>
      </c>
      <c r="P737" s="249" t="n">
        <f aca="false">HLOOKUP(D737,Correllate,VLOOKUP(G737,CorMove,2,FALSE()),FALSE())</f>
        <v>0.93</v>
      </c>
      <c r="Q737" s="92" t="n">
        <f aca="false">WORKDAY(G737,-2)</f>
        <v>36949</v>
      </c>
      <c r="R737" s="7" t="n">
        <f aca="false">IF(F737="P",0,1)</f>
        <v>0</v>
      </c>
      <c r="S737" s="130" t="e">
        <f aca="false">xSPRDOPT($L737,$J737,$I737,$M737,$O737,$N737,$P737,$Q737-$C$3,$R737,0)</f>
        <v>#NAME?</v>
      </c>
      <c r="T737" s="250" t="e">
        <f aca="false">xSPRDOPT($L737,$J737,$I737,$M737,$O737,$N737,$P737,$Q737-$C$3,$R737,1)*H737</f>
        <v>#NAME?</v>
      </c>
      <c r="U737" s="43" t="e">
        <f aca="false">S737*H737</f>
        <v>#NAME?</v>
      </c>
      <c r="V737" s="250" t="e">
        <f aca="false">xSPRDOPT($L737,$J737,$I737,$M737,$O737,$N737,$P737,$Q737-$C$3,$R737,2)*H737</f>
        <v>#NAME?</v>
      </c>
      <c r="W737" s="250" t="e">
        <f aca="false">+V737+T737</f>
        <v>#NAME?</v>
      </c>
      <c r="X737" s="2" t="str">
        <f aca="false">CONCATENATE(G737,D737)</f>
        <v>36951IF-NWPL_ROCKY_M</v>
      </c>
      <c r="Y737" s="251" t="n">
        <f aca="false">H737/10000</f>
        <v>62</v>
      </c>
      <c r="Z737" s="226" t="e">
        <f aca="false">T737/H737</f>
        <v>#NAME?</v>
      </c>
      <c r="AA737" s="226" t="e">
        <f aca="false">xSPRDOPT($L737,$J737,$I737,$M737,$O737,$N737,$P737,$Q737-$C$3,$R737,3)</f>
        <v>#NAME?</v>
      </c>
      <c r="AB737" s="226" t="e">
        <f aca="false">((xSPRDOPT($L737+AB$5,$J737,$I737,$M737,$O737,$N737,$P737,$Q737-$C$3,$R737,3)*$H737)/10000)/100</f>
        <v>#NAME?</v>
      </c>
      <c r="AC737" s="226" t="e">
        <f aca="false">((xSPRDOPT($L737+$AB$5,$J737,$I737,$M737,$O737,$N737,$P737,$Q737-$C$3,$R737,7)*$H737)/100)</f>
        <v>#NAME?</v>
      </c>
      <c r="AD737" s="226" t="e">
        <f aca="false">(xSPRDOPT($L737+$AB$5,$J737,$I737,$M737,$O737,$N737,$P737,$Q737-$C$3,$R737,9)/365)*$H737</f>
        <v>#NAME?</v>
      </c>
      <c r="AE737" s="0" t="e">
        <f aca="false">CD739</f>
        <v>#NAME?</v>
      </c>
      <c r="AF737" s="226" t="e">
        <f aca="false">((O737/N737)*AH737)+AG737</f>
        <v>#NAME?</v>
      </c>
      <c r="AG737" s="226" t="e">
        <f aca="false">((xSPRDOPT($L737,$J737,$I737,$M737,$O737,$N737,$P737,$Q737-$C$3,$R737,6)*$H737)/100)</f>
        <v>#NAME?</v>
      </c>
      <c r="AH737" s="226" t="e">
        <f aca="false">((xSPRDOPT($L737,$J737,$I737,$M737,$O737,$N737,$P737,$Q737-$C$3,$R737,5)*$H737)/100)</f>
        <v>#NAME?</v>
      </c>
      <c r="AI737" s="226" t="e">
        <f aca="false">(((xSPRDOPT($L737,$J737,$I737,$M737,$O737,$N737,$P737,$Q737-$C$3,$R737,4)*$H737)/10000)/100)-AB737</f>
        <v>#NAME?</v>
      </c>
      <c r="AJ737" s="226"/>
      <c r="CC737" s="182" t="n">
        <f aca="false">G735</f>
        <v>36892</v>
      </c>
      <c r="CD737" s="253" t="e">
        <f aca="false">xSPRDOPT((VLOOKUP(G735,NGPrices,2,FALSE())+HLOOKUP(D735,Prices,VLOOKUP(G735,move_down,2,FALSE()),FALSE())),VLOOKUP(G735,NGPrices,2,FALSE()),I735,VLOOKUP(G735,NGPREVPRICES,4,FALSE()),HLOOKUP(D735,PREVVOLS,VLOOKUP(G735,MOVE_DOWN2,2,FALSE()),FALSE()),VLOOKUP(G735,NGPREVPRICES,3,FALSE()),HLOOKUP(D735,Correllate,VLOOKUP(G735,CorMove,2,FALSE()),FALSE()),Q735-$CD$3,R735,$CD$5)*H735-CJ737</f>
        <v>#NAME?</v>
      </c>
      <c r="CE737" s="253" t="e">
        <f aca="false">xSPRDOPT((VLOOKUP(G735,NGPREVPRICES,2,FALSE())+HLOOKUP(D735,PREVCURVES,VLOOKUP(G735,MOVE_DOWN2,2,FALSE()),FALSE())),VLOOKUP(G735,NGPREVPRICES,2,FALSE()),CK737,VLOOKUP(G735,NGPrices,4,FALSE()),HLOOKUP(D735,PREVVOLS,VLOOKUP(G735,MOVE_DOWN2,2,FALSE()),FALSE()),VLOOKUP(G735,NGPREVPRICES,3,FALSE()),HLOOKUP(D735,Correllate,VLOOKUP(G735,CorMove,2,FALSE()),FALSE()),Q735-$CD$3,R735,$CJ$5)*H735-CJ737</f>
        <v>#NAME?</v>
      </c>
      <c r="CF737" s="132" t="e">
        <f aca="false">(CJ737/VLOOKUP(CC737,discount,3,FALSE()))-(CJ737/VLOOKUP(CC737,discount,2,FALSE()))</f>
        <v>#NAME?</v>
      </c>
      <c r="CG737" s="253" t="e">
        <f aca="false">xSPRDOPT((VLOOKUP(G735,NGPREVPRICES,2,FALSE())+HLOOKUP(D735,PREVCURVES,VLOOKUP(G735,MOVE_DOWN2,2,FALSE()),FALSE())),VLOOKUP(G735,NGPREVPRICES,2,FALSE()),CK737,VLOOKUP(G735,NGPREVPRICES,4,FALSE()),HLOOKUP(D735,VOLS,VLOOKUP(G735,move_down,2,FALSE()),FALSE()),VLOOKUP(G735,NGPrices,3,FALSE()),HLOOKUP(D735,Correllate,VLOOKUP(G735,CorMove,2,FALSE()),FALSE()),Q735-$CD$3,R735,$CJ$5)*H735-CJ737</f>
        <v>#NAME?</v>
      </c>
      <c r="CH737" s="253" t="e">
        <f aca="false">xSPRDOPT((VLOOKUP(G735,NGPREVPRICES,2,FALSE())+HLOOKUP(D735,PREVCURVES,VLOOKUP(G735,MOVE_DOWN2,2,FALSE()),FALSE())),VLOOKUP(G735,NGPREVPRICES,2,FALSE()),CK737,VLOOKUP(G735,NGPREVPRICES,4,FALSE()),HLOOKUP(D735,PREVVOLS,VLOOKUP(G735,MOVE_DOWN2,2,FALSE()),FALSE()),VLOOKUP(G735,NGPREVPRICES,3,FALSE()),HLOOKUP(D735,Correllate,VLOOKUP(G735,CorMove,2,FALSE()),FALSE()),Q735-$C$3,R735,$CJ$5)*H735-CJ737</f>
        <v>#NAME?</v>
      </c>
      <c r="CI737" s="253" t="e">
        <f aca="false">SUM(CD737:CH737)</f>
        <v>#NAME?</v>
      </c>
      <c r="CJ737" s="253" t="e">
        <f aca="false">xSPRDOPT((VLOOKUP(G735,NGPREVPRICES,2,FALSE())+HLOOKUP(D735,PREVCURVES,VLOOKUP(G735,MOVE_DOWN2,2,FALSE()),FALSE())),VLOOKUP(G735,NGPREVPRICES,2,FALSE()),CK737,VLOOKUP(G735,NGPREVPRICES,4,FALSE()),HLOOKUP(D735,PREVVOLS,VLOOKUP(G735,MOVE_DOWN2,2,FALSE()),FALSE()),VLOOKUP(G735,NGPREVPRICES,3,FALSE()),HLOOKUP(D735,Correllate,VLOOKUP(G735,CorMove,2,FALSE()),FALSE()),Q735-$CD$3,R735,$CJ$5)*H735</f>
        <v>#NAME?</v>
      </c>
      <c r="CK737" s="254" t="n">
        <f aca="false">I735</f>
        <v>-0.375</v>
      </c>
      <c r="CM737" s="0" t="str">
        <f aca="false">CONCATENATE(CC737,$CD$6)</f>
        <v>36892Curve Shift/Gamma</v>
      </c>
      <c r="CN737" s="0" t="str">
        <f aca="false">CONCATENATE($CC737,$CE$6)</f>
        <v>36892Rho</v>
      </c>
      <c r="CO737" s="0" t="str">
        <f aca="false">CONCATENATE($CC737,$CF$6)</f>
        <v>36892Drift</v>
      </c>
      <c r="CP737" s="0" t="str">
        <f aca="false">CONCATENATE($CC737,$CG$6)</f>
        <v>36892Vega</v>
      </c>
      <c r="CQ737" s="0" t="str">
        <f aca="false">CONCATENATE($CC737,$CH$6)</f>
        <v>36892Theta</v>
      </c>
    </row>
    <row r="738" customFormat="false" ht="12.75" hidden="false" customHeight="false" outlineLevel="0" collapsed="false">
      <c r="A738" s="17" t="s">
        <v>255</v>
      </c>
      <c r="B738" s="0" t="s">
        <v>192</v>
      </c>
      <c r="C738" s="0" t="s">
        <v>440</v>
      </c>
      <c r="D738" s="7" t="s">
        <v>152</v>
      </c>
      <c r="E738" s="0" t="s">
        <v>131</v>
      </c>
      <c r="F738" s="0" t="s">
        <v>136</v>
      </c>
      <c r="G738" s="92" t="n">
        <v>36892</v>
      </c>
      <c r="H738" s="248" t="n">
        <v>-1000000</v>
      </c>
      <c r="I738" s="254" t="n">
        <v>0.2</v>
      </c>
      <c r="J738" s="124" t="n">
        <f aca="false">VLOOKUP(G738,NGPrices,2,FALSE())</f>
        <v>4.744</v>
      </c>
      <c r="K738" s="125" t="n">
        <f aca="false">HLOOKUP(D738,Prices,VLOOKUP(G738,move_down,2,FALSE()),FALSE())+VLOOKUP(G738,CHANGE,HLOOKUP(D738,CHANGE,2,FALSE()),FALSE())</f>
        <v>0.1275</v>
      </c>
      <c r="L738" s="124" t="n">
        <f aca="false">K738+J738</f>
        <v>4.8715</v>
      </c>
      <c r="M738" s="126" t="n">
        <f aca="false">VLOOKUP(G738,NGPrices,4,FALSE())</f>
        <v>0.068374831148491</v>
      </c>
      <c r="N738" s="7" t="n">
        <f aca="false">VLOOKUP(G738,NGPrices,3,FALSE())</f>
        <v>0.605</v>
      </c>
      <c r="O738" s="7" t="n">
        <f aca="false">HLOOKUP(D738,VOLS,VLOOKUP(G738,move_down,2,FALSE()),FALSE())</f>
        <v>0.605</v>
      </c>
      <c r="P738" s="249" t="n">
        <f aca="false">HLOOKUP(D738,Correllate,VLOOKUP(G738,CorMove,2,FALSE()),FALSE())</f>
        <v>0.997</v>
      </c>
      <c r="Q738" s="92" t="n">
        <f aca="false">WORKDAY(G738,-2)</f>
        <v>36888</v>
      </c>
      <c r="R738" s="7" t="n">
        <f aca="false">IF(F738="P",0,1)</f>
        <v>1</v>
      </c>
      <c r="S738" s="130" t="e">
        <f aca="false">xSPRDOPT($L738,$J738,$I738,$M738,$O738,$N738,$P738,$Q738-$C$3,$R738,0)</f>
        <v>#NAME?</v>
      </c>
      <c r="T738" s="250" t="e">
        <f aca="false">xSPRDOPT($L738,$J738,$I738,$M738,$O738,$N738,$P738,$Q738-$C$3,$R738,1)*H738</f>
        <v>#NAME?</v>
      </c>
      <c r="U738" s="43" t="e">
        <f aca="false">S738*H738</f>
        <v>#NAME?</v>
      </c>
      <c r="V738" s="250" t="e">
        <f aca="false">xSPRDOPT($L738,$J738,$I738,$M738,$O738,$N738,$P738,$Q738-$C$3,$R738,2)*H738</f>
        <v>#NAME?</v>
      </c>
      <c r="W738" s="250" t="e">
        <f aca="false">+V738+T738</f>
        <v>#NAME?</v>
      </c>
      <c r="X738" s="2" t="str">
        <f aca="false">CONCATENATE(G738,D738)</f>
        <v>36892NGI/CHI. GATE</v>
      </c>
      <c r="Y738" s="251" t="n">
        <f aca="false">H738/10000</f>
        <v>-100</v>
      </c>
      <c r="Z738" s="226" t="e">
        <f aca="false">T738/H738</f>
        <v>#NAME?</v>
      </c>
      <c r="AA738" s="226" t="e">
        <f aca="false">xSPRDOPT($L738,$J738,$I738,$M738,$O738,$N738,$P738,$Q738-$C$3,$R738,3)</f>
        <v>#NAME?</v>
      </c>
      <c r="AB738" s="226" t="e">
        <f aca="false">((xSPRDOPT($L738+AB$5,$J738,$I738,$M738,$O738,$N738,$P738,$Q738-$C$3,$R738,3)*$H738)/10000)/100</f>
        <v>#NAME?</v>
      </c>
      <c r="AC738" s="226" t="e">
        <f aca="false">((xSPRDOPT($L738+$AB$5,$J738,$I738,$M738,$O738,$N738,$P738,$Q738-$C$3,$R738,7)*$H738)/100)</f>
        <v>#NAME?</v>
      </c>
      <c r="AD738" s="226" t="e">
        <f aca="false">(xSPRDOPT($L738+$AB$5,$J738,$I738,$M738,$O738,$N738,$P738,$Q738-$C$3,$R738,9)/365)*$H738</f>
        <v>#NAME?</v>
      </c>
      <c r="AE738" s="0" t="e">
        <f aca="false">CD740</f>
        <v>#NAME?</v>
      </c>
      <c r="AF738" s="226" t="e">
        <f aca="false">((O738/N738)*AH738)+AG738</f>
        <v>#NAME?</v>
      </c>
      <c r="AG738" s="226" t="e">
        <f aca="false">((xSPRDOPT($L738,$J738,$I738,$M738,$O738,$N738,$P738,$Q738-$C$3,$R738,6)*$H738)/100)</f>
        <v>#NAME?</v>
      </c>
      <c r="AH738" s="226" t="e">
        <f aca="false">((xSPRDOPT($L738,$J738,$I738,$M738,$O738,$N738,$P738,$Q738-$C$3,$R738,5)*$H738)/100)</f>
        <v>#NAME?</v>
      </c>
      <c r="AI738" s="226" t="e">
        <f aca="false">(((xSPRDOPT($L738,$J738,$I738,$M738,$O738,$N738,$P738,$Q738-$C$3,$R738,4)*$H738)/10000)/100)-AB738</f>
        <v>#NAME?</v>
      </c>
      <c r="AJ738" s="226"/>
      <c r="CC738" s="182" t="n">
        <f aca="false">G736</f>
        <v>36923</v>
      </c>
      <c r="CD738" s="253" t="e">
        <f aca="false">xSPRDOPT((VLOOKUP(G736,NGPrices,2,FALSE())+HLOOKUP(D736,Prices,VLOOKUP(G736,move_down,2,FALSE()),FALSE())),VLOOKUP(G736,NGPrices,2,FALSE()),I736,VLOOKUP(G736,NGPREVPRICES,4,FALSE()),HLOOKUP(D736,PREVVOLS,VLOOKUP(G736,MOVE_DOWN2,2,FALSE()),FALSE()),VLOOKUP(G736,NGPREVPRICES,3,FALSE()),HLOOKUP(D736,Correllate,VLOOKUP(G736,CorMove,2,FALSE()),FALSE()),Q736-$CD$3,R736,$CD$5)*H736-CJ738</f>
        <v>#NAME?</v>
      </c>
      <c r="CE738" s="253" t="e">
        <f aca="false">xSPRDOPT((VLOOKUP(G736,NGPREVPRICES,2,FALSE())+HLOOKUP(D736,PREVCURVES,VLOOKUP(G736,MOVE_DOWN2,2,FALSE()),FALSE())),VLOOKUP(G736,NGPREVPRICES,2,FALSE()),CK738,VLOOKUP(G736,NGPrices,4,FALSE()),HLOOKUP(D736,PREVVOLS,VLOOKUP(G736,MOVE_DOWN2,2,FALSE()),FALSE()),VLOOKUP(G736,NGPREVPRICES,3,FALSE()),HLOOKUP(D736,Correllate,VLOOKUP(G736,CorMove,2,FALSE()),FALSE()),Q736-$CD$3,R736,$CJ$5)*H736-CJ738</f>
        <v>#NAME?</v>
      </c>
      <c r="CF738" s="132" t="e">
        <f aca="false">(CJ738/VLOOKUP(CC738,discount,3,FALSE()))-(CJ738/VLOOKUP(CC738,discount,2,FALSE()))</f>
        <v>#NAME?</v>
      </c>
      <c r="CG738" s="253" t="e">
        <f aca="false">xSPRDOPT((VLOOKUP(G736,NGPREVPRICES,2,FALSE())+HLOOKUP(D736,PREVCURVES,VLOOKUP(G736,MOVE_DOWN2,2,FALSE()),FALSE())),VLOOKUP(G736,NGPREVPRICES,2,FALSE()),CK738,VLOOKUP(G736,NGPREVPRICES,4,FALSE()),HLOOKUP(D736,VOLS,VLOOKUP(G736,move_down,2,FALSE()),FALSE()),VLOOKUP(G736,NGPrices,3,FALSE()),HLOOKUP(D736,Correllate,VLOOKUP(G736,CorMove,2,FALSE()),FALSE()),Q736-$CD$3,R736,$CJ$5)*H736-CJ738</f>
        <v>#NAME?</v>
      </c>
      <c r="CH738" s="253" t="e">
        <f aca="false">xSPRDOPT((VLOOKUP(G736,NGPREVPRICES,2,FALSE())+HLOOKUP(D736,PREVCURVES,VLOOKUP(G736,MOVE_DOWN2,2,FALSE()),FALSE())),VLOOKUP(G736,NGPREVPRICES,2,FALSE()),CK738,VLOOKUP(G736,NGPREVPRICES,4,FALSE()),HLOOKUP(D736,PREVVOLS,VLOOKUP(G736,MOVE_DOWN2,2,FALSE()),FALSE()),VLOOKUP(G736,NGPREVPRICES,3,FALSE()),HLOOKUP(D736,Correllate,VLOOKUP(G736,CorMove,2,FALSE()),FALSE()),Q736-$C$3,R736,$CJ$5)*H736-CJ738</f>
        <v>#NAME?</v>
      </c>
      <c r="CI738" s="253" t="e">
        <f aca="false">SUM(CD738:CH738)</f>
        <v>#NAME?</v>
      </c>
      <c r="CJ738" s="253" t="e">
        <f aca="false">xSPRDOPT((VLOOKUP(G736,NGPREVPRICES,2,FALSE())+HLOOKUP(D736,PREVCURVES,VLOOKUP(G736,MOVE_DOWN2,2,FALSE()),FALSE())),VLOOKUP(G736,NGPREVPRICES,2,FALSE()),CK738,VLOOKUP(G736,NGPREVPRICES,4,FALSE()),HLOOKUP(D736,PREVVOLS,VLOOKUP(G736,MOVE_DOWN2,2,FALSE()),FALSE()),VLOOKUP(G736,NGPREVPRICES,3,FALSE()),HLOOKUP(D736,Correllate,VLOOKUP(G736,CorMove,2,FALSE()),FALSE()),Q736-$CD$3,R736,$CJ$5)*H736</f>
        <v>#NAME?</v>
      </c>
      <c r="CK738" s="254" t="n">
        <f aca="false">I736</f>
        <v>-0.375</v>
      </c>
      <c r="CM738" s="0" t="str">
        <f aca="false">CONCATENATE(CC738,$CD$6)</f>
        <v>36923Curve Shift/Gamma</v>
      </c>
      <c r="CN738" s="0" t="str">
        <f aca="false">CONCATENATE($CC738,$CE$6)</f>
        <v>36923Rho</v>
      </c>
      <c r="CO738" s="0" t="str">
        <f aca="false">CONCATENATE($CC738,$CF$6)</f>
        <v>36923Drift</v>
      </c>
      <c r="CP738" s="0" t="str">
        <f aca="false">CONCATENATE($CC738,$CG$6)</f>
        <v>36923Vega</v>
      </c>
      <c r="CQ738" s="0" t="str">
        <f aca="false">CONCATENATE($CC738,$CH$6)</f>
        <v>36923Theta</v>
      </c>
    </row>
    <row r="739" customFormat="false" ht="12.75" hidden="false" customHeight="false" outlineLevel="0" collapsed="false">
      <c r="A739" s="17" t="s">
        <v>255</v>
      </c>
      <c r="B739" s="0" t="s">
        <v>192</v>
      </c>
      <c r="C739" s="0" t="s">
        <v>440</v>
      </c>
      <c r="D739" s="7" t="s">
        <v>152</v>
      </c>
      <c r="E739" s="0" t="s">
        <v>131</v>
      </c>
      <c r="F739" s="0" t="s">
        <v>136</v>
      </c>
      <c r="G739" s="92" t="n">
        <v>36923</v>
      </c>
      <c r="H739" s="248" t="n">
        <v>-1000000</v>
      </c>
      <c r="I739" s="254" t="n">
        <v>0.2</v>
      </c>
      <c r="J739" s="124" t="n">
        <f aca="false">VLOOKUP(G739,NGPrices,2,FALSE())</f>
        <v>4.48</v>
      </c>
      <c r="K739" s="125" t="n">
        <f aca="false">HLOOKUP(D739,Prices,VLOOKUP(G739,move_down,2,FALSE()),FALSE())+VLOOKUP(G739,CHANGE,HLOOKUP(D739,CHANGE,2,FALSE()),FALSE())</f>
        <v>0.1375</v>
      </c>
      <c r="L739" s="124" t="n">
        <f aca="false">K739+J739</f>
        <v>4.6175</v>
      </c>
      <c r="M739" s="126" t="n">
        <f aca="false">VLOOKUP(G739,NGPrices,4,FALSE())</f>
        <v>0.068640161611372</v>
      </c>
      <c r="N739" s="7" t="n">
        <f aca="false">VLOOKUP(G739,NGPrices,3,FALSE())</f>
        <v>0.5925</v>
      </c>
      <c r="O739" s="7" t="n">
        <f aca="false">HLOOKUP(D739,VOLS,VLOOKUP(G739,move_down,2,FALSE()),FALSE())</f>
        <v>0.593</v>
      </c>
      <c r="P739" s="249" t="n">
        <f aca="false">HLOOKUP(D739,Correllate,VLOOKUP(G739,CorMove,2,FALSE()),FALSE())</f>
        <v>0.997</v>
      </c>
      <c r="Q739" s="92" t="n">
        <f aca="false">WORKDAY(G739,-2)</f>
        <v>36921</v>
      </c>
      <c r="R739" s="7" t="n">
        <f aca="false">IF(F739="P",0,1)</f>
        <v>1</v>
      </c>
      <c r="S739" s="130" t="e">
        <f aca="false">xSPRDOPT($L739,$J739,$I739,$M739,$O739,$N739,$P739,$Q739-$C$3,$R739,0)</f>
        <v>#NAME?</v>
      </c>
      <c r="T739" s="250" t="e">
        <f aca="false">xSPRDOPT($L739,$J739,$I739,$M739,$O739,$N739,$P739,$Q739-$C$3,$R739,1)*H739</f>
        <v>#NAME?</v>
      </c>
      <c r="U739" s="43" t="e">
        <f aca="false">S739*H739</f>
        <v>#NAME?</v>
      </c>
      <c r="V739" s="250" t="e">
        <f aca="false">xSPRDOPT($L739,$J739,$I739,$M739,$O739,$N739,$P739,$Q739-$C$3,$R739,2)*H739</f>
        <v>#NAME?</v>
      </c>
      <c r="W739" s="250" t="e">
        <f aca="false">+V739+T739</f>
        <v>#NAME?</v>
      </c>
      <c r="X739" s="2" t="str">
        <f aca="false">CONCATENATE(G739,D739)</f>
        <v>36923NGI/CHI. GATE</v>
      </c>
      <c r="Y739" s="251" t="n">
        <f aca="false">H739/10000</f>
        <v>-100</v>
      </c>
      <c r="Z739" s="226" t="e">
        <f aca="false">T739/H739</f>
        <v>#NAME?</v>
      </c>
      <c r="AA739" s="226" t="e">
        <f aca="false">xSPRDOPT($L739,$J739,$I739,$M739,$O739,$N739,$P739,$Q739-$C$3,$R739,3)</f>
        <v>#NAME?</v>
      </c>
      <c r="AB739" s="226" t="e">
        <f aca="false">((xSPRDOPT($L739+AB$5,$J739,$I739,$M739,$O739,$N739,$P739,$Q739-$C$3,$R739,3)*$H739)/10000)/100</f>
        <v>#NAME?</v>
      </c>
      <c r="AC739" s="226" t="e">
        <f aca="false">((xSPRDOPT($L739+$AB$5,$J739,$I739,$M739,$O739,$N739,$P739,$Q739-$C$3,$R739,7)*$H739)/100)</f>
        <v>#NAME?</v>
      </c>
      <c r="AD739" s="226" t="e">
        <f aca="false">(xSPRDOPT($L739+$AB$5,$J739,$I739,$M739,$O739,$N739,$P739,$Q739-$C$3,$R739,9)/365)*$H739</f>
        <v>#NAME?</v>
      </c>
      <c r="AE739" s="0" t="e">
        <f aca="false">CD741</f>
        <v>#NAME?</v>
      </c>
      <c r="AF739" s="226" t="e">
        <f aca="false">((O739/N739)*AH739)+AG739</f>
        <v>#NAME?</v>
      </c>
      <c r="AG739" s="226" t="e">
        <f aca="false">((xSPRDOPT($L739,$J739,$I739,$M739,$O739,$N739,$P739,$Q739-$C$3,$R739,6)*$H739)/100)</f>
        <v>#NAME?</v>
      </c>
      <c r="AH739" s="226" t="e">
        <f aca="false">((xSPRDOPT($L739,$J739,$I739,$M739,$O739,$N739,$P739,$Q739-$C$3,$R739,5)*$H739)/100)</f>
        <v>#NAME?</v>
      </c>
      <c r="AI739" s="226" t="e">
        <f aca="false">(((xSPRDOPT($L739,$J739,$I739,$M739,$O739,$N739,$P739,$Q739-$C$3,$R739,4)*$H739)/10000)/100)-AB739</f>
        <v>#NAME?</v>
      </c>
      <c r="AJ739" s="226"/>
      <c r="CC739" s="182" t="n">
        <f aca="false">G737</f>
        <v>36951</v>
      </c>
      <c r="CD739" s="253" t="e">
        <f aca="false">xSPRDOPT((VLOOKUP(G737,NGPrices,2,FALSE())+HLOOKUP(D737,Prices,VLOOKUP(G737,move_down,2,FALSE()),FALSE())),VLOOKUP(G737,NGPrices,2,FALSE()),I737,VLOOKUP(G737,NGPREVPRICES,4,FALSE()),HLOOKUP(D737,PREVVOLS,VLOOKUP(G737,MOVE_DOWN2,2,FALSE()),FALSE()),VLOOKUP(G737,NGPREVPRICES,3,FALSE()),HLOOKUP(D737,Correllate,VLOOKUP(G737,CorMove,2,FALSE()),FALSE()),Q737-$CD$3,R737,$CD$5)*H737-CJ739</f>
        <v>#NAME?</v>
      </c>
      <c r="CE739" s="253" t="e">
        <f aca="false">xSPRDOPT((VLOOKUP(G737,NGPREVPRICES,2,FALSE())+HLOOKUP(D737,PREVCURVES,VLOOKUP(G737,MOVE_DOWN2,2,FALSE()),FALSE())),VLOOKUP(G737,NGPREVPRICES,2,FALSE()),CK739,VLOOKUP(G737,NGPrices,4,FALSE()),HLOOKUP(D737,PREVVOLS,VLOOKUP(G737,MOVE_DOWN2,2,FALSE()),FALSE()),VLOOKUP(G737,NGPREVPRICES,3,FALSE()),HLOOKUP(D737,Correllate,VLOOKUP(G737,CorMove,2,FALSE()),FALSE()),Q737-$CD$3,R737,$CJ$5)*H737-CJ739</f>
        <v>#NAME?</v>
      </c>
      <c r="CF739" s="132" t="e">
        <f aca="false">(CJ739/VLOOKUP(CC739,discount,3,FALSE()))-(CJ739/VLOOKUP(CC739,discount,2,FALSE()))</f>
        <v>#NAME?</v>
      </c>
      <c r="CG739" s="253" t="e">
        <f aca="false">xSPRDOPT((VLOOKUP(G737,NGPREVPRICES,2,FALSE())+HLOOKUP(D737,PREVCURVES,VLOOKUP(G737,MOVE_DOWN2,2,FALSE()),FALSE())),VLOOKUP(G737,NGPREVPRICES,2,FALSE()),CK739,VLOOKUP(G737,NGPREVPRICES,4,FALSE()),HLOOKUP(D737,VOLS,VLOOKUP(G737,move_down,2,FALSE()),FALSE()),VLOOKUP(G737,NGPrices,3,FALSE()),HLOOKUP(D737,Correllate,VLOOKUP(G737,CorMove,2,FALSE()),FALSE()),Q737-$CD$3,R737,$CJ$5)*H737-CJ739</f>
        <v>#NAME?</v>
      </c>
      <c r="CH739" s="253" t="e">
        <f aca="false">xSPRDOPT((VLOOKUP(G737,NGPREVPRICES,2,FALSE())+HLOOKUP(D737,PREVCURVES,VLOOKUP(G737,MOVE_DOWN2,2,FALSE()),FALSE())),VLOOKUP(G737,NGPREVPRICES,2,FALSE()),CK739,VLOOKUP(G737,NGPREVPRICES,4,FALSE()),HLOOKUP(D737,PREVVOLS,VLOOKUP(G737,MOVE_DOWN2,2,FALSE()),FALSE()),VLOOKUP(G737,NGPREVPRICES,3,FALSE()),HLOOKUP(D737,Correllate,VLOOKUP(G737,CorMove,2,FALSE()),FALSE()),Q737-$C$3,R737,$CJ$5)*H737-CJ739</f>
        <v>#NAME?</v>
      </c>
      <c r="CI739" s="253" t="e">
        <f aca="false">SUM(CD739:CH739)</f>
        <v>#NAME?</v>
      </c>
      <c r="CJ739" s="253" t="e">
        <f aca="false">xSPRDOPT((VLOOKUP(G737,NGPREVPRICES,2,FALSE())+HLOOKUP(D737,PREVCURVES,VLOOKUP(G737,MOVE_DOWN2,2,FALSE()),FALSE())),VLOOKUP(G737,NGPREVPRICES,2,FALSE()),CK739,VLOOKUP(G737,NGPREVPRICES,4,FALSE()),HLOOKUP(D737,PREVVOLS,VLOOKUP(G737,MOVE_DOWN2,2,FALSE()),FALSE()),VLOOKUP(G737,NGPREVPRICES,3,FALSE()),HLOOKUP(D737,Correllate,VLOOKUP(G737,CorMove,2,FALSE()),FALSE()),Q737-$CD$3,R737,$CJ$5)*H737</f>
        <v>#NAME?</v>
      </c>
      <c r="CK739" s="254" t="n">
        <f aca="false">I737</f>
        <v>-0.375</v>
      </c>
      <c r="CM739" s="0" t="str">
        <f aca="false">CONCATENATE(CC739,$CD$6)</f>
        <v>36951Curve Shift/Gamma</v>
      </c>
      <c r="CN739" s="0" t="str">
        <f aca="false">CONCATENATE($CC739,$CE$6)</f>
        <v>36951Rho</v>
      </c>
      <c r="CO739" s="0" t="str">
        <f aca="false">CONCATENATE($CC739,$CF$6)</f>
        <v>36951Drift</v>
      </c>
      <c r="CP739" s="0" t="str">
        <f aca="false">CONCATENATE($CC739,$CG$6)</f>
        <v>36951Vega</v>
      </c>
      <c r="CQ739" s="0" t="str">
        <f aca="false">CONCATENATE($CC739,$CH$6)</f>
        <v>36951Theta</v>
      </c>
    </row>
    <row r="740" customFormat="false" ht="12.75" hidden="false" customHeight="false" outlineLevel="0" collapsed="false">
      <c r="A740" s="17" t="s">
        <v>255</v>
      </c>
      <c r="B740" s="0" t="s">
        <v>192</v>
      </c>
      <c r="C740" s="0" t="s">
        <v>440</v>
      </c>
      <c r="D740" s="7" t="s">
        <v>152</v>
      </c>
      <c r="E740" s="0" t="s">
        <v>131</v>
      </c>
      <c r="F740" s="0" t="s">
        <v>136</v>
      </c>
      <c r="G740" s="92" t="n">
        <v>36951</v>
      </c>
      <c r="H740" s="248" t="n">
        <v>-1000000</v>
      </c>
      <c r="I740" s="254" t="n">
        <v>0.2</v>
      </c>
      <c r="J740" s="124" t="n">
        <f aca="false">VLOOKUP(G740,NGPrices,2,FALSE())</f>
        <v>4.213</v>
      </c>
      <c r="K740" s="125" t="n">
        <f aca="false">HLOOKUP(D740,Prices,VLOOKUP(G740,move_down,2,FALSE()),FALSE())+VLOOKUP(G740,CHANGE,HLOOKUP(D740,CHANGE,2,FALSE()),FALSE())</f>
        <v>0.1225</v>
      </c>
      <c r="L740" s="124" t="n">
        <f aca="false">K740+J740</f>
        <v>4.3355</v>
      </c>
      <c r="M740" s="126" t="n">
        <f aca="false">VLOOKUP(G740,NGPrices,4,FALSE())</f>
        <v>0.068879814952707</v>
      </c>
      <c r="N740" s="7" t="n">
        <f aca="false">VLOOKUP(G740,NGPrices,3,FALSE())</f>
        <v>0.5325</v>
      </c>
      <c r="O740" s="7" t="n">
        <f aca="false">HLOOKUP(D740,VOLS,VLOOKUP(G740,move_down,2,FALSE()),FALSE())</f>
        <v>0.533</v>
      </c>
      <c r="P740" s="249" t="n">
        <f aca="false">HLOOKUP(D740,Correllate,VLOOKUP(G740,CorMove,2,FALSE()),FALSE())</f>
        <v>0.997</v>
      </c>
      <c r="Q740" s="92" t="n">
        <f aca="false">WORKDAY(G740,-2)</f>
        <v>36949</v>
      </c>
      <c r="R740" s="7" t="n">
        <f aca="false">IF(F740="P",0,1)</f>
        <v>1</v>
      </c>
      <c r="S740" s="130" t="e">
        <f aca="false">xSPRDOPT($L740,$J740,$I740,$M740,$O740,$N740,$P740,$Q740-$C$3,$R740,0)</f>
        <v>#NAME?</v>
      </c>
      <c r="T740" s="250" t="e">
        <f aca="false">xSPRDOPT($L740,$J740,$I740,$M740,$O740,$N740,$P740,$Q740-$C$3,$R740,1)*H740</f>
        <v>#NAME?</v>
      </c>
      <c r="U740" s="43" t="e">
        <f aca="false">S740*H740</f>
        <v>#NAME?</v>
      </c>
      <c r="V740" s="250" t="e">
        <f aca="false">xSPRDOPT($L740,$J740,$I740,$M740,$O740,$N740,$P740,$Q740-$C$3,$R740,2)*H740</f>
        <v>#NAME?</v>
      </c>
      <c r="W740" s="250" t="e">
        <f aca="false">+V740+T740</f>
        <v>#NAME?</v>
      </c>
      <c r="X740" s="2" t="str">
        <f aca="false">CONCATENATE(G740,D740)</f>
        <v>36951NGI/CHI. GATE</v>
      </c>
      <c r="Y740" s="251" t="n">
        <f aca="false">H740/10000</f>
        <v>-100</v>
      </c>
      <c r="Z740" s="226" t="e">
        <f aca="false">T740/H740</f>
        <v>#NAME?</v>
      </c>
      <c r="AA740" s="226" t="e">
        <f aca="false">xSPRDOPT($L740,$J740,$I740,$M740,$O740,$N740,$P740,$Q740-$C$3,$R740,3)</f>
        <v>#NAME?</v>
      </c>
      <c r="AB740" s="226" t="e">
        <f aca="false">((xSPRDOPT($L740+AB$5,$J740,$I740,$M740,$O740,$N740,$P740,$Q740-$C$3,$R740,3)*$H740)/10000)/100</f>
        <v>#NAME?</v>
      </c>
      <c r="AC740" s="226" t="e">
        <f aca="false">((xSPRDOPT($L740+$AB$5,$J740,$I740,$M740,$O740,$N740,$P740,$Q740-$C$3,$R740,7)*$H740)/100)</f>
        <v>#NAME?</v>
      </c>
      <c r="AD740" s="226" t="e">
        <f aca="false">(xSPRDOPT($L740+$AB$5,$J740,$I740,$M740,$O740,$N740,$P740,$Q740-$C$3,$R740,9)/365)*$H740</f>
        <v>#NAME?</v>
      </c>
      <c r="AE740" s="0" t="e">
        <f aca="false">CD742</f>
        <v>#NAME?</v>
      </c>
      <c r="AF740" s="226" t="e">
        <f aca="false">((O740/N740)*AH740)+AG740</f>
        <v>#NAME?</v>
      </c>
      <c r="AG740" s="226" t="e">
        <f aca="false">((xSPRDOPT($L740,$J740,$I740,$M740,$O740,$N740,$P740,$Q740-$C$3,$R740,6)*$H740)/100)</f>
        <v>#NAME?</v>
      </c>
      <c r="AH740" s="226" t="e">
        <f aca="false">((xSPRDOPT($L740,$J740,$I740,$M740,$O740,$N740,$P740,$Q740-$C$3,$R740,5)*$H740)/100)</f>
        <v>#NAME?</v>
      </c>
      <c r="AI740" s="226" t="e">
        <f aca="false">(((xSPRDOPT($L740,$J740,$I740,$M740,$O740,$N740,$P740,$Q740-$C$3,$R740,4)*$H740)/10000)/100)-AB740</f>
        <v>#NAME?</v>
      </c>
      <c r="AJ740" s="226"/>
      <c r="CC740" s="182" t="n">
        <f aca="false">G738</f>
        <v>36892</v>
      </c>
      <c r="CD740" s="253" t="e">
        <f aca="false">xSPRDOPT((VLOOKUP(G738,NGPrices,2,FALSE())+HLOOKUP(D738,Prices,VLOOKUP(G738,move_down,2,FALSE()),FALSE())),VLOOKUP(G738,NGPrices,2,FALSE()),I738,VLOOKUP(G738,NGPREVPRICES,4,FALSE()),HLOOKUP(D738,PREVVOLS,VLOOKUP(G738,MOVE_DOWN2,2,FALSE()),FALSE()),VLOOKUP(G738,NGPREVPRICES,3,FALSE()),HLOOKUP(D738,Correllate,VLOOKUP(G738,CorMove,2,FALSE()),FALSE()),Q738-$CD$3,R738,$CD$5)*H738-CJ740</f>
        <v>#NAME?</v>
      </c>
      <c r="CE740" s="253" t="e">
        <f aca="false">xSPRDOPT((VLOOKUP(G738,NGPREVPRICES,2,FALSE())+HLOOKUP(D738,PREVCURVES,VLOOKUP(G738,MOVE_DOWN2,2,FALSE()),FALSE())),VLOOKUP(G738,NGPREVPRICES,2,FALSE()),CK740,VLOOKUP(G738,NGPrices,4,FALSE()),HLOOKUP(D738,PREVVOLS,VLOOKUP(G738,MOVE_DOWN2,2,FALSE()),FALSE()),VLOOKUP(G738,NGPREVPRICES,3,FALSE()),HLOOKUP(D738,Correllate,VLOOKUP(G738,CorMove,2,FALSE()),FALSE()),Q738-$CD$3,R738,$CJ$5)*H738-CJ740</f>
        <v>#NAME?</v>
      </c>
      <c r="CF740" s="132" t="e">
        <f aca="false">(CJ740/VLOOKUP(CC740,discount,3,FALSE()))-(CJ740/VLOOKUP(CC740,discount,2,FALSE()))</f>
        <v>#NAME?</v>
      </c>
      <c r="CG740" s="253" t="e">
        <f aca="false">xSPRDOPT((VLOOKUP(G738,NGPREVPRICES,2,FALSE())+HLOOKUP(D738,PREVCURVES,VLOOKUP(G738,MOVE_DOWN2,2,FALSE()),FALSE())),VLOOKUP(G738,NGPREVPRICES,2,FALSE()),CK740,VLOOKUP(G738,NGPREVPRICES,4,FALSE()),HLOOKUP(D738,VOLS,VLOOKUP(G738,move_down,2,FALSE()),FALSE()),VLOOKUP(G738,NGPrices,3,FALSE()),HLOOKUP(D738,Correllate,VLOOKUP(G738,CorMove,2,FALSE()),FALSE()),Q738-$CD$3,R738,$CJ$5)*H738-CJ740</f>
        <v>#NAME?</v>
      </c>
      <c r="CH740" s="253" t="e">
        <f aca="false">xSPRDOPT((VLOOKUP(G738,NGPREVPRICES,2,FALSE())+HLOOKUP(D738,PREVCURVES,VLOOKUP(G738,MOVE_DOWN2,2,FALSE()),FALSE())),VLOOKUP(G738,NGPREVPRICES,2,FALSE()),CK740,VLOOKUP(G738,NGPREVPRICES,4,FALSE()),HLOOKUP(D738,PREVVOLS,VLOOKUP(G738,MOVE_DOWN2,2,FALSE()),FALSE()),VLOOKUP(G738,NGPREVPRICES,3,FALSE()),HLOOKUP(D738,Correllate,VLOOKUP(G738,CorMove,2,FALSE()),FALSE()),Q738-$C$3,R738,$CJ$5)*H738-CJ740</f>
        <v>#NAME?</v>
      </c>
      <c r="CI740" s="253" t="e">
        <f aca="false">SUM(CD740:CH740)</f>
        <v>#NAME?</v>
      </c>
      <c r="CJ740" s="253" t="e">
        <f aca="false">xSPRDOPT((VLOOKUP(G738,NGPREVPRICES,2,FALSE())+HLOOKUP(D738,PREVCURVES,VLOOKUP(G738,MOVE_DOWN2,2,FALSE()),FALSE())),VLOOKUP(G738,NGPREVPRICES,2,FALSE()),CK740,VLOOKUP(G738,NGPREVPRICES,4,FALSE()),HLOOKUP(D738,PREVVOLS,VLOOKUP(G738,MOVE_DOWN2,2,FALSE()),FALSE()),VLOOKUP(G738,NGPREVPRICES,3,FALSE()),HLOOKUP(D738,Correllate,VLOOKUP(G738,CorMove,2,FALSE()),FALSE()),Q738-$CD$3,R738,$CJ$5)*H738</f>
        <v>#NAME?</v>
      </c>
      <c r="CK740" s="254" t="n">
        <f aca="false">I738</f>
        <v>0.2</v>
      </c>
      <c r="CM740" s="0" t="str">
        <f aca="false">CONCATENATE(CC740,$CD$6)</f>
        <v>36892Curve Shift/Gamma</v>
      </c>
      <c r="CN740" s="0" t="str">
        <f aca="false">CONCATENATE($CC740,$CE$6)</f>
        <v>36892Rho</v>
      </c>
      <c r="CO740" s="0" t="str">
        <f aca="false">CONCATENATE($CC740,$CF$6)</f>
        <v>36892Drift</v>
      </c>
      <c r="CP740" s="0" t="str">
        <f aca="false">CONCATENATE($CC740,$CG$6)</f>
        <v>36892Vega</v>
      </c>
      <c r="CQ740" s="0" t="str">
        <f aca="false">CONCATENATE($CC740,$CH$6)</f>
        <v>36892Theta</v>
      </c>
    </row>
    <row r="741" customFormat="false" ht="12.75" hidden="false" customHeight="false" outlineLevel="0" collapsed="false">
      <c r="A741" s="17" t="s">
        <v>210</v>
      </c>
      <c r="B741" s="0" t="s">
        <v>192</v>
      </c>
      <c r="C741" s="0" t="s">
        <v>441</v>
      </c>
      <c r="D741" s="7" t="s">
        <v>155</v>
      </c>
      <c r="E741" s="0" t="s">
        <v>131</v>
      </c>
      <c r="F741" s="0" t="s">
        <v>132</v>
      </c>
      <c r="G741" s="92" t="n">
        <v>36982</v>
      </c>
      <c r="H741" s="248" t="n">
        <v>1000000</v>
      </c>
      <c r="I741" s="254" t="n">
        <v>0.28</v>
      </c>
      <c r="J741" s="124" t="n">
        <f aca="false">VLOOKUP(G741,NGPrices,2,FALSE())</f>
        <v>3.938</v>
      </c>
      <c r="K741" s="125" t="n">
        <f aca="false">HLOOKUP(D741,Prices,VLOOKUP(G741,move_down,2,FALSE()),FALSE())+VLOOKUP(G741,CHANGE,HLOOKUP(D741,CHANGE,2,FALSE()),FALSE())</f>
        <v>0.3775</v>
      </c>
      <c r="L741" s="124" t="n">
        <f aca="false">K741+J741</f>
        <v>4.3155</v>
      </c>
      <c r="M741" s="126" t="n">
        <f aca="false">VLOOKUP(G741,NGPrices,4,FALSE())</f>
        <v>0.069061726541121</v>
      </c>
      <c r="N741" s="7" t="n">
        <f aca="false">VLOOKUP(G741,NGPrices,3,FALSE())</f>
        <v>0.4425</v>
      </c>
      <c r="O741" s="7" t="n">
        <f aca="false">HLOOKUP(D741,VOLS,VLOOKUP(G741,move_down,2,FALSE()),FALSE())</f>
        <v>0.434</v>
      </c>
      <c r="P741" s="249" t="n">
        <f aca="false">HLOOKUP(D741,Correllate,VLOOKUP(G741,CorMove,2,FALSE()),FALSE())</f>
        <v>0.99</v>
      </c>
      <c r="Q741" s="92" t="n">
        <f aca="false">WORKDAY(G741,-2)</f>
        <v>36979</v>
      </c>
      <c r="R741" s="7" t="n">
        <f aca="false">IF(F741="P",0,1)</f>
        <v>0</v>
      </c>
      <c r="S741" s="130" t="e">
        <f aca="false">xSPRDOPT($L741,$J741,$I741,$M741,$O741,$N741,$P741,$Q741-$C$3,$R741,0)</f>
        <v>#NAME?</v>
      </c>
      <c r="T741" s="250" t="e">
        <f aca="false">xSPRDOPT($L741,$J741,$I741,$M741,$O741,$N741,$P741,$Q741-$C$3,$R741,1)*H741</f>
        <v>#NAME?</v>
      </c>
      <c r="U741" s="43" t="e">
        <f aca="false">S741*H741</f>
        <v>#NAME?</v>
      </c>
      <c r="V741" s="250" t="e">
        <f aca="false">xSPRDOPT($L741,$J741,$I741,$M741,$O741,$N741,$P741,$Q741-$C$3,$R741,2)*H741</f>
        <v>#NAME?</v>
      </c>
      <c r="W741" s="250" t="e">
        <f aca="false">+V741+T741</f>
        <v>#NAME?</v>
      </c>
      <c r="X741" s="2" t="str">
        <f aca="false">CONCATENATE(G741,D741)</f>
        <v>36982IF-TETCO/M3</v>
      </c>
      <c r="Y741" s="251" t="n">
        <f aca="false">H741/10000</f>
        <v>100</v>
      </c>
      <c r="Z741" s="226" t="e">
        <f aca="false">T741/H741</f>
        <v>#NAME?</v>
      </c>
      <c r="AA741" s="226" t="e">
        <f aca="false">xSPRDOPT($L741,$J741,$I741,$M741,$O741,$N741,$P741,$Q741-$C$3,$R741,3)</f>
        <v>#NAME?</v>
      </c>
      <c r="AB741" s="226" t="e">
        <f aca="false">((xSPRDOPT($L741+AB$5,$J741,$I741,$M741,$O741,$N741,$P741,$Q741-$C$3,$R741,3)*$H741)/10000)/100</f>
        <v>#NAME?</v>
      </c>
      <c r="AC741" s="226" t="e">
        <f aca="false">((xSPRDOPT($L741+$AB$5,$J741,$I741,$M741,$O741,$N741,$P741,$Q741-$C$3,$R741,7)*$H741)/100)</f>
        <v>#NAME?</v>
      </c>
      <c r="AD741" s="226" t="e">
        <f aca="false">(xSPRDOPT($L741+$AB$5,$J741,$I741,$M741,$O741,$N741,$P741,$Q741-$C$3,$R741,9)/365)*$H741</f>
        <v>#NAME?</v>
      </c>
      <c r="AE741" s="0" t="e">
        <f aca="false">CD743</f>
        <v>#NAME?</v>
      </c>
      <c r="AF741" s="226" t="e">
        <f aca="false">((O741/N741)*AH741)+AG741</f>
        <v>#NAME?</v>
      </c>
      <c r="AG741" s="226" t="e">
        <f aca="false">((xSPRDOPT($L741,$J741,$I741,$M741,$O741,$N741,$P741,$Q741-$C$3,$R741,6)*$H741)/100)</f>
        <v>#NAME?</v>
      </c>
      <c r="AH741" s="226" t="e">
        <f aca="false">((xSPRDOPT($L741,$J741,$I741,$M741,$O741,$N741,$P741,$Q741-$C$3,$R741,5)*$H741)/100)</f>
        <v>#NAME?</v>
      </c>
      <c r="AI741" s="226" t="e">
        <f aca="false">(((xSPRDOPT($L741,$J741,$I741,$M741,$O741,$N741,$P741,$Q741-$C$3,$R741,4)*$H741)/10000)/100)-AB741</f>
        <v>#NAME?</v>
      </c>
      <c r="AJ741" s="226"/>
      <c r="CC741" s="182" t="n">
        <f aca="false">G739</f>
        <v>36923</v>
      </c>
      <c r="CD741" s="253" t="e">
        <f aca="false">xSPRDOPT((VLOOKUP(G739,NGPrices,2,FALSE())+HLOOKUP(D739,Prices,VLOOKUP(G739,move_down,2,FALSE()),FALSE())),VLOOKUP(G739,NGPrices,2,FALSE()),I739,VLOOKUP(G739,NGPREVPRICES,4,FALSE()),HLOOKUP(D739,PREVVOLS,VLOOKUP(G739,MOVE_DOWN2,2,FALSE()),FALSE()),VLOOKUP(G739,NGPREVPRICES,3,FALSE()),HLOOKUP(D739,Correllate,VLOOKUP(G739,CorMove,2,FALSE()),FALSE()),Q739-$CD$3,R739,$CD$5)*H739-CJ741</f>
        <v>#NAME?</v>
      </c>
      <c r="CE741" s="253" t="e">
        <f aca="false">xSPRDOPT((VLOOKUP(G739,NGPREVPRICES,2,FALSE())+HLOOKUP(D739,PREVCURVES,VLOOKUP(G739,MOVE_DOWN2,2,FALSE()),FALSE())),VLOOKUP(G739,NGPREVPRICES,2,FALSE()),CK741,VLOOKUP(G739,NGPrices,4,FALSE()),HLOOKUP(D739,PREVVOLS,VLOOKUP(G739,MOVE_DOWN2,2,FALSE()),FALSE()),VLOOKUP(G739,NGPREVPRICES,3,FALSE()),HLOOKUP(D739,Correllate,VLOOKUP(G739,CorMove,2,FALSE()),FALSE()),Q739-$CD$3,R739,$CJ$5)*H739-CJ741</f>
        <v>#NAME?</v>
      </c>
      <c r="CF741" s="132" t="e">
        <f aca="false">(CJ741/VLOOKUP(CC741,discount,3,FALSE()))-(CJ741/VLOOKUP(CC741,discount,2,FALSE()))</f>
        <v>#NAME?</v>
      </c>
      <c r="CG741" s="253" t="e">
        <f aca="false">xSPRDOPT((VLOOKUP(G739,NGPREVPRICES,2,FALSE())+HLOOKUP(D739,PREVCURVES,VLOOKUP(G739,MOVE_DOWN2,2,FALSE()),FALSE())),VLOOKUP(G739,NGPREVPRICES,2,FALSE()),CK741,VLOOKUP(G739,NGPREVPRICES,4,FALSE()),HLOOKUP(D739,VOLS,VLOOKUP(G739,move_down,2,FALSE()),FALSE()),VLOOKUP(G739,NGPrices,3,FALSE()),HLOOKUP(D739,Correllate,VLOOKUP(G739,CorMove,2,FALSE()),FALSE()),Q739-$CD$3,R739,$CJ$5)*H739-CJ741</f>
        <v>#NAME?</v>
      </c>
      <c r="CH741" s="253" t="e">
        <f aca="false">xSPRDOPT((VLOOKUP(G739,NGPREVPRICES,2,FALSE())+HLOOKUP(D739,PREVCURVES,VLOOKUP(G739,MOVE_DOWN2,2,FALSE()),FALSE())),VLOOKUP(G739,NGPREVPRICES,2,FALSE()),CK741,VLOOKUP(G739,NGPREVPRICES,4,FALSE()),HLOOKUP(D739,PREVVOLS,VLOOKUP(G739,MOVE_DOWN2,2,FALSE()),FALSE()),VLOOKUP(G739,NGPREVPRICES,3,FALSE()),HLOOKUP(D739,Correllate,VLOOKUP(G739,CorMove,2,FALSE()),FALSE()),Q739-$C$3,R739,$CJ$5)*H739-CJ741</f>
        <v>#NAME?</v>
      </c>
      <c r="CI741" s="253" t="e">
        <f aca="false">SUM(CD741:CH741)</f>
        <v>#NAME?</v>
      </c>
      <c r="CJ741" s="253" t="e">
        <f aca="false">xSPRDOPT((VLOOKUP(G739,NGPREVPRICES,2,FALSE())+HLOOKUP(D739,PREVCURVES,VLOOKUP(G739,MOVE_DOWN2,2,FALSE()),FALSE())),VLOOKUP(G739,NGPREVPRICES,2,FALSE()),CK741,VLOOKUP(G739,NGPREVPRICES,4,FALSE()),HLOOKUP(D739,PREVVOLS,VLOOKUP(G739,MOVE_DOWN2,2,FALSE()),FALSE()),VLOOKUP(G739,NGPREVPRICES,3,FALSE()),HLOOKUP(D739,Correllate,VLOOKUP(G739,CorMove,2,FALSE()),FALSE()),Q739-$CD$3,R739,$CJ$5)*H739</f>
        <v>#NAME?</v>
      </c>
      <c r="CK741" s="254" t="n">
        <f aca="false">I739</f>
        <v>0.2</v>
      </c>
      <c r="CM741" s="0" t="str">
        <f aca="false">CONCATENATE(CC741,$CD$6)</f>
        <v>36923Curve Shift/Gamma</v>
      </c>
      <c r="CN741" s="0" t="str">
        <f aca="false">CONCATENATE($CC741,$CE$6)</f>
        <v>36923Rho</v>
      </c>
      <c r="CO741" s="0" t="str">
        <f aca="false">CONCATENATE($CC741,$CF$6)</f>
        <v>36923Drift</v>
      </c>
      <c r="CP741" s="0" t="str">
        <f aca="false">CONCATENATE($CC741,$CG$6)</f>
        <v>36923Vega</v>
      </c>
      <c r="CQ741" s="0" t="str">
        <f aca="false">CONCATENATE($CC741,$CH$6)</f>
        <v>36923Theta</v>
      </c>
    </row>
    <row r="742" customFormat="false" ht="12.75" hidden="false" customHeight="false" outlineLevel="0" collapsed="false">
      <c r="A742" s="17" t="s">
        <v>210</v>
      </c>
      <c r="B742" s="0" t="s">
        <v>192</v>
      </c>
      <c r="C742" s="0" t="s">
        <v>441</v>
      </c>
      <c r="D742" s="7" t="s">
        <v>155</v>
      </c>
      <c r="E742" s="0" t="s">
        <v>131</v>
      </c>
      <c r="F742" s="0" t="s">
        <v>132</v>
      </c>
      <c r="G742" s="92" t="n">
        <v>37012</v>
      </c>
      <c r="H742" s="248" t="n">
        <v>1000000</v>
      </c>
      <c r="I742" s="254" t="n">
        <v>0.28</v>
      </c>
      <c r="J742" s="124" t="n">
        <f aca="false">VLOOKUP(G742,NGPrices,2,FALSE())</f>
        <v>3.838</v>
      </c>
      <c r="K742" s="125" t="n">
        <f aca="false">HLOOKUP(D742,Prices,VLOOKUP(G742,move_down,2,FALSE()),FALSE())+VLOOKUP(G742,CHANGE,HLOOKUP(D742,CHANGE,2,FALSE()),FALSE())</f>
        <v>0.315</v>
      </c>
      <c r="L742" s="124" t="n">
        <f aca="false">K742+J742</f>
        <v>4.153</v>
      </c>
      <c r="M742" s="126" t="n">
        <f aca="false">VLOOKUP(G742,NGPrices,4,FALSE())</f>
        <v>0.069101151219</v>
      </c>
      <c r="N742" s="7" t="n">
        <f aca="false">VLOOKUP(G742,NGPrices,3,FALSE())</f>
        <v>0.405</v>
      </c>
      <c r="O742" s="7" t="n">
        <f aca="false">HLOOKUP(D742,VOLS,VLOOKUP(G742,move_down,2,FALSE()),FALSE())</f>
        <v>0.397</v>
      </c>
      <c r="P742" s="249" t="n">
        <f aca="false">HLOOKUP(D742,Correllate,VLOOKUP(G742,CorMove,2,FALSE()),FALSE())</f>
        <v>0.99</v>
      </c>
      <c r="Q742" s="92" t="n">
        <f aca="false">WORKDAY(G742,-2)</f>
        <v>37008</v>
      </c>
      <c r="R742" s="7" t="n">
        <f aca="false">IF(F742="P",0,1)</f>
        <v>0</v>
      </c>
      <c r="S742" s="130" t="e">
        <f aca="false">xSPRDOPT($L742,$J742,$I742,$M742,$O742,$N742,$P742,$Q742-$C$3,$R742,0)</f>
        <v>#NAME?</v>
      </c>
      <c r="T742" s="250" t="e">
        <f aca="false">xSPRDOPT($L742,$J742,$I742,$M742,$O742,$N742,$P742,$Q742-$C$3,$R742,1)*H742</f>
        <v>#NAME?</v>
      </c>
      <c r="U742" s="43" t="e">
        <f aca="false">S742*H742</f>
        <v>#NAME?</v>
      </c>
      <c r="V742" s="250" t="e">
        <f aca="false">xSPRDOPT($L742,$J742,$I742,$M742,$O742,$N742,$P742,$Q742-$C$3,$R742,2)*H742</f>
        <v>#NAME?</v>
      </c>
      <c r="W742" s="250" t="e">
        <f aca="false">+V742+T742</f>
        <v>#NAME?</v>
      </c>
      <c r="X742" s="2" t="str">
        <f aca="false">CONCATENATE(G742,D742)</f>
        <v>37012IF-TETCO/M3</v>
      </c>
      <c r="Y742" s="251" t="n">
        <f aca="false">H742/10000</f>
        <v>100</v>
      </c>
      <c r="Z742" s="226" t="e">
        <f aca="false">T742/H742</f>
        <v>#NAME?</v>
      </c>
      <c r="AA742" s="226" t="e">
        <f aca="false">xSPRDOPT($L742,$J742,$I742,$M742,$O742,$N742,$P742,$Q742-$C$3,$R742,3)</f>
        <v>#NAME?</v>
      </c>
      <c r="AB742" s="226" t="e">
        <f aca="false">((xSPRDOPT($L742+AB$5,$J742,$I742,$M742,$O742,$N742,$P742,$Q742-$C$3,$R742,3)*$H742)/10000)/100</f>
        <v>#NAME?</v>
      </c>
      <c r="AC742" s="226" t="e">
        <f aca="false">((xSPRDOPT($L742+$AB$5,$J742,$I742,$M742,$O742,$N742,$P742,$Q742-$C$3,$R742,7)*$H742)/100)</f>
        <v>#NAME?</v>
      </c>
      <c r="AD742" s="226" t="e">
        <f aca="false">(xSPRDOPT($L742+$AB$5,$J742,$I742,$M742,$O742,$N742,$P742,$Q742-$C$3,$R742,9)/365)*$H742</f>
        <v>#NAME?</v>
      </c>
      <c r="AE742" s="0" t="e">
        <f aca="false">CD744</f>
        <v>#NAME?</v>
      </c>
      <c r="AF742" s="226" t="e">
        <f aca="false">((O742/N742)*AH742)+AG742</f>
        <v>#NAME?</v>
      </c>
      <c r="AG742" s="226" t="e">
        <f aca="false">((xSPRDOPT($L742,$J742,$I742,$M742,$O742,$N742,$P742,$Q742-$C$3,$R742,6)*$H742)/100)</f>
        <v>#NAME?</v>
      </c>
      <c r="AH742" s="226" t="e">
        <f aca="false">((xSPRDOPT($L742,$J742,$I742,$M742,$O742,$N742,$P742,$Q742-$C$3,$R742,5)*$H742)/100)</f>
        <v>#NAME?</v>
      </c>
      <c r="AI742" s="226" t="e">
        <f aca="false">(((xSPRDOPT($L742,$J742,$I742,$M742,$O742,$N742,$P742,$Q742-$C$3,$R742,4)*$H742)/10000)/100)-AB742</f>
        <v>#NAME?</v>
      </c>
      <c r="AJ742" s="226"/>
      <c r="CC742" s="182" t="n">
        <f aca="false">G740</f>
        <v>36951</v>
      </c>
      <c r="CD742" s="253" t="e">
        <f aca="false">xSPRDOPT((VLOOKUP(G740,NGPrices,2,FALSE())+HLOOKUP(D740,Prices,VLOOKUP(G740,move_down,2,FALSE()),FALSE())),VLOOKUP(G740,NGPrices,2,FALSE()),I740,VLOOKUP(G740,NGPREVPRICES,4,FALSE()),HLOOKUP(D740,PREVVOLS,VLOOKUP(G740,MOVE_DOWN2,2,FALSE()),FALSE()),VLOOKUP(G740,NGPREVPRICES,3,FALSE()),HLOOKUP(D740,Correllate,VLOOKUP(G740,CorMove,2,FALSE()),FALSE()),Q740-$CD$3,R740,$CD$5)*H740-CJ742</f>
        <v>#NAME?</v>
      </c>
      <c r="CE742" s="253" t="e">
        <f aca="false">xSPRDOPT((VLOOKUP(G740,NGPREVPRICES,2,FALSE())+HLOOKUP(D740,PREVCURVES,VLOOKUP(G740,MOVE_DOWN2,2,FALSE()),FALSE())),VLOOKUP(G740,NGPREVPRICES,2,FALSE()),CK742,VLOOKUP(G740,NGPrices,4,FALSE()),HLOOKUP(D740,PREVVOLS,VLOOKUP(G740,MOVE_DOWN2,2,FALSE()),FALSE()),VLOOKUP(G740,NGPREVPRICES,3,FALSE()),HLOOKUP(D740,Correllate,VLOOKUP(G740,CorMove,2,FALSE()),FALSE()),Q740-$CD$3,R740,$CJ$5)*H740-CJ742</f>
        <v>#NAME?</v>
      </c>
      <c r="CF742" s="132" t="e">
        <f aca="false">(CJ742/VLOOKUP(CC742,discount,3,FALSE()))-(CJ742/VLOOKUP(CC742,discount,2,FALSE()))</f>
        <v>#NAME?</v>
      </c>
      <c r="CG742" s="253" t="e">
        <f aca="false">xSPRDOPT((VLOOKUP(G740,NGPREVPRICES,2,FALSE())+HLOOKUP(D740,PREVCURVES,VLOOKUP(G740,MOVE_DOWN2,2,FALSE()),FALSE())),VLOOKUP(G740,NGPREVPRICES,2,FALSE()),CK742,VLOOKUP(G740,NGPREVPRICES,4,FALSE()),HLOOKUP(D740,VOLS,VLOOKUP(G740,move_down,2,FALSE()),FALSE()),VLOOKUP(G740,NGPrices,3,FALSE()),HLOOKUP(D740,Correllate,VLOOKUP(G740,CorMove,2,FALSE()),FALSE()),Q740-$CD$3,R740,$CJ$5)*H740-CJ742</f>
        <v>#NAME?</v>
      </c>
      <c r="CH742" s="253" t="e">
        <f aca="false">xSPRDOPT((VLOOKUP(G740,NGPREVPRICES,2,FALSE())+HLOOKUP(D740,PREVCURVES,VLOOKUP(G740,MOVE_DOWN2,2,FALSE()),FALSE())),VLOOKUP(G740,NGPREVPRICES,2,FALSE()),CK742,VLOOKUP(G740,NGPREVPRICES,4,FALSE()),HLOOKUP(D740,PREVVOLS,VLOOKUP(G740,MOVE_DOWN2,2,FALSE()),FALSE()),VLOOKUP(G740,NGPREVPRICES,3,FALSE()),HLOOKUP(D740,Correllate,VLOOKUP(G740,CorMove,2,FALSE()),FALSE()),Q740-$C$3,R740,$CJ$5)*H740-CJ742</f>
        <v>#NAME?</v>
      </c>
      <c r="CI742" s="253" t="e">
        <f aca="false">SUM(CD742:CH742)</f>
        <v>#NAME?</v>
      </c>
      <c r="CJ742" s="253" t="e">
        <f aca="false">xSPRDOPT((VLOOKUP(G740,NGPREVPRICES,2,FALSE())+HLOOKUP(D740,PREVCURVES,VLOOKUP(G740,MOVE_DOWN2,2,FALSE()),FALSE())),VLOOKUP(G740,NGPREVPRICES,2,FALSE()),CK742,VLOOKUP(G740,NGPREVPRICES,4,FALSE()),HLOOKUP(D740,PREVVOLS,VLOOKUP(G740,MOVE_DOWN2,2,FALSE()),FALSE()),VLOOKUP(G740,NGPREVPRICES,3,FALSE()),HLOOKUP(D740,Correllate,VLOOKUP(G740,CorMove,2,FALSE()),FALSE()),Q740-$CD$3,R740,$CJ$5)*H740</f>
        <v>#NAME?</v>
      </c>
      <c r="CK742" s="254" t="n">
        <f aca="false">I740</f>
        <v>0.2</v>
      </c>
      <c r="CM742" s="0" t="str">
        <f aca="false">CONCATENATE(CC742,$CD$6)</f>
        <v>36951Curve Shift/Gamma</v>
      </c>
      <c r="CN742" s="0" t="str">
        <f aca="false">CONCATENATE($CC742,$CE$6)</f>
        <v>36951Rho</v>
      </c>
      <c r="CO742" s="0" t="str">
        <f aca="false">CONCATENATE($CC742,$CF$6)</f>
        <v>36951Drift</v>
      </c>
      <c r="CP742" s="0" t="str">
        <f aca="false">CONCATENATE($CC742,$CG$6)</f>
        <v>36951Vega</v>
      </c>
      <c r="CQ742" s="0" t="str">
        <f aca="false">CONCATENATE($CC742,$CH$6)</f>
        <v>36951Theta</v>
      </c>
    </row>
    <row r="743" customFormat="false" ht="12.75" hidden="false" customHeight="false" outlineLevel="0" collapsed="false">
      <c r="A743" s="17" t="s">
        <v>210</v>
      </c>
      <c r="B743" s="0" t="s">
        <v>192</v>
      </c>
      <c r="C743" s="0" t="s">
        <v>441</v>
      </c>
      <c r="D743" s="7" t="s">
        <v>155</v>
      </c>
      <c r="E743" s="0" t="s">
        <v>131</v>
      </c>
      <c r="F743" s="0" t="s">
        <v>132</v>
      </c>
      <c r="G743" s="92" t="n">
        <v>37043</v>
      </c>
      <c r="H743" s="248" t="n">
        <v>1000000</v>
      </c>
      <c r="I743" s="254" t="n">
        <v>0.28</v>
      </c>
      <c r="J743" s="124" t="n">
        <f aca="false">VLOOKUP(G743,NGPrices,2,FALSE())</f>
        <v>3.818</v>
      </c>
      <c r="K743" s="125" t="n">
        <f aca="false">HLOOKUP(D743,Prices,VLOOKUP(G743,move_down,2,FALSE()),FALSE())+VLOOKUP(G743,CHANGE,HLOOKUP(D743,CHANGE,2,FALSE()),FALSE())</f>
        <v>0.315</v>
      </c>
      <c r="L743" s="124" t="n">
        <f aca="false">K743+J743</f>
        <v>4.133</v>
      </c>
      <c r="M743" s="126" t="n">
        <f aca="false">VLOOKUP(G743,NGPrices,4,FALSE())</f>
        <v>0.069141890053328</v>
      </c>
      <c r="N743" s="7" t="n">
        <f aca="false">VLOOKUP(G743,NGPrices,3,FALSE())</f>
        <v>0.4</v>
      </c>
      <c r="O743" s="7" t="n">
        <f aca="false">HLOOKUP(D743,VOLS,VLOOKUP(G743,move_down,2,FALSE()),FALSE())</f>
        <v>0.392</v>
      </c>
      <c r="P743" s="249" t="n">
        <f aca="false">HLOOKUP(D743,Correllate,VLOOKUP(G743,CorMove,2,FALSE()),FALSE())</f>
        <v>0.99</v>
      </c>
      <c r="Q743" s="92" t="n">
        <f aca="false">WORKDAY(G743,-2)</f>
        <v>37041</v>
      </c>
      <c r="R743" s="7" t="n">
        <f aca="false">IF(F743="P",0,1)</f>
        <v>0</v>
      </c>
      <c r="S743" s="130" t="e">
        <f aca="false">xSPRDOPT($L743,$J743,$I743,$M743,$O743,$N743,$P743,$Q743-$C$3,$R743,0)</f>
        <v>#NAME?</v>
      </c>
      <c r="T743" s="250" t="e">
        <f aca="false">xSPRDOPT($L743,$J743,$I743,$M743,$O743,$N743,$P743,$Q743-$C$3,$R743,1)*H743</f>
        <v>#NAME?</v>
      </c>
      <c r="U743" s="43" t="e">
        <f aca="false">S743*H743</f>
        <v>#NAME?</v>
      </c>
      <c r="V743" s="250" t="e">
        <f aca="false">xSPRDOPT($L743,$J743,$I743,$M743,$O743,$N743,$P743,$Q743-$C$3,$R743,2)*H743</f>
        <v>#NAME?</v>
      </c>
      <c r="W743" s="250" t="e">
        <f aca="false">+V743+T743</f>
        <v>#NAME?</v>
      </c>
      <c r="X743" s="2" t="str">
        <f aca="false">CONCATENATE(G743,D743)</f>
        <v>37043IF-TETCO/M3</v>
      </c>
      <c r="Y743" s="251" t="n">
        <f aca="false">H743/10000</f>
        <v>100</v>
      </c>
      <c r="Z743" s="226" t="e">
        <f aca="false">T743/H743</f>
        <v>#NAME?</v>
      </c>
      <c r="AA743" s="226" t="e">
        <f aca="false">xSPRDOPT($L743,$J743,$I743,$M743,$O743,$N743,$P743,$Q743-$C$3,$R743,3)</f>
        <v>#NAME?</v>
      </c>
      <c r="AB743" s="226" t="e">
        <f aca="false">((xSPRDOPT($L743+AB$5,$J743,$I743,$M743,$O743,$N743,$P743,$Q743-$C$3,$R743,3)*$H743)/10000)/100</f>
        <v>#NAME?</v>
      </c>
      <c r="AC743" s="226" t="e">
        <f aca="false">((xSPRDOPT($L743+$AB$5,$J743,$I743,$M743,$O743,$N743,$P743,$Q743-$C$3,$R743,7)*$H743)/100)</f>
        <v>#NAME?</v>
      </c>
      <c r="AD743" s="226" t="e">
        <f aca="false">(xSPRDOPT($L743+$AB$5,$J743,$I743,$M743,$O743,$N743,$P743,$Q743-$C$3,$R743,9)/365)*$H743</f>
        <v>#NAME?</v>
      </c>
      <c r="AE743" s="0" t="e">
        <f aca="false">CD745</f>
        <v>#NAME?</v>
      </c>
      <c r="AF743" s="226" t="e">
        <f aca="false">((O743/N743)*AH743)+AG743</f>
        <v>#NAME?</v>
      </c>
      <c r="AG743" s="226" t="e">
        <f aca="false">((xSPRDOPT($L743,$J743,$I743,$M743,$O743,$N743,$P743,$Q743-$C$3,$R743,6)*$H743)/100)</f>
        <v>#NAME?</v>
      </c>
      <c r="AH743" s="226" t="e">
        <f aca="false">((xSPRDOPT($L743,$J743,$I743,$M743,$O743,$N743,$P743,$Q743-$C$3,$R743,5)*$H743)/100)</f>
        <v>#NAME?</v>
      </c>
      <c r="AI743" s="226" t="e">
        <f aca="false">(((xSPRDOPT($L743,$J743,$I743,$M743,$O743,$N743,$P743,$Q743-$C$3,$R743,4)*$H743)/10000)/100)-AB743</f>
        <v>#NAME?</v>
      </c>
      <c r="AJ743" s="226"/>
      <c r="CC743" s="182" t="n">
        <f aca="false">G741</f>
        <v>36982</v>
      </c>
      <c r="CD743" s="253" t="e">
        <f aca="false">xSPRDOPT((VLOOKUP(G741,NGPrices,2,FALSE())+HLOOKUP(D741,Prices,VLOOKUP(G741,move_down,2,FALSE()),FALSE())),VLOOKUP(G741,NGPrices,2,FALSE()),I741,VLOOKUP(G741,NGPREVPRICES,4,FALSE()),HLOOKUP(D741,PREVVOLS,VLOOKUP(G741,MOVE_DOWN2,2,FALSE()),FALSE()),VLOOKUP(G741,NGPREVPRICES,3,FALSE()),HLOOKUP(D741,Correllate,VLOOKUP(G741,CorMove,2,FALSE()),FALSE()),Q741-$CD$3,R741,$CD$5)*H741-CJ743</f>
        <v>#NAME?</v>
      </c>
      <c r="CE743" s="253" t="e">
        <f aca="false">xSPRDOPT((VLOOKUP(G741,NGPREVPRICES,2,FALSE())+HLOOKUP(D741,PREVCURVES,VLOOKUP(G741,MOVE_DOWN2,2,FALSE()),FALSE())),VLOOKUP(G741,NGPREVPRICES,2,FALSE()),CK743,VLOOKUP(G741,NGPrices,4,FALSE()),HLOOKUP(D741,PREVVOLS,VLOOKUP(G741,MOVE_DOWN2,2,FALSE()),FALSE()),VLOOKUP(G741,NGPREVPRICES,3,FALSE()),HLOOKUP(D741,Correllate,VLOOKUP(G741,CorMove,2,FALSE()),FALSE()),Q741-$CD$3,R741,$CJ$5)*H741-CJ743</f>
        <v>#NAME?</v>
      </c>
      <c r="CF743" s="132" t="e">
        <f aca="false">(CJ743/VLOOKUP(CC743,discount,3,FALSE()))-(CJ743/VLOOKUP(CC743,discount,2,FALSE()))</f>
        <v>#NAME?</v>
      </c>
      <c r="CG743" s="253" t="e">
        <f aca="false">xSPRDOPT((VLOOKUP(G741,NGPREVPRICES,2,FALSE())+HLOOKUP(D741,PREVCURVES,VLOOKUP(G741,MOVE_DOWN2,2,FALSE()),FALSE())),VLOOKUP(G741,NGPREVPRICES,2,FALSE()),CK743,VLOOKUP(G741,NGPREVPRICES,4,FALSE()),HLOOKUP(D741,VOLS,VLOOKUP(G741,move_down,2,FALSE()),FALSE()),VLOOKUP(G741,NGPrices,3,FALSE()),HLOOKUP(D741,Correllate,VLOOKUP(G741,CorMove,2,FALSE()),FALSE()),Q741-$CD$3,R741,$CJ$5)*H741-CJ743</f>
        <v>#NAME?</v>
      </c>
      <c r="CH743" s="253" t="e">
        <f aca="false">xSPRDOPT((VLOOKUP(G741,NGPREVPRICES,2,FALSE())+HLOOKUP(D741,PREVCURVES,VLOOKUP(G741,MOVE_DOWN2,2,FALSE()),FALSE())),VLOOKUP(G741,NGPREVPRICES,2,FALSE()),CK743,VLOOKUP(G741,NGPREVPRICES,4,FALSE()),HLOOKUP(D741,PREVVOLS,VLOOKUP(G741,MOVE_DOWN2,2,FALSE()),FALSE()),VLOOKUP(G741,NGPREVPRICES,3,FALSE()),HLOOKUP(D741,Correllate,VLOOKUP(G741,CorMove,2,FALSE()),FALSE()),Q741-$C$3,R741,$CJ$5)*H741-CJ743</f>
        <v>#NAME?</v>
      </c>
      <c r="CI743" s="253" t="e">
        <f aca="false">SUM(CD743:CH743)</f>
        <v>#NAME?</v>
      </c>
      <c r="CJ743" s="253" t="e">
        <f aca="false">xSPRDOPT((VLOOKUP(G741,NGPREVPRICES,2,FALSE())+HLOOKUP(D741,PREVCURVES,VLOOKUP(G741,MOVE_DOWN2,2,FALSE()),FALSE())),VLOOKUP(G741,NGPREVPRICES,2,FALSE()),CK743,VLOOKUP(G741,NGPREVPRICES,4,FALSE()),HLOOKUP(D741,PREVVOLS,VLOOKUP(G741,MOVE_DOWN2,2,FALSE()),FALSE()),VLOOKUP(G741,NGPREVPRICES,3,FALSE()),HLOOKUP(D741,Correllate,VLOOKUP(G741,CorMove,2,FALSE()),FALSE()),Q741-$CD$3,R741,$CJ$5)*H741</f>
        <v>#NAME?</v>
      </c>
      <c r="CK743" s="254" t="n">
        <f aca="false">I741</f>
        <v>0.28</v>
      </c>
      <c r="CM743" s="0" t="str">
        <f aca="false">CONCATENATE(CC743,$CD$6)</f>
        <v>36982Curve Shift/Gamma</v>
      </c>
      <c r="CN743" s="0" t="str">
        <f aca="false">CONCATENATE($CC743,$CE$6)</f>
        <v>36982Rho</v>
      </c>
      <c r="CO743" s="0" t="str">
        <f aca="false">CONCATENATE($CC743,$CF$6)</f>
        <v>36982Drift</v>
      </c>
      <c r="CP743" s="0" t="str">
        <f aca="false">CONCATENATE($CC743,$CG$6)</f>
        <v>36982Vega</v>
      </c>
      <c r="CQ743" s="0" t="str">
        <f aca="false">CONCATENATE($CC743,$CH$6)</f>
        <v>36982Theta</v>
      </c>
    </row>
    <row r="744" customFormat="false" ht="12.75" hidden="false" customHeight="false" outlineLevel="0" collapsed="false">
      <c r="A744" s="17" t="s">
        <v>210</v>
      </c>
      <c r="B744" s="0" t="s">
        <v>192</v>
      </c>
      <c r="C744" s="0" t="s">
        <v>441</v>
      </c>
      <c r="D744" s="7" t="s">
        <v>155</v>
      </c>
      <c r="E744" s="0" t="s">
        <v>131</v>
      </c>
      <c r="F744" s="0" t="s">
        <v>132</v>
      </c>
      <c r="G744" s="92" t="n">
        <v>37073</v>
      </c>
      <c r="H744" s="248" t="n">
        <v>1000000</v>
      </c>
      <c r="I744" s="254" t="n">
        <v>0.28</v>
      </c>
      <c r="J744" s="124" t="n">
        <f aca="false">VLOOKUP(G744,NGPrices,2,FALSE())</f>
        <v>3.803</v>
      </c>
      <c r="K744" s="125" t="n">
        <f aca="false">HLOOKUP(D744,Prices,VLOOKUP(G744,move_down,2,FALSE()),FALSE())+VLOOKUP(G744,CHANGE,HLOOKUP(D744,CHANGE,2,FALSE()),FALSE())</f>
        <v>0.3275</v>
      </c>
      <c r="L744" s="124" t="n">
        <f aca="false">K744+J744</f>
        <v>4.1305</v>
      </c>
      <c r="M744" s="126" t="n">
        <f aca="false">VLOOKUP(G744,NGPrices,4,FALSE())</f>
        <v>0.069181571268568</v>
      </c>
      <c r="N744" s="7" t="n">
        <f aca="false">VLOOKUP(G744,NGPrices,3,FALSE())</f>
        <v>0.4</v>
      </c>
      <c r="O744" s="7" t="n">
        <f aca="false">HLOOKUP(D744,VOLS,VLOOKUP(G744,move_down,2,FALSE()),FALSE())</f>
        <v>0.392</v>
      </c>
      <c r="P744" s="249" t="n">
        <f aca="false">HLOOKUP(D744,Correllate,VLOOKUP(G744,CorMove,2,FALSE()),FALSE())</f>
        <v>0.99</v>
      </c>
      <c r="Q744" s="92" t="n">
        <f aca="false">WORKDAY(G744,-2)</f>
        <v>37070</v>
      </c>
      <c r="R744" s="7" t="n">
        <f aca="false">IF(F744="P",0,1)</f>
        <v>0</v>
      </c>
      <c r="S744" s="130" t="e">
        <f aca="false">xSPRDOPT($L744,$J744,$I744,$M744,$O744,$N744,$P744,$Q744-$C$3,$R744,0)</f>
        <v>#NAME?</v>
      </c>
      <c r="T744" s="250" t="e">
        <f aca="false">xSPRDOPT($L744,$J744,$I744,$M744,$O744,$N744,$P744,$Q744-$C$3,$R744,1)*H744</f>
        <v>#NAME?</v>
      </c>
      <c r="U744" s="43" t="e">
        <f aca="false">S744*H744</f>
        <v>#NAME?</v>
      </c>
      <c r="V744" s="250" t="e">
        <f aca="false">xSPRDOPT($L744,$J744,$I744,$M744,$O744,$N744,$P744,$Q744-$C$3,$R744,2)*H744</f>
        <v>#NAME?</v>
      </c>
      <c r="W744" s="250" t="e">
        <f aca="false">+V744+T744</f>
        <v>#NAME?</v>
      </c>
      <c r="X744" s="2" t="str">
        <f aca="false">CONCATENATE(G744,D744)</f>
        <v>37073IF-TETCO/M3</v>
      </c>
      <c r="Y744" s="251" t="n">
        <f aca="false">H744/10000</f>
        <v>100</v>
      </c>
      <c r="Z744" s="226" t="e">
        <f aca="false">T744/H744</f>
        <v>#NAME?</v>
      </c>
      <c r="AA744" s="226" t="e">
        <f aca="false">xSPRDOPT($L744,$J744,$I744,$M744,$O744,$N744,$P744,$Q744-$C$3,$R744,3)</f>
        <v>#NAME?</v>
      </c>
      <c r="AB744" s="226" t="e">
        <f aca="false">((xSPRDOPT($L744+AB$5,$J744,$I744,$M744,$O744,$N744,$P744,$Q744-$C$3,$R744,3)*$H744)/10000)/100</f>
        <v>#NAME?</v>
      </c>
      <c r="AC744" s="226" t="e">
        <f aca="false">((xSPRDOPT($L744+$AB$5,$J744,$I744,$M744,$O744,$N744,$P744,$Q744-$C$3,$R744,7)*$H744)/100)</f>
        <v>#NAME?</v>
      </c>
      <c r="AD744" s="226" t="e">
        <f aca="false">(xSPRDOPT($L744+$AB$5,$J744,$I744,$M744,$O744,$N744,$P744,$Q744-$C$3,$R744,9)/365)*$H744</f>
        <v>#NAME?</v>
      </c>
      <c r="AE744" s="0" t="e">
        <f aca="false">CD746</f>
        <v>#NAME?</v>
      </c>
      <c r="AF744" s="226" t="e">
        <f aca="false">((O744/N744)*AH744)+AG744</f>
        <v>#NAME?</v>
      </c>
      <c r="AG744" s="226" t="e">
        <f aca="false">((xSPRDOPT($L744,$J744,$I744,$M744,$O744,$N744,$P744,$Q744-$C$3,$R744,6)*$H744)/100)</f>
        <v>#NAME?</v>
      </c>
      <c r="AH744" s="226" t="e">
        <f aca="false">((xSPRDOPT($L744,$J744,$I744,$M744,$O744,$N744,$P744,$Q744-$C$3,$R744,5)*$H744)/100)</f>
        <v>#NAME?</v>
      </c>
      <c r="AI744" s="226" t="e">
        <f aca="false">(((xSPRDOPT($L744,$J744,$I744,$M744,$O744,$N744,$P744,$Q744-$C$3,$R744,4)*$H744)/10000)/100)-AB744</f>
        <v>#NAME?</v>
      </c>
      <c r="AJ744" s="226"/>
      <c r="CC744" s="182" t="n">
        <f aca="false">G742</f>
        <v>37012</v>
      </c>
      <c r="CD744" s="253" t="e">
        <f aca="false">xSPRDOPT((VLOOKUP(G742,NGPrices,2,FALSE())+HLOOKUP(D742,Prices,VLOOKUP(G742,move_down,2,FALSE()),FALSE())),VLOOKUP(G742,NGPrices,2,FALSE()),I742,VLOOKUP(G742,NGPREVPRICES,4,FALSE()),HLOOKUP(D742,PREVVOLS,VLOOKUP(G742,MOVE_DOWN2,2,FALSE()),FALSE()),VLOOKUP(G742,NGPREVPRICES,3,FALSE()),HLOOKUP(D742,Correllate,VLOOKUP(G742,CorMove,2,FALSE()),FALSE()),Q742-$CD$3,R742,$CD$5)*H742-CJ744</f>
        <v>#NAME?</v>
      </c>
      <c r="CE744" s="253" t="e">
        <f aca="false">xSPRDOPT((VLOOKUP(G742,NGPREVPRICES,2,FALSE())+HLOOKUP(D742,PREVCURVES,VLOOKUP(G742,MOVE_DOWN2,2,FALSE()),FALSE())),VLOOKUP(G742,NGPREVPRICES,2,FALSE()),CK744,VLOOKUP(G742,NGPrices,4,FALSE()),HLOOKUP(D742,PREVVOLS,VLOOKUP(G742,MOVE_DOWN2,2,FALSE()),FALSE()),VLOOKUP(G742,NGPREVPRICES,3,FALSE()),HLOOKUP(D742,Correllate,VLOOKUP(G742,CorMove,2,FALSE()),FALSE()),Q742-$CD$3,R742,$CJ$5)*H742-CJ744</f>
        <v>#NAME?</v>
      </c>
      <c r="CF744" s="132" t="e">
        <f aca="false">(CJ744/VLOOKUP(CC744,discount,3,FALSE()))-(CJ744/VLOOKUP(CC744,discount,2,FALSE()))</f>
        <v>#NAME?</v>
      </c>
      <c r="CG744" s="253" t="e">
        <f aca="false">xSPRDOPT((VLOOKUP(G742,NGPREVPRICES,2,FALSE())+HLOOKUP(D742,PREVCURVES,VLOOKUP(G742,MOVE_DOWN2,2,FALSE()),FALSE())),VLOOKUP(G742,NGPREVPRICES,2,FALSE()),CK744,VLOOKUP(G742,NGPREVPRICES,4,FALSE()),HLOOKUP(D742,VOLS,VLOOKUP(G742,move_down,2,FALSE()),FALSE()),VLOOKUP(G742,NGPrices,3,FALSE()),HLOOKUP(D742,Correllate,VLOOKUP(G742,CorMove,2,FALSE()),FALSE()),Q742-$CD$3,R742,$CJ$5)*H742-CJ744</f>
        <v>#NAME?</v>
      </c>
      <c r="CH744" s="253" t="e">
        <f aca="false">xSPRDOPT((VLOOKUP(G742,NGPREVPRICES,2,FALSE())+HLOOKUP(D742,PREVCURVES,VLOOKUP(G742,MOVE_DOWN2,2,FALSE()),FALSE())),VLOOKUP(G742,NGPREVPRICES,2,FALSE()),CK744,VLOOKUP(G742,NGPREVPRICES,4,FALSE()),HLOOKUP(D742,PREVVOLS,VLOOKUP(G742,MOVE_DOWN2,2,FALSE()),FALSE()),VLOOKUP(G742,NGPREVPRICES,3,FALSE()),HLOOKUP(D742,Correllate,VLOOKUP(G742,CorMove,2,FALSE()),FALSE()),Q742-$C$3,R742,$CJ$5)*H742-CJ744</f>
        <v>#NAME?</v>
      </c>
      <c r="CI744" s="253" t="e">
        <f aca="false">SUM(CD744:CH744)</f>
        <v>#NAME?</v>
      </c>
      <c r="CJ744" s="253" t="e">
        <f aca="false">xSPRDOPT((VLOOKUP(G742,NGPREVPRICES,2,FALSE())+HLOOKUP(D742,PREVCURVES,VLOOKUP(G742,MOVE_DOWN2,2,FALSE()),FALSE())),VLOOKUP(G742,NGPREVPRICES,2,FALSE()),CK744,VLOOKUP(G742,NGPREVPRICES,4,FALSE()),HLOOKUP(D742,PREVVOLS,VLOOKUP(G742,MOVE_DOWN2,2,FALSE()),FALSE()),VLOOKUP(G742,NGPREVPRICES,3,FALSE()),HLOOKUP(D742,Correllate,VLOOKUP(G742,CorMove,2,FALSE()),FALSE()),Q742-$CD$3,R742,$CJ$5)*H742</f>
        <v>#NAME?</v>
      </c>
      <c r="CK744" s="254" t="n">
        <f aca="false">I742</f>
        <v>0.28</v>
      </c>
      <c r="CM744" s="0" t="str">
        <f aca="false">CONCATENATE(CC744,$CD$6)</f>
        <v>37012Curve Shift/Gamma</v>
      </c>
      <c r="CN744" s="0" t="str">
        <f aca="false">CONCATENATE($CC744,$CE$6)</f>
        <v>37012Rho</v>
      </c>
      <c r="CO744" s="0" t="str">
        <f aca="false">CONCATENATE($CC744,$CF$6)</f>
        <v>37012Drift</v>
      </c>
      <c r="CP744" s="0" t="str">
        <f aca="false">CONCATENATE($CC744,$CG$6)</f>
        <v>37012Vega</v>
      </c>
      <c r="CQ744" s="0" t="str">
        <f aca="false">CONCATENATE($CC744,$CH$6)</f>
        <v>37012Theta</v>
      </c>
    </row>
    <row r="745" customFormat="false" ht="12.75" hidden="false" customHeight="false" outlineLevel="0" collapsed="false">
      <c r="A745" s="17" t="s">
        <v>210</v>
      </c>
      <c r="B745" s="0" t="s">
        <v>192</v>
      </c>
      <c r="C745" s="0" t="s">
        <v>441</v>
      </c>
      <c r="D745" s="7" t="s">
        <v>155</v>
      </c>
      <c r="E745" s="0" t="s">
        <v>131</v>
      </c>
      <c r="F745" s="0" t="s">
        <v>132</v>
      </c>
      <c r="G745" s="92" t="n">
        <v>37104</v>
      </c>
      <c r="H745" s="248" t="n">
        <v>1000000</v>
      </c>
      <c r="I745" s="254" t="n">
        <v>0.28</v>
      </c>
      <c r="J745" s="124" t="n">
        <f aca="false">VLOOKUP(G745,NGPrices,2,FALSE())</f>
        <v>3.808</v>
      </c>
      <c r="K745" s="125" t="n">
        <f aca="false">HLOOKUP(D745,Prices,VLOOKUP(G745,move_down,2,FALSE()),FALSE())+VLOOKUP(G745,CHANGE,HLOOKUP(D745,CHANGE,2,FALSE()),FALSE())</f>
        <v>0.3275</v>
      </c>
      <c r="L745" s="124" t="n">
        <f aca="false">K745+J745</f>
        <v>4.1355</v>
      </c>
      <c r="M745" s="126" t="n">
        <f aca="false">VLOOKUP(G745,NGPrices,4,FALSE())</f>
        <v>0.069223060737755</v>
      </c>
      <c r="N745" s="7" t="n">
        <f aca="false">VLOOKUP(G745,NGPrices,3,FALSE())</f>
        <v>0.4</v>
      </c>
      <c r="O745" s="7" t="n">
        <f aca="false">HLOOKUP(D745,VOLS,VLOOKUP(G745,move_down,2,FALSE()),FALSE())</f>
        <v>0.392</v>
      </c>
      <c r="P745" s="249" t="n">
        <f aca="false">HLOOKUP(D745,Correllate,VLOOKUP(G745,CorMove,2,FALSE()),FALSE())</f>
        <v>0.99</v>
      </c>
      <c r="Q745" s="92" t="n">
        <f aca="false">WORKDAY(G745,-2)</f>
        <v>37102</v>
      </c>
      <c r="R745" s="7" t="n">
        <f aca="false">IF(F745="P",0,1)</f>
        <v>0</v>
      </c>
      <c r="S745" s="130" t="e">
        <f aca="false">xSPRDOPT($L745,$J745,$I745,$M745,$O745,$N745,$P745,$Q745-$C$3,$R745,0)</f>
        <v>#NAME?</v>
      </c>
      <c r="T745" s="250" t="e">
        <f aca="false">xSPRDOPT($L745,$J745,$I745,$M745,$O745,$N745,$P745,$Q745-$C$3,$R745,1)*H745</f>
        <v>#NAME?</v>
      </c>
      <c r="U745" s="43" t="e">
        <f aca="false">S745*H745</f>
        <v>#NAME?</v>
      </c>
      <c r="V745" s="250" t="e">
        <f aca="false">xSPRDOPT($L745,$J745,$I745,$M745,$O745,$N745,$P745,$Q745-$C$3,$R745,2)*H745</f>
        <v>#NAME?</v>
      </c>
      <c r="W745" s="250" t="e">
        <f aca="false">+V745+T745</f>
        <v>#NAME?</v>
      </c>
      <c r="X745" s="2" t="str">
        <f aca="false">CONCATENATE(G745,D745)</f>
        <v>37104IF-TETCO/M3</v>
      </c>
      <c r="Y745" s="251" t="n">
        <f aca="false">H745/10000</f>
        <v>100</v>
      </c>
      <c r="Z745" s="226" t="e">
        <f aca="false">T745/H745</f>
        <v>#NAME?</v>
      </c>
      <c r="AA745" s="226" t="e">
        <f aca="false">xSPRDOPT($L745,$J745,$I745,$M745,$O745,$N745,$P745,$Q745-$C$3,$R745,3)</f>
        <v>#NAME?</v>
      </c>
      <c r="AB745" s="226" t="e">
        <f aca="false">((xSPRDOPT($L745+AB$5,$J745,$I745,$M745,$O745,$N745,$P745,$Q745-$C$3,$R745,3)*$H745)/10000)/100</f>
        <v>#NAME?</v>
      </c>
      <c r="AC745" s="226" t="e">
        <f aca="false">((xSPRDOPT($L745+$AB$5,$J745,$I745,$M745,$O745,$N745,$P745,$Q745-$C$3,$R745,7)*$H745)/100)</f>
        <v>#NAME?</v>
      </c>
      <c r="AD745" s="226" t="e">
        <f aca="false">(xSPRDOPT($L745+$AB$5,$J745,$I745,$M745,$O745,$N745,$P745,$Q745-$C$3,$R745,9)/365)*$H745</f>
        <v>#NAME?</v>
      </c>
      <c r="AE745" s="0" t="e">
        <f aca="false">CD747</f>
        <v>#NAME?</v>
      </c>
      <c r="AF745" s="226" t="e">
        <f aca="false">((O745/N745)*AH745)+AG745</f>
        <v>#NAME?</v>
      </c>
      <c r="AG745" s="226" t="e">
        <f aca="false">((xSPRDOPT($L745,$J745,$I745,$M745,$O745,$N745,$P745,$Q745-$C$3,$R745,6)*$H745)/100)</f>
        <v>#NAME?</v>
      </c>
      <c r="AH745" s="226" t="e">
        <f aca="false">((xSPRDOPT($L745,$J745,$I745,$M745,$O745,$N745,$P745,$Q745-$C$3,$R745,5)*$H745)/100)</f>
        <v>#NAME?</v>
      </c>
      <c r="AI745" s="226" t="e">
        <f aca="false">(((xSPRDOPT($L745,$J745,$I745,$M745,$O745,$N745,$P745,$Q745-$C$3,$R745,4)*$H745)/10000)/100)-AB745</f>
        <v>#NAME?</v>
      </c>
      <c r="AJ745" s="226"/>
      <c r="CC745" s="182" t="n">
        <f aca="false">G743</f>
        <v>37043</v>
      </c>
      <c r="CD745" s="253" t="e">
        <f aca="false">xSPRDOPT((VLOOKUP(G743,NGPrices,2,FALSE())+HLOOKUP(D743,Prices,VLOOKUP(G743,move_down,2,FALSE()),FALSE())),VLOOKUP(G743,NGPrices,2,FALSE()),I743,VLOOKUP(G743,NGPREVPRICES,4,FALSE()),HLOOKUP(D743,PREVVOLS,VLOOKUP(G743,MOVE_DOWN2,2,FALSE()),FALSE()),VLOOKUP(G743,NGPREVPRICES,3,FALSE()),HLOOKUP(D743,Correllate,VLOOKUP(G743,CorMove,2,FALSE()),FALSE()),Q743-$CD$3,R743,$CD$5)*H743-CJ745</f>
        <v>#NAME?</v>
      </c>
      <c r="CE745" s="253" t="e">
        <f aca="false">xSPRDOPT((VLOOKUP(G743,NGPREVPRICES,2,FALSE())+HLOOKUP(D743,PREVCURVES,VLOOKUP(G743,MOVE_DOWN2,2,FALSE()),FALSE())),VLOOKUP(G743,NGPREVPRICES,2,FALSE()),CK745,VLOOKUP(G743,NGPrices,4,FALSE()),HLOOKUP(D743,PREVVOLS,VLOOKUP(G743,MOVE_DOWN2,2,FALSE()),FALSE()),VLOOKUP(G743,NGPREVPRICES,3,FALSE()),HLOOKUP(D743,Correllate,VLOOKUP(G743,CorMove,2,FALSE()),FALSE()),Q743-$CD$3,R743,$CJ$5)*H743-CJ745</f>
        <v>#NAME?</v>
      </c>
      <c r="CF745" s="132" t="e">
        <f aca="false">(CJ745/VLOOKUP(CC745,discount,3,FALSE()))-(CJ745/VLOOKUP(CC745,discount,2,FALSE()))</f>
        <v>#NAME?</v>
      </c>
      <c r="CG745" s="253" t="e">
        <f aca="false">xSPRDOPT((VLOOKUP(G743,NGPREVPRICES,2,FALSE())+HLOOKUP(D743,PREVCURVES,VLOOKUP(G743,MOVE_DOWN2,2,FALSE()),FALSE())),VLOOKUP(G743,NGPREVPRICES,2,FALSE()),CK745,VLOOKUP(G743,NGPREVPRICES,4,FALSE()),HLOOKUP(D743,VOLS,VLOOKUP(G743,move_down,2,FALSE()),FALSE()),VLOOKUP(G743,NGPrices,3,FALSE()),HLOOKUP(D743,Correllate,VLOOKUP(G743,CorMove,2,FALSE()),FALSE()),Q743-$CD$3,R743,$CJ$5)*H743-CJ745</f>
        <v>#NAME?</v>
      </c>
      <c r="CH745" s="253" t="e">
        <f aca="false">xSPRDOPT((VLOOKUP(G743,NGPREVPRICES,2,FALSE())+HLOOKUP(D743,PREVCURVES,VLOOKUP(G743,MOVE_DOWN2,2,FALSE()),FALSE())),VLOOKUP(G743,NGPREVPRICES,2,FALSE()),CK745,VLOOKUP(G743,NGPREVPRICES,4,FALSE()),HLOOKUP(D743,PREVVOLS,VLOOKUP(G743,MOVE_DOWN2,2,FALSE()),FALSE()),VLOOKUP(G743,NGPREVPRICES,3,FALSE()),HLOOKUP(D743,Correllate,VLOOKUP(G743,CorMove,2,FALSE()),FALSE()),Q743-$C$3,R743,$CJ$5)*H743-CJ745</f>
        <v>#NAME?</v>
      </c>
      <c r="CI745" s="253" t="e">
        <f aca="false">SUM(CD745:CH745)</f>
        <v>#NAME?</v>
      </c>
      <c r="CJ745" s="253" t="e">
        <f aca="false">xSPRDOPT((VLOOKUP(G743,NGPREVPRICES,2,FALSE())+HLOOKUP(D743,PREVCURVES,VLOOKUP(G743,MOVE_DOWN2,2,FALSE()),FALSE())),VLOOKUP(G743,NGPREVPRICES,2,FALSE()),CK745,VLOOKUP(G743,NGPREVPRICES,4,FALSE()),HLOOKUP(D743,PREVVOLS,VLOOKUP(G743,MOVE_DOWN2,2,FALSE()),FALSE()),VLOOKUP(G743,NGPREVPRICES,3,FALSE()),HLOOKUP(D743,Correllate,VLOOKUP(G743,CorMove,2,FALSE()),FALSE()),Q743-$CD$3,R743,$CJ$5)*H743</f>
        <v>#NAME?</v>
      </c>
      <c r="CK745" s="254" t="n">
        <f aca="false">I743</f>
        <v>0.28</v>
      </c>
      <c r="CM745" s="0" t="str">
        <f aca="false">CONCATENATE(CC745,$CD$6)</f>
        <v>37043Curve Shift/Gamma</v>
      </c>
      <c r="CN745" s="0" t="str">
        <f aca="false">CONCATENATE($CC745,$CE$6)</f>
        <v>37043Rho</v>
      </c>
      <c r="CO745" s="0" t="str">
        <f aca="false">CONCATENATE($CC745,$CF$6)</f>
        <v>37043Drift</v>
      </c>
      <c r="CP745" s="0" t="str">
        <f aca="false">CONCATENATE($CC745,$CG$6)</f>
        <v>37043Vega</v>
      </c>
      <c r="CQ745" s="0" t="str">
        <f aca="false">CONCATENATE($CC745,$CH$6)</f>
        <v>37043Theta</v>
      </c>
    </row>
    <row r="746" customFormat="false" ht="12.75" hidden="false" customHeight="false" outlineLevel="0" collapsed="false">
      <c r="A746" s="17" t="s">
        <v>210</v>
      </c>
      <c r="B746" s="0" t="s">
        <v>192</v>
      </c>
      <c r="C746" s="0" t="s">
        <v>441</v>
      </c>
      <c r="D746" s="7" t="s">
        <v>155</v>
      </c>
      <c r="E746" s="0" t="s">
        <v>131</v>
      </c>
      <c r="F746" s="0" t="s">
        <v>132</v>
      </c>
      <c r="G746" s="92" t="n">
        <v>37135</v>
      </c>
      <c r="H746" s="248" t="n">
        <v>1000000</v>
      </c>
      <c r="I746" s="254" t="n">
        <v>0.28</v>
      </c>
      <c r="J746" s="124" t="n">
        <f aca="false">VLOOKUP(G746,NGPrices,2,FALSE())</f>
        <v>3.788</v>
      </c>
      <c r="K746" s="125" t="n">
        <f aca="false">HLOOKUP(D746,Prices,VLOOKUP(G746,move_down,2,FALSE()),FALSE())+VLOOKUP(G746,CHANGE,HLOOKUP(D746,CHANGE,2,FALSE()),FALSE())</f>
        <v>0.3175</v>
      </c>
      <c r="L746" s="124" t="n">
        <f aca="false">K746+J746</f>
        <v>4.1055</v>
      </c>
      <c r="M746" s="126" t="n">
        <f aca="false">VLOOKUP(G746,NGPrices,4,FALSE())</f>
        <v>0.069264550207512</v>
      </c>
      <c r="N746" s="7" t="n">
        <f aca="false">VLOOKUP(G746,NGPrices,3,FALSE())</f>
        <v>0.4</v>
      </c>
      <c r="O746" s="7" t="n">
        <f aca="false">HLOOKUP(D746,VOLS,VLOOKUP(G746,move_down,2,FALSE()),FALSE())</f>
        <v>0.392</v>
      </c>
      <c r="P746" s="249" t="n">
        <f aca="false">HLOOKUP(D746,Correllate,VLOOKUP(G746,CorMove,2,FALSE()),FALSE())</f>
        <v>0.99</v>
      </c>
      <c r="Q746" s="92" t="n">
        <f aca="false">WORKDAY(G746,-2)</f>
        <v>37133</v>
      </c>
      <c r="R746" s="7" t="n">
        <f aca="false">IF(F746="P",0,1)</f>
        <v>0</v>
      </c>
      <c r="S746" s="130" t="e">
        <f aca="false">xSPRDOPT($L746,$J746,$I746,$M746,$O746,$N746,$P746,$Q746-$C$3,$R746,0)</f>
        <v>#NAME?</v>
      </c>
      <c r="T746" s="250" t="e">
        <f aca="false">xSPRDOPT($L746,$J746,$I746,$M746,$O746,$N746,$P746,$Q746-$C$3,$R746,1)*H746</f>
        <v>#NAME?</v>
      </c>
      <c r="U746" s="43" t="e">
        <f aca="false">S746*H746</f>
        <v>#NAME?</v>
      </c>
      <c r="V746" s="250" t="e">
        <f aca="false">xSPRDOPT($L746,$J746,$I746,$M746,$O746,$N746,$P746,$Q746-$C$3,$R746,2)*H746</f>
        <v>#NAME?</v>
      </c>
      <c r="W746" s="250" t="e">
        <f aca="false">+V746+T746</f>
        <v>#NAME?</v>
      </c>
      <c r="X746" s="2" t="str">
        <f aca="false">CONCATENATE(G746,D746)</f>
        <v>37135IF-TETCO/M3</v>
      </c>
      <c r="Y746" s="251" t="n">
        <f aca="false">H746/10000</f>
        <v>100</v>
      </c>
      <c r="Z746" s="226" t="e">
        <f aca="false">T746/H746</f>
        <v>#NAME?</v>
      </c>
      <c r="AA746" s="226" t="e">
        <f aca="false">xSPRDOPT($L746,$J746,$I746,$M746,$O746,$N746,$P746,$Q746-$C$3,$R746,3)</f>
        <v>#NAME?</v>
      </c>
      <c r="AB746" s="226" t="e">
        <f aca="false">((xSPRDOPT($L746+AB$5,$J746,$I746,$M746,$O746,$N746,$P746,$Q746-$C$3,$R746,3)*$H746)/10000)/100</f>
        <v>#NAME?</v>
      </c>
      <c r="AC746" s="226" t="e">
        <f aca="false">((xSPRDOPT($L746+$AB$5,$J746,$I746,$M746,$O746,$N746,$P746,$Q746-$C$3,$R746,7)*$H746)/100)</f>
        <v>#NAME?</v>
      </c>
      <c r="AD746" s="226" t="e">
        <f aca="false">(xSPRDOPT($L746+$AB$5,$J746,$I746,$M746,$O746,$N746,$P746,$Q746-$C$3,$R746,9)/365)*$H746</f>
        <v>#NAME?</v>
      </c>
      <c r="AE746" s="0" t="e">
        <f aca="false">CD748</f>
        <v>#NAME?</v>
      </c>
      <c r="AF746" s="226" t="e">
        <f aca="false">((O746/N746)*AH746)+AG746</f>
        <v>#NAME?</v>
      </c>
      <c r="AG746" s="226" t="e">
        <f aca="false">((xSPRDOPT($L746,$J746,$I746,$M746,$O746,$N746,$P746,$Q746-$C$3,$R746,6)*$H746)/100)</f>
        <v>#NAME?</v>
      </c>
      <c r="AH746" s="226" t="e">
        <f aca="false">((xSPRDOPT($L746,$J746,$I746,$M746,$O746,$N746,$P746,$Q746-$C$3,$R746,5)*$H746)/100)</f>
        <v>#NAME?</v>
      </c>
      <c r="AI746" s="226" t="e">
        <f aca="false">(((xSPRDOPT($L746,$J746,$I746,$M746,$O746,$N746,$P746,$Q746-$C$3,$R746,4)*$H746)/10000)/100)-AB746</f>
        <v>#NAME?</v>
      </c>
      <c r="AJ746" s="226"/>
      <c r="CC746" s="182" t="n">
        <f aca="false">G744</f>
        <v>37073</v>
      </c>
      <c r="CD746" s="253" t="e">
        <f aca="false">xSPRDOPT((VLOOKUP(G744,NGPrices,2,FALSE())+HLOOKUP(D744,Prices,VLOOKUP(G744,move_down,2,FALSE()),FALSE())),VLOOKUP(G744,NGPrices,2,FALSE()),I744,VLOOKUP(G744,NGPREVPRICES,4,FALSE()),HLOOKUP(D744,PREVVOLS,VLOOKUP(G744,MOVE_DOWN2,2,FALSE()),FALSE()),VLOOKUP(G744,NGPREVPRICES,3,FALSE()),HLOOKUP(D744,Correllate,VLOOKUP(G744,CorMove,2,FALSE()),FALSE()),Q744-$CD$3,R744,$CD$5)*H744-CJ746</f>
        <v>#NAME?</v>
      </c>
      <c r="CE746" s="253" t="e">
        <f aca="false">xSPRDOPT((VLOOKUP(G744,NGPREVPRICES,2,FALSE())+HLOOKUP(D744,PREVCURVES,VLOOKUP(G744,MOVE_DOWN2,2,FALSE()),FALSE())),VLOOKUP(G744,NGPREVPRICES,2,FALSE()),CK746,VLOOKUP(G744,NGPrices,4,FALSE()),HLOOKUP(D744,PREVVOLS,VLOOKUP(G744,MOVE_DOWN2,2,FALSE()),FALSE()),VLOOKUP(G744,NGPREVPRICES,3,FALSE()),HLOOKUP(D744,Correllate,VLOOKUP(G744,CorMove,2,FALSE()),FALSE()),Q744-$CD$3,R744,$CJ$5)*H744-CJ746</f>
        <v>#NAME?</v>
      </c>
      <c r="CF746" s="132" t="e">
        <f aca="false">(CJ746/VLOOKUP(CC746,discount,3,FALSE()))-(CJ746/VLOOKUP(CC746,discount,2,FALSE()))</f>
        <v>#NAME?</v>
      </c>
      <c r="CG746" s="253" t="e">
        <f aca="false">xSPRDOPT((VLOOKUP(G744,NGPREVPRICES,2,FALSE())+HLOOKUP(D744,PREVCURVES,VLOOKUP(G744,MOVE_DOWN2,2,FALSE()),FALSE())),VLOOKUP(G744,NGPREVPRICES,2,FALSE()),CK746,VLOOKUP(G744,NGPREVPRICES,4,FALSE()),HLOOKUP(D744,VOLS,VLOOKUP(G744,move_down,2,FALSE()),FALSE()),VLOOKUP(G744,NGPrices,3,FALSE()),HLOOKUP(D744,Correllate,VLOOKUP(G744,CorMove,2,FALSE()),FALSE()),Q744-$CD$3,R744,$CJ$5)*H744-CJ746</f>
        <v>#NAME?</v>
      </c>
      <c r="CH746" s="253" t="e">
        <f aca="false">xSPRDOPT((VLOOKUP(G744,NGPREVPRICES,2,FALSE())+HLOOKUP(D744,PREVCURVES,VLOOKUP(G744,MOVE_DOWN2,2,FALSE()),FALSE())),VLOOKUP(G744,NGPREVPRICES,2,FALSE()),CK746,VLOOKUP(G744,NGPREVPRICES,4,FALSE()),HLOOKUP(D744,PREVVOLS,VLOOKUP(G744,MOVE_DOWN2,2,FALSE()),FALSE()),VLOOKUP(G744,NGPREVPRICES,3,FALSE()),HLOOKUP(D744,Correllate,VLOOKUP(G744,CorMove,2,FALSE()),FALSE()),Q744-$C$3,R744,$CJ$5)*H744-CJ746</f>
        <v>#NAME?</v>
      </c>
      <c r="CI746" s="253" t="e">
        <f aca="false">SUM(CD746:CH746)</f>
        <v>#NAME?</v>
      </c>
      <c r="CJ746" s="253" t="e">
        <f aca="false">xSPRDOPT((VLOOKUP(G744,NGPREVPRICES,2,FALSE())+HLOOKUP(D744,PREVCURVES,VLOOKUP(G744,MOVE_DOWN2,2,FALSE()),FALSE())),VLOOKUP(G744,NGPREVPRICES,2,FALSE()),CK746,VLOOKUP(G744,NGPREVPRICES,4,FALSE()),HLOOKUP(D744,PREVVOLS,VLOOKUP(G744,MOVE_DOWN2,2,FALSE()),FALSE()),VLOOKUP(G744,NGPREVPRICES,3,FALSE()),HLOOKUP(D744,Correllate,VLOOKUP(G744,CorMove,2,FALSE()),FALSE()),Q744-$CD$3,R744,$CJ$5)*H744</f>
        <v>#NAME?</v>
      </c>
      <c r="CK746" s="254" t="n">
        <f aca="false">I744</f>
        <v>0.28</v>
      </c>
      <c r="CM746" s="0" t="str">
        <f aca="false">CONCATENATE(CC746,$CD$6)</f>
        <v>37073Curve Shift/Gamma</v>
      </c>
      <c r="CN746" s="0" t="str">
        <f aca="false">CONCATENATE($CC746,$CE$6)</f>
        <v>37073Rho</v>
      </c>
      <c r="CO746" s="0" t="str">
        <f aca="false">CONCATENATE($CC746,$CF$6)</f>
        <v>37073Drift</v>
      </c>
      <c r="CP746" s="0" t="str">
        <f aca="false">CONCATENATE($CC746,$CG$6)</f>
        <v>37073Vega</v>
      </c>
      <c r="CQ746" s="0" t="str">
        <f aca="false">CONCATENATE($CC746,$CH$6)</f>
        <v>37073Theta</v>
      </c>
    </row>
    <row r="747" customFormat="false" ht="12.75" hidden="false" customHeight="false" outlineLevel="0" collapsed="false">
      <c r="A747" s="17" t="s">
        <v>210</v>
      </c>
      <c r="B747" s="0" t="s">
        <v>192</v>
      </c>
      <c r="C747" s="0" t="s">
        <v>441</v>
      </c>
      <c r="D747" s="7" t="s">
        <v>155</v>
      </c>
      <c r="E747" s="0" t="s">
        <v>131</v>
      </c>
      <c r="F747" s="0" t="s">
        <v>132</v>
      </c>
      <c r="G747" s="92" t="n">
        <v>37165</v>
      </c>
      <c r="H747" s="248" t="n">
        <v>1000000</v>
      </c>
      <c r="I747" s="254" t="n">
        <v>0.28</v>
      </c>
      <c r="J747" s="124" t="n">
        <f aca="false">VLOOKUP(G747,NGPrices,2,FALSE())</f>
        <v>3.773</v>
      </c>
      <c r="K747" s="125" t="n">
        <f aca="false">HLOOKUP(D747,Prices,VLOOKUP(G747,move_down,2,FALSE()),FALSE())+VLOOKUP(G747,CHANGE,HLOOKUP(D747,CHANGE,2,FALSE()),FALSE())</f>
        <v>0.33</v>
      </c>
      <c r="L747" s="124" t="n">
        <f aca="false">K747+J747</f>
        <v>4.103</v>
      </c>
      <c r="M747" s="126" t="n">
        <f aca="false">VLOOKUP(G747,NGPrices,4,FALSE())</f>
        <v>0.069300944538364</v>
      </c>
      <c r="N747" s="7" t="n">
        <f aca="false">VLOOKUP(G747,NGPrices,3,FALSE())</f>
        <v>0.4025</v>
      </c>
      <c r="O747" s="7" t="n">
        <f aca="false">HLOOKUP(D747,VOLS,VLOOKUP(G747,move_down,2,FALSE()),FALSE())</f>
        <v>0.394</v>
      </c>
      <c r="P747" s="249" t="n">
        <f aca="false">HLOOKUP(D747,Correllate,VLOOKUP(G747,CorMove,2,FALSE()),FALSE())</f>
        <v>0.99</v>
      </c>
      <c r="Q747" s="92" t="n">
        <f aca="false">WORKDAY(G747,-2)</f>
        <v>37161</v>
      </c>
      <c r="R747" s="7" t="n">
        <f aca="false">IF(F747="P",0,1)</f>
        <v>0</v>
      </c>
      <c r="S747" s="130" t="e">
        <f aca="false">xSPRDOPT($L747,$J747,$I747,$M747,$O747,$N747,$P747,$Q747-$C$3,$R747,0)</f>
        <v>#NAME?</v>
      </c>
      <c r="T747" s="250" t="e">
        <f aca="false">xSPRDOPT($L747,$J747,$I747,$M747,$O747,$N747,$P747,$Q747-$C$3,$R747,1)*H747</f>
        <v>#NAME?</v>
      </c>
      <c r="U747" s="43" t="e">
        <f aca="false">S747*H747</f>
        <v>#NAME?</v>
      </c>
      <c r="V747" s="250" t="e">
        <f aca="false">xSPRDOPT($L747,$J747,$I747,$M747,$O747,$N747,$P747,$Q747-$C$3,$R747,2)*H747</f>
        <v>#NAME?</v>
      </c>
      <c r="W747" s="250" t="e">
        <f aca="false">+V747+T747</f>
        <v>#NAME?</v>
      </c>
      <c r="X747" s="2" t="str">
        <f aca="false">CONCATENATE(G747,D747)</f>
        <v>37165IF-TETCO/M3</v>
      </c>
      <c r="Y747" s="251" t="n">
        <f aca="false">H747/10000</f>
        <v>100</v>
      </c>
      <c r="Z747" s="226" t="e">
        <f aca="false">T747/H747</f>
        <v>#NAME?</v>
      </c>
      <c r="AA747" s="226" t="e">
        <f aca="false">xSPRDOPT($L747,$J747,$I747,$M747,$O747,$N747,$P747,$Q747-$C$3,$R747,3)</f>
        <v>#NAME?</v>
      </c>
      <c r="AB747" s="226" t="e">
        <f aca="false">((xSPRDOPT($L747+AB$5,$J747,$I747,$M747,$O747,$N747,$P747,$Q747-$C$3,$R747,3)*$H747)/10000)/100</f>
        <v>#NAME?</v>
      </c>
      <c r="AC747" s="226" t="e">
        <f aca="false">((xSPRDOPT($L747+$AB$5,$J747,$I747,$M747,$O747,$N747,$P747,$Q747-$C$3,$R747,7)*$H747)/100)</f>
        <v>#NAME?</v>
      </c>
      <c r="AD747" s="226" t="e">
        <f aca="false">(xSPRDOPT($L747+$AB$5,$J747,$I747,$M747,$O747,$N747,$P747,$Q747-$C$3,$R747,9)/365)*$H747</f>
        <v>#NAME?</v>
      </c>
      <c r="AE747" s="0" t="e">
        <f aca="false">CD749</f>
        <v>#NAME?</v>
      </c>
      <c r="AF747" s="226" t="e">
        <f aca="false">((O747/N747)*AH747)+AG747</f>
        <v>#NAME?</v>
      </c>
      <c r="AG747" s="226" t="e">
        <f aca="false">((xSPRDOPT($L747,$J747,$I747,$M747,$O747,$N747,$P747,$Q747-$C$3,$R747,6)*$H747)/100)</f>
        <v>#NAME?</v>
      </c>
      <c r="AH747" s="226" t="e">
        <f aca="false">((xSPRDOPT($L747,$J747,$I747,$M747,$O747,$N747,$P747,$Q747-$C$3,$R747,5)*$H747)/100)</f>
        <v>#NAME?</v>
      </c>
      <c r="AI747" s="226" t="e">
        <f aca="false">(((xSPRDOPT($L747,$J747,$I747,$M747,$O747,$N747,$P747,$Q747-$C$3,$R747,4)*$H747)/10000)/100)-AB747</f>
        <v>#NAME?</v>
      </c>
      <c r="AJ747" s="226"/>
      <c r="CC747" s="182" t="n">
        <f aca="false">G745</f>
        <v>37104</v>
      </c>
      <c r="CD747" s="253" t="e">
        <f aca="false">xSPRDOPT((VLOOKUP(G745,NGPrices,2,FALSE())+HLOOKUP(D745,Prices,VLOOKUP(G745,move_down,2,FALSE()),FALSE())),VLOOKUP(G745,NGPrices,2,FALSE()),I745,VLOOKUP(G745,NGPREVPRICES,4,FALSE()),HLOOKUP(D745,PREVVOLS,VLOOKUP(G745,MOVE_DOWN2,2,FALSE()),FALSE()),VLOOKUP(G745,NGPREVPRICES,3,FALSE()),HLOOKUP(D745,Correllate,VLOOKUP(G745,CorMove,2,FALSE()),FALSE()),Q745-$CD$3,R745,$CD$5)*H745-CJ747</f>
        <v>#NAME?</v>
      </c>
      <c r="CE747" s="253" t="e">
        <f aca="false">xSPRDOPT((VLOOKUP(G745,NGPREVPRICES,2,FALSE())+HLOOKUP(D745,PREVCURVES,VLOOKUP(G745,MOVE_DOWN2,2,FALSE()),FALSE())),VLOOKUP(G745,NGPREVPRICES,2,FALSE()),CK747,VLOOKUP(G745,NGPrices,4,FALSE()),HLOOKUP(D745,PREVVOLS,VLOOKUP(G745,MOVE_DOWN2,2,FALSE()),FALSE()),VLOOKUP(G745,NGPREVPRICES,3,FALSE()),HLOOKUP(D745,Correllate,VLOOKUP(G745,CorMove,2,FALSE()),FALSE()),Q745-$CD$3,R745,$CJ$5)*H745-CJ747</f>
        <v>#NAME?</v>
      </c>
      <c r="CF747" s="132" t="e">
        <f aca="false">(CJ747/VLOOKUP(CC747,discount,3,FALSE()))-(CJ747/VLOOKUP(CC747,discount,2,FALSE()))</f>
        <v>#NAME?</v>
      </c>
      <c r="CG747" s="253" t="e">
        <f aca="false">xSPRDOPT((VLOOKUP(G745,NGPREVPRICES,2,FALSE())+HLOOKUP(D745,PREVCURVES,VLOOKUP(G745,MOVE_DOWN2,2,FALSE()),FALSE())),VLOOKUP(G745,NGPREVPRICES,2,FALSE()),CK747,VLOOKUP(G745,NGPREVPRICES,4,FALSE()),HLOOKUP(D745,VOLS,VLOOKUP(G745,move_down,2,FALSE()),FALSE()),VLOOKUP(G745,NGPrices,3,FALSE()),HLOOKUP(D745,Correllate,VLOOKUP(G745,CorMove,2,FALSE()),FALSE()),Q745-$CD$3,R745,$CJ$5)*H745-CJ747</f>
        <v>#NAME?</v>
      </c>
      <c r="CH747" s="253" t="e">
        <f aca="false">xSPRDOPT((VLOOKUP(G745,NGPREVPRICES,2,FALSE())+HLOOKUP(D745,PREVCURVES,VLOOKUP(G745,MOVE_DOWN2,2,FALSE()),FALSE())),VLOOKUP(G745,NGPREVPRICES,2,FALSE()),CK747,VLOOKUP(G745,NGPREVPRICES,4,FALSE()),HLOOKUP(D745,PREVVOLS,VLOOKUP(G745,MOVE_DOWN2,2,FALSE()),FALSE()),VLOOKUP(G745,NGPREVPRICES,3,FALSE()),HLOOKUP(D745,Correllate,VLOOKUP(G745,CorMove,2,FALSE()),FALSE()),Q745-$C$3,R745,$CJ$5)*H745-CJ747</f>
        <v>#NAME?</v>
      </c>
      <c r="CI747" s="253" t="e">
        <f aca="false">SUM(CD747:CH747)</f>
        <v>#NAME?</v>
      </c>
      <c r="CJ747" s="253" t="e">
        <f aca="false">xSPRDOPT((VLOOKUP(G745,NGPREVPRICES,2,FALSE())+HLOOKUP(D745,PREVCURVES,VLOOKUP(G745,MOVE_DOWN2,2,FALSE()),FALSE())),VLOOKUP(G745,NGPREVPRICES,2,FALSE()),CK747,VLOOKUP(G745,NGPREVPRICES,4,FALSE()),HLOOKUP(D745,PREVVOLS,VLOOKUP(G745,MOVE_DOWN2,2,FALSE()),FALSE()),VLOOKUP(G745,NGPREVPRICES,3,FALSE()),HLOOKUP(D745,Correllate,VLOOKUP(G745,CorMove,2,FALSE()),FALSE()),Q745-$CD$3,R745,$CJ$5)*H745</f>
        <v>#NAME?</v>
      </c>
      <c r="CK747" s="254" t="n">
        <f aca="false">I745</f>
        <v>0.28</v>
      </c>
      <c r="CM747" s="0" t="str">
        <f aca="false">CONCATENATE(CC747,$CD$6)</f>
        <v>37104Curve Shift/Gamma</v>
      </c>
      <c r="CN747" s="0" t="str">
        <f aca="false">CONCATENATE($CC747,$CE$6)</f>
        <v>37104Rho</v>
      </c>
      <c r="CO747" s="0" t="str">
        <f aca="false">CONCATENATE($CC747,$CF$6)</f>
        <v>37104Drift</v>
      </c>
      <c r="CP747" s="0" t="str">
        <f aca="false">CONCATENATE($CC747,$CG$6)</f>
        <v>37104Vega</v>
      </c>
      <c r="CQ747" s="0" t="str">
        <f aca="false">CONCATENATE($CC747,$CH$6)</f>
        <v>37104Theta</v>
      </c>
    </row>
    <row r="748" customFormat="false" ht="12.75" hidden="false" customHeight="false" outlineLevel="0" collapsed="false">
      <c r="A748" s="17" t="s">
        <v>301</v>
      </c>
      <c r="B748" s="0" t="s">
        <v>192</v>
      </c>
      <c r="C748" s="0" t="s">
        <v>442</v>
      </c>
      <c r="D748" s="7" t="s">
        <v>150</v>
      </c>
      <c r="E748" s="0" t="s">
        <v>131</v>
      </c>
      <c r="F748" s="0" t="s">
        <v>136</v>
      </c>
      <c r="G748" s="92" t="n">
        <v>36923</v>
      </c>
      <c r="H748" s="248" t="n">
        <v>-1120000</v>
      </c>
      <c r="I748" s="254" t="n">
        <v>0.4</v>
      </c>
      <c r="J748" s="124" t="n">
        <f aca="false">VLOOKUP(G748,NGPrices,2,FALSE())</f>
        <v>4.48</v>
      </c>
      <c r="K748" s="125" t="n">
        <f aca="false">HLOOKUP(D748,Prices,VLOOKUP(G748,move_down,2,FALSE()),FALSE())+VLOOKUP(G748,CHANGE,HLOOKUP(D748,CHANGE,2,FALSE()),FALSE())</f>
        <v>0.295</v>
      </c>
      <c r="L748" s="124" t="n">
        <f aca="false">K748+J748</f>
        <v>4.775</v>
      </c>
      <c r="M748" s="126" t="n">
        <f aca="false">VLOOKUP(G748,NGPrices,4,FALSE())</f>
        <v>0.068640161611372</v>
      </c>
      <c r="N748" s="7" t="n">
        <f aca="false">VLOOKUP(G748,NGPrices,3,FALSE())</f>
        <v>0.5925</v>
      </c>
      <c r="O748" s="7" t="n">
        <f aca="false">HLOOKUP(D748,VOLS,VLOOKUP(G748,move_down,2,FALSE()),FALSE())</f>
        <v>0.593</v>
      </c>
      <c r="P748" s="249" t="n">
        <f aca="false">HLOOKUP(D748,Correllate,VLOOKUP(G748,CorMove,2,FALSE()),FALSE())</f>
        <v>0.99</v>
      </c>
      <c r="Q748" s="92" t="n">
        <f aca="false">WORKDAY(G748,-2)</f>
        <v>36921</v>
      </c>
      <c r="R748" s="7" t="n">
        <f aca="false">IF(F748="P",0,1)</f>
        <v>1</v>
      </c>
      <c r="S748" s="130" t="e">
        <f aca="false">xSPRDOPT($L748,$J748,$I748,$M748,$O748,$N748,$P748,$Q748-$C$3,$R748,0)</f>
        <v>#NAME?</v>
      </c>
      <c r="T748" s="250" t="e">
        <f aca="false">xSPRDOPT($L748,$J748,$I748,$M748,$O748,$N748,$P748,$Q748-$C$3,$R748,1)*H748</f>
        <v>#NAME?</v>
      </c>
      <c r="U748" s="43" t="e">
        <f aca="false">S748*H748</f>
        <v>#NAME?</v>
      </c>
      <c r="V748" s="250" t="e">
        <f aca="false">xSPRDOPT($L748,$J748,$I748,$M748,$O748,$N748,$P748,$Q748-$C$3,$R748,2)*H748</f>
        <v>#NAME?</v>
      </c>
      <c r="W748" s="250" t="e">
        <f aca="false">+V748+T748</f>
        <v>#NAME?</v>
      </c>
      <c r="X748" s="2" t="str">
        <f aca="false">CONCATENATE(G748,D748)</f>
        <v>36923IF-CGT/APPALAC</v>
      </c>
      <c r="Y748" s="251" t="n">
        <f aca="false">H748/10000</f>
        <v>-112</v>
      </c>
      <c r="Z748" s="226" t="e">
        <f aca="false">T748/H748</f>
        <v>#NAME?</v>
      </c>
      <c r="AA748" s="226" t="e">
        <f aca="false">xSPRDOPT($L748,$J748,$I748,$M748,$O748,$N748,$P748,$Q748-$C$3,$R748,3)</f>
        <v>#NAME?</v>
      </c>
      <c r="AB748" s="226" t="e">
        <f aca="false">((xSPRDOPT($L748+AB$5,$J748,$I748,$M748,$O748,$N748,$P748,$Q748-$C$3,$R748,3)*$H748)/10000)/100</f>
        <v>#NAME?</v>
      </c>
      <c r="AC748" s="226" t="e">
        <f aca="false">((xSPRDOPT($L748+$AB$5,$J748,$I748,$M748,$O748,$N748,$P748,$Q748-$C$3,$R748,7)*$H748)/100)</f>
        <v>#NAME?</v>
      </c>
      <c r="AD748" s="226" t="e">
        <f aca="false">(xSPRDOPT($L748+$AB$5,$J748,$I748,$M748,$O748,$N748,$P748,$Q748-$C$3,$R748,9)/365)*$H748</f>
        <v>#NAME?</v>
      </c>
      <c r="AE748" s="0" t="e">
        <f aca="false">CD750</f>
        <v>#NAME?</v>
      </c>
      <c r="AF748" s="226" t="e">
        <f aca="false">((O748/N748)*AH748)+AG748</f>
        <v>#NAME?</v>
      </c>
      <c r="AG748" s="226" t="e">
        <f aca="false">((xSPRDOPT($L748,$J748,$I748,$M748,$O748,$N748,$P748,$Q748-$C$3,$R748,6)*$H748)/100)</f>
        <v>#NAME?</v>
      </c>
      <c r="AH748" s="226" t="e">
        <f aca="false">((xSPRDOPT($L748,$J748,$I748,$M748,$O748,$N748,$P748,$Q748-$C$3,$R748,5)*$H748)/100)</f>
        <v>#NAME?</v>
      </c>
      <c r="AI748" s="226" t="e">
        <f aca="false">(((xSPRDOPT($L748,$J748,$I748,$M748,$O748,$N748,$P748,$Q748-$C$3,$R748,4)*$H748)/10000)/100)-AB748</f>
        <v>#NAME?</v>
      </c>
      <c r="AJ748" s="226"/>
      <c r="CC748" s="182" t="n">
        <f aca="false">G746</f>
        <v>37135</v>
      </c>
      <c r="CD748" s="253" t="e">
        <f aca="false">xSPRDOPT((VLOOKUP(G746,NGPrices,2,FALSE())+HLOOKUP(D746,Prices,VLOOKUP(G746,move_down,2,FALSE()),FALSE())),VLOOKUP(G746,NGPrices,2,FALSE()),I746,VLOOKUP(G746,NGPREVPRICES,4,FALSE()),HLOOKUP(D746,PREVVOLS,VLOOKUP(G746,MOVE_DOWN2,2,FALSE()),FALSE()),VLOOKUP(G746,NGPREVPRICES,3,FALSE()),HLOOKUP(D746,Correllate,VLOOKUP(G746,CorMove,2,FALSE()),FALSE()),Q746-$CD$3,R746,$CD$5)*H746-CJ748</f>
        <v>#NAME?</v>
      </c>
      <c r="CE748" s="253" t="e">
        <f aca="false">xSPRDOPT((VLOOKUP(G746,NGPREVPRICES,2,FALSE())+HLOOKUP(D746,PREVCURVES,VLOOKUP(G746,MOVE_DOWN2,2,FALSE()),FALSE())),VLOOKUP(G746,NGPREVPRICES,2,FALSE()),CK748,VLOOKUP(G746,NGPrices,4,FALSE()),HLOOKUP(D746,PREVVOLS,VLOOKUP(G746,MOVE_DOWN2,2,FALSE()),FALSE()),VLOOKUP(G746,NGPREVPRICES,3,FALSE()),HLOOKUP(D746,Correllate,VLOOKUP(G746,CorMove,2,FALSE()),FALSE()),Q746-$CD$3,R746,$CJ$5)*H746-CJ748</f>
        <v>#NAME?</v>
      </c>
      <c r="CF748" s="132" t="e">
        <f aca="false">(CJ748/VLOOKUP(CC748,discount,3,FALSE()))-(CJ748/VLOOKUP(CC748,discount,2,FALSE()))</f>
        <v>#NAME?</v>
      </c>
      <c r="CG748" s="253" t="e">
        <f aca="false">xSPRDOPT((VLOOKUP(G746,NGPREVPRICES,2,FALSE())+HLOOKUP(D746,PREVCURVES,VLOOKUP(G746,MOVE_DOWN2,2,FALSE()),FALSE())),VLOOKUP(G746,NGPREVPRICES,2,FALSE()),CK748,VLOOKUP(G746,NGPREVPRICES,4,FALSE()),HLOOKUP(D746,VOLS,VLOOKUP(G746,move_down,2,FALSE()),FALSE()),VLOOKUP(G746,NGPrices,3,FALSE()),HLOOKUP(D746,Correllate,VLOOKUP(G746,CorMove,2,FALSE()),FALSE()),Q746-$CD$3,R746,$CJ$5)*H746-CJ748</f>
        <v>#NAME?</v>
      </c>
      <c r="CH748" s="253" t="e">
        <f aca="false">xSPRDOPT((VLOOKUP(G746,NGPREVPRICES,2,FALSE())+HLOOKUP(D746,PREVCURVES,VLOOKUP(G746,MOVE_DOWN2,2,FALSE()),FALSE())),VLOOKUP(G746,NGPREVPRICES,2,FALSE()),CK748,VLOOKUP(G746,NGPREVPRICES,4,FALSE()),HLOOKUP(D746,PREVVOLS,VLOOKUP(G746,MOVE_DOWN2,2,FALSE()),FALSE()),VLOOKUP(G746,NGPREVPRICES,3,FALSE()),HLOOKUP(D746,Correllate,VLOOKUP(G746,CorMove,2,FALSE()),FALSE()),Q746-$C$3,R746,$CJ$5)*H746-CJ748</f>
        <v>#NAME?</v>
      </c>
      <c r="CI748" s="253" t="e">
        <f aca="false">SUM(CD748:CH748)</f>
        <v>#NAME?</v>
      </c>
      <c r="CJ748" s="253" t="e">
        <f aca="false">xSPRDOPT((VLOOKUP(G746,NGPREVPRICES,2,FALSE())+HLOOKUP(D746,PREVCURVES,VLOOKUP(G746,MOVE_DOWN2,2,FALSE()),FALSE())),VLOOKUP(G746,NGPREVPRICES,2,FALSE()),CK748,VLOOKUP(G746,NGPREVPRICES,4,FALSE()),HLOOKUP(D746,PREVVOLS,VLOOKUP(G746,MOVE_DOWN2,2,FALSE()),FALSE()),VLOOKUP(G746,NGPREVPRICES,3,FALSE()),HLOOKUP(D746,Correllate,VLOOKUP(G746,CorMove,2,FALSE()),FALSE()),Q746-$CD$3,R746,$CJ$5)*H746</f>
        <v>#NAME?</v>
      </c>
      <c r="CK748" s="254" t="n">
        <f aca="false">I746</f>
        <v>0.28</v>
      </c>
      <c r="CM748" s="0" t="str">
        <f aca="false">CONCATENATE(CC748,$CD$6)</f>
        <v>37135Curve Shift/Gamma</v>
      </c>
      <c r="CN748" s="0" t="str">
        <f aca="false">CONCATENATE($CC748,$CE$6)</f>
        <v>37135Rho</v>
      </c>
      <c r="CO748" s="0" t="str">
        <f aca="false">CONCATENATE($CC748,$CF$6)</f>
        <v>37135Drift</v>
      </c>
      <c r="CP748" s="0" t="str">
        <f aca="false">CONCATENATE($CC748,$CG$6)</f>
        <v>37135Vega</v>
      </c>
      <c r="CQ748" s="0" t="str">
        <f aca="false">CONCATENATE($CC748,$CH$6)</f>
        <v>37135Theta</v>
      </c>
    </row>
    <row r="749" customFormat="false" ht="12.75" hidden="false" customHeight="false" outlineLevel="0" collapsed="false">
      <c r="A749" s="17" t="s">
        <v>212</v>
      </c>
      <c r="B749" s="0" t="s">
        <v>192</v>
      </c>
      <c r="C749" s="0" t="s">
        <v>443</v>
      </c>
      <c r="D749" s="7" t="s">
        <v>149</v>
      </c>
      <c r="E749" s="0" t="s">
        <v>131</v>
      </c>
      <c r="F749" s="0" t="s">
        <v>132</v>
      </c>
      <c r="G749" s="92" t="n">
        <v>36831</v>
      </c>
      <c r="H749" s="248" t="n">
        <v>2000000</v>
      </c>
      <c r="I749" s="254" t="n">
        <v>0.5</v>
      </c>
      <c r="J749" s="124" t="n">
        <f aca="false">VLOOKUP(G749,NGPrices,2,FALSE())</f>
        <v>4.736</v>
      </c>
      <c r="K749" s="125" t="n">
        <f aca="false">HLOOKUP(D749,Prices,VLOOKUP(G749,move_down,2,FALSE()),FALSE())+VLOOKUP(G749,CHANGE,HLOOKUP(D749,CHANGE,2,FALSE()),FALSE())</f>
        <v>0.77</v>
      </c>
      <c r="L749" s="124" t="n">
        <f aca="false">K749+J749</f>
        <v>5.506</v>
      </c>
      <c r="M749" s="126" t="n">
        <f aca="false">VLOOKUP(G749,NGPrices,4,FALSE())</f>
        <v>0.06810675983792</v>
      </c>
      <c r="N749" s="7" t="n">
        <f aca="false">VLOOKUP(G749,NGPrices,3,FALSE())</f>
        <v>0.595</v>
      </c>
      <c r="O749" s="7" t="n">
        <f aca="false">HLOOKUP(D749,VOLS,VLOOKUP(G749,move_down,2,FALSE()),FALSE())</f>
        <v>0.625</v>
      </c>
      <c r="P749" s="249" t="n">
        <f aca="false">HLOOKUP(D749,Correllate,VLOOKUP(G749,CorMove,2,FALSE()),FALSE())</f>
        <v>0.89</v>
      </c>
      <c r="Q749" s="92" t="n">
        <f aca="false">WORKDAY(G749,-2)</f>
        <v>36829</v>
      </c>
      <c r="R749" s="7" t="n">
        <f aca="false">IF(F749="P",0,1)</f>
        <v>0</v>
      </c>
      <c r="S749" s="130" t="e">
        <f aca="false">xSPRDOPT($L749,$J749,$I749,$M749,$O749,$N749,$P749,$Q749-$C$3,$R749,0)</f>
        <v>#NAME?</v>
      </c>
      <c r="T749" s="250" t="e">
        <f aca="false">xSPRDOPT($L749,$J749,$I749,$M749,$O749,$N749,$P749,$Q749-$C$3,$R749,1)*H749</f>
        <v>#NAME?</v>
      </c>
      <c r="U749" s="43" t="e">
        <f aca="false">S749*H749</f>
        <v>#NAME?</v>
      </c>
      <c r="V749" s="250" t="e">
        <f aca="false">xSPRDOPT($L749,$J749,$I749,$M749,$O749,$N749,$P749,$Q749-$C$3,$R749,2)*H749</f>
        <v>#NAME?</v>
      </c>
      <c r="W749" s="250" t="e">
        <f aca="false">+V749+T749</f>
        <v>#NAME?</v>
      </c>
      <c r="X749" s="2" t="str">
        <f aca="false">CONCATENATE(G749,D749)</f>
        <v>36831IF-TRANSCO/Z6</v>
      </c>
      <c r="Y749" s="251" t="n">
        <f aca="false">H749/10000</f>
        <v>200</v>
      </c>
      <c r="Z749" s="226" t="e">
        <f aca="false">T749/H749</f>
        <v>#NAME?</v>
      </c>
      <c r="AA749" s="226" t="e">
        <f aca="false">xSPRDOPT($L749,$J749,$I749,$M749,$O749,$N749,$P749,$Q749-$C$3,$R749,3)</f>
        <v>#NAME?</v>
      </c>
      <c r="AB749" s="226" t="e">
        <f aca="false">((xSPRDOPT($L749+AB$5,$J749,$I749,$M749,$O749,$N749,$P749,$Q749-$C$3,$R749,3)*$H749)/10000)/100</f>
        <v>#NAME?</v>
      </c>
      <c r="AC749" s="226" t="e">
        <f aca="false">((xSPRDOPT($L749+$AB$5,$J749,$I749,$M749,$O749,$N749,$P749,$Q749-$C$3,$R749,7)*$H749)/100)</f>
        <v>#NAME?</v>
      </c>
      <c r="AD749" s="226" t="e">
        <f aca="false">(xSPRDOPT($L749+$AB$5,$J749,$I749,$M749,$O749,$N749,$P749,$Q749-$C$3,$R749,9)/365)*$H749</f>
        <v>#NAME?</v>
      </c>
      <c r="AE749" s="0" t="e">
        <f aca="false">CD751</f>
        <v>#NAME?</v>
      </c>
      <c r="AF749" s="226" t="e">
        <f aca="false">((O749/N749)*AH749)+AG749</f>
        <v>#NAME?</v>
      </c>
      <c r="AG749" s="226" t="e">
        <f aca="false">((xSPRDOPT($L749,$J749,$I749,$M749,$O749,$N749,$P749,$Q749-$C$3,$R749,6)*$H749)/100)</f>
        <v>#NAME?</v>
      </c>
      <c r="AH749" s="226" t="e">
        <f aca="false">((xSPRDOPT($L749,$J749,$I749,$M749,$O749,$N749,$P749,$Q749-$C$3,$R749,5)*$H749)/100)</f>
        <v>#NAME?</v>
      </c>
      <c r="AI749" s="226" t="e">
        <f aca="false">(((xSPRDOPT($L749,$J749,$I749,$M749,$O749,$N749,$P749,$Q749-$C$3,$R749,4)*$H749)/10000)/100)-AB749</f>
        <v>#NAME?</v>
      </c>
      <c r="AJ749" s="226"/>
      <c r="CC749" s="182" t="n">
        <f aca="false">G747</f>
        <v>37165</v>
      </c>
      <c r="CD749" s="253" t="e">
        <f aca="false">xSPRDOPT((VLOOKUP(G747,NGPrices,2,FALSE())+HLOOKUP(D747,Prices,VLOOKUP(G747,move_down,2,FALSE()),FALSE())),VLOOKUP(G747,NGPrices,2,FALSE()),I747,VLOOKUP(G747,NGPREVPRICES,4,FALSE()),HLOOKUP(D747,PREVVOLS,VLOOKUP(G747,MOVE_DOWN2,2,FALSE()),FALSE()),VLOOKUP(G747,NGPREVPRICES,3,FALSE()),HLOOKUP(D747,Correllate,VLOOKUP(G747,CorMove,2,FALSE()),FALSE()),Q747-$CD$3,R747,$CD$5)*H747-CJ749</f>
        <v>#NAME?</v>
      </c>
      <c r="CE749" s="253" t="e">
        <f aca="false">xSPRDOPT((VLOOKUP(G747,NGPREVPRICES,2,FALSE())+HLOOKUP(D747,PREVCURVES,VLOOKUP(G747,MOVE_DOWN2,2,FALSE()),FALSE())),VLOOKUP(G747,NGPREVPRICES,2,FALSE()),CK749,VLOOKUP(G747,NGPrices,4,FALSE()),HLOOKUP(D747,PREVVOLS,VLOOKUP(G747,MOVE_DOWN2,2,FALSE()),FALSE()),VLOOKUP(G747,NGPREVPRICES,3,FALSE()),HLOOKUP(D747,Correllate,VLOOKUP(G747,CorMove,2,FALSE()),FALSE()),Q747-$CD$3,R747,$CJ$5)*H747-CJ749</f>
        <v>#NAME?</v>
      </c>
      <c r="CF749" s="132" t="e">
        <f aca="false">(CJ749/VLOOKUP(CC749,discount,3,FALSE()))-(CJ749/VLOOKUP(CC749,discount,2,FALSE()))</f>
        <v>#NAME?</v>
      </c>
      <c r="CG749" s="253" t="e">
        <f aca="false">xSPRDOPT((VLOOKUP(G747,NGPREVPRICES,2,FALSE())+HLOOKUP(D747,PREVCURVES,VLOOKUP(G747,MOVE_DOWN2,2,FALSE()),FALSE())),VLOOKUP(G747,NGPREVPRICES,2,FALSE()),CK749,VLOOKUP(G747,NGPREVPRICES,4,FALSE()),HLOOKUP(D747,VOLS,VLOOKUP(G747,move_down,2,FALSE()),FALSE()),VLOOKUP(G747,NGPrices,3,FALSE()),HLOOKUP(D747,Correllate,VLOOKUP(G747,CorMove,2,FALSE()),FALSE()),Q747-$CD$3,R747,$CJ$5)*H747-CJ749</f>
        <v>#NAME?</v>
      </c>
      <c r="CH749" s="253" t="e">
        <f aca="false">xSPRDOPT((VLOOKUP(G747,NGPREVPRICES,2,FALSE())+HLOOKUP(D747,PREVCURVES,VLOOKUP(G747,MOVE_DOWN2,2,FALSE()),FALSE())),VLOOKUP(G747,NGPREVPRICES,2,FALSE()),CK749,VLOOKUP(G747,NGPREVPRICES,4,FALSE()),HLOOKUP(D747,PREVVOLS,VLOOKUP(G747,MOVE_DOWN2,2,FALSE()),FALSE()),VLOOKUP(G747,NGPREVPRICES,3,FALSE()),HLOOKUP(D747,Correllate,VLOOKUP(G747,CorMove,2,FALSE()),FALSE()),Q747-$C$3,R747,$CJ$5)*H747-CJ749</f>
        <v>#NAME?</v>
      </c>
      <c r="CI749" s="253" t="e">
        <f aca="false">SUM(CD749:CH749)</f>
        <v>#NAME?</v>
      </c>
      <c r="CJ749" s="253" t="e">
        <f aca="false">xSPRDOPT((VLOOKUP(G747,NGPREVPRICES,2,FALSE())+HLOOKUP(D747,PREVCURVES,VLOOKUP(G747,MOVE_DOWN2,2,FALSE()),FALSE())),VLOOKUP(G747,NGPREVPRICES,2,FALSE()),CK749,VLOOKUP(G747,NGPREVPRICES,4,FALSE()),HLOOKUP(D747,PREVVOLS,VLOOKUP(G747,MOVE_DOWN2,2,FALSE()),FALSE()),VLOOKUP(G747,NGPREVPRICES,3,FALSE()),HLOOKUP(D747,Correllate,VLOOKUP(G747,CorMove,2,FALSE()),FALSE()),Q747-$CD$3,R747,$CJ$5)*H747</f>
        <v>#NAME?</v>
      </c>
      <c r="CK749" s="254" t="n">
        <f aca="false">I747</f>
        <v>0.28</v>
      </c>
      <c r="CM749" s="0" t="str">
        <f aca="false">CONCATENATE(CC749,$CD$6)</f>
        <v>37165Curve Shift/Gamma</v>
      </c>
      <c r="CN749" s="0" t="str">
        <f aca="false">CONCATENATE($CC749,$CE$6)</f>
        <v>37165Rho</v>
      </c>
      <c r="CO749" s="0" t="str">
        <f aca="false">CONCATENATE($CC749,$CF$6)</f>
        <v>37165Drift</v>
      </c>
      <c r="CP749" s="0" t="str">
        <f aca="false">CONCATENATE($CC749,$CG$6)</f>
        <v>37165Vega</v>
      </c>
      <c r="CQ749" s="0" t="str">
        <f aca="false">CONCATENATE($CC749,$CH$6)</f>
        <v>37165Theta</v>
      </c>
    </row>
    <row r="750" customFormat="false" ht="12.75" hidden="false" customHeight="false" outlineLevel="0" collapsed="false">
      <c r="A750" s="17" t="s">
        <v>345</v>
      </c>
      <c r="B750" s="0" t="s">
        <v>192</v>
      </c>
      <c r="C750" s="0" t="s">
        <v>444</v>
      </c>
      <c r="D750" s="7" t="s">
        <v>152</v>
      </c>
      <c r="E750" s="0" t="s">
        <v>131</v>
      </c>
      <c r="F750" s="0" t="s">
        <v>136</v>
      </c>
      <c r="G750" s="92" t="n">
        <v>36892</v>
      </c>
      <c r="H750" s="248" t="n">
        <v>-1000000</v>
      </c>
      <c r="I750" s="254" t="n">
        <v>0.2</v>
      </c>
      <c r="J750" s="124" t="n">
        <f aca="false">VLOOKUP(G750,NGPrices,2,FALSE())</f>
        <v>4.744</v>
      </c>
      <c r="K750" s="125" t="n">
        <f aca="false">HLOOKUP(D750,Prices,VLOOKUP(G750,move_down,2,FALSE()),FALSE())+VLOOKUP(G750,CHANGE,HLOOKUP(D750,CHANGE,2,FALSE()),FALSE())</f>
        <v>0.1275</v>
      </c>
      <c r="L750" s="124" t="n">
        <f aca="false">K750+J750</f>
        <v>4.8715</v>
      </c>
      <c r="M750" s="126" t="n">
        <f aca="false">VLOOKUP(G750,NGPrices,4,FALSE())</f>
        <v>0.068374831148491</v>
      </c>
      <c r="N750" s="7" t="n">
        <f aca="false">VLOOKUP(G750,NGPrices,3,FALSE())</f>
        <v>0.605</v>
      </c>
      <c r="O750" s="7" t="n">
        <f aca="false">HLOOKUP(D750,VOLS,VLOOKUP(G750,move_down,2,FALSE()),FALSE())</f>
        <v>0.605</v>
      </c>
      <c r="P750" s="249" t="n">
        <f aca="false">HLOOKUP(D750,Correllate,VLOOKUP(G750,CorMove,2,FALSE()),FALSE())</f>
        <v>0.997</v>
      </c>
      <c r="Q750" s="92" t="n">
        <f aca="false">WORKDAY(G750,-2)</f>
        <v>36888</v>
      </c>
      <c r="R750" s="7" t="n">
        <f aca="false">IF(F750="P",0,1)</f>
        <v>1</v>
      </c>
      <c r="S750" s="130" t="e">
        <f aca="false">xSPRDOPT($L750,$J750,$I750,$M750,$O750,$N750,$P750,$Q750-$C$3,$R750,0)</f>
        <v>#NAME?</v>
      </c>
      <c r="T750" s="250" t="e">
        <f aca="false">xSPRDOPT($L750,$J750,$I750,$M750,$O750,$N750,$P750,$Q750-$C$3,$R750,1)*H750</f>
        <v>#NAME?</v>
      </c>
      <c r="U750" s="43" t="e">
        <f aca="false">S750*H750</f>
        <v>#NAME?</v>
      </c>
      <c r="V750" s="250" t="e">
        <f aca="false">xSPRDOPT($L750,$J750,$I750,$M750,$O750,$N750,$P750,$Q750-$C$3,$R750,2)*H750</f>
        <v>#NAME?</v>
      </c>
      <c r="W750" s="250" t="e">
        <f aca="false">+V750+T750</f>
        <v>#NAME?</v>
      </c>
      <c r="X750" s="2" t="str">
        <f aca="false">CONCATENATE(G750,D750)</f>
        <v>36892NGI/CHI. GATE</v>
      </c>
      <c r="Y750" s="251" t="n">
        <f aca="false">H750/10000</f>
        <v>-100</v>
      </c>
      <c r="Z750" s="226" t="e">
        <f aca="false">T750/H750</f>
        <v>#NAME?</v>
      </c>
      <c r="AA750" s="226" t="e">
        <f aca="false">xSPRDOPT($L750,$J750,$I750,$M750,$O750,$N750,$P750,$Q750-$C$3,$R750,3)</f>
        <v>#NAME?</v>
      </c>
      <c r="AB750" s="226" t="e">
        <f aca="false">((xSPRDOPT($L750+AB$5,$J750,$I750,$M750,$O750,$N750,$P750,$Q750-$C$3,$R750,3)*$H750)/10000)/100</f>
        <v>#NAME?</v>
      </c>
      <c r="AC750" s="226" t="e">
        <f aca="false">((xSPRDOPT($L750+$AB$5,$J750,$I750,$M750,$O750,$N750,$P750,$Q750-$C$3,$R750,7)*$H750)/100)</f>
        <v>#NAME?</v>
      </c>
      <c r="AD750" s="226" t="e">
        <f aca="false">(xSPRDOPT($L750+$AB$5,$J750,$I750,$M750,$O750,$N750,$P750,$Q750-$C$3,$R750,9)/365)*$H750</f>
        <v>#NAME?</v>
      </c>
      <c r="AE750" s="0" t="e">
        <f aca="false">CD752</f>
        <v>#NAME?</v>
      </c>
      <c r="AF750" s="226" t="e">
        <f aca="false">((O750/N750)*AH750)+AG750</f>
        <v>#NAME?</v>
      </c>
      <c r="AG750" s="226" t="e">
        <f aca="false">((xSPRDOPT($L750,$J750,$I750,$M750,$O750,$N750,$P750,$Q750-$C$3,$R750,6)*$H750)/100)</f>
        <v>#NAME?</v>
      </c>
      <c r="AH750" s="226" t="e">
        <f aca="false">((xSPRDOPT($L750,$J750,$I750,$M750,$O750,$N750,$P750,$Q750-$C$3,$R750,5)*$H750)/100)</f>
        <v>#NAME?</v>
      </c>
      <c r="AI750" s="226" t="e">
        <f aca="false">(((xSPRDOPT($L750,$J750,$I750,$M750,$O750,$N750,$P750,$Q750-$C$3,$R750,4)*$H750)/10000)/100)-AB750</f>
        <v>#NAME?</v>
      </c>
      <c r="AJ750" s="226"/>
      <c r="CC750" s="182" t="n">
        <f aca="false">G748</f>
        <v>36923</v>
      </c>
      <c r="CD750" s="253" t="e">
        <f aca="false">xSPRDOPT((VLOOKUP(G748,NGPrices,2,FALSE())+HLOOKUP(D748,Prices,VLOOKUP(G748,move_down,2,FALSE()),FALSE())),VLOOKUP(G748,NGPrices,2,FALSE()),I748,VLOOKUP(G748,NGPREVPRICES,4,FALSE()),HLOOKUP(D748,PREVVOLS,VLOOKUP(G748,MOVE_DOWN2,2,FALSE()),FALSE()),VLOOKUP(G748,NGPREVPRICES,3,FALSE()),HLOOKUP(D748,Correllate,VLOOKUP(G748,CorMove,2,FALSE()),FALSE()),Q748-$CD$3,R748,$CD$5)*H748-CJ750</f>
        <v>#NAME?</v>
      </c>
      <c r="CE750" s="253" t="e">
        <f aca="false">xSPRDOPT((VLOOKUP(G748,NGPREVPRICES,2,FALSE())+HLOOKUP(D748,PREVCURVES,VLOOKUP(G748,MOVE_DOWN2,2,FALSE()),FALSE())),VLOOKUP(G748,NGPREVPRICES,2,FALSE()),CK750,VLOOKUP(G748,NGPrices,4,FALSE()),HLOOKUP(D748,PREVVOLS,VLOOKUP(G748,MOVE_DOWN2,2,FALSE()),FALSE()),VLOOKUP(G748,NGPREVPRICES,3,FALSE()),HLOOKUP(D748,Correllate,VLOOKUP(G748,CorMove,2,FALSE()),FALSE()),Q748-$CD$3,R748,$CJ$5)*H748-CJ750</f>
        <v>#NAME?</v>
      </c>
      <c r="CF750" s="132" t="e">
        <f aca="false">(CJ750/VLOOKUP(CC750,discount,3,FALSE()))-(CJ750/VLOOKUP(CC750,discount,2,FALSE()))</f>
        <v>#NAME?</v>
      </c>
      <c r="CG750" s="253" t="e">
        <f aca="false">xSPRDOPT((VLOOKUP(G748,NGPREVPRICES,2,FALSE())+HLOOKUP(D748,PREVCURVES,VLOOKUP(G748,MOVE_DOWN2,2,FALSE()),FALSE())),VLOOKUP(G748,NGPREVPRICES,2,FALSE()),CK750,VLOOKUP(G748,NGPREVPRICES,4,FALSE()),HLOOKUP(D748,VOLS,VLOOKUP(G748,move_down,2,FALSE()),FALSE()),VLOOKUP(G748,NGPrices,3,FALSE()),HLOOKUP(D748,Correllate,VLOOKUP(G748,CorMove,2,FALSE()),FALSE()),Q748-$CD$3,R748,$CJ$5)*H748-CJ750</f>
        <v>#NAME?</v>
      </c>
      <c r="CH750" s="253" t="e">
        <f aca="false">xSPRDOPT((VLOOKUP(G748,NGPREVPRICES,2,FALSE())+HLOOKUP(D748,PREVCURVES,VLOOKUP(G748,MOVE_DOWN2,2,FALSE()),FALSE())),VLOOKUP(G748,NGPREVPRICES,2,FALSE()),CK750,VLOOKUP(G748,NGPREVPRICES,4,FALSE()),HLOOKUP(D748,PREVVOLS,VLOOKUP(G748,MOVE_DOWN2,2,FALSE()),FALSE()),VLOOKUP(G748,NGPREVPRICES,3,FALSE()),HLOOKUP(D748,Correllate,VLOOKUP(G748,CorMove,2,FALSE()),FALSE()),Q748-$C$3,R748,$CJ$5)*H748-CJ750</f>
        <v>#NAME?</v>
      </c>
      <c r="CI750" s="253" t="e">
        <f aca="false">SUM(CD750:CH750)</f>
        <v>#NAME?</v>
      </c>
      <c r="CJ750" s="253" t="e">
        <f aca="false">xSPRDOPT((VLOOKUP(G748,NGPREVPRICES,2,FALSE())+HLOOKUP(D748,PREVCURVES,VLOOKUP(G748,MOVE_DOWN2,2,FALSE()),FALSE())),VLOOKUP(G748,NGPREVPRICES,2,FALSE()),CK750,VLOOKUP(G748,NGPREVPRICES,4,FALSE()),HLOOKUP(D748,PREVVOLS,VLOOKUP(G748,MOVE_DOWN2,2,FALSE()),FALSE()),VLOOKUP(G748,NGPREVPRICES,3,FALSE()),HLOOKUP(D748,Correllate,VLOOKUP(G748,CorMove,2,FALSE()),FALSE()),Q748-$CD$3,R748,$CJ$5)*H748</f>
        <v>#NAME?</v>
      </c>
      <c r="CK750" s="254" t="n">
        <f aca="false">I748</f>
        <v>0.4</v>
      </c>
      <c r="CM750" s="0" t="str">
        <f aca="false">CONCATENATE(CC750,$CD$6)</f>
        <v>36923Curve Shift/Gamma</v>
      </c>
      <c r="CN750" s="0" t="str">
        <f aca="false">CONCATENATE($CC750,$CE$6)</f>
        <v>36923Rho</v>
      </c>
      <c r="CO750" s="0" t="str">
        <f aca="false">CONCATENATE($CC750,$CF$6)</f>
        <v>36923Drift</v>
      </c>
      <c r="CP750" s="0" t="str">
        <f aca="false">CONCATENATE($CC750,$CG$6)</f>
        <v>36923Vega</v>
      </c>
      <c r="CQ750" s="0" t="str">
        <f aca="false">CONCATENATE($CC750,$CH$6)</f>
        <v>36923Theta</v>
      </c>
    </row>
    <row r="751" customFormat="false" ht="12.75" hidden="false" customHeight="false" outlineLevel="0" collapsed="false">
      <c r="A751" s="17" t="s">
        <v>345</v>
      </c>
      <c r="B751" s="0" t="s">
        <v>192</v>
      </c>
      <c r="C751" s="0" t="s">
        <v>444</v>
      </c>
      <c r="D751" s="7" t="s">
        <v>152</v>
      </c>
      <c r="E751" s="0" t="s">
        <v>131</v>
      </c>
      <c r="F751" s="0" t="s">
        <v>136</v>
      </c>
      <c r="G751" s="92" t="n">
        <v>36923</v>
      </c>
      <c r="H751" s="248" t="n">
        <v>-1000000</v>
      </c>
      <c r="I751" s="254" t="n">
        <v>0.2</v>
      </c>
      <c r="J751" s="124" t="n">
        <f aca="false">VLOOKUP(G751,NGPrices,2,FALSE())</f>
        <v>4.48</v>
      </c>
      <c r="K751" s="125" t="n">
        <f aca="false">HLOOKUP(D751,Prices,VLOOKUP(G751,move_down,2,FALSE()),FALSE())+VLOOKUP(G751,CHANGE,HLOOKUP(D751,CHANGE,2,FALSE()),FALSE())</f>
        <v>0.1375</v>
      </c>
      <c r="L751" s="124" t="n">
        <f aca="false">K751+J751</f>
        <v>4.6175</v>
      </c>
      <c r="M751" s="126" t="n">
        <f aca="false">VLOOKUP(G751,NGPrices,4,FALSE())</f>
        <v>0.068640161611372</v>
      </c>
      <c r="N751" s="7" t="n">
        <f aca="false">VLOOKUP(G751,NGPrices,3,FALSE())</f>
        <v>0.5925</v>
      </c>
      <c r="O751" s="7" t="n">
        <f aca="false">HLOOKUP(D751,VOLS,VLOOKUP(G751,move_down,2,FALSE()),FALSE())</f>
        <v>0.593</v>
      </c>
      <c r="P751" s="249" t="n">
        <f aca="false">HLOOKUP(D751,Correllate,VLOOKUP(G751,CorMove,2,FALSE()),FALSE())</f>
        <v>0.997</v>
      </c>
      <c r="Q751" s="92" t="n">
        <f aca="false">WORKDAY(G751,-2)</f>
        <v>36921</v>
      </c>
      <c r="R751" s="7" t="n">
        <f aca="false">IF(F751="P",0,1)</f>
        <v>1</v>
      </c>
      <c r="S751" s="130" t="e">
        <f aca="false">xSPRDOPT($L751,$J751,$I751,$M751,$O751,$N751,$P751,$Q751-$C$3,$R751,0)</f>
        <v>#NAME?</v>
      </c>
      <c r="T751" s="250" t="e">
        <f aca="false">xSPRDOPT($L751,$J751,$I751,$M751,$O751,$N751,$P751,$Q751-$C$3,$R751,1)*H751</f>
        <v>#NAME?</v>
      </c>
      <c r="U751" s="43" t="e">
        <f aca="false">S751*H751</f>
        <v>#NAME?</v>
      </c>
      <c r="V751" s="250" t="e">
        <f aca="false">xSPRDOPT($L751,$J751,$I751,$M751,$O751,$N751,$P751,$Q751-$C$3,$R751,2)*H751</f>
        <v>#NAME?</v>
      </c>
      <c r="W751" s="250" t="e">
        <f aca="false">+V751+T751</f>
        <v>#NAME?</v>
      </c>
      <c r="X751" s="2" t="str">
        <f aca="false">CONCATENATE(G751,D751)</f>
        <v>36923NGI/CHI. GATE</v>
      </c>
      <c r="Y751" s="251" t="n">
        <f aca="false">H751/10000</f>
        <v>-100</v>
      </c>
      <c r="Z751" s="226" t="e">
        <f aca="false">T751/H751</f>
        <v>#NAME?</v>
      </c>
      <c r="AA751" s="226" t="e">
        <f aca="false">xSPRDOPT($L751,$J751,$I751,$M751,$O751,$N751,$P751,$Q751-$C$3,$R751,3)</f>
        <v>#NAME?</v>
      </c>
      <c r="AB751" s="226" t="e">
        <f aca="false">((xSPRDOPT($L751+AB$5,$J751,$I751,$M751,$O751,$N751,$P751,$Q751-$C$3,$R751,3)*$H751)/10000)/100</f>
        <v>#NAME?</v>
      </c>
      <c r="AC751" s="226" t="e">
        <f aca="false">((xSPRDOPT($L751+$AB$5,$J751,$I751,$M751,$O751,$N751,$P751,$Q751-$C$3,$R751,7)*$H751)/100)</f>
        <v>#NAME?</v>
      </c>
      <c r="AD751" s="226" t="e">
        <f aca="false">(xSPRDOPT($L751+$AB$5,$J751,$I751,$M751,$O751,$N751,$P751,$Q751-$C$3,$R751,9)/365)*$H751</f>
        <v>#NAME?</v>
      </c>
      <c r="AE751" s="0" t="e">
        <f aca="false">CD753</f>
        <v>#NAME?</v>
      </c>
      <c r="AF751" s="226" t="e">
        <f aca="false">((O751/N751)*AH751)+AG751</f>
        <v>#NAME?</v>
      </c>
      <c r="AG751" s="226" t="e">
        <f aca="false">((xSPRDOPT($L751,$J751,$I751,$M751,$O751,$N751,$P751,$Q751-$C$3,$R751,6)*$H751)/100)</f>
        <v>#NAME?</v>
      </c>
      <c r="AH751" s="226" t="e">
        <f aca="false">((xSPRDOPT($L751,$J751,$I751,$M751,$O751,$N751,$P751,$Q751-$C$3,$R751,5)*$H751)/100)</f>
        <v>#NAME?</v>
      </c>
      <c r="AI751" s="226" t="e">
        <f aca="false">(((xSPRDOPT($L751,$J751,$I751,$M751,$O751,$N751,$P751,$Q751-$C$3,$R751,4)*$H751)/10000)/100)-AB751</f>
        <v>#NAME?</v>
      </c>
      <c r="AJ751" s="226"/>
      <c r="CC751" s="182" t="n">
        <f aca="false">G749</f>
        <v>36831</v>
      </c>
      <c r="CD751" s="253" t="e">
        <f aca="false">xSPRDOPT((VLOOKUP(G749,NGPrices,2,FALSE())+HLOOKUP(D749,Prices,VLOOKUP(G749,move_down,2,FALSE()),FALSE())),VLOOKUP(G749,NGPrices,2,FALSE()),I749,VLOOKUP(G749,NGPREVPRICES,4,FALSE()),HLOOKUP(D749,PREVVOLS,VLOOKUP(G749,MOVE_DOWN2,2,FALSE()),FALSE()),VLOOKUP(G749,NGPREVPRICES,3,FALSE()),HLOOKUP(D749,Correllate,VLOOKUP(G749,CorMove,2,FALSE()),FALSE()),Q749-$CD$3,R749,$CD$5)*H749-CJ751</f>
        <v>#NAME?</v>
      </c>
      <c r="CE751" s="253" t="e">
        <f aca="false">xSPRDOPT((VLOOKUP(G749,NGPREVPRICES,2,FALSE())+HLOOKUP(D749,PREVCURVES,VLOOKUP(G749,MOVE_DOWN2,2,FALSE()),FALSE())),VLOOKUP(G749,NGPREVPRICES,2,FALSE()),CK751,VLOOKUP(G749,NGPrices,4,FALSE()),HLOOKUP(D749,PREVVOLS,VLOOKUP(G749,MOVE_DOWN2,2,FALSE()),FALSE()),VLOOKUP(G749,NGPREVPRICES,3,FALSE()),HLOOKUP(D749,Correllate,VLOOKUP(G749,CorMove,2,FALSE()),FALSE()),Q749-$CD$3,R749,$CJ$5)*H749-CJ751</f>
        <v>#NAME?</v>
      </c>
      <c r="CF751" s="132" t="e">
        <f aca="false">(CJ751/VLOOKUP(CC751,discount,3,FALSE()))-(CJ751/VLOOKUP(CC751,discount,2,FALSE()))</f>
        <v>#NAME?</v>
      </c>
      <c r="CG751" s="253" t="e">
        <f aca="false">xSPRDOPT((VLOOKUP(G749,NGPREVPRICES,2,FALSE())+HLOOKUP(D749,PREVCURVES,VLOOKUP(G749,MOVE_DOWN2,2,FALSE()),FALSE())),VLOOKUP(G749,NGPREVPRICES,2,FALSE()),CK751,VLOOKUP(G749,NGPREVPRICES,4,FALSE()),HLOOKUP(D749,VOLS,VLOOKUP(G749,move_down,2,FALSE()),FALSE()),VLOOKUP(G749,NGPrices,3,FALSE()),HLOOKUP(D749,Correllate,VLOOKUP(G749,CorMove,2,FALSE()),FALSE()),Q749-$CD$3,R749,$CJ$5)*H749-CJ751</f>
        <v>#NAME?</v>
      </c>
      <c r="CH751" s="253" t="e">
        <f aca="false">xSPRDOPT((VLOOKUP(G749,NGPREVPRICES,2,FALSE())+HLOOKUP(D749,PREVCURVES,VLOOKUP(G749,MOVE_DOWN2,2,FALSE()),FALSE())),VLOOKUP(G749,NGPREVPRICES,2,FALSE()),CK751,VLOOKUP(G749,NGPREVPRICES,4,FALSE()),HLOOKUP(D749,PREVVOLS,VLOOKUP(G749,MOVE_DOWN2,2,FALSE()),FALSE()),VLOOKUP(G749,NGPREVPRICES,3,FALSE()),HLOOKUP(D749,Correllate,VLOOKUP(G749,CorMove,2,FALSE()),FALSE()),Q749-$C$3,R749,$CJ$5)*H749-CJ751</f>
        <v>#NAME?</v>
      </c>
      <c r="CI751" s="253" t="e">
        <f aca="false">SUM(CD751:CH751)</f>
        <v>#NAME?</v>
      </c>
      <c r="CJ751" s="253" t="e">
        <f aca="false">xSPRDOPT((VLOOKUP(G749,NGPREVPRICES,2,FALSE())+HLOOKUP(D749,PREVCURVES,VLOOKUP(G749,MOVE_DOWN2,2,FALSE()),FALSE())),VLOOKUP(G749,NGPREVPRICES,2,FALSE()),CK751,VLOOKUP(G749,NGPREVPRICES,4,FALSE()),HLOOKUP(D749,PREVVOLS,VLOOKUP(G749,MOVE_DOWN2,2,FALSE()),FALSE()),VLOOKUP(G749,NGPREVPRICES,3,FALSE()),HLOOKUP(D749,Correllate,VLOOKUP(G749,CorMove,2,FALSE()),FALSE()),Q749-$CD$3,R749,$CJ$5)*H749</f>
        <v>#NAME?</v>
      </c>
      <c r="CK751" s="254" t="n">
        <f aca="false">I749</f>
        <v>0.5</v>
      </c>
      <c r="CM751" s="0" t="str">
        <f aca="false">CONCATENATE(CC751,$CD$6)</f>
        <v>36831Curve Shift/Gamma</v>
      </c>
      <c r="CN751" s="0" t="str">
        <f aca="false">CONCATENATE($CC751,$CE$6)</f>
        <v>36831Rho</v>
      </c>
      <c r="CO751" s="0" t="str">
        <f aca="false">CONCATENATE($CC751,$CF$6)</f>
        <v>36831Drift</v>
      </c>
      <c r="CP751" s="0" t="str">
        <f aca="false">CONCATENATE($CC751,$CG$6)</f>
        <v>36831Vega</v>
      </c>
      <c r="CQ751" s="0" t="str">
        <f aca="false">CONCATENATE($CC751,$CH$6)</f>
        <v>36831Theta</v>
      </c>
    </row>
    <row r="752" customFormat="false" ht="12.75" hidden="false" customHeight="false" outlineLevel="0" collapsed="false">
      <c r="A752" s="17" t="s">
        <v>345</v>
      </c>
      <c r="B752" s="0" t="s">
        <v>192</v>
      </c>
      <c r="C752" s="0" t="s">
        <v>444</v>
      </c>
      <c r="D752" s="7" t="s">
        <v>152</v>
      </c>
      <c r="E752" s="0" t="s">
        <v>131</v>
      </c>
      <c r="F752" s="0" t="s">
        <v>136</v>
      </c>
      <c r="G752" s="92" t="n">
        <v>36951</v>
      </c>
      <c r="H752" s="248" t="n">
        <v>-1000000</v>
      </c>
      <c r="I752" s="254" t="n">
        <v>0.2</v>
      </c>
      <c r="J752" s="124" t="n">
        <f aca="false">VLOOKUP(G752,NGPrices,2,FALSE())</f>
        <v>4.213</v>
      </c>
      <c r="K752" s="125" t="n">
        <f aca="false">HLOOKUP(D752,Prices,VLOOKUP(G752,move_down,2,FALSE()),FALSE())+VLOOKUP(G752,CHANGE,HLOOKUP(D752,CHANGE,2,FALSE()),FALSE())</f>
        <v>0.1225</v>
      </c>
      <c r="L752" s="124" t="n">
        <f aca="false">K752+J752</f>
        <v>4.3355</v>
      </c>
      <c r="M752" s="126" t="n">
        <f aca="false">VLOOKUP(G752,NGPrices,4,FALSE())</f>
        <v>0.068879814952707</v>
      </c>
      <c r="N752" s="7" t="n">
        <f aca="false">VLOOKUP(G752,NGPrices,3,FALSE())</f>
        <v>0.5325</v>
      </c>
      <c r="O752" s="7" t="n">
        <f aca="false">HLOOKUP(D752,VOLS,VLOOKUP(G752,move_down,2,FALSE()),FALSE())</f>
        <v>0.533</v>
      </c>
      <c r="P752" s="249" t="n">
        <f aca="false">HLOOKUP(D752,Correllate,VLOOKUP(G752,CorMove,2,FALSE()),FALSE())</f>
        <v>0.997</v>
      </c>
      <c r="Q752" s="92" t="n">
        <f aca="false">WORKDAY(G752,-2)</f>
        <v>36949</v>
      </c>
      <c r="R752" s="7" t="n">
        <f aca="false">IF(F752="P",0,1)</f>
        <v>1</v>
      </c>
      <c r="S752" s="130" t="e">
        <f aca="false">xSPRDOPT($L752,$J752,$I752,$M752,$O752,$N752,$P752,$Q752-$C$3,$R752,0)</f>
        <v>#NAME?</v>
      </c>
      <c r="T752" s="250" t="e">
        <f aca="false">xSPRDOPT($L752,$J752,$I752,$M752,$O752,$N752,$P752,$Q752-$C$3,$R752,1)*H752</f>
        <v>#NAME?</v>
      </c>
      <c r="U752" s="43" t="e">
        <f aca="false">S752*H752</f>
        <v>#NAME?</v>
      </c>
      <c r="V752" s="250" t="e">
        <f aca="false">xSPRDOPT($L752,$J752,$I752,$M752,$O752,$N752,$P752,$Q752-$C$3,$R752,2)*H752</f>
        <v>#NAME?</v>
      </c>
      <c r="W752" s="250" t="e">
        <f aca="false">+V752+T752</f>
        <v>#NAME?</v>
      </c>
      <c r="X752" s="2" t="str">
        <f aca="false">CONCATENATE(G752,D752)</f>
        <v>36951NGI/CHI. GATE</v>
      </c>
      <c r="Y752" s="251" t="n">
        <f aca="false">H752/10000</f>
        <v>-100</v>
      </c>
      <c r="Z752" s="226" t="e">
        <f aca="false">T752/H752</f>
        <v>#NAME?</v>
      </c>
      <c r="AA752" s="226" t="e">
        <f aca="false">xSPRDOPT($L752,$J752,$I752,$M752,$O752,$N752,$P752,$Q752-$C$3,$R752,3)</f>
        <v>#NAME?</v>
      </c>
      <c r="AB752" s="226" t="e">
        <f aca="false">((xSPRDOPT($L752+AB$5,$J752,$I752,$M752,$O752,$N752,$P752,$Q752-$C$3,$R752,3)*$H752)/10000)/100</f>
        <v>#NAME?</v>
      </c>
      <c r="AC752" s="226" t="e">
        <f aca="false">((xSPRDOPT($L752+$AB$5,$J752,$I752,$M752,$O752,$N752,$P752,$Q752-$C$3,$R752,7)*$H752)/100)</f>
        <v>#NAME?</v>
      </c>
      <c r="AD752" s="226" t="e">
        <f aca="false">(xSPRDOPT($L752+$AB$5,$J752,$I752,$M752,$O752,$N752,$P752,$Q752-$C$3,$R752,9)/365)*$H752</f>
        <v>#NAME?</v>
      </c>
      <c r="AE752" s="0" t="e">
        <f aca="false">CD754</f>
        <v>#NAME?</v>
      </c>
      <c r="AF752" s="226" t="e">
        <f aca="false">((O752/N752)*AH752)+AG752</f>
        <v>#NAME?</v>
      </c>
      <c r="AG752" s="226" t="e">
        <f aca="false">((xSPRDOPT($L752,$J752,$I752,$M752,$O752,$N752,$P752,$Q752-$C$3,$R752,6)*$H752)/100)</f>
        <v>#NAME?</v>
      </c>
      <c r="AH752" s="226" t="e">
        <f aca="false">((xSPRDOPT($L752,$J752,$I752,$M752,$O752,$N752,$P752,$Q752-$C$3,$R752,5)*$H752)/100)</f>
        <v>#NAME?</v>
      </c>
      <c r="AI752" s="226" t="e">
        <f aca="false">(((xSPRDOPT($L752,$J752,$I752,$M752,$O752,$N752,$P752,$Q752-$C$3,$R752,4)*$H752)/10000)/100)-AB752</f>
        <v>#NAME?</v>
      </c>
      <c r="AJ752" s="226"/>
      <c r="CC752" s="182" t="n">
        <f aca="false">G750</f>
        <v>36892</v>
      </c>
      <c r="CD752" s="253" t="e">
        <f aca="false">xSPRDOPT((VLOOKUP(G750,NGPrices,2,FALSE())+HLOOKUP(D750,Prices,VLOOKUP(G750,move_down,2,FALSE()),FALSE())),VLOOKUP(G750,NGPrices,2,FALSE()),I750,VLOOKUP(G750,NGPREVPRICES,4,FALSE()),HLOOKUP(D750,PREVVOLS,VLOOKUP(G750,MOVE_DOWN2,2,FALSE()),FALSE()),VLOOKUP(G750,NGPREVPRICES,3,FALSE()),HLOOKUP(D750,Correllate,VLOOKUP(G750,CorMove,2,FALSE()),FALSE()),Q750-$CD$3,R750,$CD$5)*H750-CJ752</f>
        <v>#NAME?</v>
      </c>
      <c r="CE752" s="253" t="e">
        <f aca="false">xSPRDOPT((VLOOKUP(G750,NGPREVPRICES,2,FALSE())+HLOOKUP(D750,PREVCURVES,VLOOKUP(G750,MOVE_DOWN2,2,FALSE()),FALSE())),VLOOKUP(G750,NGPREVPRICES,2,FALSE()),CK752,VLOOKUP(G750,NGPrices,4,FALSE()),HLOOKUP(D750,PREVVOLS,VLOOKUP(G750,MOVE_DOWN2,2,FALSE()),FALSE()),VLOOKUP(G750,NGPREVPRICES,3,FALSE()),HLOOKUP(D750,Correllate,VLOOKUP(G750,CorMove,2,FALSE()),FALSE()),Q750-$CD$3,R750,$CJ$5)*H750-CJ752</f>
        <v>#NAME?</v>
      </c>
      <c r="CF752" s="132" t="e">
        <f aca="false">(CJ752/VLOOKUP(CC752,discount,3,FALSE()))-(CJ752/VLOOKUP(CC752,discount,2,FALSE()))</f>
        <v>#NAME?</v>
      </c>
      <c r="CG752" s="253" t="e">
        <f aca="false">xSPRDOPT((VLOOKUP(G750,NGPREVPRICES,2,FALSE())+HLOOKUP(D750,PREVCURVES,VLOOKUP(G750,MOVE_DOWN2,2,FALSE()),FALSE())),VLOOKUP(G750,NGPREVPRICES,2,FALSE()),CK752,VLOOKUP(G750,NGPREVPRICES,4,FALSE()),HLOOKUP(D750,VOLS,VLOOKUP(G750,move_down,2,FALSE()),FALSE()),VLOOKUP(G750,NGPrices,3,FALSE()),HLOOKUP(D750,Correllate,VLOOKUP(G750,CorMove,2,FALSE()),FALSE()),Q750-$CD$3,R750,$CJ$5)*H750-CJ752</f>
        <v>#NAME?</v>
      </c>
      <c r="CH752" s="253" t="e">
        <f aca="false">xSPRDOPT((VLOOKUP(G750,NGPREVPRICES,2,FALSE())+HLOOKUP(D750,PREVCURVES,VLOOKUP(G750,MOVE_DOWN2,2,FALSE()),FALSE())),VLOOKUP(G750,NGPREVPRICES,2,FALSE()),CK752,VLOOKUP(G750,NGPREVPRICES,4,FALSE()),HLOOKUP(D750,PREVVOLS,VLOOKUP(G750,MOVE_DOWN2,2,FALSE()),FALSE()),VLOOKUP(G750,NGPREVPRICES,3,FALSE()),HLOOKUP(D750,Correllate,VLOOKUP(G750,CorMove,2,FALSE()),FALSE()),Q750-$C$3,R750,$CJ$5)*H750-CJ752</f>
        <v>#NAME?</v>
      </c>
      <c r="CI752" s="253" t="e">
        <f aca="false">SUM(CD752:CH752)</f>
        <v>#NAME?</v>
      </c>
      <c r="CJ752" s="253" t="e">
        <f aca="false">xSPRDOPT((VLOOKUP(G750,NGPREVPRICES,2,FALSE())+HLOOKUP(D750,PREVCURVES,VLOOKUP(G750,MOVE_DOWN2,2,FALSE()),FALSE())),VLOOKUP(G750,NGPREVPRICES,2,FALSE()),CK752,VLOOKUP(G750,NGPREVPRICES,4,FALSE()),HLOOKUP(D750,PREVVOLS,VLOOKUP(G750,MOVE_DOWN2,2,FALSE()),FALSE()),VLOOKUP(G750,NGPREVPRICES,3,FALSE()),HLOOKUP(D750,Correllate,VLOOKUP(G750,CorMove,2,FALSE()),FALSE()),Q750-$CD$3,R750,$CJ$5)*H750</f>
        <v>#NAME?</v>
      </c>
      <c r="CK752" s="254" t="n">
        <f aca="false">I750</f>
        <v>0.2</v>
      </c>
      <c r="CM752" s="0" t="str">
        <f aca="false">CONCATENATE(CC752,$CD$6)</f>
        <v>36892Curve Shift/Gamma</v>
      </c>
      <c r="CN752" s="0" t="str">
        <f aca="false">CONCATENATE($CC752,$CE$6)</f>
        <v>36892Rho</v>
      </c>
      <c r="CO752" s="0" t="str">
        <f aca="false">CONCATENATE($CC752,$CF$6)</f>
        <v>36892Drift</v>
      </c>
      <c r="CP752" s="0" t="str">
        <f aca="false">CONCATENATE($CC752,$CG$6)</f>
        <v>36892Vega</v>
      </c>
      <c r="CQ752" s="0" t="str">
        <f aca="false">CONCATENATE($CC752,$CH$6)</f>
        <v>36892Theta</v>
      </c>
    </row>
    <row r="753" customFormat="false" ht="12.75" hidden="false" customHeight="false" outlineLevel="0" collapsed="false">
      <c r="A753" s="17" t="s">
        <v>198</v>
      </c>
      <c r="B753" s="0" t="s">
        <v>192</v>
      </c>
      <c r="C753" s="0" t="s">
        <v>445</v>
      </c>
      <c r="D753" s="7" t="s">
        <v>137</v>
      </c>
      <c r="E753" s="0" t="s">
        <v>131</v>
      </c>
      <c r="F753" s="0" t="s">
        <v>136</v>
      </c>
      <c r="G753" s="92" t="n">
        <v>36831</v>
      </c>
      <c r="H753" s="248" t="n">
        <v>-300000</v>
      </c>
      <c r="I753" s="254" t="n">
        <v>0.4</v>
      </c>
      <c r="J753" s="124" t="n">
        <f aca="false">VLOOKUP(G753,NGPrices,2,FALSE())</f>
        <v>4.736</v>
      </c>
      <c r="K753" s="125" t="n">
        <f aca="false">HLOOKUP(D753,Prices,VLOOKUP(G753,move_down,2,FALSE()),FALSE())+VLOOKUP(G753,CHANGE,HLOOKUP(D753,CHANGE,2,FALSE()),FALSE())</f>
        <v>1.545</v>
      </c>
      <c r="L753" s="124" t="n">
        <f aca="false">K753+J753</f>
        <v>6.281</v>
      </c>
      <c r="M753" s="126" t="n">
        <f aca="false">VLOOKUP(G753,NGPrices,4,FALSE())</f>
        <v>0.06810675983792</v>
      </c>
      <c r="N753" s="7" t="n">
        <f aca="false">VLOOKUP(G753,NGPrices,3,FALSE())</f>
        <v>0.595</v>
      </c>
      <c r="O753" s="7" t="n">
        <f aca="false">HLOOKUP(D753,VOLS,VLOOKUP(G753,move_down,2,FALSE()),FALSE())</f>
        <v>0.577</v>
      </c>
      <c r="P753" s="249" t="n">
        <f aca="false">HLOOKUP(D753,Correllate,VLOOKUP(G753,CorMove,2,FALSE()),FALSE())</f>
        <v>0.85</v>
      </c>
      <c r="Q753" s="92" t="n">
        <f aca="false">WORKDAY(G753,-2)</f>
        <v>36829</v>
      </c>
      <c r="R753" s="7" t="n">
        <f aca="false">IF(F753="P",0,1)</f>
        <v>1</v>
      </c>
      <c r="S753" s="130" t="e">
        <f aca="false">xSPRDOPT($L753,$J753,$I753,$M753,$O753,$N753,$P753,$Q753-$C$3,$R753,0)</f>
        <v>#NAME?</v>
      </c>
      <c r="T753" s="250" t="e">
        <f aca="false">xSPRDOPT($L753,$J753,$I753,$M753,$O753,$N753,$P753,$Q753-$C$3,$R753,1)*H753</f>
        <v>#NAME?</v>
      </c>
      <c r="U753" s="43" t="e">
        <f aca="false">S753*H753</f>
        <v>#NAME?</v>
      </c>
      <c r="V753" s="250" t="e">
        <f aca="false">xSPRDOPT($L753,$J753,$I753,$M753,$O753,$N753,$P753,$Q753-$C$3,$R753,2)*H753</f>
        <v>#NAME?</v>
      </c>
      <c r="W753" s="250" t="e">
        <f aca="false">+V753+T753</f>
        <v>#NAME?</v>
      </c>
      <c r="X753" s="2" t="str">
        <f aca="false">CONCATENATE(G753,D753)</f>
        <v>36831NGI-SOCAL</v>
      </c>
      <c r="Y753" s="251" t="n">
        <f aca="false">H753/10000</f>
        <v>-30</v>
      </c>
      <c r="Z753" s="226" t="e">
        <f aca="false">T753/H753</f>
        <v>#NAME?</v>
      </c>
      <c r="AA753" s="226" t="e">
        <f aca="false">xSPRDOPT($L753,$J753,$I753,$M753,$O753,$N753,$P753,$Q753-$C$3,$R753,3)</f>
        <v>#NAME?</v>
      </c>
      <c r="AB753" s="226" t="e">
        <f aca="false">((xSPRDOPT($L753+AB$5,$J753,$I753,$M753,$O753,$N753,$P753,$Q753-$C$3,$R753,3)*$H753)/10000)/100</f>
        <v>#NAME?</v>
      </c>
      <c r="AC753" s="226" t="e">
        <f aca="false">((xSPRDOPT($L753+$AB$5,$J753,$I753,$M753,$O753,$N753,$P753,$Q753-$C$3,$R753,7)*$H753)/100)</f>
        <v>#NAME?</v>
      </c>
      <c r="AD753" s="226" t="e">
        <f aca="false">(xSPRDOPT($L753+$AB$5,$J753,$I753,$M753,$O753,$N753,$P753,$Q753-$C$3,$R753,9)/365)*$H753</f>
        <v>#NAME?</v>
      </c>
      <c r="AE753" s="0" t="e">
        <f aca="false">CD755</f>
        <v>#NAME?</v>
      </c>
      <c r="AF753" s="226" t="e">
        <f aca="false">((O753/N753)*AH753)+AG753</f>
        <v>#NAME?</v>
      </c>
      <c r="AG753" s="226" t="e">
        <f aca="false">((xSPRDOPT($L753,$J753,$I753,$M753,$O753,$N753,$P753,$Q753-$C$3,$R753,6)*$H753)/100)</f>
        <v>#NAME?</v>
      </c>
      <c r="AH753" s="226" t="e">
        <f aca="false">((xSPRDOPT($L753,$J753,$I753,$M753,$O753,$N753,$P753,$Q753-$C$3,$R753,5)*$H753)/100)</f>
        <v>#NAME?</v>
      </c>
      <c r="AI753" s="226" t="e">
        <f aca="false">(((xSPRDOPT($L753,$J753,$I753,$M753,$O753,$N753,$P753,$Q753-$C$3,$R753,4)*$H753)/10000)/100)-AB753</f>
        <v>#NAME?</v>
      </c>
      <c r="AJ753" s="226"/>
      <c r="CC753" s="182" t="n">
        <f aca="false">G751</f>
        <v>36923</v>
      </c>
      <c r="CD753" s="253" t="e">
        <f aca="false">xSPRDOPT((VLOOKUP(G751,NGPrices,2,FALSE())+HLOOKUP(D751,Prices,VLOOKUP(G751,move_down,2,FALSE()),FALSE())),VLOOKUP(G751,NGPrices,2,FALSE()),I751,VLOOKUP(G751,NGPREVPRICES,4,FALSE()),HLOOKUP(D751,PREVVOLS,VLOOKUP(G751,MOVE_DOWN2,2,FALSE()),FALSE()),VLOOKUP(G751,NGPREVPRICES,3,FALSE()),HLOOKUP(D751,Correllate,VLOOKUP(G751,CorMove,2,FALSE()),FALSE()),Q751-$CD$3,R751,$CD$5)*H751-CJ753</f>
        <v>#NAME?</v>
      </c>
      <c r="CE753" s="253" t="e">
        <f aca="false">xSPRDOPT((VLOOKUP(G751,NGPREVPRICES,2,FALSE())+HLOOKUP(D751,PREVCURVES,VLOOKUP(G751,MOVE_DOWN2,2,FALSE()),FALSE())),VLOOKUP(G751,NGPREVPRICES,2,FALSE()),CK753,VLOOKUP(G751,NGPrices,4,FALSE()),HLOOKUP(D751,PREVVOLS,VLOOKUP(G751,MOVE_DOWN2,2,FALSE()),FALSE()),VLOOKUP(G751,NGPREVPRICES,3,FALSE()),HLOOKUP(D751,Correllate,VLOOKUP(G751,CorMove,2,FALSE()),FALSE()),Q751-$CD$3,R751,$CJ$5)*H751-CJ753</f>
        <v>#NAME?</v>
      </c>
      <c r="CF753" s="132" t="e">
        <f aca="false">(CJ753/VLOOKUP(CC753,discount,3,FALSE()))-(CJ753/VLOOKUP(CC753,discount,2,FALSE()))</f>
        <v>#NAME?</v>
      </c>
      <c r="CG753" s="253" t="e">
        <f aca="false">xSPRDOPT((VLOOKUP(G751,NGPREVPRICES,2,FALSE())+HLOOKUP(D751,PREVCURVES,VLOOKUP(G751,MOVE_DOWN2,2,FALSE()),FALSE())),VLOOKUP(G751,NGPREVPRICES,2,FALSE()),CK753,VLOOKUP(G751,NGPREVPRICES,4,FALSE()),HLOOKUP(D751,VOLS,VLOOKUP(G751,move_down,2,FALSE()),FALSE()),VLOOKUP(G751,NGPrices,3,FALSE()),HLOOKUP(D751,Correllate,VLOOKUP(G751,CorMove,2,FALSE()),FALSE()),Q751-$CD$3,R751,$CJ$5)*H751-CJ753</f>
        <v>#NAME?</v>
      </c>
      <c r="CH753" s="253" t="e">
        <f aca="false">xSPRDOPT((VLOOKUP(G751,NGPREVPRICES,2,FALSE())+HLOOKUP(D751,PREVCURVES,VLOOKUP(G751,MOVE_DOWN2,2,FALSE()),FALSE())),VLOOKUP(G751,NGPREVPRICES,2,FALSE()),CK753,VLOOKUP(G751,NGPREVPRICES,4,FALSE()),HLOOKUP(D751,PREVVOLS,VLOOKUP(G751,MOVE_DOWN2,2,FALSE()),FALSE()),VLOOKUP(G751,NGPREVPRICES,3,FALSE()),HLOOKUP(D751,Correllate,VLOOKUP(G751,CorMove,2,FALSE()),FALSE()),Q751-$C$3,R751,$CJ$5)*H751-CJ753</f>
        <v>#NAME?</v>
      </c>
      <c r="CI753" s="253" t="e">
        <f aca="false">SUM(CD753:CH753)</f>
        <v>#NAME?</v>
      </c>
      <c r="CJ753" s="253" t="e">
        <f aca="false">xSPRDOPT((VLOOKUP(G751,NGPREVPRICES,2,FALSE())+HLOOKUP(D751,PREVCURVES,VLOOKUP(G751,MOVE_DOWN2,2,FALSE()),FALSE())),VLOOKUP(G751,NGPREVPRICES,2,FALSE()),CK753,VLOOKUP(G751,NGPREVPRICES,4,FALSE()),HLOOKUP(D751,PREVVOLS,VLOOKUP(G751,MOVE_DOWN2,2,FALSE()),FALSE()),VLOOKUP(G751,NGPREVPRICES,3,FALSE()),HLOOKUP(D751,Correllate,VLOOKUP(G751,CorMove,2,FALSE()),FALSE()),Q751-$CD$3,R751,$CJ$5)*H751</f>
        <v>#NAME?</v>
      </c>
      <c r="CK753" s="254" t="n">
        <f aca="false">I751</f>
        <v>0.2</v>
      </c>
      <c r="CM753" s="0" t="str">
        <f aca="false">CONCATENATE(CC753,$CD$6)</f>
        <v>36923Curve Shift/Gamma</v>
      </c>
      <c r="CN753" s="0" t="str">
        <f aca="false">CONCATENATE($CC753,$CE$6)</f>
        <v>36923Rho</v>
      </c>
      <c r="CO753" s="0" t="str">
        <f aca="false">CONCATENATE($CC753,$CF$6)</f>
        <v>36923Drift</v>
      </c>
      <c r="CP753" s="0" t="str">
        <f aca="false">CONCATENATE($CC753,$CG$6)</f>
        <v>36923Vega</v>
      </c>
      <c r="CQ753" s="0" t="str">
        <f aca="false">CONCATENATE($CC753,$CH$6)</f>
        <v>36923Theta</v>
      </c>
    </row>
    <row r="754" customFormat="false" ht="12.75" hidden="false" customHeight="false" outlineLevel="0" collapsed="false">
      <c r="A754" s="17" t="s">
        <v>198</v>
      </c>
      <c r="B754" s="0" t="s">
        <v>192</v>
      </c>
      <c r="C754" s="0" t="s">
        <v>445</v>
      </c>
      <c r="D754" s="7" t="s">
        <v>137</v>
      </c>
      <c r="E754" s="0" t="s">
        <v>131</v>
      </c>
      <c r="F754" s="0" t="s">
        <v>136</v>
      </c>
      <c r="G754" s="92" t="n">
        <v>36861</v>
      </c>
      <c r="H754" s="248" t="n">
        <v>-310000</v>
      </c>
      <c r="I754" s="254" t="n">
        <v>0.4</v>
      </c>
      <c r="J754" s="124" t="n">
        <f aca="false">VLOOKUP(G754,NGPrices,2,FALSE())</f>
        <v>4.8</v>
      </c>
      <c r="K754" s="125" t="n">
        <f aca="false">HLOOKUP(D754,Prices,VLOOKUP(G754,move_down,2,FALSE()),FALSE())+VLOOKUP(G754,CHANGE,HLOOKUP(D754,CHANGE,2,FALSE()),FALSE())</f>
        <v>1.005</v>
      </c>
      <c r="L754" s="124" t="n">
        <f aca="false">K754+J754</f>
        <v>5.805</v>
      </c>
      <c r="M754" s="126" t="n">
        <f aca="false">VLOOKUP(G754,NGPrices,4,FALSE())</f>
        <v>0.068314027999354</v>
      </c>
      <c r="N754" s="7" t="n">
        <f aca="false">VLOOKUP(G754,NGPrices,3,FALSE())</f>
        <v>0.6</v>
      </c>
      <c r="O754" s="7" t="n">
        <f aca="false">HLOOKUP(D754,VOLS,VLOOKUP(G754,move_down,2,FALSE()),FALSE())</f>
        <v>0.582</v>
      </c>
      <c r="P754" s="249" t="n">
        <f aca="false">HLOOKUP(D754,Correllate,VLOOKUP(G754,CorMove,2,FALSE()),FALSE())</f>
        <v>0.85</v>
      </c>
      <c r="Q754" s="92" t="n">
        <f aca="false">WORKDAY(G754,-2)</f>
        <v>36859</v>
      </c>
      <c r="R754" s="7" t="n">
        <f aca="false">IF(F754="P",0,1)</f>
        <v>1</v>
      </c>
      <c r="S754" s="130" t="e">
        <f aca="false">xSPRDOPT($L754,$J754,$I754,$M754,$O754,$N754,$P754,$Q754-$C$3,$R754,0)</f>
        <v>#NAME?</v>
      </c>
      <c r="T754" s="250" t="e">
        <f aca="false">xSPRDOPT($L754,$J754,$I754,$M754,$O754,$N754,$P754,$Q754-$C$3,$R754,1)*H754</f>
        <v>#NAME?</v>
      </c>
      <c r="U754" s="43" t="e">
        <f aca="false">S754*H754</f>
        <v>#NAME?</v>
      </c>
      <c r="V754" s="250" t="e">
        <f aca="false">xSPRDOPT($L754,$J754,$I754,$M754,$O754,$N754,$P754,$Q754-$C$3,$R754,2)*H754</f>
        <v>#NAME?</v>
      </c>
      <c r="W754" s="250" t="e">
        <f aca="false">+V754+T754</f>
        <v>#NAME?</v>
      </c>
      <c r="X754" s="2" t="str">
        <f aca="false">CONCATENATE(G754,D754)</f>
        <v>36861NGI-SOCAL</v>
      </c>
      <c r="Y754" s="251" t="n">
        <f aca="false">H754/10000</f>
        <v>-31</v>
      </c>
      <c r="Z754" s="226" t="e">
        <f aca="false">T754/H754</f>
        <v>#NAME?</v>
      </c>
      <c r="AA754" s="226" t="e">
        <f aca="false">xSPRDOPT($L754,$J754,$I754,$M754,$O754,$N754,$P754,$Q754-$C$3,$R754,3)</f>
        <v>#NAME?</v>
      </c>
      <c r="AB754" s="226" t="e">
        <f aca="false">((xSPRDOPT($L754+AB$5,$J754,$I754,$M754,$O754,$N754,$P754,$Q754-$C$3,$R754,3)*$H754)/10000)/100</f>
        <v>#NAME?</v>
      </c>
      <c r="AC754" s="226" t="e">
        <f aca="false">((xSPRDOPT($L754+$AB$5,$J754,$I754,$M754,$O754,$N754,$P754,$Q754-$C$3,$R754,7)*$H754)/100)</f>
        <v>#NAME?</v>
      </c>
      <c r="AD754" s="226" t="e">
        <f aca="false">(xSPRDOPT($L754+$AB$5,$J754,$I754,$M754,$O754,$N754,$P754,$Q754-$C$3,$R754,9)/365)*$H754</f>
        <v>#NAME?</v>
      </c>
      <c r="AE754" s="0" t="e">
        <f aca="false">CD756</f>
        <v>#NAME?</v>
      </c>
      <c r="AF754" s="226" t="e">
        <f aca="false">((O754/N754)*AH754)+AG754</f>
        <v>#NAME?</v>
      </c>
      <c r="AG754" s="226" t="e">
        <f aca="false">((xSPRDOPT($L754,$J754,$I754,$M754,$O754,$N754,$P754,$Q754-$C$3,$R754,6)*$H754)/100)</f>
        <v>#NAME?</v>
      </c>
      <c r="AH754" s="226" t="e">
        <f aca="false">((xSPRDOPT($L754,$J754,$I754,$M754,$O754,$N754,$P754,$Q754-$C$3,$R754,5)*$H754)/100)</f>
        <v>#NAME?</v>
      </c>
      <c r="AI754" s="226" t="e">
        <f aca="false">(((xSPRDOPT($L754,$J754,$I754,$M754,$O754,$N754,$P754,$Q754-$C$3,$R754,4)*$H754)/10000)/100)-AB754</f>
        <v>#NAME?</v>
      </c>
      <c r="AJ754" s="226"/>
      <c r="CC754" s="182" t="n">
        <f aca="false">G752</f>
        <v>36951</v>
      </c>
      <c r="CD754" s="253" t="e">
        <f aca="false">xSPRDOPT((VLOOKUP(G752,NGPrices,2,FALSE())+HLOOKUP(D752,Prices,VLOOKUP(G752,move_down,2,FALSE()),FALSE())),VLOOKUP(G752,NGPrices,2,FALSE()),I752,VLOOKUP(G752,NGPREVPRICES,4,FALSE()),HLOOKUP(D752,PREVVOLS,VLOOKUP(G752,MOVE_DOWN2,2,FALSE()),FALSE()),VLOOKUP(G752,NGPREVPRICES,3,FALSE()),HLOOKUP(D752,Correllate,VLOOKUP(G752,CorMove,2,FALSE()),FALSE()),Q752-$CD$3,R752,$CD$5)*H752-CJ754</f>
        <v>#NAME?</v>
      </c>
      <c r="CE754" s="253" t="e">
        <f aca="false">xSPRDOPT((VLOOKUP(G752,NGPREVPRICES,2,FALSE())+HLOOKUP(D752,PREVCURVES,VLOOKUP(G752,MOVE_DOWN2,2,FALSE()),FALSE())),VLOOKUP(G752,NGPREVPRICES,2,FALSE()),CK754,VLOOKUP(G752,NGPrices,4,FALSE()),HLOOKUP(D752,PREVVOLS,VLOOKUP(G752,MOVE_DOWN2,2,FALSE()),FALSE()),VLOOKUP(G752,NGPREVPRICES,3,FALSE()),HLOOKUP(D752,Correllate,VLOOKUP(G752,CorMove,2,FALSE()),FALSE()),Q752-$CD$3,R752,$CJ$5)*H752-CJ754</f>
        <v>#NAME?</v>
      </c>
      <c r="CF754" s="132" t="e">
        <f aca="false">(CJ754/VLOOKUP(CC754,discount,3,FALSE()))-(CJ754/VLOOKUP(CC754,discount,2,FALSE()))</f>
        <v>#NAME?</v>
      </c>
      <c r="CG754" s="253" t="e">
        <f aca="false">xSPRDOPT((VLOOKUP(G752,NGPREVPRICES,2,FALSE())+HLOOKUP(D752,PREVCURVES,VLOOKUP(G752,MOVE_DOWN2,2,FALSE()),FALSE())),VLOOKUP(G752,NGPREVPRICES,2,FALSE()),CK754,VLOOKUP(G752,NGPREVPRICES,4,FALSE()),HLOOKUP(D752,VOLS,VLOOKUP(G752,move_down,2,FALSE()),FALSE()),VLOOKUP(G752,NGPrices,3,FALSE()),HLOOKUP(D752,Correllate,VLOOKUP(G752,CorMove,2,FALSE()),FALSE()),Q752-$CD$3,R752,$CJ$5)*H752-CJ754</f>
        <v>#NAME?</v>
      </c>
      <c r="CH754" s="253" t="e">
        <f aca="false">xSPRDOPT((VLOOKUP(G752,NGPREVPRICES,2,FALSE())+HLOOKUP(D752,PREVCURVES,VLOOKUP(G752,MOVE_DOWN2,2,FALSE()),FALSE())),VLOOKUP(G752,NGPREVPRICES,2,FALSE()),CK754,VLOOKUP(G752,NGPREVPRICES,4,FALSE()),HLOOKUP(D752,PREVVOLS,VLOOKUP(G752,MOVE_DOWN2,2,FALSE()),FALSE()),VLOOKUP(G752,NGPREVPRICES,3,FALSE()),HLOOKUP(D752,Correllate,VLOOKUP(G752,CorMove,2,FALSE()),FALSE()),Q752-$C$3,R752,$CJ$5)*H752-CJ754</f>
        <v>#NAME?</v>
      </c>
      <c r="CI754" s="253" t="e">
        <f aca="false">SUM(CD754:CH754)</f>
        <v>#NAME?</v>
      </c>
      <c r="CJ754" s="253" t="e">
        <f aca="false">xSPRDOPT((VLOOKUP(G752,NGPREVPRICES,2,FALSE())+HLOOKUP(D752,PREVCURVES,VLOOKUP(G752,MOVE_DOWN2,2,FALSE()),FALSE())),VLOOKUP(G752,NGPREVPRICES,2,FALSE()),CK754,VLOOKUP(G752,NGPREVPRICES,4,FALSE()),HLOOKUP(D752,PREVVOLS,VLOOKUP(G752,MOVE_DOWN2,2,FALSE()),FALSE()),VLOOKUP(G752,NGPREVPRICES,3,FALSE()),HLOOKUP(D752,Correllate,VLOOKUP(G752,CorMove,2,FALSE()),FALSE()),Q752-$CD$3,R752,$CJ$5)*H752</f>
        <v>#NAME?</v>
      </c>
      <c r="CK754" s="254" t="n">
        <f aca="false">I752</f>
        <v>0.2</v>
      </c>
      <c r="CM754" s="0" t="str">
        <f aca="false">CONCATENATE(CC754,$CD$6)</f>
        <v>36951Curve Shift/Gamma</v>
      </c>
      <c r="CN754" s="0" t="str">
        <f aca="false">CONCATENATE($CC754,$CE$6)</f>
        <v>36951Rho</v>
      </c>
      <c r="CO754" s="0" t="str">
        <f aca="false">CONCATENATE($CC754,$CF$6)</f>
        <v>36951Drift</v>
      </c>
      <c r="CP754" s="0" t="str">
        <f aca="false">CONCATENATE($CC754,$CG$6)</f>
        <v>36951Vega</v>
      </c>
      <c r="CQ754" s="0" t="str">
        <f aca="false">CONCATENATE($CC754,$CH$6)</f>
        <v>36951Theta</v>
      </c>
    </row>
    <row r="755" customFormat="false" ht="12.75" hidden="false" customHeight="false" outlineLevel="0" collapsed="false">
      <c r="A755" s="17" t="s">
        <v>198</v>
      </c>
      <c r="B755" s="0" t="s">
        <v>192</v>
      </c>
      <c r="C755" s="0" t="s">
        <v>445</v>
      </c>
      <c r="D755" s="7" t="s">
        <v>137</v>
      </c>
      <c r="E755" s="0" t="s">
        <v>131</v>
      </c>
      <c r="F755" s="0" t="s">
        <v>136</v>
      </c>
      <c r="G755" s="92" t="n">
        <v>36892</v>
      </c>
      <c r="H755" s="248" t="n">
        <v>-310000</v>
      </c>
      <c r="I755" s="254" t="n">
        <v>0.4</v>
      </c>
      <c r="J755" s="124" t="n">
        <f aca="false">VLOOKUP(G755,NGPrices,2,FALSE())</f>
        <v>4.744</v>
      </c>
      <c r="K755" s="125" t="n">
        <f aca="false">HLOOKUP(D755,Prices,VLOOKUP(G755,move_down,2,FALSE()),FALSE())+VLOOKUP(G755,CHANGE,HLOOKUP(D755,CHANGE,2,FALSE()),FALSE())</f>
        <v>0.7675</v>
      </c>
      <c r="L755" s="124" t="n">
        <f aca="false">K755+J755</f>
        <v>5.5115</v>
      </c>
      <c r="M755" s="126" t="n">
        <f aca="false">VLOOKUP(G755,NGPrices,4,FALSE())</f>
        <v>0.068374831148491</v>
      </c>
      <c r="N755" s="7" t="n">
        <f aca="false">VLOOKUP(G755,NGPrices,3,FALSE())</f>
        <v>0.605</v>
      </c>
      <c r="O755" s="7" t="n">
        <f aca="false">HLOOKUP(D755,VOLS,VLOOKUP(G755,move_down,2,FALSE()),FALSE())</f>
        <v>0.587</v>
      </c>
      <c r="P755" s="249" t="n">
        <f aca="false">HLOOKUP(D755,Correllate,VLOOKUP(G755,CorMove,2,FALSE()),FALSE())</f>
        <v>0.85</v>
      </c>
      <c r="Q755" s="92" t="n">
        <f aca="false">WORKDAY(G755,-2)</f>
        <v>36888</v>
      </c>
      <c r="R755" s="7" t="n">
        <f aca="false">IF(F755="P",0,1)</f>
        <v>1</v>
      </c>
      <c r="S755" s="130" t="e">
        <f aca="false">xSPRDOPT($L755,$J755,$I755,$M755,$O755,$N755,$P755,$Q755-$C$3,$R755,0)</f>
        <v>#NAME?</v>
      </c>
      <c r="T755" s="250" t="e">
        <f aca="false">xSPRDOPT($L755,$J755,$I755,$M755,$O755,$N755,$P755,$Q755-$C$3,$R755,1)*H755</f>
        <v>#NAME?</v>
      </c>
      <c r="U755" s="43" t="e">
        <f aca="false">S755*H755</f>
        <v>#NAME?</v>
      </c>
      <c r="V755" s="250" t="e">
        <f aca="false">xSPRDOPT($L755,$J755,$I755,$M755,$O755,$N755,$P755,$Q755-$C$3,$R755,2)*H755</f>
        <v>#NAME?</v>
      </c>
      <c r="W755" s="250" t="e">
        <f aca="false">+V755+T755</f>
        <v>#NAME?</v>
      </c>
      <c r="X755" s="2" t="str">
        <f aca="false">CONCATENATE(G755,D755)</f>
        <v>36892NGI-SOCAL</v>
      </c>
      <c r="Y755" s="251" t="n">
        <f aca="false">H755/10000</f>
        <v>-31</v>
      </c>
      <c r="Z755" s="226" t="e">
        <f aca="false">T755/H755</f>
        <v>#NAME?</v>
      </c>
      <c r="AA755" s="226" t="e">
        <f aca="false">xSPRDOPT($L755,$J755,$I755,$M755,$O755,$N755,$P755,$Q755-$C$3,$R755,3)</f>
        <v>#NAME?</v>
      </c>
      <c r="AB755" s="226" t="e">
        <f aca="false">((xSPRDOPT($L755+AB$5,$J755,$I755,$M755,$O755,$N755,$P755,$Q755-$C$3,$R755,3)*$H755)/10000)/100</f>
        <v>#NAME?</v>
      </c>
      <c r="AC755" s="226" t="e">
        <f aca="false">((xSPRDOPT($L755+$AB$5,$J755,$I755,$M755,$O755,$N755,$P755,$Q755-$C$3,$R755,7)*$H755)/100)</f>
        <v>#NAME?</v>
      </c>
      <c r="AD755" s="226" t="e">
        <f aca="false">(xSPRDOPT($L755+$AB$5,$J755,$I755,$M755,$O755,$N755,$P755,$Q755-$C$3,$R755,9)/365)*$H755</f>
        <v>#NAME?</v>
      </c>
      <c r="AE755" s="0" t="e">
        <f aca="false">CD757</f>
        <v>#NAME?</v>
      </c>
      <c r="AF755" s="226" t="e">
        <f aca="false">((O755/N755)*AH755)+AG755</f>
        <v>#NAME?</v>
      </c>
      <c r="AG755" s="226" t="e">
        <f aca="false">((xSPRDOPT($L755,$J755,$I755,$M755,$O755,$N755,$P755,$Q755-$C$3,$R755,6)*$H755)/100)</f>
        <v>#NAME?</v>
      </c>
      <c r="AH755" s="226" t="e">
        <f aca="false">((xSPRDOPT($L755,$J755,$I755,$M755,$O755,$N755,$P755,$Q755-$C$3,$R755,5)*$H755)/100)</f>
        <v>#NAME?</v>
      </c>
      <c r="AI755" s="226" t="e">
        <f aca="false">(((xSPRDOPT($L755,$J755,$I755,$M755,$O755,$N755,$P755,$Q755-$C$3,$R755,4)*$H755)/10000)/100)-AB755</f>
        <v>#NAME?</v>
      </c>
      <c r="AJ755" s="226"/>
      <c r="CC755" s="182" t="n">
        <f aca="false">G753</f>
        <v>36831</v>
      </c>
      <c r="CD755" s="253" t="e">
        <f aca="false">xSPRDOPT((VLOOKUP(G753,NGPrices,2,FALSE())+HLOOKUP(D753,Prices,VLOOKUP(G753,move_down,2,FALSE()),FALSE())),VLOOKUP(G753,NGPrices,2,FALSE()),I753,VLOOKUP(G753,NGPREVPRICES,4,FALSE()),HLOOKUP(D753,PREVVOLS,VLOOKUP(G753,MOVE_DOWN2,2,FALSE()),FALSE()),VLOOKUP(G753,NGPREVPRICES,3,FALSE()),HLOOKUP(D753,Correllate,VLOOKUP(G753,CorMove,2,FALSE()),FALSE()),Q753-$CD$3,R753,$CD$5)*H753-CJ755</f>
        <v>#NAME?</v>
      </c>
      <c r="CE755" s="253" t="e">
        <f aca="false">xSPRDOPT((VLOOKUP(G753,NGPREVPRICES,2,FALSE())+HLOOKUP(D753,PREVCURVES,VLOOKUP(G753,MOVE_DOWN2,2,FALSE()),FALSE())),VLOOKUP(G753,NGPREVPRICES,2,FALSE()),CK755,VLOOKUP(G753,NGPrices,4,FALSE()),HLOOKUP(D753,PREVVOLS,VLOOKUP(G753,MOVE_DOWN2,2,FALSE()),FALSE()),VLOOKUP(G753,NGPREVPRICES,3,FALSE()),HLOOKUP(D753,Correllate,VLOOKUP(G753,CorMove,2,FALSE()),FALSE()),Q753-$CD$3,R753,$CJ$5)*H753-CJ755</f>
        <v>#NAME?</v>
      </c>
      <c r="CF755" s="132" t="e">
        <f aca="false">(CJ755/VLOOKUP(CC755,discount,3,FALSE()))-(CJ755/VLOOKUP(CC755,discount,2,FALSE()))</f>
        <v>#NAME?</v>
      </c>
      <c r="CG755" s="253" t="e">
        <f aca="false">xSPRDOPT((VLOOKUP(G753,NGPREVPRICES,2,FALSE())+HLOOKUP(D753,PREVCURVES,VLOOKUP(G753,MOVE_DOWN2,2,FALSE()),FALSE())),VLOOKUP(G753,NGPREVPRICES,2,FALSE()),CK755,VLOOKUP(G753,NGPREVPRICES,4,FALSE()),HLOOKUP(D753,VOLS,VLOOKUP(G753,move_down,2,FALSE()),FALSE()),VLOOKUP(G753,NGPrices,3,FALSE()),HLOOKUP(D753,Correllate,VLOOKUP(G753,CorMove,2,FALSE()),FALSE()),Q753-$CD$3,R753,$CJ$5)*H753-CJ755</f>
        <v>#NAME?</v>
      </c>
      <c r="CH755" s="253" t="e">
        <f aca="false">xSPRDOPT((VLOOKUP(G753,NGPREVPRICES,2,FALSE())+HLOOKUP(D753,PREVCURVES,VLOOKUP(G753,MOVE_DOWN2,2,FALSE()),FALSE())),VLOOKUP(G753,NGPREVPRICES,2,FALSE()),CK755,VLOOKUP(G753,NGPREVPRICES,4,FALSE()),HLOOKUP(D753,PREVVOLS,VLOOKUP(G753,MOVE_DOWN2,2,FALSE()),FALSE()),VLOOKUP(G753,NGPREVPRICES,3,FALSE()),HLOOKUP(D753,Correllate,VLOOKUP(G753,CorMove,2,FALSE()),FALSE()),Q753-$C$3,R753,$CJ$5)*H753-CJ755</f>
        <v>#NAME?</v>
      </c>
      <c r="CI755" s="253" t="e">
        <f aca="false">SUM(CD755:CH755)</f>
        <v>#NAME?</v>
      </c>
      <c r="CJ755" s="253" t="e">
        <f aca="false">xSPRDOPT((VLOOKUP(G753,NGPREVPRICES,2,FALSE())+HLOOKUP(D753,PREVCURVES,VLOOKUP(G753,MOVE_DOWN2,2,FALSE()),FALSE())),VLOOKUP(G753,NGPREVPRICES,2,FALSE()),CK755,VLOOKUP(G753,NGPREVPRICES,4,FALSE()),HLOOKUP(D753,PREVVOLS,VLOOKUP(G753,MOVE_DOWN2,2,FALSE()),FALSE()),VLOOKUP(G753,NGPREVPRICES,3,FALSE()),HLOOKUP(D753,Correllate,VLOOKUP(G753,CorMove,2,FALSE()),FALSE()),Q753-$CD$3,R753,$CJ$5)*H753</f>
        <v>#NAME?</v>
      </c>
      <c r="CK755" s="254" t="n">
        <f aca="false">I753</f>
        <v>0.4</v>
      </c>
      <c r="CM755" s="0" t="str">
        <f aca="false">CONCATENATE(CC755,$CD$6)</f>
        <v>36831Curve Shift/Gamma</v>
      </c>
      <c r="CN755" s="0" t="str">
        <f aca="false">CONCATENATE($CC755,$CE$6)</f>
        <v>36831Rho</v>
      </c>
      <c r="CO755" s="0" t="str">
        <f aca="false">CONCATENATE($CC755,$CF$6)</f>
        <v>36831Drift</v>
      </c>
      <c r="CP755" s="0" t="str">
        <f aca="false">CONCATENATE($CC755,$CG$6)</f>
        <v>36831Vega</v>
      </c>
      <c r="CQ755" s="0" t="str">
        <f aca="false">CONCATENATE($CC755,$CH$6)</f>
        <v>36831Theta</v>
      </c>
    </row>
    <row r="756" customFormat="false" ht="12.75" hidden="false" customHeight="false" outlineLevel="0" collapsed="false">
      <c r="A756" s="17" t="s">
        <v>198</v>
      </c>
      <c r="B756" s="0" t="s">
        <v>192</v>
      </c>
      <c r="C756" s="0" t="s">
        <v>445</v>
      </c>
      <c r="D756" s="7" t="s">
        <v>137</v>
      </c>
      <c r="E756" s="0" t="s">
        <v>131</v>
      </c>
      <c r="F756" s="0" t="s">
        <v>136</v>
      </c>
      <c r="G756" s="92" t="n">
        <v>36923</v>
      </c>
      <c r="H756" s="248" t="n">
        <v>-280000</v>
      </c>
      <c r="I756" s="254" t="n">
        <v>0.4</v>
      </c>
      <c r="J756" s="124" t="n">
        <f aca="false">VLOOKUP(G756,NGPrices,2,FALSE())</f>
        <v>4.48</v>
      </c>
      <c r="K756" s="125" t="n">
        <f aca="false">HLOOKUP(D756,Prices,VLOOKUP(G756,move_down,2,FALSE()),FALSE())+VLOOKUP(G756,CHANGE,HLOOKUP(D756,CHANGE,2,FALSE()),FALSE())</f>
        <v>0.6175</v>
      </c>
      <c r="L756" s="124" t="n">
        <f aca="false">K756+J756</f>
        <v>5.0975</v>
      </c>
      <c r="M756" s="126" t="n">
        <f aca="false">VLOOKUP(G756,NGPrices,4,FALSE())</f>
        <v>0.068640161611372</v>
      </c>
      <c r="N756" s="7" t="n">
        <f aca="false">VLOOKUP(G756,NGPrices,3,FALSE())</f>
        <v>0.5925</v>
      </c>
      <c r="O756" s="7" t="n">
        <f aca="false">HLOOKUP(D756,VOLS,VLOOKUP(G756,move_down,2,FALSE()),FALSE())</f>
        <v>0.575</v>
      </c>
      <c r="P756" s="249" t="n">
        <f aca="false">HLOOKUP(D756,Correllate,VLOOKUP(G756,CorMove,2,FALSE()),FALSE())</f>
        <v>0.85</v>
      </c>
      <c r="Q756" s="92" t="n">
        <f aca="false">WORKDAY(G756,-2)</f>
        <v>36921</v>
      </c>
      <c r="R756" s="7" t="n">
        <f aca="false">IF(F756="P",0,1)</f>
        <v>1</v>
      </c>
      <c r="S756" s="130" t="e">
        <f aca="false">xSPRDOPT($L756,$J756,$I756,$M756,$O756,$N756,$P756,$Q756-$C$3,$R756,0)</f>
        <v>#NAME?</v>
      </c>
      <c r="T756" s="250" t="e">
        <f aca="false">xSPRDOPT($L756,$J756,$I756,$M756,$O756,$N756,$P756,$Q756-$C$3,$R756,1)*H756</f>
        <v>#NAME?</v>
      </c>
      <c r="U756" s="43" t="e">
        <f aca="false">S756*H756</f>
        <v>#NAME?</v>
      </c>
      <c r="V756" s="250" t="e">
        <f aca="false">xSPRDOPT($L756,$J756,$I756,$M756,$O756,$N756,$P756,$Q756-$C$3,$R756,2)*H756</f>
        <v>#NAME?</v>
      </c>
      <c r="W756" s="250" t="e">
        <f aca="false">+V756+T756</f>
        <v>#NAME?</v>
      </c>
      <c r="X756" s="2" t="str">
        <f aca="false">CONCATENATE(G756,D756)</f>
        <v>36923NGI-SOCAL</v>
      </c>
      <c r="Y756" s="251" t="n">
        <f aca="false">H756/10000</f>
        <v>-28</v>
      </c>
      <c r="Z756" s="226" t="e">
        <f aca="false">T756/H756</f>
        <v>#NAME?</v>
      </c>
      <c r="AA756" s="226" t="e">
        <f aca="false">xSPRDOPT($L756,$J756,$I756,$M756,$O756,$N756,$P756,$Q756-$C$3,$R756,3)</f>
        <v>#NAME?</v>
      </c>
      <c r="AB756" s="226" t="e">
        <f aca="false">((xSPRDOPT($L756+AB$5,$J756,$I756,$M756,$O756,$N756,$P756,$Q756-$C$3,$R756,3)*$H756)/10000)/100</f>
        <v>#NAME?</v>
      </c>
      <c r="AC756" s="226" t="e">
        <f aca="false">((xSPRDOPT($L756+$AB$5,$J756,$I756,$M756,$O756,$N756,$P756,$Q756-$C$3,$R756,7)*$H756)/100)</f>
        <v>#NAME?</v>
      </c>
      <c r="AD756" s="226" t="e">
        <f aca="false">(xSPRDOPT($L756+$AB$5,$J756,$I756,$M756,$O756,$N756,$P756,$Q756-$C$3,$R756,9)/365)*$H756</f>
        <v>#NAME?</v>
      </c>
      <c r="AE756" s="0" t="e">
        <f aca="false">CD758</f>
        <v>#NAME?</v>
      </c>
      <c r="AF756" s="226" t="e">
        <f aca="false">((O756/N756)*AH756)+AG756</f>
        <v>#NAME?</v>
      </c>
      <c r="AG756" s="226" t="e">
        <f aca="false">((xSPRDOPT($L756,$J756,$I756,$M756,$O756,$N756,$P756,$Q756-$C$3,$R756,6)*$H756)/100)</f>
        <v>#NAME?</v>
      </c>
      <c r="AH756" s="226" t="e">
        <f aca="false">((xSPRDOPT($L756,$J756,$I756,$M756,$O756,$N756,$P756,$Q756-$C$3,$R756,5)*$H756)/100)</f>
        <v>#NAME?</v>
      </c>
      <c r="AI756" s="226" t="e">
        <f aca="false">(((xSPRDOPT($L756,$J756,$I756,$M756,$O756,$N756,$P756,$Q756-$C$3,$R756,4)*$H756)/10000)/100)-AB756</f>
        <v>#NAME?</v>
      </c>
      <c r="AJ756" s="226"/>
      <c r="CC756" s="182" t="n">
        <f aca="false">G754</f>
        <v>36861</v>
      </c>
      <c r="CD756" s="253" t="e">
        <f aca="false">xSPRDOPT((VLOOKUP(G754,NGPrices,2,FALSE())+HLOOKUP(D754,Prices,VLOOKUP(G754,move_down,2,FALSE()),FALSE())),VLOOKUP(G754,NGPrices,2,FALSE()),I754,VLOOKUP(G754,NGPREVPRICES,4,FALSE()),HLOOKUP(D754,PREVVOLS,VLOOKUP(G754,MOVE_DOWN2,2,FALSE()),FALSE()),VLOOKUP(G754,NGPREVPRICES,3,FALSE()),HLOOKUP(D754,Correllate,VLOOKUP(G754,CorMove,2,FALSE()),FALSE()),Q754-$CD$3,R754,$CD$5)*H754-CJ756</f>
        <v>#NAME?</v>
      </c>
      <c r="CE756" s="253" t="e">
        <f aca="false">xSPRDOPT((VLOOKUP(G754,NGPREVPRICES,2,FALSE())+HLOOKUP(D754,PREVCURVES,VLOOKUP(G754,MOVE_DOWN2,2,FALSE()),FALSE())),VLOOKUP(G754,NGPREVPRICES,2,FALSE()),CK756,VLOOKUP(G754,NGPrices,4,FALSE()),HLOOKUP(D754,PREVVOLS,VLOOKUP(G754,MOVE_DOWN2,2,FALSE()),FALSE()),VLOOKUP(G754,NGPREVPRICES,3,FALSE()),HLOOKUP(D754,Correllate,VLOOKUP(G754,CorMove,2,FALSE()),FALSE()),Q754-$CD$3,R754,$CJ$5)*H754-CJ756</f>
        <v>#NAME?</v>
      </c>
      <c r="CF756" s="132" t="e">
        <f aca="false">(CJ756/VLOOKUP(CC756,discount,3,FALSE()))-(CJ756/VLOOKUP(CC756,discount,2,FALSE()))</f>
        <v>#NAME?</v>
      </c>
      <c r="CG756" s="253" t="e">
        <f aca="false">xSPRDOPT((VLOOKUP(G754,NGPREVPRICES,2,FALSE())+HLOOKUP(D754,PREVCURVES,VLOOKUP(G754,MOVE_DOWN2,2,FALSE()),FALSE())),VLOOKUP(G754,NGPREVPRICES,2,FALSE()),CK756,VLOOKUP(G754,NGPREVPRICES,4,FALSE()),HLOOKUP(D754,VOLS,VLOOKUP(G754,move_down,2,FALSE()),FALSE()),VLOOKUP(G754,NGPrices,3,FALSE()),HLOOKUP(D754,Correllate,VLOOKUP(G754,CorMove,2,FALSE()),FALSE()),Q754-$CD$3,R754,$CJ$5)*H754-CJ756</f>
        <v>#NAME?</v>
      </c>
      <c r="CH756" s="253" t="e">
        <f aca="false">xSPRDOPT((VLOOKUP(G754,NGPREVPRICES,2,FALSE())+HLOOKUP(D754,PREVCURVES,VLOOKUP(G754,MOVE_DOWN2,2,FALSE()),FALSE())),VLOOKUP(G754,NGPREVPRICES,2,FALSE()),CK756,VLOOKUP(G754,NGPREVPRICES,4,FALSE()),HLOOKUP(D754,PREVVOLS,VLOOKUP(G754,MOVE_DOWN2,2,FALSE()),FALSE()),VLOOKUP(G754,NGPREVPRICES,3,FALSE()),HLOOKUP(D754,Correllate,VLOOKUP(G754,CorMove,2,FALSE()),FALSE()),Q754-$C$3,R754,$CJ$5)*H754-CJ756</f>
        <v>#NAME?</v>
      </c>
      <c r="CI756" s="253" t="e">
        <f aca="false">SUM(CD756:CH756)</f>
        <v>#NAME?</v>
      </c>
      <c r="CJ756" s="253" t="e">
        <f aca="false">xSPRDOPT((VLOOKUP(G754,NGPREVPRICES,2,FALSE())+HLOOKUP(D754,PREVCURVES,VLOOKUP(G754,MOVE_DOWN2,2,FALSE()),FALSE())),VLOOKUP(G754,NGPREVPRICES,2,FALSE()),CK756,VLOOKUP(G754,NGPREVPRICES,4,FALSE()),HLOOKUP(D754,PREVVOLS,VLOOKUP(G754,MOVE_DOWN2,2,FALSE()),FALSE()),VLOOKUP(G754,NGPREVPRICES,3,FALSE()),HLOOKUP(D754,Correllate,VLOOKUP(G754,CorMove,2,FALSE()),FALSE()),Q754-$CD$3,R754,$CJ$5)*H754</f>
        <v>#NAME?</v>
      </c>
      <c r="CK756" s="254" t="n">
        <f aca="false">I754</f>
        <v>0.4</v>
      </c>
      <c r="CM756" s="0" t="str">
        <f aca="false">CONCATENATE(CC756,$CD$6)</f>
        <v>36861Curve Shift/Gamma</v>
      </c>
      <c r="CN756" s="0" t="str">
        <f aca="false">CONCATENATE($CC756,$CE$6)</f>
        <v>36861Rho</v>
      </c>
      <c r="CO756" s="0" t="str">
        <f aca="false">CONCATENATE($CC756,$CF$6)</f>
        <v>36861Drift</v>
      </c>
      <c r="CP756" s="0" t="str">
        <f aca="false">CONCATENATE($CC756,$CG$6)</f>
        <v>36861Vega</v>
      </c>
      <c r="CQ756" s="0" t="str">
        <f aca="false">CONCATENATE($CC756,$CH$6)</f>
        <v>36861Theta</v>
      </c>
    </row>
    <row r="757" customFormat="false" ht="12.75" hidden="false" customHeight="false" outlineLevel="0" collapsed="false">
      <c r="A757" s="17" t="s">
        <v>198</v>
      </c>
      <c r="B757" s="0" t="s">
        <v>192</v>
      </c>
      <c r="C757" s="0" t="s">
        <v>445</v>
      </c>
      <c r="D757" s="7" t="s">
        <v>137</v>
      </c>
      <c r="E757" s="0" t="s">
        <v>131</v>
      </c>
      <c r="F757" s="0" t="s">
        <v>136</v>
      </c>
      <c r="G757" s="92" t="n">
        <v>36951</v>
      </c>
      <c r="H757" s="248" t="n">
        <v>-310000</v>
      </c>
      <c r="I757" s="254" t="n">
        <v>0.4</v>
      </c>
      <c r="J757" s="124" t="n">
        <f aca="false">VLOOKUP(G757,NGPrices,2,FALSE())</f>
        <v>4.213</v>
      </c>
      <c r="K757" s="125" t="n">
        <f aca="false">HLOOKUP(D757,Prices,VLOOKUP(G757,move_down,2,FALSE()),FALSE())+VLOOKUP(G757,CHANGE,HLOOKUP(D757,CHANGE,2,FALSE()),FALSE())</f>
        <v>0.5975</v>
      </c>
      <c r="L757" s="124" t="n">
        <f aca="false">K757+J757</f>
        <v>4.8105</v>
      </c>
      <c r="M757" s="126" t="n">
        <f aca="false">VLOOKUP(G757,NGPrices,4,FALSE())</f>
        <v>0.068879814952707</v>
      </c>
      <c r="N757" s="7" t="n">
        <f aca="false">VLOOKUP(G757,NGPrices,3,FALSE())</f>
        <v>0.5325</v>
      </c>
      <c r="O757" s="7" t="n">
        <f aca="false">HLOOKUP(D757,VOLS,VLOOKUP(G757,move_down,2,FALSE()),FALSE())</f>
        <v>0.517</v>
      </c>
      <c r="P757" s="249" t="n">
        <f aca="false">HLOOKUP(D757,Correllate,VLOOKUP(G757,CorMove,2,FALSE()),FALSE())</f>
        <v>0.85</v>
      </c>
      <c r="Q757" s="92" t="n">
        <f aca="false">WORKDAY(G757,-2)</f>
        <v>36949</v>
      </c>
      <c r="R757" s="7" t="n">
        <f aca="false">IF(F757="P",0,1)</f>
        <v>1</v>
      </c>
      <c r="S757" s="130" t="e">
        <f aca="false">xSPRDOPT($L757,$J757,$I757,$M757,$O757,$N757,$P757,$Q757-$C$3,$R757,0)</f>
        <v>#NAME?</v>
      </c>
      <c r="T757" s="250" t="e">
        <f aca="false">xSPRDOPT($L757,$J757,$I757,$M757,$O757,$N757,$P757,$Q757-$C$3,$R757,1)*H757</f>
        <v>#NAME?</v>
      </c>
      <c r="U757" s="43" t="e">
        <f aca="false">S757*H757</f>
        <v>#NAME?</v>
      </c>
      <c r="V757" s="250" t="e">
        <f aca="false">xSPRDOPT($L757,$J757,$I757,$M757,$O757,$N757,$P757,$Q757-$C$3,$R757,2)*H757</f>
        <v>#NAME?</v>
      </c>
      <c r="W757" s="250" t="e">
        <f aca="false">+V757+T757</f>
        <v>#NAME?</v>
      </c>
      <c r="X757" s="2" t="str">
        <f aca="false">CONCATENATE(G757,D757)</f>
        <v>36951NGI-SOCAL</v>
      </c>
      <c r="Y757" s="251" t="n">
        <f aca="false">H757/10000</f>
        <v>-31</v>
      </c>
      <c r="Z757" s="226" t="e">
        <f aca="false">T757/H757</f>
        <v>#NAME?</v>
      </c>
      <c r="AA757" s="226" t="e">
        <f aca="false">xSPRDOPT($L757,$J757,$I757,$M757,$O757,$N757,$P757,$Q757-$C$3,$R757,3)</f>
        <v>#NAME?</v>
      </c>
      <c r="AB757" s="226" t="e">
        <f aca="false">((xSPRDOPT($L757+AB$5,$J757,$I757,$M757,$O757,$N757,$P757,$Q757-$C$3,$R757,3)*$H757)/10000)/100</f>
        <v>#NAME?</v>
      </c>
      <c r="AC757" s="226" t="e">
        <f aca="false">((xSPRDOPT($L757+$AB$5,$J757,$I757,$M757,$O757,$N757,$P757,$Q757-$C$3,$R757,7)*$H757)/100)</f>
        <v>#NAME?</v>
      </c>
      <c r="AD757" s="226" t="e">
        <f aca="false">(xSPRDOPT($L757+$AB$5,$J757,$I757,$M757,$O757,$N757,$P757,$Q757-$C$3,$R757,9)/365)*$H757</f>
        <v>#NAME?</v>
      </c>
      <c r="AE757" s="0" t="e">
        <f aca="false">CD759</f>
        <v>#NAME?</v>
      </c>
      <c r="AF757" s="226" t="e">
        <f aca="false">((O757/N757)*AH757)+AG757</f>
        <v>#NAME?</v>
      </c>
      <c r="AG757" s="226" t="e">
        <f aca="false">((xSPRDOPT($L757,$J757,$I757,$M757,$O757,$N757,$P757,$Q757-$C$3,$R757,6)*$H757)/100)</f>
        <v>#NAME?</v>
      </c>
      <c r="AH757" s="226" t="e">
        <f aca="false">((xSPRDOPT($L757,$J757,$I757,$M757,$O757,$N757,$P757,$Q757-$C$3,$R757,5)*$H757)/100)</f>
        <v>#NAME?</v>
      </c>
      <c r="AI757" s="226" t="e">
        <f aca="false">(((xSPRDOPT($L757,$J757,$I757,$M757,$O757,$N757,$P757,$Q757-$C$3,$R757,4)*$H757)/10000)/100)-AB757</f>
        <v>#NAME?</v>
      </c>
      <c r="AJ757" s="226"/>
      <c r="CC757" s="182" t="n">
        <f aca="false">G755</f>
        <v>36892</v>
      </c>
      <c r="CD757" s="253" t="e">
        <f aca="false">xSPRDOPT((VLOOKUP(G755,NGPrices,2,FALSE())+HLOOKUP(D755,Prices,VLOOKUP(G755,move_down,2,FALSE()),FALSE())),VLOOKUP(G755,NGPrices,2,FALSE()),I755,VLOOKUP(G755,NGPREVPRICES,4,FALSE()),HLOOKUP(D755,PREVVOLS,VLOOKUP(G755,MOVE_DOWN2,2,FALSE()),FALSE()),VLOOKUP(G755,NGPREVPRICES,3,FALSE()),HLOOKUP(D755,Correllate,VLOOKUP(G755,CorMove,2,FALSE()),FALSE()),Q755-$CD$3,R755,$CD$5)*H755-CJ757</f>
        <v>#NAME?</v>
      </c>
      <c r="CE757" s="253" t="e">
        <f aca="false">xSPRDOPT((VLOOKUP(G755,NGPREVPRICES,2,FALSE())+HLOOKUP(D755,PREVCURVES,VLOOKUP(G755,MOVE_DOWN2,2,FALSE()),FALSE())),VLOOKUP(G755,NGPREVPRICES,2,FALSE()),CK757,VLOOKUP(G755,NGPrices,4,FALSE()),HLOOKUP(D755,PREVVOLS,VLOOKUP(G755,MOVE_DOWN2,2,FALSE()),FALSE()),VLOOKUP(G755,NGPREVPRICES,3,FALSE()),HLOOKUP(D755,Correllate,VLOOKUP(G755,CorMove,2,FALSE()),FALSE()),Q755-$CD$3,R755,$CJ$5)*H755-CJ757</f>
        <v>#NAME?</v>
      </c>
      <c r="CF757" s="132" t="e">
        <f aca="false">(CJ757/VLOOKUP(CC757,discount,3,FALSE()))-(CJ757/VLOOKUP(CC757,discount,2,FALSE()))</f>
        <v>#NAME?</v>
      </c>
      <c r="CG757" s="253" t="e">
        <f aca="false">xSPRDOPT((VLOOKUP(G755,NGPREVPRICES,2,FALSE())+HLOOKUP(D755,PREVCURVES,VLOOKUP(G755,MOVE_DOWN2,2,FALSE()),FALSE())),VLOOKUP(G755,NGPREVPRICES,2,FALSE()),CK757,VLOOKUP(G755,NGPREVPRICES,4,FALSE()),HLOOKUP(D755,VOLS,VLOOKUP(G755,move_down,2,FALSE()),FALSE()),VLOOKUP(G755,NGPrices,3,FALSE()),HLOOKUP(D755,Correllate,VLOOKUP(G755,CorMove,2,FALSE()),FALSE()),Q755-$CD$3,R755,$CJ$5)*H755-CJ757</f>
        <v>#NAME?</v>
      </c>
      <c r="CH757" s="253" t="e">
        <f aca="false">xSPRDOPT((VLOOKUP(G755,NGPREVPRICES,2,FALSE())+HLOOKUP(D755,PREVCURVES,VLOOKUP(G755,MOVE_DOWN2,2,FALSE()),FALSE())),VLOOKUP(G755,NGPREVPRICES,2,FALSE()),CK757,VLOOKUP(G755,NGPREVPRICES,4,FALSE()),HLOOKUP(D755,PREVVOLS,VLOOKUP(G755,MOVE_DOWN2,2,FALSE()),FALSE()),VLOOKUP(G755,NGPREVPRICES,3,FALSE()),HLOOKUP(D755,Correllate,VLOOKUP(G755,CorMove,2,FALSE()),FALSE()),Q755-$C$3,R755,$CJ$5)*H755-CJ757</f>
        <v>#NAME?</v>
      </c>
      <c r="CI757" s="253" t="e">
        <f aca="false">SUM(CD757:CH757)</f>
        <v>#NAME?</v>
      </c>
      <c r="CJ757" s="253" t="e">
        <f aca="false">xSPRDOPT((VLOOKUP(G755,NGPREVPRICES,2,FALSE())+HLOOKUP(D755,PREVCURVES,VLOOKUP(G755,MOVE_DOWN2,2,FALSE()),FALSE())),VLOOKUP(G755,NGPREVPRICES,2,FALSE()),CK757,VLOOKUP(G755,NGPREVPRICES,4,FALSE()),HLOOKUP(D755,PREVVOLS,VLOOKUP(G755,MOVE_DOWN2,2,FALSE()),FALSE()),VLOOKUP(G755,NGPREVPRICES,3,FALSE()),HLOOKUP(D755,Correllate,VLOOKUP(G755,CorMove,2,FALSE()),FALSE()),Q755-$CD$3,R755,$CJ$5)*H755</f>
        <v>#NAME?</v>
      </c>
      <c r="CK757" s="254" t="n">
        <f aca="false">I755</f>
        <v>0.4</v>
      </c>
      <c r="CM757" s="0" t="str">
        <f aca="false">CONCATENATE(CC757,$CD$6)</f>
        <v>36892Curve Shift/Gamma</v>
      </c>
      <c r="CN757" s="0" t="str">
        <f aca="false">CONCATENATE($CC757,$CE$6)</f>
        <v>36892Rho</v>
      </c>
      <c r="CO757" s="0" t="str">
        <f aca="false">CONCATENATE($CC757,$CF$6)</f>
        <v>36892Drift</v>
      </c>
      <c r="CP757" s="0" t="str">
        <f aca="false">CONCATENATE($CC757,$CG$6)</f>
        <v>36892Vega</v>
      </c>
      <c r="CQ757" s="0" t="str">
        <f aca="false">CONCATENATE($CC757,$CH$6)</f>
        <v>36892Theta</v>
      </c>
    </row>
    <row r="758" customFormat="false" ht="12.75" hidden="false" customHeight="false" outlineLevel="0" collapsed="false">
      <c r="A758" s="17" t="s">
        <v>198</v>
      </c>
      <c r="B758" s="0" t="s">
        <v>192</v>
      </c>
      <c r="C758" s="0" t="s">
        <v>446</v>
      </c>
      <c r="D758" s="7" t="s">
        <v>137</v>
      </c>
      <c r="E758" s="0" t="s">
        <v>131</v>
      </c>
      <c r="F758" s="0" t="s">
        <v>136</v>
      </c>
      <c r="G758" s="92" t="n">
        <v>36770</v>
      </c>
      <c r="H758" s="248" t="n">
        <v>-600000</v>
      </c>
      <c r="I758" s="254" t="n">
        <v>0.9</v>
      </c>
      <c r="J758" s="124" t="n">
        <f aca="false">VLOOKUP(G758,NGPrices,2,FALSE())</f>
        <v>4.685</v>
      </c>
      <c r="K758" s="125" t="n">
        <f aca="false">HLOOKUP(D758,Prices,VLOOKUP(G758,move_down,2,FALSE()),FALSE())+VLOOKUP(G758,CHANGE,HLOOKUP(D758,CHANGE,2,FALSE()),FALSE())</f>
        <v>2.5</v>
      </c>
      <c r="L758" s="124" t="n">
        <f aca="false">K758+J758</f>
        <v>7.185</v>
      </c>
      <c r="M758" s="126" t="n">
        <f aca="false">VLOOKUP(G758,NGPrices,4,FALSE())</f>
        <v>0.067216196212185</v>
      </c>
      <c r="N758" s="7" t="n">
        <f aca="false">VLOOKUP(G758,NGPrices,3,FALSE())</f>
        <v>0.4</v>
      </c>
      <c r="O758" s="7" t="n">
        <f aca="false">HLOOKUP(D758,VOLS,VLOOKUP(G758,move_down,2,FALSE()),FALSE())</f>
        <v>0.376</v>
      </c>
      <c r="P758" s="249" t="n">
        <f aca="false">HLOOKUP(D758,Correllate,VLOOKUP(G758,CorMove,2,FALSE()),FALSE())</f>
        <v>0.83</v>
      </c>
      <c r="Q758" s="92" t="n">
        <f aca="false">WORKDAY(G758,-2)</f>
        <v>36768</v>
      </c>
      <c r="R758" s="7" t="n">
        <f aca="false">IF(F758="P",0,1)</f>
        <v>1</v>
      </c>
      <c r="S758" s="130" t="e">
        <f aca="false">xSPRDOPT($L758,$J758,$I758,$M758,$O758,$N758,$P758,$Q758-$C$3,$R758,0)</f>
        <v>#NAME?</v>
      </c>
      <c r="T758" s="250" t="e">
        <f aca="false">xSPRDOPT($L758,$J758,$I758,$M758,$O758,$N758,$P758,$Q758-$C$3,$R758,1)*H758</f>
        <v>#NAME?</v>
      </c>
      <c r="U758" s="43" t="e">
        <f aca="false">S758*H758</f>
        <v>#NAME?</v>
      </c>
      <c r="V758" s="250" t="e">
        <f aca="false">xSPRDOPT($L758,$J758,$I758,$M758,$O758,$N758,$P758,$Q758-$C$3,$R758,2)*H758</f>
        <v>#NAME?</v>
      </c>
      <c r="W758" s="250" t="e">
        <f aca="false">+V758+T758</f>
        <v>#NAME?</v>
      </c>
      <c r="X758" s="2" t="str">
        <f aca="false">CONCATENATE(G758,D758)</f>
        <v>36770NGI-SOCAL</v>
      </c>
      <c r="Y758" s="251" t="n">
        <f aca="false">H758/10000</f>
        <v>-60</v>
      </c>
      <c r="Z758" s="226" t="e">
        <f aca="false">T758/H758</f>
        <v>#NAME?</v>
      </c>
      <c r="AA758" s="226" t="e">
        <f aca="false">xSPRDOPT($L758,$J758,$I758,$M758,$O758,$N758,$P758,$Q758-$C$3,$R758,3)</f>
        <v>#NAME?</v>
      </c>
      <c r="AB758" s="226" t="e">
        <f aca="false">((xSPRDOPT($L758+AB$5,$J758,$I758,$M758,$O758,$N758,$P758,$Q758-$C$3,$R758,3)*$H758)/10000)/100</f>
        <v>#NAME?</v>
      </c>
      <c r="AC758" s="226" t="e">
        <f aca="false">((xSPRDOPT($L758+$AB$5,$J758,$I758,$M758,$O758,$N758,$P758,$Q758-$C$3,$R758,7)*$H758)/100)</f>
        <v>#NAME?</v>
      </c>
      <c r="AD758" s="226" t="e">
        <f aca="false">(xSPRDOPT($L758+$AB$5,$J758,$I758,$M758,$O758,$N758,$P758,$Q758-$C$3,$R758,9)/365)*$H758</f>
        <v>#NAME?</v>
      </c>
      <c r="AE758" s="0" t="e">
        <f aca="false">CD760</f>
        <v>#NAME?</v>
      </c>
      <c r="AF758" s="226" t="e">
        <f aca="false">((O758/N758)*AH758)+AG758</f>
        <v>#NAME?</v>
      </c>
      <c r="AG758" s="226" t="e">
        <f aca="false">((xSPRDOPT($L758,$J758,$I758,$M758,$O758,$N758,$P758,$Q758-$C$3,$R758,6)*$H758)/100)</f>
        <v>#NAME?</v>
      </c>
      <c r="AH758" s="226" t="e">
        <f aca="false">((xSPRDOPT($L758,$J758,$I758,$M758,$O758,$N758,$P758,$Q758-$C$3,$R758,5)*$H758)/100)</f>
        <v>#NAME?</v>
      </c>
      <c r="AI758" s="226" t="e">
        <f aca="false">(((xSPRDOPT($L758,$J758,$I758,$M758,$O758,$N758,$P758,$Q758-$C$3,$R758,4)*$H758)/10000)/100)-AB758</f>
        <v>#NAME?</v>
      </c>
      <c r="AJ758" s="226"/>
      <c r="CC758" s="182" t="n">
        <f aca="false">G756</f>
        <v>36923</v>
      </c>
      <c r="CD758" s="253" t="e">
        <f aca="false">xSPRDOPT((VLOOKUP(G756,NGPrices,2,FALSE())+HLOOKUP(D756,Prices,VLOOKUP(G756,move_down,2,FALSE()),FALSE())),VLOOKUP(G756,NGPrices,2,FALSE()),I756,VLOOKUP(G756,NGPREVPRICES,4,FALSE()),HLOOKUP(D756,PREVVOLS,VLOOKUP(G756,MOVE_DOWN2,2,FALSE()),FALSE()),VLOOKUP(G756,NGPREVPRICES,3,FALSE()),HLOOKUP(D756,Correllate,VLOOKUP(G756,CorMove,2,FALSE()),FALSE()),Q756-$CD$3,R756,$CD$5)*H756-CJ758</f>
        <v>#NAME?</v>
      </c>
      <c r="CE758" s="253" t="e">
        <f aca="false">xSPRDOPT((VLOOKUP(G756,NGPREVPRICES,2,FALSE())+HLOOKUP(D756,PREVCURVES,VLOOKUP(G756,MOVE_DOWN2,2,FALSE()),FALSE())),VLOOKUP(G756,NGPREVPRICES,2,FALSE()),CK758,VLOOKUP(G756,NGPrices,4,FALSE()),HLOOKUP(D756,PREVVOLS,VLOOKUP(G756,MOVE_DOWN2,2,FALSE()),FALSE()),VLOOKUP(G756,NGPREVPRICES,3,FALSE()),HLOOKUP(D756,Correllate,VLOOKUP(G756,CorMove,2,FALSE()),FALSE()),Q756-$CD$3,R756,$CJ$5)*H756-CJ758</f>
        <v>#NAME?</v>
      </c>
      <c r="CF758" s="132" t="e">
        <f aca="false">(CJ758/VLOOKUP(CC758,discount,3,FALSE()))-(CJ758/VLOOKUP(CC758,discount,2,FALSE()))</f>
        <v>#NAME?</v>
      </c>
      <c r="CG758" s="253" t="e">
        <f aca="false">xSPRDOPT((VLOOKUP(G756,NGPREVPRICES,2,FALSE())+HLOOKUP(D756,PREVCURVES,VLOOKUP(G756,MOVE_DOWN2,2,FALSE()),FALSE())),VLOOKUP(G756,NGPREVPRICES,2,FALSE()),CK758,VLOOKUP(G756,NGPREVPRICES,4,FALSE()),HLOOKUP(D756,VOLS,VLOOKUP(G756,move_down,2,FALSE()),FALSE()),VLOOKUP(G756,NGPrices,3,FALSE()),HLOOKUP(D756,Correllate,VLOOKUP(G756,CorMove,2,FALSE()),FALSE()),Q756-$CD$3,R756,$CJ$5)*H756-CJ758</f>
        <v>#NAME?</v>
      </c>
      <c r="CH758" s="253" t="e">
        <f aca="false">xSPRDOPT((VLOOKUP(G756,NGPREVPRICES,2,FALSE())+HLOOKUP(D756,PREVCURVES,VLOOKUP(G756,MOVE_DOWN2,2,FALSE()),FALSE())),VLOOKUP(G756,NGPREVPRICES,2,FALSE()),CK758,VLOOKUP(G756,NGPREVPRICES,4,FALSE()),HLOOKUP(D756,PREVVOLS,VLOOKUP(G756,MOVE_DOWN2,2,FALSE()),FALSE()),VLOOKUP(G756,NGPREVPRICES,3,FALSE()),HLOOKUP(D756,Correllate,VLOOKUP(G756,CorMove,2,FALSE()),FALSE()),Q756-$C$3,R756,$CJ$5)*H756-CJ758</f>
        <v>#NAME?</v>
      </c>
      <c r="CI758" s="253" t="e">
        <f aca="false">SUM(CD758:CH758)</f>
        <v>#NAME?</v>
      </c>
      <c r="CJ758" s="253" t="e">
        <f aca="false">xSPRDOPT((VLOOKUP(G756,NGPREVPRICES,2,FALSE())+HLOOKUP(D756,PREVCURVES,VLOOKUP(G756,MOVE_DOWN2,2,FALSE()),FALSE())),VLOOKUP(G756,NGPREVPRICES,2,FALSE()),CK758,VLOOKUP(G756,NGPREVPRICES,4,FALSE()),HLOOKUP(D756,PREVVOLS,VLOOKUP(G756,MOVE_DOWN2,2,FALSE()),FALSE()),VLOOKUP(G756,NGPREVPRICES,3,FALSE()),HLOOKUP(D756,Correllate,VLOOKUP(G756,CorMove,2,FALSE()),FALSE()),Q756-$CD$3,R756,$CJ$5)*H756</f>
        <v>#NAME?</v>
      </c>
      <c r="CK758" s="254" t="n">
        <f aca="false">I756</f>
        <v>0.4</v>
      </c>
      <c r="CM758" s="0" t="str">
        <f aca="false">CONCATENATE(CC758,$CD$6)</f>
        <v>36923Curve Shift/Gamma</v>
      </c>
      <c r="CN758" s="0" t="str">
        <f aca="false">CONCATENATE($CC758,$CE$6)</f>
        <v>36923Rho</v>
      </c>
      <c r="CO758" s="0" t="str">
        <f aca="false">CONCATENATE($CC758,$CF$6)</f>
        <v>36923Drift</v>
      </c>
      <c r="CP758" s="0" t="str">
        <f aca="false">CONCATENATE($CC758,$CG$6)</f>
        <v>36923Vega</v>
      </c>
      <c r="CQ758" s="0" t="str">
        <f aca="false">CONCATENATE($CC758,$CH$6)</f>
        <v>36923Theta</v>
      </c>
    </row>
    <row r="759" customFormat="false" ht="12.75" hidden="false" customHeight="false" outlineLevel="0" collapsed="false">
      <c r="A759" s="17" t="s">
        <v>281</v>
      </c>
      <c r="B759" s="0" t="s">
        <v>192</v>
      </c>
      <c r="C759" s="0" t="s">
        <v>447</v>
      </c>
      <c r="D759" s="7" t="s">
        <v>137</v>
      </c>
      <c r="E759" s="0" t="s">
        <v>131</v>
      </c>
      <c r="F759" s="0" t="s">
        <v>136</v>
      </c>
      <c r="G759" s="92" t="n">
        <v>36800</v>
      </c>
      <c r="H759" s="248" t="n">
        <v>310000</v>
      </c>
      <c r="I759" s="254" t="n">
        <v>0.8</v>
      </c>
      <c r="J759" s="124" t="n">
        <f aca="false">VLOOKUP(G759,NGPrices,2,FALSE())</f>
        <v>4.692</v>
      </c>
      <c r="K759" s="125" t="n">
        <f aca="false">HLOOKUP(D759,Prices,VLOOKUP(G759,move_down,2,FALSE()),FALSE())+VLOOKUP(G759,CHANGE,HLOOKUP(D759,CHANGE,2,FALSE()),FALSE())</f>
        <v>1.99</v>
      </c>
      <c r="L759" s="124" t="n">
        <f aca="false">K759+J759</f>
        <v>6.682</v>
      </c>
      <c r="M759" s="126" t="n">
        <f aca="false">VLOOKUP(G759,NGPrices,4,FALSE())</f>
        <v>0.068050789414654</v>
      </c>
      <c r="N759" s="7" t="n">
        <f aca="false">VLOOKUP(G759,NGPrices,3,FALSE())</f>
        <v>0.575</v>
      </c>
      <c r="O759" s="7" t="n">
        <f aca="false">HLOOKUP(D759,VOLS,VLOOKUP(G759,move_down,2,FALSE()),FALSE())</f>
        <v>0.541</v>
      </c>
      <c r="P759" s="249" t="n">
        <f aca="false">HLOOKUP(D759,Correllate,VLOOKUP(G759,CorMove,2,FALSE()),FALSE())</f>
        <v>0.83</v>
      </c>
      <c r="Q759" s="92" t="n">
        <f aca="false">WORKDAY(G759,-2)</f>
        <v>36797</v>
      </c>
      <c r="R759" s="7" t="n">
        <f aca="false">IF(F759="P",0,1)</f>
        <v>1</v>
      </c>
      <c r="S759" s="130" t="e">
        <f aca="false">xSPRDOPT($L759,$J759,$I759,$M759,$O759,$N759,$P759,$Q759-$C$3,$R759,0)</f>
        <v>#NAME?</v>
      </c>
      <c r="T759" s="250" t="e">
        <f aca="false">xSPRDOPT($L759,$J759,$I759,$M759,$O759,$N759,$P759,$Q759-$C$3,$R759,1)*H759</f>
        <v>#NAME?</v>
      </c>
      <c r="U759" s="43" t="e">
        <f aca="false">S759*H759</f>
        <v>#NAME?</v>
      </c>
      <c r="V759" s="250" t="e">
        <f aca="false">xSPRDOPT($L759,$J759,$I759,$M759,$O759,$N759,$P759,$Q759-$C$3,$R759,2)*H759</f>
        <v>#NAME?</v>
      </c>
      <c r="W759" s="250" t="e">
        <f aca="false">+V759+T759</f>
        <v>#NAME?</v>
      </c>
      <c r="X759" s="2" t="str">
        <f aca="false">CONCATENATE(G759,D759)</f>
        <v>36800NGI-SOCAL</v>
      </c>
      <c r="Y759" s="251" t="n">
        <f aca="false">H759/10000</f>
        <v>31</v>
      </c>
      <c r="Z759" s="226" t="e">
        <f aca="false">T759/H759</f>
        <v>#NAME?</v>
      </c>
      <c r="AA759" s="226" t="e">
        <f aca="false">xSPRDOPT($L759,$J759,$I759,$M759,$O759,$N759,$P759,$Q759-$C$3,$R759,3)</f>
        <v>#NAME?</v>
      </c>
      <c r="AB759" s="226" t="e">
        <f aca="false">((xSPRDOPT($L759+AB$5,$J759,$I759,$M759,$O759,$N759,$P759,$Q759-$C$3,$R759,3)*$H759)/10000)/100</f>
        <v>#NAME?</v>
      </c>
      <c r="AC759" s="226" t="e">
        <f aca="false">((xSPRDOPT($L759+$AB$5,$J759,$I759,$M759,$O759,$N759,$P759,$Q759-$C$3,$R759,7)*$H759)/100)</f>
        <v>#NAME?</v>
      </c>
      <c r="AD759" s="226" t="e">
        <f aca="false">(xSPRDOPT($L759+$AB$5,$J759,$I759,$M759,$O759,$N759,$P759,$Q759-$C$3,$R759,9)/365)*$H759</f>
        <v>#NAME?</v>
      </c>
      <c r="AE759" s="0" t="e">
        <f aca="false">CD761</f>
        <v>#NAME?</v>
      </c>
      <c r="AF759" s="226" t="e">
        <f aca="false">((O759/N759)*AH759)+AG759</f>
        <v>#NAME?</v>
      </c>
      <c r="AG759" s="226" t="e">
        <f aca="false">((xSPRDOPT($L759,$J759,$I759,$M759,$O759,$N759,$P759,$Q759-$C$3,$R759,6)*$H759)/100)</f>
        <v>#NAME?</v>
      </c>
      <c r="AH759" s="226" t="e">
        <f aca="false">((xSPRDOPT($L759,$J759,$I759,$M759,$O759,$N759,$P759,$Q759-$C$3,$R759,5)*$H759)/100)</f>
        <v>#NAME?</v>
      </c>
      <c r="AI759" s="226" t="e">
        <f aca="false">(((xSPRDOPT($L759,$J759,$I759,$M759,$O759,$N759,$P759,$Q759-$C$3,$R759,4)*$H759)/10000)/100)-AB759</f>
        <v>#NAME?</v>
      </c>
      <c r="AJ759" s="226"/>
      <c r="CC759" s="182" t="n">
        <f aca="false">G757</f>
        <v>36951</v>
      </c>
      <c r="CD759" s="253" t="e">
        <f aca="false">xSPRDOPT((VLOOKUP(G757,NGPrices,2,FALSE())+HLOOKUP(D757,Prices,VLOOKUP(G757,move_down,2,FALSE()),FALSE())),VLOOKUP(G757,NGPrices,2,FALSE()),I757,VLOOKUP(G757,NGPREVPRICES,4,FALSE()),HLOOKUP(D757,PREVVOLS,VLOOKUP(G757,MOVE_DOWN2,2,FALSE()),FALSE()),VLOOKUP(G757,NGPREVPRICES,3,FALSE()),HLOOKUP(D757,Correllate,VLOOKUP(G757,CorMove,2,FALSE()),FALSE()),Q757-$CD$3,R757,$CD$5)*H757-CJ759</f>
        <v>#NAME?</v>
      </c>
      <c r="CE759" s="253" t="e">
        <f aca="false">xSPRDOPT((VLOOKUP(G757,NGPREVPRICES,2,FALSE())+HLOOKUP(D757,PREVCURVES,VLOOKUP(G757,MOVE_DOWN2,2,FALSE()),FALSE())),VLOOKUP(G757,NGPREVPRICES,2,FALSE()),CK759,VLOOKUP(G757,NGPrices,4,FALSE()),HLOOKUP(D757,PREVVOLS,VLOOKUP(G757,MOVE_DOWN2,2,FALSE()),FALSE()),VLOOKUP(G757,NGPREVPRICES,3,FALSE()),HLOOKUP(D757,Correllate,VLOOKUP(G757,CorMove,2,FALSE()),FALSE()),Q757-$CD$3,R757,$CJ$5)*H757-CJ759</f>
        <v>#NAME?</v>
      </c>
      <c r="CF759" s="132" t="e">
        <f aca="false">(CJ759/VLOOKUP(CC759,discount,3,FALSE()))-(CJ759/VLOOKUP(CC759,discount,2,FALSE()))</f>
        <v>#NAME?</v>
      </c>
      <c r="CG759" s="253" t="e">
        <f aca="false">xSPRDOPT((VLOOKUP(G757,NGPREVPRICES,2,FALSE())+HLOOKUP(D757,PREVCURVES,VLOOKUP(G757,MOVE_DOWN2,2,FALSE()),FALSE())),VLOOKUP(G757,NGPREVPRICES,2,FALSE()),CK759,VLOOKUP(G757,NGPREVPRICES,4,FALSE()),HLOOKUP(D757,VOLS,VLOOKUP(G757,move_down,2,FALSE()),FALSE()),VLOOKUP(G757,NGPrices,3,FALSE()),HLOOKUP(D757,Correllate,VLOOKUP(G757,CorMove,2,FALSE()),FALSE()),Q757-$CD$3,R757,$CJ$5)*H757-CJ759</f>
        <v>#NAME?</v>
      </c>
      <c r="CH759" s="253" t="e">
        <f aca="false">xSPRDOPT((VLOOKUP(G757,NGPREVPRICES,2,FALSE())+HLOOKUP(D757,PREVCURVES,VLOOKUP(G757,MOVE_DOWN2,2,FALSE()),FALSE())),VLOOKUP(G757,NGPREVPRICES,2,FALSE()),CK759,VLOOKUP(G757,NGPREVPRICES,4,FALSE()),HLOOKUP(D757,PREVVOLS,VLOOKUP(G757,MOVE_DOWN2,2,FALSE()),FALSE()),VLOOKUP(G757,NGPREVPRICES,3,FALSE()),HLOOKUP(D757,Correllate,VLOOKUP(G757,CorMove,2,FALSE()),FALSE()),Q757-$C$3,R757,$CJ$5)*H757-CJ759</f>
        <v>#NAME?</v>
      </c>
      <c r="CI759" s="253" t="e">
        <f aca="false">SUM(CD759:CH759)</f>
        <v>#NAME?</v>
      </c>
      <c r="CJ759" s="253" t="e">
        <f aca="false">xSPRDOPT((VLOOKUP(G757,NGPREVPRICES,2,FALSE())+HLOOKUP(D757,PREVCURVES,VLOOKUP(G757,MOVE_DOWN2,2,FALSE()),FALSE())),VLOOKUP(G757,NGPREVPRICES,2,FALSE()),CK759,VLOOKUP(G757,NGPREVPRICES,4,FALSE()),HLOOKUP(D757,PREVVOLS,VLOOKUP(G757,MOVE_DOWN2,2,FALSE()),FALSE()),VLOOKUP(G757,NGPREVPRICES,3,FALSE()),HLOOKUP(D757,Correllate,VLOOKUP(G757,CorMove,2,FALSE()),FALSE()),Q757-$CD$3,R757,$CJ$5)*H757</f>
        <v>#NAME?</v>
      </c>
      <c r="CK759" s="254" t="n">
        <f aca="false">I757</f>
        <v>0.4</v>
      </c>
      <c r="CM759" s="0" t="str">
        <f aca="false">CONCATENATE(CC759,$CD$6)</f>
        <v>36951Curve Shift/Gamma</v>
      </c>
      <c r="CN759" s="0" t="str">
        <f aca="false">CONCATENATE($CC759,$CE$6)</f>
        <v>36951Rho</v>
      </c>
      <c r="CO759" s="0" t="str">
        <f aca="false">CONCATENATE($CC759,$CF$6)</f>
        <v>36951Drift</v>
      </c>
      <c r="CP759" s="0" t="str">
        <f aca="false">CONCATENATE($CC759,$CG$6)</f>
        <v>36951Vega</v>
      </c>
      <c r="CQ759" s="0" t="str">
        <f aca="false">CONCATENATE($CC759,$CH$6)</f>
        <v>36951Theta</v>
      </c>
    </row>
    <row r="760" customFormat="false" ht="12.75" hidden="false" customHeight="false" outlineLevel="0" collapsed="false">
      <c r="A760" s="17" t="s">
        <v>198</v>
      </c>
      <c r="B760" s="0" t="s">
        <v>192</v>
      </c>
      <c r="C760" s="0" t="s">
        <v>448</v>
      </c>
      <c r="D760" s="7" t="s">
        <v>137</v>
      </c>
      <c r="E760" s="0" t="s">
        <v>131</v>
      </c>
      <c r="F760" s="0" t="s">
        <v>132</v>
      </c>
      <c r="G760" s="92" t="n">
        <v>36831</v>
      </c>
      <c r="H760" s="248" t="n">
        <v>300000</v>
      </c>
      <c r="I760" s="254" t="n">
        <v>0.3</v>
      </c>
      <c r="J760" s="124" t="n">
        <f aca="false">VLOOKUP(G760,NGPrices,2,FALSE())</f>
        <v>4.736</v>
      </c>
      <c r="K760" s="125" t="n">
        <f aca="false">HLOOKUP(D760,Prices,VLOOKUP(G760,move_down,2,FALSE()),FALSE())+VLOOKUP(G760,CHANGE,HLOOKUP(D760,CHANGE,2,FALSE()),FALSE())</f>
        <v>1.545</v>
      </c>
      <c r="L760" s="124" t="n">
        <f aca="false">K760+J760</f>
        <v>6.281</v>
      </c>
      <c r="M760" s="126" t="n">
        <f aca="false">VLOOKUP(G760,NGPrices,4,FALSE())</f>
        <v>0.06810675983792</v>
      </c>
      <c r="N760" s="7" t="n">
        <f aca="false">VLOOKUP(G760,NGPrices,3,FALSE())</f>
        <v>0.595</v>
      </c>
      <c r="O760" s="7" t="n">
        <f aca="false">HLOOKUP(D760,VOLS,VLOOKUP(G760,move_down,2,FALSE()),FALSE())</f>
        <v>0.577</v>
      </c>
      <c r="P760" s="249" t="n">
        <f aca="false">HLOOKUP(D760,Correllate,VLOOKUP(G760,CorMove,2,FALSE()),FALSE())</f>
        <v>0.85</v>
      </c>
      <c r="Q760" s="92" t="n">
        <f aca="false">WORKDAY(G760,-2)</f>
        <v>36829</v>
      </c>
      <c r="R760" s="7" t="n">
        <f aca="false">IF(F760="P",0,1)</f>
        <v>0</v>
      </c>
      <c r="S760" s="130" t="e">
        <f aca="false">xSPRDOPT($L760,$J760,$I760,$M760,$O760,$N760,$P760,$Q760-$C$3,$R760,0)</f>
        <v>#NAME?</v>
      </c>
      <c r="T760" s="250" t="e">
        <f aca="false">xSPRDOPT($L760,$J760,$I760,$M760,$O760,$N760,$P760,$Q760-$C$3,$R760,1)*H760</f>
        <v>#NAME?</v>
      </c>
      <c r="U760" s="43" t="e">
        <f aca="false">S760*H760</f>
        <v>#NAME?</v>
      </c>
      <c r="V760" s="250" t="e">
        <f aca="false">xSPRDOPT($L760,$J760,$I760,$M760,$O760,$N760,$P760,$Q760-$C$3,$R760,2)*H760</f>
        <v>#NAME?</v>
      </c>
      <c r="W760" s="250" t="e">
        <f aca="false">+V760+T760</f>
        <v>#NAME?</v>
      </c>
      <c r="X760" s="2" t="str">
        <f aca="false">CONCATENATE(G760,D760)</f>
        <v>36831NGI-SOCAL</v>
      </c>
      <c r="Y760" s="251" t="n">
        <f aca="false">H760/10000</f>
        <v>30</v>
      </c>
      <c r="Z760" s="226" t="e">
        <f aca="false">T760/H760</f>
        <v>#NAME?</v>
      </c>
      <c r="AA760" s="226" t="e">
        <f aca="false">xSPRDOPT($L760,$J760,$I760,$M760,$O760,$N760,$P760,$Q760-$C$3,$R760,3)</f>
        <v>#NAME?</v>
      </c>
      <c r="AB760" s="226" t="e">
        <f aca="false">((xSPRDOPT($L760+AB$5,$J760,$I760,$M760,$O760,$N760,$P760,$Q760-$C$3,$R760,3)*$H760)/10000)/100</f>
        <v>#NAME?</v>
      </c>
      <c r="AC760" s="226" t="e">
        <f aca="false">((xSPRDOPT($L760+$AB$5,$J760,$I760,$M760,$O760,$N760,$P760,$Q760-$C$3,$R760,7)*$H760)/100)</f>
        <v>#NAME?</v>
      </c>
      <c r="AD760" s="226" t="e">
        <f aca="false">(xSPRDOPT($L760+$AB$5,$J760,$I760,$M760,$O760,$N760,$P760,$Q760-$C$3,$R760,9)/365)*$H760</f>
        <v>#NAME?</v>
      </c>
      <c r="AE760" s="0" t="e">
        <f aca="false">CD762</f>
        <v>#NAME?</v>
      </c>
      <c r="AF760" s="226" t="e">
        <f aca="false">((O760/N760)*AH760)+AG760</f>
        <v>#NAME?</v>
      </c>
      <c r="AG760" s="226" t="e">
        <f aca="false">((xSPRDOPT($L760,$J760,$I760,$M760,$O760,$N760,$P760,$Q760-$C$3,$R760,6)*$H760)/100)</f>
        <v>#NAME?</v>
      </c>
      <c r="AH760" s="226" t="e">
        <f aca="false">((xSPRDOPT($L760,$J760,$I760,$M760,$O760,$N760,$P760,$Q760-$C$3,$R760,5)*$H760)/100)</f>
        <v>#NAME?</v>
      </c>
      <c r="AI760" s="226" t="e">
        <f aca="false">(((xSPRDOPT($L760,$J760,$I760,$M760,$O760,$N760,$P760,$Q760-$C$3,$R760,4)*$H760)/10000)/100)-AB760</f>
        <v>#NAME?</v>
      </c>
      <c r="AJ760" s="226"/>
      <c r="CC760" s="182" t="n">
        <f aca="false">G758</f>
        <v>36770</v>
      </c>
      <c r="CD760" s="253" t="e">
        <f aca="false">xSPRDOPT((VLOOKUP(G758,NGPrices,2,FALSE())+HLOOKUP(D758,Prices,VLOOKUP(G758,move_down,2,FALSE()),FALSE())),VLOOKUP(G758,NGPrices,2,FALSE()),I758,VLOOKUP(G758,NGPREVPRICES,4,FALSE()),HLOOKUP(D758,PREVVOLS,VLOOKUP(G758,MOVE_DOWN2,2,FALSE()),FALSE()),VLOOKUP(G758,NGPREVPRICES,3,FALSE()),HLOOKUP(D758,Correllate,VLOOKUP(G758,CorMove,2,FALSE()),FALSE()),Q758-$CD$3,R758,$CD$5)*H758-CJ760</f>
        <v>#NAME?</v>
      </c>
      <c r="CE760" s="253" t="e">
        <f aca="false">xSPRDOPT((VLOOKUP(G758,NGPREVPRICES,2,FALSE())+HLOOKUP(D758,PREVCURVES,VLOOKUP(G758,MOVE_DOWN2,2,FALSE()),FALSE())),VLOOKUP(G758,NGPREVPRICES,2,FALSE()),CK760,VLOOKUP(G758,NGPrices,4,FALSE()),HLOOKUP(D758,PREVVOLS,VLOOKUP(G758,MOVE_DOWN2,2,FALSE()),FALSE()),VLOOKUP(G758,NGPREVPRICES,3,FALSE()),HLOOKUP(D758,Correllate,VLOOKUP(G758,CorMove,2,FALSE()),FALSE()),Q758-$CD$3,R758,$CJ$5)*H758-CJ760</f>
        <v>#NAME?</v>
      </c>
      <c r="CF760" s="132" t="e">
        <f aca="false">(CJ760/VLOOKUP(CC760,discount,3,FALSE()))-(CJ760/VLOOKUP(CC760,discount,2,FALSE()))</f>
        <v>#NAME?</v>
      </c>
      <c r="CG760" s="253" t="e">
        <f aca="false">xSPRDOPT((VLOOKUP(G758,NGPREVPRICES,2,FALSE())+HLOOKUP(D758,PREVCURVES,VLOOKUP(G758,MOVE_DOWN2,2,FALSE()),FALSE())),VLOOKUP(G758,NGPREVPRICES,2,FALSE()),CK760,VLOOKUP(G758,NGPREVPRICES,4,FALSE()),HLOOKUP(D758,VOLS,VLOOKUP(G758,move_down,2,FALSE()),FALSE()),VLOOKUP(G758,NGPrices,3,FALSE()),HLOOKUP(D758,Correllate,VLOOKUP(G758,CorMove,2,FALSE()),FALSE()),Q758-$CD$3,R758,$CJ$5)*H758-CJ760</f>
        <v>#NAME?</v>
      </c>
      <c r="CH760" s="253" t="e">
        <f aca="false">xSPRDOPT((VLOOKUP(G758,NGPREVPRICES,2,FALSE())+HLOOKUP(D758,PREVCURVES,VLOOKUP(G758,MOVE_DOWN2,2,FALSE()),FALSE())),VLOOKUP(G758,NGPREVPRICES,2,FALSE()),CK760,VLOOKUP(G758,NGPREVPRICES,4,FALSE()),HLOOKUP(D758,PREVVOLS,VLOOKUP(G758,MOVE_DOWN2,2,FALSE()),FALSE()),VLOOKUP(G758,NGPREVPRICES,3,FALSE()),HLOOKUP(D758,Correllate,VLOOKUP(G758,CorMove,2,FALSE()),FALSE()),Q758-$C$3,R758,$CJ$5)*H758-CJ760</f>
        <v>#NAME?</v>
      </c>
      <c r="CI760" s="253" t="e">
        <f aca="false">SUM(CD760:CH760)</f>
        <v>#NAME?</v>
      </c>
      <c r="CJ760" s="253" t="e">
        <f aca="false">xSPRDOPT((VLOOKUP(G758,NGPREVPRICES,2,FALSE())+HLOOKUP(D758,PREVCURVES,VLOOKUP(G758,MOVE_DOWN2,2,FALSE()),FALSE())),VLOOKUP(G758,NGPREVPRICES,2,FALSE()),CK760,VLOOKUP(G758,NGPREVPRICES,4,FALSE()),HLOOKUP(D758,PREVVOLS,VLOOKUP(G758,MOVE_DOWN2,2,FALSE()),FALSE()),VLOOKUP(G758,NGPREVPRICES,3,FALSE()),HLOOKUP(D758,Correllate,VLOOKUP(G758,CorMove,2,FALSE()),FALSE()),Q758-$CD$3,R758,$CJ$5)*H758</f>
        <v>#NAME?</v>
      </c>
      <c r="CK760" s="254" t="n">
        <f aca="false">I758</f>
        <v>0.9</v>
      </c>
      <c r="CM760" s="0" t="str">
        <f aca="false">CONCATENATE(CC760,$CD$6)</f>
        <v>36770Curve Shift/Gamma</v>
      </c>
      <c r="CN760" s="0" t="str">
        <f aca="false">CONCATENATE($CC760,$CE$6)</f>
        <v>36770Rho</v>
      </c>
      <c r="CO760" s="0" t="str">
        <f aca="false">CONCATENATE($CC760,$CF$6)</f>
        <v>36770Drift</v>
      </c>
      <c r="CP760" s="0" t="str">
        <f aca="false">CONCATENATE($CC760,$CG$6)</f>
        <v>36770Vega</v>
      </c>
      <c r="CQ760" s="0" t="str">
        <f aca="false">CONCATENATE($CC760,$CH$6)</f>
        <v>36770Theta</v>
      </c>
    </row>
    <row r="761" customFormat="false" ht="12.75" hidden="false" customHeight="false" outlineLevel="0" collapsed="false">
      <c r="A761" s="17" t="s">
        <v>198</v>
      </c>
      <c r="B761" s="0" t="s">
        <v>192</v>
      </c>
      <c r="C761" s="0" t="s">
        <v>448</v>
      </c>
      <c r="D761" s="7" t="s">
        <v>137</v>
      </c>
      <c r="E761" s="0" t="s">
        <v>131</v>
      </c>
      <c r="F761" s="0" t="s">
        <v>132</v>
      </c>
      <c r="G761" s="92" t="n">
        <v>36861</v>
      </c>
      <c r="H761" s="248" t="n">
        <v>310000</v>
      </c>
      <c r="I761" s="254" t="n">
        <v>0.3</v>
      </c>
      <c r="J761" s="124" t="n">
        <f aca="false">VLOOKUP(G761,NGPrices,2,FALSE())</f>
        <v>4.8</v>
      </c>
      <c r="K761" s="125" t="n">
        <f aca="false">HLOOKUP(D761,Prices,VLOOKUP(G761,move_down,2,FALSE()),FALSE())+VLOOKUP(G761,CHANGE,HLOOKUP(D761,CHANGE,2,FALSE()),FALSE())</f>
        <v>1.005</v>
      </c>
      <c r="L761" s="124" t="n">
        <f aca="false">K761+J761</f>
        <v>5.805</v>
      </c>
      <c r="M761" s="126" t="n">
        <f aca="false">VLOOKUP(G761,NGPrices,4,FALSE())</f>
        <v>0.068314027999354</v>
      </c>
      <c r="N761" s="7" t="n">
        <f aca="false">VLOOKUP(G761,NGPrices,3,FALSE())</f>
        <v>0.6</v>
      </c>
      <c r="O761" s="7" t="n">
        <f aca="false">HLOOKUP(D761,VOLS,VLOOKUP(G761,move_down,2,FALSE()),FALSE())</f>
        <v>0.582</v>
      </c>
      <c r="P761" s="249" t="n">
        <f aca="false">HLOOKUP(D761,Correllate,VLOOKUP(G761,CorMove,2,FALSE()),FALSE())</f>
        <v>0.85</v>
      </c>
      <c r="Q761" s="92" t="n">
        <f aca="false">WORKDAY(G761,-2)</f>
        <v>36859</v>
      </c>
      <c r="R761" s="7" t="n">
        <f aca="false">IF(F761="P",0,1)</f>
        <v>0</v>
      </c>
      <c r="S761" s="130" t="e">
        <f aca="false">xSPRDOPT($L761,$J761,$I761,$M761,$O761,$N761,$P761,$Q761-$C$3,$R761,0)</f>
        <v>#NAME?</v>
      </c>
      <c r="T761" s="250" t="e">
        <f aca="false">xSPRDOPT($L761,$J761,$I761,$M761,$O761,$N761,$P761,$Q761-$C$3,$R761,1)*H761</f>
        <v>#NAME?</v>
      </c>
      <c r="U761" s="43" t="e">
        <f aca="false">S761*H761</f>
        <v>#NAME?</v>
      </c>
      <c r="V761" s="250" t="e">
        <f aca="false">xSPRDOPT($L761,$J761,$I761,$M761,$O761,$N761,$P761,$Q761-$C$3,$R761,2)*H761</f>
        <v>#NAME?</v>
      </c>
      <c r="W761" s="250" t="e">
        <f aca="false">+V761+T761</f>
        <v>#NAME?</v>
      </c>
      <c r="X761" s="2" t="str">
        <f aca="false">CONCATENATE(G761,D761)</f>
        <v>36861NGI-SOCAL</v>
      </c>
      <c r="Y761" s="251" t="n">
        <f aca="false">H761/10000</f>
        <v>31</v>
      </c>
      <c r="Z761" s="226" t="e">
        <f aca="false">T761/H761</f>
        <v>#NAME?</v>
      </c>
      <c r="AA761" s="226" t="e">
        <f aca="false">xSPRDOPT($L761,$J761,$I761,$M761,$O761,$N761,$P761,$Q761-$C$3,$R761,3)</f>
        <v>#NAME?</v>
      </c>
      <c r="AB761" s="226" t="e">
        <f aca="false">((xSPRDOPT($L761+AB$5,$J761,$I761,$M761,$O761,$N761,$P761,$Q761-$C$3,$R761,3)*$H761)/10000)/100</f>
        <v>#NAME?</v>
      </c>
      <c r="AC761" s="226" t="e">
        <f aca="false">((xSPRDOPT($L761+$AB$5,$J761,$I761,$M761,$O761,$N761,$P761,$Q761-$C$3,$R761,7)*$H761)/100)</f>
        <v>#NAME?</v>
      </c>
      <c r="AD761" s="226" t="e">
        <f aca="false">(xSPRDOPT($L761+$AB$5,$J761,$I761,$M761,$O761,$N761,$P761,$Q761-$C$3,$R761,9)/365)*$H761</f>
        <v>#NAME?</v>
      </c>
      <c r="AE761" s="0" t="e">
        <f aca="false">CD763</f>
        <v>#NAME?</v>
      </c>
      <c r="AF761" s="226" t="e">
        <f aca="false">((O761/N761)*AH761)+AG761</f>
        <v>#NAME?</v>
      </c>
      <c r="AG761" s="226" t="e">
        <f aca="false">((xSPRDOPT($L761,$J761,$I761,$M761,$O761,$N761,$P761,$Q761-$C$3,$R761,6)*$H761)/100)</f>
        <v>#NAME?</v>
      </c>
      <c r="AH761" s="226" t="e">
        <f aca="false">((xSPRDOPT($L761,$J761,$I761,$M761,$O761,$N761,$P761,$Q761-$C$3,$R761,5)*$H761)/100)</f>
        <v>#NAME?</v>
      </c>
      <c r="AI761" s="226" t="e">
        <f aca="false">(((xSPRDOPT($L761,$J761,$I761,$M761,$O761,$N761,$P761,$Q761-$C$3,$R761,4)*$H761)/10000)/100)-AB761</f>
        <v>#NAME?</v>
      </c>
      <c r="AJ761" s="226"/>
      <c r="CC761" s="182" t="n">
        <f aca="false">G759</f>
        <v>36800</v>
      </c>
      <c r="CD761" s="253" t="e">
        <f aca="false">xSPRDOPT((VLOOKUP(G759,NGPrices,2,FALSE())+HLOOKUP(D759,Prices,VLOOKUP(G759,move_down,2,FALSE()),FALSE())),VLOOKUP(G759,NGPrices,2,FALSE()),I759,VLOOKUP(G759,NGPREVPRICES,4,FALSE()),HLOOKUP(D759,PREVVOLS,VLOOKUP(G759,MOVE_DOWN2,2,FALSE()),FALSE()),VLOOKUP(G759,NGPREVPRICES,3,FALSE()),HLOOKUP(D759,Correllate,VLOOKUP(G759,CorMove,2,FALSE()),FALSE()),Q759-$CD$3,R759,$CD$5)*H759-CJ761</f>
        <v>#NAME?</v>
      </c>
      <c r="CE761" s="253" t="e">
        <f aca="false">xSPRDOPT((VLOOKUP(G759,NGPREVPRICES,2,FALSE())+HLOOKUP(D759,PREVCURVES,VLOOKUP(G759,MOVE_DOWN2,2,FALSE()),FALSE())),VLOOKUP(G759,NGPREVPRICES,2,FALSE()),CK761,VLOOKUP(G759,NGPrices,4,FALSE()),HLOOKUP(D759,PREVVOLS,VLOOKUP(G759,MOVE_DOWN2,2,FALSE()),FALSE()),VLOOKUP(G759,NGPREVPRICES,3,FALSE()),HLOOKUP(D759,Correllate,VLOOKUP(G759,CorMove,2,FALSE()),FALSE()),Q759-$CD$3,R759,$CJ$5)*H759-CJ761</f>
        <v>#NAME?</v>
      </c>
      <c r="CF761" s="132" t="e">
        <f aca="false">(CJ761/VLOOKUP(CC761,discount,3,FALSE()))-(CJ761/VLOOKUP(CC761,discount,2,FALSE()))</f>
        <v>#NAME?</v>
      </c>
      <c r="CG761" s="253" t="e">
        <f aca="false">xSPRDOPT((VLOOKUP(G759,NGPREVPRICES,2,FALSE())+HLOOKUP(D759,PREVCURVES,VLOOKUP(G759,MOVE_DOWN2,2,FALSE()),FALSE())),VLOOKUP(G759,NGPREVPRICES,2,FALSE()),CK761,VLOOKUP(G759,NGPREVPRICES,4,FALSE()),HLOOKUP(D759,VOLS,VLOOKUP(G759,move_down,2,FALSE()),FALSE()),VLOOKUP(G759,NGPrices,3,FALSE()),HLOOKUP(D759,Correllate,VLOOKUP(G759,CorMove,2,FALSE()),FALSE()),Q759-$CD$3,R759,$CJ$5)*H759-CJ761</f>
        <v>#NAME?</v>
      </c>
      <c r="CH761" s="253" t="e">
        <f aca="false">xSPRDOPT((VLOOKUP(G759,NGPREVPRICES,2,FALSE())+HLOOKUP(D759,PREVCURVES,VLOOKUP(G759,MOVE_DOWN2,2,FALSE()),FALSE())),VLOOKUP(G759,NGPREVPRICES,2,FALSE()),CK761,VLOOKUP(G759,NGPREVPRICES,4,FALSE()),HLOOKUP(D759,PREVVOLS,VLOOKUP(G759,MOVE_DOWN2,2,FALSE()),FALSE()),VLOOKUP(G759,NGPREVPRICES,3,FALSE()),HLOOKUP(D759,Correllate,VLOOKUP(G759,CorMove,2,FALSE()),FALSE()),Q759-$C$3,R759,$CJ$5)*H759-CJ761</f>
        <v>#NAME?</v>
      </c>
      <c r="CI761" s="253" t="e">
        <f aca="false">SUM(CD761:CH761)</f>
        <v>#NAME?</v>
      </c>
      <c r="CJ761" s="253" t="e">
        <f aca="false">xSPRDOPT((VLOOKUP(G759,NGPREVPRICES,2,FALSE())+HLOOKUP(D759,PREVCURVES,VLOOKUP(G759,MOVE_DOWN2,2,FALSE()),FALSE())),VLOOKUP(G759,NGPREVPRICES,2,FALSE()),CK761,VLOOKUP(G759,NGPREVPRICES,4,FALSE()),HLOOKUP(D759,PREVVOLS,VLOOKUP(G759,MOVE_DOWN2,2,FALSE()),FALSE()),VLOOKUP(G759,NGPREVPRICES,3,FALSE()),HLOOKUP(D759,Correllate,VLOOKUP(G759,CorMove,2,FALSE()),FALSE()),Q759-$CD$3,R759,$CJ$5)*H759</f>
        <v>#NAME?</v>
      </c>
      <c r="CK761" s="254" t="n">
        <f aca="false">I759</f>
        <v>0.8</v>
      </c>
      <c r="CM761" s="0" t="str">
        <f aca="false">CONCATENATE(CC761,$CD$6)</f>
        <v>36800Curve Shift/Gamma</v>
      </c>
      <c r="CN761" s="0" t="str">
        <f aca="false">CONCATENATE($CC761,$CE$6)</f>
        <v>36800Rho</v>
      </c>
      <c r="CO761" s="0" t="str">
        <f aca="false">CONCATENATE($CC761,$CF$6)</f>
        <v>36800Drift</v>
      </c>
      <c r="CP761" s="0" t="str">
        <f aca="false">CONCATENATE($CC761,$CG$6)</f>
        <v>36800Vega</v>
      </c>
      <c r="CQ761" s="0" t="str">
        <f aca="false">CONCATENATE($CC761,$CH$6)</f>
        <v>36800Theta</v>
      </c>
    </row>
    <row r="762" customFormat="false" ht="12.75" hidden="false" customHeight="false" outlineLevel="0" collapsed="false">
      <c r="A762" s="17" t="s">
        <v>198</v>
      </c>
      <c r="B762" s="0" t="s">
        <v>192</v>
      </c>
      <c r="C762" s="0" t="s">
        <v>448</v>
      </c>
      <c r="D762" s="7" t="s">
        <v>137</v>
      </c>
      <c r="E762" s="0" t="s">
        <v>131</v>
      </c>
      <c r="F762" s="0" t="s">
        <v>132</v>
      </c>
      <c r="G762" s="92" t="n">
        <v>36892</v>
      </c>
      <c r="H762" s="248" t="n">
        <v>310000</v>
      </c>
      <c r="I762" s="254" t="n">
        <v>0.3</v>
      </c>
      <c r="J762" s="124" t="n">
        <f aca="false">VLOOKUP(G762,NGPrices,2,FALSE())</f>
        <v>4.744</v>
      </c>
      <c r="K762" s="125" t="n">
        <f aca="false">HLOOKUP(D762,Prices,VLOOKUP(G762,move_down,2,FALSE()),FALSE())+VLOOKUP(G762,CHANGE,HLOOKUP(D762,CHANGE,2,FALSE()),FALSE())</f>
        <v>0.7675</v>
      </c>
      <c r="L762" s="124" t="n">
        <f aca="false">K762+J762</f>
        <v>5.5115</v>
      </c>
      <c r="M762" s="126" t="n">
        <f aca="false">VLOOKUP(G762,NGPrices,4,FALSE())</f>
        <v>0.068374831148491</v>
      </c>
      <c r="N762" s="7" t="n">
        <f aca="false">VLOOKUP(G762,NGPrices,3,FALSE())</f>
        <v>0.605</v>
      </c>
      <c r="O762" s="7" t="n">
        <f aca="false">HLOOKUP(D762,VOLS,VLOOKUP(G762,move_down,2,FALSE()),FALSE())</f>
        <v>0.587</v>
      </c>
      <c r="P762" s="249" t="n">
        <f aca="false">HLOOKUP(D762,Correllate,VLOOKUP(G762,CorMove,2,FALSE()),FALSE())</f>
        <v>0.85</v>
      </c>
      <c r="Q762" s="92" t="n">
        <f aca="false">WORKDAY(G762,-2)</f>
        <v>36888</v>
      </c>
      <c r="R762" s="7" t="n">
        <f aca="false">IF(F762="P",0,1)</f>
        <v>0</v>
      </c>
      <c r="S762" s="130" t="e">
        <f aca="false">xSPRDOPT($L762,$J762,$I762,$M762,$O762,$N762,$P762,$Q762-$C$3,$R762,0)</f>
        <v>#NAME?</v>
      </c>
      <c r="T762" s="250" t="e">
        <f aca="false">xSPRDOPT($L762,$J762,$I762,$M762,$O762,$N762,$P762,$Q762-$C$3,$R762,1)*H762</f>
        <v>#NAME?</v>
      </c>
      <c r="U762" s="43" t="e">
        <f aca="false">S762*H762</f>
        <v>#NAME?</v>
      </c>
      <c r="V762" s="250" t="e">
        <f aca="false">xSPRDOPT($L762,$J762,$I762,$M762,$O762,$N762,$P762,$Q762-$C$3,$R762,2)*H762</f>
        <v>#NAME?</v>
      </c>
      <c r="W762" s="250" t="e">
        <f aca="false">+V762+T762</f>
        <v>#NAME?</v>
      </c>
      <c r="X762" s="2" t="str">
        <f aca="false">CONCATENATE(G762,D762)</f>
        <v>36892NGI-SOCAL</v>
      </c>
      <c r="Y762" s="251" t="n">
        <f aca="false">H762/10000</f>
        <v>31</v>
      </c>
      <c r="Z762" s="226" t="e">
        <f aca="false">T762/H762</f>
        <v>#NAME?</v>
      </c>
      <c r="AA762" s="226" t="e">
        <f aca="false">xSPRDOPT($L762,$J762,$I762,$M762,$O762,$N762,$P762,$Q762-$C$3,$R762,3)</f>
        <v>#NAME?</v>
      </c>
      <c r="AB762" s="226" t="e">
        <f aca="false">((xSPRDOPT($L762+AB$5,$J762,$I762,$M762,$O762,$N762,$P762,$Q762-$C$3,$R762,3)*$H762)/10000)/100</f>
        <v>#NAME?</v>
      </c>
      <c r="AC762" s="226" t="e">
        <f aca="false">((xSPRDOPT($L762+$AB$5,$J762,$I762,$M762,$O762,$N762,$P762,$Q762-$C$3,$R762,7)*$H762)/100)</f>
        <v>#NAME?</v>
      </c>
      <c r="AD762" s="226" t="e">
        <f aca="false">(xSPRDOPT($L762+$AB$5,$J762,$I762,$M762,$O762,$N762,$P762,$Q762-$C$3,$R762,9)/365)*$H762</f>
        <v>#NAME?</v>
      </c>
      <c r="AE762" s="0" t="e">
        <f aca="false">CD764</f>
        <v>#NAME?</v>
      </c>
      <c r="AF762" s="226" t="e">
        <f aca="false">((O762/N762)*AH762)+AG762</f>
        <v>#NAME?</v>
      </c>
      <c r="AG762" s="226" t="e">
        <f aca="false">((xSPRDOPT($L762,$J762,$I762,$M762,$O762,$N762,$P762,$Q762-$C$3,$R762,6)*$H762)/100)</f>
        <v>#NAME?</v>
      </c>
      <c r="AH762" s="226" t="e">
        <f aca="false">((xSPRDOPT($L762,$J762,$I762,$M762,$O762,$N762,$P762,$Q762-$C$3,$R762,5)*$H762)/100)</f>
        <v>#NAME?</v>
      </c>
      <c r="AI762" s="226" t="e">
        <f aca="false">(((xSPRDOPT($L762,$J762,$I762,$M762,$O762,$N762,$P762,$Q762-$C$3,$R762,4)*$H762)/10000)/100)-AB762</f>
        <v>#NAME?</v>
      </c>
      <c r="AJ762" s="226"/>
      <c r="CC762" s="182" t="n">
        <f aca="false">G760</f>
        <v>36831</v>
      </c>
      <c r="CD762" s="253" t="e">
        <f aca="false">xSPRDOPT((VLOOKUP(G760,NGPrices,2,FALSE())+HLOOKUP(D760,Prices,VLOOKUP(G760,move_down,2,FALSE()),FALSE())),VLOOKUP(G760,NGPrices,2,FALSE()),I760,VLOOKUP(G760,NGPREVPRICES,4,FALSE()),HLOOKUP(D760,PREVVOLS,VLOOKUP(G760,MOVE_DOWN2,2,FALSE()),FALSE()),VLOOKUP(G760,NGPREVPRICES,3,FALSE()),HLOOKUP(D760,Correllate,VLOOKUP(G760,CorMove,2,FALSE()),FALSE()),Q760-$CD$3,R760,$CD$5)*H760-CJ762</f>
        <v>#NAME?</v>
      </c>
      <c r="CE762" s="253" t="e">
        <f aca="false">xSPRDOPT((VLOOKUP(G760,NGPREVPRICES,2,FALSE())+HLOOKUP(D760,PREVCURVES,VLOOKUP(G760,MOVE_DOWN2,2,FALSE()),FALSE())),VLOOKUP(G760,NGPREVPRICES,2,FALSE()),CK762,VLOOKUP(G760,NGPrices,4,FALSE()),HLOOKUP(D760,PREVVOLS,VLOOKUP(G760,MOVE_DOWN2,2,FALSE()),FALSE()),VLOOKUP(G760,NGPREVPRICES,3,FALSE()),HLOOKUP(D760,Correllate,VLOOKUP(G760,CorMove,2,FALSE()),FALSE()),Q760-$CD$3,R760,$CJ$5)*H760-CJ762</f>
        <v>#NAME?</v>
      </c>
      <c r="CF762" s="132" t="e">
        <f aca="false">(CJ762/VLOOKUP(CC762,discount,3,FALSE()))-(CJ762/VLOOKUP(CC762,discount,2,FALSE()))</f>
        <v>#NAME?</v>
      </c>
      <c r="CG762" s="253" t="e">
        <f aca="false">xSPRDOPT((VLOOKUP(G760,NGPREVPRICES,2,FALSE())+HLOOKUP(D760,PREVCURVES,VLOOKUP(G760,MOVE_DOWN2,2,FALSE()),FALSE())),VLOOKUP(G760,NGPREVPRICES,2,FALSE()),CK762,VLOOKUP(G760,NGPREVPRICES,4,FALSE()),HLOOKUP(D760,VOLS,VLOOKUP(G760,move_down,2,FALSE()),FALSE()),VLOOKUP(G760,NGPrices,3,FALSE()),HLOOKUP(D760,Correllate,VLOOKUP(G760,CorMove,2,FALSE()),FALSE()),Q760-$CD$3,R760,$CJ$5)*H760-CJ762</f>
        <v>#NAME?</v>
      </c>
      <c r="CH762" s="253" t="e">
        <f aca="false">xSPRDOPT((VLOOKUP(G760,NGPREVPRICES,2,FALSE())+HLOOKUP(D760,PREVCURVES,VLOOKUP(G760,MOVE_DOWN2,2,FALSE()),FALSE())),VLOOKUP(G760,NGPREVPRICES,2,FALSE()),CK762,VLOOKUP(G760,NGPREVPRICES,4,FALSE()),HLOOKUP(D760,PREVVOLS,VLOOKUP(G760,MOVE_DOWN2,2,FALSE()),FALSE()),VLOOKUP(G760,NGPREVPRICES,3,FALSE()),HLOOKUP(D760,Correllate,VLOOKUP(G760,CorMove,2,FALSE()),FALSE()),Q760-$C$3,R760,$CJ$5)*H760-CJ762</f>
        <v>#NAME?</v>
      </c>
      <c r="CI762" s="253" t="e">
        <f aca="false">SUM(CD762:CH762)</f>
        <v>#NAME?</v>
      </c>
      <c r="CJ762" s="253" t="e">
        <f aca="false">xSPRDOPT((VLOOKUP(G760,NGPREVPRICES,2,FALSE())+HLOOKUP(D760,PREVCURVES,VLOOKUP(G760,MOVE_DOWN2,2,FALSE()),FALSE())),VLOOKUP(G760,NGPREVPRICES,2,FALSE()),CK762,VLOOKUP(G760,NGPREVPRICES,4,FALSE()),HLOOKUP(D760,PREVVOLS,VLOOKUP(G760,MOVE_DOWN2,2,FALSE()),FALSE()),VLOOKUP(G760,NGPREVPRICES,3,FALSE()),HLOOKUP(D760,Correllate,VLOOKUP(G760,CorMove,2,FALSE()),FALSE()),Q760-$CD$3,R760,$CJ$5)*H760</f>
        <v>#NAME?</v>
      </c>
      <c r="CK762" s="254" t="n">
        <f aca="false">I760</f>
        <v>0.3</v>
      </c>
      <c r="CM762" s="0" t="str">
        <f aca="false">CONCATENATE(CC762,$CD$6)</f>
        <v>36831Curve Shift/Gamma</v>
      </c>
      <c r="CN762" s="0" t="str">
        <f aca="false">CONCATENATE($CC762,$CE$6)</f>
        <v>36831Rho</v>
      </c>
      <c r="CO762" s="0" t="str">
        <f aca="false">CONCATENATE($CC762,$CF$6)</f>
        <v>36831Drift</v>
      </c>
      <c r="CP762" s="0" t="str">
        <f aca="false">CONCATENATE($CC762,$CG$6)</f>
        <v>36831Vega</v>
      </c>
      <c r="CQ762" s="0" t="str">
        <f aca="false">CONCATENATE($CC762,$CH$6)</f>
        <v>36831Theta</v>
      </c>
    </row>
    <row r="763" customFormat="false" ht="12.75" hidden="false" customHeight="false" outlineLevel="0" collapsed="false">
      <c r="A763" s="17" t="s">
        <v>198</v>
      </c>
      <c r="B763" s="0" t="s">
        <v>192</v>
      </c>
      <c r="C763" s="0" t="s">
        <v>448</v>
      </c>
      <c r="D763" s="7" t="s">
        <v>137</v>
      </c>
      <c r="E763" s="0" t="s">
        <v>131</v>
      </c>
      <c r="F763" s="0" t="s">
        <v>132</v>
      </c>
      <c r="G763" s="92" t="n">
        <v>36923</v>
      </c>
      <c r="H763" s="248" t="n">
        <v>280000</v>
      </c>
      <c r="I763" s="254" t="n">
        <v>0.3</v>
      </c>
      <c r="J763" s="124" t="n">
        <f aca="false">VLOOKUP(G763,NGPrices,2,FALSE())</f>
        <v>4.48</v>
      </c>
      <c r="K763" s="125" t="n">
        <f aca="false">HLOOKUP(D763,Prices,VLOOKUP(G763,move_down,2,FALSE()),FALSE())+VLOOKUP(G763,CHANGE,HLOOKUP(D763,CHANGE,2,FALSE()),FALSE())</f>
        <v>0.6175</v>
      </c>
      <c r="L763" s="124" t="n">
        <f aca="false">K763+J763</f>
        <v>5.0975</v>
      </c>
      <c r="M763" s="126" t="n">
        <f aca="false">VLOOKUP(G763,NGPrices,4,FALSE())</f>
        <v>0.068640161611372</v>
      </c>
      <c r="N763" s="7" t="n">
        <f aca="false">VLOOKUP(G763,NGPrices,3,FALSE())</f>
        <v>0.5925</v>
      </c>
      <c r="O763" s="7" t="n">
        <f aca="false">HLOOKUP(D763,VOLS,VLOOKUP(G763,move_down,2,FALSE()),FALSE())</f>
        <v>0.575</v>
      </c>
      <c r="P763" s="249" t="n">
        <f aca="false">HLOOKUP(D763,Correllate,VLOOKUP(G763,CorMove,2,FALSE()),FALSE())</f>
        <v>0.85</v>
      </c>
      <c r="Q763" s="92" t="n">
        <f aca="false">WORKDAY(G763,-2)</f>
        <v>36921</v>
      </c>
      <c r="R763" s="7" t="n">
        <f aca="false">IF(F763="P",0,1)</f>
        <v>0</v>
      </c>
      <c r="S763" s="130" t="e">
        <f aca="false">xSPRDOPT($L763,$J763,$I763,$M763,$O763,$N763,$P763,$Q763-$C$3,$R763,0)</f>
        <v>#NAME?</v>
      </c>
      <c r="T763" s="250" t="e">
        <f aca="false">xSPRDOPT($L763,$J763,$I763,$M763,$O763,$N763,$P763,$Q763-$C$3,$R763,1)*H763</f>
        <v>#NAME?</v>
      </c>
      <c r="U763" s="43" t="e">
        <f aca="false">S763*H763</f>
        <v>#NAME?</v>
      </c>
      <c r="V763" s="250" t="e">
        <f aca="false">xSPRDOPT($L763,$J763,$I763,$M763,$O763,$N763,$P763,$Q763-$C$3,$R763,2)*H763</f>
        <v>#NAME?</v>
      </c>
      <c r="W763" s="250" t="e">
        <f aca="false">+V763+T763</f>
        <v>#NAME?</v>
      </c>
      <c r="X763" s="2" t="str">
        <f aca="false">CONCATENATE(G763,D763)</f>
        <v>36923NGI-SOCAL</v>
      </c>
      <c r="Y763" s="251" t="n">
        <f aca="false">H763/10000</f>
        <v>28</v>
      </c>
      <c r="Z763" s="226" t="e">
        <f aca="false">T763/H763</f>
        <v>#NAME?</v>
      </c>
      <c r="AA763" s="226" t="e">
        <f aca="false">xSPRDOPT($L763,$J763,$I763,$M763,$O763,$N763,$P763,$Q763-$C$3,$R763,3)</f>
        <v>#NAME?</v>
      </c>
      <c r="AB763" s="226" t="e">
        <f aca="false">((xSPRDOPT($L763+AB$5,$J763,$I763,$M763,$O763,$N763,$P763,$Q763-$C$3,$R763,3)*$H763)/10000)/100</f>
        <v>#NAME?</v>
      </c>
      <c r="AC763" s="226" t="e">
        <f aca="false">((xSPRDOPT($L763+$AB$5,$J763,$I763,$M763,$O763,$N763,$P763,$Q763-$C$3,$R763,7)*$H763)/100)</f>
        <v>#NAME?</v>
      </c>
      <c r="AD763" s="226" t="e">
        <f aca="false">(xSPRDOPT($L763+$AB$5,$J763,$I763,$M763,$O763,$N763,$P763,$Q763-$C$3,$R763,9)/365)*$H763</f>
        <v>#NAME?</v>
      </c>
      <c r="AE763" s="0" t="e">
        <f aca="false">CD765</f>
        <v>#NAME?</v>
      </c>
      <c r="AF763" s="226" t="e">
        <f aca="false">((O763/N763)*AH763)+AG763</f>
        <v>#NAME?</v>
      </c>
      <c r="AG763" s="226" t="e">
        <f aca="false">((xSPRDOPT($L763,$J763,$I763,$M763,$O763,$N763,$P763,$Q763-$C$3,$R763,6)*$H763)/100)</f>
        <v>#NAME?</v>
      </c>
      <c r="AH763" s="226" t="e">
        <f aca="false">((xSPRDOPT($L763,$J763,$I763,$M763,$O763,$N763,$P763,$Q763-$C$3,$R763,5)*$H763)/100)</f>
        <v>#NAME?</v>
      </c>
      <c r="AI763" s="226" t="e">
        <f aca="false">(((xSPRDOPT($L763,$J763,$I763,$M763,$O763,$N763,$P763,$Q763-$C$3,$R763,4)*$H763)/10000)/100)-AB763</f>
        <v>#NAME?</v>
      </c>
      <c r="AJ763" s="226"/>
      <c r="CC763" s="182" t="n">
        <f aca="false">G761</f>
        <v>36861</v>
      </c>
      <c r="CD763" s="253" t="e">
        <f aca="false">xSPRDOPT((VLOOKUP(G761,NGPrices,2,FALSE())+HLOOKUP(D761,Prices,VLOOKUP(G761,move_down,2,FALSE()),FALSE())),VLOOKUP(G761,NGPrices,2,FALSE()),I761,VLOOKUP(G761,NGPREVPRICES,4,FALSE()),HLOOKUP(D761,PREVVOLS,VLOOKUP(G761,MOVE_DOWN2,2,FALSE()),FALSE()),VLOOKUP(G761,NGPREVPRICES,3,FALSE()),HLOOKUP(D761,Correllate,VLOOKUP(G761,CorMove,2,FALSE()),FALSE()),Q761-$CD$3,R761,$CD$5)*H761-CJ763</f>
        <v>#NAME?</v>
      </c>
      <c r="CE763" s="253" t="e">
        <f aca="false">xSPRDOPT((VLOOKUP(G761,NGPREVPRICES,2,FALSE())+HLOOKUP(D761,PREVCURVES,VLOOKUP(G761,MOVE_DOWN2,2,FALSE()),FALSE())),VLOOKUP(G761,NGPREVPRICES,2,FALSE()),CK763,VLOOKUP(G761,NGPrices,4,FALSE()),HLOOKUP(D761,PREVVOLS,VLOOKUP(G761,MOVE_DOWN2,2,FALSE()),FALSE()),VLOOKUP(G761,NGPREVPRICES,3,FALSE()),HLOOKUP(D761,Correllate,VLOOKUP(G761,CorMove,2,FALSE()),FALSE()),Q761-$CD$3,R761,$CJ$5)*H761-CJ763</f>
        <v>#NAME?</v>
      </c>
      <c r="CF763" s="132" t="e">
        <f aca="false">(CJ763/VLOOKUP(CC763,discount,3,FALSE()))-(CJ763/VLOOKUP(CC763,discount,2,FALSE()))</f>
        <v>#NAME?</v>
      </c>
      <c r="CG763" s="253" t="e">
        <f aca="false">xSPRDOPT((VLOOKUP(G761,NGPREVPRICES,2,FALSE())+HLOOKUP(D761,PREVCURVES,VLOOKUP(G761,MOVE_DOWN2,2,FALSE()),FALSE())),VLOOKUP(G761,NGPREVPRICES,2,FALSE()),CK763,VLOOKUP(G761,NGPREVPRICES,4,FALSE()),HLOOKUP(D761,VOLS,VLOOKUP(G761,move_down,2,FALSE()),FALSE()),VLOOKUP(G761,NGPrices,3,FALSE()),HLOOKUP(D761,Correllate,VLOOKUP(G761,CorMove,2,FALSE()),FALSE()),Q761-$CD$3,R761,$CJ$5)*H761-CJ763</f>
        <v>#NAME?</v>
      </c>
      <c r="CH763" s="253" t="e">
        <f aca="false">xSPRDOPT((VLOOKUP(G761,NGPREVPRICES,2,FALSE())+HLOOKUP(D761,PREVCURVES,VLOOKUP(G761,MOVE_DOWN2,2,FALSE()),FALSE())),VLOOKUP(G761,NGPREVPRICES,2,FALSE()),CK763,VLOOKUP(G761,NGPREVPRICES,4,FALSE()),HLOOKUP(D761,PREVVOLS,VLOOKUP(G761,MOVE_DOWN2,2,FALSE()),FALSE()),VLOOKUP(G761,NGPREVPRICES,3,FALSE()),HLOOKUP(D761,Correllate,VLOOKUP(G761,CorMove,2,FALSE()),FALSE()),Q761-$C$3,R761,$CJ$5)*H761-CJ763</f>
        <v>#NAME?</v>
      </c>
      <c r="CI763" s="253" t="e">
        <f aca="false">SUM(CD763:CH763)</f>
        <v>#NAME?</v>
      </c>
      <c r="CJ763" s="253" t="e">
        <f aca="false">xSPRDOPT((VLOOKUP(G761,NGPREVPRICES,2,FALSE())+HLOOKUP(D761,PREVCURVES,VLOOKUP(G761,MOVE_DOWN2,2,FALSE()),FALSE())),VLOOKUP(G761,NGPREVPRICES,2,FALSE()),CK763,VLOOKUP(G761,NGPREVPRICES,4,FALSE()),HLOOKUP(D761,PREVVOLS,VLOOKUP(G761,MOVE_DOWN2,2,FALSE()),FALSE()),VLOOKUP(G761,NGPREVPRICES,3,FALSE()),HLOOKUP(D761,Correllate,VLOOKUP(G761,CorMove,2,FALSE()),FALSE()),Q761-$CD$3,R761,$CJ$5)*H761</f>
        <v>#NAME?</v>
      </c>
      <c r="CK763" s="254" t="n">
        <f aca="false">I761</f>
        <v>0.3</v>
      </c>
      <c r="CM763" s="0" t="str">
        <f aca="false">CONCATENATE(CC763,$CD$6)</f>
        <v>36861Curve Shift/Gamma</v>
      </c>
      <c r="CN763" s="0" t="str">
        <f aca="false">CONCATENATE($CC763,$CE$6)</f>
        <v>36861Rho</v>
      </c>
      <c r="CO763" s="0" t="str">
        <f aca="false">CONCATENATE($CC763,$CF$6)</f>
        <v>36861Drift</v>
      </c>
      <c r="CP763" s="0" t="str">
        <f aca="false">CONCATENATE($CC763,$CG$6)</f>
        <v>36861Vega</v>
      </c>
      <c r="CQ763" s="0" t="str">
        <f aca="false">CONCATENATE($CC763,$CH$6)</f>
        <v>36861Theta</v>
      </c>
    </row>
    <row r="764" customFormat="false" ht="12.75" hidden="false" customHeight="false" outlineLevel="0" collapsed="false">
      <c r="A764" s="17" t="s">
        <v>198</v>
      </c>
      <c r="B764" s="0" t="s">
        <v>192</v>
      </c>
      <c r="C764" s="0" t="s">
        <v>448</v>
      </c>
      <c r="D764" s="7" t="s">
        <v>137</v>
      </c>
      <c r="E764" s="0" t="s">
        <v>131</v>
      </c>
      <c r="F764" s="0" t="s">
        <v>132</v>
      </c>
      <c r="G764" s="92" t="n">
        <v>36951</v>
      </c>
      <c r="H764" s="248" t="n">
        <v>310000</v>
      </c>
      <c r="I764" s="254" t="n">
        <v>0.3</v>
      </c>
      <c r="J764" s="124" t="n">
        <f aca="false">VLOOKUP(G764,NGPrices,2,FALSE())</f>
        <v>4.213</v>
      </c>
      <c r="K764" s="125" t="n">
        <f aca="false">HLOOKUP(D764,Prices,VLOOKUP(G764,move_down,2,FALSE()),FALSE())+VLOOKUP(G764,CHANGE,HLOOKUP(D764,CHANGE,2,FALSE()),FALSE())</f>
        <v>0.5975</v>
      </c>
      <c r="L764" s="124" t="n">
        <f aca="false">K764+J764</f>
        <v>4.8105</v>
      </c>
      <c r="M764" s="126" t="n">
        <f aca="false">VLOOKUP(G764,NGPrices,4,FALSE())</f>
        <v>0.068879814952707</v>
      </c>
      <c r="N764" s="7" t="n">
        <f aca="false">VLOOKUP(G764,NGPrices,3,FALSE())</f>
        <v>0.5325</v>
      </c>
      <c r="O764" s="7" t="n">
        <f aca="false">HLOOKUP(D764,VOLS,VLOOKUP(G764,move_down,2,FALSE()),FALSE())</f>
        <v>0.517</v>
      </c>
      <c r="P764" s="249" t="n">
        <f aca="false">HLOOKUP(D764,Correllate,VLOOKUP(G764,CorMove,2,FALSE()),FALSE())</f>
        <v>0.85</v>
      </c>
      <c r="Q764" s="92" t="n">
        <f aca="false">WORKDAY(G764,-2)</f>
        <v>36949</v>
      </c>
      <c r="R764" s="7" t="n">
        <f aca="false">IF(F764="P",0,1)</f>
        <v>0</v>
      </c>
      <c r="S764" s="130" t="e">
        <f aca="false">xSPRDOPT($L764,$J764,$I764,$M764,$O764,$N764,$P764,$Q764-$C$3,$R764,0)</f>
        <v>#NAME?</v>
      </c>
      <c r="T764" s="250" t="e">
        <f aca="false">xSPRDOPT($L764,$J764,$I764,$M764,$O764,$N764,$P764,$Q764-$C$3,$R764,1)*H764</f>
        <v>#NAME?</v>
      </c>
      <c r="U764" s="43" t="e">
        <f aca="false">S764*H764</f>
        <v>#NAME?</v>
      </c>
      <c r="V764" s="250" t="e">
        <f aca="false">xSPRDOPT($L764,$J764,$I764,$M764,$O764,$N764,$P764,$Q764-$C$3,$R764,2)*H764</f>
        <v>#NAME?</v>
      </c>
      <c r="W764" s="250" t="e">
        <f aca="false">+V764+T764</f>
        <v>#NAME?</v>
      </c>
      <c r="X764" s="2" t="str">
        <f aca="false">CONCATENATE(G764,D764)</f>
        <v>36951NGI-SOCAL</v>
      </c>
      <c r="Y764" s="251" t="n">
        <f aca="false">H764/10000</f>
        <v>31</v>
      </c>
      <c r="Z764" s="226" t="e">
        <f aca="false">T764/H764</f>
        <v>#NAME?</v>
      </c>
      <c r="AA764" s="226" t="e">
        <f aca="false">xSPRDOPT($L764,$J764,$I764,$M764,$O764,$N764,$P764,$Q764-$C$3,$R764,3)</f>
        <v>#NAME?</v>
      </c>
      <c r="AB764" s="226" t="e">
        <f aca="false">((xSPRDOPT($L764+AB$5,$J764,$I764,$M764,$O764,$N764,$P764,$Q764-$C$3,$R764,3)*$H764)/10000)/100</f>
        <v>#NAME?</v>
      </c>
      <c r="AC764" s="226" t="e">
        <f aca="false">((xSPRDOPT($L764+$AB$5,$J764,$I764,$M764,$O764,$N764,$P764,$Q764-$C$3,$R764,7)*$H764)/100)</f>
        <v>#NAME?</v>
      </c>
      <c r="AD764" s="226" t="e">
        <f aca="false">(xSPRDOPT($L764+$AB$5,$J764,$I764,$M764,$O764,$N764,$P764,$Q764-$C$3,$R764,9)/365)*$H764</f>
        <v>#NAME?</v>
      </c>
      <c r="AE764" s="0" t="e">
        <f aca="false">CD766</f>
        <v>#NAME?</v>
      </c>
      <c r="AF764" s="226" t="e">
        <f aca="false">((O764/N764)*AH764)+AG764</f>
        <v>#NAME?</v>
      </c>
      <c r="AG764" s="226" t="e">
        <f aca="false">((xSPRDOPT($L764,$J764,$I764,$M764,$O764,$N764,$P764,$Q764-$C$3,$R764,6)*$H764)/100)</f>
        <v>#NAME?</v>
      </c>
      <c r="AH764" s="226" t="e">
        <f aca="false">((xSPRDOPT($L764,$J764,$I764,$M764,$O764,$N764,$P764,$Q764-$C$3,$R764,5)*$H764)/100)</f>
        <v>#NAME?</v>
      </c>
      <c r="AI764" s="226" t="e">
        <f aca="false">(((xSPRDOPT($L764,$J764,$I764,$M764,$O764,$N764,$P764,$Q764-$C$3,$R764,4)*$H764)/10000)/100)-AB764</f>
        <v>#NAME?</v>
      </c>
      <c r="AJ764" s="226"/>
      <c r="CC764" s="182" t="n">
        <f aca="false">G762</f>
        <v>36892</v>
      </c>
      <c r="CD764" s="253" t="e">
        <f aca="false">xSPRDOPT((VLOOKUP(G762,NGPrices,2,FALSE())+HLOOKUP(D762,Prices,VLOOKUP(G762,move_down,2,FALSE()),FALSE())),VLOOKUP(G762,NGPrices,2,FALSE()),I762,VLOOKUP(G762,NGPREVPRICES,4,FALSE()),HLOOKUP(D762,PREVVOLS,VLOOKUP(G762,MOVE_DOWN2,2,FALSE()),FALSE()),VLOOKUP(G762,NGPREVPRICES,3,FALSE()),HLOOKUP(D762,Correllate,VLOOKUP(G762,CorMove,2,FALSE()),FALSE()),Q762-$CD$3,R762,$CD$5)*H762-CJ764</f>
        <v>#NAME?</v>
      </c>
      <c r="CE764" s="253" t="e">
        <f aca="false">xSPRDOPT((VLOOKUP(G762,NGPREVPRICES,2,FALSE())+HLOOKUP(D762,PREVCURVES,VLOOKUP(G762,MOVE_DOWN2,2,FALSE()),FALSE())),VLOOKUP(G762,NGPREVPRICES,2,FALSE()),CK764,VLOOKUP(G762,NGPrices,4,FALSE()),HLOOKUP(D762,PREVVOLS,VLOOKUP(G762,MOVE_DOWN2,2,FALSE()),FALSE()),VLOOKUP(G762,NGPREVPRICES,3,FALSE()),HLOOKUP(D762,Correllate,VLOOKUP(G762,CorMove,2,FALSE()),FALSE()),Q762-$CD$3,R762,$CJ$5)*H762-CJ764</f>
        <v>#NAME?</v>
      </c>
      <c r="CF764" s="132" t="e">
        <f aca="false">(CJ764/VLOOKUP(CC764,discount,3,FALSE()))-(CJ764/VLOOKUP(CC764,discount,2,FALSE()))</f>
        <v>#NAME?</v>
      </c>
      <c r="CG764" s="253" t="e">
        <f aca="false">xSPRDOPT((VLOOKUP(G762,NGPREVPRICES,2,FALSE())+HLOOKUP(D762,PREVCURVES,VLOOKUP(G762,MOVE_DOWN2,2,FALSE()),FALSE())),VLOOKUP(G762,NGPREVPRICES,2,FALSE()),CK764,VLOOKUP(G762,NGPREVPRICES,4,FALSE()),HLOOKUP(D762,VOLS,VLOOKUP(G762,move_down,2,FALSE()),FALSE()),VLOOKUP(G762,NGPrices,3,FALSE()),HLOOKUP(D762,Correllate,VLOOKUP(G762,CorMove,2,FALSE()),FALSE()),Q762-$CD$3,R762,$CJ$5)*H762-CJ764</f>
        <v>#NAME?</v>
      </c>
      <c r="CH764" s="253" t="e">
        <f aca="false">xSPRDOPT((VLOOKUP(G762,NGPREVPRICES,2,FALSE())+HLOOKUP(D762,PREVCURVES,VLOOKUP(G762,MOVE_DOWN2,2,FALSE()),FALSE())),VLOOKUP(G762,NGPREVPRICES,2,FALSE()),CK764,VLOOKUP(G762,NGPREVPRICES,4,FALSE()),HLOOKUP(D762,PREVVOLS,VLOOKUP(G762,MOVE_DOWN2,2,FALSE()),FALSE()),VLOOKUP(G762,NGPREVPRICES,3,FALSE()),HLOOKUP(D762,Correllate,VLOOKUP(G762,CorMove,2,FALSE()),FALSE()),Q762-$C$3,R762,$CJ$5)*H762-CJ764</f>
        <v>#NAME?</v>
      </c>
      <c r="CI764" s="253" t="e">
        <f aca="false">SUM(CD764:CH764)</f>
        <v>#NAME?</v>
      </c>
      <c r="CJ764" s="253" t="e">
        <f aca="false">xSPRDOPT((VLOOKUP(G762,NGPREVPRICES,2,FALSE())+HLOOKUP(D762,PREVCURVES,VLOOKUP(G762,MOVE_DOWN2,2,FALSE()),FALSE())),VLOOKUP(G762,NGPREVPRICES,2,FALSE()),CK764,VLOOKUP(G762,NGPREVPRICES,4,FALSE()),HLOOKUP(D762,PREVVOLS,VLOOKUP(G762,MOVE_DOWN2,2,FALSE()),FALSE()),VLOOKUP(G762,NGPREVPRICES,3,FALSE()),HLOOKUP(D762,Correllate,VLOOKUP(G762,CorMove,2,FALSE()),FALSE()),Q762-$CD$3,R762,$CJ$5)*H762</f>
        <v>#NAME?</v>
      </c>
      <c r="CK764" s="254" t="n">
        <f aca="false">I762</f>
        <v>0.3</v>
      </c>
      <c r="CM764" s="0" t="str">
        <f aca="false">CONCATENATE(CC764,$CD$6)</f>
        <v>36892Curve Shift/Gamma</v>
      </c>
      <c r="CN764" s="0" t="str">
        <f aca="false">CONCATENATE($CC764,$CE$6)</f>
        <v>36892Rho</v>
      </c>
      <c r="CO764" s="0" t="str">
        <f aca="false">CONCATENATE($CC764,$CF$6)</f>
        <v>36892Drift</v>
      </c>
      <c r="CP764" s="0" t="str">
        <f aca="false">CONCATENATE($CC764,$CG$6)</f>
        <v>36892Vega</v>
      </c>
      <c r="CQ764" s="0" t="str">
        <f aca="false">CONCATENATE($CC764,$CH$6)</f>
        <v>36892Theta</v>
      </c>
    </row>
    <row r="765" customFormat="false" ht="12.75" hidden="false" customHeight="false" outlineLevel="0" collapsed="false">
      <c r="A765" s="17" t="s">
        <v>198</v>
      </c>
      <c r="B765" s="0" t="s">
        <v>192</v>
      </c>
      <c r="C765" s="0" t="s">
        <v>449</v>
      </c>
      <c r="D765" s="7" t="s">
        <v>137</v>
      </c>
      <c r="E765" s="0" t="s">
        <v>131</v>
      </c>
      <c r="F765" s="0" t="s">
        <v>136</v>
      </c>
      <c r="G765" s="92" t="n">
        <v>36831</v>
      </c>
      <c r="H765" s="248" t="n">
        <v>300000</v>
      </c>
      <c r="I765" s="254" t="n">
        <v>0.6</v>
      </c>
      <c r="J765" s="124" t="n">
        <f aca="false">VLOOKUP(G765,NGPrices,2,FALSE())</f>
        <v>4.736</v>
      </c>
      <c r="K765" s="125" t="n">
        <f aca="false">HLOOKUP(D765,Prices,VLOOKUP(G765,move_down,2,FALSE()),FALSE())+VLOOKUP(G765,CHANGE,HLOOKUP(D765,CHANGE,2,FALSE()),FALSE())</f>
        <v>1.545</v>
      </c>
      <c r="L765" s="124" t="n">
        <f aca="false">K765+J765</f>
        <v>6.281</v>
      </c>
      <c r="M765" s="126" t="n">
        <f aca="false">VLOOKUP(G765,NGPrices,4,FALSE())</f>
        <v>0.06810675983792</v>
      </c>
      <c r="N765" s="7" t="n">
        <f aca="false">VLOOKUP(G765,NGPrices,3,FALSE())</f>
        <v>0.595</v>
      </c>
      <c r="O765" s="7" t="n">
        <f aca="false">HLOOKUP(D765,VOLS,VLOOKUP(G765,move_down,2,FALSE()),FALSE())</f>
        <v>0.577</v>
      </c>
      <c r="P765" s="249" t="n">
        <f aca="false">HLOOKUP(D765,Correllate,VLOOKUP(G765,CorMove,2,FALSE()),FALSE())</f>
        <v>0.85</v>
      </c>
      <c r="Q765" s="92" t="n">
        <f aca="false">WORKDAY(G765,-2)</f>
        <v>36829</v>
      </c>
      <c r="R765" s="7" t="n">
        <f aca="false">IF(F765="P",0,1)</f>
        <v>1</v>
      </c>
      <c r="S765" s="130" t="e">
        <f aca="false">xSPRDOPT($L765,$J765,$I765,$M765,$O765,$N765,$P765,$Q765-$C$3,$R765,0)</f>
        <v>#NAME?</v>
      </c>
      <c r="T765" s="250" t="e">
        <f aca="false">xSPRDOPT($L765,$J765,$I765,$M765,$O765,$N765,$P765,$Q765-$C$3,$R765,1)*H765</f>
        <v>#NAME?</v>
      </c>
      <c r="U765" s="43" t="e">
        <f aca="false">S765*H765</f>
        <v>#NAME?</v>
      </c>
      <c r="V765" s="250" t="e">
        <f aca="false">xSPRDOPT($L765,$J765,$I765,$M765,$O765,$N765,$P765,$Q765-$C$3,$R765,2)*H765</f>
        <v>#NAME?</v>
      </c>
      <c r="W765" s="250" t="e">
        <f aca="false">+V765+T765</f>
        <v>#NAME?</v>
      </c>
      <c r="X765" s="2" t="str">
        <f aca="false">CONCATENATE(G765,D765)</f>
        <v>36831NGI-SOCAL</v>
      </c>
      <c r="Y765" s="251" t="n">
        <f aca="false">H765/10000</f>
        <v>30</v>
      </c>
      <c r="Z765" s="226" t="e">
        <f aca="false">T765/H765</f>
        <v>#NAME?</v>
      </c>
      <c r="AA765" s="226" t="e">
        <f aca="false">xSPRDOPT($L765,$J765,$I765,$M765,$O765,$N765,$P765,$Q765-$C$3,$R765,3)</f>
        <v>#NAME?</v>
      </c>
      <c r="AB765" s="226" t="e">
        <f aca="false">((xSPRDOPT($L765+AB$5,$J765,$I765,$M765,$O765,$N765,$P765,$Q765-$C$3,$R765,3)*$H765)/10000)/100</f>
        <v>#NAME?</v>
      </c>
      <c r="AC765" s="226" t="e">
        <f aca="false">((xSPRDOPT($L765+$AB$5,$J765,$I765,$M765,$O765,$N765,$P765,$Q765-$C$3,$R765,7)*$H765)/100)</f>
        <v>#NAME?</v>
      </c>
      <c r="AD765" s="226" t="e">
        <f aca="false">(xSPRDOPT($L765+$AB$5,$J765,$I765,$M765,$O765,$N765,$P765,$Q765-$C$3,$R765,9)/365)*$H765</f>
        <v>#NAME?</v>
      </c>
      <c r="AE765" s="0" t="e">
        <f aca="false">CD767</f>
        <v>#NAME?</v>
      </c>
      <c r="AF765" s="226" t="e">
        <f aca="false">((O765/N765)*AH765)+AG765</f>
        <v>#NAME?</v>
      </c>
      <c r="AG765" s="226" t="e">
        <f aca="false">((xSPRDOPT($L765,$J765,$I765,$M765,$O765,$N765,$P765,$Q765-$C$3,$R765,6)*$H765)/100)</f>
        <v>#NAME?</v>
      </c>
      <c r="AH765" s="226" t="e">
        <f aca="false">((xSPRDOPT($L765,$J765,$I765,$M765,$O765,$N765,$P765,$Q765-$C$3,$R765,5)*$H765)/100)</f>
        <v>#NAME?</v>
      </c>
      <c r="AI765" s="226" t="e">
        <f aca="false">(((xSPRDOPT($L765,$J765,$I765,$M765,$O765,$N765,$P765,$Q765-$C$3,$R765,4)*$H765)/10000)/100)-AB765</f>
        <v>#NAME?</v>
      </c>
      <c r="AJ765" s="226"/>
      <c r="CC765" s="182" t="n">
        <f aca="false">G763</f>
        <v>36923</v>
      </c>
      <c r="CD765" s="253" t="e">
        <f aca="false">xSPRDOPT((VLOOKUP(G763,NGPrices,2,FALSE())+HLOOKUP(D763,Prices,VLOOKUP(G763,move_down,2,FALSE()),FALSE())),VLOOKUP(G763,NGPrices,2,FALSE()),I763,VLOOKUP(G763,NGPREVPRICES,4,FALSE()),HLOOKUP(D763,PREVVOLS,VLOOKUP(G763,MOVE_DOWN2,2,FALSE()),FALSE()),VLOOKUP(G763,NGPREVPRICES,3,FALSE()),HLOOKUP(D763,Correllate,VLOOKUP(G763,CorMove,2,FALSE()),FALSE()),Q763-$CD$3,R763,$CD$5)*H763-CJ765</f>
        <v>#NAME?</v>
      </c>
      <c r="CE765" s="253" t="e">
        <f aca="false">xSPRDOPT((VLOOKUP(G763,NGPREVPRICES,2,FALSE())+HLOOKUP(D763,PREVCURVES,VLOOKUP(G763,MOVE_DOWN2,2,FALSE()),FALSE())),VLOOKUP(G763,NGPREVPRICES,2,FALSE()),CK765,VLOOKUP(G763,NGPrices,4,FALSE()),HLOOKUP(D763,PREVVOLS,VLOOKUP(G763,MOVE_DOWN2,2,FALSE()),FALSE()),VLOOKUP(G763,NGPREVPRICES,3,FALSE()),HLOOKUP(D763,Correllate,VLOOKUP(G763,CorMove,2,FALSE()),FALSE()),Q763-$CD$3,R763,$CJ$5)*H763-CJ765</f>
        <v>#NAME?</v>
      </c>
      <c r="CF765" s="132" t="e">
        <f aca="false">(CJ765/VLOOKUP(CC765,discount,3,FALSE()))-(CJ765/VLOOKUP(CC765,discount,2,FALSE()))</f>
        <v>#NAME?</v>
      </c>
      <c r="CG765" s="253" t="e">
        <f aca="false">xSPRDOPT((VLOOKUP(G763,NGPREVPRICES,2,FALSE())+HLOOKUP(D763,PREVCURVES,VLOOKUP(G763,MOVE_DOWN2,2,FALSE()),FALSE())),VLOOKUP(G763,NGPREVPRICES,2,FALSE()),CK765,VLOOKUP(G763,NGPREVPRICES,4,FALSE()),HLOOKUP(D763,VOLS,VLOOKUP(G763,move_down,2,FALSE()),FALSE()),VLOOKUP(G763,NGPrices,3,FALSE()),HLOOKUP(D763,Correllate,VLOOKUP(G763,CorMove,2,FALSE()),FALSE()),Q763-$CD$3,R763,$CJ$5)*H763-CJ765</f>
        <v>#NAME?</v>
      </c>
      <c r="CH765" s="253" t="e">
        <f aca="false">xSPRDOPT((VLOOKUP(G763,NGPREVPRICES,2,FALSE())+HLOOKUP(D763,PREVCURVES,VLOOKUP(G763,MOVE_DOWN2,2,FALSE()),FALSE())),VLOOKUP(G763,NGPREVPRICES,2,FALSE()),CK765,VLOOKUP(G763,NGPREVPRICES,4,FALSE()),HLOOKUP(D763,PREVVOLS,VLOOKUP(G763,MOVE_DOWN2,2,FALSE()),FALSE()),VLOOKUP(G763,NGPREVPRICES,3,FALSE()),HLOOKUP(D763,Correllate,VLOOKUP(G763,CorMove,2,FALSE()),FALSE()),Q763-$C$3,R763,$CJ$5)*H763-CJ765</f>
        <v>#NAME?</v>
      </c>
      <c r="CI765" s="253" t="e">
        <f aca="false">SUM(CD765:CH765)</f>
        <v>#NAME?</v>
      </c>
      <c r="CJ765" s="253" t="e">
        <f aca="false">xSPRDOPT((VLOOKUP(G763,NGPREVPRICES,2,FALSE())+HLOOKUP(D763,PREVCURVES,VLOOKUP(G763,MOVE_DOWN2,2,FALSE()),FALSE())),VLOOKUP(G763,NGPREVPRICES,2,FALSE()),CK765,VLOOKUP(G763,NGPREVPRICES,4,FALSE()),HLOOKUP(D763,PREVVOLS,VLOOKUP(G763,MOVE_DOWN2,2,FALSE()),FALSE()),VLOOKUP(G763,NGPREVPRICES,3,FALSE()),HLOOKUP(D763,Correllate,VLOOKUP(G763,CorMove,2,FALSE()),FALSE()),Q763-$CD$3,R763,$CJ$5)*H763</f>
        <v>#NAME?</v>
      </c>
      <c r="CK765" s="254" t="n">
        <f aca="false">I763</f>
        <v>0.3</v>
      </c>
      <c r="CM765" s="0" t="str">
        <f aca="false">CONCATENATE(CC765,$CD$6)</f>
        <v>36923Curve Shift/Gamma</v>
      </c>
      <c r="CN765" s="0" t="str">
        <f aca="false">CONCATENATE($CC765,$CE$6)</f>
        <v>36923Rho</v>
      </c>
      <c r="CO765" s="0" t="str">
        <f aca="false">CONCATENATE($CC765,$CF$6)</f>
        <v>36923Drift</v>
      </c>
      <c r="CP765" s="0" t="str">
        <f aca="false">CONCATENATE($CC765,$CG$6)</f>
        <v>36923Vega</v>
      </c>
      <c r="CQ765" s="0" t="str">
        <f aca="false">CONCATENATE($CC765,$CH$6)</f>
        <v>36923Theta</v>
      </c>
    </row>
    <row r="766" customFormat="false" ht="12.75" hidden="false" customHeight="false" outlineLevel="0" collapsed="false">
      <c r="A766" s="17" t="s">
        <v>198</v>
      </c>
      <c r="B766" s="0" t="s">
        <v>192</v>
      </c>
      <c r="C766" s="0" t="s">
        <v>449</v>
      </c>
      <c r="D766" s="7" t="s">
        <v>137</v>
      </c>
      <c r="E766" s="0" t="s">
        <v>131</v>
      </c>
      <c r="F766" s="0" t="s">
        <v>136</v>
      </c>
      <c r="G766" s="92" t="n">
        <v>36861</v>
      </c>
      <c r="H766" s="248" t="n">
        <v>310000</v>
      </c>
      <c r="I766" s="254" t="n">
        <v>0.6</v>
      </c>
      <c r="J766" s="124" t="n">
        <f aca="false">VLOOKUP(G766,NGPrices,2,FALSE())</f>
        <v>4.8</v>
      </c>
      <c r="K766" s="125" t="n">
        <f aca="false">HLOOKUP(D766,Prices,VLOOKUP(G766,move_down,2,FALSE()),FALSE())+VLOOKUP(G766,CHANGE,HLOOKUP(D766,CHANGE,2,FALSE()),FALSE())</f>
        <v>1.005</v>
      </c>
      <c r="L766" s="124" t="n">
        <f aca="false">K766+J766</f>
        <v>5.805</v>
      </c>
      <c r="M766" s="126" t="n">
        <f aca="false">VLOOKUP(G766,NGPrices,4,FALSE())</f>
        <v>0.068314027999354</v>
      </c>
      <c r="N766" s="7" t="n">
        <f aca="false">VLOOKUP(G766,NGPrices,3,FALSE())</f>
        <v>0.6</v>
      </c>
      <c r="O766" s="7" t="n">
        <f aca="false">HLOOKUP(D766,VOLS,VLOOKUP(G766,move_down,2,FALSE()),FALSE())</f>
        <v>0.582</v>
      </c>
      <c r="P766" s="249" t="n">
        <f aca="false">HLOOKUP(D766,Correllate,VLOOKUP(G766,CorMove,2,FALSE()),FALSE())</f>
        <v>0.85</v>
      </c>
      <c r="Q766" s="92" t="n">
        <f aca="false">WORKDAY(G766,-2)</f>
        <v>36859</v>
      </c>
      <c r="R766" s="7" t="n">
        <f aca="false">IF(F766="P",0,1)</f>
        <v>1</v>
      </c>
      <c r="S766" s="130" t="e">
        <f aca="false">xSPRDOPT($L766,$J766,$I766,$M766,$O766,$N766,$P766,$Q766-$C$3,$R766,0)</f>
        <v>#NAME?</v>
      </c>
      <c r="T766" s="250" t="e">
        <f aca="false">xSPRDOPT($L766,$J766,$I766,$M766,$O766,$N766,$P766,$Q766-$C$3,$R766,1)*H766</f>
        <v>#NAME?</v>
      </c>
      <c r="U766" s="43" t="e">
        <f aca="false">S766*H766</f>
        <v>#NAME?</v>
      </c>
      <c r="V766" s="250" t="e">
        <f aca="false">xSPRDOPT($L766,$J766,$I766,$M766,$O766,$N766,$P766,$Q766-$C$3,$R766,2)*H766</f>
        <v>#NAME?</v>
      </c>
      <c r="W766" s="250" t="e">
        <f aca="false">+V766+T766</f>
        <v>#NAME?</v>
      </c>
      <c r="X766" s="2" t="str">
        <f aca="false">CONCATENATE(G766,D766)</f>
        <v>36861NGI-SOCAL</v>
      </c>
      <c r="Y766" s="251" t="n">
        <f aca="false">H766/10000</f>
        <v>31</v>
      </c>
      <c r="Z766" s="226" t="e">
        <f aca="false">T766/H766</f>
        <v>#NAME?</v>
      </c>
      <c r="AA766" s="226" t="e">
        <f aca="false">xSPRDOPT($L766,$J766,$I766,$M766,$O766,$N766,$P766,$Q766-$C$3,$R766,3)</f>
        <v>#NAME?</v>
      </c>
      <c r="AB766" s="226" t="e">
        <f aca="false">((xSPRDOPT($L766+AB$5,$J766,$I766,$M766,$O766,$N766,$P766,$Q766-$C$3,$R766,3)*$H766)/10000)/100</f>
        <v>#NAME?</v>
      </c>
      <c r="AC766" s="226" t="e">
        <f aca="false">((xSPRDOPT($L766+$AB$5,$J766,$I766,$M766,$O766,$N766,$P766,$Q766-$C$3,$R766,7)*$H766)/100)</f>
        <v>#NAME?</v>
      </c>
      <c r="AD766" s="226" t="e">
        <f aca="false">(xSPRDOPT($L766+$AB$5,$J766,$I766,$M766,$O766,$N766,$P766,$Q766-$C$3,$R766,9)/365)*$H766</f>
        <v>#NAME?</v>
      </c>
      <c r="AE766" s="0" t="e">
        <f aca="false">CD768</f>
        <v>#NAME?</v>
      </c>
      <c r="AF766" s="226" t="e">
        <f aca="false">((O766/N766)*AH766)+AG766</f>
        <v>#NAME?</v>
      </c>
      <c r="AG766" s="226" t="e">
        <f aca="false">((xSPRDOPT($L766,$J766,$I766,$M766,$O766,$N766,$P766,$Q766-$C$3,$R766,6)*$H766)/100)</f>
        <v>#NAME?</v>
      </c>
      <c r="AH766" s="226" t="e">
        <f aca="false">((xSPRDOPT($L766,$J766,$I766,$M766,$O766,$N766,$P766,$Q766-$C$3,$R766,5)*$H766)/100)</f>
        <v>#NAME?</v>
      </c>
      <c r="AI766" s="226" t="e">
        <f aca="false">(((xSPRDOPT($L766,$J766,$I766,$M766,$O766,$N766,$P766,$Q766-$C$3,$R766,4)*$H766)/10000)/100)-AB766</f>
        <v>#NAME?</v>
      </c>
      <c r="AJ766" s="226"/>
      <c r="CC766" s="182" t="n">
        <f aca="false">G764</f>
        <v>36951</v>
      </c>
      <c r="CD766" s="253" t="e">
        <f aca="false">xSPRDOPT((VLOOKUP(G764,NGPrices,2,FALSE())+HLOOKUP(D764,Prices,VLOOKUP(G764,move_down,2,FALSE()),FALSE())),VLOOKUP(G764,NGPrices,2,FALSE()),I764,VLOOKUP(G764,NGPREVPRICES,4,FALSE()),HLOOKUP(D764,PREVVOLS,VLOOKUP(G764,MOVE_DOWN2,2,FALSE()),FALSE()),VLOOKUP(G764,NGPREVPRICES,3,FALSE()),HLOOKUP(D764,Correllate,VLOOKUP(G764,CorMove,2,FALSE()),FALSE()),Q764-$CD$3,R764,$CD$5)*H764-CJ766</f>
        <v>#NAME?</v>
      </c>
      <c r="CE766" s="253" t="e">
        <f aca="false">xSPRDOPT((VLOOKUP(G764,NGPREVPRICES,2,FALSE())+HLOOKUP(D764,PREVCURVES,VLOOKUP(G764,MOVE_DOWN2,2,FALSE()),FALSE())),VLOOKUP(G764,NGPREVPRICES,2,FALSE()),CK766,VLOOKUP(G764,NGPrices,4,FALSE()),HLOOKUP(D764,PREVVOLS,VLOOKUP(G764,MOVE_DOWN2,2,FALSE()),FALSE()),VLOOKUP(G764,NGPREVPRICES,3,FALSE()),HLOOKUP(D764,Correllate,VLOOKUP(G764,CorMove,2,FALSE()),FALSE()),Q764-$CD$3,R764,$CJ$5)*H764-CJ766</f>
        <v>#NAME?</v>
      </c>
      <c r="CF766" s="132" t="e">
        <f aca="false">(CJ766/VLOOKUP(CC766,discount,3,FALSE()))-(CJ766/VLOOKUP(CC766,discount,2,FALSE()))</f>
        <v>#NAME?</v>
      </c>
      <c r="CG766" s="253" t="e">
        <f aca="false">xSPRDOPT((VLOOKUP(G764,NGPREVPRICES,2,FALSE())+HLOOKUP(D764,PREVCURVES,VLOOKUP(G764,MOVE_DOWN2,2,FALSE()),FALSE())),VLOOKUP(G764,NGPREVPRICES,2,FALSE()),CK766,VLOOKUP(G764,NGPREVPRICES,4,FALSE()),HLOOKUP(D764,VOLS,VLOOKUP(G764,move_down,2,FALSE()),FALSE()),VLOOKUP(G764,NGPrices,3,FALSE()),HLOOKUP(D764,Correllate,VLOOKUP(G764,CorMove,2,FALSE()),FALSE()),Q764-$CD$3,R764,$CJ$5)*H764-CJ766</f>
        <v>#NAME?</v>
      </c>
      <c r="CH766" s="253" t="e">
        <f aca="false">xSPRDOPT((VLOOKUP(G764,NGPREVPRICES,2,FALSE())+HLOOKUP(D764,PREVCURVES,VLOOKUP(G764,MOVE_DOWN2,2,FALSE()),FALSE())),VLOOKUP(G764,NGPREVPRICES,2,FALSE()),CK766,VLOOKUP(G764,NGPREVPRICES,4,FALSE()),HLOOKUP(D764,PREVVOLS,VLOOKUP(G764,MOVE_DOWN2,2,FALSE()),FALSE()),VLOOKUP(G764,NGPREVPRICES,3,FALSE()),HLOOKUP(D764,Correllate,VLOOKUP(G764,CorMove,2,FALSE()),FALSE()),Q764-$C$3,R764,$CJ$5)*H764-CJ766</f>
        <v>#NAME?</v>
      </c>
      <c r="CI766" s="253" t="e">
        <f aca="false">SUM(CD766:CH766)</f>
        <v>#NAME?</v>
      </c>
      <c r="CJ766" s="253" t="e">
        <f aca="false">xSPRDOPT((VLOOKUP(G764,NGPREVPRICES,2,FALSE())+HLOOKUP(D764,PREVCURVES,VLOOKUP(G764,MOVE_DOWN2,2,FALSE()),FALSE())),VLOOKUP(G764,NGPREVPRICES,2,FALSE()),CK766,VLOOKUP(G764,NGPREVPRICES,4,FALSE()),HLOOKUP(D764,PREVVOLS,VLOOKUP(G764,MOVE_DOWN2,2,FALSE()),FALSE()),VLOOKUP(G764,NGPREVPRICES,3,FALSE()),HLOOKUP(D764,Correllate,VLOOKUP(G764,CorMove,2,FALSE()),FALSE()),Q764-$CD$3,R764,$CJ$5)*H764</f>
        <v>#NAME?</v>
      </c>
      <c r="CK766" s="254" t="n">
        <f aca="false">I764</f>
        <v>0.3</v>
      </c>
      <c r="CM766" s="0" t="str">
        <f aca="false">CONCATENATE(CC766,$CD$6)</f>
        <v>36951Curve Shift/Gamma</v>
      </c>
      <c r="CN766" s="0" t="str">
        <f aca="false">CONCATENATE($CC766,$CE$6)</f>
        <v>36951Rho</v>
      </c>
      <c r="CO766" s="0" t="str">
        <f aca="false">CONCATENATE($CC766,$CF$6)</f>
        <v>36951Drift</v>
      </c>
      <c r="CP766" s="0" t="str">
        <f aca="false">CONCATENATE($CC766,$CG$6)</f>
        <v>36951Vega</v>
      </c>
      <c r="CQ766" s="0" t="str">
        <f aca="false">CONCATENATE($CC766,$CH$6)</f>
        <v>36951Theta</v>
      </c>
    </row>
    <row r="767" customFormat="false" ht="12.75" hidden="false" customHeight="false" outlineLevel="0" collapsed="false">
      <c r="A767" s="17" t="s">
        <v>198</v>
      </c>
      <c r="B767" s="0" t="s">
        <v>192</v>
      </c>
      <c r="C767" s="0" t="s">
        <v>449</v>
      </c>
      <c r="D767" s="7" t="s">
        <v>137</v>
      </c>
      <c r="E767" s="0" t="s">
        <v>131</v>
      </c>
      <c r="F767" s="0" t="s">
        <v>136</v>
      </c>
      <c r="G767" s="92" t="n">
        <v>36892</v>
      </c>
      <c r="H767" s="248" t="n">
        <v>310000</v>
      </c>
      <c r="I767" s="254" t="n">
        <v>0.6</v>
      </c>
      <c r="J767" s="124" t="n">
        <f aca="false">VLOOKUP(G767,NGPrices,2,FALSE())</f>
        <v>4.744</v>
      </c>
      <c r="K767" s="125" t="n">
        <f aca="false">HLOOKUP(D767,Prices,VLOOKUP(G767,move_down,2,FALSE()),FALSE())+VLOOKUP(G767,CHANGE,HLOOKUP(D767,CHANGE,2,FALSE()),FALSE())</f>
        <v>0.7675</v>
      </c>
      <c r="L767" s="124" t="n">
        <f aca="false">K767+J767</f>
        <v>5.5115</v>
      </c>
      <c r="M767" s="126" t="n">
        <f aca="false">VLOOKUP(G767,NGPrices,4,FALSE())</f>
        <v>0.068374831148491</v>
      </c>
      <c r="N767" s="7" t="n">
        <f aca="false">VLOOKUP(G767,NGPrices,3,FALSE())</f>
        <v>0.605</v>
      </c>
      <c r="O767" s="7" t="n">
        <f aca="false">HLOOKUP(D767,VOLS,VLOOKUP(G767,move_down,2,FALSE()),FALSE())</f>
        <v>0.587</v>
      </c>
      <c r="P767" s="249" t="n">
        <f aca="false">HLOOKUP(D767,Correllate,VLOOKUP(G767,CorMove,2,FALSE()),FALSE())</f>
        <v>0.85</v>
      </c>
      <c r="Q767" s="92" t="n">
        <f aca="false">WORKDAY(G767,-2)</f>
        <v>36888</v>
      </c>
      <c r="R767" s="7" t="n">
        <f aca="false">IF(F767="P",0,1)</f>
        <v>1</v>
      </c>
      <c r="S767" s="130" t="e">
        <f aca="false">xSPRDOPT($L767,$J767,$I767,$M767,$O767,$N767,$P767,$Q767-$C$3,$R767,0)</f>
        <v>#NAME?</v>
      </c>
      <c r="T767" s="250" t="e">
        <f aca="false">xSPRDOPT($L767,$J767,$I767,$M767,$O767,$N767,$P767,$Q767-$C$3,$R767,1)*H767</f>
        <v>#NAME?</v>
      </c>
      <c r="U767" s="43" t="e">
        <f aca="false">S767*H767</f>
        <v>#NAME?</v>
      </c>
      <c r="V767" s="250" t="e">
        <f aca="false">xSPRDOPT($L767,$J767,$I767,$M767,$O767,$N767,$P767,$Q767-$C$3,$R767,2)*H767</f>
        <v>#NAME?</v>
      </c>
      <c r="W767" s="250" t="e">
        <f aca="false">+V767+T767</f>
        <v>#NAME?</v>
      </c>
      <c r="X767" s="2" t="str">
        <f aca="false">CONCATENATE(G767,D767)</f>
        <v>36892NGI-SOCAL</v>
      </c>
      <c r="Y767" s="251" t="n">
        <f aca="false">H767/10000</f>
        <v>31</v>
      </c>
      <c r="Z767" s="226" t="e">
        <f aca="false">T767/H767</f>
        <v>#NAME?</v>
      </c>
      <c r="AA767" s="226" t="e">
        <f aca="false">xSPRDOPT($L767,$J767,$I767,$M767,$O767,$N767,$P767,$Q767-$C$3,$R767,3)</f>
        <v>#NAME?</v>
      </c>
      <c r="AB767" s="226" t="e">
        <f aca="false">((xSPRDOPT($L767+AB$5,$J767,$I767,$M767,$O767,$N767,$P767,$Q767-$C$3,$R767,3)*$H767)/10000)/100</f>
        <v>#NAME?</v>
      </c>
      <c r="AC767" s="226" t="e">
        <f aca="false">((xSPRDOPT($L767+$AB$5,$J767,$I767,$M767,$O767,$N767,$P767,$Q767-$C$3,$R767,7)*$H767)/100)</f>
        <v>#NAME?</v>
      </c>
      <c r="AD767" s="226" t="e">
        <f aca="false">(xSPRDOPT($L767+$AB$5,$J767,$I767,$M767,$O767,$N767,$P767,$Q767-$C$3,$R767,9)/365)*$H767</f>
        <v>#NAME?</v>
      </c>
      <c r="AE767" s="0" t="e">
        <f aca="false">CD769</f>
        <v>#NAME?</v>
      </c>
      <c r="AF767" s="226" t="e">
        <f aca="false">((O767/N767)*AH767)+AG767</f>
        <v>#NAME?</v>
      </c>
      <c r="AG767" s="226" t="e">
        <f aca="false">((xSPRDOPT($L767,$J767,$I767,$M767,$O767,$N767,$P767,$Q767-$C$3,$R767,6)*$H767)/100)</f>
        <v>#NAME?</v>
      </c>
      <c r="AH767" s="226" t="e">
        <f aca="false">((xSPRDOPT($L767,$J767,$I767,$M767,$O767,$N767,$P767,$Q767-$C$3,$R767,5)*$H767)/100)</f>
        <v>#NAME?</v>
      </c>
      <c r="AI767" s="226" t="e">
        <f aca="false">(((xSPRDOPT($L767,$J767,$I767,$M767,$O767,$N767,$P767,$Q767-$C$3,$R767,4)*$H767)/10000)/100)-AB767</f>
        <v>#NAME?</v>
      </c>
      <c r="AJ767" s="226"/>
      <c r="CC767" s="182" t="n">
        <f aca="false">G765</f>
        <v>36831</v>
      </c>
      <c r="CD767" s="253" t="e">
        <f aca="false">xSPRDOPT((VLOOKUP(G765,NGPrices,2,FALSE())+HLOOKUP(D765,Prices,VLOOKUP(G765,move_down,2,FALSE()),FALSE())),VLOOKUP(G765,NGPrices,2,FALSE()),I765,VLOOKUP(G765,NGPREVPRICES,4,FALSE()),HLOOKUP(D765,PREVVOLS,VLOOKUP(G765,MOVE_DOWN2,2,FALSE()),FALSE()),VLOOKUP(G765,NGPREVPRICES,3,FALSE()),HLOOKUP(D765,Correllate,VLOOKUP(G765,CorMove,2,FALSE()),FALSE()),Q765-$CD$3,R765,$CD$5)*H765-CJ767</f>
        <v>#NAME?</v>
      </c>
      <c r="CE767" s="253" t="e">
        <f aca="false">xSPRDOPT((VLOOKUP(G765,NGPREVPRICES,2,FALSE())+HLOOKUP(D765,PREVCURVES,VLOOKUP(G765,MOVE_DOWN2,2,FALSE()),FALSE())),VLOOKUP(G765,NGPREVPRICES,2,FALSE()),CK767,VLOOKUP(G765,NGPrices,4,FALSE()),HLOOKUP(D765,PREVVOLS,VLOOKUP(G765,MOVE_DOWN2,2,FALSE()),FALSE()),VLOOKUP(G765,NGPREVPRICES,3,FALSE()),HLOOKUP(D765,Correllate,VLOOKUP(G765,CorMove,2,FALSE()),FALSE()),Q765-$CD$3,R765,$CJ$5)*H765-CJ767</f>
        <v>#NAME?</v>
      </c>
      <c r="CF767" s="132" t="e">
        <f aca="false">(CJ767/VLOOKUP(CC767,discount,3,FALSE()))-(CJ767/VLOOKUP(CC767,discount,2,FALSE()))</f>
        <v>#NAME?</v>
      </c>
      <c r="CG767" s="253" t="e">
        <f aca="false">xSPRDOPT((VLOOKUP(G765,NGPREVPRICES,2,FALSE())+HLOOKUP(D765,PREVCURVES,VLOOKUP(G765,MOVE_DOWN2,2,FALSE()),FALSE())),VLOOKUP(G765,NGPREVPRICES,2,FALSE()),CK767,VLOOKUP(G765,NGPREVPRICES,4,FALSE()),HLOOKUP(D765,VOLS,VLOOKUP(G765,move_down,2,FALSE()),FALSE()),VLOOKUP(G765,NGPrices,3,FALSE()),HLOOKUP(D765,Correllate,VLOOKUP(G765,CorMove,2,FALSE()),FALSE()),Q765-$CD$3,R765,$CJ$5)*H765-CJ767</f>
        <v>#NAME?</v>
      </c>
      <c r="CH767" s="253" t="e">
        <f aca="false">xSPRDOPT((VLOOKUP(G765,NGPREVPRICES,2,FALSE())+HLOOKUP(D765,PREVCURVES,VLOOKUP(G765,MOVE_DOWN2,2,FALSE()),FALSE())),VLOOKUP(G765,NGPREVPRICES,2,FALSE()),CK767,VLOOKUP(G765,NGPREVPRICES,4,FALSE()),HLOOKUP(D765,PREVVOLS,VLOOKUP(G765,MOVE_DOWN2,2,FALSE()),FALSE()),VLOOKUP(G765,NGPREVPRICES,3,FALSE()),HLOOKUP(D765,Correllate,VLOOKUP(G765,CorMove,2,FALSE()),FALSE()),Q765-$C$3,R765,$CJ$5)*H765-CJ767</f>
        <v>#NAME?</v>
      </c>
      <c r="CI767" s="253" t="e">
        <f aca="false">SUM(CD767:CH767)</f>
        <v>#NAME?</v>
      </c>
      <c r="CJ767" s="253" t="e">
        <f aca="false">xSPRDOPT((VLOOKUP(G765,NGPREVPRICES,2,FALSE())+HLOOKUP(D765,PREVCURVES,VLOOKUP(G765,MOVE_DOWN2,2,FALSE()),FALSE())),VLOOKUP(G765,NGPREVPRICES,2,FALSE()),CK767,VLOOKUP(G765,NGPREVPRICES,4,FALSE()),HLOOKUP(D765,PREVVOLS,VLOOKUP(G765,MOVE_DOWN2,2,FALSE()),FALSE()),VLOOKUP(G765,NGPREVPRICES,3,FALSE()),HLOOKUP(D765,Correllate,VLOOKUP(G765,CorMove,2,FALSE()),FALSE()),Q765-$CD$3,R765,$CJ$5)*H765</f>
        <v>#NAME?</v>
      </c>
      <c r="CK767" s="254" t="n">
        <f aca="false">I765</f>
        <v>0.6</v>
      </c>
      <c r="CM767" s="0" t="str">
        <f aca="false">CONCATENATE(CC767,$CD$6)</f>
        <v>36831Curve Shift/Gamma</v>
      </c>
      <c r="CN767" s="0" t="str">
        <f aca="false">CONCATENATE($CC767,$CE$6)</f>
        <v>36831Rho</v>
      </c>
      <c r="CO767" s="0" t="str">
        <f aca="false">CONCATENATE($CC767,$CF$6)</f>
        <v>36831Drift</v>
      </c>
      <c r="CP767" s="0" t="str">
        <f aca="false">CONCATENATE($CC767,$CG$6)</f>
        <v>36831Vega</v>
      </c>
      <c r="CQ767" s="0" t="str">
        <f aca="false">CONCATENATE($CC767,$CH$6)</f>
        <v>36831Theta</v>
      </c>
    </row>
    <row r="768" customFormat="false" ht="12.75" hidden="false" customHeight="false" outlineLevel="0" collapsed="false">
      <c r="A768" s="17" t="s">
        <v>198</v>
      </c>
      <c r="B768" s="0" t="s">
        <v>192</v>
      </c>
      <c r="C768" s="0" t="s">
        <v>449</v>
      </c>
      <c r="D768" s="7" t="s">
        <v>137</v>
      </c>
      <c r="E768" s="0" t="s">
        <v>131</v>
      </c>
      <c r="F768" s="0" t="s">
        <v>136</v>
      </c>
      <c r="G768" s="92" t="n">
        <v>36923</v>
      </c>
      <c r="H768" s="248" t="n">
        <v>280000</v>
      </c>
      <c r="I768" s="254" t="n">
        <v>0.6</v>
      </c>
      <c r="J768" s="124" t="n">
        <f aca="false">VLOOKUP(G768,NGPrices,2,FALSE())</f>
        <v>4.48</v>
      </c>
      <c r="K768" s="125" t="n">
        <f aca="false">HLOOKUP(D768,Prices,VLOOKUP(G768,move_down,2,FALSE()),FALSE())+VLOOKUP(G768,CHANGE,HLOOKUP(D768,CHANGE,2,FALSE()),FALSE())</f>
        <v>0.6175</v>
      </c>
      <c r="L768" s="124" t="n">
        <f aca="false">K768+J768</f>
        <v>5.0975</v>
      </c>
      <c r="M768" s="126" t="n">
        <f aca="false">VLOOKUP(G768,NGPrices,4,FALSE())</f>
        <v>0.068640161611372</v>
      </c>
      <c r="N768" s="7" t="n">
        <f aca="false">VLOOKUP(G768,NGPrices,3,FALSE())</f>
        <v>0.5925</v>
      </c>
      <c r="O768" s="7" t="n">
        <f aca="false">HLOOKUP(D768,VOLS,VLOOKUP(G768,move_down,2,FALSE()),FALSE())</f>
        <v>0.575</v>
      </c>
      <c r="P768" s="249" t="n">
        <f aca="false">HLOOKUP(D768,Correllate,VLOOKUP(G768,CorMove,2,FALSE()),FALSE())</f>
        <v>0.85</v>
      </c>
      <c r="Q768" s="92" t="n">
        <f aca="false">WORKDAY(G768,-2)</f>
        <v>36921</v>
      </c>
      <c r="R768" s="7" t="n">
        <f aca="false">IF(F768="P",0,1)</f>
        <v>1</v>
      </c>
      <c r="S768" s="130" t="e">
        <f aca="false">xSPRDOPT($L768,$J768,$I768,$M768,$O768,$N768,$P768,$Q768-$C$3,$R768,0)</f>
        <v>#NAME?</v>
      </c>
      <c r="T768" s="250" t="e">
        <f aca="false">xSPRDOPT($L768,$J768,$I768,$M768,$O768,$N768,$P768,$Q768-$C$3,$R768,1)*H768</f>
        <v>#NAME?</v>
      </c>
      <c r="U768" s="43" t="e">
        <f aca="false">S768*H768</f>
        <v>#NAME?</v>
      </c>
      <c r="V768" s="250" t="e">
        <f aca="false">xSPRDOPT($L768,$J768,$I768,$M768,$O768,$N768,$P768,$Q768-$C$3,$R768,2)*H768</f>
        <v>#NAME?</v>
      </c>
      <c r="W768" s="250" t="e">
        <f aca="false">+V768+T768</f>
        <v>#NAME?</v>
      </c>
      <c r="X768" s="2" t="str">
        <f aca="false">CONCATENATE(G768,D768)</f>
        <v>36923NGI-SOCAL</v>
      </c>
      <c r="Y768" s="251" t="n">
        <f aca="false">H768/10000</f>
        <v>28</v>
      </c>
      <c r="Z768" s="226" t="e">
        <f aca="false">T768/H768</f>
        <v>#NAME?</v>
      </c>
      <c r="AA768" s="226" t="e">
        <f aca="false">xSPRDOPT($L768,$J768,$I768,$M768,$O768,$N768,$P768,$Q768-$C$3,$R768,3)</f>
        <v>#NAME?</v>
      </c>
      <c r="AB768" s="226" t="e">
        <f aca="false">((xSPRDOPT($L768+AB$5,$J768,$I768,$M768,$O768,$N768,$P768,$Q768-$C$3,$R768,3)*$H768)/10000)/100</f>
        <v>#NAME?</v>
      </c>
      <c r="AC768" s="226" t="e">
        <f aca="false">((xSPRDOPT($L768+$AB$5,$J768,$I768,$M768,$O768,$N768,$P768,$Q768-$C$3,$R768,7)*$H768)/100)</f>
        <v>#NAME?</v>
      </c>
      <c r="AD768" s="226" t="e">
        <f aca="false">(xSPRDOPT($L768+$AB$5,$J768,$I768,$M768,$O768,$N768,$P768,$Q768-$C$3,$R768,9)/365)*$H768</f>
        <v>#NAME?</v>
      </c>
      <c r="AE768" s="0" t="e">
        <f aca="false">CD770</f>
        <v>#NAME?</v>
      </c>
      <c r="AF768" s="226" t="e">
        <f aca="false">((O768/N768)*AH768)+AG768</f>
        <v>#NAME?</v>
      </c>
      <c r="AG768" s="226" t="e">
        <f aca="false">((xSPRDOPT($L768,$J768,$I768,$M768,$O768,$N768,$P768,$Q768-$C$3,$R768,6)*$H768)/100)</f>
        <v>#NAME?</v>
      </c>
      <c r="AH768" s="226" t="e">
        <f aca="false">((xSPRDOPT($L768,$J768,$I768,$M768,$O768,$N768,$P768,$Q768-$C$3,$R768,5)*$H768)/100)</f>
        <v>#NAME?</v>
      </c>
      <c r="AI768" s="226" t="e">
        <f aca="false">(((xSPRDOPT($L768,$J768,$I768,$M768,$O768,$N768,$P768,$Q768-$C$3,$R768,4)*$H768)/10000)/100)-AB768</f>
        <v>#NAME?</v>
      </c>
      <c r="AJ768" s="226"/>
      <c r="CC768" s="182" t="n">
        <f aca="false">G766</f>
        <v>36861</v>
      </c>
      <c r="CD768" s="253" t="e">
        <f aca="false">xSPRDOPT((VLOOKUP(G766,NGPrices,2,FALSE())+HLOOKUP(D766,Prices,VLOOKUP(G766,move_down,2,FALSE()),FALSE())),VLOOKUP(G766,NGPrices,2,FALSE()),I766,VLOOKUP(G766,NGPREVPRICES,4,FALSE()),HLOOKUP(D766,PREVVOLS,VLOOKUP(G766,MOVE_DOWN2,2,FALSE()),FALSE()),VLOOKUP(G766,NGPREVPRICES,3,FALSE()),HLOOKUP(D766,Correllate,VLOOKUP(G766,CorMove,2,FALSE()),FALSE()),Q766-$CD$3,R766,$CD$5)*H766-CJ768</f>
        <v>#NAME?</v>
      </c>
      <c r="CE768" s="253" t="e">
        <f aca="false">xSPRDOPT((VLOOKUP(G766,NGPREVPRICES,2,FALSE())+HLOOKUP(D766,PREVCURVES,VLOOKUP(G766,MOVE_DOWN2,2,FALSE()),FALSE())),VLOOKUP(G766,NGPREVPRICES,2,FALSE()),CK768,VLOOKUP(G766,NGPrices,4,FALSE()),HLOOKUP(D766,PREVVOLS,VLOOKUP(G766,MOVE_DOWN2,2,FALSE()),FALSE()),VLOOKUP(G766,NGPREVPRICES,3,FALSE()),HLOOKUP(D766,Correllate,VLOOKUP(G766,CorMove,2,FALSE()),FALSE()),Q766-$CD$3,R766,$CJ$5)*H766-CJ768</f>
        <v>#NAME?</v>
      </c>
      <c r="CF768" s="132" t="e">
        <f aca="false">(CJ768/VLOOKUP(CC768,discount,3,FALSE()))-(CJ768/VLOOKUP(CC768,discount,2,FALSE()))</f>
        <v>#NAME?</v>
      </c>
      <c r="CG768" s="253" t="e">
        <f aca="false">xSPRDOPT((VLOOKUP(G766,NGPREVPRICES,2,FALSE())+HLOOKUP(D766,PREVCURVES,VLOOKUP(G766,MOVE_DOWN2,2,FALSE()),FALSE())),VLOOKUP(G766,NGPREVPRICES,2,FALSE()),CK768,VLOOKUP(G766,NGPREVPRICES,4,FALSE()),HLOOKUP(D766,VOLS,VLOOKUP(G766,move_down,2,FALSE()),FALSE()),VLOOKUP(G766,NGPrices,3,FALSE()),HLOOKUP(D766,Correllate,VLOOKUP(G766,CorMove,2,FALSE()),FALSE()),Q766-$CD$3,R766,$CJ$5)*H766-CJ768</f>
        <v>#NAME?</v>
      </c>
      <c r="CH768" s="253" t="e">
        <f aca="false">xSPRDOPT((VLOOKUP(G766,NGPREVPRICES,2,FALSE())+HLOOKUP(D766,PREVCURVES,VLOOKUP(G766,MOVE_DOWN2,2,FALSE()),FALSE())),VLOOKUP(G766,NGPREVPRICES,2,FALSE()),CK768,VLOOKUP(G766,NGPREVPRICES,4,FALSE()),HLOOKUP(D766,PREVVOLS,VLOOKUP(G766,MOVE_DOWN2,2,FALSE()),FALSE()),VLOOKUP(G766,NGPREVPRICES,3,FALSE()),HLOOKUP(D766,Correllate,VLOOKUP(G766,CorMove,2,FALSE()),FALSE()),Q766-$C$3,R766,$CJ$5)*H766-CJ768</f>
        <v>#NAME?</v>
      </c>
      <c r="CI768" s="253" t="e">
        <f aca="false">SUM(CD768:CH768)</f>
        <v>#NAME?</v>
      </c>
      <c r="CJ768" s="253" t="e">
        <f aca="false">xSPRDOPT((VLOOKUP(G766,NGPREVPRICES,2,FALSE())+HLOOKUP(D766,PREVCURVES,VLOOKUP(G766,MOVE_DOWN2,2,FALSE()),FALSE())),VLOOKUP(G766,NGPREVPRICES,2,FALSE()),CK768,VLOOKUP(G766,NGPREVPRICES,4,FALSE()),HLOOKUP(D766,PREVVOLS,VLOOKUP(G766,MOVE_DOWN2,2,FALSE()),FALSE()),VLOOKUP(G766,NGPREVPRICES,3,FALSE()),HLOOKUP(D766,Correllate,VLOOKUP(G766,CorMove,2,FALSE()),FALSE()),Q766-$CD$3,R766,$CJ$5)*H766</f>
        <v>#NAME?</v>
      </c>
      <c r="CK768" s="254" t="n">
        <f aca="false">I766</f>
        <v>0.6</v>
      </c>
      <c r="CM768" s="0" t="str">
        <f aca="false">CONCATENATE(CC768,$CD$6)</f>
        <v>36861Curve Shift/Gamma</v>
      </c>
      <c r="CN768" s="0" t="str">
        <f aca="false">CONCATENATE($CC768,$CE$6)</f>
        <v>36861Rho</v>
      </c>
      <c r="CO768" s="0" t="str">
        <f aca="false">CONCATENATE($CC768,$CF$6)</f>
        <v>36861Drift</v>
      </c>
      <c r="CP768" s="0" t="str">
        <f aca="false">CONCATENATE($CC768,$CG$6)</f>
        <v>36861Vega</v>
      </c>
      <c r="CQ768" s="0" t="str">
        <f aca="false">CONCATENATE($CC768,$CH$6)</f>
        <v>36861Theta</v>
      </c>
    </row>
    <row r="769" customFormat="false" ht="12.75" hidden="false" customHeight="false" outlineLevel="0" collapsed="false">
      <c r="A769" s="17" t="s">
        <v>198</v>
      </c>
      <c r="B769" s="0" t="s">
        <v>192</v>
      </c>
      <c r="C769" s="0" t="s">
        <v>449</v>
      </c>
      <c r="D769" s="7" t="s">
        <v>137</v>
      </c>
      <c r="E769" s="0" t="s">
        <v>131</v>
      </c>
      <c r="F769" s="0" t="s">
        <v>136</v>
      </c>
      <c r="G769" s="92" t="n">
        <v>36951</v>
      </c>
      <c r="H769" s="248" t="n">
        <v>310000</v>
      </c>
      <c r="I769" s="254" t="n">
        <v>0.6</v>
      </c>
      <c r="J769" s="124" t="n">
        <f aca="false">VLOOKUP(G769,NGPrices,2,FALSE())</f>
        <v>4.213</v>
      </c>
      <c r="K769" s="125" t="n">
        <f aca="false">HLOOKUP(D769,Prices,VLOOKUP(G769,move_down,2,FALSE()),FALSE())+VLOOKUP(G769,CHANGE,HLOOKUP(D769,CHANGE,2,FALSE()),FALSE())</f>
        <v>0.5975</v>
      </c>
      <c r="L769" s="124" t="n">
        <f aca="false">K769+J769</f>
        <v>4.8105</v>
      </c>
      <c r="M769" s="126" t="n">
        <f aca="false">VLOOKUP(G769,NGPrices,4,FALSE())</f>
        <v>0.068879814952707</v>
      </c>
      <c r="N769" s="7" t="n">
        <f aca="false">VLOOKUP(G769,NGPrices,3,FALSE())</f>
        <v>0.5325</v>
      </c>
      <c r="O769" s="7" t="n">
        <f aca="false">HLOOKUP(D769,VOLS,VLOOKUP(G769,move_down,2,FALSE()),FALSE())</f>
        <v>0.517</v>
      </c>
      <c r="P769" s="249" t="n">
        <f aca="false">HLOOKUP(D769,Correllate,VLOOKUP(G769,CorMove,2,FALSE()),FALSE())</f>
        <v>0.85</v>
      </c>
      <c r="Q769" s="92" t="n">
        <f aca="false">WORKDAY(G769,-2)</f>
        <v>36949</v>
      </c>
      <c r="R769" s="7" t="n">
        <f aca="false">IF(F769="P",0,1)</f>
        <v>1</v>
      </c>
      <c r="S769" s="130" t="e">
        <f aca="false">xSPRDOPT($L769,$J769,$I769,$M769,$O769,$N769,$P769,$Q769-$C$3,$R769,0)</f>
        <v>#NAME?</v>
      </c>
      <c r="T769" s="250" t="e">
        <f aca="false">xSPRDOPT($L769,$J769,$I769,$M769,$O769,$N769,$P769,$Q769-$C$3,$R769,1)*H769</f>
        <v>#NAME?</v>
      </c>
      <c r="U769" s="43" t="e">
        <f aca="false">S769*H769</f>
        <v>#NAME?</v>
      </c>
      <c r="V769" s="250" t="e">
        <f aca="false">xSPRDOPT($L769,$J769,$I769,$M769,$O769,$N769,$P769,$Q769-$C$3,$R769,2)*H769</f>
        <v>#NAME?</v>
      </c>
      <c r="W769" s="250" t="e">
        <f aca="false">+V769+T769</f>
        <v>#NAME?</v>
      </c>
      <c r="X769" s="2" t="str">
        <f aca="false">CONCATENATE(G769,D769)</f>
        <v>36951NGI-SOCAL</v>
      </c>
      <c r="Y769" s="251" t="n">
        <f aca="false">H769/10000</f>
        <v>31</v>
      </c>
      <c r="Z769" s="226" t="e">
        <f aca="false">T769/H769</f>
        <v>#NAME?</v>
      </c>
      <c r="AA769" s="226" t="e">
        <f aca="false">xSPRDOPT($L769,$J769,$I769,$M769,$O769,$N769,$P769,$Q769-$C$3,$R769,3)</f>
        <v>#NAME?</v>
      </c>
      <c r="AB769" s="226" t="e">
        <f aca="false">((xSPRDOPT($L769+AB$5,$J769,$I769,$M769,$O769,$N769,$P769,$Q769-$C$3,$R769,3)*$H769)/10000)/100</f>
        <v>#NAME?</v>
      </c>
      <c r="AC769" s="226" t="e">
        <f aca="false">((xSPRDOPT($L769+$AB$5,$J769,$I769,$M769,$O769,$N769,$P769,$Q769-$C$3,$R769,7)*$H769)/100)</f>
        <v>#NAME?</v>
      </c>
      <c r="AD769" s="226" t="e">
        <f aca="false">(xSPRDOPT($L769+$AB$5,$J769,$I769,$M769,$O769,$N769,$P769,$Q769-$C$3,$R769,9)/365)*$H769</f>
        <v>#NAME?</v>
      </c>
      <c r="AE769" s="0" t="e">
        <f aca="false">CD771</f>
        <v>#NAME?</v>
      </c>
      <c r="AF769" s="226" t="e">
        <f aca="false">((O769/N769)*AH769)+AG769</f>
        <v>#NAME?</v>
      </c>
      <c r="AG769" s="226" t="e">
        <f aca="false">((xSPRDOPT($L769,$J769,$I769,$M769,$O769,$N769,$P769,$Q769-$C$3,$R769,6)*$H769)/100)</f>
        <v>#NAME?</v>
      </c>
      <c r="AH769" s="226" t="e">
        <f aca="false">((xSPRDOPT($L769,$J769,$I769,$M769,$O769,$N769,$P769,$Q769-$C$3,$R769,5)*$H769)/100)</f>
        <v>#NAME?</v>
      </c>
      <c r="AI769" s="226" t="e">
        <f aca="false">(((xSPRDOPT($L769,$J769,$I769,$M769,$O769,$N769,$P769,$Q769-$C$3,$R769,4)*$H769)/10000)/100)-AB769</f>
        <v>#NAME?</v>
      </c>
      <c r="AJ769" s="226"/>
      <c r="CC769" s="182" t="n">
        <f aca="false">G767</f>
        <v>36892</v>
      </c>
      <c r="CD769" s="253" t="e">
        <f aca="false">xSPRDOPT((VLOOKUP(G767,NGPrices,2,FALSE())+HLOOKUP(D767,Prices,VLOOKUP(G767,move_down,2,FALSE()),FALSE())),VLOOKUP(G767,NGPrices,2,FALSE()),I767,VLOOKUP(G767,NGPREVPRICES,4,FALSE()),HLOOKUP(D767,PREVVOLS,VLOOKUP(G767,MOVE_DOWN2,2,FALSE()),FALSE()),VLOOKUP(G767,NGPREVPRICES,3,FALSE()),HLOOKUP(D767,Correllate,VLOOKUP(G767,CorMove,2,FALSE()),FALSE()),Q767-$CD$3,R767,$CD$5)*H767-CJ769</f>
        <v>#NAME?</v>
      </c>
      <c r="CE769" s="253" t="e">
        <f aca="false">xSPRDOPT((VLOOKUP(G767,NGPREVPRICES,2,FALSE())+HLOOKUP(D767,PREVCURVES,VLOOKUP(G767,MOVE_DOWN2,2,FALSE()),FALSE())),VLOOKUP(G767,NGPREVPRICES,2,FALSE()),CK769,VLOOKUP(G767,NGPrices,4,FALSE()),HLOOKUP(D767,PREVVOLS,VLOOKUP(G767,MOVE_DOWN2,2,FALSE()),FALSE()),VLOOKUP(G767,NGPREVPRICES,3,FALSE()),HLOOKUP(D767,Correllate,VLOOKUP(G767,CorMove,2,FALSE()),FALSE()),Q767-$CD$3,R767,$CJ$5)*H767-CJ769</f>
        <v>#NAME?</v>
      </c>
      <c r="CF769" s="132" t="e">
        <f aca="false">(CJ769/VLOOKUP(CC769,discount,3,FALSE()))-(CJ769/VLOOKUP(CC769,discount,2,FALSE()))</f>
        <v>#NAME?</v>
      </c>
      <c r="CG769" s="253" t="e">
        <f aca="false">xSPRDOPT((VLOOKUP(G767,NGPREVPRICES,2,FALSE())+HLOOKUP(D767,PREVCURVES,VLOOKUP(G767,MOVE_DOWN2,2,FALSE()),FALSE())),VLOOKUP(G767,NGPREVPRICES,2,FALSE()),CK769,VLOOKUP(G767,NGPREVPRICES,4,FALSE()),HLOOKUP(D767,VOLS,VLOOKUP(G767,move_down,2,FALSE()),FALSE()),VLOOKUP(G767,NGPrices,3,FALSE()),HLOOKUP(D767,Correllate,VLOOKUP(G767,CorMove,2,FALSE()),FALSE()),Q767-$CD$3,R767,$CJ$5)*H767-CJ769</f>
        <v>#NAME?</v>
      </c>
      <c r="CH769" s="253" t="e">
        <f aca="false">xSPRDOPT((VLOOKUP(G767,NGPREVPRICES,2,FALSE())+HLOOKUP(D767,PREVCURVES,VLOOKUP(G767,MOVE_DOWN2,2,FALSE()),FALSE())),VLOOKUP(G767,NGPREVPRICES,2,FALSE()),CK769,VLOOKUP(G767,NGPREVPRICES,4,FALSE()),HLOOKUP(D767,PREVVOLS,VLOOKUP(G767,MOVE_DOWN2,2,FALSE()),FALSE()),VLOOKUP(G767,NGPREVPRICES,3,FALSE()),HLOOKUP(D767,Correllate,VLOOKUP(G767,CorMove,2,FALSE()),FALSE()),Q767-$C$3,R767,$CJ$5)*H767-CJ769</f>
        <v>#NAME?</v>
      </c>
      <c r="CI769" s="253" t="e">
        <f aca="false">SUM(CD769:CH769)</f>
        <v>#NAME?</v>
      </c>
      <c r="CJ769" s="253" t="e">
        <f aca="false">xSPRDOPT((VLOOKUP(G767,NGPREVPRICES,2,FALSE())+HLOOKUP(D767,PREVCURVES,VLOOKUP(G767,MOVE_DOWN2,2,FALSE()),FALSE())),VLOOKUP(G767,NGPREVPRICES,2,FALSE()),CK769,VLOOKUP(G767,NGPREVPRICES,4,FALSE()),HLOOKUP(D767,PREVVOLS,VLOOKUP(G767,MOVE_DOWN2,2,FALSE()),FALSE()),VLOOKUP(G767,NGPREVPRICES,3,FALSE()),HLOOKUP(D767,Correllate,VLOOKUP(G767,CorMove,2,FALSE()),FALSE()),Q767-$CD$3,R767,$CJ$5)*H767</f>
        <v>#NAME?</v>
      </c>
      <c r="CK769" s="254" t="n">
        <f aca="false">I767</f>
        <v>0.6</v>
      </c>
      <c r="CM769" s="0" t="str">
        <f aca="false">CONCATENATE(CC769,$CD$6)</f>
        <v>36892Curve Shift/Gamma</v>
      </c>
      <c r="CN769" s="0" t="str">
        <f aca="false">CONCATENATE($CC769,$CE$6)</f>
        <v>36892Rho</v>
      </c>
      <c r="CO769" s="0" t="str">
        <f aca="false">CONCATENATE($CC769,$CF$6)</f>
        <v>36892Drift</v>
      </c>
      <c r="CP769" s="0" t="str">
        <f aca="false">CONCATENATE($CC769,$CG$6)</f>
        <v>36892Vega</v>
      </c>
      <c r="CQ769" s="0" t="str">
        <f aca="false">CONCATENATE($CC769,$CH$6)</f>
        <v>36892Theta</v>
      </c>
    </row>
    <row r="770" customFormat="false" ht="12.75" hidden="false" customHeight="false" outlineLevel="0" collapsed="false">
      <c r="A770" s="17" t="s">
        <v>275</v>
      </c>
      <c r="B770" s="0" t="s">
        <v>192</v>
      </c>
      <c r="C770" s="0" t="s">
        <v>450</v>
      </c>
      <c r="D770" s="7" t="s">
        <v>152</v>
      </c>
      <c r="E770" s="0" t="s">
        <v>131</v>
      </c>
      <c r="F770" s="0" t="s">
        <v>136</v>
      </c>
      <c r="G770" s="92" t="n">
        <v>36831</v>
      </c>
      <c r="H770" s="248" t="n">
        <v>-300000</v>
      </c>
      <c r="I770" s="254" t="n">
        <v>0.15</v>
      </c>
      <c r="J770" s="124" t="n">
        <f aca="false">VLOOKUP(G770,NGPrices,2,FALSE())</f>
        <v>4.736</v>
      </c>
      <c r="K770" s="125" t="n">
        <f aca="false">HLOOKUP(D770,Prices,VLOOKUP(G770,move_down,2,FALSE()),FALSE())+VLOOKUP(G770,CHANGE,HLOOKUP(D770,CHANGE,2,FALSE()),FALSE())</f>
        <v>0.0875</v>
      </c>
      <c r="L770" s="124" t="n">
        <f aca="false">K770+J770</f>
        <v>4.8235</v>
      </c>
      <c r="M770" s="126" t="n">
        <f aca="false">VLOOKUP(G770,NGPrices,4,FALSE())</f>
        <v>0.06810675983792</v>
      </c>
      <c r="N770" s="7" t="n">
        <f aca="false">VLOOKUP(G770,NGPrices,3,FALSE())</f>
        <v>0.595</v>
      </c>
      <c r="O770" s="7" t="n">
        <f aca="false">HLOOKUP(D770,VOLS,VLOOKUP(G770,move_down,2,FALSE()),FALSE())</f>
        <v>0.595</v>
      </c>
      <c r="P770" s="249" t="n">
        <f aca="false">HLOOKUP(D770,Correllate,VLOOKUP(G770,CorMove,2,FALSE()),FALSE())</f>
        <v>0.997</v>
      </c>
      <c r="Q770" s="92" t="n">
        <f aca="false">WORKDAY(G770,-2)</f>
        <v>36829</v>
      </c>
      <c r="R770" s="7" t="n">
        <f aca="false">IF(F770="P",0,1)</f>
        <v>1</v>
      </c>
      <c r="S770" s="130" t="e">
        <f aca="false">xSPRDOPT($L770,$J770,$I770,$M770,$O770,$N770,$P770,$Q770-$C$3,$R770,0)</f>
        <v>#NAME?</v>
      </c>
      <c r="T770" s="250" t="e">
        <f aca="false">xSPRDOPT($L770,$J770,$I770,$M770,$O770,$N770,$P770,$Q770-$C$3,$R770,1)*H770</f>
        <v>#NAME?</v>
      </c>
      <c r="U770" s="43" t="e">
        <f aca="false">S770*H770</f>
        <v>#NAME?</v>
      </c>
      <c r="V770" s="250" t="e">
        <f aca="false">xSPRDOPT($L770,$J770,$I770,$M770,$O770,$N770,$P770,$Q770-$C$3,$R770,2)*H770</f>
        <v>#NAME?</v>
      </c>
      <c r="W770" s="250" t="e">
        <f aca="false">+V770+T770</f>
        <v>#NAME?</v>
      </c>
      <c r="X770" s="2" t="str">
        <f aca="false">CONCATENATE(G770,D770)</f>
        <v>36831NGI/CHI. GATE</v>
      </c>
      <c r="Y770" s="251" t="n">
        <f aca="false">H770/10000</f>
        <v>-30</v>
      </c>
      <c r="Z770" s="226" t="e">
        <f aca="false">T770/H770</f>
        <v>#NAME?</v>
      </c>
      <c r="AA770" s="226" t="e">
        <f aca="false">xSPRDOPT($L770,$J770,$I770,$M770,$O770,$N770,$P770,$Q770-$C$3,$R770,3)</f>
        <v>#NAME?</v>
      </c>
      <c r="AB770" s="226" t="e">
        <f aca="false">((xSPRDOPT($L770+AB$5,$J770,$I770,$M770,$O770,$N770,$P770,$Q770-$C$3,$R770,3)*$H770)/10000)/100</f>
        <v>#NAME?</v>
      </c>
      <c r="AC770" s="226" t="e">
        <f aca="false">((xSPRDOPT($L770+$AB$5,$J770,$I770,$M770,$O770,$N770,$P770,$Q770-$C$3,$R770,7)*$H770)/100)</f>
        <v>#NAME?</v>
      </c>
      <c r="AD770" s="226" t="e">
        <f aca="false">(xSPRDOPT($L770+$AB$5,$J770,$I770,$M770,$O770,$N770,$P770,$Q770-$C$3,$R770,9)/365)*$H770</f>
        <v>#NAME?</v>
      </c>
      <c r="AE770" s="0" t="e">
        <f aca="false">CD772</f>
        <v>#NAME?</v>
      </c>
      <c r="AF770" s="226" t="e">
        <f aca="false">((O770/N770)*AH770)+AG770</f>
        <v>#NAME?</v>
      </c>
      <c r="AG770" s="226" t="e">
        <f aca="false">((xSPRDOPT($L770,$J770,$I770,$M770,$O770,$N770,$P770,$Q770-$C$3,$R770,6)*$H770)/100)</f>
        <v>#NAME?</v>
      </c>
      <c r="AH770" s="226" t="e">
        <f aca="false">((xSPRDOPT($L770,$J770,$I770,$M770,$O770,$N770,$P770,$Q770-$C$3,$R770,5)*$H770)/100)</f>
        <v>#NAME?</v>
      </c>
      <c r="AI770" s="226" t="e">
        <f aca="false">(((xSPRDOPT($L770,$J770,$I770,$M770,$O770,$N770,$P770,$Q770-$C$3,$R770,4)*$H770)/10000)/100)-AB770</f>
        <v>#NAME?</v>
      </c>
      <c r="AJ770" s="226"/>
      <c r="CC770" s="182" t="n">
        <f aca="false">G768</f>
        <v>36923</v>
      </c>
      <c r="CD770" s="253" t="e">
        <f aca="false">xSPRDOPT((VLOOKUP(G768,NGPrices,2,FALSE())+HLOOKUP(D768,Prices,VLOOKUP(G768,move_down,2,FALSE()),FALSE())),VLOOKUP(G768,NGPrices,2,FALSE()),I768,VLOOKUP(G768,NGPREVPRICES,4,FALSE()),HLOOKUP(D768,PREVVOLS,VLOOKUP(G768,MOVE_DOWN2,2,FALSE()),FALSE()),VLOOKUP(G768,NGPREVPRICES,3,FALSE()),HLOOKUP(D768,Correllate,VLOOKUP(G768,CorMove,2,FALSE()),FALSE()),Q768-$CD$3,R768,$CD$5)*H768-CJ770</f>
        <v>#NAME?</v>
      </c>
      <c r="CE770" s="253" t="e">
        <f aca="false">xSPRDOPT((VLOOKUP(G768,NGPREVPRICES,2,FALSE())+HLOOKUP(D768,PREVCURVES,VLOOKUP(G768,MOVE_DOWN2,2,FALSE()),FALSE())),VLOOKUP(G768,NGPREVPRICES,2,FALSE()),CK770,VLOOKUP(G768,NGPrices,4,FALSE()),HLOOKUP(D768,PREVVOLS,VLOOKUP(G768,MOVE_DOWN2,2,FALSE()),FALSE()),VLOOKUP(G768,NGPREVPRICES,3,FALSE()),HLOOKUP(D768,Correllate,VLOOKUP(G768,CorMove,2,FALSE()),FALSE()),Q768-$CD$3,R768,$CJ$5)*H768-CJ770</f>
        <v>#NAME?</v>
      </c>
      <c r="CF770" s="132" t="e">
        <f aca="false">(CJ770/VLOOKUP(CC770,discount,3,FALSE()))-(CJ770/VLOOKUP(CC770,discount,2,FALSE()))</f>
        <v>#NAME?</v>
      </c>
      <c r="CG770" s="253" t="e">
        <f aca="false">xSPRDOPT((VLOOKUP(G768,NGPREVPRICES,2,FALSE())+HLOOKUP(D768,PREVCURVES,VLOOKUP(G768,MOVE_DOWN2,2,FALSE()),FALSE())),VLOOKUP(G768,NGPREVPRICES,2,FALSE()),CK770,VLOOKUP(G768,NGPREVPRICES,4,FALSE()),HLOOKUP(D768,VOLS,VLOOKUP(G768,move_down,2,FALSE()),FALSE()),VLOOKUP(G768,NGPrices,3,FALSE()),HLOOKUP(D768,Correllate,VLOOKUP(G768,CorMove,2,FALSE()),FALSE()),Q768-$CD$3,R768,$CJ$5)*H768-CJ770</f>
        <v>#NAME?</v>
      </c>
      <c r="CH770" s="253" t="e">
        <f aca="false">xSPRDOPT((VLOOKUP(G768,NGPREVPRICES,2,FALSE())+HLOOKUP(D768,PREVCURVES,VLOOKUP(G768,MOVE_DOWN2,2,FALSE()),FALSE())),VLOOKUP(G768,NGPREVPRICES,2,FALSE()),CK770,VLOOKUP(G768,NGPREVPRICES,4,FALSE()),HLOOKUP(D768,PREVVOLS,VLOOKUP(G768,MOVE_DOWN2,2,FALSE()),FALSE()),VLOOKUP(G768,NGPREVPRICES,3,FALSE()),HLOOKUP(D768,Correllate,VLOOKUP(G768,CorMove,2,FALSE()),FALSE()),Q768-$C$3,R768,$CJ$5)*H768-CJ770</f>
        <v>#NAME?</v>
      </c>
      <c r="CI770" s="253" t="e">
        <f aca="false">SUM(CD770:CH770)</f>
        <v>#NAME?</v>
      </c>
      <c r="CJ770" s="253" t="e">
        <f aca="false">xSPRDOPT((VLOOKUP(G768,NGPREVPRICES,2,FALSE())+HLOOKUP(D768,PREVCURVES,VLOOKUP(G768,MOVE_DOWN2,2,FALSE()),FALSE())),VLOOKUP(G768,NGPREVPRICES,2,FALSE()),CK770,VLOOKUP(G768,NGPREVPRICES,4,FALSE()),HLOOKUP(D768,PREVVOLS,VLOOKUP(G768,MOVE_DOWN2,2,FALSE()),FALSE()),VLOOKUP(G768,NGPREVPRICES,3,FALSE()),HLOOKUP(D768,Correllate,VLOOKUP(G768,CorMove,2,FALSE()),FALSE()),Q768-$CD$3,R768,$CJ$5)*H768</f>
        <v>#NAME?</v>
      </c>
      <c r="CK770" s="254" t="n">
        <f aca="false">I768</f>
        <v>0.6</v>
      </c>
      <c r="CM770" s="0" t="str">
        <f aca="false">CONCATENATE(CC770,$CD$6)</f>
        <v>36923Curve Shift/Gamma</v>
      </c>
      <c r="CN770" s="0" t="str">
        <f aca="false">CONCATENATE($CC770,$CE$6)</f>
        <v>36923Rho</v>
      </c>
      <c r="CO770" s="0" t="str">
        <f aca="false">CONCATENATE($CC770,$CF$6)</f>
        <v>36923Drift</v>
      </c>
      <c r="CP770" s="0" t="str">
        <f aca="false">CONCATENATE($CC770,$CG$6)</f>
        <v>36923Vega</v>
      </c>
      <c r="CQ770" s="0" t="str">
        <f aca="false">CONCATENATE($CC770,$CH$6)</f>
        <v>36923Theta</v>
      </c>
    </row>
    <row r="771" customFormat="false" ht="12.75" hidden="false" customHeight="false" outlineLevel="0" collapsed="false">
      <c r="A771" s="17" t="s">
        <v>275</v>
      </c>
      <c r="B771" s="0" t="s">
        <v>192</v>
      </c>
      <c r="C771" s="0" t="s">
        <v>450</v>
      </c>
      <c r="D771" s="7" t="s">
        <v>152</v>
      </c>
      <c r="E771" s="0" t="s">
        <v>131</v>
      </c>
      <c r="F771" s="0" t="s">
        <v>136</v>
      </c>
      <c r="G771" s="92" t="n">
        <v>36861</v>
      </c>
      <c r="H771" s="248" t="n">
        <v>-310000</v>
      </c>
      <c r="I771" s="254" t="n">
        <v>0.15</v>
      </c>
      <c r="J771" s="124" t="n">
        <f aca="false">VLOOKUP(G771,NGPrices,2,FALSE())</f>
        <v>4.8</v>
      </c>
      <c r="K771" s="125" t="n">
        <f aca="false">HLOOKUP(D771,Prices,VLOOKUP(G771,move_down,2,FALSE()),FALSE())+VLOOKUP(G771,CHANGE,HLOOKUP(D771,CHANGE,2,FALSE()),FALSE())</f>
        <v>0.1</v>
      </c>
      <c r="L771" s="124" t="n">
        <f aca="false">K771+J771</f>
        <v>4.9</v>
      </c>
      <c r="M771" s="126" t="n">
        <f aca="false">VLOOKUP(G771,NGPrices,4,FALSE())</f>
        <v>0.068314027999354</v>
      </c>
      <c r="N771" s="7" t="n">
        <f aca="false">VLOOKUP(G771,NGPrices,3,FALSE())</f>
        <v>0.6</v>
      </c>
      <c r="O771" s="7" t="n">
        <f aca="false">HLOOKUP(D771,VOLS,VLOOKUP(G771,move_down,2,FALSE()),FALSE())</f>
        <v>0.6</v>
      </c>
      <c r="P771" s="249" t="n">
        <f aca="false">HLOOKUP(D771,Correllate,VLOOKUP(G771,CorMove,2,FALSE()),FALSE())</f>
        <v>0.997</v>
      </c>
      <c r="Q771" s="92" t="n">
        <f aca="false">WORKDAY(G771,-2)</f>
        <v>36859</v>
      </c>
      <c r="R771" s="7" t="n">
        <f aca="false">IF(F771="P",0,1)</f>
        <v>1</v>
      </c>
      <c r="S771" s="130" t="e">
        <f aca="false">xSPRDOPT($L771,$J771,$I771,$M771,$O771,$N771,$P771,$Q771-$C$3,$R771,0)</f>
        <v>#NAME?</v>
      </c>
      <c r="T771" s="250" t="e">
        <f aca="false">xSPRDOPT($L771,$J771,$I771,$M771,$O771,$N771,$P771,$Q771-$C$3,$R771,1)*H771</f>
        <v>#NAME?</v>
      </c>
      <c r="U771" s="43" t="e">
        <f aca="false">S771*H771</f>
        <v>#NAME?</v>
      </c>
      <c r="V771" s="250" t="e">
        <f aca="false">xSPRDOPT($L771,$J771,$I771,$M771,$O771,$N771,$P771,$Q771-$C$3,$R771,2)*H771</f>
        <v>#NAME?</v>
      </c>
      <c r="W771" s="250" t="e">
        <f aca="false">+V771+T771</f>
        <v>#NAME?</v>
      </c>
      <c r="X771" s="2" t="str">
        <f aca="false">CONCATENATE(G771,D771)</f>
        <v>36861NGI/CHI. GATE</v>
      </c>
      <c r="Y771" s="251" t="n">
        <f aca="false">H771/10000</f>
        <v>-31</v>
      </c>
      <c r="Z771" s="226" t="e">
        <f aca="false">T771/H771</f>
        <v>#NAME?</v>
      </c>
      <c r="AA771" s="226" t="e">
        <f aca="false">xSPRDOPT($L771,$J771,$I771,$M771,$O771,$N771,$P771,$Q771-$C$3,$R771,3)</f>
        <v>#NAME?</v>
      </c>
      <c r="AB771" s="226" t="e">
        <f aca="false">((xSPRDOPT($L771+AB$5,$J771,$I771,$M771,$O771,$N771,$P771,$Q771-$C$3,$R771,3)*$H771)/10000)/100</f>
        <v>#NAME?</v>
      </c>
      <c r="AC771" s="226" t="e">
        <f aca="false">((xSPRDOPT($L771+$AB$5,$J771,$I771,$M771,$O771,$N771,$P771,$Q771-$C$3,$R771,7)*$H771)/100)</f>
        <v>#NAME?</v>
      </c>
      <c r="AD771" s="226" t="e">
        <f aca="false">(xSPRDOPT($L771+$AB$5,$J771,$I771,$M771,$O771,$N771,$P771,$Q771-$C$3,$R771,9)/365)*$H771</f>
        <v>#NAME?</v>
      </c>
      <c r="AE771" s="0" t="e">
        <f aca="false">CD773</f>
        <v>#NAME?</v>
      </c>
      <c r="AF771" s="226" t="e">
        <f aca="false">((O771/N771)*AH771)+AG771</f>
        <v>#NAME?</v>
      </c>
      <c r="AG771" s="226" t="e">
        <f aca="false">((xSPRDOPT($L771,$J771,$I771,$M771,$O771,$N771,$P771,$Q771-$C$3,$R771,6)*$H771)/100)</f>
        <v>#NAME?</v>
      </c>
      <c r="AH771" s="226" t="e">
        <f aca="false">((xSPRDOPT($L771,$J771,$I771,$M771,$O771,$N771,$P771,$Q771-$C$3,$R771,5)*$H771)/100)</f>
        <v>#NAME?</v>
      </c>
      <c r="AI771" s="226" t="e">
        <f aca="false">(((xSPRDOPT($L771,$J771,$I771,$M771,$O771,$N771,$P771,$Q771-$C$3,$R771,4)*$H771)/10000)/100)-AB771</f>
        <v>#NAME?</v>
      </c>
      <c r="AJ771" s="226"/>
      <c r="CC771" s="182" t="n">
        <f aca="false">G769</f>
        <v>36951</v>
      </c>
      <c r="CD771" s="253" t="e">
        <f aca="false">xSPRDOPT((VLOOKUP(G769,NGPrices,2,FALSE())+HLOOKUP(D769,Prices,VLOOKUP(G769,move_down,2,FALSE()),FALSE())),VLOOKUP(G769,NGPrices,2,FALSE()),I769,VLOOKUP(G769,NGPREVPRICES,4,FALSE()),HLOOKUP(D769,PREVVOLS,VLOOKUP(G769,MOVE_DOWN2,2,FALSE()),FALSE()),VLOOKUP(G769,NGPREVPRICES,3,FALSE()),HLOOKUP(D769,Correllate,VLOOKUP(G769,CorMove,2,FALSE()),FALSE()),Q769-$CD$3,R769,$CD$5)*H769-CJ771</f>
        <v>#NAME?</v>
      </c>
      <c r="CE771" s="253" t="e">
        <f aca="false">xSPRDOPT((VLOOKUP(G769,NGPREVPRICES,2,FALSE())+HLOOKUP(D769,PREVCURVES,VLOOKUP(G769,MOVE_DOWN2,2,FALSE()),FALSE())),VLOOKUP(G769,NGPREVPRICES,2,FALSE()),CK771,VLOOKUP(G769,NGPrices,4,FALSE()),HLOOKUP(D769,PREVVOLS,VLOOKUP(G769,MOVE_DOWN2,2,FALSE()),FALSE()),VLOOKUP(G769,NGPREVPRICES,3,FALSE()),HLOOKUP(D769,Correllate,VLOOKUP(G769,CorMove,2,FALSE()),FALSE()),Q769-$CD$3,R769,$CJ$5)*H769-CJ771</f>
        <v>#NAME?</v>
      </c>
      <c r="CF771" s="132" t="e">
        <f aca="false">(CJ771/VLOOKUP(CC771,discount,3,FALSE()))-(CJ771/VLOOKUP(CC771,discount,2,FALSE()))</f>
        <v>#NAME?</v>
      </c>
      <c r="CG771" s="253" t="e">
        <f aca="false">xSPRDOPT((VLOOKUP(G769,NGPREVPRICES,2,FALSE())+HLOOKUP(D769,PREVCURVES,VLOOKUP(G769,MOVE_DOWN2,2,FALSE()),FALSE())),VLOOKUP(G769,NGPREVPRICES,2,FALSE()),CK771,VLOOKUP(G769,NGPREVPRICES,4,FALSE()),HLOOKUP(D769,VOLS,VLOOKUP(G769,move_down,2,FALSE()),FALSE()),VLOOKUP(G769,NGPrices,3,FALSE()),HLOOKUP(D769,Correllate,VLOOKUP(G769,CorMove,2,FALSE()),FALSE()),Q769-$CD$3,R769,$CJ$5)*H769-CJ771</f>
        <v>#NAME?</v>
      </c>
      <c r="CH771" s="253" t="e">
        <f aca="false">xSPRDOPT((VLOOKUP(G769,NGPREVPRICES,2,FALSE())+HLOOKUP(D769,PREVCURVES,VLOOKUP(G769,MOVE_DOWN2,2,FALSE()),FALSE())),VLOOKUP(G769,NGPREVPRICES,2,FALSE()),CK771,VLOOKUP(G769,NGPREVPRICES,4,FALSE()),HLOOKUP(D769,PREVVOLS,VLOOKUP(G769,MOVE_DOWN2,2,FALSE()),FALSE()),VLOOKUP(G769,NGPREVPRICES,3,FALSE()),HLOOKUP(D769,Correllate,VLOOKUP(G769,CorMove,2,FALSE()),FALSE()),Q769-$C$3,R769,$CJ$5)*H769-CJ771</f>
        <v>#NAME?</v>
      </c>
      <c r="CI771" s="253" t="e">
        <f aca="false">SUM(CD771:CH771)</f>
        <v>#NAME?</v>
      </c>
      <c r="CJ771" s="253" t="e">
        <f aca="false">xSPRDOPT((VLOOKUP(G769,NGPREVPRICES,2,FALSE())+HLOOKUP(D769,PREVCURVES,VLOOKUP(G769,MOVE_DOWN2,2,FALSE()),FALSE())),VLOOKUP(G769,NGPREVPRICES,2,FALSE()),CK771,VLOOKUP(G769,NGPREVPRICES,4,FALSE()),HLOOKUP(D769,PREVVOLS,VLOOKUP(G769,MOVE_DOWN2,2,FALSE()),FALSE()),VLOOKUP(G769,NGPREVPRICES,3,FALSE()),HLOOKUP(D769,Correllate,VLOOKUP(G769,CorMove,2,FALSE()),FALSE()),Q769-$CD$3,R769,$CJ$5)*H769</f>
        <v>#NAME?</v>
      </c>
      <c r="CK771" s="254" t="n">
        <f aca="false">I769</f>
        <v>0.6</v>
      </c>
      <c r="CM771" s="0" t="str">
        <f aca="false">CONCATENATE(CC771,$CD$6)</f>
        <v>36951Curve Shift/Gamma</v>
      </c>
      <c r="CN771" s="0" t="str">
        <f aca="false">CONCATENATE($CC771,$CE$6)</f>
        <v>36951Rho</v>
      </c>
      <c r="CO771" s="0" t="str">
        <f aca="false">CONCATENATE($CC771,$CF$6)</f>
        <v>36951Drift</v>
      </c>
      <c r="CP771" s="0" t="str">
        <f aca="false">CONCATENATE($CC771,$CG$6)</f>
        <v>36951Vega</v>
      </c>
      <c r="CQ771" s="0" t="str">
        <f aca="false">CONCATENATE($CC771,$CH$6)</f>
        <v>36951Theta</v>
      </c>
    </row>
    <row r="772" customFormat="false" ht="12.75" hidden="false" customHeight="false" outlineLevel="0" collapsed="false">
      <c r="A772" s="17" t="s">
        <v>275</v>
      </c>
      <c r="B772" s="0" t="s">
        <v>192</v>
      </c>
      <c r="C772" s="0" t="s">
        <v>450</v>
      </c>
      <c r="D772" s="7" t="s">
        <v>152</v>
      </c>
      <c r="E772" s="0" t="s">
        <v>131</v>
      </c>
      <c r="F772" s="0" t="s">
        <v>136</v>
      </c>
      <c r="G772" s="92" t="n">
        <v>36892</v>
      </c>
      <c r="H772" s="248" t="n">
        <v>-310000</v>
      </c>
      <c r="I772" s="254" t="n">
        <v>0.15</v>
      </c>
      <c r="J772" s="124" t="n">
        <f aca="false">VLOOKUP(G772,NGPrices,2,FALSE())</f>
        <v>4.744</v>
      </c>
      <c r="K772" s="125" t="n">
        <f aca="false">HLOOKUP(D772,Prices,VLOOKUP(G772,move_down,2,FALSE()),FALSE())+VLOOKUP(G772,CHANGE,HLOOKUP(D772,CHANGE,2,FALSE()),FALSE())</f>
        <v>0.1275</v>
      </c>
      <c r="L772" s="124" t="n">
        <f aca="false">K772+J772</f>
        <v>4.8715</v>
      </c>
      <c r="M772" s="126" t="n">
        <f aca="false">VLOOKUP(G772,NGPrices,4,FALSE())</f>
        <v>0.068374831148491</v>
      </c>
      <c r="N772" s="7" t="n">
        <f aca="false">VLOOKUP(G772,NGPrices,3,FALSE())</f>
        <v>0.605</v>
      </c>
      <c r="O772" s="7" t="n">
        <f aca="false">HLOOKUP(D772,VOLS,VLOOKUP(G772,move_down,2,FALSE()),FALSE())</f>
        <v>0.605</v>
      </c>
      <c r="P772" s="249" t="n">
        <f aca="false">HLOOKUP(D772,Correllate,VLOOKUP(G772,CorMove,2,FALSE()),FALSE())</f>
        <v>0.997</v>
      </c>
      <c r="Q772" s="92" t="n">
        <f aca="false">WORKDAY(G772,-2)</f>
        <v>36888</v>
      </c>
      <c r="R772" s="7" t="n">
        <f aca="false">IF(F772="P",0,1)</f>
        <v>1</v>
      </c>
      <c r="S772" s="130" t="e">
        <f aca="false">xSPRDOPT($L772,$J772,$I772,$M772,$O772,$N772,$P772,$Q772-$C$3,$R772,0)</f>
        <v>#NAME?</v>
      </c>
      <c r="T772" s="250" t="e">
        <f aca="false">xSPRDOPT($L772,$J772,$I772,$M772,$O772,$N772,$P772,$Q772-$C$3,$R772,1)*H772</f>
        <v>#NAME?</v>
      </c>
      <c r="U772" s="43" t="e">
        <f aca="false">S772*H772</f>
        <v>#NAME?</v>
      </c>
      <c r="V772" s="250" t="e">
        <f aca="false">xSPRDOPT($L772,$J772,$I772,$M772,$O772,$N772,$P772,$Q772-$C$3,$R772,2)*H772</f>
        <v>#NAME?</v>
      </c>
      <c r="W772" s="250" t="e">
        <f aca="false">+V772+T772</f>
        <v>#NAME?</v>
      </c>
      <c r="X772" s="2" t="str">
        <f aca="false">CONCATENATE(G772,D772)</f>
        <v>36892NGI/CHI. GATE</v>
      </c>
      <c r="Y772" s="251" t="n">
        <f aca="false">H772/10000</f>
        <v>-31</v>
      </c>
      <c r="Z772" s="226" t="e">
        <f aca="false">T772/H772</f>
        <v>#NAME?</v>
      </c>
      <c r="AA772" s="226" t="e">
        <f aca="false">xSPRDOPT($L772,$J772,$I772,$M772,$O772,$N772,$P772,$Q772-$C$3,$R772,3)</f>
        <v>#NAME?</v>
      </c>
      <c r="AB772" s="226" t="e">
        <f aca="false">((xSPRDOPT($L772+AB$5,$J772,$I772,$M772,$O772,$N772,$P772,$Q772-$C$3,$R772,3)*$H772)/10000)/100</f>
        <v>#NAME?</v>
      </c>
      <c r="AC772" s="226" t="e">
        <f aca="false">((xSPRDOPT($L772+$AB$5,$J772,$I772,$M772,$O772,$N772,$P772,$Q772-$C$3,$R772,7)*$H772)/100)</f>
        <v>#NAME?</v>
      </c>
      <c r="AD772" s="226" t="e">
        <f aca="false">(xSPRDOPT($L772+$AB$5,$J772,$I772,$M772,$O772,$N772,$P772,$Q772-$C$3,$R772,9)/365)*$H772</f>
        <v>#NAME?</v>
      </c>
      <c r="AE772" s="0" t="e">
        <f aca="false">CD774</f>
        <v>#NAME?</v>
      </c>
      <c r="AF772" s="226" t="e">
        <f aca="false">((O772/N772)*AH772)+AG772</f>
        <v>#NAME?</v>
      </c>
      <c r="AG772" s="226" t="e">
        <f aca="false">((xSPRDOPT($L772,$J772,$I772,$M772,$O772,$N772,$P772,$Q772-$C$3,$R772,6)*$H772)/100)</f>
        <v>#NAME?</v>
      </c>
      <c r="AH772" s="226" t="e">
        <f aca="false">((xSPRDOPT($L772,$J772,$I772,$M772,$O772,$N772,$P772,$Q772-$C$3,$R772,5)*$H772)/100)</f>
        <v>#NAME?</v>
      </c>
      <c r="AI772" s="226" t="e">
        <f aca="false">(((xSPRDOPT($L772,$J772,$I772,$M772,$O772,$N772,$P772,$Q772-$C$3,$R772,4)*$H772)/10000)/100)-AB772</f>
        <v>#NAME?</v>
      </c>
      <c r="AJ772" s="226"/>
      <c r="CC772" s="182" t="n">
        <f aca="false">G770</f>
        <v>36831</v>
      </c>
      <c r="CD772" s="253" t="e">
        <f aca="false">xSPRDOPT((VLOOKUP(G770,NGPrices,2,FALSE())+HLOOKUP(D770,Prices,VLOOKUP(G770,move_down,2,FALSE()),FALSE())),VLOOKUP(G770,NGPrices,2,FALSE()),I770,VLOOKUP(G770,NGPREVPRICES,4,FALSE()),HLOOKUP(D770,PREVVOLS,VLOOKUP(G770,MOVE_DOWN2,2,FALSE()),FALSE()),VLOOKUP(G770,NGPREVPRICES,3,FALSE()),HLOOKUP(D770,Correllate,VLOOKUP(G770,CorMove,2,FALSE()),FALSE()),Q770-$CD$3,R770,$CD$5)*H770-CJ772</f>
        <v>#NAME?</v>
      </c>
      <c r="CE772" s="253" t="e">
        <f aca="false">xSPRDOPT((VLOOKUP(G770,NGPREVPRICES,2,FALSE())+HLOOKUP(D770,PREVCURVES,VLOOKUP(G770,MOVE_DOWN2,2,FALSE()),FALSE())),VLOOKUP(G770,NGPREVPRICES,2,FALSE()),CK772,VLOOKUP(G770,NGPrices,4,FALSE()),HLOOKUP(D770,PREVVOLS,VLOOKUP(G770,MOVE_DOWN2,2,FALSE()),FALSE()),VLOOKUP(G770,NGPREVPRICES,3,FALSE()),HLOOKUP(D770,Correllate,VLOOKUP(G770,CorMove,2,FALSE()),FALSE()),Q770-$CD$3,R770,$CJ$5)*H770-CJ772</f>
        <v>#NAME?</v>
      </c>
      <c r="CF772" s="132" t="e">
        <f aca="false">(CJ772/VLOOKUP(CC772,discount,3,FALSE()))-(CJ772/VLOOKUP(CC772,discount,2,FALSE()))</f>
        <v>#NAME?</v>
      </c>
      <c r="CG772" s="253" t="e">
        <f aca="false">xSPRDOPT((VLOOKUP(G770,NGPREVPRICES,2,FALSE())+HLOOKUP(D770,PREVCURVES,VLOOKUP(G770,MOVE_DOWN2,2,FALSE()),FALSE())),VLOOKUP(G770,NGPREVPRICES,2,FALSE()),CK772,VLOOKUP(G770,NGPREVPRICES,4,FALSE()),HLOOKUP(D770,VOLS,VLOOKUP(G770,move_down,2,FALSE()),FALSE()),VLOOKUP(G770,NGPrices,3,FALSE()),HLOOKUP(D770,Correllate,VLOOKUP(G770,CorMove,2,FALSE()),FALSE()),Q770-$CD$3,R770,$CJ$5)*H770-CJ772</f>
        <v>#NAME?</v>
      </c>
      <c r="CH772" s="253" t="e">
        <f aca="false">xSPRDOPT((VLOOKUP(G770,NGPREVPRICES,2,FALSE())+HLOOKUP(D770,PREVCURVES,VLOOKUP(G770,MOVE_DOWN2,2,FALSE()),FALSE())),VLOOKUP(G770,NGPREVPRICES,2,FALSE()),CK772,VLOOKUP(G770,NGPREVPRICES,4,FALSE()),HLOOKUP(D770,PREVVOLS,VLOOKUP(G770,MOVE_DOWN2,2,FALSE()),FALSE()),VLOOKUP(G770,NGPREVPRICES,3,FALSE()),HLOOKUP(D770,Correllate,VLOOKUP(G770,CorMove,2,FALSE()),FALSE()),Q770-$C$3,R770,$CJ$5)*H770-CJ772</f>
        <v>#NAME?</v>
      </c>
      <c r="CI772" s="253" t="e">
        <f aca="false">SUM(CD772:CH772)</f>
        <v>#NAME?</v>
      </c>
      <c r="CJ772" s="253" t="e">
        <f aca="false">xSPRDOPT((VLOOKUP(G770,NGPREVPRICES,2,FALSE())+HLOOKUP(D770,PREVCURVES,VLOOKUP(G770,MOVE_DOWN2,2,FALSE()),FALSE())),VLOOKUP(G770,NGPREVPRICES,2,FALSE()),CK772,VLOOKUP(G770,NGPREVPRICES,4,FALSE()),HLOOKUP(D770,PREVVOLS,VLOOKUP(G770,MOVE_DOWN2,2,FALSE()),FALSE()),VLOOKUP(G770,NGPREVPRICES,3,FALSE()),HLOOKUP(D770,Correllate,VLOOKUP(G770,CorMove,2,FALSE()),FALSE()),Q770-$CD$3,R770,$CJ$5)*H770</f>
        <v>#NAME?</v>
      </c>
      <c r="CK772" s="254" t="n">
        <f aca="false">I770</f>
        <v>0.15</v>
      </c>
      <c r="CM772" s="0" t="str">
        <f aca="false">CONCATENATE(CC772,$CD$6)</f>
        <v>36831Curve Shift/Gamma</v>
      </c>
      <c r="CN772" s="0" t="str">
        <f aca="false">CONCATENATE($CC772,$CE$6)</f>
        <v>36831Rho</v>
      </c>
      <c r="CO772" s="0" t="str">
        <f aca="false">CONCATENATE($CC772,$CF$6)</f>
        <v>36831Drift</v>
      </c>
      <c r="CP772" s="0" t="str">
        <f aca="false">CONCATENATE($CC772,$CG$6)</f>
        <v>36831Vega</v>
      </c>
      <c r="CQ772" s="0" t="str">
        <f aca="false">CONCATENATE($CC772,$CH$6)</f>
        <v>36831Theta</v>
      </c>
    </row>
    <row r="773" customFormat="false" ht="12.75" hidden="false" customHeight="false" outlineLevel="0" collapsed="false">
      <c r="A773" s="17" t="s">
        <v>275</v>
      </c>
      <c r="B773" s="0" t="s">
        <v>192</v>
      </c>
      <c r="C773" s="0" t="s">
        <v>450</v>
      </c>
      <c r="D773" s="7" t="s">
        <v>152</v>
      </c>
      <c r="E773" s="0" t="s">
        <v>131</v>
      </c>
      <c r="F773" s="0" t="s">
        <v>136</v>
      </c>
      <c r="G773" s="92" t="n">
        <v>36923</v>
      </c>
      <c r="H773" s="248" t="n">
        <v>-280000</v>
      </c>
      <c r="I773" s="254" t="n">
        <v>0.15</v>
      </c>
      <c r="J773" s="124" t="n">
        <f aca="false">VLOOKUP(G773,NGPrices,2,FALSE())</f>
        <v>4.48</v>
      </c>
      <c r="K773" s="125" t="n">
        <f aca="false">HLOOKUP(D773,Prices,VLOOKUP(G773,move_down,2,FALSE()),FALSE())+VLOOKUP(G773,CHANGE,HLOOKUP(D773,CHANGE,2,FALSE()),FALSE())</f>
        <v>0.1375</v>
      </c>
      <c r="L773" s="124" t="n">
        <f aca="false">K773+J773</f>
        <v>4.6175</v>
      </c>
      <c r="M773" s="126" t="n">
        <f aca="false">VLOOKUP(G773,NGPrices,4,FALSE())</f>
        <v>0.068640161611372</v>
      </c>
      <c r="N773" s="7" t="n">
        <f aca="false">VLOOKUP(G773,NGPrices,3,FALSE())</f>
        <v>0.5925</v>
      </c>
      <c r="O773" s="7" t="n">
        <f aca="false">HLOOKUP(D773,VOLS,VLOOKUP(G773,move_down,2,FALSE()),FALSE())</f>
        <v>0.593</v>
      </c>
      <c r="P773" s="249" t="n">
        <f aca="false">HLOOKUP(D773,Correllate,VLOOKUP(G773,CorMove,2,FALSE()),FALSE())</f>
        <v>0.997</v>
      </c>
      <c r="Q773" s="92" t="n">
        <f aca="false">WORKDAY(G773,-2)</f>
        <v>36921</v>
      </c>
      <c r="R773" s="7" t="n">
        <f aca="false">IF(F773="P",0,1)</f>
        <v>1</v>
      </c>
      <c r="S773" s="130" t="e">
        <f aca="false">xSPRDOPT($L773,$J773,$I773,$M773,$O773,$N773,$P773,$Q773-$C$3,$R773,0)</f>
        <v>#NAME?</v>
      </c>
      <c r="T773" s="250" t="e">
        <f aca="false">xSPRDOPT($L773,$J773,$I773,$M773,$O773,$N773,$P773,$Q773-$C$3,$R773,1)*H773</f>
        <v>#NAME?</v>
      </c>
      <c r="U773" s="43" t="e">
        <f aca="false">S773*H773</f>
        <v>#NAME?</v>
      </c>
      <c r="V773" s="250" t="e">
        <f aca="false">xSPRDOPT($L773,$J773,$I773,$M773,$O773,$N773,$P773,$Q773-$C$3,$R773,2)*H773</f>
        <v>#NAME?</v>
      </c>
      <c r="W773" s="250" t="e">
        <f aca="false">+V773+T773</f>
        <v>#NAME?</v>
      </c>
      <c r="X773" s="2" t="str">
        <f aca="false">CONCATENATE(G773,D773)</f>
        <v>36923NGI/CHI. GATE</v>
      </c>
      <c r="Y773" s="251" t="n">
        <f aca="false">H773/10000</f>
        <v>-28</v>
      </c>
      <c r="Z773" s="226" t="e">
        <f aca="false">T773/H773</f>
        <v>#NAME?</v>
      </c>
      <c r="AA773" s="226" t="e">
        <f aca="false">xSPRDOPT($L773,$J773,$I773,$M773,$O773,$N773,$P773,$Q773-$C$3,$R773,3)</f>
        <v>#NAME?</v>
      </c>
      <c r="AB773" s="226" t="e">
        <f aca="false">((xSPRDOPT($L773+AB$5,$J773,$I773,$M773,$O773,$N773,$P773,$Q773-$C$3,$R773,3)*$H773)/10000)/100</f>
        <v>#NAME?</v>
      </c>
      <c r="AC773" s="226" t="e">
        <f aca="false">((xSPRDOPT($L773+$AB$5,$J773,$I773,$M773,$O773,$N773,$P773,$Q773-$C$3,$R773,7)*$H773)/100)</f>
        <v>#NAME?</v>
      </c>
      <c r="AD773" s="226" t="e">
        <f aca="false">(xSPRDOPT($L773+$AB$5,$J773,$I773,$M773,$O773,$N773,$P773,$Q773-$C$3,$R773,9)/365)*$H773</f>
        <v>#NAME?</v>
      </c>
      <c r="AE773" s="0" t="e">
        <f aca="false">CD775</f>
        <v>#NAME?</v>
      </c>
      <c r="AF773" s="226" t="e">
        <f aca="false">((O773/N773)*AH773)+AG773</f>
        <v>#NAME?</v>
      </c>
      <c r="AG773" s="226" t="e">
        <f aca="false">((xSPRDOPT($L773,$J773,$I773,$M773,$O773,$N773,$P773,$Q773-$C$3,$R773,6)*$H773)/100)</f>
        <v>#NAME?</v>
      </c>
      <c r="AH773" s="226" t="e">
        <f aca="false">((xSPRDOPT($L773,$J773,$I773,$M773,$O773,$N773,$P773,$Q773-$C$3,$R773,5)*$H773)/100)</f>
        <v>#NAME?</v>
      </c>
      <c r="AI773" s="226" t="e">
        <f aca="false">(((xSPRDOPT($L773,$J773,$I773,$M773,$O773,$N773,$P773,$Q773-$C$3,$R773,4)*$H773)/10000)/100)-AB773</f>
        <v>#NAME?</v>
      </c>
      <c r="AJ773" s="226"/>
      <c r="CC773" s="182" t="n">
        <f aca="false">G771</f>
        <v>36861</v>
      </c>
      <c r="CD773" s="253" t="e">
        <f aca="false">xSPRDOPT((VLOOKUP(G771,NGPrices,2,FALSE())+HLOOKUP(D771,Prices,VLOOKUP(G771,move_down,2,FALSE()),FALSE())),VLOOKUP(G771,NGPrices,2,FALSE()),I771,VLOOKUP(G771,NGPREVPRICES,4,FALSE()),HLOOKUP(D771,PREVVOLS,VLOOKUP(G771,MOVE_DOWN2,2,FALSE()),FALSE()),VLOOKUP(G771,NGPREVPRICES,3,FALSE()),HLOOKUP(D771,Correllate,VLOOKUP(G771,CorMove,2,FALSE()),FALSE()),Q771-$CD$3,R771,$CD$5)*H771-CJ773</f>
        <v>#NAME?</v>
      </c>
      <c r="CE773" s="253" t="e">
        <f aca="false">xSPRDOPT((VLOOKUP(G771,NGPREVPRICES,2,FALSE())+HLOOKUP(D771,PREVCURVES,VLOOKUP(G771,MOVE_DOWN2,2,FALSE()),FALSE())),VLOOKUP(G771,NGPREVPRICES,2,FALSE()),CK773,VLOOKUP(G771,NGPrices,4,FALSE()),HLOOKUP(D771,PREVVOLS,VLOOKUP(G771,MOVE_DOWN2,2,FALSE()),FALSE()),VLOOKUP(G771,NGPREVPRICES,3,FALSE()),HLOOKUP(D771,Correllate,VLOOKUP(G771,CorMove,2,FALSE()),FALSE()),Q771-$CD$3,R771,$CJ$5)*H771-CJ773</f>
        <v>#NAME?</v>
      </c>
      <c r="CF773" s="132" t="e">
        <f aca="false">(CJ773/VLOOKUP(CC773,discount,3,FALSE()))-(CJ773/VLOOKUP(CC773,discount,2,FALSE()))</f>
        <v>#NAME?</v>
      </c>
      <c r="CG773" s="253" t="e">
        <f aca="false">xSPRDOPT((VLOOKUP(G771,NGPREVPRICES,2,FALSE())+HLOOKUP(D771,PREVCURVES,VLOOKUP(G771,MOVE_DOWN2,2,FALSE()),FALSE())),VLOOKUP(G771,NGPREVPRICES,2,FALSE()),CK773,VLOOKUP(G771,NGPREVPRICES,4,FALSE()),HLOOKUP(D771,VOLS,VLOOKUP(G771,move_down,2,FALSE()),FALSE()),VLOOKUP(G771,NGPrices,3,FALSE()),HLOOKUP(D771,Correllate,VLOOKUP(G771,CorMove,2,FALSE()),FALSE()),Q771-$CD$3,R771,$CJ$5)*H771-CJ773</f>
        <v>#NAME?</v>
      </c>
      <c r="CH773" s="253" t="e">
        <f aca="false">xSPRDOPT((VLOOKUP(G771,NGPREVPRICES,2,FALSE())+HLOOKUP(D771,PREVCURVES,VLOOKUP(G771,MOVE_DOWN2,2,FALSE()),FALSE())),VLOOKUP(G771,NGPREVPRICES,2,FALSE()),CK773,VLOOKUP(G771,NGPREVPRICES,4,FALSE()),HLOOKUP(D771,PREVVOLS,VLOOKUP(G771,MOVE_DOWN2,2,FALSE()),FALSE()),VLOOKUP(G771,NGPREVPRICES,3,FALSE()),HLOOKUP(D771,Correllate,VLOOKUP(G771,CorMove,2,FALSE()),FALSE()),Q771-$C$3,R771,$CJ$5)*H771-CJ773</f>
        <v>#NAME?</v>
      </c>
      <c r="CI773" s="253" t="e">
        <f aca="false">SUM(CD773:CH773)</f>
        <v>#NAME?</v>
      </c>
      <c r="CJ773" s="253" t="e">
        <f aca="false">xSPRDOPT((VLOOKUP(G771,NGPREVPRICES,2,FALSE())+HLOOKUP(D771,PREVCURVES,VLOOKUP(G771,MOVE_DOWN2,2,FALSE()),FALSE())),VLOOKUP(G771,NGPREVPRICES,2,FALSE()),CK773,VLOOKUP(G771,NGPREVPRICES,4,FALSE()),HLOOKUP(D771,PREVVOLS,VLOOKUP(G771,MOVE_DOWN2,2,FALSE()),FALSE()),VLOOKUP(G771,NGPREVPRICES,3,FALSE()),HLOOKUP(D771,Correllate,VLOOKUP(G771,CorMove,2,FALSE()),FALSE()),Q771-$CD$3,R771,$CJ$5)*H771</f>
        <v>#NAME?</v>
      </c>
      <c r="CK773" s="254" t="n">
        <f aca="false">I771</f>
        <v>0.15</v>
      </c>
      <c r="CM773" s="0" t="str">
        <f aca="false">CONCATENATE(CC773,$CD$6)</f>
        <v>36861Curve Shift/Gamma</v>
      </c>
      <c r="CN773" s="0" t="str">
        <f aca="false">CONCATENATE($CC773,$CE$6)</f>
        <v>36861Rho</v>
      </c>
      <c r="CO773" s="0" t="str">
        <f aca="false">CONCATENATE($CC773,$CF$6)</f>
        <v>36861Drift</v>
      </c>
      <c r="CP773" s="0" t="str">
        <f aca="false">CONCATENATE($CC773,$CG$6)</f>
        <v>36861Vega</v>
      </c>
      <c r="CQ773" s="0" t="str">
        <f aca="false">CONCATENATE($CC773,$CH$6)</f>
        <v>36861Theta</v>
      </c>
    </row>
    <row r="774" customFormat="false" ht="12.75" hidden="false" customHeight="false" outlineLevel="0" collapsed="false">
      <c r="A774" s="17" t="s">
        <v>275</v>
      </c>
      <c r="B774" s="0" t="s">
        <v>192</v>
      </c>
      <c r="C774" s="0" t="s">
        <v>450</v>
      </c>
      <c r="D774" s="7" t="s">
        <v>152</v>
      </c>
      <c r="E774" s="0" t="s">
        <v>131</v>
      </c>
      <c r="F774" s="0" t="s">
        <v>136</v>
      </c>
      <c r="G774" s="92" t="n">
        <v>36951</v>
      </c>
      <c r="H774" s="248" t="n">
        <v>-310000</v>
      </c>
      <c r="I774" s="254" t="n">
        <v>0.15</v>
      </c>
      <c r="J774" s="124" t="n">
        <f aca="false">VLOOKUP(G774,NGPrices,2,FALSE())</f>
        <v>4.213</v>
      </c>
      <c r="K774" s="125" t="n">
        <f aca="false">HLOOKUP(D774,Prices,VLOOKUP(G774,move_down,2,FALSE()),FALSE())+VLOOKUP(G774,CHANGE,HLOOKUP(D774,CHANGE,2,FALSE()),FALSE())</f>
        <v>0.1225</v>
      </c>
      <c r="L774" s="124" t="n">
        <f aca="false">K774+J774</f>
        <v>4.3355</v>
      </c>
      <c r="M774" s="126" t="n">
        <f aca="false">VLOOKUP(G774,NGPrices,4,FALSE())</f>
        <v>0.068879814952707</v>
      </c>
      <c r="N774" s="7" t="n">
        <f aca="false">VLOOKUP(G774,NGPrices,3,FALSE())</f>
        <v>0.5325</v>
      </c>
      <c r="O774" s="7" t="n">
        <f aca="false">HLOOKUP(D774,VOLS,VLOOKUP(G774,move_down,2,FALSE()),FALSE())</f>
        <v>0.533</v>
      </c>
      <c r="P774" s="249" t="n">
        <f aca="false">HLOOKUP(D774,Correllate,VLOOKUP(G774,CorMove,2,FALSE()),FALSE())</f>
        <v>0.997</v>
      </c>
      <c r="Q774" s="92" t="n">
        <f aca="false">WORKDAY(G774,-2)</f>
        <v>36949</v>
      </c>
      <c r="R774" s="7" t="n">
        <f aca="false">IF(F774="P",0,1)</f>
        <v>1</v>
      </c>
      <c r="S774" s="130" t="e">
        <f aca="false">xSPRDOPT($L774,$J774,$I774,$M774,$O774,$N774,$P774,$Q774-$C$3,$R774,0)</f>
        <v>#NAME?</v>
      </c>
      <c r="T774" s="250" t="e">
        <f aca="false">xSPRDOPT($L774,$J774,$I774,$M774,$O774,$N774,$P774,$Q774-$C$3,$R774,1)*H774</f>
        <v>#NAME?</v>
      </c>
      <c r="U774" s="43" t="e">
        <f aca="false">S774*H774</f>
        <v>#NAME?</v>
      </c>
      <c r="V774" s="250" t="e">
        <f aca="false">xSPRDOPT($L774,$J774,$I774,$M774,$O774,$N774,$P774,$Q774-$C$3,$R774,2)*H774</f>
        <v>#NAME?</v>
      </c>
      <c r="W774" s="250" t="e">
        <f aca="false">+V774+T774</f>
        <v>#NAME?</v>
      </c>
      <c r="X774" s="2" t="str">
        <f aca="false">CONCATENATE(G774,D774)</f>
        <v>36951NGI/CHI. GATE</v>
      </c>
      <c r="Y774" s="251" t="n">
        <f aca="false">H774/10000</f>
        <v>-31</v>
      </c>
      <c r="Z774" s="226" t="e">
        <f aca="false">T774/H774</f>
        <v>#NAME?</v>
      </c>
      <c r="AA774" s="226" t="e">
        <f aca="false">xSPRDOPT($L774,$J774,$I774,$M774,$O774,$N774,$P774,$Q774-$C$3,$R774,3)</f>
        <v>#NAME?</v>
      </c>
      <c r="AB774" s="226" t="e">
        <f aca="false">((xSPRDOPT($L774+AB$5,$J774,$I774,$M774,$O774,$N774,$P774,$Q774-$C$3,$R774,3)*$H774)/10000)/100</f>
        <v>#NAME?</v>
      </c>
      <c r="AC774" s="226" t="e">
        <f aca="false">((xSPRDOPT($L774+$AB$5,$J774,$I774,$M774,$O774,$N774,$P774,$Q774-$C$3,$R774,7)*$H774)/100)</f>
        <v>#NAME?</v>
      </c>
      <c r="AD774" s="226" t="e">
        <f aca="false">(xSPRDOPT($L774+$AB$5,$J774,$I774,$M774,$O774,$N774,$P774,$Q774-$C$3,$R774,9)/365)*$H774</f>
        <v>#NAME?</v>
      </c>
      <c r="AE774" s="0" t="e">
        <f aca="false">CD776</f>
        <v>#NAME?</v>
      </c>
      <c r="AF774" s="226" t="e">
        <f aca="false">((O774/N774)*AH774)+AG774</f>
        <v>#NAME?</v>
      </c>
      <c r="AG774" s="226" t="e">
        <f aca="false">((xSPRDOPT($L774,$J774,$I774,$M774,$O774,$N774,$P774,$Q774-$C$3,$R774,6)*$H774)/100)</f>
        <v>#NAME?</v>
      </c>
      <c r="AH774" s="226" t="e">
        <f aca="false">((xSPRDOPT($L774,$J774,$I774,$M774,$O774,$N774,$P774,$Q774-$C$3,$R774,5)*$H774)/100)</f>
        <v>#NAME?</v>
      </c>
      <c r="AI774" s="226" t="e">
        <f aca="false">(((xSPRDOPT($L774,$J774,$I774,$M774,$O774,$N774,$P774,$Q774-$C$3,$R774,4)*$H774)/10000)/100)-AB774</f>
        <v>#NAME?</v>
      </c>
      <c r="AJ774" s="226"/>
      <c r="CC774" s="182" t="n">
        <f aca="false">G772</f>
        <v>36892</v>
      </c>
      <c r="CD774" s="253" t="e">
        <f aca="false">xSPRDOPT((VLOOKUP(G772,NGPrices,2,FALSE())+HLOOKUP(D772,Prices,VLOOKUP(G772,move_down,2,FALSE()),FALSE())),VLOOKUP(G772,NGPrices,2,FALSE()),I772,VLOOKUP(G772,NGPREVPRICES,4,FALSE()),HLOOKUP(D772,PREVVOLS,VLOOKUP(G772,MOVE_DOWN2,2,FALSE()),FALSE()),VLOOKUP(G772,NGPREVPRICES,3,FALSE()),HLOOKUP(D772,Correllate,VLOOKUP(G772,CorMove,2,FALSE()),FALSE()),Q772-$CD$3,R772,$CD$5)*H772-CJ774</f>
        <v>#NAME?</v>
      </c>
      <c r="CE774" s="253" t="e">
        <f aca="false">xSPRDOPT((VLOOKUP(G772,NGPREVPRICES,2,FALSE())+HLOOKUP(D772,PREVCURVES,VLOOKUP(G772,MOVE_DOWN2,2,FALSE()),FALSE())),VLOOKUP(G772,NGPREVPRICES,2,FALSE()),CK774,VLOOKUP(G772,NGPrices,4,FALSE()),HLOOKUP(D772,PREVVOLS,VLOOKUP(G772,MOVE_DOWN2,2,FALSE()),FALSE()),VLOOKUP(G772,NGPREVPRICES,3,FALSE()),HLOOKUP(D772,Correllate,VLOOKUP(G772,CorMove,2,FALSE()),FALSE()),Q772-$CD$3,R772,$CJ$5)*H772-CJ774</f>
        <v>#NAME?</v>
      </c>
      <c r="CF774" s="132" t="e">
        <f aca="false">(CJ774/VLOOKUP(CC774,discount,3,FALSE()))-(CJ774/VLOOKUP(CC774,discount,2,FALSE()))</f>
        <v>#NAME?</v>
      </c>
      <c r="CG774" s="253" t="e">
        <f aca="false">xSPRDOPT((VLOOKUP(G772,NGPREVPRICES,2,FALSE())+HLOOKUP(D772,PREVCURVES,VLOOKUP(G772,MOVE_DOWN2,2,FALSE()),FALSE())),VLOOKUP(G772,NGPREVPRICES,2,FALSE()),CK774,VLOOKUP(G772,NGPREVPRICES,4,FALSE()),HLOOKUP(D772,VOLS,VLOOKUP(G772,move_down,2,FALSE()),FALSE()),VLOOKUP(G772,NGPrices,3,FALSE()),HLOOKUP(D772,Correllate,VLOOKUP(G772,CorMove,2,FALSE()),FALSE()),Q772-$CD$3,R772,$CJ$5)*H772-CJ774</f>
        <v>#NAME?</v>
      </c>
      <c r="CH774" s="253" t="e">
        <f aca="false">xSPRDOPT((VLOOKUP(G772,NGPREVPRICES,2,FALSE())+HLOOKUP(D772,PREVCURVES,VLOOKUP(G772,MOVE_DOWN2,2,FALSE()),FALSE())),VLOOKUP(G772,NGPREVPRICES,2,FALSE()),CK774,VLOOKUP(G772,NGPREVPRICES,4,FALSE()),HLOOKUP(D772,PREVVOLS,VLOOKUP(G772,MOVE_DOWN2,2,FALSE()),FALSE()),VLOOKUP(G772,NGPREVPRICES,3,FALSE()),HLOOKUP(D772,Correllate,VLOOKUP(G772,CorMove,2,FALSE()),FALSE()),Q772-$C$3,R772,$CJ$5)*H772-CJ774</f>
        <v>#NAME?</v>
      </c>
      <c r="CI774" s="253" t="e">
        <f aca="false">SUM(CD774:CH774)</f>
        <v>#NAME?</v>
      </c>
      <c r="CJ774" s="253" t="e">
        <f aca="false">xSPRDOPT((VLOOKUP(G772,NGPREVPRICES,2,FALSE())+HLOOKUP(D772,PREVCURVES,VLOOKUP(G772,MOVE_DOWN2,2,FALSE()),FALSE())),VLOOKUP(G772,NGPREVPRICES,2,FALSE()),CK774,VLOOKUP(G772,NGPREVPRICES,4,FALSE()),HLOOKUP(D772,PREVVOLS,VLOOKUP(G772,MOVE_DOWN2,2,FALSE()),FALSE()),VLOOKUP(G772,NGPREVPRICES,3,FALSE()),HLOOKUP(D772,Correllate,VLOOKUP(G772,CorMove,2,FALSE()),FALSE()),Q772-$CD$3,R772,$CJ$5)*H772</f>
        <v>#NAME?</v>
      </c>
      <c r="CK774" s="254" t="n">
        <f aca="false">I772</f>
        <v>0.15</v>
      </c>
      <c r="CM774" s="0" t="str">
        <f aca="false">CONCATENATE(CC774,$CD$6)</f>
        <v>36892Curve Shift/Gamma</v>
      </c>
      <c r="CN774" s="0" t="str">
        <f aca="false">CONCATENATE($CC774,$CE$6)</f>
        <v>36892Rho</v>
      </c>
      <c r="CO774" s="0" t="str">
        <f aca="false">CONCATENATE($CC774,$CF$6)</f>
        <v>36892Drift</v>
      </c>
      <c r="CP774" s="0" t="str">
        <f aca="false">CONCATENATE($CC774,$CG$6)</f>
        <v>36892Vega</v>
      </c>
      <c r="CQ774" s="0" t="str">
        <f aca="false">CONCATENATE($CC774,$CH$6)</f>
        <v>36892Theta</v>
      </c>
    </row>
    <row r="775" customFormat="false" ht="12.75" hidden="false" customHeight="false" outlineLevel="0" collapsed="false">
      <c r="A775" s="17" t="s">
        <v>255</v>
      </c>
      <c r="B775" s="0" t="s">
        <v>192</v>
      </c>
      <c r="C775" s="0" t="s">
        <v>451</v>
      </c>
      <c r="D775" s="7" t="s">
        <v>152</v>
      </c>
      <c r="E775" s="0" t="s">
        <v>131</v>
      </c>
      <c r="F775" s="0" t="s">
        <v>136</v>
      </c>
      <c r="G775" s="92" t="n">
        <v>36831</v>
      </c>
      <c r="H775" s="248" t="n">
        <v>-300000</v>
      </c>
      <c r="I775" s="254" t="n">
        <v>0.15</v>
      </c>
      <c r="J775" s="124" t="n">
        <f aca="false">VLOOKUP(G775,NGPrices,2,FALSE())</f>
        <v>4.736</v>
      </c>
      <c r="K775" s="125" t="n">
        <f aca="false">HLOOKUP(D775,Prices,VLOOKUP(G775,move_down,2,FALSE()),FALSE())+VLOOKUP(G775,CHANGE,HLOOKUP(D775,CHANGE,2,FALSE()),FALSE())</f>
        <v>0.0875</v>
      </c>
      <c r="L775" s="124" t="n">
        <f aca="false">K775+J775</f>
        <v>4.8235</v>
      </c>
      <c r="M775" s="126" t="n">
        <f aca="false">VLOOKUP(G775,NGPrices,4,FALSE())</f>
        <v>0.06810675983792</v>
      </c>
      <c r="N775" s="7" t="n">
        <f aca="false">VLOOKUP(G775,NGPrices,3,FALSE())</f>
        <v>0.595</v>
      </c>
      <c r="O775" s="7" t="n">
        <f aca="false">HLOOKUP(D775,VOLS,VLOOKUP(G775,move_down,2,FALSE()),FALSE())</f>
        <v>0.595</v>
      </c>
      <c r="P775" s="249" t="n">
        <f aca="false">HLOOKUP(D775,Correllate,VLOOKUP(G775,CorMove,2,FALSE()),FALSE())</f>
        <v>0.997</v>
      </c>
      <c r="Q775" s="92" t="n">
        <f aca="false">WORKDAY(G775,-2)</f>
        <v>36829</v>
      </c>
      <c r="R775" s="7" t="n">
        <f aca="false">IF(F775="P",0,1)</f>
        <v>1</v>
      </c>
      <c r="S775" s="130" t="e">
        <f aca="false">xSPRDOPT($L775,$J775,$I775,$M775,$O775,$N775,$P775,$Q775-$C$3,$R775,0)</f>
        <v>#NAME?</v>
      </c>
      <c r="T775" s="250" t="e">
        <f aca="false">xSPRDOPT($L775,$J775,$I775,$M775,$O775,$N775,$P775,$Q775-$C$3,$R775,1)*H775</f>
        <v>#NAME?</v>
      </c>
      <c r="U775" s="43" t="e">
        <f aca="false">S775*H775</f>
        <v>#NAME?</v>
      </c>
      <c r="V775" s="250" t="e">
        <f aca="false">xSPRDOPT($L775,$J775,$I775,$M775,$O775,$N775,$P775,$Q775-$C$3,$R775,2)*H775</f>
        <v>#NAME?</v>
      </c>
      <c r="W775" s="250" t="e">
        <f aca="false">+V775+T775</f>
        <v>#NAME?</v>
      </c>
      <c r="X775" s="2" t="str">
        <f aca="false">CONCATENATE(G775,D775)</f>
        <v>36831NGI/CHI. GATE</v>
      </c>
      <c r="Y775" s="251" t="n">
        <f aca="false">H775/10000</f>
        <v>-30</v>
      </c>
      <c r="Z775" s="226" t="e">
        <f aca="false">T775/H775</f>
        <v>#NAME?</v>
      </c>
      <c r="AA775" s="226" t="e">
        <f aca="false">xSPRDOPT($L775,$J775,$I775,$M775,$O775,$N775,$P775,$Q775-$C$3,$R775,3)</f>
        <v>#NAME?</v>
      </c>
      <c r="AB775" s="226" t="e">
        <f aca="false">((xSPRDOPT($L775+AB$5,$J775,$I775,$M775,$O775,$N775,$P775,$Q775-$C$3,$R775,3)*$H775)/10000)/100</f>
        <v>#NAME?</v>
      </c>
      <c r="AC775" s="226" t="e">
        <f aca="false">((xSPRDOPT($L775+$AB$5,$J775,$I775,$M775,$O775,$N775,$P775,$Q775-$C$3,$R775,7)*$H775)/100)</f>
        <v>#NAME?</v>
      </c>
      <c r="AD775" s="226" t="e">
        <f aca="false">(xSPRDOPT($L775+$AB$5,$J775,$I775,$M775,$O775,$N775,$P775,$Q775-$C$3,$R775,9)/365)*$H775</f>
        <v>#NAME?</v>
      </c>
      <c r="AE775" s="0" t="e">
        <f aca="false">CD777</f>
        <v>#NAME?</v>
      </c>
      <c r="AF775" s="226" t="e">
        <f aca="false">((O775/N775)*AH775)+AG775</f>
        <v>#NAME?</v>
      </c>
      <c r="AG775" s="226" t="e">
        <f aca="false">((xSPRDOPT($L775,$J775,$I775,$M775,$O775,$N775,$P775,$Q775-$C$3,$R775,6)*$H775)/100)</f>
        <v>#NAME?</v>
      </c>
      <c r="AH775" s="226" t="e">
        <f aca="false">((xSPRDOPT($L775,$J775,$I775,$M775,$O775,$N775,$P775,$Q775-$C$3,$R775,5)*$H775)/100)</f>
        <v>#NAME?</v>
      </c>
      <c r="AI775" s="226" t="e">
        <f aca="false">(((xSPRDOPT($L775,$J775,$I775,$M775,$O775,$N775,$P775,$Q775-$C$3,$R775,4)*$H775)/10000)/100)-AB775</f>
        <v>#NAME?</v>
      </c>
      <c r="AJ775" s="226"/>
      <c r="CC775" s="182" t="n">
        <f aca="false">G773</f>
        <v>36923</v>
      </c>
      <c r="CD775" s="253" t="e">
        <f aca="false">xSPRDOPT((VLOOKUP(G773,NGPrices,2,FALSE())+HLOOKUP(D773,Prices,VLOOKUP(G773,move_down,2,FALSE()),FALSE())),VLOOKUP(G773,NGPrices,2,FALSE()),I773,VLOOKUP(G773,NGPREVPRICES,4,FALSE()),HLOOKUP(D773,PREVVOLS,VLOOKUP(G773,MOVE_DOWN2,2,FALSE()),FALSE()),VLOOKUP(G773,NGPREVPRICES,3,FALSE()),HLOOKUP(D773,Correllate,VLOOKUP(G773,CorMove,2,FALSE()),FALSE()),Q773-$CD$3,R773,$CD$5)*H773-CJ775</f>
        <v>#NAME?</v>
      </c>
      <c r="CE775" s="253" t="e">
        <f aca="false">xSPRDOPT((VLOOKUP(G773,NGPREVPRICES,2,FALSE())+HLOOKUP(D773,PREVCURVES,VLOOKUP(G773,MOVE_DOWN2,2,FALSE()),FALSE())),VLOOKUP(G773,NGPREVPRICES,2,FALSE()),CK775,VLOOKUP(G773,NGPrices,4,FALSE()),HLOOKUP(D773,PREVVOLS,VLOOKUP(G773,MOVE_DOWN2,2,FALSE()),FALSE()),VLOOKUP(G773,NGPREVPRICES,3,FALSE()),HLOOKUP(D773,Correllate,VLOOKUP(G773,CorMove,2,FALSE()),FALSE()),Q773-$CD$3,R773,$CJ$5)*H773-CJ775</f>
        <v>#NAME?</v>
      </c>
      <c r="CF775" s="132" t="e">
        <f aca="false">(CJ775/VLOOKUP(CC775,discount,3,FALSE()))-(CJ775/VLOOKUP(CC775,discount,2,FALSE()))</f>
        <v>#NAME?</v>
      </c>
      <c r="CG775" s="253" t="e">
        <f aca="false">xSPRDOPT((VLOOKUP(G773,NGPREVPRICES,2,FALSE())+HLOOKUP(D773,PREVCURVES,VLOOKUP(G773,MOVE_DOWN2,2,FALSE()),FALSE())),VLOOKUP(G773,NGPREVPRICES,2,FALSE()),CK775,VLOOKUP(G773,NGPREVPRICES,4,FALSE()),HLOOKUP(D773,VOLS,VLOOKUP(G773,move_down,2,FALSE()),FALSE()),VLOOKUP(G773,NGPrices,3,FALSE()),HLOOKUP(D773,Correllate,VLOOKUP(G773,CorMove,2,FALSE()),FALSE()),Q773-$CD$3,R773,$CJ$5)*H773-CJ775</f>
        <v>#NAME?</v>
      </c>
      <c r="CH775" s="253" t="e">
        <f aca="false">xSPRDOPT((VLOOKUP(G773,NGPREVPRICES,2,FALSE())+HLOOKUP(D773,PREVCURVES,VLOOKUP(G773,MOVE_DOWN2,2,FALSE()),FALSE())),VLOOKUP(G773,NGPREVPRICES,2,FALSE()),CK775,VLOOKUP(G773,NGPREVPRICES,4,FALSE()),HLOOKUP(D773,PREVVOLS,VLOOKUP(G773,MOVE_DOWN2,2,FALSE()),FALSE()),VLOOKUP(G773,NGPREVPRICES,3,FALSE()),HLOOKUP(D773,Correllate,VLOOKUP(G773,CorMove,2,FALSE()),FALSE()),Q773-$C$3,R773,$CJ$5)*H773-CJ775</f>
        <v>#NAME?</v>
      </c>
      <c r="CI775" s="253" t="e">
        <f aca="false">SUM(CD775:CH775)</f>
        <v>#NAME?</v>
      </c>
      <c r="CJ775" s="253" t="e">
        <f aca="false">xSPRDOPT((VLOOKUP(G773,NGPREVPRICES,2,FALSE())+HLOOKUP(D773,PREVCURVES,VLOOKUP(G773,MOVE_DOWN2,2,FALSE()),FALSE())),VLOOKUP(G773,NGPREVPRICES,2,FALSE()),CK775,VLOOKUP(G773,NGPREVPRICES,4,FALSE()),HLOOKUP(D773,PREVVOLS,VLOOKUP(G773,MOVE_DOWN2,2,FALSE()),FALSE()),VLOOKUP(G773,NGPREVPRICES,3,FALSE()),HLOOKUP(D773,Correllate,VLOOKUP(G773,CorMove,2,FALSE()),FALSE()),Q773-$CD$3,R773,$CJ$5)*H773</f>
        <v>#NAME?</v>
      </c>
      <c r="CK775" s="254" t="n">
        <f aca="false">I773</f>
        <v>0.15</v>
      </c>
      <c r="CM775" s="0" t="str">
        <f aca="false">CONCATENATE(CC775,$CD$6)</f>
        <v>36923Curve Shift/Gamma</v>
      </c>
      <c r="CN775" s="0" t="str">
        <f aca="false">CONCATENATE($CC775,$CE$6)</f>
        <v>36923Rho</v>
      </c>
      <c r="CO775" s="0" t="str">
        <f aca="false">CONCATENATE($CC775,$CF$6)</f>
        <v>36923Drift</v>
      </c>
      <c r="CP775" s="0" t="str">
        <f aca="false">CONCATENATE($CC775,$CG$6)</f>
        <v>36923Vega</v>
      </c>
      <c r="CQ775" s="0" t="str">
        <f aca="false">CONCATENATE($CC775,$CH$6)</f>
        <v>36923Theta</v>
      </c>
    </row>
    <row r="776" customFormat="false" ht="12.75" hidden="false" customHeight="false" outlineLevel="0" collapsed="false">
      <c r="A776" s="17" t="s">
        <v>255</v>
      </c>
      <c r="B776" s="0" t="s">
        <v>192</v>
      </c>
      <c r="C776" s="0" t="s">
        <v>451</v>
      </c>
      <c r="D776" s="7" t="s">
        <v>152</v>
      </c>
      <c r="E776" s="0" t="s">
        <v>131</v>
      </c>
      <c r="F776" s="0" t="s">
        <v>136</v>
      </c>
      <c r="G776" s="92" t="n">
        <v>36861</v>
      </c>
      <c r="H776" s="248" t="n">
        <v>-310000</v>
      </c>
      <c r="I776" s="254" t="n">
        <v>0.15</v>
      </c>
      <c r="J776" s="124" t="n">
        <f aca="false">VLOOKUP(G776,NGPrices,2,FALSE())</f>
        <v>4.8</v>
      </c>
      <c r="K776" s="125" t="n">
        <f aca="false">HLOOKUP(D776,Prices,VLOOKUP(G776,move_down,2,FALSE()),FALSE())+VLOOKUP(G776,CHANGE,HLOOKUP(D776,CHANGE,2,FALSE()),FALSE())</f>
        <v>0.1</v>
      </c>
      <c r="L776" s="124" t="n">
        <f aca="false">K776+J776</f>
        <v>4.9</v>
      </c>
      <c r="M776" s="126" t="n">
        <f aca="false">VLOOKUP(G776,NGPrices,4,FALSE())</f>
        <v>0.068314027999354</v>
      </c>
      <c r="N776" s="7" t="n">
        <f aca="false">VLOOKUP(G776,NGPrices,3,FALSE())</f>
        <v>0.6</v>
      </c>
      <c r="O776" s="7" t="n">
        <f aca="false">HLOOKUP(D776,VOLS,VLOOKUP(G776,move_down,2,FALSE()),FALSE())</f>
        <v>0.6</v>
      </c>
      <c r="P776" s="249" t="n">
        <f aca="false">HLOOKUP(D776,Correllate,VLOOKUP(G776,CorMove,2,FALSE()),FALSE())</f>
        <v>0.997</v>
      </c>
      <c r="Q776" s="92" t="n">
        <f aca="false">WORKDAY(G776,-2)</f>
        <v>36859</v>
      </c>
      <c r="R776" s="7" t="n">
        <f aca="false">IF(F776="P",0,1)</f>
        <v>1</v>
      </c>
      <c r="S776" s="130" t="e">
        <f aca="false">xSPRDOPT($L776,$J776,$I776,$M776,$O776,$N776,$P776,$Q776-$C$3,$R776,0)</f>
        <v>#NAME?</v>
      </c>
      <c r="T776" s="250" t="e">
        <f aca="false">xSPRDOPT($L776,$J776,$I776,$M776,$O776,$N776,$P776,$Q776-$C$3,$R776,1)*H776</f>
        <v>#NAME?</v>
      </c>
      <c r="U776" s="43" t="e">
        <f aca="false">S776*H776</f>
        <v>#NAME?</v>
      </c>
      <c r="V776" s="250" t="e">
        <f aca="false">xSPRDOPT($L776,$J776,$I776,$M776,$O776,$N776,$P776,$Q776-$C$3,$R776,2)*H776</f>
        <v>#NAME?</v>
      </c>
      <c r="W776" s="250" t="e">
        <f aca="false">+V776+T776</f>
        <v>#NAME?</v>
      </c>
      <c r="X776" s="2" t="str">
        <f aca="false">CONCATENATE(G776,D776)</f>
        <v>36861NGI/CHI. GATE</v>
      </c>
      <c r="Y776" s="251" t="n">
        <f aca="false">H776/10000</f>
        <v>-31</v>
      </c>
      <c r="Z776" s="226" t="e">
        <f aca="false">T776/H776</f>
        <v>#NAME?</v>
      </c>
      <c r="AA776" s="226" t="e">
        <f aca="false">xSPRDOPT($L776,$J776,$I776,$M776,$O776,$N776,$P776,$Q776-$C$3,$R776,3)</f>
        <v>#NAME?</v>
      </c>
      <c r="AB776" s="226" t="e">
        <f aca="false">((xSPRDOPT($L776+AB$5,$J776,$I776,$M776,$O776,$N776,$P776,$Q776-$C$3,$R776,3)*$H776)/10000)/100</f>
        <v>#NAME?</v>
      </c>
      <c r="AC776" s="226" t="e">
        <f aca="false">((xSPRDOPT($L776+$AB$5,$J776,$I776,$M776,$O776,$N776,$P776,$Q776-$C$3,$R776,7)*$H776)/100)</f>
        <v>#NAME?</v>
      </c>
      <c r="AD776" s="226" t="e">
        <f aca="false">(xSPRDOPT($L776+$AB$5,$J776,$I776,$M776,$O776,$N776,$P776,$Q776-$C$3,$R776,9)/365)*$H776</f>
        <v>#NAME?</v>
      </c>
      <c r="AE776" s="0" t="e">
        <f aca="false">CD778</f>
        <v>#NAME?</v>
      </c>
      <c r="AF776" s="226" t="e">
        <f aca="false">((O776/N776)*AH776)+AG776</f>
        <v>#NAME?</v>
      </c>
      <c r="AG776" s="226" t="e">
        <f aca="false">((xSPRDOPT($L776,$J776,$I776,$M776,$O776,$N776,$P776,$Q776-$C$3,$R776,6)*$H776)/100)</f>
        <v>#NAME?</v>
      </c>
      <c r="AH776" s="226" t="e">
        <f aca="false">((xSPRDOPT($L776,$J776,$I776,$M776,$O776,$N776,$P776,$Q776-$C$3,$R776,5)*$H776)/100)</f>
        <v>#NAME?</v>
      </c>
      <c r="AI776" s="226" t="e">
        <f aca="false">(((xSPRDOPT($L776,$J776,$I776,$M776,$O776,$N776,$P776,$Q776-$C$3,$R776,4)*$H776)/10000)/100)-AB776</f>
        <v>#NAME?</v>
      </c>
      <c r="AJ776" s="226"/>
      <c r="CC776" s="182" t="n">
        <f aca="false">G774</f>
        <v>36951</v>
      </c>
      <c r="CD776" s="253" t="e">
        <f aca="false">xSPRDOPT((VLOOKUP(G774,NGPrices,2,FALSE())+HLOOKUP(D774,Prices,VLOOKUP(G774,move_down,2,FALSE()),FALSE())),VLOOKUP(G774,NGPrices,2,FALSE()),I774,VLOOKUP(G774,NGPREVPRICES,4,FALSE()),HLOOKUP(D774,PREVVOLS,VLOOKUP(G774,MOVE_DOWN2,2,FALSE()),FALSE()),VLOOKUP(G774,NGPREVPRICES,3,FALSE()),HLOOKUP(D774,Correllate,VLOOKUP(G774,CorMove,2,FALSE()),FALSE()),Q774-$CD$3,R774,$CD$5)*H774-CJ776</f>
        <v>#NAME?</v>
      </c>
      <c r="CE776" s="253" t="e">
        <f aca="false">xSPRDOPT((VLOOKUP(G774,NGPREVPRICES,2,FALSE())+HLOOKUP(D774,PREVCURVES,VLOOKUP(G774,MOVE_DOWN2,2,FALSE()),FALSE())),VLOOKUP(G774,NGPREVPRICES,2,FALSE()),CK776,VLOOKUP(G774,NGPrices,4,FALSE()),HLOOKUP(D774,PREVVOLS,VLOOKUP(G774,MOVE_DOWN2,2,FALSE()),FALSE()),VLOOKUP(G774,NGPREVPRICES,3,FALSE()),HLOOKUP(D774,Correllate,VLOOKUP(G774,CorMove,2,FALSE()),FALSE()),Q774-$CD$3,R774,$CJ$5)*H774-CJ776</f>
        <v>#NAME?</v>
      </c>
      <c r="CF776" s="132" t="e">
        <f aca="false">(CJ776/VLOOKUP(CC776,discount,3,FALSE()))-(CJ776/VLOOKUP(CC776,discount,2,FALSE()))</f>
        <v>#NAME?</v>
      </c>
      <c r="CG776" s="253" t="e">
        <f aca="false">xSPRDOPT((VLOOKUP(G774,NGPREVPRICES,2,FALSE())+HLOOKUP(D774,PREVCURVES,VLOOKUP(G774,MOVE_DOWN2,2,FALSE()),FALSE())),VLOOKUP(G774,NGPREVPRICES,2,FALSE()),CK776,VLOOKUP(G774,NGPREVPRICES,4,FALSE()),HLOOKUP(D774,VOLS,VLOOKUP(G774,move_down,2,FALSE()),FALSE()),VLOOKUP(G774,NGPrices,3,FALSE()),HLOOKUP(D774,Correllate,VLOOKUP(G774,CorMove,2,FALSE()),FALSE()),Q774-$CD$3,R774,$CJ$5)*H774-CJ776</f>
        <v>#NAME?</v>
      </c>
      <c r="CH776" s="253" t="e">
        <f aca="false">xSPRDOPT((VLOOKUP(G774,NGPREVPRICES,2,FALSE())+HLOOKUP(D774,PREVCURVES,VLOOKUP(G774,MOVE_DOWN2,2,FALSE()),FALSE())),VLOOKUP(G774,NGPREVPRICES,2,FALSE()),CK776,VLOOKUP(G774,NGPREVPRICES,4,FALSE()),HLOOKUP(D774,PREVVOLS,VLOOKUP(G774,MOVE_DOWN2,2,FALSE()),FALSE()),VLOOKUP(G774,NGPREVPRICES,3,FALSE()),HLOOKUP(D774,Correllate,VLOOKUP(G774,CorMove,2,FALSE()),FALSE()),Q774-$C$3,R774,$CJ$5)*H774-CJ776</f>
        <v>#NAME?</v>
      </c>
      <c r="CI776" s="253" t="e">
        <f aca="false">SUM(CD776:CH776)</f>
        <v>#NAME?</v>
      </c>
      <c r="CJ776" s="253" t="e">
        <f aca="false">xSPRDOPT((VLOOKUP(G774,NGPREVPRICES,2,FALSE())+HLOOKUP(D774,PREVCURVES,VLOOKUP(G774,MOVE_DOWN2,2,FALSE()),FALSE())),VLOOKUP(G774,NGPREVPRICES,2,FALSE()),CK776,VLOOKUP(G774,NGPREVPRICES,4,FALSE()),HLOOKUP(D774,PREVVOLS,VLOOKUP(G774,MOVE_DOWN2,2,FALSE()),FALSE()),VLOOKUP(G774,NGPREVPRICES,3,FALSE()),HLOOKUP(D774,Correllate,VLOOKUP(G774,CorMove,2,FALSE()),FALSE()),Q774-$CD$3,R774,$CJ$5)*H774</f>
        <v>#NAME?</v>
      </c>
      <c r="CK776" s="254" t="n">
        <f aca="false">I774</f>
        <v>0.15</v>
      </c>
      <c r="CM776" s="0" t="str">
        <f aca="false">CONCATENATE(CC776,$CD$6)</f>
        <v>36951Curve Shift/Gamma</v>
      </c>
      <c r="CN776" s="0" t="str">
        <f aca="false">CONCATENATE($CC776,$CE$6)</f>
        <v>36951Rho</v>
      </c>
      <c r="CO776" s="0" t="str">
        <f aca="false">CONCATENATE($CC776,$CF$6)</f>
        <v>36951Drift</v>
      </c>
      <c r="CP776" s="0" t="str">
        <f aca="false">CONCATENATE($CC776,$CG$6)</f>
        <v>36951Vega</v>
      </c>
      <c r="CQ776" s="0" t="str">
        <f aca="false">CONCATENATE($CC776,$CH$6)</f>
        <v>36951Theta</v>
      </c>
    </row>
    <row r="777" customFormat="false" ht="12.75" hidden="false" customHeight="false" outlineLevel="0" collapsed="false">
      <c r="A777" s="17" t="s">
        <v>255</v>
      </c>
      <c r="B777" s="0" t="s">
        <v>192</v>
      </c>
      <c r="C777" s="0" t="s">
        <v>451</v>
      </c>
      <c r="D777" s="7" t="s">
        <v>152</v>
      </c>
      <c r="E777" s="0" t="s">
        <v>131</v>
      </c>
      <c r="F777" s="0" t="s">
        <v>136</v>
      </c>
      <c r="G777" s="92" t="n">
        <v>36892</v>
      </c>
      <c r="H777" s="248" t="n">
        <v>-310000</v>
      </c>
      <c r="I777" s="254" t="n">
        <v>0.15</v>
      </c>
      <c r="J777" s="124" t="n">
        <f aca="false">VLOOKUP(G777,NGPrices,2,FALSE())</f>
        <v>4.744</v>
      </c>
      <c r="K777" s="125" t="n">
        <f aca="false">HLOOKUP(D777,Prices,VLOOKUP(G777,move_down,2,FALSE()),FALSE())+VLOOKUP(G777,CHANGE,HLOOKUP(D777,CHANGE,2,FALSE()),FALSE())</f>
        <v>0.1275</v>
      </c>
      <c r="L777" s="124" t="n">
        <f aca="false">K777+J777</f>
        <v>4.8715</v>
      </c>
      <c r="M777" s="126" t="n">
        <f aca="false">VLOOKUP(G777,NGPrices,4,FALSE())</f>
        <v>0.068374831148491</v>
      </c>
      <c r="N777" s="7" t="n">
        <f aca="false">VLOOKUP(G777,NGPrices,3,FALSE())</f>
        <v>0.605</v>
      </c>
      <c r="O777" s="7" t="n">
        <f aca="false">HLOOKUP(D777,VOLS,VLOOKUP(G777,move_down,2,FALSE()),FALSE())</f>
        <v>0.605</v>
      </c>
      <c r="P777" s="249" t="n">
        <f aca="false">HLOOKUP(D777,Correllate,VLOOKUP(G777,CorMove,2,FALSE()),FALSE())</f>
        <v>0.997</v>
      </c>
      <c r="Q777" s="92" t="n">
        <f aca="false">WORKDAY(G777,-2)</f>
        <v>36888</v>
      </c>
      <c r="R777" s="7" t="n">
        <f aca="false">IF(F777="P",0,1)</f>
        <v>1</v>
      </c>
      <c r="S777" s="130" t="e">
        <f aca="false">xSPRDOPT($L777,$J777,$I777,$M777,$O777,$N777,$P777,$Q777-$C$3,$R777,0)</f>
        <v>#NAME?</v>
      </c>
      <c r="T777" s="250" t="e">
        <f aca="false">xSPRDOPT($L777,$J777,$I777,$M777,$O777,$N777,$P777,$Q777-$C$3,$R777,1)*H777</f>
        <v>#NAME?</v>
      </c>
      <c r="U777" s="43" t="e">
        <f aca="false">S777*H777</f>
        <v>#NAME?</v>
      </c>
      <c r="V777" s="250" t="e">
        <f aca="false">xSPRDOPT($L777,$J777,$I777,$M777,$O777,$N777,$P777,$Q777-$C$3,$R777,2)*H777</f>
        <v>#NAME?</v>
      </c>
      <c r="W777" s="250" t="e">
        <f aca="false">+V777+T777</f>
        <v>#NAME?</v>
      </c>
      <c r="X777" s="2" t="str">
        <f aca="false">CONCATENATE(G777,D777)</f>
        <v>36892NGI/CHI. GATE</v>
      </c>
      <c r="Y777" s="251" t="n">
        <f aca="false">H777/10000</f>
        <v>-31</v>
      </c>
      <c r="Z777" s="226" t="e">
        <f aca="false">T777/H777</f>
        <v>#NAME?</v>
      </c>
      <c r="AA777" s="226" t="e">
        <f aca="false">xSPRDOPT($L777,$J777,$I777,$M777,$O777,$N777,$P777,$Q777-$C$3,$R777,3)</f>
        <v>#NAME?</v>
      </c>
      <c r="AB777" s="226" t="e">
        <f aca="false">((xSPRDOPT($L777+AB$5,$J777,$I777,$M777,$O777,$N777,$P777,$Q777-$C$3,$R777,3)*$H777)/10000)/100</f>
        <v>#NAME?</v>
      </c>
      <c r="AC777" s="226" t="e">
        <f aca="false">((xSPRDOPT($L777+$AB$5,$J777,$I777,$M777,$O777,$N777,$P777,$Q777-$C$3,$R777,7)*$H777)/100)</f>
        <v>#NAME?</v>
      </c>
      <c r="AD777" s="226" t="e">
        <f aca="false">(xSPRDOPT($L777+$AB$5,$J777,$I777,$M777,$O777,$N777,$P777,$Q777-$C$3,$R777,9)/365)*$H777</f>
        <v>#NAME?</v>
      </c>
      <c r="AE777" s="0" t="e">
        <f aca="false">CD779</f>
        <v>#NAME?</v>
      </c>
      <c r="AF777" s="226" t="e">
        <f aca="false">((O777/N777)*AH777)+AG777</f>
        <v>#NAME?</v>
      </c>
      <c r="AG777" s="226" t="e">
        <f aca="false">((xSPRDOPT($L777,$J777,$I777,$M777,$O777,$N777,$P777,$Q777-$C$3,$R777,6)*$H777)/100)</f>
        <v>#NAME?</v>
      </c>
      <c r="AH777" s="226" t="e">
        <f aca="false">((xSPRDOPT($L777,$J777,$I777,$M777,$O777,$N777,$P777,$Q777-$C$3,$R777,5)*$H777)/100)</f>
        <v>#NAME?</v>
      </c>
      <c r="AI777" s="226" t="e">
        <f aca="false">(((xSPRDOPT($L777,$J777,$I777,$M777,$O777,$N777,$P777,$Q777-$C$3,$R777,4)*$H777)/10000)/100)-AB777</f>
        <v>#NAME?</v>
      </c>
      <c r="AJ777" s="226"/>
      <c r="CC777" s="182" t="n">
        <f aca="false">G775</f>
        <v>36831</v>
      </c>
      <c r="CD777" s="253" t="e">
        <f aca="false">xSPRDOPT((VLOOKUP(G775,NGPrices,2,FALSE())+HLOOKUP(D775,Prices,VLOOKUP(G775,move_down,2,FALSE()),FALSE())),VLOOKUP(G775,NGPrices,2,FALSE()),I775,VLOOKUP(G775,NGPREVPRICES,4,FALSE()),HLOOKUP(D775,PREVVOLS,VLOOKUP(G775,MOVE_DOWN2,2,FALSE()),FALSE()),VLOOKUP(G775,NGPREVPRICES,3,FALSE()),HLOOKUP(D775,Correllate,VLOOKUP(G775,CorMove,2,FALSE()),FALSE()),Q775-$CD$3,R775,$CD$5)*H775-CJ777</f>
        <v>#NAME?</v>
      </c>
      <c r="CE777" s="253" t="e">
        <f aca="false">xSPRDOPT((VLOOKUP(G775,NGPREVPRICES,2,FALSE())+HLOOKUP(D775,PREVCURVES,VLOOKUP(G775,MOVE_DOWN2,2,FALSE()),FALSE())),VLOOKUP(G775,NGPREVPRICES,2,FALSE()),CK777,VLOOKUP(G775,NGPrices,4,FALSE()),HLOOKUP(D775,PREVVOLS,VLOOKUP(G775,MOVE_DOWN2,2,FALSE()),FALSE()),VLOOKUP(G775,NGPREVPRICES,3,FALSE()),HLOOKUP(D775,Correllate,VLOOKUP(G775,CorMove,2,FALSE()),FALSE()),Q775-$CD$3,R775,$CJ$5)*H775-CJ777</f>
        <v>#NAME?</v>
      </c>
      <c r="CF777" s="132" t="e">
        <f aca="false">(CJ777/VLOOKUP(CC777,discount,3,FALSE()))-(CJ777/VLOOKUP(CC777,discount,2,FALSE()))</f>
        <v>#NAME?</v>
      </c>
      <c r="CG777" s="253" t="e">
        <f aca="false">xSPRDOPT((VLOOKUP(G775,NGPREVPRICES,2,FALSE())+HLOOKUP(D775,PREVCURVES,VLOOKUP(G775,MOVE_DOWN2,2,FALSE()),FALSE())),VLOOKUP(G775,NGPREVPRICES,2,FALSE()),CK777,VLOOKUP(G775,NGPREVPRICES,4,FALSE()),HLOOKUP(D775,VOLS,VLOOKUP(G775,move_down,2,FALSE()),FALSE()),VLOOKUP(G775,NGPrices,3,FALSE()),HLOOKUP(D775,Correllate,VLOOKUP(G775,CorMove,2,FALSE()),FALSE()),Q775-$CD$3,R775,$CJ$5)*H775-CJ777</f>
        <v>#NAME?</v>
      </c>
      <c r="CH777" s="253" t="e">
        <f aca="false">xSPRDOPT((VLOOKUP(G775,NGPREVPRICES,2,FALSE())+HLOOKUP(D775,PREVCURVES,VLOOKUP(G775,MOVE_DOWN2,2,FALSE()),FALSE())),VLOOKUP(G775,NGPREVPRICES,2,FALSE()),CK777,VLOOKUP(G775,NGPREVPRICES,4,FALSE()),HLOOKUP(D775,PREVVOLS,VLOOKUP(G775,MOVE_DOWN2,2,FALSE()),FALSE()),VLOOKUP(G775,NGPREVPRICES,3,FALSE()),HLOOKUP(D775,Correllate,VLOOKUP(G775,CorMove,2,FALSE()),FALSE()),Q775-$C$3,R775,$CJ$5)*H775-CJ777</f>
        <v>#NAME?</v>
      </c>
      <c r="CI777" s="253" t="e">
        <f aca="false">SUM(CD777:CH777)</f>
        <v>#NAME?</v>
      </c>
      <c r="CJ777" s="253" t="e">
        <f aca="false">xSPRDOPT((VLOOKUP(G775,NGPREVPRICES,2,FALSE())+HLOOKUP(D775,PREVCURVES,VLOOKUP(G775,MOVE_DOWN2,2,FALSE()),FALSE())),VLOOKUP(G775,NGPREVPRICES,2,FALSE()),CK777,VLOOKUP(G775,NGPREVPRICES,4,FALSE()),HLOOKUP(D775,PREVVOLS,VLOOKUP(G775,MOVE_DOWN2,2,FALSE()),FALSE()),VLOOKUP(G775,NGPREVPRICES,3,FALSE()),HLOOKUP(D775,Correllate,VLOOKUP(G775,CorMove,2,FALSE()),FALSE()),Q775-$CD$3,R775,$CJ$5)*H775</f>
        <v>#NAME?</v>
      </c>
      <c r="CK777" s="254" t="n">
        <f aca="false">I775</f>
        <v>0.15</v>
      </c>
      <c r="CM777" s="0" t="str">
        <f aca="false">CONCATENATE(CC777,$CD$6)</f>
        <v>36831Curve Shift/Gamma</v>
      </c>
      <c r="CN777" s="0" t="str">
        <f aca="false">CONCATENATE($CC777,$CE$6)</f>
        <v>36831Rho</v>
      </c>
      <c r="CO777" s="0" t="str">
        <f aca="false">CONCATENATE($CC777,$CF$6)</f>
        <v>36831Drift</v>
      </c>
      <c r="CP777" s="0" t="str">
        <f aca="false">CONCATENATE($CC777,$CG$6)</f>
        <v>36831Vega</v>
      </c>
      <c r="CQ777" s="0" t="str">
        <f aca="false">CONCATENATE($CC777,$CH$6)</f>
        <v>36831Theta</v>
      </c>
    </row>
    <row r="778" customFormat="false" ht="12.75" hidden="false" customHeight="false" outlineLevel="0" collapsed="false">
      <c r="A778" s="17" t="s">
        <v>255</v>
      </c>
      <c r="B778" s="0" t="s">
        <v>192</v>
      </c>
      <c r="C778" s="0" t="s">
        <v>451</v>
      </c>
      <c r="D778" s="7" t="s">
        <v>152</v>
      </c>
      <c r="E778" s="0" t="s">
        <v>131</v>
      </c>
      <c r="F778" s="0" t="s">
        <v>136</v>
      </c>
      <c r="G778" s="92" t="n">
        <v>36923</v>
      </c>
      <c r="H778" s="248" t="n">
        <v>-280000</v>
      </c>
      <c r="I778" s="254" t="n">
        <v>0.15</v>
      </c>
      <c r="J778" s="124" t="n">
        <f aca="false">VLOOKUP(G778,NGPrices,2,FALSE())</f>
        <v>4.48</v>
      </c>
      <c r="K778" s="125" t="n">
        <f aca="false">HLOOKUP(D778,Prices,VLOOKUP(G778,move_down,2,FALSE()),FALSE())+VLOOKUP(G778,CHANGE,HLOOKUP(D778,CHANGE,2,FALSE()),FALSE())</f>
        <v>0.1375</v>
      </c>
      <c r="L778" s="124" t="n">
        <f aca="false">K778+J778</f>
        <v>4.6175</v>
      </c>
      <c r="M778" s="126" t="n">
        <f aca="false">VLOOKUP(G778,NGPrices,4,FALSE())</f>
        <v>0.068640161611372</v>
      </c>
      <c r="N778" s="7" t="n">
        <f aca="false">VLOOKUP(G778,NGPrices,3,FALSE())</f>
        <v>0.5925</v>
      </c>
      <c r="O778" s="7" t="n">
        <f aca="false">HLOOKUP(D778,VOLS,VLOOKUP(G778,move_down,2,FALSE()),FALSE())</f>
        <v>0.593</v>
      </c>
      <c r="P778" s="249" t="n">
        <f aca="false">HLOOKUP(D778,Correllate,VLOOKUP(G778,CorMove,2,FALSE()),FALSE())</f>
        <v>0.997</v>
      </c>
      <c r="Q778" s="92" t="n">
        <f aca="false">WORKDAY(G778,-2)</f>
        <v>36921</v>
      </c>
      <c r="R778" s="7" t="n">
        <f aca="false">IF(F778="P",0,1)</f>
        <v>1</v>
      </c>
      <c r="S778" s="130" t="e">
        <f aca="false">xSPRDOPT($L778,$J778,$I778,$M778,$O778,$N778,$P778,$Q778-$C$3,$R778,0)</f>
        <v>#NAME?</v>
      </c>
      <c r="T778" s="250" t="e">
        <f aca="false">xSPRDOPT($L778,$J778,$I778,$M778,$O778,$N778,$P778,$Q778-$C$3,$R778,1)*H778</f>
        <v>#NAME?</v>
      </c>
      <c r="U778" s="43" t="e">
        <f aca="false">S778*H778</f>
        <v>#NAME?</v>
      </c>
      <c r="V778" s="250" t="e">
        <f aca="false">xSPRDOPT($L778,$J778,$I778,$M778,$O778,$N778,$P778,$Q778-$C$3,$R778,2)*H778</f>
        <v>#NAME?</v>
      </c>
      <c r="W778" s="250" t="e">
        <f aca="false">+V778+T778</f>
        <v>#NAME?</v>
      </c>
      <c r="X778" s="2" t="str">
        <f aca="false">CONCATENATE(G778,D778)</f>
        <v>36923NGI/CHI. GATE</v>
      </c>
      <c r="Y778" s="251" t="n">
        <f aca="false">H778/10000</f>
        <v>-28</v>
      </c>
      <c r="Z778" s="226" t="e">
        <f aca="false">T778/H778</f>
        <v>#NAME?</v>
      </c>
      <c r="AA778" s="226" t="e">
        <f aca="false">xSPRDOPT($L778,$J778,$I778,$M778,$O778,$N778,$P778,$Q778-$C$3,$R778,3)</f>
        <v>#NAME?</v>
      </c>
      <c r="AB778" s="226" t="e">
        <f aca="false">((xSPRDOPT($L778+AB$5,$J778,$I778,$M778,$O778,$N778,$P778,$Q778-$C$3,$R778,3)*$H778)/10000)/100</f>
        <v>#NAME?</v>
      </c>
      <c r="AC778" s="226" t="e">
        <f aca="false">((xSPRDOPT($L778+$AB$5,$J778,$I778,$M778,$O778,$N778,$P778,$Q778-$C$3,$R778,7)*$H778)/100)</f>
        <v>#NAME?</v>
      </c>
      <c r="AD778" s="226" t="e">
        <f aca="false">(xSPRDOPT($L778+$AB$5,$J778,$I778,$M778,$O778,$N778,$P778,$Q778-$C$3,$R778,9)/365)*$H778</f>
        <v>#NAME?</v>
      </c>
      <c r="AE778" s="0" t="e">
        <f aca="false">CD780</f>
        <v>#NAME?</v>
      </c>
      <c r="AF778" s="226" t="e">
        <f aca="false">((O778/N778)*AH778)+AG778</f>
        <v>#NAME?</v>
      </c>
      <c r="AG778" s="226" t="e">
        <f aca="false">((xSPRDOPT($L778,$J778,$I778,$M778,$O778,$N778,$P778,$Q778-$C$3,$R778,6)*$H778)/100)</f>
        <v>#NAME?</v>
      </c>
      <c r="AH778" s="226" t="e">
        <f aca="false">((xSPRDOPT($L778,$J778,$I778,$M778,$O778,$N778,$P778,$Q778-$C$3,$R778,5)*$H778)/100)</f>
        <v>#NAME?</v>
      </c>
      <c r="AI778" s="226" t="e">
        <f aca="false">(((xSPRDOPT($L778,$J778,$I778,$M778,$O778,$N778,$P778,$Q778-$C$3,$R778,4)*$H778)/10000)/100)-AB778</f>
        <v>#NAME?</v>
      </c>
      <c r="AJ778" s="226"/>
      <c r="CC778" s="182" t="n">
        <f aca="false">G776</f>
        <v>36861</v>
      </c>
      <c r="CD778" s="253" t="e">
        <f aca="false">xSPRDOPT((VLOOKUP(G776,NGPrices,2,FALSE())+HLOOKUP(D776,Prices,VLOOKUP(G776,move_down,2,FALSE()),FALSE())),VLOOKUP(G776,NGPrices,2,FALSE()),I776,VLOOKUP(G776,NGPREVPRICES,4,FALSE()),HLOOKUP(D776,PREVVOLS,VLOOKUP(G776,MOVE_DOWN2,2,FALSE()),FALSE()),VLOOKUP(G776,NGPREVPRICES,3,FALSE()),HLOOKUP(D776,Correllate,VLOOKUP(G776,CorMove,2,FALSE()),FALSE()),Q776-$CD$3,R776,$CD$5)*H776-CJ778</f>
        <v>#NAME?</v>
      </c>
      <c r="CE778" s="253" t="e">
        <f aca="false">xSPRDOPT((VLOOKUP(G776,NGPREVPRICES,2,FALSE())+HLOOKUP(D776,PREVCURVES,VLOOKUP(G776,MOVE_DOWN2,2,FALSE()),FALSE())),VLOOKUP(G776,NGPREVPRICES,2,FALSE()),CK778,VLOOKUP(G776,NGPrices,4,FALSE()),HLOOKUP(D776,PREVVOLS,VLOOKUP(G776,MOVE_DOWN2,2,FALSE()),FALSE()),VLOOKUP(G776,NGPREVPRICES,3,FALSE()),HLOOKUP(D776,Correllate,VLOOKUP(G776,CorMove,2,FALSE()),FALSE()),Q776-$CD$3,R776,$CJ$5)*H776-CJ778</f>
        <v>#NAME?</v>
      </c>
      <c r="CF778" s="132" t="e">
        <f aca="false">(CJ778/VLOOKUP(CC778,discount,3,FALSE()))-(CJ778/VLOOKUP(CC778,discount,2,FALSE()))</f>
        <v>#NAME?</v>
      </c>
      <c r="CG778" s="253" t="e">
        <f aca="false">xSPRDOPT((VLOOKUP(G776,NGPREVPRICES,2,FALSE())+HLOOKUP(D776,PREVCURVES,VLOOKUP(G776,MOVE_DOWN2,2,FALSE()),FALSE())),VLOOKUP(G776,NGPREVPRICES,2,FALSE()),CK778,VLOOKUP(G776,NGPREVPRICES,4,FALSE()),HLOOKUP(D776,VOLS,VLOOKUP(G776,move_down,2,FALSE()),FALSE()),VLOOKUP(G776,NGPrices,3,FALSE()),HLOOKUP(D776,Correllate,VLOOKUP(G776,CorMove,2,FALSE()),FALSE()),Q776-$CD$3,R776,$CJ$5)*H776-CJ778</f>
        <v>#NAME?</v>
      </c>
      <c r="CH778" s="253" t="e">
        <f aca="false">xSPRDOPT((VLOOKUP(G776,NGPREVPRICES,2,FALSE())+HLOOKUP(D776,PREVCURVES,VLOOKUP(G776,MOVE_DOWN2,2,FALSE()),FALSE())),VLOOKUP(G776,NGPREVPRICES,2,FALSE()),CK778,VLOOKUP(G776,NGPREVPRICES,4,FALSE()),HLOOKUP(D776,PREVVOLS,VLOOKUP(G776,MOVE_DOWN2,2,FALSE()),FALSE()),VLOOKUP(G776,NGPREVPRICES,3,FALSE()),HLOOKUP(D776,Correllate,VLOOKUP(G776,CorMove,2,FALSE()),FALSE()),Q776-$C$3,R776,$CJ$5)*H776-CJ778</f>
        <v>#NAME?</v>
      </c>
      <c r="CI778" s="253" t="e">
        <f aca="false">SUM(CD778:CH778)</f>
        <v>#NAME?</v>
      </c>
      <c r="CJ778" s="253" t="e">
        <f aca="false">xSPRDOPT((VLOOKUP(G776,NGPREVPRICES,2,FALSE())+HLOOKUP(D776,PREVCURVES,VLOOKUP(G776,MOVE_DOWN2,2,FALSE()),FALSE())),VLOOKUP(G776,NGPREVPRICES,2,FALSE()),CK778,VLOOKUP(G776,NGPREVPRICES,4,FALSE()),HLOOKUP(D776,PREVVOLS,VLOOKUP(G776,MOVE_DOWN2,2,FALSE()),FALSE()),VLOOKUP(G776,NGPREVPRICES,3,FALSE()),HLOOKUP(D776,Correllate,VLOOKUP(G776,CorMove,2,FALSE()),FALSE()),Q776-$CD$3,R776,$CJ$5)*H776</f>
        <v>#NAME?</v>
      </c>
      <c r="CK778" s="254" t="n">
        <f aca="false">I776</f>
        <v>0.15</v>
      </c>
      <c r="CM778" s="0" t="str">
        <f aca="false">CONCATENATE(CC778,$CD$6)</f>
        <v>36861Curve Shift/Gamma</v>
      </c>
      <c r="CN778" s="0" t="str">
        <f aca="false">CONCATENATE($CC778,$CE$6)</f>
        <v>36861Rho</v>
      </c>
      <c r="CO778" s="0" t="str">
        <f aca="false">CONCATENATE($CC778,$CF$6)</f>
        <v>36861Drift</v>
      </c>
      <c r="CP778" s="0" t="str">
        <f aca="false">CONCATENATE($CC778,$CG$6)</f>
        <v>36861Vega</v>
      </c>
      <c r="CQ778" s="0" t="str">
        <f aca="false">CONCATENATE($CC778,$CH$6)</f>
        <v>36861Theta</v>
      </c>
    </row>
    <row r="779" customFormat="false" ht="12.75" hidden="false" customHeight="false" outlineLevel="0" collapsed="false">
      <c r="A779" s="17" t="s">
        <v>255</v>
      </c>
      <c r="B779" s="0" t="s">
        <v>192</v>
      </c>
      <c r="C779" s="0" t="s">
        <v>451</v>
      </c>
      <c r="D779" s="7" t="s">
        <v>152</v>
      </c>
      <c r="E779" s="0" t="s">
        <v>131</v>
      </c>
      <c r="F779" s="0" t="s">
        <v>136</v>
      </c>
      <c r="G779" s="92" t="n">
        <v>36951</v>
      </c>
      <c r="H779" s="248" t="n">
        <v>-310000</v>
      </c>
      <c r="I779" s="254" t="n">
        <v>0.15</v>
      </c>
      <c r="J779" s="124" t="n">
        <f aca="false">VLOOKUP(G779,NGPrices,2,FALSE())</f>
        <v>4.213</v>
      </c>
      <c r="K779" s="125" t="n">
        <f aca="false">HLOOKUP(D779,Prices,VLOOKUP(G779,move_down,2,FALSE()),FALSE())+VLOOKUP(G779,CHANGE,HLOOKUP(D779,CHANGE,2,FALSE()),FALSE())</f>
        <v>0.1225</v>
      </c>
      <c r="L779" s="124" t="n">
        <f aca="false">K779+J779</f>
        <v>4.3355</v>
      </c>
      <c r="M779" s="126" t="n">
        <f aca="false">VLOOKUP(G779,NGPrices,4,FALSE())</f>
        <v>0.068879814952707</v>
      </c>
      <c r="N779" s="7" t="n">
        <f aca="false">VLOOKUP(G779,NGPrices,3,FALSE())</f>
        <v>0.5325</v>
      </c>
      <c r="O779" s="7" t="n">
        <f aca="false">HLOOKUP(D779,VOLS,VLOOKUP(G779,move_down,2,FALSE()),FALSE())</f>
        <v>0.533</v>
      </c>
      <c r="P779" s="249" t="n">
        <f aca="false">HLOOKUP(D779,Correllate,VLOOKUP(G779,CorMove,2,FALSE()),FALSE())</f>
        <v>0.997</v>
      </c>
      <c r="Q779" s="92" t="n">
        <f aca="false">WORKDAY(G779,-2)</f>
        <v>36949</v>
      </c>
      <c r="R779" s="7" t="n">
        <f aca="false">IF(F779="P",0,1)</f>
        <v>1</v>
      </c>
      <c r="S779" s="130" t="e">
        <f aca="false">xSPRDOPT($L779,$J779,$I779,$M779,$O779,$N779,$P779,$Q779-$C$3,$R779,0)</f>
        <v>#NAME?</v>
      </c>
      <c r="T779" s="250" t="e">
        <f aca="false">xSPRDOPT($L779,$J779,$I779,$M779,$O779,$N779,$P779,$Q779-$C$3,$R779,1)*H779</f>
        <v>#NAME?</v>
      </c>
      <c r="U779" s="43" t="e">
        <f aca="false">S779*H779</f>
        <v>#NAME?</v>
      </c>
      <c r="V779" s="250" t="e">
        <f aca="false">xSPRDOPT($L779,$J779,$I779,$M779,$O779,$N779,$P779,$Q779-$C$3,$R779,2)*H779</f>
        <v>#NAME?</v>
      </c>
      <c r="W779" s="250" t="e">
        <f aca="false">+V779+T779</f>
        <v>#NAME?</v>
      </c>
      <c r="X779" s="2" t="str">
        <f aca="false">CONCATENATE(G779,D779)</f>
        <v>36951NGI/CHI. GATE</v>
      </c>
      <c r="Y779" s="251" t="n">
        <f aca="false">H779/10000</f>
        <v>-31</v>
      </c>
      <c r="Z779" s="226" t="e">
        <f aca="false">T779/H779</f>
        <v>#NAME?</v>
      </c>
      <c r="AA779" s="226" t="e">
        <f aca="false">xSPRDOPT($L779,$J779,$I779,$M779,$O779,$N779,$P779,$Q779-$C$3,$R779,3)</f>
        <v>#NAME?</v>
      </c>
      <c r="AB779" s="226" t="e">
        <f aca="false">((xSPRDOPT($L779+AB$5,$J779,$I779,$M779,$O779,$N779,$P779,$Q779-$C$3,$R779,3)*$H779)/10000)/100</f>
        <v>#NAME?</v>
      </c>
      <c r="AC779" s="226" t="e">
        <f aca="false">((xSPRDOPT($L779+$AB$5,$J779,$I779,$M779,$O779,$N779,$P779,$Q779-$C$3,$R779,7)*$H779)/100)</f>
        <v>#NAME?</v>
      </c>
      <c r="AD779" s="226" t="e">
        <f aca="false">(xSPRDOPT($L779+$AB$5,$J779,$I779,$M779,$O779,$N779,$P779,$Q779-$C$3,$R779,9)/365)*$H779</f>
        <v>#NAME?</v>
      </c>
      <c r="AE779" s="0" t="e">
        <f aca="false">CD781</f>
        <v>#NAME?</v>
      </c>
      <c r="AF779" s="226" t="e">
        <f aca="false">((O779/N779)*AH779)+AG779</f>
        <v>#NAME?</v>
      </c>
      <c r="AG779" s="226" t="e">
        <f aca="false">((xSPRDOPT($L779,$J779,$I779,$M779,$O779,$N779,$P779,$Q779-$C$3,$R779,6)*$H779)/100)</f>
        <v>#NAME?</v>
      </c>
      <c r="AH779" s="226" t="e">
        <f aca="false">((xSPRDOPT($L779,$J779,$I779,$M779,$O779,$N779,$P779,$Q779-$C$3,$R779,5)*$H779)/100)</f>
        <v>#NAME?</v>
      </c>
      <c r="AI779" s="226" t="e">
        <f aca="false">(((xSPRDOPT($L779,$J779,$I779,$M779,$O779,$N779,$P779,$Q779-$C$3,$R779,4)*$H779)/10000)/100)-AB779</f>
        <v>#NAME?</v>
      </c>
      <c r="AJ779" s="226"/>
      <c r="CC779" s="182" t="n">
        <f aca="false">G777</f>
        <v>36892</v>
      </c>
      <c r="CD779" s="253" t="e">
        <f aca="false">xSPRDOPT((VLOOKUP(G777,NGPrices,2,FALSE())+HLOOKUP(D777,Prices,VLOOKUP(G777,move_down,2,FALSE()),FALSE())),VLOOKUP(G777,NGPrices,2,FALSE()),I777,VLOOKUP(G777,NGPREVPRICES,4,FALSE()),HLOOKUP(D777,PREVVOLS,VLOOKUP(G777,MOVE_DOWN2,2,FALSE()),FALSE()),VLOOKUP(G777,NGPREVPRICES,3,FALSE()),HLOOKUP(D777,Correllate,VLOOKUP(G777,CorMove,2,FALSE()),FALSE()),Q777-$CD$3,R777,$CD$5)*H777-CJ779</f>
        <v>#NAME?</v>
      </c>
      <c r="CE779" s="253" t="e">
        <f aca="false">xSPRDOPT((VLOOKUP(G777,NGPREVPRICES,2,FALSE())+HLOOKUP(D777,PREVCURVES,VLOOKUP(G777,MOVE_DOWN2,2,FALSE()),FALSE())),VLOOKUP(G777,NGPREVPRICES,2,FALSE()),CK779,VLOOKUP(G777,NGPrices,4,FALSE()),HLOOKUP(D777,PREVVOLS,VLOOKUP(G777,MOVE_DOWN2,2,FALSE()),FALSE()),VLOOKUP(G777,NGPREVPRICES,3,FALSE()),HLOOKUP(D777,Correllate,VLOOKUP(G777,CorMove,2,FALSE()),FALSE()),Q777-$CD$3,R777,$CJ$5)*H777-CJ779</f>
        <v>#NAME?</v>
      </c>
      <c r="CF779" s="132" t="e">
        <f aca="false">(CJ779/VLOOKUP(CC779,discount,3,FALSE()))-(CJ779/VLOOKUP(CC779,discount,2,FALSE()))</f>
        <v>#NAME?</v>
      </c>
      <c r="CG779" s="253" t="e">
        <f aca="false">xSPRDOPT((VLOOKUP(G777,NGPREVPRICES,2,FALSE())+HLOOKUP(D777,PREVCURVES,VLOOKUP(G777,MOVE_DOWN2,2,FALSE()),FALSE())),VLOOKUP(G777,NGPREVPRICES,2,FALSE()),CK779,VLOOKUP(G777,NGPREVPRICES,4,FALSE()),HLOOKUP(D777,VOLS,VLOOKUP(G777,move_down,2,FALSE()),FALSE()),VLOOKUP(G777,NGPrices,3,FALSE()),HLOOKUP(D777,Correllate,VLOOKUP(G777,CorMove,2,FALSE()),FALSE()),Q777-$CD$3,R777,$CJ$5)*H777-CJ779</f>
        <v>#NAME?</v>
      </c>
      <c r="CH779" s="253" t="e">
        <f aca="false">xSPRDOPT((VLOOKUP(G777,NGPREVPRICES,2,FALSE())+HLOOKUP(D777,PREVCURVES,VLOOKUP(G777,MOVE_DOWN2,2,FALSE()),FALSE())),VLOOKUP(G777,NGPREVPRICES,2,FALSE()),CK779,VLOOKUP(G777,NGPREVPRICES,4,FALSE()),HLOOKUP(D777,PREVVOLS,VLOOKUP(G777,MOVE_DOWN2,2,FALSE()),FALSE()),VLOOKUP(G777,NGPREVPRICES,3,FALSE()),HLOOKUP(D777,Correllate,VLOOKUP(G777,CorMove,2,FALSE()),FALSE()),Q777-$C$3,R777,$CJ$5)*H777-CJ779</f>
        <v>#NAME?</v>
      </c>
      <c r="CI779" s="253" t="e">
        <f aca="false">SUM(CD779:CH779)</f>
        <v>#NAME?</v>
      </c>
      <c r="CJ779" s="253" t="e">
        <f aca="false">xSPRDOPT((VLOOKUP(G777,NGPREVPRICES,2,FALSE())+HLOOKUP(D777,PREVCURVES,VLOOKUP(G777,MOVE_DOWN2,2,FALSE()),FALSE())),VLOOKUP(G777,NGPREVPRICES,2,FALSE()),CK779,VLOOKUP(G777,NGPREVPRICES,4,FALSE()),HLOOKUP(D777,PREVVOLS,VLOOKUP(G777,MOVE_DOWN2,2,FALSE()),FALSE()),VLOOKUP(G777,NGPREVPRICES,3,FALSE()),HLOOKUP(D777,Correllate,VLOOKUP(G777,CorMove,2,FALSE()),FALSE()),Q777-$CD$3,R777,$CJ$5)*H777</f>
        <v>#NAME?</v>
      </c>
      <c r="CK779" s="254" t="n">
        <f aca="false">I777</f>
        <v>0.15</v>
      </c>
      <c r="CM779" s="0" t="str">
        <f aca="false">CONCATENATE(CC779,$CD$6)</f>
        <v>36892Curve Shift/Gamma</v>
      </c>
      <c r="CN779" s="0" t="str">
        <f aca="false">CONCATENATE($CC779,$CE$6)</f>
        <v>36892Rho</v>
      </c>
      <c r="CO779" s="0" t="str">
        <f aca="false">CONCATENATE($CC779,$CF$6)</f>
        <v>36892Drift</v>
      </c>
      <c r="CP779" s="0" t="str">
        <f aca="false">CONCATENATE($CC779,$CG$6)</f>
        <v>36892Vega</v>
      </c>
      <c r="CQ779" s="0" t="str">
        <f aca="false">CONCATENATE($CC779,$CH$6)</f>
        <v>36892Theta</v>
      </c>
    </row>
    <row r="780" customFormat="false" ht="12.75" hidden="false" customHeight="false" outlineLevel="0" collapsed="false">
      <c r="A780" s="17" t="s">
        <v>301</v>
      </c>
      <c r="B780" s="0" t="s">
        <v>192</v>
      </c>
      <c r="C780" s="0" t="s">
        <v>452</v>
      </c>
      <c r="D780" s="7" t="s">
        <v>152</v>
      </c>
      <c r="E780" s="0" t="s">
        <v>131</v>
      </c>
      <c r="F780" s="0" t="s">
        <v>136</v>
      </c>
      <c r="G780" s="92" t="n">
        <v>36831</v>
      </c>
      <c r="H780" s="248" t="n">
        <v>-300000</v>
      </c>
      <c r="I780" s="254" t="n">
        <v>0.15</v>
      </c>
      <c r="J780" s="124" t="n">
        <f aca="false">VLOOKUP(G780,NGPrices,2,FALSE())</f>
        <v>4.736</v>
      </c>
      <c r="K780" s="125" t="n">
        <f aca="false">HLOOKUP(D780,Prices,VLOOKUP(G780,move_down,2,FALSE()),FALSE())+VLOOKUP(G780,CHANGE,HLOOKUP(D780,CHANGE,2,FALSE()),FALSE())</f>
        <v>0.0875</v>
      </c>
      <c r="L780" s="124" t="n">
        <f aca="false">K780+J780</f>
        <v>4.8235</v>
      </c>
      <c r="M780" s="126" t="n">
        <f aca="false">VLOOKUP(G780,NGPrices,4,FALSE())</f>
        <v>0.06810675983792</v>
      </c>
      <c r="N780" s="7" t="n">
        <f aca="false">VLOOKUP(G780,NGPrices,3,FALSE())</f>
        <v>0.595</v>
      </c>
      <c r="O780" s="7" t="n">
        <f aca="false">HLOOKUP(D780,VOLS,VLOOKUP(G780,move_down,2,FALSE()),FALSE())</f>
        <v>0.595</v>
      </c>
      <c r="P780" s="249" t="n">
        <f aca="false">HLOOKUP(D780,Correllate,VLOOKUP(G780,CorMove,2,FALSE()),FALSE())</f>
        <v>0.997</v>
      </c>
      <c r="Q780" s="92" t="n">
        <f aca="false">WORKDAY(G780,-2)</f>
        <v>36829</v>
      </c>
      <c r="R780" s="7" t="n">
        <f aca="false">IF(F780="P",0,1)</f>
        <v>1</v>
      </c>
      <c r="S780" s="130" t="e">
        <f aca="false">xSPRDOPT($L780,$J780,$I780,$M780,$O780,$N780,$P780,$Q780-$C$3,$R780,0)</f>
        <v>#NAME?</v>
      </c>
      <c r="T780" s="250" t="e">
        <f aca="false">xSPRDOPT($L780,$J780,$I780,$M780,$O780,$N780,$P780,$Q780-$C$3,$R780,1)*H780</f>
        <v>#NAME?</v>
      </c>
      <c r="U780" s="43" t="e">
        <f aca="false">S780*H780</f>
        <v>#NAME?</v>
      </c>
      <c r="V780" s="250" t="e">
        <f aca="false">xSPRDOPT($L780,$J780,$I780,$M780,$O780,$N780,$P780,$Q780-$C$3,$R780,2)*H780</f>
        <v>#NAME?</v>
      </c>
      <c r="W780" s="250" t="e">
        <f aca="false">+V780+T780</f>
        <v>#NAME?</v>
      </c>
      <c r="X780" s="2" t="str">
        <f aca="false">CONCATENATE(G780,D780)</f>
        <v>36831NGI/CHI. GATE</v>
      </c>
      <c r="Y780" s="251" t="n">
        <f aca="false">H780/10000</f>
        <v>-30</v>
      </c>
      <c r="Z780" s="226" t="e">
        <f aca="false">T780/H780</f>
        <v>#NAME?</v>
      </c>
      <c r="AA780" s="226" t="e">
        <f aca="false">xSPRDOPT($L780,$J780,$I780,$M780,$O780,$N780,$P780,$Q780-$C$3,$R780,3)</f>
        <v>#NAME?</v>
      </c>
      <c r="AB780" s="226" t="e">
        <f aca="false">((xSPRDOPT($L780+AB$5,$J780,$I780,$M780,$O780,$N780,$P780,$Q780-$C$3,$R780,3)*$H780)/10000)/100</f>
        <v>#NAME?</v>
      </c>
      <c r="AC780" s="226" t="e">
        <f aca="false">((xSPRDOPT($L780+$AB$5,$J780,$I780,$M780,$O780,$N780,$P780,$Q780-$C$3,$R780,7)*$H780)/100)</f>
        <v>#NAME?</v>
      </c>
      <c r="AD780" s="226" t="e">
        <f aca="false">(xSPRDOPT($L780+$AB$5,$J780,$I780,$M780,$O780,$N780,$P780,$Q780-$C$3,$R780,9)/365)*$H780</f>
        <v>#NAME?</v>
      </c>
      <c r="AE780" s="0" t="e">
        <f aca="false">CD782</f>
        <v>#NAME?</v>
      </c>
      <c r="AF780" s="226" t="e">
        <f aca="false">((O780/N780)*AH780)+AG780</f>
        <v>#NAME?</v>
      </c>
      <c r="AG780" s="226" t="e">
        <f aca="false">((xSPRDOPT($L780,$J780,$I780,$M780,$O780,$N780,$P780,$Q780-$C$3,$R780,6)*$H780)/100)</f>
        <v>#NAME?</v>
      </c>
      <c r="AH780" s="226" t="e">
        <f aca="false">((xSPRDOPT($L780,$J780,$I780,$M780,$O780,$N780,$P780,$Q780-$C$3,$R780,5)*$H780)/100)</f>
        <v>#NAME?</v>
      </c>
      <c r="AI780" s="226" t="e">
        <f aca="false">(((xSPRDOPT($L780,$J780,$I780,$M780,$O780,$N780,$P780,$Q780-$C$3,$R780,4)*$H780)/10000)/100)-AB780</f>
        <v>#NAME?</v>
      </c>
      <c r="AJ780" s="226"/>
      <c r="CC780" s="182" t="n">
        <f aca="false">G778</f>
        <v>36923</v>
      </c>
      <c r="CD780" s="253" t="e">
        <f aca="false">xSPRDOPT((VLOOKUP(G778,NGPrices,2,FALSE())+HLOOKUP(D778,Prices,VLOOKUP(G778,move_down,2,FALSE()),FALSE())),VLOOKUP(G778,NGPrices,2,FALSE()),I778,VLOOKUP(G778,NGPREVPRICES,4,FALSE()),HLOOKUP(D778,PREVVOLS,VLOOKUP(G778,MOVE_DOWN2,2,FALSE()),FALSE()),VLOOKUP(G778,NGPREVPRICES,3,FALSE()),HLOOKUP(D778,Correllate,VLOOKUP(G778,CorMove,2,FALSE()),FALSE()),Q778-$CD$3,R778,$CD$5)*H778-CJ780</f>
        <v>#NAME?</v>
      </c>
      <c r="CE780" s="253" t="e">
        <f aca="false">xSPRDOPT((VLOOKUP(G778,NGPREVPRICES,2,FALSE())+HLOOKUP(D778,PREVCURVES,VLOOKUP(G778,MOVE_DOWN2,2,FALSE()),FALSE())),VLOOKUP(G778,NGPREVPRICES,2,FALSE()),CK780,VLOOKUP(G778,NGPrices,4,FALSE()),HLOOKUP(D778,PREVVOLS,VLOOKUP(G778,MOVE_DOWN2,2,FALSE()),FALSE()),VLOOKUP(G778,NGPREVPRICES,3,FALSE()),HLOOKUP(D778,Correllate,VLOOKUP(G778,CorMove,2,FALSE()),FALSE()),Q778-$CD$3,R778,$CJ$5)*H778-CJ780</f>
        <v>#NAME?</v>
      </c>
      <c r="CF780" s="132" t="e">
        <f aca="false">(CJ780/VLOOKUP(CC780,discount,3,FALSE()))-(CJ780/VLOOKUP(CC780,discount,2,FALSE()))</f>
        <v>#NAME?</v>
      </c>
      <c r="CG780" s="253" t="e">
        <f aca="false">xSPRDOPT((VLOOKUP(G778,NGPREVPRICES,2,FALSE())+HLOOKUP(D778,PREVCURVES,VLOOKUP(G778,MOVE_DOWN2,2,FALSE()),FALSE())),VLOOKUP(G778,NGPREVPRICES,2,FALSE()),CK780,VLOOKUP(G778,NGPREVPRICES,4,FALSE()),HLOOKUP(D778,VOLS,VLOOKUP(G778,move_down,2,FALSE()),FALSE()),VLOOKUP(G778,NGPrices,3,FALSE()),HLOOKUP(D778,Correllate,VLOOKUP(G778,CorMove,2,FALSE()),FALSE()),Q778-$CD$3,R778,$CJ$5)*H778-CJ780</f>
        <v>#NAME?</v>
      </c>
      <c r="CH780" s="253" t="e">
        <f aca="false">xSPRDOPT((VLOOKUP(G778,NGPREVPRICES,2,FALSE())+HLOOKUP(D778,PREVCURVES,VLOOKUP(G778,MOVE_DOWN2,2,FALSE()),FALSE())),VLOOKUP(G778,NGPREVPRICES,2,FALSE()),CK780,VLOOKUP(G778,NGPREVPRICES,4,FALSE()),HLOOKUP(D778,PREVVOLS,VLOOKUP(G778,MOVE_DOWN2,2,FALSE()),FALSE()),VLOOKUP(G778,NGPREVPRICES,3,FALSE()),HLOOKUP(D778,Correllate,VLOOKUP(G778,CorMove,2,FALSE()),FALSE()),Q778-$C$3,R778,$CJ$5)*H778-CJ780</f>
        <v>#NAME?</v>
      </c>
      <c r="CI780" s="253" t="e">
        <f aca="false">SUM(CD780:CH780)</f>
        <v>#NAME?</v>
      </c>
      <c r="CJ780" s="253" t="e">
        <f aca="false">xSPRDOPT((VLOOKUP(G778,NGPREVPRICES,2,FALSE())+HLOOKUP(D778,PREVCURVES,VLOOKUP(G778,MOVE_DOWN2,2,FALSE()),FALSE())),VLOOKUP(G778,NGPREVPRICES,2,FALSE()),CK780,VLOOKUP(G778,NGPREVPRICES,4,FALSE()),HLOOKUP(D778,PREVVOLS,VLOOKUP(G778,MOVE_DOWN2,2,FALSE()),FALSE()),VLOOKUP(G778,NGPREVPRICES,3,FALSE()),HLOOKUP(D778,Correllate,VLOOKUP(G778,CorMove,2,FALSE()),FALSE()),Q778-$CD$3,R778,$CJ$5)*H778</f>
        <v>#NAME?</v>
      </c>
      <c r="CK780" s="254" t="n">
        <f aca="false">I778</f>
        <v>0.15</v>
      </c>
      <c r="CM780" s="0" t="str">
        <f aca="false">CONCATENATE(CC780,$CD$6)</f>
        <v>36923Curve Shift/Gamma</v>
      </c>
      <c r="CN780" s="0" t="str">
        <f aca="false">CONCATENATE($CC780,$CE$6)</f>
        <v>36923Rho</v>
      </c>
      <c r="CO780" s="0" t="str">
        <f aca="false">CONCATENATE($CC780,$CF$6)</f>
        <v>36923Drift</v>
      </c>
      <c r="CP780" s="0" t="str">
        <f aca="false">CONCATENATE($CC780,$CG$6)</f>
        <v>36923Vega</v>
      </c>
      <c r="CQ780" s="0" t="str">
        <f aca="false">CONCATENATE($CC780,$CH$6)</f>
        <v>36923Theta</v>
      </c>
    </row>
    <row r="781" customFormat="false" ht="12.75" hidden="false" customHeight="false" outlineLevel="0" collapsed="false">
      <c r="A781" s="17" t="s">
        <v>301</v>
      </c>
      <c r="B781" s="0" t="s">
        <v>192</v>
      </c>
      <c r="C781" s="0" t="s">
        <v>452</v>
      </c>
      <c r="D781" s="7" t="s">
        <v>152</v>
      </c>
      <c r="E781" s="0" t="s">
        <v>131</v>
      </c>
      <c r="F781" s="0" t="s">
        <v>136</v>
      </c>
      <c r="G781" s="92" t="n">
        <v>36861</v>
      </c>
      <c r="H781" s="248" t="n">
        <v>-310000</v>
      </c>
      <c r="I781" s="254" t="n">
        <v>0.15</v>
      </c>
      <c r="J781" s="124" t="n">
        <f aca="false">VLOOKUP(G781,NGPrices,2,FALSE())</f>
        <v>4.8</v>
      </c>
      <c r="K781" s="125" t="n">
        <f aca="false">HLOOKUP(D781,Prices,VLOOKUP(G781,move_down,2,FALSE()),FALSE())+VLOOKUP(G781,CHANGE,HLOOKUP(D781,CHANGE,2,FALSE()),FALSE())</f>
        <v>0.1</v>
      </c>
      <c r="L781" s="124" t="n">
        <f aca="false">K781+J781</f>
        <v>4.9</v>
      </c>
      <c r="M781" s="126" t="n">
        <f aca="false">VLOOKUP(G781,NGPrices,4,FALSE())</f>
        <v>0.068314027999354</v>
      </c>
      <c r="N781" s="7" t="n">
        <f aca="false">VLOOKUP(G781,NGPrices,3,FALSE())</f>
        <v>0.6</v>
      </c>
      <c r="O781" s="7" t="n">
        <f aca="false">HLOOKUP(D781,VOLS,VLOOKUP(G781,move_down,2,FALSE()),FALSE())</f>
        <v>0.6</v>
      </c>
      <c r="P781" s="249" t="n">
        <f aca="false">HLOOKUP(D781,Correllate,VLOOKUP(G781,CorMove,2,FALSE()),FALSE())</f>
        <v>0.997</v>
      </c>
      <c r="Q781" s="92" t="n">
        <f aca="false">WORKDAY(G781,-2)</f>
        <v>36859</v>
      </c>
      <c r="R781" s="7" t="n">
        <f aca="false">IF(F781="P",0,1)</f>
        <v>1</v>
      </c>
      <c r="S781" s="130" t="e">
        <f aca="false">xSPRDOPT($L781,$J781,$I781,$M781,$O781,$N781,$P781,$Q781-$C$3,$R781,0)</f>
        <v>#NAME?</v>
      </c>
      <c r="T781" s="250" t="e">
        <f aca="false">xSPRDOPT($L781,$J781,$I781,$M781,$O781,$N781,$P781,$Q781-$C$3,$R781,1)*H781</f>
        <v>#NAME?</v>
      </c>
      <c r="U781" s="43" t="e">
        <f aca="false">S781*H781</f>
        <v>#NAME?</v>
      </c>
      <c r="V781" s="250" t="e">
        <f aca="false">xSPRDOPT($L781,$J781,$I781,$M781,$O781,$N781,$P781,$Q781-$C$3,$R781,2)*H781</f>
        <v>#NAME?</v>
      </c>
      <c r="W781" s="250" t="e">
        <f aca="false">+V781+T781</f>
        <v>#NAME?</v>
      </c>
      <c r="X781" s="2" t="str">
        <f aca="false">CONCATENATE(G781,D781)</f>
        <v>36861NGI/CHI. GATE</v>
      </c>
      <c r="Y781" s="251" t="n">
        <f aca="false">H781/10000</f>
        <v>-31</v>
      </c>
      <c r="Z781" s="226" t="e">
        <f aca="false">T781/H781</f>
        <v>#NAME?</v>
      </c>
      <c r="AA781" s="226" t="e">
        <f aca="false">xSPRDOPT($L781,$J781,$I781,$M781,$O781,$N781,$P781,$Q781-$C$3,$R781,3)</f>
        <v>#NAME?</v>
      </c>
      <c r="AB781" s="226" t="e">
        <f aca="false">((xSPRDOPT($L781+AB$5,$J781,$I781,$M781,$O781,$N781,$P781,$Q781-$C$3,$R781,3)*$H781)/10000)/100</f>
        <v>#NAME?</v>
      </c>
      <c r="AC781" s="226" t="e">
        <f aca="false">((xSPRDOPT($L781+$AB$5,$J781,$I781,$M781,$O781,$N781,$P781,$Q781-$C$3,$R781,7)*$H781)/100)</f>
        <v>#NAME?</v>
      </c>
      <c r="AD781" s="226" t="e">
        <f aca="false">(xSPRDOPT($L781+$AB$5,$J781,$I781,$M781,$O781,$N781,$P781,$Q781-$C$3,$R781,9)/365)*$H781</f>
        <v>#NAME?</v>
      </c>
      <c r="AE781" s="0" t="e">
        <f aca="false">CD783</f>
        <v>#NAME?</v>
      </c>
      <c r="AF781" s="226" t="e">
        <f aca="false">((O781/N781)*AH781)+AG781</f>
        <v>#NAME?</v>
      </c>
      <c r="AG781" s="226" t="e">
        <f aca="false">((xSPRDOPT($L781,$J781,$I781,$M781,$O781,$N781,$P781,$Q781-$C$3,$R781,6)*$H781)/100)</f>
        <v>#NAME?</v>
      </c>
      <c r="AH781" s="226" t="e">
        <f aca="false">((xSPRDOPT($L781,$J781,$I781,$M781,$O781,$N781,$P781,$Q781-$C$3,$R781,5)*$H781)/100)</f>
        <v>#NAME?</v>
      </c>
      <c r="AI781" s="226" t="e">
        <f aca="false">(((xSPRDOPT($L781,$J781,$I781,$M781,$O781,$N781,$P781,$Q781-$C$3,$R781,4)*$H781)/10000)/100)-AB781</f>
        <v>#NAME?</v>
      </c>
      <c r="AJ781" s="226"/>
      <c r="CC781" s="182" t="n">
        <f aca="false">G779</f>
        <v>36951</v>
      </c>
      <c r="CD781" s="253" t="e">
        <f aca="false">xSPRDOPT((VLOOKUP(G779,NGPrices,2,FALSE())+HLOOKUP(D779,Prices,VLOOKUP(G779,move_down,2,FALSE()),FALSE())),VLOOKUP(G779,NGPrices,2,FALSE()),I779,VLOOKUP(G779,NGPREVPRICES,4,FALSE()),HLOOKUP(D779,PREVVOLS,VLOOKUP(G779,MOVE_DOWN2,2,FALSE()),FALSE()),VLOOKUP(G779,NGPREVPRICES,3,FALSE()),HLOOKUP(D779,Correllate,VLOOKUP(G779,CorMove,2,FALSE()),FALSE()),Q779-$CD$3,R779,$CD$5)*H779-CJ781</f>
        <v>#NAME?</v>
      </c>
      <c r="CE781" s="253" t="e">
        <f aca="false">xSPRDOPT((VLOOKUP(G779,NGPREVPRICES,2,FALSE())+HLOOKUP(D779,PREVCURVES,VLOOKUP(G779,MOVE_DOWN2,2,FALSE()),FALSE())),VLOOKUP(G779,NGPREVPRICES,2,FALSE()),CK781,VLOOKUP(G779,NGPrices,4,FALSE()),HLOOKUP(D779,PREVVOLS,VLOOKUP(G779,MOVE_DOWN2,2,FALSE()),FALSE()),VLOOKUP(G779,NGPREVPRICES,3,FALSE()),HLOOKUP(D779,Correllate,VLOOKUP(G779,CorMove,2,FALSE()),FALSE()),Q779-$CD$3,R779,$CJ$5)*H779-CJ781</f>
        <v>#NAME?</v>
      </c>
      <c r="CF781" s="132" t="e">
        <f aca="false">(CJ781/VLOOKUP(CC781,discount,3,FALSE()))-(CJ781/VLOOKUP(CC781,discount,2,FALSE()))</f>
        <v>#NAME?</v>
      </c>
      <c r="CG781" s="253" t="e">
        <f aca="false">xSPRDOPT((VLOOKUP(G779,NGPREVPRICES,2,FALSE())+HLOOKUP(D779,PREVCURVES,VLOOKUP(G779,MOVE_DOWN2,2,FALSE()),FALSE())),VLOOKUP(G779,NGPREVPRICES,2,FALSE()),CK781,VLOOKUP(G779,NGPREVPRICES,4,FALSE()),HLOOKUP(D779,VOLS,VLOOKUP(G779,move_down,2,FALSE()),FALSE()),VLOOKUP(G779,NGPrices,3,FALSE()),HLOOKUP(D779,Correllate,VLOOKUP(G779,CorMove,2,FALSE()),FALSE()),Q779-$CD$3,R779,$CJ$5)*H779-CJ781</f>
        <v>#NAME?</v>
      </c>
      <c r="CH781" s="253" t="e">
        <f aca="false">xSPRDOPT((VLOOKUP(G779,NGPREVPRICES,2,FALSE())+HLOOKUP(D779,PREVCURVES,VLOOKUP(G779,MOVE_DOWN2,2,FALSE()),FALSE())),VLOOKUP(G779,NGPREVPRICES,2,FALSE()),CK781,VLOOKUP(G779,NGPREVPRICES,4,FALSE()),HLOOKUP(D779,PREVVOLS,VLOOKUP(G779,MOVE_DOWN2,2,FALSE()),FALSE()),VLOOKUP(G779,NGPREVPRICES,3,FALSE()),HLOOKUP(D779,Correllate,VLOOKUP(G779,CorMove,2,FALSE()),FALSE()),Q779-$C$3,R779,$CJ$5)*H779-CJ781</f>
        <v>#NAME?</v>
      </c>
      <c r="CI781" s="253" t="e">
        <f aca="false">SUM(CD781:CH781)</f>
        <v>#NAME?</v>
      </c>
      <c r="CJ781" s="253" t="e">
        <f aca="false">xSPRDOPT((VLOOKUP(G779,NGPREVPRICES,2,FALSE())+HLOOKUP(D779,PREVCURVES,VLOOKUP(G779,MOVE_DOWN2,2,FALSE()),FALSE())),VLOOKUP(G779,NGPREVPRICES,2,FALSE()),CK781,VLOOKUP(G779,NGPREVPRICES,4,FALSE()),HLOOKUP(D779,PREVVOLS,VLOOKUP(G779,MOVE_DOWN2,2,FALSE()),FALSE()),VLOOKUP(G779,NGPREVPRICES,3,FALSE()),HLOOKUP(D779,Correllate,VLOOKUP(G779,CorMove,2,FALSE()),FALSE()),Q779-$CD$3,R779,$CJ$5)*H779</f>
        <v>#NAME?</v>
      </c>
      <c r="CK781" s="254" t="n">
        <f aca="false">I779</f>
        <v>0.15</v>
      </c>
      <c r="CM781" s="0" t="str">
        <f aca="false">CONCATENATE(CC781,$CD$6)</f>
        <v>36951Curve Shift/Gamma</v>
      </c>
      <c r="CN781" s="0" t="str">
        <f aca="false">CONCATENATE($CC781,$CE$6)</f>
        <v>36951Rho</v>
      </c>
      <c r="CO781" s="0" t="str">
        <f aca="false">CONCATENATE($CC781,$CF$6)</f>
        <v>36951Drift</v>
      </c>
      <c r="CP781" s="0" t="str">
        <f aca="false">CONCATENATE($CC781,$CG$6)</f>
        <v>36951Vega</v>
      </c>
      <c r="CQ781" s="0" t="str">
        <f aca="false">CONCATENATE($CC781,$CH$6)</f>
        <v>36951Theta</v>
      </c>
    </row>
    <row r="782" customFormat="false" ht="12.75" hidden="false" customHeight="false" outlineLevel="0" collapsed="false">
      <c r="A782" s="17" t="s">
        <v>301</v>
      </c>
      <c r="B782" s="0" t="s">
        <v>192</v>
      </c>
      <c r="C782" s="0" t="s">
        <v>452</v>
      </c>
      <c r="D782" s="7" t="s">
        <v>152</v>
      </c>
      <c r="E782" s="0" t="s">
        <v>131</v>
      </c>
      <c r="F782" s="0" t="s">
        <v>136</v>
      </c>
      <c r="G782" s="92" t="n">
        <v>36892</v>
      </c>
      <c r="H782" s="248" t="n">
        <v>-310000</v>
      </c>
      <c r="I782" s="254" t="n">
        <v>0.15</v>
      </c>
      <c r="J782" s="124" t="n">
        <f aca="false">VLOOKUP(G782,NGPrices,2,FALSE())</f>
        <v>4.744</v>
      </c>
      <c r="K782" s="125" t="n">
        <f aca="false">HLOOKUP(D782,Prices,VLOOKUP(G782,move_down,2,FALSE()),FALSE())+VLOOKUP(G782,CHANGE,HLOOKUP(D782,CHANGE,2,FALSE()),FALSE())</f>
        <v>0.1275</v>
      </c>
      <c r="L782" s="124" t="n">
        <f aca="false">K782+J782</f>
        <v>4.8715</v>
      </c>
      <c r="M782" s="126" t="n">
        <f aca="false">VLOOKUP(G782,NGPrices,4,FALSE())</f>
        <v>0.068374831148491</v>
      </c>
      <c r="N782" s="7" t="n">
        <f aca="false">VLOOKUP(G782,NGPrices,3,FALSE())</f>
        <v>0.605</v>
      </c>
      <c r="O782" s="7" t="n">
        <f aca="false">HLOOKUP(D782,VOLS,VLOOKUP(G782,move_down,2,FALSE()),FALSE())</f>
        <v>0.605</v>
      </c>
      <c r="P782" s="249" t="n">
        <f aca="false">HLOOKUP(D782,Correllate,VLOOKUP(G782,CorMove,2,FALSE()),FALSE())</f>
        <v>0.997</v>
      </c>
      <c r="Q782" s="92" t="n">
        <f aca="false">WORKDAY(G782,-2)</f>
        <v>36888</v>
      </c>
      <c r="R782" s="7" t="n">
        <f aca="false">IF(F782="P",0,1)</f>
        <v>1</v>
      </c>
      <c r="S782" s="130" t="e">
        <f aca="false">xSPRDOPT($L782,$J782,$I782,$M782,$O782,$N782,$P782,$Q782-$C$3,$R782,0)</f>
        <v>#NAME?</v>
      </c>
      <c r="T782" s="250" t="e">
        <f aca="false">xSPRDOPT($L782,$J782,$I782,$M782,$O782,$N782,$P782,$Q782-$C$3,$R782,1)*H782</f>
        <v>#NAME?</v>
      </c>
      <c r="U782" s="43" t="e">
        <f aca="false">S782*H782</f>
        <v>#NAME?</v>
      </c>
      <c r="V782" s="250" t="e">
        <f aca="false">xSPRDOPT($L782,$J782,$I782,$M782,$O782,$N782,$P782,$Q782-$C$3,$R782,2)*H782</f>
        <v>#NAME?</v>
      </c>
      <c r="W782" s="250" t="e">
        <f aca="false">+V782+T782</f>
        <v>#NAME?</v>
      </c>
      <c r="X782" s="2" t="str">
        <f aca="false">CONCATENATE(G782,D782)</f>
        <v>36892NGI/CHI. GATE</v>
      </c>
      <c r="Y782" s="251" t="n">
        <f aca="false">H782/10000</f>
        <v>-31</v>
      </c>
      <c r="Z782" s="226" t="e">
        <f aca="false">T782/H782</f>
        <v>#NAME?</v>
      </c>
      <c r="AA782" s="226" t="e">
        <f aca="false">xSPRDOPT($L782,$J782,$I782,$M782,$O782,$N782,$P782,$Q782-$C$3,$R782,3)</f>
        <v>#NAME?</v>
      </c>
      <c r="AB782" s="226" t="e">
        <f aca="false">((xSPRDOPT($L782+AB$5,$J782,$I782,$M782,$O782,$N782,$P782,$Q782-$C$3,$R782,3)*$H782)/10000)/100</f>
        <v>#NAME?</v>
      </c>
      <c r="AC782" s="226" t="e">
        <f aca="false">((xSPRDOPT($L782+$AB$5,$J782,$I782,$M782,$O782,$N782,$P782,$Q782-$C$3,$R782,7)*$H782)/100)</f>
        <v>#NAME?</v>
      </c>
      <c r="AD782" s="226" t="e">
        <f aca="false">(xSPRDOPT($L782+$AB$5,$J782,$I782,$M782,$O782,$N782,$P782,$Q782-$C$3,$R782,9)/365)*$H782</f>
        <v>#NAME?</v>
      </c>
      <c r="AE782" s="0" t="e">
        <f aca="false">CD784</f>
        <v>#NAME?</v>
      </c>
      <c r="AF782" s="226" t="e">
        <f aca="false">((O782/N782)*AH782)+AG782</f>
        <v>#NAME?</v>
      </c>
      <c r="AG782" s="226" t="e">
        <f aca="false">((xSPRDOPT($L782,$J782,$I782,$M782,$O782,$N782,$P782,$Q782-$C$3,$R782,6)*$H782)/100)</f>
        <v>#NAME?</v>
      </c>
      <c r="AH782" s="226" t="e">
        <f aca="false">((xSPRDOPT($L782,$J782,$I782,$M782,$O782,$N782,$P782,$Q782-$C$3,$R782,5)*$H782)/100)</f>
        <v>#NAME?</v>
      </c>
      <c r="AI782" s="226" t="e">
        <f aca="false">(((xSPRDOPT($L782,$J782,$I782,$M782,$O782,$N782,$P782,$Q782-$C$3,$R782,4)*$H782)/10000)/100)-AB782</f>
        <v>#NAME?</v>
      </c>
      <c r="AJ782" s="226"/>
      <c r="CC782" s="182" t="n">
        <f aca="false">G780</f>
        <v>36831</v>
      </c>
      <c r="CD782" s="253" t="e">
        <f aca="false">xSPRDOPT((VLOOKUP(G780,NGPrices,2,FALSE())+HLOOKUP(D780,Prices,VLOOKUP(G780,move_down,2,FALSE()),FALSE())),VLOOKUP(G780,NGPrices,2,FALSE()),I780,VLOOKUP(G780,NGPREVPRICES,4,FALSE()),HLOOKUP(D780,PREVVOLS,VLOOKUP(G780,MOVE_DOWN2,2,FALSE()),FALSE()),VLOOKUP(G780,NGPREVPRICES,3,FALSE()),HLOOKUP(D780,Correllate,VLOOKUP(G780,CorMove,2,FALSE()),FALSE()),Q780-$CD$3,R780,$CD$5)*H780-CJ782</f>
        <v>#NAME?</v>
      </c>
      <c r="CE782" s="253" t="e">
        <f aca="false">xSPRDOPT((VLOOKUP(G780,NGPREVPRICES,2,FALSE())+HLOOKUP(D780,PREVCURVES,VLOOKUP(G780,MOVE_DOWN2,2,FALSE()),FALSE())),VLOOKUP(G780,NGPREVPRICES,2,FALSE()),CK782,VLOOKUP(G780,NGPrices,4,FALSE()),HLOOKUP(D780,PREVVOLS,VLOOKUP(G780,MOVE_DOWN2,2,FALSE()),FALSE()),VLOOKUP(G780,NGPREVPRICES,3,FALSE()),HLOOKUP(D780,Correllate,VLOOKUP(G780,CorMove,2,FALSE()),FALSE()),Q780-$CD$3,R780,$CJ$5)*H780-CJ782</f>
        <v>#NAME?</v>
      </c>
      <c r="CF782" s="132" t="e">
        <f aca="false">(CJ782/VLOOKUP(CC782,discount,3,FALSE()))-(CJ782/VLOOKUP(CC782,discount,2,FALSE()))</f>
        <v>#NAME?</v>
      </c>
      <c r="CG782" s="253" t="e">
        <f aca="false">xSPRDOPT((VLOOKUP(G780,NGPREVPRICES,2,FALSE())+HLOOKUP(D780,PREVCURVES,VLOOKUP(G780,MOVE_DOWN2,2,FALSE()),FALSE())),VLOOKUP(G780,NGPREVPRICES,2,FALSE()),CK782,VLOOKUP(G780,NGPREVPRICES,4,FALSE()),HLOOKUP(D780,VOLS,VLOOKUP(G780,move_down,2,FALSE()),FALSE()),VLOOKUP(G780,NGPrices,3,FALSE()),HLOOKUP(D780,Correllate,VLOOKUP(G780,CorMove,2,FALSE()),FALSE()),Q780-$CD$3,R780,$CJ$5)*H780-CJ782</f>
        <v>#NAME?</v>
      </c>
      <c r="CH782" s="253" t="e">
        <f aca="false">xSPRDOPT((VLOOKUP(G780,NGPREVPRICES,2,FALSE())+HLOOKUP(D780,PREVCURVES,VLOOKUP(G780,MOVE_DOWN2,2,FALSE()),FALSE())),VLOOKUP(G780,NGPREVPRICES,2,FALSE()),CK782,VLOOKUP(G780,NGPREVPRICES,4,FALSE()),HLOOKUP(D780,PREVVOLS,VLOOKUP(G780,MOVE_DOWN2,2,FALSE()),FALSE()),VLOOKUP(G780,NGPREVPRICES,3,FALSE()),HLOOKUP(D780,Correllate,VLOOKUP(G780,CorMove,2,FALSE()),FALSE()),Q780-$C$3,R780,$CJ$5)*H780-CJ782</f>
        <v>#NAME?</v>
      </c>
      <c r="CI782" s="253" t="e">
        <f aca="false">SUM(CD782:CH782)</f>
        <v>#NAME?</v>
      </c>
      <c r="CJ782" s="253" t="e">
        <f aca="false">xSPRDOPT((VLOOKUP(G780,NGPREVPRICES,2,FALSE())+HLOOKUP(D780,PREVCURVES,VLOOKUP(G780,MOVE_DOWN2,2,FALSE()),FALSE())),VLOOKUP(G780,NGPREVPRICES,2,FALSE()),CK782,VLOOKUP(G780,NGPREVPRICES,4,FALSE()),HLOOKUP(D780,PREVVOLS,VLOOKUP(G780,MOVE_DOWN2,2,FALSE()),FALSE()),VLOOKUP(G780,NGPREVPRICES,3,FALSE()),HLOOKUP(D780,Correllate,VLOOKUP(G780,CorMove,2,FALSE()),FALSE()),Q780-$CD$3,R780,$CJ$5)*H780</f>
        <v>#NAME?</v>
      </c>
      <c r="CK782" s="254" t="n">
        <f aca="false">I780</f>
        <v>0.15</v>
      </c>
      <c r="CM782" s="0" t="str">
        <f aca="false">CONCATENATE(CC782,$CD$6)</f>
        <v>36831Curve Shift/Gamma</v>
      </c>
      <c r="CN782" s="0" t="str">
        <f aca="false">CONCATENATE($CC782,$CE$6)</f>
        <v>36831Rho</v>
      </c>
      <c r="CO782" s="0" t="str">
        <f aca="false">CONCATENATE($CC782,$CF$6)</f>
        <v>36831Drift</v>
      </c>
      <c r="CP782" s="0" t="str">
        <f aca="false">CONCATENATE($CC782,$CG$6)</f>
        <v>36831Vega</v>
      </c>
      <c r="CQ782" s="0" t="str">
        <f aca="false">CONCATENATE($CC782,$CH$6)</f>
        <v>36831Theta</v>
      </c>
    </row>
    <row r="783" customFormat="false" ht="12.75" hidden="false" customHeight="false" outlineLevel="0" collapsed="false">
      <c r="A783" s="17" t="s">
        <v>301</v>
      </c>
      <c r="B783" s="0" t="s">
        <v>192</v>
      </c>
      <c r="C783" s="0" t="s">
        <v>452</v>
      </c>
      <c r="D783" s="7" t="s">
        <v>152</v>
      </c>
      <c r="E783" s="0" t="s">
        <v>131</v>
      </c>
      <c r="F783" s="0" t="s">
        <v>136</v>
      </c>
      <c r="G783" s="92" t="n">
        <v>36923</v>
      </c>
      <c r="H783" s="248" t="n">
        <v>-280000</v>
      </c>
      <c r="I783" s="254" t="n">
        <v>0.15</v>
      </c>
      <c r="J783" s="124" t="n">
        <f aca="false">VLOOKUP(G783,NGPrices,2,FALSE())</f>
        <v>4.48</v>
      </c>
      <c r="K783" s="125" t="n">
        <f aca="false">HLOOKUP(D783,Prices,VLOOKUP(G783,move_down,2,FALSE()),FALSE())+VLOOKUP(G783,CHANGE,HLOOKUP(D783,CHANGE,2,FALSE()),FALSE())</f>
        <v>0.1375</v>
      </c>
      <c r="L783" s="124" t="n">
        <f aca="false">K783+J783</f>
        <v>4.6175</v>
      </c>
      <c r="M783" s="126" t="n">
        <f aca="false">VLOOKUP(G783,NGPrices,4,FALSE())</f>
        <v>0.068640161611372</v>
      </c>
      <c r="N783" s="7" t="n">
        <f aca="false">VLOOKUP(G783,NGPrices,3,FALSE())</f>
        <v>0.5925</v>
      </c>
      <c r="O783" s="7" t="n">
        <f aca="false">HLOOKUP(D783,VOLS,VLOOKUP(G783,move_down,2,FALSE()),FALSE())</f>
        <v>0.593</v>
      </c>
      <c r="P783" s="249" t="n">
        <f aca="false">HLOOKUP(D783,Correllate,VLOOKUP(G783,CorMove,2,FALSE()),FALSE())</f>
        <v>0.997</v>
      </c>
      <c r="Q783" s="92" t="n">
        <f aca="false">WORKDAY(G783,-2)</f>
        <v>36921</v>
      </c>
      <c r="R783" s="7" t="n">
        <f aca="false">IF(F783="P",0,1)</f>
        <v>1</v>
      </c>
      <c r="S783" s="130" t="e">
        <f aca="false">xSPRDOPT($L783,$J783,$I783,$M783,$O783,$N783,$P783,$Q783-$C$3,$R783,0)</f>
        <v>#NAME?</v>
      </c>
      <c r="T783" s="250" t="e">
        <f aca="false">xSPRDOPT($L783,$J783,$I783,$M783,$O783,$N783,$P783,$Q783-$C$3,$R783,1)*H783</f>
        <v>#NAME?</v>
      </c>
      <c r="U783" s="43" t="e">
        <f aca="false">S783*H783</f>
        <v>#NAME?</v>
      </c>
      <c r="V783" s="250" t="e">
        <f aca="false">xSPRDOPT($L783,$J783,$I783,$M783,$O783,$N783,$P783,$Q783-$C$3,$R783,2)*H783</f>
        <v>#NAME?</v>
      </c>
      <c r="W783" s="250" t="e">
        <f aca="false">+V783+T783</f>
        <v>#NAME?</v>
      </c>
      <c r="X783" s="2" t="str">
        <f aca="false">CONCATENATE(G783,D783)</f>
        <v>36923NGI/CHI. GATE</v>
      </c>
      <c r="Y783" s="251" t="n">
        <f aca="false">H783/10000</f>
        <v>-28</v>
      </c>
      <c r="Z783" s="226" t="e">
        <f aca="false">T783/H783</f>
        <v>#NAME?</v>
      </c>
      <c r="AA783" s="226" t="e">
        <f aca="false">xSPRDOPT($L783,$J783,$I783,$M783,$O783,$N783,$P783,$Q783-$C$3,$R783,3)</f>
        <v>#NAME?</v>
      </c>
      <c r="AB783" s="226" t="e">
        <f aca="false">((xSPRDOPT($L783+AB$5,$J783,$I783,$M783,$O783,$N783,$P783,$Q783-$C$3,$R783,3)*$H783)/10000)/100</f>
        <v>#NAME?</v>
      </c>
      <c r="AC783" s="226" t="e">
        <f aca="false">((xSPRDOPT($L783+$AB$5,$J783,$I783,$M783,$O783,$N783,$P783,$Q783-$C$3,$R783,7)*$H783)/100)</f>
        <v>#NAME?</v>
      </c>
      <c r="AD783" s="226" t="e">
        <f aca="false">(xSPRDOPT($L783+$AB$5,$J783,$I783,$M783,$O783,$N783,$P783,$Q783-$C$3,$R783,9)/365)*$H783</f>
        <v>#NAME?</v>
      </c>
      <c r="AE783" s="0" t="e">
        <f aca="false">CD785</f>
        <v>#NAME?</v>
      </c>
      <c r="AF783" s="226" t="e">
        <f aca="false">((O783/N783)*AH783)+AG783</f>
        <v>#NAME?</v>
      </c>
      <c r="AG783" s="226" t="e">
        <f aca="false">((xSPRDOPT($L783,$J783,$I783,$M783,$O783,$N783,$P783,$Q783-$C$3,$R783,6)*$H783)/100)</f>
        <v>#NAME?</v>
      </c>
      <c r="AH783" s="226" t="e">
        <f aca="false">((xSPRDOPT($L783,$J783,$I783,$M783,$O783,$N783,$P783,$Q783-$C$3,$R783,5)*$H783)/100)</f>
        <v>#NAME?</v>
      </c>
      <c r="AI783" s="226" t="e">
        <f aca="false">(((xSPRDOPT($L783,$J783,$I783,$M783,$O783,$N783,$P783,$Q783-$C$3,$R783,4)*$H783)/10000)/100)-AB783</f>
        <v>#NAME?</v>
      </c>
      <c r="AJ783" s="226"/>
      <c r="CC783" s="182" t="n">
        <f aca="false">G781</f>
        <v>36861</v>
      </c>
      <c r="CD783" s="253" t="e">
        <f aca="false">xSPRDOPT((VLOOKUP(G781,NGPrices,2,FALSE())+HLOOKUP(D781,Prices,VLOOKUP(G781,move_down,2,FALSE()),FALSE())),VLOOKUP(G781,NGPrices,2,FALSE()),I781,VLOOKUP(G781,NGPREVPRICES,4,FALSE()),HLOOKUP(D781,PREVVOLS,VLOOKUP(G781,MOVE_DOWN2,2,FALSE()),FALSE()),VLOOKUP(G781,NGPREVPRICES,3,FALSE()),HLOOKUP(D781,Correllate,VLOOKUP(G781,CorMove,2,FALSE()),FALSE()),Q781-$CD$3,R781,$CD$5)*H781-CJ783</f>
        <v>#NAME?</v>
      </c>
      <c r="CE783" s="253" t="e">
        <f aca="false">xSPRDOPT((VLOOKUP(G781,NGPREVPRICES,2,FALSE())+HLOOKUP(D781,PREVCURVES,VLOOKUP(G781,MOVE_DOWN2,2,FALSE()),FALSE())),VLOOKUP(G781,NGPREVPRICES,2,FALSE()),CK783,VLOOKUP(G781,NGPrices,4,FALSE()),HLOOKUP(D781,PREVVOLS,VLOOKUP(G781,MOVE_DOWN2,2,FALSE()),FALSE()),VLOOKUP(G781,NGPREVPRICES,3,FALSE()),HLOOKUP(D781,Correllate,VLOOKUP(G781,CorMove,2,FALSE()),FALSE()),Q781-$CD$3,R781,$CJ$5)*H781-CJ783</f>
        <v>#NAME?</v>
      </c>
      <c r="CF783" s="132" t="e">
        <f aca="false">(CJ783/VLOOKUP(CC783,discount,3,FALSE()))-(CJ783/VLOOKUP(CC783,discount,2,FALSE()))</f>
        <v>#NAME?</v>
      </c>
      <c r="CG783" s="253" t="e">
        <f aca="false">xSPRDOPT((VLOOKUP(G781,NGPREVPRICES,2,FALSE())+HLOOKUP(D781,PREVCURVES,VLOOKUP(G781,MOVE_DOWN2,2,FALSE()),FALSE())),VLOOKUP(G781,NGPREVPRICES,2,FALSE()),CK783,VLOOKUP(G781,NGPREVPRICES,4,FALSE()),HLOOKUP(D781,VOLS,VLOOKUP(G781,move_down,2,FALSE()),FALSE()),VLOOKUP(G781,NGPrices,3,FALSE()),HLOOKUP(D781,Correllate,VLOOKUP(G781,CorMove,2,FALSE()),FALSE()),Q781-$CD$3,R781,$CJ$5)*H781-CJ783</f>
        <v>#NAME?</v>
      </c>
      <c r="CH783" s="253" t="e">
        <f aca="false">xSPRDOPT((VLOOKUP(G781,NGPREVPRICES,2,FALSE())+HLOOKUP(D781,PREVCURVES,VLOOKUP(G781,MOVE_DOWN2,2,FALSE()),FALSE())),VLOOKUP(G781,NGPREVPRICES,2,FALSE()),CK783,VLOOKUP(G781,NGPREVPRICES,4,FALSE()),HLOOKUP(D781,PREVVOLS,VLOOKUP(G781,MOVE_DOWN2,2,FALSE()),FALSE()),VLOOKUP(G781,NGPREVPRICES,3,FALSE()),HLOOKUP(D781,Correllate,VLOOKUP(G781,CorMove,2,FALSE()),FALSE()),Q781-$C$3,R781,$CJ$5)*H781-CJ783</f>
        <v>#NAME?</v>
      </c>
      <c r="CI783" s="253" t="e">
        <f aca="false">SUM(CD783:CH783)</f>
        <v>#NAME?</v>
      </c>
      <c r="CJ783" s="253" t="e">
        <f aca="false">xSPRDOPT((VLOOKUP(G781,NGPREVPRICES,2,FALSE())+HLOOKUP(D781,PREVCURVES,VLOOKUP(G781,MOVE_DOWN2,2,FALSE()),FALSE())),VLOOKUP(G781,NGPREVPRICES,2,FALSE()),CK783,VLOOKUP(G781,NGPREVPRICES,4,FALSE()),HLOOKUP(D781,PREVVOLS,VLOOKUP(G781,MOVE_DOWN2,2,FALSE()),FALSE()),VLOOKUP(G781,NGPREVPRICES,3,FALSE()),HLOOKUP(D781,Correllate,VLOOKUP(G781,CorMove,2,FALSE()),FALSE()),Q781-$CD$3,R781,$CJ$5)*H781</f>
        <v>#NAME?</v>
      </c>
      <c r="CK783" s="254" t="n">
        <f aca="false">I781</f>
        <v>0.15</v>
      </c>
      <c r="CM783" s="0" t="str">
        <f aca="false">CONCATENATE(CC783,$CD$6)</f>
        <v>36861Curve Shift/Gamma</v>
      </c>
      <c r="CN783" s="0" t="str">
        <f aca="false">CONCATENATE($CC783,$CE$6)</f>
        <v>36861Rho</v>
      </c>
      <c r="CO783" s="0" t="str">
        <f aca="false">CONCATENATE($CC783,$CF$6)</f>
        <v>36861Drift</v>
      </c>
      <c r="CP783" s="0" t="str">
        <f aca="false">CONCATENATE($CC783,$CG$6)</f>
        <v>36861Vega</v>
      </c>
      <c r="CQ783" s="0" t="str">
        <f aca="false">CONCATENATE($CC783,$CH$6)</f>
        <v>36861Theta</v>
      </c>
    </row>
    <row r="784" customFormat="false" ht="12.75" hidden="false" customHeight="false" outlineLevel="0" collapsed="false">
      <c r="A784" s="17" t="s">
        <v>301</v>
      </c>
      <c r="B784" s="0" t="s">
        <v>192</v>
      </c>
      <c r="C784" s="0" t="s">
        <v>452</v>
      </c>
      <c r="D784" s="7" t="s">
        <v>152</v>
      </c>
      <c r="E784" s="0" t="s">
        <v>131</v>
      </c>
      <c r="F784" s="0" t="s">
        <v>136</v>
      </c>
      <c r="G784" s="92" t="n">
        <v>36951</v>
      </c>
      <c r="H784" s="248" t="n">
        <v>-310000</v>
      </c>
      <c r="I784" s="254" t="n">
        <v>0.15</v>
      </c>
      <c r="J784" s="124" t="n">
        <f aca="false">VLOOKUP(G784,NGPrices,2,FALSE())</f>
        <v>4.213</v>
      </c>
      <c r="K784" s="125" t="n">
        <f aca="false">HLOOKUP(D784,Prices,VLOOKUP(G784,move_down,2,FALSE()),FALSE())+VLOOKUP(G784,CHANGE,HLOOKUP(D784,CHANGE,2,FALSE()),FALSE())</f>
        <v>0.1225</v>
      </c>
      <c r="L784" s="124" t="n">
        <f aca="false">K784+J784</f>
        <v>4.3355</v>
      </c>
      <c r="M784" s="126" t="n">
        <f aca="false">VLOOKUP(G784,NGPrices,4,FALSE())</f>
        <v>0.068879814952707</v>
      </c>
      <c r="N784" s="7" t="n">
        <f aca="false">VLOOKUP(G784,NGPrices,3,FALSE())</f>
        <v>0.5325</v>
      </c>
      <c r="O784" s="7" t="n">
        <f aca="false">HLOOKUP(D784,VOLS,VLOOKUP(G784,move_down,2,FALSE()),FALSE())</f>
        <v>0.533</v>
      </c>
      <c r="P784" s="249" t="n">
        <f aca="false">HLOOKUP(D784,Correllate,VLOOKUP(G784,CorMove,2,FALSE()),FALSE())</f>
        <v>0.997</v>
      </c>
      <c r="Q784" s="92" t="n">
        <f aca="false">WORKDAY(G784,-2)</f>
        <v>36949</v>
      </c>
      <c r="R784" s="7" t="n">
        <f aca="false">IF(F784="P",0,1)</f>
        <v>1</v>
      </c>
      <c r="S784" s="130" t="e">
        <f aca="false">xSPRDOPT($L784,$J784,$I784,$M784,$O784,$N784,$P784,$Q784-$C$3,$R784,0)</f>
        <v>#NAME?</v>
      </c>
      <c r="T784" s="250" t="e">
        <f aca="false">xSPRDOPT($L784,$J784,$I784,$M784,$O784,$N784,$P784,$Q784-$C$3,$R784,1)*H784</f>
        <v>#NAME?</v>
      </c>
      <c r="U784" s="43" t="e">
        <f aca="false">S784*H784</f>
        <v>#NAME?</v>
      </c>
      <c r="V784" s="250" t="e">
        <f aca="false">xSPRDOPT($L784,$J784,$I784,$M784,$O784,$N784,$P784,$Q784-$C$3,$R784,2)*H784</f>
        <v>#NAME?</v>
      </c>
      <c r="W784" s="250" t="e">
        <f aca="false">+V784+T784</f>
        <v>#NAME?</v>
      </c>
      <c r="X784" s="2" t="str">
        <f aca="false">CONCATENATE(G784,D784)</f>
        <v>36951NGI/CHI. GATE</v>
      </c>
      <c r="Y784" s="251" t="n">
        <f aca="false">H784/10000</f>
        <v>-31</v>
      </c>
      <c r="Z784" s="226" t="e">
        <f aca="false">T784/H784</f>
        <v>#NAME?</v>
      </c>
      <c r="AA784" s="226" t="e">
        <f aca="false">xSPRDOPT($L784,$J784,$I784,$M784,$O784,$N784,$P784,$Q784-$C$3,$R784,3)</f>
        <v>#NAME?</v>
      </c>
      <c r="AB784" s="226" t="e">
        <f aca="false">((xSPRDOPT($L784+AB$5,$J784,$I784,$M784,$O784,$N784,$P784,$Q784-$C$3,$R784,3)*$H784)/10000)/100</f>
        <v>#NAME?</v>
      </c>
      <c r="AC784" s="226" t="e">
        <f aca="false">((xSPRDOPT($L784+$AB$5,$J784,$I784,$M784,$O784,$N784,$P784,$Q784-$C$3,$R784,7)*$H784)/100)</f>
        <v>#NAME?</v>
      </c>
      <c r="AD784" s="226" t="e">
        <f aca="false">(xSPRDOPT($L784+$AB$5,$J784,$I784,$M784,$O784,$N784,$P784,$Q784-$C$3,$R784,9)/365)*$H784</f>
        <v>#NAME?</v>
      </c>
      <c r="AE784" s="0" t="e">
        <f aca="false">CD786</f>
        <v>#NAME?</v>
      </c>
      <c r="AF784" s="226" t="e">
        <f aca="false">((O784/N784)*AH784)+AG784</f>
        <v>#NAME?</v>
      </c>
      <c r="AG784" s="226" t="e">
        <f aca="false">((xSPRDOPT($L784,$J784,$I784,$M784,$O784,$N784,$P784,$Q784-$C$3,$R784,6)*$H784)/100)</f>
        <v>#NAME?</v>
      </c>
      <c r="AH784" s="226" t="e">
        <f aca="false">((xSPRDOPT($L784,$J784,$I784,$M784,$O784,$N784,$P784,$Q784-$C$3,$R784,5)*$H784)/100)</f>
        <v>#NAME?</v>
      </c>
      <c r="AI784" s="226" t="e">
        <f aca="false">(((xSPRDOPT($L784,$J784,$I784,$M784,$O784,$N784,$P784,$Q784-$C$3,$R784,4)*$H784)/10000)/100)-AB784</f>
        <v>#NAME?</v>
      </c>
      <c r="AJ784" s="226"/>
      <c r="CC784" s="182" t="n">
        <f aca="false">G782</f>
        <v>36892</v>
      </c>
      <c r="CD784" s="253" t="e">
        <f aca="false">xSPRDOPT((VLOOKUP(G782,NGPrices,2,FALSE())+HLOOKUP(D782,Prices,VLOOKUP(G782,move_down,2,FALSE()),FALSE())),VLOOKUP(G782,NGPrices,2,FALSE()),I782,VLOOKUP(G782,NGPREVPRICES,4,FALSE()),HLOOKUP(D782,PREVVOLS,VLOOKUP(G782,MOVE_DOWN2,2,FALSE()),FALSE()),VLOOKUP(G782,NGPREVPRICES,3,FALSE()),HLOOKUP(D782,Correllate,VLOOKUP(G782,CorMove,2,FALSE()),FALSE()),Q782-$CD$3,R782,$CD$5)*H782-CJ784</f>
        <v>#NAME?</v>
      </c>
      <c r="CE784" s="253" t="e">
        <f aca="false">xSPRDOPT((VLOOKUP(G782,NGPREVPRICES,2,FALSE())+HLOOKUP(D782,PREVCURVES,VLOOKUP(G782,MOVE_DOWN2,2,FALSE()),FALSE())),VLOOKUP(G782,NGPREVPRICES,2,FALSE()),CK784,VLOOKUP(G782,NGPrices,4,FALSE()),HLOOKUP(D782,PREVVOLS,VLOOKUP(G782,MOVE_DOWN2,2,FALSE()),FALSE()),VLOOKUP(G782,NGPREVPRICES,3,FALSE()),HLOOKUP(D782,Correllate,VLOOKUP(G782,CorMove,2,FALSE()),FALSE()),Q782-$CD$3,R782,$CJ$5)*H782-CJ784</f>
        <v>#NAME?</v>
      </c>
      <c r="CF784" s="132" t="e">
        <f aca="false">(CJ784/VLOOKUP(CC784,discount,3,FALSE()))-(CJ784/VLOOKUP(CC784,discount,2,FALSE()))</f>
        <v>#NAME?</v>
      </c>
      <c r="CG784" s="253" t="e">
        <f aca="false">xSPRDOPT((VLOOKUP(G782,NGPREVPRICES,2,FALSE())+HLOOKUP(D782,PREVCURVES,VLOOKUP(G782,MOVE_DOWN2,2,FALSE()),FALSE())),VLOOKUP(G782,NGPREVPRICES,2,FALSE()),CK784,VLOOKUP(G782,NGPREVPRICES,4,FALSE()),HLOOKUP(D782,VOLS,VLOOKUP(G782,move_down,2,FALSE()),FALSE()),VLOOKUP(G782,NGPrices,3,FALSE()),HLOOKUP(D782,Correllate,VLOOKUP(G782,CorMove,2,FALSE()),FALSE()),Q782-$CD$3,R782,$CJ$5)*H782-CJ784</f>
        <v>#NAME?</v>
      </c>
      <c r="CH784" s="253" t="e">
        <f aca="false">xSPRDOPT((VLOOKUP(G782,NGPREVPRICES,2,FALSE())+HLOOKUP(D782,PREVCURVES,VLOOKUP(G782,MOVE_DOWN2,2,FALSE()),FALSE())),VLOOKUP(G782,NGPREVPRICES,2,FALSE()),CK784,VLOOKUP(G782,NGPREVPRICES,4,FALSE()),HLOOKUP(D782,PREVVOLS,VLOOKUP(G782,MOVE_DOWN2,2,FALSE()),FALSE()),VLOOKUP(G782,NGPREVPRICES,3,FALSE()),HLOOKUP(D782,Correllate,VLOOKUP(G782,CorMove,2,FALSE()),FALSE()),Q782-$C$3,R782,$CJ$5)*H782-CJ784</f>
        <v>#NAME?</v>
      </c>
      <c r="CI784" s="253" t="e">
        <f aca="false">SUM(CD784:CH784)</f>
        <v>#NAME?</v>
      </c>
      <c r="CJ784" s="253" t="e">
        <f aca="false">xSPRDOPT((VLOOKUP(G782,NGPREVPRICES,2,FALSE())+HLOOKUP(D782,PREVCURVES,VLOOKUP(G782,MOVE_DOWN2,2,FALSE()),FALSE())),VLOOKUP(G782,NGPREVPRICES,2,FALSE()),CK784,VLOOKUP(G782,NGPREVPRICES,4,FALSE()),HLOOKUP(D782,PREVVOLS,VLOOKUP(G782,MOVE_DOWN2,2,FALSE()),FALSE()),VLOOKUP(G782,NGPREVPRICES,3,FALSE()),HLOOKUP(D782,Correllate,VLOOKUP(G782,CorMove,2,FALSE()),FALSE()),Q782-$CD$3,R782,$CJ$5)*H782</f>
        <v>#NAME?</v>
      </c>
      <c r="CK784" s="254" t="n">
        <f aca="false">I782</f>
        <v>0.15</v>
      </c>
      <c r="CM784" s="0" t="str">
        <f aca="false">CONCATENATE(CC784,$CD$6)</f>
        <v>36892Curve Shift/Gamma</v>
      </c>
      <c r="CN784" s="0" t="str">
        <f aca="false">CONCATENATE($CC784,$CE$6)</f>
        <v>36892Rho</v>
      </c>
      <c r="CO784" s="0" t="str">
        <f aca="false">CONCATENATE($CC784,$CF$6)</f>
        <v>36892Drift</v>
      </c>
      <c r="CP784" s="0" t="str">
        <f aca="false">CONCATENATE($CC784,$CG$6)</f>
        <v>36892Vega</v>
      </c>
      <c r="CQ784" s="0" t="str">
        <f aca="false">CONCATENATE($CC784,$CH$6)</f>
        <v>36892Theta</v>
      </c>
    </row>
    <row r="785" customFormat="false" ht="12.75" hidden="false" customHeight="false" outlineLevel="0" collapsed="false">
      <c r="A785" s="17" t="s">
        <v>198</v>
      </c>
      <c r="B785" s="0" t="s">
        <v>192</v>
      </c>
      <c r="C785" s="0" t="s">
        <v>453</v>
      </c>
      <c r="D785" s="7" t="s">
        <v>137</v>
      </c>
      <c r="E785" s="0" t="s">
        <v>131</v>
      </c>
      <c r="F785" s="0" t="s">
        <v>136</v>
      </c>
      <c r="G785" s="92" t="n">
        <v>36831</v>
      </c>
      <c r="H785" s="248" t="n">
        <v>-1000000</v>
      </c>
      <c r="I785" s="254" t="n">
        <v>1</v>
      </c>
      <c r="J785" s="124" t="n">
        <f aca="false">VLOOKUP(G785,NGPrices,2,FALSE())</f>
        <v>4.736</v>
      </c>
      <c r="K785" s="125" t="n">
        <f aca="false">HLOOKUP(D785,Prices,VLOOKUP(G785,move_down,2,FALSE()),FALSE())+VLOOKUP(G785,CHANGE,HLOOKUP(D785,CHANGE,2,FALSE()),FALSE())</f>
        <v>1.545</v>
      </c>
      <c r="L785" s="124" t="n">
        <f aca="false">K785+J785</f>
        <v>6.281</v>
      </c>
      <c r="M785" s="126" t="n">
        <f aca="false">VLOOKUP(G785,NGPrices,4,FALSE())</f>
        <v>0.06810675983792</v>
      </c>
      <c r="N785" s="7" t="n">
        <f aca="false">VLOOKUP(G785,NGPrices,3,FALSE())</f>
        <v>0.595</v>
      </c>
      <c r="O785" s="7" t="n">
        <f aca="false">HLOOKUP(D785,VOLS,VLOOKUP(G785,move_down,2,FALSE()),FALSE())</f>
        <v>0.577</v>
      </c>
      <c r="P785" s="249" t="n">
        <f aca="false">HLOOKUP(D785,Correllate,VLOOKUP(G785,CorMove,2,FALSE()),FALSE())</f>
        <v>0.85</v>
      </c>
      <c r="Q785" s="92" t="n">
        <f aca="false">WORKDAY(G785,-2)</f>
        <v>36829</v>
      </c>
      <c r="R785" s="7" t="n">
        <f aca="false">IF(F785="P",0,1)</f>
        <v>1</v>
      </c>
      <c r="S785" s="130" t="e">
        <f aca="false">xSPRDOPT($L785,$J785,$I785,$M785,$O785,$N785,$P785,$Q785-$C$3,$R785,0)</f>
        <v>#NAME?</v>
      </c>
      <c r="T785" s="250" t="e">
        <f aca="false">xSPRDOPT($L785,$J785,$I785,$M785,$O785,$N785,$P785,$Q785-$C$3,$R785,1)*H785</f>
        <v>#NAME?</v>
      </c>
      <c r="U785" s="43" t="e">
        <f aca="false">S785*H785</f>
        <v>#NAME?</v>
      </c>
      <c r="V785" s="250" t="e">
        <f aca="false">xSPRDOPT($L785,$J785,$I785,$M785,$O785,$N785,$P785,$Q785-$C$3,$R785,2)*H785</f>
        <v>#NAME?</v>
      </c>
      <c r="W785" s="250" t="e">
        <f aca="false">+V785+T785</f>
        <v>#NAME?</v>
      </c>
      <c r="X785" s="2" t="str">
        <f aca="false">CONCATENATE(G785,D785)</f>
        <v>36831NGI-SOCAL</v>
      </c>
      <c r="Y785" s="251" t="n">
        <f aca="false">H785/10000</f>
        <v>-100</v>
      </c>
      <c r="Z785" s="226" t="e">
        <f aca="false">T785/H785</f>
        <v>#NAME?</v>
      </c>
      <c r="AA785" s="226" t="e">
        <f aca="false">xSPRDOPT($L785,$J785,$I785,$M785,$O785,$N785,$P785,$Q785-$C$3,$R785,3)</f>
        <v>#NAME?</v>
      </c>
      <c r="AB785" s="226" t="e">
        <f aca="false">((xSPRDOPT($L785+AB$5,$J785,$I785,$M785,$O785,$N785,$P785,$Q785-$C$3,$R785,3)*$H785)/10000)/100</f>
        <v>#NAME?</v>
      </c>
      <c r="AC785" s="226" t="e">
        <f aca="false">((xSPRDOPT($L785+$AB$5,$J785,$I785,$M785,$O785,$N785,$P785,$Q785-$C$3,$R785,7)*$H785)/100)</f>
        <v>#NAME?</v>
      </c>
      <c r="AD785" s="226" t="e">
        <f aca="false">(xSPRDOPT($L785+$AB$5,$J785,$I785,$M785,$O785,$N785,$P785,$Q785-$C$3,$R785,9)/365)*$H785</f>
        <v>#NAME?</v>
      </c>
      <c r="AE785" s="0" t="e">
        <f aca="false">CD787</f>
        <v>#NAME?</v>
      </c>
      <c r="AF785" s="226" t="e">
        <f aca="false">((O785/N785)*AH785)+AG785</f>
        <v>#NAME?</v>
      </c>
      <c r="AG785" s="226" t="e">
        <f aca="false">((xSPRDOPT($L785,$J785,$I785,$M785,$O785,$N785,$P785,$Q785-$C$3,$R785,6)*$H785)/100)</f>
        <v>#NAME?</v>
      </c>
      <c r="AH785" s="226" t="e">
        <f aca="false">((xSPRDOPT($L785,$J785,$I785,$M785,$O785,$N785,$P785,$Q785-$C$3,$R785,5)*$H785)/100)</f>
        <v>#NAME?</v>
      </c>
      <c r="AI785" s="226" t="e">
        <f aca="false">(((xSPRDOPT($L785,$J785,$I785,$M785,$O785,$N785,$P785,$Q785-$C$3,$R785,4)*$H785)/10000)/100)-AB785</f>
        <v>#NAME?</v>
      </c>
      <c r="AJ785" s="226"/>
      <c r="CC785" s="182" t="n">
        <f aca="false">G783</f>
        <v>36923</v>
      </c>
      <c r="CD785" s="253" t="e">
        <f aca="false">xSPRDOPT((VLOOKUP(G783,NGPrices,2,FALSE())+HLOOKUP(D783,Prices,VLOOKUP(G783,move_down,2,FALSE()),FALSE())),VLOOKUP(G783,NGPrices,2,FALSE()),I783,VLOOKUP(G783,NGPREVPRICES,4,FALSE()),HLOOKUP(D783,PREVVOLS,VLOOKUP(G783,MOVE_DOWN2,2,FALSE()),FALSE()),VLOOKUP(G783,NGPREVPRICES,3,FALSE()),HLOOKUP(D783,Correllate,VLOOKUP(G783,CorMove,2,FALSE()),FALSE()),Q783-$CD$3,R783,$CD$5)*H783-CJ785</f>
        <v>#NAME?</v>
      </c>
      <c r="CE785" s="253" t="e">
        <f aca="false">xSPRDOPT((VLOOKUP(G783,NGPREVPRICES,2,FALSE())+HLOOKUP(D783,PREVCURVES,VLOOKUP(G783,MOVE_DOWN2,2,FALSE()),FALSE())),VLOOKUP(G783,NGPREVPRICES,2,FALSE()),CK785,VLOOKUP(G783,NGPrices,4,FALSE()),HLOOKUP(D783,PREVVOLS,VLOOKUP(G783,MOVE_DOWN2,2,FALSE()),FALSE()),VLOOKUP(G783,NGPREVPRICES,3,FALSE()),HLOOKUP(D783,Correllate,VLOOKUP(G783,CorMove,2,FALSE()),FALSE()),Q783-$CD$3,R783,$CJ$5)*H783-CJ785</f>
        <v>#NAME?</v>
      </c>
      <c r="CF785" s="132" t="e">
        <f aca="false">(CJ785/VLOOKUP(CC785,discount,3,FALSE()))-(CJ785/VLOOKUP(CC785,discount,2,FALSE()))</f>
        <v>#NAME?</v>
      </c>
      <c r="CG785" s="253" t="e">
        <f aca="false">xSPRDOPT((VLOOKUP(G783,NGPREVPRICES,2,FALSE())+HLOOKUP(D783,PREVCURVES,VLOOKUP(G783,MOVE_DOWN2,2,FALSE()),FALSE())),VLOOKUP(G783,NGPREVPRICES,2,FALSE()),CK785,VLOOKUP(G783,NGPREVPRICES,4,FALSE()),HLOOKUP(D783,VOLS,VLOOKUP(G783,move_down,2,FALSE()),FALSE()),VLOOKUP(G783,NGPrices,3,FALSE()),HLOOKUP(D783,Correllate,VLOOKUP(G783,CorMove,2,FALSE()),FALSE()),Q783-$CD$3,R783,$CJ$5)*H783-CJ785</f>
        <v>#NAME?</v>
      </c>
      <c r="CH785" s="253" t="e">
        <f aca="false">xSPRDOPT((VLOOKUP(G783,NGPREVPRICES,2,FALSE())+HLOOKUP(D783,PREVCURVES,VLOOKUP(G783,MOVE_DOWN2,2,FALSE()),FALSE())),VLOOKUP(G783,NGPREVPRICES,2,FALSE()),CK785,VLOOKUP(G783,NGPREVPRICES,4,FALSE()),HLOOKUP(D783,PREVVOLS,VLOOKUP(G783,MOVE_DOWN2,2,FALSE()),FALSE()),VLOOKUP(G783,NGPREVPRICES,3,FALSE()),HLOOKUP(D783,Correllate,VLOOKUP(G783,CorMove,2,FALSE()),FALSE()),Q783-$C$3,R783,$CJ$5)*H783-CJ785</f>
        <v>#NAME?</v>
      </c>
      <c r="CI785" s="253" t="e">
        <f aca="false">SUM(CD785:CH785)</f>
        <v>#NAME?</v>
      </c>
      <c r="CJ785" s="253" t="e">
        <f aca="false">xSPRDOPT((VLOOKUP(G783,NGPREVPRICES,2,FALSE())+HLOOKUP(D783,PREVCURVES,VLOOKUP(G783,MOVE_DOWN2,2,FALSE()),FALSE())),VLOOKUP(G783,NGPREVPRICES,2,FALSE()),CK785,VLOOKUP(G783,NGPREVPRICES,4,FALSE()),HLOOKUP(D783,PREVVOLS,VLOOKUP(G783,MOVE_DOWN2,2,FALSE()),FALSE()),VLOOKUP(G783,NGPREVPRICES,3,FALSE()),HLOOKUP(D783,Correllate,VLOOKUP(G783,CorMove,2,FALSE()),FALSE()),Q783-$CD$3,R783,$CJ$5)*H783</f>
        <v>#NAME?</v>
      </c>
      <c r="CK785" s="254" t="n">
        <f aca="false">I783</f>
        <v>0.15</v>
      </c>
      <c r="CM785" s="0" t="str">
        <f aca="false">CONCATENATE(CC785,$CD$6)</f>
        <v>36923Curve Shift/Gamma</v>
      </c>
      <c r="CN785" s="0" t="str">
        <f aca="false">CONCATENATE($CC785,$CE$6)</f>
        <v>36923Rho</v>
      </c>
      <c r="CO785" s="0" t="str">
        <f aca="false">CONCATENATE($CC785,$CF$6)</f>
        <v>36923Drift</v>
      </c>
      <c r="CP785" s="0" t="str">
        <f aca="false">CONCATENATE($CC785,$CG$6)</f>
        <v>36923Vega</v>
      </c>
      <c r="CQ785" s="0" t="str">
        <f aca="false">CONCATENATE($CC785,$CH$6)</f>
        <v>36923Theta</v>
      </c>
    </row>
    <row r="786" customFormat="false" ht="12.75" hidden="false" customHeight="false" outlineLevel="0" collapsed="false">
      <c r="A786" s="17" t="s">
        <v>198</v>
      </c>
      <c r="B786" s="0" t="s">
        <v>192</v>
      </c>
      <c r="C786" s="0" t="s">
        <v>453</v>
      </c>
      <c r="D786" s="7" t="s">
        <v>137</v>
      </c>
      <c r="E786" s="0" t="s">
        <v>131</v>
      </c>
      <c r="F786" s="0" t="s">
        <v>136</v>
      </c>
      <c r="G786" s="92" t="n">
        <v>36861</v>
      </c>
      <c r="H786" s="248" t="n">
        <v>-1000000</v>
      </c>
      <c r="I786" s="254" t="n">
        <v>1</v>
      </c>
      <c r="J786" s="124" t="n">
        <f aca="false">VLOOKUP(G786,NGPrices,2,FALSE())</f>
        <v>4.8</v>
      </c>
      <c r="K786" s="125" t="n">
        <f aca="false">HLOOKUP(D786,Prices,VLOOKUP(G786,move_down,2,FALSE()),FALSE())+VLOOKUP(G786,CHANGE,HLOOKUP(D786,CHANGE,2,FALSE()),FALSE())</f>
        <v>1.005</v>
      </c>
      <c r="L786" s="124" t="n">
        <f aca="false">K786+J786</f>
        <v>5.805</v>
      </c>
      <c r="M786" s="126" t="n">
        <f aca="false">VLOOKUP(G786,NGPrices,4,FALSE())</f>
        <v>0.068314027999354</v>
      </c>
      <c r="N786" s="7" t="n">
        <f aca="false">VLOOKUP(G786,NGPrices,3,FALSE())</f>
        <v>0.6</v>
      </c>
      <c r="O786" s="7" t="n">
        <f aca="false">HLOOKUP(D786,VOLS,VLOOKUP(G786,move_down,2,FALSE()),FALSE())</f>
        <v>0.582</v>
      </c>
      <c r="P786" s="249" t="n">
        <f aca="false">HLOOKUP(D786,Correllate,VLOOKUP(G786,CorMove,2,FALSE()),FALSE())</f>
        <v>0.85</v>
      </c>
      <c r="Q786" s="92" t="n">
        <f aca="false">WORKDAY(G786,-2)</f>
        <v>36859</v>
      </c>
      <c r="R786" s="7" t="n">
        <f aca="false">IF(F786="P",0,1)</f>
        <v>1</v>
      </c>
      <c r="S786" s="130" t="e">
        <f aca="false">xSPRDOPT($L786,$J786,$I786,$M786,$O786,$N786,$P786,$Q786-$C$3,$R786,0)</f>
        <v>#NAME?</v>
      </c>
      <c r="T786" s="250" t="e">
        <f aca="false">xSPRDOPT($L786,$J786,$I786,$M786,$O786,$N786,$P786,$Q786-$C$3,$R786,1)*H786</f>
        <v>#NAME?</v>
      </c>
      <c r="U786" s="43" t="e">
        <f aca="false">S786*H786</f>
        <v>#NAME?</v>
      </c>
      <c r="V786" s="250" t="e">
        <f aca="false">xSPRDOPT($L786,$J786,$I786,$M786,$O786,$N786,$P786,$Q786-$C$3,$R786,2)*H786</f>
        <v>#NAME?</v>
      </c>
      <c r="W786" s="250" t="e">
        <f aca="false">+V786+T786</f>
        <v>#NAME?</v>
      </c>
      <c r="X786" s="2" t="str">
        <f aca="false">CONCATENATE(G786,D786)</f>
        <v>36861NGI-SOCAL</v>
      </c>
      <c r="Y786" s="251" t="n">
        <f aca="false">H786/10000</f>
        <v>-100</v>
      </c>
      <c r="Z786" s="226" t="e">
        <f aca="false">T786/H786</f>
        <v>#NAME?</v>
      </c>
      <c r="AA786" s="226" t="e">
        <f aca="false">xSPRDOPT($L786,$J786,$I786,$M786,$O786,$N786,$P786,$Q786-$C$3,$R786,3)</f>
        <v>#NAME?</v>
      </c>
      <c r="AB786" s="226" t="e">
        <f aca="false">((xSPRDOPT($L786+AB$5,$J786,$I786,$M786,$O786,$N786,$P786,$Q786-$C$3,$R786,3)*$H786)/10000)/100</f>
        <v>#NAME?</v>
      </c>
      <c r="AC786" s="226" t="e">
        <f aca="false">((xSPRDOPT($L786+$AB$5,$J786,$I786,$M786,$O786,$N786,$P786,$Q786-$C$3,$R786,7)*$H786)/100)</f>
        <v>#NAME?</v>
      </c>
      <c r="AD786" s="226" t="e">
        <f aca="false">(xSPRDOPT($L786+$AB$5,$J786,$I786,$M786,$O786,$N786,$P786,$Q786-$C$3,$R786,9)/365)*$H786</f>
        <v>#NAME?</v>
      </c>
      <c r="AE786" s="0" t="e">
        <f aca="false">CD788</f>
        <v>#NAME?</v>
      </c>
      <c r="AF786" s="226" t="e">
        <f aca="false">((O786/N786)*AH786)+AG786</f>
        <v>#NAME?</v>
      </c>
      <c r="AG786" s="226" t="e">
        <f aca="false">((xSPRDOPT($L786,$J786,$I786,$M786,$O786,$N786,$P786,$Q786-$C$3,$R786,6)*$H786)/100)</f>
        <v>#NAME?</v>
      </c>
      <c r="AH786" s="226" t="e">
        <f aca="false">((xSPRDOPT($L786,$J786,$I786,$M786,$O786,$N786,$P786,$Q786-$C$3,$R786,5)*$H786)/100)</f>
        <v>#NAME?</v>
      </c>
      <c r="AI786" s="226" t="e">
        <f aca="false">(((xSPRDOPT($L786,$J786,$I786,$M786,$O786,$N786,$P786,$Q786-$C$3,$R786,4)*$H786)/10000)/100)-AB786</f>
        <v>#NAME?</v>
      </c>
      <c r="AJ786" s="226"/>
      <c r="CC786" s="182" t="n">
        <f aca="false">G784</f>
        <v>36951</v>
      </c>
      <c r="CD786" s="253" t="e">
        <f aca="false">xSPRDOPT((VLOOKUP(G784,NGPrices,2,FALSE())+HLOOKUP(D784,Prices,VLOOKUP(G784,move_down,2,FALSE()),FALSE())),VLOOKUP(G784,NGPrices,2,FALSE()),I784,VLOOKUP(G784,NGPREVPRICES,4,FALSE()),HLOOKUP(D784,PREVVOLS,VLOOKUP(G784,MOVE_DOWN2,2,FALSE()),FALSE()),VLOOKUP(G784,NGPREVPRICES,3,FALSE()),HLOOKUP(D784,Correllate,VLOOKUP(G784,CorMove,2,FALSE()),FALSE()),Q784-$CD$3,R784,$CD$5)*H784-CJ786</f>
        <v>#NAME?</v>
      </c>
      <c r="CE786" s="253" t="e">
        <f aca="false">xSPRDOPT((VLOOKUP(G784,NGPREVPRICES,2,FALSE())+HLOOKUP(D784,PREVCURVES,VLOOKUP(G784,MOVE_DOWN2,2,FALSE()),FALSE())),VLOOKUP(G784,NGPREVPRICES,2,FALSE()),CK786,VLOOKUP(G784,NGPrices,4,FALSE()),HLOOKUP(D784,PREVVOLS,VLOOKUP(G784,MOVE_DOWN2,2,FALSE()),FALSE()),VLOOKUP(G784,NGPREVPRICES,3,FALSE()),HLOOKUP(D784,Correllate,VLOOKUP(G784,CorMove,2,FALSE()),FALSE()),Q784-$CD$3,R784,$CJ$5)*H784-CJ786</f>
        <v>#NAME?</v>
      </c>
      <c r="CF786" s="132" t="e">
        <f aca="false">(CJ786/VLOOKUP(CC786,discount,3,FALSE()))-(CJ786/VLOOKUP(CC786,discount,2,FALSE()))</f>
        <v>#NAME?</v>
      </c>
      <c r="CG786" s="253" t="e">
        <f aca="false">xSPRDOPT((VLOOKUP(G784,NGPREVPRICES,2,FALSE())+HLOOKUP(D784,PREVCURVES,VLOOKUP(G784,MOVE_DOWN2,2,FALSE()),FALSE())),VLOOKUP(G784,NGPREVPRICES,2,FALSE()),CK786,VLOOKUP(G784,NGPREVPRICES,4,FALSE()),HLOOKUP(D784,VOLS,VLOOKUP(G784,move_down,2,FALSE()),FALSE()),VLOOKUP(G784,NGPrices,3,FALSE()),HLOOKUP(D784,Correllate,VLOOKUP(G784,CorMove,2,FALSE()),FALSE()),Q784-$CD$3,R784,$CJ$5)*H784-CJ786</f>
        <v>#NAME?</v>
      </c>
      <c r="CH786" s="253" t="e">
        <f aca="false">xSPRDOPT((VLOOKUP(G784,NGPREVPRICES,2,FALSE())+HLOOKUP(D784,PREVCURVES,VLOOKUP(G784,MOVE_DOWN2,2,FALSE()),FALSE())),VLOOKUP(G784,NGPREVPRICES,2,FALSE()),CK786,VLOOKUP(G784,NGPREVPRICES,4,FALSE()),HLOOKUP(D784,PREVVOLS,VLOOKUP(G784,MOVE_DOWN2,2,FALSE()),FALSE()),VLOOKUP(G784,NGPREVPRICES,3,FALSE()),HLOOKUP(D784,Correllate,VLOOKUP(G784,CorMove,2,FALSE()),FALSE()),Q784-$C$3,R784,$CJ$5)*H784-CJ786</f>
        <v>#NAME?</v>
      </c>
      <c r="CI786" s="253" t="e">
        <f aca="false">SUM(CD786:CH786)</f>
        <v>#NAME?</v>
      </c>
      <c r="CJ786" s="253" t="e">
        <f aca="false">xSPRDOPT((VLOOKUP(G784,NGPREVPRICES,2,FALSE())+HLOOKUP(D784,PREVCURVES,VLOOKUP(G784,MOVE_DOWN2,2,FALSE()),FALSE())),VLOOKUP(G784,NGPREVPRICES,2,FALSE()),CK786,VLOOKUP(G784,NGPREVPRICES,4,FALSE()),HLOOKUP(D784,PREVVOLS,VLOOKUP(G784,MOVE_DOWN2,2,FALSE()),FALSE()),VLOOKUP(G784,NGPREVPRICES,3,FALSE()),HLOOKUP(D784,Correllate,VLOOKUP(G784,CorMove,2,FALSE()),FALSE()),Q784-$CD$3,R784,$CJ$5)*H784</f>
        <v>#NAME?</v>
      </c>
      <c r="CK786" s="254" t="n">
        <f aca="false">I784</f>
        <v>0.15</v>
      </c>
      <c r="CM786" s="0" t="str">
        <f aca="false">CONCATENATE(CC786,$CD$6)</f>
        <v>36951Curve Shift/Gamma</v>
      </c>
      <c r="CN786" s="0" t="str">
        <f aca="false">CONCATENATE($CC786,$CE$6)</f>
        <v>36951Rho</v>
      </c>
      <c r="CO786" s="0" t="str">
        <f aca="false">CONCATENATE($CC786,$CF$6)</f>
        <v>36951Drift</v>
      </c>
      <c r="CP786" s="0" t="str">
        <f aca="false">CONCATENATE($CC786,$CG$6)</f>
        <v>36951Vega</v>
      </c>
      <c r="CQ786" s="0" t="str">
        <f aca="false">CONCATENATE($CC786,$CH$6)</f>
        <v>36951Theta</v>
      </c>
    </row>
    <row r="787" customFormat="false" ht="12.75" hidden="false" customHeight="false" outlineLevel="0" collapsed="false">
      <c r="A787" s="17" t="s">
        <v>198</v>
      </c>
      <c r="B787" s="0" t="s">
        <v>192</v>
      </c>
      <c r="C787" s="0" t="s">
        <v>453</v>
      </c>
      <c r="D787" s="7" t="s">
        <v>137</v>
      </c>
      <c r="E787" s="0" t="s">
        <v>131</v>
      </c>
      <c r="F787" s="0" t="s">
        <v>136</v>
      </c>
      <c r="G787" s="92" t="n">
        <v>36892</v>
      </c>
      <c r="H787" s="248" t="n">
        <v>-1000000</v>
      </c>
      <c r="I787" s="254" t="n">
        <v>1</v>
      </c>
      <c r="J787" s="124" t="n">
        <f aca="false">VLOOKUP(G787,NGPrices,2,FALSE())</f>
        <v>4.744</v>
      </c>
      <c r="K787" s="125" t="n">
        <f aca="false">HLOOKUP(D787,Prices,VLOOKUP(G787,move_down,2,FALSE()),FALSE())+VLOOKUP(G787,CHANGE,HLOOKUP(D787,CHANGE,2,FALSE()),FALSE())</f>
        <v>0.7675</v>
      </c>
      <c r="L787" s="124" t="n">
        <f aca="false">K787+J787</f>
        <v>5.5115</v>
      </c>
      <c r="M787" s="126" t="n">
        <f aca="false">VLOOKUP(G787,NGPrices,4,FALSE())</f>
        <v>0.068374831148491</v>
      </c>
      <c r="N787" s="7" t="n">
        <f aca="false">VLOOKUP(G787,NGPrices,3,FALSE())</f>
        <v>0.605</v>
      </c>
      <c r="O787" s="7" t="n">
        <f aca="false">HLOOKUP(D787,VOLS,VLOOKUP(G787,move_down,2,FALSE()),FALSE())</f>
        <v>0.587</v>
      </c>
      <c r="P787" s="249" t="n">
        <f aca="false">HLOOKUP(D787,Correllate,VLOOKUP(G787,CorMove,2,FALSE()),FALSE())</f>
        <v>0.85</v>
      </c>
      <c r="Q787" s="92" t="n">
        <f aca="false">WORKDAY(G787,-2)</f>
        <v>36888</v>
      </c>
      <c r="R787" s="7" t="n">
        <f aca="false">IF(F787="P",0,1)</f>
        <v>1</v>
      </c>
      <c r="S787" s="130" t="e">
        <f aca="false">xSPRDOPT($L787,$J787,$I787,$M787,$O787,$N787,$P787,$Q787-$C$3,$R787,0)</f>
        <v>#NAME?</v>
      </c>
      <c r="T787" s="250" t="e">
        <f aca="false">xSPRDOPT($L787,$J787,$I787,$M787,$O787,$N787,$P787,$Q787-$C$3,$R787,1)*H787</f>
        <v>#NAME?</v>
      </c>
      <c r="U787" s="43" t="e">
        <f aca="false">S787*H787</f>
        <v>#NAME?</v>
      </c>
      <c r="V787" s="250" t="e">
        <f aca="false">xSPRDOPT($L787,$J787,$I787,$M787,$O787,$N787,$P787,$Q787-$C$3,$R787,2)*H787</f>
        <v>#NAME?</v>
      </c>
      <c r="W787" s="250" t="e">
        <f aca="false">+V787+T787</f>
        <v>#NAME?</v>
      </c>
      <c r="X787" s="2" t="str">
        <f aca="false">CONCATENATE(G787,D787)</f>
        <v>36892NGI-SOCAL</v>
      </c>
      <c r="Y787" s="251" t="n">
        <f aca="false">H787/10000</f>
        <v>-100</v>
      </c>
      <c r="Z787" s="226" t="e">
        <f aca="false">T787/H787</f>
        <v>#NAME?</v>
      </c>
      <c r="AA787" s="226" t="e">
        <f aca="false">xSPRDOPT($L787,$J787,$I787,$M787,$O787,$N787,$P787,$Q787-$C$3,$R787,3)</f>
        <v>#NAME?</v>
      </c>
      <c r="AB787" s="226" t="e">
        <f aca="false">((xSPRDOPT($L787+AB$5,$J787,$I787,$M787,$O787,$N787,$P787,$Q787-$C$3,$R787,3)*$H787)/10000)/100</f>
        <v>#NAME?</v>
      </c>
      <c r="AC787" s="226" t="e">
        <f aca="false">((xSPRDOPT($L787+$AB$5,$J787,$I787,$M787,$O787,$N787,$P787,$Q787-$C$3,$R787,7)*$H787)/100)</f>
        <v>#NAME?</v>
      </c>
      <c r="AD787" s="226" t="e">
        <f aca="false">(xSPRDOPT($L787+$AB$5,$J787,$I787,$M787,$O787,$N787,$P787,$Q787-$C$3,$R787,9)/365)*$H787</f>
        <v>#NAME?</v>
      </c>
      <c r="AE787" s="0" t="e">
        <f aca="false">CD789</f>
        <v>#NAME?</v>
      </c>
      <c r="AF787" s="226" t="e">
        <f aca="false">((O787/N787)*AH787)+AG787</f>
        <v>#NAME?</v>
      </c>
      <c r="AG787" s="226" t="e">
        <f aca="false">((xSPRDOPT($L787,$J787,$I787,$M787,$O787,$N787,$P787,$Q787-$C$3,$R787,6)*$H787)/100)</f>
        <v>#NAME?</v>
      </c>
      <c r="AH787" s="226" t="e">
        <f aca="false">((xSPRDOPT($L787,$J787,$I787,$M787,$O787,$N787,$P787,$Q787-$C$3,$R787,5)*$H787)/100)</f>
        <v>#NAME?</v>
      </c>
      <c r="AI787" s="226" t="e">
        <f aca="false">(((xSPRDOPT($L787,$J787,$I787,$M787,$O787,$N787,$P787,$Q787-$C$3,$R787,4)*$H787)/10000)/100)-AB787</f>
        <v>#NAME?</v>
      </c>
      <c r="AJ787" s="226"/>
      <c r="CC787" s="182" t="n">
        <f aca="false">G785</f>
        <v>36831</v>
      </c>
      <c r="CD787" s="253" t="e">
        <f aca="false">xSPRDOPT((VLOOKUP(G785,NGPrices,2,FALSE())+HLOOKUP(D785,Prices,VLOOKUP(G785,move_down,2,FALSE()),FALSE())),VLOOKUP(G785,NGPrices,2,FALSE()),I785,VLOOKUP(G785,NGPREVPRICES,4,FALSE()),HLOOKUP(D785,PREVVOLS,VLOOKUP(G785,MOVE_DOWN2,2,FALSE()),FALSE()),VLOOKUP(G785,NGPREVPRICES,3,FALSE()),HLOOKUP(D785,Correllate,VLOOKUP(G785,CorMove,2,FALSE()),FALSE()),Q785-$CD$3,R785,$CD$5)*H785-CJ787</f>
        <v>#NAME?</v>
      </c>
      <c r="CE787" s="253" t="e">
        <f aca="false">xSPRDOPT((VLOOKUP(G785,NGPREVPRICES,2,FALSE())+HLOOKUP(D785,PREVCURVES,VLOOKUP(G785,MOVE_DOWN2,2,FALSE()),FALSE())),VLOOKUP(G785,NGPREVPRICES,2,FALSE()),CK787,VLOOKUP(G785,NGPrices,4,FALSE()),HLOOKUP(D785,PREVVOLS,VLOOKUP(G785,MOVE_DOWN2,2,FALSE()),FALSE()),VLOOKUP(G785,NGPREVPRICES,3,FALSE()),HLOOKUP(D785,Correllate,VLOOKUP(G785,CorMove,2,FALSE()),FALSE()),Q785-$CD$3,R785,$CJ$5)*H785-CJ787</f>
        <v>#NAME?</v>
      </c>
      <c r="CF787" s="132" t="e">
        <f aca="false">(CJ787/VLOOKUP(CC787,discount,3,FALSE()))-(CJ787/VLOOKUP(CC787,discount,2,FALSE()))</f>
        <v>#NAME?</v>
      </c>
      <c r="CG787" s="253" t="e">
        <f aca="false">xSPRDOPT((VLOOKUP(G785,NGPREVPRICES,2,FALSE())+HLOOKUP(D785,PREVCURVES,VLOOKUP(G785,MOVE_DOWN2,2,FALSE()),FALSE())),VLOOKUP(G785,NGPREVPRICES,2,FALSE()),CK787,VLOOKUP(G785,NGPREVPRICES,4,FALSE()),HLOOKUP(D785,VOLS,VLOOKUP(G785,move_down,2,FALSE()),FALSE()),VLOOKUP(G785,NGPrices,3,FALSE()),HLOOKUP(D785,Correllate,VLOOKUP(G785,CorMove,2,FALSE()),FALSE()),Q785-$CD$3,R785,$CJ$5)*H785-CJ787</f>
        <v>#NAME?</v>
      </c>
      <c r="CH787" s="253" t="e">
        <f aca="false">xSPRDOPT((VLOOKUP(G785,NGPREVPRICES,2,FALSE())+HLOOKUP(D785,PREVCURVES,VLOOKUP(G785,MOVE_DOWN2,2,FALSE()),FALSE())),VLOOKUP(G785,NGPREVPRICES,2,FALSE()),CK787,VLOOKUP(G785,NGPREVPRICES,4,FALSE()),HLOOKUP(D785,PREVVOLS,VLOOKUP(G785,MOVE_DOWN2,2,FALSE()),FALSE()),VLOOKUP(G785,NGPREVPRICES,3,FALSE()),HLOOKUP(D785,Correllate,VLOOKUP(G785,CorMove,2,FALSE()),FALSE()),Q785-$C$3,R785,$CJ$5)*H785-CJ787</f>
        <v>#NAME?</v>
      </c>
      <c r="CI787" s="253" t="e">
        <f aca="false">SUM(CD787:CH787)</f>
        <v>#NAME?</v>
      </c>
      <c r="CJ787" s="253" t="e">
        <f aca="false">xSPRDOPT((VLOOKUP(G785,NGPREVPRICES,2,FALSE())+HLOOKUP(D785,PREVCURVES,VLOOKUP(G785,MOVE_DOWN2,2,FALSE()),FALSE())),VLOOKUP(G785,NGPREVPRICES,2,FALSE()),CK787,VLOOKUP(G785,NGPREVPRICES,4,FALSE()),HLOOKUP(D785,PREVVOLS,VLOOKUP(G785,MOVE_DOWN2,2,FALSE()),FALSE()),VLOOKUP(G785,NGPREVPRICES,3,FALSE()),HLOOKUP(D785,Correllate,VLOOKUP(G785,CorMove,2,FALSE()),FALSE()),Q785-$CD$3,R785,$CJ$5)*H785</f>
        <v>#NAME?</v>
      </c>
      <c r="CK787" s="254" t="n">
        <f aca="false">I785</f>
        <v>1</v>
      </c>
      <c r="CM787" s="0" t="str">
        <f aca="false">CONCATENATE(CC787,$CD$6)</f>
        <v>36831Curve Shift/Gamma</v>
      </c>
      <c r="CN787" s="0" t="str">
        <f aca="false">CONCATENATE($CC787,$CE$6)</f>
        <v>36831Rho</v>
      </c>
      <c r="CO787" s="0" t="str">
        <f aca="false">CONCATENATE($CC787,$CF$6)</f>
        <v>36831Drift</v>
      </c>
      <c r="CP787" s="0" t="str">
        <f aca="false">CONCATENATE($CC787,$CG$6)</f>
        <v>36831Vega</v>
      </c>
      <c r="CQ787" s="0" t="str">
        <f aca="false">CONCATENATE($CC787,$CH$6)</f>
        <v>36831Theta</v>
      </c>
    </row>
    <row r="788" customFormat="false" ht="12.75" hidden="false" customHeight="false" outlineLevel="0" collapsed="false">
      <c r="A788" s="17" t="s">
        <v>198</v>
      </c>
      <c r="B788" s="0" t="s">
        <v>192</v>
      </c>
      <c r="C788" s="0" t="s">
        <v>453</v>
      </c>
      <c r="D788" s="7" t="s">
        <v>137</v>
      </c>
      <c r="E788" s="0" t="s">
        <v>131</v>
      </c>
      <c r="F788" s="0" t="s">
        <v>136</v>
      </c>
      <c r="G788" s="92" t="n">
        <v>36923</v>
      </c>
      <c r="H788" s="248" t="n">
        <v>-1000000</v>
      </c>
      <c r="I788" s="254" t="n">
        <v>1</v>
      </c>
      <c r="J788" s="124" t="n">
        <f aca="false">VLOOKUP(G788,NGPrices,2,FALSE())</f>
        <v>4.48</v>
      </c>
      <c r="K788" s="125" t="n">
        <f aca="false">HLOOKUP(D788,Prices,VLOOKUP(G788,move_down,2,FALSE()),FALSE())+VLOOKUP(G788,CHANGE,HLOOKUP(D788,CHANGE,2,FALSE()),FALSE())</f>
        <v>0.6175</v>
      </c>
      <c r="L788" s="124" t="n">
        <f aca="false">K788+J788</f>
        <v>5.0975</v>
      </c>
      <c r="M788" s="126" t="n">
        <f aca="false">VLOOKUP(G788,NGPrices,4,FALSE())</f>
        <v>0.068640161611372</v>
      </c>
      <c r="N788" s="7" t="n">
        <f aca="false">VLOOKUP(G788,NGPrices,3,FALSE())</f>
        <v>0.5925</v>
      </c>
      <c r="O788" s="7" t="n">
        <f aca="false">HLOOKUP(D788,VOLS,VLOOKUP(G788,move_down,2,FALSE()),FALSE())</f>
        <v>0.575</v>
      </c>
      <c r="P788" s="249" t="n">
        <f aca="false">HLOOKUP(D788,Correllate,VLOOKUP(G788,CorMove,2,FALSE()),FALSE())</f>
        <v>0.85</v>
      </c>
      <c r="Q788" s="92" t="n">
        <f aca="false">WORKDAY(G788,-2)</f>
        <v>36921</v>
      </c>
      <c r="R788" s="7" t="n">
        <f aca="false">IF(F788="P",0,1)</f>
        <v>1</v>
      </c>
      <c r="S788" s="130" t="e">
        <f aca="false">xSPRDOPT($L788,$J788,$I788,$M788,$O788,$N788,$P788,$Q788-$C$3,$R788,0)</f>
        <v>#NAME?</v>
      </c>
      <c r="T788" s="250" t="e">
        <f aca="false">xSPRDOPT($L788,$J788,$I788,$M788,$O788,$N788,$P788,$Q788-$C$3,$R788,1)*H788</f>
        <v>#NAME?</v>
      </c>
      <c r="U788" s="43" t="e">
        <f aca="false">S788*H788</f>
        <v>#NAME?</v>
      </c>
      <c r="V788" s="250" t="e">
        <f aca="false">xSPRDOPT($L788,$J788,$I788,$M788,$O788,$N788,$P788,$Q788-$C$3,$R788,2)*H788</f>
        <v>#NAME?</v>
      </c>
      <c r="W788" s="250" t="e">
        <f aca="false">+V788+T788</f>
        <v>#NAME?</v>
      </c>
      <c r="X788" s="2" t="str">
        <f aca="false">CONCATENATE(G788,D788)</f>
        <v>36923NGI-SOCAL</v>
      </c>
      <c r="Y788" s="251" t="n">
        <f aca="false">H788/10000</f>
        <v>-100</v>
      </c>
      <c r="Z788" s="226" t="e">
        <f aca="false">T788/H788</f>
        <v>#NAME?</v>
      </c>
      <c r="AA788" s="226" t="e">
        <f aca="false">xSPRDOPT($L788,$J788,$I788,$M788,$O788,$N788,$P788,$Q788-$C$3,$R788,3)</f>
        <v>#NAME?</v>
      </c>
      <c r="AB788" s="226" t="e">
        <f aca="false">((xSPRDOPT($L788+AB$5,$J788,$I788,$M788,$O788,$N788,$P788,$Q788-$C$3,$R788,3)*$H788)/10000)/100</f>
        <v>#NAME?</v>
      </c>
      <c r="AC788" s="226" t="e">
        <f aca="false">((xSPRDOPT($L788+$AB$5,$J788,$I788,$M788,$O788,$N788,$P788,$Q788-$C$3,$R788,7)*$H788)/100)</f>
        <v>#NAME?</v>
      </c>
      <c r="AD788" s="226" t="e">
        <f aca="false">(xSPRDOPT($L788+$AB$5,$J788,$I788,$M788,$O788,$N788,$P788,$Q788-$C$3,$R788,9)/365)*$H788</f>
        <v>#NAME?</v>
      </c>
      <c r="AE788" s="0" t="e">
        <f aca="false">CD790</f>
        <v>#NAME?</v>
      </c>
      <c r="AF788" s="226" t="e">
        <f aca="false">((O788/N788)*AH788)+AG788</f>
        <v>#NAME?</v>
      </c>
      <c r="AG788" s="226" t="e">
        <f aca="false">((xSPRDOPT($L788,$J788,$I788,$M788,$O788,$N788,$P788,$Q788-$C$3,$R788,6)*$H788)/100)</f>
        <v>#NAME?</v>
      </c>
      <c r="AH788" s="226" t="e">
        <f aca="false">((xSPRDOPT($L788,$J788,$I788,$M788,$O788,$N788,$P788,$Q788-$C$3,$R788,5)*$H788)/100)</f>
        <v>#NAME?</v>
      </c>
      <c r="AI788" s="226" t="e">
        <f aca="false">(((xSPRDOPT($L788,$J788,$I788,$M788,$O788,$N788,$P788,$Q788-$C$3,$R788,4)*$H788)/10000)/100)-AB788</f>
        <v>#NAME?</v>
      </c>
      <c r="AJ788" s="226"/>
      <c r="CC788" s="182" t="n">
        <f aca="false">G786</f>
        <v>36861</v>
      </c>
      <c r="CD788" s="253" t="e">
        <f aca="false">xSPRDOPT((VLOOKUP(G786,NGPrices,2,FALSE())+HLOOKUP(D786,Prices,VLOOKUP(G786,move_down,2,FALSE()),FALSE())),VLOOKUP(G786,NGPrices,2,FALSE()),I786,VLOOKUP(G786,NGPREVPRICES,4,FALSE()),HLOOKUP(D786,PREVVOLS,VLOOKUP(G786,MOVE_DOWN2,2,FALSE()),FALSE()),VLOOKUP(G786,NGPREVPRICES,3,FALSE()),HLOOKUP(D786,Correllate,VLOOKUP(G786,CorMove,2,FALSE()),FALSE()),Q786-$CD$3,R786,$CD$5)*H786-CJ788</f>
        <v>#NAME?</v>
      </c>
      <c r="CE788" s="253" t="e">
        <f aca="false">xSPRDOPT((VLOOKUP(G786,NGPREVPRICES,2,FALSE())+HLOOKUP(D786,PREVCURVES,VLOOKUP(G786,MOVE_DOWN2,2,FALSE()),FALSE())),VLOOKUP(G786,NGPREVPRICES,2,FALSE()),CK788,VLOOKUP(G786,NGPrices,4,FALSE()),HLOOKUP(D786,PREVVOLS,VLOOKUP(G786,MOVE_DOWN2,2,FALSE()),FALSE()),VLOOKUP(G786,NGPREVPRICES,3,FALSE()),HLOOKUP(D786,Correllate,VLOOKUP(G786,CorMove,2,FALSE()),FALSE()),Q786-$CD$3,R786,$CJ$5)*H786-CJ788</f>
        <v>#NAME?</v>
      </c>
      <c r="CF788" s="132" t="e">
        <f aca="false">(CJ788/VLOOKUP(CC788,discount,3,FALSE()))-(CJ788/VLOOKUP(CC788,discount,2,FALSE()))</f>
        <v>#NAME?</v>
      </c>
      <c r="CG788" s="253" t="e">
        <f aca="false">xSPRDOPT((VLOOKUP(G786,NGPREVPRICES,2,FALSE())+HLOOKUP(D786,PREVCURVES,VLOOKUP(G786,MOVE_DOWN2,2,FALSE()),FALSE())),VLOOKUP(G786,NGPREVPRICES,2,FALSE()),CK788,VLOOKUP(G786,NGPREVPRICES,4,FALSE()),HLOOKUP(D786,VOLS,VLOOKUP(G786,move_down,2,FALSE()),FALSE()),VLOOKUP(G786,NGPrices,3,FALSE()),HLOOKUP(D786,Correllate,VLOOKUP(G786,CorMove,2,FALSE()),FALSE()),Q786-$CD$3,R786,$CJ$5)*H786-CJ788</f>
        <v>#NAME?</v>
      </c>
      <c r="CH788" s="253" t="e">
        <f aca="false">xSPRDOPT((VLOOKUP(G786,NGPREVPRICES,2,FALSE())+HLOOKUP(D786,PREVCURVES,VLOOKUP(G786,MOVE_DOWN2,2,FALSE()),FALSE())),VLOOKUP(G786,NGPREVPRICES,2,FALSE()),CK788,VLOOKUP(G786,NGPREVPRICES,4,FALSE()),HLOOKUP(D786,PREVVOLS,VLOOKUP(G786,MOVE_DOWN2,2,FALSE()),FALSE()),VLOOKUP(G786,NGPREVPRICES,3,FALSE()),HLOOKUP(D786,Correllate,VLOOKUP(G786,CorMove,2,FALSE()),FALSE()),Q786-$C$3,R786,$CJ$5)*H786-CJ788</f>
        <v>#NAME?</v>
      </c>
      <c r="CI788" s="253" t="e">
        <f aca="false">SUM(CD788:CH788)</f>
        <v>#NAME?</v>
      </c>
      <c r="CJ788" s="253" t="e">
        <f aca="false">xSPRDOPT((VLOOKUP(G786,NGPREVPRICES,2,FALSE())+HLOOKUP(D786,PREVCURVES,VLOOKUP(G786,MOVE_DOWN2,2,FALSE()),FALSE())),VLOOKUP(G786,NGPREVPRICES,2,FALSE()),CK788,VLOOKUP(G786,NGPREVPRICES,4,FALSE()),HLOOKUP(D786,PREVVOLS,VLOOKUP(G786,MOVE_DOWN2,2,FALSE()),FALSE()),VLOOKUP(G786,NGPREVPRICES,3,FALSE()),HLOOKUP(D786,Correllate,VLOOKUP(G786,CorMove,2,FALSE()),FALSE()),Q786-$CD$3,R786,$CJ$5)*H786</f>
        <v>#NAME?</v>
      </c>
      <c r="CK788" s="254" t="n">
        <f aca="false">I786</f>
        <v>1</v>
      </c>
      <c r="CM788" s="0" t="str">
        <f aca="false">CONCATENATE(CC788,$CD$6)</f>
        <v>36861Curve Shift/Gamma</v>
      </c>
      <c r="CN788" s="0" t="str">
        <f aca="false">CONCATENATE($CC788,$CE$6)</f>
        <v>36861Rho</v>
      </c>
      <c r="CO788" s="0" t="str">
        <f aca="false">CONCATENATE($CC788,$CF$6)</f>
        <v>36861Drift</v>
      </c>
      <c r="CP788" s="0" t="str">
        <f aca="false">CONCATENATE($CC788,$CG$6)</f>
        <v>36861Vega</v>
      </c>
      <c r="CQ788" s="0" t="str">
        <f aca="false">CONCATENATE($CC788,$CH$6)</f>
        <v>36861Theta</v>
      </c>
    </row>
    <row r="789" customFormat="false" ht="12.75" hidden="false" customHeight="false" outlineLevel="0" collapsed="false">
      <c r="A789" s="17" t="s">
        <v>198</v>
      </c>
      <c r="B789" s="0" t="s">
        <v>192</v>
      </c>
      <c r="C789" s="0" t="s">
        <v>453</v>
      </c>
      <c r="D789" s="7" t="s">
        <v>137</v>
      </c>
      <c r="E789" s="0" t="s">
        <v>131</v>
      </c>
      <c r="F789" s="0" t="s">
        <v>136</v>
      </c>
      <c r="G789" s="92" t="n">
        <v>36951</v>
      </c>
      <c r="H789" s="248" t="n">
        <v>-1000000</v>
      </c>
      <c r="I789" s="254" t="n">
        <v>1</v>
      </c>
      <c r="J789" s="124" t="n">
        <f aca="false">VLOOKUP(G789,NGPrices,2,FALSE())</f>
        <v>4.213</v>
      </c>
      <c r="K789" s="125" t="n">
        <f aca="false">HLOOKUP(D789,Prices,VLOOKUP(G789,move_down,2,FALSE()),FALSE())+VLOOKUP(G789,CHANGE,HLOOKUP(D789,CHANGE,2,FALSE()),FALSE())</f>
        <v>0.5975</v>
      </c>
      <c r="L789" s="124" t="n">
        <f aca="false">K789+J789</f>
        <v>4.8105</v>
      </c>
      <c r="M789" s="126" t="n">
        <f aca="false">VLOOKUP(G789,NGPrices,4,FALSE())</f>
        <v>0.068879814952707</v>
      </c>
      <c r="N789" s="7" t="n">
        <f aca="false">VLOOKUP(G789,NGPrices,3,FALSE())</f>
        <v>0.5325</v>
      </c>
      <c r="O789" s="7" t="n">
        <f aca="false">HLOOKUP(D789,VOLS,VLOOKUP(G789,move_down,2,FALSE()),FALSE())</f>
        <v>0.517</v>
      </c>
      <c r="P789" s="249" t="n">
        <f aca="false">HLOOKUP(D789,Correllate,VLOOKUP(G789,CorMove,2,FALSE()),FALSE())</f>
        <v>0.85</v>
      </c>
      <c r="Q789" s="92" t="n">
        <f aca="false">WORKDAY(G789,-2)</f>
        <v>36949</v>
      </c>
      <c r="R789" s="7" t="n">
        <f aca="false">IF(F789="P",0,1)</f>
        <v>1</v>
      </c>
      <c r="S789" s="130" t="e">
        <f aca="false">xSPRDOPT($L789,$J789,$I789,$M789,$O789,$N789,$P789,$Q789-$C$3,$R789,0)</f>
        <v>#NAME?</v>
      </c>
      <c r="T789" s="250" t="e">
        <f aca="false">xSPRDOPT($L789,$J789,$I789,$M789,$O789,$N789,$P789,$Q789-$C$3,$R789,1)*H789</f>
        <v>#NAME?</v>
      </c>
      <c r="U789" s="43" t="e">
        <f aca="false">S789*H789</f>
        <v>#NAME?</v>
      </c>
      <c r="V789" s="250" t="e">
        <f aca="false">xSPRDOPT($L789,$J789,$I789,$M789,$O789,$N789,$P789,$Q789-$C$3,$R789,2)*H789</f>
        <v>#NAME?</v>
      </c>
      <c r="W789" s="250" t="e">
        <f aca="false">+V789+T789</f>
        <v>#NAME?</v>
      </c>
      <c r="X789" s="2" t="str">
        <f aca="false">CONCATENATE(G789,D789)</f>
        <v>36951NGI-SOCAL</v>
      </c>
      <c r="Y789" s="251" t="n">
        <f aca="false">H789/10000</f>
        <v>-100</v>
      </c>
      <c r="Z789" s="226" t="e">
        <f aca="false">T789/H789</f>
        <v>#NAME?</v>
      </c>
      <c r="AA789" s="226" t="e">
        <f aca="false">xSPRDOPT($L789,$J789,$I789,$M789,$O789,$N789,$P789,$Q789-$C$3,$R789,3)</f>
        <v>#NAME?</v>
      </c>
      <c r="AB789" s="226" t="e">
        <f aca="false">((xSPRDOPT($L789+AB$5,$J789,$I789,$M789,$O789,$N789,$P789,$Q789-$C$3,$R789,3)*$H789)/10000)/100</f>
        <v>#NAME?</v>
      </c>
      <c r="AC789" s="226" t="e">
        <f aca="false">((xSPRDOPT($L789+$AB$5,$J789,$I789,$M789,$O789,$N789,$P789,$Q789-$C$3,$R789,7)*$H789)/100)</f>
        <v>#NAME?</v>
      </c>
      <c r="AD789" s="226" t="e">
        <f aca="false">(xSPRDOPT($L789+$AB$5,$J789,$I789,$M789,$O789,$N789,$P789,$Q789-$C$3,$R789,9)/365)*$H789</f>
        <v>#NAME?</v>
      </c>
      <c r="AE789" s="0" t="e">
        <f aca="false">CD791</f>
        <v>#NAME?</v>
      </c>
      <c r="AF789" s="226" t="e">
        <f aca="false">((O789/N789)*AH789)+AG789</f>
        <v>#NAME?</v>
      </c>
      <c r="AG789" s="226" t="e">
        <f aca="false">((xSPRDOPT($L789,$J789,$I789,$M789,$O789,$N789,$P789,$Q789-$C$3,$R789,6)*$H789)/100)</f>
        <v>#NAME?</v>
      </c>
      <c r="AH789" s="226" t="e">
        <f aca="false">((xSPRDOPT($L789,$J789,$I789,$M789,$O789,$N789,$P789,$Q789-$C$3,$R789,5)*$H789)/100)</f>
        <v>#NAME?</v>
      </c>
      <c r="AI789" s="226" t="e">
        <f aca="false">(((xSPRDOPT($L789,$J789,$I789,$M789,$O789,$N789,$P789,$Q789-$C$3,$R789,4)*$H789)/10000)/100)-AB789</f>
        <v>#NAME?</v>
      </c>
      <c r="AJ789" s="226"/>
      <c r="CC789" s="182" t="n">
        <f aca="false">G787</f>
        <v>36892</v>
      </c>
      <c r="CD789" s="253" t="e">
        <f aca="false">xSPRDOPT((VLOOKUP(G787,NGPrices,2,FALSE())+HLOOKUP(D787,Prices,VLOOKUP(G787,move_down,2,FALSE()),FALSE())),VLOOKUP(G787,NGPrices,2,FALSE()),I787,VLOOKUP(G787,NGPREVPRICES,4,FALSE()),HLOOKUP(D787,PREVVOLS,VLOOKUP(G787,MOVE_DOWN2,2,FALSE()),FALSE()),VLOOKUP(G787,NGPREVPRICES,3,FALSE()),HLOOKUP(D787,Correllate,VLOOKUP(G787,CorMove,2,FALSE()),FALSE()),Q787-$CD$3,R787,$CD$5)*H787-CJ789</f>
        <v>#NAME?</v>
      </c>
      <c r="CE789" s="253" t="e">
        <f aca="false">xSPRDOPT((VLOOKUP(G787,NGPREVPRICES,2,FALSE())+HLOOKUP(D787,PREVCURVES,VLOOKUP(G787,MOVE_DOWN2,2,FALSE()),FALSE())),VLOOKUP(G787,NGPREVPRICES,2,FALSE()),CK789,VLOOKUP(G787,NGPrices,4,FALSE()),HLOOKUP(D787,PREVVOLS,VLOOKUP(G787,MOVE_DOWN2,2,FALSE()),FALSE()),VLOOKUP(G787,NGPREVPRICES,3,FALSE()),HLOOKUP(D787,Correllate,VLOOKUP(G787,CorMove,2,FALSE()),FALSE()),Q787-$CD$3,R787,$CJ$5)*H787-CJ789</f>
        <v>#NAME?</v>
      </c>
      <c r="CF789" s="132" t="e">
        <f aca="false">(CJ789/VLOOKUP(CC789,discount,3,FALSE()))-(CJ789/VLOOKUP(CC789,discount,2,FALSE()))</f>
        <v>#NAME?</v>
      </c>
      <c r="CG789" s="253" t="e">
        <f aca="false">xSPRDOPT((VLOOKUP(G787,NGPREVPRICES,2,FALSE())+HLOOKUP(D787,PREVCURVES,VLOOKUP(G787,MOVE_DOWN2,2,FALSE()),FALSE())),VLOOKUP(G787,NGPREVPRICES,2,FALSE()),CK789,VLOOKUP(G787,NGPREVPRICES,4,FALSE()),HLOOKUP(D787,VOLS,VLOOKUP(G787,move_down,2,FALSE()),FALSE()),VLOOKUP(G787,NGPrices,3,FALSE()),HLOOKUP(D787,Correllate,VLOOKUP(G787,CorMove,2,FALSE()),FALSE()),Q787-$CD$3,R787,$CJ$5)*H787-CJ789</f>
        <v>#NAME?</v>
      </c>
      <c r="CH789" s="253" t="e">
        <f aca="false">xSPRDOPT((VLOOKUP(G787,NGPREVPRICES,2,FALSE())+HLOOKUP(D787,PREVCURVES,VLOOKUP(G787,MOVE_DOWN2,2,FALSE()),FALSE())),VLOOKUP(G787,NGPREVPRICES,2,FALSE()),CK789,VLOOKUP(G787,NGPREVPRICES,4,FALSE()),HLOOKUP(D787,PREVVOLS,VLOOKUP(G787,MOVE_DOWN2,2,FALSE()),FALSE()),VLOOKUP(G787,NGPREVPRICES,3,FALSE()),HLOOKUP(D787,Correllate,VLOOKUP(G787,CorMove,2,FALSE()),FALSE()),Q787-$C$3,R787,$CJ$5)*H787-CJ789</f>
        <v>#NAME?</v>
      </c>
      <c r="CI789" s="253" t="e">
        <f aca="false">SUM(CD789:CH789)</f>
        <v>#NAME?</v>
      </c>
      <c r="CJ789" s="253" t="e">
        <f aca="false">xSPRDOPT((VLOOKUP(G787,NGPREVPRICES,2,FALSE())+HLOOKUP(D787,PREVCURVES,VLOOKUP(G787,MOVE_DOWN2,2,FALSE()),FALSE())),VLOOKUP(G787,NGPREVPRICES,2,FALSE()),CK789,VLOOKUP(G787,NGPREVPRICES,4,FALSE()),HLOOKUP(D787,PREVVOLS,VLOOKUP(G787,MOVE_DOWN2,2,FALSE()),FALSE()),VLOOKUP(G787,NGPREVPRICES,3,FALSE()),HLOOKUP(D787,Correllate,VLOOKUP(G787,CorMove,2,FALSE()),FALSE()),Q787-$CD$3,R787,$CJ$5)*H787</f>
        <v>#NAME?</v>
      </c>
      <c r="CK789" s="254" t="n">
        <f aca="false">I787</f>
        <v>1</v>
      </c>
      <c r="CM789" s="0" t="str">
        <f aca="false">CONCATENATE(CC789,$CD$6)</f>
        <v>36892Curve Shift/Gamma</v>
      </c>
      <c r="CN789" s="0" t="str">
        <f aca="false">CONCATENATE($CC789,$CE$6)</f>
        <v>36892Rho</v>
      </c>
      <c r="CO789" s="0" t="str">
        <f aca="false">CONCATENATE($CC789,$CF$6)</f>
        <v>36892Drift</v>
      </c>
      <c r="CP789" s="0" t="str">
        <f aca="false">CONCATENATE($CC789,$CG$6)</f>
        <v>36892Vega</v>
      </c>
      <c r="CQ789" s="0" t="str">
        <f aca="false">CONCATENATE($CC789,$CH$6)</f>
        <v>36892Theta</v>
      </c>
    </row>
    <row r="790" customFormat="false" ht="12.75" hidden="false" customHeight="false" outlineLevel="0" collapsed="false">
      <c r="A790" s="17" t="s">
        <v>275</v>
      </c>
      <c r="B790" s="0" t="s">
        <v>192</v>
      </c>
      <c r="C790" s="0" t="s">
        <v>454</v>
      </c>
      <c r="D790" s="7" t="s">
        <v>151</v>
      </c>
      <c r="E790" s="0" t="s">
        <v>131</v>
      </c>
      <c r="F790" s="0" t="s">
        <v>136</v>
      </c>
      <c r="G790" s="92" t="n">
        <v>36831</v>
      </c>
      <c r="H790" s="248" t="n">
        <v>-600000</v>
      </c>
      <c r="I790" s="254" t="n">
        <v>-0.2</v>
      </c>
      <c r="J790" s="124" t="n">
        <f aca="false">VLOOKUP(G790,NGPrices,2,FALSE())</f>
        <v>4.736</v>
      </c>
      <c r="K790" s="125" t="n">
        <f aca="false">HLOOKUP(D790,Prices,VLOOKUP(G790,move_down,2,FALSE()),FALSE())+VLOOKUP(G790,CHANGE,HLOOKUP(D790,CHANGE,2,FALSE()),FALSE())</f>
        <v>-0.4675</v>
      </c>
      <c r="L790" s="124" t="n">
        <f aca="false">K790+J790</f>
        <v>4.2685</v>
      </c>
      <c r="M790" s="126" t="n">
        <f aca="false">VLOOKUP(G790,NGPrices,4,FALSE())</f>
        <v>0.06810675983792</v>
      </c>
      <c r="N790" s="7" t="n">
        <f aca="false">VLOOKUP(G790,NGPrices,3,FALSE())</f>
        <v>0.595</v>
      </c>
      <c r="O790" s="7" t="n">
        <f aca="false">HLOOKUP(D790,VOLS,VLOOKUP(G790,move_down,2,FALSE()),FALSE())</f>
        <v>0.571</v>
      </c>
      <c r="P790" s="249" t="n">
        <f aca="false">HLOOKUP(D790,Correllate,VLOOKUP(G790,CorMove,2,FALSE()),FALSE())</f>
        <v>0.93</v>
      </c>
      <c r="Q790" s="92" t="n">
        <f aca="false">WORKDAY(G790,-2)</f>
        <v>36829</v>
      </c>
      <c r="R790" s="7" t="n">
        <f aca="false">IF(F790="P",0,1)</f>
        <v>1</v>
      </c>
      <c r="S790" s="130" t="e">
        <f aca="false">xSPRDOPT($L790,$J790,$I790,$M790,$O790,$N790,$P790,$Q790-$C$3,$R790,0)</f>
        <v>#NAME?</v>
      </c>
      <c r="T790" s="250" t="e">
        <f aca="false">xSPRDOPT($L790,$J790,$I790,$M790,$O790,$N790,$P790,$Q790-$C$3,$R790,1)*H790</f>
        <v>#NAME?</v>
      </c>
      <c r="U790" s="43" t="e">
        <f aca="false">S790*H790</f>
        <v>#NAME?</v>
      </c>
      <c r="V790" s="250" t="e">
        <f aca="false">xSPRDOPT($L790,$J790,$I790,$M790,$O790,$N790,$P790,$Q790-$C$3,$R790,2)*H790</f>
        <v>#NAME?</v>
      </c>
      <c r="W790" s="250" t="e">
        <f aca="false">+V790+T790</f>
        <v>#NAME?</v>
      </c>
      <c r="X790" s="2" t="str">
        <f aca="false">CONCATENATE(G790,D790)</f>
        <v>36831IF-NWPL_ROCKY_M</v>
      </c>
      <c r="Y790" s="251" t="n">
        <f aca="false">H790/10000</f>
        <v>-60</v>
      </c>
      <c r="Z790" s="226" t="e">
        <f aca="false">T790/H790</f>
        <v>#NAME?</v>
      </c>
      <c r="AA790" s="226" t="e">
        <f aca="false">xSPRDOPT($L790,$J790,$I790,$M790,$O790,$N790,$P790,$Q790-$C$3,$R790,3)</f>
        <v>#NAME?</v>
      </c>
      <c r="AB790" s="226" t="e">
        <f aca="false">((xSPRDOPT($L790+AB$5,$J790,$I790,$M790,$O790,$N790,$P790,$Q790-$C$3,$R790,3)*$H790)/10000)/100</f>
        <v>#NAME?</v>
      </c>
      <c r="AC790" s="226" t="e">
        <f aca="false">((xSPRDOPT($L790+$AB$5,$J790,$I790,$M790,$O790,$N790,$P790,$Q790-$C$3,$R790,7)*$H790)/100)</f>
        <v>#NAME?</v>
      </c>
      <c r="AD790" s="226" t="e">
        <f aca="false">(xSPRDOPT($L790+$AB$5,$J790,$I790,$M790,$O790,$N790,$P790,$Q790-$C$3,$R790,9)/365)*$H790</f>
        <v>#NAME?</v>
      </c>
      <c r="AE790" s="0" t="e">
        <f aca="false">CD792</f>
        <v>#NAME?</v>
      </c>
      <c r="AF790" s="226" t="e">
        <f aca="false">((O790/N790)*AH790)+AG790</f>
        <v>#NAME?</v>
      </c>
      <c r="AG790" s="226" t="e">
        <f aca="false">((xSPRDOPT($L790,$J790,$I790,$M790,$O790,$N790,$P790,$Q790-$C$3,$R790,6)*$H790)/100)</f>
        <v>#NAME?</v>
      </c>
      <c r="AH790" s="226" t="e">
        <f aca="false">((xSPRDOPT($L790,$J790,$I790,$M790,$O790,$N790,$P790,$Q790-$C$3,$R790,5)*$H790)/100)</f>
        <v>#NAME?</v>
      </c>
      <c r="AI790" s="226" t="e">
        <f aca="false">(((xSPRDOPT($L790,$J790,$I790,$M790,$O790,$N790,$P790,$Q790-$C$3,$R790,4)*$H790)/10000)/100)-AB790</f>
        <v>#NAME?</v>
      </c>
      <c r="AJ790" s="226"/>
      <c r="CC790" s="182" t="n">
        <f aca="false">G788</f>
        <v>36923</v>
      </c>
      <c r="CD790" s="253" t="e">
        <f aca="false">xSPRDOPT((VLOOKUP(G788,NGPrices,2,FALSE())+HLOOKUP(D788,Prices,VLOOKUP(G788,move_down,2,FALSE()),FALSE())),VLOOKUP(G788,NGPrices,2,FALSE()),I788,VLOOKUP(G788,NGPREVPRICES,4,FALSE()),HLOOKUP(D788,PREVVOLS,VLOOKUP(G788,MOVE_DOWN2,2,FALSE()),FALSE()),VLOOKUP(G788,NGPREVPRICES,3,FALSE()),HLOOKUP(D788,Correllate,VLOOKUP(G788,CorMove,2,FALSE()),FALSE()),Q788-$CD$3,R788,$CD$5)*H788-CJ790</f>
        <v>#NAME?</v>
      </c>
      <c r="CE790" s="253" t="e">
        <f aca="false">xSPRDOPT((VLOOKUP(G788,NGPREVPRICES,2,FALSE())+HLOOKUP(D788,PREVCURVES,VLOOKUP(G788,MOVE_DOWN2,2,FALSE()),FALSE())),VLOOKUP(G788,NGPREVPRICES,2,FALSE()),CK790,VLOOKUP(G788,NGPrices,4,FALSE()),HLOOKUP(D788,PREVVOLS,VLOOKUP(G788,MOVE_DOWN2,2,FALSE()),FALSE()),VLOOKUP(G788,NGPREVPRICES,3,FALSE()),HLOOKUP(D788,Correllate,VLOOKUP(G788,CorMove,2,FALSE()),FALSE()),Q788-$CD$3,R788,$CJ$5)*H788-CJ790</f>
        <v>#NAME?</v>
      </c>
      <c r="CF790" s="132" t="e">
        <f aca="false">(CJ790/VLOOKUP(CC790,discount,3,FALSE()))-(CJ790/VLOOKUP(CC790,discount,2,FALSE()))</f>
        <v>#NAME?</v>
      </c>
      <c r="CG790" s="253" t="e">
        <f aca="false">xSPRDOPT((VLOOKUP(G788,NGPREVPRICES,2,FALSE())+HLOOKUP(D788,PREVCURVES,VLOOKUP(G788,MOVE_DOWN2,2,FALSE()),FALSE())),VLOOKUP(G788,NGPREVPRICES,2,FALSE()),CK790,VLOOKUP(G788,NGPREVPRICES,4,FALSE()),HLOOKUP(D788,VOLS,VLOOKUP(G788,move_down,2,FALSE()),FALSE()),VLOOKUP(G788,NGPrices,3,FALSE()),HLOOKUP(D788,Correllate,VLOOKUP(G788,CorMove,2,FALSE()),FALSE()),Q788-$CD$3,R788,$CJ$5)*H788-CJ790</f>
        <v>#NAME?</v>
      </c>
      <c r="CH790" s="253" t="e">
        <f aca="false">xSPRDOPT((VLOOKUP(G788,NGPREVPRICES,2,FALSE())+HLOOKUP(D788,PREVCURVES,VLOOKUP(G788,MOVE_DOWN2,2,FALSE()),FALSE())),VLOOKUP(G788,NGPREVPRICES,2,FALSE()),CK790,VLOOKUP(G788,NGPREVPRICES,4,FALSE()),HLOOKUP(D788,PREVVOLS,VLOOKUP(G788,MOVE_DOWN2,2,FALSE()),FALSE()),VLOOKUP(G788,NGPREVPRICES,3,FALSE()),HLOOKUP(D788,Correllate,VLOOKUP(G788,CorMove,2,FALSE()),FALSE()),Q788-$C$3,R788,$CJ$5)*H788-CJ790</f>
        <v>#NAME?</v>
      </c>
      <c r="CI790" s="253" t="e">
        <f aca="false">SUM(CD790:CH790)</f>
        <v>#NAME?</v>
      </c>
      <c r="CJ790" s="253" t="e">
        <f aca="false">xSPRDOPT((VLOOKUP(G788,NGPREVPRICES,2,FALSE())+HLOOKUP(D788,PREVCURVES,VLOOKUP(G788,MOVE_DOWN2,2,FALSE()),FALSE())),VLOOKUP(G788,NGPREVPRICES,2,FALSE()),CK790,VLOOKUP(G788,NGPREVPRICES,4,FALSE()),HLOOKUP(D788,PREVVOLS,VLOOKUP(G788,MOVE_DOWN2,2,FALSE()),FALSE()),VLOOKUP(G788,NGPREVPRICES,3,FALSE()),HLOOKUP(D788,Correllate,VLOOKUP(G788,CorMove,2,FALSE()),FALSE()),Q788-$CD$3,R788,$CJ$5)*H788</f>
        <v>#NAME?</v>
      </c>
      <c r="CK790" s="254" t="n">
        <f aca="false">I788</f>
        <v>1</v>
      </c>
      <c r="CM790" s="0" t="str">
        <f aca="false">CONCATENATE(CC790,$CD$6)</f>
        <v>36923Curve Shift/Gamma</v>
      </c>
      <c r="CN790" s="0" t="str">
        <f aca="false">CONCATENATE($CC790,$CE$6)</f>
        <v>36923Rho</v>
      </c>
      <c r="CO790" s="0" t="str">
        <f aca="false">CONCATENATE($CC790,$CF$6)</f>
        <v>36923Drift</v>
      </c>
      <c r="CP790" s="0" t="str">
        <f aca="false">CONCATENATE($CC790,$CG$6)</f>
        <v>36923Vega</v>
      </c>
      <c r="CQ790" s="0" t="str">
        <f aca="false">CONCATENATE($CC790,$CH$6)</f>
        <v>36923Theta</v>
      </c>
    </row>
    <row r="791" customFormat="false" ht="12.75" hidden="false" customHeight="false" outlineLevel="0" collapsed="false">
      <c r="A791" s="17" t="s">
        <v>275</v>
      </c>
      <c r="B791" s="0" t="s">
        <v>192</v>
      </c>
      <c r="C791" s="0" t="s">
        <v>454</v>
      </c>
      <c r="D791" s="7" t="s">
        <v>151</v>
      </c>
      <c r="E791" s="0" t="s">
        <v>131</v>
      </c>
      <c r="F791" s="0" t="s">
        <v>136</v>
      </c>
      <c r="G791" s="92" t="n">
        <v>36861</v>
      </c>
      <c r="H791" s="248" t="n">
        <v>-620000</v>
      </c>
      <c r="I791" s="254" t="n">
        <v>-0.2</v>
      </c>
      <c r="J791" s="124" t="n">
        <f aca="false">VLOOKUP(G791,NGPrices,2,FALSE())</f>
        <v>4.8</v>
      </c>
      <c r="K791" s="125" t="n">
        <f aca="false">HLOOKUP(D791,Prices,VLOOKUP(G791,move_down,2,FALSE()),FALSE())+VLOOKUP(G791,CHANGE,HLOOKUP(D791,CHANGE,2,FALSE()),FALSE())</f>
        <v>-0.3575</v>
      </c>
      <c r="L791" s="124" t="n">
        <f aca="false">K791+J791</f>
        <v>4.4425</v>
      </c>
      <c r="M791" s="126" t="n">
        <f aca="false">VLOOKUP(G791,NGPrices,4,FALSE())</f>
        <v>0.068314027999354</v>
      </c>
      <c r="N791" s="7" t="n">
        <f aca="false">VLOOKUP(G791,NGPrices,3,FALSE())</f>
        <v>0.6</v>
      </c>
      <c r="O791" s="7" t="n">
        <f aca="false">HLOOKUP(D791,VOLS,VLOOKUP(G791,move_down,2,FALSE()),FALSE())</f>
        <v>0.576</v>
      </c>
      <c r="P791" s="249" t="n">
        <f aca="false">HLOOKUP(D791,Correllate,VLOOKUP(G791,CorMove,2,FALSE()),FALSE())</f>
        <v>0.93</v>
      </c>
      <c r="Q791" s="92" t="n">
        <f aca="false">WORKDAY(G791,-2)</f>
        <v>36859</v>
      </c>
      <c r="R791" s="7" t="n">
        <f aca="false">IF(F791="P",0,1)</f>
        <v>1</v>
      </c>
      <c r="S791" s="130" t="e">
        <f aca="false">xSPRDOPT($L791,$J791,$I791,$M791,$O791,$N791,$P791,$Q791-$C$3,$R791,0)</f>
        <v>#NAME?</v>
      </c>
      <c r="T791" s="250" t="e">
        <f aca="false">xSPRDOPT($L791,$J791,$I791,$M791,$O791,$N791,$P791,$Q791-$C$3,$R791,1)*H791</f>
        <v>#NAME?</v>
      </c>
      <c r="U791" s="43" t="e">
        <f aca="false">S791*H791</f>
        <v>#NAME?</v>
      </c>
      <c r="V791" s="250" t="e">
        <f aca="false">xSPRDOPT($L791,$J791,$I791,$M791,$O791,$N791,$P791,$Q791-$C$3,$R791,2)*H791</f>
        <v>#NAME?</v>
      </c>
      <c r="W791" s="250" t="e">
        <f aca="false">+V791+T791</f>
        <v>#NAME?</v>
      </c>
      <c r="X791" s="2" t="str">
        <f aca="false">CONCATENATE(G791,D791)</f>
        <v>36861IF-NWPL_ROCKY_M</v>
      </c>
      <c r="Y791" s="251" t="n">
        <f aca="false">H791/10000</f>
        <v>-62</v>
      </c>
      <c r="Z791" s="226" t="e">
        <f aca="false">T791/H791</f>
        <v>#NAME?</v>
      </c>
      <c r="AA791" s="226" t="e">
        <f aca="false">xSPRDOPT($L791,$J791,$I791,$M791,$O791,$N791,$P791,$Q791-$C$3,$R791,3)</f>
        <v>#NAME?</v>
      </c>
      <c r="AB791" s="226" t="e">
        <f aca="false">((xSPRDOPT($L791+AB$5,$J791,$I791,$M791,$O791,$N791,$P791,$Q791-$C$3,$R791,3)*$H791)/10000)/100</f>
        <v>#NAME?</v>
      </c>
      <c r="AC791" s="226" t="e">
        <f aca="false">((xSPRDOPT($L791+$AB$5,$J791,$I791,$M791,$O791,$N791,$P791,$Q791-$C$3,$R791,7)*$H791)/100)</f>
        <v>#NAME?</v>
      </c>
      <c r="AD791" s="226" t="e">
        <f aca="false">(xSPRDOPT($L791+$AB$5,$J791,$I791,$M791,$O791,$N791,$P791,$Q791-$C$3,$R791,9)/365)*$H791</f>
        <v>#NAME?</v>
      </c>
      <c r="AE791" s="0" t="e">
        <f aca="false">CD793</f>
        <v>#NAME?</v>
      </c>
      <c r="AF791" s="226" t="e">
        <f aca="false">((O791/N791)*AH791)+AG791</f>
        <v>#NAME?</v>
      </c>
      <c r="AG791" s="226" t="e">
        <f aca="false">((xSPRDOPT($L791,$J791,$I791,$M791,$O791,$N791,$P791,$Q791-$C$3,$R791,6)*$H791)/100)</f>
        <v>#NAME?</v>
      </c>
      <c r="AH791" s="226" t="e">
        <f aca="false">((xSPRDOPT($L791,$J791,$I791,$M791,$O791,$N791,$P791,$Q791-$C$3,$R791,5)*$H791)/100)</f>
        <v>#NAME?</v>
      </c>
      <c r="AI791" s="226" t="e">
        <f aca="false">(((xSPRDOPT($L791,$J791,$I791,$M791,$O791,$N791,$P791,$Q791-$C$3,$R791,4)*$H791)/10000)/100)-AB791</f>
        <v>#NAME?</v>
      </c>
      <c r="AJ791" s="226"/>
      <c r="CC791" s="182" t="n">
        <f aca="false">G789</f>
        <v>36951</v>
      </c>
      <c r="CD791" s="253" t="e">
        <f aca="false">xSPRDOPT((VLOOKUP(G789,NGPrices,2,FALSE())+HLOOKUP(D789,Prices,VLOOKUP(G789,move_down,2,FALSE()),FALSE())),VLOOKUP(G789,NGPrices,2,FALSE()),I789,VLOOKUP(G789,NGPREVPRICES,4,FALSE()),HLOOKUP(D789,PREVVOLS,VLOOKUP(G789,MOVE_DOWN2,2,FALSE()),FALSE()),VLOOKUP(G789,NGPREVPRICES,3,FALSE()),HLOOKUP(D789,Correllate,VLOOKUP(G789,CorMove,2,FALSE()),FALSE()),Q789-$CD$3,R789,$CD$5)*H789-CJ791</f>
        <v>#NAME?</v>
      </c>
      <c r="CE791" s="253" t="e">
        <f aca="false">xSPRDOPT((VLOOKUP(G789,NGPREVPRICES,2,FALSE())+HLOOKUP(D789,PREVCURVES,VLOOKUP(G789,MOVE_DOWN2,2,FALSE()),FALSE())),VLOOKUP(G789,NGPREVPRICES,2,FALSE()),CK791,VLOOKUP(G789,NGPrices,4,FALSE()),HLOOKUP(D789,PREVVOLS,VLOOKUP(G789,MOVE_DOWN2,2,FALSE()),FALSE()),VLOOKUP(G789,NGPREVPRICES,3,FALSE()),HLOOKUP(D789,Correllate,VLOOKUP(G789,CorMove,2,FALSE()),FALSE()),Q789-$CD$3,R789,$CJ$5)*H789-CJ791</f>
        <v>#NAME?</v>
      </c>
      <c r="CF791" s="132" t="e">
        <f aca="false">(CJ791/VLOOKUP(CC791,discount,3,FALSE()))-(CJ791/VLOOKUP(CC791,discount,2,FALSE()))</f>
        <v>#NAME?</v>
      </c>
      <c r="CG791" s="253" t="e">
        <f aca="false">xSPRDOPT((VLOOKUP(G789,NGPREVPRICES,2,FALSE())+HLOOKUP(D789,PREVCURVES,VLOOKUP(G789,MOVE_DOWN2,2,FALSE()),FALSE())),VLOOKUP(G789,NGPREVPRICES,2,FALSE()),CK791,VLOOKUP(G789,NGPREVPRICES,4,FALSE()),HLOOKUP(D789,VOLS,VLOOKUP(G789,move_down,2,FALSE()),FALSE()),VLOOKUP(G789,NGPrices,3,FALSE()),HLOOKUP(D789,Correllate,VLOOKUP(G789,CorMove,2,FALSE()),FALSE()),Q789-$CD$3,R789,$CJ$5)*H789-CJ791</f>
        <v>#NAME?</v>
      </c>
      <c r="CH791" s="253" t="e">
        <f aca="false">xSPRDOPT((VLOOKUP(G789,NGPREVPRICES,2,FALSE())+HLOOKUP(D789,PREVCURVES,VLOOKUP(G789,MOVE_DOWN2,2,FALSE()),FALSE())),VLOOKUP(G789,NGPREVPRICES,2,FALSE()),CK791,VLOOKUP(G789,NGPREVPRICES,4,FALSE()),HLOOKUP(D789,PREVVOLS,VLOOKUP(G789,MOVE_DOWN2,2,FALSE()),FALSE()),VLOOKUP(G789,NGPREVPRICES,3,FALSE()),HLOOKUP(D789,Correllate,VLOOKUP(G789,CorMove,2,FALSE()),FALSE()),Q789-$C$3,R789,$CJ$5)*H789-CJ791</f>
        <v>#NAME?</v>
      </c>
      <c r="CI791" s="253" t="e">
        <f aca="false">SUM(CD791:CH791)</f>
        <v>#NAME?</v>
      </c>
      <c r="CJ791" s="253" t="e">
        <f aca="false">xSPRDOPT((VLOOKUP(G789,NGPREVPRICES,2,FALSE())+HLOOKUP(D789,PREVCURVES,VLOOKUP(G789,MOVE_DOWN2,2,FALSE()),FALSE())),VLOOKUP(G789,NGPREVPRICES,2,FALSE()),CK791,VLOOKUP(G789,NGPREVPRICES,4,FALSE()),HLOOKUP(D789,PREVVOLS,VLOOKUP(G789,MOVE_DOWN2,2,FALSE()),FALSE()),VLOOKUP(G789,NGPREVPRICES,3,FALSE()),HLOOKUP(D789,Correllate,VLOOKUP(G789,CorMove,2,FALSE()),FALSE()),Q789-$CD$3,R789,$CJ$5)*H789</f>
        <v>#NAME?</v>
      </c>
      <c r="CK791" s="254" t="n">
        <f aca="false">I789</f>
        <v>1</v>
      </c>
      <c r="CM791" s="0" t="str">
        <f aca="false">CONCATENATE(CC791,$CD$6)</f>
        <v>36951Curve Shift/Gamma</v>
      </c>
      <c r="CN791" s="0" t="str">
        <f aca="false">CONCATENATE($CC791,$CE$6)</f>
        <v>36951Rho</v>
      </c>
      <c r="CO791" s="0" t="str">
        <f aca="false">CONCATENATE($CC791,$CF$6)</f>
        <v>36951Drift</v>
      </c>
      <c r="CP791" s="0" t="str">
        <f aca="false">CONCATENATE($CC791,$CG$6)</f>
        <v>36951Vega</v>
      </c>
      <c r="CQ791" s="0" t="str">
        <f aca="false">CONCATENATE($CC791,$CH$6)</f>
        <v>36951Theta</v>
      </c>
    </row>
    <row r="792" customFormat="false" ht="12.75" hidden="false" customHeight="false" outlineLevel="0" collapsed="false">
      <c r="A792" s="17" t="s">
        <v>275</v>
      </c>
      <c r="B792" s="0" t="s">
        <v>192</v>
      </c>
      <c r="C792" s="0" t="s">
        <v>454</v>
      </c>
      <c r="D792" s="7" t="s">
        <v>151</v>
      </c>
      <c r="E792" s="0" t="s">
        <v>131</v>
      </c>
      <c r="F792" s="0" t="s">
        <v>136</v>
      </c>
      <c r="G792" s="92" t="n">
        <v>36892</v>
      </c>
      <c r="H792" s="248" t="n">
        <v>-620000</v>
      </c>
      <c r="I792" s="254" t="n">
        <v>-0.2</v>
      </c>
      <c r="J792" s="124" t="n">
        <f aca="false">VLOOKUP(G792,NGPrices,2,FALSE())</f>
        <v>4.744</v>
      </c>
      <c r="K792" s="125" t="n">
        <f aca="false">HLOOKUP(D792,Prices,VLOOKUP(G792,move_down,2,FALSE()),FALSE())+VLOOKUP(G792,CHANGE,HLOOKUP(D792,CHANGE,2,FALSE()),FALSE())</f>
        <v>-0.3675</v>
      </c>
      <c r="L792" s="124" t="n">
        <f aca="false">K792+J792</f>
        <v>4.3765</v>
      </c>
      <c r="M792" s="126" t="n">
        <f aca="false">VLOOKUP(G792,NGPrices,4,FALSE())</f>
        <v>0.068374831148491</v>
      </c>
      <c r="N792" s="7" t="n">
        <f aca="false">VLOOKUP(G792,NGPrices,3,FALSE())</f>
        <v>0.605</v>
      </c>
      <c r="O792" s="7" t="n">
        <f aca="false">HLOOKUP(D792,VOLS,VLOOKUP(G792,move_down,2,FALSE()),FALSE())</f>
        <v>0.581</v>
      </c>
      <c r="P792" s="249" t="n">
        <f aca="false">HLOOKUP(D792,Correllate,VLOOKUP(G792,CorMove,2,FALSE()),FALSE())</f>
        <v>0.93</v>
      </c>
      <c r="Q792" s="92" t="n">
        <f aca="false">WORKDAY(G792,-2)</f>
        <v>36888</v>
      </c>
      <c r="R792" s="7" t="n">
        <f aca="false">IF(F792="P",0,1)</f>
        <v>1</v>
      </c>
      <c r="S792" s="130" t="e">
        <f aca="false">xSPRDOPT($L792,$J792,$I792,$M792,$O792,$N792,$P792,$Q792-$C$3,$R792,0)</f>
        <v>#NAME?</v>
      </c>
      <c r="T792" s="250" t="e">
        <f aca="false">xSPRDOPT($L792,$J792,$I792,$M792,$O792,$N792,$P792,$Q792-$C$3,$R792,1)*H792</f>
        <v>#NAME?</v>
      </c>
      <c r="U792" s="43" t="e">
        <f aca="false">S792*H792</f>
        <v>#NAME?</v>
      </c>
      <c r="V792" s="250" t="e">
        <f aca="false">xSPRDOPT($L792,$J792,$I792,$M792,$O792,$N792,$P792,$Q792-$C$3,$R792,2)*H792</f>
        <v>#NAME?</v>
      </c>
      <c r="W792" s="250" t="e">
        <f aca="false">+V792+T792</f>
        <v>#NAME?</v>
      </c>
      <c r="X792" s="2" t="str">
        <f aca="false">CONCATENATE(G792,D792)</f>
        <v>36892IF-NWPL_ROCKY_M</v>
      </c>
      <c r="Y792" s="251" t="n">
        <f aca="false">H792/10000</f>
        <v>-62</v>
      </c>
      <c r="Z792" s="226" t="e">
        <f aca="false">T792/H792</f>
        <v>#NAME?</v>
      </c>
      <c r="AA792" s="226" t="e">
        <f aca="false">xSPRDOPT($L792,$J792,$I792,$M792,$O792,$N792,$P792,$Q792-$C$3,$R792,3)</f>
        <v>#NAME?</v>
      </c>
      <c r="AB792" s="226" t="e">
        <f aca="false">((xSPRDOPT($L792+AB$5,$J792,$I792,$M792,$O792,$N792,$P792,$Q792-$C$3,$R792,3)*$H792)/10000)/100</f>
        <v>#NAME?</v>
      </c>
      <c r="AC792" s="226" t="e">
        <f aca="false">((xSPRDOPT($L792+$AB$5,$J792,$I792,$M792,$O792,$N792,$P792,$Q792-$C$3,$R792,7)*$H792)/100)</f>
        <v>#NAME?</v>
      </c>
      <c r="AD792" s="226" t="e">
        <f aca="false">(xSPRDOPT($L792+$AB$5,$J792,$I792,$M792,$O792,$N792,$P792,$Q792-$C$3,$R792,9)/365)*$H792</f>
        <v>#NAME?</v>
      </c>
      <c r="AE792" s="0" t="e">
        <f aca="false">CD794</f>
        <v>#NAME?</v>
      </c>
      <c r="AF792" s="226" t="e">
        <f aca="false">((O792/N792)*AH792)+AG792</f>
        <v>#NAME?</v>
      </c>
      <c r="AG792" s="226" t="e">
        <f aca="false">((xSPRDOPT($L792,$J792,$I792,$M792,$O792,$N792,$P792,$Q792-$C$3,$R792,6)*$H792)/100)</f>
        <v>#NAME?</v>
      </c>
      <c r="AH792" s="226" t="e">
        <f aca="false">((xSPRDOPT($L792,$J792,$I792,$M792,$O792,$N792,$P792,$Q792-$C$3,$R792,5)*$H792)/100)</f>
        <v>#NAME?</v>
      </c>
      <c r="AI792" s="226" t="e">
        <f aca="false">(((xSPRDOPT($L792,$J792,$I792,$M792,$O792,$N792,$P792,$Q792-$C$3,$R792,4)*$H792)/10000)/100)-AB792</f>
        <v>#NAME?</v>
      </c>
      <c r="AJ792" s="226"/>
      <c r="CC792" s="182" t="n">
        <f aca="false">G790</f>
        <v>36831</v>
      </c>
      <c r="CD792" s="253" t="e">
        <f aca="false">xSPRDOPT((VLOOKUP(G790,NGPrices,2,FALSE())+HLOOKUP(D790,Prices,VLOOKUP(G790,move_down,2,FALSE()),FALSE())),VLOOKUP(G790,NGPrices,2,FALSE()),I790,VLOOKUP(G790,NGPREVPRICES,4,FALSE()),HLOOKUP(D790,PREVVOLS,VLOOKUP(G790,MOVE_DOWN2,2,FALSE()),FALSE()),VLOOKUP(G790,NGPREVPRICES,3,FALSE()),HLOOKUP(D790,Correllate,VLOOKUP(G790,CorMove,2,FALSE()),FALSE()),Q790-$CD$3,R790,$CD$5)*H790-CJ792</f>
        <v>#NAME?</v>
      </c>
      <c r="CE792" s="253" t="e">
        <f aca="false">xSPRDOPT((VLOOKUP(G790,NGPREVPRICES,2,FALSE())+HLOOKUP(D790,PREVCURVES,VLOOKUP(G790,MOVE_DOWN2,2,FALSE()),FALSE())),VLOOKUP(G790,NGPREVPRICES,2,FALSE()),CK792,VLOOKUP(G790,NGPrices,4,FALSE()),HLOOKUP(D790,PREVVOLS,VLOOKUP(G790,MOVE_DOWN2,2,FALSE()),FALSE()),VLOOKUP(G790,NGPREVPRICES,3,FALSE()),HLOOKUP(D790,Correllate,VLOOKUP(G790,CorMove,2,FALSE()),FALSE()),Q790-$CD$3,R790,$CJ$5)*H790-CJ792</f>
        <v>#NAME?</v>
      </c>
      <c r="CF792" s="132" t="e">
        <f aca="false">(CJ792/VLOOKUP(CC792,discount,3,FALSE()))-(CJ792/VLOOKUP(CC792,discount,2,FALSE()))</f>
        <v>#NAME?</v>
      </c>
      <c r="CG792" s="253" t="e">
        <f aca="false">xSPRDOPT((VLOOKUP(G790,NGPREVPRICES,2,FALSE())+HLOOKUP(D790,PREVCURVES,VLOOKUP(G790,MOVE_DOWN2,2,FALSE()),FALSE())),VLOOKUP(G790,NGPREVPRICES,2,FALSE()),CK792,VLOOKUP(G790,NGPREVPRICES,4,FALSE()),HLOOKUP(D790,VOLS,VLOOKUP(G790,move_down,2,FALSE()),FALSE()),VLOOKUP(G790,NGPrices,3,FALSE()),HLOOKUP(D790,Correllate,VLOOKUP(G790,CorMove,2,FALSE()),FALSE()),Q790-$CD$3,R790,$CJ$5)*H790-CJ792</f>
        <v>#NAME?</v>
      </c>
      <c r="CH792" s="253" t="e">
        <f aca="false">xSPRDOPT((VLOOKUP(G790,NGPREVPRICES,2,FALSE())+HLOOKUP(D790,PREVCURVES,VLOOKUP(G790,MOVE_DOWN2,2,FALSE()),FALSE())),VLOOKUP(G790,NGPREVPRICES,2,FALSE()),CK792,VLOOKUP(G790,NGPREVPRICES,4,FALSE()),HLOOKUP(D790,PREVVOLS,VLOOKUP(G790,MOVE_DOWN2,2,FALSE()),FALSE()),VLOOKUP(G790,NGPREVPRICES,3,FALSE()),HLOOKUP(D790,Correllate,VLOOKUP(G790,CorMove,2,FALSE()),FALSE()),Q790-$C$3,R790,$CJ$5)*H790-CJ792</f>
        <v>#NAME?</v>
      </c>
      <c r="CI792" s="253" t="e">
        <f aca="false">SUM(CD792:CH792)</f>
        <v>#NAME?</v>
      </c>
      <c r="CJ792" s="253" t="e">
        <f aca="false">xSPRDOPT((VLOOKUP(G790,NGPREVPRICES,2,FALSE())+HLOOKUP(D790,PREVCURVES,VLOOKUP(G790,MOVE_DOWN2,2,FALSE()),FALSE())),VLOOKUP(G790,NGPREVPRICES,2,FALSE()),CK792,VLOOKUP(G790,NGPREVPRICES,4,FALSE()),HLOOKUP(D790,PREVVOLS,VLOOKUP(G790,MOVE_DOWN2,2,FALSE()),FALSE()),VLOOKUP(G790,NGPREVPRICES,3,FALSE()),HLOOKUP(D790,Correllate,VLOOKUP(G790,CorMove,2,FALSE()),FALSE()),Q790-$CD$3,R790,$CJ$5)*H790</f>
        <v>#NAME?</v>
      </c>
      <c r="CK792" s="254" t="n">
        <f aca="false">I790</f>
        <v>-0.2</v>
      </c>
      <c r="CM792" s="0" t="str">
        <f aca="false">CONCATENATE(CC792,$CD$6)</f>
        <v>36831Curve Shift/Gamma</v>
      </c>
      <c r="CN792" s="0" t="str">
        <f aca="false">CONCATENATE($CC792,$CE$6)</f>
        <v>36831Rho</v>
      </c>
      <c r="CO792" s="0" t="str">
        <f aca="false">CONCATENATE($CC792,$CF$6)</f>
        <v>36831Drift</v>
      </c>
      <c r="CP792" s="0" t="str">
        <f aca="false">CONCATENATE($CC792,$CG$6)</f>
        <v>36831Vega</v>
      </c>
      <c r="CQ792" s="0" t="str">
        <f aca="false">CONCATENATE($CC792,$CH$6)</f>
        <v>36831Theta</v>
      </c>
    </row>
    <row r="793" customFormat="false" ht="12.75" hidden="false" customHeight="false" outlineLevel="0" collapsed="false">
      <c r="A793" s="17" t="s">
        <v>275</v>
      </c>
      <c r="B793" s="0" t="s">
        <v>192</v>
      </c>
      <c r="C793" s="0" t="s">
        <v>454</v>
      </c>
      <c r="D793" s="7" t="s">
        <v>151</v>
      </c>
      <c r="E793" s="0" t="s">
        <v>131</v>
      </c>
      <c r="F793" s="0" t="s">
        <v>136</v>
      </c>
      <c r="G793" s="92" t="n">
        <v>36923</v>
      </c>
      <c r="H793" s="248" t="n">
        <v>-560000</v>
      </c>
      <c r="I793" s="254" t="n">
        <v>-0.2</v>
      </c>
      <c r="J793" s="124" t="n">
        <f aca="false">VLOOKUP(G793,NGPrices,2,FALSE())</f>
        <v>4.48</v>
      </c>
      <c r="K793" s="125" t="n">
        <f aca="false">HLOOKUP(D793,Prices,VLOOKUP(G793,move_down,2,FALSE()),FALSE())+VLOOKUP(G793,CHANGE,HLOOKUP(D793,CHANGE,2,FALSE()),FALSE())</f>
        <v>-0.3875</v>
      </c>
      <c r="L793" s="124" t="n">
        <f aca="false">K793+J793</f>
        <v>4.0925</v>
      </c>
      <c r="M793" s="126" t="n">
        <f aca="false">VLOOKUP(G793,NGPrices,4,FALSE())</f>
        <v>0.068640161611372</v>
      </c>
      <c r="N793" s="7" t="n">
        <f aca="false">VLOOKUP(G793,NGPrices,3,FALSE())</f>
        <v>0.5925</v>
      </c>
      <c r="O793" s="7" t="n">
        <f aca="false">HLOOKUP(D793,VOLS,VLOOKUP(G793,move_down,2,FALSE()),FALSE())</f>
        <v>0.569</v>
      </c>
      <c r="P793" s="249" t="n">
        <f aca="false">HLOOKUP(D793,Correllate,VLOOKUP(G793,CorMove,2,FALSE()),FALSE())</f>
        <v>0.93</v>
      </c>
      <c r="Q793" s="92" t="n">
        <f aca="false">WORKDAY(G793,-2)</f>
        <v>36921</v>
      </c>
      <c r="R793" s="7" t="n">
        <f aca="false">IF(F793="P",0,1)</f>
        <v>1</v>
      </c>
      <c r="S793" s="130" t="e">
        <f aca="false">xSPRDOPT($L793,$J793,$I793,$M793,$O793,$N793,$P793,$Q793-$C$3,$R793,0)</f>
        <v>#NAME?</v>
      </c>
      <c r="T793" s="250" t="e">
        <f aca="false">xSPRDOPT($L793,$J793,$I793,$M793,$O793,$N793,$P793,$Q793-$C$3,$R793,1)*H793</f>
        <v>#NAME?</v>
      </c>
      <c r="U793" s="43" t="e">
        <f aca="false">S793*H793</f>
        <v>#NAME?</v>
      </c>
      <c r="V793" s="250" t="e">
        <f aca="false">xSPRDOPT($L793,$J793,$I793,$M793,$O793,$N793,$P793,$Q793-$C$3,$R793,2)*H793</f>
        <v>#NAME?</v>
      </c>
      <c r="W793" s="250" t="e">
        <f aca="false">+V793+T793</f>
        <v>#NAME?</v>
      </c>
      <c r="X793" s="2" t="str">
        <f aca="false">CONCATENATE(G793,D793)</f>
        <v>36923IF-NWPL_ROCKY_M</v>
      </c>
      <c r="Y793" s="251" t="n">
        <f aca="false">H793/10000</f>
        <v>-56</v>
      </c>
      <c r="Z793" s="226" t="e">
        <f aca="false">T793/H793</f>
        <v>#NAME?</v>
      </c>
      <c r="AA793" s="226" t="e">
        <f aca="false">xSPRDOPT($L793,$J793,$I793,$M793,$O793,$N793,$P793,$Q793-$C$3,$R793,3)</f>
        <v>#NAME?</v>
      </c>
      <c r="AB793" s="226" t="e">
        <f aca="false">((xSPRDOPT($L793+AB$5,$J793,$I793,$M793,$O793,$N793,$P793,$Q793-$C$3,$R793,3)*$H793)/10000)/100</f>
        <v>#NAME?</v>
      </c>
      <c r="AC793" s="226" t="e">
        <f aca="false">((xSPRDOPT($L793+$AB$5,$J793,$I793,$M793,$O793,$N793,$P793,$Q793-$C$3,$R793,7)*$H793)/100)</f>
        <v>#NAME?</v>
      </c>
      <c r="AD793" s="226" t="e">
        <f aca="false">(xSPRDOPT($L793+$AB$5,$J793,$I793,$M793,$O793,$N793,$P793,$Q793-$C$3,$R793,9)/365)*$H793</f>
        <v>#NAME?</v>
      </c>
      <c r="AE793" s="0" t="e">
        <f aca="false">CD795</f>
        <v>#NAME?</v>
      </c>
      <c r="AF793" s="226" t="e">
        <f aca="false">((O793/N793)*AH793)+AG793</f>
        <v>#NAME?</v>
      </c>
      <c r="AG793" s="226" t="e">
        <f aca="false">((xSPRDOPT($L793,$J793,$I793,$M793,$O793,$N793,$P793,$Q793-$C$3,$R793,6)*$H793)/100)</f>
        <v>#NAME?</v>
      </c>
      <c r="AH793" s="226" t="e">
        <f aca="false">((xSPRDOPT($L793,$J793,$I793,$M793,$O793,$N793,$P793,$Q793-$C$3,$R793,5)*$H793)/100)</f>
        <v>#NAME?</v>
      </c>
      <c r="AI793" s="226" t="e">
        <f aca="false">(((xSPRDOPT($L793,$J793,$I793,$M793,$O793,$N793,$P793,$Q793-$C$3,$R793,4)*$H793)/10000)/100)-AB793</f>
        <v>#NAME?</v>
      </c>
      <c r="AJ793" s="226"/>
      <c r="CC793" s="182" t="n">
        <f aca="false">G791</f>
        <v>36861</v>
      </c>
      <c r="CD793" s="253" t="e">
        <f aca="false">xSPRDOPT((VLOOKUP(G791,NGPrices,2,FALSE())+HLOOKUP(D791,Prices,VLOOKUP(G791,move_down,2,FALSE()),FALSE())),VLOOKUP(G791,NGPrices,2,FALSE()),I791,VLOOKUP(G791,NGPREVPRICES,4,FALSE()),HLOOKUP(D791,PREVVOLS,VLOOKUP(G791,MOVE_DOWN2,2,FALSE()),FALSE()),VLOOKUP(G791,NGPREVPRICES,3,FALSE()),HLOOKUP(D791,Correllate,VLOOKUP(G791,CorMove,2,FALSE()),FALSE()),Q791-$CD$3,R791,$CD$5)*H791-CJ793</f>
        <v>#NAME?</v>
      </c>
      <c r="CE793" s="253" t="e">
        <f aca="false">xSPRDOPT((VLOOKUP(G791,NGPREVPRICES,2,FALSE())+HLOOKUP(D791,PREVCURVES,VLOOKUP(G791,MOVE_DOWN2,2,FALSE()),FALSE())),VLOOKUP(G791,NGPREVPRICES,2,FALSE()),CK793,VLOOKUP(G791,NGPrices,4,FALSE()),HLOOKUP(D791,PREVVOLS,VLOOKUP(G791,MOVE_DOWN2,2,FALSE()),FALSE()),VLOOKUP(G791,NGPREVPRICES,3,FALSE()),HLOOKUP(D791,Correllate,VLOOKUP(G791,CorMove,2,FALSE()),FALSE()),Q791-$CD$3,R791,$CJ$5)*H791-CJ793</f>
        <v>#NAME?</v>
      </c>
      <c r="CF793" s="132" t="e">
        <f aca="false">(CJ793/VLOOKUP(CC793,discount,3,FALSE()))-(CJ793/VLOOKUP(CC793,discount,2,FALSE()))</f>
        <v>#NAME?</v>
      </c>
      <c r="CG793" s="253" t="e">
        <f aca="false">xSPRDOPT((VLOOKUP(G791,NGPREVPRICES,2,FALSE())+HLOOKUP(D791,PREVCURVES,VLOOKUP(G791,MOVE_DOWN2,2,FALSE()),FALSE())),VLOOKUP(G791,NGPREVPRICES,2,FALSE()),CK793,VLOOKUP(G791,NGPREVPRICES,4,FALSE()),HLOOKUP(D791,VOLS,VLOOKUP(G791,move_down,2,FALSE()),FALSE()),VLOOKUP(G791,NGPrices,3,FALSE()),HLOOKUP(D791,Correllate,VLOOKUP(G791,CorMove,2,FALSE()),FALSE()),Q791-$CD$3,R791,$CJ$5)*H791-CJ793</f>
        <v>#NAME?</v>
      </c>
      <c r="CH793" s="253" t="e">
        <f aca="false">xSPRDOPT((VLOOKUP(G791,NGPREVPRICES,2,FALSE())+HLOOKUP(D791,PREVCURVES,VLOOKUP(G791,MOVE_DOWN2,2,FALSE()),FALSE())),VLOOKUP(G791,NGPREVPRICES,2,FALSE()),CK793,VLOOKUP(G791,NGPREVPRICES,4,FALSE()),HLOOKUP(D791,PREVVOLS,VLOOKUP(G791,MOVE_DOWN2,2,FALSE()),FALSE()),VLOOKUP(G791,NGPREVPRICES,3,FALSE()),HLOOKUP(D791,Correllate,VLOOKUP(G791,CorMove,2,FALSE()),FALSE()),Q791-$C$3,R791,$CJ$5)*H791-CJ793</f>
        <v>#NAME?</v>
      </c>
      <c r="CI793" s="253" t="e">
        <f aca="false">SUM(CD793:CH793)</f>
        <v>#NAME?</v>
      </c>
      <c r="CJ793" s="253" t="e">
        <f aca="false">xSPRDOPT((VLOOKUP(G791,NGPREVPRICES,2,FALSE())+HLOOKUP(D791,PREVCURVES,VLOOKUP(G791,MOVE_DOWN2,2,FALSE()),FALSE())),VLOOKUP(G791,NGPREVPRICES,2,FALSE()),CK793,VLOOKUP(G791,NGPREVPRICES,4,FALSE()),HLOOKUP(D791,PREVVOLS,VLOOKUP(G791,MOVE_DOWN2,2,FALSE()),FALSE()),VLOOKUP(G791,NGPREVPRICES,3,FALSE()),HLOOKUP(D791,Correllate,VLOOKUP(G791,CorMove,2,FALSE()),FALSE()),Q791-$CD$3,R791,$CJ$5)*H791</f>
        <v>#NAME?</v>
      </c>
      <c r="CK793" s="254" t="n">
        <f aca="false">I791</f>
        <v>-0.2</v>
      </c>
      <c r="CM793" s="0" t="str">
        <f aca="false">CONCATENATE(CC793,$CD$6)</f>
        <v>36861Curve Shift/Gamma</v>
      </c>
      <c r="CN793" s="0" t="str">
        <f aca="false">CONCATENATE($CC793,$CE$6)</f>
        <v>36861Rho</v>
      </c>
      <c r="CO793" s="0" t="str">
        <f aca="false">CONCATENATE($CC793,$CF$6)</f>
        <v>36861Drift</v>
      </c>
      <c r="CP793" s="0" t="str">
        <f aca="false">CONCATENATE($CC793,$CG$6)</f>
        <v>36861Vega</v>
      </c>
      <c r="CQ793" s="0" t="str">
        <f aca="false">CONCATENATE($CC793,$CH$6)</f>
        <v>36861Theta</v>
      </c>
    </row>
    <row r="794" customFormat="false" ht="12.75" hidden="false" customHeight="false" outlineLevel="0" collapsed="false">
      <c r="A794" s="17" t="s">
        <v>275</v>
      </c>
      <c r="B794" s="0" t="s">
        <v>192</v>
      </c>
      <c r="C794" s="0" t="s">
        <v>454</v>
      </c>
      <c r="D794" s="7" t="s">
        <v>151</v>
      </c>
      <c r="E794" s="0" t="s">
        <v>131</v>
      </c>
      <c r="F794" s="0" t="s">
        <v>136</v>
      </c>
      <c r="G794" s="92" t="n">
        <v>36951</v>
      </c>
      <c r="H794" s="248" t="n">
        <v>-620000</v>
      </c>
      <c r="I794" s="254" t="n">
        <v>-0.2</v>
      </c>
      <c r="J794" s="124" t="n">
        <f aca="false">VLOOKUP(G794,NGPrices,2,FALSE())</f>
        <v>4.213</v>
      </c>
      <c r="K794" s="125" t="n">
        <f aca="false">HLOOKUP(D794,Prices,VLOOKUP(G794,move_down,2,FALSE()),FALSE())+VLOOKUP(G794,CHANGE,HLOOKUP(D794,CHANGE,2,FALSE()),FALSE())</f>
        <v>-0.3975</v>
      </c>
      <c r="L794" s="124" t="n">
        <f aca="false">K794+J794</f>
        <v>3.8155</v>
      </c>
      <c r="M794" s="126" t="n">
        <f aca="false">VLOOKUP(G794,NGPrices,4,FALSE())</f>
        <v>0.068879814952707</v>
      </c>
      <c r="N794" s="7" t="n">
        <f aca="false">VLOOKUP(G794,NGPrices,3,FALSE())</f>
        <v>0.5325</v>
      </c>
      <c r="O794" s="7" t="n">
        <f aca="false">HLOOKUP(D794,VOLS,VLOOKUP(G794,move_down,2,FALSE()),FALSE())</f>
        <v>0.511</v>
      </c>
      <c r="P794" s="249" t="n">
        <f aca="false">HLOOKUP(D794,Correllate,VLOOKUP(G794,CorMove,2,FALSE()),FALSE())</f>
        <v>0.93</v>
      </c>
      <c r="Q794" s="92" t="n">
        <f aca="false">WORKDAY(G794,-2)</f>
        <v>36949</v>
      </c>
      <c r="R794" s="7" t="n">
        <f aca="false">IF(F794="P",0,1)</f>
        <v>1</v>
      </c>
      <c r="S794" s="130" t="e">
        <f aca="false">xSPRDOPT($L794,$J794,$I794,$M794,$O794,$N794,$P794,$Q794-$C$3,$R794,0)</f>
        <v>#NAME?</v>
      </c>
      <c r="T794" s="250" t="e">
        <f aca="false">xSPRDOPT($L794,$J794,$I794,$M794,$O794,$N794,$P794,$Q794-$C$3,$R794,1)*H794</f>
        <v>#NAME?</v>
      </c>
      <c r="U794" s="43" t="e">
        <f aca="false">S794*H794</f>
        <v>#NAME?</v>
      </c>
      <c r="V794" s="250" t="e">
        <f aca="false">xSPRDOPT($L794,$J794,$I794,$M794,$O794,$N794,$P794,$Q794-$C$3,$R794,2)*H794</f>
        <v>#NAME?</v>
      </c>
      <c r="W794" s="250" t="e">
        <f aca="false">+V794+T794</f>
        <v>#NAME?</v>
      </c>
      <c r="X794" s="2" t="str">
        <f aca="false">CONCATENATE(G794,D794)</f>
        <v>36951IF-NWPL_ROCKY_M</v>
      </c>
      <c r="Y794" s="251" t="n">
        <f aca="false">H794/10000</f>
        <v>-62</v>
      </c>
      <c r="Z794" s="226" t="e">
        <f aca="false">T794/H794</f>
        <v>#NAME?</v>
      </c>
      <c r="AA794" s="226" t="e">
        <f aca="false">xSPRDOPT($L794,$J794,$I794,$M794,$O794,$N794,$P794,$Q794-$C$3,$R794,3)</f>
        <v>#NAME?</v>
      </c>
      <c r="AB794" s="226" t="e">
        <f aca="false">((xSPRDOPT($L794+AB$5,$J794,$I794,$M794,$O794,$N794,$P794,$Q794-$C$3,$R794,3)*$H794)/10000)/100</f>
        <v>#NAME?</v>
      </c>
      <c r="AC794" s="226" t="e">
        <f aca="false">((xSPRDOPT($L794+$AB$5,$J794,$I794,$M794,$O794,$N794,$P794,$Q794-$C$3,$R794,7)*$H794)/100)</f>
        <v>#NAME?</v>
      </c>
      <c r="AD794" s="226" t="e">
        <f aca="false">(xSPRDOPT($L794+$AB$5,$J794,$I794,$M794,$O794,$N794,$P794,$Q794-$C$3,$R794,9)/365)*$H794</f>
        <v>#NAME?</v>
      </c>
      <c r="AE794" s="0" t="e">
        <f aca="false">CD796</f>
        <v>#NAME?</v>
      </c>
      <c r="AF794" s="226" t="e">
        <f aca="false">((O794/N794)*AH794)+AG794</f>
        <v>#NAME?</v>
      </c>
      <c r="AG794" s="226" t="e">
        <f aca="false">((xSPRDOPT($L794,$J794,$I794,$M794,$O794,$N794,$P794,$Q794-$C$3,$R794,6)*$H794)/100)</f>
        <v>#NAME?</v>
      </c>
      <c r="AH794" s="226" t="e">
        <f aca="false">((xSPRDOPT($L794,$J794,$I794,$M794,$O794,$N794,$P794,$Q794-$C$3,$R794,5)*$H794)/100)</f>
        <v>#NAME?</v>
      </c>
      <c r="AI794" s="226" t="e">
        <f aca="false">(((xSPRDOPT($L794,$J794,$I794,$M794,$O794,$N794,$P794,$Q794-$C$3,$R794,4)*$H794)/10000)/100)-AB794</f>
        <v>#NAME?</v>
      </c>
      <c r="AJ794" s="226"/>
      <c r="CC794" s="182" t="n">
        <f aca="false">G792</f>
        <v>36892</v>
      </c>
      <c r="CD794" s="253" t="e">
        <f aca="false">xSPRDOPT((VLOOKUP(G792,NGPrices,2,FALSE())+HLOOKUP(D792,Prices,VLOOKUP(G792,move_down,2,FALSE()),FALSE())),VLOOKUP(G792,NGPrices,2,FALSE()),I792,VLOOKUP(G792,NGPREVPRICES,4,FALSE()),HLOOKUP(D792,PREVVOLS,VLOOKUP(G792,MOVE_DOWN2,2,FALSE()),FALSE()),VLOOKUP(G792,NGPREVPRICES,3,FALSE()),HLOOKUP(D792,Correllate,VLOOKUP(G792,CorMove,2,FALSE()),FALSE()),Q792-$CD$3,R792,$CD$5)*H792-CJ794</f>
        <v>#NAME?</v>
      </c>
      <c r="CE794" s="253" t="e">
        <f aca="false">xSPRDOPT((VLOOKUP(G792,NGPREVPRICES,2,FALSE())+HLOOKUP(D792,PREVCURVES,VLOOKUP(G792,MOVE_DOWN2,2,FALSE()),FALSE())),VLOOKUP(G792,NGPREVPRICES,2,FALSE()),CK794,VLOOKUP(G792,NGPrices,4,FALSE()),HLOOKUP(D792,PREVVOLS,VLOOKUP(G792,MOVE_DOWN2,2,FALSE()),FALSE()),VLOOKUP(G792,NGPREVPRICES,3,FALSE()),HLOOKUP(D792,Correllate,VLOOKUP(G792,CorMove,2,FALSE()),FALSE()),Q792-$CD$3,R792,$CJ$5)*H792-CJ794</f>
        <v>#NAME?</v>
      </c>
      <c r="CF794" s="132" t="e">
        <f aca="false">(CJ794/VLOOKUP(CC794,discount,3,FALSE()))-(CJ794/VLOOKUP(CC794,discount,2,FALSE()))</f>
        <v>#NAME?</v>
      </c>
      <c r="CG794" s="253" t="e">
        <f aca="false">xSPRDOPT((VLOOKUP(G792,NGPREVPRICES,2,FALSE())+HLOOKUP(D792,PREVCURVES,VLOOKUP(G792,MOVE_DOWN2,2,FALSE()),FALSE())),VLOOKUP(G792,NGPREVPRICES,2,FALSE()),CK794,VLOOKUP(G792,NGPREVPRICES,4,FALSE()),HLOOKUP(D792,VOLS,VLOOKUP(G792,move_down,2,FALSE()),FALSE()),VLOOKUP(G792,NGPrices,3,FALSE()),HLOOKUP(D792,Correllate,VLOOKUP(G792,CorMove,2,FALSE()),FALSE()),Q792-$CD$3,R792,$CJ$5)*H792-CJ794</f>
        <v>#NAME?</v>
      </c>
      <c r="CH794" s="253" t="e">
        <f aca="false">xSPRDOPT((VLOOKUP(G792,NGPREVPRICES,2,FALSE())+HLOOKUP(D792,PREVCURVES,VLOOKUP(G792,MOVE_DOWN2,2,FALSE()),FALSE())),VLOOKUP(G792,NGPREVPRICES,2,FALSE()),CK794,VLOOKUP(G792,NGPREVPRICES,4,FALSE()),HLOOKUP(D792,PREVVOLS,VLOOKUP(G792,MOVE_DOWN2,2,FALSE()),FALSE()),VLOOKUP(G792,NGPREVPRICES,3,FALSE()),HLOOKUP(D792,Correllate,VLOOKUP(G792,CorMove,2,FALSE()),FALSE()),Q792-$C$3,R792,$CJ$5)*H792-CJ794</f>
        <v>#NAME?</v>
      </c>
      <c r="CI794" s="253" t="e">
        <f aca="false">SUM(CD794:CH794)</f>
        <v>#NAME?</v>
      </c>
      <c r="CJ794" s="253" t="e">
        <f aca="false">xSPRDOPT((VLOOKUP(G792,NGPREVPRICES,2,FALSE())+HLOOKUP(D792,PREVCURVES,VLOOKUP(G792,MOVE_DOWN2,2,FALSE()),FALSE())),VLOOKUP(G792,NGPREVPRICES,2,FALSE()),CK794,VLOOKUP(G792,NGPREVPRICES,4,FALSE()),HLOOKUP(D792,PREVVOLS,VLOOKUP(G792,MOVE_DOWN2,2,FALSE()),FALSE()),VLOOKUP(G792,NGPREVPRICES,3,FALSE()),HLOOKUP(D792,Correllate,VLOOKUP(G792,CorMove,2,FALSE()),FALSE()),Q792-$CD$3,R792,$CJ$5)*H792</f>
        <v>#NAME?</v>
      </c>
      <c r="CK794" s="254" t="n">
        <f aca="false">I792</f>
        <v>-0.2</v>
      </c>
      <c r="CM794" s="0" t="str">
        <f aca="false">CONCATENATE(CC794,$CD$6)</f>
        <v>36892Curve Shift/Gamma</v>
      </c>
      <c r="CN794" s="0" t="str">
        <f aca="false">CONCATENATE($CC794,$CE$6)</f>
        <v>36892Rho</v>
      </c>
      <c r="CO794" s="0" t="str">
        <f aca="false">CONCATENATE($CC794,$CF$6)</f>
        <v>36892Drift</v>
      </c>
      <c r="CP794" s="0" t="str">
        <f aca="false">CONCATENATE($CC794,$CG$6)</f>
        <v>36892Vega</v>
      </c>
      <c r="CQ794" s="0" t="str">
        <f aca="false">CONCATENATE($CC794,$CH$6)</f>
        <v>36892Theta</v>
      </c>
    </row>
    <row r="795" customFormat="false" ht="12.75" hidden="false" customHeight="false" outlineLevel="0" collapsed="false">
      <c r="A795" s="17" t="s">
        <v>275</v>
      </c>
      <c r="B795" s="0" t="s">
        <v>192</v>
      </c>
      <c r="C795" s="0" t="s">
        <v>455</v>
      </c>
      <c r="D795" s="7" t="s">
        <v>151</v>
      </c>
      <c r="E795" s="0" t="s">
        <v>131</v>
      </c>
      <c r="F795" s="0" t="s">
        <v>132</v>
      </c>
      <c r="G795" s="92" t="n">
        <v>36831</v>
      </c>
      <c r="H795" s="248" t="n">
        <v>-600000</v>
      </c>
      <c r="I795" s="254" t="n">
        <v>-0.5</v>
      </c>
      <c r="J795" s="124" t="n">
        <f aca="false">VLOOKUP(G795,NGPrices,2,FALSE())</f>
        <v>4.736</v>
      </c>
      <c r="K795" s="125" t="n">
        <f aca="false">HLOOKUP(D795,Prices,VLOOKUP(G795,move_down,2,FALSE()),FALSE())+VLOOKUP(G795,CHANGE,HLOOKUP(D795,CHANGE,2,FALSE()),FALSE())</f>
        <v>-0.4675</v>
      </c>
      <c r="L795" s="124" t="n">
        <f aca="false">K795+J795</f>
        <v>4.2685</v>
      </c>
      <c r="M795" s="126" t="n">
        <f aca="false">VLOOKUP(G795,NGPrices,4,FALSE())</f>
        <v>0.06810675983792</v>
      </c>
      <c r="N795" s="7" t="n">
        <f aca="false">VLOOKUP(G795,NGPrices,3,FALSE())</f>
        <v>0.595</v>
      </c>
      <c r="O795" s="7" t="n">
        <f aca="false">HLOOKUP(D795,VOLS,VLOOKUP(G795,move_down,2,FALSE()),FALSE())</f>
        <v>0.571</v>
      </c>
      <c r="P795" s="249" t="n">
        <f aca="false">HLOOKUP(D795,Correllate,VLOOKUP(G795,CorMove,2,FALSE()),FALSE())</f>
        <v>0.93</v>
      </c>
      <c r="Q795" s="92" t="n">
        <f aca="false">WORKDAY(G795,-2)</f>
        <v>36829</v>
      </c>
      <c r="R795" s="7" t="n">
        <f aca="false">IF(F795="P",0,1)</f>
        <v>0</v>
      </c>
      <c r="S795" s="130" t="e">
        <f aca="false">xSPRDOPT($L795,$J795,$I795,$M795,$O795,$N795,$P795,$Q795-$C$3,$R795,0)</f>
        <v>#NAME?</v>
      </c>
      <c r="T795" s="250" t="e">
        <f aca="false">xSPRDOPT($L795,$J795,$I795,$M795,$O795,$N795,$P795,$Q795-$C$3,$R795,1)*H795</f>
        <v>#NAME?</v>
      </c>
      <c r="U795" s="43" t="e">
        <f aca="false">S795*H795</f>
        <v>#NAME?</v>
      </c>
      <c r="V795" s="250" t="e">
        <f aca="false">xSPRDOPT($L795,$J795,$I795,$M795,$O795,$N795,$P795,$Q795-$C$3,$R795,2)*H795</f>
        <v>#NAME?</v>
      </c>
      <c r="W795" s="250" t="e">
        <f aca="false">+V795+T795</f>
        <v>#NAME?</v>
      </c>
      <c r="X795" s="2" t="str">
        <f aca="false">CONCATENATE(G795,D795)</f>
        <v>36831IF-NWPL_ROCKY_M</v>
      </c>
      <c r="Y795" s="251" t="n">
        <f aca="false">H795/10000</f>
        <v>-60</v>
      </c>
      <c r="Z795" s="226" t="e">
        <f aca="false">T795/H795</f>
        <v>#NAME?</v>
      </c>
      <c r="AA795" s="226" t="e">
        <f aca="false">xSPRDOPT($L795,$J795,$I795,$M795,$O795,$N795,$P795,$Q795-$C$3,$R795,3)</f>
        <v>#NAME?</v>
      </c>
      <c r="AB795" s="226" t="e">
        <f aca="false">((xSPRDOPT($L795+AB$5,$J795,$I795,$M795,$O795,$N795,$P795,$Q795-$C$3,$R795,3)*$H795)/10000)/100</f>
        <v>#NAME?</v>
      </c>
      <c r="AC795" s="226" t="e">
        <f aca="false">((xSPRDOPT($L795+$AB$5,$J795,$I795,$M795,$O795,$N795,$P795,$Q795-$C$3,$R795,7)*$H795)/100)</f>
        <v>#NAME?</v>
      </c>
      <c r="AD795" s="226" t="e">
        <f aca="false">(xSPRDOPT($L795+$AB$5,$J795,$I795,$M795,$O795,$N795,$P795,$Q795-$C$3,$R795,9)/365)*$H795</f>
        <v>#NAME?</v>
      </c>
      <c r="AE795" s="0" t="e">
        <f aca="false">CD797</f>
        <v>#NAME?</v>
      </c>
      <c r="AF795" s="226" t="e">
        <f aca="false">((O795/N795)*AH795)+AG795</f>
        <v>#NAME?</v>
      </c>
      <c r="AG795" s="226" t="e">
        <f aca="false">((xSPRDOPT($L795,$J795,$I795,$M795,$O795,$N795,$P795,$Q795-$C$3,$R795,6)*$H795)/100)</f>
        <v>#NAME?</v>
      </c>
      <c r="AH795" s="226" t="e">
        <f aca="false">((xSPRDOPT($L795,$J795,$I795,$M795,$O795,$N795,$P795,$Q795-$C$3,$R795,5)*$H795)/100)</f>
        <v>#NAME?</v>
      </c>
      <c r="AI795" s="226" t="e">
        <f aca="false">(((xSPRDOPT($L795,$J795,$I795,$M795,$O795,$N795,$P795,$Q795-$C$3,$R795,4)*$H795)/10000)/100)-AB795</f>
        <v>#NAME?</v>
      </c>
      <c r="AJ795" s="226"/>
      <c r="CC795" s="182" t="n">
        <f aca="false">G793</f>
        <v>36923</v>
      </c>
      <c r="CD795" s="253" t="e">
        <f aca="false">xSPRDOPT((VLOOKUP(G793,NGPrices,2,FALSE())+HLOOKUP(D793,Prices,VLOOKUP(G793,move_down,2,FALSE()),FALSE())),VLOOKUP(G793,NGPrices,2,FALSE()),I793,VLOOKUP(G793,NGPREVPRICES,4,FALSE()),HLOOKUP(D793,PREVVOLS,VLOOKUP(G793,MOVE_DOWN2,2,FALSE()),FALSE()),VLOOKUP(G793,NGPREVPRICES,3,FALSE()),HLOOKUP(D793,Correllate,VLOOKUP(G793,CorMove,2,FALSE()),FALSE()),Q793-$CD$3,R793,$CD$5)*H793-CJ795</f>
        <v>#NAME?</v>
      </c>
      <c r="CE795" s="253" t="e">
        <f aca="false">xSPRDOPT((VLOOKUP(G793,NGPREVPRICES,2,FALSE())+HLOOKUP(D793,PREVCURVES,VLOOKUP(G793,MOVE_DOWN2,2,FALSE()),FALSE())),VLOOKUP(G793,NGPREVPRICES,2,FALSE()),CK795,VLOOKUP(G793,NGPrices,4,FALSE()),HLOOKUP(D793,PREVVOLS,VLOOKUP(G793,MOVE_DOWN2,2,FALSE()),FALSE()),VLOOKUP(G793,NGPREVPRICES,3,FALSE()),HLOOKUP(D793,Correllate,VLOOKUP(G793,CorMove,2,FALSE()),FALSE()),Q793-$CD$3,R793,$CJ$5)*H793-CJ795</f>
        <v>#NAME?</v>
      </c>
      <c r="CF795" s="132" t="e">
        <f aca="false">(CJ795/VLOOKUP(CC795,discount,3,FALSE()))-(CJ795/VLOOKUP(CC795,discount,2,FALSE()))</f>
        <v>#NAME?</v>
      </c>
      <c r="CG795" s="253" t="e">
        <f aca="false">xSPRDOPT((VLOOKUP(G793,NGPREVPRICES,2,FALSE())+HLOOKUP(D793,PREVCURVES,VLOOKUP(G793,MOVE_DOWN2,2,FALSE()),FALSE())),VLOOKUP(G793,NGPREVPRICES,2,FALSE()),CK795,VLOOKUP(G793,NGPREVPRICES,4,FALSE()),HLOOKUP(D793,VOLS,VLOOKUP(G793,move_down,2,FALSE()),FALSE()),VLOOKUP(G793,NGPrices,3,FALSE()),HLOOKUP(D793,Correllate,VLOOKUP(G793,CorMove,2,FALSE()),FALSE()),Q793-$CD$3,R793,$CJ$5)*H793-CJ795</f>
        <v>#NAME?</v>
      </c>
      <c r="CH795" s="253" t="e">
        <f aca="false">xSPRDOPT((VLOOKUP(G793,NGPREVPRICES,2,FALSE())+HLOOKUP(D793,PREVCURVES,VLOOKUP(G793,MOVE_DOWN2,2,FALSE()),FALSE())),VLOOKUP(G793,NGPREVPRICES,2,FALSE()),CK795,VLOOKUP(G793,NGPREVPRICES,4,FALSE()),HLOOKUP(D793,PREVVOLS,VLOOKUP(G793,MOVE_DOWN2,2,FALSE()),FALSE()),VLOOKUP(G793,NGPREVPRICES,3,FALSE()),HLOOKUP(D793,Correllate,VLOOKUP(G793,CorMove,2,FALSE()),FALSE()),Q793-$C$3,R793,$CJ$5)*H793-CJ795</f>
        <v>#NAME?</v>
      </c>
      <c r="CI795" s="253" t="e">
        <f aca="false">SUM(CD795:CH795)</f>
        <v>#NAME?</v>
      </c>
      <c r="CJ795" s="253" t="e">
        <f aca="false">xSPRDOPT((VLOOKUP(G793,NGPREVPRICES,2,FALSE())+HLOOKUP(D793,PREVCURVES,VLOOKUP(G793,MOVE_DOWN2,2,FALSE()),FALSE())),VLOOKUP(G793,NGPREVPRICES,2,FALSE()),CK795,VLOOKUP(G793,NGPREVPRICES,4,FALSE()),HLOOKUP(D793,PREVVOLS,VLOOKUP(G793,MOVE_DOWN2,2,FALSE()),FALSE()),VLOOKUP(G793,NGPREVPRICES,3,FALSE()),HLOOKUP(D793,Correllate,VLOOKUP(G793,CorMove,2,FALSE()),FALSE()),Q793-$CD$3,R793,$CJ$5)*H793</f>
        <v>#NAME?</v>
      </c>
      <c r="CK795" s="254" t="n">
        <f aca="false">I793</f>
        <v>-0.2</v>
      </c>
      <c r="CM795" s="0" t="str">
        <f aca="false">CONCATENATE(CC795,$CD$6)</f>
        <v>36923Curve Shift/Gamma</v>
      </c>
      <c r="CN795" s="0" t="str">
        <f aca="false">CONCATENATE($CC795,$CE$6)</f>
        <v>36923Rho</v>
      </c>
      <c r="CO795" s="0" t="str">
        <f aca="false">CONCATENATE($CC795,$CF$6)</f>
        <v>36923Drift</v>
      </c>
      <c r="CP795" s="0" t="str">
        <f aca="false">CONCATENATE($CC795,$CG$6)</f>
        <v>36923Vega</v>
      </c>
      <c r="CQ795" s="0" t="str">
        <f aca="false">CONCATENATE($CC795,$CH$6)</f>
        <v>36923Theta</v>
      </c>
    </row>
    <row r="796" customFormat="false" ht="12.75" hidden="false" customHeight="false" outlineLevel="0" collapsed="false">
      <c r="A796" s="17" t="s">
        <v>275</v>
      </c>
      <c r="B796" s="0" t="s">
        <v>192</v>
      </c>
      <c r="C796" s="0" t="s">
        <v>455</v>
      </c>
      <c r="D796" s="7" t="s">
        <v>151</v>
      </c>
      <c r="E796" s="0" t="s">
        <v>131</v>
      </c>
      <c r="F796" s="0" t="s">
        <v>132</v>
      </c>
      <c r="G796" s="92" t="n">
        <v>36861</v>
      </c>
      <c r="H796" s="248" t="n">
        <v>-620000</v>
      </c>
      <c r="I796" s="254" t="n">
        <v>-0.5</v>
      </c>
      <c r="J796" s="124" t="n">
        <f aca="false">VLOOKUP(G796,NGPrices,2,FALSE())</f>
        <v>4.8</v>
      </c>
      <c r="K796" s="125" t="n">
        <f aca="false">HLOOKUP(D796,Prices,VLOOKUP(G796,move_down,2,FALSE()),FALSE())+VLOOKUP(G796,CHANGE,HLOOKUP(D796,CHANGE,2,FALSE()),FALSE())</f>
        <v>-0.3575</v>
      </c>
      <c r="L796" s="124" t="n">
        <f aca="false">K796+J796</f>
        <v>4.4425</v>
      </c>
      <c r="M796" s="126" t="n">
        <f aca="false">VLOOKUP(G796,NGPrices,4,FALSE())</f>
        <v>0.068314027999354</v>
      </c>
      <c r="N796" s="7" t="n">
        <f aca="false">VLOOKUP(G796,NGPrices,3,FALSE())</f>
        <v>0.6</v>
      </c>
      <c r="O796" s="7" t="n">
        <f aca="false">HLOOKUP(D796,VOLS,VLOOKUP(G796,move_down,2,FALSE()),FALSE())</f>
        <v>0.576</v>
      </c>
      <c r="P796" s="249" t="n">
        <f aca="false">HLOOKUP(D796,Correllate,VLOOKUP(G796,CorMove,2,FALSE()),FALSE())</f>
        <v>0.93</v>
      </c>
      <c r="Q796" s="92" t="n">
        <f aca="false">WORKDAY(G796,-2)</f>
        <v>36859</v>
      </c>
      <c r="R796" s="7" t="n">
        <f aca="false">IF(F796="P",0,1)</f>
        <v>0</v>
      </c>
      <c r="S796" s="130" t="e">
        <f aca="false">xSPRDOPT($L796,$J796,$I796,$M796,$O796,$N796,$P796,$Q796-$C$3,$R796,0)</f>
        <v>#NAME?</v>
      </c>
      <c r="T796" s="250" t="e">
        <f aca="false">xSPRDOPT($L796,$J796,$I796,$M796,$O796,$N796,$P796,$Q796-$C$3,$R796,1)*H796</f>
        <v>#NAME?</v>
      </c>
      <c r="U796" s="43" t="e">
        <f aca="false">S796*H796</f>
        <v>#NAME?</v>
      </c>
      <c r="V796" s="250" t="e">
        <f aca="false">xSPRDOPT($L796,$J796,$I796,$M796,$O796,$N796,$P796,$Q796-$C$3,$R796,2)*H796</f>
        <v>#NAME?</v>
      </c>
      <c r="W796" s="250" t="e">
        <f aca="false">+V796+T796</f>
        <v>#NAME?</v>
      </c>
      <c r="X796" s="2" t="str">
        <f aca="false">CONCATENATE(G796,D796)</f>
        <v>36861IF-NWPL_ROCKY_M</v>
      </c>
      <c r="Y796" s="251" t="n">
        <f aca="false">H796/10000</f>
        <v>-62</v>
      </c>
      <c r="Z796" s="226" t="e">
        <f aca="false">T796/H796</f>
        <v>#NAME?</v>
      </c>
      <c r="AA796" s="226" t="e">
        <f aca="false">xSPRDOPT($L796,$J796,$I796,$M796,$O796,$N796,$P796,$Q796-$C$3,$R796,3)</f>
        <v>#NAME?</v>
      </c>
      <c r="AB796" s="226" t="e">
        <f aca="false">((xSPRDOPT($L796+AB$5,$J796,$I796,$M796,$O796,$N796,$P796,$Q796-$C$3,$R796,3)*$H796)/10000)/100</f>
        <v>#NAME?</v>
      </c>
      <c r="AC796" s="226" t="e">
        <f aca="false">((xSPRDOPT($L796+$AB$5,$J796,$I796,$M796,$O796,$N796,$P796,$Q796-$C$3,$R796,7)*$H796)/100)</f>
        <v>#NAME?</v>
      </c>
      <c r="AD796" s="226" t="e">
        <f aca="false">(xSPRDOPT($L796+$AB$5,$J796,$I796,$M796,$O796,$N796,$P796,$Q796-$C$3,$R796,9)/365)*$H796</f>
        <v>#NAME?</v>
      </c>
      <c r="AE796" s="0" t="e">
        <f aca="false">CD798</f>
        <v>#NAME?</v>
      </c>
      <c r="AF796" s="226" t="e">
        <f aca="false">((O796/N796)*AH796)+AG796</f>
        <v>#NAME?</v>
      </c>
      <c r="AG796" s="226" t="e">
        <f aca="false">((xSPRDOPT($L796,$J796,$I796,$M796,$O796,$N796,$P796,$Q796-$C$3,$R796,6)*$H796)/100)</f>
        <v>#NAME?</v>
      </c>
      <c r="AH796" s="226" t="e">
        <f aca="false">((xSPRDOPT($L796,$J796,$I796,$M796,$O796,$N796,$P796,$Q796-$C$3,$R796,5)*$H796)/100)</f>
        <v>#NAME?</v>
      </c>
      <c r="AI796" s="226" t="e">
        <f aca="false">(((xSPRDOPT($L796,$J796,$I796,$M796,$O796,$N796,$P796,$Q796-$C$3,$R796,4)*$H796)/10000)/100)-AB796</f>
        <v>#NAME?</v>
      </c>
      <c r="AJ796" s="226"/>
      <c r="CC796" s="182" t="n">
        <f aca="false">G794</f>
        <v>36951</v>
      </c>
      <c r="CD796" s="253" t="e">
        <f aca="false">xSPRDOPT((VLOOKUP(G794,NGPrices,2,FALSE())+HLOOKUP(D794,Prices,VLOOKUP(G794,move_down,2,FALSE()),FALSE())),VLOOKUP(G794,NGPrices,2,FALSE()),I794,VLOOKUP(G794,NGPREVPRICES,4,FALSE()),HLOOKUP(D794,PREVVOLS,VLOOKUP(G794,MOVE_DOWN2,2,FALSE()),FALSE()),VLOOKUP(G794,NGPREVPRICES,3,FALSE()),HLOOKUP(D794,Correllate,VLOOKUP(G794,CorMove,2,FALSE()),FALSE()),Q794-$CD$3,R794,$CD$5)*H794-CJ796</f>
        <v>#NAME?</v>
      </c>
      <c r="CE796" s="253" t="e">
        <f aca="false">xSPRDOPT((VLOOKUP(G794,NGPREVPRICES,2,FALSE())+HLOOKUP(D794,PREVCURVES,VLOOKUP(G794,MOVE_DOWN2,2,FALSE()),FALSE())),VLOOKUP(G794,NGPREVPRICES,2,FALSE()),CK796,VLOOKUP(G794,NGPrices,4,FALSE()),HLOOKUP(D794,PREVVOLS,VLOOKUP(G794,MOVE_DOWN2,2,FALSE()),FALSE()),VLOOKUP(G794,NGPREVPRICES,3,FALSE()),HLOOKUP(D794,Correllate,VLOOKUP(G794,CorMove,2,FALSE()),FALSE()),Q794-$CD$3,R794,$CJ$5)*H794-CJ796</f>
        <v>#NAME?</v>
      </c>
      <c r="CF796" s="132" t="e">
        <f aca="false">(CJ796/VLOOKUP(CC796,discount,3,FALSE()))-(CJ796/VLOOKUP(CC796,discount,2,FALSE()))</f>
        <v>#NAME?</v>
      </c>
      <c r="CG796" s="253" t="e">
        <f aca="false">xSPRDOPT((VLOOKUP(G794,NGPREVPRICES,2,FALSE())+HLOOKUP(D794,PREVCURVES,VLOOKUP(G794,MOVE_DOWN2,2,FALSE()),FALSE())),VLOOKUP(G794,NGPREVPRICES,2,FALSE()),CK796,VLOOKUP(G794,NGPREVPRICES,4,FALSE()),HLOOKUP(D794,VOLS,VLOOKUP(G794,move_down,2,FALSE()),FALSE()),VLOOKUP(G794,NGPrices,3,FALSE()),HLOOKUP(D794,Correllate,VLOOKUP(G794,CorMove,2,FALSE()),FALSE()),Q794-$CD$3,R794,$CJ$5)*H794-CJ796</f>
        <v>#NAME?</v>
      </c>
      <c r="CH796" s="253" t="e">
        <f aca="false">xSPRDOPT((VLOOKUP(G794,NGPREVPRICES,2,FALSE())+HLOOKUP(D794,PREVCURVES,VLOOKUP(G794,MOVE_DOWN2,2,FALSE()),FALSE())),VLOOKUP(G794,NGPREVPRICES,2,FALSE()),CK796,VLOOKUP(G794,NGPREVPRICES,4,FALSE()),HLOOKUP(D794,PREVVOLS,VLOOKUP(G794,MOVE_DOWN2,2,FALSE()),FALSE()),VLOOKUP(G794,NGPREVPRICES,3,FALSE()),HLOOKUP(D794,Correllate,VLOOKUP(G794,CorMove,2,FALSE()),FALSE()),Q794-$C$3,R794,$CJ$5)*H794-CJ796</f>
        <v>#NAME?</v>
      </c>
      <c r="CI796" s="253" t="e">
        <f aca="false">SUM(CD796:CH796)</f>
        <v>#NAME?</v>
      </c>
      <c r="CJ796" s="253" t="e">
        <f aca="false">xSPRDOPT((VLOOKUP(G794,NGPREVPRICES,2,FALSE())+HLOOKUP(D794,PREVCURVES,VLOOKUP(G794,MOVE_DOWN2,2,FALSE()),FALSE())),VLOOKUP(G794,NGPREVPRICES,2,FALSE()),CK796,VLOOKUP(G794,NGPREVPRICES,4,FALSE()),HLOOKUP(D794,PREVVOLS,VLOOKUP(G794,MOVE_DOWN2,2,FALSE()),FALSE()),VLOOKUP(G794,NGPREVPRICES,3,FALSE()),HLOOKUP(D794,Correllate,VLOOKUP(G794,CorMove,2,FALSE()),FALSE()),Q794-$CD$3,R794,$CJ$5)*H794</f>
        <v>#NAME?</v>
      </c>
      <c r="CK796" s="254" t="n">
        <f aca="false">I794</f>
        <v>-0.2</v>
      </c>
      <c r="CM796" s="0" t="str">
        <f aca="false">CONCATENATE(CC796,$CD$6)</f>
        <v>36951Curve Shift/Gamma</v>
      </c>
      <c r="CN796" s="0" t="str">
        <f aca="false">CONCATENATE($CC796,$CE$6)</f>
        <v>36951Rho</v>
      </c>
      <c r="CO796" s="0" t="str">
        <f aca="false">CONCATENATE($CC796,$CF$6)</f>
        <v>36951Drift</v>
      </c>
      <c r="CP796" s="0" t="str">
        <f aca="false">CONCATENATE($CC796,$CG$6)</f>
        <v>36951Vega</v>
      </c>
      <c r="CQ796" s="0" t="str">
        <f aca="false">CONCATENATE($CC796,$CH$6)</f>
        <v>36951Theta</v>
      </c>
    </row>
    <row r="797" customFormat="false" ht="12.75" hidden="false" customHeight="false" outlineLevel="0" collapsed="false">
      <c r="A797" s="17" t="s">
        <v>275</v>
      </c>
      <c r="B797" s="0" t="s">
        <v>192</v>
      </c>
      <c r="C797" s="0" t="s">
        <v>455</v>
      </c>
      <c r="D797" s="7" t="s">
        <v>151</v>
      </c>
      <c r="E797" s="0" t="s">
        <v>131</v>
      </c>
      <c r="F797" s="0" t="s">
        <v>132</v>
      </c>
      <c r="G797" s="92" t="n">
        <v>36892</v>
      </c>
      <c r="H797" s="248" t="n">
        <v>-620000</v>
      </c>
      <c r="I797" s="254" t="n">
        <v>-0.5</v>
      </c>
      <c r="J797" s="124" t="n">
        <f aca="false">VLOOKUP(G797,NGPrices,2,FALSE())</f>
        <v>4.744</v>
      </c>
      <c r="K797" s="125" t="n">
        <f aca="false">HLOOKUP(D797,Prices,VLOOKUP(G797,move_down,2,FALSE()),FALSE())+VLOOKUP(G797,CHANGE,HLOOKUP(D797,CHANGE,2,FALSE()),FALSE())</f>
        <v>-0.3675</v>
      </c>
      <c r="L797" s="124" t="n">
        <f aca="false">K797+J797</f>
        <v>4.3765</v>
      </c>
      <c r="M797" s="126" t="n">
        <f aca="false">VLOOKUP(G797,NGPrices,4,FALSE())</f>
        <v>0.068374831148491</v>
      </c>
      <c r="N797" s="7" t="n">
        <f aca="false">VLOOKUP(G797,NGPrices,3,FALSE())</f>
        <v>0.605</v>
      </c>
      <c r="O797" s="7" t="n">
        <f aca="false">HLOOKUP(D797,VOLS,VLOOKUP(G797,move_down,2,FALSE()),FALSE())</f>
        <v>0.581</v>
      </c>
      <c r="P797" s="249" t="n">
        <f aca="false">HLOOKUP(D797,Correllate,VLOOKUP(G797,CorMove,2,FALSE()),FALSE())</f>
        <v>0.93</v>
      </c>
      <c r="Q797" s="92" t="n">
        <f aca="false">WORKDAY(G797,-2)</f>
        <v>36888</v>
      </c>
      <c r="R797" s="7" t="n">
        <f aca="false">IF(F797="P",0,1)</f>
        <v>0</v>
      </c>
      <c r="S797" s="130" t="e">
        <f aca="false">xSPRDOPT($L797,$J797,$I797,$M797,$O797,$N797,$P797,$Q797-$C$3,$R797,0)</f>
        <v>#NAME?</v>
      </c>
      <c r="T797" s="250" t="e">
        <f aca="false">xSPRDOPT($L797,$J797,$I797,$M797,$O797,$N797,$P797,$Q797-$C$3,$R797,1)*H797</f>
        <v>#NAME?</v>
      </c>
      <c r="U797" s="43" t="e">
        <f aca="false">S797*H797</f>
        <v>#NAME?</v>
      </c>
      <c r="V797" s="250" t="e">
        <f aca="false">xSPRDOPT($L797,$J797,$I797,$M797,$O797,$N797,$P797,$Q797-$C$3,$R797,2)*H797</f>
        <v>#NAME?</v>
      </c>
      <c r="W797" s="250" t="e">
        <f aca="false">+V797+T797</f>
        <v>#NAME?</v>
      </c>
      <c r="X797" s="2" t="str">
        <f aca="false">CONCATENATE(G797,D797)</f>
        <v>36892IF-NWPL_ROCKY_M</v>
      </c>
      <c r="Y797" s="251" t="n">
        <f aca="false">H797/10000</f>
        <v>-62</v>
      </c>
      <c r="Z797" s="226" t="e">
        <f aca="false">T797/H797</f>
        <v>#NAME?</v>
      </c>
      <c r="AA797" s="226" t="e">
        <f aca="false">xSPRDOPT($L797,$J797,$I797,$M797,$O797,$N797,$P797,$Q797-$C$3,$R797,3)</f>
        <v>#NAME?</v>
      </c>
      <c r="AB797" s="226" t="e">
        <f aca="false">((xSPRDOPT($L797+AB$5,$J797,$I797,$M797,$O797,$N797,$P797,$Q797-$C$3,$R797,3)*$H797)/10000)/100</f>
        <v>#NAME?</v>
      </c>
      <c r="AC797" s="226" t="e">
        <f aca="false">((xSPRDOPT($L797+$AB$5,$J797,$I797,$M797,$O797,$N797,$P797,$Q797-$C$3,$R797,7)*$H797)/100)</f>
        <v>#NAME?</v>
      </c>
      <c r="AD797" s="226" t="e">
        <f aca="false">(xSPRDOPT($L797+$AB$5,$J797,$I797,$M797,$O797,$N797,$P797,$Q797-$C$3,$R797,9)/365)*$H797</f>
        <v>#NAME?</v>
      </c>
      <c r="AE797" s="0" t="e">
        <f aca="false">CD799</f>
        <v>#NAME?</v>
      </c>
      <c r="AF797" s="226" t="e">
        <f aca="false">((O797/N797)*AH797)+AG797</f>
        <v>#NAME?</v>
      </c>
      <c r="AG797" s="226" t="e">
        <f aca="false">((xSPRDOPT($L797,$J797,$I797,$M797,$O797,$N797,$P797,$Q797-$C$3,$R797,6)*$H797)/100)</f>
        <v>#NAME?</v>
      </c>
      <c r="AH797" s="226" t="e">
        <f aca="false">((xSPRDOPT($L797,$J797,$I797,$M797,$O797,$N797,$P797,$Q797-$C$3,$R797,5)*$H797)/100)</f>
        <v>#NAME?</v>
      </c>
      <c r="AI797" s="226" t="e">
        <f aca="false">(((xSPRDOPT($L797,$J797,$I797,$M797,$O797,$N797,$P797,$Q797-$C$3,$R797,4)*$H797)/10000)/100)-AB797</f>
        <v>#NAME?</v>
      </c>
      <c r="AJ797" s="226"/>
      <c r="CC797" s="182" t="n">
        <f aca="false">G795</f>
        <v>36831</v>
      </c>
      <c r="CD797" s="253" t="e">
        <f aca="false">xSPRDOPT((VLOOKUP(G795,NGPrices,2,FALSE())+HLOOKUP(D795,Prices,VLOOKUP(G795,move_down,2,FALSE()),FALSE())),VLOOKUP(G795,NGPrices,2,FALSE()),I795,VLOOKUP(G795,NGPREVPRICES,4,FALSE()),HLOOKUP(D795,PREVVOLS,VLOOKUP(G795,MOVE_DOWN2,2,FALSE()),FALSE()),VLOOKUP(G795,NGPREVPRICES,3,FALSE()),HLOOKUP(D795,Correllate,VLOOKUP(G795,CorMove,2,FALSE()),FALSE()),Q795-$CD$3,R795,$CD$5)*H795-CJ797</f>
        <v>#NAME?</v>
      </c>
      <c r="CE797" s="253" t="e">
        <f aca="false">xSPRDOPT((VLOOKUP(G795,NGPREVPRICES,2,FALSE())+HLOOKUP(D795,PREVCURVES,VLOOKUP(G795,MOVE_DOWN2,2,FALSE()),FALSE())),VLOOKUP(G795,NGPREVPRICES,2,FALSE()),CK797,VLOOKUP(G795,NGPrices,4,FALSE()),HLOOKUP(D795,PREVVOLS,VLOOKUP(G795,MOVE_DOWN2,2,FALSE()),FALSE()),VLOOKUP(G795,NGPREVPRICES,3,FALSE()),HLOOKUP(D795,Correllate,VLOOKUP(G795,CorMove,2,FALSE()),FALSE()),Q795-$CD$3,R795,$CJ$5)*H795-CJ797</f>
        <v>#NAME?</v>
      </c>
      <c r="CF797" s="132" t="e">
        <f aca="false">(CJ797/VLOOKUP(CC797,discount,3,FALSE()))-(CJ797/VLOOKUP(CC797,discount,2,FALSE()))</f>
        <v>#NAME?</v>
      </c>
      <c r="CG797" s="253" t="e">
        <f aca="false">xSPRDOPT((VLOOKUP(G795,NGPREVPRICES,2,FALSE())+HLOOKUP(D795,PREVCURVES,VLOOKUP(G795,MOVE_DOWN2,2,FALSE()),FALSE())),VLOOKUP(G795,NGPREVPRICES,2,FALSE()),CK797,VLOOKUP(G795,NGPREVPRICES,4,FALSE()),HLOOKUP(D795,VOLS,VLOOKUP(G795,move_down,2,FALSE()),FALSE()),VLOOKUP(G795,NGPrices,3,FALSE()),HLOOKUP(D795,Correllate,VLOOKUP(G795,CorMove,2,FALSE()),FALSE()),Q795-$CD$3,R795,$CJ$5)*H795-CJ797</f>
        <v>#NAME?</v>
      </c>
      <c r="CH797" s="253" t="e">
        <f aca="false">xSPRDOPT((VLOOKUP(G795,NGPREVPRICES,2,FALSE())+HLOOKUP(D795,PREVCURVES,VLOOKUP(G795,MOVE_DOWN2,2,FALSE()),FALSE())),VLOOKUP(G795,NGPREVPRICES,2,FALSE()),CK797,VLOOKUP(G795,NGPREVPRICES,4,FALSE()),HLOOKUP(D795,PREVVOLS,VLOOKUP(G795,MOVE_DOWN2,2,FALSE()),FALSE()),VLOOKUP(G795,NGPREVPRICES,3,FALSE()),HLOOKUP(D795,Correllate,VLOOKUP(G795,CorMove,2,FALSE()),FALSE()),Q795-$C$3,R795,$CJ$5)*H795-CJ797</f>
        <v>#NAME?</v>
      </c>
      <c r="CI797" s="253" t="e">
        <f aca="false">SUM(CD797:CH797)</f>
        <v>#NAME?</v>
      </c>
      <c r="CJ797" s="253" t="e">
        <f aca="false">xSPRDOPT((VLOOKUP(G795,NGPREVPRICES,2,FALSE())+HLOOKUP(D795,PREVCURVES,VLOOKUP(G795,MOVE_DOWN2,2,FALSE()),FALSE())),VLOOKUP(G795,NGPREVPRICES,2,FALSE()),CK797,VLOOKUP(G795,NGPREVPRICES,4,FALSE()),HLOOKUP(D795,PREVVOLS,VLOOKUP(G795,MOVE_DOWN2,2,FALSE()),FALSE()),VLOOKUP(G795,NGPREVPRICES,3,FALSE()),HLOOKUP(D795,Correllate,VLOOKUP(G795,CorMove,2,FALSE()),FALSE()),Q795-$CD$3,R795,$CJ$5)*H795</f>
        <v>#NAME?</v>
      </c>
      <c r="CK797" s="254" t="n">
        <f aca="false">I795</f>
        <v>-0.5</v>
      </c>
      <c r="CM797" s="0" t="str">
        <f aca="false">CONCATENATE(CC797,$CD$6)</f>
        <v>36831Curve Shift/Gamma</v>
      </c>
      <c r="CN797" s="0" t="str">
        <f aca="false">CONCATENATE($CC797,$CE$6)</f>
        <v>36831Rho</v>
      </c>
      <c r="CO797" s="0" t="str">
        <f aca="false">CONCATENATE($CC797,$CF$6)</f>
        <v>36831Drift</v>
      </c>
      <c r="CP797" s="0" t="str">
        <f aca="false">CONCATENATE($CC797,$CG$6)</f>
        <v>36831Vega</v>
      </c>
      <c r="CQ797" s="0" t="str">
        <f aca="false">CONCATENATE($CC797,$CH$6)</f>
        <v>36831Theta</v>
      </c>
    </row>
    <row r="798" customFormat="false" ht="12.75" hidden="false" customHeight="false" outlineLevel="0" collapsed="false">
      <c r="A798" s="17" t="s">
        <v>275</v>
      </c>
      <c r="B798" s="0" t="s">
        <v>192</v>
      </c>
      <c r="C798" s="0" t="s">
        <v>455</v>
      </c>
      <c r="D798" s="7" t="s">
        <v>151</v>
      </c>
      <c r="E798" s="0" t="s">
        <v>131</v>
      </c>
      <c r="F798" s="0" t="s">
        <v>132</v>
      </c>
      <c r="G798" s="92" t="n">
        <v>36923</v>
      </c>
      <c r="H798" s="248" t="n">
        <v>-560000</v>
      </c>
      <c r="I798" s="254" t="n">
        <v>-0.5</v>
      </c>
      <c r="J798" s="124" t="n">
        <f aca="false">VLOOKUP(G798,NGPrices,2,FALSE())</f>
        <v>4.48</v>
      </c>
      <c r="K798" s="125" t="n">
        <f aca="false">HLOOKUP(D798,Prices,VLOOKUP(G798,move_down,2,FALSE()),FALSE())+VLOOKUP(G798,CHANGE,HLOOKUP(D798,CHANGE,2,FALSE()),FALSE())</f>
        <v>-0.3875</v>
      </c>
      <c r="L798" s="124" t="n">
        <f aca="false">K798+J798</f>
        <v>4.0925</v>
      </c>
      <c r="M798" s="126" t="n">
        <f aca="false">VLOOKUP(G798,NGPrices,4,FALSE())</f>
        <v>0.068640161611372</v>
      </c>
      <c r="N798" s="7" t="n">
        <f aca="false">VLOOKUP(G798,NGPrices,3,FALSE())</f>
        <v>0.5925</v>
      </c>
      <c r="O798" s="7" t="n">
        <f aca="false">HLOOKUP(D798,VOLS,VLOOKUP(G798,move_down,2,FALSE()),FALSE())</f>
        <v>0.569</v>
      </c>
      <c r="P798" s="249" t="n">
        <f aca="false">HLOOKUP(D798,Correllate,VLOOKUP(G798,CorMove,2,FALSE()),FALSE())</f>
        <v>0.93</v>
      </c>
      <c r="Q798" s="92" t="n">
        <f aca="false">WORKDAY(G798,-2)</f>
        <v>36921</v>
      </c>
      <c r="R798" s="7" t="n">
        <f aca="false">IF(F798="P",0,1)</f>
        <v>0</v>
      </c>
      <c r="S798" s="130" t="e">
        <f aca="false">xSPRDOPT($L798,$J798,$I798,$M798,$O798,$N798,$P798,$Q798-$C$3,$R798,0)</f>
        <v>#NAME?</v>
      </c>
      <c r="T798" s="250" t="e">
        <f aca="false">xSPRDOPT($L798,$J798,$I798,$M798,$O798,$N798,$P798,$Q798-$C$3,$R798,1)*H798</f>
        <v>#NAME?</v>
      </c>
      <c r="U798" s="43" t="e">
        <f aca="false">S798*H798</f>
        <v>#NAME?</v>
      </c>
      <c r="V798" s="250" t="e">
        <f aca="false">xSPRDOPT($L798,$J798,$I798,$M798,$O798,$N798,$P798,$Q798-$C$3,$R798,2)*H798</f>
        <v>#NAME?</v>
      </c>
      <c r="W798" s="250" t="e">
        <f aca="false">+V798+T798</f>
        <v>#NAME?</v>
      </c>
      <c r="X798" s="2" t="str">
        <f aca="false">CONCATENATE(G798,D798)</f>
        <v>36923IF-NWPL_ROCKY_M</v>
      </c>
      <c r="Y798" s="251" t="n">
        <f aca="false">H798/10000</f>
        <v>-56</v>
      </c>
      <c r="Z798" s="226" t="e">
        <f aca="false">T798/H798</f>
        <v>#NAME?</v>
      </c>
      <c r="AA798" s="226" t="e">
        <f aca="false">xSPRDOPT($L798,$J798,$I798,$M798,$O798,$N798,$P798,$Q798-$C$3,$R798,3)</f>
        <v>#NAME?</v>
      </c>
      <c r="AB798" s="226" t="e">
        <f aca="false">((xSPRDOPT($L798+AB$5,$J798,$I798,$M798,$O798,$N798,$P798,$Q798-$C$3,$R798,3)*$H798)/10000)/100</f>
        <v>#NAME?</v>
      </c>
      <c r="AC798" s="226" t="e">
        <f aca="false">((xSPRDOPT($L798+$AB$5,$J798,$I798,$M798,$O798,$N798,$P798,$Q798-$C$3,$R798,7)*$H798)/100)</f>
        <v>#NAME?</v>
      </c>
      <c r="AD798" s="226" t="e">
        <f aca="false">(xSPRDOPT($L798+$AB$5,$J798,$I798,$M798,$O798,$N798,$P798,$Q798-$C$3,$R798,9)/365)*$H798</f>
        <v>#NAME?</v>
      </c>
      <c r="AE798" s="0" t="e">
        <f aca="false">CD800</f>
        <v>#NAME?</v>
      </c>
      <c r="AF798" s="226" t="e">
        <f aca="false">((O798/N798)*AH798)+AG798</f>
        <v>#NAME?</v>
      </c>
      <c r="AG798" s="226" t="e">
        <f aca="false">((xSPRDOPT($L798,$J798,$I798,$M798,$O798,$N798,$P798,$Q798-$C$3,$R798,6)*$H798)/100)</f>
        <v>#NAME?</v>
      </c>
      <c r="AH798" s="226" t="e">
        <f aca="false">((xSPRDOPT($L798,$J798,$I798,$M798,$O798,$N798,$P798,$Q798-$C$3,$R798,5)*$H798)/100)</f>
        <v>#NAME?</v>
      </c>
      <c r="AI798" s="226" t="e">
        <f aca="false">(((xSPRDOPT($L798,$J798,$I798,$M798,$O798,$N798,$P798,$Q798-$C$3,$R798,4)*$H798)/10000)/100)-AB798</f>
        <v>#NAME?</v>
      </c>
      <c r="AJ798" s="226"/>
      <c r="CC798" s="182" t="n">
        <f aca="false">G796</f>
        <v>36861</v>
      </c>
      <c r="CD798" s="253" t="e">
        <f aca="false">xSPRDOPT((VLOOKUP(G796,NGPrices,2,FALSE())+HLOOKUP(D796,Prices,VLOOKUP(G796,move_down,2,FALSE()),FALSE())),VLOOKUP(G796,NGPrices,2,FALSE()),I796,VLOOKUP(G796,NGPREVPRICES,4,FALSE()),HLOOKUP(D796,PREVVOLS,VLOOKUP(G796,MOVE_DOWN2,2,FALSE()),FALSE()),VLOOKUP(G796,NGPREVPRICES,3,FALSE()),HLOOKUP(D796,Correllate,VLOOKUP(G796,CorMove,2,FALSE()),FALSE()),Q796-$CD$3,R796,$CD$5)*H796-CJ798</f>
        <v>#NAME?</v>
      </c>
      <c r="CE798" s="253" t="e">
        <f aca="false">xSPRDOPT((VLOOKUP(G796,NGPREVPRICES,2,FALSE())+HLOOKUP(D796,PREVCURVES,VLOOKUP(G796,MOVE_DOWN2,2,FALSE()),FALSE())),VLOOKUP(G796,NGPREVPRICES,2,FALSE()),CK798,VLOOKUP(G796,NGPrices,4,FALSE()),HLOOKUP(D796,PREVVOLS,VLOOKUP(G796,MOVE_DOWN2,2,FALSE()),FALSE()),VLOOKUP(G796,NGPREVPRICES,3,FALSE()),HLOOKUP(D796,Correllate,VLOOKUP(G796,CorMove,2,FALSE()),FALSE()),Q796-$CD$3,R796,$CJ$5)*H796-CJ798</f>
        <v>#NAME?</v>
      </c>
      <c r="CF798" s="132" t="e">
        <f aca="false">(CJ798/VLOOKUP(CC798,discount,3,FALSE()))-(CJ798/VLOOKUP(CC798,discount,2,FALSE()))</f>
        <v>#NAME?</v>
      </c>
      <c r="CG798" s="253" t="e">
        <f aca="false">xSPRDOPT((VLOOKUP(G796,NGPREVPRICES,2,FALSE())+HLOOKUP(D796,PREVCURVES,VLOOKUP(G796,MOVE_DOWN2,2,FALSE()),FALSE())),VLOOKUP(G796,NGPREVPRICES,2,FALSE()),CK798,VLOOKUP(G796,NGPREVPRICES,4,FALSE()),HLOOKUP(D796,VOLS,VLOOKUP(G796,move_down,2,FALSE()),FALSE()),VLOOKUP(G796,NGPrices,3,FALSE()),HLOOKUP(D796,Correllate,VLOOKUP(G796,CorMove,2,FALSE()),FALSE()),Q796-$CD$3,R796,$CJ$5)*H796-CJ798</f>
        <v>#NAME?</v>
      </c>
      <c r="CH798" s="253" t="e">
        <f aca="false">xSPRDOPT((VLOOKUP(G796,NGPREVPRICES,2,FALSE())+HLOOKUP(D796,PREVCURVES,VLOOKUP(G796,MOVE_DOWN2,2,FALSE()),FALSE())),VLOOKUP(G796,NGPREVPRICES,2,FALSE()),CK798,VLOOKUP(G796,NGPREVPRICES,4,FALSE()),HLOOKUP(D796,PREVVOLS,VLOOKUP(G796,MOVE_DOWN2,2,FALSE()),FALSE()),VLOOKUP(G796,NGPREVPRICES,3,FALSE()),HLOOKUP(D796,Correllate,VLOOKUP(G796,CorMove,2,FALSE()),FALSE()),Q796-$C$3,R796,$CJ$5)*H796-CJ798</f>
        <v>#NAME?</v>
      </c>
      <c r="CI798" s="253" t="e">
        <f aca="false">SUM(CD798:CH798)</f>
        <v>#NAME?</v>
      </c>
      <c r="CJ798" s="253" t="e">
        <f aca="false">xSPRDOPT((VLOOKUP(G796,NGPREVPRICES,2,FALSE())+HLOOKUP(D796,PREVCURVES,VLOOKUP(G796,MOVE_DOWN2,2,FALSE()),FALSE())),VLOOKUP(G796,NGPREVPRICES,2,FALSE()),CK798,VLOOKUP(G796,NGPREVPRICES,4,FALSE()),HLOOKUP(D796,PREVVOLS,VLOOKUP(G796,MOVE_DOWN2,2,FALSE()),FALSE()),VLOOKUP(G796,NGPREVPRICES,3,FALSE()),HLOOKUP(D796,Correllate,VLOOKUP(G796,CorMove,2,FALSE()),FALSE()),Q796-$CD$3,R796,$CJ$5)*H796</f>
        <v>#NAME?</v>
      </c>
      <c r="CK798" s="254" t="n">
        <f aca="false">I796</f>
        <v>-0.5</v>
      </c>
      <c r="CM798" s="0" t="str">
        <f aca="false">CONCATENATE(CC798,$CD$6)</f>
        <v>36861Curve Shift/Gamma</v>
      </c>
      <c r="CN798" s="0" t="str">
        <f aca="false">CONCATENATE($CC798,$CE$6)</f>
        <v>36861Rho</v>
      </c>
      <c r="CO798" s="0" t="str">
        <f aca="false">CONCATENATE($CC798,$CF$6)</f>
        <v>36861Drift</v>
      </c>
      <c r="CP798" s="0" t="str">
        <f aca="false">CONCATENATE($CC798,$CG$6)</f>
        <v>36861Vega</v>
      </c>
      <c r="CQ798" s="0" t="str">
        <f aca="false">CONCATENATE($CC798,$CH$6)</f>
        <v>36861Theta</v>
      </c>
    </row>
    <row r="799" customFormat="false" ht="12.75" hidden="false" customHeight="false" outlineLevel="0" collapsed="false">
      <c r="A799" s="17" t="s">
        <v>275</v>
      </c>
      <c r="B799" s="0" t="s">
        <v>192</v>
      </c>
      <c r="C799" s="0" t="s">
        <v>455</v>
      </c>
      <c r="D799" s="7" t="s">
        <v>151</v>
      </c>
      <c r="E799" s="0" t="s">
        <v>131</v>
      </c>
      <c r="F799" s="0" t="s">
        <v>132</v>
      </c>
      <c r="G799" s="92" t="n">
        <v>36951</v>
      </c>
      <c r="H799" s="248" t="n">
        <v>-620000</v>
      </c>
      <c r="I799" s="254" t="n">
        <v>-0.5</v>
      </c>
      <c r="J799" s="124" t="n">
        <f aca="false">VLOOKUP(G799,NGPrices,2,FALSE())</f>
        <v>4.213</v>
      </c>
      <c r="K799" s="125" t="n">
        <f aca="false">HLOOKUP(D799,Prices,VLOOKUP(G799,move_down,2,FALSE()),FALSE())+VLOOKUP(G799,CHANGE,HLOOKUP(D799,CHANGE,2,FALSE()),FALSE())</f>
        <v>-0.3975</v>
      </c>
      <c r="L799" s="124" t="n">
        <f aca="false">K799+J799</f>
        <v>3.8155</v>
      </c>
      <c r="M799" s="126" t="n">
        <f aca="false">VLOOKUP(G799,NGPrices,4,FALSE())</f>
        <v>0.068879814952707</v>
      </c>
      <c r="N799" s="7" t="n">
        <f aca="false">VLOOKUP(G799,NGPrices,3,FALSE())</f>
        <v>0.5325</v>
      </c>
      <c r="O799" s="7" t="n">
        <f aca="false">HLOOKUP(D799,VOLS,VLOOKUP(G799,move_down,2,FALSE()),FALSE())</f>
        <v>0.511</v>
      </c>
      <c r="P799" s="249" t="n">
        <f aca="false">HLOOKUP(D799,Correllate,VLOOKUP(G799,CorMove,2,FALSE()),FALSE())</f>
        <v>0.93</v>
      </c>
      <c r="Q799" s="92" t="n">
        <f aca="false">WORKDAY(G799,-2)</f>
        <v>36949</v>
      </c>
      <c r="R799" s="7" t="n">
        <f aca="false">IF(F799="P",0,1)</f>
        <v>0</v>
      </c>
      <c r="S799" s="130" t="e">
        <f aca="false">xSPRDOPT($L799,$J799,$I799,$M799,$O799,$N799,$P799,$Q799-$C$3,$R799,0)</f>
        <v>#NAME?</v>
      </c>
      <c r="T799" s="250" t="e">
        <f aca="false">xSPRDOPT($L799,$J799,$I799,$M799,$O799,$N799,$P799,$Q799-$C$3,$R799,1)*H799</f>
        <v>#NAME?</v>
      </c>
      <c r="U799" s="43" t="e">
        <f aca="false">S799*H799</f>
        <v>#NAME?</v>
      </c>
      <c r="V799" s="250" t="e">
        <f aca="false">xSPRDOPT($L799,$J799,$I799,$M799,$O799,$N799,$P799,$Q799-$C$3,$R799,2)*H799</f>
        <v>#NAME?</v>
      </c>
      <c r="W799" s="250" t="e">
        <f aca="false">+V799+T799</f>
        <v>#NAME?</v>
      </c>
      <c r="X799" s="2" t="str">
        <f aca="false">CONCATENATE(G799,D799)</f>
        <v>36951IF-NWPL_ROCKY_M</v>
      </c>
      <c r="Y799" s="251" t="n">
        <f aca="false">H799/10000</f>
        <v>-62</v>
      </c>
      <c r="Z799" s="226" t="e">
        <f aca="false">T799/H799</f>
        <v>#NAME?</v>
      </c>
      <c r="AA799" s="226" t="e">
        <f aca="false">xSPRDOPT($L799,$J799,$I799,$M799,$O799,$N799,$P799,$Q799-$C$3,$R799,3)</f>
        <v>#NAME?</v>
      </c>
      <c r="AB799" s="226" t="e">
        <f aca="false">((xSPRDOPT($L799+AB$5,$J799,$I799,$M799,$O799,$N799,$P799,$Q799-$C$3,$R799,3)*$H799)/10000)/100</f>
        <v>#NAME?</v>
      </c>
      <c r="AC799" s="226" t="e">
        <f aca="false">((xSPRDOPT($L799+$AB$5,$J799,$I799,$M799,$O799,$N799,$P799,$Q799-$C$3,$R799,7)*$H799)/100)</f>
        <v>#NAME?</v>
      </c>
      <c r="AD799" s="226" t="e">
        <f aca="false">(xSPRDOPT($L799+$AB$5,$J799,$I799,$M799,$O799,$N799,$P799,$Q799-$C$3,$R799,9)/365)*$H799</f>
        <v>#NAME?</v>
      </c>
      <c r="AE799" s="0" t="e">
        <f aca="false">CD801</f>
        <v>#NAME?</v>
      </c>
      <c r="AF799" s="226" t="e">
        <f aca="false">((O799/N799)*AH799)+AG799</f>
        <v>#NAME?</v>
      </c>
      <c r="AG799" s="226" t="e">
        <f aca="false">((xSPRDOPT($L799,$J799,$I799,$M799,$O799,$N799,$P799,$Q799-$C$3,$R799,6)*$H799)/100)</f>
        <v>#NAME?</v>
      </c>
      <c r="AH799" s="226" t="e">
        <f aca="false">((xSPRDOPT($L799,$J799,$I799,$M799,$O799,$N799,$P799,$Q799-$C$3,$R799,5)*$H799)/100)</f>
        <v>#NAME?</v>
      </c>
      <c r="AI799" s="226" t="e">
        <f aca="false">(((xSPRDOPT($L799,$J799,$I799,$M799,$O799,$N799,$P799,$Q799-$C$3,$R799,4)*$H799)/10000)/100)-AB799</f>
        <v>#NAME?</v>
      </c>
      <c r="AJ799" s="226"/>
      <c r="CC799" s="182" t="n">
        <f aca="false">G797</f>
        <v>36892</v>
      </c>
      <c r="CD799" s="253" t="e">
        <f aca="false">xSPRDOPT((VLOOKUP(G797,NGPrices,2,FALSE())+HLOOKUP(D797,Prices,VLOOKUP(G797,move_down,2,FALSE()),FALSE())),VLOOKUP(G797,NGPrices,2,FALSE()),I797,VLOOKUP(G797,NGPREVPRICES,4,FALSE()),HLOOKUP(D797,PREVVOLS,VLOOKUP(G797,MOVE_DOWN2,2,FALSE()),FALSE()),VLOOKUP(G797,NGPREVPRICES,3,FALSE()),HLOOKUP(D797,Correllate,VLOOKUP(G797,CorMove,2,FALSE()),FALSE()),Q797-$CD$3,R797,$CD$5)*H797-CJ799</f>
        <v>#NAME?</v>
      </c>
      <c r="CE799" s="253" t="e">
        <f aca="false">xSPRDOPT((VLOOKUP(G797,NGPREVPRICES,2,FALSE())+HLOOKUP(D797,PREVCURVES,VLOOKUP(G797,MOVE_DOWN2,2,FALSE()),FALSE())),VLOOKUP(G797,NGPREVPRICES,2,FALSE()),CK799,VLOOKUP(G797,NGPrices,4,FALSE()),HLOOKUP(D797,PREVVOLS,VLOOKUP(G797,MOVE_DOWN2,2,FALSE()),FALSE()),VLOOKUP(G797,NGPREVPRICES,3,FALSE()),HLOOKUP(D797,Correllate,VLOOKUP(G797,CorMove,2,FALSE()),FALSE()),Q797-$CD$3,R797,$CJ$5)*H797-CJ799</f>
        <v>#NAME?</v>
      </c>
      <c r="CF799" s="132" t="e">
        <f aca="false">(CJ799/VLOOKUP(CC799,discount,3,FALSE()))-(CJ799/VLOOKUP(CC799,discount,2,FALSE()))</f>
        <v>#NAME?</v>
      </c>
      <c r="CG799" s="253" t="e">
        <f aca="false">xSPRDOPT((VLOOKUP(G797,NGPREVPRICES,2,FALSE())+HLOOKUP(D797,PREVCURVES,VLOOKUP(G797,MOVE_DOWN2,2,FALSE()),FALSE())),VLOOKUP(G797,NGPREVPRICES,2,FALSE()),CK799,VLOOKUP(G797,NGPREVPRICES,4,FALSE()),HLOOKUP(D797,VOLS,VLOOKUP(G797,move_down,2,FALSE()),FALSE()),VLOOKUP(G797,NGPrices,3,FALSE()),HLOOKUP(D797,Correllate,VLOOKUP(G797,CorMove,2,FALSE()),FALSE()),Q797-$CD$3,R797,$CJ$5)*H797-CJ799</f>
        <v>#NAME?</v>
      </c>
      <c r="CH799" s="253" t="e">
        <f aca="false">xSPRDOPT((VLOOKUP(G797,NGPREVPRICES,2,FALSE())+HLOOKUP(D797,PREVCURVES,VLOOKUP(G797,MOVE_DOWN2,2,FALSE()),FALSE())),VLOOKUP(G797,NGPREVPRICES,2,FALSE()),CK799,VLOOKUP(G797,NGPREVPRICES,4,FALSE()),HLOOKUP(D797,PREVVOLS,VLOOKUP(G797,MOVE_DOWN2,2,FALSE()),FALSE()),VLOOKUP(G797,NGPREVPRICES,3,FALSE()),HLOOKUP(D797,Correllate,VLOOKUP(G797,CorMove,2,FALSE()),FALSE()),Q797-$C$3,R797,$CJ$5)*H797-CJ799</f>
        <v>#NAME?</v>
      </c>
      <c r="CI799" s="253" t="e">
        <f aca="false">SUM(CD799:CH799)</f>
        <v>#NAME?</v>
      </c>
      <c r="CJ799" s="253" t="e">
        <f aca="false">xSPRDOPT((VLOOKUP(G797,NGPREVPRICES,2,FALSE())+HLOOKUP(D797,PREVCURVES,VLOOKUP(G797,MOVE_DOWN2,2,FALSE()),FALSE())),VLOOKUP(G797,NGPREVPRICES,2,FALSE()),CK799,VLOOKUP(G797,NGPREVPRICES,4,FALSE()),HLOOKUP(D797,PREVVOLS,VLOOKUP(G797,MOVE_DOWN2,2,FALSE()),FALSE()),VLOOKUP(G797,NGPREVPRICES,3,FALSE()),HLOOKUP(D797,Correllate,VLOOKUP(G797,CorMove,2,FALSE()),FALSE()),Q797-$CD$3,R797,$CJ$5)*H797</f>
        <v>#NAME?</v>
      </c>
      <c r="CK799" s="254" t="n">
        <f aca="false">I797</f>
        <v>-0.5</v>
      </c>
      <c r="CM799" s="0" t="str">
        <f aca="false">CONCATENATE(CC799,$CD$6)</f>
        <v>36892Curve Shift/Gamma</v>
      </c>
      <c r="CN799" s="0" t="str">
        <f aca="false">CONCATENATE($CC799,$CE$6)</f>
        <v>36892Rho</v>
      </c>
      <c r="CO799" s="0" t="str">
        <f aca="false">CONCATENATE($CC799,$CF$6)</f>
        <v>36892Drift</v>
      </c>
      <c r="CP799" s="0" t="str">
        <f aca="false">CONCATENATE($CC799,$CG$6)</f>
        <v>36892Vega</v>
      </c>
      <c r="CQ799" s="0" t="str">
        <f aca="false">CONCATENATE($CC799,$CH$6)</f>
        <v>36892Theta</v>
      </c>
    </row>
    <row r="800" customFormat="false" ht="12.75" hidden="false" customHeight="false" outlineLevel="0" collapsed="false">
      <c r="A800" s="17" t="s">
        <v>255</v>
      </c>
      <c r="B800" s="0" t="s">
        <v>192</v>
      </c>
      <c r="C800" s="0" t="s">
        <v>456</v>
      </c>
      <c r="D800" s="7" t="s">
        <v>152</v>
      </c>
      <c r="E800" s="0" t="s">
        <v>131</v>
      </c>
      <c r="F800" s="0" t="s">
        <v>136</v>
      </c>
      <c r="G800" s="92" t="n">
        <v>36831</v>
      </c>
      <c r="H800" s="248" t="n">
        <v>-1000000</v>
      </c>
      <c r="I800" s="254" t="n">
        <v>0.2</v>
      </c>
      <c r="J800" s="124" t="n">
        <f aca="false">VLOOKUP(G800,NGPrices,2,FALSE())</f>
        <v>4.736</v>
      </c>
      <c r="K800" s="125" t="n">
        <f aca="false">HLOOKUP(D800,Prices,VLOOKUP(G800,move_down,2,FALSE()),FALSE())+VLOOKUP(G800,CHANGE,HLOOKUP(D800,CHANGE,2,FALSE()),FALSE())</f>
        <v>0.0875</v>
      </c>
      <c r="L800" s="124" t="n">
        <f aca="false">K800+J800</f>
        <v>4.8235</v>
      </c>
      <c r="M800" s="126" t="n">
        <f aca="false">VLOOKUP(G800,NGPrices,4,FALSE())</f>
        <v>0.06810675983792</v>
      </c>
      <c r="N800" s="7" t="n">
        <f aca="false">VLOOKUP(G800,NGPrices,3,FALSE())</f>
        <v>0.595</v>
      </c>
      <c r="O800" s="7" t="n">
        <f aca="false">HLOOKUP(D800,VOLS,VLOOKUP(G800,move_down,2,FALSE()),FALSE())</f>
        <v>0.595</v>
      </c>
      <c r="P800" s="249" t="n">
        <f aca="false">HLOOKUP(D800,Correllate,VLOOKUP(G800,CorMove,2,FALSE()),FALSE())</f>
        <v>0.997</v>
      </c>
      <c r="Q800" s="92" t="n">
        <f aca="false">WORKDAY(G800,-2)</f>
        <v>36829</v>
      </c>
      <c r="R800" s="7" t="n">
        <f aca="false">IF(F800="P",0,1)</f>
        <v>1</v>
      </c>
      <c r="S800" s="130" t="e">
        <f aca="false">xSPRDOPT($L800,$J800,$I800,$M800,$O800,$N800,$P800,$Q800-$C$3,$R800,0)</f>
        <v>#NAME?</v>
      </c>
      <c r="T800" s="250" t="e">
        <f aca="false">xSPRDOPT($L800,$J800,$I800,$M800,$O800,$N800,$P800,$Q800-$C$3,$R800,1)*H800</f>
        <v>#NAME?</v>
      </c>
      <c r="U800" s="43" t="e">
        <f aca="false">S800*H800</f>
        <v>#NAME?</v>
      </c>
      <c r="V800" s="250" t="e">
        <f aca="false">xSPRDOPT($L800,$J800,$I800,$M800,$O800,$N800,$P800,$Q800-$C$3,$R800,2)*H800</f>
        <v>#NAME?</v>
      </c>
      <c r="W800" s="250" t="e">
        <f aca="false">+V800+T800</f>
        <v>#NAME?</v>
      </c>
      <c r="X800" s="2" t="str">
        <f aca="false">CONCATENATE(G800,D800)</f>
        <v>36831NGI/CHI. GATE</v>
      </c>
      <c r="Y800" s="251" t="n">
        <f aca="false">H800/10000</f>
        <v>-100</v>
      </c>
      <c r="Z800" s="226" t="e">
        <f aca="false">T800/H800</f>
        <v>#NAME?</v>
      </c>
      <c r="AA800" s="226" t="e">
        <f aca="false">xSPRDOPT($L800,$J800,$I800,$M800,$O800,$N800,$P800,$Q800-$C$3,$R800,3)</f>
        <v>#NAME?</v>
      </c>
      <c r="AB800" s="226" t="e">
        <f aca="false">((xSPRDOPT($L800+AB$5,$J800,$I800,$M800,$O800,$N800,$P800,$Q800-$C$3,$R800,3)*$H800)/10000)/100</f>
        <v>#NAME?</v>
      </c>
      <c r="AC800" s="226" t="e">
        <f aca="false">((xSPRDOPT($L800+$AB$5,$J800,$I800,$M800,$O800,$N800,$P800,$Q800-$C$3,$R800,7)*$H800)/100)</f>
        <v>#NAME?</v>
      </c>
      <c r="AD800" s="226" t="e">
        <f aca="false">(xSPRDOPT($L800+$AB$5,$J800,$I800,$M800,$O800,$N800,$P800,$Q800-$C$3,$R800,9)/365)*$H800</f>
        <v>#NAME?</v>
      </c>
      <c r="AE800" s="0" t="e">
        <f aca="false">CD802</f>
        <v>#NAME?</v>
      </c>
      <c r="AF800" s="226" t="e">
        <f aca="false">((O800/N800)*AH800)+AG800</f>
        <v>#NAME?</v>
      </c>
      <c r="AG800" s="226" t="e">
        <f aca="false">((xSPRDOPT($L800,$J800,$I800,$M800,$O800,$N800,$P800,$Q800-$C$3,$R800,6)*$H800)/100)</f>
        <v>#NAME?</v>
      </c>
      <c r="AH800" s="226" t="e">
        <f aca="false">((xSPRDOPT($L800,$J800,$I800,$M800,$O800,$N800,$P800,$Q800-$C$3,$R800,5)*$H800)/100)</f>
        <v>#NAME?</v>
      </c>
      <c r="AI800" s="226" t="e">
        <f aca="false">(((xSPRDOPT($L800,$J800,$I800,$M800,$O800,$N800,$P800,$Q800-$C$3,$R800,4)*$H800)/10000)/100)-AB800</f>
        <v>#NAME?</v>
      </c>
      <c r="AJ800" s="226"/>
      <c r="CC800" s="182" t="n">
        <f aca="false">G798</f>
        <v>36923</v>
      </c>
      <c r="CD800" s="253" t="e">
        <f aca="false">xSPRDOPT((VLOOKUP(G798,NGPrices,2,FALSE())+HLOOKUP(D798,Prices,VLOOKUP(G798,move_down,2,FALSE()),FALSE())),VLOOKUP(G798,NGPrices,2,FALSE()),I798,VLOOKUP(G798,NGPREVPRICES,4,FALSE()),HLOOKUP(D798,PREVVOLS,VLOOKUP(G798,MOVE_DOWN2,2,FALSE()),FALSE()),VLOOKUP(G798,NGPREVPRICES,3,FALSE()),HLOOKUP(D798,Correllate,VLOOKUP(G798,CorMove,2,FALSE()),FALSE()),Q798-$CD$3,R798,$CD$5)*H798-CJ800</f>
        <v>#NAME?</v>
      </c>
      <c r="CE800" s="253" t="e">
        <f aca="false">xSPRDOPT((VLOOKUP(G798,NGPREVPRICES,2,FALSE())+HLOOKUP(D798,PREVCURVES,VLOOKUP(G798,MOVE_DOWN2,2,FALSE()),FALSE())),VLOOKUP(G798,NGPREVPRICES,2,FALSE()),CK800,VLOOKUP(G798,NGPrices,4,FALSE()),HLOOKUP(D798,PREVVOLS,VLOOKUP(G798,MOVE_DOWN2,2,FALSE()),FALSE()),VLOOKUP(G798,NGPREVPRICES,3,FALSE()),HLOOKUP(D798,Correllate,VLOOKUP(G798,CorMove,2,FALSE()),FALSE()),Q798-$CD$3,R798,$CJ$5)*H798-CJ800</f>
        <v>#NAME?</v>
      </c>
      <c r="CF800" s="132" t="e">
        <f aca="false">(CJ800/VLOOKUP(CC800,discount,3,FALSE()))-(CJ800/VLOOKUP(CC800,discount,2,FALSE()))</f>
        <v>#NAME?</v>
      </c>
      <c r="CG800" s="253" t="e">
        <f aca="false">xSPRDOPT((VLOOKUP(G798,NGPREVPRICES,2,FALSE())+HLOOKUP(D798,PREVCURVES,VLOOKUP(G798,MOVE_DOWN2,2,FALSE()),FALSE())),VLOOKUP(G798,NGPREVPRICES,2,FALSE()),CK800,VLOOKUP(G798,NGPREVPRICES,4,FALSE()),HLOOKUP(D798,VOLS,VLOOKUP(G798,move_down,2,FALSE()),FALSE()),VLOOKUP(G798,NGPrices,3,FALSE()),HLOOKUP(D798,Correllate,VLOOKUP(G798,CorMove,2,FALSE()),FALSE()),Q798-$CD$3,R798,$CJ$5)*H798-CJ800</f>
        <v>#NAME?</v>
      </c>
      <c r="CH800" s="253" t="e">
        <f aca="false">xSPRDOPT((VLOOKUP(G798,NGPREVPRICES,2,FALSE())+HLOOKUP(D798,PREVCURVES,VLOOKUP(G798,MOVE_DOWN2,2,FALSE()),FALSE())),VLOOKUP(G798,NGPREVPRICES,2,FALSE()),CK800,VLOOKUP(G798,NGPREVPRICES,4,FALSE()),HLOOKUP(D798,PREVVOLS,VLOOKUP(G798,MOVE_DOWN2,2,FALSE()),FALSE()),VLOOKUP(G798,NGPREVPRICES,3,FALSE()),HLOOKUP(D798,Correllate,VLOOKUP(G798,CorMove,2,FALSE()),FALSE()),Q798-$C$3,R798,$CJ$5)*H798-CJ800</f>
        <v>#NAME?</v>
      </c>
      <c r="CI800" s="253" t="e">
        <f aca="false">SUM(CD800:CH800)</f>
        <v>#NAME?</v>
      </c>
      <c r="CJ800" s="253" t="e">
        <f aca="false">xSPRDOPT((VLOOKUP(G798,NGPREVPRICES,2,FALSE())+HLOOKUP(D798,PREVCURVES,VLOOKUP(G798,MOVE_DOWN2,2,FALSE()),FALSE())),VLOOKUP(G798,NGPREVPRICES,2,FALSE()),CK800,VLOOKUP(G798,NGPREVPRICES,4,FALSE()),HLOOKUP(D798,PREVVOLS,VLOOKUP(G798,MOVE_DOWN2,2,FALSE()),FALSE()),VLOOKUP(G798,NGPREVPRICES,3,FALSE()),HLOOKUP(D798,Correllate,VLOOKUP(G798,CorMove,2,FALSE()),FALSE()),Q798-$CD$3,R798,$CJ$5)*H798</f>
        <v>#NAME?</v>
      </c>
      <c r="CK800" s="254" t="n">
        <f aca="false">I798</f>
        <v>-0.5</v>
      </c>
      <c r="CM800" s="0" t="str">
        <f aca="false">CONCATENATE(CC800,$CD$6)</f>
        <v>36923Curve Shift/Gamma</v>
      </c>
      <c r="CN800" s="0" t="str">
        <f aca="false">CONCATENATE($CC800,$CE$6)</f>
        <v>36923Rho</v>
      </c>
      <c r="CO800" s="0" t="str">
        <f aca="false">CONCATENATE($CC800,$CF$6)</f>
        <v>36923Drift</v>
      </c>
      <c r="CP800" s="0" t="str">
        <f aca="false">CONCATENATE($CC800,$CG$6)</f>
        <v>36923Vega</v>
      </c>
      <c r="CQ800" s="0" t="str">
        <f aca="false">CONCATENATE($CC800,$CH$6)</f>
        <v>36923Theta</v>
      </c>
    </row>
    <row r="801" customFormat="false" ht="12.75" hidden="false" customHeight="false" outlineLevel="0" collapsed="false">
      <c r="A801" s="17" t="s">
        <v>255</v>
      </c>
      <c r="B801" s="0" t="s">
        <v>192</v>
      </c>
      <c r="C801" s="0" t="s">
        <v>456</v>
      </c>
      <c r="D801" s="7" t="s">
        <v>152</v>
      </c>
      <c r="E801" s="0" t="s">
        <v>131</v>
      </c>
      <c r="F801" s="0" t="s">
        <v>136</v>
      </c>
      <c r="G801" s="92" t="n">
        <v>36861</v>
      </c>
      <c r="H801" s="248" t="n">
        <v>-1000000</v>
      </c>
      <c r="I801" s="254" t="n">
        <v>0.2</v>
      </c>
      <c r="J801" s="124" t="n">
        <f aca="false">VLOOKUP(G801,NGPrices,2,FALSE())</f>
        <v>4.8</v>
      </c>
      <c r="K801" s="125" t="n">
        <f aca="false">HLOOKUP(D801,Prices,VLOOKUP(G801,move_down,2,FALSE()),FALSE())+VLOOKUP(G801,CHANGE,HLOOKUP(D801,CHANGE,2,FALSE()),FALSE())</f>
        <v>0.1</v>
      </c>
      <c r="L801" s="124" t="n">
        <f aca="false">K801+J801</f>
        <v>4.9</v>
      </c>
      <c r="M801" s="126" t="n">
        <f aca="false">VLOOKUP(G801,NGPrices,4,FALSE())</f>
        <v>0.068314027999354</v>
      </c>
      <c r="N801" s="7" t="n">
        <f aca="false">VLOOKUP(G801,NGPrices,3,FALSE())</f>
        <v>0.6</v>
      </c>
      <c r="O801" s="7" t="n">
        <f aca="false">HLOOKUP(D801,VOLS,VLOOKUP(G801,move_down,2,FALSE()),FALSE())</f>
        <v>0.6</v>
      </c>
      <c r="P801" s="249" t="n">
        <f aca="false">HLOOKUP(D801,Correllate,VLOOKUP(G801,CorMove,2,FALSE()),FALSE())</f>
        <v>0.997</v>
      </c>
      <c r="Q801" s="92" t="n">
        <f aca="false">WORKDAY(G801,-2)</f>
        <v>36859</v>
      </c>
      <c r="R801" s="7" t="n">
        <f aca="false">IF(F801="P",0,1)</f>
        <v>1</v>
      </c>
      <c r="S801" s="130" t="e">
        <f aca="false">xSPRDOPT($L801,$J801,$I801,$M801,$O801,$N801,$P801,$Q801-$C$3,$R801,0)</f>
        <v>#NAME?</v>
      </c>
      <c r="T801" s="250" t="e">
        <f aca="false">xSPRDOPT($L801,$J801,$I801,$M801,$O801,$N801,$P801,$Q801-$C$3,$R801,1)*H801</f>
        <v>#NAME?</v>
      </c>
      <c r="U801" s="43" t="e">
        <f aca="false">S801*H801</f>
        <v>#NAME?</v>
      </c>
      <c r="V801" s="250" t="e">
        <f aca="false">xSPRDOPT($L801,$J801,$I801,$M801,$O801,$N801,$P801,$Q801-$C$3,$R801,2)*H801</f>
        <v>#NAME?</v>
      </c>
      <c r="W801" s="250" t="e">
        <f aca="false">+V801+T801</f>
        <v>#NAME?</v>
      </c>
      <c r="X801" s="2" t="str">
        <f aca="false">CONCATENATE(G801,D801)</f>
        <v>36861NGI/CHI. GATE</v>
      </c>
      <c r="Y801" s="251" t="n">
        <f aca="false">H801/10000</f>
        <v>-100</v>
      </c>
      <c r="Z801" s="226" t="e">
        <f aca="false">T801/H801</f>
        <v>#NAME?</v>
      </c>
      <c r="AA801" s="226" t="e">
        <f aca="false">xSPRDOPT($L801,$J801,$I801,$M801,$O801,$N801,$P801,$Q801-$C$3,$R801,3)</f>
        <v>#NAME?</v>
      </c>
      <c r="AB801" s="226" t="e">
        <f aca="false">((xSPRDOPT($L801+AB$5,$J801,$I801,$M801,$O801,$N801,$P801,$Q801-$C$3,$R801,3)*$H801)/10000)/100</f>
        <v>#NAME?</v>
      </c>
      <c r="AC801" s="226" t="e">
        <f aca="false">((xSPRDOPT($L801+$AB$5,$J801,$I801,$M801,$O801,$N801,$P801,$Q801-$C$3,$R801,7)*$H801)/100)</f>
        <v>#NAME?</v>
      </c>
      <c r="AD801" s="226" t="e">
        <f aca="false">(xSPRDOPT($L801+$AB$5,$J801,$I801,$M801,$O801,$N801,$P801,$Q801-$C$3,$R801,9)/365)*$H801</f>
        <v>#NAME?</v>
      </c>
      <c r="AE801" s="0" t="e">
        <f aca="false">CD803</f>
        <v>#NAME?</v>
      </c>
      <c r="AF801" s="226" t="e">
        <f aca="false">((O801/N801)*AH801)+AG801</f>
        <v>#NAME?</v>
      </c>
      <c r="AG801" s="226" t="e">
        <f aca="false">((xSPRDOPT($L801,$J801,$I801,$M801,$O801,$N801,$P801,$Q801-$C$3,$R801,6)*$H801)/100)</f>
        <v>#NAME?</v>
      </c>
      <c r="AH801" s="226" t="e">
        <f aca="false">((xSPRDOPT($L801,$J801,$I801,$M801,$O801,$N801,$P801,$Q801-$C$3,$R801,5)*$H801)/100)</f>
        <v>#NAME?</v>
      </c>
      <c r="AI801" s="226" t="e">
        <f aca="false">(((xSPRDOPT($L801,$J801,$I801,$M801,$O801,$N801,$P801,$Q801-$C$3,$R801,4)*$H801)/10000)/100)-AB801</f>
        <v>#NAME?</v>
      </c>
      <c r="AJ801" s="226"/>
      <c r="CC801" s="182" t="n">
        <f aca="false">G799</f>
        <v>36951</v>
      </c>
      <c r="CD801" s="253" t="e">
        <f aca="false">xSPRDOPT((VLOOKUP(G799,NGPrices,2,FALSE())+HLOOKUP(D799,Prices,VLOOKUP(G799,move_down,2,FALSE()),FALSE())),VLOOKUP(G799,NGPrices,2,FALSE()),I799,VLOOKUP(G799,NGPREVPRICES,4,FALSE()),HLOOKUP(D799,PREVVOLS,VLOOKUP(G799,MOVE_DOWN2,2,FALSE()),FALSE()),VLOOKUP(G799,NGPREVPRICES,3,FALSE()),HLOOKUP(D799,Correllate,VLOOKUP(G799,CorMove,2,FALSE()),FALSE()),Q799-$CD$3,R799,$CD$5)*H799-CJ801</f>
        <v>#NAME?</v>
      </c>
      <c r="CE801" s="253" t="e">
        <f aca="false">xSPRDOPT((VLOOKUP(G799,NGPREVPRICES,2,FALSE())+HLOOKUP(D799,PREVCURVES,VLOOKUP(G799,MOVE_DOWN2,2,FALSE()),FALSE())),VLOOKUP(G799,NGPREVPRICES,2,FALSE()),CK801,VLOOKUP(G799,NGPrices,4,FALSE()),HLOOKUP(D799,PREVVOLS,VLOOKUP(G799,MOVE_DOWN2,2,FALSE()),FALSE()),VLOOKUP(G799,NGPREVPRICES,3,FALSE()),HLOOKUP(D799,Correllate,VLOOKUP(G799,CorMove,2,FALSE()),FALSE()),Q799-$CD$3,R799,$CJ$5)*H799-CJ801</f>
        <v>#NAME?</v>
      </c>
      <c r="CF801" s="132" t="e">
        <f aca="false">(CJ801/VLOOKUP(CC801,discount,3,FALSE()))-(CJ801/VLOOKUP(CC801,discount,2,FALSE()))</f>
        <v>#NAME?</v>
      </c>
      <c r="CG801" s="253" t="e">
        <f aca="false">xSPRDOPT((VLOOKUP(G799,NGPREVPRICES,2,FALSE())+HLOOKUP(D799,PREVCURVES,VLOOKUP(G799,MOVE_DOWN2,2,FALSE()),FALSE())),VLOOKUP(G799,NGPREVPRICES,2,FALSE()),CK801,VLOOKUP(G799,NGPREVPRICES,4,FALSE()),HLOOKUP(D799,VOLS,VLOOKUP(G799,move_down,2,FALSE()),FALSE()),VLOOKUP(G799,NGPrices,3,FALSE()),HLOOKUP(D799,Correllate,VLOOKUP(G799,CorMove,2,FALSE()),FALSE()),Q799-$CD$3,R799,$CJ$5)*H799-CJ801</f>
        <v>#NAME?</v>
      </c>
      <c r="CH801" s="253" t="e">
        <f aca="false">xSPRDOPT((VLOOKUP(G799,NGPREVPRICES,2,FALSE())+HLOOKUP(D799,PREVCURVES,VLOOKUP(G799,MOVE_DOWN2,2,FALSE()),FALSE())),VLOOKUP(G799,NGPREVPRICES,2,FALSE()),CK801,VLOOKUP(G799,NGPREVPRICES,4,FALSE()),HLOOKUP(D799,PREVVOLS,VLOOKUP(G799,MOVE_DOWN2,2,FALSE()),FALSE()),VLOOKUP(G799,NGPREVPRICES,3,FALSE()),HLOOKUP(D799,Correllate,VLOOKUP(G799,CorMove,2,FALSE()),FALSE()),Q799-$C$3,R799,$CJ$5)*H799-CJ801</f>
        <v>#NAME?</v>
      </c>
      <c r="CI801" s="253" t="e">
        <f aca="false">SUM(CD801:CH801)</f>
        <v>#NAME?</v>
      </c>
      <c r="CJ801" s="253" t="e">
        <f aca="false">xSPRDOPT((VLOOKUP(G799,NGPREVPRICES,2,FALSE())+HLOOKUP(D799,PREVCURVES,VLOOKUP(G799,MOVE_DOWN2,2,FALSE()),FALSE())),VLOOKUP(G799,NGPREVPRICES,2,FALSE()),CK801,VLOOKUP(G799,NGPREVPRICES,4,FALSE()),HLOOKUP(D799,PREVVOLS,VLOOKUP(G799,MOVE_DOWN2,2,FALSE()),FALSE()),VLOOKUP(G799,NGPREVPRICES,3,FALSE()),HLOOKUP(D799,Correllate,VLOOKUP(G799,CorMove,2,FALSE()),FALSE()),Q799-$CD$3,R799,$CJ$5)*H799</f>
        <v>#NAME?</v>
      </c>
      <c r="CK801" s="254" t="n">
        <f aca="false">I799</f>
        <v>-0.5</v>
      </c>
      <c r="CM801" s="0" t="str">
        <f aca="false">CONCATENATE(CC801,$CD$6)</f>
        <v>36951Curve Shift/Gamma</v>
      </c>
      <c r="CN801" s="0" t="str">
        <f aca="false">CONCATENATE($CC801,$CE$6)</f>
        <v>36951Rho</v>
      </c>
      <c r="CO801" s="0" t="str">
        <f aca="false">CONCATENATE($CC801,$CF$6)</f>
        <v>36951Drift</v>
      </c>
      <c r="CP801" s="0" t="str">
        <f aca="false">CONCATENATE($CC801,$CG$6)</f>
        <v>36951Vega</v>
      </c>
      <c r="CQ801" s="0" t="str">
        <f aca="false">CONCATENATE($CC801,$CH$6)</f>
        <v>36951Theta</v>
      </c>
    </row>
    <row r="802" customFormat="false" ht="12.75" hidden="false" customHeight="false" outlineLevel="0" collapsed="false">
      <c r="A802" s="17" t="s">
        <v>255</v>
      </c>
      <c r="B802" s="0" t="s">
        <v>192</v>
      </c>
      <c r="C802" s="0" t="s">
        <v>456</v>
      </c>
      <c r="D802" s="7" t="s">
        <v>152</v>
      </c>
      <c r="E802" s="0" t="s">
        <v>131</v>
      </c>
      <c r="F802" s="0" t="s">
        <v>136</v>
      </c>
      <c r="G802" s="92" t="n">
        <v>36892</v>
      </c>
      <c r="H802" s="248" t="n">
        <v>-1000000</v>
      </c>
      <c r="I802" s="254" t="n">
        <v>0.2</v>
      </c>
      <c r="J802" s="124" t="n">
        <f aca="false">VLOOKUP(G802,NGPrices,2,FALSE())</f>
        <v>4.744</v>
      </c>
      <c r="K802" s="125" t="n">
        <f aca="false">HLOOKUP(D802,Prices,VLOOKUP(G802,move_down,2,FALSE()),FALSE())+VLOOKUP(G802,CHANGE,HLOOKUP(D802,CHANGE,2,FALSE()),FALSE())</f>
        <v>0.1275</v>
      </c>
      <c r="L802" s="124" t="n">
        <f aca="false">K802+J802</f>
        <v>4.8715</v>
      </c>
      <c r="M802" s="126" t="n">
        <f aca="false">VLOOKUP(G802,NGPrices,4,FALSE())</f>
        <v>0.068374831148491</v>
      </c>
      <c r="N802" s="7" t="n">
        <f aca="false">VLOOKUP(G802,NGPrices,3,FALSE())</f>
        <v>0.605</v>
      </c>
      <c r="O802" s="7" t="n">
        <f aca="false">HLOOKUP(D802,VOLS,VLOOKUP(G802,move_down,2,FALSE()),FALSE())</f>
        <v>0.605</v>
      </c>
      <c r="P802" s="249" t="n">
        <f aca="false">HLOOKUP(D802,Correllate,VLOOKUP(G802,CorMove,2,FALSE()),FALSE())</f>
        <v>0.997</v>
      </c>
      <c r="Q802" s="92" t="n">
        <f aca="false">WORKDAY(G802,-2)</f>
        <v>36888</v>
      </c>
      <c r="R802" s="7" t="n">
        <f aca="false">IF(F802="P",0,1)</f>
        <v>1</v>
      </c>
      <c r="S802" s="130" t="e">
        <f aca="false">xSPRDOPT($L802,$J802,$I802,$M802,$O802,$N802,$P802,$Q802-$C$3,$R802,0)</f>
        <v>#NAME?</v>
      </c>
      <c r="T802" s="250" t="e">
        <f aca="false">xSPRDOPT($L802,$J802,$I802,$M802,$O802,$N802,$P802,$Q802-$C$3,$R802,1)*H802</f>
        <v>#NAME?</v>
      </c>
      <c r="U802" s="43" t="e">
        <f aca="false">S802*H802</f>
        <v>#NAME?</v>
      </c>
      <c r="V802" s="250" t="e">
        <f aca="false">xSPRDOPT($L802,$J802,$I802,$M802,$O802,$N802,$P802,$Q802-$C$3,$R802,2)*H802</f>
        <v>#NAME?</v>
      </c>
      <c r="W802" s="250" t="e">
        <f aca="false">+V802+T802</f>
        <v>#NAME?</v>
      </c>
      <c r="X802" s="2" t="str">
        <f aca="false">CONCATENATE(G802,D802)</f>
        <v>36892NGI/CHI. GATE</v>
      </c>
      <c r="Y802" s="251" t="n">
        <f aca="false">H802/10000</f>
        <v>-100</v>
      </c>
      <c r="Z802" s="226" t="e">
        <f aca="false">T802/H802</f>
        <v>#NAME?</v>
      </c>
      <c r="AA802" s="226" t="e">
        <f aca="false">xSPRDOPT($L802,$J802,$I802,$M802,$O802,$N802,$P802,$Q802-$C$3,$R802,3)</f>
        <v>#NAME?</v>
      </c>
      <c r="AB802" s="226" t="e">
        <f aca="false">((xSPRDOPT($L802+AB$5,$J802,$I802,$M802,$O802,$N802,$P802,$Q802-$C$3,$R802,3)*$H802)/10000)/100</f>
        <v>#NAME?</v>
      </c>
      <c r="AC802" s="226" t="e">
        <f aca="false">((xSPRDOPT($L802+$AB$5,$J802,$I802,$M802,$O802,$N802,$P802,$Q802-$C$3,$R802,7)*$H802)/100)</f>
        <v>#NAME?</v>
      </c>
      <c r="AD802" s="226" t="e">
        <f aca="false">(xSPRDOPT($L802+$AB$5,$J802,$I802,$M802,$O802,$N802,$P802,$Q802-$C$3,$R802,9)/365)*$H802</f>
        <v>#NAME?</v>
      </c>
      <c r="AE802" s="0" t="e">
        <f aca="false">CD804</f>
        <v>#NAME?</v>
      </c>
      <c r="AF802" s="226" t="e">
        <f aca="false">((O802/N802)*AH802)+AG802</f>
        <v>#NAME?</v>
      </c>
      <c r="AG802" s="226" t="e">
        <f aca="false">((xSPRDOPT($L802,$J802,$I802,$M802,$O802,$N802,$P802,$Q802-$C$3,$R802,6)*$H802)/100)</f>
        <v>#NAME?</v>
      </c>
      <c r="AH802" s="226" t="e">
        <f aca="false">((xSPRDOPT($L802,$J802,$I802,$M802,$O802,$N802,$P802,$Q802-$C$3,$R802,5)*$H802)/100)</f>
        <v>#NAME?</v>
      </c>
      <c r="AI802" s="226" t="e">
        <f aca="false">(((xSPRDOPT($L802,$J802,$I802,$M802,$O802,$N802,$P802,$Q802-$C$3,$R802,4)*$H802)/10000)/100)-AB802</f>
        <v>#NAME?</v>
      </c>
      <c r="AJ802" s="226"/>
      <c r="CC802" s="182" t="n">
        <f aca="false">G800</f>
        <v>36831</v>
      </c>
      <c r="CD802" s="253" t="e">
        <f aca="false">xSPRDOPT((VLOOKUP(G800,NGPrices,2,FALSE())+HLOOKUP(D800,Prices,VLOOKUP(G800,move_down,2,FALSE()),FALSE())),VLOOKUP(G800,NGPrices,2,FALSE()),I800,VLOOKUP(G800,NGPREVPRICES,4,FALSE()),HLOOKUP(D800,PREVVOLS,VLOOKUP(G800,MOVE_DOWN2,2,FALSE()),FALSE()),VLOOKUP(G800,NGPREVPRICES,3,FALSE()),HLOOKUP(D800,Correllate,VLOOKUP(G800,CorMove,2,FALSE()),FALSE()),Q800-$CD$3,R800,$CD$5)*H800-CJ802</f>
        <v>#NAME?</v>
      </c>
      <c r="CE802" s="253" t="e">
        <f aca="false">xSPRDOPT((VLOOKUP(G800,NGPREVPRICES,2,FALSE())+HLOOKUP(D800,PREVCURVES,VLOOKUP(G800,MOVE_DOWN2,2,FALSE()),FALSE())),VLOOKUP(G800,NGPREVPRICES,2,FALSE()),CK802,VLOOKUP(G800,NGPrices,4,FALSE()),HLOOKUP(D800,PREVVOLS,VLOOKUP(G800,MOVE_DOWN2,2,FALSE()),FALSE()),VLOOKUP(G800,NGPREVPRICES,3,FALSE()),HLOOKUP(D800,Correllate,VLOOKUP(G800,CorMove,2,FALSE()),FALSE()),Q800-$CD$3,R800,$CJ$5)*H800-CJ802</f>
        <v>#NAME?</v>
      </c>
      <c r="CF802" s="132" t="e">
        <f aca="false">(CJ802/VLOOKUP(CC802,discount,3,FALSE()))-(CJ802/VLOOKUP(CC802,discount,2,FALSE()))</f>
        <v>#NAME?</v>
      </c>
      <c r="CG802" s="253" t="e">
        <f aca="false">xSPRDOPT((VLOOKUP(G800,NGPREVPRICES,2,FALSE())+HLOOKUP(D800,PREVCURVES,VLOOKUP(G800,MOVE_DOWN2,2,FALSE()),FALSE())),VLOOKUP(G800,NGPREVPRICES,2,FALSE()),CK802,VLOOKUP(G800,NGPREVPRICES,4,FALSE()),HLOOKUP(D800,VOLS,VLOOKUP(G800,move_down,2,FALSE()),FALSE()),VLOOKUP(G800,NGPrices,3,FALSE()),HLOOKUP(D800,Correllate,VLOOKUP(G800,CorMove,2,FALSE()),FALSE()),Q800-$CD$3,R800,$CJ$5)*H800-CJ802</f>
        <v>#NAME?</v>
      </c>
      <c r="CH802" s="253" t="e">
        <f aca="false">xSPRDOPT((VLOOKUP(G800,NGPREVPRICES,2,FALSE())+HLOOKUP(D800,PREVCURVES,VLOOKUP(G800,MOVE_DOWN2,2,FALSE()),FALSE())),VLOOKUP(G800,NGPREVPRICES,2,FALSE()),CK802,VLOOKUP(G800,NGPREVPRICES,4,FALSE()),HLOOKUP(D800,PREVVOLS,VLOOKUP(G800,MOVE_DOWN2,2,FALSE()),FALSE()),VLOOKUP(G800,NGPREVPRICES,3,FALSE()),HLOOKUP(D800,Correllate,VLOOKUP(G800,CorMove,2,FALSE()),FALSE()),Q800-$C$3,R800,$CJ$5)*H800-CJ802</f>
        <v>#NAME?</v>
      </c>
      <c r="CI802" s="253" t="e">
        <f aca="false">SUM(CD802:CH802)</f>
        <v>#NAME?</v>
      </c>
      <c r="CJ802" s="253" t="e">
        <f aca="false">xSPRDOPT((VLOOKUP(G800,NGPREVPRICES,2,FALSE())+HLOOKUP(D800,PREVCURVES,VLOOKUP(G800,MOVE_DOWN2,2,FALSE()),FALSE())),VLOOKUP(G800,NGPREVPRICES,2,FALSE()),CK802,VLOOKUP(G800,NGPREVPRICES,4,FALSE()),HLOOKUP(D800,PREVVOLS,VLOOKUP(G800,MOVE_DOWN2,2,FALSE()),FALSE()),VLOOKUP(G800,NGPREVPRICES,3,FALSE()),HLOOKUP(D800,Correllate,VLOOKUP(G800,CorMove,2,FALSE()),FALSE()),Q800-$CD$3,R800,$CJ$5)*H800</f>
        <v>#NAME?</v>
      </c>
      <c r="CK802" s="254" t="n">
        <f aca="false">I800</f>
        <v>0.2</v>
      </c>
      <c r="CM802" s="0" t="str">
        <f aca="false">CONCATENATE(CC802,$CD$6)</f>
        <v>36831Curve Shift/Gamma</v>
      </c>
      <c r="CN802" s="0" t="str">
        <f aca="false">CONCATENATE($CC802,$CE$6)</f>
        <v>36831Rho</v>
      </c>
      <c r="CO802" s="0" t="str">
        <f aca="false">CONCATENATE($CC802,$CF$6)</f>
        <v>36831Drift</v>
      </c>
      <c r="CP802" s="0" t="str">
        <f aca="false">CONCATENATE($CC802,$CG$6)</f>
        <v>36831Vega</v>
      </c>
      <c r="CQ802" s="0" t="str">
        <f aca="false">CONCATENATE($CC802,$CH$6)</f>
        <v>36831Theta</v>
      </c>
    </row>
    <row r="803" customFormat="false" ht="12.75" hidden="false" customHeight="false" outlineLevel="0" collapsed="false">
      <c r="A803" s="17" t="s">
        <v>255</v>
      </c>
      <c r="B803" s="0" t="s">
        <v>192</v>
      </c>
      <c r="C803" s="0" t="s">
        <v>456</v>
      </c>
      <c r="D803" s="7" t="s">
        <v>152</v>
      </c>
      <c r="E803" s="0" t="s">
        <v>131</v>
      </c>
      <c r="F803" s="0" t="s">
        <v>136</v>
      </c>
      <c r="G803" s="92" t="n">
        <v>36923</v>
      </c>
      <c r="H803" s="248" t="n">
        <v>-1000000</v>
      </c>
      <c r="I803" s="254" t="n">
        <v>0.2</v>
      </c>
      <c r="J803" s="124" t="n">
        <f aca="false">VLOOKUP(G803,NGPrices,2,FALSE())</f>
        <v>4.48</v>
      </c>
      <c r="K803" s="125" t="n">
        <f aca="false">HLOOKUP(D803,Prices,VLOOKUP(G803,move_down,2,FALSE()),FALSE())+VLOOKUP(G803,CHANGE,HLOOKUP(D803,CHANGE,2,FALSE()),FALSE())</f>
        <v>0.1375</v>
      </c>
      <c r="L803" s="124" t="n">
        <f aca="false">K803+J803</f>
        <v>4.6175</v>
      </c>
      <c r="M803" s="126" t="n">
        <f aca="false">VLOOKUP(G803,NGPrices,4,FALSE())</f>
        <v>0.068640161611372</v>
      </c>
      <c r="N803" s="7" t="n">
        <f aca="false">VLOOKUP(G803,NGPrices,3,FALSE())</f>
        <v>0.5925</v>
      </c>
      <c r="O803" s="7" t="n">
        <f aca="false">HLOOKUP(D803,VOLS,VLOOKUP(G803,move_down,2,FALSE()),FALSE())</f>
        <v>0.593</v>
      </c>
      <c r="P803" s="249" t="n">
        <f aca="false">HLOOKUP(D803,Correllate,VLOOKUP(G803,CorMove,2,FALSE()),FALSE())</f>
        <v>0.997</v>
      </c>
      <c r="Q803" s="92" t="n">
        <f aca="false">WORKDAY(G803,-2)</f>
        <v>36921</v>
      </c>
      <c r="R803" s="7" t="n">
        <f aca="false">IF(F803="P",0,1)</f>
        <v>1</v>
      </c>
      <c r="S803" s="130" t="e">
        <f aca="false">xSPRDOPT($L803,$J803,$I803,$M803,$O803,$N803,$P803,$Q803-$C$3,$R803,0)</f>
        <v>#NAME?</v>
      </c>
      <c r="T803" s="250" t="e">
        <f aca="false">xSPRDOPT($L803,$J803,$I803,$M803,$O803,$N803,$P803,$Q803-$C$3,$R803,1)*H803</f>
        <v>#NAME?</v>
      </c>
      <c r="U803" s="43" t="e">
        <f aca="false">S803*H803</f>
        <v>#NAME?</v>
      </c>
      <c r="V803" s="250" t="e">
        <f aca="false">xSPRDOPT($L803,$J803,$I803,$M803,$O803,$N803,$P803,$Q803-$C$3,$R803,2)*H803</f>
        <v>#NAME?</v>
      </c>
      <c r="W803" s="250" t="e">
        <f aca="false">+V803+T803</f>
        <v>#NAME?</v>
      </c>
      <c r="X803" s="2" t="str">
        <f aca="false">CONCATENATE(G803,D803)</f>
        <v>36923NGI/CHI. GATE</v>
      </c>
      <c r="Y803" s="251" t="n">
        <f aca="false">H803/10000</f>
        <v>-100</v>
      </c>
      <c r="Z803" s="226" t="e">
        <f aca="false">T803/H803</f>
        <v>#NAME?</v>
      </c>
      <c r="AA803" s="226" t="e">
        <f aca="false">xSPRDOPT($L803,$J803,$I803,$M803,$O803,$N803,$P803,$Q803-$C$3,$R803,3)</f>
        <v>#NAME?</v>
      </c>
      <c r="AB803" s="226" t="e">
        <f aca="false">((xSPRDOPT($L803+AB$5,$J803,$I803,$M803,$O803,$N803,$P803,$Q803-$C$3,$R803,3)*$H803)/10000)/100</f>
        <v>#NAME?</v>
      </c>
      <c r="AC803" s="226" t="e">
        <f aca="false">((xSPRDOPT($L803+$AB$5,$J803,$I803,$M803,$O803,$N803,$P803,$Q803-$C$3,$R803,7)*$H803)/100)</f>
        <v>#NAME?</v>
      </c>
      <c r="AD803" s="226" t="e">
        <f aca="false">(xSPRDOPT($L803+$AB$5,$J803,$I803,$M803,$O803,$N803,$P803,$Q803-$C$3,$R803,9)/365)*$H803</f>
        <v>#NAME?</v>
      </c>
      <c r="AE803" s="0" t="e">
        <f aca="false">CD805</f>
        <v>#NAME?</v>
      </c>
      <c r="AF803" s="226" t="e">
        <f aca="false">((O803/N803)*AH803)+AG803</f>
        <v>#NAME?</v>
      </c>
      <c r="AG803" s="226" t="e">
        <f aca="false">((xSPRDOPT($L803,$J803,$I803,$M803,$O803,$N803,$P803,$Q803-$C$3,$R803,6)*$H803)/100)</f>
        <v>#NAME?</v>
      </c>
      <c r="AH803" s="226" t="e">
        <f aca="false">((xSPRDOPT($L803,$J803,$I803,$M803,$O803,$N803,$P803,$Q803-$C$3,$R803,5)*$H803)/100)</f>
        <v>#NAME?</v>
      </c>
      <c r="AI803" s="226" t="e">
        <f aca="false">(((xSPRDOPT($L803,$J803,$I803,$M803,$O803,$N803,$P803,$Q803-$C$3,$R803,4)*$H803)/10000)/100)-AB803</f>
        <v>#NAME?</v>
      </c>
      <c r="AJ803" s="226"/>
      <c r="CC803" s="182" t="n">
        <f aca="false">G801</f>
        <v>36861</v>
      </c>
      <c r="CD803" s="253" t="e">
        <f aca="false">xSPRDOPT((VLOOKUP(G801,NGPrices,2,FALSE())+HLOOKUP(D801,Prices,VLOOKUP(G801,move_down,2,FALSE()),FALSE())),VLOOKUP(G801,NGPrices,2,FALSE()),I801,VLOOKUP(G801,NGPREVPRICES,4,FALSE()),HLOOKUP(D801,PREVVOLS,VLOOKUP(G801,MOVE_DOWN2,2,FALSE()),FALSE()),VLOOKUP(G801,NGPREVPRICES,3,FALSE()),HLOOKUP(D801,Correllate,VLOOKUP(G801,CorMove,2,FALSE()),FALSE()),Q801-$CD$3,R801,$CD$5)*H801-CJ803</f>
        <v>#NAME?</v>
      </c>
      <c r="CE803" s="253" t="e">
        <f aca="false">xSPRDOPT((VLOOKUP(G801,NGPREVPRICES,2,FALSE())+HLOOKUP(D801,PREVCURVES,VLOOKUP(G801,MOVE_DOWN2,2,FALSE()),FALSE())),VLOOKUP(G801,NGPREVPRICES,2,FALSE()),CK803,VLOOKUP(G801,NGPrices,4,FALSE()),HLOOKUP(D801,PREVVOLS,VLOOKUP(G801,MOVE_DOWN2,2,FALSE()),FALSE()),VLOOKUP(G801,NGPREVPRICES,3,FALSE()),HLOOKUP(D801,Correllate,VLOOKUP(G801,CorMove,2,FALSE()),FALSE()),Q801-$CD$3,R801,$CJ$5)*H801-CJ803</f>
        <v>#NAME?</v>
      </c>
      <c r="CF803" s="132" t="e">
        <f aca="false">(CJ803/VLOOKUP(CC803,discount,3,FALSE()))-(CJ803/VLOOKUP(CC803,discount,2,FALSE()))</f>
        <v>#NAME?</v>
      </c>
      <c r="CG803" s="253" t="e">
        <f aca="false">xSPRDOPT((VLOOKUP(G801,NGPREVPRICES,2,FALSE())+HLOOKUP(D801,PREVCURVES,VLOOKUP(G801,MOVE_DOWN2,2,FALSE()),FALSE())),VLOOKUP(G801,NGPREVPRICES,2,FALSE()),CK803,VLOOKUP(G801,NGPREVPRICES,4,FALSE()),HLOOKUP(D801,VOLS,VLOOKUP(G801,move_down,2,FALSE()),FALSE()),VLOOKUP(G801,NGPrices,3,FALSE()),HLOOKUP(D801,Correllate,VLOOKUP(G801,CorMove,2,FALSE()),FALSE()),Q801-$CD$3,R801,$CJ$5)*H801-CJ803</f>
        <v>#NAME?</v>
      </c>
      <c r="CH803" s="253" t="e">
        <f aca="false">xSPRDOPT((VLOOKUP(G801,NGPREVPRICES,2,FALSE())+HLOOKUP(D801,PREVCURVES,VLOOKUP(G801,MOVE_DOWN2,2,FALSE()),FALSE())),VLOOKUP(G801,NGPREVPRICES,2,FALSE()),CK803,VLOOKUP(G801,NGPREVPRICES,4,FALSE()),HLOOKUP(D801,PREVVOLS,VLOOKUP(G801,MOVE_DOWN2,2,FALSE()),FALSE()),VLOOKUP(G801,NGPREVPRICES,3,FALSE()),HLOOKUP(D801,Correllate,VLOOKUP(G801,CorMove,2,FALSE()),FALSE()),Q801-$C$3,R801,$CJ$5)*H801-CJ803</f>
        <v>#NAME?</v>
      </c>
      <c r="CI803" s="253" t="e">
        <f aca="false">SUM(CD803:CH803)</f>
        <v>#NAME?</v>
      </c>
      <c r="CJ803" s="253" t="e">
        <f aca="false">xSPRDOPT((VLOOKUP(G801,NGPREVPRICES,2,FALSE())+HLOOKUP(D801,PREVCURVES,VLOOKUP(G801,MOVE_DOWN2,2,FALSE()),FALSE())),VLOOKUP(G801,NGPREVPRICES,2,FALSE()),CK803,VLOOKUP(G801,NGPREVPRICES,4,FALSE()),HLOOKUP(D801,PREVVOLS,VLOOKUP(G801,MOVE_DOWN2,2,FALSE()),FALSE()),VLOOKUP(G801,NGPREVPRICES,3,FALSE()),HLOOKUP(D801,Correllate,VLOOKUP(G801,CorMove,2,FALSE()),FALSE()),Q801-$CD$3,R801,$CJ$5)*H801</f>
        <v>#NAME?</v>
      </c>
      <c r="CK803" s="254" t="n">
        <f aca="false">I801</f>
        <v>0.2</v>
      </c>
      <c r="CM803" s="0" t="str">
        <f aca="false">CONCATENATE(CC803,$CD$6)</f>
        <v>36861Curve Shift/Gamma</v>
      </c>
      <c r="CN803" s="0" t="str">
        <f aca="false">CONCATENATE($CC803,$CE$6)</f>
        <v>36861Rho</v>
      </c>
      <c r="CO803" s="0" t="str">
        <f aca="false">CONCATENATE($CC803,$CF$6)</f>
        <v>36861Drift</v>
      </c>
      <c r="CP803" s="0" t="str">
        <f aca="false">CONCATENATE($CC803,$CG$6)</f>
        <v>36861Vega</v>
      </c>
      <c r="CQ803" s="0" t="str">
        <f aca="false">CONCATENATE($CC803,$CH$6)</f>
        <v>36861Theta</v>
      </c>
    </row>
    <row r="804" customFormat="false" ht="12.75" hidden="false" customHeight="false" outlineLevel="0" collapsed="false">
      <c r="A804" s="17" t="s">
        <v>255</v>
      </c>
      <c r="B804" s="0" t="s">
        <v>192</v>
      </c>
      <c r="C804" s="0" t="s">
        <v>456</v>
      </c>
      <c r="D804" s="7" t="s">
        <v>152</v>
      </c>
      <c r="E804" s="0" t="s">
        <v>131</v>
      </c>
      <c r="F804" s="0" t="s">
        <v>136</v>
      </c>
      <c r="G804" s="92" t="n">
        <v>36951</v>
      </c>
      <c r="H804" s="248" t="n">
        <v>-1000000</v>
      </c>
      <c r="I804" s="254" t="n">
        <v>0.2</v>
      </c>
      <c r="J804" s="124" t="n">
        <f aca="false">VLOOKUP(G804,NGPrices,2,FALSE())</f>
        <v>4.213</v>
      </c>
      <c r="K804" s="125" t="n">
        <f aca="false">HLOOKUP(D804,Prices,VLOOKUP(G804,move_down,2,FALSE()),FALSE())+VLOOKUP(G804,CHANGE,HLOOKUP(D804,CHANGE,2,FALSE()),FALSE())</f>
        <v>0.1225</v>
      </c>
      <c r="L804" s="124" t="n">
        <f aca="false">K804+J804</f>
        <v>4.3355</v>
      </c>
      <c r="M804" s="126" t="n">
        <f aca="false">VLOOKUP(G804,NGPrices,4,FALSE())</f>
        <v>0.068879814952707</v>
      </c>
      <c r="N804" s="7" t="n">
        <f aca="false">VLOOKUP(G804,NGPrices,3,FALSE())</f>
        <v>0.5325</v>
      </c>
      <c r="O804" s="7" t="n">
        <f aca="false">HLOOKUP(D804,VOLS,VLOOKUP(G804,move_down,2,FALSE()),FALSE())</f>
        <v>0.533</v>
      </c>
      <c r="P804" s="249" t="n">
        <f aca="false">HLOOKUP(D804,Correllate,VLOOKUP(G804,CorMove,2,FALSE()),FALSE())</f>
        <v>0.997</v>
      </c>
      <c r="Q804" s="92" t="n">
        <f aca="false">WORKDAY(G804,-2)</f>
        <v>36949</v>
      </c>
      <c r="R804" s="7" t="n">
        <f aca="false">IF(F804="P",0,1)</f>
        <v>1</v>
      </c>
      <c r="S804" s="130" t="e">
        <f aca="false">xSPRDOPT($L804,$J804,$I804,$M804,$O804,$N804,$P804,$Q804-$C$3,$R804,0)</f>
        <v>#NAME?</v>
      </c>
      <c r="T804" s="250" t="e">
        <f aca="false">xSPRDOPT($L804,$J804,$I804,$M804,$O804,$N804,$P804,$Q804-$C$3,$R804,1)*H804</f>
        <v>#NAME?</v>
      </c>
      <c r="U804" s="43" t="e">
        <f aca="false">S804*H804</f>
        <v>#NAME?</v>
      </c>
      <c r="V804" s="250" t="e">
        <f aca="false">xSPRDOPT($L804,$J804,$I804,$M804,$O804,$N804,$P804,$Q804-$C$3,$R804,2)*H804</f>
        <v>#NAME?</v>
      </c>
      <c r="W804" s="250" t="e">
        <f aca="false">+V804+T804</f>
        <v>#NAME?</v>
      </c>
      <c r="X804" s="2" t="str">
        <f aca="false">CONCATENATE(G804,D804)</f>
        <v>36951NGI/CHI. GATE</v>
      </c>
      <c r="Y804" s="251" t="n">
        <f aca="false">H804/10000</f>
        <v>-100</v>
      </c>
      <c r="Z804" s="226" t="e">
        <f aca="false">T804/H804</f>
        <v>#NAME?</v>
      </c>
      <c r="AA804" s="226" t="e">
        <f aca="false">xSPRDOPT($L804,$J804,$I804,$M804,$O804,$N804,$P804,$Q804-$C$3,$R804,3)</f>
        <v>#NAME?</v>
      </c>
      <c r="AB804" s="226" t="e">
        <f aca="false">((xSPRDOPT($L804+AB$5,$J804,$I804,$M804,$O804,$N804,$P804,$Q804-$C$3,$R804,3)*$H804)/10000)/100</f>
        <v>#NAME?</v>
      </c>
      <c r="AC804" s="226" t="e">
        <f aca="false">((xSPRDOPT($L804+$AB$5,$J804,$I804,$M804,$O804,$N804,$P804,$Q804-$C$3,$R804,7)*$H804)/100)</f>
        <v>#NAME?</v>
      </c>
      <c r="AD804" s="226" t="e">
        <f aca="false">(xSPRDOPT($L804+$AB$5,$J804,$I804,$M804,$O804,$N804,$P804,$Q804-$C$3,$R804,9)/365)*$H804</f>
        <v>#NAME?</v>
      </c>
      <c r="AE804" s="0" t="e">
        <f aca="false">CD806</f>
        <v>#NAME?</v>
      </c>
      <c r="AF804" s="226" t="e">
        <f aca="false">((O804/N804)*AH804)+AG804</f>
        <v>#NAME?</v>
      </c>
      <c r="AG804" s="226" t="e">
        <f aca="false">((xSPRDOPT($L804,$J804,$I804,$M804,$O804,$N804,$P804,$Q804-$C$3,$R804,6)*$H804)/100)</f>
        <v>#NAME?</v>
      </c>
      <c r="AH804" s="226" t="e">
        <f aca="false">((xSPRDOPT($L804,$J804,$I804,$M804,$O804,$N804,$P804,$Q804-$C$3,$R804,5)*$H804)/100)</f>
        <v>#NAME?</v>
      </c>
      <c r="AI804" s="226" t="e">
        <f aca="false">(((xSPRDOPT($L804,$J804,$I804,$M804,$O804,$N804,$P804,$Q804-$C$3,$R804,4)*$H804)/10000)/100)-AB804</f>
        <v>#NAME?</v>
      </c>
      <c r="AJ804" s="226"/>
      <c r="CC804" s="182" t="n">
        <f aca="false">G802</f>
        <v>36892</v>
      </c>
      <c r="CD804" s="253" t="e">
        <f aca="false">xSPRDOPT((VLOOKUP(G802,NGPrices,2,FALSE())+HLOOKUP(D802,Prices,VLOOKUP(G802,move_down,2,FALSE()),FALSE())),VLOOKUP(G802,NGPrices,2,FALSE()),I802,VLOOKUP(G802,NGPREVPRICES,4,FALSE()),HLOOKUP(D802,PREVVOLS,VLOOKUP(G802,MOVE_DOWN2,2,FALSE()),FALSE()),VLOOKUP(G802,NGPREVPRICES,3,FALSE()),HLOOKUP(D802,Correllate,VLOOKUP(G802,CorMove,2,FALSE()),FALSE()),Q802-$CD$3,R802,$CD$5)*H802-CJ804</f>
        <v>#NAME?</v>
      </c>
      <c r="CE804" s="253" t="e">
        <f aca="false">xSPRDOPT((VLOOKUP(G802,NGPREVPRICES,2,FALSE())+HLOOKUP(D802,PREVCURVES,VLOOKUP(G802,MOVE_DOWN2,2,FALSE()),FALSE())),VLOOKUP(G802,NGPREVPRICES,2,FALSE()),CK804,VLOOKUP(G802,NGPrices,4,FALSE()),HLOOKUP(D802,PREVVOLS,VLOOKUP(G802,MOVE_DOWN2,2,FALSE()),FALSE()),VLOOKUP(G802,NGPREVPRICES,3,FALSE()),HLOOKUP(D802,Correllate,VLOOKUP(G802,CorMove,2,FALSE()),FALSE()),Q802-$CD$3,R802,$CJ$5)*H802-CJ804</f>
        <v>#NAME?</v>
      </c>
      <c r="CF804" s="132" t="e">
        <f aca="false">(CJ804/VLOOKUP(CC804,discount,3,FALSE()))-(CJ804/VLOOKUP(CC804,discount,2,FALSE()))</f>
        <v>#NAME?</v>
      </c>
      <c r="CG804" s="253" t="e">
        <f aca="false">xSPRDOPT((VLOOKUP(G802,NGPREVPRICES,2,FALSE())+HLOOKUP(D802,PREVCURVES,VLOOKUP(G802,MOVE_DOWN2,2,FALSE()),FALSE())),VLOOKUP(G802,NGPREVPRICES,2,FALSE()),CK804,VLOOKUP(G802,NGPREVPRICES,4,FALSE()),HLOOKUP(D802,VOLS,VLOOKUP(G802,move_down,2,FALSE()),FALSE()),VLOOKUP(G802,NGPrices,3,FALSE()),HLOOKUP(D802,Correllate,VLOOKUP(G802,CorMove,2,FALSE()),FALSE()),Q802-$CD$3,R802,$CJ$5)*H802-CJ804</f>
        <v>#NAME?</v>
      </c>
      <c r="CH804" s="253" t="e">
        <f aca="false">xSPRDOPT((VLOOKUP(G802,NGPREVPRICES,2,FALSE())+HLOOKUP(D802,PREVCURVES,VLOOKUP(G802,MOVE_DOWN2,2,FALSE()),FALSE())),VLOOKUP(G802,NGPREVPRICES,2,FALSE()),CK804,VLOOKUP(G802,NGPREVPRICES,4,FALSE()),HLOOKUP(D802,PREVVOLS,VLOOKUP(G802,MOVE_DOWN2,2,FALSE()),FALSE()),VLOOKUP(G802,NGPREVPRICES,3,FALSE()),HLOOKUP(D802,Correllate,VLOOKUP(G802,CorMove,2,FALSE()),FALSE()),Q802-$C$3,R802,$CJ$5)*H802-CJ804</f>
        <v>#NAME?</v>
      </c>
      <c r="CI804" s="253" t="e">
        <f aca="false">SUM(CD804:CH804)</f>
        <v>#NAME?</v>
      </c>
      <c r="CJ804" s="253" t="e">
        <f aca="false">xSPRDOPT((VLOOKUP(G802,NGPREVPRICES,2,FALSE())+HLOOKUP(D802,PREVCURVES,VLOOKUP(G802,MOVE_DOWN2,2,FALSE()),FALSE())),VLOOKUP(G802,NGPREVPRICES,2,FALSE()),CK804,VLOOKUP(G802,NGPREVPRICES,4,FALSE()),HLOOKUP(D802,PREVVOLS,VLOOKUP(G802,MOVE_DOWN2,2,FALSE()),FALSE()),VLOOKUP(G802,NGPREVPRICES,3,FALSE()),HLOOKUP(D802,Correllate,VLOOKUP(G802,CorMove,2,FALSE()),FALSE()),Q802-$CD$3,R802,$CJ$5)*H802</f>
        <v>#NAME?</v>
      </c>
      <c r="CK804" s="254" t="n">
        <f aca="false">I802</f>
        <v>0.2</v>
      </c>
      <c r="CM804" s="0" t="str">
        <f aca="false">CONCATENATE(CC804,$CD$6)</f>
        <v>36892Curve Shift/Gamma</v>
      </c>
      <c r="CN804" s="0" t="str">
        <f aca="false">CONCATENATE($CC804,$CE$6)</f>
        <v>36892Rho</v>
      </c>
      <c r="CO804" s="0" t="str">
        <f aca="false">CONCATENATE($CC804,$CF$6)</f>
        <v>36892Drift</v>
      </c>
      <c r="CP804" s="0" t="str">
        <f aca="false">CONCATENATE($CC804,$CG$6)</f>
        <v>36892Vega</v>
      </c>
      <c r="CQ804" s="0" t="str">
        <f aca="false">CONCATENATE($CC804,$CH$6)</f>
        <v>36892Theta</v>
      </c>
    </row>
    <row r="805" customFormat="false" ht="12.75" hidden="false" customHeight="false" outlineLevel="0" collapsed="false">
      <c r="A805" s="17" t="s">
        <v>281</v>
      </c>
      <c r="B805" s="0" t="s">
        <v>192</v>
      </c>
      <c r="C805" s="0" t="s">
        <v>457</v>
      </c>
      <c r="D805" s="7" t="s">
        <v>152</v>
      </c>
      <c r="E805" s="0" t="s">
        <v>131</v>
      </c>
      <c r="F805" s="0" t="s">
        <v>132</v>
      </c>
      <c r="G805" s="92" t="n">
        <v>36831</v>
      </c>
      <c r="H805" s="248" t="n">
        <v>300000</v>
      </c>
      <c r="I805" s="254" t="n">
        <v>0.11</v>
      </c>
      <c r="J805" s="124" t="n">
        <f aca="false">VLOOKUP(G805,NGPrices,2,FALSE())</f>
        <v>4.736</v>
      </c>
      <c r="K805" s="125" t="n">
        <f aca="false">HLOOKUP(D805,Prices,VLOOKUP(G805,move_down,2,FALSE()),FALSE())+VLOOKUP(G805,CHANGE,HLOOKUP(D805,CHANGE,2,FALSE()),FALSE())</f>
        <v>0.0875</v>
      </c>
      <c r="L805" s="124" t="n">
        <f aca="false">K805+J805</f>
        <v>4.8235</v>
      </c>
      <c r="M805" s="126" t="n">
        <f aca="false">VLOOKUP(G805,NGPrices,4,FALSE())</f>
        <v>0.06810675983792</v>
      </c>
      <c r="N805" s="7" t="n">
        <f aca="false">VLOOKUP(G805,NGPrices,3,FALSE())</f>
        <v>0.595</v>
      </c>
      <c r="O805" s="7" t="n">
        <f aca="false">HLOOKUP(D805,VOLS,VLOOKUP(G805,move_down,2,FALSE()),FALSE())</f>
        <v>0.595</v>
      </c>
      <c r="P805" s="249" t="n">
        <f aca="false">HLOOKUP(D805,Correllate,VLOOKUP(G805,CorMove,2,FALSE()),FALSE())</f>
        <v>0.997</v>
      </c>
      <c r="Q805" s="92" t="n">
        <f aca="false">WORKDAY(G805,-2)</f>
        <v>36829</v>
      </c>
      <c r="R805" s="7" t="n">
        <f aca="false">IF(F805="P",0,1)</f>
        <v>0</v>
      </c>
      <c r="S805" s="130" t="e">
        <f aca="false">xSPRDOPT($L805,$J805,$I805,$M805,$O805,$N805,$P805,$Q805-$C$3,$R805,0)</f>
        <v>#NAME?</v>
      </c>
      <c r="T805" s="250" t="e">
        <f aca="false">xSPRDOPT($L805,$J805,$I805,$M805,$O805,$N805,$P805,$Q805-$C$3,$R805,1)*H805</f>
        <v>#NAME?</v>
      </c>
      <c r="U805" s="43" t="e">
        <f aca="false">S805*H805</f>
        <v>#NAME?</v>
      </c>
      <c r="V805" s="250" t="e">
        <f aca="false">xSPRDOPT($L805,$J805,$I805,$M805,$O805,$N805,$P805,$Q805-$C$3,$R805,2)*H805</f>
        <v>#NAME?</v>
      </c>
      <c r="W805" s="250" t="e">
        <f aca="false">+V805+T805</f>
        <v>#NAME?</v>
      </c>
      <c r="X805" s="2" t="str">
        <f aca="false">CONCATENATE(G805,D805)</f>
        <v>36831NGI/CHI. GATE</v>
      </c>
      <c r="Y805" s="251" t="n">
        <f aca="false">H805/10000</f>
        <v>30</v>
      </c>
      <c r="Z805" s="226" t="e">
        <f aca="false">T805/H805</f>
        <v>#NAME?</v>
      </c>
      <c r="AA805" s="226" t="e">
        <f aca="false">xSPRDOPT($L805,$J805,$I805,$M805,$O805,$N805,$P805,$Q805-$C$3,$R805,3)</f>
        <v>#NAME?</v>
      </c>
      <c r="AB805" s="226" t="e">
        <f aca="false">((xSPRDOPT($L805+AB$5,$J805,$I805,$M805,$O805,$N805,$P805,$Q805-$C$3,$R805,3)*$H805)/10000)/100</f>
        <v>#NAME?</v>
      </c>
      <c r="AC805" s="226" t="e">
        <f aca="false">((xSPRDOPT($L805+$AB$5,$J805,$I805,$M805,$O805,$N805,$P805,$Q805-$C$3,$R805,7)*$H805)/100)</f>
        <v>#NAME?</v>
      </c>
      <c r="AD805" s="226" t="e">
        <f aca="false">(xSPRDOPT($L805+$AB$5,$J805,$I805,$M805,$O805,$N805,$P805,$Q805-$C$3,$R805,9)/365)*$H805</f>
        <v>#NAME?</v>
      </c>
      <c r="AE805" s="0" t="e">
        <f aca="false">CD807</f>
        <v>#NAME?</v>
      </c>
      <c r="AF805" s="226" t="e">
        <f aca="false">((O805/N805)*AH805)+AG805</f>
        <v>#NAME?</v>
      </c>
      <c r="AG805" s="226" t="e">
        <f aca="false">((xSPRDOPT($L805,$J805,$I805,$M805,$O805,$N805,$P805,$Q805-$C$3,$R805,6)*$H805)/100)</f>
        <v>#NAME?</v>
      </c>
      <c r="AH805" s="226" t="e">
        <f aca="false">((xSPRDOPT($L805,$J805,$I805,$M805,$O805,$N805,$P805,$Q805-$C$3,$R805,5)*$H805)/100)</f>
        <v>#NAME?</v>
      </c>
      <c r="AI805" s="226" t="e">
        <f aca="false">(((xSPRDOPT($L805,$J805,$I805,$M805,$O805,$N805,$P805,$Q805-$C$3,$R805,4)*$H805)/10000)/100)-AB805</f>
        <v>#NAME?</v>
      </c>
      <c r="AJ805" s="226"/>
      <c r="CC805" s="182" t="n">
        <f aca="false">G803</f>
        <v>36923</v>
      </c>
      <c r="CD805" s="253" t="e">
        <f aca="false">xSPRDOPT((VLOOKUP(G803,NGPrices,2,FALSE())+HLOOKUP(D803,Prices,VLOOKUP(G803,move_down,2,FALSE()),FALSE())),VLOOKUP(G803,NGPrices,2,FALSE()),I803,VLOOKUP(G803,NGPREVPRICES,4,FALSE()),HLOOKUP(D803,PREVVOLS,VLOOKUP(G803,MOVE_DOWN2,2,FALSE()),FALSE()),VLOOKUP(G803,NGPREVPRICES,3,FALSE()),HLOOKUP(D803,Correllate,VLOOKUP(G803,CorMove,2,FALSE()),FALSE()),Q803-$CD$3,R803,$CD$5)*H803-CJ805</f>
        <v>#NAME?</v>
      </c>
      <c r="CE805" s="253" t="e">
        <f aca="false">xSPRDOPT((VLOOKUP(G803,NGPREVPRICES,2,FALSE())+HLOOKUP(D803,PREVCURVES,VLOOKUP(G803,MOVE_DOWN2,2,FALSE()),FALSE())),VLOOKUP(G803,NGPREVPRICES,2,FALSE()),CK805,VLOOKUP(G803,NGPrices,4,FALSE()),HLOOKUP(D803,PREVVOLS,VLOOKUP(G803,MOVE_DOWN2,2,FALSE()),FALSE()),VLOOKUP(G803,NGPREVPRICES,3,FALSE()),HLOOKUP(D803,Correllate,VLOOKUP(G803,CorMove,2,FALSE()),FALSE()),Q803-$CD$3,R803,$CJ$5)*H803-CJ805</f>
        <v>#NAME?</v>
      </c>
      <c r="CF805" s="132" t="e">
        <f aca="false">(CJ805/VLOOKUP(CC805,discount,3,FALSE()))-(CJ805/VLOOKUP(CC805,discount,2,FALSE()))</f>
        <v>#NAME?</v>
      </c>
      <c r="CG805" s="253" t="e">
        <f aca="false">xSPRDOPT((VLOOKUP(G803,NGPREVPRICES,2,FALSE())+HLOOKUP(D803,PREVCURVES,VLOOKUP(G803,MOVE_DOWN2,2,FALSE()),FALSE())),VLOOKUP(G803,NGPREVPRICES,2,FALSE()),CK805,VLOOKUP(G803,NGPREVPRICES,4,FALSE()),HLOOKUP(D803,VOLS,VLOOKUP(G803,move_down,2,FALSE()),FALSE()),VLOOKUP(G803,NGPrices,3,FALSE()),HLOOKUP(D803,Correllate,VLOOKUP(G803,CorMove,2,FALSE()),FALSE()),Q803-$CD$3,R803,$CJ$5)*H803-CJ805</f>
        <v>#NAME?</v>
      </c>
      <c r="CH805" s="253" t="e">
        <f aca="false">xSPRDOPT((VLOOKUP(G803,NGPREVPRICES,2,FALSE())+HLOOKUP(D803,PREVCURVES,VLOOKUP(G803,MOVE_DOWN2,2,FALSE()),FALSE())),VLOOKUP(G803,NGPREVPRICES,2,FALSE()),CK805,VLOOKUP(G803,NGPREVPRICES,4,FALSE()),HLOOKUP(D803,PREVVOLS,VLOOKUP(G803,MOVE_DOWN2,2,FALSE()),FALSE()),VLOOKUP(G803,NGPREVPRICES,3,FALSE()),HLOOKUP(D803,Correllate,VLOOKUP(G803,CorMove,2,FALSE()),FALSE()),Q803-$C$3,R803,$CJ$5)*H803-CJ805</f>
        <v>#NAME?</v>
      </c>
      <c r="CI805" s="253" t="e">
        <f aca="false">SUM(CD805:CH805)</f>
        <v>#NAME?</v>
      </c>
      <c r="CJ805" s="253" t="e">
        <f aca="false">xSPRDOPT((VLOOKUP(G803,NGPREVPRICES,2,FALSE())+HLOOKUP(D803,PREVCURVES,VLOOKUP(G803,MOVE_DOWN2,2,FALSE()),FALSE())),VLOOKUP(G803,NGPREVPRICES,2,FALSE()),CK805,VLOOKUP(G803,NGPREVPRICES,4,FALSE()),HLOOKUP(D803,PREVVOLS,VLOOKUP(G803,MOVE_DOWN2,2,FALSE()),FALSE()),VLOOKUP(G803,NGPREVPRICES,3,FALSE()),HLOOKUP(D803,Correllate,VLOOKUP(G803,CorMove,2,FALSE()),FALSE()),Q803-$CD$3,R803,$CJ$5)*H803</f>
        <v>#NAME?</v>
      </c>
      <c r="CK805" s="254" t="n">
        <f aca="false">I803</f>
        <v>0.2</v>
      </c>
      <c r="CM805" s="0" t="str">
        <f aca="false">CONCATENATE(CC805,$CD$6)</f>
        <v>36923Curve Shift/Gamma</v>
      </c>
      <c r="CN805" s="0" t="str">
        <f aca="false">CONCATENATE($CC805,$CE$6)</f>
        <v>36923Rho</v>
      </c>
      <c r="CO805" s="0" t="str">
        <f aca="false">CONCATENATE($CC805,$CF$6)</f>
        <v>36923Drift</v>
      </c>
      <c r="CP805" s="0" t="str">
        <f aca="false">CONCATENATE($CC805,$CG$6)</f>
        <v>36923Vega</v>
      </c>
      <c r="CQ805" s="0" t="str">
        <f aca="false">CONCATENATE($CC805,$CH$6)</f>
        <v>36923Theta</v>
      </c>
    </row>
    <row r="806" customFormat="false" ht="12.75" hidden="false" customHeight="false" outlineLevel="0" collapsed="false">
      <c r="A806" s="17" t="s">
        <v>281</v>
      </c>
      <c r="B806" s="0" t="s">
        <v>192</v>
      </c>
      <c r="C806" s="0" t="s">
        <v>457</v>
      </c>
      <c r="D806" s="7" t="s">
        <v>152</v>
      </c>
      <c r="E806" s="0" t="s">
        <v>131</v>
      </c>
      <c r="F806" s="0" t="s">
        <v>132</v>
      </c>
      <c r="G806" s="92" t="n">
        <v>36861</v>
      </c>
      <c r="H806" s="248" t="n">
        <v>310000</v>
      </c>
      <c r="I806" s="254" t="n">
        <v>0.11</v>
      </c>
      <c r="J806" s="124" t="n">
        <f aca="false">VLOOKUP(G806,NGPrices,2,FALSE())</f>
        <v>4.8</v>
      </c>
      <c r="K806" s="125" t="n">
        <f aca="false">HLOOKUP(D806,Prices,VLOOKUP(G806,move_down,2,FALSE()),FALSE())+VLOOKUP(G806,CHANGE,HLOOKUP(D806,CHANGE,2,FALSE()),FALSE())</f>
        <v>0.1</v>
      </c>
      <c r="L806" s="124" t="n">
        <f aca="false">K806+J806</f>
        <v>4.9</v>
      </c>
      <c r="M806" s="126" t="n">
        <f aca="false">VLOOKUP(G806,NGPrices,4,FALSE())</f>
        <v>0.068314027999354</v>
      </c>
      <c r="N806" s="7" t="n">
        <f aca="false">VLOOKUP(G806,NGPrices,3,FALSE())</f>
        <v>0.6</v>
      </c>
      <c r="O806" s="7" t="n">
        <f aca="false">HLOOKUP(D806,VOLS,VLOOKUP(G806,move_down,2,FALSE()),FALSE())</f>
        <v>0.6</v>
      </c>
      <c r="P806" s="249" t="n">
        <f aca="false">HLOOKUP(D806,Correllate,VLOOKUP(G806,CorMove,2,FALSE()),FALSE())</f>
        <v>0.997</v>
      </c>
      <c r="Q806" s="92" t="n">
        <f aca="false">WORKDAY(G806,-2)</f>
        <v>36859</v>
      </c>
      <c r="R806" s="7" t="n">
        <f aca="false">IF(F806="P",0,1)</f>
        <v>0</v>
      </c>
      <c r="S806" s="130" t="e">
        <f aca="false">xSPRDOPT($L806,$J806,$I806,$M806,$O806,$N806,$P806,$Q806-$C$3,$R806,0)</f>
        <v>#NAME?</v>
      </c>
      <c r="T806" s="250" t="e">
        <f aca="false">xSPRDOPT($L806,$J806,$I806,$M806,$O806,$N806,$P806,$Q806-$C$3,$R806,1)*H806</f>
        <v>#NAME?</v>
      </c>
      <c r="U806" s="43" t="e">
        <f aca="false">S806*H806</f>
        <v>#NAME?</v>
      </c>
      <c r="V806" s="250" t="e">
        <f aca="false">xSPRDOPT($L806,$J806,$I806,$M806,$O806,$N806,$P806,$Q806-$C$3,$R806,2)*H806</f>
        <v>#NAME?</v>
      </c>
      <c r="W806" s="250" t="e">
        <f aca="false">+V806+T806</f>
        <v>#NAME?</v>
      </c>
      <c r="X806" s="2" t="str">
        <f aca="false">CONCATENATE(G806,D806)</f>
        <v>36861NGI/CHI. GATE</v>
      </c>
      <c r="Y806" s="251" t="n">
        <f aca="false">H806/10000</f>
        <v>31</v>
      </c>
      <c r="Z806" s="226" t="e">
        <f aca="false">T806/H806</f>
        <v>#NAME?</v>
      </c>
      <c r="AA806" s="226" t="e">
        <f aca="false">xSPRDOPT($L806,$J806,$I806,$M806,$O806,$N806,$P806,$Q806-$C$3,$R806,3)</f>
        <v>#NAME?</v>
      </c>
      <c r="AB806" s="226" t="e">
        <f aca="false">((xSPRDOPT($L806+AB$5,$J806,$I806,$M806,$O806,$N806,$P806,$Q806-$C$3,$R806,3)*$H806)/10000)/100</f>
        <v>#NAME?</v>
      </c>
      <c r="AC806" s="226" t="e">
        <f aca="false">((xSPRDOPT($L806+$AB$5,$J806,$I806,$M806,$O806,$N806,$P806,$Q806-$C$3,$R806,7)*$H806)/100)</f>
        <v>#NAME?</v>
      </c>
      <c r="AD806" s="226" t="e">
        <f aca="false">(xSPRDOPT($L806+$AB$5,$J806,$I806,$M806,$O806,$N806,$P806,$Q806-$C$3,$R806,9)/365)*$H806</f>
        <v>#NAME?</v>
      </c>
      <c r="AE806" s="0" t="e">
        <f aca="false">CD808</f>
        <v>#NAME?</v>
      </c>
      <c r="AF806" s="226" t="e">
        <f aca="false">((O806/N806)*AH806)+AG806</f>
        <v>#NAME?</v>
      </c>
      <c r="AG806" s="226" t="e">
        <f aca="false">((xSPRDOPT($L806,$J806,$I806,$M806,$O806,$N806,$P806,$Q806-$C$3,$R806,6)*$H806)/100)</f>
        <v>#NAME?</v>
      </c>
      <c r="AH806" s="226" t="e">
        <f aca="false">((xSPRDOPT($L806,$J806,$I806,$M806,$O806,$N806,$P806,$Q806-$C$3,$R806,5)*$H806)/100)</f>
        <v>#NAME?</v>
      </c>
      <c r="AI806" s="226" t="e">
        <f aca="false">(((xSPRDOPT($L806,$J806,$I806,$M806,$O806,$N806,$P806,$Q806-$C$3,$R806,4)*$H806)/10000)/100)-AB806</f>
        <v>#NAME?</v>
      </c>
      <c r="AJ806" s="226"/>
      <c r="CC806" s="182" t="n">
        <f aca="false">G804</f>
        <v>36951</v>
      </c>
      <c r="CD806" s="253" t="e">
        <f aca="false">xSPRDOPT((VLOOKUP(G804,NGPrices,2,FALSE())+HLOOKUP(D804,Prices,VLOOKUP(G804,move_down,2,FALSE()),FALSE())),VLOOKUP(G804,NGPrices,2,FALSE()),I804,VLOOKUP(G804,NGPREVPRICES,4,FALSE()),HLOOKUP(D804,PREVVOLS,VLOOKUP(G804,MOVE_DOWN2,2,FALSE()),FALSE()),VLOOKUP(G804,NGPREVPRICES,3,FALSE()),HLOOKUP(D804,Correllate,VLOOKUP(G804,CorMove,2,FALSE()),FALSE()),Q804-$CD$3,R804,$CD$5)*H804-CJ806</f>
        <v>#NAME?</v>
      </c>
      <c r="CE806" s="253" t="e">
        <f aca="false">xSPRDOPT((VLOOKUP(G804,NGPREVPRICES,2,FALSE())+HLOOKUP(D804,PREVCURVES,VLOOKUP(G804,MOVE_DOWN2,2,FALSE()),FALSE())),VLOOKUP(G804,NGPREVPRICES,2,FALSE()),CK806,VLOOKUP(G804,NGPrices,4,FALSE()),HLOOKUP(D804,PREVVOLS,VLOOKUP(G804,MOVE_DOWN2,2,FALSE()),FALSE()),VLOOKUP(G804,NGPREVPRICES,3,FALSE()),HLOOKUP(D804,Correllate,VLOOKUP(G804,CorMove,2,FALSE()),FALSE()),Q804-$CD$3,R804,$CJ$5)*H804-CJ806</f>
        <v>#NAME?</v>
      </c>
      <c r="CF806" s="132" t="e">
        <f aca="false">(CJ806/VLOOKUP(CC806,discount,3,FALSE()))-(CJ806/VLOOKUP(CC806,discount,2,FALSE()))</f>
        <v>#NAME?</v>
      </c>
      <c r="CG806" s="253" t="e">
        <f aca="false">xSPRDOPT((VLOOKUP(G804,NGPREVPRICES,2,FALSE())+HLOOKUP(D804,PREVCURVES,VLOOKUP(G804,MOVE_DOWN2,2,FALSE()),FALSE())),VLOOKUP(G804,NGPREVPRICES,2,FALSE()),CK806,VLOOKUP(G804,NGPREVPRICES,4,FALSE()),HLOOKUP(D804,VOLS,VLOOKUP(G804,move_down,2,FALSE()),FALSE()),VLOOKUP(G804,NGPrices,3,FALSE()),HLOOKUP(D804,Correllate,VLOOKUP(G804,CorMove,2,FALSE()),FALSE()),Q804-$CD$3,R804,$CJ$5)*H804-CJ806</f>
        <v>#NAME?</v>
      </c>
      <c r="CH806" s="253" t="e">
        <f aca="false">xSPRDOPT((VLOOKUP(G804,NGPREVPRICES,2,FALSE())+HLOOKUP(D804,PREVCURVES,VLOOKUP(G804,MOVE_DOWN2,2,FALSE()),FALSE())),VLOOKUP(G804,NGPREVPRICES,2,FALSE()),CK806,VLOOKUP(G804,NGPREVPRICES,4,FALSE()),HLOOKUP(D804,PREVVOLS,VLOOKUP(G804,MOVE_DOWN2,2,FALSE()),FALSE()),VLOOKUP(G804,NGPREVPRICES,3,FALSE()),HLOOKUP(D804,Correllate,VLOOKUP(G804,CorMove,2,FALSE()),FALSE()),Q804-$C$3,R804,$CJ$5)*H804-CJ806</f>
        <v>#NAME?</v>
      </c>
      <c r="CI806" s="253" t="e">
        <f aca="false">SUM(CD806:CH806)</f>
        <v>#NAME?</v>
      </c>
      <c r="CJ806" s="253" t="e">
        <f aca="false">xSPRDOPT((VLOOKUP(G804,NGPREVPRICES,2,FALSE())+HLOOKUP(D804,PREVCURVES,VLOOKUP(G804,MOVE_DOWN2,2,FALSE()),FALSE())),VLOOKUP(G804,NGPREVPRICES,2,FALSE()),CK806,VLOOKUP(G804,NGPREVPRICES,4,FALSE()),HLOOKUP(D804,PREVVOLS,VLOOKUP(G804,MOVE_DOWN2,2,FALSE()),FALSE()),VLOOKUP(G804,NGPREVPRICES,3,FALSE()),HLOOKUP(D804,Correllate,VLOOKUP(G804,CorMove,2,FALSE()),FALSE()),Q804-$CD$3,R804,$CJ$5)*H804</f>
        <v>#NAME?</v>
      </c>
      <c r="CK806" s="254" t="n">
        <f aca="false">I804</f>
        <v>0.2</v>
      </c>
      <c r="CM806" s="0" t="str">
        <f aca="false">CONCATENATE(CC806,$CD$6)</f>
        <v>36951Curve Shift/Gamma</v>
      </c>
      <c r="CN806" s="0" t="str">
        <f aca="false">CONCATENATE($CC806,$CE$6)</f>
        <v>36951Rho</v>
      </c>
      <c r="CO806" s="0" t="str">
        <f aca="false">CONCATENATE($CC806,$CF$6)</f>
        <v>36951Drift</v>
      </c>
      <c r="CP806" s="0" t="str">
        <f aca="false">CONCATENATE($CC806,$CG$6)</f>
        <v>36951Vega</v>
      </c>
      <c r="CQ806" s="0" t="str">
        <f aca="false">CONCATENATE($CC806,$CH$6)</f>
        <v>36951Theta</v>
      </c>
    </row>
    <row r="807" customFormat="false" ht="12.75" hidden="false" customHeight="false" outlineLevel="0" collapsed="false">
      <c r="A807" s="17" t="s">
        <v>281</v>
      </c>
      <c r="B807" s="0" t="s">
        <v>192</v>
      </c>
      <c r="C807" s="0" t="s">
        <v>457</v>
      </c>
      <c r="D807" s="7" t="s">
        <v>152</v>
      </c>
      <c r="E807" s="0" t="s">
        <v>131</v>
      </c>
      <c r="F807" s="0" t="s">
        <v>132</v>
      </c>
      <c r="G807" s="92" t="n">
        <v>36892</v>
      </c>
      <c r="H807" s="248" t="n">
        <v>310000</v>
      </c>
      <c r="I807" s="254" t="n">
        <v>0.11</v>
      </c>
      <c r="J807" s="124" t="n">
        <f aca="false">VLOOKUP(G807,NGPrices,2,FALSE())</f>
        <v>4.744</v>
      </c>
      <c r="K807" s="125" t="n">
        <f aca="false">HLOOKUP(D807,Prices,VLOOKUP(G807,move_down,2,FALSE()),FALSE())+VLOOKUP(G807,CHANGE,HLOOKUP(D807,CHANGE,2,FALSE()),FALSE())</f>
        <v>0.1275</v>
      </c>
      <c r="L807" s="124" t="n">
        <f aca="false">K807+J807</f>
        <v>4.8715</v>
      </c>
      <c r="M807" s="126" t="n">
        <f aca="false">VLOOKUP(G807,NGPrices,4,FALSE())</f>
        <v>0.068374831148491</v>
      </c>
      <c r="N807" s="7" t="n">
        <f aca="false">VLOOKUP(G807,NGPrices,3,FALSE())</f>
        <v>0.605</v>
      </c>
      <c r="O807" s="7" t="n">
        <f aca="false">HLOOKUP(D807,VOLS,VLOOKUP(G807,move_down,2,FALSE()),FALSE())</f>
        <v>0.605</v>
      </c>
      <c r="P807" s="249" t="n">
        <f aca="false">HLOOKUP(D807,Correllate,VLOOKUP(G807,CorMove,2,FALSE()),FALSE())</f>
        <v>0.997</v>
      </c>
      <c r="Q807" s="92" t="n">
        <f aca="false">WORKDAY(G807,-2)</f>
        <v>36888</v>
      </c>
      <c r="R807" s="7" t="n">
        <f aca="false">IF(F807="P",0,1)</f>
        <v>0</v>
      </c>
      <c r="S807" s="130" t="e">
        <f aca="false">xSPRDOPT($L807,$J807,$I807,$M807,$O807,$N807,$P807,$Q807-$C$3,$R807,0)</f>
        <v>#NAME?</v>
      </c>
      <c r="T807" s="250" t="e">
        <f aca="false">xSPRDOPT($L807,$J807,$I807,$M807,$O807,$N807,$P807,$Q807-$C$3,$R807,1)*H807</f>
        <v>#NAME?</v>
      </c>
      <c r="U807" s="43" t="e">
        <f aca="false">S807*H807</f>
        <v>#NAME?</v>
      </c>
      <c r="V807" s="250" t="e">
        <f aca="false">xSPRDOPT($L807,$J807,$I807,$M807,$O807,$N807,$P807,$Q807-$C$3,$R807,2)*H807</f>
        <v>#NAME?</v>
      </c>
      <c r="W807" s="250" t="e">
        <f aca="false">+V807+T807</f>
        <v>#NAME?</v>
      </c>
      <c r="X807" s="2" t="str">
        <f aca="false">CONCATENATE(G807,D807)</f>
        <v>36892NGI/CHI. GATE</v>
      </c>
      <c r="Y807" s="251" t="n">
        <f aca="false">H807/10000</f>
        <v>31</v>
      </c>
      <c r="Z807" s="226" t="e">
        <f aca="false">T807/H807</f>
        <v>#NAME?</v>
      </c>
      <c r="AA807" s="226" t="e">
        <f aca="false">xSPRDOPT($L807,$J807,$I807,$M807,$O807,$N807,$P807,$Q807-$C$3,$R807,3)</f>
        <v>#NAME?</v>
      </c>
      <c r="AB807" s="226" t="e">
        <f aca="false">((xSPRDOPT($L807+AB$5,$J807,$I807,$M807,$O807,$N807,$P807,$Q807-$C$3,$R807,3)*$H807)/10000)/100</f>
        <v>#NAME?</v>
      </c>
      <c r="AC807" s="226" t="e">
        <f aca="false">((xSPRDOPT($L807+$AB$5,$J807,$I807,$M807,$O807,$N807,$P807,$Q807-$C$3,$R807,7)*$H807)/100)</f>
        <v>#NAME?</v>
      </c>
      <c r="AD807" s="226" t="e">
        <f aca="false">(xSPRDOPT($L807+$AB$5,$J807,$I807,$M807,$O807,$N807,$P807,$Q807-$C$3,$R807,9)/365)*$H807</f>
        <v>#NAME?</v>
      </c>
      <c r="AE807" s="0" t="e">
        <f aca="false">CD809</f>
        <v>#NAME?</v>
      </c>
      <c r="AF807" s="226" t="e">
        <f aca="false">((O807/N807)*AH807)+AG807</f>
        <v>#NAME?</v>
      </c>
      <c r="AG807" s="226" t="e">
        <f aca="false">((xSPRDOPT($L807,$J807,$I807,$M807,$O807,$N807,$P807,$Q807-$C$3,$R807,6)*$H807)/100)</f>
        <v>#NAME?</v>
      </c>
      <c r="AH807" s="226" t="e">
        <f aca="false">((xSPRDOPT($L807,$J807,$I807,$M807,$O807,$N807,$P807,$Q807-$C$3,$R807,5)*$H807)/100)</f>
        <v>#NAME?</v>
      </c>
      <c r="AI807" s="226" t="e">
        <f aca="false">(((xSPRDOPT($L807,$J807,$I807,$M807,$O807,$N807,$P807,$Q807-$C$3,$R807,4)*$H807)/10000)/100)-AB807</f>
        <v>#NAME?</v>
      </c>
      <c r="AJ807" s="226"/>
      <c r="CC807" s="182" t="n">
        <f aca="false">G805</f>
        <v>36831</v>
      </c>
      <c r="CD807" s="253" t="e">
        <f aca="false">xSPRDOPT((VLOOKUP(G805,NGPrices,2,FALSE())+HLOOKUP(D805,Prices,VLOOKUP(G805,move_down,2,FALSE()),FALSE())),VLOOKUP(G805,NGPrices,2,FALSE()),I805,VLOOKUP(G805,NGPREVPRICES,4,FALSE()),HLOOKUP(D805,PREVVOLS,VLOOKUP(G805,MOVE_DOWN2,2,FALSE()),FALSE()),VLOOKUP(G805,NGPREVPRICES,3,FALSE()),HLOOKUP(D805,Correllate,VLOOKUP(G805,CorMove,2,FALSE()),FALSE()),Q805-$CD$3,R805,$CD$5)*H805-CJ807</f>
        <v>#NAME?</v>
      </c>
      <c r="CE807" s="253" t="e">
        <f aca="false">xSPRDOPT((VLOOKUP(G805,NGPREVPRICES,2,FALSE())+HLOOKUP(D805,PREVCURVES,VLOOKUP(G805,MOVE_DOWN2,2,FALSE()),FALSE())),VLOOKUP(G805,NGPREVPRICES,2,FALSE()),CK807,VLOOKUP(G805,NGPrices,4,FALSE()),HLOOKUP(D805,PREVVOLS,VLOOKUP(G805,MOVE_DOWN2,2,FALSE()),FALSE()),VLOOKUP(G805,NGPREVPRICES,3,FALSE()),HLOOKUP(D805,Correllate,VLOOKUP(G805,CorMove,2,FALSE()),FALSE()),Q805-$CD$3,R805,$CJ$5)*H805-CJ807</f>
        <v>#NAME?</v>
      </c>
      <c r="CF807" s="132" t="e">
        <f aca="false">(CJ807/VLOOKUP(CC807,discount,3,FALSE()))-(CJ807/VLOOKUP(CC807,discount,2,FALSE()))</f>
        <v>#NAME?</v>
      </c>
      <c r="CG807" s="253" t="e">
        <f aca="false">xSPRDOPT((VLOOKUP(G805,NGPREVPRICES,2,FALSE())+HLOOKUP(D805,PREVCURVES,VLOOKUP(G805,MOVE_DOWN2,2,FALSE()),FALSE())),VLOOKUP(G805,NGPREVPRICES,2,FALSE()),CK807,VLOOKUP(G805,NGPREVPRICES,4,FALSE()),HLOOKUP(D805,VOLS,VLOOKUP(G805,move_down,2,FALSE()),FALSE()),VLOOKUP(G805,NGPrices,3,FALSE()),HLOOKUP(D805,Correllate,VLOOKUP(G805,CorMove,2,FALSE()),FALSE()),Q805-$CD$3,R805,$CJ$5)*H805-CJ807</f>
        <v>#NAME?</v>
      </c>
      <c r="CH807" s="253" t="e">
        <f aca="false">xSPRDOPT((VLOOKUP(G805,NGPREVPRICES,2,FALSE())+HLOOKUP(D805,PREVCURVES,VLOOKUP(G805,MOVE_DOWN2,2,FALSE()),FALSE())),VLOOKUP(G805,NGPREVPRICES,2,FALSE()),CK807,VLOOKUP(G805,NGPREVPRICES,4,FALSE()),HLOOKUP(D805,PREVVOLS,VLOOKUP(G805,MOVE_DOWN2,2,FALSE()),FALSE()),VLOOKUP(G805,NGPREVPRICES,3,FALSE()),HLOOKUP(D805,Correllate,VLOOKUP(G805,CorMove,2,FALSE()),FALSE()),Q805-$C$3,R805,$CJ$5)*H805-CJ807</f>
        <v>#NAME?</v>
      </c>
      <c r="CI807" s="253" t="e">
        <f aca="false">SUM(CD807:CH807)</f>
        <v>#NAME?</v>
      </c>
      <c r="CJ807" s="253" t="e">
        <f aca="false">xSPRDOPT((VLOOKUP(G805,NGPREVPRICES,2,FALSE())+HLOOKUP(D805,PREVCURVES,VLOOKUP(G805,MOVE_DOWN2,2,FALSE()),FALSE())),VLOOKUP(G805,NGPREVPRICES,2,FALSE()),CK807,VLOOKUP(G805,NGPREVPRICES,4,FALSE()),HLOOKUP(D805,PREVVOLS,VLOOKUP(G805,MOVE_DOWN2,2,FALSE()),FALSE()),VLOOKUP(G805,NGPREVPRICES,3,FALSE()),HLOOKUP(D805,Correllate,VLOOKUP(G805,CorMove,2,FALSE()),FALSE()),Q805-$CD$3,R805,$CJ$5)*H805</f>
        <v>#NAME?</v>
      </c>
      <c r="CK807" s="254" t="n">
        <f aca="false">I805</f>
        <v>0.11</v>
      </c>
      <c r="CM807" s="0" t="str">
        <f aca="false">CONCATENATE(CC807,$CD$6)</f>
        <v>36831Curve Shift/Gamma</v>
      </c>
      <c r="CN807" s="0" t="str">
        <f aca="false">CONCATENATE($CC807,$CE$6)</f>
        <v>36831Rho</v>
      </c>
      <c r="CO807" s="0" t="str">
        <f aca="false">CONCATENATE($CC807,$CF$6)</f>
        <v>36831Drift</v>
      </c>
      <c r="CP807" s="0" t="str">
        <f aca="false">CONCATENATE($CC807,$CG$6)</f>
        <v>36831Vega</v>
      </c>
      <c r="CQ807" s="0" t="str">
        <f aca="false">CONCATENATE($CC807,$CH$6)</f>
        <v>36831Theta</v>
      </c>
    </row>
    <row r="808" customFormat="false" ht="12.75" hidden="false" customHeight="false" outlineLevel="0" collapsed="false">
      <c r="A808" s="17" t="s">
        <v>281</v>
      </c>
      <c r="B808" s="0" t="s">
        <v>192</v>
      </c>
      <c r="C808" s="0" t="s">
        <v>457</v>
      </c>
      <c r="D808" s="7" t="s">
        <v>152</v>
      </c>
      <c r="E808" s="0" t="s">
        <v>131</v>
      </c>
      <c r="F808" s="0" t="s">
        <v>132</v>
      </c>
      <c r="G808" s="92" t="n">
        <v>36923</v>
      </c>
      <c r="H808" s="248" t="n">
        <v>280000</v>
      </c>
      <c r="I808" s="254" t="n">
        <v>0.11</v>
      </c>
      <c r="J808" s="124" t="n">
        <f aca="false">VLOOKUP(G808,NGPrices,2,FALSE())</f>
        <v>4.48</v>
      </c>
      <c r="K808" s="125" t="n">
        <f aca="false">HLOOKUP(D808,Prices,VLOOKUP(G808,move_down,2,FALSE()),FALSE())+VLOOKUP(G808,CHANGE,HLOOKUP(D808,CHANGE,2,FALSE()),FALSE())</f>
        <v>0.1375</v>
      </c>
      <c r="L808" s="124" t="n">
        <f aca="false">K808+J808</f>
        <v>4.6175</v>
      </c>
      <c r="M808" s="126" t="n">
        <f aca="false">VLOOKUP(G808,NGPrices,4,FALSE())</f>
        <v>0.068640161611372</v>
      </c>
      <c r="N808" s="7" t="n">
        <f aca="false">VLOOKUP(G808,NGPrices,3,FALSE())</f>
        <v>0.5925</v>
      </c>
      <c r="O808" s="7" t="n">
        <f aca="false">HLOOKUP(D808,VOLS,VLOOKUP(G808,move_down,2,FALSE()),FALSE())</f>
        <v>0.593</v>
      </c>
      <c r="P808" s="249" t="n">
        <f aca="false">HLOOKUP(D808,Correllate,VLOOKUP(G808,CorMove,2,FALSE()),FALSE())</f>
        <v>0.997</v>
      </c>
      <c r="Q808" s="92" t="n">
        <f aca="false">WORKDAY(G808,-2)</f>
        <v>36921</v>
      </c>
      <c r="R808" s="7" t="n">
        <f aca="false">IF(F808="P",0,1)</f>
        <v>0</v>
      </c>
      <c r="S808" s="130" t="e">
        <f aca="false">xSPRDOPT($L808,$J808,$I808,$M808,$O808,$N808,$P808,$Q808-$C$3,$R808,0)</f>
        <v>#NAME?</v>
      </c>
      <c r="T808" s="250" t="e">
        <f aca="false">xSPRDOPT($L808,$J808,$I808,$M808,$O808,$N808,$P808,$Q808-$C$3,$R808,1)*H808</f>
        <v>#NAME?</v>
      </c>
      <c r="U808" s="43" t="e">
        <f aca="false">S808*H808</f>
        <v>#NAME?</v>
      </c>
      <c r="V808" s="250" t="e">
        <f aca="false">xSPRDOPT($L808,$J808,$I808,$M808,$O808,$N808,$P808,$Q808-$C$3,$R808,2)*H808</f>
        <v>#NAME?</v>
      </c>
      <c r="W808" s="250" t="e">
        <f aca="false">+V808+T808</f>
        <v>#NAME?</v>
      </c>
      <c r="X808" s="2" t="str">
        <f aca="false">CONCATENATE(G808,D808)</f>
        <v>36923NGI/CHI. GATE</v>
      </c>
      <c r="Y808" s="251" t="n">
        <f aca="false">H808/10000</f>
        <v>28</v>
      </c>
      <c r="Z808" s="226" t="e">
        <f aca="false">T808/H808</f>
        <v>#NAME?</v>
      </c>
      <c r="AA808" s="226" t="e">
        <f aca="false">xSPRDOPT($L808,$J808,$I808,$M808,$O808,$N808,$P808,$Q808-$C$3,$R808,3)</f>
        <v>#NAME?</v>
      </c>
      <c r="AB808" s="226" t="e">
        <f aca="false">((xSPRDOPT($L808+AB$5,$J808,$I808,$M808,$O808,$N808,$P808,$Q808-$C$3,$R808,3)*$H808)/10000)/100</f>
        <v>#NAME?</v>
      </c>
      <c r="AC808" s="226" t="e">
        <f aca="false">((xSPRDOPT($L808+$AB$5,$J808,$I808,$M808,$O808,$N808,$P808,$Q808-$C$3,$R808,7)*$H808)/100)</f>
        <v>#NAME?</v>
      </c>
      <c r="AD808" s="226" t="e">
        <f aca="false">(xSPRDOPT($L808+$AB$5,$J808,$I808,$M808,$O808,$N808,$P808,$Q808-$C$3,$R808,9)/365)*$H808</f>
        <v>#NAME?</v>
      </c>
      <c r="AE808" s="0" t="e">
        <f aca="false">CD810</f>
        <v>#NAME?</v>
      </c>
      <c r="AF808" s="226" t="e">
        <f aca="false">((O808/N808)*AH808)+AG808</f>
        <v>#NAME?</v>
      </c>
      <c r="AG808" s="226" t="e">
        <f aca="false">((xSPRDOPT($L808,$J808,$I808,$M808,$O808,$N808,$P808,$Q808-$C$3,$R808,6)*$H808)/100)</f>
        <v>#NAME?</v>
      </c>
      <c r="AH808" s="226" t="e">
        <f aca="false">((xSPRDOPT($L808,$J808,$I808,$M808,$O808,$N808,$P808,$Q808-$C$3,$R808,5)*$H808)/100)</f>
        <v>#NAME?</v>
      </c>
      <c r="AI808" s="226" t="e">
        <f aca="false">(((xSPRDOPT($L808,$J808,$I808,$M808,$O808,$N808,$P808,$Q808-$C$3,$R808,4)*$H808)/10000)/100)-AB808</f>
        <v>#NAME?</v>
      </c>
      <c r="AJ808" s="226"/>
      <c r="CC808" s="182" t="n">
        <f aca="false">G806</f>
        <v>36861</v>
      </c>
      <c r="CD808" s="253" t="e">
        <f aca="false">xSPRDOPT((VLOOKUP(G806,NGPrices,2,FALSE())+HLOOKUP(D806,Prices,VLOOKUP(G806,move_down,2,FALSE()),FALSE())),VLOOKUP(G806,NGPrices,2,FALSE()),I806,VLOOKUP(G806,NGPREVPRICES,4,FALSE()),HLOOKUP(D806,PREVVOLS,VLOOKUP(G806,MOVE_DOWN2,2,FALSE()),FALSE()),VLOOKUP(G806,NGPREVPRICES,3,FALSE()),HLOOKUP(D806,Correllate,VLOOKUP(G806,CorMove,2,FALSE()),FALSE()),Q806-$CD$3,R806,$CD$5)*H806-CJ808</f>
        <v>#NAME?</v>
      </c>
      <c r="CE808" s="253" t="e">
        <f aca="false">xSPRDOPT((VLOOKUP(G806,NGPREVPRICES,2,FALSE())+HLOOKUP(D806,PREVCURVES,VLOOKUP(G806,MOVE_DOWN2,2,FALSE()),FALSE())),VLOOKUP(G806,NGPREVPRICES,2,FALSE()),CK808,VLOOKUP(G806,NGPrices,4,FALSE()),HLOOKUP(D806,PREVVOLS,VLOOKUP(G806,MOVE_DOWN2,2,FALSE()),FALSE()),VLOOKUP(G806,NGPREVPRICES,3,FALSE()),HLOOKUP(D806,Correllate,VLOOKUP(G806,CorMove,2,FALSE()),FALSE()),Q806-$CD$3,R806,$CJ$5)*H806-CJ808</f>
        <v>#NAME?</v>
      </c>
      <c r="CF808" s="132" t="e">
        <f aca="false">(CJ808/VLOOKUP(CC808,discount,3,FALSE()))-(CJ808/VLOOKUP(CC808,discount,2,FALSE()))</f>
        <v>#NAME?</v>
      </c>
      <c r="CG808" s="253" t="e">
        <f aca="false">xSPRDOPT((VLOOKUP(G806,NGPREVPRICES,2,FALSE())+HLOOKUP(D806,PREVCURVES,VLOOKUP(G806,MOVE_DOWN2,2,FALSE()),FALSE())),VLOOKUP(G806,NGPREVPRICES,2,FALSE()),CK808,VLOOKUP(G806,NGPREVPRICES,4,FALSE()),HLOOKUP(D806,VOLS,VLOOKUP(G806,move_down,2,FALSE()),FALSE()),VLOOKUP(G806,NGPrices,3,FALSE()),HLOOKUP(D806,Correllate,VLOOKUP(G806,CorMove,2,FALSE()),FALSE()),Q806-$CD$3,R806,$CJ$5)*H806-CJ808</f>
        <v>#NAME?</v>
      </c>
      <c r="CH808" s="253" t="e">
        <f aca="false">xSPRDOPT((VLOOKUP(G806,NGPREVPRICES,2,FALSE())+HLOOKUP(D806,PREVCURVES,VLOOKUP(G806,MOVE_DOWN2,2,FALSE()),FALSE())),VLOOKUP(G806,NGPREVPRICES,2,FALSE()),CK808,VLOOKUP(G806,NGPREVPRICES,4,FALSE()),HLOOKUP(D806,PREVVOLS,VLOOKUP(G806,MOVE_DOWN2,2,FALSE()),FALSE()),VLOOKUP(G806,NGPREVPRICES,3,FALSE()),HLOOKUP(D806,Correllate,VLOOKUP(G806,CorMove,2,FALSE()),FALSE()),Q806-$C$3,R806,$CJ$5)*H806-CJ808</f>
        <v>#NAME?</v>
      </c>
      <c r="CI808" s="253" t="e">
        <f aca="false">SUM(CD808:CH808)</f>
        <v>#NAME?</v>
      </c>
      <c r="CJ808" s="253" t="e">
        <f aca="false">xSPRDOPT((VLOOKUP(G806,NGPREVPRICES,2,FALSE())+HLOOKUP(D806,PREVCURVES,VLOOKUP(G806,MOVE_DOWN2,2,FALSE()),FALSE())),VLOOKUP(G806,NGPREVPRICES,2,FALSE()),CK808,VLOOKUP(G806,NGPREVPRICES,4,FALSE()),HLOOKUP(D806,PREVVOLS,VLOOKUP(G806,MOVE_DOWN2,2,FALSE()),FALSE()),VLOOKUP(G806,NGPREVPRICES,3,FALSE()),HLOOKUP(D806,Correllate,VLOOKUP(G806,CorMove,2,FALSE()),FALSE()),Q806-$CD$3,R806,$CJ$5)*H806</f>
        <v>#NAME?</v>
      </c>
      <c r="CK808" s="254" t="n">
        <f aca="false">I806</f>
        <v>0.11</v>
      </c>
      <c r="CM808" s="0" t="str">
        <f aca="false">CONCATENATE(CC808,$CD$6)</f>
        <v>36861Curve Shift/Gamma</v>
      </c>
      <c r="CN808" s="0" t="str">
        <f aca="false">CONCATENATE($CC808,$CE$6)</f>
        <v>36861Rho</v>
      </c>
      <c r="CO808" s="0" t="str">
        <f aca="false">CONCATENATE($CC808,$CF$6)</f>
        <v>36861Drift</v>
      </c>
      <c r="CP808" s="0" t="str">
        <f aca="false">CONCATENATE($CC808,$CG$6)</f>
        <v>36861Vega</v>
      </c>
      <c r="CQ808" s="0" t="str">
        <f aca="false">CONCATENATE($CC808,$CH$6)</f>
        <v>36861Theta</v>
      </c>
    </row>
    <row r="809" customFormat="false" ht="12.75" hidden="false" customHeight="false" outlineLevel="0" collapsed="false">
      <c r="A809" s="17" t="s">
        <v>281</v>
      </c>
      <c r="B809" s="0" t="s">
        <v>192</v>
      </c>
      <c r="C809" s="0" t="s">
        <v>457</v>
      </c>
      <c r="D809" s="7" t="s">
        <v>152</v>
      </c>
      <c r="E809" s="0" t="s">
        <v>131</v>
      </c>
      <c r="F809" s="0" t="s">
        <v>132</v>
      </c>
      <c r="G809" s="92" t="n">
        <v>36951</v>
      </c>
      <c r="H809" s="248" t="n">
        <v>310000</v>
      </c>
      <c r="I809" s="254" t="n">
        <v>0.11</v>
      </c>
      <c r="J809" s="124" t="n">
        <f aca="false">VLOOKUP(G809,NGPrices,2,FALSE())</f>
        <v>4.213</v>
      </c>
      <c r="K809" s="125" t="n">
        <f aca="false">HLOOKUP(D809,Prices,VLOOKUP(G809,move_down,2,FALSE()),FALSE())+VLOOKUP(G809,CHANGE,HLOOKUP(D809,CHANGE,2,FALSE()),FALSE())</f>
        <v>0.1225</v>
      </c>
      <c r="L809" s="124" t="n">
        <f aca="false">K809+J809</f>
        <v>4.3355</v>
      </c>
      <c r="M809" s="126" t="n">
        <f aca="false">VLOOKUP(G809,NGPrices,4,FALSE())</f>
        <v>0.068879814952707</v>
      </c>
      <c r="N809" s="7" t="n">
        <f aca="false">VLOOKUP(G809,NGPrices,3,FALSE())</f>
        <v>0.5325</v>
      </c>
      <c r="O809" s="7" t="n">
        <f aca="false">HLOOKUP(D809,VOLS,VLOOKUP(G809,move_down,2,FALSE()),FALSE())</f>
        <v>0.533</v>
      </c>
      <c r="P809" s="249" t="n">
        <f aca="false">HLOOKUP(D809,Correllate,VLOOKUP(G809,CorMove,2,FALSE()),FALSE())</f>
        <v>0.997</v>
      </c>
      <c r="Q809" s="92" t="n">
        <f aca="false">WORKDAY(G809,-2)</f>
        <v>36949</v>
      </c>
      <c r="R809" s="7" t="n">
        <f aca="false">IF(F809="P",0,1)</f>
        <v>0</v>
      </c>
      <c r="S809" s="130" t="e">
        <f aca="false">xSPRDOPT($L809,$J809,$I809,$M809,$O809,$N809,$P809,$Q809-$C$3,$R809,0)</f>
        <v>#NAME?</v>
      </c>
      <c r="T809" s="250" t="e">
        <f aca="false">xSPRDOPT($L809,$J809,$I809,$M809,$O809,$N809,$P809,$Q809-$C$3,$R809,1)*H809</f>
        <v>#NAME?</v>
      </c>
      <c r="U809" s="43" t="e">
        <f aca="false">S809*H809</f>
        <v>#NAME?</v>
      </c>
      <c r="V809" s="250" t="e">
        <f aca="false">xSPRDOPT($L809,$J809,$I809,$M809,$O809,$N809,$P809,$Q809-$C$3,$R809,2)*H809</f>
        <v>#NAME?</v>
      </c>
      <c r="W809" s="250" t="e">
        <f aca="false">+V809+T809</f>
        <v>#NAME?</v>
      </c>
      <c r="X809" s="2" t="str">
        <f aca="false">CONCATENATE(G809,D809)</f>
        <v>36951NGI/CHI. GATE</v>
      </c>
      <c r="Y809" s="251" t="n">
        <f aca="false">H809/10000</f>
        <v>31</v>
      </c>
      <c r="Z809" s="226" t="e">
        <f aca="false">T809/H809</f>
        <v>#NAME?</v>
      </c>
      <c r="AA809" s="226" t="e">
        <f aca="false">xSPRDOPT($L809,$J809,$I809,$M809,$O809,$N809,$P809,$Q809-$C$3,$R809,3)</f>
        <v>#NAME?</v>
      </c>
      <c r="AB809" s="226" t="e">
        <f aca="false">((xSPRDOPT($L809+AB$5,$J809,$I809,$M809,$O809,$N809,$P809,$Q809-$C$3,$R809,3)*$H809)/10000)/100</f>
        <v>#NAME?</v>
      </c>
      <c r="AC809" s="226" t="e">
        <f aca="false">((xSPRDOPT($L809+$AB$5,$J809,$I809,$M809,$O809,$N809,$P809,$Q809-$C$3,$R809,7)*$H809)/100)</f>
        <v>#NAME?</v>
      </c>
      <c r="AD809" s="226" t="e">
        <f aca="false">(xSPRDOPT($L809+$AB$5,$J809,$I809,$M809,$O809,$N809,$P809,$Q809-$C$3,$R809,9)/365)*$H809</f>
        <v>#NAME?</v>
      </c>
      <c r="AE809" s="0" t="e">
        <f aca="false">CD811</f>
        <v>#NAME?</v>
      </c>
      <c r="AF809" s="226" t="e">
        <f aca="false">((O809/N809)*AH809)+AG809</f>
        <v>#NAME?</v>
      </c>
      <c r="AG809" s="226" t="e">
        <f aca="false">((xSPRDOPT($L809,$J809,$I809,$M809,$O809,$N809,$P809,$Q809-$C$3,$R809,6)*$H809)/100)</f>
        <v>#NAME?</v>
      </c>
      <c r="AH809" s="226" t="e">
        <f aca="false">((xSPRDOPT($L809,$J809,$I809,$M809,$O809,$N809,$P809,$Q809-$C$3,$R809,5)*$H809)/100)</f>
        <v>#NAME?</v>
      </c>
      <c r="AI809" s="226" t="e">
        <f aca="false">(((xSPRDOPT($L809,$J809,$I809,$M809,$O809,$N809,$P809,$Q809-$C$3,$R809,4)*$H809)/10000)/100)-AB809</f>
        <v>#NAME?</v>
      </c>
      <c r="AJ809" s="226"/>
      <c r="CC809" s="182" t="n">
        <f aca="false">G807</f>
        <v>36892</v>
      </c>
      <c r="CD809" s="253" t="e">
        <f aca="false">xSPRDOPT((VLOOKUP(G807,NGPrices,2,FALSE())+HLOOKUP(D807,Prices,VLOOKUP(G807,move_down,2,FALSE()),FALSE())),VLOOKUP(G807,NGPrices,2,FALSE()),I807,VLOOKUP(G807,NGPREVPRICES,4,FALSE()),HLOOKUP(D807,PREVVOLS,VLOOKUP(G807,MOVE_DOWN2,2,FALSE()),FALSE()),VLOOKUP(G807,NGPREVPRICES,3,FALSE()),HLOOKUP(D807,Correllate,VLOOKUP(G807,CorMove,2,FALSE()),FALSE()),Q807-$CD$3,R807,$CD$5)*H807-CJ809</f>
        <v>#NAME?</v>
      </c>
      <c r="CE809" s="253" t="e">
        <f aca="false">xSPRDOPT((VLOOKUP(G807,NGPREVPRICES,2,FALSE())+HLOOKUP(D807,PREVCURVES,VLOOKUP(G807,MOVE_DOWN2,2,FALSE()),FALSE())),VLOOKUP(G807,NGPREVPRICES,2,FALSE()),CK809,VLOOKUP(G807,NGPrices,4,FALSE()),HLOOKUP(D807,PREVVOLS,VLOOKUP(G807,MOVE_DOWN2,2,FALSE()),FALSE()),VLOOKUP(G807,NGPREVPRICES,3,FALSE()),HLOOKUP(D807,Correllate,VLOOKUP(G807,CorMove,2,FALSE()),FALSE()),Q807-$CD$3,R807,$CJ$5)*H807-CJ809</f>
        <v>#NAME?</v>
      </c>
      <c r="CF809" s="132" t="e">
        <f aca="false">(CJ809/VLOOKUP(CC809,discount,3,FALSE()))-(CJ809/VLOOKUP(CC809,discount,2,FALSE()))</f>
        <v>#NAME?</v>
      </c>
      <c r="CG809" s="253" t="e">
        <f aca="false">xSPRDOPT((VLOOKUP(G807,NGPREVPRICES,2,FALSE())+HLOOKUP(D807,PREVCURVES,VLOOKUP(G807,MOVE_DOWN2,2,FALSE()),FALSE())),VLOOKUP(G807,NGPREVPRICES,2,FALSE()),CK809,VLOOKUP(G807,NGPREVPRICES,4,FALSE()),HLOOKUP(D807,VOLS,VLOOKUP(G807,move_down,2,FALSE()),FALSE()),VLOOKUP(G807,NGPrices,3,FALSE()),HLOOKUP(D807,Correllate,VLOOKUP(G807,CorMove,2,FALSE()),FALSE()),Q807-$CD$3,R807,$CJ$5)*H807-CJ809</f>
        <v>#NAME?</v>
      </c>
      <c r="CH809" s="253" t="e">
        <f aca="false">xSPRDOPT((VLOOKUP(G807,NGPREVPRICES,2,FALSE())+HLOOKUP(D807,PREVCURVES,VLOOKUP(G807,MOVE_DOWN2,2,FALSE()),FALSE())),VLOOKUP(G807,NGPREVPRICES,2,FALSE()),CK809,VLOOKUP(G807,NGPREVPRICES,4,FALSE()),HLOOKUP(D807,PREVVOLS,VLOOKUP(G807,MOVE_DOWN2,2,FALSE()),FALSE()),VLOOKUP(G807,NGPREVPRICES,3,FALSE()),HLOOKUP(D807,Correllate,VLOOKUP(G807,CorMove,2,FALSE()),FALSE()),Q807-$C$3,R807,$CJ$5)*H807-CJ809</f>
        <v>#NAME?</v>
      </c>
      <c r="CI809" s="253" t="e">
        <f aca="false">SUM(CD809:CH809)</f>
        <v>#NAME?</v>
      </c>
      <c r="CJ809" s="253" t="e">
        <f aca="false">xSPRDOPT((VLOOKUP(G807,NGPREVPRICES,2,FALSE())+HLOOKUP(D807,PREVCURVES,VLOOKUP(G807,MOVE_DOWN2,2,FALSE()),FALSE())),VLOOKUP(G807,NGPREVPRICES,2,FALSE()),CK809,VLOOKUP(G807,NGPREVPRICES,4,FALSE()),HLOOKUP(D807,PREVVOLS,VLOOKUP(G807,MOVE_DOWN2,2,FALSE()),FALSE()),VLOOKUP(G807,NGPREVPRICES,3,FALSE()),HLOOKUP(D807,Correllate,VLOOKUP(G807,CorMove,2,FALSE()),FALSE()),Q807-$CD$3,R807,$CJ$5)*H807</f>
        <v>#NAME?</v>
      </c>
      <c r="CK809" s="254" t="n">
        <f aca="false">I807</f>
        <v>0.11</v>
      </c>
      <c r="CM809" s="0" t="str">
        <f aca="false">CONCATENATE(CC809,$CD$6)</f>
        <v>36892Curve Shift/Gamma</v>
      </c>
      <c r="CN809" s="0" t="str">
        <f aca="false">CONCATENATE($CC809,$CE$6)</f>
        <v>36892Rho</v>
      </c>
      <c r="CO809" s="0" t="str">
        <f aca="false">CONCATENATE($CC809,$CF$6)</f>
        <v>36892Drift</v>
      </c>
      <c r="CP809" s="0" t="str">
        <f aca="false">CONCATENATE($CC809,$CG$6)</f>
        <v>36892Vega</v>
      </c>
      <c r="CQ809" s="0" t="str">
        <f aca="false">CONCATENATE($CC809,$CH$6)</f>
        <v>36892Theta</v>
      </c>
    </row>
    <row r="810" customFormat="false" ht="12.75" hidden="false" customHeight="false" outlineLevel="0" collapsed="false">
      <c r="A810" s="17" t="s">
        <v>281</v>
      </c>
      <c r="B810" s="0" t="s">
        <v>192</v>
      </c>
      <c r="C810" s="0" t="s">
        <v>458</v>
      </c>
      <c r="D810" s="7" t="s">
        <v>152</v>
      </c>
      <c r="E810" s="0" t="s">
        <v>131</v>
      </c>
      <c r="F810" s="0" t="s">
        <v>132</v>
      </c>
      <c r="G810" s="92" t="n">
        <v>36831</v>
      </c>
      <c r="H810" s="248" t="n">
        <v>300000</v>
      </c>
      <c r="I810" s="254" t="n">
        <v>0.11</v>
      </c>
      <c r="J810" s="124" t="n">
        <f aca="false">VLOOKUP(G810,NGPrices,2,FALSE())</f>
        <v>4.736</v>
      </c>
      <c r="K810" s="125" t="n">
        <f aca="false">HLOOKUP(D810,Prices,VLOOKUP(G810,move_down,2,FALSE()),FALSE())+VLOOKUP(G810,CHANGE,HLOOKUP(D810,CHANGE,2,FALSE()),FALSE())</f>
        <v>0.0875</v>
      </c>
      <c r="L810" s="124" t="n">
        <f aca="false">K810+J810</f>
        <v>4.8235</v>
      </c>
      <c r="M810" s="126" t="n">
        <f aca="false">VLOOKUP(G810,NGPrices,4,FALSE())</f>
        <v>0.06810675983792</v>
      </c>
      <c r="N810" s="7" t="n">
        <f aca="false">VLOOKUP(G810,NGPrices,3,FALSE())</f>
        <v>0.595</v>
      </c>
      <c r="O810" s="7" t="n">
        <f aca="false">HLOOKUP(D810,VOLS,VLOOKUP(G810,move_down,2,FALSE()),FALSE())</f>
        <v>0.595</v>
      </c>
      <c r="P810" s="249" t="n">
        <f aca="false">HLOOKUP(D810,Correllate,VLOOKUP(G810,CorMove,2,FALSE()),FALSE())</f>
        <v>0.997</v>
      </c>
      <c r="Q810" s="92" t="n">
        <f aca="false">WORKDAY(G810,-2)</f>
        <v>36829</v>
      </c>
      <c r="R810" s="7" t="n">
        <f aca="false">IF(F810="P",0,1)</f>
        <v>0</v>
      </c>
      <c r="S810" s="130" t="e">
        <f aca="false">xSPRDOPT($L810,$J810,$I810,$M810,$O810,$N810,$P810,$Q810-$C$3,$R810,0)</f>
        <v>#NAME?</v>
      </c>
      <c r="T810" s="250" t="e">
        <f aca="false">xSPRDOPT($L810,$J810,$I810,$M810,$O810,$N810,$P810,$Q810-$C$3,$R810,1)*H810</f>
        <v>#NAME?</v>
      </c>
      <c r="U810" s="43" t="e">
        <f aca="false">S810*H810</f>
        <v>#NAME?</v>
      </c>
      <c r="V810" s="250" t="e">
        <f aca="false">xSPRDOPT($L810,$J810,$I810,$M810,$O810,$N810,$P810,$Q810-$C$3,$R810,2)*H810</f>
        <v>#NAME?</v>
      </c>
      <c r="W810" s="250" t="e">
        <f aca="false">+V810+T810</f>
        <v>#NAME?</v>
      </c>
      <c r="X810" s="2" t="str">
        <f aca="false">CONCATENATE(G810,D810)</f>
        <v>36831NGI/CHI. GATE</v>
      </c>
      <c r="Y810" s="251" t="n">
        <f aca="false">H810/10000</f>
        <v>30</v>
      </c>
      <c r="Z810" s="226" t="e">
        <f aca="false">T810/H810</f>
        <v>#NAME?</v>
      </c>
      <c r="AA810" s="226" t="e">
        <f aca="false">xSPRDOPT($L810,$J810,$I810,$M810,$O810,$N810,$P810,$Q810-$C$3,$R810,3)</f>
        <v>#NAME?</v>
      </c>
      <c r="AB810" s="226" t="e">
        <f aca="false">((xSPRDOPT($L810+AB$5,$J810,$I810,$M810,$O810,$N810,$P810,$Q810-$C$3,$R810,3)*$H810)/10000)/100</f>
        <v>#NAME?</v>
      </c>
      <c r="AC810" s="226" t="e">
        <f aca="false">((xSPRDOPT($L810+$AB$5,$J810,$I810,$M810,$O810,$N810,$P810,$Q810-$C$3,$R810,7)*$H810)/100)</f>
        <v>#NAME?</v>
      </c>
      <c r="AD810" s="226" t="e">
        <f aca="false">(xSPRDOPT($L810+$AB$5,$J810,$I810,$M810,$O810,$N810,$P810,$Q810-$C$3,$R810,9)/365)*$H810</f>
        <v>#NAME?</v>
      </c>
      <c r="AE810" s="0" t="e">
        <f aca="false">CD812</f>
        <v>#NAME?</v>
      </c>
      <c r="AF810" s="226" t="e">
        <f aca="false">((O810/N810)*AH810)+AG810</f>
        <v>#NAME?</v>
      </c>
      <c r="AG810" s="226" t="e">
        <f aca="false">((xSPRDOPT($L810,$J810,$I810,$M810,$O810,$N810,$P810,$Q810-$C$3,$R810,6)*$H810)/100)</f>
        <v>#NAME?</v>
      </c>
      <c r="AH810" s="226" t="e">
        <f aca="false">((xSPRDOPT($L810,$J810,$I810,$M810,$O810,$N810,$P810,$Q810-$C$3,$R810,5)*$H810)/100)</f>
        <v>#NAME?</v>
      </c>
      <c r="AI810" s="226" t="e">
        <f aca="false">(((xSPRDOPT($L810,$J810,$I810,$M810,$O810,$N810,$P810,$Q810-$C$3,$R810,4)*$H810)/10000)/100)-AB810</f>
        <v>#NAME?</v>
      </c>
      <c r="AJ810" s="226"/>
      <c r="CC810" s="182" t="n">
        <f aca="false">G808</f>
        <v>36923</v>
      </c>
      <c r="CD810" s="253" t="e">
        <f aca="false">xSPRDOPT((VLOOKUP(G808,NGPrices,2,FALSE())+HLOOKUP(D808,Prices,VLOOKUP(G808,move_down,2,FALSE()),FALSE())),VLOOKUP(G808,NGPrices,2,FALSE()),I808,VLOOKUP(G808,NGPREVPRICES,4,FALSE()),HLOOKUP(D808,PREVVOLS,VLOOKUP(G808,MOVE_DOWN2,2,FALSE()),FALSE()),VLOOKUP(G808,NGPREVPRICES,3,FALSE()),HLOOKUP(D808,Correllate,VLOOKUP(G808,CorMove,2,FALSE()),FALSE()),Q808-$CD$3,R808,$CD$5)*H808-CJ810</f>
        <v>#NAME?</v>
      </c>
      <c r="CE810" s="253" t="e">
        <f aca="false">xSPRDOPT((VLOOKUP(G808,NGPREVPRICES,2,FALSE())+HLOOKUP(D808,PREVCURVES,VLOOKUP(G808,MOVE_DOWN2,2,FALSE()),FALSE())),VLOOKUP(G808,NGPREVPRICES,2,FALSE()),CK810,VLOOKUP(G808,NGPrices,4,FALSE()),HLOOKUP(D808,PREVVOLS,VLOOKUP(G808,MOVE_DOWN2,2,FALSE()),FALSE()),VLOOKUP(G808,NGPREVPRICES,3,FALSE()),HLOOKUP(D808,Correllate,VLOOKUP(G808,CorMove,2,FALSE()),FALSE()),Q808-$CD$3,R808,$CJ$5)*H808-CJ810</f>
        <v>#NAME?</v>
      </c>
      <c r="CF810" s="132" t="e">
        <f aca="false">(CJ810/VLOOKUP(CC810,discount,3,FALSE()))-(CJ810/VLOOKUP(CC810,discount,2,FALSE()))</f>
        <v>#NAME?</v>
      </c>
      <c r="CG810" s="253" t="e">
        <f aca="false">xSPRDOPT((VLOOKUP(G808,NGPREVPRICES,2,FALSE())+HLOOKUP(D808,PREVCURVES,VLOOKUP(G808,MOVE_DOWN2,2,FALSE()),FALSE())),VLOOKUP(G808,NGPREVPRICES,2,FALSE()),CK810,VLOOKUP(G808,NGPREVPRICES,4,FALSE()),HLOOKUP(D808,VOLS,VLOOKUP(G808,move_down,2,FALSE()),FALSE()),VLOOKUP(G808,NGPrices,3,FALSE()),HLOOKUP(D808,Correllate,VLOOKUP(G808,CorMove,2,FALSE()),FALSE()),Q808-$CD$3,R808,$CJ$5)*H808-CJ810</f>
        <v>#NAME?</v>
      </c>
      <c r="CH810" s="253" t="e">
        <f aca="false">xSPRDOPT((VLOOKUP(G808,NGPREVPRICES,2,FALSE())+HLOOKUP(D808,PREVCURVES,VLOOKUP(G808,MOVE_DOWN2,2,FALSE()),FALSE())),VLOOKUP(G808,NGPREVPRICES,2,FALSE()),CK810,VLOOKUP(G808,NGPREVPRICES,4,FALSE()),HLOOKUP(D808,PREVVOLS,VLOOKUP(G808,MOVE_DOWN2,2,FALSE()),FALSE()),VLOOKUP(G808,NGPREVPRICES,3,FALSE()),HLOOKUP(D808,Correllate,VLOOKUP(G808,CorMove,2,FALSE()),FALSE()),Q808-$C$3,R808,$CJ$5)*H808-CJ810</f>
        <v>#NAME?</v>
      </c>
      <c r="CI810" s="253" t="e">
        <f aca="false">SUM(CD810:CH810)</f>
        <v>#NAME?</v>
      </c>
      <c r="CJ810" s="253" t="e">
        <f aca="false">xSPRDOPT((VLOOKUP(G808,NGPREVPRICES,2,FALSE())+HLOOKUP(D808,PREVCURVES,VLOOKUP(G808,MOVE_DOWN2,2,FALSE()),FALSE())),VLOOKUP(G808,NGPREVPRICES,2,FALSE()),CK810,VLOOKUP(G808,NGPREVPRICES,4,FALSE()),HLOOKUP(D808,PREVVOLS,VLOOKUP(G808,MOVE_DOWN2,2,FALSE()),FALSE()),VLOOKUP(G808,NGPREVPRICES,3,FALSE()),HLOOKUP(D808,Correllate,VLOOKUP(G808,CorMove,2,FALSE()),FALSE()),Q808-$CD$3,R808,$CJ$5)*H808</f>
        <v>#NAME?</v>
      </c>
      <c r="CK810" s="254" t="n">
        <f aca="false">I808</f>
        <v>0.11</v>
      </c>
      <c r="CM810" s="0" t="str">
        <f aca="false">CONCATENATE(CC810,$CD$6)</f>
        <v>36923Curve Shift/Gamma</v>
      </c>
      <c r="CN810" s="0" t="str">
        <f aca="false">CONCATENATE($CC810,$CE$6)</f>
        <v>36923Rho</v>
      </c>
      <c r="CO810" s="0" t="str">
        <f aca="false">CONCATENATE($CC810,$CF$6)</f>
        <v>36923Drift</v>
      </c>
      <c r="CP810" s="0" t="str">
        <f aca="false">CONCATENATE($CC810,$CG$6)</f>
        <v>36923Vega</v>
      </c>
      <c r="CQ810" s="0" t="str">
        <f aca="false">CONCATENATE($CC810,$CH$6)</f>
        <v>36923Theta</v>
      </c>
    </row>
    <row r="811" customFormat="false" ht="12.75" hidden="false" customHeight="false" outlineLevel="0" collapsed="false">
      <c r="A811" s="17" t="s">
        <v>281</v>
      </c>
      <c r="B811" s="0" t="s">
        <v>192</v>
      </c>
      <c r="C811" s="0" t="s">
        <v>458</v>
      </c>
      <c r="D811" s="7" t="s">
        <v>152</v>
      </c>
      <c r="E811" s="0" t="s">
        <v>131</v>
      </c>
      <c r="F811" s="0" t="s">
        <v>132</v>
      </c>
      <c r="G811" s="92" t="n">
        <v>36861</v>
      </c>
      <c r="H811" s="248" t="n">
        <v>310000</v>
      </c>
      <c r="I811" s="254" t="n">
        <v>0.11</v>
      </c>
      <c r="J811" s="124" t="n">
        <f aca="false">VLOOKUP(G811,NGPrices,2,FALSE())</f>
        <v>4.8</v>
      </c>
      <c r="K811" s="125" t="n">
        <f aca="false">HLOOKUP(D811,Prices,VLOOKUP(G811,move_down,2,FALSE()),FALSE())+VLOOKUP(G811,CHANGE,HLOOKUP(D811,CHANGE,2,FALSE()),FALSE())</f>
        <v>0.1</v>
      </c>
      <c r="L811" s="124" t="n">
        <f aca="false">K811+J811</f>
        <v>4.9</v>
      </c>
      <c r="M811" s="126" t="n">
        <f aca="false">VLOOKUP(G811,NGPrices,4,FALSE())</f>
        <v>0.068314027999354</v>
      </c>
      <c r="N811" s="7" t="n">
        <f aca="false">VLOOKUP(G811,NGPrices,3,FALSE())</f>
        <v>0.6</v>
      </c>
      <c r="O811" s="7" t="n">
        <f aca="false">HLOOKUP(D811,VOLS,VLOOKUP(G811,move_down,2,FALSE()),FALSE())</f>
        <v>0.6</v>
      </c>
      <c r="P811" s="249" t="n">
        <f aca="false">HLOOKUP(D811,Correllate,VLOOKUP(G811,CorMove,2,FALSE()),FALSE())</f>
        <v>0.997</v>
      </c>
      <c r="Q811" s="92" t="n">
        <f aca="false">WORKDAY(G811,-2)</f>
        <v>36859</v>
      </c>
      <c r="R811" s="7" t="n">
        <f aca="false">IF(F811="P",0,1)</f>
        <v>0</v>
      </c>
      <c r="S811" s="130" t="e">
        <f aca="false">xSPRDOPT($L811,$J811,$I811,$M811,$O811,$N811,$P811,$Q811-$C$3,$R811,0)</f>
        <v>#NAME?</v>
      </c>
      <c r="T811" s="250" t="e">
        <f aca="false">xSPRDOPT($L811,$J811,$I811,$M811,$O811,$N811,$P811,$Q811-$C$3,$R811,1)*H811</f>
        <v>#NAME?</v>
      </c>
      <c r="U811" s="43" t="e">
        <f aca="false">S811*H811</f>
        <v>#NAME?</v>
      </c>
      <c r="V811" s="250" t="e">
        <f aca="false">xSPRDOPT($L811,$J811,$I811,$M811,$O811,$N811,$P811,$Q811-$C$3,$R811,2)*H811</f>
        <v>#NAME?</v>
      </c>
      <c r="W811" s="250" t="e">
        <f aca="false">+V811+T811</f>
        <v>#NAME?</v>
      </c>
      <c r="X811" s="2" t="str">
        <f aca="false">CONCATENATE(G811,D811)</f>
        <v>36861NGI/CHI. GATE</v>
      </c>
      <c r="Y811" s="251" t="n">
        <f aca="false">H811/10000</f>
        <v>31</v>
      </c>
      <c r="Z811" s="226" t="e">
        <f aca="false">T811/H811</f>
        <v>#NAME?</v>
      </c>
      <c r="AA811" s="226" t="e">
        <f aca="false">xSPRDOPT($L811,$J811,$I811,$M811,$O811,$N811,$P811,$Q811-$C$3,$R811,3)</f>
        <v>#NAME?</v>
      </c>
      <c r="AB811" s="226" t="e">
        <f aca="false">((xSPRDOPT($L811+AB$5,$J811,$I811,$M811,$O811,$N811,$P811,$Q811-$C$3,$R811,3)*$H811)/10000)/100</f>
        <v>#NAME?</v>
      </c>
      <c r="AC811" s="226" t="e">
        <f aca="false">((xSPRDOPT($L811+$AB$5,$J811,$I811,$M811,$O811,$N811,$P811,$Q811-$C$3,$R811,7)*$H811)/100)</f>
        <v>#NAME?</v>
      </c>
      <c r="AD811" s="226" t="e">
        <f aca="false">(xSPRDOPT($L811+$AB$5,$J811,$I811,$M811,$O811,$N811,$P811,$Q811-$C$3,$R811,9)/365)*$H811</f>
        <v>#NAME?</v>
      </c>
      <c r="AE811" s="0" t="e">
        <f aca="false">CD813</f>
        <v>#NAME?</v>
      </c>
      <c r="AF811" s="226" t="e">
        <f aca="false">((O811/N811)*AH811)+AG811</f>
        <v>#NAME?</v>
      </c>
      <c r="AG811" s="226" t="e">
        <f aca="false">((xSPRDOPT($L811,$J811,$I811,$M811,$O811,$N811,$P811,$Q811-$C$3,$R811,6)*$H811)/100)</f>
        <v>#NAME?</v>
      </c>
      <c r="AH811" s="226" t="e">
        <f aca="false">((xSPRDOPT($L811,$J811,$I811,$M811,$O811,$N811,$P811,$Q811-$C$3,$R811,5)*$H811)/100)</f>
        <v>#NAME?</v>
      </c>
      <c r="AI811" s="226" t="e">
        <f aca="false">(((xSPRDOPT($L811,$J811,$I811,$M811,$O811,$N811,$P811,$Q811-$C$3,$R811,4)*$H811)/10000)/100)-AB811</f>
        <v>#NAME?</v>
      </c>
      <c r="AJ811" s="226"/>
      <c r="CC811" s="182" t="n">
        <f aca="false">G809</f>
        <v>36951</v>
      </c>
      <c r="CD811" s="253" t="e">
        <f aca="false">xSPRDOPT((VLOOKUP(G809,NGPrices,2,FALSE())+HLOOKUP(D809,Prices,VLOOKUP(G809,move_down,2,FALSE()),FALSE())),VLOOKUP(G809,NGPrices,2,FALSE()),I809,VLOOKUP(G809,NGPREVPRICES,4,FALSE()),HLOOKUP(D809,PREVVOLS,VLOOKUP(G809,MOVE_DOWN2,2,FALSE()),FALSE()),VLOOKUP(G809,NGPREVPRICES,3,FALSE()),HLOOKUP(D809,Correllate,VLOOKUP(G809,CorMove,2,FALSE()),FALSE()),Q809-$CD$3,R809,$CD$5)*H809-CJ811</f>
        <v>#NAME?</v>
      </c>
      <c r="CE811" s="253" t="e">
        <f aca="false">xSPRDOPT((VLOOKUP(G809,NGPREVPRICES,2,FALSE())+HLOOKUP(D809,PREVCURVES,VLOOKUP(G809,MOVE_DOWN2,2,FALSE()),FALSE())),VLOOKUP(G809,NGPREVPRICES,2,FALSE()),CK811,VLOOKUP(G809,NGPrices,4,FALSE()),HLOOKUP(D809,PREVVOLS,VLOOKUP(G809,MOVE_DOWN2,2,FALSE()),FALSE()),VLOOKUP(G809,NGPREVPRICES,3,FALSE()),HLOOKUP(D809,Correllate,VLOOKUP(G809,CorMove,2,FALSE()),FALSE()),Q809-$CD$3,R809,$CJ$5)*H809-CJ811</f>
        <v>#NAME?</v>
      </c>
      <c r="CF811" s="132" t="e">
        <f aca="false">(CJ811/VLOOKUP(CC811,discount,3,FALSE()))-(CJ811/VLOOKUP(CC811,discount,2,FALSE()))</f>
        <v>#NAME?</v>
      </c>
      <c r="CG811" s="253" t="e">
        <f aca="false">xSPRDOPT((VLOOKUP(G809,NGPREVPRICES,2,FALSE())+HLOOKUP(D809,PREVCURVES,VLOOKUP(G809,MOVE_DOWN2,2,FALSE()),FALSE())),VLOOKUP(G809,NGPREVPRICES,2,FALSE()),CK811,VLOOKUP(G809,NGPREVPRICES,4,FALSE()),HLOOKUP(D809,VOLS,VLOOKUP(G809,move_down,2,FALSE()),FALSE()),VLOOKUP(G809,NGPrices,3,FALSE()),HLOOKUP(D809,Correllate,VLOOKUP(G809,CorMove,2,FALSE()),FALSE()),Q809-$CD$3,R809,$CJ$5)*H809-CJ811</f>
        <v>#NAME?</v>
      </c>
      <c r="CH811" s="253" t="e">
        <f aca="false">xSPRDOPT((VLOOKUP(G809,NGPREVPRICES,2,FALSE())+HLOOKUP(D809,PREVCURVES,VLOOKUP(G809,MOVE_DOWN2,2,FALSE()),FALSE())),VLOOKUP(G809,NGPREVPRICES,2,FALSE()),CK811,VLOOKUP(G809,NGPREVPRICES,4,FALSE()),HLOOKUP(D809,PREVVOLS,VLOOKUP(G809,MOVE_DOWN2,2,FALSE()),FALSE()),VLOOKUP(G809,NGPREVPRICES,3,FALSE()),HLOOKUP(D809,Correllate,VLOOKUP(G809,CorMove,2,FALSE()),FALSE()),Q809-$C$3,R809,$CJ$5)*H809-CJ811</f>
        <v>#NAME?</v>
      </c>
      <c r="CI811" s="253" t="e">
        <f aca="false">SUM(CD811:CH811)</f>
        <v>#NAME?</v>
      </c>
      <c r="CJ811" s="253" t="e">
        <f aca="false">xSPRDOPT((VLOOKUP(G809,NGPREVPRICES,2,FALSE())+HLOOKUP(D809,PREVCURVES,VLOOKUP(G809,MOVE_DOWN2,2,FALSE()),FALSE())),VLOOKUP(G809,NGPREVPRICES,2,FALSE()),CK811,VLOOKUP(G809,NGPREVPRICES,4,FALSE()),HLOOKUP(D809,PREVVOLS,VLOOKUP(G809,MOVE_DOWN2,2,FALSE()),FALSE()),VLOOKUP(G809,NGPREVPRICES,3,FALSE()),HLOOKUP(D809,Correllate,VLOOKUP(G809,CorMove,2,FALSE()),FALSE()),Q809-$CD$3,R809,$CJ$5)*H809</f>
        <v>#NAME?</v>
      </c>
      <c r="CK811" s="254" t="n">
        <f aca="false">I809</f>
        <v>0.11</v>
      </c>
      <c r="CM811" s="0" t="str">
        <f aca="false">CONCATENATE(CC811,$CD$6)</f>
        <v>36951Curve Shift/Gamma</v>
      </c>
      <c r="CN811" s="0" t="str">
        <f aca="false">CONCATENATE($CC811,$CE$6)</f>
        <v>36951Rho</v>
      </c>
      <c r="CO811" s="0" t="str">
        <f aca="false">CONCATENATE($CC811,$CF$6)</f>
        <v>36951Drift</v>
      </c>
      <c r="CP811" s="0" t="str">
        <f aca="false">CONCATENATE($CC811,$CG$6)</f>
        <v>36951Vega</v>
      </c>
      <c r="CQ811" s="0" t="str">
        <f aca="false">CONCATENATE($CC811,$CH$6)</f>
        <v>36951Theta</v>
      </c>
    </row>
    <row r="812" customFormat="false" ht="12.75" hidden="false" customHeight="false" outlineLevel="0" collapsed="false">
      <c r="A812" s="17" t="s">
        <v>281</v>
      </c>
      <c r="B812" s="0" t="s">
        <v>192</v>
      </c>
      <c r="C812" s="0" t="s">
        <v>458</v>
      </c>
      <c r="D812" s="7" t="s">
        <v>152</v>
      </c>
      <c r="E812" s="0" t="s">
        <v>131</v>
      </c>
      <c r="F812" s="0" t="s">
        <v>132</v>
      </c>
      <c r="G812" s="92" t="n">
        <v>36892</v>
      </c>
      <c r="H812" s="248" t="n">
        <v>310000</v>
      </c>
      <c r="I812" s="254" t="n">
        <v>0.11</v>
      </c>
      <c r="J812" s="124" t="n">
        <f aca="false">VLOOKUP(G812,NGPrices,2,FALSE())</f>
        <v>4.744</v>
      </c>
      <c r="K812" s="125" t="n">
        <f aca="false">HLOOKUP(D812,Prices,VLOOKUP(G812,move_down,2,FALSE()),FALSE())+VLOOKUP(G812,CHANGE,HLOOKUP(D812,CHANGE,2,FALSE()),FALSE())</f>
        <v>0.1275</v>
      </c>
      <c r="L812" s="124" t="n">
        <f aca="false">K812+J812</f>
        <v>4.8715</v>
      </c>
      <c r="M812" s="126" t="n">
        <f aca="false">VLOOKUP(G812,NGPrices,4,FALSE())</f>
        <v>0.068374831148491</v>
      </c>
      <c r="N812" s="7" t="n">
        <f aca="false">VLOOKUP(G812,NGPrices,3,FALSE())</f>
        <v>0.605</v>
      </c>
      <c r="O812" s="7" t="n">
        <f aca="false">HLOOKUP(D812,VOLS,VLOOKUP(G812,move_down,2,FALSE()),FALSE())</f>
        <v>0.605</v>
      </c>
      <c r="P812" s="249" t="n">
        <f aca="false">HLOOKUP(D812,Correllate,VLOOKUP(G812,CorMove,2,FALSE()),FALSE())</f>
        <v>0.997</v>
      </c>
      <c r="Q812" s="92" t="n">
        <f aca="false">WORKDAY(G812,-2)</f>
        <v>36888</v>
      </c>
      <c r="R812" s="7" t="n">
        <f aca="false">IF(F812="P",0,1)</f>
        <v>0</v>
      </c>
      <c r="S812" s="130" t="e">
        <f aca="false">xSPRDOPT($L812,$J812,$I812,$M812,$O812,$N812,$P812,$Q812-$C$3,$R812,0)</f>
        <v>#NAME?</v>
      </c>
      <c r="T812" s="250" t="e">
        <f aca="false">xSPRDOPT($L812,$J812,$I812,$M812,$O812,$N812,$P812,$Q812-$C$3,$R812,1)*H812</f>
        <v>#NAME?</v>
      </c>
      <c r="U812" s="43" t="e">
        <f aca="false">S812*H812</f>
        <v>#NAME?</v>
      </c>
      <c r="V812" s="250" t="e">
        <f aca="false">xSPRDOPT($L812,$J812,$I812,$M812,$O812,$N812,$P812,$Q812-$C$3,$R812,2)*H812</f>
        <v>#NAME?</v>
      </c>
      <c r="W812" s="250" t="e">
        <f aca="false">+V812+T812</f>
        <v>#NAME?</v>
      </c>
      <c r="X812" s="2" t="str">
        <f aca="false">CONCATENATE(G812,D812)</f>
        <v>36892NGI/CHI. GATE</v>
      </c>
      <c r="Y812" s="251" t="n">
        <f aca="false">H812/10000</f>
        <v>31</v>
      </c>
      <c r="Z812" s="226" t="e">
        <f aca="false">T812/H812</f>
        <v>#NAME?</v>
      </c>
      <c r="AA812" s="226" t="e">
        <f aca="false">xSPRDOPT($L812,$J812,$I812,$M812,$O812,$N812,$P812,$Q812-$C$3,$R812,3)</f>
        <v>#NAME?</v>
      </c>
      <c r="AB812" s="226" t="e">
        <f aca="false">((xSPRDOPT($L812+AB$5,$J812,$I812,$M812,$O812,$N812,$P812,$Q812-$C$3,$R812,3)*$H812)/10000)/100</f>
        <v>#NAME?</v>
      </c>
      <c r="AC812" s="226" t="e">
        <f aca="false">((xSPRDOPT($L812+$AB$5,$J812,$I812,$M812,$O812,$N812,$P812,$Q812-$C$3,$R812,7)*$H812)/100)</f>
        <v>#NAME?</v>
      </c>
      <c r="AD812" s="226" t="e">
        <f aca="false">(xSPRDOPT($L812+$AB$5,$J812,$I812,$M812,$O812,$N812,$P812,$Q812-$C$3,$R812,9)/365)*$H812</f>
        <v>#NAME?</v>
      </c>
      <c r="AE812" s="0" t="e">
        <f aca="false">CD814</f>
        <v>#NAME?</v>
      </c>
      <c r="AF812" s="226" t="e">
        <f aca="false">((O812/N812)*AH812)+AG812</f>
        <v>#NAME?</v>
      </c>
      <c r="AG812" s="226" t="e">
        <f aca="false">((xSPRDOPT($L812,$J812,$I812,$M812,$O812,$N812,$P812,$Q812-$C$3,$R812,6)*$H812)/100)</f>
        <v>#NAME?</v>
      </c>
      <c r="AH812" s="226" t="e">
        <f aca="false">((xSPRDOPT($L812,$J812,$I812,$M812,$O812,$N812,$P812,$Q812-$C$3,$R812,5)*$H812)/100)</f>
        <v>#NAME?</v>
      </c>
      <c r="AI812" s="226" t="e">
        <f aca="false">(((xSPRDOPT($L812,$J812,$I812,$M812,$O812,$N812,$P812,$Q812-$C$3,$R812,4)*$H812)/10000)/100)-AB812</f>
        <v>#NAME?</v>
      </c>
      <c r="AJ812" s="226"/>
      <c r="CC812" s="182" t="n">
        <f aca="false">G810</f>
        <v>36831</v>
      </c>
      <c r="CD812" s="253" t="e">
        <f aca="false">xSPRDOPT((VLOOKUP(G810,NGPrices,2,FALSE())+HLOOKUP(D810,Prices,VLOOKUP(G810,move_down,2,FALSE()),FALSE())),VLOOKUP(G810,NGPrices,2,FALSE()),I810,VLOOKUP(G810,NGPREVPRICES,4,FALSE()),HLOOKUP(D810,PREVVOLS,VLOOKUP(G810,MOVE_DOWN2,2,FALSE()),FALSE()),VLOOKUP(G810,NGPREVPRICES,3,FALSE()),HLOOKUP(D810,Correllate,VLOOKUP(G810,CorMove,2,FALSE()),FALSE()),Q810-$CD$3,R810,$CD$5)*H810-CJ812</f>
        <v>#NAME?</v>
      </c>
      <c r="CE812" s="253" t="e">
        <f aca="false">xSPRDOPT((VLOOKUP(G810,NGPREVPRICES,2,FALSE())+HLOOKUP(D810,PREVCURVES,VLOOKUP(G810,MOVE_DOWN2,2,FALSE()),FALSE())),VLOOKUP(G810,NGPREVPRICES,2,FALSE()),CK812,VLOOKUP(G810,NGPrices,4,FALSE()),HLOOKUP(D810,PREVVOLS,VLOOKUP(G810,MOVE_DOWN2,2,FALSE()),FALSE()),VLOOKUP(G810,NGPREVPRICES,3,FALSE()),HLOOKUP(D810,Correllate,VLOOKUP(G810,CorMove,2,FALSE()),FALSE()),Q810-$CD$3,R810,$CJ$5)*H810-CJ812</f>
        <v>#NAME?</v>
      </c>
      <c r="CF812" s="132" t="e">
        <f aca="false">(CJ812/VLOOKUP(CC812,discount,3,FALSE()))-(CJ812/VLOOKUP(CC812,discount,2,FALSE()))</f>
        <v>#NAME?</v>
      </c>
      <c r="CG812" s="253" t="e">
        <f aca="false">xSPRDOPT((VLOOKUP(G810,NGPREVPRICES,2,FALSE())+HLOOKUP(D810,PREVCURVES,VLOOKUP(G810,MOVE_DOWN2,2,FALSE()),FALSE())),VLOOKUP(G810,NGPREVPRICES,2,FALSE()),CK812,VLOOKUP(G810,NGPREVPRICES,4,FALSE()),HLOOKUP(D810,VOLS,VLOOKUP(G810,move_down,2,FALSE()),FALSE()),VLOOKUP(G810,NGPrices,3,FALSE()),HLOOKUP(D810,Correllate,VLOOKUP(G810,CorMove,2,FALSE()),FALSE()),Q810-$CD$3,R810,$CJ$5)*H810-CJ812</f>
        <v>#NAME?</v>
      </c>
      <c r="CH812" s="253" t="e">
        <f aca="false">xSPRDOPT((VLOOKUP(G810,NGPREVPRICES,2,FALSE())+HLOOKUP(D810,PREVCURVES,VLOOKUP(G810,MOVE_DOWN2,2,FALSE()),FALSE())),VLOOKUP(G810,NGPREVPRICES,2,FALSE()),CK812,VLOOKUP(G810,NGPREVPRICES,4,FALSE()),HLOOKUP(D810,PREVVOLS,VLOOKUP(G810,MOVE_DOWN2,2,FALSE()),FALSE()),VLOOKUP(G810,NGPREVPRICES,3,FALSE()),HLOOKUP(D810,Correllate,VLOOKUP(G810,CorMove,2,FALSE()),FALSE()),Q810-$C$3,R810,$CJ$5)*H810-CJ812</f>
        <v>#NAME?</v>
      </c>
      <c r="CI812" s="253" t="e">
        <f aca="false">SUM(CD812:CH812)</f>
        <v>#NAME?</v>
      </c>
      <c r="CJ812" s="253" t="e">
        <f aca="false">xSPRDOPT((VLOOKUP(G810,NGPREVPRICES,2,FALSE())+HLOOKUP(D810,PREVCURVES,VLOOKUP(G810,MOVE_DOWN2,2,FALSE()),FALSE())),VLOOKUP(G810,NGPREVPRICES,2,FALSE()),CK812,VLOOKUP(G810,NGPREVPRICES,4,FALSE()),HLOOKUP(D810,PREVVOLS,VLOOKUP(G810,MOVE_DOWN2,2,FALSE()),FALSE()),VLOOKUP(G810,NGPREVPRICES,3,FALSE()),HLOOKUP(D810,Correllate,VLOOKUP(G810,CorMove,2,FALSE()),FALSE()),Q810-$CD$3,R810,$CJ$5)*H810</f>
        <v>#NAME?</v>
      </c>
      <c r="CK812" s="254" t="n">
        <f aca="false">I810</f>
        <v>0.11</v>
      </c>
      <c r="CM812" s="0" t="str">
        <f aca="false">CONCATENATE(CC812,$CD$6)</f>
        <v>36831Curve Shift/Gamma</v>
      </c>
      <c r="CN812" s="0" t="str">
        <f aca="false">CONCATENATE($CC812,$CE$6)</f>
        <v>36831Rho</v>
      </c>
      <c r="CO812" s="0" t="str">
        <f aca="false">CONCATENATE($CC812,$CF$6)</f>
        <v>36831Drift</v>
      </c>
      <c r="CP812" s="0" t="str">
        <f aca="false">CONCATENATE($CC812,$CG$6)</f>
        <v>36831Vega</v>
      </c>
      <c r="CQ812" s="0" t="str">
        <f aca="false">CONCATENATE($CC812,$CH$6)</f>
        <v>36831Theta</v>
      </c>
    </row>
    <row r="813" customFormat="false" ht="12.75" hidden="false" customHeight="false" outlineLevel="0" collapsed="false">
      <c r="A813" s="17" t="s">
        <v>281</v>
      </c>
      <c r="B813" s="0" t="s">
        <v>192</v>
      </c>
      <c r="C813" s="0" t="s">
        <v>458</v>
      </c>
      <c r="D813" s="7" t="s">
        <v>152</v>
      </c>
      <c r="E813" s="0" t="s">
        <v>131</v>
      </c>
      <c r="F813" s="0" t="s">
        <v>132</v>
      </c>
      <c r="G813" s="92" t="n">
        <v>36923</v>
      </c>
      <c r="H813" s="248" t="n">
        <v>280000</v>
      </c>
      <c r="I813" s="254" t="n">
        <v>0.11</v>
      </c>
      <c r="J813" s="124" t="n">
        <f aca="false">VLOOKUP(G813,NGPrices,2,FALSE())</f>
        <v>4.48</v>
      </c>
      <c r="K813" s="125" t="n">
        <f aca="false">HLOOKUP(D813,Prices,VLOOKUP(G813,move_down,2,FALSE()),FALSE())+VLOOKUP(G813,CHANGE,HLOOKUP(D813,CHANGE,2,FALSE()),FALSE())</f>
        <v>0.1375</v>
      </c>
      <c r="L813" s="124" t="n">
        <f aca="false">K813+J813</f>
        <v>4.6175</v>
      </c>
      <c r="M813" s="126" t="n">
        <f aca="false">VLOOKUP(G813,NGPrices,4,FALSE())</f>
        <v>0.068640161611372</v>
      </c>
      <c r="N813" s="7" t="n">
        <f aca="false">VLOOKUP(G813,NGPrices,3,FALSE())</f>
        <v>0.5925</v>
      </c>
      <c r="O813" s="7" t="n">
        <f aca="false">HLOOKUP(D813,VOLS,VLOOKUP(G813,move_down,2,FALSE()),FALSE())</f>
        <v>0.593</v>
      </c>
      <c r="P813" s="249" t="n">
        <f aca="false">HLOOKUP(D813,Correllate,VLOOKUP(G813,CorMove,2,FALSE()),FALSE())</f>
        <v>0.997</v>
      </c>
      <c r="Q813" s="92" t="n">
        <f aca="false">WORKDAY(G813,-2)</f>
        <v>36921</v>
      </c>
      <c r="R813" s="7" t="n">
        <f aca="false">IF(F813="P",0,1)</f>
        <v>0</v>
      </c>
      <c r="S813" s="130" t="e">
        <f aca="false">xSPRDOPT($L813,$J813,$I813,$M813,$O813,$N813,$P813,$Q813-$C$3,$R813,0)</f>
        <v>#NAME?</v>
      </c>
      <c r="T813" s="250" t="e">
        <f aca="false">xSPRDOPT($L813,$J813,$I813,$M813,$O813,$N813,$P813,$Q813-$C$3,$R813,1)*H813</f>
        <v>#NAME?</v>
      </c>
      <c r="U813" s="43" t="e">
        <f aca="false">S813*H813</f>
        <v>#NAME?</v>
      </c>
      <c r="V813" s="250" t="e">
        <f aca="false">xSPRDOPT($L813,$J813,$I813,$M813,$O813,$N813,$P813,$Q813-$C$3,$R813,2)*H813</f>
        <v>#NAME?</v>
      </c>
      <c r="W813" s="250" t="e">
        <f aca="false">+V813+T813</f>
        <v>#NAME?</v>
      </c>
      <c r="X813" s="2" t="str">
        <f aca="false">CONCATENATE(G813,D813)</f>
        <v>36923NGI/CHI. GATE</v>
      </c>
      <c r="Y813" s="251" t="n">
        <f aca="false">H813/10000</f>
        <v>28</v>
      </c>
      <c r="Z813" s="226" t="e">
        <f aca="false">T813/H813</f>
        <v>#NAME?</v>
      </c>
      <c r="AA813" s="226" t="e">
        <f aca="false">xSPRDOPT($L813,$J813,$I813,$M813,$O813,$N813,$P813,$Q813-$C$3,$R813,3)</f>
        <v>#NAME?</v>
      </c>
      <c r="AB813" s="226" t="e">
        <f aca="false">((xSPRDOPT($L813+AB$5,$J813,$I813,$M813,$O813,$N813,$P813,$Q813-$C$3,$R813,3)*$H813)/10000)/100</f>
        <v>#NAME?</v>
      </c>
      <c r="AC813" s="226" t="e">
        <f aca="false">((xSPRDOPT($L813+$AB$5,$J813,$I813,$M813,$O813,$N813,$P813,$Q813-$C$3,$R813,7)*$H813)/100)</f>
        <v>#NAME?</v>
      </c>
      <c r="AD813" s="226" t="e">
        <f aca="false">(xSPRDOPT($L813+$AB$5,$J813,$I813,$M813,$O813,$N813,$P813,$Q813-$C$3,$R813,9)/365)*$H813</f>
        <v>#NAME?</v>
      </c>
      <c r="AE813" s="0" t="e">
        <f aca="false">CD815</f>
        <v>#NAME?</v>
      </c>
      <c r="AF813" s="226" t="e">
        <f aca="false">((O813/N813)*AH813)+AG813</f>
        <v>#NAME?</v>
      </c>
      <c r="AG813" s="226" t="e">
        <f aca="false">((xSPRDOPT($L813,$J813,$I813,$M813,$O813,$N813,$P813,$Q813-$C$3,$R813,6)*$H813)/100)</f>
        <v>#NAME?</v>
      </c>
      <c r="AH813" s="226" t="e">
        <f aca="false">((xSPRDOPT($L813,$J813,$I813,$M813,$O813,$N813,$P813,$Q813-$C$3,$R813,5)*$H813)/100)</f>
        <v>#NAME?</v>
      </c>
      <c r="AI813" s="226" t="e">
        <f aca="false">(((xSPRDOPT($L813,$J813,$I813,$M813,$O813,$N813,$P813,$Q813-$C$3,$R813,4)*$H813)/10000)/100)-AB813</f>
        <v>#NAME?</v>
      </c>
      <c r="AJ813" s="226"/>
      <c r="CC813" s="182" t="n">
        <f aca="false">G811</f>
        <v>36861</v>
      </c>
      <c r="CD813" s="253" t="e">
        <f aca="false">xSPRDOPT((VLOOKUP(G811,NGPrices,2,FALSE())+HLOOKUP(D811,Prices,VLOOKUP(G811,move_down,2,FALSE()),FALSE())),VLOOKUP(G811,NGPrices,2,FALSE()),I811,VLOOKUP(G811,NGPREVPRICES,4,FALSE()),HLOOKUP(D811,PREVVOLS,VLOOKUP(G811,MOVE_DOWN2,2,FALSE()),FALSE()),VLOOKUP(G811,NGPREVPRICES,3,FALSE()),HLOOKUP(D811,Correllate,VLOOKUP(G811,CorMove,2,FALSE()),FALSE()),Q811-$CD$3,R811,$CD$5)*H811-CJ813</f>
        <v>#NAME?</v>
      </c>
      <c r="CE813" s="253" t="e">
        <f aca="false">xSPRDOPT((VLOOKUP(G811,NGPREVPRICES,2,FALSE())+HLOOKUP(D811,PREVCURVES,VLOOKUP(G811,MOVE_DOWN2,2,FALSE()),FALSE())),VLOOKUP(G811,NGPREVPRICES,2,FALSE()),CK813,VLOOKUP(G811,NGPrices,4,FALSE()),HLOOKUP(D811,PREVVOLS,VLOOKUP(G811,MOVE_DOWN2,2,FALSE()),FALSE()),VLOOKUP(G811,NGPREVPRICES,3,FALSE()),HLOOKUP(D811,Correllate,VLOOKUP(G811,CorMove,2,FALSE()),FALSE()),Q811-$CD$3,R811,$CJ$5)*H811-CJ813</f>
        <v>#NAME?</v>
      </c>
      <c r="CF813" s="132" t="e">
        <f aca="false">(CJ813/VLOOKUP(CC813,discount,3,FALSE()))-(CJ813/VLOOKUP(CC813,discount,2,FALSE()))</f>
        <v>#NAME?</v>
      </c>
      <c r="CG813" s="253" t="e">
        <f aca="false">xSPRDOPT((VLOOKUP(G811,NGPREVPRICES,2,FALSE())+HLOOKUP(D811,PREVCURVES,VLOOKUP(G811,MOVE_DOWN2,2,FALSE()),FALSE())),VLOOKUP(G811,NGPREVPRICES,2,FALSE()),CK813,VLOOKUP(G811,NGPREVPRICES,4,FALSE()),HLOOKUP(D811,VOLS,VLOOKUP(G811,move_down,2,FALSE()),FALSE()),VLOOKUP(G811,NGPrices,3,FALSE()),HLOOKUP(D811,Correllate,VLOOKUP(G811,CorMove,2,FALSE()),FALSE()),Q811-$CD$3,R811,$CJ$5)*H811-CJ813</f>
        <v>#NAME?</v>
      </c>
      <c r="CH813" s="253" t="e">
        <f aca="false">xSPRDOPT((VLOOKUP(G811,NGPREVPRICES,2,FALSE())+HLOOKUP(D811,PREVCURVES,VLOOKUP(G811,MOVE_DOWN2,2,FALSE()),FALSE())),VLOOKUP(G811,NGPREVPRICES,2,FALSE()),CK813,VLOOKUP(G811,NGPREVPRICES,4,FALSE()),HLOOKUP(D811,PREVVOLS,VLOOKUP(G811,MOVE_DOWN2,2,FALSE()),FALSE()),VLOOKUP(G811,NGPREVPRICES,3,FALSE()),HLOOKUP(D811,Correllate,VLOOKUP(G811,CorMove,2,FALSE()),FALSE()),Q811-$C$3,R811,$CJ$5)*H811-CJ813</f>
        <v>#NAME?</v>
      </c>
      <c r="CI813" s="253" t="e">
        <f aca="false">SUM(CD813:CH813)</f>
        <v>#NAME?</v>
      </c>
      <c r="CJ813" s="253" t="e">
        <f aca="false">xSPRDOPT((VLOOKUP(G811,NGPREVPRICES,2,FALSE())+HLOOKUP(D811,PREVCURVES,VLOOKUP(G811,MOVE_DOWN2,2,FALSE()),FALSE())),VLOOKUP(G811,NGPREVPRICES,2,FALSE()),CK813,VLOOKUP(G811,NGPREVPRICES,4,FALSE()),HLOOKUP(D811,PREVVOLS,VLOOKUP(G811,MOVE_DOWN2,2,FALSE()),FALSE()),VLOOKUP(G811,NGPREVPRICES,3,FALSE()),HLOOKUP(D811,Correllate,VLOOKUP(G811,CorMove,2,FALSE()),FALSE()),Q811-$CD$3,R811,$CJ$5)*H811</f>
        <v>#NAME?</v>
      </c>
      <c r="CK813" s="254" t="n">
        <f aca="false">I811</f>
        <v>0.11</v>
      </c>
      <c r="CM813" s="0" t="str">
        <f aca="false">CONCATENATE(CC813,$CD$6)</f>
        <v>36861Curve Shift/Gamma</v>
      </c>
      <c r="CN813" s="0" t="str">
        <f aca="false">CONCATENATE($CC813,$CE$6)</f>
        <v>36861Rho</v>
      </c>
      <c r="CO813" s="0" t="str">
        <f aca="false">CONCATENATE($CC813,$CF$6)</f>
        <v>36861Drift</v>
      </c>
      <c r="CP813" s="0" t="str">
        <f aca="false">CONCATENATE($CC813,$CG$6)</f>
        <v>36861Vega</v>
      </c>
      <c r="CQ813" s="0" t="str">
        <f aca="false">CONCATENATE($CC813,$CH$6)</f>
        <v>36861Theta</v>
      </c>
    </row>
    <row r="814" customFormat="false" ht="12.75" hidden="false" customHeight="false" outlineLevel="0" collapsed="false">
      <c r="A814" s="17" t="s">
        <v>244</v>
      </c>
      <c r="B814" s="0" t="s">
        <v>192</v>
      </c>
      <c r="C814" s="0" t="s">
        <v>459</v>
      </c>
      <c r="D814" s="7" t="s">
        <v>149</v>
      </c>
      <c r="E814" s="0" t="s">
        <v>131</v>
      </c>
      <c r="F814" s="0" t="s">
        <v>136</v>
      </c>
      <c r="G814" s="92" t="n">
        <v>36831</v>
      </c>
      <c r="H814" s="248" t="n">
        <v>500000</v>
      </c>
      <c r="I814" s="254" t="n">
        <v>1</v>
      </c>
      <c r="J814" s="124" t="n">
        <f aca="false">VLOOKUP(G814,NGPrices,2,FALSE())</f>
        <v>4.736</v>
      </c>
      <c r="K814" s="125" t="n">
        <f aca="false">HLOOKUP(D814,Prices,VLOOKUP(G814,move_down,2,FALSE()),FALSE())+VLOOKUP(G814,CHANGE,HLOOKUP(D814,CHANGE,2,FALSE()),FALSE())</f>
        <v>0.77</v>
      </c>
      <c r="L814" s="124" t="n">
        <f aca="false">K814+J814</f>
        <v>5.506</v>
      </c>
      <c r="M814" s="126" t="n">
        <f aca="false">VLOOKUP(G814,NGPrices,4,FALSE())</f>
        <v>0.06810675983792</v>
      </c>
      <c r="N814" s="7" t="n">
        <f aca="false">VLOOKUP(G814,NGPrices,3,FALSE())</f>
        <v>0.595</v>
      </c>
      <c r="O814" s="7" t="n">
        <f aca="false">HLOOKUP(D814,VOLS,VLOOKUP(G814,move_down,2,FALSE()),FALSE())</f>
        <v>0.625</v>
      </c>
      <c r="P814" s="249" t="n">
        <f aca="false">HLOOKUP(D814,Correllate,VLOOKUP(G814,CorMove,2,FALSE()),FALSE())</f>
        <v>0.89</v>
      </c>
      <c r="Q814" s="92" t="n">
        <f aca="false">WORKDAY(G814,-2)</f>
        <v>36829</v>
      </c>
      <c r="R814" s="7" t="n">
        <f aca="false">IF(F814="P",0,1)</f>
        <v>1</v>
      </c>
      <c r="S814" s="130" t="e">
        <f aca="false">xSPRDOPT($L814,$J814,$I814,$M814,$O814,$N814,$P814,$Q814-$C$3,$R814,0)</f>
        <v>#NAME?</v>
      </c>
      <c r="T814" s="250" t="e">
        <f aca="false">xSPRDOPT($L814,$J814,$I814,$M814,$O814,$N814,$P814,$Q814-$C$3,$R814,1)*H814</f>
        <v>#NAME?</v>
      </c>
      <c r="U814" s="43" t="e">
        <f aca="false">S814*H814</f>
        <v>#NAME?</v>
      </c>
      <c r="V814" s="250" t="e">
        <f aca="false">xSPRDOPT($L814,$J814,$I814,$M814,$O814,$N814,$P814,$Q814-$C$3,$R814,2)*H814</f>
        <v>#NAME?</v>
      </c>
      <c r="W814" s="250" t="e">
        <f aca="false">+V814+T814</f>
        <v>#NAME?</v>
      </c>
      <c r="X814" s="2" t="str">
        <f aca="false">CONCATENATE(G814,D814)</f>
        <v>36831IF-TRANSCO/Z6</v>
      </c>
      <c r="Y814" s="251" t="n">
        <f aca="false">H814/10000</f>
        <v>50</v>
      </c>
      <c r="Z814" s="226" t="e">
        <f aca="false">T814/H814</f>
        <v>#NAME?</v>
      </c>
      <c r="AA814" s="226" t="e">
        <f aca="false">xSPRDOPT($L814,$J814,$I814,$M814,$O814,$N814,$P814,$Q814-$C$3,$R814,3)</f>
        <v>#NAME?</v>
      </c>
      <c r="AB814" s="226" t="e">
        <f aca="false">((xSPRDOPT($L814+AB$5,$J814,$I814,$M814,$O814,$N814,$P814,$Q814-$C$3,$R814,3)*$H814)/10000)/100</f>
        <v>#NAME?</v>
      </c>
      <c r="AC814" s="226" t="e">
        <f aca="false">((xSPRDOPT($L814+$AB$5,$J814,$I814,$M814,$O814,$N814,$P814,$Q814-$C$3,$R814,7)*$H814)/100)</f>
        <v>#NAME?</v>
      </c>
      <c r="AD814" s="226" t="e">
        <f aca="false">(xSPRDOPT($L814+$AB$5,$J814,$I814,$M814,$O814,$N814,$P814,$Q814-$C$3,$R814,9)/365)*$H814</f>
        <v>#NAME?</v>
      </c>
      <c r="AE814" s="0" t="e">
        <f aca="false">CD816</f>
        <v>#NAME?</v>
      </c>
      <c r="AF814" s="226" t="e">
        <f aca="false">((O814/N814)*AH814)+AG814</f>
        <v>#NAME?</v>
      </c>
      <c r="AG814" s="226" t="e">
        <f aca="false">((xSPRDOPT($L814,$J814,$I814,$M814,$O814,$N814,$P814,$Q814-$C$3,$R814,6)*$H814)/100)</f>
        <v>#NAME?</v>
      </c>
      <c r="AH814" s="226" t="e">
        <f aca="false">((xSPRDOPT($L814,$J814,$I814,$M814,$O814,$N814,$P814,$Q814-$C$3,$R814,5)*$H814)/100)</f>
        <v>#NAME?</v>
      </c>
      <c r="AI814" s="226" t="e">
        <f aca="false">(((xSPRDOPT($L814,$J814,$I814,$M814,$O814,$N814,$P814,$Q814-$C$3,$R814,4)*$H814)/10000)/100)-AB814</f>
        <v>#NAME?</v>
      </c>
      <c r="AJ814" s="226"/>
      <c r="CC814" s="182" t="n">
        <f aca="false">G812</f>
        <v>36892</v>
      </c>
      <c r="CD814" s="253" t="e">
        <f aca="false">xSPRDOPT((VLOOKUP(G812,NGPrices,2,FALSE())+HLOOKUP(D812,Prices,VLOOKUP(G812,move_down,2,FALSE()),FALSE())),VLOOKUP(G812,NGPrices,2,FALSE()),I812,VLOOKUP(G812,NGPREVPRICES,4,FALSE()),HLOOKUP(D812,PREVVOLS,VLOOKUP(G812,MOVE_DOWN2,2,FALSE()),FALSE()),VLOOKUP(G812,NGPREVPRICES,3,FALSE()),HLOOKUP(D812,Correllate,VLOOKUP(G812,CorMove,2,FALSE()),FALSE()),Q812-$CD$3,R812,$CD$5)*H812-CJ814</f>
        <v>#NAME?</v>
      </c>
      <c r="CE814" s="253" t="e">
        <f aca="false">xSPRDOPT((VLOOKUP(G812,NGPREVPRICES,2,FALSE())+HLOOKUP(D812,PREVCURVES,VLOOKUP(G812,MOVE_DOWN2,2,FALSE()),FALSE())),VLOOKUP(G812,NGPREVPRICES,2,FALSE()),CK814,VLOOKUP(G812,NGPrices,4,FALSE()),HLOOKUP(D812,PREVVOLS,VLOOKUP(G812,MOVE_DOWN2,2,FALSE()),FALSE()),VLOOKUP(G812,NGPREVPRICES,3,FALSE()),HLOOKUP(D812,Correllate,VLOOKUP(G812,CorMove,2,FALSE()),FALSE()),Q812-$CD$3,R812,$CJ$5)*H812-CJ814</f>
        <v>#NAME?</v>
      </c>
      <c r="CF814" s="132" t="e">
        <f aca="false">(CJ814/VLOOKUP(CC814,discount,3,FALSE()))-(CJ814/VLOOKUP(CC814,discount,2,FALSE()))</f>
        <v>#NAME?</v>
      </c>
      <c r="CG814" s="253" t="e">
        <f aca="false">xSPRDOPT((VLOOKUP(G812,NGPREVPRICES,2,FALSE())+HLOOKUP(D812,PREVCURVES,VLOOKUP(G812,MOVE_DOWN2,2,FALSE()),FALSE())),VLOOKUP(G812,NGPREVPRICES,2,FALSE()),CK814,VLOOKUP(G812,NGPREVPRICES,4,FALSE()),HLOOKUP(D812,VOLS,VLOOKUP(G812,move_down,2,FALSE()),FALSE()),VLOOKUP(G812,NGPrices,3,FALSE()),HLOOKUP(D812,Correllate,VLOOKUP(G812,CorMove,2,FALSE()),FALSE()),Q812-$CD$3,R812,$CJ$5)*H812-CJ814</f>
        <v>#NAME?</v>
      </c>
      <c r="CH814" s="253" t="e">
        <f aca="false">xSPRDOPT((VLOOKUP(G812,NGPREVPRICES,2,FALSE())+HLOOKUP(D812,PREVCURVES,VLOOKUP(G812,MOVE_DOWN2,2,FALSE()),FALSE())),VLOOKUP(G812,NGPREVPRICES,2,FALSE()),CK814,VLOOKUP(G812,NGPREVPRICES,4,FALSE()),HLOOKUP(D812,PREVVOLS,VLOOKUP(G812,MOVE_DOWN2,2,FALSE()),FALSE()),VLOOKUP(G812,NGPREVPRICES,3,FALSE()),HLOOKUP(D812,Correllate,VLOOKUP(G812,CorMove,2,FALSE()),FALSE()),Q812-$C$3,R812,$CJ$5)*H812-CJ814</f>
        <v>#NAME?</v>
      </c>
      <c r="CI814" s="253" t="e">
        <f aca="false">SUM(CD814:CH814)</f>
        <v>#NAME?</v>
      </c>
      <c r="CJ814" s="253" t="e">
        <f aca="false">xSPRDOPT((VLOOKUP(G812,NGPREVPRICES,2,FALSE())+HLOOKUP(D812,PREVCURVES,VLOOKUP(G812,MOVE_DOWN2,2,FALSE()),FALSE())),VLOOKUP(G812,NGPREVPRICES,2,FALSE()),CK814,VLOOKUP(G812,NGPREVPRICES,4,FALSE()),HLOOKUP(D812,PREVVOLS,VLOOKUP(G812,MOVE_DOWN2,2,FALSE()),FALSE()),VLOOKUP(G812,NGPREVPRICES,3,FALSE()),HLOOKUP(D812,Correllate,VLOOKUP(G812,CorMove,2,FALSE()),FALSE()),Q812-$CD$3,R812,$CJ$5)*H812</f>
        <v>#NAME?</v>
      </c>
      <c r="CK814" s="254" t="n">
        <f aca="false">I812</f>
        <v>0.11</v>
      </c>
      <c r="CM814" s="0" t="str">
        <f aca="false">CONCATENATE(CC814,$CD$6)</f>
        <v>36892Curve Shift/Gamma</v>
      </c>
      <c r="CN814" s="0" t="str">
        <f aca="false">CONCATENATE($CC814,$CE$6)</f>
        <v>36892Rho</v>
      </c>
      <c r="CO814" s="0" t="str">
        <f aca="false">CONCATENATE($CC814,$CF$6)</f>
        <v>36892Drift</v>
      </c>
      <c r="CP814" s="0" t="str">
        <f aca="false">CONCATENATE($CC814,$CG$6)</f>
        <v>36892Vega</v>
      </c>
      <c r="CQ814" s="0" t="str">
        <f aca="false">CONCATENATE($CC814,$CH$6)</f>
        <v>36892Theta</v>
      </c>
    </row>
    <row r="815" customFormat="false" ht="12.75" hidden="false" customHeight="false" outlineLevel="0" collapsed="false">
      <c r="A815" s="17" t="s">
        <v>363</v>
      </c>
      <c r="B815" s="0" t="s">
        <v>192</v>
      </c>
      <c r="C815" s="0" t="s">
        <v>460</v>
      </c>
      <c r="D815" s="7" t="s">
        <v>149</v>
      </c>
      <c r="E815" s="0" t="s">
        <v>131</v>
      </c>
      <c r="F815" s="0" t="s">
        <v>132</v>
      </c>
      <c r="G815" s="92" t="n">
        <v>36831</v>
      </c>
      <c r="H815" s="248" t="n">
        <v>1000000</v>
      </c>
      <c r="I815" s="254" t="n">
        <v>0.5</v>
      </c>
      <c r="J815" s="124" t="n">
        <f aca="false">VLOOKUP(G815,NGPrices,2,FALSE())</f>
        <v>4.736</v>
      </c>
      <c r="K815" s="125" t="n">
        <f aca="false">HLOOKUP(D815,Prices,VLOOKUP(G815,move_down,2,FALSE()),FALSE())+VLOOKUP(G815,CHANGE,HLOOKUP(D815,CHANGE,2,FALSE()),FALSE())</f>
        <v>0.77</v>
      </c>
      <c r="L815" s="124" t="n">
        <f aca="false">K815+J815</f>
        <v>5.506</v>
      </c>
      <c r="M815" s="126" t="n">
        <f aca="false">VLOOKUP(G815,NGPrices,4,FALSE())</f>
        <v>0.06810675983792</v>
      </c>
      <c r="N815" s="7" t="n">
        <f aca="false">VLOOKUP(G815,NGPrices,3,FALSE())</f>
        <v>0.595</v>
      </c>
      <c r="O815" s="7" t="n">
        <f aca="false">HLOOKUP(D815,VOLS,VLOOKUP(G815,move_down,2,FALSE()),FALSE())</f>
        <v>0.625</v>
      </c>
      <c r="P815" s="249" t="n">
        <f aca="false">HLOOKUP(D815,Correllate,VLOOKUP(G815,CorMove,2,FALSE()),FALSE())</f>
        <v>0.89</v>
      </c>
      <c r="Q815" s="92" t="n">
        <f aca="false">WORKDAY(G815,-2)</f>
        <v>36829</v>
      </c>
      <c r="R815" s="7" t="n">
        <f aca="false">IF(F815="P",0,1)</f>
        <v>0</v>
      </c>
      <c r="S815" s="130" t="e">
        <f aca="false">xSPRDOPT($L815,$J815,$I815,$M815,$O815,$N815,$P815,$Q815-$C$3,$R815,0)</f>
        <v>#NAME?</v>
      </c>
      <c r="T815" s="250" t="e">
        <f aca="false">xSPRDOPT($L815,$J815,$I815,$M815,$O815,$N815,$P815,$Q815-$C$3,$R815,1)*H815</f>
        <v>#NAME?</v>
      </c>
      <c r="U815" s="43" t="e">
        <f aca="false">S815*H815</f>
        <v>#NAME?</v>
      </c>
      <c r="V815" s="250" t="e">
        <f aca="false">xSPRDOPT($L815,$J815,$I815,$M815,$O815,$N815,$P815,$Q815-$C$3,$R815,2)*H815</f>
        <v>#NAME?</v>
      </c>
      <c r="W815" s="250" t="e">
        <f aca="false">+V815+T815</f>
        <v>#NAME?</v>
      </c>
      <c r="X815" s="2" t="str">
        <f aca="false">CONCATENATE(G815,D815)</f>
        <v>36831IF-TRANSCO/Z6</v>
      </c>
      <c r="Y815" s="251" t="n">
        <f aca="false">H815/10000</f>
        <v>100</v>
      </c>
      <c r="Z815" s="226" t="e">
        <f aca="false">T815/H815</f>
        <v>#NAME?</v>
      </c>
      <c r="AA815" s="226" t="e">
        <f aca="false">xSPRDOPT($L815,$J815,$I815,$M815,$O815,$N815,$P815,$Q815-$C$3,$R815,3)</f>
        <v>#NAME?</v>
      </c>
      <c r="AB815" s="226" t="e">
        <f aca="false">((xSPRDOPT($L815+AB$5,$J815,$I815,$M815,$O815,$N815,$P815,$Q815-$C$3,$R815,3)*$H815)/10000)/100</f>
        <v>#NAME?</v>
      </c>
      <c r="AC815" s="226" t="e">
        <f aca="false">((xSPRDOPT($L815+$AB$5,$J815,$I815,$M815,$O815,$N815,$P815,$Q815-$C$3,$R815,7)*$H815)/100)</f>
        <v>#NAME?</v>
      </c>
      <c r="AD815" s="226" t="e">
        <f aca="false">(xSPRDOPT($L815+$AB$5,$J815,$I815,$M815,$O815,$N815,$P815,$Q815-$C$3,$R815,9)/365)*$H815</f>
        <v>#NAME?</v>
      </c>
      <c r="AE815" s="0" t="e">
        <f aca="false">CD817</f>
        <v>#NAME?</v>
      </c>
      <c r="AF815" s="226" t="e">
        <f aca="false">((O815/N815)*AH815)+AG815</f>
        <v>#NAME?</v>
      </c>
      <c r="AG815" s="226" t="e">
        <f aca="false">((xSPRDOPT($L815,$J815,$I815,$M815,$O815,$N815,$P815,$Q815-$C$3,$R815,6)*$H815)/100)</f>
        <v>#NAME?</v>
      </c>
      <c r="AH815" s="226" t="e">
        <f aca="false">((xSPRDOPT($L815,$J815,$I815,$M815,$O815,$N815,$P815,$Q815-$C$3,$R815,5)*$H815)/100)</f>
        <v>#NAME?</v>
      </c>
      <c r="AI815" s="226" t="e">
        <f aca="false">(((xSPRDOPT($L815,$J815,$I815,$M815,$O815,$N815,$P815,$Q815-$C$3,$R815,4)*$H815)/10000)/100)-AB815</f>
        <v>#NAME?</v>
      </c>
      <c r="AJ815" s="226"/>
      <c r="CC815" s="182" t="n">
        <f aca="false">G813</f>
        <v>36923</v>
      </c>
      <c r="CD815" s="253" t="e">
        <f aca="false">xSPRDOPT((VLOOKUP(G813,NGPrices,2,FALSE())+HLOOKUP(D813,Prices,VLOOKUP(G813,move_down,2,FALSE()),FALSE())),VLOOKUP(G813,NGPrices,2,FALSE()),I813,VLOOKUP(G813,NGPREVPRICES,4,FALSE()),HLOOKUP(D813,PREVVOLS,VLOOKUP(G813,MOVE_DOWN2,2,FALSE()),FALSE()),VLOOKUP(G813,NGPREVPRICES,3,FALSE()),HLOOKUP(D813,Correllate,VLOOKUP(G813,CorMove,2,FALSE()),FALSE()),Q813-$CD$3,R813,$CD$5)*H813-CJ815</f>
        <v>#NAME?</v>
      </c>
      <c r="CE815" s="253" t="e">
        <f aca="false">xSPRDOPT((VLOOKUP(G813,NGPREVPRICES,2,FALSE())+HLOOKUP(D813,PREVCURVES,VLOOKUP(G813,MOVE_DOWN2,2,FALSE()),FALSE())),VLOOKUP(G813,NGPREVPRICES,2,FALSE()),CK815,VLOOKUP(G813,NGPrices,4,FALSE()),HLOOKUP(D813,PREVVOLS,VLOOKUP(G813,MOVE_DOWN2,2,FALSE()),FALSE()),VLOOKUP(G813,NGPREVPRICES,3,FALSE()),HLOOKUP(D813,Correllate,VLOOKUP(G813,CorMove,2,FALSE()),FALSE()),Q813-$CD$3,R813,$CJ$5)*H813-CJ815</f>
        <v>#NAME?</v>
      </c>
      <c r="CF815" s="132" t="e">
        <f aca="false">(CJ815/VLOOKUP(CC815,discount,3,FALSE()))-(CJ815/VLOOKUP(CC815,discount,2,FALSE()))</f>
        <v>#NAME?</v>
      </c>
      <c r="CG815" s="253" t="e">
        <f aca="false">xSPRDOPT((VLOOKUP(G813,NGPREVPRICES,2,FALSE())+HLOOKUP(D813,PREVCURVES,VLOOKUP(G813,MOVE_DOWN2,2,FALSE()),FALSE())),VLOOKUP(G813,NGPREVPRICES,2,FALSE()),CK815,VLOOKUP(G813,NGPREVPRICES,4,FALSE()),HLOOKUP(D813,VOLS,VLOOKUP(G813,move_down,2,FALSE()),FALSE()),VLOOKUP(G813,NGPrices,3,FALSE()),HLOOKUP(D813,Correllate,VLOOKUP(G813,CorMove,2,FALSE()),FALSE()),Q813-$CD$3,R813,$CJ$5)*H813-CJ815</f>
        <v>#NAME?</v>
      </c>
      <c r="CH815" s="253" t="e">
        <f aca="false">xSPRDOPT((VLOOKUP(G813,NGPREVPRICES,2,FALSE())+HLOOKUP(D813,PREVCURVES,VLOOKUP(G813,MOVE_DOWN2,2,FALSE()),FALSE())),VLOOKUP(G813,NGPREVPRICES,2,FALSE()),CK815,VLOOKUP(G813,NGPREVPRICES,4,FALSE()),HLOOKUP(D813,PREVVOLS,VLOOKUP(G813,MOVE_DOWN2,2,FALSE()),FALSE()),VLOOKUP(G813,NGPREVPRICES,3,FALSE()),HLOOKUP(D813,Correllate,VLOOKUP(G813,CorMove,2,FALSE()),FALSE()),Q813-$C$3,R813,$CJ$5)*H813-CJ815</f>
        <v>#NAME?</v>
      </c>
      <c r="CI815" s="253" t="e">
        <f aca="false">SUM(CD815:CH815)</f>
        <v>#NAME?</v>
      </c>
      <c r="CJ815" s="253" t="e">
        <f aca="false">xSPRDOPT((VLOOKUP(G813,NGPREVPRICES,2,FALSE())+HLOOKUP(D813,PREVCURVES,VLOOKUP(G813,MOVE_DOWN2,2,FALSE()),FALSE())),VLOOKUP(G813,NGPREVPRICES,2,FALSE()),CK815,VLOOKUP(G813,NGPREVPRICES,4,FALSE()),HLOOKUP(D813,PREVVOLS,VLOOKUP(G813,MOVE_DOWN2,2,FALSE()),FALSE()),VLOOKUP(G813,NGPREVPRICES,3,FALSE()),HLOOKUP(D813,Correllate,VLOOKUP(G813,CorMove,2,FALSE()),FALSE()),Q813-$CD$3,R813,$CJ$5)*H813</f>
        <v>#NAME?</v>
      </c>
      <c r="CK815" s="254" t="n">
        <f aca="false">I813</f>
        <v>0.11</v>
      </c>
      <c r="CM815" s="0" t="str">
        <f aca="false">CONCATENATE(CC815,$CD$6)</f>
        <v>36923Curve Shift/Gamma</v>
      </c>
      <c r="CN815" s="0" t="str">
        <f aca="false">CONCATENATE($CC815,$CE$6)</f>
        <v>36923Rho</v>
      </c>
      <c r="CO815" s="0" t="str">
        <f aca="false">CONCATENATE($CC815,$CF$6)</f>
        <v>36923Drift</v>
      </c>
      <c r="CP815" s="0" t="str">
        <f aca="false">CONCATENATE($CC815,$CG$6)</f>
        <v>36923Vega</v>
      </c>
      <c r="CQ815" s="0" t="str">
        <f aca="false">CONCATENATE($CC815,$CH$6)</f>
        <v>36923Theta</v>
      </c>
    </row>
    <row r="816" customFormat="false" ht="12.75" hidden="false" customHeight="false" outlineLevel="0" collapsed="false">
      <c r="A816" s="17" t="s">
        <v>461</v>
      </c>
      <c r="B816" s="0" t="s">
        <v>192</v>
      </c>
      <c r="C816" s="0" t="s">
        <v>462</v>
      </c>
      <c r="D816" s="7" t="s">
        <v>149</v>
      </c>
      <c r="E816" s="0" t="s">
        <v>131</v>
      </c>
      <c r="F816" s="0" t="s">
        <v>136</v>
      </c>
      <c r="G816" s="92" t="n">
        <v>36831</v>
      </c>
      <c r="H816" s="248" t="n">
        <v>300000</v>
      </c>
      <c r="I816" s="254" t="n">
        <v>1</v>
      </c>
      <c r="J816" s="124" t="n">
        <f aca="false">VLOOKUP(G816,NGPrices,2,FALSE())</f>
        <v>4.736</v>
      </c>
      <c r="K816" s="125" t="n">
        <f aca="false">HLOOKUP(D816,Prices,VLOOKUP(G816,move_down,2,FALSE()),FALSE())+VLOOKUP(G816,CHANGE,HLOOKUP(D816,CHANGE,2,FALSE()),FALSE())</f>
        <v>0.77</v>
      </c>
      <c r="L816" s="124" t="n">
        <f aca="false">K816+J816</f>
        <v>5.506</v>
      </c>
      <c r="M816" s="126" t="n">
        <f aca="false">VLOOKUP(G816,NGPrices,4,FALSE())</f>
        <v>0.06810675983792</v>
      </c>
      <c r="N816" s="7" t="n">
        <f aca="false">VLOOKUP(G816,NGPrices,3,FALSE())</f>
        <v>0.595</v>
      </c>
      <c r="O816" s="7" t="n">
        <f aca="false">HLOOKUP(D816,VOLS,VLOOKUP(G816,move_down,2,FALSE()),FALSE())</f>
        <v>0.625</v>
      </c>
      <c r="P816" s="249" t="n">
        <f aca="false">HLOOKUP(D816,Correllate,VLOOKUP(G816,CorMove,2,FALSE()),FALSE())</f>
        <v>0.89</v>
      </c>
      <c r="Q816" s="92" t="n">
        <f aca="false">WORKDAY(G816,-2)</f>
        <v>36829</v>
      </c>
      <c r="R816" s="7" t="n">
        <f aca="false">IF(F816="P",0,1)</f>
        <v>1</v>
      </c>
      <c r="S816" s="130" t="e">
        <f aca="false">xSPRDOPT($L816,$J816,$I816,$M816,$O816,$N816,$P816,$Q816-$C$3,$R816,0)</f>
        <v>#NAME?</v>
      </c>
      <c r="T816" s="250" t="e">
        <f aca="false">xSPRDOPT($L816,$J816,$I816,$M816,$O816,$N816,$P816,$Q816-$C$3,$R816,1)*H816</f>
        <v>#NAME?</v>
      </c>
      <c r="U816" s="43" t="e">
        <f aca="false">S816*H816</f>
        <v>#NAME?</v>
      </c>
      <c r="V816" s="250" t="e">
        <f aca="false">xSPRDOPT($L816,$J816,$I816,$M816,$O816,$N816,$P816,$Q816-$C$3,$R816,2)*H816</f>
        <v>#NAME?</v>
      </c>
      <c r="W816" s="250" t="e">
        <f aca="false">+V816+T816</f>
        <v>#NAME?</v>
      </c>
      <c r="X816" s="2" t="str">
        <f aca="false">CONCATENATE(G816,D816)</f>
        <v>36831IF-TRANSCO/Z6</v>
      </c>
      <c r="Y816" s="251" t="n">
        <f aca="false">H816/10000</f>
        <v>30</v>
      </c>
      <c r="Z816" s="226" t="e">
        <f aca="false">T816/H816</f>
        <v>#NAME?</v>
      </c>
      <c r="AA816" s="226" t="e">
        <f aca="false">xSPRDOPT($L816,$J816,$I816,$M816,$O816,$N816,$P816,$Q816-$C$3,$R816,3)</f>
        <v>#NAME?</v>
      </c>
      <c r="AB816" s="226" t="e">
        <f aca="false">((xSPRDOPT($L816+AB$5,$J816,$I816,$M816,$O816,$N816,$P816,$Q816-$C$3,$R816,3)*$H816)/10000)/100</f>
        <v>#NAME?</v>
      </c>
      <c r="AC816" s="226" t="e">
        <f aca="false">((xSPRDOPT($L816+$AB$5,$J816,$I816,$M816,$O816,$N816,$P816,$Q816-$C$3,$R816,7)*$H816)/100)</f>
        <v>#NAME?</v>
      </c>
      <c r="AD816" s="226" t="e">
        <f aca="false">(xSPRDOPT($L816+$AB$5,$J816,$I816,$M816,$O816,$N816,$P816,$Q816-$C$3,$R816,9)/365)*$H816</f>
        <v>#NAME?</v>
      </c>
      <c r="AE816" s="0" t="e">
        <f aca="false">CD818</f>
        <v>#NAME?</v>
      </c>
      <c r="AF816" s="226" t="e">
        <f aca="false">((O816/N816)*AH816)+AG816</f>
        <v>#NAME?</v>
      </c>
      <c r="AG816" s="226" t="e">
        <f aca="false">((xSPRDOPT($L816,$J816,$I816,$M816,$O816,$N816,$P816,$Q816-$C$3,$R816,6)*$H816)/100)</f>
        <v>#NAME?</v>
      </c>
      <c r="AH816" s="226" t="e">
        <f aca="false">((xSPRDOPT($L816,$J816,$I816,$M816,$O816,$N816,$P816,$Q816-$C$3,$R816,5)*$H816)/100)</f>
        <v>#NAME?</v>
      </c>
      <c r="AI816" s="226" t="e">
        <f aca="false">(((xSPRDOPT($L816,$J816,$I816,$M816,$O816,$N816,$P816,$Q816-$C$3,$R816,4)*$H816)/10000)/100)-AB816</f>
        <v>#NAME?</v>
      </c>
      <c r="AJ816" s="226"/>
      <c r="CC816" s="182" t="n">
        <f aca="false">G814</f>
        <v>36831</v>
      </c>
      <c r="CD816" s="253" t="e">
        <f aca="false">xSPRDOPT((VLOOKUP(G814,NGPrices,2,FALSE())+HLOOKUP(D814,Prices,VLOOKUP(G814,move_down,2,FALSE()),FALSE())),VLOOKUP(G814,NGPrices,2,FALSE()),I814,VLOOKUP(G814,NGPREVPRICES,4,FALSE()),HLOOKUP(D814,PREVVOLS,VLOOKUP(G814,MOVE_DOWN2,2,FALSE()),FALSE()),VLOOKUP(G814,NGPREVPRICES,3,FALSE()),HLOOKUP(D814,Correllate,VLOOKUP(G814,CorMove,2,FALSE()),FALSE()),Q814-$CD$3,R814,$CD$5)*H814-CJ816</f>
        <v>#NAME?</v>
      </c>
      <c r="CE816" s="253" t="e">
        <f aca="false">xSPRDOPT((VLOOKUP(G814,NGPREVPRICES,2,FALSE())+HLOOKUP(D814,PREVCURVES,VLOOKUP(G814,MOVE_DOWN2,2,FALSE()),FALSE())),VLOOKUP(G814,NGPREVPRICES,2,FALSE()),CK816,VLOOKUP(G814,NGPrices,4,FALSE()),HLOOKUP(D814,PREVVOLS,VLOOKUP(G814,MOVE_DOWN2,2,FALSE()),FALSE()),VLOOKUP(G814,NGPREVPRICES,3,FALSE()),HLOOKUP(D814,Correllate,VLOOKUP(G814,CorMove,2,FALSE()),FALSE()),Q814-$CD$3,R814,$CJ$5)*H814-CJ816</f>
        <v>#NAME?</v>
      </c>
      <c r="CF816" s="132" t="e">
        <f aca="false">(CJ816/VLOOKUP(CC816,discount,3,FALSE()))-(CJ816/VLOOKUP(CC816,discount,2,FALSE()))</f>
        <v>#NAME?</v>
      </c>
      <c r="CG816" s="253" t="e">
        <f aca="false">xSPRDOPT((VLOOKUP(G814,NGPREVPRICES,2,FALSE())+HLOOKUP(D814,PREVCURVES,VLOOKUP(G814,MOVE_DOWN2,2,FALSE()),FALSE())),VLOOKUP(G814,NGPREVPRICES,2,FALSE()),CK816,VLOOKUP(G814,NGPREVPRICES,4,FALSE()),HLOOKUP(D814,VOLS,VLOOKUP(G814,move_down,2,FALSE()),FALSE()),VLOOKUP(G814,NGPrices,3,FALSE()),HLOOKUP(D814,Correllate,VLOOKUP(G814,CorMove,2,FALSE()),FALSE()),Q814-$CD$3,R814,$CJ$5)*H814-CJ816</f>
        <v>#NAME?</v>
      </c>
      <c r="CH816" s="253" t="e">
        <f aca="false">xSPRDOPT((VLOOKUP(G814,NGPREVPRICES,2,FALSE())+HLOOKUP(D814,PREVCURVES,VLOOKUP(G814,MOVE_DOWN2,2,FALSE()),FALSE())),VLOOKUP(G814,NGPREVPRICES,2,FALSE()),CK816,VLOOKUP(G814,NGPREVPRICES,4,FALSE()),HLOOKUP(D814,PREVVOLS,VLOOKUP(G814,MOVE_DOWN2,2,FALSE()),FALSE()),VLOOKUP(G814,NGPREVPRICES,3,FALSE()),HLOOKUP(D814,Correllate,VLOOKUP(G814,CorMove,2,FALSE()),FALSE()),Q814-$C$3,R814,$CJ$5)*H814-CJ816</f>
        <v>#NAME?</v>
      </c>
      <c r="CI816" s="253" t="e">
        <f aca="false">SUM(CD816:CH816)</f>
        <v>#NAME?</v>
      </c>
      <c r="CJ816" s="253" t="e">
        <f aca="false">xSPRDOPT((VLOOKUP(G814,NGPREVPRICES,2,FALSE())+HLOOKUP(D814,PREVCURVES,VLOOKUP(G814,MOVE_DOWN2,2,FALSE()),FALSE())),VLOOKUP(G814,NGPREVPRICES,2,FALSE()),CK816,VLOOKUP(G814,NGPREVPRICES,4,FALSE()),HLOOKUP(D814,PREVVOLS,VLOOKUP(G814,MOVE_DOWN2,2,FALSE()),FALSE()),VLOOKUP(G814,NGPREVPRICES,3,FALSE()),HLOOKUP(D814,Correllate,VLOOKUP(G814,CorMove,2,FALSE()),FALSE()),Q814-$CD$3,R814,$CJ$5)*H814</f>
        <v>#NAME?</v>
      </c>
      <c r="CK816" s="254" t="n">
        <f aca="false">I814</f>
        <v>1</v>
      </c>
      <c r="CM816" s="0" t="str">
        <f aca="false">CONCATENATE(CC816,$CD$6)</f>
        <v>36831Curve Shift/Gamma</v>
      </c>
      <c r="CN816" s="0" t="str">
        <f aca="false">CONCATENATE($CC816,$CE$6)</f>
        <v>36831Rho</v>
      </c>
      <c r="CO816" s="0" t="str">
        <f aca="false">CONCATENATE($CC816,$CF$6)</f>
        <v>36831Drift</v>
      </c>
      <c r="CP816" s="0" t="str">
        <f aca="false">CONCATENATE($CC816,$CG$6)</f>
        <v>36831Vega</v>
      </c>
      <c r="CQ816" s="0" t="str">
        <f aca="false">CONCATENATE($CC816,$CH$6)</f>
        <v>36831Theta</v>
      </c>
    </row>
    <row r="817" customFormat="false" ht="12.75" hidden="false" customHeight="false" outlineLevel="0" collapsed="false">
      <c r="A817" s="17" t="s">
        <v>196</v>
      </c>
      <c r="B817" s="0" t="s">
        <v>192</v>
      </c>
      <c r="C817" s="0" t="s">
        <v>463</v>
      </c>
      <c r="D817" s="7" t="s">
        <v>137</v>
      </c>
      <c r="E817" s="0" t="s">
        <v>131</v>
      </c>
      <c r="F817" s="0" t="s">
        <v>132</v>
      </c>
      <c r="G817" s="92" t="n">
        <v>36831</v>
      </c>
      <c r="H817" s="248" t="n">
        <v>-150000</v>
      </c>
      <c r="I817" s="254" t="n">
        <v>0.5</v>
      </c>
      <c r="J817" s="124" t="n">
        <f aca="false">VLOOKUP(G817,NGPrices,2,FALSE())</f>
        <v>4.736</v>
      </c>
      <c r="K817" s="125" t="n">
        <f aca="false">HLOOKUP(D817,Prices,VLOOKUP(G817,move_down,2,FALSE()),FALSE())+VLOOKUP(G817,CHANGE,HLOOKUP(D817,CHANGE,2,FALSE()),FALSE())</f>
        <v>1.545</v>
      </c>
      <c r="L817" s="124" t="n">
        <f aca="false">K817+J817</f>
        <v>6.281</v>
      </c>
      <c r="M817" s="126" t="n">
        <f aca="false">VLOOKUP(G817,NGPrices,4,FALSE())</f>
        <v>0.06810675983792</v>
      </c>
      <c r="N817" s="7" t="n">
        <f aca="false">VLOOKUP(G817,NGPrices,3,FALSE())</f>
        <v>0.595</v>
      </c>
      <c r="O817" s="7" t="n">
        <f aca="false">HLOOKUP(D817,VOLS,VLOOKUP(G817,move_down,2,FALSE()),FALSE())</f>
        <v>0.577</v>
      </c>
      <c r="P817" s="249" t="n">
        <f aca="false">HLOOKUP(D817,Correllate,VLOOKUP(G817,CorMove,2,FALSE()),FALSE())</f>
        <v>0.85</v>
      </c>
      <c r="Q817" s="92" t="n">
        <f aca="false">WORKDAY(G817,-2)</f>
        <v>36829</v>
      </c>
      <c r="R817" s="7" t="n">
        <f aca="false">IF(F817="P",0,1)</f>
        <v>0</v>
      </c>
      <c r="S817" s="130" t="e">
        <f aca="false">xSPRDOPT($L817,$J817,$I817,$M817,$O817,$N817,$P817,$Q817-$C$3,$R817,0)</f>
        <v>#NAME?</v>
      </c>
      <c r="T817" s="250" t="e">
        <f aca="false">xSPRDOPT($L817,$J817,$I817,$M817,$O817,$N817,$P817,$Q817-$C$3,$R817,1)*H817</f>
        <v>#NAME?</v>
      </c>
      <c r="U817" s="43" t="e">
        <f aca="false">S817*H817</f>
        <v>#NAME?</v>
      </c>
      <c r="V817" s="250" t="e">
        <f aca="false">xSPRDOPT($L817,$J817,$I817,$M817,$O817,$N817,$P817,$Q817-$C$3,$R817,2)*H817</f>
        <v>#NAME?</v>
      </c>
      <c r="W817" s="250" t="e">
        <f aca="false">+V817+T817</f>
        <v>#NAME?</v>
      </c>
      <c r="X817" s="2" t="str">
        <f aca="false">CONCATENATE(G817,D817)</f>
        <v>36831NGI-SOCAL</v>
      </c>
      <c r="Y817" s="251" t="n">
        <f aca="false">H817/10000</f>
        <v>-15</v>
      </c>
      <c r="Z817" s="226" t="e">
        <f aca="false">T817/H817</f>
        <v>#NAME?</v>
      </c>
      <c r="AA817" s="226" t="e">
        <f aca="false">xSPRDOPT($L817,$J817,$I817,$M817,$O817,$N817,$P817,$Q817-$C$3,$R817,3)</f>
        <v>#NAME?</v>
      </c>
      <c r="AB817" s="226" t="e">
        <f aca="false">((xSPRDOPT($L817+AB$5,$J817,$I817,$M817,$O817,$N817,$P817,$Q817-$C$3,$R817,3)*$H817)/10000)/100</f>
        <v>#NAME?</v>
      </c>
      <c r="AC817" s="226" t="e">
        <f aca="false">((xSPRDOPT($L817+$AB$5,$J817,$I817,$M817,$O817,$N817,$P817,$Q817-$C$3,$R817,7)*$H817)/100)</f>
        <v>#NAME?</v>
      </c>
      <c r="AD817" s="226" t="e">
        <f aca="false">(xSPRDOPT($L817+$AB$5,$J817,$I817,$M817,$O817,$N817,$P817,$Q817-$C$3,$R817,9)/365)*$H817</f>
        <v>#NAME?</v>
      </c>
      <c r="AE817" s="0" t="e">
        <f aca="false">CD819</f>
        <v>#NAME?</v>
      </c>
      <c r="AF817" s="226" t="e">
        <f aca="false">((O817/N817)*AH817)+AG817</f>
        <v>#NAME?</v>
      </c>
      <c r="AG817" s="226" t="e">
        <f aca="false">((xSPRDOPT($L817,$J817,$I817,$M817,$O817,$N817,$P817,$Q817-$C$3,$R817,6)*$H817)/100)</f>
        <v>#NAME?</v>
      </c>
      <c r="AH817" s="226" t="e">
        <f aca="false">((xSPRDOPT($L817,$J817,$I817,$M817,$O817,$N817,$P817,$Q817-$C$3,$R817,5)*$H817)/100)</f>
        <v>#NAME?</v>
      </c>
      <c r="AI817" s="226" t="e">
        <f aca="false">(((xSPRDOPT($L817,$J817,$I817,$M817,$O817,$N817,$P817,$Q817-$C$3,$R817,4)*$H817)/10000)/100)-AB817</f>
        <v>#NAME?</v>
      </c>
      <c r="AJ817" s="226"/>
      <c r="CC817" s="182" t="n">
        <f aca="false">G815</f>
        <v>36831</v>
      </c>
      <c r="CD817" s="253" t="e">
        <f aca="false">xSPRDOPT((VLOOKUP(G815,NGPrices,2,FALSE())+HLOOKUP(D815,Prices,VLOOKUP(G815,move_down,2,FALSE()),FALSE())),VLOOKUP(G815,NGPrices,2,FALSE()),I815,VLOOKUP(G815,NGPREVPRICES,4,FALSE()),HLOOKUP(D815,PREVVOLS,VLOOKUP(G815,MOVE_DOWN2,2,FALSE()),FALSE()),VLOOKUP(G815,NGPREVPRICES,3,FALSE()),HLOOKUP(D815,Correllate,VLOOKUP(G815,CorMove,2,FALSE()),FALSE()),Q815-$CD$3,R815,$CD$5)*H815-CJ817</f>
        <v>#NAME?</v>
      </c>
      <c r="CE817" s="253" t="e">
        <f aca="false">xSPRDOPT((VLOOKUP(G815,NGPREVPRICES,2,FALSE())+HLOOKUP(D815,PREVCURVES,VLOOKUP(G815,MOVE_DOWN2,2,FALSE()),FALSE())),VLOOKUP(G815,NGPREVPRICES,2,FALSE()),CK817,VLOOKUP(G815,NGPrices,4,FALSE()),HLOOKUP(D815,PREVVOLS,VLOOKUP(G815,MOVE_DOWN2,2,FALSE()),FALSE()),VLOOKUP(G815,NGPREVPRICES,3,FALSE()),HLOOKUP(D815,Correllate,VLOOKUP(G815,CorMove,2,FALSE()),FALSE()),Q815-$CD$3,R815,$CJ$5)*H815-CJ817</f>
        <v>#NAME?</v>
      </c>
      <c r="CF817" s="132" t="e">
        <f aca="false">(CJ817/VLOOKUP(CC817,discount,3,FALSE()))-(CJ817/VLOOKUP(CC817,discount,2,FALSE()))</f>
        <v>#NAME?</v>
      </c>
      <c r="CG817" s="253" t="e">
        <f aca="false">xSPRDOPT((VLOOKUP(G815,NGPREVPRICES,2,FALSE())+HLOOKUP(D815,PREVCURVES,VLOOKUP(G815,MOVE_DOWN2,2,FALSE()),FALSE())),VLOOKUP(G815,NGPREVPRICES,2,FALSE()),CK817,VLOOKUP(G815,NGPREVPRICES,4,FALSE()),HLOOKUP(D815,VOLS,VLOOKUP(G815,move_down,2,FALSE()),FALSE()),VLOOKUP(G815,NGPrices,3,FALSE()),HLOOKUP(D815,Correllate,VLOOKUP(G815,CorMove,2,FALSE()),FALSE()),Q815-$CD$3,R815,$CJ$5)*H815-CJ817</f>
        <v>#NAME?</v>
      </c>
      <c r="CH817" s="253" t="e">
        <f aca="false">xSPRDOPT((VLOOKUP(G815,NGPREVPRICES,2,FALSE())+HLOOKUP(D815,PREVCURVES,VLOOKUP(G815,MOVE_DOWN2,2,FALSE()),FALSE())),VLOOKUP(G815,NGPREVPRICES,2,FALSE()),CK817,VLOOKUP(G815,NGPREVPRICES,4,FALSE()),HLOOKUP(D815,PREVVOLS,VLOOKUP(G815,MOVE_DOWN2,2,FALSE()),FALSE()),VLOOKUP(G815,NGPREVPRICES,3,FALSE()),HLOOKUP(D815,Correllate,VLOOKUP(G815,CorMove,2,FALSE()),FALSE()),Q815-$C$3,R815,$CJ$5)*H815-CJ817</f>
        <v>#NAME?</v>
      </c>
      <c r="CI817" s="253" t="e">
        <f aca="false">SUM(CD817:CH817)</f>
        <v>#NAME?</v>
      </c>
      <c r="CJ817" s="253" t="e">
        <f aca="false">xSPRDOPT((VLOOKUP(G815,NGPREVPRICES,2,FALSE())+HLOOKUP(D815,PREVCURVES,VLOOKUP(G815,MOVE_DOWN2,2,FALSE()),FALSE())),VLOOKUP(G815,NGPREVPRICES,2,FALSE()),CK817,VLOOKUP(G815,NGPREVPRICES,4,FALSE()),HLOOKUP(D815,PREVVOLS,VLOOKUP(G815,MOVE_DOWN2,2,FALSE()),FALSE()),VLOOKUP(G815,NGPREVPRICES,3,FALSE()),HLOOKUP(D815,Correllate,VLOOKUP(G815,CorMove,2,FALSE()),FALSE()),Q815-$CD$3,R815,$CJ$5)*H815</f>
        <v>#NAME?</v>
      </c>
      <c r="CK817" s="254" t="n">
        <f aca="false">I815</f>
        <v>0.5</v>
      </c>
      <c r="CM817" s="0" t="str">
        <f aca="false">CONCATENATE(CC817,$CD$6)</f>
        <v>36831Curve Shift/Gamma</v>
      </c>
      <c r="CN817" s="0" t="str">
        <f aca="false">CONCATENATE($CC817,$CE$6)</f>
        <v>36831Rho</v>
      </c>
      <c r="CO817" s="0" t="str">
        <f aca="false">CONCATENATE($CC817,$CF$6)</f>
        <v>36831Drift</v>
      </c>
      <c r="CP817" s="0" t="str">
        <f aca="false">CONCATENATE($CC817,$CG$6)</f>
        <v>36831Vega</v>
      </c>
      <c r="CQ817" s="0" t="str">
        <f aca="false">CONCATENATE($CC817,$CH$6)</f>
        <v>36831Theta</v>
      </c>
    </row>
    <row r="818" customFormat="false" ht="12.75" hidden="false" customHeight="false" outlineLevel="0" collapsed="false">
      <c r="A818" s="17" t="s">
        <v>196</v>
      </c>
      <c r="B818" s="0" t="s">
        <v>192</v>
      </c>
      <c r="C818" s="0" t="s">
        <v>463</v>
      </c>
      <c r="D818" s="7" t="s">
        <v>137</v>
      </c>
      <c r="E818" s="0" t="s">
        <v>131</v>
      </c>
      <c r="F818" s="0" t="s">
        <v>132</v>
      </c>
      <c r="G818" s="92" t="n">
        <v>36861</v>
      </c>
      <c r="H818" s="248" t="n">
        <v>-155000</v>
      </c>
      <c r="I818" s="254" t="n">
        <v>0.5</v>
      </c>
      <c r="J818" s="124" t="n">
        <f aca="false">VLOOKUP(G818,NGPrices,2,FALSE())</f>
        <v>4.8</v>
      </c>
      <c r="K818" s="125" t="n">
        <f aca="false">HLOOKUP(D818,Prices,VLOOKUP(G818,move_down,2,FALSE()),FALSE())+VLOOKUP(G818,CHANGE,HLOOKUP(D818,CHANGE,2,FALSE()),FALSE())</f>
        <v>1.005</v>
      </c>
      <c r="L818" s="124" t="n">
        <f aca="false">K818+J818</f>
        <v>5.805</v>
      </c>
      <c r="M818" s="126" t="n">
        <f aca="false">VLOOKUP(G818,NGPrices,4,FALSE())</f>
        <v>0.068314027999354</v>
      </c>
      <c r="N818" s="7" t="n">
        <f aca="false">VLOOKUP(G818,NGPrices,3,FALSE())</f>
        <v>0.6</v>
      </c>
      <c r="O818" s="7" t="n">
        <f aca="false">HLOOKUP(D818,VOLS,VLOOKUP(G818,move_down,2,FALSE()),FALSE())</f>
        <v>0.582</v>
      </c>
      <c r="P818" s="249" t="n">
        <f aca="false">HLOOKUP(D818,Correllate,VLOOKUP(G818,CorMove,2,FALSE()),FALSE())</f>
        <v>0.85</v>
      </c>
      <c r="Q818" s="92" t="n">
        <f aca="false">WORKDAY(G818,-2)</f>
        <v>36859</v>
      </c>
      <c r="R818" s="7" t="n">
        <f aca="false">IF(F818="P",0,1)</f>
        <v>0</v>
      </c>
      <c r="S818" s="130" t="e">
        <f aca="false">xSPRDOPT($L818,$J818,$I818,$M818,$O818,$N818,$P818,$Q818-$C$3,$R818,0)</f>
        <v>#NAME?</v>
      </c>
      <c r="T818" s="250" t="e">
        <f aca="false">xSPRDOPT($L818,$J818,$I818,$M818,$O818,$N818,$P818,$Q818-$C$3,$R818,1)*H818</f>
        <v>#NAME?</v>
      </c>
      <c r="U818" s="43" t="e">
        <f aca="false">S818*H818</f>
        <v>#NAME?</v>
      </c>
      <c r="V818" s="250" t="e">
        <f aca="false">xSPRDOPT($L818,$J818,$I818,$M818,$O818,$N818,$P818,$Q818-$C$3,$R818,2)*H818</f>
        <v>#NAME?</v>
      </c>
      <c r="W818" s="250" t="e">
        <f aca="false">+V818+T818</f>
        <v>#NAME?</v>
      </c>
      <c r="X818" s="2" t="str">
        <f aca="false">CONCATENATE(G818,D818)</f>
        <v>36861NGI-SOCAL</v>
      </c>
      <c r="Y818" s="251" t="n">
        <f aca="false">H818/10000</f>
        <v>-15.5</v>
      </c>
      <c r="Z818" s="226" t="e">
        <f aca="false">T818/H818</f>
        <v>#NAME?</v>
      </c>
      <c r="AA818" s="226" t="e">
        <f aca="false">xSPRDOPT($L818,$J818,$I818,$M818,$O818,$N818,$P818,$Q818-$C$3,$R818,3)</f>
        <v>#NAME?</v>
      </c>
      <c r="AB818" s="226" t="e">
        <f aca="false">((xSPRDOPT($L818+AB$5,$J818,$I818,$M818,$O818,$N818,$P818,$Q818-$C$3,$R818,3)*$H818)/10000)/100</f>
        <v>#NAME?</v>
      </c>
      <c r="AC818" s="226" t="e">
        <f aca="false">((xSPRDOPT($L818+$AB$5,$J818,$I818,$M818,$O818,$N818,$P818,$Q818-$C$3,$R818,7)*$H818)/100)</f>
        <v>#NAME?</v>
      </c>
      <c r="AD818" s="226" t="e">
        <f aca="false">(xSPRDOPT($L818+$AB$5,$J818,$I818,$M818,$O818,$N818,$P818,$Q818-$C$3,$R818,9)/365)*$H818</f>
        <v>#NAME?</v>
      </c>
      <c r="AE818" s="0" t="e">
        <f aca="false">CD820</f>
        <v>#NAME?</v>
      </c>
      <c r="AF818" s="226" t="e">
        <f aca="false">((O818/N818)*AH818)+AG818</f>
        <v>#NAME?</v>
      </c>
      <c r="AG818" s="226" t="e">
        <f aca="false">((xSPRDOPT($L818,$J818,$I818,$M818,$O818,$N818,$P818,$Q818-$C$3,$R818,6)*$H818)/100)</f>
        <v>#NAME?</v>
      </c>
      <c r="AH818" s="226" t="e">
        <f aca="false">((xSPRDOPT($L818,$J818,$I818,$M818,$O818,$N818,$P818,$Q818-$C$3,$R818,5)*$H818)/100)</f>
        <v>#NAME?</v>
      </c>
      <c r="AI818" s="226" t="e">
        <f aca="false">(((xSPRDOPT($L818,$J818,$I818,$M818,$O818,$N818,$P818,$Q818-$C$3,$R818,4)*$H818)/10000)/100)-AB818</f>
        <v>#NAME?</v>
      </c>
      <c r="AJ818" s="226"/>
      <c r="CC818" s="182" t="n">
        <f aca="false">G816</f>
        <v>36831</v>
      </c>
      <c r="CD818" s="253" t="e">
        <f aca="false">xSPRDOPT((VLOOKUP(G816,NGPrices,2,FALSE())+HLOOKUP(D816,Prices,VLOOKUP(G816,move_down,2,FALSE()),FALSE())),VLOOKUP(G816,NGPrices,2,FALSE()),I816,VLOOKUP(G816,NGPREVPRICES,4,FALSE()),HLOOKUP(D816,PREVVOLS,VLOOKUP(G816,MOVE_DOWN2,2,FALSE()),FALSE()),VLOOKUP(G816,NGPREVPRICES,3,FALSE()),HLOOKUP(D816,Correllate,VLOOKUP(G816,CorMove,2,FALSE()),FALSE()),Q816-$CD$3,R816,$CD$5)*H816-CJ818</f>
        <v>#NAME?</v>
      </c>
      <c r="CE818" s="253" t="e">
        <f aca="false">xSPRDOPT((VLOOKUP(G816,NGPREVPRICES,2,FALSE())+HLOOKUP(D816,PREVCURVES,VLOOKUP(G816,MOVE_DOWN2,2,FALSE()),FALSE())),VLOOKUP(G816,NGPREVPRICES,2,FALSE()),CK818,VLOOKUP(G816,NGPrices,4,FALSE()),HLOOKUP(D816,PREVVOLS,VLOOKUP(G816,MOVE_DOWN2,2,FALSE()),FALSE()),VLOOKUP(G816,NGPREVPRICES,3,FALSE()),HLOOKUP(D816,Correllate,VLOOKUP(G816,CorMove,2,FALSE()),FALSE()),Q816-$CD$3,R816,$CJ$5)*H816-CJ818</f>
        <v>#NAME?</v>
      </c>
      <c r="CF818" s="132" t="e">
        <f aca="false">(CJ818/VLOOKUP(CC818,discount,3,FALSE()))-(CJ818/VLOOKUP(CC818,discount,2,FALSE()))</f>
        <v>#NAME?</v>
      </c>
      <c r="CG818" s="253" t="e">
        <f aca="false">xSPRDOPT((VLOOKUP(G816,NGPREVPRICES,2,FALSE())+HLOOKUP(D816,PREVCURVES,VLOOKUP(G816,MOVE_DOWN2,2,FALSE()),FALSE())),VLOOKUP(G816,NGPREVPRICES,2,FALSE()),CK818,VLOOKUP(G816,NGPREVPRICES,4,FALSE()),HLOOKUP(D816,VOLS,VLOOKUP(G816,move_down,2,FALSE()),FALSE()),VLOOKUP(G816,NGPrices,3,FALSE()),HLOOKUP(D816,Correllate,VLOOKUP(G816,CorMove,2,FALSE()),FALSE()),Q816-$CD$3,R816,$CJ$5)*H816-CJ818</f>
        <v>#NAME?</v>
      </c>
      <c r="CH818" s="253" t="e">
        <f aca="false">xSPRDOPT((VLOOKUP(G816,NGPREVPRICES,2,FALSE())+HLOOKUP(D816,PREVCURVES,VLOOKUP(G816,MOVE_DOWN2,2,FALSE()),FALSE())),VLOOKUP(G816,NGPREVPRICES,2,FALSE()),CK818,VLOOKUP(G816,NGPREVPRICES,4,FALSE()),HLOOKUP(D816,PREVVOLS,VLOOKUP(G816,MOVE_DOWN2,2,FALSE()),FALSE()),VLOOKUP(G816,NGPREVPRICES,3,FALSE()),HLOOKUP(D816,Correllate,VLOOKUP(G816,CorMove,2,FALSE()),FALSE()),Q816-$C$3,R816,$CJ$5)*H816-CJ818</f>
        <v>#NAME?</v>
      </c>
      <c r="CI818" s="253" t="e">
        <f aca="false">SUM(CD818:CH818)</f>
        <v>#NAME?</v>
      </c>
      <c r="CJ818" s="253" t="e">
        <f aca="false">xSPRDOPT((VLOOKUP(G816,NGPREVPRICES,2,FALSE())+HLOOKUP(D816,PREVCURVES,VLOOKUP(G816,MOVE_DOWN2,2,FALSE()),FALSE())),VLOOKUP(G816,NGPREVPRICES,2,FALSE()),CK818,VLOOKUP(G816,NGPREVPRICES,4,FALSE()),HLOOKUP(D816,PREVVOLS,VLOOKUP(G816,MOVE_DOWN2,2,FALSE()),FALSE()),VLOOKUP(G816,NGPREVPRICES,3,FALSE()),HLOOKUP(D816,Correllate,VLOOKUP(G816,CorMove,2,FALSE()),FALSE()),Q816-$CD$3,R816,$CJ$5)*H816</f>
        <v>#NAME?</v>
      </c>
      <c r="CK818" s="254" t="n">
        <f aca="false">I816</f>
        <v>1</v>
      </c>
      <c r="CM818" s="0" t="str">
        <f aca="false">CONCATENATE(CC818,$CD$6)</f>
        <v>36831Curve Shift/Gamma</v>
      </c>
      <c r="CN818" s="0" t="str">
        <f aca="false">CONCATENATE($CC818,$CE$6)</f>
        <v>36831Rho</v>
      </c>
      <c r="CO818" s="0" t="str">
        <f aca="false">CONCATENATE($CC818,$CF$6)</f>
        <v>36831Drift</v>
      </c>
      <c r="CP818" s="0" t="str">
        <f aca="false">CONCATENATE($CC818,$CG$6)</f>
        <v>36831Vega</v>
      </c>
      <c r="CQ818" s="0" t="str">
        <f aca="false">CONCATENATE($CC818,$CH$6)</f>
        <v>36831Theta</v>
      </c>
    </row>
    <row r="819" customFormat="false" ht="12.75" hidden="false" customHeight="false" outlineLevel="0" collapsed="false">
      <c r="A819" s="17" t="s">
        <v>196</v>
      </c>
      <c r="B819" s="0" t="s">
        <v>192</v>
      </c>
      <c r="C819" s="0" t="s">
        <v>463</v>
      </c>
      <c r="D819" s="7" t="s">
        <v>137</v>
      </c>
      <c r="E819" s="0" t="s">
        <v>131</v>
      </c>
      <c r="F819" s="0" t="s">
        <v>132</v>
      </c>
      <c r="G819" s="92" t="n">
        <v>36892</v>
      </c>
      <c r="H819" s="248" t="n">
        <v>-155000</v>
      </c>
      <c r="I819" s="254" t="n">
        <v>0.5</v>
      </c>
      <c r="J819" s="124" t="n">
        <f aca="false">VLOOKUP(G819,NGPrices,2,FALSE())</f>
        <v>4.744</v>
      </c>
      <c r="K819" s="125" t="n">
        <f aca="false">HLOOKUP(D819,Prices,VLOOKUP(G819,move_down,2,FALSE()),FALSE())+VLOOKUP(G819,CHANGE,HLOOKUP(D819,CHANGE,2,FALSE()),FALSE())</f>
        <v>0.7675</v>
      </c>
      <c r="L819" s="124" t="n">
        <f aca="false">K819+J819</f>
        <v>5.5115</v>
      </c>
      <c r="M819" s="126" t="n">
        <f aca="false">VLOOKUP(G819,NGPrices,4,FALSE())</f>
        <v>0.068374831148491</v>
      </c>
      <c r="N819" s="7" t="n">
        <f aca="false">VLOOKUP(G819,NGPrices,3,FALSE())</f>
        <v>0.605</v>
      </c>
      <c r="O819" s="7" t="n">
        <f aca="false">HLOOKUP(D819,VOLS,VLOOKUP(G819,move_down,2,FALSE()),FALSE())</f>
        <v>0.587</v>
      </c>
      <c r="P819" s="249" t="n">
        <f aca="false">HLOOKUP(D819,Correllate,VLOOKUP(G819,CorMove,2,FALSE()),FALSE())</f>
        <v>0.85</v>
      </c>
      <c r="Q819" s="92" t="n">
        <f aca="false">WORKDAY(G819,-2)</f>
        <v>36888</v>
      </c>
      <c r="R819" s="7" t="n">
        <f aca="false">IF(F819="P",0,1)</f>
        <v>0</v>
      </c>
      <c r="S819" s="130" t="e">
        <f aca="false">xSPRDOPT($L819,$J819,$I819,$M819,$O819,$N819,$P819,$Q819-$C$3,$R819,0)</f>
        <v>#NAME?</v>
      </c>
      <c r="T819" s="250" t="e">
        <f aca="false">xSPRDOPT($L819,$J819,$I819,$M819,$O819,$N819,$P819,$Q819-$C$3,$R819,1)*H819</f>
        <v>#NAME?</v>
      </c>
      <c r="U819" s="43" t="e">
        <f aca="false">S819*H819</f>
        <v>#NAME?</v>
      </c>
      <c r="V819" s="250" t="e">
        <f aca="false">xSPRDOPT($L819,$J819,$I819,$M819,$O819,$N819,$P819,$Q819-$C$3,$R819,2)*H819</f>
        <v>#NAME?</v>
      </c>
      <c r="W819" s="250" t="e">
        <f aca="false">+V819+T819</f>
        <v>#NAME?</v>
      </c>
      <c r="X819" s="2" t="str">
        <f aca="false">CONCATENATE(G819,D819)</f>
        <v>36892NGI-SOCAL</v>
      </c>
      <c r="Y819" s="251" t="n">
        <f aca="false">H819/10000</f>
        <v>-15.5</v>
      </c>
      <c r="Z819" s="226" t="e">
        <f aca="false">T819/H819</f>
        <v>#NAME?</v>
      </c>
      <c r="AA819" s="226" t="e">
        <f aca="false">xSPRDOPT($L819,$J819,$I819,$M819,$O819,$N819,$P819,$Q819-$C$3,$R819,3)</f>
        <v>#NAME?</v>
      </c>
      <c r="AB819" s="226" t="e">
        <f aca="false">((xSPRDOPT($L819+AB$5,$J819,$I819,$M819,$O819,$N819,$P819,$Q819-$C$3,$R819,3)*$H819)/10000)/100</f>
        <v>#NAME?</v>
      </c>
      <c r="AC819" s="226" t="e">
        <f aca="false">((xSPRDOPT($L819+$AB$5,$J819,$I819,$M819,$O819,$N819,$P819,$Q819-$C$3,$R819,7)*$H819)/100)</f>
        <v>#NAME?</v>
      </c>
      <c r="AD819" s="226" t="e">
        <f aca="false">(xSPRDOPT($L819+$AB$5,$J819,$I819,$M819,$O819,$N819,$P819,$Q819-$C$3,$R819,9)/365)*$H819</f>
        <v>#NAME?</v>
      </c>
      <c r="AE819" s="0" t="e">
        <f aca="false">CD821</f>
        <v>#NAME?</v>
      </c>
      <c r="AF819" s="226" t="e">
        <f aca="false">((O819/N819)*AH819)+AG819</f>
        <v>#NAME?</v>
      </c>
      <c r="AG819" s="226" t="e">
        <f aca="false">((xSPRDOPT($L819,$J819,$I819,$M819,$O819,$N819,$P819,$Q819-$C$3,$R819,6)*$H819)/100)</f>
        <v>#NAME?</v>
      </c>
      <c r="AH819" s="226" t="e">
        <f aca="false">((xSPRDOPT($L819,$J819,$I819,$M819,$O819,$N819,$P819,$Q819-$C$3,$R819,5)*$H819)/100)</f>
        <v>#NAME?</v>
      </c>
      <c r="AI819" s="226" t="e">
        <f aca="false">(((xSPRDOPT($L819,$J819,$I819,$M819,$O819,$N819,$P819,$Q819-$C$3,$R819,4)*$H819)/10000)/100)-AB819</f>
        <v>#NAME?</v>
      </c>
      <c r="AJ819" s="226"/>
      <c r="CC819" s="182" t="n">
        <f aca="false">G817</f>
        <v>36831</v>
      </c>
      <c r="CD819" s="253" t="e">
        <f aca="false">xSPRDOPT((VLOOKUP(G817,NGPrices,2,FALSE())+HLOOKUP(D817,Prices,VLOOKUP(G817,move_down,2,FALSE()),FALSE())),VLOOKUP(G817,NGPrices,2,FALSE()),I817,VLOOKUP(G817,NGPREVPRICES,4,FALSE()),HLOOKUP(D817,PREVVOLS,VLOOKUP(G817,MOVE_DOWN2,2,FALSE()),FALSE()),VLOOKUP(G817,NGPREVPRICES,3,FALSE()),HLOOKUP(D817,Correllate,VLOOKUP(G817,CorMove,2,FALSE()),FALSE()),Q817-$CD$3,R817,$CD$5)*H817-CJ819</f>
        <v>#NAME?</v>
      </c>
      <c r="CE819" s="253" t="e">
        <f aca="false">xSPRDOPT((VLOOKUP(G817,NGPREVPRICES,2,FALSE())+HLOOKUP(D817,PREVCURVES,VLOOKUP(G817,MOVE_DOWN2,2,FALSE()),FALSE())),VLOOKUP(G817,NGPREVPRICES,2,FALSE()),CK819,VLOOKUP(G817,NGPrices,4,FALSE()),HLOOKUP(D817,PREVVOLS,VLOOKUP(G817,MOVE_DOWN2,2,FALSE()),FALSE()),VLOOKUP(G817,NGPREVPRICES,3,FALSE()),HLOOKUP(D817,Correllate,VLOOKUP(G817,CorMove,2,FALSE()),FALSE()),Q817-$CD$3,R817,$CJ$5)*H817-CJ819</f>
        <v>#NAME?</v>
      </c>
      <c r="CF819" s="132" t="e">
        <f aca="false">(CJ819/VLOOKUP(CC819,discount,3,FALSE()))-(CJ819/VLOOKUP(CC819,discount,2,FALSE()))</f>
        <v>#NAME?</v>
      </c>
      <c r="CG819" s="253" t="e">
        <f aca="false">xSPRDOPT((VLOOKUP(G817,NGPREVPRICES,2,FALSE())+HLOOKUP(D817,PREVCURVES,VLOOKUP(G817,MOVE_DOWN2,2,FALSE()),FALSE())),VLOOKUP(G817,NGPREVPRICES,2,FALSE()),CK819,VLOOKUP(G817,NGPREVPRICES,4,FALSE()),HLOOKUP(D817,VOLS,VLOOKUP(G817,move_down,2,FALSE()),FALSE()),VLOOKUP(G817,NGPrices,3,FALSE()),HLOOKUP(D817,Correllate,VLOOKUP(G817,CorMove,2,FALSE()),FALSE()),Q817-$CD$3,R817,$CJ$5)*H817-CJ819</f>
        <v>#NAME?</v>
      </c>
      <c r="CH819" s="253" t="e">
        <f aca="false">xSPRDOPT((VLOOKUP(G817,NGPREVPRICES,2,FALSE())+HLOOKUP(D817,PREVCURVES,VLOOKUP(G817,MOVE_DOWN2,2,FALSE()),FALSE())),VLOOKUP(G817,NGPREVPRICES,2,FALSE()),CK819,VLOOKUP(G817,NGPREVPRICES,4,FALSE()),HLOOKUP(D817,PREVVOLS,VLOOKUP(G817,MOVE_DOWN2,2,FALSE()),FALSE()),VLOOKUP(G817,NGPREVPRICES,3,FALSE()),HLOOKUP(D817,Correllate,VLOOKUP(G817,CorMove,2,FALSE()),FALSE()),Q817-$C$3,R817,$CJ$5)*H817-CJ819</f>
        <v>#NAME?</v>
      </c>
      <c r="CI819" s="253" t="e">
        <f aca="false">SUM(CD819:CH819)</f>
        <v>#NAME?</v>
      </c>
      <c r="CJ819" s="253" t="e">
        <f aca="false">xSPRDOPT((VLOOKUP(G817,NGPREVPRICES,2,FALSE())+HLOOKUP(D817,PREVCURVES,VLOOKUP(G817,MOVE_DOWN2,2,FALSE()),FALSE())),VLOOKUP(G817,NGPREVPRICES,2,FALSE()),CK819,VLOOKUP(G817,NGPREVPRICES,4,FALSE()),HLOOKUP(D817,PREVVOLS,VLOOKUP(G817,MOVE_DOWN2,2,FALSE()),FALSE()),VLOOKUP(G817,NGPREVPRICES,3,FALSE()),HLOOKUP(D817,Correllate,VLOOKUP(G817,CorMove,2,FALSE()),FALSE()),Q817-$CD$3,R817,$CJ$5)*H817</f>
        <v>#NAME?</v>
      </c>
      <c r="CK819" s="254" t="n">
        <f aca="false">I817</f>
        <v>0.5</v>
      </c>
      <c r="CM819" s="0" t="str">
        <f aca="false">CONCATENATE(CC819,$CD$6)</f>
        <v>36831Curve Shift/Gamma</v>
      </c>
      <c r="CN819" s="0" t="str">
        <f aca="false">CONCATENATE($CC819,$CE$6)</f>
        <v>36831Rho</v>
      </c>
      <c r="CO819" s="0" t="str">
        <f aca="false">CONCATENATE($CC819,$CF$6)</f>
        <v>36831Drift</v>
      </c>
      <c r="CP819" s="0" t="str">
        <f aca="false">CONCATENATE($CC819,$CG$6)</f>
        <v>36831Vega</v>
      </c>
      <c r="CQ819" s="0" t="str">
        <f aca="false">CONCATENATE($CC819,$CH$6)</f>
        <v>36831Theta</v>
      </c>
    </row>
    <row r="820" customFormat="false" ht="12.75" hidden="false" customHeight="false" outlineLevel="0" collapsed="false">
      <c r="A820" s="17" t="s">
        <v>196</v>
      </c>
      <c r="B820" s="0" t="s">
        <v>192</v>
      </c>
      <c r="C820" s="0" t="s">
        <v>463</v>
      </c>
      <c r="D820" s="7" t="s">
        <v>137</v>
      </c>
      <c r="E820" s="0" t="s">
        <v>131</v>
      </c>
      <c r="F820" s="0" t="s">
        <v>132</v>
      </c>
      <c r="G820" s="92" t="n">
        <v>36923</v>
      </c>
      <c r="H820" s="248" t="n">
        <v>-140000</v>
      </c>
      <c r="I820" s="254" t="n">
        <v>0.5</v>
      </c>
      <c r="J820" s="124" t="n">
        <f aca="false">VLOOKUP(G820,NGPrices,2,FALSE())</f>
        <v>4.48</v>
      </c>
      <c r="K820" s="125" t="n">
        <f aca="false">HLOOKUP(D820,Prices,VLOOKUP(G820,move_down,2,FALSE()),FALSE())+VLOOKUP(G820,CHANGE,HLOOKUP(D820,CHANGE,2,FALSE()),FALSE())</f>
        <v>0.6175</v>
      </c>
      <c r="L820" s="124" t="n">
        <f aca="false">K820+J820</f>
        <v>5.0975</v>
      </c>
      <c r="M820" s="126" t="n">
        <f aca="false">VLOOKUP(G820,NGPrices,4,FALSE())</f>
        <v>0.068640161611372</v>
      </c>
      <c r="N820" s="7" t="n">
        <f aca="false">VLOOKUP(G820,NGPrices,3,FALSE())</f>
        <v>0.5925</v>
      </c>
      <c r="O820" s="7" t="n">
        <f aca="false">HLOOKUP(D820,VOLS,VLOOKUP(G820,move_down,2,FALSE()),FALSE())</f>
        <v>0.575</v>
      </c>
      <c r="P820" s="249" t="n">
        <f aca="false">HLOOKUP(D820,Correllate,VLOOKUP(G820,CorMove,2,FALSE()),FALSE())</f>
        <v>0.85</v>
      </c>
      <c r="Q820" s="92" t="n">
        <f aca="false">WORKDAY(G820,-2)</f>
        <v>36921</v>
      </c>
      <c r="R820" s="7" t="n">
        <f aca="false">IF(F820="P",0,1)</f>
        <v>0</v>
      </c>
      <c r="S820" s="130" t="e">
        <f aca="false">xSPRDOPT($L820,$J820,$I820,$M820,$O820,$N820,$P820,$Q820-$C$3,$R820,0)</f>
        <v>#NAME?</v>
      </c>
      <c r="T820" s="250" t="e">
        <f aca="false">xSPRDOPT($L820,$J820,$I820,$M820,$O820,$N820,$P820,$Q820-$C$3,$R820,1)*H820</f>
        <v>#NAME?</v>
      </c>
      <c r="U820" s="43" t="e">
        <f aca="false">S820*H820</f>
        <v>#NAME?</v>
      </c>
      <c r="V820" s="250" t="e">
        <f aca="false">xSPRDOPT($L820,$J820,$I820,$M820,$O820,$N820,$P820,$Q820-$C$3,$R820,2)*H820</f>
        <v>#NAME?</v>
      </c>
      <c r="W820" s="250" t="e">
        <f aca="false">+V820+T820</f>
        <v>#NAME?</v>
      </c>
      <c r="X820" s="2" t="str">
        <f aca="false">CONCATENATE(G820,D820)</f>
        <v>36923NGI-SOCAL</v>
      </c>
      <c r="Y820" s="251" t="n">
        <f aca="false">H820/10000</f>
        <v>-14</v>
      </c>
      <c r="Z820" s="226" t="e">
        <f aca="false">T820/H820</f>
        <v>#NAME?</v>
      </c>
      <c r="AA820" s="226" t="e">
        <f aca="false">xSPRDOPT($L820,$J820,$I820,$M820,$O820,$N820,$P820,$Q820-$C$3,$R820,3)</f>
        <v>#NAME?</v>
      </c>
      <c r="AB820" s="226" t="e">
        <f aca="false">((xSPRDOPT($L820+AB$5,$J820,$I820,$M820,$O820,$N820,$P820,$Q820-$C$3,$R820,3)*$H820)/10000)/100</f>
        <v>#NAME?</v>
      </c>
      <c r="AC820" s="226" t="e">
        <f aca="false">((xSPRDOPT($L820+$AB$5,$J820,$I820,$M820,$O820,$N820,$P820,$Q820-$C$3,$R820,7)*$H820)/100)</f>
        <v>#NAME?</v>
      </c>
      <c r="AD820" s="226" t="e">
        <f aca="false">(xSPRDOPT($L820+$AB$5,$J820,$I820,$M820,$O820,$N820,$P820,$Q820-$C$3,$R820,9)/365)*$H820</f>
        <v>#NAME?</v>
      </c>
      <c r="AE820" s="0" t="e">
        <f aca="false">CD822</f>
        <v>#NAME?</v>
      </c>
      <c r="AF820" s="226" t="e">
        <f aca="false">((O820/N820)*AH820)+AG820</f>
        <v>#NAME?</v>
      </c>
      <c r="AG820" s="226" t="e">
        <f aca="false">((xSPRDOPT($L820,$J820,$I820,$M820,$O820,$N820,$P820,$Q820-$C$3,$R820,6)*$H820)/100)</f>
        <v>#NAME?</v>
      </c>
      <c r="AH820" s="226" t="e">
        <f aca="false">((xSPRDOPT($L820,$J820,$I820,$M820,$O820,$N820,$P820,$Q820-$C$3,$R820,5)*$H820)/100)</f>
        <v>#NAME?</v>
      </c>
      <c r="AI820" s="226" t="e">
        <f aca="false">(((xSPRDOPT($L820,$J820,$I820,$M820,$O820,$N820,$P820,$Q820-$C$3,$R820,4)*$H820)/10000)/100)-AB820</f>
        <v>#NAME?</v>
      </c>
      <c r="AJ820" s="226"/>
      <c r="CC820" s="182" t="n">
        <f aca="false">G818</f>
        <v>36861</v>
      </c>
      <c r="CD820" s="253" t="e">
        <f aca="false">xSPRDOPT((VLOOKUP(G818,NGPrices,2,FALSE())+HLOOKUP(D818,Prices,VLOOKUP(G818,move_down,2,FALSE()),FALSE())),VLOOKUP(G818,NGPrices,2,FALSE()),I818,VLOOKUP(G818,NGPREVPRICES,4,FALSE()),HLOOKUP(D818,PREVVOLS,VLOOKUP(G818,MOVE_DOWN2,2,FALSE()),FALSE()),VLOOKUP(G818,NGPREVPRICES,3,FALSE()),HLOOKUP(D818,Correllate,VLOOKUP(G818,CorMove,2,FALSE()),FALSE()),Q818-$CD$3,R818,$CD$5)*H818-CJ820</f>
        <v>#NAME?</v>
      </c>
      <c r="CE820" s="253" t="e">
        <f aca="false">xSPRDOPT((VLOOKUP(G818,NGPREVPRICES,2,FALSE())+HLOOKUP(D818,PREVCURVES,VLOOKUP(G818,MOVE_DOWN2,2,FALSE()),FALSE())),VLOOKUP(G818,NGPREVPRICES,2,FALSE()),CK820,VLOOKUP(G818,NGPrices,4,FALSE()),HLOOKUP(D818,PREVVOLS,VLOOKUP(G818,MOVE_DOWN2,2,FALSE()),FALSE()),VLOOKUP(G818,NGPREVPRICES,3,FALSE()),HLOOKUP(D818,Correllate,VLOOKUP(G818,CorMove,2,FALSE()),FALSE()),Q818-$CD$3,R818,$CJ$5)*H818-CJ820</f>
        <v>#NAME?</v>
      </c>
      <c r="CF820" s="132" t="e">
        <f aca="false">(CJ820/VLOOKUP(CC820,discount,3,FALSE()))-(CJ820/VLOOKUP(CC820,discount,2,FALSE()))</f>
        <v>#NAME?</v>
      </c>
      <c r="CG820" s="253" t="e">
        <f aca="false">xSPRDOPT((VLOOKUP(G818,NGPREVPRICES,2,FALSE())+HLOOKUP(D818,PREVCURVES,VLOOKUP(G818,MOVE_DOWN2,2,FALSE()),FALSE())),VLOOKUP(G818,NGPREVPRICES,2,FALSE()),CK820,VLOOKUP(G818,NGPREVPRICES,4,FALSE()),HLOOKUP(D818,VOLS,VLOOKUP(G818,move_down,2,FALSE()),FALSE()),VLOOKUP(G818,NGPrices,3,FALSE()),HLOOKUP(D818,Correllate,VLOOKUP(G818,CorMove,2,FALSE()),FALSE()),Q818-$CD$3,R818,$CJ$5)*H818-CJ820</f>
        <v>#NAME?</v>
      </c>
      <c r="CH820" s="253" t="e">
        <f aca="false">xSPRDOPT((VLOOKUP(G818,NGPREVPRICES,2,FALSE())+HLOOKUP(D818,PREVCURVES,VLOOKUP(G818,MOVE_DOWN2,2,FALSE()),FALSE())),VLOOKUP(G818,NGPREVPRICES,2,FALSE()),CK820,VLOOKUP(G818,NGPREVPRICES,4,FALSE()),HLOOKUP(D818,PREVVOLS,VLOOKUP(G818,MOVE_DOWN2,2,FALSE()),FALSE()),VLOOKUP(G818,NGPREVPRICES,3,FALSE()),HLOOKUP(D818,Correllate,VLOOKUP(G818,CorMove,2,FALSE()),FALSE()),Q818-$C$3,R818,$CJ$5)*H818-CJ820</f>
        <v>#NAME?</v>
      </c>
      <c r="CI820" s="253" t="e">
        <f aca="false">SUM(CD820:CH820)</f>
        <v>#NAME?</v>
      </c>
      <c r="CJ820" s="253" t="e">
        <f aca="false">xSPRDOPT((VLOOKUP(G818,NGPREVPRICES,2,FALSE())+HLOOKUP(D818,PREVCURVES,VLOOKUP(G818,MOVE_DOWN2,2,FALSE()),FALSE())),VLOOKUP(G818,NGPREVPRICES,2,FALSE()),CK820,VLOOKUP(G818,NGPREVPRICES,4,FALSE()),HLOOKUP(D818,PREVVOLS,VLOOKUP(G818,MOVE_DOWN2,2,FALSE()),FALSE()),VLOOKUP(G818,NGPREVPRICES,3,FALSE()),HLOOKUP(D818,Correllate,VLOOKUP(G818,CorMove,2,FALSE()),FALSE()),Q818-$CD$3,R818,$CJ$5)*H818</f>
        <v>#NAME?</v>
      </c>
      <c r="CK820" s="254" t="n">
        <f aca="false">I818</f>
        <v>0.5</v>
      </c>
      <c r="CM820" s="0" t="str">
        <f aca="false">CONCATENATE(CC820,$CD$6)</f>
        <v>36861Curve Shift/Gamma</v>
      </c>
      <c r="CN820" s="0" t="str">
        <f aca="false">CONCATENATE($CC820,$CE$6)</f>
        <v>36861Rho</v>
      </c>
      <c r="CO820" s="0" t="str">
        <f aca="false">CONCATENATE($CC820,$CF$6)</f>
        <v>36861Drift</v>
      </c>
      <c r="CP820" s="0" t="str">
        <f aca="false">CONCATENATE($CC820,$CG$6)</f>
        <v>36861Vega</v>
      </c>
      <c r="CQ820" s="0" t="str">
        <f aca="false">CONCATENATE($CC820,$CH$6)</f>
        <v>36861Theta</v>
      </c>
    </row>
    <row r="821" customFormat="false" ht="12.75" hidden="false" customHeight="false" outlineLevel="0" collapsed="false">
      <c r="A821" s="17" t="s">
        <v>196</v>
      </c>
      <c r="B821" s="0" t="s">
        <v>192</v>
      </c>
      <c r="C821" s="0" t="s">
        <v>463</v>
      </c>
      <c r="D821" s="7" t="s">
        <v>137</v>
      </c>
      <c r="E821" s="0" t="s">
        <v>131</v>
      </c>
      <c r="F821" s="0" t="s">
        <v>132</v>
      </c>
      <c r="G821" s="92" t="n">
        <v>36951</v>
      </c>
      <c r="H821" s="248" t="n">
        <v>-155000</v>
      </c>
      <c r="I821" s="254" t="n">
        <v>0.5</v>
      </c>
      <c r="J821" s="124" t="n">
        <f aca="false">VLOOKUP(G821,NGPrices,2,FALSE())</f>
        <v>4.213</v>
      </c>
      <c r="K821" s="125" t="n">
        <f aca="false">HLOOKUP(D821,Prices,VLOOKUP(G821,move_down,2,FALSE()),FALSE())+VLOOKUP(G821,CHANGE,HLOOKUP(D821,CHANGE,2,FALSE()),FALSE())</f>
        <v>0.5975</v>
      </c>
      <c r="L821" s="124" t="n">
        <f aca="false">K821+J821</f>
        <v>4.8105</v>
      </c>
      <c r="M821" s="126" t="n">
        <f aca="false">VLOOKUP(G821,NGPrices,4,FALSE())</f>
        <v>0.068879814952707</v>
      </c>
      <c r="N821" s="7" t="n">
        <f aca="false">VLOOKUP(G821,NGPrices,3,FALSE())</f>
        <v>0.5325</v>
      </c>
      <c r="O821" s="7" t="n">
        <f aca="false">HLOOKUP(D821,VOLS,VLOOKUP(G821,move_down,2,FALSE()),FALSE())</f>
        <v>0.517</v>
      </c>
      <c r="P821" s="249" t="n">
        <f aca="false">HLOOKUP(D821,Correllate,VLOOKUP(G821,CorMove,2,FALSE()),FALSE())</f>
        <v>0.85</v>
      </c>
      <c r="Q821" s="92" t="n">
        <f aca="false">WORKDAY(G821,-2)</f>
        <v>36949</v>
      </c>
      <c r="R821" s="7" t="n">
        <f aca="false">IF(F821="P",0,1)</f>
        <v>0</v>
      </c>
      <c r="S821" s="130" t="e">
        <f aca="false">xSPRDOPT($L821,$J821,$I821,$M821,$O821,$N821,$P821,$Q821-$C$3,$R821,0)</f>
        <v>#NAME?</v>
      </c>
      <c r="T821" s="250" t="e">
        <f aca="false">xSPRDOPT($L821,$J821,$I821,$M821,$O821,$N821,$P821,$Q821-$C$3,$R821,1)*H821</f>
        <v>#NAME?</v>
      </c>
      <c r="U821" s="43" t="e">
        <f aca="false">S821*H821</f>
        <v>#NAME?</v>
      </c>
      <c r="V821" s="250" t="e">
        <f aca="false">xSPRDOPT($L821,$J821,$I821,$M821,$O821,$N821,$P821,$Q821-$C$3,$R821,2)*H821</f>
        <v>#NAME?</v>
      </c>
      <c r="W821" s="250" t="e">
        <f aca="false">+V821+T821</f>
        <v>#NAME?</v>
      </c>
      <c r="X821" s="2" t="str">
        <f aca="false">CONCATENATE(G821,D821)</f>
        <v>36951NGI-SOCAL</v>
      </c>
      <c r="Y821" s="251" t="n">
        <f aca="false">H821/10000</f>
        <v>-15.5</v>
      </c>
      <c r="Z821" s="226" t="e">
        <f aca="false">T821/H821</f>
        <v>#NAME?</v>
      </c>
      <c r="AA821" s="226" t="e">
        <f aca="false">xSPRDOPT($L821,$J821,$I821,$M821,$O821,$N821,$P821,$Q821-$C$3,$R821,3)</f>
        <v>#NAME?</v>
      </c>
      <c r="AB821" s="226" t="e">
        <f aca="false">((xSPRDOPT($L821+AB$5,$J821,$I821,$M821,$O821,$N821,$P821,$Q821-$C$3,$R821,3)*$H821)/10000)/100</f>
        <v>#NAME?</v>
      </c>
      <c r="AC821" s="226" t="e">
        <f aca="false">((xSPRDOPT($L821+$AB$5,$J821,$I821,$M821,$O821,$N821,$P821,$Q821-$C$3,$R821,7)*$H821)/100)</f>
        <v>#NAME?</v>
      </c>
      <c r="AD821" s="226" t="e">
        <f aca="false">(xSPRDOPT($L821+$AB$5,$J821,$I821,$M821,$O821,$N821,$P821,$Q821-$C$3,$R821,9)/365)*$H821</f>
        <v>#NAME?</v>
      </c>
      <c r="AE821" s="0" t="e">
        <f aca="false">CD823</f>
        <v>#NAME?</v>
      </c>
      <c r="AF821" s="226" t="e">
        <f aca="false">((O821/N821)*AH821)+AG821</f>
        <v>#NAME?</v>
      </c>
      <c r="AG821" s="226" t="e">
        <f aca="false">((xSPRDOPT($L821,$J821,$I821,$M821,$O821,$N821,$P821,$Q821-$C$3,$R821,6)*$H821)/100)</f>
        <v>#NAME?</v>
      </c>
      <c r="AH821" s="226" t="e">
        <f aca="false">((xSPRDOPT($L821,$J821,$I821,$M821,$O821,$N821,$P821,$Q821-$C$3,$R821,5)*$H821)/100)</f>
        <v>#NAME?</v>
      </c>
      <c r="AI821" s="226" t="e">
        <f aca="false">(((xSPRDOPT($L821,$J821,$I821,$M821,$O821,$N821,$P821,$Q821-$C$3,$R821,4)*$H821)/10000)/100)-AB821</f>
        <v>#NAME?</v>
      </c>
      <c r="AJ821" s="226"/>
      <c r="CC821" s="182" t="n">
        <f aca="false">G819</f>
        <v>36892</v>
      </c>
      <c r="CD821" s="253" t="e">
        <f aca="false">xSPRDOPT((VLOOKUP(G819,NGPrices,2,FALSE())+HLOOKUP(D819,Prices,VLOOKUP(G819,move_down,2,FALSE()),FALSE())),VLOOKUP(G819,NGPrices,2,FALSE()),I819,VLOOKUP(G819,NGPREVPRICES,4,FALSE()),HLOOKUP(D819,PREVVOLS,VLOOKUP(G819,MOVE_DOWN2,2,FALSE()),FALSE()),VLOOKUP(G819,NGPREVPRICES,3,FALSE()),HLOOKUP(D819,Correllate,VLOOKUP(G819,CorMove,2,FALSE()),FALSE()),Q819-$CD$3,R819,$CD$5)*H819-CJ821</f>
        <v>#NAME?</v>
      </c>
      <c r="CE821" s="253" t="e">
        <f aca="false">xSPRDOPT((VLOOKUP(G819,NGPREVPRICES,2,FALSE())+HLOOKUP(D819,PREVCURVES,VLOOKUP(G819,MOVE_DOWN2,2,FALSE()),FALSE())),VLOOKUP(G819,NGPREVPRICES,2,FALSE()),CK821,VLOOKUP(G819,NGPrices,4,FALSE()),HLOOKUP(D819,PREVVOLS,VLOOKUP(G819,MOVE_DOWN2,2,FALSE()),FALSE()),VLOOKUP(G819,NGPREVPRICES,3,FALSE()),HLOOKUP(D819,Correllate,VLOOKUP(G819,CorMove,2,FALSE()),FALSE()),Q819-$CD$3,R819,$CJ$5)*H819-CJ821</f>
        <v>#NAME?</v>
      </c>
      <c r="CF821" s="132" t="e">
        <f aca="false">(CJ821/VLOOKUP(CC821,discount,3,FALSE()))-(CJ821/VLOOKUP(CC821,discount,2,FALSE()))</f>
        <v>#NAME?</v>
      </c>
      <c r="CG821" s="253" t="e">
        <f aca="false">xSPRDOPT((VLOOKUP(G819,NGPREVPRICES,2,FALSE())+HLOOKUP(D819,PREVCURVES,VLOOKUP(G819,MOVE_DOWN2,2,FALSE()),FALSE())),VLOOKUP(G819,NGPREVPRICES,2,FALSE()),CK821,VLOOKUP(G819,NGPREVPRICES,4,FALSE()),HLOOKUP(D819,VOLS,VLOOKUP(G819,move_down,2,FALSE()),FALSE()),VLOOKUP(G819,NGPrices,3,FALSE()),HLOOKUP(D819,Correllate,VLOOKUP(G819,CorMove,2,FALSE()),FALSE()),Q819-$CD$3,R819,$CJ$5)*H819-CJ821</f>
        <v>#NAME?</v>
      </c>
      <c r="CH821" s="253" t="e">
        <f aca="false">xSPRDOPT((VLOOKUP(G819,NGPREVPRICES,2,FALSE())+HLOOKUP(D819,PREVCURVES,VLOOKUP(G819,MOVE_DOWN2,2,FALSE()),FALSE())),VLOOKUP(G819,NGPREVPRICES,2,FALSE()),CK821,VLOOKUP(G819,NGPREVPRICES,4,FALSE()),HLOOKUP(D819,PREVVOLS,VLOOKUP(G819,MOVE_DOWN2,2,FALSE()),FALSE()),VLOOKUP(G819,NGPREVPRICES,3,FALSE()),HLOOKUP(D819,Correllate,VLOOKUP(G819,CorMove,2,FALSE()),FALSE()),Q819-$C$3,R819,$CJ$5)*H819-CJ821</f>
        <v>#NAME?</v>
      </c>
      <c r="CI821" s="253" t="e">
        <f aca="false">SUM(CD821:CH821)</f>
        <v>#NAME?</v>
      </c>
      <c r="CJ821" s="253" t="e">
        <f aca="false">xSPRDOPT((VLOOKUP(G819,NGPREVPRICES,2,FALSE())+HLOOKUP(D819,PREVCURVES,VLOOKUP(G819,MOVE_DOWN2,2,FALSE()),FALSE())),VLOOKUP(G819,NGPREVPRICES,2,FALSE()),CK821,VLOOKUP(G819,NGPREVPRICES,4,FALSE()),HLOOKUP(D819,PREVVOLS,VLOOKUP(G819,MOVE_DOWN2,2,FALSE()),FALSE()),VLOOKUP(G819,NGPREVPRICES,3,FALSE()),HLOOKUP(D819,Correllate,VLOOKUP(G819,CorMove,2,FALSE()),FALSE()),Q819-$CD$3,R819,$CJ$5)*H819</f>
        <v>#NAME?</v>
      </c>
      <c r="CK821" s="254" t="n">
        <f aca="false">I819</f>
        <v>0.5</v>
      </c>
      <c r="CM821" s="0" t="str">
        <f aca="false">CONCATENATE(CC821,$CD$6)</f>
        <v>36892Curve Shift/Gamma</v>
      </c>
      <c r="CN821" s="0" t="str">
        <f aca="false">CONCATENATE($CC821,$CE$6)</f>
        <v>36892Rho</v>
      </c>
      <c r="CO821" s="0" t="str">
        <f aca="false">CONCATENATE($CC821,$CF$6)</f>
        <v>36892Drift</v>
      </c>
      <c r="CP821" s="0" t="str">
        <f aca="false">CONCATENATE($CC821,$CG$6)</f>
        <v>36892Vega</v>
      </c>
      <c r="CQ821" s="0" t="str">
        <f aca="false">CONCATENATE($CC821,$CH$6)</f>
        <v>36892Theta</v>
      </c>
    </row>
    <row r="822" customFormat="false" ht="12.75" hidden="false" customHeight="false" outlineLevel="0" collapsed="false">
      <c r="A822" s="17" t="s">
        <v>244</v>
      </c>
      <c r="B822" s="0" t="s">
        <v>192</v>
      </c>
      <c r="C822" s="0" t="s">
        <v>464</v>
      </c>
      <c r="D822" s="7" t="s">
        <v>137</v>
      </c>
      <c r="E822" s="0" t="s">
        <v>131</v>
      </c>
      <c r="F822" s="0" t="s">
        <v>132</v>
      </c>
      <c r="G822" s="92" t="n">
        <v>36831</v>
      </c>
      <c r="H822" s="248" t="n">
        <v>-1000000</v>
      </c>
      <c r="I822" s="254" t="n">
        <v>0.5</v>
      </c>
      <c r="J822" s="124" t="n">
        <f aca="false">VLOOKUP(G822,NGPrices,2,FALSE())</f>
        <v>4.736</v>
      </c>
      <c r="K822" s="125" t="n">
        <f aca="false">HLOOKUP(D822,Prices,VLOOKUP(G822,move_down,2,FALSE()),FALSE())+VLOOKUP(G822,CHANGE,HLOOKUP(D822,CHANGE,2,FALSE()),FALSE())</f>
        <v>1.545</v>
      </c>
      <c r="L822" s="124" t="n">
        <f aca="false">K822+J822</f>
        <v>6.281</v>
      </c>
      <c r="M822" s="126" t="n">
        <f aca="false">VLOOKUP(G822,NGPrices,4,FALSE())</f>
        <v>0.06810675983792</v>
      </c>
      <c r="N822" s="7" t="n">
        <f aca="false">VLOOKUP(G822,NGPrices,3,FALSE())</f>
        <v>0.595</v>
      </c>
      <c r="O822" s="7" t="n">
        <f aca="false">HLOOKUP(D822,VOLS,VLOOKUP(G822,move_down,2,FALSE()),FALSE())</f>
        <v>0.577</v>
      </c>
      <c r="P822" s="249" t="n">
        <f aca="false">HLOOKUP(D822,Correllate,VLOOKUP(G822,CorMove,2,FALSE()),FALSE())</f>
        <v>0.85</v>
      </c>
      <c r="Q822" s="92" t="n">
        <f aca="false">WORKDAY(G822,-2)</f>
        <v>36829</v>
      </c>
      <c r="R822" s="7" t="n">
        <f aca="false">IF(F822="P",0,1)</f>
        <v>0</v>
      </c>
      <c r="S822" s="130" t="e">
        <f aca="false">xSPRDOPT($L822,$J822,$I822,$M822,$O822,$N822,$P822,$Q822-$C$3,$R822,0)</f>
        <v>#NAME?</v>
      </c>
      <c r="T822" s="250" t="e">
        <f aca="false">xSPRDOPT($L822,$J822,$I822,$M822,$O822,$N822,$P822,$Q822-$C$3,$R822,1)*H822</f>
        <v>#NAME?</v>
      </c>
      <c r="U822" s="43" t="e">
        <f aca="false">S822*H822</f>
        <v>#NAME?</v>
      </c>
      <c r="V822" s="250" t="e">
        <f aca="false">xSPRDOPT($L822,$J822,$I822,$M822,$O822,$N822,$P822,$Q822-$C$3,$R822,2)*H822</f>
        <v>#NAME?</v>
      </c>
      <c r="W822" s="250" t="e">
        <f aca="false">+V822+T822</f>
        <v>#NAME?</v>
      </c>
      <c r="X822" s="2" t="str">
        <f aca="false">CONCATENATE(G822,D822)</f>
        <v>36831NGI-SOCAL</v>
      </c>
      <c r="Y822" s="251" t="n">
        <f aca="false">H822/10000</f>
        <v>-100</v>
      </c>
      <c r="Z822" s="226" t="e">
        <f aca="false">T822/H822</f>
        <v>#NAME?</v>
      </c>
      <c r="AA822" s="226" t="e">
        <f aca="false">xSPRDOPT($L822,$J822,$I822,$M822,$O822,$N822,$P822,$Q822-$C$3,$R822,3)</f>
        <v>#NAME?</v>
      </c>
      <c r="AB822" s="226" t="e">
        <f aca="false">((xSPRDOPT($L822+AB$5,$J822,$I822,$M822,$O822,$N822,$P822,$Q822-$C$3,$R822,3)*$H822)/10000)/100</f>
        <v>#NAME?</v>
      </c>
      <c r="AC822" s="226" t="e">
        <f aca="false">((xSPRDOPT($L822+$AB$5,$J822,$I822,$M822,$O822,$N822,$P822,$Q822-$C$3,$R822,7)*$H822)/100)</f>
        <v>#NAME?</v>
      </c>
      <c r="AD822" s="226" t="e">
        <f aca="false">(xSPRDOPT($L822+$AB$5,$J822,$I822,$M822,$O822,$N822,$P822,$Q822-$C$3,$R822,9)/365)*$H822</f>
        <v>#NAME?</v>
      </c>
      <c r="AE822" s="0" t="e">
        <f aca="false">CD824</f>
        <v>#NAME?</v>
      </c>
      <c r="AF822" s="226" t="e">
        <f aca="false">((O822/N822)*AH822)+AG822</f>
        <v>#NAME?</v>
      </c>
      <c r="AG822" s="226" t="e">
        <f aca="false">((xSPRDOPT($L822,$J822,$I822,$M822,$O822,$N822,$P822,$Q822-$C$3,$R822,6)*$H822)/100)</f>
        <v>#NAME?</v>
      </c>
      <c r="AH822" s="226" t="e">
        <f aca="false">((xSPRDOPT($L822,$J822,$I822,$M822,$O822,$N822,$P822,$Q822-$C$3,$R822,5)*$H822)/100)</f>
        <v>#NAME?</v>
      </c>
      <c r="AI822" s="226" t="e">
        <f aca="false">(((xSPRDOPT($L822,$J822,$I822,$M822,$O822,$N822,$P822,$Q822-$C$3,$R822,4)*$H822)/10000)/100)-AB822</f>
        <v>#NAME?</v>
      </c>
      <c r="AJ822" s="226"/>
      <c r="CC822" s="182" t="n">
        <f aca="false">G820</f>
        <v>36923</v>
      </c>
      <c r="CD822" s="253" t="e">
        <f aca="false">xSPRDOPT((VLOOKUP(G820,NGPrices,2,FALSE())+HLOOKUP(D820,Prices,VLOOKUP(G820,move_down,2,FALSE()),FALSE())),VLOOKUP(G820,NGPrices,2,FALSE()),I820,VLOOKUP(G820,NGPREVPRICES,4,FALSE()),HLOOKUP(D820,PREVVOLS,VLOOKUP(G820,MOVE_DOWN2,2,FALSE()),FALSE()),VLOOKUP(G820,NGPREVPRICES,3,FALSE()),HLOOKUP(D820,Correllate,VLOOKUP(G820,CorMove,2,FALSE()),FALSE()),Q820-$CD$3,R820,$CD$5)*H820-CJ822</f>
        <v>#NAME?</v>
      </c>
      <c r="CE822" s="253" t="e">
        <f aca="false">xSPRDOPT((VLOOKUP(G820,NGPREVPRICES,2,FALSE())+HLOOKUP(D820,PREVCURVES,VLOOKUP(G820,MOVE_DOWN2,2,FALSE()),FALSE())),VLOOKUP(G820,NGPREVPRICES,2,FALSE()),CK822,VLOOKUP(G820,NGPrices,4,FALSE()),HLOOKUP(D820,PREVVOLS,VLOOKUP(G820,MOVE_DOWN2,2,FALSE()),FALSE()),VLOOKUP(G820,NGPREVPRICES,3,FALSE()),HLOOKUP(D820,Correllate,VLOOKUP(G820,CorMove,2,FALSE()),FALSE()),Q820-$CD$3,R820,$CJ$5)*H820-CJ822</f>
        <v>#NAME?</v>
      </c>
      <c r="CF822" s="132" t="e">
        <f aca="false">(CJ822/VLOOKUP(CC822,discount,3,FALSE()))-(CJ822/VLOOKUP(CC822,discount,2,FALSE()))</f>
        <v>#NAME?</v>
      </c>
      <c r="CG822" s="253" t="e">
        <f aca="false">xSPRDOPT((VLOOKUP(G820,NGPREVPRICES,2,FALSE())+HLOOKUP(D820,PREVCURVES,VLOOKUP(G820,MOVE_DOWN2,2,FALSE()),FALSE())),VLOOKUP(G820,NGPREVPRICES,2,FALSE()),CK822,VLOOKUP(G820,NGPREVPRICES,4,FALSE()),HLOOKUP(D820,VOLS,VLOOKUP(G820,move_down,2,FALSE()),FALSE()),VLOOKUP(G820,NGPrices,3,FALSE()),HLOOKUP(D820,Correllate,VLOOKUP(G820,CorMove,2,FALSE()),FALSE()),Q820-$CD$3,R820,$CJ$5)*H820-CJ822</f>
        <v>#NAME?</v>
      </c>
      <c r="CH822" s="253" t="e">
        <f aca="false">xSPRDOPT((VLOOKUP(G820,NGPREVPRICES,2,FALSE())+HLOOKUP(D820,PREVCURVES,VLOOKUP(G820,MOVE_DOWN2,2,FALSE()),FALSE())),VLOOKUP(G820,NGPREVPRICES,2,FALSE()),CK822,VLOOKUP(G820,NGPREVPRICES,4,FALSE()),HLOOKUP(D820,PREVVOLS,VLOOKUP(G820,MOVE_DOWN2,2,FALSE()),FALSE()),VLOOKUP(G820,NGPREVPRICES,3,FALSE()),HLOOKUP(D820,Correllate,VLOOKUP(G820,CorMove,2,FALSE()),FALSE()),Q820-$C$3,R820,$CJ$5)*H820-CJ822</f>
        <v>#NAME?</v>
      </c>
      <c r="CI822" s="253" t="e">
        <f aca="false">SUM(CD822:CH822)</f>
        <v>#NAME?</v>
      </c>
      <c r="CJ822" s="253" t="e">
        <f aca="false">xSPRDOPT((VLOOKUP(G820,NGPREVPRICES,2,FALSE())+HLOOKUP(D820,PREVCURVES,VLOOKUP(G820,MOVE_DOWN2,2,FALSE()),FALSE())),VLOOKUP(G820,NGPREVPRICES,2,FALSE()),CK822,VLOOKUP(G820,NGPREVPRICES,4,FALSE()),HLOOKUP(D820,PREVVOLS,VLOOKUP(G820,MOVE_DOWN2,2,FALSE()),FALSE()),VLOOKUP(G820,NGPREVPRICES,3,FALSE()),HLOOKUP(D820,Correllate,VLOOKUP(G820,CorMove,2,FALSE()),FALSE()),Q820-$CD$3,R820,$CJ$5)*H820</f>
        <v>#NAME?</v>
      </c>
      <c r="CK822" s="254" t="n">
        <f aca="false">I820</f>
        <v>0.5</v>
      </c>
      <c r="CM822" s="0" t="str">
        <f aca="false">CONCATENATE(CC822,$CD$6)</f>
        <v>36923Curve Shift/Gamma</v>
      </c>
      <c r="CN822" s="0" t="str">
        <f aca="false">CONCATENATE($CC822,$CE$6)</f>
        <v>36923Rho</v>
      </c>
      <c r="CO822" s="0" t="str">
        <f aca="false">CONCATENATE($CC822,$CF$6)</f>
        <v>36923Drift</v>
      </c>
      <c r="CP822" s="0" t="str">
        <f aca="false">CONCATENATE($CC822,$CG$6)</f>
        <v>36923Vega</v>
      </c>
      <c r="CQ822" s="0" t="str">
        <f aca="false">CONCATENATE($CC822,$CH$6)</f>
        <v>36923Theta</v>
      </c>
    </row>
    <row r="823" customFormat="false" ht="12.75" hidden="false" customHeight="false" outlineLevel="0" collapsed="false">
      <c r="A823" s="17" t="s">
        <v>244</v>
      </c>
      <c r="B823" s="0" t="s">
        <v>192</v>
      </c>
      <c r="C823" s="0" t="s">
        <v>464</v>
      </c>
      <c r="D823" s="7" t="s">
        <v>137</v>
      </c>
      <c r="E823" s="0" t="s">
        <v>131</v>
      </c>
      <c r="F823" s="0" t="s">
        <v>132</v>
      </c>
      <c r="G823" s="92" t="n">
        <v>36861</v>
      </c>
      <c r="H823" s="248" t="n">
        <v>-1000000</v>
      </c>
      <c r="I823" s="254" t="n">
        <v>0.5</v>
      </c>
      <c r="J823" s="124" t="n">
        <f aca="false">VLOOKUP(G823,NGPrices,2,FALSE())</f>
        <v>4.8</v>
      </c>
      <c r="K823" s="125" t="n">
        <f aca="false">HLOOKUP(D823,Prices,VLOOKUP(G823,move_down,2,FALSE()),FALSE())+VLOOKUP(G823,CHANGE,HLOOKUP(D823,CHANGE,2,FALSE()),FALSE())</f>
        <v>1.005</v>
      </c>
      <c r="L823" s="124" t="n">
        <f aca="false">K823+J823</f>
        <v>5.805</v>
      </c>
      <c r="M823" s="126" t="n">
        <f aca="false">VLOOKUP(G823,NGPrices,4,FALSE())</f>
        <v>0.068314027999354</v>
      </c>
      <c r="N823" s="7" t="n">
        <f aca="false">VLOOKUP(G823,NGPrices,3,FALSE())</f>
        <v>0.6</v>
      </c>
      <c r="O823" s="7" t="n">
        <f aca="false">HLOOKUP(D823,VOLS,VLOOKUP(G823,move_down,2,FALSE()),FALSE())</f>
        <v>0.582</v>
      </c>
      <c r="P823" s="249" t="n">
        <f aca="false">HLOOKUP(D823,Correllate,VLOOKUP(G823,CorMove,2,FALSE()),FALSE())</f>
        <v>0.85</v>
      </c>
      <c r="Q823" s="92" t="n">
        <f aca="false">WORKDAY(G823,-2)</f>
        <v>36859</v>
      </c>
      <c r="R823" s="7" t="n">
        <f aca="false">IF(F823="P",0,1)</f>
        <v>0</v>
      </c>
      <c r="S823" s="130" t="e">
        <f aca="false">xSPRDOPT($L823,$J823,$I823,$M823,$O823,$N823,$P823,$Q823-$C$3,$R823,0)</f>
        <v>#NAME?</v>
      </c>
      <c r="T823" s="250" t="e">
        <f aca="false">xSPRDOPT($L823,$J823,$I823,$M823,$O823,$N823,$P823,$Q823-$C$3,$R823,1)*H823</f>
        <v>#NAME?</v>
      </c>
      <c r="U823" s="43" t="e">
        <f aca="false">S823*H823</f>
        <v>#NAME?</v>
      </c>
      <c r="V823" s="250" t="e">
        <f aca="false">xSPRDOPT($L823,$J823,$I823,$M823,$O823,$N823,$P823,$Q823-$C$3,$R823,2)*H823</f>
        <v>#NAME?</v>
      </c>
      <c r="W823" s="250" t="e">
        <f aca="false">+V823+T823</f>
        <v>#NAME?</v>
      </c>
      <c r="X823" s="2" t="str">
        <f aca="false">CONCATENATE(G823,D823)</f>
        <v>36861NGI-SOCAL</v>
      </c>
      <c r="Y823" s="251" t="n">
        <f aca="false">H823/10000</f>
        <v>-100</v>
      </c>
      <c r="Z823" s="226" t="e">
        <f aca="false">T823/H823</f>
        <v>#NAME?</v>
      </c>
      <c r="AA823" s="226" t="e">
        <f aca="false">xSPRDOPT($L823,$J823,$I823,$M823,$O823,$N823,$P823,$Q823-$C$3,$R823,3)</f>
        <v>#NAME?</v>
      </c>
      <c r="AB823" s="226" t="e">
        <f aca="false">((xSPRDOPT($L823+AB$5,$J823,$I823,$M823,$O823,$N823,$P823,$Q823-$C$3,$R823,3)*$H823)/10000)/100</f>
        <v>#NAME?</v>
      </c>
      <c r="AC823" s="226" t="e">
        <f aca="false">((xSPRDOPT($L823+$AB$5,$J823,$I823,$M823,$O823,$N823,$P823,$Q823-$C$3,$R823,7)*$H823)/100)</f>
        <v>#NAME?</v>
      </c>
      <c r="AD823" s="226" t="e">
        <f aca="false">(xSPRDOPT($L823+$AB$5,$J823,$I823,$M823,$O823,$N823,$P823,$Q823-$C$3,$R823,9)/365)*$H823</f>
        <v>#NAME?</v>
      </c>
      <c r="AE823" s="0" t="e">
        <f aca="false">CD825</f>
        <v>#NAME?</v>
      </c>
      <c r="AF823" s="226" t="e">
        <f aca="false">((O823/N823)*AH823)+AG823</f>
        <v>#NAME?</v>
      </c>
      <c r="AG823" s="226" t="e">
        <f aca="false">((xSPRDOPT($L823,$J823,$I823,$M823,$O823,$N823,$P823,$Q823-$C$3,$R823,6)*$H823)/100)</f>
        <v>#NAME?</v>
      </c>
      <c r="AH823" s="226" t="e">
        <f aca="false">((xSPRDOPT($L823,$J823,$I823,$M823,$O823,$N823,$P823,$Q823-$C$3,$R823,5)*$H823)/100)</f>
        <v>#NAME?</v>
      </c>
      <c r="AI823" s="226" t="e">
        <f aca="false">(((xSPRDOPT($L823,$J823,$I823,$M823,$O823,$N823,$P823,$Q823-$C$3,$R823,4)*$H823)/10000)/100)-AB823</f>
        <v>#NAME?</v>
      </c>
      <c r="AJ823" s="226"/>
      <c r="CC823" s="182" t="n">
        <f aca="false">G821</f>
        <v>36951</v>
      </c>
      <c r="CD823" s="253" t="e">
        <f aca="false">xSPRDOPT((VLOOKUP(G821,NGPrices,2,FALSE())+HLOOKUP(D821,Prices,VLOOKUP(G821,move_down,2,FALSE()),FALSE())),VLOOKUP(G821,NGPrices,2,FALSE()),I821,VLOOKUP(G821,NGPREVPRICES,4,FALSE()),HLOOKUP(D821,PREVVOLS,VLOOKUP(G821,MOVE_DOWN2,2,FALSE()),FALSE()),VLOOKUP(G821,NGPREVPRICES,3,FALSE()),HLOOKUP(D821,Correllate,VLOOKUP(G821,CorMove,2,FALSE()),FALSE()),Q821-$CD$3,R821,$CD$5)*H821-CJ823</f>
        <v>#NAME?</v>
      </c>
      <c r="CE823" s="253" t="e">
        <f aca="false">xSPRDOPT((VLOOKUP(G821,NGPREVPRICES,2,FALSE())+HLOOKUP(D821,PREVCURVES,VLOOKUP(G821,MOVE_DOWN2,2,FALSE()),FALSE())),VLOOKUP(G821,NGPREVPRICES,2,FALSE()),CK823,VLOOKUP(G821,NGPrices,4,FALSE()),HLOOKUP(D821,PREVVOLS,VLOOKUP(G821,MOVE_DOWN2,2,FALSE()),FALSE()),VLOOKUP(G821,NGPREVPRICES,3,FALSE()),HLOOKUP(D821,Correllate,VLOOKUP(G821,CorMove,2,FALSE()),FALSE()),Q821-$CD$3,R821,$CJ$5)*H821-CJ823</f>
        <v>#NAME?</v>
      </c>
      <c r="CF823" s="132" t="e">
        <f aca="false">(CJ823/VLOOKUP(CC823,discount,3,FALSE()))-(CJ823/VLOOKUP(CC823,discount,2,FALSE()))</f>
        <v>#NAME?</v>
      </c>
      <c r="CG823" s="253" t="e">
        <f aca="false">xSPRDOPT((VLOOKUP(G821,NGPREVPRICES,2,FALSE())+HLOOKUP(D821,PREVCURVES,VLOOKUP(G821,MOVE_DOWN2,2,FALSE()),FALSE())),VLOOKUP(G821,NGPREVPRICES,2,FALSE()),CK823,VLOOKUP(G821,NGPREVPRICES,4,FALSE()),HLOOKUP(D821,VOLS,VLOOKUP(G821,move_down,2,FALSE()),FALSE()),VLOOKUP(G821,NGPrices,3,FALSE()),HLOOKUP(D821,Correllate,VLOOKUP(G821,CorMove,2,FALSE()),FALSE()),Q821-$CD$3,R821,$CJ$5)*H821-CJ823</f>
        <v>#NAME?</v>
      </c>
      <c r="CH823" s="253" t="e">
        <f aca="false">xSPRDOPT((VLOOKUP(G821,NGPREVPRICES,2,FALSE())+HLOOKUP(D821,PREVCURVES,VLOOKUP(G821,MOVE_DOWN2,2,FALSE()),FALSE())),VLOOKUP(G821,NGPREVPRICES,2,FALSE()),CK823,VLOOKUP(G821,NGPREVPRICES,4,FALSE()),HLOOKUP(D821,PREVVOLS,VLOOKUP(G821,MOVE_DOWN2,2,FALSE()),FALSE()),VLOOKUP(G821,NGPREVPRICES,3,FALSE()),HLOOKUP(D821,Correllate,VLOOKUP(G821,CorMove,2,FALSE()),FALSE()),Q821-$C$3,R821,$CJ$5)*H821-CJ823</f>
        <v>#NAME?</v>
      </c>
      <c r="CI823" s="253" t="e">
        <f aca="false">SUM(CD823:CH823)</f>
        <v>#NAME?</v>
      </c>
      <c r="CJ823" s="253" t="e">
        <f aca="false">xSPRDOPT((VLOOKUP(G821,NGPREVPRICES,2,FALSE())+HLOOKUP(D821,PREVCURVES,VLOOKUP(G821,MOVE_DOWN2,2,FALSE()),FALSE())),VLOOKUP(G821,NGPREVPRICES,2,FALSE()),CK823,VLOOKUP(G821,NGPREVPRICES,4,FALSE()),HLOOKUP(D821,PREVVOLS,VLOOKUP(G821,MOVE_DOWN2,2,FALSE()),FALSE()),VLOOKUP(G821,NGPREVPRICES,3,FALSE()),HLOOKUP(D821,Correllate,VLOOKUP(G821,CorMove,2,FALSE()),FALSE()),Q821-$CD$3,R821,$CJ$5)*H821</f>
        <v>#NAME?</v>
      </c>
      <c r="CK823" s="254" t="n">
        <f aca="false">I821</f>
        <v>0.5</v>
      </c>
      <c r="CM823" s="0" t="str">
        <f aca="false">CONCATENATE(CC823,$CD$6)</f>
        <v>36951Curve Shift/Gamma</v>
      </c>
      <c r="CN823" s="0" t="str">
        <f aca="false">CONCATENATE($CC823,$CE$6)</f>
        <v>36951Rho</v>
      </c>
      <c r="CO823" s="0" t="str">
        <f aca="false">CONCATENATE($CC823,$CF$6)</f>
        <v>36951Drift</v>
      </c>
      <c r="CP823" s="0" t="str">
        <f aca="false">CONCATENATE($CC823,$CG$6)</f>
        <v>36951Vega</v>
      </c>
      <c r="CQ823" s="0" t="str">
        <f aca="false">CONCATENATE($CC823,$CH$6)</f>
        <v>36951Theta</v>
      </c>
    </row>
    <row r="824" customFormat="false" ht="12.75" hidden="false" customHeight="false" outlineLevel="0" collapsed="false">
      <c r="A824" s="17" t="s">
        <v>244</v>
      </c>
      <c r="B824" s="0" t="s">
        <v>192</v>
      </c>
      <c r="C824" s="0" t="s">
        <v>464</v>
      </c>
      <c r="D824" s="7" t="s">
        <v>137</v>
      </c>
      <c r="E824" s="0" t="s">
        <v>131</v>
      </c>
      <c r="F824" s="0" t="s">
        <v>132</v>
      </c>
      <c r="G824" s="92" t="n">
        <v>36892</v>
      </c>
      <c r="H824" s="248" t="n">
        <v>-1000000</v>
      </c>
      <c r="I824" s="254" t="n">
        <v>0.5</v>
      </c>
      <c r="J824" s="124" t="n">
        <f aca="false">VLOOKUP(G824,NGPrices,2,FALSE())</f>
        <v>4.744</v>
      </c>
      <c r="K824" s="125" t="n">
        <f aca="false">HLOOKUP(D824,Prices,VLOOKUP(G824,move_down,2,FALSE()),FALSE())+VLOOKUP(G824,CHANGE,HLOOKUP(D824,CHANGE,2,FALSE()),FALSE())</f>
        <v>0.7675</v>
      </c>
      <c r="L824" s="124" t="n">
        <f aca="false">K824+J824</f>
        <v>5.5115</v>
      </c>
      <c r="M824" s="126" t="n">
        <f aca="false">VLOOKUP(G824,NGPrices,4,FALSE())</f>
        <v>0.068374831148491</v>
      </c>
      <c r="N824" s="7" t="n">
        <f aca="false">VLOOKUP(G824,NGPrices,3,FALSE())</f>
        <v>0.605</v>
      </c>
      <c r="O824" s="7" t="n">
        <f aca="false">HLOOKUP(D824,VOLS,VLOOKUP(G824,move_down,2,FALSE()),FALSE())</f>
        <v>0.587</v>
      </c>
      <c r="P824" s="249" t="n">
        <f aca="false">HLOOKUP(D824,Correllate,VLOOKUP(G824,CorMove,2,FALSE()),FALSE())</f>
        <v>0.85</v>
      </c>
      <c r="Q824" s="92" t="n">
        <f aca="false">WORKDAY(G824,-2)</f>
        <v>36888</v>
      </c>
      <c r="R824" s="7" t="n">
        <f aca="false">IF(F824="P",0,1)</f>
        <v>0</v>
      </c>
      <c r="S824" s="130" t="e">
        <f aca="false">xSPRDOPT($L824,$J824,$I824,$M824,$O824,$N824,$P824,$Q824-$C$3,$R824,0)</f>
        <v>#NAME?</v>
      </c>
      <c r="T824" s="250" t="e">
        <f aca="false">xSPRDOPT($L824,$J824,$I824,$M824,$O824,$N824,$P824,$Q824-$C$3,$R824,1)*H824</f>
        <v>#NAME?</v>
      </c>
      <c r="U824" s="43" t="e">
        <f aca="false">S824*H824</f>
        <v>#NAME?</v>
      </c>
      <c r="V824" s="250" t="e">
        <f aca="false">xSPRDOPT($L824,$J824,$I824,$M824,$O824,$N824,$P824,$Q824-$C$3,$R824,2)*H824</f>
        <v>#NAME?</v>
      </c>
      <c r="W824" s="250" t="e">
        <f aca="false">+V824+T824</f>
        <v>#NAME?</v>
      </c>
      <c r="X824" s="2" t="str">
        <f aca="false">CONCATENATE(G824,D824)</f>
        <v>36892NGI-SOCAL</v>
      </c>
      <c r="Y824" s="251" t="n">
        <f aca="false">H824/10000</f>
        <v>-100</v>
      </c>
      <c r="Z824" s="226" t="e">
        <f aca="false">T824/H824</f>
        <v>#NAME?</v>
      </c>
      <c r="AA824" s="226" t="e">
        <f aca="false">xSPRDOPT($L824,$J824,$I824,$M824,$O824,$N824,$P824,$Q824-$C$3,$R824,3)</f>
        <v>#NAME?</v>
      </c>
      <c r="AB824" s="226" t="e">
        <f aca="false">((xSPRDOPT($L824+AB$5,$J824,$I824,$M824,$O824,$N824,$P824,$Q824-$C$3,$R824,3)*$H824)/10000)/100</f>
        <v>#NAME?</v>
      </c>
      <c r="AC824" s="226" t="e">
        <f aca="false">((xSPRDOPT($L824+$AB$5,$J824,$I824,$M824,$O824,$N824,$P824,$Q824-$C$3,$R824,7)*$H824)/100)</f>
        <v>#NAME?</v>
      </c>
      <c r="AD824" s="226" t="e">
        <f aca="false">(xSPRDOPT($L824+$AB$5,$J824,$I824,$M824,$O824,$N824,$P824,$Q824-$C$3,$R824,9)/365)*$H824</f>
        <v>#NAME?</v>
      </c>
      <c r="AE824" s="0" t="e">
        <f aca="false">CD826</f>
        <v>#NAME?</v>
      </c>
      <c r="AF824" s="226" t="e">
        <f aca="false">((O824/N824)*AH824)+AG824</f>
        <v>#NAME?</v>
      </c>
      <c r="AG824" s="226" t="e">
        <f aca="false">((xSPRDOPT($L824,$J824,$I824,$M824,$O824,$N824,$P824,$Q824-$C$3,$R824,6)*$H824)/100)</f>
        <v>#NAME?</v>
      </c>
      <c r="AH824" s="226" t="e">
        <f aca="false">((xSPRDOPT($L824,$J824,$I824,$M824,$O824,$N824,$P824,$Q824-$C$3,$R824,5)*$H824)/100)</f>
        <v>#NAME?</v>
      </c>
      <c r="AI824" s="226" t="e">
        <f aca="false">(((xSPRDOPT($L824,$J824,$I824,$M824,$O824,$N824,$P824,$Q824-$C$3,$R824,4)*$H824)/10000)/100)-AB824</f>
        <v>#NAME?</v>
      </c>
      <c r="AJ824" s="226"/>
      <c r="CC824" s="182" t="n">
        <f aca="false">G822</f>
        <v>36831</v>
      </c>
      <c r="CD824" s="253" t="e">
        <f aca="false">xSPRDOPT((VLOOKUP(G822,NGPrices,2,FALSE())+HLOOKUP(D822,Prices,VLOOKUP(G822,move_down,2,FALSE()),FALSE())),VLOOKUP(G822,NGPrices,2,FALSE()),I822,VLOOKUP(G822,NGPREVPRICES,4,FALSE()),HLOOKUP(D822,PREVVOLS,VLOOKUP(G822,MOVE_DOWN2,2,FALSE()),FALSE()),VLOOKUP(G822,NGPREVPRICES,3,FALSE()),HLOOKUP(D822,Correllate,VLOOKUP(G822,CorMove,2,FALSE()),FALSE()),Q822-$CD$3,R822,$CD$5)*H822-CJ824</f>
        <v>#NAME?</v>
      </c>
      <c r="CE824" s="253" t="e">
        <f aca="false">xSPRDOPT((VLOOKUP(G822,NGPREVPRICES,2,FALSE())+HLOOKUP(D822,PREVCURVES,VLOOKUP(G822,MOVE_DOWN2,2,FALSE()),FALSE())),VLOOKUP(G822,NGPREVPRICES,2,FALSE()),CK824,VLOOKUP(G822,NGPrices,4,FALSE()),HLOOKUP(D822,PREVVOLS,VLOOKUP(G822,MOVE_DOWN2,2,FALSE()),FALSE()),VLOOKUP(G822,NGPREVPRICES,3,FALSE()),HLOOKUP(D822,Correllate,VLOOKUP(G822,CorMove,2,FALSE()),FALSE()),Q822-$CD$3,R822,$CJ$5)*H822-CJ824</f>
        <v>#NAME?</v>
      </c>
      <c r="CF824" s="132" t="e">
        <f aca="false">(CJ824/VLOOKUP(CC824,discount,3,FALSE()))-(CJ824/VLOOKUP(CC824,discount,2,FALSE()))</f>
        <v>#NAME?</v>
      </c>
      <c r="CG824" s="253" t="e">
        <f aca="false">xSPRDOPT((VLOOKUP(G822,NGPREVPRICES,2,FALSE())+HLOOKUP(D822,PREVCURVES,VLOOKUP(G822,MOVE_DOWN2,2,FALSE()),FALSE())),VLOOKUP(G822,NGPREVPRICES,2,FALSE()),CK824,VLOOKUP(G822,NGPREVPRICES,4,FALSE()),HLOOKUP(D822,VOLS,VLOOKUP(G822,move_down,2,FALSE()),FALSE()),VLOOKUP(G822,NGPrices,3,FALSE()),HLOOKUP(D822,Correllate,VLOOKUP(G822,CorMove,2,FALSE()),FALSE()),Q822-$CD$3,R822,$CJ$5)*H822-CJ824</f>
        <v>#NAME?</v>
      </c>
      <c r="CH824" s="253" t="e">
        <f aca="false">xSPRDOPT((VLOOKUP(G822,NGPREVPRICES,2,FALSE())+HLOOKUP(D822,PREVCURVES,VLOOKUP(G822,MOVE_DOWN2,2,FALSE()),FALSE())),VLOOKUP(G822,NGPREVPRICES,2,FALSE()),CK824,VLOOKUP(G822,NGPREVPRICES,4,FALSE()),HLOOKUP(D822,PREVVOLS,VLOOKUP(G822,MOVE_DOWN2,2,FALSE()),FALSE()),VLOOKUP(G822,NGPREVPRICES,3,FALSE()),HLOOKUP(D822,Correllate,VLOOKUP(G822,CorMove,2,FALSE()),FALSE()),Q822-$C$3,R822,$CJ$5)*H822-CJ824</f>
        <v>#NAME?</v>
      </c>
      <c r="CI824" s="253" t="e">
        <f aca="false">SUM(CD824:CH824)</f>
        <v>#NAME?</v>
      </c>
      <c r="CJ824" s="253" t="e">
        <f aca="false">xSPRDOPT((VLOOKUP(G822,NGPREVPRICES,2,FALSE())+HLOOKUP(D822,PREVCURVES,VLOOKUP(G822,MOVE_DOWN2,2,FALSE()),FALSE())),VLOOKUP(G822,NGPREVPRICES,2,FALSE()),CK824,VLOOKUP(G822,NGPREVPRICES,4,FALSE()),HLOOKUP(D822,PREVVOLS,VLOOKUP(G822,MOVE_DOWN2,2,FALSE()),FALSE()),VLOOKUP(G822,NGPREVPRICES,3,FALSE()),HLOOKUP(D822,Correllate,VLOOKUP(G822,CorMove,2,FALSE()),FALSE()),Q822-$CD$3,R822,$CJ$5)*H822</f>
        <v>#NAME?</v>
      </c>
      <c r="CK824" s="254" t="n">
        <f aca="false">I822</f>
        <v>0.5</v>
      </c>
      <c r="CM824" s="0" t="str">
        <f aca="false">CONCATENATE(CC824,$CD$6)</f>
        <v>36831Curve Shift/Gamma</v>
      </c>
      <c r="CN824" s="0" t="str">
        <f aca="false">CONCATENATE($CC824,$CE$6)</f>
        <v>36831Rho</v>
      </c>
      <c r="CO824" s="0" t="str">
        <f aca="false">CONCATENATE($CC824,$CF$6)</f>
        <v>36831Drift</v>
      </c>
      <c r="CP824" s="0" t="str">
        <f aca="false">CONCATENATE($CC824,$CG$6)</f>
        <v>36831Vega</v>
      </c>
      <c r="CQ824" s="0" t="str">
        <f aca="false">CONCATENATE($CC824,$CH$6)</f>
        <v>36831Theta</v>
      </c>
    </row>
    <row r="825" customFormat="false" ht="12.75" hidden="false" customHeight="false" outlineLevel="0" collapsed="false">
      <c r="A825" s="17" t="s">
        <v>244</v>
      </c>
      <c r="B825" s="0" t="s">
        <v>192</v>
      </c>
      <c r="C825" s="0" t="s">
        <v>464</v>
      </c>
      <c r="D825" s="7" t="s">
        <v>137</v>
      </c>
      <c r="E825" s="0" t="s">
        <v>131</v>
      </c>
      <c r="F825" s="0" t="s">
        <v>132</v>
      </c>
      <c r="G825" s="92" t="n">
        <v>36923</v>
      </c>
      <c r="H825" s="248" t="n">
        <v>-1000000</v>
      </c>
      <c r="I825" s="254" t="n">
        <v>0.5</v>
      </c>
      <c r="J825" s="124" t="n">
        <f aca="false">VLOOKUP(G825,NGPrices,2,FALSE())</f>
        <v>4.48</v>
      </c>
      <c r="K825" s="125" t="n">
        <f aca="false">HLOOKUP(D825,Prices,VLOOKUP(G825,move_down,2,FALSE()),FALSE())+VLOOKUP(G825,CHANGE,HLOOKUP(D825,CHANGE,2,FALSE()),FALSE())</f>
        <v>0.6175</v>
      </c>
      <c r="L825" s="124" t="n">
        <f aca="false">K825+J825</f>
        <v>5.0975</v>
      </c>
      <c r="M825" s="126" t="n">
        <f aca="false">VLOOKUP(G825,NGPrices,4,FALSE())</f>
        <v>0.068640161611372</v>
      </c>
      <c r="N825" s="7" t="n">
        <f aca="false">VLOOKUP(G825,NGPrices,3,FALSE())</f>
        <v>0.5925</v>
      </c>
      <c r="O825" s="7" t="n">
        <f aca="false">HLOOKUP(D825,VOLS,VLOOKUP(G825,move_down,2,FALSE()),FALSE())</f>
        <v>0.575</v>
      </c>
      <c r="P825" s="249" t="n">
        <f aca="false">HLOOKUP(D825,Correllate,VLOOKUP(G825,CorMove,2,FALSE()),FALSE())</f>
        <v>0.85</v>
      </c>
      <c r="Q825" s="92" t="n">
        <f aca="false">WORKDAY(G825,-2)</f>
        <v>36921</v>
      </c>
      <c r="R825" s="7" t="n">
        <f aca="false">IF(F825="P",0,1)</f>
        <v>0</v>
      </c>
      <c r="S825" s="130" t="e">
        <f aca="false">xSPRDOPT($L825,$J825,$I825,$M825,$O825,$N825,$P825,$Q825-$C$3,$R825,0)</f>
        <v>#NAME?</v>
      </c>
      <c r="T825" s="250" t="e">
        <f aca="false">xSPRDOPT($L825,$J825,$I825,$M825,$O825,$N825,$P825,$Q825-$C$3,$R825,1)*H825</f>
        <v>#NAME?</v>
      </c>
      <c r="U825" s="43" t="e">
        <f aca="false">S825*H825</f>
        <v>#NAME?</v>
      </c>
      <c r="V825" s="250" t="e">
        <f aca="false">xSPRDOPT($L825,$J825,$I825,$M825,$O825,$N825,$P825,$Q825-$C$3,$R825,2)*H825</f>
        <v>#NAME?</v>
      </c>
      <c r="W825" s="250" t="e">
        <f aca="false">+V825+T825</f>
        <v>#NAME?</v>
      </c>
      <c r="X825" s="2" t="str">
        <f aca="false">CONCATENATE(G825,D825)</f>
        <v>36923NGI-SOCAL</v>
      </c>
      <c r="Y825" s="251" t="n">
        <f aca="false">H825/10000</f>
        <v>-100</v>
      </c>
      <c r="Z825" s="226" t="e">
        <f aca="false">T825/H825</f>
        <v>#NAME?</v>
      </c>
      <c r="AA825" s="226" t="e">
        <f aca="false">xSPRDOPT($L825,$J825,$I825,$M825,$O825,$N825,$P825,$Q825-$C$3,$R825,3)</f>
        <v>#NAME?</v>
      </c>
      <c r="AB825" s="226" t="e">
        <f aca="false">((xSPRDOPT($L825+AB$5,$J825,$I825,$M825,$O825,$N825,$P825,$Q825-$C$3,$R825,3)*$H825)/10000)/100</f>
        <v>#NAME?</v>
      </c>
      <c r="AC825" s="226" t="e">
        <f aca="false">((xSPRDOPT($L825+$AB$5,$J825,$I825,$M825,$O825,$N825,$P825,$Q825-$C$3,$R825,7)*$H825)/100)</f>
        <v>#NAME?</v>
      </c>
      <c r="AD825" s="226" t="e">
        <f aca="false">(xSPRDOPT($L825+$AB$5,$J825,$I825,$M825,$O825,$N825,$P825,$Q825-$C$3,$R825,9)/365)*$H825</f>
        <v>#NAME?</v>
      </c>
      <c r="AE825" s="0" t="e">
        <f aca="false">CD827</f>
        <v>#NAME?</v>
      </c>
      <c r="AF825" s="226" t="e">
        <f aca="false">((O825/N825)*AH825)+AG825</f>
        <v>#NAME?</v>
      </c>
      <c r="AG825" s="226" t="e">
        <f aca="false">((xSPRDOPT($L825,$J825,$I825,$M825,$O825,$N825,$P825,$Q825-$C$3,$R825,6)*$H825)/100)</f>
        <v>#NAME?</v>
      </c>
      <c r="AH825" s="226" t="e">
        <f aca="false">((xSPRDOPT($L825,$J825,$I825,$M825,$O825,$N825,$P825,$Q825-$C$3,$R825,5)*$H825)/100)</f>
        <v>#NAME?</v>
      </c>
      <c r="AI825" s="226" t="e">
        <f aca="false">(((xSPRDOPT($L825,$J825,$I825,$M825,$O825,$N825,$P825,$Q825-$C$3,$R825,4)*$H825)/10000)/100)-AB825</f>
        <v>#NAME?</v>
      </c>
      <c r="AJ825" s="226"/>
      <c r="CC825" s="182" t="n">
        <f aca="false">G823</f>
        <v>36861</v>
      </c>
      <c r="CD825" s="253" t="e">
        <f aca="false">xSPRDOPT((VLOOKUP(G823,NGPrices,2,FALSE())+HLOOKUP(D823,Prices,VLOOKUP(G823,move_down,2,FALSE()),FALSE())),VLOOKUP(G823,NGPrices,2,FALSE()),I823,VLOOKUP(G823,NGPREVPRICES,4,FALSE()),HLOOKUP(D823,PREVVOLS,VLOOKUP(G823,MOVE_DOWN2,2,FALSE()),FALSE()),VLOOKUP(G823,NGPREVPRICES,3,FALSE()),HLOOKUP(D823,Correllate,VLOOKUP(G823,CorMove,2,FALSE()),FALSE()),Q823-$CD$3,R823,$CD$5)*H823-CJ825</f>
        <v>#NAME?</v>
      </c>
      <c r="CE825" s="253" t="e">
        <f aca="false">xSPRDOPT((VLOOKUP(G823,NGPREVPRICES,2,FALSE())+HLOOKUP(D823,PREVCURVES,VLOOKUP(G823,MOVE_DOWN2,2,FALSE()),FALSE())),VLOOKUP(G823,NGPREVPRICES,2,FALSE()),CK825,VLOOKUP(G823,NGPrices,4,FALSE()),HLOOKUP(D823,PREVVOLS,VLOOKUP(G823,MOVE_DOWN2,2,FALSE()),FALSE()),VLOOKUP(G823,NGPREVPRICES,3,FALSE()),HLOOKUP(D823,Correllate,VLOOKUP(G823,CorMove,2,FALSE()),FALSE()),Q823-$CD$3,R823,$CJ$5)*H823-CJ825</f>
        <v>#NAME?</v>
      </c>
      <c r="CF825" s="132" t="e">
        <f aca="false">(CJ825/VLOOKUP(CC825,discount,3,FALSE()))-(CJ825/VLOOKUP(CC825,discount,2,FALSE()))</f>
        <v>#NAME?</v>
      </c>
      <c r="CG825" s="253" t="e">
        <f aca="false">xSPRDOPT((VLOOKUP(G823,NGPREVPRICES,2,FALSE())+HLOOKUP(D823,PREVCURVES,VLOOKUP(G823,MOVE_DOWN2,2,FALSE()),FALSE())),VLOOKUP(G823,NGPREVPRICES,2,FALSE()),CK825,VLOOKUP(G823,NGPREVPRICES,4,FALSE()),HLOOKUP(D823,VOLS,VLOOKUP(G823,move_down,2,FALSE()),FALSE()),VLOOKUP(G823,NGPrices,3,FALSE()),HLOOKUP(D823,Correllate,VLOOKUP(G823,CorMove,2,FALSE()),FALSE()),Q823-$CD$3,R823,$CJ$5)*H823-CJ825</f>
        <v>#NAME?</v>
      </c>
      <c r="CH825" s="253" t="e">
        <f aca="false">xSPRDOPT((VLOOKUP(G823,NGPREVPRICES,2,FALSE())+HLOOKUP(D823,PREVCURVES,VLOOKUP(G823,MOVE_DOWN2,2,FALSE()),FALSE())),VLOOKUP(G823,NGPREVPRICES,2,FALSE()),CK825,VLOOKUP(G823,NGPREVPRICES,4,FALSE()),HLOOKUP(D823,PREVVOLS,VLOOKUP(G823,MOVE_DOWN2,2,FALSE()),FALSE()),VLOOKUP(G823,NGPREVPRICES,3,FALSE()),HLOOKUP(D823,Correllate,VLOOKUP(G823,CorMove,2,FALSE()),FALSE()),Q823-$C$3,R823,$CJ$5)*H823-CJ825</f>
        <v>#NAME?</v>
      </c>
      <c r="CI825" s="253" t="e">
        <f aca="false">SUM(CD825:CH825)</f>
        <v>#NAME?</v>
      </c>
      <c r="CJ825" s="253" t="e">
        <f aca="false">xSPRDOPT((VLOOKUP(G823,NGPREVPRICES,2,FALSE())+HLOOKUP(D823,PREVCURVES,VLOOKUP(G823,MOVE_DOWN2,2,FALSE()),FALSE())),VLOOKUP(G823,NGPREVPRICES,2,FALSE()),CK825,VLOOKUP(G823,NGPREVPRICES,4,FALSE()),HLOOKUP(D823,PREVVOLS,VLOOKUP(G823,MOVE_DOWN2,2,FALSE()),FALSE()),VLOOKUP(G823,NGPREVPRICES,3,FALSE()),HLOOKUP(D823,Correllate,VLOOKUP(G823,CorMove,2,FALSE()),FALSE()),Q823-$CD$3,R823,$CJ$5)*H823</f>
        <v>#NAME?</v>
      </c>
      <c r="CK825" s="254" t="n">
        <f aca="false">I823</f>
        <v>0.5</v>
      </c>
      <c r="CM825" s="0" t="str">
        <f aca="false">CONCATENATE(CC825,$CD$6)</f>
        <v>36861Curve Shift/Gamma</v>
      </c>
      <c r="CN825" s="0" t="str">
        <f aca="false">CONCATENATE($CC825,$CE$6)</f>
        <v>36861Rho</v>
      </c>
      <c r="CO825" s="0" t="str">
        <f aca="false">CONCATENATE($CC825,$CF$6)</f>
        <v>36861Drift</v>
      </c>
      <c r="CP825" s="0" t="str">
        <f aca="false">CONCATENATE($CC825,$CG$6)</f>
        <v>36861Vega</v>
      </c>
      <c r="CQ825" s="0" t="str">
        <f aca="false">CONCATENATE($CC825,$CH$6)</f>
        <v>36861Theta</v>
      </c>
    </row>
    <row r="826" customFormat="false" ht="12.75" hidden="false" customHeight="false" outlineLevel="0" collapsed="false">
      <c r="A826" s="17" t="s">
        <v>244</v>
      </c>
      <c r="B826" s="0" t="s">
        <v>192</v>
      </c>
      <c r="C826" s="0" t="s">
        <v>464</v>
      </c>
      <c r="D826" s="7" t="s">
        <v>137</v>
      </c>
      <c r="E826" s="0" t="s">
        <v>131</v>
      </c>
      <c r="F826" s="0" t="s">
        <v>132</v>
      </c>
      <c r="G826" s="92" t="n">
        <v>36951</v>
      </c>
      <c r="H826" s="248" t="n">
        <v>-1000000</v>
      </c>
      <c r="I826" s="254" t="n">
        <v>0.5</v>
      </c>
      <c r="J826" s="124" t="n">
        <f aca="false">VLOOKUP(G826,NGPrices,2,FALSE())</f>
        <v>4.213</v>
      </c>
      <c r="K826" s="125" t="n">
        <f aca="false">HLOOKUP(D826,Prices,VLOOKUP(G826,move_down,2,FALSE()),FALSE())+VLOOKUP(G826,CHANGE,HLOOKUP(D826,CHANGE,2,FALSE()),FALSE())</f>
        <v>0.5975</v>
      </c>
      <c r="L826" s="124" t="n">
        <f aca="false">K826+J826</f>
        <v>4.8105</v>
      </c>
      <c r="M826" s="126" t="n">
        <f aca="false">VLOOKUP(G826,NGPrices,4,FALSE())</f>
        <v>0.068879814952707</v>
      </c>
      <c r="N826" s="7" t="n">
        <f aca="false">VLOOKUP(G826,NGPrices,3,FALSE())</f>
        <v>0.5325</v>
      </c>
      <c r="O826" s="7" t="n">
        <f aca="false">HLOOKUP(D826,VOLS,VLOOKUP(G826,move_down,2,FALSE()),FALSE())</f>
        <v>0.517</v>
      </c>
      <c r="P826" s="249" t="n">
        <f aca="false">HLOOKUP(D826,Correllate,VLOOKUP(G826,CorMove,2,FALSE()),FALSE())</f>
        <v>0.85</v>
      </c>
      <c r="Q826" s="92" t="n">
        <f aca="false">WORKDAY(G826,-2)</f>
        <v>36949</v>
      </c>
      <c r="R826" s="7" t="n">
        <f aca="false">IF(F826="P",0,1)</f>
        <v>0</v>
      </c>
      <c r="S826" s="130" t="e">
        <f aca="false">xSPRDOPT($L826,$J826,$I826,$M826,$O826,$N826,$P826,$Q826-$C$3,$R826,0)</f>
        <v>#NAME?</v>
      </c>
      <c r="T826" s="250" t="e">
        <f aca="false">xSPRDOPT($L826,$J826,$I826,$M826,$O826,$N826,$P826,$Q826-$C$3,$R826,1)*H826</f>
        <v>#NAME?</v>
      </c>
      <c r="U826" s="43" t="e">
        <f aca="false">S826*H826</f>
        <v>#NAME?</v>
      </c>
      <c r="V826" s="250" t="e">
        <f aca="false">xSPRDOPT($L826,$J826,$I826,$M826,$O826,$N826,$P826,$Q826-$C$3,$R826,2)*H826</f>
        <v>#NAME?</v>
      </c>
      <c r="W826" s="250" t="e">
        <f aca="false">+V826+T826</f>
        <v>#NAME?</v>
      </c>
      <c r="X826" s="2" t="str">
        <f aca="false">CONCATENATE(G826,D826)</f>
        <v>36951NGI-SOCAL</v>
      </c>
      <c r="Y826" s="251" t="n">
        <f aca="false">H826/10000</f>
        <v>-100</v>
      </c>
      <c r="Z826" s="226" t="e">
        <f aca="false">T826/H826</f>
        <v>#NAME?</v>
      </c>
      <c r="AA826" s="226" t="e">
        <f aca="false">xSPRDOPT($L826,$J826,$I826,$M826,$O826,$N826,$P826,$Q826-$C$3,$R826,3)</f>
        <v>#NAME?</v>
      </c>
      <c r="AB826" s="226" t="e">
        <f aca="false">((xSPRDOPT($L826+AB$5,$J826,$I826,$M826,$O826,$N826,$P826,$Q826-$C$3,$R826,3)*$H826)/10000)/100</f>
        <v>#NAME?</v>
      </c>
      <c r="AC826" s="226" t="e">
        <f aca="false">((xSPRDOPT($L826+$AB$5,$J826,$I826,$M826,$O826,$N826,$P826,$Q826-$C$3,$R826,7)*$H826)/100)</f>
        <v>#NAME?</v>
      </c>
      <c r="AD826" s="226" t="e">
        <f aca="false">(xSPRDOPT($L826+$AB$5,$J826,$I826,$M826,$O826,$N826,$P826,$Q826-$C$3,$R826,9)/365)*$H826</f>
        <v>#NAME?</v>
      </c>
      <c r="AE826" s="0" t="e">
        <f aca="false">CD828</f>
        <v>#NAME?</v>
      </c>
      <c r="AF826" s="226" t="e">
        <f aca="false">((O826/N826)*AH826)+AG826</f>
        <v>#NAME?</v>
      </c>
      <c r="AG826" s="226" t="e">
        <f aca="false">((xSPRDOPT($L826,$J826,$I826,$M826,$O826,$N826,$P826,$Q826-$C$3,$R826,6)*$H826)/100)</f>
        <v>#NAME?</v>
      </c>
      <c r="AH826" s="226" t="e">
        <f aca="false">((xSPRDOPT($L826,$J826,$I826,$M826,$O826,$N826,$P826,$Q826-$C$3,$R826,5)*$H826)/100)</f>
        <v>#NAME?</v>
      </c>
      <c r="AI826" s="226" t="e">
        <f aca="false">(((xSPRDOPT($L826,$J826,$I826,$M826,$O826,$N826,$P826,$Q826-$C$3,$R826,4)*$H826)/10000)/100)-AB826</f>
        <v>#NAME?</v>
      </c>
      <c r="AJ826" s="226"/>
      <c r="CC826" s="182" t="n">
        <f aca="false">G824</f>
        <v>36892</v>
      </c>
      <c r="CD826" s="253" t="e">
        <f aca="false">xSPRDOPT((VLOOKUP(G824,NGPrices,2,FALSE())+HLOOKUP(D824,Prices,VLOOKUP(G824,move_down,2,FALSE()),FALSE())),VLOOKUP(G824,NGPrices,2,FALSE()),I824,VLOOKUP(G824,NGPREVPRICES,4,FALSE()),HLOOKUP(D824,PREVVOLS,VLOOKUP(G824,MOVE_DOWN2,2,FALSE()),FALSE()),VLOOKUP(G824,NGPREVPRICES,3,FALSE()),HLOOKUP(D824,Correllate,VLOOKUP(G824,CorMove,2,FALSE()),FALSE()),Q824-$CD$3,R824,$CD$5)*H824-CJ826</f>
        <v>#NAME?</v>
      </c>
      <c r="CE826" s="253" t="e">
        <f aca="false">xSPRDOPT((VLOOKUP(G824,NGPREVPRICES,2,FALSE())+HLOOKUP(D824,PREVCURVES,VLOOKUP(G824,MOVE_DOWN2,2,FALSE()),FALSE())),VLOOKUP(G824,NGPREVPRICES,2,FALSE()),CK826,VLOOKUP(G824,NGPrices,4,FALSE()),HLOOKUP(D824,PREVVOLS,VLOOKUP(G824,MOVE_DOWN2,2,FALSE()),FALSE()),VLOOKUP(G824,NGPREVPRICES,3,FALSE()),HLOOKUP(D824,Correllate,VLOOKUP(G824,CorMove,2,FALSE()),FALSE()),Q824-$CD$3,R824,$CJ$5)*H824-CJ826</f>
        <v>#NAME?</v>
      </c>
      <c r="CF826" s="132" t="e">
        <f aca="false">(CJ826/VLOOKUP(CC826,discount,3,FALSE()))-(CJ826/VLOOKUP(CC826,discount,2,FALSE()))</f>
        <v>#NAME?</v>
      </c>
      <c r="CG826" s="253" t="e">
        <f aca="false">xSPRDOPT((VLOOKUP(G824,NGPREVPRICES,2,FALSE())+HLOOKUP(D824,PREVCURVES,VLOOKUP(G824,MOVE_DOWN2,2,FALSE()),FALSE())),VLOOKUP(G824,NGPREVPRICES,2,FALSE()),CK826,VLOOKUP(G824,NGPREVPRICES,4,FALSE()),HLOOKUP(D824,VOLS,VLOOKUP(G824,move_down,2,FALSE()),FALSE()),VLOOKUP(G824,NGPrices,3,FALSE()),HLOOKUP(D824,Correllate,VLOOKUP(G824,CorMove,2,FALSE()),FALSE()),Q824-$CD$3,R824,$CJ$5)*H824-CJ826</f>
        <v>#NAME?</v>
      </c>
      <c r="CH826" s="253" t="e">
        <f aca="false">xSPRDOPT((VLOOKUP(G824,NGPREVPRICES,2,FALSE())+HLOOKUP(D824,PREVCURVES,VLOOKUP(G824,MOVE_DOWN2,2,FALSE()),FALSE())),VLOOKUP(G824,NGPREVPRICES,2,FALSE()),CK826,VLOOKUP(G824,NGPREVPRICES,4,FALSE()),HLOOKUP(D824,PREVVOLS,VLOOKUP(G824,MOVE_DOWN2,2,FALSE()),FALSE()),VLOOKUP(G824,NGPREVPRICES,3,FALSE()),HLOOKUP(D824,Correllate,VLOOKUP(G824,CorMove,2,FALSE()),FALSE()),Q824-$C$3,R824,$CJ$5)*H824-CJ826</f>
        <v>#NAME?</v>
      </c>
      <c r="CI826" s="253" t="e">
        <f aca="false">SUM(CD826:CH826)</f>
        <v>#NAME?</v>
      </c>
      <c r="CJ826" s="253" t="e">
        <f aca="false">xSPRDOPT((VLOOKUP(G824,NGPREVPRICES,2,FALSE())+HLOOKUP(D824,PREVCURVES,VLOOKUP(G824,MOVE_DOWN2,2,FALSE()),FALSE())),VLOOKUP(G824,NGPREVPRICES,2,FALSE()),CK826,VLOOKUP(G824,NGPREVPRICES,4,FALSE()),HLOOKUP(D824,PREVVOLS,VLOOKUP(G824,MOVE_DOWN2,2,FALSE()),FALSE()),VLOOKUP(G824,NGPREVPRICES,3,FALSE()),HLOOKUP(D824,Correllate,VLOOKUP(G824,CorMove,2,FALSE()),FALSE()),Q824-$CD$3,R824,$CJ$5)*H824</f>
        <v>#NAME?</v>
      </c>
      <c r="CK826" s="254" t="n">
        <f aca="false">I824</f>
        <v>0.5</v>
      </c>
      <c r="CM826" s="0" t="str">
        <f aca="false">CONCATENATE(CC826,$CD$6)</f>
        <v>36892Curve Shift/Gamma</v>
      </c>
      <c r="CN826" s="0" t="str">
        <f aca="false">CONCATENATE($CC826,$CE$6)</f>
        <v>36892Rho</v>
      </c>
      <c r="CO826" s="0" t="str">
        <f aca="false">CONCATENATE($CC826,$CF$6)</f>
        <v>36892Drift</v>
      </c>
      <c r="CP826" s="0" t="str">
        <f aca="false">CONCATENATE($CC826,$CG$6)</f>
        <v>36892Vega</v>
      </c>
      <c r="CQ826" s="0" t="str">
        <f aca="false">CONCATENATE($CC826,$CH$6)</f>
        <v>36892Theta</v>
      </c>
    </row>
    <row r="827" customFormat="false" ht="12.75" hidden="false" customHeight="false" outlineLevel="0" collapsed="false">
      <c r="A827" s="17" t="s">
        <v>465</v>
      </c>
      <c r="B827" s="0" t="s">
        <v>192</v>
      </c>
      <c r="C827" s="0" t="s">
        <v>466</v>
      </c>
      <c r="D827" s="7" t="s">
        <v>158</v>
      </c>
      <c r="E827" s="0" t="s">
        <v>131</v>
      </c>
      <c r="F827" s="0" t="s">
        <v>136</v>
      </c>
      <c r="G827" s="92" t="n">
        <v>36831</v>
      </c>
      <c r="H827" s="248" t="n">
        <v>2500000</v>
      </c>
      <c r="I827" s="254" t="n">
        <v>0.15</v>
      </c>
      <c r="J827" s="124" t="n">
        <f aca="false">VLOOKUP(G827,NGPrices,2,FALSE())</f>
        <v>4.736</v>
      </c>
      <c r="K827" s="125" t="n">
        <f aca="false">HLOOKUP(D827,Prices,VLOOKUP(G827,move_down,2,FALSE()),FALSE())+VLOOKUP(G827,CHANGE,HLOOKUP(D827,CHANGE,2,FALSE()),FALSE())</f>
        <v>-0.175</v>
      </c>
      <c r="L827" s="124" t="n">
        <f aca="false">K827+J827</f>
        <v>4.561</v>
      </c>
      <c r="M827" s="126" t="n">
        <f aca="false">VLOOKUP(G827,NGPrices,4,FALSE())</f>
        <v>0.06810675983792</v>
      </c>
      <c r="N827" s="7" t="n">
        <f aca="false">VLOOKUP(G827,NGPrices,3,FALSE())</f>
        <v>0.595</v>
      </c>
      <c r="O827" s="7" t="n">
        <f aca="false">HLOOKUP(D827,VOLS,VLOOKUP(G827,move_down,2,FALSE()),FALSE())</f>
        <v>0.607</v>
      </c>
      <c r="P827" s="249" t="n">
        <f aca="false">HLOOKUP(D827,Correllate,VLOOKUP(G827,CorMove,2,FALSE()),FALSE())</f>
        <v>0.93</v>
      </c>
      <c r="Q827" s="92" t="n">
        <f aca="false">WORKDAY(G827,-2)</f>
        <v>36829</v>
      </c>
      <c r="R827" s="7" t="n">
        <f aca="false">IF(F827="P",0,1)</f>
        <v>1</v>
      </c>
      <c r="S827" s="130" t="e">
        <f aca="false">xSPRDOPT($L827,$J827,$I827,$M827,$O827,$N827,$P827,$Q827-$C$3,$R827,0)</f>
        <v>#NAME?</v>
      </c>
      <c r="T827" s="250" t="e">
        <f aca="false">xSPRDOPT($L827,$J827,$I827,$M827,$O827,$N827,$P827,$Q827-$C$3,$R827,1)*H827</f>
        <v>#NAME?</v>
      </c>
      <c r="U827" s="43" t="e">
        <f aca="false">S827*H827</f>
        <v>#NAME?</v>
      </c>
      <c r="V827" s="250" t="e">
        <f aca="false">xSPRDOPT($L827,$J827,$I827,$M827,$O827,$N827,$P827,$Q827-$C$3,$R827,2)*H827</f>
        <v>#NAME?</v>
      </c>
      <c r="W827" s="250" t="e">
        <f aca="false">+V827+T827</f>
        <v>#NAME?</v>
      </c>
      <c r="X827" s="2" t="str">
        <f aca="false">CONCATENATE(G827,D827)</f>
        <v>36831IF-NTHWST/CANBR</v>
      </c>
      <c r="Y827" s="251" t="n">
        <f aca="false">H827/10000</f>
        <v>250</v>
      </c>
      <c r="Z827" s="226" t="e">
        <f aca="false">T827/H827</f>
        <v>#NAME?</v>
      </c>
      <c r="AA827" s="226" t="e">
        <f aca="false">xSPRDOPT($L827,$J827,$I827,$M827,$O827,$N827,$P827,$Q827-$C$3,$R827,3)</f>
        <v>#NAME?</v>
      </c>
      <c r="AB827" s="226" t="e">
        <f aca="false">((xSPRDOPT($L827+AB$5,$J827,$I827,$M827,$O827,$N827,$P827,$Q827-$C$3,$R827,3)*$H827)/10000)/100</f>
        <v>#NAME?</v>
      </c>
      <c r="AC827" s="226" t="e">
        <f aca="false">((xSPRDOPT($L827+$AB$5,$J827,$I827,$M827,$O827,$N827,$P827,$Q827-$C$3,$R827,7)*$H827)/100)</f>
        <v>#NAME?</v>
      </c>
      <c r="AD827" s="226" t="e">
        <f aca="false">(xSPRDOPT($L827+$AB$5,$J827,$I827,$M827,$O827,$N827,$P827,$Q827-$C$3,$R827,9)/365)*$H827</f>
        <v>#NAME?</v>
      </c>
      <c r="AE827" s="0" t="e">
        <f aca="false">CD829</f>
        <v>#NAME?</v>
      </c>
      <c r="AF827" s="226" t="e">
        <f aca="false">((O827/N827)*AH827)+AG827</f>
        <v>#NAME?</v>
      </c>
      <c r="AG827" s="226" t="e">
        <f aca="false">((xSPRDOPT($L827,$J827,$I827,$M827,$O827,$N827,$P827,$Q827-$C$3,$R827,6)*$H827)/100)</f>
        <v>#NAME?</v>
      </c>
      <c r="AH827" s="226" t="e">
        <f aca="false">((xSPRDOPT($L827,$J827,$I827,$M827,$O827,$N827,$P827,$Q827-$C$3,$R827,5)*$H827)/100)</f>
        <v>#NAME?</v>
      </c>
      <c r="AI827" s="226" t="e">
        <f aca="false">(((xSPRDOPT($L827,$J827,$I827,$M827,$O827,$N827,$P827,$Q827-$C$3,$R827,4)*$H827)/10000)/100)-AB827</f>
        <v>#NAME?</v>
      </c>
      <c r="AJ827" s="226"/>
      <c r="CC827" s="182" t="n">
        <f aca="false">G825</f>
        <v>36923</v>
      </c>
      <c r="CD827" s="253" t="e">
        <f aca="false">xSPRDOPT((VLOOKUP(G825,NGPrices,2,FALSE())+HLOOKUP(D825,Prices,VLOOKUP(G825,move_down,2,FALSE()),FALSE())),VLOOKUP(G825,NGPrices,2,FALSE()),I825,VLOOKUP(G825,NGPREVPRICES,4,FALSE()),HLOOKUP(D825,PREVVOLS,VLOOKUP(G825,MOVE_DOWN2,2,FALSE()),FALSE()),VLOOKUP(G825,NGPREVPRICES,3,FALSE()),HLOOKUP(D825,Correllate,VLOOKUP(G825,CorMove,2,FALSE()),FALSE()),Q825-$CD$3,R825,$CD$5)*H825-CJ827</f>
        <v>#NAME?</v>
      </c>
      <c r="CE827" s="253" t="e">
        <f aca="false">xSPRDOPT((VLOOKUP(G825,NGPREVPRICES,2,FALSE())+HLOOKUP(D825,PREVCURVES,VLOOKUP(G825,MOVE_DOWN2,2,FALSE()),FALSE())),VLOOKUP(G825,NGPREVPRICES,2,FALSE()),CK827,VLOOKUP(G825,NGPrices,4,FALSE()),HLOOKUP(D825,PREVVOLS,VLOOKUP(G825,MOVE_DOWN2,2,FALSE()),FALSE()),VLOOKUP(G825,NGPREVPRICES,3,FALSE()),HLOOKUP(D825,Correllate,VLOOKUP(G825,CorMove,2,FALSE()),FALSE()),Q825-$CD$3,R825,$CJ$5)*H825-CJ827</f>
        <v>#NAME?</v>
      </c>
      <c r="CF827" s="132" t="e">
        <f aca="false">(CJ827/VLOOKUP(CC827,discount,3,FALSE()))-(CJ827/VLOOKUP(CC827,discount,2,FALSE()))</f>
        <v>#NAME?</v>
      </c>
      <c r="CG827" s="253" t="e">
        <f aca="false">xSPRDOPT((VLOOKUP(G825,NGPREVPRICES,2,FALSE())+HLOOKUP(D825,PREVCURVES,VLOOKUP(G825,MOVE_DOWN2,2,FALSE()),FALSE())),VLOOKUP(G825,NGPREVPRICES,2,FALSE()),CK827,VLOOKUP(G825,NGPREVPRICES,4,FALSE()),HLOOKUP(D825,VOLS,VLOOKUP(G825,move_down,2,FALSE()),FALSE()),VLOOKUP(G825,NGPrices,3,FALSE()),HLOOKUP(D825,Correllate,VLOOKUP(G825,CorMove,2,FALSE()),FALSE()),Q825-$CD$3,R825,$CJ$5)*H825-CJ827</f>
        <v>#NAME?</v>
      </c>
      <c r="CH827" s="253" t="e">
        <f aca="false">xSPRDOPT((VLOOKUP(G825,NGPREVPRICES,2,FALSE())+HLOOKUP(D825,PREVCURVES,VLOOKUP(G825,MOVE_DOWN2,2,FALSE()),FALSE())),VLOOKUP(G825,NGPREVPRICES,2,FALSE()),CK827,VLOOKUP(G825,NGPREVPRICES,4,FALSE()),HLOOKUP(D825,PREVVOLS,VLOOKUP(G825,MOVE_DOWN2,2,FALSE()),FALSE()),VLOOKUP(G825,NGPREVPRICES,3,FALSE()),HLOOKUP(D825,Correllate,VLOOKUP(G825,CorMove,2,FALSE()),FALSE()),Q825-$C$3,R825,$CJ$5)*H825-CJ827</f>
        <v>#NAME?</v>
      </c>
      <c r="CI827" s="253" t="e">
        <f aca="false">SUM(CD827:CH827)</f>
        <v>#NAME?</v>
      </c>
      <c r="CJ827" s="253" t="e">
        <f aca="false">xSPRDOPT((VLOOKUP(G825,NGPREVPRICES,2,FALSE())+HLOOKUP(D825,PREVCURVES,VLOOKUP(G825,MOVE_DOWN2,2,FALSE()),FALSE())),VLOOKUP(G825,NGPREVPRICES,2,FALSE()),CK827,VLOOKUP(G825,NGPREVPRICES,4,FALSE()),HLOOKUP(D825,PREVVOLS,VLOOKUP(G825,MOVE_DOWN2,2,FALSE()),FALSE()),VLOOKUP(G825,NGPREVPRICES,3,FALSE()),HLOOKUP(D825,Correllate,VLOOKUP(G825,CorMove,2,FALSE()),FALSE()),Q825-$CD$3,R825,$CJ$5)*H825</f>
        <v>#NAME?</v>
      </c>
      <c r="CK827" s="254" t="n">
        <f aca="false">I825</f>
        <v>0.5</v>
      </c>
      <c r="CM827" s="0" t="str">
        <f aca="false">CONCATENATE(CC827,$CD$6)</f>
        <v>36923Curve Shift/Gamma</v>
      </c>
      <c r="CN827" s="0" t="str">
        <f aca="false">CONCATENATE($CC827,$CE$6)</f>
        <v>36923Rho</v>
      </c>
      <c r="CO827" s="0" t="str">
        <f aca="false">CONCATENATE($CC827,$CF$6)</f>
        <v>36923Drift</v>
      </c>
      <c r="CP827" s="0" t="str">
        <f aca="false">CONCATENATE($CC827,$CG$6)</f>
        <v>36923Vega</v>
      </c>
      <c r="CQ827" s="0" t="str">
        <f aca="false">CONCATENATE($CC827,$CH$6)</f>
        <v>36923Theta</v>
      </c>
    </row>
    <row r="828" customFormat="false" ht="12.75" hidden="false" customHeight="false" outlineLevel="0" collapsed="false">
      <c r="A828" s="17" t="s">
        <v>465</v>
      </c>
      <c r="B828" s="0" t="s">
        <v>192</v>
      </c>
      <c r="C828" s="0" t="s">
        <v>466</v>
      </c>
      <c r="D828" s="7" t="s">
        <v>158</v>
      </c>
      <c r="E828" s="0" t="s">
        <v>131</v>
      </c>
      <c r="F828" s="0" t="s">
        <v>136</v>
      </c>
      <c r="G828" s="92" t="n">
        <v>36861</v>
      </c>
      <c r="H828" s="248" t="n">
        <v>2500000</v>
      </c>
      <c r="I828" s="254" t="n">
        <v>0.15</v>
      </c>
      <c r="J828" s="124" t="n">
        <f aca="false">VLOOKUP(G828,NGPrices,2,FALSE())</f>
        <v>4.8</v>
      </c>
      <c r="K828" s="125" t="n">
        <f aca="false">HLOOKUP(D828,Prices,VLOOKUP(G828,move_down,2,FALSE()),FALSE())+VLOOKUP(G828,CHANGE,HLOOKUP(D828,CHANGE,2,FALSE()),FALSE())</f>
        <v>0.53</v>
      </c>
      <c r="L828" s="124" t="n">
        <f aca="false">K828+J828</f>
        <v>5.33</v>
      </c>
      <c r="M828" s="126" t="n">
        <f aca="false">VLOOKUP(G828,NGPrices,4,FALSE())</f>
        <v>0.068314027999354</v>
      </c>
      <c r="N828" s="7" t="n">
        <f aca="false">VLOOKUP(G828,NGPrices,3,FALSE())</f>
        <v>0.6</v>
      </c>
      <c r="O828" s="7" t="n">
        <f aca="false">HLOOKUP(D828,VOLS,VLOOKUP(G828,move_down,2,FALSE()),FALSE())</f>
        <v>0.612</v>
      </c>
      <c r="P828" s="249" t="n">
        <f aca="false">HLOOKUP(D828,Correllate,VLOOKUP(G828,CorMove,2,FALSE()),FALSE())</f>
        <v>0.93</v>
      </c>
      <c r="Q828" s="92" t="n">
        <f aca="false">WORKDAY(G828,-2)</f>
        <v>36859</v>
      </c>
      <c r="R828" s="7" t="n">
        <f aca="false">IF(F828="P",0,1)</f>
        <v>1</v>
      </c>
      <c r="S828" s="130" t="e">
        <f aca="false">xSPRDOPT($L828,$J828,$I828,$M828,$O828,$N828,$P828,$Q828-$C$3,$R828,0)</f>
        <v>#NAME?</v>
      </c>
      <c r="T828" s="250" t="e">
        <f aca="false">xSPRDOPT($L828,$J828,$I828,$M828,$O828,$N828,$P828,$Q828-$C$3,$R828,1)*H828</f>
        <v>#NAME?</v>
      </c>
      <c r="U828" s="43" t="e">
        <f aca="false">S828*H828</f>
        <v>#NAME?</v>
      </c>
      <c r="V828" s="250" t="e">
        <f aca="false">xSPRDOPT($L828,$J828,$I828,$M828,$O828,$N828,$P828,$Q828-$C$3,$R828,2)*H828</f>
        <v>#NAME?</v>
      </c>
      <c r="W828" s="250" t="e">
        <f aca="false">+V828+T828</f>
        <v>#NAME?</v>
      </c>
      <c r="X828" s="2" t="str">
        <f aca="false">CONCATENATE(G828,D828)</f>
        <v>36861IF-NTHWST/CANBR</v>
      </c>
      <c r="Y828" s="251" t="n">
        <f aca="false">H828/10000</f>
        <v>250</v>
      </c>
      <c r="Z828" s="226" t="e">
        <f aca="false">T828/H828</f>
        <v>#NAME?</v>
      </c>
      <c r="AA828" s="226" t="e">
        <f aca="false">xSPRDOPT($L828,$J828,$I828,$M828,$O828,$N828,$P828,$Q828-$C$3,$R828,3)</f>
        <v>#NAME?</v>
      </c>
      <c r="AB828" s="226" t="e">
        <f aca="false">((xSPRDOPT($L828+AB$5,$J828,$I828,$M828,$O828,$N828,$P828,$Q828-$C$3,$R828,3)*$H828)/10000)/100</f>
        <v>#NAME?</v>
      </c>
      <c r="AC828" s="226" t="e">
        <f aca="false">((xSPRDOPT($L828+$AB$5,$J828,$I828,$M828,$O828,$N828,$P828,$Q828-$C$3,$R828,7)*$H828)/100)</f>
        <v>#NAME?</v>
      </c>
      <c r="AD828" s="226" t="e">
        <f aca="false">(xSPRDOPT($L828+$AB$5,$J828,$I828,$M828,$O828,$N828,$P828,$Q828-$C$3,$R828,9)/365)*$H828</f>
        <v>#NAME?</v>
      </c>
      <c r="AE828" s="0" t="e">
        <f aca="false">CD830</f>
        <v>#NAME?</v>
      </c>
      <c r="AF828" s="226" t="e">
        <f aca="false">((O828/N828)*AH828)+AG828</f>
        <v>#NAME?</v>
      </c>
      <c r="AG828" s="226" t="e">
        <f aca="false">((xSPRDOPT($L828,$J828,$I828,$M828,$O828,$N828,$P828,$Q828-$C$3,$R828,6)*$H828)/100)</f>
        <v>#NAME?</v>
      </c>
      <c r="AH828" s="226" t="e">
        <f aca="false">((xSPRDOPT($L828,$J828,$I828,$M828,$O828,$N828,$P828,$Q828-$C$3,$R828,5)*$H828)/100)</f>
        <v>#NAME?</v>
      </c>
      <c r="AI828" s="226" t="e">
        <f aca="false">(((xSPRDOPT($L828,$J828,$I828,$M828,$O828,$N828,$P828,$Q828-$C$3,$R828,4)*$H828)/10000)/100)-AB828</f>
        <v>#NAME?</v>
      </c>
      <c r="AJ828" s="226"/>
      <c r="CC828" s="182" t="n">
        <f aca="false">G826</f>
        <v>36951</v>
      </c>
      <c r="CD828" s="253" t="e">
        <f aca="false">xSPRDOPT((VLOOKUP(G826,NGPrices,2,FALSE())+HLOOKUP(D826,Prices,VLOOKUP(G826,move_down,2,FALSE()),FALSE())),VLOOKUP(G826,NGPrices,2,FALSE()),I826,VLOOKUP(G826,NGPREVPRICES,4,FALSE()),HLOOKUP(D826,PREVVOLS,VLOOKUP(G826,MOVE_DOWN2,2,FALSE()),FALSE()),VLOOKUP(G826,NGPREVPRICES,3,FALSE()),HLOOKUP(D826,Correllate,VLOOKUP(G826,CorMove,2,FALSE()),FALSE()),Q826-$CD$3,R826,$CD$5)*H826-CJ828</f>
        <v>#NAME?</v>
      </c>
      <c r="CE828" s="253" t="e">
        <f aca="false">xSPRDOPT((VLOOKUP(G826,NGPREVPRICES,2,FALSE())+HLOOKUP(D826,PREVCURVES,VLOOKUP(G826,MOVE_DOWN2,2,FALSE()),FALSE())),VLOOKUP(G826,NGPREVPRICES,2,FALSE()),CK828,VLOOKUP(G826,NGPrices,4,FALSE()),HLOOKUP(D826,PREVVOLS,VLOOKUP(G826,MOVE_DOWN2,2,FALSE()),FALSE()),VLOOKUP(G826,NGPREVPRICES,3,FALSE()),HLOOKUP(D826,Correllate,VLOOKUP(G826,CorMove,2,FALSE()),FALSE()),Q826-$CD$3,R826,$CJ$5)*H826-CJ828</f>
        <v>#NAME?</v>
      </c>
      <c r="CF828" s="132" t="e">
        <f aca="false">(CJ828/VLOOKUP(CC828,discount,3,FALSE()))-(CJ828/VLOOKUP(CC828,discount,2,FALSE()))</f>
        <v>#NAME?</v>
      </c>
      <c r="CG828" s="253" t="e">
        <f aca="false">xSPRDOPT((VLOOKUP(G826,NGPREVPRICES,2,FALSE())+HLOOKUP(D826,PREVCURVES,VLOOKUP(G826,MOVE_DOWN2,2,FALSE()),FALSE())),VLOOKUP(G826,NGPREVPRICES,2,FALSE()),CK828,VLOOKUP(G826,NGPREVPRICES,4,FALSE()),HLOOKUP(D826,VOLS,VLOOKUP(G826,move_down,2,FALSE()),FALSE()),VLOOKUP(G826,NGPrices,3,FALSE()),HLOOKUP(D826,Correllate,VLOOKUP(G826,CorMove,2,FALSE()),FALSE()),Q826-$CD$3,R826,$CJ$5)*H826-CJ828</f>
        <v>#NAME?</v>
      </c>
      <c r="CH828" s="253" t="e">
        <f aca="false">xSPRDOPT((VLOOKUP(G826,NGPREVPRICES,2,FALSE())+HLOOKUP(D826,PREVCURVES,VLOOKUP(G826,MOVE_DOWN2,2,FALSE()),FALSE())),VLOOKUP(G826,NGPREVPRICES,2,FALSE()),CK828,VLOOKUP(G826,NGPREVPRICES,4,FALSE()),HLOOKUP(D826,PREVVOLS,VLOOKUP(G826,MOVE_DOWN2,2,FALSE()),FALSE()),VLOOKUP(G826,NGPREVPRICES,3,FALSE()),HLOOKUP(D826,Correllate,VLOOKUP(G826,CorMove,2,FALSE()),FALSE()),Q826-$C$3,R826,$CJ$5)*H826-CJ828</f>
        <v>#NAME?</v>
      </c>
      <c r="CI828" s="253" t="e">
        <f aca="false">SUM(CD828:CH828)</f>
        <v>#NAME?</v>
      </c>
      <c r="CJ828" s="253" t="e">
        <f aca="false">xSPRDOPT((VLOOKUP(G826,NGPREVPRICES,2,FALSE())+HLOOKUP(D826,PREVCURVES,VLOOKUP(G826,MOVE_DOWN2,2,FALSE()),FALSE())),VLOOKUP(G826,NGPREVPRICES,2,FALSE()),CK828,VLOOKUP(G826,NGPREVPRICES,4,FALSE()),HLOOKUP(D826,PREVVOLS,VLOOKUP(G826,MOVE_DOWN2,2,FALSE()),FALSE()),VLOOKUP(G826,NGPREVPRICES,3,FALSE()),HLOOKUP(D826,Correllate,VLOOKUP(G826,CorMove,2,FALSE()),FALSE()),Q826-$CD$3,R826,$CJ$5)*H826</f>
        <v>#NAME?</v>
      </c>
      <c r="CK828" s="254" t="n">
        <f aca="false">I826</f>
        <v>0.5</v>
      </c>
      <c r="CM828" s="0" t="str">
        <f aca="false">CONCATENATE(CC828,$CD$6)</f>
        <v>36951Curve Shift/Gamma</v>
      </c>
      <c r="CN828" s="0" t="str">
        <f aca="false">CONCATENATE($CC828,$CE$6)</f>
        <v>36951Rho</v>
      </c>
      <c r="CO828" s="0" t="str">
        <f aca="false">CONCATENATE($CC828,$CF$6)</f>
        <v>36951Drift</v>
      </c>
      <c r="CP828" s="0" t="str">
        <f aca="false">CONCATENATE($CC828,$CG$6)</f>
        <v>36951Vega</v>
      </c>
      <c r="CQ828" s="0" t="str">
        <f aca="false">CONCATENATE($CC828,$CH$6)</f>
        <v>36951Theta</v>
      </c>
    </row>
    <row r="829" customFormat="false" ht="12.75" hidden="false" customHeight="false" outlineLevel="0" collapsed="false">
      <c r="A829" s="17" t="s">
        <v>465</v>
      </c>
      <c r="B829" s="0" t="s">
        <v>192</v>
      </c>
      <c r="C829" s="0" t="s">
        <v>466</v>
      </c>
      <c r="D829" s="7" t="s">
        <v>158</v>
      </c>
      <c r="E829" s="0" t="s">
        <v>131</v>
      </c>
      <c r="F829" s="0" t="s">
        <v>136</v>
      </c>
      <c r="G829" s="92" t="n">
        <v>36892</v>
      </c>
      <c r="H829" s="248" t="n">
        <v>2500000</v>
      </c>
      <c r="I829" s="254" t="n">
        <v>0.15</v>
      </c>
      <c r="J829" s="124" t="n">
        <f aca="false">VLOOKUP(G829,NGPrices,2,FALSE())</f>
        <v>4.744</v>
      </c>
      <c r="K829" s="125" t="n">
        <f aca="false">HLOOKUP(D829,Prices,VLOOKUP(G829,move_down,2,FALSE()),FALSE())+VLOOKUP(G829,CHANGE,HLOOKUP(D829,CHANGE,2,FALSE()),FALSE())</f>
        <v>0.53</v>
      </c>
      <c r="L829" s="124" t="n">
        <f aca="false">K829+J829</f>
        <v>5.274</v>
      </c>
      <c r="M829" s="126" t="n">
        <f aca="false">VLOOKUP(G829,NGPrices,4,FALSE())</f>
        <v>0.068374831148491</v>
      </c>
      <c r="N829" s="7" t="n">
        <f aca="false">VLOOKUP(G829,NGPrices,3,FALSE())</f>
        <v>0.605</v>
      </c>
      <c r="O829" s="7" t="n">
        <f aca="false">HLOOKUP(D829,VOLS,VLOOKUP(G829,move_down,2,FALSE()),FALSE())</f>
        <v>0.617</v>
      </c>
      <c r="P829" s="249" t="n">
        <f aca="false">HLOOKUP(D829,Correllate,VLOOKUP(G829,CorMove,2,FALSE()),FALSE())</f>
        <v>0.93</v>
      </c>
      <c r="Q829" s="92" t="n">
        <f aca="false">WORKDAY(G829,-2)</f>
        <v>36888</v>
      </c>
      <c r="R829" s="7" t="n">
        <f aca="false">IF(F829="P",0,1)</f>
        <v>1</v>
      </c>
      <c r="S829" s="130" t="e">
        <f aca="false">xSPRDOPT($L829,$J829,$I829,$M829,$O829,$N829,$P829,$Q829-$C$3,$R829,0)</f>
        <v>#NAME?</v>
      </c>
      <c r="T829" s="250" t="e">
        <f aca="false">xSPRDOPT($L829,$J829,$I829,$M829,$O829,$N829,$P829,$Q829-$C$3,$R829,1)*H829</f>
        <v>#NAME?</v>
      </c>
      <c r="U829" s="43" t="e">
        <f aca="false">S829*H829</f>
        <v>#NAME?</v>
      </c>
      <c r="V829" s="250" t="e">
        <f aca="false">xSPRDOPT($L829,$J829,$I829,$M829,$O829,$N829,$P829,$Q829-$C$3,$R829,2)*H829</f>
        <v>#NAME?</v>
      </c>
      <c r="W829" s="250" t="e">
        <f aca="false">+V829+T829</f>
        <v>#NAME?</v>
      </c>
      <c r="X829" s="2" t="str">
        <f aca="false">CONCATENATE(G829,D829)</f>
        <v>36892IF-NTHWST/CANBR</v>
      </c>
      <c r="Y829" s="251" t="n">
        <f aca="false">H829/10000</f>
        <v>250</v>
      </c>
      <c r="Z829" s="226" t="e">
        <f aca="false">T829/H829</f>
        <v>#NAME?</v>
      </c>
      <c r="AA829" s="226" t="e">
        <f aca="false">xSPRDOPT($L829,$J829,$I829,$M829,$O829,$N829,$P829,$Q829-$C$3,$R829,3)</f>
        <v>#NAME?</v>
      </c>
      <c r="AB829" s="226" t="e">
        <f aca="false">((xSPRDOPT($L829+AB$5,$J829,$I829,$M829,$O829,$N829,$P829,$Q829-$C$3,$R829,3)*$H829)/10000)/100</f>
        <v>#NAME?</v>
      </c>
      <c r="AC829" s="226" t="e">
        <f aca="false">((xSPRDOPT($L829+$AB$5,$J829,$I829,$M829,$O829,$N829,$P829,$Q829-$C$3,$R829,7)*$H829)/100)</f>
        <v>#NAME?</v>
      </c>
      <c r="AD829" s="226" t="e">
        <f aca="false">(xSPRDOPT($L829+$AB$5,$J829,$I829,$M829,$O829,$N829,$P829,$Q829-$C$3,$R829,9)/365)*$H829</f>
        <v>#NAME?</v>
      </c>
      <c r="AE829" s="0" t="e">
        <f aca="false">CD831</f>
        <v>#NAME?</v>
      </c>
      <c r="AF829" s="226" t="e">
        <f aca="false">((O829/N829)*AH829)+AG829</f>
        <v>#NAME?</v>
      </c>
      <c r="AG829" s="226" t="e">
        <f aca="false">((xSPRDOPT($L829,$J829,$I829,$M829,$O829,$N829,$P829,$Q829-$C$3,$R829,6)*$H829)/100)</f>
        <v>#NAME?</v>
      </c>
      <c r="AH829" s="226" t="e">
        <f aca="false">((xSPRDOPT($L829,$J829,$I829,$M829,$O829,$N829,$P829,$Q829-$C$3,$R829,5)*$H829)/100)</f>
        <v>#NAME?</v>
      </c>
      <c r="AI829" s="226" t="e">
        <f aca="false">(((xSPRDOPT($L829,$J829,$I829,$M829,$O829,$N829,$P829,$Q829-$C$3,$R829,4)*$H829)/10000)/100)-AB829</f>
        <v>#NAME?</v>
      </c>
      <c r="AJ829" s="226"/>
      <c r="CC829" s="182" t="n">
        <f aca="false">G827</f>
        <v>36831</v>
      </c>
      <c r="CD829" s="253" t="e">
        <f aca="false">xSPRDOPT((VLOOKUP(G827,NGPrices,2,FALSE())+HLOOKUP(D827,Prices,VLOOKUP(G827,move_down,2,FALSE()),FALSE())),VLOOKUP(G827,NGPrices,2,FALSE()),I827,VLOOKUP(G827,NGPREVPRICES,4,FALSE()),HLOOKUP(D827,PREVVOLS,VLOOKUP(G827,MOVE_DOWN2,2,FALSE()),FALSE()),VLOOKUP(G827,NGPREVPRICES,3,FALSE()),HLOOKUP(D827,Correllate,VLOOKUP(G827,CorMove,2,FALSE()),FALSE()),Q827-$CD$3,R827,$CD$5)*H827-CJ829</f>
        <v>#NAME?</v>
      </c>
      <c r="CE829" s="253" t="e">
        <f aca="false">xSPRDOPT((VLOOKUP(G827,NGPREVPRICES,2,FALSE())+HLOOKUP(D827,PREVCURVES,VLOOKUP(G827,MOVE_DOWN2,2,FALSE()),FALSE())),VLOOKUP(G827,NGPREVPRICES,2,FALSE()),CK829,VLOOKUP(G827,NGPrices,4,FALSE()),HLOOKUP(D827,PREVVOLS,VLOOKUP(G827,MOVE_DOWN2,2,FALSE()),FALSE()),VLOOKUP(G827,NGPREVPRICES,3,FALSE()),HLOOKUP(D827,Correllate,VLOOKUP(G827,CorMove,2,FALSE()),FALSE()),Q827-$CD$3,R827,$CJ$5)*H827-CJ829</f>
        <v>#NAME?</v>
      </c>
      <c r="CF829" s="132" t="e">
        <f aca="false">(CJ829/VLOOKUP(CC829,discount,3,FALSE()))-(CJ829/VLOOKUP(CC829,discount,2,FALSE()))</f>
        <v>#NAME?</v>
      </c>
      <c r="CG829" s="253" t="e">
        <f aca="false">xSPRDOPT((VLOOKUP(G827,NGPREVPRICES,2,FALSE())+HLOOKUP(D827,PREVCURVES,VLOOKUP(G827,MOVE_DOWN2,2,FALSE()),FALSE())),VLOOKUP(G827,NGPREVPRICES,2,FALSE()),CK829,VLOOKUP(G827,NGPREVPRICES,4,FALSE()),HLOOKUP(D827,VOLS,VLOOKUP(G827,move_down,2,FALSE()),FALSE()),VLOOKUP(G827,NGPrices,3,FALSE()),HLOOKUP(D827,Correllate,VLOOKUP(G827,CorMove,2,FALSE()),FALSE()),Q827-$CD$3,R827,$CJ$5)*H827-CJ829</f>
        <v>#NAME?</v>
      </c>
      <c r="CH829" s="253" t="e">
        <f aca="false">xSPRDOPT((VLOOKUP(G827,NGPREVPRICES,2,FALSE())+HLOOKUP(D827,PREVCURVES,VLOOKUP(G827,MOVE_DOWN2,2,FALSE()),FALSE())),VLOOKUP(G827,NGPREVPRICES,2,FALSE()),CK829,VLOOKUP(G827,NGPREVPRICES,4,FALSE()),HLOOKUP(D827,PREVVOLS,VLOOKUP(G827,MOVE_DOWN2,2,FALSE()),FALSE()),VLOOKUP(G827,NGPREVPRICES,3,FALSE()),HLOOKUP(D827,Correllate,VLOOKUP(G827,CorMove,2,FALSE()),FALSE()),Q827-$C$3,R827,$CJ$5)*H827-CJ829</f>
        <v>#NAME?</v>
      </c>
      <c r="CI829" s="253" t="e">
        <f aca="false">SUM(CD829:CH829)</f>
        <v>#NAME?</v>
      </c>
      <c r="CJ829" s="253" t="e">
        <f aca="false">xSPRDOPT((VLOOKUP(G827,NGPREVPRICES,2,FALSE())+HLOOKUP(D827,PREVCURVES,VLOOKUP(G827,MOVE_DOWN2,2,FALSE()),FALSE())),VLOOKUP(G827,NGPREVPRICES,2,FALSE()),CK829,VLOOKUP(G827,NGPREVPRICES,4,FALSE()),HLOOKUP(D827,PREVVOLS,VLOOKUP(G827,MOVE_DOWN2,2,FALSE()),FALSE()),VLOOKUP(G827,NGPREVPRICES,3,FALSE()),HLOOKUP(D827,Correllate,VLOOKUP(G827,CorMove,2,FALSE()),FALSE()),Q827-$CD$3,R827,$CJ$5)*H827</f>
        <v>#NAME?</v>
      </c>
      <c r="CK829" s="254" t="n">
        <f aca="false">I827</f>
        <v>0.15</v>
      </c>
      <c r="CM829" s="0" t="str">
        <f aca="false">CONCATENATE(CC829,$CD$6)</f>
        <v>36831Curve Shift/Gamma</v>
      </c>
      <c r="CN829" s="0" t="str">
        <f aca="false">CONCATENATE($CC829,$CE$6)</f>
        <v>36831Rho</v>
      </c>
      <c r="CO829" s="0" t="str">
        <f aca="false">CONCATENATE($CC829,$CF$6)</f>
        <v>36831Drift</v>
      </c>
      <c r="CP829" s="0" t="str">
        <f aca="false">CONCATENATE($CC829,$CG$6)</f>
        <v>36831Vega</v>
      </c>
      <c r="CQ829" s="0" t="str">
        <f aca="false">CONCATENATE($CC829,$CH$6)</f>
        <v>36831Theta</v>
      </c>
    </row>
    <row r="830" customFormat="false" ht="12.75" hidden="false" customHeight="false" outlineLevel="0" collapsed="false">
      <c r="A830" s="17" t="s">
        <v>465</v>
      </c>
      <c r="B830" s="0" t="s">
        <v>192</v>
      </c>
      <c r="C830" s="0" t="s">
        <v>466</v>
      </c>
      <c r="D830" s="7" t="s">
        <v>158</v>
      </c>
      <c r="E830" s="0" t="s">
        <v>131</v>
      </c>
      <c r="F830" s="0" t="s">
        <v>136</v>
      </c>
      <c r="G830" s="92" t="n">
        <v>36923</v>
      </c>
      <c r="H830" s="248" t="n">
        <v>2500000</v>
      </c>
      <c r="I830" s="254" t="n">
        <v>0.15</v>
      </c>
      <c r="J830" s="124" t="n">
        <f aca="false">VLOOKUP(G830,NGPrices,2,FALSE())</f>
        <v>4.48</v>
      </c>
      <c r="K830" s="125" t="n">
        <f aca="false">HLOOKUP(D830,Prices,VLOOKUP(G830,move_down,2,FALSE()),FALSE())+VLOOKUP(G830,CHANGE,HLOOKUP(D830,CHANGE,2,FALSE()),FALSE())</f>
        <v>0.345</v>
      </c>
      <c r="L830" s="124" t="n">
        <f aca="false">K830+J830</f>
        <v>4.825</v>
      </c>
      <c r="M830" s="126" t="n">
        <f aca="false">VLOOKUP(G830,NGPrices,4,FALSE())</f>
        <v>0.068640161611372</v>
      </c>
      <c r="N830" s="7" t="n">
        <f aca="false">VLOOKUP(G830,NGPrices,3,FALSE())</f>
        <v>0.5925</v>
      </c>
      <c r="O830" s="7" t="n">
        <f aca="false">HLOOKUP(D830,VOLS,VLOOKUP(G830,move_down,2,FALSE()),FALSE())</f>
        <v>0.604</v>
      </c>
      <c r="P830" s="249" t="n">
        <f aca="false">HLOOKUP(D830,Correllate,VLOOKUP(G830,CorMove,2,FALSE()),FALSE())</f>
        <v>0.93</v>
      </c>
      <c r="Q830" s="92" t="n">
        <f aca="false">WORKDAY(G830,-2)</f>
        <v>36921</v>
      </c>
      <c r="R830" s="7" t="n">
        <f aca="false">IF(F830="P",0,1)</f>
        <v>1</v>
      </c>
      <c r="S830" s="130" t="e">
        <f aca="false">xSPRDOPT($L830,$J830,$I830,$M830,$O830,$N830,$P830,$Q830-$C$3,$R830,0)</f>
        <v>#NAME?</v>
      </c>
      <c r="T830" s="250" t="e">
        <f aca="false">xSPRDOPT($L830,$J830,$I830,$M830,$O830,$N830,$P830,$Q830-$C$3,$R830,1)*H830</f>
        <v>#NAME?</v>
      </c>
      <c r="U830" s="43" t="e">
        <f aca="false">S830*H830</f>
        <v>#NAME?</v>
      </c>
      <c r="V830" s="250" t="e">
        <f aca="false">xSPRDOPT($L830,$J830,$I830,$M830,$O830,$N830,$P830,$Q830-$C$3,$R830,2)*H830</f>
        <v>#NAME?</v>
      </c>
      <c r="W830" s="250" t="e">
        <f aca="false">+V830+T830</f>
        <v>#NAME?</v>
      </c>
      <c r="X830" s="2" t="str">
        <f aca="false">CONCATENATE(G830,D830)</f>
        <v>36923IF-NTHWST/CANBR</v>
      </c>
      <c r="Y830" s="251" t="n">
        <f aca="false">H830/10000</f>
        <v>250</v>
      </c>
      <c r="Z830" s="226" t="e">
        <f aca="false">T830/H830</f>
        <v>#NAME?</v>
      </c>
      <c r="AA830" s="226" t="e">
        <f aca="false">xSPRDOPT($L830,$J830,$I830,$M830,$O830,$N830,$P830,$Q830-$C$3,$R830,3)</f>
        <v>#NAME?</v>
      </c>
      <c r="AB830" s="226" t="e">
        <f aca="false">((xSPRDOPT($L830+AB$5,$J830,$I830,$M830,$O830,$N830,$P830,$Q830-$C$3,$R830,3)*$H830)/10000)/100</f>
        <v>#NAME?</v>
      </c>
      <c r="AC830" s="226" t="e">
        <f aca="false">((xSPRDOPT($L830+$AB$5,$J830,$I830,$M830,$O830,$N830,$P830,$Q830-$C$3,$R830,7)*$H830)/100)</f>
        <v>#NAME?</v>
      </c>
      <c r="AD830" s="226" t="e">
        <f aca="false">(xSPRDOPT($L830+$AB$5,$J830,$I830,$M830,$O830,$N830,$P830,$Q830-$C$3,$R830,9)/365)*$H830</f>
        <v>#NAME?</v>
      </c>
      <c r="AE830" s="0" t="e">
        <f aca="false">CD832</f>
        <v>#NAME?</v>
      </c>
      <c r="AF830" s="226" t="e">
        <f aca="false">((O830/N830)*AH830)+AG830</f>
        <v>#NAME?</v>
      </c>
      <c r="AG830" s="226" t="e">
        <f aca="false">((xSPRDOPT($L830,$J830,$I830,$M830,$O830,$N830,$P830,$Q830-$C$3,$R830,6)*$H830)/100)</f>
        <v>#NAME?</v>
      </c>
      <c r="AH830" s="226" t="e">
        <f aca="false">((xSPRDOPT($L830,$J830,$I830,$M830,$O830,$N830,$P830,$Q830-$C$3,$R830,5)*$H830)/100)</f>
        <v>#NAME?</v>
      </c>
      <c r="AI830" s="226" t="e">
        <f aca="false">(((xSPRDOPT($L830,$J830,$I830,$M830,$O830,$N830,$P830,$Q830-$C$3,$R830,4)*$H830)/10000)/100)-AB830</f>
        <v>#NAME?</v>
      </c>
      <c r="AJ830" s="226"/>
      <c r="CC830" s="182" t="n">
        <f aca="false">G828</f>
        <v>36861</v>
      </c>
      <c r="CD830" s="253" t="e">
        <f aca="false">xSPRDOPT((VLOOKUP(G828,NGPrices,2,FALSE())+HLOOKUP(D828,Prices,VLOOKUP(G828,move_down,2,FALSE()),FALSE())),VLOOKUP(G828,NGPrices,2,FALSE()),I828,VLOOKUP(G828,NGPREVPRICES,4,FALSE()),HLOOKUP(D828,PREVVOLS,VLOOKUP(G828,MOVE_DOWN2,2,FALSE()),FALSE()),VLOOKUP(G828,NGPREVPRICES,3,FALSE()),HLOOKUP(D828,Correllate,VLOOKUP(G828,CorMove,2,FALSE()),FALSE()),Q828-$CD$3,R828,$CD$5)*H828-CJ830</f>
        <v>#NAME?</v>
      </c>
      <c r="CE830" s="253" t="e">
        <f aca="false">xSPRDOPT((VLOOKUP(G828,NGPREVPRICES,2,FALSE())+HLOOKUP(D828,PREVCURVES,VLOOKUP(G828,MOVE_DOWN2,2,FALSE()),FALSE())),VLOOKUP(G828,NGPREVPRICES,2,FALSE()),CK830,VLOOKUP(G828,NGPrices,4,FALSE()),HLOOKUP(D828,PREVVOLS,VLOOKUP(G828,MOVE_DOWN2,2,FALSE()),FALSE()),VLOOKUP(G828,NGPREVPRICES,3,FALSE()),HLOOKUP(D828,Correllate,VLOOKUP(G828,CorMove,2,FALSE()),FALSE()),Q828-$CD$3,R828,$CJ$5)*H828-CJ830</f>
        <v>#NAME?</v>
      </c>
      <c r="CF830" s="132" t="e">
        <f aca="false">(CJ830/VLOOKUP(CC830,discount,3,FALSE()))-(CJ830/VLOOKUP(CC830,discount,2,FALSE()))</f>
        <v>#NAME?</v>
      </c>
      <c r="CG830" s="253" t="e">
        <f aca="false">xSPRDOPT((VLOOKUP(G828,NGPREVPRICES,2,FALSE())+HLOOKUP(D828,PREVCURVES,VLOOKUP(G828,MOVE_DOWN2,2,FALSE()),FALSE())),VLOOKUP(G828,NGPREVPRICES,2,FALSE()),CK830,VLOOKUP(G828,NGPREVPRICES,4,FALSE()),HLOOKUP(D828,VOLS,VLOOKUP(G828,move_down,2,FALSE()),FALSE()),VLOOKUP(G828,NGPrices,3,FALSE()),HLOOKUP(D828,Correllate,VLOOKUP(G828,CorMove,2,FALSE()),FALSE()),Q828-$CD$3,R828,$CJ$5)*H828-CJ830</f>
        <v>#NAME?</v>
      </c>
      <c r="CH830" s="253" t="e">
        <f aca="false">xSPRDOPT((VLOOKUP(G828,NGPREVPRICES,2,FALSE())+HLOOKUP(D828,PREVCURVES,VLOOKUP(G828,MOVE_DOWN2,2,FALSE()),FALSE())),VLOOKUP(G828,NGPREVPRICES,2,FALSE()),CK830,VLOOKUP(G828,NGPREVPRICES,4,FALSE()),HLOOKUP(D828,PREVVOLS,VLOOKUP(G828,MOVE_DOWN2,2,FALSE()),FALSE()),VLOOKUP(G828,NGPREVPRICES,3,FALSE()),HLOOKUP(D828,Correllate,VLOOKUP(G828,CorMove,2,FALSE()),FALSE()),Q828-$C$3,R828,$CJ$5)*H828-CJ830</f>
        <v>#NAME?</v>
      </c>
      <c r="CI830" s="253" t="e">
        <f aca="false">SUM(CD830:CH830)</f>
        <v>#NAME?</v>
      </c>
      <c r="CJ830" s="253" t="e">
        <f aca="false">xSPRDOPT((VLOOKUP(G828,NGPREVPRICES,2,FALSE())+HLOOKUP(D828,PREVCURVES,VLOOKUP(G828,MOVE_DOWN2,2,FALSE()),FALSE())),VLOOKUP(G828,NGPREVPRICES,2,FALSE()),CK830,VLOOKUP(G828,NGPREVPRICES,4,FALSE()),HLOOKUP(D828,PREVVOLS,VLOOKUP(G828,MOVE_DOWN2,2,FALSE()),FALSE()),VLOOKUP(G828,NGPREVPRICES,3,FALSE()),HLOOKUP(D828,Correllate,VLOOKUP(G828,CorMove,2,FALSE()),FALSE()),Q828-$CD$3,R828,$CJ$5)*H828</f>
        <v>#NAME?</v>
      </c>
      <c r="CK830" s="254" t="n">
        <f aca="false">I828</f>
        <v>0.15</v>
      </c>
      <c r="CM830" s="0" t="str">
        <f aca="false">CONCATENATE(CC830,$CD$6)</f>
        <v>36861Curve Shift/Gamma</v>
      </c>
      <c r="CN830" s="0" t="str">
        <f aca="false">CONCATENATE($CC830,$CE$6)</f>
        <v>36861Rho</v>
      </c>
      <c r="CO830" s="0" t="str">
        <f aca="false">CONCATENATE($CC830,$CF$6)</f>
        <v>36861Drift</v>
      </c>
      <c r="CP830" s="0" t="str">
        <f aca="false">CONCATENATE($CC830,$CG$6)</f>
        <v>36861Vega</v>
      </c>
      <c r="CQ830" s="0" t="str">
        <f aca="false">CONCATENATE($CC830,$CH$6)</f>
        <v>36861Theta</v>
      </c>
    </row>
    <row r="831" customFormat="false" ht="12.75" hidden="false" customHeight="false" outlineLevel="0" collapsed="false">
      <c r="A831" s="17" t="s">
        <v>465</v>
      </c>
      <c r="B831" s="0" t="s">
        <v>192</v>
      </c>
      <c r="C831" s="0" t="s">
        <v>466</v>
      </c>
      <c r="D831" s="7" t="s">
        <v>158</v>
      </c>
      <c r="E831" s="0" t="s">
        <v>131</v>
      </c>
      <c r="F831" s="0" t="s">
        <v>136</v>
      </c>
      <c r="G831" s="92" t="n">
        <v>36951</v>
      </c>
      <c r="H831" s="248" t="n">
        <v>2500000</v>
      </c>
      <c r="I831" s="254" t="n">
        <v>0.15</v>
      </c>
      <c r="J831" s="124" t="n">
        <f aca="false">VLOOKUP(G831,NGPrices,2,FALSE())</f>
        <v>4.213</v>
      </c>
      <c r="K831" s="125" t="n">
        <f aca="false">HLOOKUP(D831,Prices,VLOOKUP(G831,move_down,2,FALSE()),FALSE())+VLOOKUP(G831,CHANGE,HLOOKUP(D831,CHANGE,2,FALSE()),FALSE())</f>
        <v>-0.03</v>
      </c>
      <c r="L831" s="124" t="n">
        <f aca="false">K831+J831</f>
        <v>4.183</v>
      </c>
      <c r="M831" s="126" t="n">
        <f aca="false">VLOOKUP(G831,NGPrices,4,FALSE())</f>
        <v>0.068879814952707</v>
      </c>
      <c r="N831" s="7" t="n">
        <f aca="false">VLOOKUP(G831,NGPrices,3,FALSE())</f>
        <v>0.5325</v>
      </c>
      <c r="O831" s="7" t="n">
        <f aca="false">HLOOKUP(D831,VOLS,VLOOKUP(G831,move_down,2,FALSE()),FALSE())</f>
        <v>0.543</v>
      </c>
      <c r="P831" s="249" t="n">
        <f aca="false">HLOOKUP(D831,Correllate,VLOOKUP(G831,CorMove,2,FALSE()),FALSE())</f>
        <v>0.93</v>
      </c>
      <c r="Q831" s="92" t="n">
        <f aca="false">WORKDAY(G831,-2)</f>
        <v>36949</v>
      </c>
      <c r="R831" s="7" t="n">
        <f aca="false">IF(F831="P",0,1)</f>
        <v>1</v>
      </c>
      <c r="S831" s="130" t="e">
        <f aca="false">xSPRDOPT($L831,$J831,$I831,$M831,$O831,$N831,$P831,$Q831-$C$3,$R831,0)</f>
        <v>#NAME?</v>
      </c>
      <c r="T831" s="250" t="e">
        <f aca="false">xSPRDOPT($L831,$J831,$I831,$M831,$O831,$N831,$P831,$Q831-$C$3,$R831,1)*H831</f>
        <v>#NAME?</v>
      </c>
      <c r="U831" s="43" t="e">
        <f aca="false">S831*H831</f>
        <v>#NAME?</v>
      </c>
      <c r="V831" s="250" t="e">
        <f aca="false">xSPRDOPT($L831,$J831,$I831,$M831,$O831,$N831,$P831,$Q831-$C$3,$R831,2)*H831</f>
        <v>#NAME?</v>
      </c>
      <c r="W831" s="250" t="e">
        <f aca="false">+V831+T831</f>
        <v>#NAME?</v>
      </c>
      <c r="X831" s="2" t="str">
        <f aca="false">CONCATENATE(G831,D831)</f>
        <v>36951IF-NTHWST/CANBR</v>
      </c>
      <c r="Y831" s="251" t="n">
        <f aca="false">H831/10000</f>
        <v>250</v>
      </c>
      <c r="Z831" s="226" t="e">
        <f aca="false">T831/H831</f>
        <v>#NAME?</v>
      </c>
      <c r="AA831" s="226" t="e">
        <f aca="false">xSPRDOPT($L831,$J831,$I831,$M831,$O831,$N831,$P831,$Q831-$C$3,$R831,3)</f>
        <v>#NAME?</v>
      </c>
      <c r="AB831" s="226" t="e">
        <f aca="false">((xSPRDOPT($L831+AB$5,$J831,$I831,$M831,$O831,$N831,$P831,$Q831-$C$3,$R831,3)*$H831)/10000)/100</f>
        <v>#NAME?</v>
      </c>
      <c r="AC831" s="226" t="e">
        <f aca="false">((xSPRDOPT($L831+$AB$5,$J831,$I831,$M831,$O831,$N831,$P831,$Q831-$C$3,$R831,7)*$H831)/100)</f>
        <v>#NAME?</v>
      </c>
      <c r="AD831" s="226" t="e">
        <f aca="false">(xSPRDOPT($L831+$AB$5,$J831,$I831,$M831,$O831,$N831,$P831,$Q831-$C$3,$R831,9)/365)*$H831</f>
        <v>#NAME?</v>
      </c>
      <c r="AE831" s="0" t="e">
        <f aca="false">CD833</f>
        <v>#NAME?</v>
      </c>
      <c r="AF831" s="226" t="e">
        <f aca="false">((O831/N831)*AH831)+AG831</f>
        <v>#NAME?</v>
      </c>
      <c r="AG831" s="226" t="e">
        <f aca="false">((xSPRDOPT($L831,$J831,$I831,$M831,$O831,$N831,$P831,$Q831-$C$3,$R831,6)*$H831)/100)</f>
        <v>#NAME?</v>
      </c>
      <c r="AH831" s="226" t="e">
        <f aca="false">((xSPRDOPT($L831,$J831,$I831,$M831,$O831,$N831,$P831,$Q831-$C$3,$R831,5)*$H831)/100)</f>
        <v>#NAME?</v>
      </c>
      <c r="AI831" s="226" t="e">
        <f aca="false">(((xSPRDOPT($L831,$J831,$I831,$M831,$O831,$N831,$P831,$Q831-$C$3,$R831,4)*$H831)/10000)/100)-AB831</f>
        <v>#NAME?</v>
      </c>
      <c r="AJ831" s="226"/>
      <c r="CC831" s="182" t="n">
        <f aca="false">G829</f>
        <v>36892</v>
      </c>
      <c r="CD831" s="253" t="e">
        <f aca="false">xSPRDOPT((VLOOKUP(G829,NGPrices,2,FALSE())+HLOOKUP(D829,Prices,VLOOKUP(G829,move_down,2,FALSE()),FALSE())),VLOOKUP(G829,NGPrices,2,FALSE()),I829,VLOOKUP(G829,NGPREVPRICES,4,FALSE()),HLOOKUP(D829,PREVVOLS,VLOOKUP(G829,MOVE_DOWN2,2,FALSE()),FALSE()),VLOOKUP(G829,NGPREVPRICES,3,FALSE()),HLOOKUP(D829,Correllate,VLOOKUP(G829,CorMove,2,FALSE()),FALSE()),Q829-$CD$3,R829,$CD$5)*H829-CJ831</f>
        <v>#NAME?</v>
      </c>
      <c r="CE831" s="253" t="e">
        <f aca="false">xSPRDOPT((VLOOKUP(G829,NGPREVPRICES,2,FALSE())+HLOOKUP(D829,PREVCURVES,VLOOKUP(G829,MOVE_DOWN2,2,FALSE()),FALSE())),VLOOKUP(G829,NGPREVPRICES,2,FALSE()),CK831,VLOOKUP(G829,NGPrices,4,FALSE()),HLOOKUP(D829,PREVVOLS,VLOOKUP(G829,MOVE_DOWN2,2,FALSE()),FALSE()),VLOOKUP(G829,NGPREVPRICES,3,FALSE()),HLOOKUP(D829,Correllate,VLOOKUP(G829,CorMove,2,FALSE()),FALSE()),Q829-$CD$3,R829,$CJ$5)*H829-CJ831</f>
        <v>#NAME?</v>
      </c>
      <c r="CF831" s="132" t="e">
        <f aca="false">(CJ831/VLOOKUP(CC831,discount,3,FALSE()))-(CJ831/VLOOKUP(CC831,discount,2,FALSE()))</f>
        <v>#NAME?</v>
      </c>
      <c r="CG831" s="253" t="e">
        <f aca="false">xSPRDOPT((VLOOKUP(G829,NGPREVPRICES,2,FALSE())+HLOOKUP(D829,PREVCURVES,VLOOKUP(G829,MOVE_DOWN2,2,FALSE()),FALSE())),VLOOKUP(G829,NGPREVPRICES,2,FALSE()),CK831,VLOOKUP(G829,NGPREVPRICES,4,FALSE()),HLOOKUP(D829,VOLS,VLOOKUP(G829,move_down,2,FALSE()),FALSE()),VLOOKUP(G829,NGPrices,3,FALSE()),HLOOKUP(D829,Correllate,VLOOKUP(G829,CorMove,2,FALSE()),FALSE()),Q829-$CD$3,R829,$CJ$5)*H829-CJ831</f>
        <v>#NAME?</v>
      </c>
      <c r="CH831" s="253" t="e">
        <f aca="false">xSPRDOPT((VLOOKUP(G829,NGPREVPRICES,2,FALSE())+HLOOKUP(D829,PREVCURVES,VLOOKUP(G829,MOVE_DOWN2,2,FALSE()),FALSE())),VLOOKUP(G829,NGPREVPRICES,2,FALSE()),CK831,VLOOKUP(G829,NGPREVPRICES,4,FALSE()),HLOOKUP(D829,PREVVOLS,VLOOKUP(G829,MOVE_DOWN2,2,FALSE()),FALSE()),VLOOKUP(G829,NGPREVPRICES,3,FALSE()),HLOOKUP(D829,Correllate,VLOOKUP(G829,CorMove,2,FALSE()),FALSE()),Q829-$C$3,R829,$CJ$5)*H829-CJ831</f>
        <v>#NAME?</v>
      </c>
      <c r="CI831" s="253" t="e">
        <f aca="false">SUM(CD831:CH831)</f>
        <v>#NAME?</v>
      </c>
      <c r="CJ831" s="253" t="e">
        <f aca="false">xSPRDOPT((VLOOKUP(G829,NGPREVPRICES,2,FALSE())+HLOOKUP(D829,PREVCURVES,VLOOKUP(G829,MOVE_DOWN2,2,FALSE()),FALSE())),VLOOKUP(G829,NGPREVPRICES,2,FALSE()),CK831,VLOOKUP(G829,NGPREVPRICES,4,FALSE()),HLOOKUP(D829,PREVVOLS,VLOOKUP(G829,MOVE_DOWN2,2,FALSE()),FALSE()),VLOOKUP(G829,NGPREVPRICES,3,FALSE()),HLOOKUP(D829,Correllate,VLOOKUP(G829,CorMove,2,FALSE()),FALSE()),Q829-$CD$3,R829,$CJ$5)*H829</f>
        <v>#NAME?</v>
      </c>
      <c r="CK831" s="254" t="n">
        <f aca="false">I829</f>
        <v>0.15</v>
      </c>
      <c r="CM831" s="0" t="str">
        <f aca="false">CONCATENATE(CC831,$CD$6)</f>
        <v>36892Curve Shift/Gamma</v>
      </c>
      <c r="CN831" s="0" t="str">
        <f aca="false">CONCATENATE($CC831,$CE$6)</f>
        <v>36892Rho</v>
      </c>
      <c r="CO831" s="0" t="str">
        <f aca="false">CONCATENATE($CC831,$CF$6)</f>
        <v>36892Drift</v>
      </c>
      <c r="CP831" s="0" t="str">
        <f aca="false">CONCATENATE($CC831,$CG$6)</f>
        <v>36892Vega</v>
      </c>
      <c r="CQ831" s="0" t="str">
        <f aca="false">CONCATENATE($CC831,$CH$6)</f>
        <v>36892Theta</v>
      </c>
    </row>
    <row r="832" customFormat="false" ht="12.75" hidden="false" customHeight="false" outlineLevel="0" collapsed="false">
      <c r="A832" s="17" t="s">
        <v>198</v>
      </c>
      <c r="B832" s="0" t="s">
        <v>192</v>
      </c>
      <c r="C832" s="0" t="s">
        <v>467</v>
      </c>
      <c r="D832" s="7" t="s">
        <v>137</v>
      </c>
      <c r="E832" s="0" t="s">
        <v>131</v>
      </c>
      <c r="F832" s="0" t="s">
        <v>136</v>
      </c>
      <c r="G832" s="92" t="n">
        <v>36831</v>
      </c>
      <c r="H832" s="248" t="n">
        <v>-300000</v>
      </c>
      <c r="I832" s="254" t="n">
        <v>1.5</v>
      </c>
      <c r="J832" s="124" t="n">
        <f aca="false">VLOOKUP(G832,NGPrices,2,FALSE())</f>
        <v>4.736</v>
      </c>
      <c r="K832" s="125" t="n">
        <f aca="false">HLOOKUP(D832,Prices,VLOOKUP(G832,move_down,2,FALSE()),FALSE())+VLOOKUP(G832,CHANGE,HLOOKUP(D832,CHANGE,2,FALSE()),FALSE())</f>
        <v>1.545</v>
      </c>
      <c r="L832" s="124" t="n">
        <f aca="false">K832+J832</f>
        <v>6.281</v>
      </c>
      <c r="M832" s="126" t="n">
        <f aca="false">VLOOKUP(G832,NGPrices,4,FALSE())</f>
        <v>0.06810675983792</v>
      </c>
      <c r="N832" s="7" t="n">
        <f aca="false">VLOOKUP(G832,NGPrices,3,FALSE())</f>
        <v>0.595</v>
      </c>
      <c r="O832" s="7" t="n">
        <f aca="false">HLOOKUP(D832,VOLS,VLOOKUP(G832,move_down,2,FALSE()),FALSE())</f>
        <v>0.577</v>
      </c>
      <c r="P832" s="249" t="n">
        <f aca="false">HLOOKUP(D832,Correllate,VLOOKUP(G832,CorMove,2,FALSE()),FALSE())</f>
        <v>0.85</v>
      </c>
      <c r="Q832" s="92" t="n">
        <f aca="false">WORKDAY(G832,-2)</f>
        <v>36829</v>
      </c>
      <c r="R832" s="7" t="n">
        <f aca="false">IF(F832="P",0,1)</f>
        <v>1</v>
      </c>
      <c r="S832" s="130" t="e">
        <f aca="false">xSPRDOPT($L832,$J832,$I832,$M832,$O832,$N832,$P832,$Q832-$C$3,$R832,0)</f>
        <v>#NAME?</v>
      </c>
      <c r="T832" s="250" t="e">
        <f aca="false">xSPRDOPT($L832,$J832,$I832,$M832,$O832,$N832,$P832,$Q832-$C$3,$R832,1)*H832</f>
        <v>#NAME?</v>
      </c>
      <c r="U832" s="43" t="e">
        <f aca="false">S832*H832</f>
        <v>#NAME?</v>
      </c>
      <c r="V832" s="250" t="e">
        <f aca="false">xSPRDOPT($L832,$J832,$I832,$M832,$O832,$N832,$P832,$Q832-$C$3,$R832,2)*H832</f>
        <v>#NAME?</v>
      </c>
      <c r="W832" s="250" t="e">
        <f aca="false">+V832+T832</f>
        <v>#NAME?</v>
      </c>
      <c r="X832" s="2" t="str">
        <f aca="false">CONCATENATE(G832,D832)</f>
        <v>36831NGI-SOCAL</v>
      </c>
      <c r="Y832" s="251" t="n">
        <f aca="false">H832/10000</f>
        <v>-30</v>
      </c>
      <c r="Z832" s="226" t="e">
        <f aca="false">T832/H832</f>
        <v>#NAME?</v>
      </c>
      <c r="AA832" s="226" t="e">
        <f aca="false">xSPRDOPT($L832,$J832,$I832,$M832,$O832,$N832,$P832,$Q832-$C$3,$R832,3)</f>
        <v>#NAME?</v>
      </c>
      <c r="AB832" s="226" t="e">
        <f aca="false">((xSPRDOPT($L832+AB$5,$J832,$I832,$M832,$O832,$N832,$P832,$Q832-$C$3,$R832,3)*$H832)/10000)/100</f>
        <v>#NAME?</v>
      </c>
      <c r="AC832" s="226" t="e">
        <f aca="false">((xSPRDOPT($L832+$AB$5,$J832,$I832,$M832,$O832,$N832,$P832,$Q832-$C$3,$R832,7)*$H832)/100)</f>
        <v>#NAME?</v>
      </c>
      <c r="AD832" s="226" t="e">
        <f aca="false">(xSPRDOPT($L832+$AB$5,$J832,$I832,$M832,$O832,$N832,$P832,$Q832-$C$3,$R832,9)/365)*$H832</f>
        <v>#NAME?</v>
      </c>
      <c r="AE832" s="0" t="n">
        <f aca="false">CD834</f>
        <v>0</v>
      </c>
      <c r="AF832" s="226" t="e">
        <f aca="false">((O832/N832)*AH832)+AG832</f>
        <v>#NAME?</v>
      </c>
      <c r="AG832" s="226" t="e">
        <f aca="false">((xSPRDOPT($L832,$J832,$I832,$M832,$O832,$N832,$P832,$Q832-$C$3,$R832,6)*$H832)/100)</f>
        <v>#NAME?</v>
      </c>
      <c r="AH832" s="226" t="e">
        <f aca="false">((xSPRDOPT($L832,$J832,$I832,$M832,$O832,$N832,$P832,$Q832-$C$3,$R832,5)*$H832)/100)</f>
        <v>#NAME?</v>
      </c>
      <c r="AI832" s="226" t="e">
        <f aca="false">(((xSPRDOPT($L832,$J832,$I832,$M832,$O832,$N832,$P832,$Q832-$C$3,$R832,4)*$H832)/10000)/100)-AB832</f>
        <v>#NAME?</v>
      </c>
      <c r="AJ832" s="226"/>
      <c r="CC832" s="182" t="n">
        <f aca="false">G830</f>
        <v>36923</v>
      </c>
      <c r="CD832" s="253" t="e">
        <f aca="false">xSPRDOPT((VLOOKUP(G830,NGPrices,2,FALSE())+HLOOKUP(D830,Prices,VLOOKUP(G830,move_down,2,FALSE()),FALSE())),VLOOKUP(G830,NGPrices,2,FALSE()),I830,VLOOKUP(G830,NGPREVPRICES,4,FALSE()),HLOOKUP(D830,PREVVOLS,VLOOKUP(G830,MOVE_DOWN2,2,FALSE()),FALSE()),VLOOKUP(G830,NGPREVPRICES,3,FALSE()),HLOOKUP(D830,Correllate,VLOOKUP(G830,CorMove,2,FALSE()),FALSE()),Q830-$CD$3,R830,$CD$5)*H830-CJ832</f>
        <v>#NAME?</v>
      </c>
      <c r="CE832" s="253" t="e">
        <f aca="false">xSPRDOPT((VLOOKUP(G830,NGPREVPRICES,2,FALSE())+HLOOKUP(D830,PREVCURVES,VLOOKUP(G830,MOVE_DOWN2,2,FALSE()),FALSE())),VLOOKUP(G830,NGPREVPRICES,2,FALSE()),CK832,VLOOKUP(G830,NGPrices,4,FALSE()),HLOOKUP(D830,PREVVOLS,VLOOKUP(G830,MOVE_DOWN2,2,FALSE()),FALSE()),VLOOKUP(G830,NGPREVPRICES,3,FALSE()),HLOOKUP(D830,Correllate,VLOOKUP(G830,CorMove,2,FALSE()),FALSE()),Q830-$CD$3,R830,$CJ$5)*H830-CJ832</f>
        <v>#NAME?</v>
      </c>
      <c r="CF832" s="132" t="e">
        <f aca="false">(CJ832/VLOOKUP(CC832,discount,3,FALSE()))-(CJ832/VLOOKUP(CC832,discount,2,FALSE()))</f>
        <v>#NAME?</v>
      </c>
      <c r="CG832" s="253" t="e">
        <f aca="false">xSPRDOPT((VLOOKUP(G830,NGPREVPRICES,2,FALSE())+HLOOKUP(D830,PREVCURVES,VLOOKUP(G830,MOVE_DOWN2,2,FALSE()),FALSE())),VLOOKUP(G830,NGPREVPRICES,2,FALSE()),CK832,VLOOKUP(G830,NGPREVPRICES,4,FALSE()),HLOOKUP(D830,VOLS,VLOOKUP(G830,move_down,2,FALSE()),FALSE()),VLOOKUP(G830,NGPrices,3,FALSE()),HLOOKUP(D830,Correllate,VLOOKUP(G830,CorMove,2,FALSE()),FALSE()),Q830-$CD$3,R830,$CJ$5)*H830-CJ832</f>
        <v>#NAME?</v>
      </c>
      <c r="CH832" s="253" t="e">
        <f aca="false">xSPRDOPT((VLOOKUP(G830,NGPREVPRICES,2,FALSE())+HLOOKUP(D830,PREVCURVES,VLOOKUP(G830,MOVE_DOWN2,2,FALSE()),FALSE())),VLOOKUP(G830,NGPREVPRICES,2,FALSE()),CK832,VLOOKUP(G830,NGPREVPRICES,4,FALSE()),HLOOKUP(D830,PREVVOLS,VLOOKUP(G830,MOVE_DOWN2,2,FALSE()),FALSE()),VLOOKUP(G830,NGPREVPRICES,3,FALSE()),HLOOKUP(D830,Correllate,VLOOKUP(G830,CorMove,2,FALSE()),FALSE()),Q830-$C$3,R830,$CJ$5)*H830-CJ832</f>
        <v>#NAME?</v>
      </c>
      <c r="CI832" s="253" t="e">
        <f aca="false">SUM(CD832:CH832)</f>
        <v>#NAME?</v>
      </c>
      <c r="CJ832" s="253" t="e">
        <f aca="false">xSPRDOPT((VLOOKUP(G830,NGPREVPRICES,2,FALSE())+HLOOKUP(D830,PREVCURVES,VLOOKUP(G830,MOVE_DOWN2,2,FALSE()),FALSE())),VLOOKUP(G830,NGPREVPRICES,2,FALSE()),CK832,VLOOKUP(G830,NGPREVPRICES,4,FALSE()),HLOOKUP(D830,PREVVOLS,VLOOKUP(G830,MOVE_DOWN2,2,FALSE()),FALSE()),VLOOKUP(G830,NGPREVPRICES,3,FALSE()),HLOOKUP(D830,Correllate,VLOOKUP(G830,CorMove,2,FALSE()),FALSE()),Q830-$CD$3,R830,$CJ$5)*H830</f>
        <v>#NAME?</v>
      </c>
      <c r="CK832" s="254" t="n">
        <f aca="false">I830</f>
        <v>0.15</v>
      </c>
      <c r="CM832" s="0" t="str">
        <f aca="false">CONCATENATE(CC832,$CD$6)</f>
        <v>36923Curve Shift/Gamma</v>
      </c>
      <c r="CN832" s="0" t="str">
        <f aca="false">CONCATENATE($CC832,$CE$6)</f>
        <v>36923Rho</v>
      </c>
      <c r="CO832" s="0" t="str">
        <f aca="false">CONCATENATE($CC832,$CF$6)</f>
        <v>36923Drift</v>
      </c>
      <c r="CP832" s="0" t="str">
        <f aca="false">CONCATENATE($CC832,$CG$6)</f>
        <v>36923Vega</v>
      </c>
      <c r="CQ832" s="0" t="str">
        <f aca="false">CONCATENATE($CC832,$CH$6)</f>
        <v>36923Theta</v>
      </c>
    </row>
    <row r="833" customFormat="false" ht="12.75" hidden="false" customHeight="false" outlineLevel="0" collapsed="false">
      <c r="A833" s="17" t="s">
        <v>198</v>
      </c>
      <c r="B833" s="0" t="s">
        <v>192</v>
      </c>
      <c r="C833" s="0" t="s">
        <v>467</v>
      </c>
      <c r="D833" s="7" t="s">
        <v>137</v>
      </c>
      <c r="E833" s="0" t="s">
        <v>131</v>
      </c>
      <c r="F833" s="0" t="s">
        <v>136</v>
      </c>
      <c r="G833" s="92" t="n">
        <v>36861</v>
      </c>
      <c r="H833" s="248" t="n">
        <v>-310000</v>
      </c>
      <c r="I833" s="254" t="n">
        <v>1.5</v>
      </c>
      <c r="J833" s="124" t="n">
        <f aca="false">VLOOKUP(G833,NGPrices,2,FALSE())</f>
        <v>4.8</v>
      </c>
      <c r="K833" s="125" t="n">
        <f aca="false">HLOOKUP(D833,Prices,VLOOKUP(G833,move_down,2,FALSE()),FALSE())+VLOOKUP(G833,CHANGE,HLOOKUP(D833,CHANGE,2,FALSE()),FALSE())</f>
        <v>1.005</v>
      </c>
      <c r="L833" s="124" t="n">
        <f aca="false">K833+J833</f>
        <v>5.805</v>
      </c>
      <c r="M833" s="126" t="n">
        <f aca="false">VLOOKUP(G833,NGPrices,4,FALSE())</f>
        <v>0.068314027999354</v>
      </c>
      <c r="N833" s="7" t="n">
        <f aca="false">VLOOKUP(G833,NGPrices,3,FALSE())</f>
        <v>0.6</v>
      </c>
      <c r="O833" s="7" t="n">
        <f aca="false">HLOOKUP(D833,VOLS,VLOOKUP(G833,move_down,2,FALSE()),FALSE())</f>
        <v>0.582</v>
      </c>
      <c r="P833" s="249" t="n">
        <f aca="false">HLOOKUP(D833,Correllate,VLOOKUP(G833,CorMove,2,FALSE()),FALSE())</f>
        <v>0.85</v>
      </c>
      <c r="Q833" s="92" t="n">
        <f aca="false">WORKDAY(G833,-2)</f>
        <v>36859</v>
      </c>
      <c r="R833" s="7" t="n">
        <f aca="false">IF(F833="P",0,1)</f>
        <v>1</v>
      </c>
      <c r="S833" s="130" t="e">
        <f aca="false">xSPRDOPT($L833,$J833,$I833,$M833,$O833,$N833,$P833,$Q833-$C$3,$R833,0)</f>
        <v>#NAME?</v>
      </c>
      <c r="T833" s="250" t="e">
        <f aca="false">xSPRDOPT($L833,$J833,$I833,$M833,$O833,$N833,$P833,$Q833-$C$3,$R833,1)*H833</f>
        <v>#NAME?</v>
      </c>
      <c r="U833" s="43" t="e">
        <f aca="false">S833*H833</f>
        <v>#NAME?</v>
      </c>
      <c r="V833" s="250" t="e">
        <f aca="false">xSPRDOPT($L833,$J833,$I833,$M833,$O833,$N833,$P833,$Q833-$C$3,$R833,2)*H833</f>
        <v>#NAME?</v>
      </c>
      <c r="W833" s="250" t="e">
        <f aca="false">+V833+T833</f>
        <v>#NAME?</v>
      </c>
      <c r="X833" s="2" t="str">
        <f aca="false">CONCATENATE(G833,D833)</f>
        <v>36861NGI-SOCAL</v>
      </c>
      <c r="Y833" s="251" t="n">
        <f aca="false">H833/10000</f>
        <v>-31</v>
      </c>
      <c r="Z833" s="226" t="e">
        <f aca="false">T833/H833</f>
        <v>#NAME?</v>
      </c>
      <c r="AA833" s="226" t="e">
        <f aca="false">xSPRDOPT($L833,$J833,$I833,$M833,$O833,$N833,$P833,$Q833-$C$3,$R833,3)</f>
        <v>#NAME?</v>
      </c>
      <c r="AB833" s="226" t="e">
        <f aca="false">((xSPRDOPT($L833+AB$5,$J833,$I833,$M833,$O833,$N833,$P833,$Q833-$C$3,$R833,3)*$H833)/10000)/100</f>
        <v>#NAME?</v>
      </c>
      <c r="AC833" s="226" t="e">
        <f aca="false">((xSPRDOPT($L833+$AB$5,$J833,$I833,$M833,$O833,$N833,$P833,$Q833-$C$3,$R833,7)*$H833)/100)</f>
        <v>#NAME?</v>
      </c>
      <c r="AD833" s="226" t="e">
        <f aca="false">(xSPRDOPT($L833+$AB$5,$J833,$I833,$M833,$O833,$N833,$P833,$Q833-$C$3,$R833,9)/365)*$H833</f>
        <v>#NAME?</v>
      </c>
      <c r="AE833" s="0" t="n">
        <f aca="false">CD835</f>
        <v>0</v>
      </c>
      <c r="AF833" s="226" t="e">
        <f aca="false">((O833/N833)*AH833)+AG833</f>
        <v>#NAME?</v>
      </c>
      <c r="AG833" s="226" t="e">
        <f aca="false">((xSPRDOPT($L833,$J833,$I833,$M833,$O833,$N833,$P833,$Q833-$C$3,$R833,6)*$H833)/100)</f>
        <v>#NAME?</v>
      </c>
      <c r="AH833" s="226" t="e">
        <f aca="false">((xSPRDOPT($L833,$J833,$I833,$M833,$O833,$N833,$P833,$Q833-$C$3,$R833,5)*$H833)/100)</f>
        <v>#NAME?</v>
      </c>
      <c r="AI833" s="226" t="e">
        <f aca="false">(((xSPRDOPT($L833,$J833,$I833,$M833,$O833,$N833,$P833,$Q833-$C$3,$R833,4)*$H833)/10000)/100)-AB833</f>
        <v>#NAME?</v>
      </c>
      <c r="AJ833" s="226"/>
      <c r="CC833" s="182" t="n">
        <f aca="false">G831</f>
        <v>36951</v>
      </c>
      <c r="CD833" s="253" t="e">
        <f aca="false">xSPRDOPT((VLOOKUP(G831,NGPrices,2,FALSE())+HLOOKUP(D831,Prices,VLOOKUP(G831,move_down,2,FALSE()),FALSE())),VLOOKUP(G831,NGPrices,2,FALSE()),I831,VLOOKUP(G831,NGPREVPRICES,4,FALSE()),HLOOKUP(D831,PREVVOLS,VLOOKUP(G831,MOVE_DOWN2,2,FALSE()),FALSE()),VLOOKUP(G831,NGPREVPRICES,3,FALSE()),HLOOKUP(D831,Correllate,VLOOKUP(G831,CorMove,2,FALSE()),FALSE()),Q831-$CD$3,R831,$CD$5)*H831-CJ833</f>
        <v>#NAME?</v>
      </c>
      <c r="CE833" s="253" t="e">
        <f aca="false">xSPRDOPT((VLOOKUP(G831,NGPREVPRICES,2,FALSE())+HLOOKUP(D831,PREVCURVES,VLOOKUP(G831,MOVE_DOWN2,2,FALSE()),FALSE())),VLOOKUP(G831,NGPREVPRICES,2,FALSE()),CK833,VLOOKUP(G831,NGPrices,4,FALSE()),HLOOKUP(D831,PREVVOLS,VLOOKUP(G831,MOVE_DOWN2,2,FALSE()),FALSE()),VLOOKUP(G831,NGPREVPRICES,3,FALSE()),HLOOKUP(D831,Correllate,VLOOKUP(G831,CorMove,2,FALSE()),FALSE()),Q831-$CD$3,R831,$CJ$5)*H831-CJ833</f>
        <v>#NAME?</v>
      </c>
      <c r="CF833" s="132" t="e">
        <f aca="false">(CJ833/VLOOKUP(CC833,discount,3,FALSE()))-(CJ833/VLOOKUP(CC833,discount,2,FALSE()))</f>
        <v>#NAME?</v>
      </c>
      <c r="CG833" s="253" t="e">
        <f aca="false">xSPRDOPT((VLOOKUP(G831,NGPREVPRICES,2,FALSE())+HLOOKUP(D831,PREVCURVES,VLOOKUP(G831,MOVE_DOWN2,2,FALSE()),FALSE())),VLOOKUP(G831,NGPREVPRICES,2,FALSE()),CK833,VLOOKUP(G831,NGPREVPRICES,4,FALSE()),HLOOKUP(D831,VOLS,VLOOKUP(G831,move_down,2,FALSE()),FALSE()),VLOOKUP(G831,NGPrices,3,FALSE()),HLOOKUP(D831,Correllate,VLOOKUP(G831,CorMove,2,FALSE()),FALSE()),Q831-$CD$3,R831,$CJ$5)*H831-CJ833</f>
        <v>#NAME?</v>
      </c>
      <c r="CH833" s="253" t="e">
        <f aca="false">xSPRDOPT((VLOOKUP(G831,NGPREVPRICES,2,FALSE())+HLOOKUP(D831,PREVCURVES,VLOOKUP(G831,MOVE_DOWN2,2,FALSE()),FALSE())),VLOOKUP(G831,NGPREVPRICES,2,FALSE()),CK833,VLOOKUP(G831,NGPREVPRICES,4,FALSE()),HLOOKUP(D831,PREVVOLS,VLOOKUP(G831,MOVE_DOWN2,2,FALSE()),FALSE()),VLOOKUP(G831,NGPREVPRICES,3,FALSE()),HLOOKUP(D831,Correllate,VLOOKUP(G831,CorMove,2,FALSE()),FALSE()),Q831-$C$3,R831,$CJ$5)*H831-CJ833</f>
        <v>#NAME?</v>
      </c>
      <c r="CI833" s="253" t="e">
        <f aca="false">SUM(CD833:CH833)</f>
        <v>#NAME?</v>
      </c>
      <c r="CJ833" s="253" t="e">
        <f aca="false">xSPRDOPT((VLOOKUP(G831,NGPREVPRICES,2,FALSE())+HLOOKUP(D831,PREVCURVES,VLOOKUP(G831,MOVE_DOWN2,2,FALSE()),FALSE())),VLOOKUP(G831,NGPREVPRICES,2,FALSE()),CK833,VLOOKUP(G831,NGPREVPRICES,4,FALSE()),HLOOKUP(D831,PREVVOLS,VLOOKUP(G831,MOVE_DOWN2,2,FALSE()),FALSE()),VLOOKUP(G831,NGPREVPRICES,3,FALSE()),HLOOKUP(D831,Correllate,VLOOKUP(G831,CorMove,2,FALSE()),FALSE()),Q831-$CD$3,R831,$CJ$5)*H831</f>
        <v>#NAME?</v>
      </c>
      <c r="CK833" s="254" t="n">
        <f aca="false">I831</f>
        <v>0.15</v>
      </c>
      <c r="CM833" s="0" t="str">
        <f aca="false">CONCATENATE(CC833,$CD$6)</f>
        <v>36951Curve Shift/Gamma</v>
      </c>
      <c r="CN833" s="0" t="str">
        <f aca="false">CONCATENATE($CC833,$CE$6)</f>
        <v>36951Rho</v>
      </c>
      <c r="CO833" s="0" t="str">
        <f aca="false">CONCATENATE($CC833,$CF$6)</f>
        <v>36951Drift</v>
      </c>
      <c r="CP833" s="0" t="str">
        <f aca="false">CONCATENATE($CC833,$CG$6)</f>
        <v>36951Vega</v>
      </c>
      <c r="CQ833" s="0" t="str">
        <f aca="false">CONCATENATE($CC833,$CH$6)</f>
        <v>36951Theta</v>
      </c>
    </row>
    <row r="834" customFormat="false" ht="12.75" hidden="false" customHeight="false" outlineLevel="0" collapsed="false">
      <c r="A834" s="17" t="s">
        <v>198</v>
      </c>
      <c r="B834" s="0" t="s">
        <v>192</v>
      </c>
      <c r="C834" s="0" t="s">
        <v>467</v>
      </c>
      <c r="D834" s="7" t="s">
        <v>137</v>
      </c>
      <c r="E834" s="0" t="s">
        <v>131</v>
      </c>
      <c r="F834" s="0" t="s">
        <v>136</v>
      </c>
      <c r="G834" s="92" t="n">
        <v>36892</v>
      </c>
      <c r="H834" s="248" t="n">
        <v>-310000</v>
      </c>
      <c r="I834" s="254" t="n">
        <v>1.5</v>
      </c>
      <c r="J834" s="124" t="n">
        <f aca="false">VLOOKUP(G834,NGPrices,2,FALSE())</f>
        <v>4.744</v>
      </c>
      <c r="K834" s="125" t="n">
        <f aca="false">HLOOKUP(D834,Prices,VLOOKUP(G834,move_down,2,FALSE()),FALSE())+VLOOKUP(G834,CHANGE,HLOOKUP(D834,CHANGE,2,FALSE()),FALSE())</f>
        <v>0.7675</v>
      </c>
      <c r="L834" s="124" t="n">
        <f aca="false">K834+J834</f>
        <v>5.5115</v>
      </c>
      <c r="M834" s="126" t="n">
        <f aca="false">VLOOKUP(G834,NGPrices,4,FALSE())</f>
        <v>0.068374831148491</v>
      </c>
      <c r="N834" s="7" t="n">
        <f aca="false">VLOOKUP(G834,NGPrices,3,FALSE())</f>
        <v>0.605</v>
      </c>
      <c r="O834" s="7" t="n">
        <f aca="false">HLOOKUP(D834,VOLS,VLOOKUP(G834,move_down,2,FALSE()),FALSE())</f>
        <v>0.587</v>
      </c>
      <c r="P834" s="249" t="n">
        <f aca="false">HLOOKUP(D834,Correllate,VLOOKUP(G834,CorMove,2,FALSE()),FALSE())</f>
        <v>0.85</v>
      </c>
      <c r="Q834" s="92" t="n">
        <f aca="false">WORKDAY(G834,-2)</f>
        <v>36888</v>
      </c>
      <c r="R834" s="7" t="n">
        <f aca="false">IF(F834="P",0,1)</f>
        <v>1</v>
      </c>
      <c r="S834" s="130" t="e">
        <f aca="false">xSPRDOPT($L834,$J834,$I834,$M834,$O834,$N834,$P834,$Q834-$C$3,$R834,0)</f>
        <v>#NAME?</v>
      </c>
      <c r="T834" s="250" t="e">
        <f aca="false">xSPRDOPT($L834,$J834,$I834,$M834,$O834,$N834,$P834,$Q834-$C$3,$R834,1)*H834</f>
        <v>#NAME?</v>
      </c>
      <c r="U834" s="43" t="e">
        <f aca="false">S834*H834</f>
        <v>#NAME?</v>
      </c>
      <c r="V834" s="250" t="e">
        <f aca="false">xSPRDOPT($L834,$J834,$I834,$M834,$O834,$N834,$P834,$Q834-$C$3,$R834,2)*H834</f>
        <v>#NAME?</v>
      </c>
      <c r="W834" s="250" t="e">
        <f aca="false">+V834+T834</f>
        <v>#NAME?</v>
      </c>
      <c r="X834" s="2" t="str">
        <f aca="false">CONCATENATE(G834,D834)</f>
        <v>36892NGI-SOCAL</v>
      </c>
      <c r="Y834" s="251" t="n">
        <f aca="false">H834/10000</f>
        <v>-31</v>
      </c>
      <c r="Z834" s="226" t="e">
        <f aca="false">T834/H834</f>
        <v>#NAME?</v>
      </c>
      <c r="AA834" s="226" t="e">
        <f aca="false">xSPRDOPT($L834,$J834,$I834,$M834,$O834,$N834,$P834,$Q834-$C$3,$R834,3)</f>
        <v>#NAME?</v>
      </c>
      <c r="AB834" s="226" t="e">
        <f aca="false">((xSPRDOPT($L834+AB$5,$J834,$I834,$M834,$O834,$N834,$P834,$Q834-$C$3,$R834,3)*$H834)/10000)/100</f>
        <v>#NAME?</v>
      </c>
      <c r="AC834" s="226" t="e">
        <f aca="false">((xSPRDOPT($L834+$AB$5,$J834,$I834,$M834,$O834,$N834,$P834,$Q834-$C$3,$R834,7)*$H834)/100)</f>
        <v>#NAME?</v>
      </c>
      <c r="AD834" s="226" t="e">
        <f aca="false">(xSPRDOPT($L834+$AB$5,$J834,$I834,$M834,$O834,$N834,$P834,$Q834-$C$3,$R834,9)/365)*$H834</f>
        <v>#NAME?</v>
      </c>
      <c r="AE834" s="0" t="n">
        <f aca="false">CD836</f>
        <v>0</v>
      </c>
      <c r="AF834" s="226" t="e">
        <f aca="false">((O834/N834)*AH834)+AG834</f>
        <v>#NAME?</v>
      </c>
      <c r="AG834" s="226" t="e">
        <f aca="false">((xSPRDOPT($L834,$J834,$I834,$M834,$O834,$N834,$P834,$Q834-$C$3,$R834,6)*$H834)/100)</f>
        <v>#NAME?</v>
      </c>
      <c r="AH834" s="226" t="e">
        <f aca="false">((xSPRDOPT($L834,$J834,$I834,$M834,$O834,$N834,$P834,$Q834-$C$3,$R834,5)*$H834)/100)</f>
        <v>#NAME?</v>
      </c>
      <c r="AI834" s="226" t="e">
        <f aca="false">(((xSPRDOPT($L834,$J834,$I834,$M834,$O834,$N834,$P834,$Q834-$C$3,$R834,4)*$H834)/10000)/100)-AB834</f>
        <v>#NAME?</v>
      </c>
      <c r="AJ834" s="226"/>
    </row>
    <row r="835" customFormat="false" ht="12.75" hidden="false" customHeight="false" outlineLevel="0" collapsed="false">
      <c r="A835" s="17" t="s">
        <v>198</v>
      </c>
      <c r="B835" s="0" t="s">
        <v>192</v>
      </c>
      <c r="C835" s="0" t="s">
        <v>467</v>
      </c>
      <c r="D835" s="7" t="s">
        <v>137</v>
      </c>
      <c r="E835" s="0" t="s">
        <v>131</v>
      </c>
      <c r="F835" s="0" t="s">
        <v>136</v>
      </c>
      <c r="G835" s="92" t="n">
        <v>36923</v>
      </c>
      <c r="H835" s="248" t="n">
        <v>-280000</v>
      </c>
      <c r="I835" s="254" t="n">
        <v>1.5</v>
      </c>
      <c r="J835" s="124" t="n">
        <f aca="false">VLOOKUP(G835,NGPrices,2,FALSE())</f>
        <v>4.48</v>
      </c>
      <c r="K835" s="125" t="n">
        <f aca="false">HLOOKUP(D835,Prices,VLOOKUP(G835,move_down,2,FALSE()),FALSE())+VLOOKUP(G835,CHANGE,HLOOKUP(D835,CHANGE,2,FALSE()),FALSE())</f>
        <v>0.6175</v>
      </c>
      <c r="L835" s="124" t="n">
        <f aca="false">K835+J835</f>
        <v>5.0975</v>
      </c>
      <c r="M835" s="126" t="n">
        <f aca="false">VLOOKUP(G835,NGPrices,4,FALSE())</f>
        <v>0.068640161611372</v>
      </c>
      <c r="N835" s="7" t="n">
        <f aca="false">VLOOKUP(G835,NGPrices,3,FALSE())</f>
        <v>0.5925</v>
      </c>
      <c r="O835" s="7" t="n">
        <f aca="false">HLOOKUP(D835,VOLS,VLOOKUP(G835,move_down,2,FALSE()),FALSE())</f>
        <v>0.575</v>
      </c>
      <c r="P835" s="249" t="n">
        <f aca="false">HLOOKUP(D835,Correllate,VLOOKUP(G835,CorMove,2,FALSE()),FALSE())</f>
        <v>0.85</v>
      </c>
      <c r="Q835" s="92" t="n">
        <f aca="false">WORKDAY(G835,-2)</f>
        <v>36921</v>
      </c>
      <c r="R835" s="7" t="n">
        <f aca="false">IF(F835="P",0,1)</f>
        <v>1</v>
      </c>
      <c r="S835" s="130" t="e">
        <f aca="false">xSPRDOPT($L835,$J835,$I835,$M835,$O835,$N835,$P835,$Q835-$C$3,$R835,0)</f>
        <v>#NAME?</v>
      </c>
      <c r="T835" s="250" t="e">
        <f aca="false">xSPRDOPT($L835,$J835,$I835,$M835,$O835,$N835,$P835,$Q835-$C$3,$R835,1)*H835</f>
        <v>#NAME?</v>
      </c>
      <c r="U835" s="43" t="e">
        <f aca="false">S835*H835</f>
        <v>#NAME?</v>
      </c>
      <c r="V835" s="250" t="e">
        <f aca="false">xSPRDOPT($L835,$J835,$I835,$M835,$O835,$N835,$P835,$Q835-$C$3,$R835,2)*H835</f>
        <v>#NAME?</v>
      </c>
      <c r="W835" s="250" t="e">
        <f aca="false">+V835+T835</f>
        <v>#NAME?</v>
      </c>
      <c r="X835" s="2" t="str">
        <f aca="false">CONCATENATE(G835,D835)</f>
        <v>36923NGI-SOCAL</v>
      </c>
      <c r="Y835" s="251" t="n">
        <f aca="false">H835/10000</f>
        <v>-28</v>
      </c>
      <c r="Z835" s="226" t="e">
        <f aca="false">T835/H835</f>
        <v>#NAME?</v>
      </c>
      <c r="AA835" s="226" t="e">
        <f aca="false">xSPRDOPT($L835,$J835,$I835,$M835,$O835,$N835,$P835,$Q835-$C$3,$R835,3)</f>
        <v>#NAME?</v>
      </c>
      <c r="AB835" s="226" t="e">
        <f aca="false">((xSPRDOPT($L835+AB$5,$J835,$I835,$M835,$O835,$N835,$P835,$Q835-$C$3,$R835,3)*$H835)/10000)/100</f>
        <v>#NAME?</v>
      </c>
      <c r="AC835" s="226" t="e">
        <f aca="false">((xSPRDOPT($L835+$AB$5,$J835,$I835,$M835,$O835,$N835,$P835,$Q835-$C$3,$R835,7)*$H835)/100)</f>
        <v>#NAME?</v>
      </c>
      <c r="AD835" s="226" t="e">
        <f aca="false">(xSPRDOPT($L835+$AB$5,$J835,$I835,$M835,$O835,$N835,$P835,$Q835-$C$3,$R835,9)/365)*$H835</f>
        <v>#NAME?</v>
      </c>
      <c r="AE835" s="0" t="n">
        <f aca="false">CD837</f>
        <v>0</v>
      </c>
      <c r="AF835" s="226" t="e">
        <f aca="false">((O835/N835)*AH835)+AG835</f>
        <v>#NAME?</v>
      </c>
      <c r="AG835" s="226" t="e">
        <f aca="false">((xSPRDOPT($L835,$J835,$I835,$M835,$O835,$N835,$P835,$Q835-$C$3,$R835,6)*$H835)/100)</f>
        <v>#NAME?</v>
      </c>
      <c r="AH835" s="226" t="e">
        <f aca="false">((xSPRDOPT($L835,$J835,$I835,$M835,$O835,$N835,$P835,$Q835-$C$3,$R835,5)*$H835)/100)</f>
        <v>#NAME?</v>
      </c>
      <c r="AI835" s="226" t="e">
        <f aca="false">(((xSPRDOPT($L835,$J835,$I835,$M835,$O835,$N835,$P835,$Q835-$C$3,$R835,4)*$H835)/10000)/100)-AB835</f>
        <v>#NAME?</v>
      </c>
      <c r="AJ835" s="226"/>
    </row>
    <row r="836" customFormat="false" ht="12.75" hidden="false" customHeight="false" outlineLevel="0" collapsed="false">
      <c r="A836" s="17" t="s">
        <v>198</v>
      </c>
      <c r="B836" s="0" t="s">
        <v>192</v>
      </c>
      <c r="C836" s="0" t="s">
        <v>467</v>
      </c>
      <c r="D836" s="7" t="s">
        <v>137</v>
      </c>
      <c r="E836" s="0" t="s">
        <v>131</v>
      </c>
      <c r="F836" s="0" t="s">
        <v>136</v>
      </c>
      <c r="G836" s="92" t="n">
        <v>36951</v>
      </c>
      <c r="H836" s="248" t="n">
        <v>-310000</v>
      </c>
      <c r="I836" s="254" t="n">
        <v>1.5</v>
      </c>
      <c r="J836" s="124" t="n">
        <f aca="false">VLOOKUP(G836,NGPrices,2,FALSE())</f>
        <v>4.213</v>
      </c>
      <c r="K836" s="125" t="n">
        <f aca="false">HLOOKUP(D836,Prices,VLOOKUP(G836,move_down,2,FALSE()),FALSE())+VLOOKUP(G836,CHANGE,HLOOKUP(D836,CHANGE,2,FALSE()),FALSE())</f>
        <v>0.5975</v>
      </c>
      <c r="L836" s="124" t="n">
        <f aca="false">K836+J836</f>
        <v>4.8105</v>
      </c>
      <c r="M836" s="126" t="n">
        <f aca="false">VLOOKUP(G836,NGPrices,4,FALSE())</f>
        <v>0.068879814952707</v>
      </c>
      <c r="N836" s="7" t="n">
        <f aca="false">VLOOKUP(G836,NGPrices,3,FALSE())</f>
        <v>0.5325</v>
      </c>
      <c r="O836" s="7" t="n">
        <f aca="false">HLOOKUP(D836,VOLS,VLOOKUP(G836,move_down,2,FALSE()),FALSE())</f>
        <v>0.517</v>
      </c>
      <c r="P836" s="249" t="n">
        <f aca="false">HLOOKUP(D836,Correllate,VLOOKUP(G836,CorMove,2,FALSE()),FALSE())</f>
        <v>0.85</v>
      </c>
      <c r="Q836" s="92" t="n">
        <f aca="false">WORKDAY(G836,-2)</f>
        <v>36949</v>
      </c>
      <c r="R836" s="7" t="n">
        <f aca="false">IF(F836="P",0,1)</f>
        <v>1</v>
      </c>
      <c r="S836" s="130" t="e">
        <f aca="false">xSPRDOPT($L836,$J836,$I836,$M836,$O836,$N836,$P836,$Q836-$C$3,$R836,0)</f>
        <v>#NAME?</v>
      </c>
      <c r="T836" s="250" t="e">
        <f aca="false">xSPRDOPT($L836,$J836,$I836,$M836,$O836,$N836,$P836,$Q836-$C$3,$R836,1)*H836</f>
        <v>#NAME?</v>
      </c>
      <c r="U836" s="43" t="e">
        <f aca="false">S836*H836</f>
        <v>#NAME?</v>
      </c>
      <c r="V836" s="250" t="e">
        <f aca="false">xSPRDOPT($L836,$J836,$I836,$M836,$O836,$N836,$P836,$Q836-$C$3,$R836,2)*H836</f>
        <v>#NAME?</v>
      </c>
      <c r="W836" s="250" t="e">
        <f aca="false">+V836+T836</f>
        <v>#NAME?</v>
      </c>
      <c r="X836" s="2" t="str">
        <f aca="false">CONCATENATE(G836,D836)</f>
        <v>36951NGI-SOCAL</v>
      </c>
      <c r="Y836" s="251" t="n">
        <f aca="false">H836/10000</f>
        <v>-31</v>
      </c>
      <c r="Z836" s="226" t="e">
        <f aca="false">T836/H836</f>
        <v>#NAME?</v>
      </c>
      <c r="AA836" s="226" t="e">
        <f aca="false">xSPRDOPT($L836,$J836,$I836,$M836,$O836,$N836,$P836,$Q836-$C$3,$R836,3)</f>
        <v>#NAME?</v>
      </c>
      <c r="AB836" s="226" t="e">
        <f aca="false">((xSPRDOPT($L836+AB$5,$J836,$I836,$M836,$O836,$N836,$P836,$Q836-$C$3,$R836,3)*$H836)/10000)/100</f>
        <v>#NAME?</v>
      </c>
      <c r="AC836" s="226" t="e">
        <f aca="false">((xSPRDOPT($L836+$AB$5,$J836,$I836,$M836,$O836,$N836,$P836,$Q836-$C$3,$R836,7)*$H836)/100)</f>
        <v>#NAME?</v>
      </c>
      <c r="AD836" s="226" t="e">
        <f aca="false">(xSPRDOPT($L836+$AB$5,$J836,$I836,$M836,$O836,$N836,$P836,$Q836-$C$3,$R836,9)/365)*$H836</f>
        <v>#NAME?</v>
      </c>
      <c r="AE836" s="0" t="n">
        <f aca="false">CD838</f>
        <v>0</v>
      </c>
      <c r="AF836" s="226" t="e">
        <f aca="false">((O836/N836)*AH836)+AG836</f>
        <v>#NAME?</v>
      </c>
      <c r="AG836" s="226" t="e">
        <f aca="false">((xSPRDOPT($L836,$J836,$I836,$M836,$O836,$N836,$P836,$Q836-$C$3,$R836,6)*$H836)/100)</f>
        <v>#NAME?</v>
      </c>
      <c r="AH836" s="226" t="e">
        <f aca="false">((xSPRDOPT($L836,$J836,$I836,$M836,$O836,$N836,$P836,$Q836-$C$3,$R836,5)*$H836)/100)</f>
        <v>#NAME?</v>
      </c>
      <c r="AI836" s="226" t="e">
        <f aca="false">(((xSPRDOPT($L836,$J836,$I836,$M836,$O836,$N836,$P836,$Q836-$C$3,$R836,4)*$H836)/10000)/100)-AB836</f>
        <v>#NAME?</v>
      </c>
      <c r="AJ836" s="226"/>
    </row>
    <row r="837" customFormat="false" ht="12.75" hidden="false" customHeight="false" outlineLevel="0" collapsed="false">
      <c r="A837" s="17" t="s">
        <v>198</v>
      </c>
      <c r="B837" s="0" t="s">
        <v>192</v>
      </c>
      <c r="C837" s="0" t="s">
        <v>468</v>
      </c>
      <c r="D837" s="7" t="s">
        <v>137</v>
      </c>
      <c r="E837" s="0" t="s">
        <v>131</v>
      </c>
      <c r="F837" s="0" t="s">
        <v>136</v>
      </c>
      <c r="G837" s="92" t="n">
        <v>36831</v>
      </c>
      <c r="H837" s="248" t="n">
        <v>1000000</v>
      </c>
      <c r="I837" s="254" t="n">
        <v>1.5</v>
      </c>
      <c r="J837" s="124" t="n">
        <f aca="false">VLOOKUP(G837,NGPrices,2,FALSE())</f>
        <v>4.736</v>
      </c>
      <c r="K837" s="125" t="n">
        <f aca="false">HLOOKUP(D837,Prices,VLOOKUP(G837,move_down,2,FALSE()),FALSE())+VLOOKUP(G837,CHANGE,HLOOKUP(D837,CHANGE,2,FALSE()),FALSE())</f>
        <v>1.545</v>
      </c>
      <c r="L837" s="124" t="n">
        <f aca="false">K837+J837</f>
        <v>6.281</v>
      </c>
      <c r="M837" s="126" t="n">
        <f aca="false">VLOOKUP(G837,NGPrices,4,FALSE())</f>
        <v>0.06810675983792</v>
      </c>
      <c r="N837" s="7" t="n">
        <f aca="false">VLOOKUP(G837,NGPrices,3,FALSE())</f>
        <v>0.595</v>
      </c>
      <c r="O837" s="7" t="n">
        <f aca="false">HLOOKUP(D837,VOLS,VLOOKUP(G837,move_down,2,FALSE()),FALSE())</f>
        <v>0.577</v>
      </c>
      <c r="P837" s="249" t="n">
        <f aca="false">HLOOKUP(D837,Correllate,VLOOKUP(G837,CorMove,2,FALSE()),FALSE())</f>
        <v>0.85</v>
      </c>
      <c r="Q837" s="92" t="n">
        <f aca="false">WORKDAY(G837,-2)</f>
        <v>36829</v>
      </c>
      <c r="R837" s="7" t="n">
        <f aca="false">IF(F837="P",0,1)</f>
        <v>1</v>
      </c>
      <c r="S837" s="130" t="e">
        <f aca="false">xSPRDOPT($L837,$J837,$I837,$M837,$O837,$N837,$P837,$Q837-$C$3,$R837,0)</f>
        <v>#NAME?</v>
      </c>
      <c r="T837" s="250" t="e">
        <f aca="false">xSPRDOPT($L837,$J837,$I837,$M837,$O837,$N837,$P837,$Q837-$C$3,$R837,1)*H837</f>
        <v>#NAME?</v>
      </c>
      <c r="U837" s="43" t="e">
        <f aca="false">S837*H837</f>
        <v>#NAME?</v>
      </c>
      <c r="V837" s="250" t="e">
        <f aca="false">xSPRDOPT($L837,$J837,$I837,$M837,$O837,$N837,$P837,$Q837-$C$3,$R837,2)*H837</f>
        <v>#NAME?</v>
      </c>
      <c r="W837" s="250" t="e">
        <f aca="false">+V837+T837</f>
        <v>#NAME?</v>
      </c>
      <c r="X837" s="2" t="str">
        <f aca="false">CONCATENATE(G837,D837)</f>
        <v>36831NGI-SOCAL</v>
      </c>
      <c r="Y837" s="251" t="n">
        <f aca="false">H837/10000</f>
        <v>100</v>
      </c>
      <c r="Z837" s="226" t="e">
        <f aca="false">T837/H837</f>
        <v>#NAME?</v>
      </c>
      <c r="AA837" s="226" t="e">
        <f aca="false">xSPRDOPT($L837,$J837,$I837,$M837,$O837,$N837,$P837,$Q837-$C$3,$R837,3)</f>
        <v>#NAME?</v>
      </c>
      <c r="AB837" s="226" t="e">
        <f aca="false">((xSPRDOPT($L837+AB$5,$J837,$I837,$M837,$O837,$N837,$P837,$Q837-$C$3,$R837,3)*$H837)/10000)/100</f>
        <v>#NAME?</v>
      </c>
      <c r="AC837" s="226" t="e">
        <f aca="false">((xSPRDOPT($L837+$AB$5,$J837,$I837,$M837,$O837,$N837,$P837,$Q837-$C$3,$R837,7)*$H837)/100)</f>
        <v>#NAME?</v>
      </c>
      <c r="AD837" s="226" t="e">
        <f aca="false">(xSPRDOPT($L837+$AB$5,$J837,$I837,$M837,$O837,$N837,$P837,$Q837-$C$3,$R837,9)/365)*$H837</f>
        <v>#NAME?</v>
      </c>
      <c r="AE837" s="0" t="n">
        <f aca="false">CD839</f>
        <v>0</v>
      </c>
      <c r="AF837" s="226" t="e">
        <f aca="false">((O837/N837)*AH837)+AG837</f>
        <v>#NAME?</v>
      </c>
      <c r="AG837" s="226" t="e">
        <f aca="false">((xSPRDOPT($L837,$J837,$I837,$M837,$O837,$N837,$P837,$Q837-$C$3,$R837,6)*$H837)/100)</f>
        <v>#NAME?</v>
      </c>
      <c r="AH837" s="226" t="e">
        <f aca="false">((xSPRDOPT($L837,$J837,$I837,$M837,$O837,$N837,$P837,$Q837-$C$3,$R837,5)*$H837)/100)</f>
        <v>#NAME?</v>
      </c>
      <c r="AI837" s="226" t="e">
        <f aca="false">(((xSPRDOPT($L837,$J837,$I837,$M837,$O837,$N837,$P837,$Q837-$C$3,$R837,4)*$H837)/10000)/100)-AB837</f>
        <v>#NAME?</v>
      </c>
      <c r="AJ837" s="226"/>
    </row>
    <row r="838" customFormat="false" ht="12.75" hidden="false" customHeight="false" outlineLevel="0" collapsed="false">
      <c r="A838" s="17" t="s">
        <v>198</v>
      </c>
      <c r="B838" s="0" t="s">
        <v>192</v>
      </c>
      <c r="C838" s="0" t="s">
        <v>468</v>
      </c>
      <c r="D838" s="7" t="s">
        <v>137</v>
      </c>
      <c r="E838" s="0" t="s">
        <v>131</v>
      </c>
      <c r="F838" s="0" t="s">
        <v>136</v>
      </c>
      <c r="G838" s="92" t="n">
        <v>36861</v>
      </c>
      <c r="H838" s="248" t="n">
        <v>1000000</v>
      </c>
      <c r="I838" s="254" t="n">
        <v>1.5</v>
      </c>
      <c r="J838" s="124" t="n">
        <f aca="false">VLOOKUP(G838,NGPrices,2,FALSE())</f>
        <v>4.8</v>
      </c>
      <c r="K838" s="125" t="n">
        <f aca="false">HLOOKUP(D838,Prices,VLOOKUP(G838,move_down,2,FALSE()),FALSE())+VLOOKUP(G838,CHANGE,HLOOKUP(D838,CHANGE,2,FALSE()),FALSE())</f>
        <v>1.005</v>
      </c>
      <c r="L838" s="124" t="n">
        <f aca="false">K838+J838</f>
        <v>5.805</v>
      </c>
      <c r="M838" s="126" t="n">
        <f aca="false">VLOOKUP(G838,NGPrices,4,FALSE())</f>
        <v>0.068314027999354</v>
      </c>
      <c r="N838" s="7" t="n">
        <f aca="false">VLOOKUP(G838,NGPrices,3,FALSE())</f>
        <v>0.6</v>
      </c>
      <c r="O838" s="7" t="n">
        <f aca="false">HLOOKUP(D838,VOLS,VLOOKUP(G838,move_down,2,FALSE()),FALSE())</f>
        <v>0.582</v>
      </c>
      <c r="P838" s="249" t="n">
        <f aca="false">HLOOKUP(D838,Correllate,VLOOKUP(G838,CorMove,2,FALSE()),FALSE())</f>
        <v>0.85</v>
      </c>
      <c r="Q838" s="92" t="n">
        <f aca="false">WORKDAY(G838,-2)</f>
        <v>36859</v>
      </c>
      <c r="R838" s="7" t="n">
        <f aca="false">IF(F838="P",0,1)</f>
        <v>1</v>
      </c>
      <c r="S838" s="130" t="e">
        <f aca="false">xSPRDOPT($L838,$J838,$I838,$M838,$O838,$N838,$P838,$Q838-$C$3,$R838,0)</f>
        <v>#NAME?</v>
      </c>
      <c r="T838" s="250" t="e">
        <f aca="false">xSPRDOPT($L838,$J838,$I838,$M838,$O838,$N838,$P838,$Q838-$C$3,$R838,1)*H838</f>
        <v>#NAME?</v>
      </c>
      <c r="U838" s="43" t="e">
        <f aca="false">S838*H838</f>
        <v>#NAME?</v>
      </c>
      <c r="V838" s="250" t="e">
        <f aca="false">xSPRDOPT($L838,$J838,$I838,$M838,$O838,$N838,$P838,$Q838-$C$3,$R838,2)*H838</f>
        <v>#NAME?</v>
      </c>
      <c r="W838" s="250" t="e">
        <f aca="false">+V838+T838</f>
        <v>#NAME?</v>
      </c>
      <c r="X838" s="2" t="str">
        <f aca="false">CONCATENATE(G838,D838)</f>
        <v>36861NGI-SOCAL</v>
      </c>
      <c r="Y838" s="251" t="n">
        <f aca="false">H838/10000</f>
        <v>100</v>
      </c>
      <c r="Z838" s="226" t="e">
        <f aca="false">T838/H838</f>
        <v>#NAME?</v>
      </c>
      <c r="AA838" s="226" t="e">
        <f aca="false">xSPRDOPT($L838,$J838,$I838,$M838,$O838,$N838,$P838,$Q838-$C$3,$R838,3)</f>
        <v>#NAME?</v>
      </c>
      <c r="AB838" s="226" t="e">
        <f aca="false">((xSPRDOPT($L838+AB$5,$J838,$I838,$M838,$O838,$N838,$P838,$Q838-$C$3,$R838,3)*$H838)/10000)/100</f>
        <v>#NAME?</v>
      </c>
      <c r="AC838" s="226" t="e">
        <f aca="false">((xSPRDOPT($L838+$AB$5,$J838,$I838,$M838,$O838,$N838,$P838,$Q838-$C$3,$R838,7)*$H838)/100)</f>
        <v>#NAME?</v>
      </c>
      <c r="AD838" s="226" t="e">
        <f aca="false">(xSPRDOPT($L838+$AB$5,$J838,$I838,$M838,$O838,$N838,$P838,$Q838-$C$3,$R838,9)/365)*$H838</f>
        <v>#NAME?</v>
      </c>
      <c r="AE838" s="0" t="n">
        <f aca="false">CD840</f>
        <v>0</v>
      </c>
      <c r="AF838" s="226" t="e">
        <f aca="false">((O838/N838)*AH838)+AG838</f>
        <v>#NAME?</v>
      </c>
      <c r="AG838" s="226" t="e">
        <f aca="false">((xSPRDOPT($L838,$J838,$I838,$M838,$O838,$N838,$P838,$Q838-$C$3,$R838,6)*$H838)/100)</f>
        <v>#NAME?</v>
      </c>
      <c r="AH838" s="226" t="e">
        <f aca="false">((xSPRDOPT($L838,$J838,$I838,$M838,$O838,$N838,$P838,$Q838-$C$3,$R838,5)*$H838)/100)</f>
        <v>#NAME?</v>
      </c>
      <c r="AI838" s="226" t="e">
        <f aca="false">(((xSPRDOPT($L838,$J838,$I838,$M838,$O838,$N838,$P838,$Q838-$C$3,$R838,4)*$H838)/10000)/100)-AB838</f>
        <v>#NAME?</v>
      </c>
      <c r="AJ838" s="226"/>
    </row>
    <row r="839" customFormat="false" ht="12.75" hidden="false" customHeight="false" outlineLevel="0" collapsed="false">
      <c r="A839" s="17" t="s">
        <v>198</v>
      </c>
      <c r="B839" s="0" t="s">
        <v>192</v>
      </c>
      <c r="C839" s="0" t="s">
        <v>468</v>
      </c>
      <c r="D839" s="7" t="s">
        <v>137</v>
      </c>
      <c r="E839" s="0" t="s">
        <v>131</v>
      </c>
      <c r="F839" s="0" t="s">
        <v>136</v>
      </c>
      <c r="G839" s="92" t="n">
        <v>36892</v>
      </c>
      <c r="H839" s="248" t="n">
        <v>1000000</v>
      </c>
      <c r="I839" s="254" t="n">
        <v>1.5</v>
      </c>
      <c r="J839" s="124" t="n">
        <f aca="false">VLOOKUP(G839,NGPrices,2,FALSE())</f>
        <v>4.744</v>
      </c>
      <c r="K839" s="125" t="n">
        <f aca="false">HLOOKUP(D839,Prices,VLOOKUP(G839,move_down,2,FALSE()),FALSE())+VLOOKUP(G839,CHANGE,HLOOKUP(D839,CHANGE,2,FALSE()),FALSE())</f>
        <v>0.7675</v>
      </c>
      <c r="L839" s="124" t="n">
        <f aca="false">K839+J839</f>
        <v>5.5115</v>
      </c>
      <c r="M839" s="126" t="n">
        <f aca="false">VLOOKUP(G839,NGPrices,4,FALSE())</f>
        <v>0.068374831148491</v>
      </c>
      <c r="N839" s="7" t="n">
        <f aca="false">VLOOKUP(G839,NGPrices,3,FALSE())</f>
        <v>0.605</v>
      </c>
      <c r="O839" s="7" t="n">
        <f aca="false">HLOOKUP(D839,VOLS,VLOOKUP(G839,move_down,2,FALSE()),FALSE())</f>
        <v>0.587</v>
      </c>
      <c r="P839" s="249" t="n">
        <f aca="false">HLOOKUP(D839,Correllate,VLOOKUP(G839,CorMove,2,FALSE()),FALSE())</f>
        <v>0.85</v>
      </c>
      <c r="Q839" s="92" t="n">
        <f aca="false">WORKDAY(G839,-2)</f>
        <v>36888</v>
      </c>
      <c r="R839" s="7" t="n">
        <f aca="false">IF(F839="P",0,1)</f>
        <v>1</v>
      </c>
      <c r="S839" s="130" t="e">
        <f aca="false">xSPRDOPT($L839,$J839,$I839,$M839,$O839,$N839,$P839,$Q839-$C$3,$R839,0)</f>
        <v>#NAME?</v>
      </c>
      <c r="T839" s="250" t="e">
        <f aca="false">xSPRDOPT($L839,$J839,$I839,$M839,$O839,$N839,$P839,$Q839-$C$3,$R839,1)*H839</f>
        <v>#NAME?</v>
      </c>
      <c r="U839" s="43" t="e">
        <f aca="false">S839*H839</f>
        <v>#NAME?</v>
      </c>
      <c r="V839" s="250" t="e">
        <f aca="false">xSPRDOPT($L839,$J839,$I839,$M839,$O839,$N839,$P839,$Q839-$C$3,$R839,2)*H839</f>
        <v>#NAME?</v>
      </c>
      <c r="W839" s="250" t="e">
        <f aca="false">+V839+T839</f>
        <v>#NAME?</v>
      </c>
      <c r="X839" s="2" t="str">
        <f aca="false">CONCATENATE(G839,D839)</f>
        <v>36892NGI-SOCAL</v>
      </c>
      <c r="Y839" s="251" t="n">
        <f aca="false">H839/10000</f>
        <v>100</v>
      </c>
      <c r="Z839" s="226" t="e">
        <f aca="false">T839/H839</f>
        <v>#NAME?</v>
      </c>
      <c r="AA839" s="226" t="e">
        <f aca="false">xSPRDOPT($L839,$J839,$I839,$M839,$O839,$N839,$P839,$Q839-$C$3,$R839,3)</f>
        <v>#NAME?</v>
      </c>
      <c r="AB839" s="226" t="e">
        <f aca="false">((xSPRDOPT($L839+AB$5,$J839,$I839,$M839,$O839,$N839,$P839,$Q839-$C$3,$R839,3)*$H839)/10000)/100</f>
        <v>#NAME?</v>
      </c>
      <c r="AC839" s="226" t="e">
        <f aca="false">((xSPRDOPT($L839+$AB$5,$J839,$I839,$M839,$O839,$N839,$P839,$Q839-$C$3,$R839,7)*$H839)/100)</f>
        <v>#NAME?</v>
      </c>
      <c r="AD839" s="226" t="e">
        <f aca="false">(xSPRDOPT($L839+$AB$5,$J839,$I839,$M839,$O839,$N839,$P839,$Q839-$C$3,$R839,9)/365)*$H839</f>
        <v>#NAME?</v>
      </c>
      <c r="AE839" s="0" t="n">
        <f aca="false">CD841</f>
        <v>0</v>
      </c>
      <c r="AF839" s="226" t="e">
        <f aca="false">((O839/N839)*AH839)+AG839</f>
        <v>#NAME?</v>
      </c>
      <c r="AG839" s="226" t="e">
        <f aca="false">((xSPRDOPT($L839,$J839,$I839,$M839,$O839,$N839,$P839,$Q839-$C$3,$R839,6)*$H839)/100)</f>
        <v>#NAME?</v>
      </c>
      <c r="AH839" s="226" t="e">
        <f aca="false">((xSPRDOPT($L839,$J839,$I839,$M839,$O839,$N839,$P839,$Q839-$C$3,$R839,5)*$H839)/100)</f>
        <v>#NAME?</v>
      </c>
      <c r="AI839" s="226" t="e">
        <f aca="false">(((xSPRDOPT($L839,$J839,$I839,$M839,$O839,$N839,$P839,$Q839-$C$3,$R839,4)*$H839)/10000)/100)-AB839</f>
        <v>#NAME?</v>
      </c>
      <c r="AJ839" s="226"/>
    </row>
    <row r="840" customFormat="false" ht="12.75" hidden="false" customHeight="false" outlineLevel="0" collapsed="false">
      <c r="A840" s="17" t="s">
        <v>198</v>
      </c>
      <c r="B840" s="0" t="s">
        <v>192</v>
      </c>
      <c r="C840" s="0" t="s">
        <v>468</v>
      </c>
      <c r="D840" s="7" t="s">
        <v>137</v>
      </c>
      <c r="E840" s="0" t="s">
        <v>131</v>
      </c>
      <c r="F840" s="0" t="s">
        <v>136</v>
      </c>
      <c r="G840" s="92" t="n">
        <v>36923</v>
      </c>
      <c r="H840" s="248" t="n">
        <v>1000000</v>
      </c>
      <c r="I840" s="254" t="n">
        <v>1.5</v>
      </c>
      <c r="J840" s="124" t="n">
        <f aca="false">VLOOKUP(G840,NGPrices,2,FALSE())</f>
        <v>4.48</v>
      </c>
      <c r="K840" s="125" t="n">
        <f aca="false">HLOOKUP(D840,Prices,VLOOKUP(G840,move_down,2,FALSE()),FALSE())+VLOOKUP(G840,CHANGE,HLOOKUP(D840,CHANGE,2,FALSE()),FALSE())</f>
        <v>0.6175</v>
      </c>
      <c r="L840" s="124" t="n">
        <f aca="false">K840+J840</f>
        <v>5.0975</v>
      </c>
      <c r="M840" s="126" t="n">
        <f aca="false">VLOOKUP(G840,NGPrices,4,FALSE())</f>
        <v>0.068640161611372</v>
      </c>
      <c r="N840" s="7" t="n">
        <f aca="false">VLOOKUP(G840,NGPrices,3,FALSE())</f>
        <v>0.5925</v>
      </c>
      <c r="O840" s="7" t="n">
        <f aca="false">HLOOKUP(D840,VOLS,VLOOKUP(G840,move_down,2,FALSE()),FALSE())</f>
        <v>0.575</v>
      </c>
      <c r="P840" s="249" t="n">
        <f aca="false">HLOOKUP(D840,Correllate,VLOOKUP(G840,CorMove,2,FALSE()),FALSE())</f>
        <v>0.85</v>
      </c>
      <c r="Q840" s="92" t="n">
        <f aca="false">WORKDAY(G840,-2)</f>
        <v>36921</v>
      </c>
      <c r="R840" s="7" t="n">
        <f aca="false">IF(F840="P",0,1)</f>
        <v>1</v>
      </c>
      <c r="S840" s="130" t="e">
        <f aca="false">xSPRDOPT($L840,$J840,$I840,$M840,$O840,$N840,$P840,$Q840-$C$3,$R840,0)</f>
        <v>#NAME?</v>
      </c>
      <c r="T840" s="250" t="e">
        <f aca="false">xSPRDOPT($L840,$J840,$I840,$M840,$O840,$N840,$P840,$Q840-$C$3,$R840,1)*H840</f>
        <v>#NAME?</v>
      </c>
      <c r="U840" s="43" t="e">
        <f aca="false">S840*H840</f>
        <v>#NAME?</v>
      </c>
      <c r="V840" s="250" t="e">
        <f aca="false">xSPRDOPT($L840,$J840,$I840,$M840,$O840,$N840,$P840,$Q840-$C$3,$R840,2)*H840</f>
        <v>#NAME?</v>
      </c>
      <c r="W840" s="250" t="e">
        <f aca="false">+V840+T840</f>
        <v>#NAME?</v>
      </c>
      <c r="X840" s="2" t="str">
        <f aca="false">CONCATENATE(G840,D840)</f>
        <v>36923NGI-SOCAL</v>
      </c>
      <c r="Y840" s="251" t="n">
        <f aca="false">H840/10000</f>
        <v>100</v>
      </c>
      <c r="Z840" s="226" t="e">
        <f aca="false">T840/H840</f>
        <v>#NAME?</v>
      </c>
      <c r="AA840" s="226" t="e">
        <f aca="false">xSPRDOPT($L840,$J840,$I840,$M840,$O840,$N840,$P840,$Q840-$C$3,$R840,3)</f>
        <v>#NAME?</v>
      </c>
      <c r="AB840" s="226" t="e">
        <f aca="false">((xSPRDOPT($L840+AB$5,$J840,$I840,$M840,$O840,$N840,$P840,$Q840-$C$3,$R840,3)*$H840)/10000)/100</f>
        <v>#NAME?</v>
      </c>
      <c r="AC840" s="226" t="e">
        <f aca="false">((xSPRDOPT($L840+$AB$5,$J840,$I840,$M840,$O840,$N840,$P840,$Q840-$C$3,$R840,7)*$H840)/100)</f>
        <v>#NAME?</v>
      </c>
      <c r="AD840" s="226" t="e">
        <f aca="false">(xSPRDOPT($L840+$AB$5,$J840,$I840,$M840,$O840,$N840,$P840,$Q840-$C$3,$R840,9)/365)*$H840</f>
        <v>#NAME?</v>
      </c>
      <c r="AE840" s="0" t="n">
        <f aca="false">CD842</f>
        <v>0</v>
      </c>
      <c r="AF840" s="226" t="e">
        <f aca="false">((O840/N840)*AH840)+AG840</f>
        <v>#NAME?</v>
      </c>
      <c r="AG840" s="226" t="e">
        <f aca="false">((xSPRDOPT($L840,$J840,$I840,$M840,$O840,$N840,$P840,$Q840-$C$3,$R840,6)*$H840)/100)</f>
        <v>#NAME?</v>
      </c>
      <c r="AH840" s="226" t="e">
        <f aca="false">((xSPRDOPT($L840,$J840,$I840,$M840,$O840,$N840,$P840,$Q840-$C$3,$R840,5)*$H840)/100)</f>
        <v>#NAME?</v>
      </c>
      <c r="AI840" s="226" t="e">
        <f aca="false">(((xSPRDOPT($L840,$J840,$I840,$M840,$O840,$N840,$P840,$Q840-$C$3,$R840,4)*$H840)/10000)/100)-AB840</f>
        <v>#NAME?</v>
      </c>
      <c r="AJ840" s="226"/>
    </row>
    <row r="841" customFormat="false" ht="12.75" hidden="false" customHeight="false" outlineLevel="0" collapsed="false">
      <c r="A841" s="17" t="s">
        <v>198</v>
      </c>
      <c r="B841" s="0" t="s">
        <v>192</v>
      </c>
      <c r="C841" s="0" t="s">
        <v>468</v>
      </c>
      <c r="D841" s="7" t="s">
        <v>137</v>
      </c>
      <c r="E841" s="0" t="s">
        <v>131</v>
      </c>
      <c r="F841" s="0" t="s">
        <v>136</v>
      </c>
      <c r="G841" s="92" t="n">
        <v>36951</v>
      </c>
      <c r="H841" s="248" t="n">
        <v>1000000</v>
      </c>
      <c r="I841" s="254" t="n">
        <v>1.5</v>
      </c>
      <c r="J841" s="124" t="n">
        <f aca="false">VLOOKUP(G841,NGPrices,2,FALSE())</f>
        <v>4.213</v>
      </c>
      <c r="K841" s="125" t="n">
        <f aca="false">HLOOKUP(D841,Prices,VLOOKUP(G841,move_down,2,FALSE()),FALSE())+VLOOKUP(G841,CHANGE,HLOOKUP(D841,CHANGE,2,FALSE()),FALSE())</f>
        <v>0.5975</v>
      </c>
      <c r="L841" s="124" t="n">
        <f aca="false">K841+J841</f>
        <v>4.8105</v>
      </c>
      <c r="M841" s="126" t="n">
        <f aca="false">VLOOKUP(G841,NGPrices,4,FALSE())</f>
        <v>0.068879814952707</v>
      </c>
      <c r="N841" s="7" t="n">
        <f aca="false">VLOOKUP(G841,NGPrices,3,FALSE())</f>
        <v>0.5325</v>
      </c>
      <c r="O841" s="7" t="n">
        <f aca="false">HLOOKUP(D841,VOLS,VLOOKUP(G841,move_down,2,FALSE()),FALSE())</f>
        <v>0.517</v>
      </c>
      <c r="P841" s="249" t="n">
        <f aca="false">HLOOKUP(D841,Correllate,VLOOKUP(G841,CorMove,2,FALSE()),FALSE())</f>
        <v>0.85</v>
      </c>
      <c r="Q841" s="92" t="n">
        <f aca="false">WORKDAY(G841,-2)</f>
        <v>36949</v>
      </c>
      <c r="R841" s="7" t="n">
        <f aca="false">IF(F841="P",0,1)</f>
        <v>1</v>
      </c>
      <c r="S841" s="130" t="e">
        <f aca="false">xSPRDOPT($L841,$J841,$I841,$M841,$O841,$N841,$P841,$Q841-$C$3,$R841,0)</f>
        <v>#NAME?</v>
      </c>
      <c r="T841" s="250" t="e">
        <f aca="false">xSPRDOPT($L841,$J841,$I841,$M841,$O841,$N841,$P841,$Q841-$C$3,$R841,1)*H841</f>
        <v>#NAME?</v>
      </c>
      <c r="U841" s="43" t="e">
        <f aca="false">S841*H841</f>
        <v>#NAME?</v>
      </c>
      <c r="V841" s="250" t="e">
        <f aca="false">xSPRDOPT($L841,$J841,$I841,$M841,$O841,$N841,$P841,$Q841-$C$3,$R841,2)*H841</f>
        <v>#NAME?</v>
      </c>
      <c r="W841" s="250" t="e">
        <f aca="false">+V841+T841</f>
        <v>#NAME?</v>
      </c>
      <c r="X841" s="2" t="str">
        <f aca="false">CONCATENATE(G841,D841)</f>
        <v>36951NGI-SOCAL</v>
      </c>
      <c r="Y841" s="251" t="n">
        <f aca="false">H841/10000</f>
        <v>100</v>
      </c>
      <c r="Z841" s="226" t="e">
        <f aca="false">T841/H841</f>
        <v>#NAME?</v>
      </c>
      <c r="AA841" s="226" t="e">
        <f aca="false">xSPRDOPT($L841,$J841,$I841,$M841,$O841,$N841,$P841,$Q841-$C$3,$R841,3)</f>
        <v>#NAME?</v>
      </c>
      <c r="AB841" s="226" t="e">
        <f aca="false">((xSPRDOPT($L841+AB$5,$J841,$I841,$M841,$O841,$N841,$P841,$Q841-$C$3,$R841,3)*$H841)/10000)/100</f>
        <v>#NAME?</v>
      </c>
      <c r="AC841" s="226" t="e">
        <f aca="false">((xSPRDOPT($L841+$AB$5,$J841,$I841,$M841,$O841,$N841,$P841,$Q841-$C$3,$R841,7)*$H841)/100)</f>
        <v>#NAME?</v>
      </c>
      <c r="AD841" s="226" t="e">
        <f aca="false">(xSPRDOPT($L841+$AB$5,$J841,$I841,$M841,$O841,$N841,$P841,$Q841-$C$3,$R841,9)/365)*$H841</f>
        <v>#NAME?</v>
      </c>
      <c r="AE841" s="0" t="n">
        <f aca="false">CD843</f>
        <v>0</v>
      </c>
      <c r="AF841" s="226" t="e">
        <f aca="false">((O841/N841)*AH841)+AG841</f>
        <v>#NAME?</v>
      </c>
      <c r="AG841" s="226" t="e">
        <f aca="false">((xSPRDOPT($L841,$J841,$I841,$M841,$O841,$N841,$P841,$Q841-$C$3,$R841,6)*$H841)/100)</f>
        <v>#NAME?</v>
      </c>
      <c r="AH841" s="226" t="e">
        <f aca="false">((xSPRDOPT($L841,$J841,$I841,$M841,$O841,$N841,$P841,$Q841-$C$3,$R841,5)*$H841)/100)</f>
        <v>#NAME?</v>
      </c>
      <c r="AI841" s="226" t="e">
        <f aca="false">(((xSPRDOPT($L841,$J841,$I841,$M841,$O841,$N841,$P841,$Q841-$C$3,$R841,4)*$H841)/10000)/100)-AB841</f>
        <v>#NAME?</v>
      </c>
      <c r="AJ841" s="226"/>
    </row>
    <row r="842" customFormat="false" ht="12.75" hidden="false" customHeight="false" outlineLevel="0" collapsed="false">
      <c r="A842" s="17" t="s">
        <v>198</v>
      </c>
      <c r="B842" s="0" t="s">
        <v>192</v>
      </c>
      <c r="C842" s="0" t="s">
        <v>469</v>
      </c>
      <c r="D842" s="7" t="s">
        <v>137</v>
      </c>
      <c r="E842" s="0" t="s">
        <v>131</v>
      </c>
      <c r="F842" s="0" t="s">
        <v>136</v>
      </c>
      <c r="G842" s="92" t="n">
        <v>36982</v>
      </c>
      <c r="H842" s="248" t="n">
        <v>-500000</v>
      </c>
      <c r="I842" s="254" t="n">
        <v>1.5</v>
      </c>
      <c r="J842" s="124" t="n">
        <f aca="false">VLOOKUP(G842,NGPrices,2,FALSE())</f>
        <v>3.938</v>
      </c>
      <c r="K842" s="125" t="n">
        <f aca="false">HLOOKUP(D842,Prices,VLOOKUP(G842,move_down,2,FALSE()),FALSE())+VLOOKUP(G842,CHANGE,HLOOKUP(D842,CHANGE,2,FALSE()),FALSE())</f>
        <v>0.59</v>
      </c>
      <c r="L842" s="124" t="n">
        <f aca="false">K842+J842</f>
        <v>4.528</v>
      </c>
      <c r="M842" s="126" t="n">
        <f aca="false">VLOOKUP(G842,NGPrices,4,FALSE())</f>
        <v>0.069061726541121</v>
      </c>
      <c r="N842" s="7" t="n">
        <f aca="false">VLOOKUP(G842,NGPrices,3,FALSE())</f>
        <v>0.4425</v>
      </c>
      <c r="O842" s="7" t="n">
        <f aca="false">HLOOKUP(D842,VOLS,VLOOKUP(G842,move_down,2,FALSE()),FALSE())</f>
        <v>0.443</v>
      </c>
      <c r="P842" s="249" t="n">
        <f aca="false">HLOOKUP(D842,Correllate,VLOOKUP(G842,CorMove,2,FALSE()),FALSE())</f>
        <v>0.88</v>
      </c>
      <c r="Q842" s="92" t="n">
        <f aca="false">WORKDAY(G842,-2)</f>
        <v>36979</v>
      </c>
      <c r="R842" s="7" t="n">
        <f aca="false">IF(F842="P",0,1)</f>
        <v>1</v>
      </c>
      <c r="S842" s="130" t="e">
        <f aca="false">xSPRDOPT($L842,$J842,$I842,$M842,$O842,$N842,$P842,$Q842-$C$3,$R842,0)</f>
        <v>#NAME?</v>
      </c>
      <c r="T842" s="250" t="e">
        <f aca="false">xSPRDOPT($L842,$J842,$I842,$M842,$O842,$N842,$P842,$Q842-$C$3,$R842,1)*H842</f>
        <v>#NAME?</v>
      </c>
      <c r="U842" s="43" t="e">
        <f aca="false">S842*H842</f>
        <v>#NAME?</v>
      </c>
      <c r="V842" s="250" t="e">
        <f aca="false">xSPRDOPT($L842,$J842,$I842,$M842,$O842,$N842,$P842,$Q842-$C$3,$R842,2)*H842</f>
        <v>#NAME?</v>
      </c>
      <c r="W842" s="250" t="e">
        <f aca="false">+V842+T842</f>
        <v>#NAME?</v>
      </c>
      <c r="X842" s="2" t="str">
        <f aca="false">CONCATENATE(G842,D842)</f>
        <v>36982NGI-SOCAL</v>
      </c>
      <c r="Y842" s="251" t="n">
        <f aca="false">H842/10000</f>
        <v>-50</v>
      </c>
      <c r="Z842" s="226" t="e">
        <f aca="false">T842/H842</f>
        <v>#NAME?</v>
      </c>
      <c r="AA842" s="226" t="e">
        <f aca="false">xSPRDOPT($L842,$J842,$I842,$M842,$O842,$N842,$P842,$Q842-$C$3,$R842,3)</f>
        <v>#NAME?</v>
      </c>
      <c r="AB842" s="226" t="e">
        <f aca="false">((xSPRDOPT($L842+AB$5,$J842,$I842,$M842,$O842,$N842,$P842,$Q842-$C$3,$R842,3)*$H842)/10000)/100</f>
        <v>#NAME?</v>
      </c>
      <c r="AC842" s="226" t="e">
        <f aca="false">((xSPRDOPT($L842+$AB$5,$J842,$I842,$M842,$O842,$N842,$P842,$Q842-$C$3,$R842,7)*$H842)/100)</f>
        <v>#NAME?</v>
      </c>
      <c r="AD842" s="226" t="e">
        <f aca="false">(xSPRDOPT($L842+$AB$5,$J842,$I842,$M842,$O842,$N842,$P842,$Q842-$C$3,$R842,9)/365)*$H842</f>
        <v>#NAME?</v>
      </c>
      <c r="AE842" s="0" t="n">
        <f aca="false">CD844</f>
        <v>0</v>
      </c>
      <c r="AF842" s="226" t="e">
        <f aca="false">((O842/N842)*AH842)+AG842</f>
        <v>#NAME?</v>
      </c>
      <c r="AG842" s="226" t="e">
        <f aca="false">((xSPRDOPT($L842,$J842,$I842,$M842,$O842,$N842,$P842,$Q842-$C$3,$R842,6)*$H842)/100)</f>
        <v>#NAME?</v>
      </c>
      <c r="AH842" s="226" t="e">
        <f aca="false">((xSPRDOPT($L842,$J842,$I842,$M842,$O842,$N842,$P842,$Q842-$C$3,$R842,5)*$H842)/100)</f>
        <v>#NAME?</v>
      </c>
      <c r="AI842" s="226" t="e">
        <f aca="false">(((xSPRDOPT($L842,$J842,$I842,$M842,$O842,$N842,$P842,$Q842-$C$3,$R842,4)*$H842)/10000)/100)-AB842</f>
        <v>#NAME?</v>
      </c>
      <c r="AJ842" s="226"/>
    </row>
    <row r="843" customFormat="false" ht="12.75" hidden="false" customHeight="false" outlineLevel="0" collapsed="false">
      <c r="A843" s="17" t="s">
        <v>198</v>
      </c>
      <c r="B843" s="0" t="s">
        <v>192</v>
      </c>
      <c r="C843" s="0" t="s">
        <v>469</v>
      </c>
      <c r="D843" s="7" t="s">
        <v>137</v>
      </c>
      <c r="E843" s="0" t="s">
        <v>131</v>
      </c>
      <c r="F843" s="0" t="s">
        <v>136</v>
      </c>
      <c r="G843" s="92" t="n">
        <v>37012</v>
      </c>
      <c r="H843" s="248" t="n">
        <v>-500000</v>
      </c>
      <c r="I843" s="254" t="n">
        <v>1.5</v>
      </c>
      <c r="J843" s="124" t="n">
        <f aca="false">VLOOKUP(G843,NGPrices,2,FALSE())</f>
        <v>3.838</v>
      </c>
      <c r="K843" s="125" t="n">
        <f aca="false">HLOOKUP(D843,Prices,VLOOKUP(G843,move_down,2,FALSE()),FALSE())+VLOOKUP(G843,CHANGE,HLOOKUP(D843,CHANGE,2,FALSE()),FALSE())</f>
        <v>0.6</v>
      </c>
      <c r="L843" s="124" t="n">
        <f aca="false">K843+J843</f>
        <v>4.438</v>
      </c>
      <c r="M843" s="126" t="n">
        <f aca="false">VLOOKUP(G843,NGPrices,4,FALSE())</f>
        <v>0.069101151219</v>
      </c>
      <c r="N843" s="7" t="n">
        <f aca="false">VLOOKUP(G843,NGPrices,3,FALSE())</f>
        <v>0.405</v>
      </c>
      <c r="O843" s="7" t="n">
        <f aca="false">HLOOKUP(D843,VOLS,VLOOKUP(G843,move_down,2,FALSE()),FALSE())</f>
        <v>0.405</v>
      </c>
      <c r="P843" s="249" t="n">
        <f aca="false">HLOOKUP(D843,Correllate,VLOOKUP(G843,CorMove,2,FALSE()),FALSE())</f>
        <v>0.88</v>
      </c>
      <c r="Q843" s="92" t="n">
        <f aca="false">WORKDAY(G843,-2)</f>
        <v>37008</v>
      </c>
      <c r="R843" s="7" t="n">
        <f aca="false">IF(F843="P",0,1)</f>
        <v>1</v>
      </c>
      <c r="S843" s="130" t="e">
        <f aca="false">xSPRDOPT($L843,$J843,$I843,$M843,$O843,$N843,$P843,$Q843-$C$3,$R843,0)</f>
        <v>#NAME?</v>
      </c>
      <c r="T843" s="250" t="e">
        <f aca="false">xSPRDOPT($L843,$J843,$I843,$M843,$O843,$N843,$P843,$Q843-$C$3,$R843,1)*H843</f>
        <v>#NAME?</v>
      </c>
      <c r="U843" s="43" t="e">
        <f aca="false">S843*H843</f>
        <v>#NAME?</v>
      </c>
      <c r="V843" s="250" t="e">
        <f aca="false">xSPRDOPT($L843,$J843,$I843,$M843,$O843,$N843,$P843,$Q843-$C$3,$R843,2)*H843</f>
        <v>#NAME?</v>
      </c>
      <c r="W843" s="250" t="e">
        <f aca="false">+V843+T843</f>
        <v>#NAME?</v>
      </c>
      <c r="X843" s="2" t="str">
        <f aca="false">CONCATENATE(G843,D843)</f>
        <v>37012NGI-SOCAL</v>
      </c>
      <c r="Y843" s="251" t="n">
        <f aca="false">H843/10000</f>
        <v>-50</v>
      </c>
      <c r="Z843" s="226" t="e">
        <f aca="false">T843/H843</f>
        <v>#NAME?</v>
      </c>
      <c r="AA843" s="226" t="e">
        <f aca="false">xSPRDOPT($L843,$J843,$I843,$M843,$O843,$N843,$P843,$Q843-$C$3,$R843,3)</f>
        <v>#NAME?</v>
      </c>
      <c r="AB843" s="226" t="e">
        <f aca="false">((xSPRDOPT($L843+AB$5,$J843,$I843,$M843,$O843,$N843,$P843,$Q843-$C$3,$R843,3)*$H843)/10000)/100</f>
        <v>#NAME?</v>
      </c>
      <c r="AC843" s="226" t="e">
        <f aca="false">((xSPRDOPT($L843+$AB$5,$J843,$I843,$M843,$O843,$N843,$P843,$Q843-$C$3,$R843,7)*$H843)/100)</f>
        <v>#NAME?</v>
      </c>
      <c r="AD843" s="226" t="e">
        <f aca="false">(xSPRDOPT($L843+$AB$5,$J843,$I843,$M843,$O843,$N843,$P843,$Q843-$C$3,$R843,9)/365)*$H843</f>
        <v>#NAME?</v>
      </c>
      <c r="AE843" s="0" t="n">
        <f aca="false">CD845</f>
        <v>0</v>
      </c>
      <c r="AF843" s="226" t="e">
        <f aca="false">((O843/N843)*AH843)+AG843</f>
        <v>#NAME?</v>
      </c>
      <c r="AG843" s="226" t="e">
        <f aca="false">((xSPRDOPT($L843,$J843,$I843,$M843,$O843,$N843,$P843,$Q843-$C$3,$R843,6)*$H843)/100)</f>
        <v>#NAME?</v>
      </c>
      <c r="AH843" s="226" t="e">
        <f aca="false">((xSPRDOPT($L843,$J843,$I843,$M843,$O843,$N843,$P843,$Q843-$C$3,$R843,5)*$H843)/100)</f>
        <v>#NAME?</v>
      </c>
      <c r="AI843" s="226" t="e">
        <f aca="false">(((xSPRDOPT($L843,$J843,$I843,$M843,$O843,$N843,$P843,$Q843-$C$3,$R843,4)*$H843)/10000)/100)-AB843</f>
        <v>#NAME?</v>
      </c>
      <c r="AJ843" s="226"/>
    </row>
    <row r="844" customFormat="false" ht="12.75" hidden="false" customHeight="false" outlineLevel="0" collapsed="false">
      <c r="A844" s="17" t="s">
        <v>198</v>
      </c>
      <c r="B844" s="0" t="s">
        <v>192</v>
      </c>
      <c r="C844" s="0" t="s">
        <v>469</v>
      </c>
      <c r="D844" s="7" t="s">
        <v>137</v>
      </c>
      <c r="E844" s="0" t="s">
        <v>131</v>
      </c>
      <c r="F844" s="0" t="s">
        <v>136</v>
      </c>
      <c r="G844" s="92" t="n">
        <v>37043</v>
      </c>
      <c r="H844" s="248" t="n">
        <v>-500000</v>
      </c>
      <c r="I844" s="254" t="n">
        <v>1.5</v>
      </c>
      <c r="J844" s="124" t="n">
        <f aca="false">VLOOKUP(G844,NGPrices,2,FALSE())</f>
        <v>3.818</v>
      </c>
      <c r="K844" s="125" t="n">
        <f aca="false">HLOOKUP(D844,Prices,VLOOKUP(G844,move_down,2,FALSE()),FALSE())+VLOOKUP(G844,CHANGE,HLOOKUP(D844,CHANGE,2,FALSE()),FALSE())</f>
        <v>0.62</v>
      </c>
      <c r="L844" s="124" t="n">
        <f aca="false">K844+J844</f>
        <v>4.438</v>
      </c>
      <c r="M844" s="126" t="n">
        <f aca="false">VLOOKUP(G844,NGPrices,4,FALSE())</f>
        <v>0.069141890053328</v>
      </c>
      <c r="N844" s="7" t="n">
        <f aca="false">VLOOKUP(G844,NGPrices,3,FALSE())</f>
        <v>0.4</v>
      </c>
      <c r="O844" s="7" t="n">
        <f aca="false">HLOOKUP(D844,VOLS,VLOOKUP(G844,move_down,2,FALSE()),FALSE())</f>
        <v>0.4</v>
      </c>
      <c r="P844" s="249" t="n">
        <f aca="false">HLOOKUP(D844,Correllate,VLOOKUP(G844,CorMove,2,FALSE()),FALSE())</f>
        <v>0.88</v>
      </c>
      <c r="Q844" s="92" t="n">
        <f aca="false">WORKDAY(G844,-2)</f>
        <v>37041</v>
      </c>
      <c r="R844" s="7" t="n">
        <f aca="false">IF(F844="P",0,1)</f>
        <v>1</v>
      </c>
      <c r="S844" s="130" t="e">
        <f aca="false">xSPRDOPT($L844,$J844,$I844,$M844,$O844,$N844,$P844,$Q844-$C$3,$R844,0)</f>
        <v>#NAME?</v>
      </c>
      <c r="T844" s="250" t="e">
        <f aca="false">xSPRDOPT($L844,$J844,$I844,$M844,$O844,$N844,$P844,$Q844-$C$3,$R844,1)*H844</f>
        <v>#NAME?</v>
      </c>
      <c r="U844" s="43" t="e">
        <f aca="false">S844*H844</f>
        <v>#NAME?</v>
      </c>
      <c r="V844" s="250" t="e">
        <f aca="false">xSPRDOPT($L844,$J844,$I844,$M844,$O844,$N844,$P844,$Q844-$C$3,$R844,2)*H844</f>
        <v>#NAME?</v>
      </c>
      <c r="W844" s="250" t="e">
        <f aca="false">+V844+T844</f>
        <v>#NAME?</v>
      </c>
      <c r="X844" s="2" t="str">
        <f aca="false">CONCATENATE(G844,D844)</f>
        <v>37043NGI-SOCAL</v>
      </c>
      <c r="Y844" s="251" t="n">
        <f aca="false">H844/10000</f>
        <v>-50</v>
      </c>
      <c r="Z844" s="226" t="e">
        <f aca="false">T844/H844</f>
        <v>#NAME?</v>
      </c>
      <c r="AA844" s="226" t="e">
        <f aca="false">xSPRDOPT($L844,$J844,$I844,$M844,$O844,$N844,$P844,$Q844-$C$3,$R844,3)</f>
        <v>#NAME?</v>
      </c>
      <c r="AB844" s="226" t="e">
        <f aca="false">((xSPRDOPT($L844+AB$5,$J844,$I844,$M844,$O844,$N844,$P844,$Q844-$C$3,$R844,3)*$H844)/10000)/100</f>
        <v>#NAME?</v>
      </c>
      <c r="AC844" s="226" t="e">
        <f aca="false">((xSPRDOPT($L844+$AB$5,$J844,$I844,$M844,$O844,$N844,$P844,$Q844-$C$3,$R844,7)*$H844)/100)</f>
        <v>#NAME?</v>
      </c>
      <c r="AD844" s="226" t="e">
        <f aca="false">(xSPRDOPT($L844+$AB$5,$J844,$I844,$M844,$O844,$N844,$P844,$Q844-$C$3,$R844,9)/365)*$H844</f>
        <v>#NAME?</v>
      </c>
      <c r="AE844" s="0" t="n">
        <f aca="false">CD846</f>
        <v>0</v>
      </c>
      <c r="AF844" s="226" t="e">
        <f aca="false">((O844/N844)*AH844)+AG844</f>
        <v>#NAME?</v>
      </c>
      <c r="AG844" s="226" t="e">
        <f aca="false">((xSPRDOPT($L844,$J844,$I844,$M844,$O844,$N844,$P844,$Q844-$C$3,$R844,6)*$H844)/100)</f>
        <v>#NAME?</v>
      </c>
      <c r="AH844" s="226" t="e">
        <f aca="false">((xSPRDOPT($L844,$J844,$I844,$M844,$O844,$N844,$P844,$Q844-$C$3,$R844,5)*$H844)/100)</f>
        <v>#NAME?</v>
      </c>
      <c r="AI844" s="226" t="e">
        <f aca="false">(((xSPRDOPT($L844,$J844,$I844,$M844,$O844,$N844,$P844,$Q844-$C$3,$R844,4)*$H844)/10000)/100)-AB844</f>
        <v>#NAME?</v>
      </c>
      <c r="AJ844" s="226"/>
    </row>
    <row r="845" customFormat="false" ht="12.75" hidden="false" customHeight="false" outlineLevel="0" collapsed="false">
      <c r="A845" s="17" t="s">
        <v>198</v>
      </c>
      <c r="B845" s="0" t="s">
        <v>192</v>
      </c>
      <c r="C845" s="0" t="s">
        <v>469</v>
      </c>
      <c r="D845" s="7" t="s">
        <v>137</v>
      </c>
      <c r="E845" s="0" t="s">
        <v>131</v>
      </c>
      <c r="F845" s="0" t="s">
        <v>136</v>
      </c>
      <c r="G845" s="92" t="n">
        <v>37073</v>
      </c>
      <c r="H845" s="248" t="n">
        <v>-500000</v>
      </c>
      <c r="I845" s="254" t="n">
        <v>1.5</v>
      </c>
      <c r="J845" s="124" t="n">
        <f aca="false">VLOOKUP(G845,NGPrices,2,FALSE())</f>
        <v>3.803</v>
      </c>
      <c r="K845" s="125" t="n">
        <f aca="false">HLOOKUP(D845,Prices,VLOOKUP(G845,move_down,2,FALSE()),FALSE())+VLOOKUP(G845,CHANGE,HLOOKUP(D845,CHANGE,2,FALSE()),FALSE())</f>
        <v>1.225</v>
      </c>
      <c r="L845" s="124" t="n">
        <f aca="false">K845+J845</f>
        <v>5.028</v>
      </c>
      <c r="M845" s="126" t="n">
        <f aca="false">VLOOKUP(G845,NGPrices,4,FALSE())</f>
        <v>0.069181571268568</v>
      </c>
      <c r="N845" s="7" t="n">
        <f aca="false">VLOOKUP(G845,NGPrices,3,FALSE())</f>
        <v>0.4</v>
      </c>
      <c r="O845" s="7" t="n">
        <f aca="false">HLOOKUP(D845,VOLS,VLOOKUP(G845,move_down,2,FALSE()),FALSE())</f>
        <v>0.4</v>
      </c>
      <c r="P845" s="249" t="n">
        <f aca="false">HLOOKUP(D845,Correllate,VLOOKUP(G845,CorMove,2,FALSE()),FALSE())</f>
        <v>0.88</v>
      </c>
      <c r="Q845" s="92" t="n">
        <f aca="false">WORKDAY(G845,-2)</f>
        <v>37070</v>
      </c>
      <c r="R845" s="7" t="n">
        <f aca="false">IF(F845="P",0,1)</f>
        <v>1</v>
      </c>
      <c r="S845" s="130" t="e">
        <f aca="false">xSPRDOPT($L845,$J845,$I845,$M845,$O845,$N845,$P845,$Q845-$C$3,$R845,0)</f>
        <v>#NAME?</v>
      </c>
      <c r="T845" s="250" t="e">
        <f aca="false">xSPRDOPT($L845,$J845,$I845,$M845,$O845,$N845,$P845,$Q845-$C$3,$R845,1)*H845</f>
        <v>#NAME?</v>
      </c>
      <c r="U845" s="43" t="e">
        <f aca="false">S845*H845</f>
        <v>#NAME?</v>
      </c>
      <c r="V845" s="250" t="e">
        <f aca="false">xSPRDOPT($L845,$J845,$I845,$M845,$O845,$N845,$P845,$Q845-$C$3,$R845,2)*H845</f>
        <v>#NAME?</v>
      </c>
      <c r="W845" s="250" t="e">
        <f aca="false">+V845+T845</f>
        <v>#NAME?</v>
      </c>
      <c r="X845" s="2" t="str">
        <f aca="false">CONCATENATE(G845,D845)</f>
        <v>37073NGI-SOCAL</v>
      </c>
      <c r="Y845" s="251" t="n">
        <f aca="false">H845/10000</f>
        <v>-50</v>
      </c>
      <c r="Z845" s="226" t="e">
        <f aca="false">T845/H845</f>
        <v>#NAME?</v>
      </c>
      <c r="AA845" s="226" t="e">
        <f aca="false">xSPRDOPT($L845,$J845,$I845,$M845,$O845,$N845,$P845,$Q845-$C$3,$R845,3)</f>
        <v>#NAME?</v>
      </c>
      <c r="AB845" s="226" t="e">
        <f aca="false">((xSPRDOPT($L845+AB$5,$J845,$I845,$M845,$O845,$N845,$P845,$Q845-$C$3,$R845,3)*$H845)/10000)/100</f>
        <v>#NAME?</v>
      </c>
      <c r="AC845" s="226" t="e">
        <f aca="false">((xSPRDOPT($L845+$AB$5,$J845,$I845,$M845,$O845,$N845,$P845,$Q845-$C$3,$R845,7)*$H845)/100)</f>
        <v>#NAME?</v>
      </c>
      <c r="AD845" s="226" t="e">
        <f aca="false">(xSPRDOPT($L845+$AB$5,$J845,$I845,$M845,$O845,$N845,$P845,$Q845-$C$3,$R845,9)/365)*$H845</f>
        <v>#NAME?</v>
      </c>
      <c r="AE845" s="0" t="n">
        <f aca="false">CD847</f>
        <v>0</v>
      </c>
      <c r="AF845" s="226" t="e">
        <f aca="false">((O845/N845)*AH845)+AG845</f>
        <v>#NAME?</v>
      </c>
      <c r="AG845" s="226" t="e">
        <f aca="false">((xSPRDOPT($L845,$J845,$I845,$M845,$O845,$N845,$P845,$Q845-$C$3,$R845,6)*$H845)/100)</f>
        <v>#NAME?</v>
      </c>
      <c r="AH845" s="226" t="e">
        <f aca="false">((xSPRDOPT($L845,$J845,$I845,$M845,$O845,$N845,$P845,$Q845-$C$3,$R845,5)*$H845)/100)</f>
        <v>#NAME?</v>
      </c>
      <c r="AI845" s="226" t="e">
        <f aca="false">(((xSPRDOPT($L845,$J845,$I845,$M845,$O845,$N845,$P845,$Q845-$C$3,$R845,4)*$H845)/10000)/100)-AB845</f>
        <v>#NAME?</v>
      </c>
      <c r="AJ845" s="226"/>
    </row>
    <row r="846" customFormat="false" ht="12.75" hidden="false" customHeight="false" outlineLevel="0" collapsed="false">
      <c r="A846" s="17" t="s">
        <v>198</v>
      </c>
      <c r="B846" s="0" t="s">
        <v>192</v>
      </c>
      <c r="C846" s="0" t="s">
        <v>469</v>
      </c>
      <c r="D846" s="7" t="s">
        <v>137</v>
      </c>
      <c r="E846" s="0" t="s">
        <v>131</v>
      </c>
      <c r="F846" s="0" t="s">
        <v>136</v>
      </c>
      <c r="G846" s="92" t="n">
        <v>37104</v>
      </c>
      <c r="H846" s="248" t="n">
        <v>-500000</v>
      </c>
      <c r="I846" s="254" t="n">
        <v>1.5</v>
      </c>
      <c r="J846" s="124" t="n">
        <f aca="false">VLOOKUP(G846,NGPrices,2,FALSE())</f>
        <v>3.808</v>
      </c>
      <c r="K846" s="125" t="n">
        <f aca="false">HLOOKUP(D846,Prices,VLOOKUP(G846,move_down,2,FALSE()),FALSE())+VLOOKUP(G846,CHANGE,HLOOKUP(D846,CHANGE,2,FALSE()),FALSE())</f>
        <v>1.275</v>
      </c>
      <c r="L846" s="124" t="n">
        <f aca="false">K846+J846</f>
        <v>5.083</v>
      </c>
      <c r="M846" s="126" t="n">
        <f aca="false">VLOOKUP(G846,NGPrices,4,FALSE())</f>
        <v>0.069223060737755</v>
      </c>
      <c r="N846" s="7" t="n">
        <f aca="false">VLOOKUP(G846,NGPrices,3,FALSE())</f>
        <v>0.4</v>
      </c>
      <c r="O846" s="7" t="n">
        <f aca="false">HLOOKUP(D846,VOLS,VLOOKUP(G846,move_down,2,FALSE()),FALSE())</f>
        <v>0.4</v>
      </c>
      <c r="P846" s="249" t="n">
        <f aca="false">HLOOKUP(D846,Correllate,VLOOKUP(G846,CorMove,2,FALSE()),FALSE())</f>
        <v>0.88</v>
      </c>
      <c r="Q846" s="92" t="n">
        <f aca="false">WORKDAY(G846,-2)</f>
        <v>37102</v>
      </c>
      <c r="R846" s="7" t="n">
        <f aca="false">IF(F846="P",0,1)</f>
        <v>1</v>
      </c>
      <c r="S846" s="130" t="e">
        <f aca="false">xSPRDOPT($L846,$J846,$I846,$M846,$O846,$N846,$P846,$Q846-$C$3,$R846,0)</f>
        <v>#NAME?</v>
      </c>
      <c r="T846" s="250" t="e">
        <f aca="false">xSPRDOPT($L846,$J846,$I846,$M846,$O846,$N846,$P846,$Q846-$C$3,$R846,1)*H846</f>
        <v>#NAME?</v>
      </c>
      <c r="U846" s="43" t="e">
        <f aca="false">S846*H846</f>
        <v>#NAME?</v>
      </c>
      <c r="V846" s="250" t="e">
        <f aca="false">xSPRDOPT($L846,$J846,$I846,$M846,$O846,$N846,$P846,$Q846-$C$3,$R846,2)*H846</f>
        <v>#NAME?</v>
      </c>
      <c r="W846" s="250" t="e">
        <f aca="false">+V846+T846</f>
        <v>#NAME?</v>
      </c>
      <c r="X846" s="2" t="str">
        <f aca="false">CONCATENATE(G846,D846)</f>
        <v>37104NGI-SOCAL</v>
      </c>
      <c r="Y846" s="251" t="n">
        <f aca="false">H846/10000</f>
        <v>-50</v>
      </c>
      <c r="Z846" s="226" t="e">
        <f aca="false">T846/H846</f>
        <v>#NAME?</v>
      </c>
      <c r="AA846" s="226" t="e">
        <f aca="false">xSPRDOPT($L846,$J846,$I846,$M846,$O846,$N846,$P846,$Q846-$C$3,$R846,3)</f>
        <v>#NAME?</v>
      </c>
      <c r="AB846" s="226" t="e">
        <f aca="false">((xSPRDOPT($L846+AB$5,$J846,$I846,$M846,$O846,$N846,$P846,$Q846-$C$3,$R846,3)*$H846)/10000)/100</f>
        <v>#NAME?</v>
      </c>
      <c r="AC846" s="226" t="e">
        <f aca="false">((xSPRDOPT($L846+$AB$5,$J846,$I846,$M846,$O846,$N846,$P846,$Q846-$C$3,$R846,7)*$H846)/100)</f>
        <v>#NAME?</v>
      </c>
      <c r="AD846" s="226" t="e">
        <f aca="false">(xSPRDOPT($L846+$AB$5,$J846,$I846,$M846,$O846,$N846,$P846,$Q846-$C$3,$R846,9)/365)*$H846</f>
        <v>#NAME?</v>
      </c>
      <c r="AE846" s="0" t="n">
        <f aca="false">CD848</f>
        <v>0</v>
      </c>
      <c r="AF846" s="226" t="e">
        <f aca="false">((O846/N846)*AH846)+AG846</f>
        <v>#NAME?</v>
      </c>
      <c r="AG846" s="226" t="e">
        <f aca="false">((xSPRDOPT($L846,$J846,$I846,$M846,$O846,$N846,$P846,$Q846-$C$3,$R846,6)*$H846)/100)</f>
        <v>#NAME?</v>
      </c>
      <c r="AH846" s="226" t="e">
        <f aca="false">((xSPRDOPT($L846,$J846,$I846,$M846,$O846,$N846,$P846,$Q846-$C$3,$R846,5)*$H846)/100)</f>
        <v>#NAME?</v>
      </c>
      <c r="AI846" s="226" t="e">
        <f aca="false">(((xSPRDOPT($L846,$J846,$I846,$M846,$O846,$N846,$P846,$Q846-$C$3,$R846,4)*$H846)/10000)/100)-AB846</f>
        <v>#NAME?</v>
      </c>
      <c r="AJ846" s="226"/>
    </row>
    <row r="847" customFormat="false" ht="12.75" hidden="false" customHeight="false" outlineLevel="0" collapsed="false">
      <c r="A847" s="17" t="s">
        <v>198</v>
      </c>
      <c r="B847" s="0" t="s">
        <v>192</v>
      </c>
      <c r="C847" s="0" t="s">
        <v>469</v>
      </c>
      <c r="D847" s="7" t="s">
        <v>137</v>
      </c>
      <c r="E847" s="0" t="s">
        <v>131</v>
      </c>
      <c r="F847" s="0" t="s">
        <v>136</v>
      </c>
      <c r="G847" s="92" t="n">
        <v>37135</v>
      </c>
      <c r="H847" s="248" t="n">
        <v>-500000</v>
      </c>
      <c r="I847" s="254" t="n">
        <v>1.5</v>
      </c>
      <c r="J847" s="124" t="n">
        <f aca="false">VLOOKUP(G847,NGPrices,2,FALSE())</f>
        <v>3.788</v>
      </c>
      <c r="K847" s="125" t="n">
        <f aca="false">HLOOKUP(D847,Prices,VLOOKUP(G847,move_down,2,FALSE()),FALSE())+VLOOKUP(G847,CHANGE,HLOOKUP(D847,CHANGE,2,FALSE()),FALSE())</f>
        <v>1.2525</v>
      </c>
      <c r="L847" s="124" t="n">
        <f aca="false">K847+J847</f>
        <v>5.0405</v>
      </c>
      <c r="M847" s="126" t="n">
        <f aca="false">VLOOKUP(G847,NGPrices,4,FALSE())</f>
        <v>0.069264550207512</v>
      </c>
      <c r="N847" s="7" t="n">
        <f aca="false">VLOOKUP(G847,NGPrices,3,FALSE())</f>
        <v>0.4</v>
      </c>
      <c r="O847" s="7" t="n">
        <f aca="false">HLOOKUP(D847,VOLS,VLOOKUP(G847,move_down,2,FALSE()),FALSE())</f>
        <v>0.4</v>
      </c>
      <c r="P847" s="249" t="n">
        <f aca="false">HLOOKUP(D847,Correllate,VLOOKUP(G847,CorMove,2,FALSE()),FALSE())</f>
        <v>0.88</v>
      </c>
      <c r="Q847" s="92" t="n">
        <f aca="false">WORKDAY(G847,-2)</f>
        <v>37133</v>
      </c>
      <c r="R847" s="7" t="n">
        <f aca="false">IF(F847="P",0,1)</f>
        <v>1</v>
      </c>
      <c r="S847" s="130" t="e">
        <f aca="false">xSPRDOPT($L847,$J847,$I847,$M847,$O847,$N847,$P847,$Q847-$C$3,$R847,0)</f>
        <v>#NAME?</v>
      </c>
      <c r="T847" s="250" t="e">
        <f aca="false">xSPRDOPT($L847,$J847,$I847,$M847,$O847,$N847,$P847,$Q847-$C$3,$R847,1)*H847</f>
        <v>#NAME?</v>
      </c>
      <c r="U847" s="43" t="e">
        <f aca="false">S847*H847</f>
        <v>#NAME?</v>
      </c>
      <c r="V847" s="250" t="e">
        <f aca="false">xSPRDOPT($L847,$J847,$I847,$M847,$O847,$N847,$P847,$Q847-$C$3,$R847,2)*H847</f>
        <v>#NAME?</v>
      </c>
      <c r="W847" s="250" t="e">
        <f aca="false">+V847+T847</f>
        <v>#NAME?</v>
      </c>
      <c r="X847" s="2" t="str">
        <f aca="false">CONCATENATE(G847,D847)</f>
        <v>37135NGI-SOCAL</v>
      </c>
      <c r="Y847" s="251" t="n">
        <f aca="false">H847/10000</f>
        <v>-50</v>
      </c>
      <c r="Z847" s="226" t="e">
        <f aca="false">T847/H847</f>
        <v>#NAME?</v>
      </c>
      <c r="AA847" s="226" t="e">
        <f aca="false">xSPRDOPT($L847,$J847,$I847,$M847,$O847,$N847,$P847,$Q847-$C$3,$R847,3)</f>
        <v>#NAME?</v>
      </c>
      <c r="AB847" s="226" t="e">
        <f aca="false">((xSPRDOPT($L847+AB$5,$J847,$I847,$M847,$O847,$N847,$P847,$Q847-$C$3,$R847,3)*$H847)/10000)/100</f>
        <v>#NAME?</v>
      </c>
      <c r="AC847" s="226" t="e">
        <f aca="false">((xSPRDOPT($L847+$AB$5,$J847,$I847,$M847,$O847,$N847,$P847,$Q847-$C$3,$R847,7)*$H847)/100)</f>
        <v>#NAME?</v>
      </c>
      <c r="AD847" s="226" t="e">
        <f aca="false">(xSPRDOPT($L847+$AB$5,$J847,$I847,$M847,$O847,$N847,$P847,$Q847-$C$3,$R847,9)/365)*$H847</f>
        <v>#NAME?</v>
      </c>
      <c r="AE847" s="0" t="n">
        <f aca="false">CD849</f>
        <v>0</v>
      </c>
      <c r="AF847" s="226" t="e">
        <f aca="false">((O847/N847)*AH847)+AG847</f>
        <v>#NAME?</v>
      </c>
      <c r="AG847" s="226" t="e">
        <f aca="false">((xSPRDOPT($L847,$J847,$I847,$M847,$O847,$N847,$P847,$Q847-$C$3,$R847,6)*$H847)/100)</f>
        <v>#NAME?</v>
      </c>
      <c r="AH847" s="226" t="e">
        <f aca="false">((xSPRDOPT($L847,$J847,$I847,$M847,$O847,$N847,$P847,$Q847-$C$3,$R847,5)*$H847)/100)</f>
        <v>#NAME?</v>
      </c>
      <c r="AI847" s="226" t="e">
        <f aca="false">(((xSPRDOPT($L847,$J847,$I847,$M847,$O847,$N847,$P847,$Q847-$C$3,$R847,4)*$H847)/10000)/100)-AB847</f>
        <v>#NAME?</v>
      </c>
      <c r="AJ847" s="226"/>
    </row>
    <row r="848" customFormat="false" ht="12.75" hidden="false" customHeight="false" outlineLevel="0" collapsed="false">
      <c r="A848" s="17" t="s">
        <v>198</v>
      </c>
      <c r="B848" s="0" t="s">
        <v>192</v>
      </c>
      <c r="C848" s="0" t="s">
        <v>469</v>
      </c>
      <c r="D848" s="7" t="s">
        <v>137</v>
      </c>
      <c r="E848" s="0" t="s">
        <v>131</v>
      </c>
      <c r="F848" s="0" t="s">
        <v>136</v>
      </c>
      <c r="G848" s="92" t="n">
        <v>37165</v>
      </c>
      <c r="H848" s="248" t="n">
        <v>-500000</v>
      </c>
      <c r="I848" s="254" t="n">
        <v>1.5</v>
      </c>
      <c r="J848" s="124" t="n">
        <f aca="false">VLOOKUP(G848,NGPrices,2,FALSE())</f>
        <v>3.773</v>
      </c>
      <c r="K848" s="125" t="n">
        <f aca="false">HLOOKUP(D848,Prices,VLOOKUP(G848,move_down,2,FALSE()),FALSE())+VLOOKUP(G848,CHANGE,HLOOKUP(D848,CHANGE,2,FALSE()),FALSE())</f>
        <v>0.7475</v>
      </c>
      <c r="L848" s="124" t="n">
        <f aca="false">K848+J848</f>
        <v>4.5205</v>
      </c>
      <c r="M848" s="126" t="n">
        <f aca="false">VLOOKUP(G848,NGPrices,4,FALSE())</f>
        <v>0.069300944538364</v>
      </c>
      <c r="N848" s="7" t="n">
        <f aca="false">VLOOKUP(G848,NGPrices,3,FALSE())</f>
        <v>0.4025</v>
      </c>
      <c r="O848" s="7" t="n">
        <f aca="false">HLOOKUP(D848,VOLS,VLOOKUP(G848,move_down,2,FALSE()),FALSE())</f>
        <v>0.403</v>
      </c>
      <c r="P848" s="249" t="n">
        <f aca="false">HLOOKUP(D848,Correllate,VLOOKUP(G848,CorMove,2,FALSE()),FALSE())</f>
        <v>0.88</v>
      </c>
      <c r="Q848" s="92" t="n">
        <f aca="false">WORKDAY(G848,-2)</f>
        <v>37161</v>
      </c>
      <c r="R848" s="7" t="n">
        <f aca="false">IF(F848="P",0,1)</f>
        <v>1</v>
      </c>
      <c r="S848" s="130" t="e">
        <f aca="false">xSPRDOPT($L848,$J848,$I848,$M848,$O848,$N848,$P848,$Q848-$C$3,$R848,0)</f>
        <v>#NAME?</v>
      </c>
      <c r="T848" s="250" t="e">
        <f aca="false">xSPRDOPT($L848,$J848,$I848,$M848,$O848,$N848,$P848,$Q848-$C$3,$R848,1)*H848</f>
        <v>#NAME?</v>
      </c>
      <c r="U848" s="43" t="e">
        <f aca="false">S848*H848</f>
        <v>#NAME?</v>
      </c>
      <c r="V848" s="250" t="e">
        <f aca="false">xSPRDOPT($L848,$J848,$I848,$M848,$O848,$N848,$P848,$Q848-$C$3,$R848,2)*H848</f>
        <v>#NAME?</v>
      </c>
      <c r="W848" s="250" t="e">
        <f aca="false">+V848+T848</f>
        <v>#NAME?</v>
      </c>
      <c r="X848" s="2" t="str">
        <f aca="false">CONCATENATE(G848,D848)</f>
        <v>37165NGI-SOCAL</v>
      </c>
      <c r="Y848" s="251" t="n">
        <f aca="false">H848/10000</f>
        <v>-50</v>
      </c>
      <c r="Z848" s="226" t="e">
        <f aca="false">T848/H848</f>
        <v>#NAME?</v>
      </c>
      <c r="AA848" s="226" t="e">
        <f aca="false">xSPRDOPT($L848,$J848,$I848,$M848,$O848,$N848,$P848,$Q848-$C$3,$R848,3)</f>
        <v>#NAME?</v>
      </c>
      <c r="AB848" s="226" t="e">
        <f aca="false">((xSPRDOPT($L848+AB$5,$J848,$I848,$M848,$O848,$N848,$P848,$Q848-$C$3,$R848,3)*$H848)/10000)/100</f>
        <v>#NAME?</v>
      </c>
      <c r="AC848" s="226" t="e">
        <f aca="false">((xSPRDOPT($L848+$AB$5,$J848,$I848,$M848,$O848,$N848,$P848,$Q848-$C$3,$R848,7)*$H848)/100)</f>
        <v>#NAME?</v>
      </c>
      <c r="AD848" s="226" t="e">
        <f aca="false">(xSPRDOPT($L848+$AB$5,$J848,$I848,$M848,$O848,$N848,$P848,$Q848-$C$3,$R848,9)/365)*$H848</f>
        <v>#NAME?</v>
      </c>
      <c r="AE848" s="0" t="n">
        <f aca="false">CD850</f>
        <v>0</v>
      </c>
      <c r="AF848" s="226" t="e">
        <f aca="false">((O848/N848)*AH848)+AG848</f>
        <v>#NAME?</v>
      </c>
      <c r="AG848" s="226" t="e">
        <f aca="false">((xSPRDOPT($L848,$J848,$I848,$M848,$O848,$N848,$P848,$Q848-$C$3,$R848,6)*$H848)/100)</f>
        <v>#NAME?</v>
      </c>
      <c r="AH848" s="226" t="e">
        <f aca="false">((xSPRDOPT($L848,$J848,$I848,$M848,$O848,$N848,$P848,$Q848-$C$3,$R848,5)*$H848)/100)</f>
        <v>#NAME?</v>
      </c>
      <c r="AI848" s="226" t="e">
        <f aca="false">(((xSPRDOPT($L848,$J848,$I848,$M848,$O848,$N848,$P848,$Q848-$C$3,$R848,4)*$H848)/10000)/100)-AB848</f>
        <v>#NAME?</v>
      </c>
      <c r="AJ848" s="226"/>
    </row>
    <row r="849" customFormat="false" ht="12.75" hidden="false" customHeight="false" outlineLevel="0" collapsed="false">
      <c r="A849" s="17" t="s">
        <v>198</v>
      </c>
      <c r="B849" s="0" t="s">
        <v>192</v>
      </c>
      <c r="C849" s="0" t="s">
        <v>470</v>
      </c>
      <c r="D849" s="7" t="s">
        <v>137</v>
      </c>
      <c r="E849" s="0" t="s">
        <v>131</v>
      </c>
      <c r="F849" s="0" t="s">
        <v>136</v>
      </c>
      <c r="G849" s="92" t="n">
        <v>36982</v>
      </c>
      <c r="H849" s="248" t="n">
        <v>-500000</v>
      </c>
      <c r="I849" s="254" t="n">
        <v>1.5</v>
      </c>
      <c r="J849" s="124" t="n">
        <f aca="false">VLOOKUP(G849,NGPrices,2,FALSE())</f>
        <v>3.938</v>
      </c>
      <c r="K849" s="125" t="n">
        <f aca="false">HLOOKUP(D849,Prices,VLOOKUP(G849,move_down,2,FALSE()),FALSE())+VLOOKUP(G849,CHANGE,HLOOKUP(D849,CHANGE,2,FALSE()),FALSE())</f>
        <v>0.59</v>
      </c>
      <c r="L849" s="124" t="n">
        <f aca="false">K849+J849</f>
        <v>4.528</v>
      </c>
      <c r="M849" s="126" t="n">
        <f aca="false">VLOOKUP(G849,NGPrices,4,FALSE())</f>
        <v>0.069061726541121</v>
      </c>
      <c r="N849" s="7" t="n">
        <f aca="false">VLOOKUP(G849,NGPrices,3,FALSE())</f>
        <v>0.4425</v>
      </c>
      <c r="O849" s="7" t="n">
        <f aca="false">HLOOKUP(D849,VOLS,VLOOKUP(G849,move_down,2,FALSE()),FALSE())</f>
        <v>0.443</v>
      </c>
      <c r="P849" s="249" t="n">
        <f aca="false">HLOOKUP(D849,Correllate,VLOOKUP(G849,CorMove,2,FALSE()),FALSE())</f>
        <v>0.88</v>
      </c>
      <c r="Q849" s="92" t="n">
        <f aca="false">WORKDAY(G849,-2)</f>
        <v>36979</v>
      </c>
      <c r="R849" s="7" t="n">
        <f aca="false">IF(F849="P",0,1)</f>
        <v>1</v>
      </c>
      <c r="S849" s="130" t="e">
        <f aca="false">xSPRDOPT($L849,$J849,$I849,$M849,$O849,$N849,$P849,$Q849-$C$3,$R849,0)</f>
        <v>#NAME?</v>
      </c>
      <c r="T849" s="250" t="e">
        <f aca="false">xSPRDOPT($L849,$J849,$I849,$M849,$O849,$N849,$P849,$Q849-$C$3,$R849,1)*H849</f>
        <v>#NAME?</v>
      </c>
      <c r="U849" s="43" t="e">
        <f aca="false">S849*H849</f>
        <v>#NAME?</v>
      </c>
      <c r="V849" s="250" t="e">
        <f aca="false">xSPRDOPT($L849,$J849,$I849,$M849,$O849,$N849,$P849,$Q849-$C$3,$R849,2)*H849</f>
        <v>#NAME?</v>
      </c>
      <c r="W849" s="250" t="e">
        <f aca="false">+V849+T849</f>
        <v>#NAME?</v>
      </c>
      <c r="X849" s="2" t="str">
        <f aca="false">CONCATENATE(G849,D849)</f>
        <v>36982NGI-SOCAL</v>
      </c>
      <c r="Y849" s="251" t="n">
        <f aca="false">H849/10000</f>
        <v>-50</v>
      </c>
      <c r="Z849" s="226" t="e">
        <f aca="false">T849/H849</f>
        <v>#NAME?</v>
      </c>
      <c r="AA849" s="226" t="e">
        <f aca="false">xSPRDOPT($L849,$J849,$I849,$M849,$O849,$N849,$P849,$Q849-$C$3,$R849,3)</f>
        <v>#NAME?</v>
      </c>
      <c r="AB849" s="226" t="e">
        <f aca="false">((xSPRDOPT($L849+AB$5,$J849,$I849,$M849,$O849,$N849,$P849,$Q849-$C$3,$R849,3)*$H849)/10000)/100</f>
        <v>#NAME?</v>
      </c>
      <c r="AC849" s="226" t="e">
        <f aca="false">((xSPRDOPT($L849+$AB$5,$J849,$I849,$M849,$O849,$N849,$P849,$Q849-$C$3,$R849,7)*$H849)/100)</f>
        <v>#NAME?</v>
      </c>
      <c r="AD849" s="226" t="e">
        <f aca="false">(xSPRDOPT($L849+$AB$5,$J849,$I849,$M849,$O849,$N849,$P849,$Q849-$C$3,$R849,9)/365)*$H849</f>
        <v>#NAME?</v>
      </c>
      <c r="AE849" s="0" t="n">
        <f aca="false">CD851</f>
        <v>0</v>
      </c>
      <c r="AF849" s="226" t="e">
        <f aca="false">((O849/N849)*AH849)+AG849</f>
        <v>#NAME?</v>
      </c>
      <c r="AG849" s="226" t="e">
        <f aca="false">((xSPRDOPT($L849,$J849,$I849,$M849,$O849,$N849,$P849,$Q849-$C$3,$R849,6)*$H849)/100)</f>
        <v>#NAME?</v>
      </c>
      <c r="AH849" s="226" t="e">
        <f aca="false">((xSPRDOPT($L849,$J849,$I849,$M849,$O849,$N849,$P849,$Q849-$C$3,$R849,5)*$H849)/100)</f>
        <v>#NAME?</v>
      </c>
      <c r="AI849" s="226" t="e">
        <f aca="false">(((xSPRDOPT($L849,$J849,$I849,$M849,$O849,$N849,$P849,$Q849-$C$3,$R849,4)*$H849)/10000)/100)-AB849</f>
        <v>#NAME?</v>
      </c>
      <c r="AJ849" s="226"/>
    </row>
    <row r="850" customFormat="false" ht="12.75" hidden="false" customHeight="false" outlineLevel="0" collapsed="false">
      <c r="A850" s="17" t="s">
        <v>198</v>
      </c>
      <c r="B850" s="0" t="s">
        <v>192</v>
      </c>
      <c r="C850" s="0" t="s">
        <v>470</v>
      </c>
      <c r="D850" s="7" t="s">
        <v>137</v>
      </c>
      <c r="E850" s="0" t="s">
        <v>131</v>
      </c>
      <c r="F850" s="0" t="s">
        <v>136</v>
      </c>
      <c r="G850" s="92" t="n">
        <v>37012</v>
      </c>
      <c r="H850" s="248" t="n">
        <v>-500000</v>
      </c>
      <c r="I850" s="254" t="n">
        <v>1.5</v>
      </c>
      <c r="J850" s="124" t="n">
        <f aca="false">VLOOKUP(G850,NGPrices,2,FALSE())</f>
        <v>3.838</v>
      </c>
      <c r="K850" s="125" t="n">
        <f aca="false">HLOOKUP(D850,Prices,VLOOKUP(G850,move_down,2,FALSE()),FALSE())+VLOOKUP(G850,CHANGE,HLOOKUP(D850,CHANGE,2,FALSE()),FALSE())</f>
        <v>0.6</v>
      </c>
      <c r="L850" s="124" t="n">
        <f aca="false">K850+J850</f>
        <v>4.438</v>
      </c>
      <c r="M850" s="126" t="n">
        <f aca="false">VLOOKUP(G850,NGPrices,4,FALSE())</f>
        <v>0.069101151219</v>
      </c>
      <c r="N850" s="7" t="n">
        <f aca="false">VLOOKUP(G850,NGPrices,3,FALSE())</f>
        <v>0.405</v>
      </c>
      <c r="O850" s="7" t="n">
        <f aca="false">HLOOKUP(D850,VOLS,VLOOKUP(G850,move_down,2,FALSE()),FALSE())</f>
        <v>0.405</v>
      </c>
      <c r="P850" s="249" t="n">
        <f aca="false">HLOOKUP(D850,Correllate,VLOOKUP(G850,CorMove,2,FALSE()),FALSE())</f>
        <v>0.88</v>
      </c>
      <c r="Q850" s="92" t="n">
        <f aca="false">WORKDAY(G850,-2)</f>
        <v>37008</v>
      </c>
      <c r="R850" s="7" t="n">
        <f aca="false">IF(F850="P",0,1)</f>
        <v>1</v>
      </c>
      <c r="S850" s="130" t="e">
        <f aca="false">xSPRDOPT($L850,$J850,$I850,$M850,$O850,$N850,$P850,$Q850-$C$3,$R850,0)</f>
        <v>#NAME?</v>
      </c>
      <c r="T850" s="250" t="e">
        <f aca="false">xSPRDOPT($L850,$J850,$I850,$M850,$O850,$N850,$P850,$Q850-$C$3,$R850,1)*H850</f>
        <v>#NAME?</v>
      </c>
      <c r="U850" s="43" t="e">
        <f aca="false">S850*H850</f>
        <v>#NAME?</v>
      </c>
      <c r="V850" s="250" t="e">
        <f aca="false">xSPRDOPT($L850,$J850,$I850,$M850,$O850,$N850,$P850,$Q850-$C$3,$R850,2)*H850</f>
        <v>#NAME?</v>
      </c>
      <c r="W850" s="250" t="e">
        <f aca="false">+V850+T850</f>
        <v>#NAME?</v>
      </c>
      <c r="X850" s="2" t="str">
        <f aca="false">CONCATENATE(G850,D850)</f>
        <v>37012NGI-SOCAL</v>
      </c>
      <c r="Y850" s="251" t="n">
        <f aca="false">H850/10000</f>
        <v>-50</v>
      </c>
      <c r="Z850" s="226" t="e">
        <f aca="false">T850/H850</f>
        <v>#NAME?</v>
      </c>
      <c r="AA850" s="226" t="e">
        <f aca="false">xSPRDOPT($L850,$J850,$I850,$M850,$O850,$N850,$P850,$Q850-$C$3,$R850,3)</f>
        <v>#NAME?</v>
      </c>
      <c r="AB850" s="226" t="e">
        <f aca="false">((xSPRDOPT($L850+AB$5,$J850,$I850,$M850,$O850,$N850,$P850,$Q850-$C$3,$R850,3)*$H850)/10000)/100</f>
        <v>#NAME?</v>
      </c>
      <c r="AC850" s="226" t="e">
        <f aca="false">((xSPRDOPT($L850+$AB$5,$J850,$I850,$M850,$O850,$N850,$P850,$Q850-$C$3,$R850,7)*$H850)/100)</f>
        <v>#NAME?</v>
      </c>
      <c r="AD850" s="226" t="e">
        <f aca="false">(xSPRDOPT($L850+$AB$5,$J850,$I850,$M850,$O850,$N850,$P850,$Q850-$C$3,$R850,9)/365)*$H850</f>
        <v>#NAME?</v>
      </c>
      <c r="AE850" s="0" t="n">
        <f aca="false">CD852</f>
        <v>0</v>
      </c>
      <c r="AF850" s="226" t="e">
        <f aca="false">((O850/N850)*AH850)+AG850</f>
        <v>#NAME?</v>
      </c>
      <c r="AG850" s="226" t="e">
        <f aca="false">((xSPRDOPT($L850,$J850,$I850,$M850,$O850,$N850,$P850,$Q850-$C$3,$R850,6)*$H850)/100)</f>
        <v>#NAME?</v>
      </c>
      <c r="AH850" s="226" t="e">
        <f aca="false">((xSPRDOPT($L850,$J850,$I850,$M850,$O850,$N850,$P850,$Q850-$C$3,$R850,5)*$H850)/100)</f>
        <v>#NAME?</v>
      </c>
      <c r="AI850" s="226" t="e">
        <f aca="false">(((xSPRDOPT($L850,$J850,$I850,$M850,$O850,$N850,$P850,$Q850-$C$3,$R850,4)*$H850)/10000)/100)-AB850</f>
        <v>#NAME?</v>
      </c>
      <c r="AJ850" s="226"/>
    </row>
    <row r="851" customFormat="false" ht="12.75" hidden="false" customHeight="false" outlineLevel="0" collapsed="false">
      <c r="A851" s="17" t="s">
        <v>198</v>
      </c>
      <c r="B851" s="0" t="s">
        <v>192</v>
      </c>
      <c r="C851" s="0" t="s">
        <v>470</v>
      </c>
      <c r="D851" s="7" t="s">
        <v>137</v>
      </c>
      <c r="E851" s="0" t="s">
        <v>131</v>
      </c>
      <c r="F851" s="0" t="s">
        <v>136</v>
      </c>
      <c r="G851" s="92" t="n">
        <v>37043</v>
      </c>
      <c r="H851" s="248" t="n">
        <v>-500000</v>
      </c>
      <c r="I851" s="254" t="n">
        <v>1.5</v>
      </c>
      <c r="J851" s="124" t="n">
        <f aca="false">VLOOKUP(G851,NGPrices,2,FALSE())</f>
        <v>3.818</v>
      </c>
      <c r="K851" s="125" t="n">
        <f aca="false">HLOOKUP(D851,Prices,VLOOKUP(G851,move_down,2,FALSE()),FALSE())+VLOOKUP(G851,CHANGE,HLOOKUP(D851,CHANGE,2,FALSE()),FALSE())</f>
        <v>0.62</v>
      </c>
      <c r="L851" s="124" t="n">
        <f aca="false">K851+J851</f>
        <v>4.438</v>
      </c>
      <c r="M851" s="126" t="n">
        <f aca="false">VLOOKUP(G851,NGPrices,4,FALSE())</f>
        <v>0.069141890053328</v>
      </c>
      <c r="N851" s="7" t="n">
        <f aca="false">VLOOKUP(G851,NGPrices,3,FALSE())</f>
        <v>0.4</v>
      </c>
      <c r="O851" s="7" t="n">
        <f aca="false">HLOOKUP(D851,VOLS,VLOOKUP(G851,move_down,2,FALSE()),FALSE())</f>
        <v>0.4</v>
      </c>
      <c r="P851" s="249" t="n">
        <f aca="false">HLOOKUP(D851,Correllate,VLOOKUP(G851,CorMove,2,FALSE()),FALSE())</f>
        <v>0.88</v>
      </c>
      <c r="Q851" s="92" t="n">
        <f aca="false">WORKDAY(G851,-2)</f>
        <v>37041</v>
      </c>
      <c r="R851" s="7" t="n">
        <f aca="false">IF(F851="P",0,1)</f>
        <v>1</v>
      </c>
      <c r="S851" s="130" t="e">
        <f aca="false">xSPRDOPT($L851,$J851,$I851,$M851,$O851,$N851,$P851,$Q851-$C$3,$R851,0)</f>
        <v>#NAME?</v>
      </c>
      <c r="T851" s="250" t="e">
        <f aca="false">xSPRDOPT($L851,$J851,$I851,$M851,$O851,$N851,$P851,$Q851-$C$3,$R851,1)*H851</f>
        <v>#NAME?</v>
      </c>
      <c r="U851" s="43" t="e">
        <f aca="false">S851*H851</f>
        <v>#NAME?</v>
      </c>
      <c r="V851" s="250" t="e">
        <f aca="false">xSPRDOPT($L851,$J851,$I851,$M851,$O851,$N851,$P851,$Q851-$C$3,$R851,2)*H851</f>
        <v>#NAME?</v>
      </c>
      <c r="W851" s="250" t="e">
        <f aca="false">+V851+T851</f>
        <v>#NAME?</v>
      </c>
      <c r="X851" s="2" t="str">
        <f aca="false">CONCATENATE(G851,D851)</f>
        <v>37043NGI-SOCAL</v>
      </c>
      <c r="Y851" s="251" t="n">
        <f aca="false">H851/10000</f>
        <v>-50</v>
      </c>
      <c r="Z851" s="226" t="e">
        <f aca="false">T851/H851</f>
        <v>#NAME?</v>
      </c>
      <c r="AA851" s="226" t="e">
        <f aca="false">xSPRDOPT($L851,$J851,$I851,$M851,$O851,$N851,$P851,$Q851-$C$3,$R851,3)</f>
        <v>#NAME?</v>
      </c>
      <c r="AB851" s="226" t="e">
        <f aca="false">((xSPRDOPT($L851+AB$5,$J851,$I851,$M851,$O851,$N851,$P851,$Q851-$C$3,$R851,3)*$H851)/10000)/100</f>
        <v>#NAME?</v>
      </c>
      <c r="AC851" s="226" t="e">
        <f aca="false">((xSPRDOPT($L851+$AB$5,$J851,$I851,$M851,$O851,$N851,$P851,$Q851-$C$3,$R851,7)*$H851)/100)</f>
        <v>#NAME?</v>
      </c>
      <c r="AD851" s="226" t="e">
        <f aca="false">(xSPRDOPT($L851+$AB$5,$J851,$I851,$M851,$O851,$N851,$P851,$Q851-$C$3,$R851,9)/365)*$H851</f>
        <v>#NAME?</v>
      </c>
      <c r="AE851" s="0" t="n">
        <f aca="false">CD853</f>
        <v>0</v>
      </c>
      <c r="AF851" s="226" t="e">
        <f aca="false">((O851/N851)*AH851)+AG851</f>
        <v>#NAME?</v>
      </c>
      <c r="AG851" s="226" t="e">
        <f aca="false">((xSPRDOPT($L851,$J851,$I851,$M851,$O851,$N851,$P851,$Q851-$C$3,$R851,6)*$H851)/100)</f>
        <v>#NAME?</v>
      </c>
      <c r="AH851" s="226" t="e">
        <f aca="false">((xSPRDOPT($L851,$J851,$I851,$M851,$O851,$N851,$P851,$Q851-$C$3,$R851,5)*$H851)/100)</f>
        <v>#NAME?</v>
      </c>
      <c r="AI851" s="226" t="e">
        <f aca="false">(((xSPRDOPT($L851,$J851,$I851,$M851,$O851,$N851,$P851,$Q851-$C$3,$R851,4)*$H851)/10000)/100)-AB851</f>
        <v>#NAME?</v>
      </c>
      <c r="AJ851" s="226"/>
    </row>
    <row r="852" customFormat="false" ht="12.75" hidden="false" customHeight="false" outlineLevel="0" collapsed="false">
      <c r="A852" s="17" t="s">
        <v>198</v>
      </c>
      <c r="B852" s="0" t="s">
        <v>192</v>
      </c>
      <c r="C852" s="0" t="s">
        <v>470</v>
      </c>
      <c r="D852" s="7" t="s">
        <v>137</v>
      </c>
      <c r="E852" s="0" t="s">
        <v>131</v>
      </c>
      <c r="F852" s="0" t="s">
        <v>136</v>
      </c>
      <c r="G852" s="92" t="n">
        <v>37073</v>
      </c>
      <c r="H852" s="248" t="n">
        <v>-500000</v>
      </c>
      <c r="I852" s="254" t="n">
        <v>1.5</v>
      </c>
      <c r="J852" s="124" t="n">
        <f aca="false">VLOOKUP(G852,NGPrices,2,FALSE())</f>
        <v>3.803</v>
      </c>
      <c r="K852" s="125" t="n">
        <f aca="false">HLOOKUP(D852,Prices,VLOOKUP(G852,move_down,2,FALSE()),FALSE())+VLOOKUP(G852,CHANGE,HLOOKUP(D852,CHANGE,2,FALSE()),FALSE())</f>
        <v>1.225</v>
      </c>
      <c r="L852" s="124" t="n">
        <f aca="false">K852+J852</f>
        <v>5.028</v>
      </c>
      <c r="M852" s="126" t="n">
        <f aca="false">VLOOKUP(G852,NGPrices,4,FALSE())</f>
        <v>0.069181571268568</v>
      </c>
      <c r="N852" s="7" t="n">
        <f aca="false">VLOOKUP(G852,NGPrices,3,FALSE())</f>
        <v>0.4</v>
      </c>
      <c r="O852" s="7" t="n">
        <f aca="false">HLOOKUP(D852,VOLS,VLOOKUP(G852,move_down,2,FALSE()),FALSE())</f>
        <v>0.4</v>
      </c>
      <c r="P852" s="249" t="n">
        <f aca="false">HLOOKUP(D852,Correllate,VLOOKUP(G852,CorMove,2,FALSE()),FALSE())</f>
        <v>0.88</v>
      </c>
      <c r="Q852" s="92" t="n">
        <f aca="false">WORKDAY(G852,-2)</f>
        <v>37070</v>
      </c>
      <c r="R852" s="7" t="n">
        <f aca="false">IF(F852="P",0,1)</f>
        <v>1</v>
      </c>
      <c r="S852" s="130" t="e">
        <f aca="false">xSPRDOPT($L852,$J852,$I852,$M852,$O852,$N852,$P852,$Q852-$C$3,$R852,0)</f>
        <v>#NAME?</v>
      </c>
      <c r="T852" s="250" t="e">
        <f aca="false">xSPRDOPT($L852,$J852,$I852,$M852,$O852,$N852,$P852,$Q852-$C$3,$R852,1)*H852</f>
        <v>#NAME?</v>
      </c>
      <c r="U852" s="43" t="e">
        <f aca="false">S852*H852</f>
        <v>#NAME?</v>
      </c>
      <c r="V852" s="250" t="e">
        <f aca="false">xSPRDOPT($L852,$J852,$I852,$M852,$O852,$N852,$P852,$Q852-$C$3,$R852,2)*H852</f>
        <v>#NAME?</v>
      </c>
      <c r="W852" s="250" t="e">
        <f aca="false">+V852+T852</f>
        <v>#NAME?</v>
      </c>
      <c r="X852" s="2" t="str">
        <f aca="false">CONCATENATE(G852,D852)</f>
        <v>37073NGI-SOCAL</v>
      </c>
      <c r="Y852" s="251" t="n">
        <f aca="false">H852/10000</f>
        <v>-50</v>
      </c>
      <c r="Z852" s="226" t="e">
        <f aca="false">T852/H852</f>
        <v>#NAME?</v>
      </c>
      <c r="AA852" s="226" t="e">
        <f aca="false">xSPRDOPT($L852,$J852,$I852,$M852,$O852,$N852,$P852,$Q852-$C$3,$R852,3)</f>
        <v>#NAME?</v>
      </c>
      <c r="AB852" s="226" t="e">
        <f aca="false">((xSPRDOPT($L852+AB$5,$J852,$I852,$M852,$O852,$N852,$P852,$Q852-$C$3,$R852,3)*$H852)/10000)/100</f>
        <v>#NAME?</v>
      </c>
      <c r="AC852" s="226" t="e">
        <f aca="false">((xSPRDOPT($L852+$AB$5,$J852,$I852,$M852,$O852,$N852,$P852,$Q852-$C$3,$R852,7)*$H852)/100)</f>
        <v>#NAME?</v>
      </c>
      <c r="AD852" s="226" t="e">
        <f aca="false">(xSPRDOPT($L852+$AB$5,$J852,$I852,$M852,$O852,$N852,$P852,$Q852-$C$3,$R852,9)/365)*$H852</f>
        <v>#NAME?</v>
      </c>
      <c r="AE852" s="0" t="n">
        <f aca="false">CD854</f>
        <v>0</v>
      </c>
      <c r="AF852" s="226" t="e">
        <f aca="false">((O852/N852)*AH852)+AG852</f>
        <v>#NAME?</v>
      </c>
      <c r="AG852" s="226" t="e">
        <f aca="false">((xSPRDOPT($L852,$J852,$I852,$M852,$O852,$N852,$P852,$Q852-$C$3,$R852,6)*$H852)/100)</f>
        <v>#NAME?</v>
      </c>
      <c r="AH852" s="226" t="e">
        <f aca="false">((xSPRDOPT($L852,$J852,$I852,$M852,$O852,$N852,$P852,$Q852-$C$3,$R852,5)*$H852)/100)</f>
        <v>#NAME?</v>
      </c>
      <c r="AI852" s="226" t="e">
        <f aca="false">(((xSPRDOPT($L852,$J852,$I852,$M852,$O852,$N852,$P852,$Q852-$C$3,$R852,4)*$H852)/10000)/100)-AB852</f>
        <v>#NAME?</v>
      </c>
      <c r="AJ852" s="226"/>
    </row>
    <row r="853" customFormat="false" ht="12.75" hidden="false" customHeight="false" outlineLevel="0" collapsed="false">
      <c r="A853" s="17" t="s">
        <v>198</v>
      </c>
      <c r="B853" s="0" t="s">
        <v>192</v>
      </c>
      <c r="C853" s="0" t="s">
        <v>470</v>
      </c>
      <c r="D853" s="7" t="s">
        <v>137</v>
      </c>
      <c r="E853" s="0" t="s">
        <v>131</v>
      </c>
      <c r="F853" s="0" t="s">
        <v>136</v>
      </c>
      <c r="G853" s="92" t="n">
        <v>37104</v>
      </c>
      <c r="H853" s="248" t="n">
        <v>-500000</v>
      </c>
      <c r="I853" s="254" t="n">
        <v>1.5</v>
      </c>
      <c r="J853" s="124" t="n">
        <f aca="false">VLOOKUP(G853,NGPrices,2,FALSE())</f>
        <v>3.808</v>
      </c>
      <c r="K853" s="125" t="n">
        <f aca="false">HLOOKUP(D853,Prices,VLOOKUP(G853,move_down,2,FALSE()),FALSE())+VLOOKUP(G853,CHANGE,HLOOKUP(D853,CHANGE,2,FALSE()),FALSE())</f>
        <v>1.275</v>
      </c>
      <c r="L853" s="124" t="n">
        <f aca="false">K853+J853</f>
        <v>5.083</v>
      </c>
      <c r="M853" s="126" t="n">
        <f aca="false">VLOOKUP(G853,NGPrices,4,FALSE())</f>
        <v>0.069223060737755</v>
      </c>
      <c r="N853" s="7" t="n">
        <f aca="false">VLOOKUP(G853,NGPrices,3,FALSE())</f>
        <v>0.4</v>
      </c>
      <c r="O853" s="7" t="n">
        <f aca="false">HLOOKUP(D853,VOLS,VLOOKUP(G853,move_down,2,FALSE()),FALSE())</f>
        <v>0.4</v>
      </c>
      <c r="P853" s="249" t="n">
        <f aca="false">HLOOKUP(D853,Correllate,VLOOKUP(G853,CorMove,2,FALSE()),FALSE())</f>
        <v>0.88</v>
      </c>
      <c r="Q853" s="92" t="n">
        <f aca="false">WORKDAY(G853,-2)</f>
        <v>37102</v>
      </c>
      <c r="R853" s="7" t="n">
        <f aca="false">IF(F853="P",0,1)</f>
        <v>1</v>
      </c>
      <c r="S853" s="130" t="e">
        <f aca="false">xSPRDOPT($L853,$J853,$I853,$M853,$O853,$N853,$P853,$Q853-$C$3,$R853,0)</f>
        <v>#NAME?</v>
      </c>
      <c r="T853" s="250" t="e">
        <f aca="false">xSPRDOPT($L853,$J853,$I853,$M853,$O853,$N853,$P853,$Q853-$C$3,$R853,1)*H853</f>
        <v>#NAME?</v>
      </c>
      <c r="U853" s="43" t="e">
        <f aca="false">S853*H853</f>
        <v>#NAME?</v>
      </c>
      <c r="V853" s="250" t="e">
        <f aca="false">xSPRDOPT($L853,$J853,$I853,$M853,$O853,$N853,$P853,$Q853-$C$3,$R853,2)*H853</f>
        <v>#NAME?</v>
      </c>
      <c r="W853" s="250" t="e">
        <f aca="false">+V853+T853</f>
        <v>#NAME?</v>
      </c>
      <c r="X853" s="2" t="str">
        <f aca="false">CONCATENATE(G853,D853)</f>
        <v>37104NGI-SOCAL</v>
      </c>
      <c r="Y853" s="251" t="n">
        <f aca="false">H853/10000</f>
        <v>-50</v>
      </c>
      <c r="Z853" s="226" t="e">
        <f aca="false">T853/H853</f>
        <v>#NAME?</v>
      </c>
      <c r="AA853" s="226" t="e">
        <f aca="false">xSPRDOPT($L853,$J853,$I853,$M853,$O853,$N853,$P853,$Q853-$C$3,$R853,3)</f>
        <v>#NAME?</v>
      </c>
      <c r="AB853" s="226" t="e">
        <f aca="false">((xSPRDOPT($L853+AB$5,$J853,$I853,$M853,$O853,$N853,$P853,$Q853-$C$3,$R853,3)*$H853)/10000)/100</f>
        <v>#NAME?</v>
      </c>
      <c r="AC853" s="226" t="e">
        <f aca="false">((xSPRDOPT($L853+$AB$5,$J853,$I853,$M853,$O853,$N853,$P853,$Q853-$C$3,$R853,7)*$H853)/100)</f>
        <v>#NAME?</v>
      </c>
      <c r="AD853" s="226" t="e">
        <f aca="false">(xSPRDOPT($L853+$AB$5,$J853,$I853,$M853,$O853,$N853,$P853,$Q853-$C$3,$R853,9)/365)*$H853</f>
        <v>#NAME?</v>
      </c>
      <c r="AE853" s="0" t="n">
        <f aca="false">CD855</f>
        <v>0</v>
      </c>
      <c r="AF853" s="226" t="e">
        <f aca="false">((O853/N853)*AH853)+AG853</f>
        <v>#NAME?</v>
      </c>
      <c r="AG853" s="226" t="e">
        <f aca="false">((xSPRDOPT($L853,$J853,$I853,$M853,$O853,$N853,$P853,$Q853-$C$3,$R853,6)*$H853)/100)</f>
        <v>#NAME?</v>
      </c>
      <c r="AH853" s="226" t="e">
        <f aca="false">((xSPRDOPT($L853,$J853,$I853,$M853,$O853,$N853,$P853,$Q853-$C$3,$R853,5)*$H853)/100)</f>
        <v>#NAME?</v>
      </c>
      <c r="AI853" s="226" t="e">
        <f aca="false">(((xSPRDOPT($L853,$J853,$I853,$M853,$O853,$N853,$P853,$Q853-$C$3,$R853,4)*$H853)/10000)/100)-AB853</f>
        <v>#NAME?</v>
      </c>
      <c r="AJ853" s="226"/>
    </row>
    <row r="854" customFormat="false" ht="12.75" hidden="false" customHeight="false" outlineLevel="0" collapsed="false">
      <c r="A854" s="17" t="s">
        <v>198</v>
      </c>
      <c r="B854" s="0" t="s">
        <v>192</v>
      </c>
      <c r="C854" s="0" t="s">
        <v>470</v>
      </c>
      <c r="D854" s="7" t="s">
        <v>137</v>
      </c>
      <c r="E854" s="0" t="s">
        <v>131</v>
      </c>
      <c r="F854" s="0" t="s">
        <v>136</v>
      </c>
      <c r="G854" s="92" t="n">
        <v>37135</v>
      </c>
      <c r="H854" s="248" t="n">
        <v>-500000</v>
      </c>
      <c r="I854" s="254" t="n">
        <v>1.5</v>
      </c>
      <c r="J854" s="124" t="n">
        <f aca="false">VLOOKUP(G854,NGPrices,2,FALSE())</f>
        <v>3.788</v>
      </c>
      <c r="K854" s="125" t="n">
        <f aca="false">HLOOKUP(D854,Prices,VLOOKUP(G854,move_down,2,FALSE()),FALSE())+VLOOKUP(G854,CHANGE,HLOOKUP(D854,CHANGE,2,FALSE()),FALSE())</f>
        <v>1.2525</v>
      </c>
      <c r="L854" s="124" t="n">
        <f aca="false">K854+J854</f>
        <v>5.0405</v>
      </c>
      <c r="M854" s="126" t="n">
        <f aca="false">VLOOKUP(G854,NGPrices,4,FALSE())</f>
        <v>0.069264550207512</v>
      </c>
      <c r="N854" s="7" t="n">
        <f aca="false">VLOOKUP(G854,NGPrices,3,FALSE())</f>
        <v>0.4</v>
      </c>
      <c r="O854" s="7" t="n">
        <f aca="false">HLOOKUP(D854,VOLS,VLOOKUP(G854,move_down,2,FALSE()),FALSE())</f>
        <v>0.4</v>
      </c>
      <c r="P854" s="249" t="n">
        <f aca="false">HLOOKUP(D854,Correllate,VLOOKUP(G854,CorMove,2,FALSE()),FALSE())</f>
        <v>0.88</v>
      </c>
      <c r="Q854" s="92" t="n">
        <f aca="false">WORKDAY(G854,-2)</f>
        <v>37133</v>
      </c>
      <c r="R854" s="7" t="n">
        <f aca="false">IF(F854="P",0,1)</f>
        <v>1</v>
      </c>
      <c r="S854" s="130" t="e">
        <f aca="false">xSPRDOPT($L854,$J854,$I854,$M854,$O854,$N854,$P854,$Q854-$C$3,$R854,0)</f>
        <v>#NAME?</v>
      </c>
      <c r="T854" s="250" t="e">
        <f aca="false">xSPRDOPT($L854,$J854,$I854,$M854,$O854,$N854,$P854,$Q854-$C$3,$R854,1)*H854</f>
        <v>#NAME?</v>
      </c>
      <c r="U854" s="43" t="e">
        <f aca="false">S854*H854</f>
        <v>#NAME?</v>
      </c>
      <c r="V854" s="250" t="e">
        <f aca="false">xSPRDOPT($L854,$J854,$I854,$M854,$O854,$N854,$P854,$Q854-$C$3,$R854,2)*H854</f>
        <v>#NAME?</v>
      </c>
      <c r="W854" s="250" t="e">
        <f aca="false">+V854+T854</f>
        <v>#NAME?</v>
      </c>
      <c r="X854" s="2" t="str">
        <f aca="false">CONCATENATE(G854,D854)</f>
        <v>37135NGI-SOCAL</v>
      </c>
      <c r="Y854" s="251" t="n">
        <f aca="false">H854/10000</f>
        <v>-50</v>
      </c>
      <c r="Z854" s="226" t="e">
        <f aca="false">T854/H854</f>
        <v>#NAME?</v>
      </c>
      <c r="AA854" s="226" t="e">
        <f aca="false">xSPRDOPT($L854,$J854,$I854,$M854,$O854,$N854,$P854,$Q854-$C$3,$R854,3)</f>
        <v>#NAME?</v>
      </c>
      <c r="AB854" s="226" t="e">
        <f aca="false">((xSPRDOPT($L854+AB$5,$J854,$I854,$M854,$O854,$N854,$P854,$Q854-$C$3,$R854,3)*$H854)/10000)/100</f>
        <v>#NAME?</v>
      </c>
      <c r="AC854" s="226" t="e">
        <f aca="false">((xSPRDOPT($L854+$AB$5,$J854,$I854,$M854,$O854,$N854,$P854,$Q854-$C$3,$R854,7)*$H854)/100)</f>
        <v>#NAME?</v>
      </c>
      <c r="AD854" s="226" t="e">
        <f aca="false">(xSPRDOPT($L854+$AB$5,$J854,$I854,$M854,$O854,$N854,$P854,$Q854-$C$3,$R854,9)/365)*$H854</f>
        <v>#NAME?</v>
      </c>
      <c r="AE854" s="0" t="n">
        <f aca="false">CD856</f>
        <v>0</v>
      </c>
      <c r="AF854" s="226" t="e">
        <f aca="false">((O854/N854)*AH854)+AG854</f>
        <v>#NAME?</v>
      </c>
      <c r="AG854" s="226" t="e">
        <f aca="false">((xSPRDOPT($L854,$J854,$I854,$M854,$O854,$N854,$P854,$Q854-$C$3,$R854,6)*$H854)/100)</f>
        <v>#NAME?</v>
      </c>
      <c r="AH854" s="226" t="e">
        <f aca="false">((xSPRDOPT($L854,$J854,$I854,$M854,$O854,$N854,$P854,$Q854-$C$3,$R854,5)*$H854)/100)</f>
        <v>#NAME?</v>
      </c>
      <c r="AI854" s="226" t="e">
        <f aca="false">(((xSPRDOPT($L854,$J854,$I854,$M854,$O854,$N854,$P854,$Q854-$C$3,$R854,4)*$H854)/10000)/100)-AB854</f>
        <v>#NAME?</v>
      </c>
      <c r="AJ854" s="226"/>
    </row>
    <row r="855" customFormat="false" ht="12.75" hidden="false" customHeight="false" outlineLevel="0" collapsed="false">
      <c r="A855" s="17" t="s">
        <v>198</v>
      </c>
      <c r="B855" s="0" t="s">
        <v>192</v>
      </c>
      <c r="C855" s="0" t="s">
        <v>470</v>
      </c>
      <c r="D855" s="7" t="s">
        <v>137</v>
      </c>
      <c r="E855" s="0" t="s">
        <v>131</v>
      </c>
      <c r="F855" s="0" t="s">
        <v>136</v>
      </c>
      <c r="G855" s="92" t="n">
        <v>37165</v>
      </c>
      <c r="H855" s="248" t="n">
        <v>-500000</v>
      </c>
      <c r="I855" s="254" t="n">
        <v>1.5</v>
      </c>
      <c r="J855" s="124" t="n">
        <f aca="false">VLOOKUP(G855,NGPrices,2,FALSE())</f>
        <v>3.773</v>
      </c>
      <c r="K855" s="125" t="n">
        <f aca="false">HLOOKUP(D855,Prices,VLOOKUP(G855,move_down,2,FALSE()),FALSE())+VLOOKUP(G855,CHANGE,HLOOKUP(D855,CHANGE,2,FALSE()),FALSE())</f>
        <v>0.7475</v>
      </c>
      <c r="L855" s="124" t="n">
        <f aca="false">K855+J855</f>
        <v>4.5205</v>
      </c>
      <c r="M855" s="126" t="n">
        <f aca="false">VLOOKUP(G855,NGPrices,4,FALSE())</f>
        <v>0.069300944538364</v>
      </c>
      <c r="N855" s="7" t="n">
        <f aca="false">VLOOKUP(G855,NGPrices,3,FALSE())</f>
        <v>0.4025</v>
      </c>
      <c r="O855" s="7" t="n">
        <f aca="false">HLOOKUP(D855,VOLS,VLOOKUP(G855,move_down,2,FALSE()),FALSE())</f>
        <v>0.403</v>
      </c>
      <c r="P855" s="249" t="n">
        <f aca="false">HLOOKUP(D855,Correllate,VLOOKUP(G855,CorMove,2,FALSE()),FALSE())</f>
        <v>0.88</v>
      </c>
      <c r="Q855" s="92" t="n">
        <f aca="false">WORKDAY(G855,-2)</f>
        <v>37161</v>
      </c>
      <c r="R855" s="7" t="n">
        <f aca="false">IF(F855="P",0,1)</f>
        <v>1</v>
      </c>
      <c r="S855" s="130" t="e">
        <f aca="false">xSPRDOPT($L855,$J855,$I855,$M855,$O855,$N855,$P855,$Q855-$C$3,$R855,0)</f>
        <v>#NAME?</v>
      </c>
      <c r="T855" s="250" t="e">
        <f aca="false">xSPRDOPT($L855,$J855,$I855,$M855,$O855,$N855,$P855,$Q855-$C$3,$R855,1)*H855</f>
        <v>#NAME?</v>
      </c>
      <c r="U855" s="43" t="e">
        <f aca="false">S855*H855</f>
        <v>#NAME?</v>
      </c>
      <c r="V855" s="250" t="e">
        <f aca="false">xSPRDOPT($L855,$J855,$I855,$M855,$O855,$N855,$P855,$Q855-$C$3,$R855,2)*H855</f>
        <v>#NAME?</v>
      </c>
      <c r="W855" s="250" t="e">
        <f aca="false">+V855+T855</f>
        <v>#NAME?</v>
      </c>
      <c r="X855" s="2" t="str">
        <f aca="false">CONCATENATE(G855,D855)</f>
        <v>37165NGI-SOCAL</v>
      </c>
      <c r="Y855" s="251" t="n">
        <f aca="false">H855/10000</f>
        <v>-50</v>
      </c>
      <c r="Z855" s="226" t="e">
        <f aca="false">T855/H855</f>
        <v>#NAME?</v>
      </c>
      <c r="AA855" s="226" t="e">
        <f aca="false">xSPRDOPT($L855,$J855,$I855,$M855,$O855,$N855,$P855,$Q855-$C$3,$R855,3)</f>
        <v>#NAME?</v>
      </c>
      <c r="AB855" s="226" t="e">
        <f aca="false">((xSPRDOPT($L855+AB$5,$J855,$I855,$M855,$O855,$N855,$P855,$Q855-$C$3,$R855,3)*$H855)/10000)/100</f>
        <v>#NAME?</v>
      </c>
      <c r="AC855" s="226" t="e">
        <f aca="false">((xSPRDOPT($L855+$AB$5,$J855,$I855,$M855,$O855,$N855,$P855,$Q855-$C$3,$R855,7)*$H855)/100)</f>
        <v>#NAME?</v>
      </c>
      <c r="AD855" s="226" t="e">
        <f aca="false">(xSPRDOPT($L855+$AB$5,$J855,$I855,$M855,$O855,$N855,$P855,$Q855-$C$3,$R855,9)/365)*$H855</f>
        <v>#NAME?</v>
      </c>
      <c r="AE855" s="0" t="n">
        <f aca="false">CD857</f>
        <v>0</v>
      </c>
      <c r="AF855" s="226" t="e">
        <f aca="false">((O855/N855)*AH855)+AG855</f>
        <v>#NAME?</v>
      </c>
      <c r="AG855" s="226" t="e">
        <f aca="false">((xSPRDOPT($L855,$J855,$I855,$M855,$O855,$N855,$P855,$Q855-$C$3,$R855,6)*$H855)/100)</f>
        <v>#NAME?</v>
      </c>
      <c r="AH855" s="226" t="e">
        <f aca="false">((xSPRDOPT($L855,$J855,$I855,$M855,$O855,$N855,$P855,$Q855-$C$3,$R855,5)*$H855)/100)</f>
        <v>#NAME?</v>
      </c>
      <c r="AI855" s="226" t="e">
        <f aca="false">(((xSPRDOPT($L855,$J855,$I855,$M855,$O855,$N855,$P855,$Q855-$C$3,$R855,4)*$H855)/10000)/100)-AB855</f>
        <v>#NAME?</v>
      </c>
      <c r="AJ855" s="226"/>
    </row>
    <row r="856" customFormat="false" ht="12.75" hidden="false" customHeight="false" outlineLevel="0" collapsed="false">
      <c r="A856" s="17" t="s">
        <v>198</v>
      </c>
      <c r="B856" s="0" t="s">
        <v>192</v>
      </c>
      <c r="C856" s="0" t="s">
        <v>471</v>
      </c>
      <c r="D856" s="7" t="s">
        <v>137</v>
      </c>
      <c r="E856" s="0" t="s">
        <v>131</v>
      </c>
      <c r="F856" s="0" t="s">
        <v>136</v>
      </c>
      <c r="G856" s="92" t="n">
        <v>36982</v>
      </c>
      <c r="H856" s="248" t="n">
        <v>-500000</v>
      </c>
      <c r="I856" s="254" t="n">
        <v>1.5</v>
      </c>
      <c r="J856" s="124" t="n">
        <f aca="false">VLOOKUP(G856,NGPrices,2,FALSE())</f>
        <v>3.938</v>
      </c>
      <c r="K856" s="125" t="n">
        <f aca="false">HLOOKUP(D856,Prices,VLOOKUP(G856,move_down,2,FALSE()),FALSE())+VLOOKUP(G856,CHANGE,HLOOKUP(D856,CHANGE,2,FALSE()),FALSE())</f>
        <v>0.59</v>
      </c>
      <c r="L856" s="124" t="n">
        <f aca="false">K856+J856</f>
        <v>4.528</v>
      </c>
      <c r="M856" s="126" t="n">
        <f aca="false">VLOOKUP(G856,NGPrices,4,FALSE())</f>
        <v>0.069061726541121</v>
      </c>
      <c r="N856" s="7" t="n">
        <f aca="false">VLOOKUP(G856,NGPrices,3,FALSE())</f>
        <v>0.4425</v>
      </c>
      <c r="O856" s="7" t="n">
        <f aca="false">HLOOKUP(D856,VOLS,VLOOKUP(G856,move_down,2,FALSE()),FALSE())</f>
        <v>0.443</v>
      </c>
      <c r="P856" s="249" t="n">
        <f aca="false">HLOOKUP(D856,Correllate,VLOOKUP(G856,CorMove,2,FALSE()),FALSE())</f>
        <v>0.88</v>
      </c>
      <c r="Q856" s="92" t="n">
        <f aca="false">WORKDAY(G856,-2)</f>
        <v>36979</v>
      </c>
      <c r="R856" s="7" t="n">
        <f aca="false">IF(F856="P",0,1)</f>
        <v>1</v>
      </c>
      <c r="S856" s="130" t="e">
        <f aca="false">xSPRDOPT($L856,$J856,$I856,$M856,$O856,$N856,$P856,$Q856-$C$3,$R856,0)</f>
        <v>#NAME?</v>
      </c>
      <c r="T856" s="250" t="e">
        <f aca="false">xSPRDOPT($L856,$J856,$I856,$M856,$O856,$N856,$P856,$Q856-$C$3,$R856,1)*H856</f>
        <v>#NAME?</v>
      </c>
      <c r="U856" s="43" t="e">
        <f aca="false">S856*H856</f>
        <v>#NAME?</v>
      </c>
      <c r="V856" s="250" t="e">
        <f aca="false">xSPRDOPT($L856,$J856,$I856,$M856,$O856,$N856,$P856,$Q856-$C$3,$R856,2)*H856</f>
        <v>#NAME?</v>
      </c>
      <c r="W856" s="250" t="e">
        <f aca="false">+V856+T856</f>
        <v>#NAME?</v>
      </c>
      <c r="X856" s="2" t="str">
        <f aca="false">CONCATENATE(G856,D856)</f>
        <v>36982NGI-SOCAL</v>
      </c>
      <c r="Y856" s="251" t="n">
        <f aca="false">H856/10000</f>
        <v>-50</v>
      </c>
      <c r="Z856" s="226" t="e">
        <f aca="false">T856/H856</f>
        <v>#NAME?</v>
      </c>
      <c r="AA856" s="226" t="e">
        <f aca="false">xSPRDOPT($L856,$J856,$I856,$M856,$O856,$N856,$P856,$Q856-$C$3,$R856,3)</f>
        <v>#NAME?</v>
      </c>
      <c r="AB856" s="226" t="e">
        <f aca="false">((xSPRDOPT($L856+AB$5,$J856,$I856,$M856,$O856,$N856,$P856,$Q856-$C$3,$R856,3)*$H856)/10000)/100</f>
        <v>#NAME?</v>
      </c>
      <c r="AC856" s="226" t="e">
        <f aca="false">((xSPRDOPT($L856+$AB$5,$J856,$I856,$M856,$O856,$N856,$P856,$Q856-$C$3,$R856,7)*$H856)/100)</f>
        <v>#NAME?</v>
      </c>
      <c r="AD856" s="226" t="e">
        <f aca="false">(xSPRDOPT($L856+$AB$5,$J856,$I856,$M856,$O856,$N856,$P856,$Q856-$C$3,$R856,9)/365)*$H856</f>
        <v>#NAME?</v>
      </c>
      <c r="AE856" s="0" t="n">
        <f aca="false">CD858</f>
        <v>0</v>
      </c>
      <c r="AF856" s="226" t="e">
        <f aca="false">((O856/N856)*AH856)+AG856</f>
        <v>#NAME?</v>
      </c>
      <c r="AG856" s="226" t="e">
        <f aca="false">((xSPRDOPT($L856,$J856,$I856,$M856,$O856,$N856,$P856,$Q856-$C$3,$R856,6)*$H856)/100)</f>
        <v>#NAME?</v>
      </c>
      <c r="AH856" s="226" t="e">
        <f aca="false">((xSPRDOPT($L856,$J856,$I856,$M856,$O856,$N856,$P856,$Q856-$C$3,$R856,5)*$H856)/100)</f>
        <v>#NAME?</v>
      </c>
      <c r="AI856" s="226" t="e">
        <f aca="false">(((xSPRDOPT($L856,$J856,$I856,$M856,$O856,$N856,$P856,$Q856-$C$3,$R856,4)*$H856)/10000)/100)-AB856</f>
        <v>#NAME?</v>
      </c>
      <c r="AJ856" s="226"/>
    </row>
    <row r="857" customFormat="false" ht="12.75" hidden="false" customHeight="false" outlineLevel="0" collapsed="false">
      <c r="A857" s="17" t="s">
        <v>198</v>
      </c>
      <c r="B857" s="0" t="s">
        <v>192</v>
      </c>
      <c r="C857" s="0" t="s">
        <v>471</v>
      </c>
      <c r="D857" s="7" t="s">
        <v>137</v>
      </c>
      <c r="E857" s="0" t="s">
        <v>131</v>
      </c>
      <c r="F857" s="0" t="s">
        <v>136</v>
      </c>
      <c r="G857" s="92" t="n">
        <v>37012</v>
      </c>
      <c r="H857" s="248" t="n">
        <v>-500000</v>
      </c>
      <c r="I857" s="254" t="n">
        <v>1.5</v>
      </c>
      <c r="J857" s="124" t="n">
        <f aca="false">VLOOKUP(G857,NGPrices,2,FALSE())</f>
        <v>3.838</v>
      </c>
      <c r="K857" s="125" t="n">
        <f aca="false">HLOOKUP(D857,Prices,VLOOKUP(G857,move_down,2,FALSE()),FALSE())+VLOOKUP(G857,CHANGE,HLOOKUP(D857,CHANGE,2,FALSE()),FALSE())</f>
        <v>0.6</v>
      </c>
      <c r="L857" s="124" t="n">
        <f aca="false">K857+J857</f>
        <v>4.438</v>
      </c>
      <c r="M857" s="126" t="n">
        <f aca="false">VLOOKUP(G857,NGPrices,4,FALSE())</f>
        <v>0.069101151219</v>
      </c>
      <c r="N857" s="7" t="n">
        <f aca="false">VLOOKUP(G857,NGPrices,3,FALSE())</f>
        <v>0.405</v>
      </c>
      <c r="O857" s="7" t="n">
        <f aca="false">HLOOKUP(D857,VOLS,VLOOKUP(G857,move_down,2,FALSE()),FALSE())</f>
        <v>0.405</v>
      </c>
      <c r="P857" s="249" t="n">
        <f aca="false">HLOOKUP(D857,Correllate,VLOOKUP(G857,CorMove,2,FALSE()),FALSE())</f>
        <v>0.88</v>
      </c>
      <c r="Q857" s="92" t="n">
        <f aca="false">WORKDAY(G857,-2)</f>
        <v>37008</v>
      </c>
      <c r="R857" s="7" t="n">
        <f aca="false">IF(F857="P",0,1)</f>
        <v>1</v>
      </c>
      <c r="S857" s="130" t="e">
        <f aca="false">xSPRDOPT($L857,$J857,$I857,$M857,$O857,$N857,$P857,$Q857-$C$3,$R857,0)</f>
        <v>#NAME?</v>
      </c>
      <c r="T857" s="250" t="e">
        <f aca="false">xSPRDOPT($L857,$J857,$I857,$M857,$O857,$N857,$P857,$Q857-$C$3,$R857,1)*H857</f>
        <v>#NAME?</v>
      </c>
      <c r="U857" s="43" t="e">
        <f aca="false">S857*H857</f>
        <v>#NAME?</v>
      </c>
      <c r="V857" s="250" t="e">
        <f aca="false">xSPRDOPT($L857,$J857,$I857,$M857,$O857,$N857,$P857,$Q857-$C$3,$R857,2)*H857</f>
        <v>#NAME?</v>
      </c>
      <c r="W857" s="250" t="e">
        <f aca="false">+V857+T857</f>
        <v>#NAME?</v>
      </c>
      <c r="X857" s="2" t="str">
        <f aca="false">CONCATENATE(G857,D857)</f>
        <v>37012NGI-SOCAL</v>
      </c>
      <c r="Y857" s="251" t="n">
        <f aca="false">H857/10000</f>
        <v>-50</v>
      </c>
      <c r="Z857" s="226" t="e">
        <f aca="false">T857/H857</f>
        <v>#NAME?</v>
      </c>
      <c r="AA857" s="226" t="e">
        <f aca="false">xSPRDOPT($L857,$J857,$I857,$M857,$O857,$N857,$P857,$Q857-$C$3,$R857,3)</f>
        <v>#NAME?</v>
      </c>
      <c r="AB857" s="226" t="e">
        <f aca="false">((xSPRDOPT($L857+AB$5,$J857,$I857,$M857,$O857,$N857,$P857,$Q857-$C$3,$R857,3)*$H857)/10000)/100</f>
        <v>#NAME?</v>
      </c>
      <c r="AC857" s="226" t="e">
        <f aca="false">((xSPRDOPT($L857+$AB$5,$J857,$I857,$M857,$O857,$N857,$P857,$Q857-$C$3,$R857,7)*$H857)/100)</f>
        <v>#NAME?</v>
      </c>
      <c r="AD857" s="226" t="e">
        <f aca="false">(xSPRDOPT($L857+$AB$5,$J857,$I857,$M857,$O857,$N857,$P857,$Q857-$C$3,$R857,9)/365)*$H857</f>
        <v>#NAME?</v>
      </c>
      <c r="AE857" s="0" t="n">
        <f aca="false">CD859</f>
        <v>0</v>
      </c>
      <c r="AF857" s="226" t="e">
        <f aca="false">((O857/N857)*AH857)+AG857</f>
        <v>#NAME?</v>
      </c>
      <c r="AG857" s="226" t="e">
        <f aca="false">((xSPRDOPT($L857,$J857,$I857,$M857,$O857,$N857,$P857,$Q857-$C$3,$R857,6)*$H857)/100)</f>
        <v>#NAME?</v>
      </c>
      <c r="AH857" s="226" t="e">
        <f aca="false">((xSPRDOPT($L857,$J857,$I857,$M857,$O857,$N857,$P857,$Q857-$C$3,$R857,5)*$H857)/100)</f>
        <v>#NAME?</v>
      </c>
      <c r="AI857" s="226" t="e">
        <f aca="false">(((xSPRDOPT($L857,$J857,$I857,$M857,$O857,$N857,$P857,$Q857-$C$3,$R857,4)*$H857)/10000)/100)-AB857</f>
        <v>#NAME?</v>
      </c>
      <c r="AJ857" s="226"/>
    </row>
    <row r="858" customFormat="false" ht="12.75" hidden="false" customHeight="false" outlineLevel="0" collapsed="false">
      <c r="A858" s="17" t="s">
        <v>198</v>
      </c>
      <c r="B858" s="0" t="s">
        <v>192</v>
      </c>
      <c r="C858" s="0" t="s">
        <v>471</v>
      </c>
      <c r="D858" s="7" t="s">
        <v>137</v>
      </c>
      <c r="E858" s="0" t="s">
        <v>131</v>
      </c>
      <c r="F858" s="0" t="s">
        <v>136</v>
      </c>
      <c r="G858" s="92" t="n">
        <v>37043</v>
      </c>
      <c r="H858" s="248" t="n">
        <v>-500000</v>
      </c>
      <c r="I858" s="254" t="n">
        <v>1.5</v>
      </c>
      <c r="J858" s="124" t="n">
        <f aca="false">VLOOKUP(G858,NGPrices,2,FALSE())</f>
        <v>3.818</v>
      </c>
      <c r="K858" s="125" t="n">
        <f aca="false">HLOOKUP(D858,Prices,VLOOKUP(G858,move_down,2,FALSE()),FALSE())+VLOOKUP(G858,CHANGE,HLOOKUP(D858,CHANGE,2,FALSE()),FALSE())</f>
        <v>0.62</v>
      </c>
      <c r="L858" s="124" t="n">
        <f aca="false">K858+J858</f>
        <v>4.438</v>
      </c>
      <c r="M858" s="126" t="n">
        <f aca="false">VLOOKUP(G858,NGPrices,4,FALSE())</f>
        <v>0.069141890053328</v>
      </c>
      <c r="N858" s="7" t="n">
        <f aca="false">VLOOKUP(G858,NGPrices,3,FALSE())</f>
        <v>0.4</v>
      </c>
      <c r="O858" s="7" t="n">
        <f aca="false">HLOOKUP(D858,VOLS,VLOOKUP(G858,move_down,2,FALSE()),FALSE())</f>
        <v>0.4</v>
      </c>
      <c r="P858" s="249" t="n">
        <f aca="false">HLOOKUP(D858,Correllate,VLOOKUP(G858,CorMove,2,FALSE()),FALSE())</f>
        <v>0.88</v>
      </c>
      <c r="Q858" s="92" t="n">
        <f aca="false">WORKDAY(G858,-2)</f>
        <v>37041</v>
      </c>
      <c r="R858" s="7" t="n">
        <f aca="false">IF(F858="P",0,1)</f>
        <v>1</v>
      </c>
      <c r="S858" s="130" t="e">
        <f aca="false">xSPRDOPT($L858,$J858,$I858,$M858,$O858,$N858,$P858,$Q858-$C$3,$R858,0)</f>
        <v>#NAME?</v>
      </c>
      <c r="T858" s="250" t="e">
        <f aca="false">xSPRDOPT($L858,$J858,$I858,$M858,$O858,$N858,$P858,$Q858-$C$3,$R858,1)*H858</f>
        <v>#NAME?</v>
      </c>
      <c r="U858" s="43" t="e">
        <f aca="false">S858*H858</f>
        <v>#NAME?</v>
      </c>
      <c r="V858" s="250" t="e">
        <f aca="false">xSPRDOPT($L858,$J858,$I858,$M858,$O858,$N858,$P858,$Q858-$C$3,$R858,2)*H858</f>
        <v>#NAME?</v>
      </c>
      <c r="W858" s="250" t="e">
        <f aca="false">+V858+T858</f>
        <v>#NAME?</v>
      </c>
      <c r="X858" s="2" t="str">
        <f aca="false">CONCATENATE(G858,D858)</f>
        <v>37043NGI-SOCAL</v>
      </c>
      <c r="Y858" s="251" t="n">
        <f aca="false">H858/10000</f>
        <v>-50</v>
      </c>
      <c r="Z858" s="226" t="e">
        <f aca="false">T858/H858</f>
        <v>#NAME?</v>
      </c>
      <c r="AA858" s="226" t="e">
        <f aca="false">xSPRDOPT($L858,$J858,$I858,$M858,$O858,$N858,$P858,$Q858-$C$3,$R858,3)</f>
        <v>#NAME?</v>
      </c>
      <c r="AB858" s="226" t="e">
        <f aca="false">((xSPRDOPT($L858+AB$5,$J858,$I858,$M858,$O858,$N858,$P858,$Q858-$C$3,$R858,3)*$H858)/10000)/100</f>
        <v>#NAME?</v>
      </c>
      <c r="AC858" s="226" t="e">
        <f aca="false">((xSPRDOPT($L858+$AB$5,$J858,$I858,$M858,$O858,$N858,$P858,$Q858-$C$3,$R858,7)*$H858)/100)</f>
        <v>#NAME?</v>
      </c>
      <c r="AD858" s="226" t="e">
        <f aca="false">(xSPRDOPT($L858+$AB$5,$J858,$I858,$M858,$O858,$N858,$P858,$Q858-$C$3,$R858,9)/365)*$H858</f>
        <v>#NAME?</v>
      </c>
      <c r="AE858" s="0" t="n">
        <f aca="false">CD860</f>
        <v>0</v>
      </c>
      <c r="AF858" s="226" t="e">
        <f aca="false">((O858/N858)*AH858)+AG858</f>
        <v>#NAME?</v>
      </c>
      <c r="AG858" s="226" t="e">
        <f aca="false">((xSPRDOPT($L858,$J858,$I858,$M858,$O858,$N858,$P858,$Q858-$C$3,$R858,6)*$H858)/100)</f>
        <v>#NAME?</v>
      </c>
      <c r="AH858" s="226" t="e">
        <f aca="false">((xSPRDOPT($L858,$J858,$I858,$M858,$O858,$N858,$P858,$Q858-$C$3,$R858,5)*$H858)/100)</f>
        <v>#NAME?</v>
      </c>
      <c r="AI858" s="226" t="e">
        <f aca="false">(((xSPRDOPT($L858,$J858,$I858,$M858,$O858,$N858,$P858,$Q858-$C$3,$R858,4)*$H858)/10000)/100)-AB858</f>
        <v>#NAME?</v>
      </c>
      <c r="AJ858" s="226"/>
    </row>
    <row r="859" customFormat="false" ht="12.75" hidden="false" customHeight="false" outlineLevel="0" collapsed="false">
      <c r="A859" s="17" t="s">
        <v>198</v>
      </c>
      <c r="B859" s="0" t="s">
        <v>192</v>
      </c>
      <c r="C859" s="0" t="s">
        <v>471</v>
      </c>
      <c r="D859" s="7" t="s">
        <v>137</v>
      </c>
      <c r="E859" s="0" t="s">
        <v>131</v>
      </c>
      <c r="F859" s="0" t="s">
        <v>136</v>
      </c>
      <c r="G859" s="92" t="n">
        <v>37073</v>
      </c>
      <c r="H859" s="248" t="n">
        <v>-500000</v>
      </c>
      <c r="I859" s="254" t="n">
        <v>1.5</v>
      </c>
      <c r="J859" s="124" t="n">
        <f aca="false">VLOOKUP(G859,NGPrices,2,FALSE())</f>
        <v>3.803</v>
      </c>
      <c r="K859" s="125" t="n">
        <f aca="false">HLOOKUP(D859,Prices,VLOOKUP(G859,move_down,2,FALSE()),FALSE())+VLOOKUP(G859,CHANGE,HLOOKUP(D859,CHANGE,2,FALSE()),FALSE())</f>
        <v>1.225</v>
      </c>
      <c r="L859" s="124" t="n">
        <f aca="false">K859+J859</f>
        <v>5.028</v>
      </c>
      <c r="M859" s="126" t="n">
        <f aca="false">VLOOKUP(G859,NGPrices,4,FALSE())</f>
        <v>0.069181571268568</v>
      </c>
      <c r="N859" s="7" t="n">
        <f aca="false">VLOOKUP(G859,NGPrices,3,FALSE())</f>
        <v>0.4</v>
      </c>
      <c r="O859" s="7" t="n">
        <f aca="false">HLOOKUP(D859,VOLS,VLOOKUP(G859,move_down,2,FALSE()),FALSE())</f>
        <v>0.4</v>
      </c>
      <c r="P859" s="249" t="n">
        <f aca="false">HLOOKUP(D859,Correllate,VLOOKUP(G859,CorMove,2,FALSE()),FALSE())</f>
        <v>0.88</v>
      </c>
      <c r="Q859" s="92" t="n">
        <f aca="false">WORKDAY(G859,-2)</f>
        <v>37070</v>
      </c>
      <c r="R859" s="7" t="n">
        <f aca="false">IF(F859="P",0,1)</f>
        <v>1</v>
      </c>
      <c r="S859" s="130" t="e">
        <f aca="false">xSPRDOPT($L859,$J859,$I859,$M859,$O859,$N859,$P859,$Q859-$C$3,$R859,0)</f>
        <v>#NAME?</v>
      </c>
      <c r="T859" s="250" t="e">
        <f aca="false">xSPRDOPT($L859,$J859,$I859,$M859,$O859,$N859,$P859,$Q859-$C$3,$R859,1)*H859</f>
        <v>#NAME?</v>
      </c>
      <c r="U859" s="43" t="e">
        <f aca="false">S859*H859</f>
        <v>#NAME?</v>
      </c>
      <c r="V859" s="250" t="e">
        <f aca="false">xSPRDOPT($L859,$J859,$I859,$M859,$O859,$N859,$P859,$Q859-$C$3,$R859,2)*H859</f>
        <v>#NAME?</v>
      </c>
      <c r="W859" s="250" t="e">
        <f aca="false">+V859+T859</f>
        <v>#NAME?</v>
      </c>
      <c r="X859" s="2" t="str">
        <f aca="false">CONCATENATE(G859,D859)</f>
        <v>37073NGI-SOCAL</v>
      </c>
      <c r="Y859" s="251" t="n">
        <f aca="false">H859/10000</f>
        <v>-50</v>
      </c>
      <c r="Z859" s="226" t="e">
        <f aca="false">T859/H859</f>
        <v>#NAME?</v>
      </c>
      <c r="AA859" s="226" t="e">
        <f aca="false">xSPRDOPT($L859,$J859,$I859,$M859,$O859,$N859,$P859,$Q859-$C$3,$R859,3)</f>
        <v>#NAME?</v>
      </c>
      <c r="AB859" s="226" t="e">
        <f aca="false">((xSPRDOPT($L859+AB$5,$J859,$I859,$M859,$O859,$N859,$P859,$Q859-$C$3,$R859,3)*$H859)/10000)/100</f>
        <v>#NAME?</v>
      </c>
      <c r="AC859" s="226" t="e">
        <f aca="false">((xSPRDOPT($L859+$AB$5,$J859,$I859,$M859,$O859,$N859,$P859,$Q859-$C$3,$R859,7)*$H859)/100)</f>
        <v>#NAME?</v>
      </c>
      <c r="AD859" s="226" t="e">
        <f aca="false">(xSPRDOPT($L859+$AB$5,$J859,$I859,$M859,$O859,$N859,$P859,$Q859-$C$3,$R859,9)/365)*$H859</f>
        <v>#NAME?</v>
      </c>
      <c r="AE859" s="0" t="n">
        <f aca="false">CD861</f>
        <v>0</v>
      </c>
      <c r="AF859" s="226" t="e">
        <f aca="false">((O859/N859)*AH859)+AG859</f>
        <v>#NAME?</v>
      </c>
      <c r="AG859" s="226" t="e">
        <f aca="false">((xSPRDOPT($L859,$J859,$I859,$M859,$O859,$N859,$P859,$Q859-$C$3,$R859,6)*$H859)/100)</f>
        <v>#NAME?</v>
      </c>
      <c r="AH859" s="226" t="e">
        <f aca="false">((xSPRDOPT($L859,$J859,$I859,$M859,$O859,$N859,$P859,$Q859-$C$3,$R859,5)*$H859)/100)</f>
        <v>#NAME?</v>
      </c>
      <c r="AI859" s="226" t="e">
        <f aca="false">(((xSPRDOPT($L859,$J859,$I859,$M859,$O859,$N859,$P859,$Q859-$C$3,$R859,4)*$H859)/10000)/100)-AB859</f>
        <v>#NAME?</v>
      </c>
      <c r="AJ859" s="226"/>
    </row>
    <row r="860" customFormat="false" ht="12.75" hidden="false" customHeight="false" outlineLevel="0" collapsed="false">
      <c r="A860" s="17" t="s">
        <v>198</v>
      </c>
      <c r="B860" s="0" t="s">
        <v>192</v>
      </c>
      <c r="C860" s="0" t="s">
        <v>471</v>
      </c>
      <c r="D860" s="7" t="s">
        <v>137</v>
      </c>
      <c r="E860" s="0" t="s">
        <v>131</v>
      </c>
      <c r="F860" s="0" t="s">
        <v>136</v>
      </c>
      <c r="G860" s="92" t="n">
        <v>37104</v>
      </c>
      <c r="H860" s="248" t="n">
        <v>-500000</v>
      </c>
      <c r="I860" s="254" t="n">
        <v>1.5</v>
      </c>
      <c r="J860" s="124" t="n">
        <f aca="false">VLOOKUP(G860,NGPrices,2,FALSE())</f>
        <v>3.808</v>
      </c>
      <c r="K860" s="125" t="n">
        <f aca="false">HLOOKUP(D860,Prices,VLOOKUP(G860,move_down,2,FALSE()),FALSE())+VLOOKUP(G860,CHANGE,HLOOKUP(D860,CHANGE,2,FALSE()),FALSE())</f>
        <v>1.275</v>
      </c>
      <c r="L860" s="124" t="n">
        <f aca="false">K860+J860</f>
        <v>5.083</v>
      </c>
      <c r="M860" s="126" t="n">
        <f aca="false">VLOOKUP(G860,NGPrices,4,FALSE())</f>
        <v>0.069223060737755</v>
      </c>
      <c r="N860" s="7" t="n">
        <f aca="false">VLOOKUP(G860,NGPrices,3,FALSE())</f>
        <v>0.4</v>
      </c>
      <c r="O860" s="7" t="n">
        <f aca="false">HLOOKUP(D860,VOLS,VLOOKUP(G860,move_down,2,FALSE()),FALSE())</f>
        <v>0.4</v>
      </c>
      <c r="P860" s="249" t="n">
        <f aca="false">HLOOKUP(D860,Correllate,VLOOKUP(G860,CorMove,2,FALSE()),FALSE())</f>
        <v>0.88</v>
      </c>
      <c r="Q860" s="92" t="n">
        <f aca="false">WORKDAY(G860,-2)</f>
        <v>37102</v>
      </c>
      <c r="R860" s="7" t="n">
        <f aca="false">IF(F860="P",0,1)</f>
        <v>1</v>
      </c>
      <c r="S860" s="130" t="e">
        <f aca="false">xSPRDOPT($L860,$J860,$I860,$M860,$O860,$N860,$P860,$Q860-$C$3,$R860,0)</f>
        <v>#NAME?</v>
      </c>
      <c r="T860" s="250" t="e">
        <f aca="false">xSPRDOPT($L860,$J860,$I860,$M860,$O860,$N860,$P860,$Q860-$C$3,$R860,1)*H860</f>
        <v>#NAME?</v>
      </c>
      <c r="U860" s="43" t="e">
        <f aca="false">S860*H860</f>
        <v>#NAME?</v>
      </c>
      <c r="V860" s="250" t="e">
        <f aca="false">xSPRDOPT($L860,$J860,$I860,$M860,$O860,$N860,$P860,$Q860-$C$3,$R860,2)*H860</f>
        <v>#NAME?</v>
      </c>
      <c r="W860" s="250" t="e">
        <f aca="false">+V860+T860</f>
        <v>#NAME?</v>
      </c>
      <c r="X860" s="2" t="str">
        <f aca="false">CONCATENATE(G860,D860)</f>
        <v>37104NGI-SOCAL</v>
      </c>
      <c r="Y860" s="251" t="n">
        <f aca="false">H860/10000</f>
        <v>-50</v>
      </c>
      <c r="Z860" s="226" t="e">
        <f aca="false">T860/H860</f>
        <v>#NAME?</v>
      </c>
      <c r="AA860" s="226" t="e">
        <f aca="false">xSPRDOPT($L860,$J860,$I860,$M860,$O860,$N860,$P860,$Q860-$C$3,$R860,3)</f>
        <v>#NAME?</v>
      </c>
      <c r="AB860" s="226" t="e">
        <f aca="false">((xSPRDOPT($L860+AB$5,$J860,$I860,$M860,$O860,$N860,$P860,$Q860-$C$3,$R860,3)*$H860)/10000)/100</f>
        <v>#NAME?</v>
      </c>
      <c r="AC860" s="226" t="e">
        <f aca="false">((xSPRDOPT($L860+$AB$5,$J860,$I860,$M860,$O860,$N860,$P860,$Q860-$C$3,$R860,7)*$H860)/100)</f>
        <v>#NAME?</v>
      </c>
      <c r="AD860" s="226" t="e">
        <f aca="false">(xSPRDOPT($L860+$AB$5,$J860,$I860,$M860,$O860,$N860,$P860,$Q860-$C$3,$R860,9)/365)*$H860</f>
        <v>#NAME?</v>
      </c>
      <c r="AE860" s="0" t="n">
        <f aca="false">CD862</f>
        <v>0</v>
      </c>
      <c r="AF860" s="226" t="e">
        <f aca="false">((O860/N860)*AH860)+AG860</f>
        <v>#NAME?</v>
      </c>
      <c r="AG860" s="226" t="e">
        <f aca="false">((xSPRDOPT($L860,$J860,$I860,$M860,$O860,$N860,$P860,$Q860-$C$3,$R860,6)*$H860)/100)</f>
        <v>#NAME?</v>
      </c>
      <c r="AH860" s="226" t="e">
        <f aca="false">((xSPRDOPT($L860,$J860,$I860,$M860,$O860,$N860,$P860,$Q860-$C$3,$R860,5)*$H860)/100)</f>
        <v>#NAME?</v>
      </c>
      <c r="AI860" s="226" t="e">
        <f aca="false">(((xSPRDOPT($L860,$J860,$I860,$M860,$O860,$N860,$P860,$Q860-$C$3,$R860,4)*$H860)/10000)/100)-AB860</f>
        <v>#NAME?</v>
      </c>
      <c r="AJ860" s="226"/>
    </row>
    <row r="861" customFormat="false" ht="12.75" hidden="false" customHeight="false" outlineLevel="0" collapsed="false">
      <c r="A861" s="17" t="s">
        <v>198</v>
      </c>
      <c r="B861" s="0" t="s">
        <v>192</v>
      </c>
      <c r="C861" s="0" t="s">
        <v>471</v>
      </c>
      <c r="D861" s="7" t="s">
        <v>137</v>
      </c>
      <c r="E861" s="0" t="s">
        <v>131</v>
      </c>
      <c r="F861" s="0" t="s">
        <v>136</v>
      </c>
      <c r="G861" s="92" t="n">
        <v>37135</v>
      </c>
      <c r="H861" s="248" t="n">
        <v>-500000</v>
      </c>
      <c r="I861" s="254" t="n">
        <v>1.5</v>
      </c>
      <c r="J861" s="124" t="n">
        <f aca="false">VLOOKUP(G861,NGPrices,2,FALSE())</f>
        <v>3.788</v>
      </c>
      <c r="K861" s="125" t="n">
        <f aca="false">HLOOKUP(D861,Prices,VLOOKUP(G861,move_down,2,FALSE()),FALSE())+VLOOKUP(G861,CHANGE,HLOOKUP(D861,CHANGE,2,FALSE()),FALSE())</f>
        <v>1.2525</v>
      </c>
      <c r="L861" s="124" t="n">
        <f aca="false">K861+J861</f>
        <v>5.0405</v>
      </c>
      <c r="M861" s="126" t="n">
        <f aca="false">VLOOKUP(G861,NGPrices,4,FALSE())</f>
        <v>0.069264550207512</v>
      </c>
      <c r="N861" s="7" t="n">
        <f aca="false">VLOOKUP(G861,NGPrices,3,FALSE())</f>
        <v>0.4</v>
      </c>
      <c r="O861" s="7" t="n">
        <f aca="false">HLOOKUP(D861,VOLS,VLOOKUP(G861,move_down,2,FALSE()),FALSE())</f>
        <v>0.4</v>
      </c>
      <c r="P861" s="249" t="n">
        <f aca="false">HLOOKUP(D861,Correllate,VLOOKUP(G861,CorMove,2,FALSE()),FALSE())</f>
        <v>0.88</v>
      </c>
      <c r="Q861" s="92" t="n">
        <f aca="false">WORKDAY(G861,-2)</f>
        <v>37133</v>
      </c>
      <c r="R861" s="7" t="n">
        <f aca="false">IF(F861="P",0,1)</f>
        <v>1</v>
      </c>
      <c r="S861" s="130" t="e">
        <f aca="false">xSPRDOPT($L861,$J861,$I861,$M861,$O861,$N861,$P861,$Q861-$C$3,$R861,0)</f>
        <v>#NAME?</v>
      </c>
      <c r="T861" s="250" t="e">
        <f aca="false">xSPRDOPT($L861,$J861,$I861,$M861,$O861,$N861,$P861,$Q861-$C$3,$R861,1)*H861</f>
        <v>#NAME?</v>
      </c>
      <c r="U861" s="43" t="e">
        <f aca="false">S861*H861</f>
        <v>#NAME?</v>
      </c>
      <c r="V861" s="250" t="e">
        <f aca="false">xSPRDOPT($L861,$J861,$I861,$M861,$O861,$N861,$P861,$Q861-$C$3,$R861,2)*H861</f>
        <v>#NAME?</v>
      </c>
      <c r="W861" s="250" t="e">
        <f aca="false">+V861+T861</f>
        <v>#NAME?</v>
      </c>
      <c r="X861" s="2" t="str">
        <f aca="false">CONCATENATE(G861,D861)</f>
        <v>37135NGI-SOCAL</v>
      </c>
      <c r="Y861" s="251" t="n">
        <f aca="false">H861/10000</f>
        <v>-50</v>
      </c>
      <c r="Z861" s="226" t="e">
        <f aca="false">T861/H861</f>
        <v>#NAME?</v>
      </c>
      <c r="AA861" s="226" t="e">
        <f aca="false">xSPRDOPT($L861,$J861,$I861,$M861,$O861,$N861,$P861,$Q861-$C$3,$R861,3)</f>
        <v>#NAME?</v>
      </c>
      <c r="AB861" s="226" t="e">
        <f aca="false">((xSPRDOPT($L861+AB$5,$J861,$I861,$M861,$O861,$N861,$P861,$Q861-$C$3,$R861,3)*$H861)/10000)/100</f>
        <v>#NAME?</v>
      </c>
      <c r="AC861" s="226" t="e">
        <f aca="false">((xSPRDOPT($L861+$AB$5,$J861,$I861,$M861,$O861,$N861,$P861,$Q861-$C$3,$R861,7)*$H861)/100)</f>
        <v>#NAME?</v>
      </c>
      <c r="AD861" s="226" t="e">
        <f aca="false">(xSPRDOPT($L861+$AB$5,$J861,$I861,$M861,$O861,$N861,$P861,$Q861-$C$3,$R861,9)/365)*$H861</f>
        <v>#NAME?</v>
      </c>
      <c r="AE861" s="0" t="n">
        <f aca="false">CD863</f>
        <v>0</v>
      </c>
      <c r="AF861" s="226" t="e">
        <f aca="false">((O861/N861)*AH861)+AG861</f>
        <v>#NAME?</v>
      </c>
      <c r="AG861" s="226" t="e">
        <f aca="false">((xSPRDOPT($L861,$J861,$I861,$M861,$O861,$N861,$P861,$Q861-$C$3,$R861,6)*$H861)/100)</f>
        <v>#NAME?</v>
      </c>
      <c r="AH861" s="226" t="e">
        <f aca="false">((xSPRDOPT($L861,$J861,$I861,$M861,$O861,$N861,$P861,$Q861-$C$3,$R861,5)*$H861)/100)</f>
        <v>#NAME?</v>
      </c>
      <c r="AI861" s="226" t="e">
        <f aca="false">(((xSPRDOPT($L861,$J861,$I861,$M861,$O861,$N861,$P861,$Q861-$C$3,$R861,4)*$H861)/10000)/100)-AB861</f>
        <v>#NAME?</v>
      </c>
      <c r="AJ861" s="226"/>
    </row>
    <row r="862" customFormat="false" ht="12.75" hidden="false" customHeight="false" outlineLevel="0" collapsed="false">
      <c r="A862" s="17" t="s">
        <v>198</v>
      </c>
      <c r="B862" s="0" t="s">
        <v>192</v>
      </c>
      <c r="C862" s="0" t="s">
        <v>471</v>
      </c>
      <c r="D862" s="7" t="s">
        <v>137</v>
      </c>
      <c r="E862" s="0" t="s">
        <v>131</v>
      </c>
      <c r="F862" s="0" t="s">
        <v>136</v>
      </c>
      <c r="G862" s="92" t="n">
        <v>37165</v>
      </c>
      <c r="H862" s="248" t="n">
        <v>-500000</v>
      </c>
      <c r="I862" s="254" t="n">
        <v>1.5</v>
      </c>
      <c r="J862" s="124" t="n">
        <f aca="false">VLOOKUP(G862,NGPrices,2,FALSE())</f>
        <v>3.773</v>
      </c>
      <c r="K862" s="125" t="n">
        <f aca="false">HLOOKUP(D862,Prices,VLOOKUP(G862,move_down,2,FALSE()),FALSE())+VLOOKUP(G862,CHANGE,HLOOKUP(D862,CHANGE,2,FALSE()),FALSE())</f>
        <v>0.7475</v>
      </c>
      <c r="L862" s="124" t="n">
        <f aca="false">K862+J862</f>
        <v>4.5205</v>
      </c>
      <c r="M862" s="126" t="n">
        <f aca="false">VLOOKUP(G862,NGPrices,4,FALSE())</f>
        <v>0.069300944538364</v>
      </c>
      <c r="N862" s="7" t="n">
        <f aca="false">VLOOKUP(G862,NGPrices,3,FALSE())</f>
        <v>0.4025</v>
      </c>
      <c r="O862" s="7" t="n">
        <f aca="false">HLOOKUP(D862,VOLS,VLOOKUP(G862,move_down,2,FALSE()),FALSE())</f>
        <v>0.403</v>
      </c>
      <c r="P862" s="249" t="n">
        <f aca="false">HLOOKUP(D862,Correllate,VLOOKUP(G862,CorMove,2,FALSE()),FALSE())</f>
        <v>0.88</v>
      </c>
      <c r="Q862" s="92" t="n">
        <f aca="false">WORKDAY(G862,-2)</f>
        <v>37161</v>
      </c>
      <c r="R862" s="7" t="n">
        <f aca="false">IF(F862="P",0,1)</f>
        <v>1</v>
      </c>
      <c r="S862" s="130" t="e">
        <f aca="false">xSPRDOPT($L862,$J862,$I862,$M862,$O862,$N862,$P862,$Q862-$C$3,$R862,0)</f>
        <v>#NAME?</v>
      </c>
      <c r="T862" s="250" t="e">
        <f aca="false">xSPRDOPT($L862,$J862,$I862,$M862,$O862,$N862,$P862,$Q862-$C$3,$R862,1)*H862</f>
        <v>#NAME?</v>
      </c>
      <c r="U862" s="43" t="e">
        <f aca="false">S862*H862</f>
        <v>#NAME?</v>
      </c>
      <c r="V862" s="250" t="e">
        <f aca="false">xSPRDOPT($L862,$J862,$I862,$M862,$O862,$N862,$P862,$Q862-$C$3,$R862,2)*H862</f>
        <v>#NAME?</v>
      </c>
      <c r="W862" s="250" t="e">
        <f aca="false">+V862+T862</f>
        <v>#NAME?</v>
      </c>
      <c r="X862" s="2" t="str">
        <f aca="false">CONCATENATE(G862,D862)</f>
        <v>37165NGI-SOCAL</v>
      </c>
      <c r="Y862" s="251" t="n">
        <f aca="false">H862/10000</f>
        <v>-50</v>
      </c>
      <c r="Z862" s="226" t="e">
        <f aca="false">T862/H862</f>
        <v>#NAME?</v>
      </c>
      <c r="AA862" s="226" t="e">
        <f aca="false">xSPRDOPT($L862,$J862,$I862,$M862,$O862,$N862,$P862,$Q862-$C$3,$R862,3)</f>
        <v>#NAME?</v>
      </c>
      <c r="AB862" s="226" t="e">
        <f aca="false">((xSPRDOPT($L862+AB$5,$J862,$I862,$M862,$O862,$N862,$P862,$Q862-$C$3,$R862,3)*$H862)/10000)/100</f>
        <v>#NAME?</v>
      </c>
      <c r="AC862" s="226" t="e">
        <f aca="false">((xSPRDOPT($L862+$AB$5,$J862,$I862,$M862,$O862,$N862,$P862,$Q862-$C$3,$R862,7)*$H862)/100)</f>
        <v>#NAME?</v>
      </c>
      <c r="AD862" s="226" t="e">
        <f aca="false">(xSPRDOPT($L862+$AB$5,$J862,$I862,$M862,$O862,$N862,$P862,$Q862-$C$3,$R862,9)/365)*$H862</f>
        <v>#NAME?</v>
      </c>
      <c r="AE862" s="0" t="n">
        <f aca="false">CD864</f>
        <v>0</v>
      </c>
      <c r="AF862" s="226" t="e">
        <f aca="false">((O862/N862)*AH862)+AG862</f>
        <v>#NAME?</v>
      </c>
      <c r="AG862" s="226" t="e">
        <f aca="false">((xSPRDOPT($L862,$J862,$I862,$M862,$O862,$N862,$P862,$Q862-$C$3,$R862,6)*$H862)/100)</f>
        <v>#NAME?</v>
      </c>
      <c r="AH862" s="226" t="e">
        <f aca="false">((xSPRDOPT($L862,$J862,$I862,$M862,$O862,$N862,$P862,$Q862-$C$3,$R862,5)*$H862)/100)</f>
        <v>#NAME?</v>
      </c>
      <c r="AI862" s="226" t="e">
        <f aca="false">(((xSPRDOPT($L862,$J862,$I862,$M862,$O862,$N862,$P862,$Q862-$C$3,$R862,4)*$H862)/10000)/100)-AB862</f>
        <v>#NAME?</v>
      </c>
      <c r="AJ862" s="226"/>
    </row>
    <row r="863" customFormat="false" ht="12.75" hidden="false" customHeight="false" outlineLevel="0" collapsed="false">
      <c r="A863" s="17" t="s">
        <v>206</v>
      </c>
      <c r="B863" s="0" t="s">
        <v>192</v>
      </c>
      <c r="C863" s="0" t="s">
        <v>472</v>
      </c>
      <c r="D863" s="7" t="s">
        <v>149</v>
      </c>
      <c r="E863" s="0" t="s">
        <v>131</v>
      </c>
      <c r="F863" s="0" t="s">
        <v>132</v>
      </c>
      <c r="G863" s="92" t="n">
        <v>36770</v>
      </c>
      <c r="H863" s="248" t="n">
        <v>-2500000</v>
      </c>
      <c r="I863" s="254" t="n">
        <v>0.3</v>
      </c>
      <c r="J863" s="124" t="n">
        <f aca="false">VLOOKUP(G863,NGPrices,2,FALSE())</f>
        <v>4.685</v>
      </c>
      <c r="K863" s="125" t="n">
        <f aca="false">HLOOKUP(D863,Prices,VLOOKUP(G863,move_down,2,FALSE()),FALSE())+VLOOKUP(G863,CHANGE,HLOOKUP(D863,CHANGE,2,FALSE()),FALSE())</f>
        <v>0.315</v>
      </c>
      <c r="L863" s="124" t="n">
        <f aca="false">K863+J863</f>
        <v>5</v>
      </c>
      <c r="M863" s="126" t="n">
        <f aca="false">VLOOKUP(G863,NGPrices,4,FALSE())</f>
        <v>0.067216196212185</v>
      </c>
      <c r="N863" s="7" t="n">
        <f aca="false">VLOOKUP(G863,NGPrices,3,FALSE())</f>
        <v>0.4</v>
      </c>
      <c r="O863" s="7" t="n">
        <f aca="false">HLOOKUP(D863,VOLS,VLOOKUP(G863,move_down,2,FALSE()),FALSE())</f>
        <v>0.392</v>
      </c>
      <c r="P863" s="249" t="n">
        <f aca="false">HLOOKUP(D863,Correllate,VLOOKUP(G863,CorMove,2,FALSE()),FALSE())</f>
        <v>0.9925</v>
      </c>
      <c r="Q863" s="92" t="n">
        <f aca="false">WORKDAY(G863,-2)</f>
        <v>36768</v>
      </c>
      <c r="R863" s="7" t="n">
        <f aca="false">IF(F863="P",0,1)</f>
        <v>0</v>
      </c>
      <c r="S863" s="130" t="e">
        <f aca="false">xSPRDOPT($L863,$J863,$I863,$M863,$O863,$N863,$P863,$Q863-$C$3,$R863,0)</f>
        <v>#NAME?</v>
      </c>
      <c r="T863" s="250" t="e">
        <f aca="false">xSPRDOPT($L863,$J863,$I863,$M863,$O863,$N863,$P863,$Q863-$C$3,$R863,1)*H863</f>
        <v>#NAME?</v>
      </c>
      <c r="U863" s="43" t="e">
        <f aca="false">S863*H863</f>
        <v>#NAME?</v>
      </c>
      <c r="V863" s="250" t="e">
        <f aca="false">xSPRDOPT($L863,$J863,$I863,$M863,$O863,$N863,$P863,$Q863-$C$3,$R863,2)*H863</f>
        <v>#NAME?</v>
      </c>
      <c r="W863" s="250" t="e">
        <f aca="false">+V863+T863</f>
        <v>#NAME?</v>
      </c>
      <c r="X863" s="2" t="str">
        <f aca="false">CONCATENATE(G863,D863)</f>
        <v>36770IF-TRANSCO/Z6</v>
      </c>
      <c r="Y863" s="251" t="n">
        <f aca="false">H863/10000</f>
        <v>-250</v>
      </c>
      <c r="Z863" s="226" t="e">
        <f aca="false">T863/H863</f>
        <v>#NAME?</v>
      </c>
      <c r="AA863" s="226" t="e">
        <f aca="false">xSPRDOPT($L863,$J863,$I863,$M863,$O863,$N863,$P863,$Q863-$C$3,$R863,3)</f>
        <v>#NAME?</v>
      </c>
      <c r="AB863" s="226" t="e">
        <f aca="false">((xSPRDOPT($L863+AB$5,$J863,$I863,$M863,$O863,$N863,$P863,$Q863-$C$3,$R863,3)*$H863)/10000)/100</f>
        <v>#NAME?</v>
      </c>
      <c r="AC863" s="226" t="e">
        <f aca="false">((xSPRDOPT($L863+$AB$5,$J863,$I863,$M863,$O863,$N863,$P863,$Q863-$C$3,$R863,7)*$H863)/100)</f>
        <v>#NAME?</v>
      </c>
      <c r="AD863" s="226" t="e">
        <f aca="false">(xSPRDOPT($L863+$AB$5,$J863,$I863,$M863,$O863,$N863,$P863,$Q863-$C$3,$R863,9)/365)*$H863</f>
        <v>#NAME?</v>
      </c>
      <c r="AE863" s="0" t="n">
        <f aca="false">CD865</f>
        <v>0</v>
      </c>
      <c r="AF863" s="226" t="e">
        <f aca="false">((O863/N863)*AH863)+AG863</f>
        <v>#NAME?</v>
      </c>
      <c r="AG863" s="226" t="e">
        <f aca="false">((xSPRDOPT($L863,$J863,$I863,$M863,$O863,$N863,$P863,$Q863-$C$3,$R863,6)*$H863)/100)</f>
        <v>#NAME?</v>
      </c>
      <c r="AH863" s="226" t="e">
        <f aca="false">((xSPRDOPT($L863,$J863,$I863,$M863,$O863,$N863,$P863,$Q863-$C$3,$R863,5)*$H863)/100)</f>
        <v>#NAME?</v>
      </c>
      <c r="AI863" s="226" t="e">
        <f aca="false">(((xSPRDOPT($L863,$J863,$I863,$M863,$O863,$N863,$P863,$Q863-$C$3,$R863,4)*$H863)/10000)/100)-AB863</f>
        <v>#NAME?</v>
      </c>
      <c r="AJ863" s="226"/>
    </row>
    <row r="864" customFormat="false" ht="12.75" hidden="false" customHeight="false" outlineLevel="0" collapsed="false">
      <c r="A864" s="17" t="s">
        <v>465</v>
      </c>
      <c r="B864" s="0" t="s">
        <v>192</v>
      </c>
      <c r="C864" s="0" t="s">
        <v>473</v>
      </c>
      <c r="D864" s="7" t="s">
        <v>158</v>
      </c>
      <c r="E864" s="0" t="s">
        <v>131</v>
      </c>
      <c r="F864" s="0" t="s">
        <v>132</v>
      </c>
      <c r="G864" s="92" t="n">
        <v>36831</v>
      </c>
      <c r="H864" s="248" t="n">
        <v>500000</v>
      </c>
      <c r="I864" s="254" t="n">
        <v>0.15</v>
      </c>
      <c r="J864" s="124" t="n">
        <f aca="false">VLOOKUP(G864,NGPrices,2,FALSE())</f>
        <v>4.736</v>
      </c>
      <c r="K864" s="125" t="n">
        <f aca="false">HLOOKUP(D864,Prices,VLOOKUP(G864,move_down,2,FALSE()),FALSE())+VLOOKUP(G864,CHANGE,HLOOKUP(D864,CHANGE,2,FALSE()),FALSE())</f>
        <v>-0.175</v>
      </c>
      <c r="L864" s="124" t="n">
        <f aca="false">K864+J864</f>
        <v>4.561</v>
      </c>
      <c r="M864" s="126" t="n">
        <f aca="false">VLOOKUP(G864,NGPrices,4,FALSE())</f>
        <v>0.06810675983792</v>
      </c>
      <c r="N864" s="7" t="n">
        <f aca="false">VLOOKUP(G864,NGPrices,3,FALSE())</f>
        <v>0.595</v>
      </c>
      <c r="O864" s="7" t="n">
        <f aca="false">HLOOKUP(D864,VOLS,VLOOKUP(G864,move_down,2,FALSE()),FALSE())</f>
        <v>0.607</v>
      </c>
      <c r="P864" s="249" t="n">
        <f aca="false">HLOOKUP(D864,Correllate,VLOOKUP(G864,CorMove,2,FALSE()),FALSE())</f>
        <v>0.93</v>
      </c>
      <c r="Q864" s="92" t="n">
        <f aca="false">WORKDAY(G864,-2)</f>
        <v>36829</v>
      </c>
      <c r="R864" s="7" t="n">
        <f aca="false">IF(F864="P",0,1)</f>
        <v>0</v>
      </c>
      <c r="S864" s="130" t="e">
        <f aca="false">xSPRDOPT($L864,$J864,$I864,$M864,$O864,$N864,$P864,$Q864-$C$3,$R864,0)</f>
        <v>#NAME?</v>
      </c>
      <c r="T864" s="250" t="e">
        <f aca="false">xSPRDOPT($L864,$J864,$I864,$M864,$O864,$N864,$P864,$Q864-$C$3,$R864,1)*H864</f>
        <v>#NAME?</v>
      </c>
      <c r="U864" s="43" t="e">
        <f aca="false">S864*H864</f>
        <v>#NAME?</v>
      </c>
      <c r="V864" s="250" t="e">
        <f aca="false">xSPRDOPT($L864,$J864,$I864,$M864,$O864,$N864,$P864,$Q864-$C$3,$R864,2)*H864</f>
        <v>#NAME?</v>
      </c>
      <c r="W864" s="250" t="e">
        <f aca="false">+V864+T864</f>
        <v>#NAME?</v>
      </c>
      <c r="X864" s="2" t="str">
        <f aca="false">CONCATENATE(G864,D864)</f>
        <v>36831IF-NTHWST/CANBR</v>
      </c>
      <c r="Y864" s="251" t="n">
        <f aca="false">H864/10000</f>
        <v>50</v>
      </c>
      <c r="Z864" s="226" t="e">
        <f aca="false">T864/H864</f>
        <v>#NAME?</v>
      </c>
      <c r="AA864" s="226" t="e">
        <f aca="false">xSPRDOPT($L864,$J864,$I864,$M864,$O864,$N864,$P864,$Q864-$C$3,$R864,3)</f>
        <v>#NAME?</v>
      </c>
      <c r="AB864" s="226" t="e">
        <f aca="false">((xSPRDOPT($L864+AB$5,$J864,$I864,$M864,$O864,$N864,$P864,$Q864-$C$3,$R864,3)*$H864)/10000)/100</f>
        <v>#NAME?</v>
      </c>
      <c r="AC864" s="226" t="e">
        <f aca="false">((xSPRDOPT($L864+$AB$5,$J864,$I864,$M864,$O864,$N864,$P864,$Q864-$C$3,$R864,7)*$H864)/100)</f>
        <v>#NAME?</v>
      </c>
      <c r="AD864" s="226" t="e">
        <f aca="false">(xSPRDOPT($L864+$AB$5,$J864,$I864,$M864,$O864,$N864,$P864,$Q864-$C$3,$R864,9)/365)*$H864</f>
        <v>#NAME?</v>
      </c>
      <c r="AE864" s="0" t="n">
        <f aca="false">CD866</f>
        <v>0</v>
      </c>
      <c r="AF864" s="226" t="e">
        <f aca="false">((O864/N864)*AH864)+AG864</f>
        <v>#NAME?</v>
      </c>
      <c r="AG864" s="226" t="e">
        <f aca="false">((xSPRDOPT($L864,$J864,$I864,$M864,$O864,$N864,$P864,$Q864-$C$3,$R864,6)*$H864)/100)</f>
        <v>#NAME?</v>
      </c>
      <c r="AH864" s="226" t="e">
        <f aca="false">((xSPRDOPT($L864,$J864,$I864,$M864,$O864,$N864,$P864,$Q864-$C$3,$R864,5)*$H864)/100)</f>
        <v>#NAME?</v>
      </c>
      <c r="AI864" s="226" t="e">
        <f aca="false">(((xSPRDOPT($L864,$J864,$I864,$M864,$O864,$N864,$P864,$Q864-$C$3,$R864,4)*$H864)/10000)/100)-AB864</f>
        <v>#NAME?</v>
      </c>
      <c r="AJ864" s="226"/>
    </row>
    <row r="865" customFormat="false" ht="12.75" hidden="false" customHeight="false" outlineLevel="0" collapsed="false">
      <c r="A865" s="17" t="s">
        <v>465</v>
      </c>
      <c r="B865" s="0" t="s">
        <v>192</v>
      </c>
      <c r="C865" s="0" t="s">
        <v>473</v>
      </c>
      <c r="D865" s="7" t="s">
        <v>158</v>
      </c>
      <c r="E865" s="0" t="s">
        <v>131</v>
      </c>
      <c r="F865" s="0" t="s">
        <v>132</v>
      </c>
      <c r="G865" s="92" t="n">
        <v>36861</v>
      </c>
      <c r="H865" s="248" t="n">
        <v>500000</v>
      </c>
      <c r="I865" s="254" t="n">
        <v>0.15</v>
      </c>
      <c r="J865" s="124" t="n">
        <f aca="false">VLOOKUP(G865,NGPrices,2,FALSE())</f>
        <v>4.8</v>
      </c>
      <c r="K865" s="125" t="n">
        <f aca="false">HLOOKUP(D865,Prices,VLOOKUP(G865,move_down,2,FALSE()),FALSE())+VLOOKUP(G865,CHANGE,HLOOKUP(D865,CHANGE,2,FALSE()),FALSE())</f>
        <v>0.53</v>
      </c>
      <c r="L865" s="124" t="n">
        <f aca="false">K865+J865</f>
        <v>5.33</v>
      </c>
      <c r="M865" s="126" t="n">
        <f aca="false">VLOOKUP(G865,NGPrices,4,FALSE())</f>
        <v>0.068314027999354</v>
      </c>
      <c r="N865" s="7" t="n">
        <f aca="false">VLOOKUP(G865,NGPrices,3,FALSE())</f>
        <v>0.6</v>
      </c>
      <c r="O865" s="7" t="n">
        <f aca="false">HLOOKUP(D865,VOLS,VLOOKUP(G865,move_down,2,FALSE()),FALSE())</f>
        <v>0.612</v>
      </c>
      <c r="P865" s="249" t="n">
        <f aca="false">HLOOKUP(D865,Correllate,VLOOKUP(G865,CorMove,2,FALSE()),FALSE())</f>
        <v>0.93</v>
      </c>
      <c r="Q865" s="92" t="n">
        <f aca="false">WORKDAY(G865,-2)</f>
        <v>36859</v>
      </c>
      <c r="R865" s="7" t="n">
        <f aca="false">IF(F865="P",0,1)</f>
        <v>0</v>
      </c>
      <c r="S865" s="130" t="e">
        <f aca="false">xSPRDOPT($L865,$J865,$I865,$M865,$O865,$N865,$P865,$Q865-$C$3,$R865,0)</f>
        <v>#NAME?</v>
      </c>
      <c r="T865" s="250" t="e">
        <f aca="false">xSPRDOPT($L865,$J865,$I865,$M865,$O865,$N865,$P865,$Q865-$C$3,$R865,1)*H865</f>
        <v>#NAME?</v>
      </c>
      <c r="U865" s="43" t="e">
        <f aca="false">S865*H865</f>
        <v>#NAME?</v>
      </c>
      <c r="V865" s="250" t="e">
        <f aca="false">xSPRDOPT($L865,$J865,$I865,$M865,$O865,$N865,$P865,$Q865-$C$3,$R865,2)*H865</f>
        <v>#NAME?</v>
      </c>
      <c r="W865" s="250" t="e">
        <f aca="false">+V865+T865</f>
        <v>#NAME?</v>
      </c>
      <c r="X865" s="2" t="str">
        <f aca="false">CONCATENATE(G865,D865)</f>
        <v>36861IF-NTHWST/CANBR</v>
      </c>
      <c r="Y865" s="251" t="n">
        <f aca="false">H865/10000</f>
        <v>50</v>
      </c>
      <c r="Z865" s="226" t="e">
        <f aca="false">T865/H865</f>
        <v>#NAME?</v>
      </c>
      <c r="AA865" s="226" t="e">
        <f aca="false">xSPRDOPT($L865,$J865,$I865,$M865,$O865,$N865,$P865,$Q865-$C$3,$R865,3)</f>
        <v>#NAME?</v>
      </c>
      <c r="AB865" s="226" t="e">
        <f aca="false">((xSPRDOPT($L865+AB$5,$J865,$I865,$M865,$O865,$N865,$P865,$Q865-$C$3,$R865,3)*$H865)/10000)/100</f>
        <v>#NAME?</v>
      </c>
      <c r="AC865" s="226" t="e">
        <f aca="false">((xSPRDOPT($L865+$AB$5,$J865,$I865,$M865,$O865,$N865,$P865,$Q865-$C$3,$R865,7)*$H865)/100)</f>
        <v>#NAME?</v>
      </c>
      <c r="AD865" s="226" t="e">
        <f aca="false">(xSPRDOPT($L865+$AB$5,$J865,$I865,$M865,$O865,$N865,$P865,$Q865-$C$3,$R865,9)/365)*$H865</f>
        <v>#NAME?</v>
      </c>
      <c r="AE865" s="0" t="n">
        <f aca="false">CD867</f>
        <v>0</v>
      </c>
      <c r="AF865" s="226" t="e">
        <f aca="false">((O865/N865)*AH865)+AG865</f>
        <v>#NAME?</v>
      </c>
      <c r="AG865" s="226" t="e">
        <f aca="false">((xSPRDOPT($L865,$J865,$I865,$M865,$O865,$N865,$P865,$Q865-$C$3,$R865,6)*$H865)/100)</f>
        <v>#NAME?</v>
      </c>
      <c r="AH865" s="226" t="e">
        <f aca="false">((xSPRDOPT($L865,$J865,$I865,$M865,$O865,$N865,$P865,$Q865-$C$3,$R865,5)*$H865)/100)</f>
        <v>#NAME?</v>
      </c>
      <c r="AI865" s="226" t="e">
        <f aca="false">(((xSPRDOPT($L865,$J865,$I865,$M865,$O865,$N865,$P865,$Q865-$C$3,$R865,4)*$H865)/10000)/100)-AB865</f>
        <v>#NAME?</v>
      </c>
      <c r="AJ865" s="226"/>
    </row>
    <row r="866" customFormat="false" ht="12.75" hidden="false" customHeight="false" outlineLevel="0" collapsed="false">
      <c r="A866" s="17" t="s">
        <v>465</v>
      </c>
      <c r="B866" s="0" t="s">
        <v>192</v>
      </c>
      <c r="C866" s="0" t="s">
        <v>473</v>
      </c>
      <c r="D866" s="7" t="s">
        <v>158</v>
      </c>
      <c r="E866" s="0" t="s">
        <v>131</v>
      </c>
      <c r="F866" s="0" t="s">
        <v>132</v>
      </c>
      <c r="G866" s="92" t="n">
        <v>36892</v>
      </c>
      <c r="H866" s="248" t="n">
        <v>500000</v>
      </c>
      <c r="I866" s="254" t="n">
        <v>0.15</v>
      </c>
      <c r="J866" s="124" t="n">
        <f aca="false">VLOOKUP(G866,NGPrices,2,FALSE())</f>
        <v>4.744</v>
      </c>
      <c r="K866" s="125" t="n">
        <f aca="false">HLOOKUP(D866,Prices,VLOOKUP(G866,move_down,2,FALSE()),FALSE())+VLOOKUP(G866,CHANGE,HLOOKUP(D866,CHANGE,2,FALSE()),FALSE())</f>
        <v>0.53</v>
      </c>
      <c r="L866" s="124" t="n">
        <f aca="false">K866+J866</f>
        <v>5.274</v>
      </c>
      <c r="M866" s="126" t="n">
        <f aca="false">VLOOKUP(G866,NGPrices,4,FALSE())</f>
        <v>0.068374831148491</v>
      </c>
      <c r="N866" s="7" t="n">
        <f aca="false">VLOOKUP(G866,NGPrices,3,FALSE())</f>
        <v>0.605</v>
      </c>
      <c r="O866" s="7" t="n">
        <f aca="false">HLOOKUP(D866,VOLS,VLOOKUP(G866,move_down,2,FALSE()),FALSE())</f>
        <v>0.617</v>
      </c>
      <c r="P866" s="249" t="n">
        <f aca="false">HLOOKUP(D866,Correllate,VLOOKUP(G866,CorMove,2,FALSE()),FALSE())</f>
        <v>0.93</v>
      </c>
      <c r="Q866" s="92" t="n">
        <f aca="false">WORKDAY(G866,-2)</f>
        <v>36888</v>
      </c>
      <c r="R866" s="7" t="n">
        <f aca="false">IF(F866="P",0,1)</f>
        <v>0</v>
      </c>
      <c r="S866" s="130" t="e">
        <f aca="false">xSPRDOPT($L866,$J866,$I866,$M866,$O866,$N866,$P866,$Q866-$C$3,$R866,0)</f>
        <v>#NAME?</v>
      </c>
      <c r="T866" s="250" t="e">
        <f aca="false">xSPRDOPT($L866,$J866,$I866,$M866,$O866,$N866,$P866,$Q866-$C$3,$R866,1)*H866</f>
        <v>#NAME?</v>
      </c>
      <c r="U866" s="43" t="e">
        <f aca="false">S866*H866</f>
        <v>#NAME?</v>
      </c>
      <c r="V866" s="250" t="e">
        <f aca="false">xSPRDOPT($L866,$J866,$I866,$M866,$O866,$N866,$P866,$Q866-$C$3,$R866,2)*H866</f>
        <v>#NAME?</v>
      </c>
      <c r="W866" s="250" t="e">
        <f aca="false">+V866+T866</f>
        <v>#NAME?</v>
      </c>
      <c r="X866" s="2" t="str">
        <f aca="false">CONCATENATE(G866,D866)</f>
        <v>36892IF-NTHWST/CANBR</v>
      </c>
      <c r="Y866" s="251" t="n">
        <f aca="false">H866/10000</f>
        <v>50</v>
      </c>
      <c r="Z866" s="226" t="e">
        <f aca="false">T866/H866</f>
        <v>#NAME?</v>
      </c>
      <c r="AA866" s="226" t="e">
        <f aca="false">xSPRDOPT($L866,$J866,$I866,$M866,$O866,$N866,$P866,$Q866-$C$3,$R866,3)</f>
        <v>#NAME?</v>
      </c>
      <c r="AB866" s="226" t="e">
        <f aca="false">((xSPRDOPT($L866+AB$5,$J866,$I866,$M866,$O866,$N866,$P866,$Q866-$C$3,$R866,3)*$H866)/10000)/100</f>
        <v>#NAME?</v>
      </c>
      <c r="AC866" s="226" t="e">
        <f aca="false">((xSPRDOPT($L866+$AB$5,$J866,$I866,$M866,$O866,$N866,$P866,$Q866-$C$3,$R866,7)*$H866)/100)</f>
        <v>#NAME?</v>
      </c>
      <c r="AD866" s="226" t="e">
        <f aca="false">(xSPRDOPT($L866+$AB$5,$J866,$I866,$M866,$O866,$N866,$P866,$Q866-$C$3,$R866,9)/365)*$H866</f>
        <v>#NAME?</v>
      </c>
      <c r="AE866" s="0" t="n">
        <f aca="false">CD868</f>
        <v>0</v>
      </c>
      <c r="AF866" s="226" t="e">
        <f aca="false">((O866/N866)*AH866)+AG866</f>
        <v>#NAME?</v>
      </c>
      <c r="AG866" s="226" t="e">
        <f aca="false">((xSPRDOPT($L866,$J866,$I866,$M866,$O866,$N866,$P866,$Q866-$C$3,$R866,6)*$H866)/100)</f>
        <v>#NAME?</v>
      </c>
      <c r="AH866" s="226" t="e">
        <f aca="false">((xSPRDOPT($L866,$J866,$I866,$M866,$O866,$N866,$P866,$Q866-$C$3,$R866,5)*$H866)/100)</f>
        <v>#NAME?</v>
      </c>
      <c r="AI866" s="226" t="e">
        <f aca="false">(((xSPRDOPT($L866,$J866,$I866,$M866,$O866,$N866,$P866,$Q866-$C$3,$R866,4)*$H866)/10000)/100)-AB866</f>
        <v>#NAME?</v>
      </c>
      <c r="AJ866" s="226"/>
    </row>
    <row r="867" customFormat="false" ht="12.75" hidden="false" customHeight="false" outlineLevel="0" collapsed="false">
      <c r="A867" s="17" t="s">
        <v>465</v>
      </c>
      <c r="B867" s="0" t="s">
        <v>192</v>
      </c>
      <c r="C867" s="0" t="s">
        <v>473</v>
      </c>
      <c r="D867" s="7" t="s">
        <v>158</v>
      </c>
      <c r="E867" s="0" t="s">
        <v>131</v>
      </c>
      <c r="F867" s="0" t="s">
        <v>132</v>
      </c>
      <c r="G867" s="92" t="n">
        <v>36923</v>
      </c>
      <c r="H867" s="248" t="n">
        <v>500000</v>
      </c>
      <c r="I867" s="254" t="n">
        <v>0.15</v>
      </c>
      <c r="J867" s="124" t="n">
        <f aca="false">VLOOKUP(G867,NGPrices,2,FALSE())</f>
        <v>4.48</v>
      </c>
      <c r="K867" s="125" t="n">
        <f aca="false">HLOOKUP(D867,Prices,VLOOKUP(G867,move_down,2,FALSE()),FALSE())+VLOOKUP(G867,CHANGE,HLOOKUP(D867,CHANGE,2,FALSE()),FALSE())</f>
        <v>0.345</v>
      </c>
      <c r="L867" s="124" t="n">
        <f aca="false">K867+J867</f>
        <v>4.825</v>
      </c>
      <c r="M867" s="126" t="n">
        <f aca="false">VLOOKUP(G867,NGPrices,4,FALSE())</f>
        <v>0.068640161611372</v>
      </c>
      <c r="N867" s="7" t="n">
        <f aca="false">VLOOKUP(G867,NGPrices,3,FALSE())</f>
        <v>0.5925</v>
      </c>
      <c r="O867" s="7" t="n">
        <f aca="false">HLOOKUP(D867,VOLS,VLOOKUP(G867,move_down,2,FALSE()),FALSE())</f>
        <v>0.604</v>
      </c>
      <c r="P867" s="249" t="n">
        <f aca="false">HLOOKUP(D867,Correllate,VLOOKUP(G867,CorMove,2,FALSE()),FALSE())</f>
        <v>0.93</v>
      </c>
      <c r="Q867" s="92" t="n">
        <f aca="false">WORKDAY(G867,-2)</f>
        <v>36921</v>
      </c>
      <c r="R867" s="7" t="n">
        <f aca="false">IF(F867="P",0,1)</f>
        <v>0</v>
      </c>
      <c r="S867" s="130" t="e">
        <f aca="false">xSPRDOPT($L867,$J867,$I867,$M867,$O867,$N867,$P867,$Q867-$C$3,$R867,0)</f>
        <v>#NAME?</v>
      </c>
      <c r="T867" s="250" t="e">
        <f aca="false">xSPRDOPT($L867,$J867,$I867,$M867,$O867,$N867,$P867,$Q867-$C$3,$R867,1)*H867</f>
        <v>#NAME?</v>
      </c>
      <c r="U867" s="43" t="e">
        <f aca="false">S867*H867</f>
        <v>#NAME?</v>
      </c>
      <c r="V867" s="250" t="e">
        <f aca="false">xSPRDOPT($L867,$J867,$I867,$M867,$O867,$N867,$P867,$Q867-$C$3,$R867,2)*H867</f>
        <v>#NAME?</v>
      </c>
      <c r="W867" s="250" t="e">
        <f aca="false">+V867+T867</f>
        <v>#NAME?</v>
      </c>
      <c r="X867" s="2" t="str">
        <f aca="false">CONCATENATE(G867,D867)</f>
        <v>36923IF-NTHWST/CANBR</v>
      </c>
      <c r="Y867" s="251" t="n">
        <f aca="false">H867/10000</f>
        <v>50</v>
      </c>
      <c r="Z867" s="226" t="e">
        <f aca="false">T867/H867</f>
        <v>#NAME?</v>
      </c>
      <c r="AA867" s="226" t="e">
        <f aca="false">xSPRDOPT($L867,$J867,$I867,$M867,$O867,$N867,$P867,$Q867-$C$3,$R867,3)</f>
        <v>#NAME?</v>
      </c>
      <c r="AB867" s="226" t="e">
        <f aca="false">((xSPRDOPT($L867+AB$5,$J867,$I867,$M867,$O867,$N867,$P867,$Q867-$C$3,$R867,3)*$H867)/10000)/100</f>
        <v>#NAME?</v>
      </c>
      <c r="AC867" s="226" t="e">
        <f aca="false">((xSPRDOPT($L867+$AB$5,$J867,$I867,$M867,$O867,$N867,$P867,$Q867-$C$3,$R867,7)*$H867)/100)</f>
        <v>#NAME?</v>
      </c>
      <c r="AD867" s="226" t="e">
        <f aca="false">(xSPRDOPT($L867+$AB$5,$J867,$I867,$M867,$O867,$N867,$P867,$Q867-$C$3,$R867,9)/365)*$H867</f>
        <v>#NAME?</v>
      </c>
      <c r="AE867" s="0" t="n">
        <f aca="false">CD869</f>
        <v>0</v>
      </c>
      <c r="AF867" s="226" t="e">
        <f aca="false">((O867/N867)*AH867)+AG867</f>
        <v>#NAME?</v>
      </c>
      <c r="AG867" s="226" t="e">
        <f aca="false">((xSPRDOPT($L867,$J867,$I867,$M867,$O867,$N867,$P867,$Q867-$C$3,$R867,6)*$H867)/100)</f>
        <v>#NAME?</v>
      </c>
      <c r="AH867" s="226" t="e">
        <f aca="false">((xSPRDOPT($L867,$J867,$I867,$M867,$O867,$N867,$P867,$Q867-$C$3,$R867,5)*$H867)/100)</f>
        <v>#NAME?</v>
      </c>
      <c r="AI867" s="226" t="e">
        <f aca="false">(((xSPRDOPT($L867,$J867,$I867,$M867,$O867,$N867,$P867,$Q867-$C$3,$R867,4)*$H867)/10000)/100)-AB867</f>
        <v>#NAME?</v>
      </c>
      <c r="AJ867" s="226"/>
    </row>
    <row r="868" customFormat="false" ht="12.75" hidden="false" customHeight="false" outlineLevel="0" collapsed="false">
      <c r="A868" s="17" t="s">
        <v>465</v>
      </c>
      <c r="B868" s="0" t="s">
        <v>192</v>
      </c>
      <c r="C868" s="0" t="s">
        <v>473</v>
      </c>
      <c r="D868" s="7" t="s">
        <v>158</v>
      </c>
      <c r="E868" s="0" t="s">
        <v>131</v>
      </c>
      <c r="F868" s="0" t="s">
        <v>132</v>
      </c>
      <c r="G868" s="92" t="n">
        <v>36951</v>
      </c>
      <c r="H868" s="248" t="n">
        <v>500000</v>
      </c>
      <c r="I868" s="254" t="n">
        <v>0.15</v>
      </c>
      <c r="J868" s="124" t="n">
        <f aca="false">VLOOKUP(G868,NGPrices,2,FALSE())</f>
        <v>4.213</v>
      </c>
      <c r="K868" s="125" t="n">
        <f aca="false">HLOOKUP(D868,Prices,VLOOKUP(G868,move_down,2,FALSE()),FALSE())+VLOOKUP(G868,CHANGE,HLOOKUP(D868,CHANGE,2,FALSE()),FALSE())</f>
        <v>-0.03</v>
      </c>
      <c r="L868" s="124" t="n">
        <f aca="false">K868+J868</f>
        <v>4.183</v>
      </c>
      <c r="M868" s="126" t="n">
        <f aca="false">VLOOKUP(G868,NGPrices,4,FALSE())</f>
        <v>0.068879814952707</v>
      </c>
      <c r="N868" s="7" t="n">
        <f aca="false">VLOOKUP(G868,NGPrices,3,FALSE())</f>
        <v>0.5325</v>
      </c>
      <c r="O868" s="7" t="n">
        <f aca="false">HLOOKUP(D868,VOLS,VLOOKUP(G868,move_down,2,FALSE()),FALSE())</f>
        <v>0.543</v>
      </c>
      <c r="P868" s="249" t="n">
        <f aca="false">HLOOKUP(D868,Correllate,VLOOKUP(G868,CorMove,2,FALSE()),FALSE())</f>
        <v>0.93</v>
      </c>
      <c r="Q868" s="92" t="n">
        <f aca="false">WORKDAY(G868,-2)</f>
        <v>36949</v>
      </c>
      <c r="R868" s="7" t="n">
        <f aca="false">IF(F868="P",0,1)</f>
        <v>0</v>
      </c>
      <c r="S868" s="130" t="e">
        <f aca="false">xSPRDOPT($L868,$J868,$I868,$M868,$O868,$N868,$P868,$Q868-$C$3,$R868,0)</f>
        <v>#NAME?</v>
      </c>
      <c r="T868" s="250" t="e">
        <f aca="false">xSPRDOPT($L868,$J868,$I868,$M868,$O868,$N868,$P868,$Q868-$C$3,$R868,1)*H868</f>
        <v>#NAME?</v>
      </c>
      <c r="U868" s="43" t="e">
        <f aca="false">S868*H868</f>
        <v>#NAME?</v>
      </c>
      <c r="V868" s="250" t="e">
        <f aca="false">xSPRDOPT($L868,$J868,$I868,$M868,$O868,$N868,$P868,$Q868-$C$3,$R868,2)*H868</f>
        <v>#NAME?</v>
      </c>
      <c r="W868" s="250" t="e">
        <f aca="false">+V868+T868</f>
        <v>#NAME?</v>
      </c>
      <c r="X868" s="2" t="str">
        <f aca="false">CONCATENATE(G868,D868)</f>
        <v>36951IF-NTHWST/CANBR</v>
      </c>
      <c r="Y868" s="251" t="n">
        <f aca="false">H868/10000</f>
        <v>50</v>
      </c>
      <c r="Z868" s="226" t="e">
        <f aca="false">T868/H868</f>
        <v>#NAME?</v>
      </c>
      <c r="AA868" s="226" t="e">
        <f aca="false">xSPRDOPT($L868,$J868,$I868,$M868,$O868,$N868,$P868,$Q868-$C$3,$R868,3)</f>
        <v>#NAME?</v>
      </c>
      <c r="AB868" s="226" t="e">
        <f aca="false">((xSPRDOPT($L868+AB$5,$J868,$I868,$M868,$O868,$N868,$P868,$Q868-$C$3,$R868,3)*$H868)/10000)/100</f>
        <v>#NAME?</v>
      </c>
      <c r="AC868" s="226" t="e">
        <f aca="false">((xSPRDOPT($L868+$AB$5,$J868,$I868,$M868,$O868,$N868,$P868,$Q868-$C$3,$R868,7)*$H868)/100)</f>
        <v>#NAME?</v>
      </c>
      <c r="AD868" s="226" t="e">
        <f aca="false">(xSPRDOPT($L868+$AB$5,$J868,$I868,$M868,$O868,$N868,$P868,$Q868-$C$3,$R868,9)/365)*$H868</f>
        <v>#NAME?</v>
      </c>
      <c r="AE868" s="0" t="n">
        <f aca="false">CD870</f>
        <v>0</v>
      </c>
      <c r="AF868" s="226" t="e">
        <f aca="false">((O868/N868)*AH868)+AG868</f>
        <v>#NAME?</v>
      </c>
      <c r="AG868" s="226" t="e">
        <f aca="false">((xSPRDOPT($L868,$J868,$I868,$M868,$O868,$N868,$P868,$Q868-$C$3,$R868,6)*$H868)/100)</f>
        <v>#NAME?</v>
      </c>
      <c r="AH868" s="226" t="e">
        <f aca="false">((xSPRDOPT($L868,$J868,$I868,$M868,$O868,$N868,$P868,$Q868-$C$3,$R868,5)*$H868)/100)</f>
        <v>#NAME?</v>
      </c>
      <c r="AI868" s="226" t="e">
        <f aca="false">(((xSPRDOPT($L868,$J868,$I868,$M868,$O868,$N868,$P868,$Q868-$C$3,$R868,4)*$H868)/10000)/100)-AB868</f>
        <v>#NAME?</v>
      </c>
      <c r="AJ868" s="226"/>
    </row>
  </sheetData>
  <mergeCells count="8">
    <mergeCell ref="A4:I4"/>
    <mergeCell ref="J4:U4"/>
    <mergeCell ref="AN4:BA4"/>
    <mergeCell ref="BB4:BC4"/>
    <mergeCell ref="BE4:BR4"/>
    <mergeCell ref="BS4:BT4"/>
    <mergeCell ref="AO5:BA5"/>
    <mergeCell ref="BF5:BR5"/>
  </mergeCells>
  <printOptions headings="false" gridLines="false" gridLinesSet="true" horizontalCentered="false" verticalCentered="false"/>
  <pageMargins left="0.2" right="0.329861111111111" top="0.840277777777778" bottom="0.984027777777778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N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4" activeCellId="0" sqref="A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4.56"/>
    <col collapsed="false" customWidth="true" hidden="false" outlineLevel="0" max="3" min="3" style="0" width="16.13"/>
    <col collapsed="false" customWidth="true" hidden="false" outlineLevel="0" max="4" min="4" style="0" width="18.7"/>
    <col collapsed="false" customWidth="true" hidden="false" outlineLevel="0" max="5" min="5" style="0" width="13.85"/>
    <col collapsed="false" customWidth="true" hidden="false" outlineLevel="0" max="6" min="6" style="0" width="16.28"/>
    <col collapsed="false" customWidth="true" hidden="false" outlineLevel="0" max="7" min="7" style="0" width="10.99"/>
    <col collapsed="false" customWidth="true" hidden="false" outlineLevel="0" max="8" min="8" style="0" width="12.56"/>
    <col collapsed="false" customWidth="true" hidden="false" outlineLevel="0" max="9" min="9" style="0" width="9.56"/>
    <col collapsed="false" customWidth="true" hidden="false" outlineLevel="0" max="10" min="10" style="0" width="12.28"/>
  </cols>
  <sheetData>
    <row r="2" customFormat="false" ht="12.75" hidden="false" customHeight="false" outlineLevel="0" collapsed="false">
      <c r="B2" s="0" t="s">
        <v>149</v>
      </c>
      <c r="C2" s="0" t="s">
        <v>150</v>
      </c>
      <c r="D2" s="0" t="s">
        <v>151</v>
      </c>
      <c r="E2" s="0" t="s">
        <v>152</v>
      </c>
      <c r="F2" s="0" t="s">
        <v>74</v>
      </c>
      <c r="G2" s="0" t="s">
        <v>137</v>
      </c>
      <c r="H2" s="0" t="s">
        <v>153</v>
      </c>
      <c r="I2" s="0" t="s">
        <v>154</v>
      </c>
      <c r="J2" s="0" t="s">
        <v>155</v>
      </c>
      <c r="K2" s="0" t="s">
        <v>68</v>
      </c>
      <c r="L2" s="0" t="s">
        <v>156</v>
      </c>
      <c r="M2" s="0" t="s">
        <v>157</v>
      </c>
      <c r="N2" s="0" t="s">
        <v>158</v>
      </c>
    </row>
    <row r="3" customFormat="false" ht="12.75" hidden="false" customHeight="false" outlineLevel="0" collapsed="false">
      <c r="B3" s="0" t="n">
        <v>2</v>
      </c>
      <c r="C3" s="0" t="n">
        <v>3</v>
      </c>
      <c r="D3" s="0" t="n">
        <v>4</v>
      </c>
      <c r="E3" s="0" t="n">
        <v>5</v>
      </c>
      <c r="F3" s="0" t="n">
        <v>6</v>
      </c>
      <c r="G3" s="0" t="n">
        <v>7</v>
      </c>
      <c r="H3" s="0" t="n">
        <v>8</v>
      </c>
      <c r="I3" s="0" t="n">
        <v>9</v>
      </c>
      <c r="J3" s="0" t="n">
        <v>10</v>
      </c>
      <c r="K3" s="0" t="n">
        <v>11</v>
      </c>
      <c r="L3" s="0" t="n">
        <v>12</v>
      </c>
      <c r="M3" s="0" t="n">
        <v>13</v>
      </c>
      <c r="N3" s="0" t="n">
        <v>14</v>
      </c>
    </row>
    <row r="4" customFormat="false" ht="12.75" hidden="false" customHeight="false" outlineLevel="0" collapsed="false">
      <c r="A4" s="79" t="n">
        <v>36678</v>
      </c>
    </row>
    <row r="5" customFormat="false" ht="12.75" hidden="false" customHeight="false" outlineLevel="0" collapsed="false">
      <c r="A5" s="79" t="n">
        <v>36708</v>
      </c>
    </row>
    <row r="6" customFormat="false" ht="12.75" hidden="false" customHeight="false" outlineLevel="0" collapsed="false">
      <c r="A6" s="79" t="n">
        <v>36739</v>
      </c>
    </row>
    <row r="7" customFormat="false" ht="12.75" hidden="false" customHeight="false" outlineLevel="0" collapsed="false">
      <c r="A7" s="79" t="n">
        <v>36770</v>
      </c>
    </row>
    <row r="8" customFormat="false" ht="12.75" hidden="false" customHeight="false" outlineLevel="0" collapsed="false">
      <c r="A8" s="79" t="n">
        <v>36800</v>
      </c>
    </row>
    <row r="9" customFormat="false" ht="12.75" hidden="false" customHeight="false" outlineLevel="0" collapsed="false">
      <c r="A9" s="79" t="n">
        <v>36831</v>
      </c>
    </row>
    <row r="10" customFormat="false" ht="12.75" hidden="false" customHeight="false" outlineLevel="0" collapsed="false">
      <c r="A10" s="79" t="n">
        <v>36861</v>
      </c>
    </row>
    <row r="11" customFormat="false" ht="12.75" hidden="false" customHeight="false" outlineLevel="0" collapsed="false">
      <c r="A11" s="79" t="n">
        <v>36892</v>
      </c>
    </row>
    <row r="12" customFormat="false" ht="12.75" hidden="false" customHeight="false" outlineLevel="0" collapsed="false">
      <c r="A12" s="79" t="n">
        <v>36923</v>
      </c>
    </row>
    <row r="13" customFormat="false" ht="12.75" hidden="false" customHeight="false" outlineLevel="0" collapsed="false">
      <c r="A13" s="79" t="n">
        <v>36951</v>
      </c>
    </row>
    <row r="14" customFormat="false" ht="12.75" hidden="false" customHeight="false" outlineLevel="0" collapsed="false">
      <c r="A14" s="79" t="n">
        <v>36982</v>
      </c>
    </row>
    <row r="15" customFormat="false" ht="12.75" hidden="false" customHeight="false" outlineLevel="0" collapsed="false">
      <c r="A15" s="79" t="n">
        <v>37012</v>
      </c>
    </row>
    <row r="16" customFormat="false" ht="12.75" hidden="false" customHeight="false" outlineLevel="0" collapsed="false">
      <c r="A16" s="79" t="n">
        <v>37043</v>
      </c>
    </row>
    <row r="17" customFormat="false" ht="12.75" hidden="false" customHeight="false" outlineLevel="0" collapsed="false">
      <c r="A17" s="79" t="n">
        <v>37073</v>
      </c>
    </row>
    <row r="18" customFormat="false" ht="12.75" hidden="false" customHeight="false" outlineLevel="0" collapsed="false">
      <c r="A18" s="79" t="n">
        <v>37104</v>
      </c>
    </row>
    <row r="19" customFormat="false" ht="12.75" hidden="false" customHeight="false" outlineLevel="0" collapsed="false">
      <c r="A19" s="79" t="n">
        <v>37135</v>
      </c>
    </row>
    <row r="20" customFormat="false" ht="12.75" hidden="false" customHeight="false" outlineLevel="0" collapsed="false">
      <c r="A20" s="79" t="n">
        <v>37165</v>
      </c>
    </row>
    <row r="21" customFormat="false" ht="12.75" hidden="false" customHeight="false" outlineLevel="0" collapsed="false">
      <c r="A21" s="79" t="n">
        <v>37196</v>
      </c>
    </row>
    <row r="22" customFormat="false" ht="12.75" hidden="false" customHeight="false" outlineLevel="0" collapsed="false">
      <c r="A22" s="79" t="n">
        <v>37226</v>
      </c>
    </row>
    <row r="23" customFormat="false" ht="12.75" hidden="false" customHeight="false" outlineLevel="0" collapsed="false">
      <c r="A23" s="79" t="n">
        <v>37257</v>
      </c>
    </row>
    <row r="24" customFormat="false" ht="12.75" hidden="false" customHeight="false" outlineLevel="0" collapsed="false">
      <c r="A24" s="79" t="n">
        <v>37288</v>
      </c>
    </row>
    <row r="25" customFormat="false" ht="12.75" hidden="false" customHeight="false" outlineLevel="0" collapsed="false">
      <c r="A25" s="79" t="n">
        <v>37316</v>
      </c>
    </row>
    <row r="26" customFormat="false" ht="12.75" hidden="false" customHeight="false" outlineLevel="0" collapsed="false">
      <c r="A26" s="79" t="n">
        <v>37347</v>
      </c>
    </row>
    <row r="27" customFormat="false" ht="12.75" hidden="false" customHeight="false" outlineLevel="0" collapsed="false">
      <c r="A27" s="79" t="n">
        <v>37377</v>
      </c>
    </row>
    <row r="28" customFormat="false" ht="12.75" hidden="false" customHeight="false" outlineLevel="0" collapsed="false">
      <c r="A28" s="79" t="n">
        <v>37408</v>
      </c>
    </row>
    <row r="29" customFormat="false" ht="12.75" hidden="false" customHeight="false" outlineLevel="0" collapsed="false">
      <c r="A29" s="79" t="n">
        <v>37438</v>
      </c>
    </row>
    <row r="30" customFormat="false" ht="12.75" hidden="false" customHeight="false" outlineLevel="0" collapsed="false">
      <c r="A30" s="79" t="n">
        <v>37469</v>
      </c>
    </row>
    <row r="31" customFormat="false" ht="12.75" hidden="false" customHeight="false" outlineLevel="0" collapsed="false">
      <c r="A31" s="79" t="n">
        <v>37500</v>
      </c>
    </row>
    <row r="32" customFormat="false" ht="12.75" hidden="false" customHeight="false" outlineLevel="0" collapsed="false">
      <c r="A32" s="79" t="n">
        <v>37530</v>
      </c>
    </row>
    <row r="33" customFormat="false" ht="12.75" hidden="false" customHeight="false" outlineLevel="0" collapsed="false">
      <c r="A33" s="79" t="n">
        <v>37561</v>
      </c>
    </row>
    <row r="34" customFormat="false" ht="12.75" hidden="false" customHeight="false" outlineLevel="0" collapsed="false">
      <c r="A34" s="79" t="n">
        <v>37591</v>
      </c>
    </row>
    <row r="35" customFormat="false" ht="12.75" hidden="false" customHeight="false" outlineLevel="0" collapsed="false">
      <c r="A35" s="79" t="n">
        <v>37622</v>
      </c>
    </row>
    <row r="36" customFormat="false" ht="12.75" hidden="false" customHeight="false" outlineLevel="0" collapsed="false">
      <c r="A36" s="79" t="n">
        <v>37653</v>
      </c>
    </row>
    <row r="37" customFormat="false" ht="12.75" hidden="false" customHeight="false" outlineLevel="0" collapsed="false">
      <c r="A37" s="79" t="n">
        <v>37681</v>
      </c>
    </row>
    <row r="38" customFormat="false" ht="12.75" hidden="false" customHeight="false" outlineLevel="0" collapsed="false">
      <c r="A38" s="79" t="n">
        <v>37712</v>
      </c>
    </row>
    <row r="39" customFormat="false" ht="12.75" hidden="false" customHeight="false" outlineLevel="0" collapsed="false">
      <c r="A39" s="79" t="n">
        <v>37742</v>
      </c>
    </row>
    <row r="40" customFormat="false" ht="12.75" hidden="false" customHeight="false" outlineLevel="0" collapsed="false">
      <c r="B40" s="0" t="n">
        <v>0.015</v>
      </c>
      <c r="C40" s="0" t="n">
        <v>0.01</v>
      </c>
      <c r="J40" s="0" t="n">
        <v>0.015</v>
      </c>
    </row>
    <row r="41" customFormat="false" ht="12.75" hidden="false" customHeight="false" outlineLevel="0" collapsed="false">
      <c r="B41" s="0" t="n">
        <v>0.11</v>
      </c>
      <c r="C41" s="0" t="n">
        <v>0.01</v>
      </c>
      <c r="J41" s="0" t="n">
        <v>0.11</v>
      </c>
    </row>
    <row r="42" customFormat="false" ht="12.75" hidden="false" customHeight="false" outlineLevel="0" collapsed="false">
      <c r="B42" s="0" t="n">
        <v>0.11</v>
      </c>
      <c r="C42" s="0" t="n">
        <v>0.01</v>
      </c>
      <c r="J42" s="0" t="n">
        <v>0.11</v>
      </c>
    </row>
    <row r="43" customFormat="false" ht="12.75" hidden="false" customHeight="false" outlineLevel="0" collapsed="false">
      <c r="B43" s="0" t="n">
        <v>0.11</v>
      </c>
      <c r="C43" s="0" t="n">
        <v>0.01</v>
      </c>
      <c r="J43" s="0" t="n">
        <v>0.11</v>
      </c>
    </row>
    <row r="44" customFormat="false" ht="12.75" hidden="false" customHeight="false" outlineLevel="0" collapsed="false">
      <c r="B44" s="0" t="n">
        <v>0.11</v>
      </c>
      <c r="C44" s="0" t="n">
        <v>0.01</v>
      </c>
      <c r="J44" s="0" t="n">
        <v>0.11</v>
      </c>
    </row>
    <row r="45" customFormat="false" ht="12.75" hidden="false" customHeight="false" outlineLevel="0" collapsed="false">
      <c r="B45" s="0" t="n">
        <v>0.13</v>
      </c>
    </row>
    <row r="46" customFormat="false" ht="12.75" hidden="false" customHeight="false" outlineLevel="0" collapsed="false">
      <c r="B46" s="0" t="n">
        <v>0.13</v>
      </c>
    </row>
    <row r="47" customFormat="false" ht="12.75" hidden="false" customHeight="false" outlineLevel="0" collapsed="false">
      <c r="B47" s="0" t="n">
        <v>0.13</v>
      </c>
    </row>
    <row r="48" customFormat="false" ht="12.75" hidden="false" customHeight="false" outlineLevel="0" collapsed="false">
      <c r="B48" s="0" t="n">
        <v>0.13</v>
      </c>
    </row>
    <row r="49" customFormat="false" ht="12.75" hidden="false" customHeight="false" outlineLevel="0" collapsed="false">
      <c r="B49" s="0" t="n">
        <v>0.13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1998-06-22T17:55:36Z</dcterms:created>
  <dc:creator>Umbower, Denae</dc:creator>
  <dc:description/>
  <dc:language>en-US</dc:language>
  <cp:lastModifiedBy>Larry May</cp:lastModifiedBy>
  <cp:lastPrinted>2000-08-29T15:17:21Z</cp:lastPrinted>
  <cp:revision>0</cp:revision>
  <dc:subject/>
  <dc:title/>
</cp:coreProperties>
</file>